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 master" sheetId="1" r:id="rId4"/>
  </sheets>
  <definedNames/>
  <calcPr/>
  <extLst>
    <ext uri="GoogleSheetsCustomDataVersion2">
      <go:sheetsCustomData xmlns:go="http://customooxmlschemas.google.com/" r:id="rId5" roundtripDataChecksum="svYYBtzJDnrnuNOR6VlDY+FEtIho8oBOH46PILZ63WM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0.13"/>
    <col customWidth="1" min="8" max="8" width="9.13"/>
    <col customWidth="1" min="34" max="34" width="17.25"/>
    <col customWidth="1" min="36" max="36" width="15.88"/>
    <col customWidth="1" min="37" max="37" width="9.38"/>
    <col customWidth="1" min="38" max="38" width="37.25"/>
  </cols>
  <sheetData>
    <row r="1" ht="15.75" customHeight="1">
      <c r="A1" s="1" t="str">
        <f>IFERROR(__xludf.DUMMYFUNCTION("IMPORTRANGE(""https://docs.google.com/spreadsheets/d/1_-iUqAv-O7mlTlwwNh9rZVSCOTQoH7NxHfg1tTRCOwg/edit?gid=302795317#gid=302795317"",""Store master!a1:al"")"),"Gold text")</f>
        <v>Gold text</v>
      </c>
      <c r="B1" s="2" t="str">
        <f>IFERROR(__xludf.DUMMYFUNCTION("""COMPUTED_VALUE"""),"GOLD Code")</f>
        <v>GOLD Code</v>
      </c>
      <c r="C1" s="3" t="str">
        <f>IFERROR(__xludf.DUMMYFUNCTION("""COMPUTED_VALUE"""),"Store Name(th) (2)")</f>
        <v>Store Name(th) (2)</v>
      </c>
      <c r="D1" s="3" t="str">
        <f>IFERROR(__xludf.DUMMYFUNCTION("""COMPUTED_VALUE"""),"Store Name(en) (3)")</f>
        <v>Store Name(en) (3)</v>
      </c>
      <c r="E1" s="1" t="str">
        <f>IFERROR(__xludf.DUMMYFUNCTION("""COMPUTED_VALUE"""),"BU Type (20)")</f>
        <v>BU Type (20)</v>
      </c>
      <c r="F1" s="1" t="str">
        <f>IFERROR(__xludf.DUMMYFUNCTION("""COMPUTED_VALUE"""),"ID DD (13)")</f>
        <v>ID DD (13)</v>
      </c>
      <c r="G1" s="1" t="str">
        <f>IFERROR(__xludf.DUMMYFUNCTION("""COMPUTED_VALUE"""),"DD Name (14)")</f>
        <v>DD Name (14)</v>
      </c>
      <c r="H1" s="1" t="str">
        <f>IFERROR(__xludf.DUMMYFUNCTION("""COMPUTED_VALUE"""),"ID CM (10)")</f>
        <v>ID CM (10)</v>
      </c>
      <c r="I1" s="1" t="str">
        <f>IFERROR(__xludf.DUMMYFUNCTION("""COMPUTED_VALUE"""),"CM Name (11)")</f>
        <v>CM Name (11)</v>
      </c>
      <c r="J1" s="1" t="str">
        <f>IFERROR(__xludf.DUMMYFUNCTION("""COMPUTED_VALUE"""),"ID AMM (22)")</f>
        <v>ID AMM (22)</v>
      </c>
      <c r="K1" s="3" t="str">
        <f>IFERROR(__xludf.DUMMYFUNCTION("""COMPUTED_VALUE"""),"AMM MTN (23)")</f>
        <v>AMM MTN (23)</v>
      </c>
      <c r="L1" s="1" t="str">
        <f>IFERROR(__xludf.DUMMYFUNCTION("""COMPUTED_VALUE"""),"AMM MTN DUMMY")</f>
        <v>AMM MTN DUMMY</v>
      </c>
      <c r="M1" s="1" t="str">
        <f>IFERROR(__xludf.DUMMYFUNCTION("""COMPUTED_VALUE"""),"Tel AMM")</f>
        <v>Tel AMM</v>
      </c>
      <c r="N1" s="3" t="str">
        <f>IFERROR(__xludf.DUMMYFUNCTION("""COMPUTED_VALUE"""),"HUB CODE (17)")</f>
        <v>HUB CODE (17)</v>
      </c>
      <c r="O1" s="3" t="str">
        <f>IFERROR(__xludf.DUMMYFUNCTION("""COMPUTED_VALUE"""),"HUB (18)")</f>
        <v>HUB (18)</v>
      </c>
      <c r="P1" s="3" t="str">
        <f>IFERROR(__xludf.DUMMYFUNCTION("""COMPUTED_VALUE"""),"Date Open Store")</f>
        <v>Date Open Store</v>
      </c>
      <c r="Q1" s="3" t="str">
        <f>IFERROR(__xludf.DUMMYFUNCTION("""COMPUTED_VALUE"""),"Status")</f>
        <v>Status</v>
      </c>
      <c r="R1" s="3" t="str">
        <f>IFERROR(__xludf.DUMMYFUNCTION("""COMPUTED_VALUE"""),"FlowType_Format")</f>
        <v>FlowType_Format</v>
      </c>
      <c r="S1" s="3" t="str">
        <f>IFERROR(__xludf.DUMMYFUNCTION("""COMPUTED_VALUE"""),"BU")</f>
        <v>BU</v>
      </c>
      <c r="T1" s="3" t="str">
        <f>IFERROR(__xludf.DUMMYFUNCTION("""COMPUTED_VALUE"""),"BCM DM Region")</f>
        <v>BCM DM Region</v>
      </c>
      <c r="U1" s="3" t="str">
        <f>IFERROR(__xludf.DUMMYFUNCTION("""COMPUTED_VALUE"""),"BCM CM Region")</f>
        <v>BCM CM Region</v>
      </c>
      <c r="V1" s="3" t="str">
        <f>IFERROR(__xludf.DUMMYFUNCTION("""COMPUTED_VALUE"""),"FC Flag(Y/N)")</f>
        <v>FC Flag(Y/N)</v>
      </c>
      <c r="W1" s="3" t="str">
        <f>IFERROR(__xludf.DUMMYFUNCTION("""COMPUTED_VALUE"""),"Oracle Code")</f>
        <v>Oracle Code</v>
      </c>
      <c r="X1" s="3" t="str">
        <f>IFERROR(__xludf.DUMMYFUNCTION("""COMPUTED_VALUE"""),"Address (4)")</f>
        <v>Address (4)</v>
      </c>
      <c r="Y1" s="3" t="str">
        <f>IFERROR(__xludf.DUMMYFUNCTION("""COMPUTED_VALUE"""),"ถนน")</f>
        <v>ถนน</v>
      </c>
      <c r="Z1" s="3" t="str">
        <f>IFERROR(__xludf.DUMMYFUNCTION("""COMPUTED_VALUE"""),"ตำบล")</f>
        <v>ตำบล</v>
      </c>
      <c r="AA1" s="3" t="str">
        <f>IFERROR(__xludf.DUMMYFUNCTION("""COMPUTED_VALUE"""),"District")</f>
        <v>District</v>
      </c>
      <c r="AB1" s="3" t="str">
        <f>IFERROR(__xludf.DUMMYFUNCTION("""COMPUTED_VALUE"""),"Province")</f>
        <v>Province</v>
      </c>
      <c r="AC1" s="3" t="str">
        <f>IFERROR(__xludf.DUMMYFUNCTION("""COMPUTED_VALUE"""),"Postal Code")</f>
        <v>Postal Code</v>
      </c>
      <c r="AD1" s="3" t="str">
        <f>IFERROR(__xludf.DUMMYFUNCTION("""COMPUTED_VALUE"""),"Latitude")</f>
        <v>Latitude</v>
      </c>
      <c r="AE1" s="3" t="str">
        <f>IFERROR(__xludf.DUMMYFUNCTION("""COMPUTED_VALUE"""),"Longitude")</f>
        <v>Longitude</v>
      </c>
      <c r="AF1" s="3" t="str">
        <f>IFERROR(__xludf.DUMMYFUNCTION("""COMPUTED_VALUE"""),"store name - code")</f>
        <v>store name - code</v>
      </c>
      <c r="AG1" s="3" t="str">
        <f>IFERROR(__xludf.DUMMYFUNCTION("""COMPUTED_VALUE"""),"ภูมิภาค")</f>
        <v>ภูมิภาค</v>
      </c>
      <c r="AH1" s="3" t="str">
        <f>IFERROR(__xludf.DUMMYFUNCTION("""COMPUTED_VALUE"""),"VP Opts")</f>
        <v>VP Opts</v>
      </c>
      <c r="AI1" s="3" t="str">
        <f>IFERROR(__xludf.DUMMYFUNCTION("""COMPUTED_VALUE"""),"Contract")</f>
        <v>Contract</v>
      </c>
      <c r="AJ1" s="3" t="str">
        <f>IFERROR(__xludf.DUMMYFUNCTION("""COMPUTED_VALUE"""),"Already open Month")</f>
        <v>Already open Month</v>
      </c>
      <c r="AK1" s="3" t="str">
        <f>IFERROR(__xludf.DUMMYFUNCTION("""COMPUTED_VALUE"""),"MMS Team")</f>
        <v>MMS Team</v>
      </c>
      <c r="AL1" s="3" t="str">
        <f>IFERROR(__xludf.DUMMYFUNCTION("""COMPUTED_VALUE"""),"e-mail SGM")</f>
        <v>e-mail SGM</v>
      </c>
    </row>
    <row r="2" ht="15.75" customHeight="1">
      <c r="A2" s="1" t="str">
        <f>IFERROR(__xludf.DUMMYFUNCTION("""COMPUTED_VALUE"""),"11101")</f>
        <v>11101</v>
      </c>
      <c r="B2" s="2">
        <f>IFERROR(__xludf.DUMMYFUNCTION("""COMPUTED_VALUE"""),11101.0)</f>
        <v>11101</v>
      </c>
      <c r="C2" s="3" t="str">
        <f>IFERROR(__xludf.DUMMYFUNCTION("""COMPUTED_VALUE"""),"วงศ์สว่าง")</f>
        <v>วงศ์สว่าง</v>
      </c>
      <c r="D2" s="3" t="str">
        <f>IFERROR(__xludf.DUMMYFUNCTION("""COMPUTED_VALUE"""),"BIGC WONGSAWANG")</f>
        <v>BIGC WONGSAWANG</v>
      </c>
      <c r="E2" s="1" t="str">
        <f>IFERROR(__xludf.DUMMYFUNCTION("""COMPUTED_VALUE"""),"บิ๊กซี HyperMarket")</f>
        <v>บิ๊กซี HyperMarket</v>
      </c>
      <c r="F2" s="1" t="str">
        <f>IFERROR(__xludf.DUMMYFUNCTION("""COMPUTED_VALUE"""),"2454701")</f>
        <v>2454701</v>
      </c>
      <c r="G2" s="1" t="str">
        <f>IFERROR(__xludf.DUMMYFUNCTION("""COMPUTED_VALUE"""),"นายกานต์ ไชยแสงศรี")</f>
        <v>นายกานต์ ไชยแสงศรี</v>
      </c>
      <c r="H2" s="1" t="str">
        <f>IFERROR(__xludf.DUMMYFUNCTION("""COMPUTED_VALUE"""),"2454701")</f>
        <v>2454701</v>
      </c>
      <c r="I2" s="1" t="str">
        <f>IFERROR(__xludf.DUMMYFUNCTION("""COMPUTED_VALUE"""),"นายกานต์ ไชยแสงศรี")</f>
        <v>นายกานต์ ไชยแสงศรี</v>
      </c>
      <c r="J2" s="3">
        <f>IFERROR(__xludf.DUMMYFUNCTION("""COMPUTED_VALUE"""),2454701.0)</f>
        <v>2454701</v>
      </c>
      <c r="K2" s="3" t="str">
        <f>IFERROR(__xludf.DUMMYFUNCTION("""COMPUTED_VALUE"""),"นายกานต์ ไชยแสงศรี")</f>
        <v>นายกานต์ ไชยแสงศรี</v>
      </c>
      <c r="L2" s="1" t="str">
        <f>IFERROR(__xludf.DUMMYFUNCTION("""COMPUTED_VALUE"""),"Hub01-BKK 1")</f>
        <v>Hub01-BKK 1</v>
      </c>
      <c r="M2" s="1" t="str">
        <f>IFERROR(__xludf.DUMMYFUNCTION("""COMPUTED_VALUE"""),"0909090652")</f>
        <v>0909090652</v>
      </c>
      <c r="N2" s="3">
        <f>IFERROR(__xludf.DUMMYFUNCTION("""COMPUTED_VALUE"""),11101.0)</f>
        <v>11101</v>
      </c>
      <c r="O2" s="3" t="str">
        <f>IFERROR(__xludf.DUMMYFUNCTION("""COMPUTED_VALUE"""),"วงศ์สว่าง")</f>
        <v>วงศ์สว่าง</v>
      </c>
      <c r="P2" s="4">
        <f>IFERROR(__xludf.DUMMYFUNCTION("""COMPUTED_VALUE"""),34943.0)</f>
        <v>34943</v>
      </c>
      <c r="Q2" s="3" t="str">
        <f>IFERROR(__xludf.DUMMYFUNCTION("""COMPUTED_VALUE"""),"A")</f>
        <v>A</v>
      </c>
      <c r="R2" s="3" t="str">
        <f>IFERROR(__xludf.DUMMYFUNCTION("""COMPUTED_VALUE"""),"Big Format")</f>
        <v>Big Format</v>
      </c>
      <c r="S2" s="3" t="str">
        <f>IFERROR(__xludf.DUMMYFUNCTION("""COMPUTED_VALUE"""),"Hyper")</f>
        <v>Hyper</v>
      </c>
      <c r="T2" s="3" t="str">
        <f>IFERROR(__xludf.DUMMYFUNCTION("""COMPUTED_VALUE"""),"Hub01-BKK 1")</f>
        <v>Hub01-BKK 1</v>
      </c>
      <c r="U2" s="3" t="str">
        <f>IFERROR(__xludf.DUMMYFUNCTION("""COMPUTED_VALUE"""),"Hub01-BKK 1")</f>
        <v>Hub01-BKK 1</v>
      </c>
      <c r="V2" s="3" t="str">
        <f>IFERROR(__xludf.DUMMYFUNCTION("""COMPUTED_VALUE"""),"N")</f>
        <v>N</v>
      </c>
      <c r="W2" s="3">
        <f>IFERROR(__xludf.DUMMYFUNCTION("""COMPUTED_VALUE"""),111101.0)</f>
        <v>111101</v>
      </c>
      <c r="X2" s="3" t="str">
        <f>IFERROR(__xludf.DUMMYFUNCTION("""COMPUTED_VALUE"""),"888 ถนนพิบูลสงคราม แขวงบางซื่อ เขตบางซื่อ กรุงเทพฯ 10800")</f>
        <v>888 ถนนพิบูลสงคราม แขวงบางซื่อ เขตบางซื่อ กรุงเทพฯ 10800</v>
      </c>
      <c r="Y2" s="3" t="str">
        <f>IFERROR(__xludf.DUMMYFUNCTION("""COMPUTED_VALUE"""),"ถนนพิบูลสงคราม")</f>
        <v>ถนนพิบูลสงคราม</v>
      </c>
      <c r="Z2" s="3" t="str">
        <f>IFERROR(__xludf.DUMMYFUNCTION("""COMPUTED_VALUE"""),"บางซื่อ")</f>
        <v>บางซื่อ</v>
      </c>
      <c r="AA2" s="3" t="str">
        <f>IFERROR(__xludf.DUMMYFUNCTION("""COMPUTED_VALUE"""),"บางซื่อ")</f>
        <v>บางซื่อ</v>
      </c>
      <c r="AB2" s="3" t="str">
        <f>IFERROR(__xludf.DUMMYFUNCTION("""COMPUTED_VALUE"""),"กรุงเทพมหานคร")</f>
        <v>กรุงเทพมหานคร</v>
      </c>
      <c r="AC2" s="3">
        <f>IFERROR(__xludf.DUMMYFUNCTION("""COMPUTED_VALUE"""),10800.0)</f>
        <v>10800</v>
      </c>
      <c r="AD2" s="3">
        <f>IFERROR(__xludf.DUMMYFUNCTION("""COMPUTED_VALUE"""),13.826595)</f>
        <v>13.826595</v>
      </c>
      <c r="AE2" s="3">
        <f>IFERROR(__xludf.DUMMYFUNCTION("""COMPUTED_VALUE"""),100.528367)</f>
        <v>100.528367</v>
      </c>
      <c r="AF2" s="3" t="str">
        <f>IFERROR(__xludf.DUMMYFUNCTION("""COMPUTED_VALUE"""),"วงศ์สว่าง-11101")</f>
        <v>วงศ์สว่าง-11101</v>
      </c>
      <c r="AG2" s="3" t="str">
        <f>IFERROR(__xludf.DUMMYFUNCTION("""COMPUTED_VALUE"""),"กลาง")</f>
        <v>กลาง</v>
      </c>
      <c r="AH2" s="3" t="str">
        <f>IFERROR(__xludf.DUMMYFUNCTION("""COMPUTED_VALUE"""),"Suchin Thawinwisan")</f>
        <v>Suchin Thawinwisan</v>
      </c>
      <c r="AI2" s="3" t="str">
        <f>IFERROR(__xludf.DUMMYFUNCTION("""COMPUTED_VALUE"""),"Out of warranty")</f>
        <v>Out of warranty</v>
      </c>
      <c r="AJ2" s="3">
        <f>IFERROR(__xludf.DUMMYFUNCTION("""COMPUTED_VALUE"""),365.0)</f>
        <v>365</v>
      </c>
      <c r="AK2" s="3"/>
      <c r="AL2" s="3" t="str">
        <f>IFERROR(__xludf.DUMMYFUNCTION("""COMPUTED_VALUE"""),"sgm.wongsawang@bigc.co.th")</f>
        <v>sgm.wongsawang@bigc.co.th</v>
      </c>
    </row>
    <row r="3" ht="15.75" customHeight="1">
      <c r="A3" s="1" t="str">
        <f>IFERROR(__xludf.DUMMYFUNCTION("""COMPUTED_VALUE"""),"11102")</f>
        <v>11102</v>
      </c>
      <c r="B3" s="2">
        <f>IFERROR(__xludf.DUMMYFUNCTION("""COMPUTED_VALUE"""),11102.0)</f>
        <v>11102</v>
      </c>
      <c r="C3" s="3" t="str">
        <f>IFERROR(__xludf.DUMMYFUNCTION("""COMPUTED_VALUE"""),"แจ้งวัฒนะ")</f>
        <v>แจ้งวัฒนะ</v>
      </c>
      <c r="D3" s="3" t="str">
        <f>IFERROR(__xludf.DUMMYFUNCTION("""COMPUTED_VALUE"""),"BIGC CHAENGWATTHANA")</f>
        <v>BIGC CHAENGWATTHANA</v>
      </c>
      <c r="E3" s="1" t="str">
        <f>IFERROR(__xludf.DUMMYFUNCTION("""COMPUTED_VALUE"""),"บิ๊กซี HyperMarket")</f>
        <v>บิ๊กซี HyperMarket</v>
      </c>
      <c r="F3" s="1" t="str">
        <f>IFERROR(__xludf.DUMMYFUNCTION("""COMPUTED_VALUE"""),"2454701")</f>
        <v>2454701</v>
      </c>
      <c r="G3" s="1" t="str">
        <f>IFERROR(__xludf.DUMMYFUNCTION("""COMPUTED_VALUE"""),"นายกานต์ ไชยแสงศรี")</f>
        <v>นายกานต์ ไชยแสงศรี</v>
      </c>
      <c r="H3" s="1" t="str">
        <f>IFERROR(__xludf.DUMMYFUNCTION("""COMPUTED_VALUE"""),"2454701")</f>
        <v>2454701</v>
      </c>
      <c r="I3" s="1" t="str">
        <f>IFERROR(__xludf.DUMMYFUNCTION("""COMPUTED_VALUE"""),"นายกานต์ ไชยแสงศรี")</f>
        <v>นายกานต์ ไชยแสงศรี</v>
      </c>
      <c r="J3" s="3">
        <f>IFERROR(__xludf.DUMMYFUNCTION("""COMPUTED_VALUE"""),2454701.0)</f>
        <v>2454701</v>
      </c>
      <c r="K3" s="3" t="str">
        <f>IFERROR(__xludf.DUMMYFUNCTION("""COMPUTED_VALUE"""),"นายกานต์ ไชยแสงศรี")</f>
        <v>นายกานต์ ไชยแสงศรี</v>
      </c>
      <c r="L3" s="1" t="str">
        <f>IFERROR(__xludf.DUMMYFUNCTION("""COMPUTED_VALUE"""),"Hub01-BKK 1")</f>
        <v>Hub01-BKK 1</v>
      </c>
      <c r="M3" s="1" t="str">
        <f>IFERROR(__xludf.DUMMYFUNCTION("""COMPUTED_VALUE"""),"0909090652")</f>
        <v>0909090652</v>
      </c>
      <c r="N3" s="3">
        <f>IFERROR(__xludf.DUMMYFUNCTION("""COMPUTED_VALUE"""),11102.0)</f>
        <v>11102</v>
      </c>
      <c r="O3" s="3" t="str">
        <f>IFERROR(__xludf.DUMMYFUNCTION("""COMPUTED_VALUE"""),"แจ้งวัฒนะ")</f>
        <v>แจ้งวัฒนะ</v>
      </c>
      <c r="P3" s="4">
        <f>IFERROR(__xludf.DUMMYFUNCTION("""COMPUTED_VALUE"""),34349.0)</f>
        <v>34349</v>
      </c>
      <c r="Q3" s="3" t="str">
        <f>IFERROR(__xludf.DUMMYFUNCTION("""COMPUTED_VALUE"""),"A")</f>
        <v>A</v>
      </c>
      <c r="R3" s="3" t="str">
        <f>IFERROR(__xludf.DUMMYFUNCTION("""COMPUTED_VALUE"""),"Big Format")</f>
        <v>Big Format</v>
      </c>
      <c r="S3" s="3" t="str">
        <f>IFERROR(__xludf.DUMMYFUNCTION("""COMPUTED_VALUE"""),"Hyper")</f>
        <v>Hyper</v>
      </c>
      <c r="T3" s="3" t="str">
        <f>IFERROR(__xludf.DUMMYFUNCTION("""COMPUTED_VALUE"""),"Hub01-BKK 1")</f>
        <v>Hub01-BKK 1</v>
      </c>
      <c r="U3" s="3" t="str">
        <f>IFERROR(__xludf.DUMMYFUNCTION("""COMPUTED_VALUE"""),"Hub01-BKK 1")</f>
        <v>Hub01-BKK 1</v>
      </c>
      <c r="V3" s="3" t="str">
        <f>IFERROR(__xludf.DUMMYFUNCTION("""COMPUTED_VALUE"""),"N")</f>
        <v>N</v>
      </c>
      <c r="W3" s="3">
        <f>IFERROR(__xludf.DUMMYFUNCTION("""COMPUTED_VALUE"""),111102.0)</f>
        <v>111102</v>
      </c>
      <c r="X3" s="3" t="str">
        <f>IFERROR(__xludf.DUMMYFUNCTION("""COMPUTED_VALUE"""),"96 หมู่ที่ 1 แขวงทุ่งสองห้อง เขตหลักสี่ กรุงเทพฯ 10210")</f>
        <v>96 หมู่ที่ 1 แขวงทุ่งสองห้อง เขตหลักสี่ กรุงเทพฯ 10210</v>
      </c>
      <c r="Y3" s="3"/>
      <c r="Z3" s="3" t="str">
        <f>IFERROR(__xludf.DUMMYFUNCTION("""COMPUTED_VALUE"""),"ทุ่งสองห้อง")</f>
        <v>ทุ่งสองห้อง</v>
      </c>
      <c r="AA3" s="3" t="str">
        <f>IFERROR(__xludf.DUMMYFUNCTION("""COMPUTED_VALUE"""),"หลักสี่")</f>
        <v>หลักสี่</v>
      </c>
      <c r="AB3" s="3" t="str">
        <f>IFERROR(__xludf.DUMMYFUNCTION("""COMPUTED_VALUE"""),"กรุงเทพมหานคร")</f>
        <v>กรุงเทพมหานคร</v>
      </c>
      <c r="AC3" s="3">
        <f>IFERROR(__xludf.DUMMYFUNCTION("""COMPUTED_VALUE"""),10210.0)</f>
        <v>10210</v>
      </c>
      <c r="AD3" s="3">
        <f>IFERROR(__xludf.DUMMYFUNCTION("""COMPUTED_VALUE"""),13.89436893)</f>
        <v>13.89436893</v>
      </c>
      <c r="AE3" s="3">
        <f>IFERROR(__xludf.DUMMYFUNCTION("""COMPUTED_VALUE"""),100.5601251)</f>
        <v>100.5601251</v>
      </c>
      <c r="AF3" s="3" t="str">
        <f>IFERROR(__xludf.DUMMYFUNCTION("""COMPUTED_VALUE"""),"แจ้งวัฒนะ-11102")</f>
        <v>แจ้งวัฒนะ-11102</v>
      </c>
      <c r="AG3" s="3" t="str">
        <f>IFERROR(__xludf.DUMMYFUNCTION("""COMPUTED_VALUE"""),"กลาง")</f>
        <v>กลาง</v>
      </c>
      <c r="AH3" s="3" t="str">
        <f>IFERROR(__xludf.DUMMYFUNCTION("""COMPUTED_VALUE"""),"Suchin Thawinwisan")</f>
        <v>Suchin Thawinwisan</v>
      </c>
      <c r="AI3" s="3" t="str">
        <f>IFERROR(__xludf.DUMMYFUNCTION("""COMPUTED_VALUE"""),"Out of warranty")</f>
        <v>Out of warranty</v>
      </c>
      <c r="AJ3" s="3">
        <f>IFERROR(__xludf.DUMMYFUNCTION("""COMPUTED_VALUE"""),385.0)</f>
        <v>385</v>
      </c>
      <c r="AK3" s="3"/>
      <c r="AL3" s="3" t="str">
        <f>IFERROR(__xludf.DUMMYFUNCTION("""COMPUTED_VALUE"""),"sgm.chaengwattana@bigc.co.th")</f>
        <v>sgm.chaengwattana@bigc.co.th</v>
      </c>
    </row>
    <row r="4" ht="15.75" customHeight="1">
      <c r="A4" s="1" t="str">
        <f>IFERROR(__xludf.DUMMYFUNCTION("""COMPUTED_VALUE"""),"11103")</f>
        <v>11103</v>
      </c>
      <c r="B4" s="2">
        <f>IFERROR(__xludf.DUMMYFUNCTION("""COMPUTED_VALUE"""),11103.0)</f>
        <v>11103</v>
      </c>
      <c r="C4" s="3" t="str">
        <f>IFERROR(__xludf.DUMMYFUNCTION("""COMPUTED_VALUE"""),"ราษฎร์บูรณะ")</f>
        <v>ราษฎร์บูรณะ</v>
      </c>
      <c r="D4" s="3" t="str">
        <f>IFERROR(__xludf.DUMMYFUNCTION("""COMPUTED_VALUE"""),"BIGC RADBURANA")</f>
        <v>BIGC RADBURANA</v>
      </c>
      <c r="E4" s="1" t="str">
        <f>IFERROR(__xludf.DUMMYFUNCTION("""COMPUTED_VALUE"""),"บิ๊กซี HyperMarket")</f>
        <v>บิ๊กซี HyperMarket</v>
      </c>
      <c r="F4" s="1" t="str">
        <f>IFERROR(__xludf.DUMMYFUNCTION("""COMPUTED_VALUE"""),"02408546")</f>
        <v>02408546</v>
      </c>
      <c r="G4" s="1" t="str">
        <f>IFERROR(__xludf.DUMMYFUNCTION("""COMPUTED_VALUE"""),"นายเกษมศิษฐ์ ฮดบุญเรือง")</f>
        <v>นายเกษมศิษฐ์ ฮดบุญเรือง</v>
      </c>
      <c r="H4" s="1" t="str">
        <f>IFERROR(__xludf.DUMMYFUNCTION("""COMPUTED_VALUE"""),"02408546")</f>
        <v>02408546</v>
      </c>
      <c r="I4" s="1" t="str">
        <f>IFERROR(__xludf.DUMMYFUNCTION("""COMPUTED_VALUE"""),"นายเกษมศิษฐ์ ฮดบุญเรือง")</f>
        <v>นายเกษมศิษฐ์ ฮดบุญเรือง</v>
      </c>
      <c r="J4" s="3">
        <f>IFERROR(__xludf.DUMMYFUNCTION("""COMPUTED_VALUE"""),2408546.0)</f>
        <v>2408546</v>
      </c>
      <c r="K4" s="3" t="str">
        <f>IFERROR(__xludf.DUMMYFUNCTION("""COMPUTED_VALUE"""),"นายเกษมศิษฐ์ ฮดบุญเรือง")</f>
        <v>นายเกษมศิษฐ์ ฮดบุญเรือง</v>
      </c>
      <c r="L4" s="1" t="str">
        <f>IFERROR(__xludf.DUMMYFUNCTION("""COMPUTED_VALUE"""),"Hub02-BKK 2")</f>
        <v>Hub02-BKK 2</v>
      </c>
      <c r="M4" s="1" t="str">
        <f>IFERROR(__xludf.DUMMYFUNCTION("""COMPUTED_VALUE"""),"0988580755")</f>
        <v>0988580755</v>
      </c>
      <c r="N4" s="3">
        <f>IFERROR(__xludf.DUMMYFUNCTION("""COMPUTED_VALUE"""),11103.0)</f>
        <v>11103</v>
      </c>
      <c r="O4" s="3" t="str">
        <f>IFERROR(__xludf.DUMMYFUNCTION("""COMPUTED_VALUE"""),"ราษฎร์บูรณะ")</f>
        <v>ราษฎร์บูรณะ</v>
      </c>
      <c r="P4" s="4">
        <f>IFERROR(__xludf.DUMMYFUNCTION("""COMPUTED_VALUE"""),34663.0)</f>
        <v>34663</v>
      </c>
      <c r="Q4" s="3" t="str">
        <f>IFERROR(__xludf.DUMMYFUNCTION("""COMPUTED_VALUE"""),"I")</f>
        <v>I</v>
      </c>
      <c r="R4" s="3" t="str">
        <f>IFERROR(__xludf.DUMMYFUNCTION("""COMPUTED_VALUE"""),"Big Format")</f>
        <v>Big Format</v>
      </c>
      <c r="S4" s="3" t="str">
        <f>IFERROR(__xludf.DUMMYFUNCTION("""COMPUTED_VALUE"""),"Hyper")</f>
        <v>Hyper</v>
      </c>
      <c r="T4" s="3" t="str">
        <f>IFERROR(__xludf.DUMMYFUNCTION("""COMPUTED_VALUE"""),"Hub02-BKK 2")</f>
        <v>Hub02-BKK 2</v>
      </c>
      <c r="U4" s="3" t="str">
        <f>IFERROR(__xludf.DUMMYFUNCTION("""COMPUTED_VALUE"""),"Hub02-BKK 2")</f>
        <v>Hub02-BKK 2</v>
      </c>
      <c r="V4" s="3" t="str">
        <f>IFERROR(__xludf.DUMMYFUNCTION("""COMPUTED_VALUE"""),"N")</f>
        <v>N</v>
      </c>
      <c r="W4" s="3">
        <f>IFERROR(__xludf.DUMMYFUNCTION("""COMPUTED_VALUE"""),111103.0)</f>
        <v>111103</v>
      </c>
      <c r="X4" s="3" t="str">
        <f>IFERROR(__xludf.DUMMYFUNCTION("""COMPUTED_VALUE"""),"201 ถนนราษฎร์บูรณะ แขวงบางปะกอก เขตราษฏร์บูรณะ กรุงเทพฯ 10140")</f>
        <v>201 ถนนราษฎร์บูรณะ แขวงบางปะกอก เขตราษฏร์บูรณะ กรุงเทพฯ 10140</v>
      </c>
      <c r="Y4" s="3" t="str">
        <f>IFERROR(__xludf.DUMMYFUNCTION("""COMPUTED_VALUE"""),"ถนนราษฎร์บูรณะ")</f>
        <v>ถนนราษฎร์บูรณะ</v>
      </c>
      <c r="Z4" s="3" t="str">
        <f>IFERROR(__xludf.DUMMYFUNCTION("""COMPUTED_VALUE"""),"บางปะกอก")</f>
        <v>บางปะกอก</v>
      </c>
      <c r="AA4" s="3" t="str">
        <f>IFERROR(__xludf.DUMMYFUNCTION("""COMPUTED_VALUE"""),"ราษฏร์บูรณะ")</f>
        <v>ราษฏร์บูรณะ</v>
      </c>
      <c r="AB4" s="3" t="str">
        <f>IFERROR(__xludf.DUMMYFUNCTION("""COMPUTED_VALUE"""),"กรุงเทพมหานคร")</f>
        <v>กรุงเทพมหานคร</v>
      </c>
      <c r="AC4" s="3">
        <f>IFERROR(__xludf.DUMMYFUNCTION("""COMPUTED_VALUE"""),10140.0)</f>
        <v>10140</v>
      </c>
      <c r="AD4" s="3">
        <f>IFERROR(__xludf.DUMMYFUNCTION("""COMPUTED_VALUE"""),13.683474)</f>
        <v>13.683474</v>
      </c>
      <c r="AE4" s="3">
        <f>IFERROR(__xludf.DUMMYFUNCTION("""COMPUTED_VALUE"""),100.500155)</f>
        <v>100.500155</v>
      </c>
      <c r="AF4" s="3" t="str">
        <f>IFERROR(__xludf.DUMMYFUNCTION("""COMPUTED_VALUE"""),"ราษฎร์บูรณะ-11103")</f>
        <v>ราษฎร์บูรณะ-11103</v>
      </c>
      <c r="AG4" s="3" t="str">
        <f>IFERROR(__xludf.DUMMYFUNCTION("""COMPUTED_VALUE"""),"กลาง")</f>
        <v>กลาง</v>
      </c>
      <c r="AH4" s="3" t="str">
        <f>IFERROR(__xludf.DUMMYFUNCTION("""COMPUTED_VALUE"""),"#N/A")</f>
        <v>#N/A</v>
      </c>
      <c r="AI4" s="3" t="str">
        <f>IFERROR(__xludf.DUMMYFUNCTION("""COMPUTED_VALUE"""),"Out of warranty")</f>
        <v>Out of warranty</v>
      </c>
      <c r="AJ4" s="3">
        <f>IFERROR(__xludf.DUMMYFUNCTION("""COMPUTED_VALUE"""),374.0)</f>
        <v>374</v>
      </c>
      <c r="AK4" s="3"/>
      <c r="AL4" s="3" t="str">
        <f>IFERROR(__xludf.DUMMYFUNCTION("""COMPUTED_VALUE"""),"sgm.ratburana@bigc.co.th")</f>
        <v>sgm.ratburana@bigc.co.th</v>
      </c>
    </row>
    <row r="5" ht="15.75" customHeight="1">
      <c r="A5" s="1" t="str">
        <f>IFERROR(__xludf.DUMMYFUNCTION("""COMPUTED_VALUE"""),"11104")</f>
        <v>11104</v>
      </c>
      <c r="B5" s="2">
        <f>IFERROR(__xludf.DUMMYFUNCTION("""COMPUTED_VALUE"""),11104.0)</f>
        <v>11104</v>
      </c>
      <c r="C5" s="3" t="str">
        <f>IFERROR(__xludf.DUMMYFUNCTION("""COMPUTED_VALUE"""),"พัทยา")</f>
        <v>พัทยา</v>
      </c>
      <c r="D5" s="3" t="str">
        <f>IFERROR(__xludf.DUMMYFUNCTION("""COMPUTED_VALUE"""),"BIGC PATTAYA")</f>
        <v>BIGC PATTAYA</v>
      </c>
      <c r="E5" s="1" t="str">
        <f>IFERROR(__xludf.DUMMYFUNCTION("""COMPUTED_VALUE"""),"บิ๊กซี HyperMarket")</f>
        <v>บิ๊กซี HyperMarket</v>
      </c>
      <c r="F5" s="1" t="str">
        <f>IFERROR(__xludf.DUMMYFUNCTION("""COMPUTED_VALUE"""),"2455164")</f>
        <v>2455164</v>
      </c>
      <c r="G5" s="1" t="str">
        <f>IFERROR(__xludf.DUMMYFUNCTION("""COMPUTED_VALUE"""),"นายกรวิทย์ เจริญพร")</f>
        <v>นายกรวิทย์ เจริญพร</v>
      </c>
      <c r="H5" s="1" t="str">
        <f>IFERROR(__xludf.DUMMYFUNCTION("""COMPUTED_VALUE"""),"2455164")</f>
        <v>2455164</v>
      </c>
      <c r="I5" s="1" t="str">
        <f>IFERROR(__xludf.DUMMYFUNCTION("""COMPUTED_VALUE"""),"นายกรวิทย์ เจริญพร")</f>
        <v>นายกรวิทย์ เจริญพร</v>
      </c>
      <c r="J5" s="3">
        <f>IFERROR(__xludf.DUMMYFUNCTION("""COMPUTED_VALUE"""),2455164.0)</f>
        <v>2455164</v>
      </c>
      <c r="K5" s="3" t="str">
        <f>IFERROR(__xludf.DUMMYFUNCTION("""COMPUTED_VALUE"""),"นายกรวิทย์ เจริญพร")</f>
        <v>นายกรวิทย์ เจริญพร</v>
      </c>
      <c r="L5" s="1" t="str">
        <f>IFERROR(__xludf.DUMMYFUNCTION("""COMPUTED_VALUE"""),"Hub08-East")</f>
        <v>Hub08-East</v>
      </c>
      <c r="M5" s="1" t="str">
        <f>IFERROR(__xludf.DUMMYFUNCTION("""COMPUTED_VALUE"""),"092-605-9922")</f>
        <v>092-605-9922</v>
      </c>
      <c r="N5" s="3">
        <f>IFERROR(__xludf.DUMMYFUNCTION("""COMPUTED_VALUE"""),11104.0)</f>
        <v>11104</v>
      </c>
      <c r="O5" s="3" t="str">
        <f>IFERROR(__xludf.DUMMYFUNCTION("""COMPUTED_VALUE"""),"พัทยา")</f>
        <v>พัทยา</v>
      </c>
      <c r="P5" s="4">
        <f>IFERROR(__xludf.DUMMYFUNCTION("""COMPUTED_VALUE"""),34867.0)</f>
        <v>34867</v>
      </c>
      <c r="Q5" s="3" t="str">
        <f>IFERROR(__xludf.DUMMYFUNCTION("""COMPUTED_VALUE"""),"A")</f>
        <v>A</v>
      </c>
      <c r="R5" s="3" t="str">
        <f>IFERROR(__xludf.DUMMYFUNCTION("""COMPUTED_VALUE"""),"Big Format")</f>
        <v>Big Format</v>
      </c>
      <c r="S5" s="3" t="str">
        <f>IFERROR(__xludf.DUMMYFUNCTION("""COMPUTED_VALUE"""),"Hyper")</f>
        <v>Hyper</v>
      </c>
      <c r="T5" s="3" t="str">
        <f>IFERROR(__xludf.DUMMYFUNCTION("""COMPUTED_VALUE"""),"Hub08-East")</f>
        <v>Hub08-East</v>
      </c>
      <c r="U5" s="3" t="str">
        <f>IFERROR(__xludf.DUMMYFUNCTION("""COMPUTED_VALUE"""),"Hub08-East")</f>
        <v>Hub08-East</v>
      </c>
      <c r="V5" s="3" t="str">
        <f>IFERROR(__xludf.DUMMYFUNCTION("""COMPUTED_VALUE"""),"N")</f>
        <v>N</v>
      </c>
      <c r="W5" s="3">
        <f>IFERROR(__xludf.DUMMYFUNCTION("""COMPUTED_VALUE"""),111104.0)</f>
        <v>111104</v>
      </c>
      <c r="X5" s="3" t="str">
        <f>IFERROR(__xludf.DUMMYFUNCTION("""COMPUTED_VALUE"""),"78/12 หมู่ที่ 9 ถนนพัทยาสาย2 ตำบลหนองปรือ อำเภอบางละมุง จังหวัดชลบุรี 20150")</f>
        <v>78/12 หมู่ที่ 9 ถนนพัทยาสาย2 ตำบลหนองปรือ อำเภอบางละมุง จังหวัดชลบุรี 20150</v>
      </c>
      <c r="Y5" s="3"/>
      <c r="Z5" s="3" t="str">
        <f>IFERROR(__xludf.DUMMYFUNCTION("""COMPUTED_VALUE"""),"หนองปรือ")</f>
        <v>หนองปรือ</v>
      </c>
      <c r="AA5" s="3" t="str">
        <f>IFERROR(__xludf.DUMMYFUNCTION("""COMPUTED_VALUE"""),"บางละมุง")</f>
        <v>บางละมุง</v>
      </c>
      <c r="AB5" s="3" t="str">
        <f>IFERROR(__xludf.DUMMYFUNCTION("""COMPUTED_VALUE"""),"ชลบุรี")</f>
        <v>ชลบุรี</v>
      </c>
      <c r="AC5" s="3">
        <f>IFERROR(__xludf.DUMMYFUNCTION("""COMPUTED_VALUE"""),20260.0)</f>
        <v>20260</v>
      </c>
      <c r="AD5" s="3">
        <f>IFERROR(__xludf.DUMMYFUNCTION("""COMPUTED_VALUE"""),12.9455)</f>
        <v>12.9455</v>
      </c>
      <c r="AE5" s="3">
        <f>IFERROR(__xludf.DUMMYFUNCTION("""COMPUTED_VALUE"""),100.891)</f>
        <v>100.891</v>
      </c>
      <c r="AF5" s="3" t="str">
        <f>IFERROR(__xludf.DUMMYFUNCTION("""COMPUTED_VALUE"""),"พัทยา-11104")</f>
        <v>พัทยา-11104</v>
      </c>
      <c r="AG5" s="3" t="str">
        <f>IFERROR(__xludf.DUMMYFUNCTION("""COMPUTED_VALUE"""),"ตะวันออก")</f>
        <v>ตะวันออก</v>
      </c>
      <c r="AH5" s="3" t="str">
        <f>IFERROR(__xludf.DUMMYFUNCTION("""COMPUTED_VALUE"""),"Walaiporn Sutyod")</f>
        <v>Walaiporn Sutyod</v>
      </c>
      <c r="AI5" s="3" t="str">
        <f>IFERROR(__xludf.DUMMYFUNCTION("""COMPUTED_VALUE"""),"Out of warranty")</f>
        <v>Out of warranty</v>
      </c>
      <c r="AJ5" s="3">
        <f>IFERROR(__xludf.DUMMYFUNCTION("""COMPUTED_VALUE"""),368.0)</f>
        <v>368</v>
      </c>
      <c r="AK5" s="3"/>
      <c r="AL5" s="3" t="str">
        <f>IFERROR(__xludf.DUMMYFUNCTION("""COMPUTED_VALUE"""),"sgm.pattaya@bigc.co.th")</f>
        <v>sgm.pattaya@bigc.co.th</v>
      </c>
    </row>
    <row r="6" ht="15.75" customHeight="1">
      <c r="A6" s="1" t="str">
        <f>IFERROR(__xludf.DUMMYFUNCTION("""COMPUTED_VALUE"""),"11106")</f>
        <v>11106</v>
      </c>
      <c r="B6" s="2">
        <f>IFERROR(__xludf.DUMMYFUNCTION("""COMPUTED_VALUE"""),11106.0)</f>
        <v>11106</v>
      </c>
      <c r="C6" s="3" t="str">
        <f>IFERROR(__xludf.DUMMYFUNCTION("""COMPUTED_VALUE"""),"บางพลี")</f>
        <v>บางพลี</v>
      </c>
      <c r="D6" s="3" t="str">
        <f>IFERROR(__xludf.DUMMYFUNCTION("""COMPUTED_VALUE"""),"BIGC BANGPLEE")</f>
        <v>BIGC BANGPLEE</v>
      </c>
      <c r="E6" s="1" t="str">
        <f>IFERROR(__xludf.DUMMYFUNCTION("""COMPUTED_VALUE"""),"บิ๊กซี HyperMarket")</f>
        <v>บิ๊กซี HyperMarket</v>
      </c>
      <c r="F6" s="1" t="str">
        <f>IFERROR(__xludf.DUMMYFUNCTION("""COMPUTED_VALUE"""),"2454813")</f>
        <v>2454813</v>
      </c>
      <c r="G6" s="1" t="str">
        <f>IFERROR(__xludf.DUMMYFUNCTION("""COMPUTED_VALUE"""),"นายอนุรักษ์ จั่นเที่ยง")</f>
        <v>นายอนุรักษ์ จั่นเที่ยง</v>
      </c>
      <c r="H6" s="1" t="str">
        <f>IFERROR(__xludf.DUMMYFUNCTION("""COMPUTED_VALUE"""),"2454813")</f>
        <v>2454813</v>
      </c>
      <c r="I6" s="1" t="str">
        <f>IFERROR(__xludf.DUMMYFUNCTION("""COMPUTED_VALUE"""),"นายอนุรักษ์ จั่นเที่ยง")</f>
        <v>นายอนุรักษ์ จั่นเที่ยง</v>
      </c>
      <c r="J6" s="3">
        <f>IFERROR(__xludf.DUMMYFUNCTION("""COMPUTED_VALUE"""),2454813.0)</f>
        <v>2454813</v>
      </c>
      <c r="K6" s="3" t="str">
        <f>IFERROR(__xludf.DUMMYFUNCTION("""COMPUTED_VALUE"""),"นายอนุรักษ์ จั่นเที่ยง")</f>
        <v>นายอนุรักษ์ จั่นเที่ยง</v>
      </c>
      <c r="L6" s="1" t="str">
        <f>IFERROR(__xludf.DUMMYFUNCTION("""COMPUTED_VALUE"""),"Hub04-BKK 4")</f>
        <v>Hub04-BKK 4</v>
      </c>
      <c r="M6" s="1" t="str">
        <f>IFERROR(__xludf.DUMMYFUNCTION("""COMPUTED_VALUE"""),"0991964531")</f>
        <v>0991964531</v>
      </c>
      <c r="N6" s="3">
        <f>IFERROR(__xludf.DUMMYFUNCTION("""COMPUTED_VALUE"""),11106.0)</f>
        <v>11106</v>
      </c>
      <c r="O6" s="3" t="str">
        <f>IFERROR(__xludf.DUMMYFUNCTION("""COMPUTED_VALUE"""),"บางพลี")</f>
        <v>บางพลี</v>
      </c>
      <c r="P6" s="4">
        <f>IFERROR(__xludf.DUMMYFUNCTION("""COMPUTED_VALUE"""),35096.0)</f>
        <v>35096</v>
      </c>
      <c r="Q6" s="3" t="str">
        <f>IFERROR(__xludf.DUMMYFUNCTION("""COMPUTED_VALUE"""),"A")</f>
        <v>A</v>
      </c>
      <c r="R6" s="3" t="str">
        <f>IFERROR(__xludf.DUMMYFUNCTION("""COMPUTED_VALUE"""),"Big Format")</f>
        <v>Big Format</v>
      </c>
      <c r="S6" s="3" t="str">
        <f>IFERROR(__xludf.DUMMYFUNCTION("""COMPUTED_VALUE"""),"Hyper")</f>
        <v>Hyper</v>
      </c>
      <c r="T6" s="3" t="str">
        <f>IFERROR(__xludf.DUMMYFUNCTION("""COMPUTED_VALUE"""),"Hub04-BKK 4")</f>
        <v>Hub04-BKK 4</v>
      </c>
      <c r="U6" s="3" t="str">
        <f>IFERROR(__xludf.DUMMYFUNCTION("""COMPUTED_VALUE"""),"Hub04-BKK 4")</f>
        <v>Hub04-BKK 4</v>
      </c>
      <c r="V6" s="3" t="str">
        <f>IFERROR(__xludf.DUMMYFUNCTION("""COMPUTED_VALUE"""),"N")</f>
        <v>N</v>
      </c>
      <c r="W6" s="3">
        <f>IFERROR(__xludf.DUMMYFUNCTION("""COMPUTED_VALUE"""),111106.0)</f>
        <v>111106</v>
      </c>
      <c r="X6" s="3" t="str">
        <f>IFERROR(__xludf.DUMMYFUNCTION("""COMPUTED_VALUE"""),"89 หมู่ที่ 9 ถนนเทพารักษ์กิโลเมตร13 ตำบลบางพลีใหญ่ อำเภอบางพลี จังหวัดสมุทรปราการ 10540")</f>
        <v>89 หมู่ที่ 9 ถนนเทพารักษ์กิโลเมตร13 ตำบลบางพลีใหญ่ อำเภอบางพลี จังหวัดสมุทรปราการ 10540</v>
      </c>
      <c r="Y6" s="3"/>
      <c r="Z6" s="3" t="str">
        <f>IFERROR(__xludf.DUMMYFUNCTION("""COMPUTED_VALUE"""),"บางพลีใหญ่")</f>
        <v>บางพลีใหญ่</v>
      </c>
      <c r="AA6" s="3" t="str">
        <f>IFERROR(__xludf.DUMMYFUNCTION("""COMPUTED_VALUE"""),"บางพลี")</f>
        <v>บางพลี</v>
      </c>
      <c r="AB6" s="3" t="str">
        <f>IFERROR(__xludf.DUMMYFUNCTION("""COMPUTED_VALUE"""),"สมุทรปราการ")</f>
        <v>สมุทรปราการ</v>
      </c>
      <c r="AC6" s="3">
        <f>IFERROR(__xludf.DUMMYFUNCTION("""COMPUTED_VALUE"""),10540.0)</f>
        <v>10540</v>
      </c>
      <c r="AD6" s="3">
        <f>IFERROR(__xludf.DUMMYFUNCTION("""COMPUTED_VALUE"""),13.603787)</f>
        <v>13.603787</v>
      </c>
      <c r="AE6" s="3">
        <f>IFERROR(__xludf.DUMMYFUNCTION("""COMPUTED_VALUE"""),100.708007)</f>
        <v>100.708007</v>
      </c>
      <c r="AF6" s="3" t="str">
        <f>IFERROR(__xludf.DUMMYFUNCTION("""COMPUTED_VALUE"""),"บางพลี-11106")</f>
        <v>บางพลี-11106</v>
      </c>
      <c r="AG6" s="3" t="str">
        <f>IFERROR(__xludf.DUMMYFUNCTION("""COMPUTED_VALUE"""),"กลาง")</f>
        <v>กลาง</v>
      </c>
      <c r="AH6" s="3" t="str">
        <f>IFERROR(__xludf.DUMMYFUNCTION("""COMPUTED_VALUE"""),"Natsarine Seammai")</f>
        <v>Natsarine Seammai</v>
      </c>
      <c r="AI6" s="3" t="str">
        <f>IFERROR(__xludf.DUMMYFUNCTION("""COMPUTED_VALUE"""),"Out of warranty")</f>
        <v>Out of warranty</v>
      </c>
      <c r="AJ6" s="3">
        <f>IFERROR(__xludf.DUMMYFUNCTION("""COMPUTED_VALUE"""),360.0)</f>
        <v>360</v>
      </c>
      <c r="AK6" s="3"/>
      <c r="AL6" s="3" t="str">
        <f>IFERROR(__xludf.DUMMYFUNCTION("""COMPUTED_VALUE"""),"sgm.bangphlee@bigc.co.th")</f>
        <v>sgm.bangphlee@bigc.co.th</v>
      </c>
    </row>
    <row r="7" ht="15.75" customHeight="1">
      <c r="A7" s="1" t="str">
        <f>IFERROR(__xludf.DUMMYFUNCTION("""COMPUTED_VALUE"""),"11107")</f>
        <v>11107</v>
      </c>
      <c r="B7" s="2">
        <f>IFERROR(__xludf.DUMMYFUNCTION("""COMPUTED_VALUE"""),11107.0)</f>
        <v>11107</v>
      </c>
      <c r="C7" s="3" t="str">
        <f>IFERROR(__xludf.DUMMYFUNCTION("""COMPUTED_VALUE"""),"นครปฐม")</f>
        <v>นครปฐม</v>
      </c>
      <c r="D7" s="3" t="str">
        <f>IFERROR(__xludf.DUMMYFUNCTION("""COMPUTED_VALUE"""),"BIGC NAKORNPATHOM")</f>
        <v>BIGC NAKORNPATHOM</v>
      </c>
      <c r="E7" s="1" t="str">
        <f>IFERROR(__xludf.DUMMYFUNCTION("""COMPUTED_VALUE"""),"บิ๊กซี HyperMarket")</f>
        <v>บิ๊กซี HyperMarket</v>
      </c>
      <c r="F7" s="1" t="str">
        <f>IFERROR(__xludf.DUMMYFUNCTION("""COMPUTED_VALUE"""),"2454701")</f>
        <v>2454701</v>
      </c>
      <c r="G7" s="1" t="str">
        <f>IFERROR(__xludf.DUMMYFUNCTION("""COMPUTED_VALUE"""),"นายกานต์ ไชยแสงศรี")</f>
        <v>นายกานต์ ไชยแสงศรี</v>
      </c>
      <c r="H7" s="1" t="str">
        <f>IFERROR(__xludf.DUMMYFUNCTION("""COMPUTED_VALUE"""),"2454701")</f>
        <v>2454701</v>
      </c>
      <c r="I7" s="1" t="str">
        <f>IFERROR(__xludf.DUMMYFUNCTION("""COMPUTED_VALUE"""),"นายกานต์ ไชยแสงศรี")</f>
        <v>นายกานต์ ไชยแสงศรี</v>
      </c>
      <c r="J7" s="3">
        <f>IFERROR(__xludf.DUMMYFUNCTION("""COMPUTED_VALUE"""),2454701.0)</f>
        <v>2454701</v>
      </c>
      <c r="K7" s="3" t="str">
        <f>IFERROR(__xludf.DUMMYFUNCTION("""COMPUTED_VALUE"""),"นายกานต์ ไชยแสงศรี")</f>
        <v>นายกานต์ ไชยแสงศรี</v>
      </c>
      <c r="L7" s="1" t="str">
        <f>IFERROR(__xludf.DUMMYFUNCTION("""COMPUTED_VALUE"""),"Hub01-BKK 1")</f>
        <v>Hub01-BKK 1</v>
      </c>
      <c r="M7" s="1" t="str">
        <f>IFERROR(__xludf.DUMMYFUNCTION("""COMPUTED_VALUE"""),"0909090652")</f>
        <v>0909090652</v>
      </c>
      <c r="N7" s="3">
        <f>IFERROR(__xludf.DUMMYFUNCTION("""COMPUTED_VALUE"""),11107.0)</f>
        <v>11107</v>
      </c>
      <c r="O7" s="3" t="str">
        <f>IFERROR(__xludf.DUMMYFUNCTION("""COMPUTED_VALUE"""),"นครปฐม")</f>
        <v>นครปฐม</v>
      </c>
      <c r="P7" s="4">
        <f>IFERROR(__xludf.DUMMYFUNCTION("""COMPUTED_VALUE"""),35125.0)</f>
        <v>35125</v>
      </c>
      <c r="Q7" s="3" t="str">
        <f>IFERROR(__xludf.DUMMYFUNCTION("""COMPUTED_VALUE"""),"A")</f>
        <v>A</v>
      </c>
      <c r="R7" s="3" t="str">
        <f>IFERROR(__xludf.DUMMYFUNCTION("""COMPUTED_VALUE"""),"Big Format")</f>
        <v>Big Format</v>
      </c>
      <c r="S7" s="3" t="str">
        <f>IFERROR(__xludf.DUMMYFUNCTION("""COMPUTED_VALUE"""),"Hyper")</f>
        <v>Hyper</v>
      </c>
      <c r="T7" s="3" t="str">
        <f>IFERROR(__xludf.DUMMYFUNCTION("""COMPUTED_VALUE"""),"Hub01-BKK 1")</f>
        <v>Hub01-BKK 1</v>
      </c>
      <c r="U7" s="3" t="str">
        <f>IFERROR(__xludf.DUMMYFUNCTION("""COMPUTED_VALUE"""),"Hub01-BKK 1")</f>
        <v>Hub01-BKK 1</v>
      </c>
      <c r="V7" s="3" t="str">
        <f>IFERROR(__xludf.DUMMYFUNCTION("""COMPUTED_VALUE"""),"N")</f>
        <v>N</v>
      </c>
      <c r="W7" s="3">
        <f>IFERROR(__xludf.DUMMYFUNCTION("""COMPUTED_VALUE"""),111107.0)</f>
        <v>111107</v>
      </c>
      <c r="X7" s="3" t="str">
        <f>IFERROR(__xludf.DUMMYFUNCTION("""COMPUTED_VALUE"""),"754 ถนนเพชรเกษม ตำบลห้วยจรเข้ อำเภอเมืองนครปฐม จังหวัดนครปฐม 73000")</f>
        <v>754 ถนนเพชรเกษม ตำบลห้วยจรเข้ อำเภอเมืองนครปฐม จังหวัดนครปฐม 73000</v>
      </c>
      <c r="Y7" s="3" t="str">
        <f>IFERROR(__xludf.DUMMYFUNCTION("""COMPUTED_VALUE"""),"ถนนเพชรเกษม")</f>
        <v>ถนนเพชรเกษม</v>
      </c>
      <c r="Z7" s="3" t="str">
        <f>IFERROR(__xludf.DUMMYFUNCTION("""COMPUTED_VALUE"""),"ห้วยจรเข้")</f>
        <v>ห้วยจรเข้</v>
      </c>
      <c r="AA7" s="3" t="str">
        <f>IFERROR(__xludf.DUMMYFUNCTION("""COMPUTED_VALUE"""),"เมือง")</f>
        <v>เมือง</v>
      </c>
      <c r="AB7" s="3" t="str">
        <f>IFERROR(__xludf.DUMMYFUNCTION("""COMPUTED_VALUE"""),"นครปฐม")</f>
        <v>นครปฐม</v>
      </c>
      <c r="AC7" s="3">
        <f>IFERROR(__xludf.DUMMYFUNCTION("""COMPUTED_VALUE"""),73000.0)</f>
        <v>73000</v>
      </c>
      <c r="AD7" s="3">
        <f>IFERROR(__xludf.DUMMYFUNCTION("""COMPUTED_VALUE"""),13.8126)</f>
        <v>13.8126</v>
      </c>
      <c r="AE7" s="3">
        <f>IFERROR(__xludf.DUMMYFUNCTION("""COMPUTED_VALUE"""),100.072)</f>
        <v>100.072</v>
      </c>
      <c r="AF7" s="3" t="str">
        <f>IFERROR(__xludf.DUMMYFUNCTION("""COMPUTED_VALUE"""),"นครปฐม-11107")</f>
        <v>นครปฐม-11107</v>
      </c>
      <c r="AG7" s="3" t="str">
        <f>IFERROR(__xludf.DUMMYFUNCTION("""COMPUTED_VALUE"""),"กลาง")</f>
        <v>กลาง</v>
      </c>
      <c r="AH7" s="3" t="str">
        <f>IFERROR(__xludf.DUMMYFUNCTION("""COMPUTED_VALUE"""),"Suchin Thawinwisan")</f>
        <v>Suchin Thawinwisan</v>
      </c>
      <c r="AI7" s="3" t="str">
        <f>IFERROR(__xludf.DUMMYFUNCTION("""COMPUTED_VALUE"""),"Out of warranty")</f>
        <v>Out of warranty</v>
      </c>
      <c r="AJ7" s="3">
        <f>IFERROR(__xludf.DUMMYFUNCTION("""COMPUTED_VALUE"""),359.0)</f>
        <v>359</v>
      </c>
      <c r="AK7" s="3"/>
      <c r="AL7" s="3" t="str">
        <f>IFERROR(__xludf.DUMMYFUNCTION("""COMPUTED_VALUE"""),"sgm.nakhonpathom@bigc.co.th")</f>
        <v>sgm.nakhonpathom@bigc.co.th</v>
      </c>
    </row>
    <row r="8" ht="15.75" customHeight="1">
      <c r="A8" s="1" t="str">
        <f>IFERROR(__xludf.DUMMYFUNCTION("""COMPUTED_VALUE"""),"11108")</f>
        <v>11108</v>
      </c>
      <c r="B8" s="2">
        <f>IFERROR(__xludf.DUMMYFUNCTION("""COMPUTED_VALUE"""),11108.0)</f>
        <v>11108</v>
      </c>
      <c r="C8" s="3" t="str">
        <f>IFERROR(__xludf.DUMMYFUNCTION("""COMPUTED_VALUE"""),"รังสิต")</f>
        <v>รังสิต</v>
      </c>
      <c r="D8" s="3" t="str">
        <f>IFERROR(__xludf.DUMMYFUNCTION("""COMPUTED_VALUE"""),"BIGC RANGSIT")</f>
        <v>BIGC RANGSIT</v>
      </c>
      <c r="E8" s="1" t="str">
        <f>IFERROR(__xludf.DUMMYFUNCTION("""COMPUTED_VALUE"""),"บิ๊กซี HyperMarket")</f>
        <v>บิ๊กซี HyperMarket</v>
      </c>
      <c r="F8" s="1" t="str">
        <f>IFERROR(__xludf.DUMMYFUNCTION("""COMPUTED_VALUE"""),"2454813")</f>
        <v>2454813</v>
      </c>
      <c r="G8" s="1" t="str">
        <f>IFERROR(__xludf.DUMMYFUNCTION("""COMPUTED_VALUE"""),"นายอนุรักษ์ จั่นเที่ยง")</f>
        <v>นายอนุรักษ์ จั่นเที่ยง</v>
      </c>
      <c r="H8" s="1" t="str">
        <f>IFERROR(__xludf.DUMMYFUNCTION("""COMPUTED_VALUE"""),"2454813")</f>
        <v>2454813</v>
      </c>
      <c r="I8" s="1" t="str">
        <f>IFERROR(__xludf.DUMMYFUNCTION("""COMPUTED_VALUE"""),"นายอนุรักษ์ จั่นเที่ยง")</f>
        <v>นายอนุรักษ์ จั่นเที่ยง</v>
      </c>
      <c r="J8" s="3">
        <f>IFERROR(__xludf.DUMMYFUNCTION("""COMPUTED_VALUE"""),2454813.0)</f>
        <v>2454813</v>
      </c>
      <c r="K8" s="3" t="str">
        <f>IFERROR(__xludf.DUMMYFUNCTION("""COMPUTED_VALUE"""),"นายอนุรักษ์ จั่นเที่ยง")</f>
        <v>นายอนุรักษ์ จั่นเที่ยง</v>
      </c>
      <c r="L8" s="1" t="str">
        <f>IFERROR(__xludf.DUMMYFUNCTION("""COMPUTED_VALUE"""),"Hub04-BKK 4")</f>
        <v>Hub04-BKK 4</v>
      </c>
      <c r="M8" s="1" t="str">
        <f>IFERROR(__xludf.DUMMYFUNCTION("""COMPUTED_VALUE"""),"0991964531")</f>
        <v>0991964531</v>
      </c>
      <c r="N8" s="3">
        <f>IFERROR(__xludf.DUMMYFUNCTION("""COMPUTED_VALUE"""),11108.0)</f>
        <v>11108</v>
      </c>
      <c r="O8" s="3" t="str">
        <f>IFERROR(__xludf.DUMMYFUNCTION("""COMPUTED_VALUE"""),"รังสิต")</f>
        <v>รังสิต</v>
      </c>
      <c r="P8" s="4">
        <f>IFERROR(__xludf.DUMMYFUNCTION("""COMPUTED_VALUE"""),34467.0)</f>
        <v>34467</v>
      </c>
      <c r="Q8" s="3" t="str">
        <f>IFERROR(__xludf.DUMMYFUNCTION("""COMPUTED_VALUE"""),"A")</f>
        <v>A</v>
      </c>
      <c r="R8" s="3" t="str">
        <f>IFERROR(__xludf.DUMMYFUNCTION("""COMPUTED_VALUE"""),"Big Format")</f>
        <v>Big Format</v>
      </c>
      <c r="S8" s="3" t="str">
        <f>IFERROR(__xludf.DUMMYFUNCTION("""COMPUTED_VALUE"""),"Hyper")</f>
        <v>Hyper</v>
      </c>
      <c r="T8" s="3" t="str">
        <f>IFERROR(__xludf.DUMMYFUNCTION("""COMPUTED_VALUE"""),"Hub04-BKK 4")</f>
        <v>Hub04-BKK 4</v>
      </c>
      <c r="U8" s="3" t="str">
        <f>IFERROR(__xludf.DUMMYFUNCTION("""COMPUTED_VALUE"""),"Hub04-BKK 4")</f>
        <v>Hub04-BKK 4</v>
      </c>
      <c r="V8" s="3" t="str">
        <f>IFERROR(__xludf.DUMMYFUNCTION("""COMPUTED_VALUE"""),"N")</f>
        <v>N</v>
      </c>
      <c r="W8" s="3">
        <f>IFERROR(__xludf.DUMMYFUNCTION("""COMPUTED_VALUE"""),111108.0)</f>
        <v>111108</v>
      </c>
      <c r="X8" s="3" t="str">
        <f>IFERROR(__xludf.DUMMYFUNCTION("""COMPUTED_VALUE"""),"94 ถนนพหลโยธิน ตำบลประชาธิปัตย์ อำเภอธัญบุรี จังหวัดปทุมธานี 12130")</f>
        <v>94 ถนนพหลโยธิน ตำบลประชาธิปัตย์ อำเภอธัญบุรี จังหวัดปทุมธานี 12130</v>
      </c>
      <c r="Y8" s="3" t="str">
        <f>IFERROR(__xludf.DUMMYFUNCTION("""COMPUTED_VALUE"""),"ถนนพหลโยธิน")</f>
        <v>ถนนพหลโยธิน</v>
      </c>
      <c r="Z8" s="3" t="str">
        <f>IFERROR(__xludf.DUMMYFUNCTION("""COMPUTED_VALUE"""),"ประชาธิปัตย์")</f>
        <v>ประชาธิปัตย์</v>
      </c>
      <c r="AA8" s="3" t="str">
        <f>IFERROR(__xludf.DUMMYFUNCTION("""COMPUTED_VALUE"""),"ธัญบุรี")</f>
        <v>ธัญบุรี</v>
      </c>
      <c r="AB8" s="3" t="str">
        <f>IFERROR(__xludf.DUMMYFUNCTION("""COMPUTED_VALUE"""),"ปทุมธานี")</f>
        <v>ปทุมธานี</v>
      </c>
      <c r="AC8" s="3">
        <f>IFERROR(__xludf.DUMMYFUNCTION("""COMPUTED_VALUE"""),12130.0)</f>
        <v>12130</v>
      </c>
      <c r="AD8" s="3">
        <f>IFERROR(__xludf.DUMMYFUNCTION("""COMPUTED_VALUE"""),13.991992)</f>
        <v>13.991992</v>
      </c>
      <c r="AE8" s="3">
        <f>IFERROR(__xludf.DUMMYFUNCTION("""COMPUTED_VALUE"""),100.61824)</f>
        <v>100.61824</v>
      </c>
      <c r="AF8" s="3" t="str">
        <f>IFERROR(__xludf.DUMMYFUNCTION("""COMPUTED_VALUE"""),"รังสิต-11108")</f>
        <v>รังสิต-11108</v>
      </c>
      <c r="AG8" s="3" t="str">
        <f>IFERROR(__xludf.DUMMYFUNCTION("""COMPUTED_VALUE"""),"กลาง")</f>
        <v>กลาง</v>
      </c>
      <c r="AH8" s="3" t="str">
        <f>IFERROR(__xludf.DUMMYFUNCTION("""COMPUTED_VALUE"""),"Natsarine Seammai")</f>
        <v>Natsarine Seammai</v>
      </c>
      <c r="AI8" s="3" t="str">
        <f>IFERROR(__xludf.DUMMYFUNCTION("""COMPUTED_VALUE"""),"Out of warranty")</f>
        <v>Out of warranty</v>
      </c>
      <c r="AJ8" s="3">
        <f>IFERROR(__xludf.DUMMYFUNCTION("""COMPUTED_VALUE"""),381.0)</f>
        <v>381</v>
      </c>
      <c r="AK8" s="3"/>
      <c r="AL8" s="3" t="str">
        <f>IFERROR(__xludf.DUMMYFUNCTION("""COMPUTED_VALUE"""),"sgm.rangsit@bigc.co.th")</f>
        <v>sgm.rangsit@bigc.co.th</v>
      </c>
    </row>
    <row r="9" ht="15.75" customHeight="1">
      <c r="A9" s="1" t="str">
        <f>IFERROR(__xludf.DUMMYFUNCTION("""COMPUTED_VALUE"""),"11109")</f>
        <v>11109</v>
      </c>
      <c r="B9" s="2">
        <f>IFERROR(__xludf.DUMMYFUNCTION("""COMPUTED_VALUE"""),11109.0)</f>
        <v>11109</v>
      </c>
      <c r="C9" s="3" t="str">
        <f>IFERROR(__xludf.DUMMYFUNCTION("""COMPUTED_VALUE"""),"อุดรธานี")</f>
        <v>อุดรธานี</v>
      </c>
      <c r="D9" s="3" t="str">
        <f>IFERROR(__xludf.DUMMYFUNCTION("""COMPUTED_VALUE"""),"BIGC UDONTHANI")</f>
        <v>BIGC UDONTHANI</v>
      </c>
      <c r="E9" s="1" t="str">
        <f>IFERROR(__xludf.DUMMYFUNCTION("""COMPUTED_VALUE"""),"บิ๊กซี HyperMarket")</f>
        <v>บิ๊กซี HyperMarket</v>
      </c>
      <c r="F9" s="1" t="str">
        <f>IFERROR(__xludf.DUMMYFUNCTION("""COMPUTED_VALUE"""),"295801")</f>
        <v>295801</v>
      </c>
      <c r="G9" s="1" t="str">
        <f>IFERROR(__xludf.DUMMYFUNCTION("""COMPUTED_VALUE"""),"นายอรรถพล เหล่าสุวงศ์")</f>
        <v>นายอรรถพล เหล่าสุวงศ์</v>
      </c>
      <c r="H9" s="1" t="str">
        <f>IFERROR(__xludf.DUMMYFUNCTION("""COMPUTED_VALUE"""),"295801")</f>
        <v>295801</v>
      </c>
      <c r="I9" s="1" t="str">
        <f>IFERROR(__xludf.DUMMYFUNCTION("""COMPUTED_VALUE"""),"นายอรรถพล เหล่าสุวงศ์")</f>
        <v>นายอรรถพล เหล่าสุวงศ์</v>
      </c>
      <c r="J9" s="3">
        <f>IFERROR(__xludf.DUMMYFUNCTION("""COMPUTED_VALUE"""),295801.0)</f>
        <v>295801</v>
      </c>
      <c r="K9" s="3" t="str">
        <f>IFERROR(__xludf.DUMMYFUNCTION("""COMPUTED_VALUE"""),"นายอรรถพล เหล่าสุวงศ์")</f>
        <v>นายอรรถพล เหล่าสุวงศ์</v>
      </c>
      <c r="L9" s="1" t="str">
        <f>IFERROR(__xludf.DUMMYFUNCTION("""COMPUTED_VALUE"""),"Hub09-NE 1")</f>
        <v>Hub09-NE 1</v>
      </c>
      <c r="M9" s="1" t="str">
        <f>IFERROR(__xludf.DUMMYFUNCTION("""COMPUTED_VALUE"""),"0655090879")</f>
        <v>0655090879</v>
      </c>
      <c r="N9" s="3">
        <f>IFERROR(__xludf.DUMMYFUNCTION("""COMPUTED_VALUE"""),11109.0)</f>
        <v>11109</v>
      </c>
      <c r="O9" s="3" t="str">
        <f>IFERROR(__xludf.DUMMYFUNCTION("""COMPUTED_VALUE"""),"อุดรธานี")</f>
        <v>อุดรธานี</v>
      </c>
      <c r="P9" s="4">
        <f>IFERROR(__xludf.DUMMYFUNCTION("""COMPUTED_VALUE"""),35353.0)</f>
        <v>35353</v>
      </c>
      <c r="Q9" s="3" t="str">
        <f>IFERROR(__xludf.DUMMYFUNCTION("""COMPUTED_VALUE"""),"A")</f>
        <v>A</v>
      </c>
      <c r="R9" s="3" t="str">
        <f>IFERROR(__xludf.DUMMYFUNCTION("""COMPUTED_VALUE"""),"Big Format")</f>
        <v>Big Format</v>
      </c>
      <c r="S9" s="3" t="str">
        <f>IFERROR(__xludf.DUMMYFUNCTION("""COMPUTED_VALUE"""),"Hyper")</f>
        <v>Hyper</v>
      </c>
      <c r="T9" s="3" t="str">
        <f>IFERROR(__xludf.DUMMYFUNCTION("""COMPUTED_VALUE"""),"Hub09-NE 1")</f>
        <v>Hub09-NE 1</v>
      </c>
      <c r="U9" s="3" t="str">
        <f>IFERROR(__xludf.DUMMYFUNCTION("""COMPUTED_VALUE"""),"Hub09-NE 1")</f>
        <v>Hub09-NE 1</v>
      </c>
      <c r="V9" s="3" t="str">
        <f>IFERROR(__xludf.DUMMYFUNCTION("""COMPUTED_VALUE"""),"N")</f>
        <v>N</v>
      </c>
      <c r="W9" s="3">
        <f>IFERROR(__xludf.DUMMYFUNCTION("""COMPUTED_VALUE"""),111109.0)</f>
        <v>111109</v>
      </c>
      <c r="X9" s="3" t="str">
        <f>IFERROR(__xludf.DUMMYFUNCTION("""COMPUTED_VALUE"""),"415 หมู่ที่ 3 ตำบลหมากแข้ง อำเภอเมืองอุดรธานี จังหวัดอุดรธานี 41000")</f>
        <v>415 หมู่ที่ 3 ตำบลหมากแข้ง อำเภอเมืองอุดรธานี จังหวัดอุดรธานี 41000</v>
      </c>
      <c r="Y9" s="3"/>
      <c r="Z9" s="3" t="str">
        <f>IFERROR(__xludf.DUMMYFUNCTION("""COMPUTED_VALUE"""),"หมากแข้ง")</f>
        <v>หมากแข้ง</v>
      </c>
      <c r="AA9" s="3" t="str">
        <f>IFERROR(__xludf.DUMMYFUNCTION("""COMPUTED_VALUE"""),"เมือง")</f>
        <v>เมือง</v>
      </c>
      <c r="AB9" s="3" t="str">
        <f>IFERROR(__xludf.DUMMYFUNCTION("""COMPUTED_VALUE"""),"อุดรธานี")</f>
        <v>อุดรธานี</v>
      </c>
      <c r="AC9" s="3">
        <f>IFERROR(__xludf.DUMMYFUNCTION("""COMPUTED_VALUE"""),41000.0)</f>
        <v>41000</v>
      </c>
      <c r="AD9" s="3">
        <f>IFERROR(__xludf.DUMMYFUNCTION("""COMPUTED_VALUE"""),17.3866)</f>
        <v>17.3866</v>
      </c>
      <c r="AE9" s="3">
        <f>IFERROR(__xludf.DUMMYFUNCTION("""COMPUTED_VALUE"""),102.824)</f>
        <v>102.824</v>
      </c>
      <c r="AF9" s="3" t="str">
        <f>IFERROR(__xludf.DUMMYFUNCTION("""COMPUTED_VALUE"""),"อุดรธานี-11109")</f>
        <v>อุดรธานี-11109</v>
      </c>
      <c r="AG9" s="3" t="str">
        <f>IFERROR(__xludf.DUMMYFUNCTION("""COMPUTED_VALUE"""),"ตะวันออกเฉียงเหนือ")</f>
        <v>ตะวันออกเฉียงเหนือ</v>
      </c>
      <c r="AH9" s="3" t="str">
        <f>IFERROR(__xludf.DUMMYFUNCTION("""COMPUTED_VALUE"""),"K.Narabordee")</f>
        <v>K.Narabordee</v>
      </c>
      <c r="AI9" s="3" t="str">
        <f>IFERROR(__xludf.DUMMYFUNCTION("""COMPUTED_VALUE"""),"Out of warranty")</f>
        <v>Out of warranty</v>
      </c>
      <c r="AJ9" s="3">
        <f>IFERROR(__xludf.DUMMYFUNCTION("""COMPUTED_VALUE"""),352.0)</f>
        <v>352</v>
      </c>
      <c r="AK9" s="3"/>
      <c r="AL9" s="3" t="str">
        <f>IFERROR(__xludf.DUMMYFUNCTION("""COMPUTED_VALUE"""),"sgm.udonthanee@bigc.co.th")</f>
        <v>sgm.udonthanee@bigc.co.th</v>
      </c>
    </row>
    <row r="10" ht="15.75" customHeight="1">
      <c r="A10" s="1" t="str">
        <f>IFERROR(__xludf.DUMMYFUNCTION("""COMPUTED_VALUE"""),"11110")</f>
        <v>11110</v>
      </c>
      <c r="B10" s="2">
        <f>IFERROR(__xludf.DUMMYFUNCTION("""COMPUTED_VALUE"""),11110.0)</f>
        <v>11110</v>
      </c>
      <c r="C10" s="3" t="str">
        <f>IFERROR(__xludf.DUMMYFUNCTION("""COMPUTED_VALUE"""),"ขอนแก่น")</f>
        <v>ขอนแก่น</v>
      </c>
      <c r="D10" s="3" t="str">
        <f>IFERROR(__xludf.DUMMYFUNCTION("""COMPUTED_VALUE"""),"BIGC KHONKAEN")</f>
        <v>BIGC KHONKAEN</v>
      </c>
      <c r="E10" s="1" t="str">
        <f>IFERROR(__xludf.DUMMYFUNCTION("""COMPUTED_VALUE"""),"บิ๊กซี HyperMarket")</f>
        <v>บิ๊กซี HyperMarket</v>
      </c>
      <c r="F10" s="1" t="str">
        <f>IFERROR(__xludf.DUMMYFUNCTION("""COMPUTED_VALUE"""),"295801")</f>
        <v>295801</v>
      </c>
      <c r="G10" s="1" t="str">
        <f>IFERROR(__xludf.DUMMYFUNCTION("""COMPUTED_VALUE"""),"นายอรรถพล เหล่าสุวงศ์")</f>
        <v>นายอรรถพล เหล่าสุวงศ์</v>
      </c>
      <c r="H10" s="1" t="str">
        <f>IFERROR(__xludf.DUMMYFUNCTION("""COMPUTED_VALUE"""),"295801")</f>
        <v>295801</v>
      </c>
      <c r="I10" s="1" t="str">
        <f>IFERROR(__xludf.DUMMYFUNCTION("""COMPUTED_VALUE"""),"นายอรรถพล เหล่าสุวงศ์")</f>
        <v>นายอรรถพล เหล่าสุวงศ์</v>
      </c>
      <c r="J10" s="3">
        <f>IFERROR(__xludf.DUMMYFUNCTION("""COMPUTED_VALUE"""),295801.0)</f>
        <v>295801</v>
      </c>
      <c r="K10" s="3" t="str">
        <f>IFERROR(__xludf.DUMMYFUNCTION("""COMPUTED_VALUE"""),"นายอรรถพล เหล่าสุวงศ์")</f>
        <v>นายอรรถพล เหล่าสุวงศ์</v>
      </c>
      <c r="L10" s="1" t="str">
        <f>IFERROR(__xludf.DUMMYFUNCTION("""COMPUTED_VALUE"""),"Hub09-NE 1")</f>
        <v>Hub09-NE 1</v>
      </c>
      <c r="M10" s="1" t="str">
        <f>IFERROR(__xludf.DUMMYFUNCTION("""COMPUTED_VALUE"""),"0655090879")</f>
        <v>0655090879</v>
      </c>
      <c r="N10" s="3">
        <f>IFERROR(__xludf.DUMMYFUNCTION("""COMPUTED_VALUE"""),11110.0)</f>
        <v>11110</v>
      </c>
      <c r="O10" s="3" t="str">
        <f>IFERROR(__xludf.DUMMYFUNCTION("""COMPUTED_VALUE"""),"ขอนแก่น")</f>
        <v>ขอนแก่น</v>
      </c>
      <c r="P10" s="4">
        <f>IFERROR(__xludf.DUMMYFUNCTION("""COMPUTED_VALUE"""),35410.0)</f>
        <v>35410</v>
      </c>
      <c r="Q10" s="3" t="str">
        <f>IFERROR(__xludf.DUMMYFUNCTION("""COMPUTED_VALUE"""),"A")</f>
        <v>A</v>
      </c>
      <c r="R10" s="3" t="str">
        <f>IFERROR(__xludf.DUMMYFUNCTION("""COMPUTED_VALUE"""),"Big Format")</f>
        <v>Big Format</v>
      </c>
      <c r="S10" s="3" t="str">
        <f>IFERROR(__xludf.DUMMYFUNCTION("""COMPUTED_VALUE"""),"Hyper")</f>
        <v>Hyper</v>
      </c>
      <c r="T10" s="3" t="str">
        <f>IFERROR(__xludf.DUMMYFUNCTION("""COMPUTED_VALUE"""),"Hub09-NE 1")</f>
        <v>Hub09-NE 1</v>
      </c>
      <c r="U10" s="3" t="str">
        <f>IFERROR(__xludf.DUMMYFUNCTION("""COMPUTED_VALUE"""),"Hub09-NE 1")</f>
        <v>Hub09-NE 1</v>
      </c>
      <c r="V10" s="3" t="str">
        <f>IFERROR(__xludf.DUMMYFUNCTION("""COMPUTED_VALUE"""),"N")</f>
        <v>N</v>
      </c>
      <c r="W10" s="3">
        <f>IFERROR(__xludf.DUMMYFUNCTION("""COMPUTED_VALUE"""),110002.0)</f>
        <v>110002</v>
      </c>
      <c r="X10" s="3" t="str">
        <f>IFERROR(__xludf.DUMMYFUNCTION("""COMPUTED_VALUE"""),"290/1 หมู่ 17 ต.ในเมือง อ.เมือง จ.ขอนแก่น 40000")</f>
        <v>290/1 หมู่ 17 ต.ในเมือง อ.เมือง จ.ขอนแก่น 40000</v>
      </c>
      <c r="Y10" s="3"/>
      <c r="Z10" s="3" t="str">
        <f>IFERROR(__xludf.DUMMYFUNCTION("""COMPUTED_VALUE"""),"ในเมือง")</f>
        <v>ในเมือง</v>
      </c>
      <c r="AA10" s="3" t="str">
        <f>IFERROR(__xludf.DUMMYFUNCTION("""COMPUTED_VALUE"""),"เมือง")</f>
        <v>เมือง</v>
      </c>
      <c r="AB10" s="3" t="str">
        <f>IFERROR(__xludf.DUMMYFUNCTION("""COMPUTED_VALUE"""),"ขอนแก่น")</f>
        <v>ขอนแก่น</v>
      </c>
      <c r="AC10" s="3">
        <f>IFERROR(__xludf.DUMMYFUNCTION("""COMPUTED_VALUE"""),40000.0)</f>
        <v>40000</v>
      </c>
      <c r="AD10" s="3">
        <f>IFERROR(__xludf.DUMMYFUNCTION("""COMPUTED_VALUE"""),16.42476539)</f>
        <v>16.42476539</v>
      </c>
      <c r="AE10" s="3">
        <f>IFERROR(__xludf.DUMMYFUNCTION("""COMPUTED_VALUE"""),102.8190064)</f>
        <v>102.8190064</v>
      </c>
      <c r="AF10" s="3" t="str">
        <f>IFERROR(__xludf.DUMMYFUNCTION("""COMPUTED_VALUE"""),"ขอนแก่น-11110")</f>
        <v>ขอนแก่น-11110</v>
      </c>
      <c r="AG10" s="3" t="str">
        <f>IFERROR(__xludf.DUMMYFUNCTION("""COMPUTED_VALUE"""),"ตะวันออกเฉียงเหนือ")</f>
        <v>ตะวันออกเฉียงเหนือ</v>
      </c>
      <c r="AH10" s="3" t="str">
        <f>IFERROR(__xludf.DUMMYFUNCTION("""COMPUTED_VALUE"""),"K.Narabordee")</f>
        <v>K.Narabordee</v>
      </c>
      <c r="AI10" s="3" t="str">
        <f>IFERROR(__xludf.DUMMYFUNCTION("""COMPUTED_VALUE"""),"Out of warranty")</f>
        <v>Out of warranty</v>
      </c>
      <c r="AJ10" s="3">
        <f>IFERROR(__xludf.DUMMYFUNCTION("""COMPUTED_VALUE"""),350.0)</f>
        <v>350</v>
      </c>
      <c r="AK10" s="3"/>
      <c r="AL10" s="3" t="str">
        <f>IFERROR(__xludf.DUMMYFUNCTION("""COMPUTED_VALUE"""),"sgm.khonkaen@bigc.co.th")</f>
        <v>sgm.khonkaen@bigc.co.th</v>
      </c>
    </row>
    <row r="11" ht="15.75" customHeight="1">
      <c r="A11" s="1" t="str">
        <f>IFERROR(__xludf.DUMMYFUNCTION("""COMPUTED_VALUE"""),"11111")</f>
        <v>11111</v>
      </c>
      <c r="B11" s="2">
        <f>IFERROR(__xludf.DUMMYFUNCTION("""COMPUTED_VALUE"""),11111.0)</f>
        <v>11111</v>
      </c>
      <c r="C11" s="3" t="str">
        <f>IFERROR(__xludf.DUMMYFUNCTION("""COMPUTED_VALUE"""),"โคราช")</f>
        <v>โคราช</v>
      </c>
      <c r="D11" s="3" t="str">
        <f>IFERROR(__xludf.DUMMYFUNCTION("""COMPUTED_VALUE"""),"BIGC KORAT")</f>
        <v>BIGC KORAT</v>
      </c>
      <c r="E11" s="1" t="str">
        <f>IFERROR(__xludf.DUMMYFUNCTION("""COMPUTED_VALUE"""),"บิ๊กซี HyperMarket")</f>
        <v>บิ๊กซี HyperMarket</v>
      </c>
      <c r="F11" s="1" t="str">
        <f>IFERROR(__xludf.DUMMYFUNCTION("""COMPUTED_VALUE"""),"033317")</f>
        <v>033317</v>
      </c>
      <c r="G11" s="1" t="str">
        <f>IFERROR(__xludf.DUMMYFUNCTION("""COMPUTED_VALUE"""),"นายอาณัติ เพชรภาน")</f>
        <v>นายอาณัติ เพชรภาน</v>
      </c>
      <c r="H11" s="1" t="str">
        <f>IFERROR(__xludf.DUMMYFUNCTION("""COMPUTED_VALUE"""),"033317")</f>
        <v>033317</v>
      </c>
      <c r="I11" s="1" t="str">
        <f>IFERROR(__xludf.DUMMYFUNCTION("""COMPUTED_VALUE"""),"นายอาณัติ เพชรภาน")</f>
        <v>นายอาณัติ เพชรภาน</v>
      </c>
      <c r="J11" s="3">
        <f>IFERROR(__xludf.DUMMYFUNCTION("""COMPUTED_VALUE"""),33317.0)</f>
        <v>33317</v>
      </c>
      <c r="K11" s="3" t="str">
        <f>IFERROR(__xludf.DUMMYFUNCTION("""COMPUTED_VALUE"""),"นายอาณัติ เพชรภาน")</f>
        <v>นายอาณัติ เพชรภาน</v>
      </c>
      <c r="L11" s="1" t="str">
        <f>IFERROR(__xludf.DUMMYFUNCTION("""COMPUTED_VALUE"""),"Hub10-NE 2")</f>
        <v>Hub10-NE 2</v>
      </c>
      <c r="M11" s="1" t="str">
        <f>IFERROR(__xludf.DUMMYFUNCTION("""COMPUTED_VALUE"""),"0644791409")</f>
        <v>0644791409</v>
      </c>
      <c r="N11" s="3">
        <f>IFERROR(__xludf.DUMMYFUNCTION("""COMPUTED_VALUE"""),11111.0)</f>
        <v>11111</v>
      </c>
      <c r="O11" s="3" t="str">
        <f>IFERROR(__xludf.DUMMYFUNCTION("""COMPUTED_VALUE"""),"โคราช")</f>
        <v>โคราช</v>
      </c>
      <c r="P11" s="4">
        <f>IFERROR(__xludf.DUMMYFUNCTION("""COMPUTED_VALUE"""),35418.0)</f>
        <v>35418</v>
      </c>
      <c r="Q11" s="3" t="str">
        <f>IFERROR(__xludf.DUMMYFUNCTION("""COMPUTED_VALUE"""),"A")</f>
        <v>A</v>
      </c>
      <c r="R11" s="3" t="str">
        <f>IFERROR(__xludf.DUMMYFUNCTION("""COMPUTED_VALUE"""),"Big Format")</f>
        <v>Big Format</v>
      </c>
      <c r="S11" s="3" t="str">
        <f>IFERROR(__xludf.DUMMYFUNCTION("""COMPUTED_VALUE"""),"Hyper")</f>
        <v>Hyper</v>
      </c>
      <c r="T11" s="3" t="str">
        <f>IFERROR(__xludf.DUMMYFUNCTION("""COMPUTED_VALUE"""),"Hub10-NE 2")</f>
        <v>Hub10-NE 2</v>
      </c>
      <c r="U11" s="3" t="str">
        <f>IFERROR(__xludf.DUMMYFUNCTION("""COMPUTED_VALUE"""),"Hub10-NE 2")</f>
        <v>Hub10-NE 2</v>
      </c>
      <c r="V11" s="3" t="str">
        <f>IFERROR(__xludf.DUMMYFUNCTION("""COMPUTED_VALUE"""),"N")</f>
        <v>N</v>
      </c>
      <c r="W11" s="3">
        <f>IFERROR(__xludf.DUMMYFUNCTION("""COMPUTED_VALUE"""),111111.0)</f>
        <v>111111</v>
      </c>
      <c r="X11" s="3" t="str">
        <f>IFERROR(__xludf.DUMMYFUNCTION("""COMPUTED_VALUE"""),"118 ถ.มิตรภาพ-หนองคาย ต.ในเมือง อ.เมือง จังหวัดนครราชสีมา 30000")</f>
        <v>118 ถ.มิตรภาพ-หนองคาย ต.ในเมือง อ.เมือง จังหวัดนครราชสีมา 30000</v>
      </c>
      <c r="Y11" s="3" t="str">
        <f>IFERROR(__xludf.DUMMYFUNCTION("""COMPUTED_VALUE"""),"ถ.มิตรภาพ-หนองคาย")</f>
        <v>ถ.มิตรภาพ-หนองคาย</v>
      </c>
      <c r="Z11" s="3" t="str">
        <f>IFERROR(__xludf.DUMMYFUNCTION("""COMPUTED_VALUE"""),"ในเมือง")</f>
        <v>ในเมือง</v>
      </c>
      <c r="AA11" s="3" t="str">
        <f>IFERROR(__xludf.DUMMYFUNCTION("""COMPUTED_VALUE"""),"เมือง")</f>
        <v>เมือง</v>
      </c>
      <c r="AB11" s="3" t="str">
        <f>IFERROR(__xludf.DUMMYFUNCTION("""COMPUTED_VALUE"""),"นครราชสีมา")</f>
        <v>นครราชสีมา</v>
      </c>
      <c r="AC11" s="3">
        <f>IFERROR(__xludf.DUMMYFUNCTION("""COMPUTED_VALUE"""),30000.0)</f>
        <v>30000</v>
      </c>
      <c r="AD11" s="3">
        <f>IFERROR(__xludf.DUMMYFUNCTION("""COMPUTED_VALUE"""),14.982)</f>
        <v>14.982</v>
      </c>
      <c r="AE11" s="3">
        <f>IFERROR(__xludf.DUMMYFUNCTION("""COMPUTED_VALUE"""),102.092)</f>
        <v>102.092</v>
      </c>
      <c r="AF11" s="3" t="str">
        <f>IFERROR(__xludf.DUMMYFUNCTION("""COMPUTED_VALUE"""),"โคราช-11111")</f>
        <v>โคราช-11111</v>
      </c>
      <c r="AG11" s="3" t="str">
        <f>IFERROR(__xludf.DUMMYFUNCTION("""COMPUTED_VALUE"""),"ตะวันออกเฉียงเหนือ")</f>
        <v>ตะวันออกเฉียงเหนือ</v>
      </c>
      <c r="AH11" s="3" t="str">
        <f>IFERROR(__xludf.DUMMYFUNCTION("""COMPUTED_VALUE"""),"Pajaob Wongpakdee")</f>
        <v>Pajaob Wongpakdee</v>
      </c>
      <c r="AI11" s="3" t="str">
        <f>IFERROR(__xludf.DUMMYFUNCTION("""COMPUTED_VALUE"""),"Out of warranty")</f>
        <v>Out of warranty</v>
      </c>
      <c r="AJ11" s="3">
        <f>IFERROR(__xludf.DUMMYFUNCTION("""COMPUTED_VALUE"""),350.0)</f>
        <v>350</v>
      </c>
      <c r="AK11" s="3"/>
      <c r="AL11" s="3" t="str">
        <f>IFERROR(__xludf.DUMMYFUNCTION("""COMPUTED_VALUE"""),"sgm.korat@bigc.co.th")</f>
        <v>sgm.korat@bigc.co.th</v>
      </c>
    </row>
    <row r="12" ht="15.75" customHeight="1">
      <c r="A12" s="1" t="str">
        <f>IFERROR(__xludf.DUMMYFUNCTION("""COMPUTED_VALUE"""),"11112")</f>
        <v>11112</v>
      </c>
      <c r="B12" s="2">
        <f>IFERROR(__xludf.DUMMYFUNCTION("""COMPUTED_VALUE"""),11112.0)</f>
        <v>11112</v>
      </c>
      <c r="C12" s="3" t="str">
        <f>IFERROR(__xludf.DUMMYFUNCTION("""COMPUTED_VALUE"""),"สุราษฎร์ธานี")</f>
        <v>สุราษฎร์ธานี</v>
      </c>
      <c r="D12" s="3" t="str">
        <f>IFERROR(__xludf.DUMMYFUNCTION("""COMPUTED_VALUE"""),"BIGC SURATTHANI")</f>
        <v>BIGC SURATTHANI</v>
      </c>
      <c r="E12" s="1" t="str">
        <f>IFERROR(__xludf.DUMMYFUNCTION("""COMPUTED_VALUE"""),"บิ๊กซี HyperMarket")</f>
        <v>บิ๊กซี HyperMarket</v>
      </c>
      <c r="F12" s="1" t="str">
        <f>IFERROR(__xludf.DUMMYFUNCTION("""COMPUTED_VALUE"""),"2454709")</f>
        <v>2454709</v>
      </c>
      <c r="G12" s="1" t="str">
        <f>IFERROR(__xludf.DUMMYFUNCTION("""COMPUTED_VALUE"""),"นายประชา เกตุชาติ")</f>
        <v>นายประชา เกตุชาติ</v>
      </c>
      <c r="H12" s="1" t="str">
        <f>IFERROR(__xludf.DUMMYFUNCTION("""COMPUTED_VALUE"""),"2454709")</f>
        <v>2454709</v>
      </c>
      <c r="I12" s="1" t="str">
        <f>IFERROR(__xludf.DUMMYFUNCTION("""COMPUTED_VALUE"""),"นายประชา เกตุชาติ")</f>
        <v>นายประชา เกตุชาติ</v>
      </c>
      <c r="J12" s="3">
        <f>IFERROR(__xludf.DUMMYFUNCTION("""COMPUTED_VALUE"""),2454709.0)</f>
        <v>2454709</v>
      </c>
      <c r="K12" s="3" t="str">
        <f>IFERROR(__xludf.DUMMYFUNCTION("""COMPUTED_VALUE"""),"นายประชา เกตุชาติ")</f>
        <v>นายประชา เกตุชาติ</v>
      </c>
      <c r="L12" s="1" t="str">
        <f>IFERROR(__xludf.DUMMYFUNCTION("""COMPUTED_VALUE"""),"Hub05-South")</f>
        <v>Hub05-South</v>
      </c>
      <c r="M12" s="1" t="str">
        <f>IFERROR(__xludf.DUMMYFUNCTION("""COMPUTED_VALUE"""),"0659291311")</f>
        <v>0659291311</v>
      </c>
      <c r="N12" s="3">
        <f>IFERROR(__xludf.DUMMYFUNCTION("""COMPUTED_VALUE"""),11112.0)</f>
        <v>11112</v>
      </c>
      <c r="O12" s="3" t="str">
        <f>IFERROR(__xludf.DUMMYFUNCTION("""COMPUTED_VALUE"""),"สุราษฎร์ธานี")</f>
        <v>สุราษฎร์ธานี</v>
      </c>
      <c r="P12" s="4">
        <f>IFERROR(__xludf.DUMMYFUNCTION("""COMPUTED_VALUE"""),35604.0)</f>
        <v>35604</v>
      </c>
      <c r="Q12" s="3" t="str">
        <f>IFERROR(__xludf.DUMMYFUNCTION("""COMPUTED_VALUE"""),"A")</f>
        <v>A</v>
      </c>
      <c r="R12" s="3" t="str">
        <f>IFERROR(__xludf.DUMMYFUNCTION("""COMPUTED_VALUE"""),"Big Format")</f>
        <v>Big Format</v>
      </c>
      <c r="S12" s="3" t="str">
        <f>IFERROR(__xludf.DUMMYFUNCTION("""COMPUTED_VALUE"""),"Hyper")</f>
        <v>Hyper</v>
      </c>
      <c r="T12" s="3" t="str">
        <f>IFERROR(__xludf.DUMMYFUNCTION("""COMPUTED_VALUE"""),"Hub05-South")</f>
        <v>Hub05-South</v>
      </c>
      <c r="U12" s="3" t="str">
        <f>IFERROR(__xludf.DUMMYFUNCTION("""COMPUTED_VALUE"""),"Hub05-South")</f>
        <v>Hub05-South</v>
      </c>
      <c r="V12" s="3" t="str">
        <f>IFERROR(__xludf.DUMMYFUNCTION("""COMPUTED_VALUE"""),"N")</f>
        <v>N</v>
      </c>
      <c r="W12" s="3">
        <f>IFERROR(__xludf.DUMMYFUNCTION("""COMPUTED_VALUE"""),111112.0)</f>
        <v>111112</v>
      </c>
      <c r="X12" s="3" t="str">
        <f>IFERROR(__xludf.DUMMYFUNCTION("""COMPUTED_VALUE"""),"130 หมู่ที่ 1 ถนนเลี่ยงเมือง ตำบลบางกุ้ง อำเภอเมือง จังหวัดสุราษฎร์ธานี 84000")</f>
        <v>130 หมู่ที่ 1 ถนนเลี่ยงเมือง ตำบลบางกุ้ง อำเภอเมือง จังหวัดสุราษฎร์ธานี 84000</v>
      </c>
      <c r="Y12" s="3" t="str">
        <f>IFERROR(__xludf.DUMMYFUNCTION("""COMPUTED_VALUE"""),"เลี่ยงเมือง")</f>
        <v>เลี่ยงเมือง</v>
      </c>
      <c r="Z12" s="3" t="str">
        <f>IFERROR(__xludf.DUMMYFUNCTION("""COMPUTED_VALUE"""),"บางกุ้ง")</f>
        <v>บางกุ้ง</v>
      </c>
      <c r="AA12" s="3" t="str">
        <f>IFERROR(__xludf.DUMMYFUNCTION("""COMPUTED_VALUE"""),"เมือง")</f>
        <v>เมือง</v>
      </c>
      <c r="AB12" s="3" t="str">
        <f>IFERROR(__xludf.DUMMYFUNCTION("""COMPUTED_VALUE"""),"สุราษฎร์ธานี")</f>
        <v>สุราษฎร์ธานี</v>
      </c>
      <c r="AC12" s="3">
        <f>IFERROR(__xludf.DUMMYFUNCTION("""COMPUTED_VALUE"""),84000.0)</f>
        <v>84000</v>
      </c>
      <c r="AD12" s="3">
        <f>IFERROR(__xludf.DUMMYFUNCTION("""COMPUTED_VALUE"""),9.14819)</f>
        <v>9.14819</v>
      </c>
      <c r="AE12" s="3">
        <f>IFERROR(__xludf.DUMMYFUNCTION("""COMPUTED_VALUE"""),99.3699)</f>
        <v>99.3699</v>
      </c>
      <c r="AF12" s="3" t="str">
        <f>IFERROR(__xludf.DUMMYFUNCTION("""COMPUTED_VALUE"""),"สุราษฎร์ธานี-11112")</f>
        <v>สุราษฎร์ธานี-11112</v>
      </c>
      <c r="AG12" s="3" t="str">
        <f>IFERROR(__xludf.DUMMYFUNCTION("""COMPUTED_VALUE"""),"ใต้")</f>
        <v>ใต้</v>
      </c>
      <c r="AH12" s="3" t="str">
        <f>IFERROR(__xludf.DUMMYFUNCTION("""COMPUTED_VALUE"""),"Suwadee Intachart")</f>
        <v>Suwadee Intachart</v>
      </c>
      <c r="AI12" s="3" t="str">
        <f>IFERROR(__xludf.DUMMYFUNCTION("""COMPUTED_VALUE"""),"Out of warranty")</f>
        <v>Out of warranty</v>
      </c>
      <c r="AJ12" s="3">
        <f>IFERROR(__xludf.DUMMYFUNCTION("""COMPUTED_VALUE"""),343.0)</f>
        <v>343</v>
      </c>
      <c r="AK12" s="3"/>
      <c r="AL12" s="3" t="str">
        <f>IFERROR(__xludf.DUMMYFUNCTION("""COMPUTED_VALUE"""),"sgm.suratthanee@bigc.co.th")</f>
        <v>sgm.suratthanee@bigc.co.th</v>
      </c>
    </row>
    <row r="13" ht="15.75" customHeight="1">
      <c r="A13" s="1" t="str">
        <f>IFERROR(__xludf.DUMMYFUNCTION("""COMPUTED_VALUE"""),"11113")</f>
        <v>11113</v>
      </c>
      <c r="B13" s="2">
        <f>IFERROR(__xludf.DUMMYFUNCTION("""COMPUTED_VALUE"""),11113.0)</f>
        <v>11113</v>
      </c>
      <c r="C13" s="3" t="str">
        <f>IFERROR(__xludf.DUMMYFUNCTION("""COMPUTED_VALUE"""),"สาขาพิษณุโลก")</f>
        <v>สาขาพิษณุโลก</v>
      </c>
      <c r="D13" s="3" t="str">
        <f>IFERROR(__xludf.DUMMYFUNCTION("""COMPUTED_VALUE"""),"BIGC PHITSANULOK")</f>
        <v>BIGC PHITSANULOK</v>
      </c>
      <c r="E13" s="1" t="str">
        <f>IFERROR(__xludf.DUMMYFUNCTION("""COMPUTED_VALUE"""),"บิ๊กซี HyperMarket")</f>
        <v>บิ๊กซี HyperMarket</v>
      </c>
      <c r="F13" s="1" t="str">
        <f>IFERROR(__xludf.DUMMYFUNCTION("""COMPUTED_VALUE"""),"000348")</f>
        <v>000348</v>
      </c>
      <c r="G13" s="1" t="str">
        <f>IFERROR(__xludf.DUMMYFUNCTION("""COMPUTED_VALUE"""),"นายธีรนันท์ ไม้สนธิ์")</f>
        <v>นายธีรนันท์ ไม้สนธิ์</v>
      </c>
      <c r="H13" s="1" t="str">
        <f>IFERROR(__xludf.DUMMYFUNCTION("""COMPUTED_VALUE"""),"000348")</f>
        <v>000348</v>
      </c>
      <c r="I13" s="1" t="str">
        <f>IFERROR(__xludf.DUMMYFUNCTION("""COMPUTED_VALUE"""),"นายธีรนันท์ ไม้สนธิ์")</f>
        <v>นายธีรนันท์ ไม้สนธิ์</v>
      </c>
      <c r="J13" s="3">
        <f>IFERROR(__xludf.DUMMYFUNCTION("""COMPUTED_VALUE"""),348.0)</f>
        <v>348</v>
      </c>
      <c r="K13" s="3" t="str">
        <f>IFERROR(__xludf.DUMMYFUNCTION("""COMPUTED_VALUE"""),"นายธีรนันท์ ไม้สนธิ์")</f>
        <v>นายธีรนันท์ ไม้สนธิ์</v>
      </c>
      <c r="L13" s="1" t="str">
        <f>IFERROR(__xludf.DUMMYFUNCTION("""COMPUTED_VALUE"""),"Hub07-North")</f>
        <v>Hub07-North</v>
      </c>
      <c r="M13" s="1" t="str">
        <f>IFERROR(__xludf.DUMMYFUNCTION("""COMPUTED_VALUE"""),"0614175866")</f>
        <v>0614175866</v>
      </c>
      <c r="N13" s="3">
        <f>IFERROR(__xludf.DUMMYFUNCTION("""COMPUTED_VALUE"""),11113.0)</f>
        <v>11113</v>
      </c>
      <c r="O13" s="3" t="str">
        <f>IFERROR(__xludf.DUMMYFUNCTION("""COMPUTED_VALUE"""),"สาขาพิษณุโลก")</f>
        <v>สาขาพิษณุโลก</v>
      </c>
      <c r="P13" s="4">
        <f>IFERROR(__xludf.DUMMYFUNCTION("""COMPUTED_VALUE"""),35523.0)</f>
        <v>35523</v>
      </c>
      <c r="Q13" s="3" t="str">
        <f>IFERROR(__xludf.DUMMYFUNCTION("""COMPUTED_VALUE"""),"A")</f>
        <v>A</v>
      </c>
      <c r="R13" s="3" t="str">
        <f>IFERROR(__xludf.DUMMYFUNCTION("""COMPUTED_VALUE"""),"Big Format")</f>
        <v>Big Format</v>
      </c>
      <c r="S13" s="3" t="str">
        <f>IFERROR(__xludf.DUMMYFUNCTION("""COMPUTED_VALUE"""),"Hyper")</f>
        <v>Hyper</v>
      </c>
      <c r="T13" s="3" t="str">
        <f>IFERROR(__xludf.DUMMYFUNCTION("""COMPUTED_VALUE"""),"Hub07-North")</f>
        <v>Hub07-North</v>
      </c>
      <c r="U13" s="3" t="str">
        <f>IFERROR(__xludf.DUMMYFUNCTION("""COMPUTED_VALUE"""),"Hub07-North")</f>
        <v>Hub07-North</v>
      </c>
      <c r="V13" s="3" t="str">
        <f>IFERROR(__xludf.DUMMYFUNCTION("""COMPUTED_VALUE"""),"N")</f>
        <v>N</v>
      </c>
      <c r="W13" s="3">
        <f>IFERROR(__xludf.DUMMYFUNCTION("""COMPUTED_VALUE"""),110171.0)</f>
        <v>110171</v>
      </c>
      <c r="X13" s="3" t="str">
        <f>IFERROR(__xludf.DUMMYFUNCTION("""COMPUTED_VALUE"""),"939 ถนนพิชัยสงคราม ตำบลในเมือง อำเภอเมืองพิษณุโลก จังหวัดพิษณุโลก 65000")</f>
        <v>939 ถนนพิชัยสงคราม ตำบลในเมือง อำเภอเมืองพิษณุโลก จังหวัดพิษณุโลก 65000</v>
      </c>
      <c r="Y13" s="3" t="str">
        <f>IFERROR(__xludf.DUMMYFUNCTION("""COMPUTED_VALUE"""),"ถนนพิชัยสงคราม")</f>
        <v>ถนนพิชัยสงคราม</v>
      </c>
      <c r="Z13" s="3" t="str">
        <f>IFERROR(__xludf.DUMMYFUNCTION("""COMPUTED_VALUE"""),"ในเมือง")</f>
        <v>ในเมือง</v>
      </c>
      <c r="AA13" s="3" t="str">
        <f>IFERROR(__xludf.DUMMYFUNCTION("""COMPUTED_VALUE"""),"เมือง")</f>
        <v>เมือง</v>
      </c>
      <c r="AB13" s="3" t="str">
        <f>IFERROR(__xludf.DUMMYFUNCTION("""COMPUTED_VALUE"""),"พิษณุโลก")</f>
        <v>พิษณุโลก</v>
      </c>
      <c r="AC13" s="3">
        <f>IFERROR(__xludf.DUMMYFUNCTION("""COMPUTED_VALUE"""),65000.0)</f>
        <v>65000</v>
      </c>
      <c r="AD13" s="3">
        <f>IFERROR(__xludf.DUMMYFUNCTION("""COMPUTED_VALUE"""),16.81580768)</f>
        <v>16.81580768</v>
      </c>
      <c r="AE13" s="3">
        <f>IFERROR(__xludf.DUMMYFUNCTION("""COMPUTED_VALUE"""),100.2896565)</f>
        <v>100.2896565</v>
      </c>
      <c r="AF13" s="3" t="str">
        <f>IFERROR(__xludf.DUMMYFUNCTION("""COMPUTED_VALUE"""),"สาขาพิษณุโลก-11113")</f>
        <v>สาขาพิษณุโลก-11113</v>
      </c>
      <c r="AG13" s="3" t="str">
        <f>IFERROR(__xludf.DUMMYFUNCTION("""COMPUTED_VALUE"""),"กลาง")</f>
        <v>กลาง</v>
      </c>
      <c r="AH13" s="3" t="str">
        <f>IFERROR(__xludf.DUMMYFUNCTION("""COMPUTED_VALUE"""),"Wichai Soomboonsod")</f>
        <v>Wichai Soomboonsod</v>
      </c>
      <c r="AI13" s="3" t="str">
        <f>IFERROR(__xludf.DUMMYFUNCTION("""COMPUTED_VALUE"""),"Out of warranty")</f>
        <v>Out of warranty</v>
      </c>
      <c r="AJ13" s="3">
        <f>IFERROR(__xludf.DUMMYFUNCTION("""COMPUTED_VALUE"""),346.0)</f>
        <v>346</v>
      </c>
      <c r="AK13" s="3"/>
      <c r="AL13" s="3" t="str">
        <f>IFERROR(__xludf.DUMMYFUNCTION("""COMPUTED_VALUE"""),"sgm.phitsanulok@bigc.co.th")</f>
        <v>sgm.phitsanulok@bigc.co.th</v>
      </c>
    </row>
    <row r="14" ht="15.75" customHeight="1">
      <c r="A14" s="1" t="str">
        <f>IFERROR(__xludf.DUMMYFUNCTION("""COMPUTED_VALUE"""),"11114")</f>
        <v>11114</v>
      </c>
      <c r="B14" s="2">
        <f>IFERROR(__xludf.DUMMYFUNCTION("""COMPUTED_VALUE"""),11114.0)</f>
        <v>11114</v>
      </c>
      <c r="C14" s="3" t="str">
        <f>IFERROR(__xludf.DUMMYFUNCTION("""COMPUTED_VALUE"""),"รัตนาธิเบศร์")</f>
        <v>รัตนาธิเบศร์</v>
      </c>
      <c r="D14" s="3" t="str">
        <f>IFERROR(__xludf.DUMMYFUNCTION("""COMPUTED_VALUE"""),"BIGC RATTANATHIBETH")</f>
        <v>BIGC RATTANATHIBETH</v>
      </c>
      <c r="E14" s="1" t="str">
        <f>IFERROR(__xludf.DUMMYFUNCTION("""COMPUTED_VALUE"""),"บิ๊กซี HyperMarket")</f>
        <v>บิ๊กซี HyperMarket</v>
      </c>
      <c r="F14" s="1" t="str">
        <f>IFERROR(__xludf.DUMMYFUNCTION("""COMPUTED_VALUE"""),"295541")</f>
        <v>295541</v>
      </c>
      <c r="G14" s="1" t="str">
        <f>IFERROR(__xludf.DUMMYFUNCTION("""COMPUTED_VALUE"""),"นายรพิพล ศรีมาตย์")</f>
        <v>นายรพิพล ศรีมาตย์</v>
      </c>
      <c r="H14" s="1" t="str">
        <f>IFERROR(__xludf.DUMMYFUNCTION("""COMPUTED_VALUE"""),"295541")</f>
        <v>295541</v>
      </c>
      <c r="I14" s="1" t="str">
        <f>IFERROR(__xludf.DUMMYFUNCTION("""COMPUTED_VALUE"""),"นายรพิพล ศรีมาตย์")</f>
        <v>นายรพิพล ศรีมาตย์</v>
      </c>
      <c r="J14" s="3">
        <f>IFERROR(__xludf.DUMMYFUNCTION("""COMPUTED_VALUE"""),295541.0)</f>
        <v>295541</v>
      </c>
      <c r="K14" s="3" t="str">
        <f>IFERROR(__xludf.DUMMYFUNCTION("""COMPUTED_VALUE"""),"นายรพิพล ศรีมาตย์")</f>
        <v>นายรพิพล ศรีมาตย์</v>
      </c>
      <c r="L14" s="1" t="str">
        <f>IFERROR(__xludf.DUMMYFUNCTION("""COMPUTED_VALUE"""),"นายรพิพล ศรีมาตย์")</f>
        <v>นายรพิพล ศรีมาตย์</v>
      </c>
      <c r="M14" s="1" t="str">
        <f>IFERROR(__xludf.DUMMYFUNCTION("""COMPUTED_VALUE"""),"0613966115")</f>
        <v>0613966115</v>
      </c>
      <c r="N14" s="3">
        <f>IFERROR(__xludf.DUMMYFUNCTION("""COMPUTED_VALUE"""),11114.0)</f>
        <v>11114</v>
      </c>
      <c r="O14" s="3" t="str">
        <f>IFERROR(__xludf.DUMMYFUNCTION("""COMPUTED_VALUE"""),"รัตนาธิเบศร์")</f>
        <v>รัตนาธิเบศร์</v>
      </c>
      <c r="P14" s="4">
        <f>IFERROR(__xludf.DUMMYFUNCTION("""COMPUTED_VALUE"""),35530.0)</f>
        <v>35530</v>
      </c>
      <c r="Q14" s="3" t="str">
        <f>IFERROR(__xludf.DUMMYFUNCTION("""COMPUTED_VALUE"""),"I")</f>
        <v>I</v>
      </c>
      <c r="R14" s="3" t="str">
        <f>IFERROR(__xludf.DUMMYFUNCTION("""COMPUTED_VALUE"""),"Big Format")</f>
        <v>Big Format</v>
      </c>
      <c r="S14" s="3" t="str">
        <f>IFERROR(__xludf.DUMMYFUNCTION("""COMPUTED_VALUE"""),"Hyper")</f>
        <v>Hyper</v>
      </c>
      <c r="T14" s="3" t="str">
        <f>IFERROR(__xludf.DUMMYFUNCTION("""COMPUTED_VALUE"""),"นายรพิพล ศรีมาตย์")</f>
        <v>นายรพิพล ศรีมาตย์</v>
      </c>
      <c r="U14" s="3" t="str">
        <f>IFERROR(__xludf.DUMMYFUNCTION("""COMPUTED_VALUE"""),"นายรพิพล ศรีมาตย์")</f>
        <v>นายรพิพล ศรีมาตย์</v>
      </c>
      <c r="V14" s="3" t="str">
        <f>IFERROR(__xludf.DUMMYFUNCTION("""COMPUTED_VALUE"""),"N")</f>
        <v>N</v>
      </c>
      <c r="W14" s="3">
        <f>IFERROR(__xludf.DUMMYFUNCTION("""COMPUTED_VALUE"""),111114.0)</f>
        <v>111114</v>
      </c>
      <c r="X14" s="3" t="str">
        <f>IFERROR(__xludf.DUMMYFUNCTION("""COMPUTED_VALUE"""),"เลขที่ 6 หมู่ที่ 6 ตำบลเสาธงหิน อำเภอบางใหญ่ จังหวัดนนทบุรี 11140")</f>
        <v>เลขที่ 6 หมู่ที่ 6 ตำบลเสาธงหิน อำเภอบางใหญ่ จังหวัดนนทบุรี 11140</v>
      </c>
      <c r="Y14" s="3"/>
      <c r="Z14" s="3" t="str">
        <f>IFERROR(__xludf.DUMMYFUNCTION("""COMPUTED_VALUE"""),"เสาธงหิน")</f>
        <v>เสาธงหิน</v>
      </c>
      <c r="AA14" s="3" t="str">
        <f>IFERROR(__xludf.DUMMYFUNCTION("""COMPUTED_VALUE"""),"บางใหญ่")</f>
        <v>บางใหญ่</v>
      </c>
      <c r="AB14" s="3" t="str">
        <f>IFERROR(__xludf.DUMMYFUNCTION("""COMPUTED_VALUE"""),"นนทบุรี")</f>
        <v>นนทบุรี</v>
      </c>
      <c r="AC14" s="3">
        <f>IFERROR(__xludf.DUMMYFUNCTION("""COMPUTED_VALUE"""),11140.0)</f>
        <v>11140</v>
      </c>
      <c r="AD14" s="3">
        <f>IFERROR(__xludf.DUMMYFUNCTION("""COMPUTED_VALUE"""),13.880054)</f>
        <v>13.880054</v>
      </c>
      <c r="AE14" s="3">
        <f>IFERROR(__xludf.DUMMYFUNCTION("""COMPUTED_VALUE"""),100.410345)</f>
        <v>100.410345</v>
      </c>
      <c r="AF14" s="3" t="str">
        <f>IFERROR(__xludf.DUMMYFUNCTION("""COMPUTED_VALUE"""),"รัตนาธิเบศร์-11114")</f>
        <v>รัตนาธิเบศร์-11114</v>
      </c>
      <c r="AG14" s="3" t="str">
        <f>IFERROR(__xludf.DUMMYFUNCTION("""COMPUTED_VALUE"""),"กลาง")</f>
        <v>กลาง</v>
      </c>
      <c r="AH14" s="3" t="str">
        <f>IFERROR(__xludf.DUMMYFUNCTION("""COMPUTED_VALUE"""),"#N/A")</f>
        <v>#N/A</v>
      </c>
      <c r="AI14" s="3" t="str">
        <f>IFERROR(__xludf.DUMMYFUNCTION("""COMPUTED_VALUE"""),"Out of warranty")</f>
        <v>Out of warranty</v>
      </c>
      <c r="AJ14" s="3">
        <f>IFERROR(__xludf.DUMMYFUNCTION("""COMPUTED_VALUE"""),346.0)</f>
        <v>346</v>
      </c>
      <c r="AK14" s="3"/>
      <c r="AL14" s="3" t="str">
        <f>IFERROR(__xludf.DUMMYFUNCTION("""COMPUTED_VALUE"""),"sgm.rattanatibeth@bigc.co.th")</f>
        <v>sgm.rattanatibeth@bigc.co.th</v>
      </c>
    </row>
    <row r="15" ht="15.75" customHeight="1">
      <c r="A15" s="1" t="str">
        <f>IFERROR(__xludf.DUMMYFUNCTION("""COMPUTED_VALUE"""),"11115")</f>
        <v>11115</v>
      </c>
      <c r="B15" s="2">
        <f>IFERROR(__xludf.DUMMYFUNCTION("""COMPUTED_VALUE"""),11115.0)</f>
        <v>11115</v>
      </c>
      <c r="C15" s="3" t="str">
        <f>IFERROR(__xludf.DUMMYFUNCTION("""COMPUTED_VALUE"""),"ระยอง")</f>
        <v>ระยอง</v>
      </c>
      <c r="D15" s="3" t="str">
        <f>IFERROR(__xludf.DUMMYFUNCTION("""COMPUTED_VALUE"""),"BIGC RAYONG")</f>
        <v>BIGC RAYONG</v>
      </c>
      <c r="E15" s="1" t="str">
        <f>IFERROR(__xludf.DUMMYFUNCTION("""COMPUTED_VALUE"""),"บิ๊กซี HyperMarket")</f>
        <v>บิ๊กซี HyperMarket</v>
      </c>
      <c r="F15" s="1" t="str">
        <f>IFERROR(__xludf.DUMMYFUNCTION("""COMPUTED_VALUE"""),"2455164")</f>
        <v>2455164</v>
      </c>
      <c r="G15" s="1" t="str">
        <f>IFERROR(__xludf.DUMMYFUNCTION("""COMPUTED_VALUE"""),"นายกรวิทย์ เจริญพร")</f>
        <v>นายกรวิทย์ เจริญพร</v>
      </c>
      <c r="H15" s="1" t="str">
        <f>IFERROR(__xludf.DUMMYFUNCTION("""COMPUTED_VALUE"""),"2455164")</f>
        <v>2455164</v>
      </c>
      <c r="I15" s="1" t="str">
        <f>IFERROR(__xludf.DUMMYFUNCTION("""COMPUTED_VALUE"""),"นายกรวิทย์ เจริญพร")</f>
        <v>นายกรวิทย์ เจริญพร</v>
      </c>
      <c r="J15" s="3">
        <f>IFERROR(__xludf.DUMMYFUNCTION("""COMPUTED_VALUE"""),2455164.0)</f>
        <v>2455164</v>
      </c>
      <c r="K15" s="3" t="str">
        <f>IFERROR(__xludf.DUMMYFUNCTION("""COMPUTED_VALUE"""),"นายกรวิทย์ เจริญพร")</f>
        <v>นายกรวิทย์ เจริญพร</v>
      </c>
      <c r="L15" s="1" t="str">
        <f>IFERROR(__xludf.DUMMYFUNCTION("""COMPUTED_VALUE"""),"Hub08-East")</f>
        <v>Hub08-East</v>
      </c>
      <c r="M15" s="1" t="str">
        <f>IFERROR(__xludf.DUMMYFUNCTION("""COMPUTED_VALUE"""),"092-605-9922")</f>
        <v>092-605-9922</v>
      </c>
      <c r="N15" s="3">
        <f>IFERROR(__xludf.DUMMYFUNCTION("""COMPUTED_VALUE"""),11115.0)</f>
        <v>11115</v>
      </c>
      <c r="O15" s="3" t="str">
        <f>IFERROR(__xludf.DUMMYFUNCTION("""COMPUTED_VALUE"""),"ระยอง")</f>
        <v>ระยอง</v>
      </c>
      <c r="P15" s="4">
        <f>IFERROR(__xludf.DUMMYFUNCTION("""COMPUTED_VALUE"""),35626.0)</f>
        <v>35626</v>
      </c>
      <c r="Q15" s="3" t="str">
        <f>IFERROR(__xludf.DUMMYFUNCTION("""COMPUTED_VALUE"""),"A")</f>
        <v>A</v>
      </c>
      <c r="R15" s="3" t="str">
        <f>IFERROR(__xludf.DUMMYFUNCTION("""COMPUTED_VALUE"""),"Big Format")</f>
        <v>Big Format</v>
      </c>
      <c r="S15" s="3" t="str">
        <f>IFERROR(__xludf.DUMMYFUNCTION("""COMPUTED_VALUE"""),"Hyper")</f>
        <v>Hyper</v>
      </c>
      <c r="T15" s="3" t="str">
        <f>IFERROR(__xludf.DUMMYFUNCTION("""COMPUTED_VALUE"""),"Hub08-East")</f>
        <v>Hub08-East</v>
      </c>
      <c r="U15" s="3" t="str">
        <f>IFERROR(__xludf.DUMMYFUNCTION("""COMPUTED_VALUE"""),"Hub08-East")</f>
        <v>Hub08-East</v>
      </c>
      <c r="V15" s="3" t="str">
        <f>IFERROR(__xludf.DUMMYFUNCTION("""COMPUTED_VALUE"""),"N")</f>
        <v>N</v>
      </c>
      <c r="W15" s="3">
        <f>IFERROR(__xludf.DUMMYFUNCTION("""COMPUTED_VALUE"""),111115.0)</f>
        <v>111115</v>
      </c>
      <c r="X15" s="3" t="str">
        <f>IFERROR(__xludf.DUMMYFUNCTION("""COMPUTED_VALUE"""),"15/11 ถ.บางนา-ตราด ต.เชิงเนิน อ.เมือง จ.ระยอง 21000")</f>
        <v>15/11 ถ.บางนา-ตราด ต.เชิงเนิน อ.เมือง จ.ระยอง 21000</v>
      </c>
      <c r="Y15" s="3" t="str">
        <f>IFERROR(__xludf.DUMMYFUNCTION("""COMPUTED_VALUE"""),"ถ.บางนา-ตราด")</f>
        <v>ถ.บางนา-ตราด</v>
      </c>
      <c r="Z15" s="3" t="str">
        <f>IFERROR(__xludf.DUMMYFUNCTION("""COMPUTED_VALUE"""),"เชิงเนิน")</f>
        <v>เชิงเนิน</v>
      </c>
      <c r="AA15" s="3" t="str">
        <f>IFERROR(__xludf.DUMMYFUNCTION("""COMPUTED_VALUE"""),"เมือง")</f>
        <v>เมือง</v>
      </c>
      <c r="AB15" s="3" t="str">
        <f>IFERROR(__xludf.DUMMYFUNCTION("""COMPUTED_VALUE"""),"ระยอง")</f>
        <v>ระยอง</v>
      </c>
      <c r="AC15" s="3">
        <f>IFERROR(__xludf.DUMMYFUNCTION("""COMPUTED_VALUE"""),21000.0)</f>
        <v>21000</v>
      </c>
      <c r="AD15" s="3">
        <f>IFERROR(__xludf.DUMMYFUNCTION("""COMPUTED_VALUE"""),12.69932841)</f>
        <v>12.69932841</v>
      </c>
      <c r="AE15" s="3">
        <f>IFERROR(__xludf.DUMMYFUNCTION("""COMPUTED_VALUE"""),101.2684751)</f>
        <v>101.2684751</v>
      </c>
      <c r="AF15" s="3" t="str">
        <f>IFERROR(__xludf.DUMMYFUNCTION("""COMPUTED_VALUE"""),"ระยอง-11115")</f>
        <v>ระยอง-11115</v>
      </c>
      <c r="AG15" s="3" t="str">
        <f>IFERROR(__xludf.DUMMYFUNCTION("""COMPUTED_VALUE"""),"ตะวันออก")</f>
        <v>ตะวันออก</v>
      </c>
      <c r="AH15" s="3" t="str">
        <f>IFERROR(__xludf.DUMMYFUNCTION("""COMPUTED_VALUE"""),"Walaiporn Sutyod")</f>
        <v>Walaiporn Sutyod</v>
      </c>
      <c r="AI15" s="3" t="str">
        <f>IFERROR(__xludf.DUMMYFUNCTION("""COMPUTED_VALUE"""),"Out of warranty")</f>
        <v>Out of warranty</v>
      </c>
      <c r="AJ15" s="3">
        <f>IFERROR(__xludf.DUMMYFUNCTION("""COMPUTED_VALUE"""),343.0)</f>
        <v>343</v>
      </c>
      <c r="AK15" s="3"/>
      <c r="AL15" s="3" t="str">
        <f>IFERROR(__xludf.DUMMYFUNCTION("""COMPUTED_VALUE"""),"sgm.rayong@bigc.co.th")</f>
        <v>sgm.rayong@bigc.co.th</v>
      </c>
    </row>
    <row r="16" ht="15.75" customHeight="1">
      <c r="A16" s="1" t="str">
        <f>IFERROR(__xludf.DUMMYFUNCTION("""COMPUTED_VALUE"""),"11116")</f>
        <v>11116</v>
      </c>
      <c r="B16" s="2">
        <f>IFERROR(__xludf.DUMMYFUNCTION("""COMPUTED_VALUE"""),11116.0)</f>
        <v>11116</v>
      </c>
      <c r="C16" s="3" t="str">
        <f>IFERROR(__xludf.DUMMYFUNCTION("""COMPUTED_VALUE"""),"พระราม2")</f>
        <v>พระราม2</v>
      </c>
      <c r="D16" s="3" t="str">
        <f>IFERROR(__xludf.DUMMYFUNCTION("""COMPUTED_VALUE"""),"BIGC THONBURI-PAKTOR")</f>
        <v>BIGC THONBURI-PAKTOR</v>
      </c>
      <c r="E16" s="1" t="str">
        <f>IFERROR(__xludf.DUMMYFUNCTION("""COMPUTED_VALUE"""),"บิ๊กซี HyperMarket")</f>
        <v>บิ๊กซี HyperMarket</v>
      </c>
      <c r="F16" s="1" t="str">
        <f>IFERROR(__xludf.DUMMYFUNCTION("""COMPUTED_VALUE"""),"2454701")</f>
        <v>2454701</v>
      </c>
      <c r="G16" s="1" t="str">
        <f>IFERROR(__xludf.DUMMYFUNCTION("""COMPUTED_VALUE"""),"นายกานต์ ไชยแสงศรี")</f>
        <v>นายกานต์ ไชยแสงศรี</v>
      </c>
      <c r="H16" s="1" t="str">
        <f>IFERROR(__xludf.DUMMYFUNCTION("""COMPUTED_VALUE"""),"2454701")</f>
        <v>2454701</v>
      </c>
      <c r="I16" s="1" t="str">
        <f>IFERROR(__xludf.DUMMYFUNCTION("""COMPUTED_VALUE"""),"นายกานต์ ไชยแสงศรี")</f>
        <v>นายกานต์ ไชยแสงศรี</v>
      </c>
      <c r="J16" s="3">
        <f>IFERROR(__xludf.DUMMYFUNCTION("""COMPUTED_VALUE"""),2454701.0)</f>
        <v>2454701</v>
      </c>
      <c r="K16" s="3" t="str">
        <f>IFERROR(__xludf.DUMMYFUNCTION("""COMPUTED_VALUE"""),"นายกานต์ ไชยแสงศรี")</f>
        <v>นายกานต์ ไชยแสงศรี</v>
      </c>
      <c r="L16" s="1" t="str">
        <f>IFERROR(__xludf.DUMMYFUNCTION("""COMPUTED_VALUE"""),"Hub01-BKK 1")</f>
        <v>Hub01-BKK 1</v>
      </c>
      <c r="M16" s="1" t="str">
        <f>IFERROR(__xludf.DUMMYFUNCTION("""COMPUTED_VALUE"""),"0909090652")</f>
        <v>0909090652</v>
      </c>
      <c r="N16" s="3">
        <f>IFERROR(__xludf.DUMMYFUNCTION("""COMPUTED_VALUE"""),11116.0)</f>
        <v>11116</v>
      </c>
      <c r="O16" s="3" t="str">
        <f>IFERROR(__xludf.DUMMYFUNCTION("""COMPUTED_VALUE"""),"พระราม2")</f>
        <v>พระราม2</v>
      </c>
      <c r="P16" s="4">
        <f>IFERROR(__xludf.DUMMYFUNCTION("""COMPUTED_VALUE"""),35692.0)</f>
        <v>35692</v>
      </c>
      <c r="Q16" s="3" t="str">
        <f>IFERROR(__xludf.DUMMYFUNCTION("""COMPUTED_VALUE"""),"A")</f>
        <v>A</v>
      </c>
      <c r="R16" s="3" t="str">
        <f>IFERROR(__xludf.DUMMYFUNCTION("""COMPUTED_VALUE"""),"Big Format")</f>
        <v>Big Format</v>
      </c>
      <c r="S16" s="3" t="str">
        <f>IFERROR(__xludf.DUMMYFUNCTION("""COMPUTED_VALUE"""),"Hyper")</f>
        <v>Hyper</v>
      </c>
      <c r="T16" s="3" t="str">
        <f>IFERROR(__xludf.DUMMYFUNCTION("""COMPUTED_VALUE"""),"Hub01-BKK 1")</f>
        <v>Hub01-BKK 1</v>
      </c>
      <c r="U16" s="3" t="str">
        <f>IFERROR(__xludf.DUMMYFUNCTION("""COMPUTED_VALUE"""),"Hub01-BKK 1")</f>
        <v>Hub01-BKK 1</v>
      </c>
      <c r="V16" s="3" t="str">
        <f>IFERROR(__xludf.DUMMYFUNCTION("""COMPUTED_VALUE"""),"N")</f>
        <v>N</v>
      </c>
      <c r="W16" s="3">
        <f>IFERROR(__xludf.DUMMYFUNCTION("""COMPUTED_VALUE"""),111116.0)</f>
        <v>111116</v>
      </c>
      <c r="X16" s="3" t="str">
        <f>IFERROR(__xludf.DUMMYFUNCTION("""COMPUTED_VALUE"""),"127 ถนนพระราม2 แขวงแสมดำ เขตบางขุนเทียน กรุงเทพฯ 10150")</f>
        <v>127 ถนนพระราม2 แขวงแสมดำ เขตบางขุนเทียน กรุงเทพฯ 10150</v>
      </c>
      <c r="Y16" s="3" t="str">
        <f>IFERROR(__xludf.DUMMYFUNCTION("""COMPUTED_VALUE"""),"ถนนพระราม2")</f>
        <v>ถนนพระราม2</v>
      </c>
      <c r="Z16" s="3" t="str">
        <f>IFERROR(__xludf.DUMMYFUNCTION("""COMPUTED_VALUE"""),"แสมดำ")</f>
        <v>แสมดำ</v>
      </c>
      <c r="AA16" s="3" t="str">
        <f>IFERROR(__xludf.DUMMYFUNCTION("""COMPUTED_VALUE"""),"บางขุนเทียน")</f>
        <v>บางขุนเทียน</v>
      </c>
      <c r="AB16" s="3" t="str">
        <f>IFERROR(__xludf.DUMMYFUNCTION("""COMPUTED_VALUE"""),"กรุงเทพมหานคร")</f>
        <v>กรุงเทพมหานคร</v>
      </c>
      <c r="AC16" s="3">
        <f>IFERROR(__xludf.DUMMYFUNCTION("""COMPUTED_VALUE"""),10150.0)</f>
        <v>10150</v>
      </c>
      <c r="AD16" s="3">
        <f>IFERROR(__xludf.DUMMYFUNCTION("""COMPUTED_VALUE"""),13.661469)</f>
        <v>13.661469</v>
      </c>
      <c r="AE16" s="3">
        <f>IFERROR(__xludf.DUMMYFUNCTION("""COMPUTED_VALUE"""),100.440548)</f>
        <v>100.440548</v>
      </c>
      <c r="AF16" s="3" t="str">
        <f>IFERROR(__xludf.DUMMYFUNCTION("""COMPUTED_VALUE"""),"พระราม2-11116")</f>
        <v>พระราม2-11116</v>
      </c>
      <c r="AG16" s="3" t="str">
        <f>IFERROR(__xludf.DUMMYFUNCTION("""COMPUTED_VALUE"""),"กลาง")</f>
        <v>กลาง</v>
      </c>
      <c r="AH16" s="3" t="str">
        <f>IFERROR(__xludf.DUMMYFUNCTION("""COMPUTED_VALUE"""),"Suchin Thawinwisan")</f>
        <v>Suchin Thawinwisan</v>
      </c>
      <c r="AI16" s="3" t="str">
        <f>IFERROR(__xludf.DUMMYFUNCTION("""COMPUTED_VALUE"""),"Out of warranty")</f>
        <v>Out of warranty</v>
      </c>
      <c r="AJ16" s="3">
        <f>IFERROR(__xludf.DUMMYFUNCTION("""COMPUTED_VALUE"""),341.0)</f>
        <v>341</v>
      </c>
      <c r="AK16" s="3"/>
      <c r="AL16" s="3" t="str">
        <f>IFERROR(__xludf.DUMMYFUNCTION("""COMPUTED_VALUE"""),"sgm.rama2@bigc.co.th")</f>
        <v>sgm.rama2@bigc.co.th</v>
      </c>
    </row>
    <row r="17" ht="15.75" customHeight="1">
      <c r="A17" s="1" t="str">
        <f>IFERROR(__xludf.DUMMYFUNCTION("""COMPUTED_VALUE"""),"11117")</f>
        <v>11117</v>
      </c>
      <c r="B17" s="2">
        <f>IFERROR(__xludf.DUMMYFUNCTION("""COMPUTED_VALUE"""),11117.0)</f>
        <v>11117</v>
      </c>
      <c r="C17" s="3" t="str">
        <f>IFERROR(__xludf.DUMMYFUNCTION("""COMPUTED_VALUE"""),"เชียงราย")</f>
        <v>เชียงราย</v>
      </c>
      <c r="D17" s="3" t="str">
        <f>IFERROR(__xludf.DUMMYFUNCTION("""COMPUTED_VALUE"""),"BIGC CHIANG RAI")</f>
        <v>BIGC CHIANG RAI</v>
      </c>
      <c r="E17" s="1" t="str">
        <f>IFERROR(__xludf.DUMMYFUNCTION("""COMPUTED_VALUE"""),"บิ๊กซี HyperMarket")</f>
        <v>บิ๊กซี HyperMarket</v>
      </c>
      <c r="F17" s="1" t="str">
        <f>IFERROR(__xludf.DUMMYFUNCTION("""COMPUTED_VALUE"""),"000348")</f>
        <v>000348</v>
      </c>
      <c r="G17" s="1" t="str">
        <f>IFERROR(__xludf.DUMMYFUNCTION("""COMPUTED_VALUE"""),"นายธีรนันท์ ไม้สนธิ์")</f>
        <v>นายธีรนันท์ ไม้สนธิ์</v>
      </c>
      <c r="H17" s="1" t="str">
        <f>IFERROR(__xludf.DUMMYFUNCTION("""COMPUTED_VALUE"""),"000348")</f>
        <v>000348</v>
      </c>
      <c r="I17" s="1" t="str">
        <f>IFERROR(__xludf.DUMMYFUNCTION("""COMPUTED_VALUE"""),"นายธีรนันท์ ไม้สนธิ์")</f>
        <v>นายธีรนันท์ ไม้สนธิ์</v>
      </c>
      <c r="J17" s="3">
        <f>IFERROR(__xludf.DUMMYFUNCTION("""COMPUTED_VALUE"""),348.0)</f>
        <v>348</v>
      </c>
      <c r="K17" s="3" t="str">
        <f>IFERROR(__xludf.DUMMYFUNCTION("""COMPUTED_VALUE"""),"นายธีรนันท์ ไม้สนธิ์")</f>
        <v>นายธีรนันท์ ไม้สนธิ์</v>
      </c>
      <c r="L17" s="1" t="str">
        <f>IFERROR(__xludf.DUMMYFUNCTION("""COMPUTED_VALUE"""),"Hub07-North")</f>
        <v>Hub07-North</v>
      </c>
      <c r="M17" s="1" t="str">
        <f>IFERROR(__xludf.DUMMYFUNCTION("""COMPUTED_VALUE"""),"0614175866")</f>
        <v>0614175866</v>
      </c>
      <c r="N17" s="3">
        <f>IFERROR(__xludf.DUMMYFUNCTION("""COMPUTED_VALUE"""),11117.0)</f>
        <v>11117</v>
      </c>
      <c r="O17" s="3" t="str">
        <f>IFERROR(__xludf.DUMMYFUNCTION("""COMPUTED_VALUE"""),"เชียงราย")</f>
        <v>เชียงราย</v>
      </c>
      <c r="P17" s="4">
        <f>IFERROR(__xludf.DUMMYFUNCTION("""COMPUTED_VALUE"""),35697.0)</f>
        <v>35697</v>
      </c>
      <c r="Q17" s="3" t="str">
        <f>IFERROR(__xludf.DUMMYFUNCTION("""COMPUTED_VALUE"""),"A")</f>
        <v>A</v>
      </c>
      <c r="R17" s="3" t="str">
        <f>IFERROR(__xludf.DUMMYFUNCTION("""COMPUTED_VALUE"""),"Big Format")</f>
        <v>Big Format</v>
      </c>
      <c r="S17" s="3" t="str">
        <f>IFERROR(__xludf.DUMMYFUNCTION("""COMPUTED_VALUE"""),"Hyper")</f>
        <v>Hyper</v>
      </c>
      <c r="T17" s="3" t="str">
        <f>IFERROR(__xludf.DUMMYFUNCTION("""COMPUTED_VALUE"""),"Hub07-North")</f>
        <v>Hub07-North</v>
      </c>
      <c r="U17" s="3" t="str">
        <f>IFERROR(__xludf.DUMMYFUNCTION("""COMPUTED_VALUE"""),"Hub07-North")</f>
        <v>Hub07-North</v>
      </c>
      <c r="V17" s="3" t="str">
        <f>IFERROR(__xludf.DUMMYFUNCTION("""COMPUTED_VALUE"""),"N")</f>
        <v>N</v>
      </c>
      <c r="W17" s="3">
        <f>IFERROR(__xludf.DUMMYFUNCTION("""COMPUTED_VALUE"""),111117.0)</f>
        <v>111117</v>
      </c>
      <c r="X17" s="3" t="str">
        <f>IFERROR(__xludf.DUMMYFUNCTION("""COMPUTED_VALUE"""),"184 หมู่ที่ 25 ตำบลรอบเวียง อำเภอเมืองเชียงราย จังหวัดเชียงราย 57000")</f>
        <v>184 หมู่ที่ 25 ตำบลรอบเวียง อำเภอเมืองเชียงราย จังหวัดเชียงราย 57000</v>
      </c>
      <c r="Y17" s="3"/>
      <c r="Z17" s="3" t="str">
        <f>IFERROR(__xludf.DUMMYFUNCTION("""COMPUTED_VALUE"""),"รอบเวียง")</f>
        <v>รอบเวียง</v>
      </c>
      <c r="AA17" s="3" t="str">
        <f>IFERROR(__xludf.DUMMYFUNCTION("""COMPUTED_VALUE"""),"เมือง")</f>
        <v>เมือง</v>
      </c>
      <c r="AB17" s="3" t="str">
        <f>IFERROR(__xludf.DUMMYFUNCTION("""COMPUTED_VALUE"""),"เชียงราย")</f>
        <v>เชียงราย</v>
      </c>
      <c r="AC17" s="3">
        <f>IFERROR(__xludf.DUMMYFUNCTION("""COMPUTED_VALUE"""),57000.0)</f>
        <v>57000</v>
      </c>
      <c r="AD17" s="3">
        <f>IFERROR(__xludf.DUMMYFUNCTION("""COMPUTED_VALUE"""),19.88852)</f>
        <v>19.88852</v>
      </c>
      <c r="AE17" s="3">
        <f>IFERROR(__xludf.DUMMYFUNCTION("""COMPUTED_VALUE"""),99.83787)</f>
        <v>99.83787</v>
      </c>
      <c r="AF17" s="3" t="str">
        <f>IFERROR(__xludf.DUMMYFUNCTION("""COMPUTED_VALUE"""),"เชียงราย-11117")</f>
        <v>เชียงราย-11117</v>
      </c>
      <c r="AG17" s="3" t="str">
        <f>IFERROR(__xludf.DUMMYFUNCTION("""COMPUTED_VALUE"""),"เหนือ")</f>
        <v>เหนือ</v>
      </c>
      <c r="AH17" s="3" t="str">
        <f>IFERROR(__xludf.DUMMYFUNCTION("""COMPUTED_VALUE"""),"Wichai Soomboonsod")</f>
        <v>Wichai Soomboonsod</v>
      </c>
      <c r="AI17" s="3" t="str">
        <f>IFERROR(__xludf.DUMMYFUNCTION("""COMPUTED_VALUE"""),"Out of warranty")</f>
        <v>Out of warranty</v>
      </c>
      <c r="AJ17" s="3">
        <f>IFERROR(__xludf.DUMMYFUNCTION("""COMPUTED_VALUE"""),340.0)</f>
        <v>340</v>
      </c>
      <c r="AK17" s="3"/>
      <c r="AL17" s="3" t="str">
        <f>IFERROR(__xludf.DUMMYFUNCTION("""COMPUTED_VALUE"""),"sgm.chiangrai@bigc.co.th")</f>
        <v>sgm.chiangrai@bigc.co.th</v>
      </c>
    </row>
    <row r="18" ht="15.75" customHeight="1">
      <c r="A18" s="1" t="str">
        <f>IFERROR(__xludf.DUMMYFUNCTION("""COMPUTED_VALUE"""),"11118")</f>
        <v>11118</v>
      </c>
      <c r="B18" s="2">
        <f>IFERROR(__xludf.DUMMYFUNCTION("""COMPUTED_VALUE"""),11118.0)</f>
        <v>11118</v>
      </c>
      <c r="C18" s="3" t="str">
        <f>IFERROR(__xludf.DUMMYFUNCTION("""COMPUTED_VALUE"""),"ลำปาง")</f>
        <v>ลำปาง</v>
      </c>
      <c r="D18" s="3" t="str">
        <f>IFERROR(__xludf.DUMMYFUNCTION("""COMPUTED_VALUE"""),"BIGC LAMPANG")</f>
        <v>BIGC LAMPANG</v>
      </c>
      <c r="E18" s="1" t="str">
        <f>IFERROR(__xludf.DUMMYFUNCTION("""COMPUTED_VALUE"""),"บิ๊กซี HyperMarket")</f>
        <v>บิ๊กซี HyperMarket</v>
      </c>
      <c r="F18" s="1" t="str">
        <f>IFERROR(__xludf.DUMMYFUNCTION("""COMPUTED_VALUE"""),"000348")</f>
        <v>000348</v>
      </c>
      <c r="G18" s="1" t="str">
        <f>IFERROR(__xludf.DUMMYFUNCTION("""COMPUTED_VALUE"""),"นายธีรนันท์ ไม้สนธิ์")</f>
        <v>นายธีรนันท์ ไม้สนธิ์</v>
      </c>
      <c r="H18" s="1" t="str">
        <f>IFERROR(__xludf.DUMMYFUNCTION("""COMPUTED_VALUE"""),"000348")</f>
        <v>000348</v>
      </c>
      <c r="I18" s="1" t="str">
        <f>IFERROR(__xludf.DUMMYFUNCTION("""COMPUTED_VALUE"""),"นายธีรนันท์ ไม้สนธิ์")</f>
        <v>นายธีรนันท์ ไม้สนธิ์</v>
      </c>
      <c r="J18" s="3">
        <f>IFERROR(__xludf.DUMMYFUNCTION("""COMPUTED_VALUE"""),348.0)</f>
        <v>348</v>
      </c>
      <c r="K18" s="3" t="str">
        <f>IFERROR(__xludf.DUMMYFUNCTION("""COMPUTED_VALUE"""),"นายธีรนันท์ ไม้สนธิ์")</f>
        <v>นายธีรนันท์ ไม้สนธิ์</v>
      </c>
      <c r="L18" s="1" t="str">
        <f>IFERROR(__xludf.DUMMYFUNCTION("""COMPUTED_VALUE"""),"Hub07-North")</f>
        <v>Hub07-North</v>
      </c>
      <c r="M18" s="1" t="str">
        <f>IFERROR(__xludf.DUMMYFUNCTION("""COMPUTED_VALUE"""),"0614175866")</f>
        <v>0614175866</v>
      </c>
      <c r="N18" s="3">
        <f>IFERROR(__xludf.DUMMYFUNCTION("""COMPUTED_VALUE"""),11118.0)</f>
        <v>11118</v>
      </c>
      <c r="O18" s="3" t="str">
        <f>IFERROR(__xludf.DUMMYFUNCTION("""COMPUTED_VALUE"""),"ลำปาง")</f>
        <v>ลำปาง</v>
      </c>
      <c r="P18" s="4">
        <f>IFERROR(__xludf.DUMMYFUNCTION("""COMPUTED_VALUE"""),35734.0)</f>
        <v>35734</v>
      </c>
      <c r="Q18" s="3" t="str">
        <f>IFERROR(__xludf.DUMMYFUNCTION("""COMPUTED_VALUE"""),"A")</f>
        <v>A</v>
      </c>
      <c r="R18" s="3" t="str">
        <f>IFERROR(__xludf.DUMMYFUNCTION("""COMPUTED_VALUE"""),"Big Format")</f>
        <v>Big Format</v>
      </c>
      <c r="S18" s="3" t="str">
        <f>IFERROR(__xludf.DUMMYFUNCTION("""COMPUTED_VALUE"""),"Hyper")</f>
        <v>Hyper</v>
      </c>
      <c r="T18" s="3" t="str">
        <f>IFERROR(__xludf.DUMMYFUNCTION("""COMPUTED_VALUE"""),"Hub07-North")</f>
        <v>Hub07-North</v>
      </c>
      <c r="U18" s="3" t="str">
        <f>IFERROR(__xludf.DUMMYFUNCTION("""COMPUTED_VALUE"""),"Hub07-North")</f>
        <v>Hub07-North</v>
      </c>
      <c r="V18" s="3" t="str">
        <f>IFERROR(__xludf.DUMMYFUNCTION("""COMPUTED_VALUE"""),"N")</f>
        <v>N</v>
      </c>
      <c r="W18" s="3">
        <f>IFERROR(__xludf.DUMMYFUNCTION("""COMPUTED_VALUE"""),111118.0)</f>
        <v>111118</v>
      </c>
      <c r="X18" s="3" t="str">
        <f>IFERROR(__xludf.DUMMYFUNCTION("""COMPUTED_VALUE"""),"65 ถ.ไฮเวย์ลำปาง-งาว ต.สบตุ๋ย อ.เมืองลำปาง จังหวัดลำปาง 52100")</f>
        <v>65 ถ.ไฮเวย์ลำปาง-งาว ต.สบตุ๋ย อ.เมืองลำปาง จังหวัดลำปาง 52100</v>
      </c>
      <c r="Y18" s="3" t="str">
        <f>IFERROR(__xludf.DUMMYFUNCTION("""COMPUTED_VALUE"""),"ถ.ไฮเวย์ลำปาง-งาว")</f>
        <v>ถ.ไฮเวย์ลำปาง-งาว</v>
      </c>
      <c r="Z18" s="3" t="str">
        <f>IFERROR(__xludf.DUMMYFUNCTION("""COMPUTED_VALUE"""),"สบตุ๋ย")</f>
        <v>สบตุ๋ย</v>
      </c>
      <c r="AA18" s="3" t="str">
        <f>IFERROR(__xludf.DUMMYFUNCTION("""COMPUTED_VALUE"""),"เมือง")</f>
        <v>เมือง</v>
      </c>
      <c r="AB18" s="3" t="str">
        <f>IFERROR(__xludf.DUMMYFUNCTION("""COMPUTED_VALUE"""),"ลำปาง")</f>
        <v>ลำปาง</v>
      </c>
      <c r="AC18" s="3">
        <f>IFERROR(__xludf.DUMMYFUNCTION("""COMPUTED_VALUE"""),52100.0)</f>
        <v>52100</v>
      </c>
      <c r="AD18" s="3">
        <f>IFERROR(__xludf.DUMMYFUNCTION("""COMPUTED_VALUE"""),18.2755)</f>
        <v>18.2755</v>
      </c>
      <c r="AE18" s="3">
        <f>IFERROR(__xludf.DUMMYFUNCTION("""COMPUTED_VALUE"""),99.4812)</f>
        <v>99.4812</v>
      </c>
      <c r="AF18" s="3" t="str">
        <f>IFERROR(__xludf.DUMMYFUNCTION("""COMPUTED_VALUE"""),"ลำปาง-11118")</f>
        <v>ลำปาง-11118</v>
      </c>
      <c r="AG18" s="3" t="str">
        <f>IFERROR(__xludf.DUMMYFUNCTION("""COMPUTED_VALUE"""),"เหนือ")</f>
        <v>เหนือ</v>
      </c>
      <c r="AH18" s="3" t="str">
        <f>IFERROR(__xludf.DUMMYFUNCTION("""COMPUTED_VALUE"""),"Wichai Soomboonsod")</f>
        <v>Wichai Soomboonsod</v>
      </c>
      <c r="AI18" s="3" t="str">
        <f>IFERROR(__xludf.DUMMYFUNCTION("""COMPUTED_VALUE"""),"Out of warranty")</f>
        <v>Out of warranty</v>
      </c>
      <c r="AJ18" s="3">
        <f>IFERROR(__xludf.DUMMYFUNCTION("""COMPUTED_VALUE"""),339.0)</f>
        <v>339</v>
      </c>
      <c r="AK18" s="3"/>
      <c r="AL18" s="3" t="str">
        <f>IFERROR(__xludf.DUMMYFUNCTION("""COMPUTED_VALUE"""),"sgm.lampang@bigc.co.th")</f>
        <v>sgm.lampang@bigc.co.th</v>
      </c>
    </row>
    <row r="19" ht="15.75" customHeight="1">
      <c r="A19" s="1" t="str">
        <f>IFERROR(__xludf.DUMMYFUNCTION("""COMPUTED_VALUE"""),"11119")</f>
        <v>11119</v>
      </c>
      <c r="B19" s="2">
        <f>IFERROR(__xludf.DUMMYFUNCTION("""COMPUTED_VALUE"""),11119.0)</f>
        <v>11119</v>
      </c>
      <c r="C19" s="3" t="str">
        <f>IFERROR(__xludf.DUMMYFUNCTION("""COMPUTED_VALUE"""),"ลพบุรี")</f>
        <v>ลพบุรี</v>
      </c>
      <c r="D19" s="3" t="str">
        <f>IFERROR(__xludf.DUMMYFUNCTION("""COMPUTED_VALUE"""),"BIGC LOPBURI")</f>
        <v>BIGC LOPBURI</v>
      </c>
      <c r="E19" s="1" t="str">
        <f>IFERROR(__xludf.DUMMYFUNCTION("""COMPUTED_VALUE"""),"บิ๊กซี HyperMarket")</f>
        <v>บิ๊กซี HyperMarket</v>
      </c>
      <c r="F19" s="1" t="str">
        <f>IFERROR(__xludf.DUMMYFUNCTION("""COMPUTED_VALUE"""),"2455179")</f>
        <v>2455179</v>
      </c>
      <c r="G19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19" s="1" t="str">
        <f>IFERROR(__xludf.DUMMYFUNCTION("""COMPUTED_VALUE"""),"2455179")</f>
        <v>2455179</v>
      </c>
      <c r="I19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19" s="3">
        <f>IFERROR(__xludf.DUMMYFUNCTION("""COMPUTED_VALUE"""),2455179.0)</f>
        <v>2455179</v>
      </c>
      <c r="K19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19" s="1" t="str">
        <f>IFERROR(__xludf.DUMMYFUNCTION("""COMPUTED_VALUE"""),"Hub06-C&amp;W")</f>
        <v>Hub06-C&amp;W</v>
      </c>
      <c r="M19" s="1" t="str">
        <f>IFERROR(__xludf.DUMMYFUNCTION("""COMPUTED_VALUE"""),"090-993-6896")</f>
        <v>090-993-6896</v>
      </c>
      <c r="N19" s="3">
        <f>IFERROR(__xludf.DUMMYFUNCTION("""COMPUTED_VALUE"""),11119.0)</f>
        <v>11119</v>
      </c>
      <c r="O19" s="3" t="str">
        <f>IFERROR(__xludf.DUMMYFUNCTION("""COMPUTED_VALUE"""),"ลพบุรี")</f>
        <v>ลพบุรี</v>
      </c>
      <c r="P19" s="4">
        <f>IFERROR(__xludf.DUMMYFUNCTION("""COMPUTED_VALUE"""),35755.0)</f>
        <v>35755</v>
      </c>
      <c r="Q19" s="3" t="str">
        <f>IFERROR(__xludf.DUMMYFUNCTION("""COMPUTED_VALUE"""),"A")</f>
        <v>A</v>
      </c>
      <c r="R19" s="3" t="str">
        <f>IFERROR(__xludf.DUMMYFUNCTION("""COMPUTED_VALUE"""),"Big Format")</f>
        <v>Big Format</v>
      </c>
      <c r="S19" s="3" t="str">
        <f>IFERROR(__xludf.DUMMYFUNCTION("""COMPUTED_VALUE"""),"Hyper")</f>
        <v>Hyper</v>
      </c>
      <c r="T19" s="3" t="str">
        <f>IFERROR(__xludf.DUMMYFUNCTION("""COMPUTED_VALUE"""),"Hub06-C&amp;W")</f>
        <v>Hub06-C&amp;W</v>
      </c>
      <c r="U19" s="3" t="str">
        <f>IFERROR(__xludf.DUMMYFUNCTION("""COMPUTED_VALUE"""),"Hub06-C&amp;W")</f>
        <v>Hub06-C&amp;W</v>
      </c>
      <c r="V19" s="3" t="str">
        <f>IFERROR(__xludf.DUMMYFUNCTION("""COMPUTED_VALUE"""),"N")</f>
        <v>N</v>
      </c>
      <c r="W19" s="3">
        <f>IFERROR(__xludf.DUMMYFUNCTION("""COMPUTED_VALUE"""),111119.0)</f>
        <v>111119</v>
      </c>
      <c r="X19" s="3" t="str">
        <f>IFERROR(__xludf.DUMMYFUNCTION("""COMPUTED_VALUE"""),"2 หมู่ 1 ต.ท่าศาลา อ.เมืองลพบุรี จ.ลพบุรี 15000 จังหวัดลพบุรี 15000")</f>
        <v>2 หมู่ 1 ต.ท่าศาลา อ.เมืองลพบุรี จ.ลพบุรี 15000 จังหวัดลพบุรี 15000</v>
      </c>
      <c r="Y19" s="3"/>
      <c r="Z19" s="3" t="str">
        <f>IFERROR(__xludf.DUMMYFUNCTION("""COMPUTED_VALUE"""),"ท่าศาลา")</f>
        <v>ท่าศาลา</v>
      </c>
      <c r="AA19" s="3" t="str">
        <f>IFERROR(__xludf.DUMMYFUNCTION("""COMPUTED_VALUE"""),"เมือง")</f>
        <v>เมือง</v>
      </c>
      <c r="AB19" s="3" t="str">
        <f>IFERROR(__xludf.DUMMYFUNCTION("""COMPUTED_VALUE"""),"ลพบุรี")</f>
        <v>ลพบุรี</v>
      </c>
      <c r="AC19" s="3">
        <f>IFERROR(__xludf.DUMMYFUNCTION("""COMPUTED_VALUE"""),15000.0)</f>
        <v>15000</v>
      </c>
      <c r="AD19" s="3">
        <f>IFERROR(__xludf.DUMMYFUNCTION("""COMPUTED_VALUE"""),14.7946)</f>
        <v>14.7946</v>
      </c>
      <c r="AE19" s="3">
        <f>IFERROR(__xludf.DUMMYFUNCTION("""COMPUTED_VALUE"""),100.672)</f>
        <v>100.672</v>
      </c>
      <c r="AF19" s="3" t="str">
        <f>IFERROR(__xludf.DUMMYFUNCTION("""COMPUTED_VALUE"""),"ลพบุรี-11119")</f>
        <v>ลพบุรี-11119</v>
      </c>
      <c r="AG19" s="3" t="str">
        <f>IFERROR(__xludf.DUMMYFUNCTION("""COMPUTED_VALUE"""),"กลาง")</f>
        <v>กลาง</v>
      </c>
      <c r="AH19" s="3" t="str">
        <f>IFERROR(__xludf.DUMMYFUNCTION("""COMPUTED_VALUE"""),"Wichian Nasungnoen")</f>
        <v>Wichian Nasungnoen</v>
      </c>
      <c r="AI19" s="3" t="str">
        <f>IFERROR(__xludf.DUMMYFUNCTION("""COMPUTED_VALUE"""),"Out of warranty")</f>
        <v>Out of warranty</v>
      </c>
      <c r="AJ19" s="3">
        <f>IFERROR(__xludf.DUMMYFUNCTION("""COMPUTED_VALUE"""),338.0)</f>
        <v>338</v>
      </c>
      <c r="AK19" s="3"/>
      <c r="AL19" s="3" t="str">
        <f>IFERROR(__xludf.DUMMYFUNCTION("""COMPUTED_VALUE"""),"sgm.lopburi@bigc.co.th")</f>
        <v>sgm.lopburi@bigc.co.th</v>
      </c>
    </row>
    <row r="20" ht="15.75" customHeight="1">
      <c r="A20" s="1" t="str">
        <f>IFERROR(__xludf.DUMMYFUNCTION("""COMPUTED_VALUE"""),"11120")</f>
        <v>11120</v>
      </c>
      <c r="B20" s="2">
        <f>IFERROR(__xludf.DUMMYFUNCTION("""COMPUTED_VALUE"""),11120.0)</f>
        <v>11120</v>
      </c>
      <c r="C20" s="3" t="str">
        <f>IFERROR(__xludf.DUMMYFUNCTION("""COMPUTED_VALUE"""),"เพชรบุรี")</f>
        <v>เพชรบุรี</v>
      </c>
      <c r="D20" s="3" t="str">
        <f>IFERROR(__xludf.DUMMYFUNCTION("""COMPUTED_VALUE"""),"BIGC PETCHBURI")</f>
        <v>BIGC PETCHBURI</v>
      </c>
      <c r="E20" s="1" t="str">
        <f>IFERROR(__xludf.DUMMYFUNCTION("""COMPUTED_VALUE"""),"บิ๊กซี HyperMarket")</f>
        <v>บิ๊กซี HyperMarket</v>
      </c>
      <c r="F20" s="1" t="str">
        <f>IFERROR(__xludf.DUMMYFUNCTION("""COMPUTED_VALUE"""),"2455179")</f>
        <v>2455179</v>
      </c>
      <c r="G20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20" s="1" t="str">
        <f>IFERROR(__xludf.DUMMYFUNCTION("""COMPUTED_VALUE"""),"2455179")</f>
        <v>2455179</v>
      </c>
      <c r="I20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20" s="3">
        <f>IFERROR(__xludf.DUMMYFUNCTION("""COMPUTED_VALUE"""),2455179.0)</f>
        <v>2455179</v>
      </c>
      <c r="K20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20" s="1" t="str">
        <f>IFERROR(__xludf.DUMMYFUNCTION("""COMPUTED_VALUE"""),"Hub06-C&amp;W")</f>
        <v>Hub06-C&amp;W</v>
      </c>
      <c r="M20" s="1" t="str">
        <f>IFERROR(__xludf.DUMMYFUNCTION("""COMPUTED_VALUE"""),"090-993-6896")</f>
        <v>090-993-6896</v>
      </c>
      <c r="N20" s="3">
        <f>IFERROR(__xludf.DUMMYFUNCTION("""COMPUTED_VALUE"""),11120.0)</f>
        <v>11120</v>
      </c>
      <c r="O20" s="3" t="str">
        <f>IFERROR(__xludf.DUMMYFUNCTION("""COMPUTED_VALUE"""),"เพชรบุรี")</f>
        <v>เพชรบุรี</v>
      </c>
      <c r="P20" s="4">
        <f>IFERROR(__xludf.DUMMYFUNCTION("""COMPUTED_VALUE"""),35821.0)</f>
        <v>35821</v>
      </c>
      <c r="Q20" s="3" t="str">
        <f>IFERROR(__xludf.DUMMYFUNCTION("""COMPUTED_VALUE"""),"A")</f>
        <v>A</v>
      </c>
      <c r="R20" s="3" t="str">
        <f>IFERROR(__xludf.DUMMYFUNCTION("""COMPUTED_VALUE"""),"Big Format")</f>
        <v>Big Format</v>
      </c>
      <c r="S20" s="3" t="str">
        <f>IFERROR(__xludf.DUMMYFUNCTION("""COMPUTED_VALUE"""),"Hyper")</f>
        <v>Hyper</v>
      </c>
      <c r="T20" s="3" t="str">
        <f>IFERROR(__xludf.DUMMYFUNCTION("""COMPUTED_VALUE"""),"Hub06-C&amp;W")</f>
        <v>Hub06-C&amp;W</v>
      </c>
      <c r="U20" s="3" t="str">
        <f>IFERROR(__xludf.DUMMYFUNCTION("""COMPUTED_VALUE"""),"Hub06-C&amp;W")</f>
        <v>Hub06-C&amp;W</v>
      </c>
      <c r="V20" s="3" t="str">
        <f>IFERROR(__xludf.DUMMYFUNCTION("""COMPUTED_VALUE"""),"N")</f>
        <v>N</v>
      </c>
      <c r="W20" s="3">
        <f>IFERROR(__xludf.DUMMYFUNCTION("""COMPUTED_VALUE"""),111120.0)</f>
        <v>111120</v>
      </c>
      <c r="X20" s="3" t="str">
        <f>IFERROR(__xludf.DUMMYFUNCTION("""COMPUTED_VALUE"""),"130 ม. 1 ต.ต้นมะม่วง อ.เมืองเพชรบุรี จังหวัดเพชรบุรี 76000")</f>
        <v>130 ม. 1 ต.ต้นมะม่วง อ.เมืองเพชรบุรี จังหวัดเพชรบุรี 76000</v>
      </c>
      <c r="Y20" s="3"/>
      <c r="Z20" s="3" t="str">
        <f>IFERROR(__xludf.DUMMYFUNCTION("""COMPUTED_VALUE"""),"ต้นมะม่วง")</f>
        <v>ต้นมะม่วง</v>
      </c>
      <c r="AA20" s="3" t="str">
        <f>IFERROR(__xludf.DUMMYFUNCTION("""COMPUTED_VALUE"""),"เมือง")</f>
        <v>เมือง</v>
      </c>
      <c r="AB20" s="3" t="str">
        <f>IFERROR(__xludf.DUMMYFUNCTION("""COMPUTED_VALUE"""),"เพชรบุรี")</f>
        <v>เพชรบุรี</v>
      </c>
      <c r="AC20" s="3">
        <f>IFERROR(__xludf.DUMMYFUNCTION("""COMPUTED_VALUE"""),76000.0)</f>
        <v>76000</v>
      </c>
      <c r="AD20" s="3">
        <f>IFERROR(__xludf.DUMMYFUNCTION("""COMPUTED_VALUE"""),13.079)</f>
        <v>13.079</v>
      </c>
      <c r="AE20" s="3">
        <f>IFERROR(__xludf.DUMMYFUNCTION("""COMPUTED_VALUE"""),99.9482)</f>
        <v>99.9482</v>
      </c>
      <c r="AF20" s="3" t="str">
        <f>IFERROR(__xludf.DUMMYFUNCTION("""COMPUTED_VALUE"""),"เพชรบุรี-11120")</f>
        <v>เพชรบุรี-11120</v>
      </c>
      <c r="AG20" s="3" t="str">
        <f>IFERROR(__xludf.DUMMYFUNCTION("""COMPUTED_VALUE"""),"ตะวันตก")</f>
        <v>ตะวันตก</v>
      </c>
      <c r="AH20" s="3" t="str">
        <f>IFERROR(__xludf.DUMMYFUNCTION("""COMPUTED_VALUE"""),"Wichian Nasungnoen")</f>
        <v>Wichian Nasungnoen</v>
      </c>
      <c r="AI20" s="3" t="str">
        <f>IFERROR(__xludf.DUMMYFUNCTION("""COMPUTED_VALUE"""),"Out of warranty")</f>
        <v>Out of warranty</v>
      </c>
      <c r="AJ20" s="3">
        <f>IFERROR(__xludf.DUMMYFUNCTION("""COMPUTED_VALUE"""),336.0)</f>
        <v>336</v>
      </c>
      <c r="AK20" s="3"/>
      <c r="AL20" s="3" t="str">
        <f>IFERROR(__xludf.DUMMYFUNCTION("""COMPUTED_VALUE"""),"sgm.phetchaburee@bigc.co.th")</f>
        <v>sgm.phetchaburee@bigc.co.th</v>
      </c>
    </row>
    <row r="21" ht="15.75" customHeight="1">
      <c r="A21" s="1" t="str">
        <f>IFERROR(__xludf.DUMMYFUNCTION("""COMPUTED_VALUE"""),"11121")</f>
        <v>11121</v>
      </c>
      <c r="B21" s="2">
        <f>IFERROR(__xludf.DUMMYFUNCTION("""COMPUTED_VALUE"""),11121.0)</f>
        <v>11121</v>
      </c>
      <c r="C21" s="3" t="str">
        <f>IFERROR(__xludf.DUMMYFUNCTION("""COMPUTED_VALUE"""),"หาดใหญ่")</f>
        <v>หาดใหญ่</v>
      </c>
      <c r="D21" s="3" t="str">
        <f>IFERROR(__xludf.DUMMYFUNCTION("""COMPUTED_VALUE"""),"BIGC HATYAI")</f>
        <v>BIGC HATYAI</v>
      </c>
      <c r="E21" s="1" t="str">
        <f>IFERROR(__xludf.DUMMYFUNCTION("""COMPUTED_VALUE"""),"บิ๊กซี HyperMarket")</f>
        <v>บิ๊กซี HyperMarket</v>
      </c>
      <c r="F21" s="1" t="str">
        <f>IFERROR(__xludf.DUMMYFUNCTION("""COMPUTED_VALUE"""),"2454709")</f>
        <v>2454709</v>
      </c>
      <c r="G21" s="1" t="str">
        <f>IFERROR(__xludf.DUMMYFUNCTION("""COMPUTED_VALUE"""),"นายประชา เกตุชาติ")</f>
        <v>นายประชา เกตุชาติ</v>
      </c>
      <c r="H21" s="1" t="str">
        <f>IFERROR(__xludf.DUMMYFUNCTION("""COMPUTED_VALUE"""),"2454709")</f>
        <v>2454709</v>
      </c>
      <c r="I21" s="1" t="str">
        <f>IFERROR(__xludf.DUMMYFUNCTION("""COMPUTED_VALUE"""),"นายประชา เกตุชาติ")</f>
        <v>นายประชา เกตุชาติ</v>
      </c>
      <c r="J21" s="3">
        <f>IFERROR(__xludf.DUMMYFUNCTION("""COMPUTED_VALUE"""),2454709.0)</f>
        <v>2454709</v>
      </c>
      <c r="K21" s="3" t="str">
        <f>IFERROR(__xludf.DUMMYFUNCTION("""COMPUTED_VALUE"""),"นายประชา เกตุชาติ")</f>
        <v>นายประชา เกตุชาติ</v>
      </c>
      <c r="L21" s="1" t="str">
        <f>IFERROR(__xludf.DUMMYFUNCTION("""COMPUTED_VALUE"""),"Hub05-South")</f>
        <v>Hub05-South</v>
      </c>
      <c r="M21" s="1" t="str">
        <f>IFERROR(__xludf.DUMMYFUNCTION("""COMPUTED_VALUE"""),"0659291311")</f>
        <v>0659291311</v>
      </c>
      <c r="N21" s="3">
        <f>IFERROR(__xludf.DUMMYFUNCTION("""COMPUTED_VALUE"""),11121.0)</f>
        <v>11121</v>
      </c>
      <c r="O21" s="3" t="str">
        <f>IFERROR(__xludf.DUMMYFUNCTION("""COMPUTED_VALUE"""),"หาดใหญ่")</f>
        <v>หาดใหญ่</v>
      </c>
      <c r="P21" s="4">
        <f>IFERROR(__xludf.DUMMYFUNCTION("""COMPUTED_VALUE"""),36815.0)</f>
        <v>36815</v>
      </c>
      <c r="Q21" s="3" t="str">
        <f>IFERROR(__xludf.DUMMYFUNCTION("""COMPUTED_VALUE"""),"A")</f>
        <v>A</v>
      </c>
      <c r="R21" s="3" t="str">
        <f>IFERROR(__xludf.DUMMYFUNCTION("""COMPUTED_VALUE"""),"Big Format")</f>
        <v>Big Format</v>
      </c>
      <c r="S21" s="3" t="str">
        <f>IFERROR(__xludf.DUMMYFUNCTION("""COMPUTED_VALUE"""),"Hyper")</f>
        <v>Hyper</v>
      </c>
      <c r="T21" s="3" t="str">
        <f>IFERROR(__xludf.DUMMYFUNCTION("""COMPUTED_VALUE"""),"Hub05-South")</f>
        <v>Hub05-South</v>
      </c>
      <c r="U21" s="3" t="str">
        <f>IFERROR(__xludf.DUMMYFUNCTION("""COMPUTED_VALUE"""),"Hub05-South")</f>
        <v>Hub05-South</v>
      </c>
      <c r="V21" s="3" t="str">
        <f>IFERROR(__xludf.DUMMYFUNCTION("""COMPUTED_VALUE"""),"N")</f>
        <v>N</v>
      </c>
      <c r="W21" s="3">
        <f>IFERROR(__xludf.DUMMYFUNCTION("""COMPUTED_VALUE"""),111121.0)</f>
        <v>111121</v>
      </c>
      <c r="X21" s="3" t="str">
        <f>IFERROR(__xludf.DUMMYFUNCTION("""COMPUTED_VALUE"""),"111/19 หมู่ที่ 4 ตำบลคลองแห อำเภอหาดใหญ่ จังหวัดสงขลา 90110")</f>
        <v>111/19 หมู่ที่ 4 ตำบลคลองแห อำเภอหาดใหญ่ จังหวัดสงขลา 90110</v>
      </c>
      <c r="Y21" s="3"/>
      <c r="Z21" s="3" t="str">
        <f>IFERROR(__xludf.DUMMYFUNCTION("""COMPUTED_VALUE"""),"คลองแห")</f>
        <v>คลองแห</v>
      </c>
      <c r="AA21" s="3" t="str">
        <f>IFERROR(__xludf.DUMMYFUNCTION("""COMPUTED_VALUE"""),"หาดใหญ่")</f>
        <v>หาดใหญ่</v>
      </c>
      <c r="AB21" s="3" t="str">
        <f>IFERROR(__xludf.DUMMYFUNCTION("""COMPUTED_VALUE"""),"สงขลา")</f>
        <v>สงขลา</v>
      </c>
      <c r="AC21" s="3">
        <f>IFERROR(__xludf.DUMMYFUNCTION("""COMPUTED_VALUE"""),90110.0)</f>
        <v>90110</v>
      </c>
      <c r="AD21" s="3">
        <f>IFERROR(__xludf.DUMMYFUNCTION("""COMPUTED_VALUE"""),7.03824)</f>
        <v>7.03824</v>
      </c>
      <c r="AE21" s="3">
        <f>IFERROR(__xludf.DUMMYFUNCTION("""COMPUTED_VALUE"""),100.468)</f>
        <v>100.468</v>
      </c>
      <c r="AF21" s="3" t="str">
        <f>IFERROR(__xludf.DUMMYFUNCTION("""COMPUTED_VALUE"""),"หาดใหญ่-11121")</f>
        <v>หาดใหญ่-11121</v>
      </c>
      <c r="AG21" s="3" t="str">
        <f>IFERROR(__xludf.DUMMYFUNCTION("""COMPUTED_VALUE"""),"ใต้")</f>
        <v>ใต้</v>
      </c>
      <c r="AH21" s="3" t="str">
        <f>IFERROR(__xludf.DUMMYFUNCTION("""COMPUTED_VALUE"""),"Suwadee Intachart")</f>
        <v>Suwadee Intachart</v>
      </c>
      <c r="AI21" s="3" t="str">
        <f>IFERROR(__xludf.DUMMYFUNCTION("""COMPUTED_VALUE"""),"Out of warranty")</f>
        <v>Out of warranty</v>
      </c>
      <c r="AJ21" s="3">
        <f>IFERROR(__xludf.DUMMYFUNCTION("""COMPUTED_VALUE"""),304.0)</f>
        <v>304</v>
      </c>
      <c r="AK21" s="3"/>
      <c r="AL21" s="3" t="str">
        <f>IFERROR(__xludf.DUMMYFUNCTION("""COMPUTED_VALUE"""),"sgm.hatyai@bigc.co.th")</f>
        <v>sgm.hatyai@bigc.co.th</v>
      </c>
    </row>
    <row r="22" ht="15.75" customHeight="1">
      <c r="A22" s="1" t="str">
        <f>IFERROR(__xludf.DUMMYFUNCTION("""COMPUTED_VALUE"""),"11122")</f>
        <v>11122</v>
      </c>
      <c r="B22" s="2">
        <f>IFERROR(__xludf.DUMMYFUNCTION("""COMPUTED_VALUE"""),11122.0)</f>
        <v>11122</v>
      </c>
      <c r="C22" s="3" t="str">
        <f>IFERROR(__xludf.DUMMYFUNCTION("""COMPUTED_VALUE"""),"หัวหมาก")</f>
        <v>หัวหมาก</v>
      </c>
      <c r="D22" s="3" t="str">
        <f>IFERROR(__xludf.DUMMYFUNCTION("""COMPUTED_VALUE"""),"BIGC HUAMARK")</f>
        <v>BIGC HUAMARK</v>
      </c>
      <c r="E22" s="1" t="str">
        <f>IFERROR(__xludf.DUMMYFUNCTION("""COMPUTED_VALUE"""),"บิ๊กซี HyperMarket")</f>
        <v>บิ๊กซี HyperMarket</v>
      </c>
      <c r="F22" s="1" t="str">
        <f>IFERROR(__xludf.DUMMYFUNCTION("""COMPUTED_VALUE"""),"2454716")</f>
        <v>2454716</v>
      </c>
      <c r="G22" s="1" t="str">
        <f>IFERROR(__xludf.DUMMYFUNCTION("""COMPUTED_VALUE"""),"นายโฆษิต วงค์กะโซ่")</f>
        <v>นายโฆษิต วงค์กะโซ่</v>
      </c>
      <c r="H22" s="1" t="str">
        <f>IFERROR(__xludf.DUMMYFUNCTION("""COMPUTED_VALUE"""),"2454716")</f>
        <v>2454716</v>
      </c>
      <c r="I22" s="1" t="str">
        <f>IFERROR(__xludf.DUMMYFUNCTION("""COMPUTED_VALUE"""),"นายโฆษิต วงค์กะโซ่")</f>
        <v>นายโฆษิต วงค์กะโซ่</v>
      </c>
      <c r="J22" s="3">
        <f>IFERROR(__xludf.DUMMYFUNCTION("""COMPUTED_VALUE"""),2454716.0)</f>
        <v>2454716</v>
      </c>
      <c r="K22" s="3" t="str">
        <f>IFERROR(__xludf.DUMMYFUNCTION("""COMPUTED_VALUE"""),"นายโฆษิต วงค์กะโซ่")</f>
        <v>นายโฆษิต วงค์กะโซ่</v>
      </c>
      <c r="L22" s="1" t="str">
        <f>IFERROR(__xludf.DUMMYFUNCTION("""COMPUTED_VALUE"""),"Hub03-BKK 3")</f>
        <v>Hub03-BKK 3</v>
      </c>
      <c r="M22" s="1" t="str">
        <f>IFERROR(__xludf.DUMMYFUNCTION("""COMPUTED_VALUE"""),"062-434-5030")</f>
        <v>062-434-5030</v>
      </c>
      <c r="N22" s="3">
        <f>IFERROR(__xludf.DUMMYFUNCTION("""COMPUTED_VALUE"""),11122.0)</f>
        <v>11122</v>
      </c>
      <c r="O22" s="3" t="str">
        <f>IFERROR(__xludf.DUMMYFUNCTION("""COMPUTED_VALUE"""),"หัวหมาก")</f>
        <v>หัวหมาก</v>
      </c>
      <c r="P22" s="4">
        <f>IFERROR(__xludf.DUMMYFUNCTION("""COMPUTED_VALUE"""),36818.0)</f>
        <v>36818</v>
      </c>
      <c r="Q22" s="3" t="str">
        <f>IFERROR(__xludf.DUMMYFUNCTION("""COMPUTED_VALUE"""),"A")</f>
        <v>A</v>
      </c>
      <c r="R22" s="3" t="str">
        <f>IFERROR(__xludf.DUMMYFUNCTION("""COMPUTED_VALUE"""),"Big Format")</f>
        <v>Big Format</v>
      </c>
      <c r="S22" s="3" t="str">
        <f>IFERROR(__xludf.DUMMYFUNCTION("""COMPUTED_VALUE"""),"Hyper")</f>
        <v>Hyper</v>
      </c>
      <c r="T22" s="3" t="str">
        <f>IFERROR(__xludf.DUMMYFUNCTION("""COMPUTED_VALUE"""),"Hub03-BKK 3")</f>
        <v>Hub03-BKK 3</v>
      </c>
      <c r="U22" s="3" t="str">
        <f>IFERROR(__xludf.DUMMYFUNCTION("""COMPUTED_VALUE"""),"Hub03-BKK 3")</f>
        <v>Hub03-BKK 3</v>
      </c>
      <c r="V22" s="3" t="str">
        <f>IFERROR(__xludf.DUMMYFUNCTION("""COMPUTED_VALUE"""),"N")</f>
        <v>N</v>
      </c>
      <c r="W22" s="3">
        <f>IFERROR(__xludf.DUMMYFUNCTION("""COMPUTED_VALUE"""),111122.0)</f>
        <v>111122</v>
      </c>
      <c r="X22" s="3" t="str">
        <f>IFERROR(__xludf.DUMMYFUNCTION("""COMPUTED_VALUE"""),"177 ถนนรามคำแหง แขวงหัวหมาก เขตบางกะปิ กรุงเทพฯ 10240")</f>
        <v>177 ถนนรามคำแหง แขวงหัวหมาก เขตบางกะปิ กรุงเทพฯ 10240</v>
      </c>
      <c r="Y22" s="3" t="str">
        <f>IFERROR(__xludf.DUMMYFUNCTION("""COMPUTED_VALUE"""),"ถนนรามคำแหง")</f>
        <v>ถนนรามคำแหง</v>
      </c>
      <c r="Z22" s="3" t="str">
        <f>IFERROR(__xludf.DUMMYFUNCTION("""COMPUTED_VALUE"""),"หัวหมาก")</f>
        <v>หัวหมาก</v>
      </c>
      <c r="AA22" s="3" t="str">
        <f>IFERROR(__xludf.DUMMYFUNCTION("""COMPUTED_VALUE"""),"บางกะปิ")</f>
        <v>บางกะปิ</v>
      </c>
      <c r="AB22" s="3" t="str">
        <f>IFERROR(__xludf.DUMMYFUNCTION("""COMPUTED_VALUE"""),"กรุงเทพมหานคร")</f>
        <v>กรุงเทพมหานคร</v>
      </c>
      <c r="AC22" s="3">
        <f>IFERROR(__xludf.DUMMYFUNCTION("""COMPUTED_VALUE"""),10240.0)</f>
        <v>10240</v>
      </c>
      <c r="AD22" s="3">
        <f>IFERROR(__xludf.DUMMYFUNCTION("""COMPUTED_VALUE"""),13.75552015)</f>
        <v>13.75552015</v>
      </c>
      <c r="AE22" s="3">
        <f>IFERROR(__xludf.DUMMYFUNCTION("""COMPUTED_VALUE"""),100.6128171)</f>
        <v>100.6128171</v>
      </c>
      <c r="AF22" s="3" t="str">
        <f>IFERROR(__xludf.DUMMYFUNCTION("""COMPUTED_VALUE"""),"หัวหมาก-11122")</f>
        <v>หัวหมาก-11122</v>
      </c>
      <c r="AG22" s="3" t="str">
        <f>IFERROR(__xludf.DUMMYFUNCTION("""COMPUTED_VALUE"""),"กลาง")</f>
        <v>กลาง</v>
      </c>
      <c r="AH22" s="3" t="str">
        <f>IFERROR(__xludf.DUMMYFUNCTION("""COMPUTED_VALUE"""),"Saitan Boonpitak")</f>
        <v>Saitan Boonpitak</v>
      </c>
      <c r="AI22" s="3" t="str">
        <f>IFERROR(__xludf.DUMMYFUNCTION("""COMPUTED_VALUE"""),"Out of warranty")</f>
        <v>Out of warranty</v>
      </c>
      <c r="AJ22" s="3">
        <f>IFERROR(__xludf.DUMMYFUNCTION("""COMPUTED_VALUE"""),304.0)</f>
        <v>304</v>
      </c>
      <c r="AK22" s="3"/>
      <c r="AL22" s="3" t="str">
        <f>IFERROR(__xludf.DUMMYFUNCTION("""COMPUTED_VALUE"""),"sgm.huamark@bigc.co.th")</f>
        <v>sgm.huamark@bigc.co.th</v>
      </c>
    </row>
    <row r="23" ht="15.75" customHeight="1">
      <c r="A23" s="1" t="str">
        <f>IFERROR(__xludf.DUMMYFUNCTION("""COMPUTED_VALUE"""),"11123")</f>
        <v>11123</v>
      </c>
      <c r="B23" s="2">
        <f>IFERROR(__xludf.DUMMYFUNCTION("""COMPUTED_VALUE"""),11123.0)</f>
        <v>11123</v>
      </c>
      <c r="C23" s="3" t="str">
        <f>IFERROR(__xludf.DUMMYFUNCTION("""COMPUTED_VALUE"""),"สมุทรปราการ")</f>
        <v>สมุทรปราการ</v>
      </c>
      <c r="D23" s="3" t="str">
        <f>IFERROR(__xludf.DUMMYFUNCTION("""COMPUTED_VALUE"""),"BIGC SAMUTPRAKARN")</f>
        <v>BIGC SAMUTPRAKARN</v>
      </c>
      <c r="E23" s="1" t="str">
        <f>IFERROR(__xludf.DUMMYFUNCTION("""COMPUTED_VALUE"""),"บิ๊กซี HyperMarket")</f>
        <v>บิ๊กซี HyperMarket</v>
      </c>
      <c r="F23" s="1" t="str">
        <f>IFERROR(__xludf.DUMMYFUNCTION("""COMPUTED_VALUE"""),"2454716")</f>
        <v>2454716</v>
      </c>
      <c r="G23" s="1" t="str">
        <f>IFERROR(__xludf.DUMMYFUNCTION("""COMPUTED_VALUE"""),"นายโฆษิต วงค์กะโซ่")</f>
        <v>นายโฆษิต วงค์กะโซ่</v>
      </c>
      <c r="H23" s="1" t="str">
        <f>IFERROR(__xludf.DUMMYFUNCTION("""COMPUTED_VALUE"""),"2454716")</f>
        <v>2454716</v>
      </c>
      <c r="I23" s="1" t="str">
        <f>IFERROR(__xludf.DUMMYFUNCTION("""COMPUTED_VALUE"""),"นายโฆษิต วงค์กะโซ่")</f>
        <v>นายโฆษิต วงค์กะโซ่</v>
      </c>
      <c r="J23" s="3">
        <f>IFERROR(__xludf.DUMMYFUNCTION("""COMPUTED_VALUE"""),2454716.0)</f>
        <v>2454716</v>
      </c>
      <c r="K23" s="3" t="str">
        <f>IFERROR(__xludf.DUMMYFUNCTION("""COMPUTED_VALUE"""),"นายโฆษิต วงค์กะโซ่")</f>
        <v>นายโฆษิต วงค์กะโซ่</v>
      </c>
      <c r="L23" s="1" t="str">
        <f>IFERROR(__xludf.DUMMYFUNCTION("""COMPUTED_VALUE"""),"Hub03-BKK 3")</f>
        <v>Hub03-BKK 3</v>
      </c>
      <c r="M23" s="1" t="str">
        <f>IFERROR(__xludf.DUMMYFUNCTION("""COMPUTED_VALUE"""),"062-434-5030")</f>
        <v>062-434-5030</v>
      </c>
      <c r="N23" s="3">
        <f>IFERROR(__xludf.DUMMYFUNCTION("""COMPUTED_VALUE"""),11123.0)</f>
        <v>11123</v>
      </c>
      <c r="O23" s="3" t="str">
        <f>IFERROR(__xludf.DUMMYFUNCTION("""COMPUTED_VALUE"""),"สมุทรปราการ")</f>
        <v>สมุทรปราการ</v>
      </c>
      <c r="P23" s="4">
        <f>IFERROR(__xludf.DUMMYFUNCTION("""COMPUTED_VALUE"""),36829.0)</f>
        <v>36829</v>
      </c>
      <c r="Q23" s="3" t="str">
        <f>IFERROR(__xludf.DUMMYFUNCTION("""COMPUTED_VALUE"""),"A")</f>
        <v>A</v>
      </c>
      <c r="R23" s="3" t="str">
        <f>IFERROR(__xludf.DUMMYFUNCTION("""COMPUTED_VALUE"""),"Big Format")</f>
        <v>Big Format</v>
      </c>
      <c r="S23" s="3" t="str">
        <f>IFERROR(__xludf.DUMMYFUNCTION("""COMPUTED_VALUE"""),"Hyper")</f>
        <v>Hyper</v>
      </c>
      <c r="T23" s="3" t="str">
        <f>IFERROR(__xludf.DUMMYFUNCTION("""COMPUTED_VALUE"""),"Hub03-BKK 3")</f>
        <v>Hub03-BKK 3</v>
      </c>
      <c r="U23" s="3" t="str">
        <f>IFERROR(__xludf.DUMMYFUNCTION("""COMPUTED_VALUE"""),"Hub03-BKK 3")</f>
        <v>Hub03-BKK 3</v>
      </c>
      <c r="V23" s="3" t="str">
        <f>IFERROR(__xludf.DUMMYFUNCTION("""COMPUTED_VALUE"""),"N")</f>
        <v>N</v>
      </c>
      <c r="W23" s="3">
        <f>IFERROR(__xludf.DUMMYFUNCTION("""COMPUTED_VALUE"""),111123.0)</f>
        <v>111123</v>
      </c>
      <c r="X23" s="3" t="str">
        <f>IFERROR(__xludf.DUMMYFUNCTION("""COMPUTED_VALUE"""),"498/1 ถนนสุขุมวิท ตำบลปากน้ำ อำเภอเมืองสมุทรปราการ จังหวัดสมุทรปราการ 10270")</f>
        <v>498/1 ถนนสุขุมวิท ตำบลปากน้ำ อำเภอเมืองสมุทรปราการ จังหวัดสมุทรปราการ 10270</v>
      </c>
      <c r="Y23" s="3" t="str">
        <f>IFERROR(__xludf.DUMMYFUNCTION("""COMPUTED_VALUE"""),"ถนนสุขุมวิท")</f>
        <v>ถนนสุขุมวิท</v>
      </c>
      <c r="Z23" s="3" t="str">
        <f>IFERROR(__xludf.DUMMYFUNCTION("""COMPUTED_VALUE"""),"ปากน้ำ")</f>
        <v>ปากน้ำ</v>
      </c>
      <c r="AA23" s="3" t="str">
        <f>IFERROR(__xludf.DUMMYFUNCTION("""COMPUTED_VALUE"""),"เมืองสมุทรปราการ")</f>
        <v>เมืองสมุทรปราการ</v>
      </c>
      <c r="AB23" s="3" t="str">
        <f>IFERROR(__xludf.DUMMYFUNCTION("""COMPUTED_VALUE"""),"สมุทรปราการ")</f>
        <v>สมุทรปราการ</v>
      </c>
      <c r="AC23" s="3">
        <f>IFERROR(__xludf.DUMMYFUNCTION("""COMPUTED_VALUE"""),10270.0)</f>
        <v>10270</v>
      </c>
      <c r="AD23" s="3">
        <f>IFERROR(__xludf.DUMMYFUNCTION("""COMPUTED_VALUE"""),13.584328)</f>
        <v>13.584328</v>
      </c>
      <c r="AE23" s="3">
        <f>IFERROR(__xludf.DUMMYFUNCTION("""COMPUTED_VALUE"""),100.607022)</f>
        <v>100.607022</v>
      </c>
      <c r="AF23" s="3" t="str">
        <f>IFERROR(__xludf.DUMMYFUNCTION("""COMPUTED_VALUE"""),"สมุทรปราการ-11123")</f>
        <v>สมุทรปราการ-11123</v>
      </c>
      <c r="AG23" s="3" t="str">
        <f>IFERROR(__xludf.DUMMYFUNCTION("""COMPUTED_VALUE"""),"กลาง")</f>
        <v>กลาง</v>
      </c>
      <c r="AH23" s="3" t="str">
        <f>IFERROR(__xludf.DUMMYFUNCTION("""COMPUTED_VALUE"""),"Saitan Boonpitak")</f>
        <v>Saitan Boonpitak</v>
      </c>
      <c r="AI23" s="3" t="str">
        <f>IFERROR(__xludf.DUMMYFUNCTION("""COMPUTED_VALUE"""),"Out of warranty")</f>
        <v>Out of warranty</v>
      </c>
      <c r="AJ23" s="3">
        <f>IFERROR(__xludf.DUMMYFUNCTION("""COMPUTED_VALUE"""),303.0)</f>
        <v>303</v>
      </c>
      <c r="AK23" s="3"/>
      <c r="AL23" s="3" t="str">
        <f>IFERROR(__xludf.DUMMYFUNCTION("""COMPUTED_VALUE"""),"sgm.samutprakarn@bigc.co.th")</f>
        <v>sgm.samutprakarn@bigc.co.th</v>
      </c>
    </row>
    <row r="24" ht="15.75" customHeight="1">
      <c r="A24" s="1" t="str">
        <f>IFERROR(__xludf.DUMMYFUNCTION("""COMPUTED_VALUE"""),"11124")</f>
        <v>11124</v>
      </c>
      <c r="B24" s="2">
        <f>IFERROR(__xludf.DUMMYFUNCTION("""COMPUTED_VALUE"""),11124.0)</f>
        <v>11124</v>
      </c>
      <c r="C24" s="3" t="str">
        <f>IFERROR(__xludf.DUMMYFUNCTION("""COMPUTED_VALUE"""),"อุบลราชธานี")</f>
        <v>อุบลราชธานี</v>
      </c>
      <c r="D24" s="3" t="str">
        <f>IFERROR(__xludf.DUMMYFUNCTION("""COMPUTED_VALUE"""),"BIGC UBONRATCHATHANI")</f>
        <v>BIGC UBONRATCHATHANI</v>
      </c>
      <c r="E24" s="1" t="str">
        <f>IFERROR(__xludf.DUMMYFUNCTION("""COMPUTED_VALUE"""),"บิ๊กซี HyperMarket")</f>
        <v>บิ๊กซี HyperMarket</v>
      </c>
      <c r="F24" s="1" t="str">
        <f>IFERROR(__xludf.DUMMYFUNCTION("""COMPUTED_VALUE"""),"033317")</f>
        <v>033317</v>
      </c>
      <c r="G24" s="1" t="str">
        <f>IFERROR(__xludf.DUMMYFUNCTION("""COMPUTED_VALUE"""),"นายอาณัติ เพชรภาน")</f>
        <v>นายอาณัติ เพชรภาน</v>
      </c>
      <c r="H24" s="1" t="str">
        <f>IFERROR(__xludf.DUMMYFUNCTION("""COMPUTED_VALUE"""),"033317")</f>
        <v>033317</v>
      </c>
      <c r="I24" s="1" t="str">
        <f>IFERROR(__xludf.DUMMYFUNCTION("""COMPUTED_VALUE"""),"นายอาณัติ เพชรภาน")</f>
        <v>นายอาณัติ เพชรภาน</v>
      </c>
      <c r="J24" s="3">
        <f>IFERROR(__xludf.DUMMYFUNCTION("""COMPUTED_VALUE"""),33317.0)</f>
        <v>33317</v>
      </c>
      <c r="K24" s="3" t="str">
        <f>IFERROR(__xludf.DUMMYFUNCTION("""COMPUTED_VALUE"""),"นายอาณัติ เพชรภาน")</f>
        <v>นายอาณัติ เพชรภาน</v>
      </c>
      <c r="L24" s="1" t="str">
        <f>IFERROR(__xludf.DUMMYFUNCTION("""COMPUTED_VALUE"""),"Hub10-NE 2")</f>
        <v>Hub10-NE 2</v>
      </c>
      <c r="M24" s="1" t="str">
        <f>IFERROR(__xludf.DUMMYFUNCTION("""COMPUTED_VALUE"""),"0644791409")</f>
        <v>0644791409</v>
      </c>
      <c r="N24" s="3">
        <f>IFERROR(__xludf.DUMMYFUNCTION("""COMPUTED_VALUE"""),11124.0)</f>
        <v>11124</v>
      </c>
      <c r="O24" s="3" t="str">
        <f>IFERROR(__xludf.DUMMYFUNCTION("""COMPUTED_VALUE"""),"อุบลราชธานี")</f>
        <v>อุบลราชธานี</v>
      </c>
      <c r="P24" s="4">
        <f>IFERROR(__xludf.DUMMYFUNCTION("""COMPUTED_VALUE"""),37004.0)</f>
        <v>37004</v>
      </c>
      <c r="Q24" s="3" t="str">
        <f>IFERROR(__xludf.DUMMYFUNCTION("""COMPUTED_VALUE"""),"A")</f>
        <v>A</v>
      </c>
      <c r="R24" s="3" t="str">
        <f>IFERROR(__xludf.DUMMYFUNCTION("""COMPUTED_VALUE"""),"Big Format")</f>
        <v>Big Format</v>
      </c>
      <c r="S24" s="3" t="str">
        <f>IFERROR(__xludf.DUMMYFUNCTION("""COMPUTED_VALUE"""),"Hyper")</f>
        <v>Hyper</v>
      </c>
      <c r="T24" s="3" t="str">
        <f>IFERROR(__xludf.DUMMYFUNCTION("""COMPUTED_VALUE"""),"Hub10-NE 2")</f>
        <v>Hub10-NE 2</v>
      </c>
      <c r="U24" s="3" t="str">
        <f>IFERROR(__xludf.DUMMYFUNCTION("""COMPUTED_VALUE"""),"Hub10-NE 2")</f>
        <v>Hub10-NE 2</v>
      </c>
      <c r="V24" s="3" t="str">
        <f>IFERROR(__xludf.DUMMYFUNCTION("""COMPUTED_VALUE"""),"N")</f>
        <v>N</v>
      </c>
      <c r="W24" s="3">
        <f>IFERROR(__xludf.DUMMYFUNCTION("""COMPUTED_VALUE"""),111124.0)</f>
        <v>111124</v>
      </c>
      <c r="X24" s="3" t="str">
        <f>IFERROR(__xludf.DUMMYFUNCTION("""COMPUTED_VALUE"""),"92 ซ.ธรรมวิถี 4 ถ.ธรรมวิถี ต.ในเมือง อ.เมืองอุบลราชธานี จังหวัดอุบลราชธานี 34000")</f>
        <v>92 ซ.ธรรมวิถี 4 ถ.ธรรมวิถี ต.ในเมือง อ.เมืองอุบลราชธานี จังหวัดอุบลราชธานี 34000</v>
      </c>
      <c r="Y24" s="3" t="str">
        <f>IFERROR(__xludf.DUMMYFUNCTION("""COMPUTED_VALUE"""),"ซ.ธรรมวิถี")</f>
        <v>ซ.ธรรมวิถี</v>
      </c>
      <c r="Z24" s="3" t="str">
        <f>IFERROR(__xludf.DUMMYFUNCTION("""COMPUTED_VALUE"""),"ในเมือง")</f>
        <v>ในเมือง</v>
      </c>
      <c r="AA24" s="3" t="str">
        <f>IFERROR(__xludf.DUMMYFUNCTION("""COMPUTED_VALUE"""),"เมือง")</f>
        <v>เมือง</v>
      </c>
      <c r="AB24" s="3" t="str">
        <f>IFERROR(__xludf.DUMMYFUNCTION("""COMPUTED_VALUE"""),"อุบลราชธานี")</f>
        <v>อุบลราชธานี</v>
      </c>
      <c r="AC24" s="3">
        <f>IFERROR(__xludf.DUMMYFUNCTION("""COMPUTED_VALUE"""),34000.0)</f>
        <v>34000</v>
      </c>
      <c r="AD24" s="3">
        <f>IFERROR(__xludf.DUMMYFUNCTION("""COMPUTED_VALUE"""),15.2705)</f>
        <v>15.2705</v>
      </c>
      <c r="AE24" s="3">
        <f>IFERROR(__xludf.DUMMYFUNCTION("""COMPUTED_VALUE"""),104.84)</f>
        <v>104.84</v>
      </c>
      <c r="AF24" s="3" t="str">
        <f>IFERROR(__xludf.DUMMYFUNCTION("""COMPUTED_VALUE"""),"อุบลราชธานี-11124")</f>
        <v>อุบลราชธานี-11124</v>
      </c>
      <c r="AG24" s="3" t="str">
        <f>IFERROR(__xludf.DUMMYFUNCTION("""COMPUTED_VALUE"""),"ตะวันออกเฉียงเหนือ")</f>
        <v>ตะวันออกเฉียงเหนือ</v>
      </c>
      <c r="AH24" s="3" t="str">
        <f>IFERROR(__xludf.DUMMYFUNCTION("""COMPUTED_VALUE"""),"Pajaob Wongpakdee")</f>
        <v>Pajaob Wongpakdee</v>
      </c>
      <c r="AI24" s="3" t="str">
        <f>IFERROR(__xludf.DUMMYFUNCTION("""COMPUTED_VALUE"""),"Out of warranty")</f>
        <v>Out of warranty</v>
      </c>
      <c r="AJ24" s="3">
        <f>IFERROR(__xludf.DUMMYFUNCTION("""COMPUTED_VALUE"""),297.0)</f>
        <v>297</v>
      </c>
      <c r="AK24" s="3"/>
      <c r="AL24" s="3" t="str">
        <f>IFERROR(__xludf.DUMMYFUNCTION("""COMPUTED_VALUE"""),"sgm.ubonratchathani@bigc.co.th")</f>
        <v>sgm.ubonratchathani@bigc.co.th</v>
      </c>
    </row>
    <row r="25" ht="15.75" customHeight="1">
      <c r="A25" s="1" t="str">
        <f>IFERROR(__xludf.DUMMYFUNCTION("""COMPUTED_VALUE"""),"11125")</f>
        <v>11125</v>
      </c>
      <c r="B25" s="2">
        <f>IFERROR(__xludf.DUMMYFUNCTION("""COMPUTED_VALUE"""),11125.0)</f>
        <v>11125</v>
      </c>
      <c r="C25" s="3" t="str">
        <f>IFERROR(__xludf.DUMMYFUNCTION("""COMPUTED_VALUE"""),"ดอนเมือง")</f>
        <v>ดอนเมือง</v>
      </c>
      <c r="D25" s="3" t="str">
        <f>IFERROR(__xludf.DUMMYFUNCTION("""COMPUTED_VALUE"""),"BIGC DONMUANG")</f>
        <v>BIGC DONMUANG</v>
      </c>
      <c r="E25" s="1" t="str">
        <f>IFERROR(__xludf.DUMMYFUNCTION("""COMPUTED_VALUE"""),"บิ๊กซี HyperMarket")</f>
        <v>บิ๊กซี HyperMarket</v>
      </c>
      <c r="F25" s="1" t="str">
        <f>IFERROR(__xludf.DUMMYFUNCTION("""COMPUTED_VALUE"""),"2454813")</f>
        <v>2454813</v>
      </c>
      <c r="G25" s="1" t="str">
        <f>IFERROR(__xludf.DUMMYFUNCTION("""COMPUTED_VALUE"""),"นายอนุรักษ์ จั่นเที่ยง")</f>
        <v>นายอนุรักษ์ จั่นเที่ยง</v>
      </c>
      <c r="H25" s="1" t="str">
        <f>IFERROR(__xludf.DUMMYFUNCTION("""COMPUTED_VALUE"""),"2454813")</f>
        <v>2454813</v>
      </c>
      <c r="I25" s="1" t="str">
        <f>IFERROR(__xludf.DUMMYFUNCTION("""COMPUTED_VALUE"""),"นายอนุรักษ์ จั่นเที่ยง")</f>
        <v>นายอนุรักษ์ จั่นเที่ยง</v>
      </c>
      <c r="J25" s="3">
        <f>IFERROR(__xludf.DUMMYFUNCTION("""COMPUTED_VALUE"""),2454813.0)</f>
        <v>2454813</v>
      </c>
      <c r="K25" s="3" t="str">
        <f>IFERROR(__xludf.DUMMYFUNCTION("""COMPUTED_VALUE"""),"นายอนุรักษ์ จั่นเที่ยง")</f>
        <v>นายอนุรักษ์ จั่นเที่ยง</v>
      </c>
      <c r="L25" s="1" t="str">
        <f>IFERROR(__xludf.DUMMYFUNCTION("""COMPUTED_VALUE"""),"Hub04-BKK 4")</f>
        <v>Hub04-BKK 4</v>
      </c>
      <c r="M25" s="1" t="str">
        <f>IFERROR(__xludf.DUMMYFUNCTION("""COMPUTED_VALUE"""),"0991964531")</f>
        <v>0991964531</v>
      </c>
      <c r="N25" s="3">
        <f>IFERROR(__xludf.DUMMYFUNCTION("""COMPUTED_VALUE"""),11125.0)</f>
        <v>11125</v>
      </c>
      <c r="O25" s="3" t="str">
        <f>IFERROR(__xludf.DUMMYFUNCTION("""COMPUTED_VALUE"""),"ดอนเมือง")</f>
        <v>ดอนเมือง</v>
      </c>
      <c r="P25" s="4">
        <f>IFERROR(__xludf.DUMMYFUNCTION("""COMPUTED_VALUE"""),37067.0)</f>
        <v>37067</v>
      </c>
      <c r="Q25" s="3" t="str">
        <f>IFERROR(__xludf.DUMMYFUNCTION("""COMPUTED_VALUE"""),"A")</f>
        <v>A</v>
      </c>
      <c r="R25" s="3" t="str">
        <f>IFERROR(__xludf.DUMMYFUNCTION("""COMPUTED_VALUE"""),"Big Format")</f>
        <v>Big Format</v>
      </c>
      <c r="S25" s="3" t="str">
        <f>IFERROR(__xludf.DUMMYFUNCTION("""COMPUTED_VALUE"""),"Hyper")</f>
        <v>Hyper</v>
      </c>
      <c r="T25" s="3" t="str">
        <f>IFERROR(__xludf.DUMMYFUNCTION("""COMPUTED_VALUE"""),"Hub04-BKK 4")</f>
        <v>Hub04-BKK 4</v>
      </c>
      <c r="U25" s="3" t="str">
        <f>IFERROR(__xludf.DUMMYFUNCTION("""COMPUTED_VALUE"""),"Hub04-BKK 4")</f>
        <v>Hub04-BKK 4</v>
      </c>
      <c r="V25" s="3" t="str">
        <f>IFERROR(__xludf.DUMMYFUNCTION("""COMPUTED_VALUE"""),"N")</f>
        <v>N</v>
      </c>
      <c r="W25" s="3">
        <f>IFERROR(__xludf.DUMMYFUNCTION("""COMPUTED_VALUE"""),111125.0)</f>
        <v>111125</v>
      </c>
      <c r="X25" s="3" t="str">
        <f>IFERROR(__xludf.DUMMYFUNCTION("""COMPUTED_VALUE"""),"เลขที่ 1 ซอยพหลโยธิน 50 ถนนพหลโยธิน แขวงอนุสาวรีย์ เขตบางเขน กรุงเทพฯ 10220")</f>
        <v>เลขที่ 1 ซอยพหลโยธิน 50 ถนนพหลโยธิน แขวงอนุสาวรีย์ เขตบางเขน กรุงเทพฯ 10220</v>
      </c>
      <c r="Y25" s="3" t="str">
        <f>IFERROR(__xludf.DUMMYFUNCTION("""COMPUTED_VALUE"""),"ซอยพหลโยธิน 50")</f>
        <v>ซอยพหลโยธิน 50</v>
      </c>
      <c r="Z25" s="3" t="str">
        <f>IFERROR(__xludf.DUMMYFUNCTION("""COMPUTED_VALUE"""),"อนุสาวรีย์")</f>
        <v>อนุสาวรีย์</v>
      </c>
      <c r="AA25" s="3" t="str">
        <f>IFERROR(__xludf.DUMMYFUNCTION("""COMPUTED_VALUE"""),"บางเขน")</f>
        <v>บางเขน</v>
      </c>
      <c r="AB25" s="3" t="str">
        <f>IFERROR(__xludf.DUMMYFUNCTION("""COMPUTED_VALUE"""),"กรุงเทพมหานคร")</f>
        <v>กรุงเทพมหานคร</v>
      </c>
      <c r="AC25" s="3">
        <f>IFERROR(__xludf.DUMMYFUNCTION("""COMPUTED_VALUE"""),10220.0)</f>
        <v>10220</v>
      </c>
      <c r="AD25" s="3">
        <f>IFERROR(__xludf.DUMMYFUNCTION("""COMPUTED_VALUE"""),13.890992)</f>
        <v>13.890992</v>
      </c>
      <c r="AE25" s="3">
        <f>IFERROR(__xludf.DUMMYFUNCTION("""COMPUTED_VALUE"""),100.606296)</f>
        <v>100.606296</v>
      </c>
      <c r="AF25" s="3" t="str">
        <f>IFERROR(__xludf.DUMMYFUNCTION("""COMPUTED_VALUE"""),"ดอนเมือง-11125")</f>
        <v>ดอนเมือง-11125</v>
      </c>
      <c r="AG25" s="3" t="str">
        <f>IFERROR(__xludf.DUMMYFUNCTION("""COMPUTED_VALUE"""),"กลาง")</f>
        <v>กลาง</v>
      </c>
      <c r="AH25" s="3" t="str">
        <f>IFERROR(__xludf.DUMMYFUNCTION("""COMPUTED_VALUE"""),"Natsarine Seammai")</f>
        <v>Natsarine Seammai</v>
      </c>
      <c r="AI25" s="3" t="str">
        <f>IFERROR(__xludf.DUMMYFUNCTION("""COMPUTED_VALUE"""),"Out of warranty")</f>
        <v>Out of warranty</v>
      </c>
      <c r="AJ25" s="3">
        <f>IFERROR(__xludf.DUMMYFUNCTION("""COMPUTED_VALUE"""),295.0)</f>
        <v>295</v>
      </c>
      <c r="AK25" s="3"/>
      <c r="AL25" s="3" t="str">
        <f>IFERROR(__xludf.DUMMYFUNCTION("""COMPUTED_VALUE"""),"sgm.donmuang@bigc.co.th")</f>
        <v>sgm.donmuang@bigc.co.th</v>
      </c>
    </row>
    <row r="26" ht="15.75" customHeight="1">
      <c r="A26" s="1" t="str">
        <f>IFERROR(__xludf.DUMMYFUNCTION("""COMPUTED_VALUE"""),"11126")</f>
        <v>11126</v>
      </c>
      <c r="B26" s="2">
        <f>IFERROR(__xludf.DUMMYFUNCTION("""COMPUTED_VALUE"""),11126.0)</f>
        <v>11126</v>
      </c>
      <c r="C26" s="3" t="str">
        <f>IFERROR(__xludf.DUMMYFUNCTION("""COMPUTED_VALUE"""),"แฟชั่นไอซ์แลนด์")</f>
        <v>แฟชั่นไอซ์แลนด์</v>
      </c>
      <c r="D26" s="3" t="str">
        <f>IFERROR(__xludf.DUMMYFUNCTION("""COMPUTED_VALUE"""),"BIGC FASHION_ISLAND")</f>
        <v>BIGC FASHION_ISLAND</v>
      </c>
      <c r="E26" s="1" t="str">
        <f>IFERROR(__xludf.DUMMYFUNCTION("""COMPUTED_VALUE"""),"บิ๊กซี HyperMarket")</f>
        <v>บิ๊กซี HyperMarket</v>
      </c>
      <c r="F26" s="1" t="str">
        <f>IFERROR(__xludf.DUMMYFUNCTION("""COMPUTED_VALUE"""),"2454716")</f>
        <v>2454716</v>
      </c>
      <c r="G26" s="1" t="str">
        <f>IFERROR(__xludf.DUMMYFUNCTION("""COMPUTED_VALUE"""),"นายโฆษิต วงค์กะโซ่")</f>
        <v>นายโฆษิต วงค์กะโซ่</v>
      </c>
      <c r="H26" s="1" t="str">
        <f>IFERROR(__xludf.DUMMYFUNCTION("""COMPUTED_VALUE"""),"2454716")</f>
        <v>2454716</v>
      </c>
      <c r="I26" s="1" t="str">
        <f>IFERROR(__xludf.DUMMYFUNCTION("""COMPUTED_VALUE"""),"นายโฆษิต วงค์กะโซ่")</f>
        <v>นายโฆษิต วงค์กะโซ่</v>
      </c>
      <c r="J26" s="3">
        <f>IFERROR(__xludf.DUMMYFUNCTION("""COMPUTED_VALUE"""),2454716.0)</f>
        <v>2454716</v>
      </c>
      <c r="K26" s="3" t="str">
        <f>IFERROR(__xludf.DUMMYFUNCTION("""COMPUTED_VALUE"""),"นายโฆษิต วงค์กะโซ่")</f>
        <v>นายโฆษิต วงค์กะโซ่</v>
      </c>
      <c r="L26" s="1" t="str">
        <f>IFERROR(__xludf.DUMMYFUNCTION("""COMPUTED_VALUE"""),"Hub03-BKK 3")</f>
        <v>Hub03-BKK 3</v>
      </c>
      <c r="M26" s="1" t="str">
        <f>IFERROR(__xludf.DUMMYFUNCTION("""COMPUTED_VALUE"""),"062-434-5030")</f>
        <v>062-434-5030</v>
      </c>
      <c r="N26" s="3">
        <f>IFERROR(__xludf.DUMMYFUNCTION("""COMPUTED_VALUE"""),11126.0)</f>
        <v>11126</v>
      </c>
      <c r="O26" s="3" t="str">
        <f>IFERROR(__xludf.DUMMYFUNCTION("""COMPUTED_VALUE"""),"แฟชั่นไอซ์แลนด์")</f>
        <v>แฟชั่นไอซ์แลนด์</v>
      </c>
      <c r="P26" s="4">
        <f>IFERROR(__xludf.DUMMYFUNCTION("""COMPUTED_VALUE"""),37074.0)</f>
        <v>37074</v>
      </c>
      <c r="Q26" s="3" t="str">
        <f>IFERROR(__xludf.DUMMYFUNCTION("""COMPUTED_VALUE"""),"A")</f>
        <v>A</v>
      </c>
      <c r="R26" s="3" t="str">
        <f>IFERROR(__xludf.DUMMYFUNCTION("""COMPUTED_VALUE"""),"Big Format")</f>
        <v>Big Format</v>
      </c>
      <c r="S26" s="3" t="str">
        <f>IFERROR(__xludf.DUMMYFUNCTION("""COMPUTED_VALUE"""),"Hyper")</f>
        <v>Hyper</v>
      </c>
      <c r="T26" s="3" t="str">
        <f>IFERROR(__xludf.DUMMYFUNCTION("""COMPUTED_VALUE"""),"Hub03-BKK 3")</f>
        <v>Hub03-BKK 3</v>
      </c>
      <c r="U26" s="3" t="str">
        <f>IFERROR(__xludf.DUMMYFUNCTION("""COMPUTED_VALUE"""),"Hub03-BKK 3")</f>
        <v>Hub03-BKK 3</v>
      </c>
      <c r="V26" s="3" t="str">
        <f>IFERROR(__xludf.DUMMYFUNCTION("""COMPUTED_VALUE"""),"N")</f>
        <v>N</v>
      </c>
      <c r="W26" s="3">
        <f>IFERROR(__xludf.DUMMYFUNCTION("""COMPUTED_VALUE"""),111126.0)</f>
        <v>111126</v>
      </c>
      <c r="X26" s="3" t="str">
        <f>IFERROR(__xludf.DUMMYFUNCTION("""COMPUTED_VALUE"""),"เลขที่ 593 ถ.รามอินทรา แขวงคันนายาว เขตคันนายาว กรุงเทพฯ 10230")</f>
        <v>เลขที่ 593 ถ.รามอินทรา แขวงคันนายาว เขตคันนายาว กรุงเทพฯ 10230</v>
      </c>
      <c r="Y26" s="3" t="str">
        <f>IFERROR(__xludf.DUMMYFUNCTION("""COMPUTED_VALUE"""),"รามอินทรา")</f>
        <v>รามอินทรา</v>
      </c>
      <c r="Z26" s="3" t="str">
        <f>IFERROR(__xludf.DUMMYFUNCTION("""COMPUTED_VALUE"""),"คันนายาว")</f>
        <v>คันนายาว</v>
      </c>
      <c r="AA26" s="3" t="str">
        <f>IFERROR(__xludf.DUMMYFUNCTION("""COMPUTED_VALUE"""),"คันนายาว")</f>
        <v>คันนายาว</v>
      </c>
      <c r="AB26" s="3" t="str">
        <f>IFERROR(__xludf.DUMMYFUNCTION("""COMPUTED_VALUE"""),"กรุงเทพมหานคร")</f>
        <v>กรุงเทพมหานคร</v>
      </c>
      <c r="AC26" s="3">
        <f>IFERROR(__xludf.DUMMYFUNCTION("""COMPUTED_VALUE"""),10230.0)</f>
        <v>10230</v>
      </c>
      <c r="AD26" s="3">
        <f>IFERROR(__xludf.DUMMYFUNCTION("""COMPUTED_VALUE"""),13.825621)</f>
        <v>13.825621</v>
      </c>
      <c r="AE26" s="3">
        <f>IFERROR(__xludf.DUMMYFUNCTION("""COMPUTED_VALUE"""),100.678815)</f>
        <v>100.678815</v>
      </c>
      <c r="AF26" s="3" t="str">
        <f>IFERROR(__xludf.DUMMYFUNCTION("""COMPUTED_VALUE"""),"แฟชั่นไอซ์แลนด์-11126")</f>
        <v>แฟชั่นไอซ์แลนด์-11126</v>
      </c>
      <c r="AG26" s="3" t="str">
        <f>IFERROR(__xludf.DUMMYFUNCTION("""COMPUTED_VALUE"""),"กลาง")</f>
        <v>กลาง</v>
      </c>
      <c r="AH26" s="3" t="str">
        <f>IFERROR(__xludf.DUMMYFUNCTION("""COMPUTED_VALUE"""),"Saitan Boonpitak")</f>
        <v>Saitan Boonpitak</v>
      </c>
      <c r="AI26" s="3" t="str">
        <f>IFERROR(__xludf.DUMMYFUNCTION("""COMPUTED_VALUE"""),"Out of warranty")</f>
        <v>Out of warranty</v>
      </c>
      <c r="AJ26" s="3">
        <f>IFERROR(__xludf.DUMMYFUNCTION("""COMPUTED_VALUE"""),295.0)</f>
        <v>295</v>
      </c>
      <c r="AK26" s="3"/>
      <c r="AL26" s="3" t="str">
        <f>IFERROR(__xludf.DUMMYFUNCTION("""COMPUTED_VALUE"""),"sgm.fashion_island@bigc.co.th")</f>
        <v>sgm.fashion_island@bigc.co.th</v>
      </c>
    </row>
    <row r="27" ht="15.75" customHeight="1">
      <c r="A27" s="1" t="str">
        <f>IFERROR(__xludf.DUMMYFUNCTION("""COMPUTED_VALUE"""),"11127")</f>
        <v>11127</v>
      </c>
      <c r="B27" s="2">
        <f>IFERROR(__xludf.DUMMYFUNCTION("""COMPUTED_VALUE"""),11127.0)</f>
        <v>11127</v>
      </c>
      <c r="C27" s="3" t="str">
        <f>IFERROR(__xludf.DUMMYFUNCTION("""COMPUTED_VALUE"""),"เชียงใหม่")</f>
        <v>เชียงใหม่</v>
      </c>
      <c r="D27" s="3" t="str">
        <f>IFERROR(__xludf.DUMMYFUNCTION("""COMPUTED_VALUE"""),"BIGC CHIANGMAI")</f>
        <v>BIGC CHIANGMAI</v>
      </c>
      <c r="E27" s="1" t="str">
        <f>IFERROR(__xludf.DUMMYFUNCTION("""COMPUTED_VALUE"""),"บิ๊กซี HyperMarket")</f>
        <v>บิ๊กซี HyperMarket</v>
      </c>
      <c r="F27" s="1" t="str">
        <f>IFERROR(__xludf.DUMMYFUNCTION("""COMPUTED_VALUE"""),"000348")</f>
        <v>000348</v>
      </c>
      <c r="G27" s="1" t="str">
        <f>IFERROR(__xludf.DUMMYFUNCTION("""COMPUTED_VALUE"""),"นายธีรนันท์ ไม้สนธิ์")</f>
        <v>นายธีรนันท์ ไม้สนธิ์</v>
      </c>
      <c r="H27" s="1" t="str">
        <f>IFERROR(__xludf.DUMMYFUNCTION("""COMPUTED_VALUE"""),"000348")</f>
        <v>000348</v>
      </c>
      <c r="I27" s="1" t="str">
        <f>IFERROR(__xludf.DUMMYFUNCTION("""COMPUTED_VALUE"""),"นายธีรนันท์ ไม้สนธิ์")</f>
        <v>นายธีรนันท์ ไม้สนธิ์</v>
      </c>
      <c r="J27" s="3">
        <f>IFERROR(__xludf.DUMMYFUNCTION("""COMPUTED_VALUE"""),348.0)</f>
        <v>348</v>
      </c>
      <c r="K27" s="3" t="str">
        <f>IFERROR(__xludf.DUMMYFUNCTION("""COMPUTED_VALUE"""),"นายธีรนันท์ ไม้สนธิ์")</f>
        <v>นายธีรนันท์ ไม้สนธิ์</v>
      </c>
      <c r="L27" s="1" t="str">
        <f>IFERROR(__xludf.DUMMYFUNCTION("""COMPUTED_VALUE"""),"Hub07-North")</f>
        <v>Hub07-North</v>
      </c>
      <c r="M27" s="1" t="str">
        <f>IFERROR(__xludf.DUMMYFUNCTION("""COMPUTED_VALUE"""),"0614175866")</f>
        <v>0614175866</v>
      </c>
      <c r="N27" s="3">
        <f>IFERROR(__xludf.DUMMYFUNCTION("""COMPUTED_VALUE"""),11127.0)</f>
        <v>11127</v>
      </c>
      <c r="O27" s="3" t="str">
        <f>IFERROR(__xludf.DUMMYFUNCTION("""COMPUTED_VALUE"""),"เชียงใหม่")</f>
        <v>เชียงใหม่</v>
      </c>
      <c r="P27" s="4">
        <f>IFERROR(__xludf.DUMMYFUNCTION("""COMPUTED_VALUE"""),37072.0)</f>
        <v>37072</v>
      </c>
      <c r="Q27" s="3" t="str">
        <f>IFERROR(__xludf.DUMMYFUNCTION("""COMPUTED_VALUE"""),"A")</f>
        <v>A</v>
      </c>
      <c r="R27" s="3" t="str">
        <f>IFERROR(__xludf.DUMMYFUNCTION("""COMPUTED_VALUE"""),"Big Format")</f>
        <v>Big Format</v>
      </c>
      <c r="S27" s="3" t="str">
        <f>IFERROR(__xludf.DUMMYFUNCTION("""COMPUTED_VALUE"""),"Hyper")</f>
        <v>Hyper</v>
      </c>
      <c r="T27" s="3" t="str">
        <f>IFERROR(__xludf.DUMMYFUNCTION("""COMPUTED_VALUE"""),"Hub07-North")</f>
        <v>Hub07-North</v>
      </c>
      <c r="U27" s="3" t="str">
        <f>IFERROR(__xludf.DUMMYFUNCTION("""COMPUTED_VALUE"""),"Hub07-North")</f>
        <v>Hub07-North</v>
      </c>
      <c r="V27" s="3" t="str">
        <f>IFERROR(__xludf.DUMMYFUNCTION("""COMPUTED_VALUE"""),"N")</f>
        <v>N</v>
      </c>
      <c r="W27" s="3">
        <f>IFERROR(__xludf.DUMMYFUNCTION("""COMPUTED_VALUE"""),111127.0)</f>
        <v>111127</v>
      </c>
      <c r="X27" s="3" t="str">
        <f>IFERROR(__xludf.DUMMYFUNCTION("""COMPUTED_VALUE"""),"208 หมู่ที่ 3 ตำบลท่าศาลา อำเภอเมืองเชียงใหม่ จังหวัดเชียงใหม่ 50000")</f>
        <v>208 หมู่ที่ 3 ตำบลท่าศาลา อำเภอเมืองเชียงใหม่ จังหวัดเชียงใหม่ 50000</v>
      </c>
      <c r="Y27" s="3"/>
      <c r="Z27" s="3" t="str">
        <f>IFERROR(__xludf.DUMMYFUNCTION("""COMPUTED_VALUE"""),"ท่าศาลา")</f>
        <v>ท่าศาลา</v>
      </c>
      <c r="AA27" s="3" t="str">
        <f>IFERROR(__xludf.DUMMYFUNCTION("""COMPUTED_VALUE"""),"เมือง")</f>
        <v>เมือง</v>
      </c>
      <c r="AB27" s="3" t="str">
        <f>IFERROR(__xludf.DUMMYFUNCTION("""COMPUTED_VALUE"""),"เชียงใหม่")</f>
        <v>เชียงใหม่</v>
      </c>
      <c r="AC27" s="3">
        <f>IFERROR(__xludf.DUMMYFUNCTION("""COMPUTED_VALUE"""),50000.0)</f>
        <v>50000</v>
      </c>
      <c r="AD27" s="3">
        <f>IFERROR(__xludf.DUMMYFUNCTION("""COMPUTED_VALUE"""),18.769)</f>
        <v>18.769</v>
      </c>
      <c r="AE27" s="3">
        <f>IFERROR(__xludf.DUMMYFUNCTION("""COMPUTED_VALUE"""),99.033)</f>
        <v>99.033</v>
      </c>
      <c r="AF27" s="3" t="str">
        <f>IFERROR(__xludf.DUMMYFUNCTION("""COMPUTED_VALUE"""),"เชียงใหม่-11127")</f>
        <v>เชียงใหม่-11127</v>
      </c>
      <c r="AG27" s="3" t="str">
        <f>IFERROR(__xludf.DUMMYFUNCTION("""COMPUTED_VALUE"""),"เหนือ")</f>
        <v>เหนือ</v>
      </c>
      <c r="AH27" s="3" t="str">
        <f>IFERROR(__xludf.DUMMYFUNCTION("""COMPUTED_VALUE"""),"Wichai Soomboonsod")</f>
        <v>Wichai Soomboonsod</v>
      </c>
      <c r="AI27" s="3" t="str">
        <f>IFERROR(__xludf.DUMMYFUNCTION("""COMPUTED_VALUE"""),"Out of warranty")</f>
        <v>Out of warranty</v>
      </c>
      <c r="AJ27" s="3">
        <f>IFERROR(__xludf.DUMMYFUNCTION("""COMPUTED_VALUE"""),295.0)</f>
        <v>295</v>
      </c>
      <c r="AK27" s="3"/>
      <c r="AL27" s="3" t="str">
        <f>IFERROR(__xludf.DUMMYFUNCTION("""COMPUTED_VALUE"""),"sgm.chiangmai@bigc.co.th")</f>
        <v>sgm.chiangmai@bigc.co.th</v>
      </c>
    </row>
    <row r="28" ht="15.75" customHeight="1">
      <c r="A28" s="1" t="str">
        <f>IFERROR(__xludf.DUMMYFUNCTION("""COMPUTED_VALUE"""),"11128")</f>
        <v>11128</v>
      </c>
      <c r="B28" s="2">
        <f>IFERROR(__xludf.DUMMYFUNCTION("""COMPUTED_VALUE"""),11128.0)</f>
        <v>11128</v>
      </c>
      <c r="C28" s="3" t="str">
        <f>IFERROR(__xludf.DUMMYFUNCTION("""COMPUTED_VALUE"""),"สุขสวัสดิ์")</f>
        <v>สุขสวัสดิ์</v>
      </c>
      <c r="D28" s="3" t="str">
        <f>IFERROR(__xludf.DUMMYFUNCTION("""COMPUTED_VALUE"""),"BIGC SUKSAWAD")</f>
        <v>BIGC SUKSAWAD</v>
      </c>
      <c r="E28" s="1" t="str">
        <f>IFERROR(__xludf.DUMMYFUNCTION("""COMPUTED_VALUE"""),"บิ๊กซี HyperMarket")</f>
        <v>บิ๊กซี HyperMarket</v>
      </c>
      <c r="F28" s="1" t="str">
        <f>IFERROR(__xludf.DUMMYFUNCTION("""COMPUTED_VALUE"""),"2454701")</f>
        <v>2454701</v>
      </c>
      <c r="G28" s="1" t="str">
        <f>IFERROR(__xludf.DUMMYFUNCTION("""COMPUTED_VALUE"""),"นายกานต์ ไชยแสงศรี")</f>
        <v>นายกานต์ ไชยแสงศรี</v>
      </c>
      <c r="H28" s="1" t="str">
        <f>IFERROR(__xludf.DUMMYFUNCTION("""COMPUTED_VALUE"""),"2454701")</f>
        <v>2454701</v>
      </c>
      <c r="I28" s="1" t="str">
        <f>IFERROR(__xludf.DUMMYFUNCTION("""COMPUTED_VALUE"""),"นายกานต์ ไชยแสงศรี")</f>
        <v>นายกานต์ ไชยแสงศรี</v>
      </c>
      <c r="J28" s="3">
        <f>IFERROR(__xludf.DUMMYFUNCTION("""COMPUTED_VALUE"""),2454701.0)</f>
        <v>2454701</v>
      </c>
      <c r="K28" s="3" t="str">
        <f>IFERROR(__xludf.DUMMYFUNCTION("""COMPUTED_VALUE"""),"นายกานต์ ไชยแสงศรี")</f>
        <v>นายกานต์ ไชยแสงศรี</v>
      </c>
      <c r="L28" s="1" t="str">
        <f>IFERROR(__xludf.DUMMYFUNCTION("""COMPUTED_VALUE"""),"Hub01-BKK 1")</f>
        <v>Hub01-BKK 1</v>
      </c>
      <c r="M28" s="1" t="str">
        <f>IFERROR(__xludf.DUMMYFUNCTION("""COMPUTED_VALUE"""),"0909090652")</f>
        <v>0909090652</v>
      </c>
      <c r="N28" s="3">
        <f>IFERROR(__xludf.DUMMYFUNCTION("""COMPUTED_VALUE"""),11128.0)</f>
        <v>11128</v>
      </c>
      <c r="O28" s="3" t="str">
        <f>IFERROR(__xludf.DUMMYFUNCTION("""COMPUTED_VALUE"""),"สุขสวัสดิ์")</f>
        <v>สุขสวัสดิ์</v>
      </c>
      <c r="P28" s="4">
        <f>IFERROR(__xludf.DUMMYFUNCTION("""COMPUTED_VALUE"""),37202.0)</f>
        <v>37202</v>
      </c>
      <c r="Q28" s="3" t="str">
        <f>IFERROR(__xludf.DUMMYFUNCTION("""COMPUTED_VALUE"""),"A")</f>
        <v>A</v>
      </c>
      <c r="R28" s="3" t="str">
        <f>IFERROR(__xludf.DUMMYFUNCTION("""COMPUTED_VALUE"""),"Big Format")</f>
        <v>Big Format</v>
      </c>
      <c r="S28" s="3" t="str">
        <f>IFERROR(__xludf.DUMMYFUNCTION("""COMPUTED_VALUE"""),"Hyper")</f>
        <v>Hyper</v>
      </c>
      <c r="T28" s="3" t="str">
        <f>IFERROR(__xludf.DUMMYFUNCTION("""COMPUTED_VALUE"""),"Hub01-BKK 1")</f>
        <v>Hub01-BKK 1</v>
      </c>
      <c r="U28" s="3" t="str">
        <f>IFERROR(__xludf.DUMMYFUNCTION("""COMPUTED_VALUE"""),"Hub01-BKK 1")</f>
        <v>Hub01-BKK 1</v>
      </c>
      <c r="V28" s="3" t="str">
        <f>IFERROR(__xludf.DUMMYFUNCTION("""COMPUTED_VALUE"""),"N")</f>
        <v>N</v>
      </c>
      <c r="W28" s="3">
        <f>IFERROR(__xludf.DUMMYFUNCTION("""COMPUTED_VALUE"""),111128.0)</f>
        <v>111128</v>
      </c>
      <c r="X28" s="3" t="str">
        <f>IFERROR(__xludf.DUMMYFUNCTION("""COMPUTED_VALUE"""),"94 หมู่ที่ 18 ตำบลบางพึ่ง อำเภอพระประแดง จังหวัดสมุทรปราการ 10130")</f>
        <v>94 หมู่ที่ 18 ตำบลบางพึ่ง อำเภอพระประแดง จังหวัดสมุทรปราการ 10130</v>
      </c>
      <c r="Y28" s="3"/>
      <c r="Z28" s="3" t="str">
        <f>IFERROR(__xludf.DUMMYFUNCTION("""COMPUTED_VALUE"""),"บางพึง")</f>
        <v>บางพึง</v>
      </c>
      <c r="AA28" s="3" t="str">
        <f>IFERROR(__xludf.DUMMYFUNCTION("""COMPUTED_VALUE"""),"พระประแดง")</f>
        <v>พระประแดง</v>
      </c>
      <c r="AB28" s="3" t="str">
        <f>IFERROR(__xludf.DUMMYFUNCTION("""COMPUTED_VALUE"""),"สมุทรปราการ")</f>
        <v>สมุทรปราการ</v>
      </c>
      <c r="AC28" s="3">
        <f>IFERROR(__xludf.DUMMYFUNCTION("""COMPUTED_VALUE"""),10130.0)</f>
        <v>10130</v>
      </c>
      <c r="AD28" s="3">
        <f>IFERROR(__xludf.DUMMYFUNCTION("""COMPUTED_VALUE"""),13.653805)</f>
        <v>13.653805</v>
      </c>
      <c r="AE28" s="3">
        <f>IFERROR(__xludf.DUMMYFUNCTION("""COMPUTED_VALUE"""),100.522381)</f>
        <v>100.522381</v>
      </c>
      <c r="AF28" s="3" t="str">
        <f>IFERROR(__xludf.DUMMYFUNCTION("""COMPUTED_VALUE"""),"สุขสวัสดิ์-11128")</f>
        <v>สุขสวัสดิ์-11128</v>
      </c>
      <c r="AG28" s="3" t="str">
        <f>IFERROR(__xludf.DUMMYFUNCTION("""COMPUTED_VALUE"""),"กลาง")</f>
        <v>กลาง</v>
      </c>
      <c r="AH28" s="3" t="str">
        <f>IFERROR(__xludf.DUMMYFUNCTION("""COMPUTED_VALUE"""),"Suchin Thawinwisan")</f>
        <v>Suchin Thawinwisan</v>
      </c>
      <c r="AI28" s="3" t="str">
        <f>IFERROR(__xludf.DUMMYFUNCTION("""COMPUTED_VALUE"""),"Out of warranty")</f>
        <v>Out of warranty</v>
      </c>
      <c r="AJ28" s="3">
        <f>IFERROR(__xludf.DUMMYFUNCTION("""COMPUTED_VALUE"""),291.0)</f>
        <v>291</v>
      </c>
      <c r="AK28" s="3"/>
      <c r="AL28" s="3" t="str">
        <f>IFERROR(__xludf.DUMMYFUNCTION("""COMPUTED_VALUE"""),"sgm.suksawat@bigc.co.th")</f>
        <v>sgm.suksawat@bigc.co.th</v>
      </c>
    </row>
    <row r="29" ht="15.75" customHeight="1">
      <c r="A29" s="1" t="str">
        <f>IFERROR(__xludf.DUMMYFUNCTION("""COMPUTED_VALUE"""),"11129")</f>
        <v>11129</v>
      </c>
      <c r="B29" s="2">
        <f>IFERROR(__xludf.DUMMYFUNCTION("""COMPUTED_VALUE"""),11129.0)</f>
        <v>11129</v>
      </c>
      <c r="C29" s="3" t="str">
        <f>IFERROR(__xludf.DUMMYFUNCTION("""COMPUTED_VALUE"""),"ภูเก็ต")</f>
        <v>ภูเก็ต</v>
      </c>
      <c r="D29" s="3" t="str">
        <f>IFERROR(__xludf.DUMMYFUNCTION("""COMPUTED_VALUE"""),"BIGC PHUKET")</f>
        <v>BIGC PHUKET</v>
      </c>
      <c r="E29" s="1" t="str">
        <f>IFERROR(__xludf.DUMMYFUNCTION("""COMPUTED_VALUE"""),"บิ๊กซี HyperMarket")</f>
        <v>บิ๊กซี HyperMarket</v>
      </c>
      <c r="F29" s="1" t="str">
        <f>IFERROR(__xludf.DUMMYFUNCTION("""COMPUTED_VALUE"""),"2454709")</f>
        <v>2454709</v>
      </c>
      <c r="G29" s="1" t="str">
        <f>IFERROR(__xludf.DUMMYFUNCTION("""COMPUTED_VALUE"""),"นายประชา เกตุชาติ")</f>
        <v>นายประชา เกตุชาติ</v>
      </c>
      <c r="H29" s="1" t="str">
        <f>IFERROR(__xludf.DUMMYFUNCTION("""COMPUTED_VALUE"""),"2454709")</f>
        <v>2454709</v>
      </c>
      <c r="I29" s="1" t="str">
        <f>IFERROR(__xludf.DUMMYFUNCTION("""COMPUTED_VALUE"""),"นายประชา เกตุชาติ")</f>
        <v>นายประชา เกตุชาติ</v>
      </c>
      <c r="J29" s="3">
        <f>IFERROR(__xludf.DUMMYFUNCTION("""COMPUTED_VALUE"""),2454709.0)</f>
        <v>2454709</v>
      </c>
      <c r="K29" s="3" t="str">
        <f>IFERROR(__xludf.DUMMYFUNCTION("""COMPUTED_VALUE"""),"นายประชา เกตุชาติ")</f>
        <v>นายประชา เกตุชาติ</v>
      </c>
      <c r="L29" s="1" t="str">
        <f>IFERROR(__xludf.DUMMYFUNCTION("""COMPUTED_VALUE"""),"Hub05-South")</f>
        <v>Hub05-South</v>
      </c>
      <c r="M29" s="1" t="str">
        <f>IFERROR(__xludf.DUMMYFUNCTION("""COMPUTED_VALUE"""),"0659291311")</f>
        <v>0659291311</v>
      </c>
      <c r="N29" s="3">
        <f>IFERROR(__xludf.DUMMYFUNCTION("""COMPUTED_VALUE"""),11129.0)</f>
        <v>11129</v>
      </c>
      <c r="O29" s="3" t="str">
        <f>IFERROR(__xludf.DUMMYFUNCTION("""COMPUTED_VALUE"""),"ภูเก็ต")</f>
        <v>ภูเก็ต</v>
      </c>
      <c r="P29" s="4">
        <f>IFERROR(__xludf.DUMMYFUNCTION("""COMPUTED_VALUE"""),37222.0)</f>
        <v>37222</v>
      </c>
      <c r="Q29" s="3" t="str">
        <f>IFERROR(__xludf.DUMMYFUNCTION("""COMPUTED_VALUE"""),"A")</f>
        <v>A</v>
      </c>
      <c r="R29" s="3" t="str">
        <f>IFERROR(__xludf.DUMMYFUNCTION("""COMPUTED_VALUE"""),"Big Format")</f>
        <v>Big Format</v>
      </c>
      <c r="S29" s="3" t="str">
        <f>IFERROR(__xludf.DUMMYFUNCTION("""COMPUTED_VALUE"""),"Hyper")</f>
        <v>Hyper</v>
      </c>
      <c r="T29" s="3" t="str">
        <f>IFERROR(__xludf.DUMMYFUNCTION("""COMPUTED_VALUE"""),"Hub05-South")</f>
        <v>Hub05-South</v>
      </c>
      <c r="U29" s="3" t="str">
        <f>IFERROR(__xludf.DUMMYFUNCTION("""COMPUTED_VALUE"""),"Hub05-South")</f>
        <v>Hub05-South</v>
      </c>
      <c r="V29" s="3" t="str">
        <f>IFERROR(__xludf.DUMMYFUNCTION("""COMPUTED_VALUE"""),"N")</f>
        <v>N</v>
      </c>
      <c r="W29" s="3">
        <f>IFERROR(__xludf.DUMMYFUNCTION("""COMPUTED_VALUE"""),111129.0)</f>
        <v>111129</v>
      </c>
      <c r="X29" s="3" t="str">
        <f>IFERROR(__xludf.DUMMYFUNCTION("""COMPUTED_VALUE"""),"72 หมู่ที่ 5 ตำบลวิชิต อำเภอเมืองภูเก็ต จังหวัดภูเก็ต 83000")</f>
        <v>72 หมู่ที่ 5 ตำบลวิชิต อำเภอเมืองภูเก็ต จังหวัดภูเก็ต 83000</v>
      </c>
      <c r="Y29" s="3"/>
      <c r="Z29" s="3" t="str">
        <f>IFERROR(__xludf.DUMMYFUNCTION("""COMPUTED_VALUE"""),"วิชิต")</f>
        <v>วิชิต</v>
      </c>
      <c r="AA29" s="3" t="str">
        <f>IFERROR(__xludf.DUMMYFUNCTION("""COMPUTED_VALUE"""),"เมือง")</f>
        <v>เมือง</v>
      </c>
      <c r="AB29" s="3" t="str">
        <f>IFERROR(__xludf.DUMMYFUNCTION("""COMPUTED_VALUE"""),"ภูเก็ต")</f>
        <v>ภูเก็ต</v>
      </c>
      <c r="AC29" s="3">
        <f>IFERROR(__xludf.DUMMYFUNCTION("""COMPUTED_VALUE"""),83000.0)</f>
        <v>83000</v>
      </c>
      <c r="AD29" s="3">
        <f>IFERROR(__xludf.DUMMYFUNCTION("""COMPUTED_VALUE"""),7.8959)</f>
        <v>7.8959</v>
      </c>
      <c r="AE29" s="3">
        <f>IFERROR(__xludf.DUMMYFUNCTION("""COMPUTED_VALUE"""),98.3674)</f>
        <v>98.3674</v>
      </c>
      <c r="AF29" s="3" t="str">
        <f>IFERROR(__xludf.DUMMYFUNCTION("""COMPUTED_VALUE"""),"ภูเก็ต-11129")</f>
        <v>ภูเก็ต-11129</v>
      </c>
      <c r="AG29" s="3" t="str">
        <f>IFERROR(__xludf.DUMMYFUNCTION("""COMPUTED_VALUE"""),"ใต้")</f>
        <v>ใต้</v>
      </c>
      <c r="AH29" s="3" t="str">
        <f>IFERROR(__xludf.DUMMYFUNCTION("""COMPUTED_VALUE"""),"Suwadee Intachart")</f>
        <v>Suwadee Intachart</v>
      </c>
      <c r="AI29" s="3" t="str">
        <f>IFERROR(__xludf.DUMMYFUNCTION("""COMPUTED_VALUE"""),"Out of warranty")</f>
        <v>Out of warranty</v>
      </c>
      <c r="AJ29" s="3">
        <f>IFERROR(__xludf.DUMMYFUNCTION("""COMPUTED_VALUE"""),290.0)</f>
        <v>290</v>
      </c>
      <c r="AK29" s="3"/>
      <c r="AL29" s="3" t="str">
        <f>IFERROR(__xludf.DUMMYFUNCTION("""COMPUTED_VALUE"""),"sgm.phuket@bigc.co.th")</f>
        <v>sgm.phuket@bigc.co.th</v>
      </c>
    </row>
    <row r="30" ht="15.75" customHeight="1">
      <c r="A30" s="1" t="str">
        <f>IFERROR(__xludf.DUMMYFUNCTION("""COMPUTED_VALUE"""),"11130")</f>
        <v>11130</v>
      </c>
      <c r="B30" s="2">
        <f>IFERROR(__xludf.DUMMYFUNCTION("""COMPUTED_VALUE"""),11130.0)</f>
        <v>11130</v>
      </c>
      <c r="C30" s="3" t="str">
        <f>IFERROR(__xludf.DUMMYFUNCTION("""COMPUTED_VALUE"""),"บางนา")</f>
        <v>บางนา</v>
      </c>
      <c r="D30" s="3" t="str">
        <f>IFERROR(__xludf.DUMMYFUNCTION("""COMPUTED_VALUE"""),"BIGC BANGNA")</f>
        <v>BIGC BANGNA</v>
      </c>
      <c r="E30" s="1" t="str">
        <f>IFERROR(__xludf.DUMMYFUNCTION("""COMPUTED_VALUE"""),"บิ๊กซี HyperMarket")</f>
        <v>บิ๊กซี HyperMarket</v>
      </c>
      <c r="F30" s="1" t="str">
        <f>IFERROR(__xludf.DUMMYFUNCTION("""COMPUTED_VALUE"""),"02408546")</f>
        <v>02408546</v>
      </c>
      <c r="G30" s="1" t="str">
        <f>IFERROR(__xludf.DUMMYFUNCTION("""COMPUTED_VALUE"""),"นายเกษมศิษฐ์ ฮดบุญเรือง")</f>
        <v>นายเกษมศิษฐ์ ฮดบุญเรือง</v>
      </c>
      <c r="H30" s="1" t="str">
        <f>IFERROR(__xludf.DUMMYFUNCTION("""COMPUTED_VALUE"""),"02408546")</f>
        <v>02408546</v>
      </c>
      <c r="I30" s="1" t="str">
        <f>IFERROR(__xludf.DUMMYFUNCTION("""COMPUTED_VALUE"""),"นายเกษมศิษฐ์ ฮดบุญเรือง")</f>
        <v>นายเกษมศิษฐ์ ฮดบุญเรือง</v>
      </c>
      <c r="J30" s="3">
        <f>IFERROR(__xludf.DUMMYFUNCTION("""COMPUTED_VALUE"""),2408546.0)</f>
        <v>2408546</v>
      </c>
      <c r="K30" s="3" t="str">
        <f>IFERROR(__xludf.DUMMYFUNCTION("""COMPUTED_VALUE"""),"นายเกษมศิษฐ์ ฮดบุญเรือง")</f>
        <v>นายเกษมศิษฐ์ ฮดบุญเรือง</v>
      </c>
      <c r="L30" s="1" t="str">
        <f>IFERROR(__xludf.DUMMYFUNCTION("""COMPUTED_VALUE"""),"Hub02-BKK 2")</f>
        <v>Hub02-BKK 2</v>
      </c>
      <c r="M30" s="1" t="str">
        <f>IFERROR(__xludf.DUMMYFUNCTION("""COMPUTED_VALUE"""),"0988580755")</f>
        <v>0988580755</v>
      </c>
      <c r="N30" s="3">
        <f>IFERROR(__xludf.DUMMYFUNCTION("""COMPUTED_VALUE"""),11130.0)</f>
        <v>11130</v>
      </c>
      <c r="O30" s="3" t="str">
        <f>IFERROR(__xludf.DUMMYFUNCTION("""COMPUTED_VALUE"""),"บางนา")</f>
        <v>บางนา</v>
      </c>
      <c r="P30" s="4">
        <f>IFERROR(__xludf.DUMMYFUNCTION("""COMPUTED_VALUE"""),37293.0)</f>
        <v>37293</v>
      </c>
      <c r="Q30" s="3" t="str">
        <f>IFERROR(__xludf.DUMMYFUNCTION("""COMPUTED_VALUE"""),"A")</f>
        <v>A</v>
      </c>
      <c r="R30" s="3" t="str">
        <f>IFERROR(__xludf.DUMMYFUNCTION("""COMPUTED_VALUE"""),"Big Format")</f>
        <v>Big Format</v>
      </c>
      <c r="S30" s="3" t="str">
        <f>IFERROR(__xludf.DUMMYFUNCTION("""COMPUTED_VALUE"""),"Hyper")</f>
        <v>Hyper</v>
      </c>
      <c r="T30" s="3" t="str">
        <f>IFERROR(__xludf.DUMMYFUNCTION("""COMPUTED_VALUE"""),"Hub02-BKK 2")</f>
        <v>Hub02-BKK 2</v>
      </c>
      <c r="U30" s="3" t="str">
        <f>IFERROR(__xludf.DUMMYFUNCTION("""COMPUTED_VALUE"""),"Hub02-BKK 2")</f>
        <v>Hub02-BKK 2</v>
      </c>
      <c r="V30" s="3" t="str">
        <f>IFERROR(__xludf.DUMMYFUNCTION("""COMPUTED_VALUE"""),"N")</f>
        <v>N</v>
      </c>
      <c r="W30" s="3">
        <f>IFERROR(__xludf.DUMMYFUNCTION("""COMPUTED_VALUE"""),111130.0)</f>
        <v>111130</v>
      </c>
      <c r="X30" s="3" t="str">
        <f>IFERROR(__xludf.DUMMYFUNCTION("""COMPUTED_VALUE"""),"611 ถนนเทพรัตน แขวงบางนาเหนือ เขตบางนา กรุงเทพฯ 10260")</f>
        <v>611 ถนนเทพรัตน แขวงบางนาเหนือ เขตบางนา กรุงเทพฯ 10260</v>
      </c>
      <c r="Y30" s="3" t="str">
        <f>IFERROR(__xludf.DUMMYFUNCTION("""COMPUTED_VALUE"""),"ถนนเทพรัตน")</f>
        <v>ถนนเทพรัตน</v>
      </c>
      <c r="Z30" s="3" t="str">
        <f>IFERROR(__xludf.DUMMYFUNCTION("""COMPUTED_VALUE"""),"บางนาเหนือ")</f>
        <v>บางนาเหนือ</v>
      </c>
      <c r="AA30" s="3" t="str">
        <f>IFERROR(__xludf.DUMMYFUNCTION("""COMPUTED_VALUE"""),"บางนา")</f>
        <v>บางนา</v>
      </c>
      <c r="AB30" s="3" t="str">
        <f>IFERROR(__xludf.DUMMYFUNCTION("""COMPUTED_VALUE"""),"กรุงเทพมหานคร")</f>
        <v>กรุงเทพมหานคร</v>
      </c>
      <c r="AC30" s="3">
        <f>IFERROR(__xludf.DUMMYFUNCTION("""COMPUTED_VALUE"""),10260.0)</f>
        <v>10260</v>
      </c>
      <c r="AD30" s="3">
        <f>IFERROR(__xludf.DUMMYFUNCTION("""COMPUTED_VALUE"""),13.668862)</f>
        <v>13.668862</v>
      </c>
      <c r="AE30" s="3">
        <f>IFERROR(__xludf.DUMMYFUNCTION("""COMPUTED_VALUE"""),100.635734)</f>
        <v>100.635734</v>
      </c>
      <c r="AF30" s="3" t="str">
        <f>IFERROR(__xludf.DUMMYFUNCTION("""COMPUTED_VALUE"""),"บางนา-11130")</f>
        <v>บางนา-11130</v>
      </c>
      <c r="AG30" s="3" t="str">
        <f>IFERROR(__xludf.DUMMYFUNCTION("""COMPUTED_VALUE"""),"กลาง")</f>
        <v>กลาง</v>
      </c>
      <c r="AH30" s="3" t="str">
        <f>IFERROR(__xludf.DUMMYFUNCTION("""COMPUTED_VALUE"""),"Vassana Teratam")</f>
        <v>Vassana Teratam</v>
      </c>
      <c r="AI30" s="3" t="str">
        <f>IFERROR(__xludf.DUMMYFUNCTION("""COMPUTED_VALUE"""),"Out of warranty")</f>
        <v>Out of warranty</v>
      </c>
      <c r="AJ30" s="3">
        <f>IFERROR(__xludf.DUMMYFUNCTION("""COMPUTED_VALUE"""),288.0)</f>
        <v>288</v>
      </c>
      <c r="AK30" s="3"/>
      <c r="AL30" s="3" t="str">
        <f>IFERROR(__xludf.DUMMYFUNCTION("""COMPUTED_VALUE"""),"sgm.bangna@bigc.co.th")</f>
        <v>sgm.bangna@bigc.co.th</v>
      </c>
    </row>
    <row r="31" ht="15.75" customHeight="1">
      <c r="A31" s="1" t="str">
        <f>IFERROR(__xludf.DUMMYFUNCTION("""COMPUTED_VALUE"""),"11131")</f>
        <v>11131</v>
      </c>
      <c r="B31" s="2">
        <f>IFERROR(__xludf.DUMMYFUNCTION("""COMPUTED_VALUE"""),11131.0)</f>
        <v>11131</v>
      </c>
      <c r="C31" s="3" t="str">
        <f>IFERROR(__xludf.DUMMYFUNCTION("""COMPUTED_VALUE"""),"ลาดพร้าว")</f>
        <v>ลาดพร้าว</v>
      </c>
      <c r="D31" s="3" t="str">
        <f>IFERROR(__xludf.DUMMYFUNCTION("""COMPUTED_VALUE"""),"BIGC LARDPHRAO")</f>
        <v>BIGC LARDPHRAO</v>
      </c>
      <c r="E31" s="1" t="str">
        <f>IFERROR(__xludf.DUMMYFUNCTION("""COMPUTED_VALUE"""),"บิ๊กซี HyperMarket")</f>
        <v>บิ๊กซี HyperMarket</v>
      </c>
      <c r="F31" s="1" t="str">
        <f>IFERROR(__xludf.DUMMYFUNCTION("""COMPUTED_VALUE"""),"2454813")</f>
        <v>2454813</v>
      </c>
      <c r="G31" s="1" t="str">
        <f>IFERROR(__xludf.DUMMYFUNCTION("""COMPUTED_VALUE"""),"นายอนุรักษ์ จั่นเที่ยง")</f>
        <v>นายอนุรักษ์ จั่นเที่ยง</v>
      </c>
      <c r="H31" s="1" t="str">
        <f>IFERROR(__xludf.DUMMYFUNCTION("""COMPUTED_VALUE"""),"2454813")</f>
        <v>2454813</v>
      </c>
      <c r="I31" s="1" t="str">
        <f>IFERROR(__xludf.DUMMYFUNCTION("""COMPUTED_VALUE"""),"นายอนุรักษ์ จั่นเที่ยง")</f>
        <v>นายอนุรักษ์ จั่นเที่ยง</v>
      </c>
      <c r="J31" s="3">
        <f>IFERROR(__xludf.DUMMYFUNCTION("""COMPUTED_VALUE"""),2454813.0)</f>
        <v>2454813</v>
      </c>
      <c r="K31" s="3" t="str">
        <f>IFERROR(__xludf.DUMMYFUNCTION("""COMPUTED_VALUE"""),"นายอนุรักษ์ จั่นเที่ยง")</f>
        <v>นายอนุรักษ์ จั่นเที่ยง</v>
      </c>
      <c r="L31" s="1" t="str">
        <f>IFERROR(__xludf.DUMMYFUNCTION("""COMPUTED_VALUE"""),"Hub04-BKK 4")</f>
        <v>Hub04-BKK 4</v>
      </c>
      <c r="M31" s="1" t="str">
        <f>IFERROR(__xludf.DUMMYFUNCTION("""COMPUTED_VALUE"""),"0991964531")</f>
        <v>0991964531</v>
      </c>
      <c r="N31" s="3">
        <f>IFERROR(__xludf.DUMMYFUNCTION("""COMPUTED_VALUE"""),11131.0)</f>
        <v>11131</v>
      </c>
      <c r="O31" s="3" t="str">
        <f>IFERROR(__xludf.DUMMYFUNCTION("""COMPUTED_VALUE"""),"ลาดพร้าว")</f>
        <v>ลาดพร้าว</v>
      </c>
      <c r="P31" s="4">
        <f>IFERROR(__xludf.DUMMYFUNCTION("""COMPUTED_VALUE"""),37434.0)</f>
        <v>37434</v>
      </c>
      <c r="Q31" s="3" t="str">
        <f>IFERROR(__xludf.DUMMYFUNCTION("""COMPUTED_VALUE"""),"A")</f>
        <v>A</v>
      </c>
      <c r="R31" s="3" t="str">
        <f>IFERROR(__xludf.DUMMYFUNCTION("""COMPUTED_VALUE"""),"Big Format")</f>
        <v>Big Format</v>
      </c>
      <c r="S31" s="3" t="str">
        <f>IFERROR(__xludf.DUMMYFUNCTION("""COMPUTED_VALUE"""),"Hyper")</f>
        <v>Hyper</v>
      </c>
      <c r="T31" s="3" t="str">
        <f>IFERROR(__xludf.DUMMYFUNCTION("""COMPUTED_VALUE"""),"Hub04-BKK 4")</f>
        <v>Hub04-BKK 4</v>
      </c>
      <c r="U31" s="3" t="str">
        <f>IFERROR(__xludf.DUMMYFUNCTION("""COMPUTED_VALUE"""),"Hub04-BKK 4")</f>
        <v>Hub04-BKK 4</v>
      </c>
      <c r="V31" s="3" t="str">
        <f>IFERROR(__xludf.DUMMYFUNCTION("""COMPUTED_VALUE"""),"N")</f>
        <v>N</v>
      </c>
      <c r="W31" s="3">
        <f>IFERROR(__xludf.DUMMYFUNCTION("""COMPUTED_VALUE"""),111131.0)</f>
        <v>111131</v>
      </c>
      <c r="X31" s="3" t="str">
        <f>IFERROR(__xludf.DUMMYFUNCTION("""COMPUTED_VALUE"""),"2539 ถ.ลาดพร้าว แขวงวังทองหลาง เขตวังทองหลาง กรุงเทพฯ 10310")</f>
        <v>2539 ถ.ลาดพร้าว แขวงวังทองหลาง เขตวังทองหลาง กรุงเทพฯ 10310</v>
      </c>
      <c r="Y31" s="3" t="str">
        <f>IFERROR(__xludf.DUMMYFUNCTION("""COMPUTED_VALUE"""),"ถ.ลาดพร้าว")</f>
        <v>ถ.ลาดพร้าว</v>
      </c>
      <c r="Z31" s="3" t="str">
        <f>IFERROR(__xludf.DUMMYFUNCTION("""COMPUTED_VALUE"""),"วังทองหลาง")</f>
        <v>วังทองหลาง</v>
      </c>
      <c r="AA31" s="3" t="str">
        <f>IFERROR(__xludf.DUMMYFUNCTION("""COMPUTED_VALUE"""),"วังทองหลาง")</f>
        <v>วังทองหลาง</v>
      </c>
      <c r="AB31" s="3" t="str">
        <f>IFERROR(__xludf.DUMMYFUNCTION("""COMPUTED_VALUE"""),"กรุงเทพมหานคร")</f>
        <v>กรุงเทพมหานคร</v>
      </c>
      <c r="AC31" s="3">
        <f>IFERROR(__xludf.DUMMYFUNCTION("""COMPUTED_VALUE"""),10310.0)</f>
        <v>10310</v>
      </c>
      <c r="AD31" s="3">
        <f>IFERROR(__xludf.DUMMYFUNCTION("""COMPUTED_VALUE"""),13.785116)</f>
        <v>13.785116</v>
      </c>
      <c r="AE31" s="3">
        <f>IFERROR(__xludf.DUMMYFUNCTION("""COMPUTED_VALUE"""),100.612709)</f>
        <v>100.612709</v>
      </c>
      <c r="AF31" s="3" t="str">
        <f>IFERROR(__xludf.DUMMYFUNCTION("""COMPUTED_VALUE"""),"ลาดพร้าว-11131")</f>
        <v>ลาดพร้าว-11131</v>
      </c>
      <c r="AG31" s="3" t="str">
        <f>IFERROR(__xludf.DUMMYFUNCTION("""COMPUTED_VALUE"""),"กลาง")</f>
        <v>กลาง</v>
      </c>
      <c r="AH31" s="3" t="str">
        <f>IFERROR(__xludf.DUMMYFUNCTION("""COMPUTED_VALUE"""),"Natsarine Seammai")</f>
        <v>Natsarine Seammai</v>
      </c>
      <c r="AI31" s="3" t="str">
        <f>IFERROR(__xludf.DUMMYFUNCTION("""COMPUTED_VALUE"""),"Out of warranty")</f>
        <v>Out of warranty</v>
      </c>
      <c r="AJ31" s="3">
        <f>IFERROR(__xludf.DUMMYFUNCTION("""COMPUTED_VALUE"""),283.0)</f>
        <v>283</v>
      </c>
      <c r="AK31" s="3"/>
      <c r="AL31" s="3" t="str">
        <f>IFERROR(__xludf.DUMMYFUNCTION("""COMPUTED_VALUE"""),"sgm.ladphrao@bigc.co.th")</f>
        <v>sgm.ladphrao@bigc.co.th</v>
      </c>
    </row>
    <row r="32" ht="15.75" customHeight="1">
      <c r="A32" s="1" t="str">
        <f>IFERROR(__xludf.DUMMYFUNCTION("""COMPUTED_VALUE"""),"11132")</f>
        <v>11132</v>
      </c>
      <c r="B32" s="2">
        <f>IFERROR(__xludf.DUMMYFUNCTION("""COMPUTED_VALUE"""),11132.0)</f>
        <v>11132</v>
      </c>
      <c r="C32" s="3" t="str">
        <f>IFERROR(__xludf.DUMMYFUNCTION("""COMPUTED_VALUE"""),"ดาวคะนอง")</f>
        <v>ดาวคะนอง</v>
      </c>
      <c r="D32" s="3" t="str">
        <f>IFERROR(__xludf.DUMMYFUNCTION("""COMPUTED_VALUE"""),"BIGC DAOKANONG")</f>
        <v>BIGC DAOKANONG</v>
      </c>
      <c r="E32" s="1" t="str">
        <f>IFERROR(__xludf.DUMMYFUNCTION("""COMPUTED_VALUE"""),"บิ๊กซี HyperMarket")</f>
        <v>บิ๊กซี HyperMarket</v>
      </c>
      <c r="F32" s="1" t="str">
        <f>IFERROR(__xludf.DUMMYFUNCTION("""COMPUTED_VALUE"""),"02408546")</f>
        <v>02408546</v>
      </c>
      <c r="G32" s="1" t="str">
        <f>IFERROR(__xludf.DUMMYFUNCTION("""COMPUTED_VALUE"""),"นายเกษมศิษฐ์ ฮดบุญเรือง")</f>
        <v>นายเกษมศิษฐ์ ฮดบุญเรือง</v>
      </c>
      <c r="H32" s="1" t="str">
        <f>IFERROR(__xludf.DUMMYFUNCTION("""COMPUTED_VALUE"""),"02408546")</f>
        <v>02408546</v>
      </c>
      <c r="I32" s="1" t="str">
        <f>IFERROR(__xludf.DUMMYFUNCTION("""COMPUTED_VALUE"""),"นายเกษมศิษฐ์ ฮดบุญเรือง")</f>
        <v>นายเกษมศิษฐ์ ฮดบุญเรือง</v>
      </c>
      <c r="J32" s="3">
        <f>IFERROR(__xludf.DUMMYFUNCTION("""COMPUTED_VALUE"""),2408546.0)</f>
        <v>2408546</v>
      </c>
      <c r="K32" s="3" t="str">
        <f>IFERROR(__xludf.DUMMYFUNCTION("""COMPUTED_VALUE"""),"นายเกษมศิษฐ์ ฮดบุญเรือง")</f>
        <v>นายเกษมศิษฐ์ ฮดบุญเรือง</v>
      </c>
      <c r="L32" s="1" t="str">
        <f>IFERROR(__xludf.DUMMYFUNCTION("""COMPUTED_VALUE"""),"Hub02-BKK 2")</f>
        <v>Hub02-BKK 2</v>
      </c>
      <c r="M32" s="1" t="str">
        <f>IFERROR(__xludf.DUMMYFUNCTION("""COMPUTED_VALUE"""),"0988580755")</f>
        <v>0988580755</v>
      </c>
      <c r="N32" s="3">
        <f>IFERROR(__xludf.DUMMYFUNCTION("""COMPUTED_VALUE"""),11132.0)</f>
        <v>11132</v>
      </c>
      <c r="O32" s="3" t="str">
        <f>IFERROR(__xludf.DUMMYFUNCTION("""COMPUTED_VALUE"""),"ดาวคะนอง")</f>
        <v>ดาวคะนอง</v>
      </c>
      <c r="P32" s="4">
        <f>IFERROR(__xludf.DUMMYFUNCTION("""COMPUTED_VALUE"""),37504.0)</f>
        <v>37504</v>
      </c>
      <c r="Q32" s="3" t="str">
        <f>IFERROR(__xludf.DUMMYFUNCTION("""COMPUTED_VALUE"""),"A")</f>
        <v>A</v>
      </c>
      <c r="R32" s="3" t="str">
        <f>IFERROR(__xludf.DUMMYFUNCTION("""COMPUTED_VALUE"""),"Big Format")</f>
        <v>Big Format</v>
      </c>
      <c r="S32" s="3" t="str">
        <f>IFERROR(__xludf.DUMMYFUNCTION("""COMPUTED_VALUE"""),"Hyper")</f>
        <v>Hyper</v>
      </c>
      <c r="T32" s="3" t="str">
        <f>IFERROR(__xludf.DUMMYFUNCTION("""COMPUTED_VALUE"""),"Hub02-BKK 2")</f>
        <v>Hub02-BKK 2</v>
      </c>
      <c r="U32" s="3" t="str">
        <f>IFERROR(__xludf.DUMMYFUNCTION("""COMPUTED_VALUE"""),"Hub02-BKK 2")</f>
        <v>Hub02-BKK 2</v>
      </c>
      <c r="V32" s="3" t="str">
        <f>IFERROR(__xludf.DUMMYFUNCTION("""COMPUTED_VALUE"""),"N")</f>
        <v>N</v>
      </c>
      <c r="W32" s="3">
        <f>IFERROR(__xludf.DUMMYFUNCTION("""COMPUTED_VALUE"""),111132.0)</f>
        <v>111132</v>
      </c>
      <c r="X32" s="3" t="str">
        <f>IFERROR(__xludf.DUMMYFUNCTION("""COMPUTED_VALUE"""),"1050 ถ.สมเด็จพระเจ้าตากสิน แขวงดาวคะนอง เขตธนบุรี กรุงเทพฯ 10600")</f>
        <v>1050 ถ.สมเด็จพระเจ้าตากสิน แขวงดาวคะนอง เขตธนบุรี กรุงเทพฯ 10600</v>
      </c>
      <c r="Y32" s="3" t="str">
        <f>IFERROR(__xludf.DUMMYFUNCTION("""COMPUTED_VALUE"""),"ถ.สมเด็จพระเจ้าตากสิน")</f>
        <v>ถ.สมเด็จพระเจ้าตากสิน</v>
      </c>
      <c r="Z32" s="3" t="str">
        <f>IFERROR(__xludf.DUMMYFUNCTION("""COMPUTED_VALUE"""),"ดาวคะนอง")</f>
        <v>ดาวคะนอง</v>
      </c>
      <c r="AA32" s="3" t="str">
        <f>IFERROR(__xludf.DUMMYFUNCTION("""COMPUTED_VALUE"""),"ธนบุรี")</f>
        <v>ธนบุรี</v>
      </c>
      <c r="AB32" s="3" t="str">
        <f>IFERROR(__xludf.DUMMYFUNCTION("""COMPUTED_VALUE"""),"กรุงเทพมหานคร")</f>
        <v>กรุงเทพมหานคร</v>
      </c>
      <c r="AC32" s="3">
        <f>IFERROR(__xludf.DUMMYFUNCTION("""COMPUTED_VALUE"""),10600.0)</f>
        <v>10600</v>
      </c>
      <c r="AD32" s="3">
        <f>IFERROR(__xludf.DUMMYFUNCTION("""COMPUTED_VALUE"""),13.69906994)</f>
        <v>13.69906994</v>
      </c>
      <c r="AE32" s="3">
        <f>IFERROR(__xludf.DUMMYFUNCTION("""COMPUTED_VALUE"""),100.4824322)</f>
        <v>100.4824322</v>
      </c>
      <c r="AF32" s="3" t="str">
        <f>IFERROR(__xludf.DUMMYFUNCTION("""COMPUTED_VALUE"""),"ดาวคะนอง-11132")</f>
        <v>ดาวคะนอง-11132</v>
      </c>
      <c r="AG32" s="3" t="str">
        <f>IFERROR(__xludf.DUMMYFUNCTION("""COMPUTED_VALUE"""),"กลาง")</f>
        <v>กลาง</v>
      </c>
      <c r="AH32" s="3" t="str">
        <f>IFERROR(__xludf.DUMMYFUNCTION("""COMPUTED_VALUE"""),"Vassana Teratam")</f>
        <v>Vassana Teratam</v>
      </c>
      <c r="AI32" s="3" t="str">
        <f>IFERROR(__xludf.DUMMYFUNCTION("""COMPUTED_VALUE"""),"Out of warranty")</f>
        <v>Out of warranty</v>
      </c>
      <c r="AJ32" s="3">
        <f>IFERROR(__xludf.DUMMYFUNCTION("""COMPUTED_VALUE"""),281.0)</f>
        <v>281</v>
      </c>
      <c r="AK32" s="3"/>
      <c r="AL32" s="3" t="str">
        <f>IFERROR(__xludf.DUMMYFUNCTION("""COMPUTED_VALUE"""),"sgm.daokanong@bigc.co.th")</f>
        <v>sgm.daokanong@bigc.co.th</v>
      </c>
    </row>
    <row r="33" ht="15.75" customHeight="1">
      <c r="A33" s="1" t="str">
        <f>IFERROR(__xludf.DUMMYFUNCTION("""COMPUTED_VALUE"""),"11133")</f>
        <v>11133</v>
      </c>
      <c r="B33" s="2">
        <f>IFERROR(__xludf.DUMMYFUNCTION("""COMPUTED_VALUE"""),11133.0)</f>
        <v>11133</v>
      </c>
      <c r="C33" s="3" t="str">
        <f>IFERROR(__xludf.DUMMYFUNCTION("""COMPUTED_VALUE"""),"ติวานนท์")</f>
        <v>ติวานนท์</v>
      </c>
      <c r="D33" s="3" t="str">
        <f>IFERROR(__xludf.DUMMYFUNCTION("""COMPUTED_VALUE"""),"BIGC TIWANON")</f>
        <v>BIGC TIWANON</v>
      </c>
      <c r="E33" s="1" t="str">
        <f>IFERROR(__xludf.DUMMYFUNCTION("""COMPUTED_VALUE"""),"บิ๊กซี HyperMarket")</f>
        <v>บิ๊กซี HyperMarket</v>
      </c>
      <c r="F33" s="1" t="str">
        <f>IFERROR(__xludf.DUMMYFUNCTION("""COMPUTED_VALUE"""),"2454701")</f>
        <v>2454701</v>
      </c>
      <c r="G33" s="1" t="str">
        <f>IFERROR(__xludf.DUMMYFUNCTION("""COMPUTED_VALUE"""),"นายกานต์ ไชยแสงศรี")</f>
        <v>นายกานต์ ไชยแสงศรี</v>
      </c>
      <c r="H33" s="1" t="str">
        <f>IFERROR(__xludf.DUMMYFUNCTION("""COMPUTED_VALUE"""),"2454701")</f>
        <v>2454701</v>
      </c>
      <c r="I33" s="1" t="str">
        <f>IFERROR(__xludf.DUMMYFUNCTION("""COMPUTED_VALUE"""),"นายกานต์ ไชยแสงศรี")</f>
        <v>นายกานต์ ไชยแสงศรี</v>
      </c>
      <c r="J33" s="3">
        <f>IFERROR(__xludf.DUMMYFUNCTION("""COMPUTED_VALUE"""),2454701.0)</f>
        <v>2454701</v>
      </c>
      <c r="K33" s="3" t="str">
        <f>IFERROR(__xludf.DUMMYFUNCTION("""COMPUTED_VALUE"""),"นายกานต์ ไชยแสงศรี")</f>
        <v>นายกานต์ ไชยแสงศรี</v>
      </c>
      <c r="L33" s="1" t="str">
        <f>IFERROR(__xludf.DUMMYFUNCTION("""COMPUTED_VALUE"""),"Hub01-BKK 1")</f>
        <v>Hub01-BKK 1</v>
      </c>
      <c r="M33" s="1" t="str">
        <f>IFERROR(__xludf.DUMMYFUNCTION("""COMPUTED_VALUE"""),"0909090652")</f>
        <v>0909090652</v>
      </c>
      <c r="N33" s="3">
        <f>IFERROR(__xludf.DUMMYFUNCTION("""COMPUTED_VALUE"""),11133.0)</f>
        <v>11133</v>
      </c>
      <c r="O33" s="3" t="str">
        <f>IFERROR(__xludf.DUMMYFUNCTION("""COMPUTED_VALUE"""),"ติวานนท์")</f>
        <v>ติวานนท์</v>
      </c>
      <c r="P33" s="4">
        <f>IFERROR(__xludf.DUMMYFUNCTION("""COMPUTED_VALUE"""),37561.0)</f>
        <v>37561</v>
      </c>
      <c r="Q33" s="3" t="str">
        <f>IFERROR(__xludf.DUMMYFUNCTION("""COMPUTED_VALUE"""),"A")</f>
        <v>A</v>
      </c>
      <c r="R33" s="3" t="str">
        <f>IFERROR(__xludf.DUMMYFUNCTION("""COMPUTED_VALUE"""),"Big Format")</f>
        <v>Big Format</v>
      </c>
      <c r="S33" s="3" t="str">
        <f>IFERROR(__xludf.DUMMYFUNCTION("""COMPUTED_VALUE"""),"Hyper")</f>
        <v>Hyper</v>
      </c>
      <c r="T33" s="3" t="str">
        <f>IFERROR(__xludf.DUMMYFUNCTION("""COMPUTED_VALUE"""),"Hub01-BKK 1")</f>
        <v>Hub01-BKK 1</v>
      </c>
      <c r="U33" s="3" t="str">
        <f>IFERROR(__xludf.DUMMYFUNCTION("""COMPUTED_VALUE"""),"Hub01-BKK 1")</f>
        <v>Hub01-BKK 1</v>
      </c>
      <c r="V33" s="3" t="str">
        <f>IFERROR(__xludf.DUMMYFUNCTION("""COMPUTED_VALUE"""),"N")</f>
        <v>N</v>
      </c>
      <c r="W33" s="3">
        <f>IFERROR(__xludf.DUMMYFUNCTION("""COMPUTED_VALUE"""),111133.0)</f>
        <v>111133</v>
      </c>
      <c r="X33" s="3" t="str">
        <f>IFERROR(__xludf.DUMMYFUNCTION("""COMPUTED_VALUE"""),"9/9 หมู่ 5 ต.ตลาดขวัญ อ.เมืองนนทบุรี จ.นนทบุรี 11000")</f>
        <v>9/9 หมู่ 5 ต.ตลาดขวัญ อ.เมืองนนทบุรี จ.นนทบุรี 11000</v>
      </c>
      <c r="Y33" s="3"/>
      <c r="Z33" s="3" t="str">
        <f>IFERROR(__xludf.DUMMYFUNCTION("""COMPUTED_VALUE"""),"ตลาดขวัญ")</f>
        <v>ตลาดขวัญ</v>
      </c>
      <c r="AA33" s="3" t="str">
        <f>IFERROR(__xludf.DUMMYFUNCTION("""COMPUTED_VALUE"""),"เมืองนนทบุรี")</f>
        <v>เมืองนนทบุรี</v>
      </c>
      <c r="AB33" s="3" t="str">
        <f>IFERROR(__xludf.DUMMYFUNCTION("""COMPUTED_VALUE"""),"นนทบุรี")</f>
        <v>นนทบุรี</v>
      </c>
      <c r="AC33" s="3">
        <f>IFERROR(__xludf.DUMMYFUNCTION("""COMPUTED_VALUE"""),11000.0)</f>
        <v>11000</v>
      </c>
      <c r="AD33" s="3">
        <f>IFERROR(__xludf.DUMMYFUNCTION("""COMPUTED_VALUE"""),13.845001)</f>
        <v>13.845001</v>
      </c>
      <c r="AE33" s="3">
        <f>IFERROR(__xludf.DUMMYFUNCTION("""COMPUTED_VALUE"""),100.510551)</f>
        <v>100.510551</v>
      </c>
      <c r="AF33" s="3" t="str">
        <f>IFERROR(__xludf.DUMMYFUNCTION("""COMPUTED_VALUE"""),"ติวานนท์-11133")</f>
        <v>ติวานนท์-11133</v>
      </c>
      <c r="AG33" s="3" t="str">
        <f>IFERROR(__xludf.DUMMYFUNCTION("""COMPUTED_VALUE"""),"กลาง")</f>
        <v>กลาง</v>
      </c>
      <c r="AH33" s="3" t="str">
        <f>IFERROR(__xludf.DUMMYFUNCTION("""COMPUTED_VALUE"""),"Suchin Thawinwisan")</f>
        <v>Suchin Thawinwisan</v>
      </c>
      <c r="AI33" s="3" t="str">
        <f>IFERROR(__xludf.DUMMYFUNCTION("""COMPUTED_VALUE"""),"Out of warranty")</f>
        <v>Out of warranty</v>
      </c>
      <c r="AJ33" s="3">
        <f>IFERROR(__xludf.DUMMYFUNCTION("""COMPUTED_VALUE"""),279.0)</f>
        <v>279</v>
      </c>
      <c r="AK33" s="3"/>
      <c r="AL33" s="3" t="str">
        <f>IFERROR(__xludf.DUMMYFUNCTION("""COMPUTED_VALUE"""),"sgm.tiwanon@bigc.co.th")</f>
        <v>sgm.tiwanon@bigc.co.th</v>
      </c>
    </row>
    <row r="34" ht="15.75" customHeight="1">
      <c r="A34" s="1" t="str">
        <f>IFERROR(__xludf.DUMMYFUNCTION("""COMPUTED_VALUE"""),"11134")</f>
        <v>11134</v>
      </c>
      <c r="B34" s="2">
        <f>IFERROR(__xludf.DUMMYFUNCTION("""COMPUTED_VALUE"""),11134.0)</f>
        <v>11134</v>
      </c>
      <c r="C34" s="3" t="str">
        <f>IFERROR(__xludf.DUMMYFUNCTION("""COMPUTED_VALUE"""),"พัทยา2")</f>
        <v>พัทยา2</v>
      </c>
      <c r="D34" s="3" t="str">
        <f>IFERROR(__xludf.DUMMYFUNCTION("""COMPUTED_VALUE"""),"BIGC PATTAYA2")</f>
        <v>BIGC PATTAYA2</v>
      </c>
      <c r="E34" s="1" t="str">
        <f>IFERROR(__xludf.DUMMYFUNCTION("""COMPUTED_VALUE"""),"บิ๊กซี HyperMarket")</f>
        <v>บิ๊กซี HyperMarket</v>
      </c>
      <c r="F34" s="1" t="str">
        <f>IFERROR(__xludf.DUMMYFUNCTION("""COMPUTED_VALUE"""),"2455164")</f>
        <v>2455164</v>
      </c>
      <c r="G34" s="1" t="str">
        <f>IFERROR(__xludf.DUMMYFUNCTION("""COMPUTED_VALUE"""),"นายกรวิทย์ เจริญพร")</f>
        <v>นายกรวิทย์ เจริญพร</v>
      </c>
      <c r="H34" s="1" t="str">
        <f>IFERROR(__xludf.DUMMYFUNCTION("""COMPUTED_VALUE"""),"2455164")</f>
        <v>2455164</v>
      </c>
      <c r="I34" s="1" t="str">
        <f>IFERROR(__xludf.DUMMYFUNCTION("""COMPUTED_VALUE"""),"นายกรวิทย์ เจริญพร")</f>
        <v>นายกรวิทย์ เจริญพร</v>
      </c>
      <c r="J34" s="3">
        <f>IFERROR(__xludf.DUMMYFUNCTION("""COMPUTED_VALUE"""),2455164.0)</f>
        <v>2455164</v>
      </c>
      <c r="K34" s="3" t="str">
        <f>IFERROR(__xludf.DUMMYFUNCTION("""COMPUTED_VALUE"""),"นายกรวิทย์ เจริญพร")</f>
        <v>นายกรวิทย์ เจริญพร</v>
      </c>
      <c r="L34" s="1" t="str">
        <f>IFERROR(__xludf.DUMMYFUNCTION("""COMPUTED_VALUE"""),"Hub08-East")</f>
        <v>Hub08-East</v>
      </c>
      <c r="M34" s="1" t="str">
        <f>IFERROR(__xludf.DUMMYFUNCTION("""COMPUTED_VALUE"""),"092-605-9922")</f>
        <v>092-605-9922</v>
      </c>
      <c r="N34" s="3">
        <f>IFERROR(__xludf.DUMMYFUNCTION("""COMPUTED_VALUE"""),11134.0)</f>
        <v>11134</v>
      </c>
      <c r="O34" s="3" t="str">
        <f>IFERROR(__xludf.DUMMYFUNCTION("""COMPUTED_VALUE"""),"พัทยา2")</f>
        <v>พัทยา2</v>
      </c>
      <c r="P34" s="4">
        <f>IFERROR(__xludf.DUMMYFUNCTION("""COMPUTED_VALUE"""),37707.0)</f>
        <v>37707</v>
      </c>
      <c r="Q34" s="3" t="str">
        <f>IFERROR(__xludf.DUMMYFUNCTION("""COMPUTED_VALUE"""),"A")</f>
        <v>A</v>
      </c>
      <c r="R34" s="3" t="str">
        <f>IFERROR(__xludf.DUMMYFUNCTION("""COMPUTED_VALUE"""),"Big Format")</f>
        <v>Big Format</v>
      </c>
      <c r="S34" s="3" t="str">
        <f>IFERROR(__xludf.DUMMYFUNCTION("""COMPUTED_VALUE"""),"Hyper")</f>
        <v>Hyper</v>
      </c>
      <c r="T34" s="3" t="str">
        <f>IFERROR(__xludf.DUMMYFUNCTION("""COMPUTED_VALUE"""),"Hub08-East")</f>
        <v>Hub08-East</v>
      </c>
      <c r="U34" s="3" t="str">
        <f>IFERROR(__xludf.DUMMYFUNCTION("""COMPUTED_VALUE"""),"Hub08-East")</f>
        <v>Hub08-East</v>
      </c>
      <c r="V34" s="3" t="str">
        <f>IFERROR(__xludf.DUMMYFUNCTION("""COMPUTED_VALUE"""),"N")</f>
        <v>N</v>
      </c>
      <c r="W34" s="3">
        <f>IFERROR(__xludf.DUMMYFUNCTION("""COMPUTED_VALUE"""),111134.0)</f>
        <v>111134</v>
      </c>
      <c r="X34" s="3" t="str">
        <f>IFERROR(__xludf.DUMMYFUNCTION("""COMPUTED_VALUE"""),"565/41 ม.10 ต.หนองปรือ อ.บางละมุง จังหวัดชลบุรี 20150")</f>
        <v>565/41 ม.10 ต.หนองปรือ อ.บางละมุง จังหวัดชลบุรี 20150</v>
      </c>
      <c r="Y34" s="3"/>
      <c r="Z34" s="3" t="str">
        <f>IFERROR(__xludf.DUMMYFUNCTION("""COMPUTED_VALUE"""),"หนองปรือ")</f>
        <v>หนองปรือ</v>
      </c>
      <c r="AA34" s="3" t="str">
        <f>IFERROR(__xludf.DUMMYFUNCTION("""COMPUTED_VALUE"""),"บางละมุง")</f>
        <v>บางละมุง</v>
      </c>
      <c r="AB34" s="3" t="str">
        <f>IFERROR(__xludf.DUMMYFUNCTION("""COMPUTED_VALUE"""),"ชลบุรี")</f>
        <v>ชลบุรี</v>
      </c>
      <c r="AC34" s="3">
        <f>IFERROR(__xludf.DUMMYFUNCTION("""COMPUTED_VALUE"""),20150.0)</f>
        <v>20150</v>
      </c>
      <c r="AD34" s="3">
        <f>IFERROR(__xludf.DUMMYFUNCTION("""COMPUTED_VALUE"""),12.91569617)</f>
        <v>12.91569617</v>
      </c>
      <c r="AE34" s="3">
        <f>IFERROR(__xludf.DUMMYFUNCTION("""COMPUTED_VALUE"""),100.8940065)</f>
        <v>100.8940065</v>
      </c>
      <c r="AF34" s="3" t="str">
        <f>IFERROR(__xludf.DUMMYFUNCTION("""COMPUTED_VALUE"""),"พัทยา2-11134")</f>
        <v>พัทยา2-11134</v>
      </c>
      <c r="AG34" s="3" t="str">
        <f>IFERROR(__xludf.DUMMYFUNCTION("""COMPUTED_VALUE"""),"ตะวันออก")</f>
        <v>ตะวันออก</v>
      </c>
      <c r="AH34" s="3" t="str">
        <f>IFERROR(__xludf.DUMMYFUNCTION("""COMPUTED_VALUE"""),"Walaiporn Sutyod")</f>
        <v>Walaiporn Sutyod</v>
      </c>
      <c r="AI34" s="3" t="str">
        <f>IFERROR(__xludf.DUMMYFUNCTION("""COMPUTED_VALUE"""),"Out of warranty")</f>
        <v>Out of warranty</v>
      </c>
      <c r="AJ34" s="3">
        <f>IFERROR(__xludf.DUMMYFUNCTION("""COMPUTED_VALUE"""),274.0)</f>
        <v>274</v>
      </c>
      <c r="AK34" s="3"/>
      <c r="AL34" s="3" t="str">
        <f>IFERROR(__xludf.DUMMYFUNCTION("""COMPUTED_VALUE"""),"sgm.pattaya2@bigc.co.th")</f>
        <v>sgm.pattaya2@bigc.co.th</v>
      </c>
    </row>
    <row r="35" ht="15.75" customHeight="1">
      <c r="A35" s="1" t="str">
        <f>IFERROR(__xludf.DUMMYFUNCTION("""COMPUTED_VALUE"""),"11135")</f>
        <v>11135</v>
      </c>
      <c r="B35" s="2">
        <f>IFERROR(__xludf.DUMMYFUNCTION("""COMPUTED_VALUE"""),11135.0)</f>
        <v>11135</v>
      </c>
      <c r="C35" s="3" t="str">
        <f>IFERROR(__xludf.DUMMYFUNCTION("""COMPUTED_VALUE"""),"นครสวรรค์")</f>
        <v>นครสวรรค์</v>
      </c>
      <c r="D35" s="3" t="str">
        <f>IFERROR(__xludf.DUMMYFUNCTION("""COMPUTED_VALUE"""),"BIGC NAKHONSAWAN")</f>
        <v>BIGC NAKHONSAWAN</v>
      </c>
      <c r="E35" s="1" t="str">
        <f>IFERROR(__xludf.DUMMYFUNCTION("""COMPUTED_VALUE"""),"บิ๊กซี HyperMarket")</f>
        <v>บิ๊กซี HyperMarket</v>
      </c>
      <c r="F35" s="1" t="str">
        <f>IFERROR(__xludf.DUMMYFUNCTION("""COMPUTED_VALUE"""),"2455179")</f>
        <v>2455179</v>
      </c>
      <c r="G35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35" s="1" t="str">
        <f>IFERROR(__xludf.DUMMYFUNCTION("""COMPUTED_VALUE"""),"2455179")</f>
        <v>2455179</v>
      </c>
      <c r="I35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35" s="3">
        <f>IFERROR(__xludf.DUMMYFUNCTION("""COMPUTED_VALUE"""),2455179.0)</f>
        <v>2455179</v>
      </c>
      <c r="K35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35" s="1" t="str">
        <f>IFERROR(__xludf.DUMMYFUNCTION("""COMPUTED_VALUE"""),"Hub06-C&amp;W")</f>
        <v>Hub06-C&amp;W</v>
      </c>
      <c r="M35" s="1" t="str">
        <f>IFERROR(__xludf.DUMMYFUNCTION("""COMPUTED_VALUE"""),"090-993-6896")</f>
        <v>090-993-6896</v>
      </c>
      <c r="N35" s="3">
        <f>IFERROR(__xludf.DUMMYFUNCTION("""COMPUTED_VALUE"""),11135.0)</f>
        <v>11135</v>
      </c>
      <c r="O35" s="3" t="str">
        <f>IFERROR(__xludf.DUMMYFUNCTION("""COMPUTED_VALUE"""),"นครสวรรค์")</f>
        <v>นครสวรรค์</v>
      </c>
      <c r="P35" s="4">
        <f>IFERROR(__xludf.DUMMYFUNCTION("""COMPUTED_VALUE"""),37798.0)</f>
        <v>37798</v>
      </c>
      <c r="Q35" s="3" t="str">
        <f>IFERROR(__xludf.DUMMYFUNCTION("""COMPUTED_VALUE"""),"A")</f>
        <v>A</v>
      </c>
      <c r="R35" s="3" t="str">
        <f>IFERROR(__xludf.DUMMYFUNCTION("""COMPUTED_VALUE"""),"Big Format")</f>
        <v>Big Format</v>
      </c>
      <c r="S35" s="3" t="str">
        <f>IFERROR(__xludf.DUMMYFUNCTION("""COMPUTED_VALUE"""),"Hyper")</f>
        <v>Hyper</v>
      </c>
      <c r="T35" s="3" t="str">
        <f>IFERROR(__xludf.DUMMYFUNCTION("""COMPUTED_VALUE"""),"Hub06-C&amp;W")</f>
        <v>Hub06-C&amp;W</v>
      </c>
      <c r="U35" s="3" t="str">
        <f>IFERROR(__xludf.DUMMYFUNCTION("""COMPUTED_VALUE"""),"Hub06-C&amp;W")</f>
        <v>Hub06-C&amp;W</v>
      </c>
      <c r="V35" s="3" t="str">
        <f>IFERROR(__xludf.DUMMYFUNCTION("""COMPUTED_VALUE"""),"N")</f>
        <v>N</v>
      </c>
      <c r="W35" s="3">
        <f>IFERROR(__xludf.DUMMYFUNCTION("""COMPUTED_VALUE"""),111135.0)</f>
        <v>111135</v>
      </c>
      <c r="X35" s="3" t="str">
        <f>IFERROR(__xludf.DUMMYFUNCTION("""COMPUTED_VALUE"""),"320/10 ถ.สวรรค์วิถี ต.ปากน้ำโพ อ.เมือง จังหวัดนครสวรรค์ 60000")</f>
        <v>320/10 ถ.สวรรค์วิถี ต.ปากน้ำโพ อ.เมือง จังหวัดนครสวรรค์ 60000</v>
      </c>
      <c r="Y35" s="3" t="str">
        <f>IFERROR(__xludf.DUMMYFUNCTION("""COMPUTED_VALUE"""),"ถ.สวรรค์วิถี")</f>
        <v>ถ.สวรรค์วิถี</v>
      </c>
      <c r="Z35" s="3" t="str">
        <f>IFERROR(__xludf.DUMMYFUNCTION("""COMPUTED_VALUE"""),"ปากน้ำโพ")</f>
        <v>ปากน้ำโพ</v>
      </c>
      <c r="AA35" s="3" t="str">
        <f>IFERROR(__xludf.DUMMYFUNCTION("""COMPUTED_VALUE"""),"เมือง")</f>
        <v>เมือง</v>
      </c>
      <c r="AB35" s="3" t="str">
        <f>IFERROR(__xludf.DUMMYFUNCTION("""COMPUTED_VALUE"""),"นครสวรรค์")</f>
        <v>นครสวรรค์</v>
      </c>
      <c r="AC35" s="3">
        <f>IFERROR(__xludf.DUMMYFUNCTION("""COMPUTED_VALUE"""),60000.0)</f>
        <v>60000</v>
      </c>
      <c r="AD35" s="3">
        <f>IFERROR(__xludf.DUMMYFUNCTION("""COMPUTED_VALUE"""),15.69505684)</f>
        <v>15.69505684</v>
      </c>
      <c r="AE35" s="3">
        <f>IFERROR(__xludf.DUMMYFUNCTION("""COMPUTED_VALUE"""),100.1213855)</f>
        <v>100.1213855</v>
      </c>
      <c r="AF35" s="3" t="str">
        <f>IFERROR(__xludf.DUMMYFUNCTION("""COMPUTED_VALUE"""),"นครสวรรค์-11135")</f>
        <v>นครสวรรค์-11135</v>
      </c>
      <c r="AG35" s="3" t="str">
        <f>IFERROR(__xludf.DUMMYFUNCTION("""COMPUTED_VALUE"""),"กลาง")</f>
        <v>กลาง</v>
      </c>
      <c r="AH35" s="3" t="str">
        <f>IFERROR(__xludf.DUMMYFUNCTION("""COMPUTED_VALUE"""),"Wichian Nasungnoen")</f>
        <v>Wichian Nasungnoen</v>
      </c>
      <c r="AI35" s="3" t="str">
        <f>IFERROR(__xludf.DUMMYFUNCTION("""COMPUTED_VALUE"""),"Out of warranty")</f>
        <v>Out of warranty</v>
      </c>
      <c r="AJ35" s="3">
        <f>IFERROR(__xludf.DUMMYFUNCTION("""COMPUTED_VALUE"""),271.0)</f>
        <v>271</v>
      </c>
      <c r="AK35" s="3"/>
      <c r="AL35" s="3" t="str">
        <f>IFERROR(__xludf.DUMMYFUNCTION("""COMPUTED_VALUE"""),"sgm.nakhonsawan@bigc.co.th")</f>
        <v>sgm.nakhonsawan@bigc.co.th</v>
      </c>
    </row>
    <row r="36" ht="15.75" customHeight="1">
      <c r="A36" s="1" t="str">
        <f>IFERROR(__xludf.DUMMYFUNCTION("""COMPUTED_VALUE"""),"11136")</f>
        <v>11136</v>
      </c>
      <c r="B36" s="2">
        <f>IFERROR(__xludf.DUMMYFUNCTION("""COMPUTED_VALUE"""),11136.0)</f>
        <v>11136</v>
      </c>
      <c r="C36" s="3" t="str">
        <f>IFERROR(__xludf.DUMMYFUNCTION("""COMPUTED_VALUE"""),"สะพานควาย")</f>
        <v>สะพานควาย</v>
      </c>
      <c r="D36" s="3" t="str">
        <f>IFERROR(__xludf.DUMMYFUNCTION("""COMPUTED_VALUE"""),"BIGC SAPHANKWAI")</f>
        <v>BIGC SAPHANKWAI</v>
      </c>
      <c r="E36" s="1" t="str">
        <f>IFERROR(__xludf.DUMMYFUNCTION("""COMPUTED_VALUE"""),"บิ๊กซี HyperMarket")</f>
        <v>บิ๊กซี HyperMarket</v>
      </c>
      <c r="F36" s="1" t="str">
        <f>IFERROR(__xludf.DUMMYFUNCTION("""COMPUTED_VALUE"""),"2454813")</f>
        <v>2454813</v>
      </c>
      <c r="G36" s="1" t="str">
        <f>IFERROR(__xludf.DUMMYFUNCTION("""COMPUTED_VALUE"""),"นายอนุรักษ์ จั่นเที่ยง")</f>
        <v>นายอนุรักษ์ จั่นเที่ยง</v>
      </c>
      <c r="H36" s="1" t="str">
        <f>IFERROR(__xludf.DUMMYFUNCTION("""COMPUTED_VALUE"""),"2454813")</f>
        <v>2454813</v>
      </c>
      <c r="I36" s="1" t="str">
        <f>IFERROR(__xludf.DUMMYFUNCTION("""COMPUTED_VALUE"""),"นายอนุรักษ์ จั่นเที่ยง")</f>
        <v>นายอนุรักษ์ จั่นเที่ยง</v>
      </c>
      <c r="J36" s="3">
        <f>IFERROR(__xludf.DUMMYFUNCTION("""COMPUTED_VALUE"""),2454813.0)</f>
        <v>2454813</v>
      </c>
      <c r="K36" s="3" t="str">
        <f>IFERROR(__xludf.DUMMYFUNCTION("""COMPUTED_VALUE"""),"นายอนุรักษ์ จั่นเที่ยง")</f>
        <v>นายอนุรักษ์ จั่นเที่ยง</v>
      </c>
      <c r="L36" s="1" t="str">
        <f>IFERROR(__xludf.DUMMYFUNCTION("""COMPUTED_VALUE"""),"Hub04-BKK 4")</f>
        <v>Hub04-BKK 4</v>
      </c>
      <c r="M36" s="1" t="str">
        <f>IFERROR(__xludf.DUMMYFUNCTION("""COMPUTED_VALUE"""),"0991964531")</f>
        <v>0991964531</v>
      </c>
      <c r="N36" s="3">
        <f>IFERROR(__xludf.DUMMYFUNCTION("""COMPUTED_VALUE"""),11136.0)</f>
        <v>11136</v>
      </c>
      <c r="O36" s="3" t="str">
        <f>IFERROR(__xludf.DUMMYFUNCTION("""COMPUTED_VALUE"""),"สะพานควาย")</f>
        <v>สะพานควาย</v>
      </c>
      <c r="P36" s="4">
        <f>IFERROR(__xludf.DUMMYFUNCTION("""COMPUTED_VALUE"""),37951.0)</f>
        <v>37951</v>
      </c>
      <c r="Q36" s="3" t="str">
        <f>IFERROR(__xludf.DUMMYFUNCTION("""COMPUTED_VALUE"""),"A")</f>
        <v>A</v>
      </c>
      <c r="R36" s="3" t="str">
        <f>IFERROR(__xludf.DUMMYFUNCTION("""COMPUTED_VALUE"""),"Big Format")</f>
        <v>Big Format</v>
      </c>
      <c r="S36" s="3" t="str">
        <f>IFERROR(__xludf.DUMMYFUNCTION("""COMPUTED_VALUE"""),"Hyper")</f>
        <v>Hyper</v>
      </c>
      <c r="T36" s="3" t="str">
        <f>IFERROR(__xludf.DUMMYFUNCTION("""COMPUTED_VALUE"""),"Hub04-BKK 4")</f>
        <v>Hub04-BKK 4</v>
      </c>
      <c r="U36" s="3" t="str">
        <f>IFERROR(__xludf.DUMMYFUNCTION("""COMPUTED_VALUE"""),"Hub04-BKK 4")</f>
        <v>Hub04-BKK 4</v>
      </c>
      <c r="V36" s="3" t="str">
        <f>IFERROR(__xludf.DUMMYFUNCTION("""COMPUTED_VALUE"""),"N")</f>
        <v>N</v>
      </c>
      <c r="W36" s="3">
        <f>IFERROR(__xludf.DUMMYFUNCTION("""COMPUTED_VALUE"""),111136.0)</f>
        <v>111136</v>
      </c>
      <c r="X36" s="3" t="str">
        <f>IFERROR(__xludf.DUMMYFUNCTION("""COMPUTED_VALUE"""),"618/1 ถ.พหลโยธิน แขวงสามเสนใน เขตพญาไท กรุงเทพฯ 10400")</f>
        <v>618/1 ถ.พหลโยธิน แขวงสามเสนใน เขตพญาไท กรุงเทพฯ 10400</v>
      </c>
      <c r="Y36" s="3" t="str">
        <f>IFERROR(__xludf.DUMMYFUNCTION("""COMPUTED_VALUE"""),"ถ.พหลโยธิน")</f>
        <v>ถ.พหลโยธิน</v>
      </c>
      <c r="Z36" s="3" t="str">
        <f>IFERROR(__xludf.DUMMYFUNCTION("""COMPUTED_VALUE"""),"สามเสนใน")</f>
        <v>สามเสนใน</v>
      </c>
      <c r="AA36" s="3" t="str">
        <f>IFERROR(__xludf.DUMMYFUNCTION("""COMPUTED_VALUE"""),"พญาไท")</f>
        <v>พญาไท</v>
      </c>
      <c r="AB36" s="3" t="str">
        <f>IFERROR(__xludf.DUMMYFUNCTION("""COMPUTED_VALUE"""),"กรุงเทพมหานคร")</f>
        <v>กรุงเทพมหานคร</v>
      </c>
      <c r="AC36" s="3">
        <f>IFERROR(__xludf.DUMMYFUNCTION("""COMPUTED_VALUE"""),10400.0)</f>
        <v>10400</v>
      </c>
      <c r="AD36" s="3">
        <f>IFERROR(__xludf.DUMMYFUNCTION("""COMPUTED_VALUE"""),13.791298)</f>
        <v>13.791298</v>
      </c>
      <c r="AE36" s="3">
        <f>IFERROR(__xludf.DUMMYFUNCTION("""COMPUTED_VALUE"""),100.54956)</f>
        <v>100.54956</v>
      </c>
      <c r="AF36" s="3" t="str">
        <f>IFERROR(__xludf.DUMMYFUNCTION("""COMPUTED_VALUE"""),"สะพานควาย-11136")</f>
        <v>สะพานควาย-11136</v>
      </c>
      <c r="AG36" s="3" t="str">
        <f>IFERROR(__xludf.DUMMYFUNCTION("""COMPUTED_VALUE"""),"กลาง")</f>
        <v>กลาง</v>
      </c>
      <c r="AH36" s="3" t="str">
        <f>IFERROR(__xludf.DUMMYFUNCTION("""COMPUTED_VALUE"""),"Natsarine Seammai")</f>
        <v>Natsarine Seammai</v>
      </c>
      <c r="AI36" s="3" t="str">
        <f>IFERROR(__xludf.DUMMYFUNCTION("""COMPUTED_VALUE"""),"Out of warranty")</f>
        <v>Out of warranty</v>
      </c>
      <c r="AJ36" s="3">
        <f>IFERROR(__xludf.DUMMYFUNCTION("""COMPUTED_VALUE"""),266.0)</f>
        <v>266</v>
      </c>
      <c r="AK36" s="3"/>
      <c r="AL36" s="3" t="str">
        <f>IFERROR(__xludf.DUMMYFUNCTION("""COMPUTED_VALUE"""),"sgm.saphankwai@bigc.co.th")</f>
        <v>sgm.saphankwai@bigc.co.th</v>
      </c>
    </row>
    <row r="37" ht="15.75" customHeight="1">
      <c r="A37" s="1" t="str">
        <f>IFERROR(__xludf.DUMMYFUNCTION("""COMPUTED_VALUE"""),"11137")</f>
        <v>11137</v>
      </c>
      <c r="B37" s="2">
        <f>IFERROR(__xludf.DUMMYFUNCTION("""COMPUTED_VALUE"""),11137.0)</f>
        <v>11137</v>
      </c>
      <c r="C37" s="3" t="str">
        <f>IFERROR(__xludf.DUMMYFUNCTION("""COMPUTED_VALUE"""),"ฉะเชิงเทรา")</f>
        <v>ฉะเชิงเทรา</v>
      </c>
      <c r="D37" s="3" t="str">
        <f>IFERROR(__xludf.DUMMYFUNCTION("""COMPUTED_VALUE"""),"BIGC CHACHOENGSAO")</f>
        <v>BIGC CHACHOENGSAO</v>
      </c>
      <c r="E37" s="1" t="str">
        <f>IFERROR(__xludf.DUMMYFUNCTION("""COMPUTED_VALUE"""),"บิ๊กซี HyperMarket")</f>
        <v>บิ๊กซี HyperMarket</v>
      </c>
      <c r="F37" s="1" t="str">
        <f>IFERROR(__xludf.DUMMYFUNCTION("""COMPUTED_VALUE"""),"2455164")</f>
        <v>2455164</v>
      </c>
      <c r="G37" s="1" t="str">
        <f>IFERROR(__xludf.DUMMYFUNCTION("""COMPUTED_VALUE"""),"นายกรวิทย์ เจริญพร")</f>
        <v>นายกรวิทย์ เจริญพร</v>
      </c>
      <c r="H37" s="1" t="str">
        <f>IFERROR(__xludf.DUMMYFUNCTION("""COMPUTED_VALUE"""),"2455164")</f>
        <v>2455164</v>
      </c>
      <c r="I37" s="1" t="str">
        <f>IFERROR(__xludf.DUMMYFUNCTION("""COMPUTED_VALUE"""),"นายกรวิทย์ เจริญพร")</f>
        <v>นายกรวิทย์ เจริญพร</v>
      </c>
      <c r="J37" s="3">
        <f>IFERROR(__xludf.DUMMYFUNCTION("""COMPUTED_VALUE"""),2455164.0)</f>
        <v>2455164</v>
      </c>
      <c r="K37" s="3" t="str">
        <f>IFERROR(__xludf.DUMMYFUNCTION("""COMPUTED_VALUE"""),"นายกรวิทย์ เจริญพร")</f>
        <v>นายกรวิทย์ เจริญพร</v>
      </c>
      <c r="L37" s="1" t="str">
        <f>IFERROR(__xludf.DUMMYFUNCTION("""COMPUTED_VALUE"""),"Hub08-East")</f>
        <v>Hub08-East</v>
      </c>
      <c r="M37" s="1" t="str">
        <f>IFERROR(__xludf.DUMMYFUNCTION("""COMPUTED_VALUE"""),"092-605-9922")</f>
        <v>092-605-9922</v>
      </c>
      <c r="N37" s="3">
        <f>IFERROR(__xludf.DUMMYFUNCTION("""COMPUTED_VALUE"""),11137.0)</f>
        <v>11137</v>
      </c>
      <c r="O37" s="3" t="str">
        <f>IFERROR(__xludf.DUMMYFUNCTION("""COMPUTED_VALUE"""),"ฉะเชิงเทรา")</f>
        <v>ฉะเชิงเทรา</v>
      </c>
      <c r="P37" s="4">
        <f>IFERROR(__xludf.DUMMYFUNCTION("""COMPUTED_VALUE"""),38041.0)</f>
        <v>38041</v>
      </c>
      <c r="Q37" s="3" t="str">
        <f>IFERROR(__xludf.DUMMYFUNCTION("""COMPUTED_VALUE"""),"A")</f>
        <v>A</v>
      </c>
      <c r="R37" s="3" t="str">
        <f>IFERROR(__xludf.DUMMYFUNCTION("""COMPUTED_VALUE"""),"Big Format")</f>
        <v>Big Format</v>
      </c>
      <c r="S37" s="3" t="str">
        <f>IFERROR(__xludf.DUMMYFUNCTION("""COMPUTED_VALUE"""),"Hyper")</f>
        <v>Hyper</v>
      </c>
      <c r="T37" s="3" t="str">
        <f>IFERROR(__xludf.DUMMYFUNCTION("""COMPUTED_VALUE"""),"Hub08-East")</f>
        <v>Hub08-East</v>
      </c>
      <c r="U37" s="3" t="str">
        <f>IFERROR(__xludf.DUMMYFUNCTION("""COMPUTED_VALUE"""),"Hub08-East")</f>
        <v>Hub08-East</v>
      </c>
      <c r="V37" s="3" t="str">
        <f>IFERROR(__xludf.DUMMYFUNCTION("""COMPUTED_VALUE"""),"N")</f>
        <v>N</v>
      </c>
      <c r="W37" s="3">
        <f>IFERROR(__xludf.DUMMYFUNCTION("""COMPUTED_VALUE"""),111137.0)</f>
        <v>111137</v>
      </c>
      <c r="X37" s="3" t="str">
        <f>IFERROR(__xludf.DUMMYFUNCTION("""COMPUTED_VALUE"""),"9/1 ถนนฉะเชิงเทรา-บางปะกง ตำบลหน้าเมือง อำเภอเมืองฉะเชิงเทรา จังหวัดฉะเชิงเทรา 24000")</f>
        <v>9/1 ถนนฉะเชิงเทรา-บางปะกง ตำบลหน้าเมือง อำเภอเมืองฉะเชิงเทรา จังหวัดฉะเชิงเทรา 24000</v>
      </c>
      <c r="Y37" s="3" t="str">
        <f>IFERROR(__xludf.DUMMYFUNCTION("""COMPUTED_VALUE"""),"ถนนฉะเชิงเทรา-บางปะกง")</f>
        <v>ถนนฉะเชิงเทรา-บางปะกง</v>
      </c>
      <c r="Z37" s="3" t="str">
        <f>IFERROR(__xludf.DUMMYFUNCTION("""COMPUTED_VALUE"""),"หน้าเมือง")</f>
        <v>หน้าเมือง</v>
      </c>
      <c r="AA37" s="3" t="str">
        <f>IFERROR(__xludf.DUMMYFUNCTION("""COMPUTED_VALUE"""),"เมือง")</f>
        <v>เมือง</v>
      </c>
      <c r="AB37" s="3" t="str">
        <f>IFERROR(__xludf.DUMMYFUNCTION("""COMPUTED_VALUE"""),"ฉะเชิงเทรา")</f>
        <v>ฉะเชิงเทรา</v>
      </c>
      <c r="AC37" s="3">
        <f>IFERROR(__xludf.DUMMYFUNCTION("""COMPUTED_VALUE"""),24000.0)</f>
        <v>24000</v>
      </c>
      <c r="AD37" s="3">
        <f>IFERROR(__xludf.DUMMYFUNCTION("""COMPUTED_VALUE"""),13.6909)</f>
        <v>13.6909</v>
      </c>
      <c r="AE37" s="3">
        <f>IFERROR(__xludf.DUMMYFUNCTION("""COMPUTED_VALUE"""),101.056)</f>
        <v>101.056</v>
      </c>
      <c r="AF37" s="3" t="str">
        <f>IFERROR(__xludf.DUMMYFUNCTION("""COMPUTED_VALUE"""),"ฉะเชิงเทรา-11137")</f>
        <v>ฉะเชิงเทรา-11137</v>
      </c>
      <c r="AG37" s="3" t="str">
        <f>IFERROR(__xludf.DUMMYFUNCTION("""COMPUTED_VALUE"""),"ตะวันออก")</f>
        <v>ตะวันออก</v>
      </c>
      <c r="AH37" s="3" t="str">
        <f>IFERROR(__xludf.DUMMYFUNCTION("""COMPUTED_VALUE"""),"Walaiporn Sutyod")</f>
        <v>Walaiporn Sutyod</v>
      </c>
      <c r="AI37" s="3" t="str">
        <f>IFERROR(__xludf.DUMMYFUNCTION("""COMPUTED_VALUE"""),"Out of warranty")</f>
        <v>Out of warranty</v>
      </c>
      <c r="AJ37" s="3">
        <f>IFERROR(__xludf.DUMMYFUNCTION("""COMPUTED_VALUE"""),263.0)</f>
        <v>263</v>
      </c>
      <c r="AK37" s="3"/>
      <c r="AL37" s="3" t="str">
        <f>IFERROR(__xludf.DUMMYFUNCTION("""COMPUTED_VALUE"""),"sgm.chachoengsao@bigc.co.th")</f>
        <v>sgm.chachoengsao@bigc.co.th</v>
      </c>
    </row>
    <row r="38" ht="15.75" customHeight="1">
      <c r="A38" s="1" t="str">
        <f>IFERROR(__xludf.DUMMYFUNCTION("""COMPUTED_VALUE"""),"11138")</f>
        <v>11138</v>
      </c>
      <c r="B38" s="2">
        <f>IFERROR(__xludf.DUMMYFUNCTION("""COMPUTED_VALUE"""),11138.0)</f>
        <v>11138</v>
      </c>
      <c r="C38" s="3" t="str">
        <f>IFERROR(__xludf.DUMMYFUNCTION("""COMPUTED_VALUE"""),"สำโรง")</f>
        <v>สำโรง</v>
      </c>
      <c r="D38" s="3" t="str">
        <f>IFERROR(__xludf.DUMMYFUNCTION("""COMPUTED_VALUE"""),"BIGC SAMRONG")</f>
        <v>BIGC SAMRONG</v>
      </c>
      <c r="E38" s="1" t="str">
        <f>IFERROR(__xludf.DUMMYFUNCTION("""COMPUTED_VALUE"""),"บิ๊กซี HyperMarket")</f>
        <v>บิ๊กซี HyperMarket</v>
      </c>
      <c r="F38" s="1" t="str">
        <f>IFERROR(__xludf.DUMMYFUNCTION("""COMPUTED_VALUE"""),"2454716")</f>
        <v>2454716</v>
      </c>
      <c r="G38" s="1" t="str">
        <f>IFERROR(__xludf.DUMMYFUNCTION("""COMPUTED_VALUE"""),"นายโฆษิต วงค์กะโซ่")</f>
        <v>นายโฆษิต วงค์กะโซ่</v>
      </c>
      <c r="H38" s="1" t="str">
        <f>IFERROR(__xludf.DUMMYFUNCTION("""COMPUTED_VALUE"""),"2454716")</f>
        <v>2454716</v>
      </c>
      <c r="I38" s="1" t="str">
        <f>IFERROR(__xludf.DUMMYFUNCTION("""COMPUTED_VALUE"""),"นายโฆษิต วงค์กะโซ่")</f>
        <v>นายโฆษิต วงค์กะโซ่</v>
      </c>
      <c r="J38" s="3">
        <f>IFERROR(__xludf.DUMMYFUNCTION("""COMPUTED_VALUE"""),2454716.0)</f>
        <v>2454716</v>
      </c>
      <c r="K38" s="3" t="str">
        <f>IFERROR(__xludf.DUMMYFUNCTION("""COMPUTED_VALUE"""),"นายโฆษิต วงค์กะโซ่")</f>
        <v>นายโฆษิต วงค์กะโซ่</v>
      </c>
      <c r="L38" s="1" t="str">
        <f>IFERROR(__xludf.DUMMYFUNCTION("""COMPUTED_VALUE"""),"Hub03-BKK 3")</f>
        <v>Hub03-BKK 3</v>
      </c>
      <c r="M38" s="1" t="str">
        <f>IFERROR(__xludf.DUMMYFUNCTION("""COMPUTED_VALUE"""),"062-434-5030")</f>
        <v>062-434-5030</v>
      </c>
      <c r="N38" s="3">
        <f>IFERROR(__xludf.DUMMYFUNCTION("""COMPUTED_VALUE"""),11138.0)</f>
        <v>11138</v>
      </c>
      <c r="O38" s="3" t="str">
        <f>IFERROR(__xludf.DUMMYFUNCTION("""COMPUTED_VALUE"""),"สำโรง")</f>
        <v>สำโรง</v>
      </c>
      <c r="P38" s="4">
        <f>IFERROR(__xludf.DUMMYFUNCTION("""COMPUTED_VALUE"""),38253.0)</f>
        <v>38253</v>
      </c>
      <c r="Q38" s="3" t="str">
        <f>IFERROR(__xludf.DUMMYFUNCTION("""COMPUTED_VALUE"""),"A")</f>
        <v>A</v>
      </c>
      <c r="R38" s="3" t="str">
        <f>IFERROR(__xludf.DUMMYFUNCTION("""COMPUTED_VALUE"""),"Big Format")</f>
        <v>Big Format</v>
      </c>
      <c r="S38" s="3" t="str">
        <f>IFERROR(__xludf.DUMMYFUNCTION("""COMPUTED_VALUE"""),"Hyper")</f>
        <v>Hyper</v>
      </c>
      <c r="T38" s="3" t="str">
        <f>IFERROR(__xludf.DUMMYFUNCTION("""COMPUTED_VALUE"""),"Hub03-BKK 3")</f>
        <v>Hub03-BKK 3</v>
      </c>
      <c r="U38" s="3" t="str">
        <f>IFERROR(__xludf.DUMMYFUNCTION("""COMPUTED_VALUE"""),"Hub03-BKK 3")</f>
        <v>Hub03-BKK 3</v>
      </c>
      <c r="V38" s="3" t="str">
        <f>IFERROR(__xludf.DUMMYFUNCTION("""COMPUTED_VALUE"""),"N")</f>
        <v>N</v>
      </c>
      <c r="W38" s="3">
        <f>IFERROR(__xludf.DUMMYFUNCTION("""COMPUTED_VALUE"""),111138.0)</f>
        <v>111138</v>
      </c>
      <c r="X38" s="3" t="str">
        <f>IFERROR(__xludf.DUMMYFUNCTION("""COMPUTED_VALUE"""),"999 หมู่ที่ 1 ถนนสุขุมวิท ตำบลสำโรงเหนือ อำเภอเมืองสมุทรปราการ จังหวัดสมุทรปราการ 10270")</f>
        <v>999 หมู่ที่ 1 ถนนสุขุมวิท ตำบลสำโรงเหนือ อำเภอเมืองสมุทรปราการ จังหวัดสมุทรปราการ 10270</v>
      </c>
      <c r="Y38" s="3"/>
      <c r="Z38" s="3" t="str">
        <f>IFERROR(__xludf.DUMMYFUNCTION("""COMPUTED_VALUE"""),"สำโรงเหนือ")</f>
        <v>สำโรงเหนือ</v>
      </c>
      <c r="AA38" s="3" t="str">
        <f>IFERROR(__xludf.DUMMYFUNCTION("""COMPUTED_VALUE"""),"เมืองสมุทรปราการ")</f>
        <v>เมืองสมุทรปราการ</v>
      </c>
      <c r="AB38" s="3" t="str">
        <f>IFERROR(__xludf.DUMMYFUNCTION("""COMPUTED_VALUE"""),"สมุทรปราการ")</f>
        <v>สมุทรปราการ</v>
      </c>
      <c r="AC38" s="3">
        <f>IFERROR(__xludf.DUMMYFUNCTION("""COMPUTED_VALUE"""),10270.0)</f>
        <v>10270</v>
      </c>
      <c r="AD38" s="3">
        <f>IFERROR(__xludf.DUMMYFUNCTION("""COMPUTED_VALUE"""),13.65005291)</f>
        <v>13.65005291</v>
      </c>
      <c r="AE38" s="3">
        <f>IFERROR(__xludf.DUMMYFUNCTION("""COMPUTED_VALUE"""),100.5963027)</f>
        <v>100.5963027</v>
      </c>
      <c r="AF38" s="3" t="str">
        <f>IFERROR(__xludf.DUMMYFUNCTION("""COMPUTED_VALUE"""),"สำโรง-11138")</f>
        <v>สำโรง-11138</v>
      </c>
      <c r="AG38" s="3" t="str">
        <f>IFERROR(__xludf.DUMMYFUNCTION("""COMPUTED_VALUE"""),"กลาง")</f>
        <v>กลาง</v>
      </c>
      <c r="AH38" s="3" t="str">
        <f>IFERROR(__xludf.DUMMYFUNCTION("""COMPUTED_VALUE"""),"Saitan Boonpitak")</f>
        <v>Saitan Boonpitak</v>
      </c>
      <c r="AI38" s="3" t="str">
        <f>IFERROR(__xludf.DUMMYFUNCTION("""COMPUTED_VALUE"""),"Out of warranty")</f>
        <v>Out of warranty</v>
      </c>
      <c r="AJ38" s="3">
        <f>IFERROR(__xludf.DUMMYFUNCTION("""COMPUTED_VALUE"""),256.0)</f>
        <v>256</v>
      </c>
      <c r="AK38" s="3"/>
      <c r="AL38" s="3" t="str">
        <f>IFERROR(__xludf.DUMMYFUNCTION("""COMPUTED_VALUE"""),"sgm.samrong@bigc.co.th")</f>
        <v>sgm.samrong@bigc.co.th</v>
      </c>
    </row>
    <row r="39" ht="15.75" customHeight="1">
      <c r="A39" s="1" t="str">
        <f>IFERROR(__xludf.DUMMYFUNCTION("""COMPUTED_VALUE"""),"11139")</f>
        <v>11139</v>
      </c>
      <c r="B39" s="2">
        <f>IFERROR(__xludf.DUMMYFUNCTION("""COMPUTED_VALUE"""),11139.0)</f>
        <v>11139</v>
      </c>
      <c r="C39" s="3" t="str">
        <f>IFERROR(__xludf.DUMMYFUNCTION("""COMPUTED_VALUE"""),"ปัตตานี")</f>
        <v>ปัตตานี</v>
      </c>
      <c r="D39" s="3" t="str">
        <f>IFERROR(__xludf.DUMMYFUNCTION("""COMPUTED_VALUE"""),"BIGC PATTANI")</f>
        <v>BIGC PATTANI</v>
      </c>
      <c r="E39" s="1" t="str">
        <f>IFERROR(__xludf.DUMMYFUNCTION("""COMPUTED_VALUE"""),"บิ๊กซี HyperMarket")</f>
        <v>บิ๊กซี HyperMarket</v>
      </c>
      <c r="F39" s="1" t="str">
        <f>IFERROR(__xludf.DUMMYFUNCTION("""COMPUTED_VALUE"""),"2454709")</f>
        <v>2454709</v>
      </c>
      <c r="G39" s="1" t="str">
        <f>IFERROR(__xludf.DUMMYFUNCTION("""COMPUTED_VALUE"""),"นายประชา เกตุชาติ")</f>
        <v>นายประชา เกตุชาติ</v>
      </c>
      <c r="H39" s="1" t="str">
        <f>IFERROR(__xludf.DUMMYFUNCTION("""COMPUTED_VALUE"""),"2454709")</f>
        <v>2454709</v>
      </c>
      <c r="I39" s="1" t="str">
        <f>IFERROR(__xludf.DUMMYFUNCTION("""COMPUTED_VALUE"""),"นายประชา เกตุชาติ")</f>
        <v>นายประชา เกตุชาติ</v>
      </c>
      <c r="J39" s="3">
        <f>IFERROR(__xludf.DUMMYFUNCTION("""COMPUTED_VALUE"""),2454709.0)</f>
        <v>2454709</v>
      </c>
      <c r="K39" s="3" t="str">
        <f>IFERROR(__xludf.DUMMYFUNCTION("""COMPUTED_VALUE"""),"นายประชา เกตุชาติ")</f>
        <v>นายประชา เกตุชาติ</v>
      </c>
      <c r="L39" s="1" t="str">
        <f>IFERROR(__xludf.DUMMYFUNCTION("""COMPUTED_VALUE"""),"Hub05-South")</f>
        <v>Hub05-South</v>
      </c>
      <c r="M39" s="1" t="str">
        <f>IFERROR(__xludf.DUMMYFUNCTION("""COMPUTED_VALUE"""),"0659291311")</f>
        <v>0659291311</v>
      </c>
      <c r="N39" s="3">
        <f>IFERROR(__xludf.DUMMYFUNCTION("""COMPUTED_VALUE"""),11139.0)</f>
        <v>11139</v>
      </c>
      <c r="O39" s="3" t="str">
        <f>IFERROR(__xludf.DUMMYFUNCTION("""COMPUTED_VALUE"""),"ปัตตานี")</f>
        <v>ปัตตานี</v>
      </c>
      <c r="P39" s="4">
        <f>IFERROR(__xludf.DUMMYFUNCTION("""COMPUTED_VALUE"""),38285.0)</f>
        <v>38285</v>
      </c>
      <c r="Q39" s="3" t="str">
        <f>IFERROR(__xludf.DUMMYFUNCTION("""COMPUTED_VALUE"""),"A")</f>
        <v>A</v>
      </c>
      <c r="R39" s="3" t="str">
        <f>IFERROR(__xludf.DUMMYFUNCTION("""COMPUTED_VALUE"""),"Big Format")</f>
        <v>Big Format</v>
      </c>
      <c r="S39" s="3" t="str">
        <f>IFERROR(__xludf.DUMMYFUNCTION("""COMPUTED_VALUE"""),"Hyper")</f>
        <v>Hyper</v>
      </c>
      <c r="T39" s="3" t="str">
        <f>IFERROR(__xludf.DUMMYFUNCTION("""COMPUTED_VALUE"""),"Hub05-South")</f>
        <v>Hub05-South</v>
      </c>
      <c r="U39" s="3" t="str">
        <f>IFERROR(__xludf.DUMMYFUNCTION("""COMPUTED_VALUE"""),"Hub05-South")</f>
        <v>Hub05-South</v>
      </c>
      <c r="V39" s="3" t="str">
        <f>IFERROR(__xludf.DUMMYFUNCTION("""COMPUTED_VALUE"""),"N")</f>
        <v>N</v>
      </c>
      <c r="W39" s="3">
        <f>IFERROR(__xludf.DUMMYFUNCTION("""COMPUTED_VALUE"""),111139.0)</f>
        <v>111139</v>
      </c>
      <c r="X39" s="3" t="str">
        <f>IFERROR(__xludf.DUMMYFUNCTION("""COMPUTED_VALUE"""),"301 หมู่ที่ 4 ตำบลรูสะมิแล อำเภอเมืองปัตตานี จังหวัดปัตตานี 94000")</f>
        <v>301 หมู่ที่ 4 ตำบลรูสะมิแล อำเภอเมืองปัตตานี จังหวัดปัตตานี 94000</v>
      </c>
      <c r="Y39" s="3"/>
      <c r="Z39" s="3" t="str">
        <f>IFERROR(__xludf.DUMMYFUNCTION("""COMPUTED_VALUE"""),"รูสะมิแล")</f>
        <v>รูสะมิแล</v>
      </c>
      <c r="AA39" s="3" t="str">
        <f>IFERROR(__xludf.DUMMYFUNCTION("""COMPUTED_VALUE"""),"เมือง")</f>
        <v>เมือง</v>
      </c>
      <c r="AB39" s="3" t="str">
        <f>IFERROR(__xludf.DUMMYFUNCTION("""COMPUTED_VALUE"""),"ปัตตานี")</f>
        <v>ปัตตานี</v>
      </c>
      <c r="AC39" s="3">
        <f>IFERROR(__xludf.DUMMYFUNCTION("""COMPUTED_VALUE"""),94000.0)</f>
        <v>94000</v>
      </c>
      <c r="AD39" s="3">
        <f>IFERROR(__xludf.DUMMYFUNCTION("""COMPUTED_VALUE"""),6.86344)</f>
        <v>6.86344</v>
      </c>
      <c r="AE39" s="3">
        <f>IFERROR(__xludf.DUMMYFUNCTION("""COMPUTED_VALUE"""),101.232)</f>
        <v>101.232</v>
      </c>
      <c r="AF39" s="3" t="str">
        <f>IFERROR(__xludf.DUMMYFUNCTION("""COMPUTED_VALUE"""),"ปัตตานี-11139")</f>
        <v>ปัตตานี-11139</v>
      </c>
      <c r="AG39" s="3" t="str">
        <f>IFERROR(__xludf.DUMMYFUNCTION("""COMPUTED_VALUE"""),"ใต้")</f>
        <v>ใต้</v>
      </c>
      <c r="AH39" s="3" t="str">
        <f>IFERROR(__xludf.DUMMYFUNCTION("""COMPUTED_VALUE"""),"Suwadee Intachart")</f>
        <v>Suwadee Intachart</v>
      </c>
      <c r="AI39" s="3" t="str">
        <f>IFERROR(__xludf.DUMMYFUNCTION("""COMPUTED_VALUE"""),"Out of warranty")</f>
        <v>Out of warranty</v>
      </c>
      <c r="AJ39" s="3">
        <f>IFERROR(__xludf.DUMMYFUNCTION("""COMPUTED_VALUE"""),255.0)</f>
        <v>255</v>
      </c>
      <c r="AK39" s="3"/>
      <c r="AL39" s="3" t="str">
        <f>IFERROR(__xludf.DUMMYFUNCTION("""COMPUTED_VALUE"""),"sgm.pattani@bigc.co.th")</f>
        <v>sgm.pattani@bigc.co.th</v>
      </c>
    </row>
    <row r="40" ht="15.75" customHeight="1">
      <c r="A40" s="1" t="str">
        <f>IFERROR(__xludf.DUMMYFUNCTION("""COMPUTED_VALUE"""),"11140")</f>
        <v>11140</v>
      </c>
      <c r="B40" s="2">
        <f>IFERROR(__xludf.DUMMYFUNCTION("""COMPUTED_VALUE"""),11140.0)</f>
        <v>11140</v>
      </c>
      <c r="C40" s="3" t="str">
        <f>IFERROR(__xludf.DUMMYFUNCTION("""COMPUTED_VALUE"""),"สุรินทร์")</f>
        <v>สุรินทร์</v>
      </c>
      <c r="D40" s="3" t="str">
        <f>IFERROR(__xludf.DUMMYFUNCTION("""COMPUTED_VALUE"""),"BIGC SURIN")</f>
        <v>BIGC SURIN</v>
      </c>
      <c r="E40" s="1" t="str">
        <f>IFERROR(__xludf.DUMMYFUNCTION("""COMPUTED_VALUE"""),"บิ๊กซี HyperMarket")</f>
        <v>บิ๊กซี HyperMarket</v>
      </c>
      <c r="F40" s="1" t="str">
        <f>IFERROR(__xludf.DUMMYFUNCTION("""COMPUTED_VALUE"""),"033317")</f>
        <v>033317</v>
      </c>
      <c r="G40" s="1" t="str">
        <f>IFERROR(__xludf.DUMMYFUNCTION("""COMPUTED_VALUE"""),"นายอาณัติ เพชรภาน")</f>
        <v>นายอาณัติ เพชรภาน</v>
      </c>
      <c r="H40" s="1" t="str">
        <f>IFERROR(__xludf.DUMMYFUNCTION("""COMPUTED_VALUE"""),"033317")</f>
        <v>033317</v>
      </c>
      <c r="I40" s="1" t="str">
        <f>IFERROR(__xludf.DUMMYFUNCTION("""COMPUTED_VALUE"""),"นายอาณัติ เพชรภาน")</f>
        <v>นายอาณัติ เพชรภาน</v>
      </c>
      <c r="J40" s="3">
        <f>IFERROR(__xludf.DUMMYFUNCTION("""COMPUTED_VALUE"""),33317.0)</f>
        <v>33317</v>
      </c>
      <c r="K40" s="3" t="str">
        <f>IFERROR(__xludf.DUMMYFUNCTION("""COMPUTED_VALUE"""),"นายอาณัติ เพชรภาน")</f>
        <v>นายอาณัติ เพชรภาน</v>
      </c>
      <c r="L40" s="1" t="str">
        <f>IFERROR(__xludf.DUMMYFUNCTION("""COMPUTED_VALUE"""),"Hub10-NE 2")</f>
        <v>Hub10-NE 2</v>
      </c>
      <c r="M40" s="1" t="str">
        <f>IFERROR(__xludf.DUMMYFUNCTION("""COMPUTED_VALUE"""),"0644791409")</f>
        <v>0644791409</v>
      </c>
      <c r="N40" s="3">
        <f>IFERROR(__xludf.DUMMYFUNCTION("""COMPUTED_VALUE"""),11140.0)</f>
        <v>11140</v>
      </c>
      <c r="O40" s="3" t="str">
        <f>IFERROR(__xludf.DUMMYFUNCTION("""COMPUTED_VALUE"""),"สุรินทร์")</f>
        <v>สุรินทร์</v>
      </c>
      <c r="P40" s="4">
        <f>IFERROR(__xludf.DUMMYFUNCTION("""COMPUTED_VALUE"""),38344.0)</f>
        <v>38344</v>
      </c>
      <c r="Q40" s="3" t="str">
        <f>IFERROR(__xludf.DUMMYFUNCTION("""COMPUTED_VALUE"""),"A")</f>
        <v>A</v>
      </c>
      <c r="R40" s="3" t="str">
        <f>IFERROR(__xludf.DUMMYFUNCTION("""COMPUTED_VALUE"""),"Big Format")</f>
        <v>Big Format</v>
      </c>
      <c r="S40" s="3" t="str">
        <f>IFERROR(__xludf.DUMMYFUNCTION("""COMPUTED_VALUE"""),"Hyper")</f>
        <v>Hyper</v>
      </c>
      <c r="T40" s="3" t="str">
        <f>IFERROR(__xludf.DUMMYFUNCTION("""COMPUTED_VALUE"""),"Hub10-NE 2")</f>
        <v>Hub10-NE 2</v>
      </c>
      <c r="U40" s="3" t="str">
        <f>IFERROR(__xludf.DUMMYFUNCTION("""COMPUTED_VALUE"""),"Hub10-NE 2")</f>
        <v>Hub10-NE 2</v>
      </c>
      <c r="V40" s="3" t="str">
        <f>IFERROR(__xludf.DUMMYFUNCTION("""COMPUTED_VALUE"""),"N")</f>
        <v>N</v>
      </c>
      <c r="W40" s="3">
        <f>IFERROR(__xludf.DUMMYFUNCTION("""COMPUTED_VALUE"""),111140.0)</f>
        <v>111140</v>
      </c>
      <c r="X40" s="3" t="str">
        <f>IFERROR(__xludf.DUMMYFUNCTION("""COMPUTED_VALUE"""),"8 ถนนหลักเมือง ตำบลในเมือง อำเภอเมืองสุรินทร์ จังหวัดสุรินทร์ 32000")</f>
        <v>8 ถนนหลักเมือง ตำบลในเมือง อำเภอเมืองสุรินทร์ จังหวัดสุรินทร์ 32000</v>
      </c>
      <c r="Y40" s="3" t="str">
        <f>IFERROR(__xludf.DUMMYFUNCTION("""COMPUTED_VALUE"""),"ถนนหลักเมือง")</f>
        <v>ถนนหลักเมือง</v>
      </c>
      <c r="Z40" s="3" t="str">
        <f>IFERROR(__xludf.DUMMYFUNCTION("""COMPUTED_VALUE"""),"ในเมือง")</f>
        <v>ในเมือง</v>
      </c>
      <c r="AA40" s="3" t="str">
        <f>IFERROR(__xludf.DUMMYFUNCTION("""COMPUTED_VALUE"""),"เมือง")</f>
        <v>เมือง</v>
      </c>
      <c r="AB40" s="3" t="str">
        <f>IFERROR(__xludf.DUMMYFUNCTION("""COMPUTED_VALUE"""),"สุรินทร์")</f>
        <v>สุรินทร์</v>
      </c>
      <c r="AC40" s="3">
        <f>IFERROR(__xludf.DUMMYFUNCTION("""COMPUTED_VALUE"""),32000.0)</f>
        <v>32000</v>
      </c>
      <c r="AD40" s="3">
        <f>IFERROR(__xludf.DUMMYFUNCTION("""COMPUTED_VALUE"""),14.8726097)</f>
        <v>14.8726097</v>
      </c>
      <c r="AE40" s="3">
        <f>IFERROR(__xludf.DUMMYFUNCTION("""COMPUTED_VALUE"""),103.5061004)</f>
        <v>103.5061004</v>
      </c>
      <c r="AF40" s="3" t="str">
        <f>IFERROR(__xludf.DUMMYFUNCTION("""COMPUTED_VALUE"""),"สุรินทร์-11140")</f>
        <v>สุรินทร์-11140</v>
      </c>
      <c r="AG40" s="3" t="str">
        <f>IFERROR(__xludf.DUMMYFUNCTION("""COMPUTED_VALUE"""),"ตะวันออกเฉียงเหนือ")</f>
        <v>ตะวันออกเฉียงเหนือ</v>
      </c>
      <c r="AH40" s="3" t="str">
        <f>IFERROR(__xludf.DUMMYFUNCTION("""COMPUTED_VALUE"""),"Pajaob Wongpakdee")</f>
        <v>Pajaob Wongpakdee</v>
      </c>
      <c r="AI40" s="3" t="str">
        <f>IFERROR(__xludf.DUMMYFUNCTION("""COMPUTED_VALUE"""),"Out of warranty")</f>
        <v>Out of warranty</v>
      </c>
      <c r="AJ40" s="3">
        <f>IFERROR(__xludf.DUMMYFUNCTION("""COMPUTED_VALUE"""),253.0)</f>
        <v>253</v>
      </c>
      <c r="AK40" s="3"/>
      <c r="AL40" s="3" t="str">
        <f>IFERROR(__xludf.DUMMYFUNCTION("""COMPUTED_VALUE"""),"sgm.surin@bigc.co.th")</f>
        <v>sgm.surin@bigc.co.th</v>
      </c>
    </row>
    <row r="41" ht="15.75" customHeight="1">
      <c r="A41" s="1" t="str">
        <f>IFERROR(__xludf.DUMMYFUNCTION("""COMPUTED_VALUE"""),"11141")</f>
        <v>11141</v>
      </c>
      <c r="B41" s="2">
        <f>IFERROR(__xludf.DUMMYFUNCTION("""COMPUTED_VALUE"""),11141.0)</f>
        <v>11141</v>
      </c>
      <c r="C41" s="3" t="str">
        <f>IFERROR(__xludf.DUMMYFUNCTION("""COMPUTED_VALUE"""),"อ้อมใหญ่")</f>
        <v>อ้อมใหญ่</v>
      </c>
      <c r="D41" s="3" t="str">
        <f>IFERROR(__xludf.DUMMYFUNCTION("""COMPUTED_VALUE"""),"BIGC OAMYAI")</f>
        <v>BIGC OAMYAI</v>
      </c>
      <c r="E41" s="1" t="str">
        <f>IFERROR(__xludf.DUMMYFUNCTION("""COMPUTED_VALUE"""),"บิ๊กซี HyperMarket")</f>
        <v>บิ๊กซี HyperMarket</v>
      </c>
      <c r="F41" s="1" t="str">
        <f>IFERROR(__xludf.DUMMYFUNCTION("""COMPUTED_VALUE"""),"2454701")</f>
        <v>2454701</v>
      </c>
      <c r="G41" s="1" t="str">
        <f>IFERROR(__xludf.DUMMYFUNCTION("""COMPUTED_VALUE"""),"นายกานต์ ไชยแสงศรี")</f>
        <v>นายกานต์ ไชยแสงศรี</v>
      </c>
      <c r="H41" s="1" t="str">
        <f>IFERROR(__xludf.DUMMYFUNCTION("""COMPUTED_VALUE"""),"2454701")</f>
        <v>2454701</v>
      </c>
      <c r="I41" s="1" t="str">
        <f>IFERROR(__xludf.DUMMYFUNCTION("""COMPUTED_VALUE"""),"นายกานต์ ไชยแสงศรี")</f>
        <v>นายกานต์ ไชยแสงศรี</v>
      </c>
      <c r="J41" s="3">
        <f>IFERROR(__xludf.DUMMYFUNCTION("""COMPUTED_VALUE"""),2454701.0)</f>
        <v>2454701</v>
      </c>
      <c r="K41" s="3" t="str">
        <f>IFERROR(__xludf.DUMMYFUNCTION("""COMPUTED_VALUE"""),"นายกานต์ ไชยแสงศรี")</f>
        <v>นายกานต์ ไชยแสงศรี</v>
      </c>
      <c r="L41" s="1" t="str">
        <f>IFERROR(__xludf.DUMMYFUNCTION("""COMPUTED_VALUE"""),"Hub01-BKK 1")</f>
        <v>Hub01-BKK 1</v>
      </c>
      <c r="M41" s="1" t="str">
        <f>IFERROR(__xludf.DUMMYFUNCTION("""COMPUTED_VALUE"""),"0909090652")</f>
        <v>0909090652</v>
      </c>
      <c r="N41" s="3">
        <f>IFERROR(__xludf.DUMMYFUNCTION("""COMPUTED_VALUE"""),11141.0)</f>
        <v>11141</v>
      </c>
      <c r="O41" s="3" t="str">
        <f>IFERROR(__xludf.DUMMYFUNCTION("""COMPUTED_VALUE"""),"อ้อมใหญ่")</f>
        <v>อ้อมใหญ่</v>
      </c>
      <c r="P41" s="4">
        <f>IFERROR(__xludf.DUMMYFUNCTION("""COMPUTED_VALUE"""),38453.0)</f>
        <v>38453</v>
      </c>
      <c r="Q41" s="3" t="str">
        <f>IFERROR(__xludf.DUMMYFUNCTION("""COMPUTED_VALUE"""),"A")</f>
        <v>A</v>
      </c>
      <c r="R41" s="3" t="str">
        <f>IFERROR(__xludf.DUMMYFUNCTION("""COMPUTED_VALUE"""),"Big Format")</f>
        <v>Big Format</v>
      </c>
      <c r="S41" s="3" t="str">
        <f>IFERROR(__xludf.DUMMYFUNCTION("""COMPUTED_VALUE"""),"Hyper")</f>
        <v>Hyper</v>
      </c>
      <c r="T41" s="3" t="str">
        <f>IFERROR(__xludf.DUMMYFUNCTION("""COMPUTED_VALUE"""),"Hub01-BKK 1")</f>
        <v>Hub01-BKK 1</v>
      </c>
      <c r="U41" s="3" t="str">
        <f>IFERROR(__xludf.DUMMYFUNCTION("""COMPUTED_VALUE"""),"Hub01-BKK 1")</f>
        <v>Hub01-BKK 1</v>
      </c>
      <c r="V41" s="3" t="str">
        <f>IFERROR(__xludf.DUMMYFUNCTION("""COMPUTED_VALUE"""),"N")</f>
        <v>N</v>
      </c>
      <c r="W41" s="3">
        <f>IFERROR(__xludf.DUMMYFUNCTION("""COMPUTED_VALUE"""),111141.0)</f>
        <v>111141</v>
      </c>
      <c r="X41" s="3" t="str">
        <f>IFERROR(__xludf.DUMMYFUNCTION("""COMPUTED_VALUE"""),"17/17 หมู่ที่ 8 ตำบลอ้อมใหญ่ อำเภอสามพราน จังหวัดนครปฐม 73160")</f>
        <v>17/17 หมู่ที่ 8 ตำบลอ้อมใหญ่ อำเภอสามพราน จังหวัดนครปฐม 73160</v>
      </c>
      <c r="Y41" s="3"/>
      <c r="Z41" s="3" t="str">
        <f>IFERROR(__xludf.DUMMYFUNCTION("""COMPUTED_VALUE"""),"อ้อมใหญ่")</f>
        <v>อ้อมใหญ่</v>
      </c>
      <c r="AA41" s="3" t="str">
        <f>IFERROR(__xludf.DUMMYFUNCTION("""COMPUTED_VALUE"""),"สามพราน")</f>
        <v>สามพราน</v>
      </c>
      <c r="AB41" s="3" t="str">
        <f>IFERROR(__xludf.DUMMYFUNCTION("""COMPUTED_VALUE"""),"นครปฐม")</f>
        <v>นครปฐม</v>
      </c>
      <c r="AC41" s="3">
        <f>IFERROR(__xludf.DUMMYFUNCTION("""COMPUTED_VALUE"""),73160.0)</f>
        <v>73160</v>
      </c>
      <c r="AD41" s="3">
        <f>IFERROR(__xludf.DUMMYFUNCTION("""COMPUTED_VALUE"""),13.7065175)</f>
        <v>13.7065175</v>
      </c>
      <c r="AE41" s="3">
        <f>IFERROR(__xludf.DUMMYFUNCTION("""COMPUTED_VALUE"""),100.2812129)</f>
        <v>100.2812129</v>
      </c>
      <c r="AF41" s="3" t="str">
        <f>IFERROR(__xludf.DUMMYFUNCTION("""COMPUTED_VALUE"""),"อ้อมใหญ่-11141")</f>
        <v>อ้อมใหญ่-11141</v>
      </c>
      <c r="AG41" s="3" t="str">
        <f>IFERROR(__xludf.DUMMYFUNCTION("""COMPUTED_VALUE"""),"กลาง")</f>
        <v>กลาง</v>
      </c>
      <c r="AH41" s="3" t="str">
        <f>IFERROR(__xludf.DUMMYFUNCTION("""COMPUTED_VALUE"""),"Suchin Thawinwisan")</f>
        <v>Suchin Thawinwisan</v>
      </c>
      <c r="AI41" s="3" t="str">
        <f>IFERROR(__xludf.DUMMYFUNCTION("""COMPUTED_VALUE"""),"Out of warranty")</f>
        <v>Out of warranty</v>
      </c>
      <c r="AJ41" s="3">
        <f>IFERROR(__xludf.DUMMYFUNCTION("""COMPUTED_VALUE"""),250.0)</f>
        <v>250</v>
      </c>
      <c r="AK41" s="3"/>
      <c r="AL41" s="3" t="str">
        <f>IFERROR(__xludf.DUMMYFUNCTION("""COMPUTED_VALUE"""),"sgm.aomyai@bigc.co.th")</f>
        <v>sgm.aomyai@bigc.co.th</v>
      </c>
    </row>
    <row r="42" ht="15.75" customHeight="1">
      <c r="A42" s="1" t="str">
        <f>IFERROR(__xludf.DUMMYFUNCTION("""COMPUTED_VALUE"""),"11142")</f>
        <v>11142</v>
      </c>
      <c r="B42" s="2">
        <f>IFERROR(__xludf.DUMMYFUNCTION("""COMPUTED_VALUE"""),11142.0)</f>
        <v>11142</v>
      </c>
      <c r="C42" s="3" t="str">
        <f>IFERROR(__xludf.DUMMYFUNCTION("""COMPUTED_VALUE"""),"เพชรเกษม")</f>
        <v>เพชรเกษม</v>
      </c>
      <c r="D42" s="3" t="str">
        <f>IFERROR(__xludf.DUMMYFUNCTION("""COMPUTED_VALUE"""),"BIGC PHETCHAKASEM")</f>
        <v>BIGC PHETCHAKASEM</v>
      </c>
      <c r="E42" s="1" t="str">
        <f>IFERROR(__xludf.DUMMYFUNCTION("""COMPUTED_VALUE"""),"บิ๊กซี HyperMarket")</f>
        <v>บิ๊กซี HyperMarket</v>
      </c>
      <c r="F42" s="1" t="str">
        <f>IFERROR(__xludf.DUMMYFUNCTION("""COMPUTED_VALUE"""),"2454701")</f>
        <v>2454701</v>
      </c>
      <c r="G42" s="1" t="str">
        <f>IFERROR(__xludf.DUMMYFUNCTION("""COMPUTED_VALUE"""),"นายกานต์ ไชยแสงศรี")</f>
        <v>นายกานต์ ไชยแสงศรี</v>
      </c>
      <c r="H42" s="1" t="str">
        <f>IFERROR(__xludf.DUMMYFUNCTION("""COMPUTED_VALUE"""),"2454701")</f>
        <v>2454701</v>
      </c>
      <c r="I42" s="1" t="str">
        <f>IFERROR(__xludf.DUMMYFUNCTION("""COMPUTED_VALUE"""),"นายกานต์ ไชยแสงศรี")</f>
        <v>นายกานต์ ไชยแสงศรี</v>
      </c>
      <c r="J42" s="3">
        <f>IFERROR(__xludf.DUMMYFUNCTION("""COMPUTED_VALUE"""),2454701.0)</f>
        <v>2454701</v>
      </c>
      <c r="K42" s="3" t="str">
        <f>IFERROR(__xludf.DUMMYFUNCTION("""COMPUTED_VALUE"""),"นายกานต์ ไชยแสงศรี")</f>
        <v>นายกานต์ ไชยแสงศรี</v>
      </c>
      <c r="L42" s="1" t="str">
        <f>IFERROR(__xludf.DUMMYFUNCTION("""COMPUTED_VALUE"""),"Hub01-BKK 1")</f>
        <v>Hub01-BKK 1</v>
      </c>
      <c r="M42" s="1" t="str">
        <f>IFERROR(__xludf.DUMMYFUNCTION("""COMPUTED_VALUE"""),"0909090652")</f>
        <v>0909090652</v>
      </c>
      <c r="N42" s="3">
        <f>IFERROR(__xludf.DUMMYFUNCTION("""COMPUTED_VALUE"""),11142.0)</f>
        <v>11142</v>
      </c>
      <c r="O42" s="3" t="str">
        <f>IFERROR(__xludf.DUMMYFUNCTION("""COMPUTED_VALUE"""),"เพชรเกษม")</f>
        <v>เพชรเกษม</v>
      </c>
      <c r="P42" s="4">
        <f>IFERROR(__xludf.DUMMYFUNCTION("""COMPUTED_VALUE"""),38547.0)</f>
        <v>38547</v>
      </c>
      <c r="Q42" s="3" t="str">
        <f>IFERROR(__xludf.DUMMYFUNCTION("""COMPUTED_VALUE"""),"A")</f>
        <v>A</v>
      </c>
      <c r="R42" s="3" t="str">
        <f>IFERROR(__xludf.DUMMYFUNCTION("""COMPUTED_VALUE"""),"Big Format")</f>
        <v>Big Format</v>
      </c>
      <c r="S42" s="3" t="str">
        <f>IFERROR(__xludf.DUMMYFUNCTION("""COMPUTED_VALUE"""),"Hyper")</f>
        <v>Hyper</v>
      </c>
      <c r="T42" s="3" t="str">
        <f>IFERROR(__xludf.DUMMYFUNCTION("""COMPUTED_VALUE"""),"Hub01-BKK 1")</f>
        <v>Hub01-BKK 1</v>
      </c>
      <c r="U42" s="3" t="str">
        <f>IFERROR(__xludf.DUMMYFUNCTION("""COMPUTED_VALUE"""),"Hub01-BKK 1")</f>
        <v>Hub01-BKK 1</v>
      </c>
      <c r="V42" s="3" t="str">
        <f>IFERROR(__xludf.DUMMYFUNCTION("""COMPUTED_VALUE"""),"N")</f>
        <v>N</v>
      </c>
      <c r="W42" s="3">
        <f>IFERROR(__xludf.DUMMYFUNCTION("""COMPUTED_VALUE"""),111142.0)</f>
        <v>111142</v>
      </c>
      <c r="X42" s="3" t="str">
        <f>IFERROR(__xludf.DUMMYFUNCTION("""COMPUTED_VALUE"""),"1759 ถนนเพชรเกษม แขวงหลักสอง เขตบางแค กรุงเทพฯ 10160")</f>
        <v>1759 ถนนเพชรเกษม แขวงหลักสอง เขตบางแค กรุงเทพฯ 10160</v>
      </c>
      <c r="Y42" s="3" t="str">
        <f>IFERROR(__xludf.DUMMYFUNCTION("""COMPUTED_VALUE"""),"ถนนเพชรเกษม")</f>
        <v>ถนนเพชรเกษม</v>
      </c>
      <c r="Z42" s="3" t="str">
        <f>IFERROR(__xludf.DUMMYFUNCTION("""COMPUTED_VALUE"""),"หลักสอง")</f>
        <v>หลักสอง</v>
      </c>
      <c r="AA42" s="3" t="str">
        <f>IFERROR(__xludf.DUMMYFUNCTION("""COMPUTED_VALUE"""),"บางแค")</f>
        <v>บางแค</v>
      </c>
      <c r="AB42" s="3" t="str">
        <f>IFERROR(__xludf.DUMMYFUNCTION("""COMPUTED_VALUE"""),"กรุงเทพมหานคร")</f>
        <v>กรุงเทพมหานคร</v>
      </c>
      <c r="AC42" s="3">
        <f>IFERROR(__xludf.DUMMYFUNCTION("""COMPUTED_VALUE"""),10160.0)</f>
        <v>10160</v>
      </c>
      <c r="AD42" s="3">
        <f>IFERROR(__xludf.DUMMYFUNCTION("""COMPUTED_VALUE"""),13.70765625)</f>
        <v>13.70765625</v>
      </c>
      <c r="AE42" s="3">
        <f>IFERROR(__xludf.DUMMYFUNCTION("""COMPUTED_VALUE"""),100.3810018)</f>
        <v>100.3810018</v>
      </c>
      <c r="AF42" s="3" t="str">
        <f>IFERROR(__xludf.DUMMYFUNCTION("""COMPUTED_VALUE"""),"เพชรเกษม-11142")</f>
        <v>เพชรเกษม-11142</v>
      </c>
      <c r="AG42" s="3" t="str">
        <f>IFERROR(__xludf.DUMMYFUNCTION("""COMPUTED_VALUE"""),"กลาง")</f>
        <v>กลาง</v>
      </c>
      <c r="AH42" s="3" t="str">
        <f>IFERROR(__xludf.DUMMYFUNCTION("""COMPUTED_VALUE"""),"Suchin Thawinwisan")</f>
        <v>Suchin Thawinwisan</v>
      </c>
      <c r="AI42" s="3" t="str">
        <f>IFERROR(__xludf.DUMMYFUNCTION("""COMPUTED_VALUE"""),"Out of warranty")</f>
        <v>Out of warranty</v>
      </c>
      <c r="AJ42" s="3">
        <f>IFERROR(__xludf.DUMMYFUNCTION("""COMPUTED_VALUE"""),247.0)</f>
        <v>247</v>
      </c>
      <c r="AK42" s="3"/>
      <c r="AL42" s="3" t="str">
        <f>IFERROR(__xludf.DUMMYFUNCTION("""COMPUTED_VALUE"""),"sgm.phetchakasem@bigc.co.th")</f>
        <v>sgm.phetchakasem@bigc.co.th</v>
      </c>
    </row>
    <row r="43" ht="15.75" customHeight="1">
      <c r="A43" s="1" t="str">
        <f>IFERROR(__xludf.DUMMYFUNCTION("""COMPUTED_VALUE"""),"11143")</f>
        <v>11143</v>
      </c>
      <c r="B43" s="2">
        <f>IFERROR(__xludf.DUMMYFUNCTION("""COMPUTED_VALUE"""),11143.0)</f>
        <v>11143</v>
      </c>
      <c r="C43" s="3" t="str">
        <f>IFERROR(__xludf.DUMMYFUNCTION("""COMPUTED_VALUE"""),"สุขาภิบาล3")</f>
        <v>สุขาภิบาล3</v>
      </c>
      <c r="D43" s="3" t="str">
        <f>IFERROR(__xludf.DUMMYFUNCTION("""COMPUTED_VALUE"""),"BIGC SUKAPIBAL3")</f>
        <v>BIGC SUKAPIBAL3</v>
      </c>
      <c r="E43" s="1" t="str">
        <f>IFERROR(__xludf.DUMMYFUNCTION("""COMPUTED_VALUE"""),"บิ๊กซี HyperMarket")</f>
        <v>บิ๊กซี HyperMarket</v>
      </c>
      <c r="F43" s="1" t="str">
        <f>IFERROR(__xludf.DUMMYFUNCTION("""COMPUTED_VALUE"""),"2454716")</f>
        <v>2454716</v>
      </c>
      <c r="G43" s="1" t="str">
        <f>IFERROR(__xludf.DUMMYFUNCTION("""COMPUTED_VALUE"""),"นายโฆษิต วงค์กะโซ่")</f>
        <v>นายโฆษิต วงค์กะโซ่</v>
      </c>
      <c r="H43" s="1" t="str">
        <f>IFERROR(__xludf.DUMMYFUNCTION("""COMPUTED_VALUE"""),"2454716")</f>
        <v>2454716</v>
      </c>
      <c r="I43" s="1" t="str">
        <f>IFERROR(__xludf.DUMMYFUNCTION("""COMPUTED_VALUE"""),"นายโฆษิต วงค์กะโซ่")</f>
        <v>นายโฆษิต วงค์กะโซ่</v>
      </c>
      <c r="J43" s="3">
        <f>IFERROR(__xludf.DUMMYFUNCTION("""COMPUTED_VALUE"""),2454716.0)</f>
        <v>2454716</v>
      </c>
      <c r="K43" s="3" t="str">
        <f>IFERROR(__xludf.DUMMYFUNCTION("""COMPUTED_VALUE"""),"นายโฆษิต วงค์กะโซ่")</f>
        <v>นายโฆษิต วงค์กะโซ่</v>
      </c>
      <c r="L43" s="1" t="str">
        <f>IFERROR(__xludf.DUMMYFUNCTION("""COMPUTED_VALUE"""),"Hub03-BKK 3")</f>
        <v>Hub03-BKK 3</v>
      </c>
      <c r="M43" s="1" t="str">
        <f>IFERROR(__xludf.DUMMYFUNCTION("""COMPUTED_VALUE"""),"062-434-5030")</f>
        <v>062-434-5030</v>
      </c>
      <c r="N43" s="3">
        <f>IFERROR(__xludf.DUMMYFUNCTION("""COMPUTED_VALUE"""),11143.0)</f>
        <v>11143</v>
      </c>
      <c r="O43" s="3" t="str">
        <f>IFERROR(__xludf.DUMMYFUNCTION("""COMPUTED_VALUE"""),"สุขาภิบาล3")</f>
        <v>สุขาภิบาล3</v>
      </c>
      <c r="P43" s="4">
        <f>IFERROR(__xludf.DUMMYFUNCTION("""COMPUTED_VALUE"""),38595.0)</f>
        <v>38595</v>
      </c>
      <c r="Q43" s="3" t="str">
        <f>IFERROR(__xludf.DUMMYFUNCTION("""COMPUTED_VALUE"""),"A")</f>
        <v>A</v>
      </c>
      <c r="R43" s="3" t="str">
        <f>IFERROR(__xludf.DUMMYFUNCTION("""COMPUTED_VALUE"""),"Big Format")</f>
        <v>Big Format</v>
      </c>
      <c r="S43" s="3" t="str">
        <f>IFERROR(__xludf.DUMMYFUNCTION("""COMPUTED_VALUE"""),"Hyper")</f>
        <v>Hyper</v>
      </c>
      <c r="T43" s="3" t="str">
        <f>IFERROR(__xludf.DUMMYFUNCTION("""COMPUTED_VALUE"""),"Hub03-BKK 3")</f>
        <v>Hub03-BKK 3</v>
      </c>
      <c r="U43" s="3" t="str">
        <f>IFERROR(__xludf.DUMMYFUNCTION("""COMPUTED_VALUE"""),"Hub03-BKK 3")</f>
        <v>Hub03-BKK 3</v>
      </c>
      <c r="V43" s="3" t="str">
        <f>IFERROR(__xludf.DUMMYFUNCTION("""COMPUTED_VALUE"""),"N")</f>
        <v>N</v>
      </c>
      <c r="W43" s="3">
        <f>IFERROR(__xludf.DUMMYFUNCTION("""COMPUTED_VALUE"""),111143.0)</f>
        <v>111143</v>
      </c>
      <c r="X43" s="3" t="str">
        <f>IFERROR(__xludf.DUMMYFUNCTION("""COMPUTED_VALUE"""),"103 ถนนรามคำแหง แขวงมีนบุรี เขตมีนบุรี จังหวัดกรุงเทพมหานคร 10510")</f>
        <v>103 ถนนรามคำแหง แขวงมีนบุรี เขตมีนบุรี จังหวัดกรุงเทพมหานคร 10510</v>
      </c>
      <c r="Y43" s="3" t="str">
        <f>IFERROR(__xludf.DUMMYFUNCTION("""COMPUTED_VALUE"""),"ถนนรามคำแหง")</f>
        <v>ถนนรามคำแหง</v>
      </c>
      <c r="Z43" s="3" t="str">
        <f>IFERROR(__xludf.DUMMYFUNCTION("""COMPUTED_VALUE"""),"มีนบุรี")</f>
        <v>มีนบุรี</v>
      </c>
      <c r="AA43" s="3" t="str">
        <f>IFERROR(__xludf.DUMMYFUNCTION("""COMPUTED_VALUE"""),"มีนบุรี")</f>
        <v>มีนบุรี</v>
      </c>
      <c r="AB43" s="3" t="str">
        <f>IFERROR(__xludf.DUMMYFUNCTION("""COMPUTED_VALUE"""),"กรุงเทพมหานคร")</f>
        <v>กรุงเทพมหานคร</v>
      </c>
      <c r="AC43" s="3">
        <f>IFERROR(__xludf.DUMMYFUNCTION("""COMPUTED_VALUE"""),10510.0)</f>
        <v>10510</v>
      </c>
      <c r="AD43" s="3">
        <f>IFERROR(__xludf.DUMMYFUNCTION("""COMPUTED_VALUE"""),13.807551)</f>
        <v>13.807551</v>
      </c>
      <c r="AE43" s="3">
        <f>IFERROR(__xludf.DUMMYFUNCTION("""COMPUTED_VALUE"""),100.726395)</f>
        <v>100.726395</v>
      </c>
      <c r="AF43" s="3" t="str">
        <f>IFERROR(__xludf.DUMMYFUNCTION("""COMPUTED_VALUE"""),"สุขาภิบาล3-11143")</f>
        <v>สุขาภิบาล3-11143</v>
      </c>
      <c r="AG43" s="3" t="str">
        <f>IFERROR(__xludf.DUMMYFUNCTION("""COMPUTED_VALUE"""),"กลาง")</f>
        <v>กลาง</v>
      </c>
      <c r="AH43" s="3" t="str">
        <f>IFERROR(__xludf.DUMMYFUNCTION("""COMPUTED_VALUE"""),"Saitan Boonpitak")</f>
        <v>Saitan Boonpitak</v>
      </c>
      <c r="AI43" s="3" t="str">
        <f>IFERROR(__xludf.DUMMYFUNCTION("""COMPUTED_VALUE"""),"Out of warranty")</f>
        <v>Out of warranty</v>
      </c>
      <c r="AJ43" s="3">
        <f>IFERROR(__xludf.DUMMYFUNCTION("""COMPUTED_VALUE"""),245.0)</f>
        <v>245</v>
      </c>
      <c r="AK43" s="3"/>
      <c r="AL43" s="3" t="str">
        <f>IFERROR(__xludf.DUMMYFUNCTION("""COMPUTED_VALUE"""),"sgm.sukapibal-3@bigc.co.th")</f>
        <v>sgm.sukapibal-3@bigc.co.th</v>
      </c>
    </row>
    <row r="44" ht="15.75" customHeight="1">
      <c r="A44" s="1" t="str">
        <f>IFERROR(__xludf.DUMMYFUNCTION("""COMPUTED_VALUE"""),"11144")</f>
        <v>11144</v>
      </c>
      <c r="B44" s="2">
        <f>IFERROR(__xludf.DUMMYFUNCTION("""COMPUTED_VALUE"""),11144.0)</f>
        <v>11144</v>
      </c>
      <c r="C44" s="3" t="str">
        <f>IFERROR(__xludf.DUMMYFUNCTION("""COMPUTED_VALUE"""),"เอกมัย")</f>
        <v>เอกมัย</v>
      </c>
      <c r="D44" s="3" t="str">
        <f>IFERROR(__xludf.DUMMYFUNCTION("""COMPUTED_VALUE"""),"BIGC EKAMAI")</f>
        <v>BIGC EKAMAI</v>
      </c>
      <c r="E44" s="1" t="str">
        <f>IFERROR(__xludf.DUMMYFUNCTION("""COMPUTED_VALUE"""),"บิ๊กซี HyperMarket")</f>
        <v>บิ๊กซี HyperMarket</v>
      </c>
      <c r="F44" s="1" t="str">
        <f>IFERROR(__xludf.DUMMYFUNCTION("""COMPUTED_VALUE"""),"2454813")</f>
        <v>2454813</v>
      </c>
      <c r="G44" s="1" t="str">
        <f>IFERROR(__xludf.DUMMYFUNCTION("""COMPUTED_VALUE"""),"นายอนุรักษ์ จั่นเที่ยง")</f>
        <v>นายอนุรักษ์ จั่นเที่ยง</v>
      </c>
      <c r="H44" s="1" t="str">
        <f>IFERROR(__xludf.DUMMYFUNCTION("""COMPUTED_VALUE"""),"2454813")</f>
        <v>2454813</v>
      </c>
      <c r="I44" s="1" t="str">
        <f>IFERROR(__xludf.DUMMYFUNCTION("""COMPUTED_VALUE"""),"นายอนุรักษ์ จั่นเที่ยง")</f>
        <v>นายอนุรักษ์ จั่นเที่ยง</v>
      </c>
      <c r="J44" s="3">
        <f>IFERROR(__xludf.DUMMYFUNCTION("""COMPUTED_VALUE"""),2454813.0)</f>
        <v>2454813</v>
      </c>
      <c r="K44" s="3" t="str">
        <f>IFERROR(__xludf.DUMMYFUNCTION("""COMPUTED_VALUE"""),"นายอนุรักษ์ จั่นเที่ยง")</f>
        <v>นายอนุรักษ์ จั่นเที่ยง</v>
      </c>
      <c r="L44" s="1" t="str">
        <f>IFERROR(__xludf.DUMMYFUNCTION("""COMPUTED_VALUE"""),"Hub04-BKK 4")</f>
        <v>Hub04-BKK 4</v>
      </c>
      <c r="M44" s="1" t="str">
        <f>IFERROR(__xludf.DUMMYFUNCTION("""COMPUTED_VALUE"""),"0991964531")</f>
        <v>0991964531</v>
      </c>
      <c r="N44" s="3">
        <f>IFERROR(__xludf.DUMMYFUNCTION("""COMPUTED_VALUE"""),11144.0)</f>
        <v>11144</v>
      </c>
      <c r="O44" s="3" t="str">
        <f>IFERROR(__xludf.DUMMYFUNCTION("""COMPUTED_VALUE"""),"เอกมัย")</f>
        <v>เอกมัย</v>
      </c>
      <c r="P44" s="4">
        <f>IFERROR(__xludf.DUMMYFUNCTION("""COMPUTED_VALUE"""),38664.0)</f>
        <v>38664</v>
      </c>
      <c r="Q44" s="3" t="str">
        <f>IFERROR(__xludf.DUMMYFUNCTION("""COMPUTED_VALUE"""),"A")</f>
        <v>A</v>
      </c>
      <c r="R44" s="3" t="str">
        <f>IFERROR(__xludf.DUMMYFUNCTION("""COMPUTED_VALUE"""),"Big Format")</f>
        <v>Big Format</v>
      </c>
      <c r="S44" s="3" t="str">
        <f>IFERROR(__xludf.DUMMYFUNCTION("""COMPUTED_VALUE"""),"Hyper")</f>
        <v>Hyper</v>
      </c>
      <c r="T44" s="3" t="str">
        <f>IFERROR(__xludf.DUMMYFUNCTION("""COMPUTED_VALUE"""),"Hub04-BKK 4")</f>
        <v>Hub04-BKK 4</v>
      </c>
      <c r="U44" s="3" t="str">
        <f>IFERROR(__xludf.DUMMYFUNCTION("""COMPUTED_VALUE"""),"Hub04-BKK 4")</f>
        <v>Hub04-BKK 4</v>
      </c>
      <c r="V44" s="3" t="str">
        <f>IFERROR(__xludf.DUMMYFUNCTION("""COMPUTED_VALUE"""),"N")</f>
        <v>N</v>
      </c>
      <c r="W44" s="3">
        <f>IFERROR(__xludf.DUMMYFUNCTION("""COMPUTED_VALUE"""),111144.0)</f>
        <v>111144</v>
      </c>
      <c r="X44" s="3" t="str">
        <f>IFERROR(__xludf.DUMMYFUNCTION("""COMPUTED_VALUE"""),"78 ซ.สุขุมวิท63(เอกมัย) แขวงพระโขนงเหนือ เขตวัฒนา กรุงเทพฯ 10110")</f>
        <v>78 ซ.สุขุมวิท63(เอกมัย) แขวงพระโขนงเหนือ เขตวัฒนา กรุงเทพฯ 10110</v>
      </c>
      <c r="Y44" s="3" t="str">
        <f>IFERROR(__xludf.DUMMYFUNCTION("""COMPUTED_VALUE"""),"ซ.สุขุมวิท63(เอกมัย)")</f>
        <v>ซ.สุขุมวิท63(เอกมัย)</v>
      </c>
      <c r="Z44" s="3" t="str">
        <f>IFERROR(__xludf.DUMMYFUNCTION("""COMPUTED_VALUE"""),"พระโขนงเหนือ")</f>
        <v>พระโขนงเหนือ</v>
      </c>
      <c r="AA44" s="3" t="str">
        <f>IFERROR(__xludf.DUMMYFUNCTION("""COMPUTED_VALUE"""),"วัฒนา")</f>
        <v>วัฒนา</v>
      </c>
      <c r="AB44" s="3" t="str">
        <f>IFERROR(__xludf.DUMMYFUNCTION("""COMPUTED_VALUE"""),"กรุงเทพมหานคร")</f>
        <v>กรุงเทพมหานคร</v>
      </c>
      <c r="AC44" s="3">
        <f>IFERROR(__xludf.DUMMYFUNCTION("""COMPUTED_VALUE"""),10110.0)</f>
        <v>10110</v>
      </c>
      <c r="AD44" s="3">
        <f>IFERROR(__xludf.DUMMYFUNCTION("""COMPUTED_VALUE"""),13.727037)</f>
        <v>13.727037</v>
      </c>
      <c r="AE44" s="3">
        <f>IFERROR(__xludf.DUMMYFUNCTION("""COMPUTED_VALUE"""),100.585765)</f>
        <v>100.585765</v>
      </c>
      <c r="AF44" s="3" t="str">
        <f>IFERROR(__xludf.DUMMYFUNCTION("""COMPUTED_VALUE"""),"เอกมัย-11144")</f>
        <v>เอกมัย-11144</v>
      </c>
      <c r="AG44" s="3" t="str">
        <f>IFERROR(__xludf.DUMMYFUNCTION("""COMPUTED_VALUE"""),"กลาง")</f>
        <v>กลาง</v>
      </c>
      <c r="AH44" s="3" t="str">
        <f>IFERROR(__xludf.DUMMYFUNCTION("""COMPUTED_VALUE"""),"Natsarine Seammai")</f>
        <v>Natsarine Seammai</v>
      </c>
      <c r="AI44" s="3" t="str">
        <f>IFERROR(__xludf.DUMMYFUNCTION("""COMPUTED_VALUE"""),"Out of warranty")</f>
        <v>Out of warranty</v>
      </c>
      <c r="AJ44" s="3">
        <f>IFERROR(__xludf.DUMMYFUNCTION("""COMPUTED_VALUE"""),243.0)</f>
        <v>243</v>
      </c>
      <c r="AK44" s="3"/>
      <c r="AL44" s="3" t="str">
        <f>IFERROR(__xludf.DUMMYFUNCTION("""COMPUTED_VALUE"""),"sgm.ekamai@bigc.co.th")</f>
        <v>sgm.ekamai@bigc.co.th</v>
      </c>
    </row>
    <row r="45" ht="15.75" customHeight="1">
      <c r="A45" s="1" t="str">
        <f>IFERROR(__xludf.DUMMYFUNCTION("""COMPUTED_VALUE"""),"11145")</f>
        <v>11145</v>
      </c>
      <c r="B45" s="2">
        <f>IFERROR(__xludf.DUMMYFUNCTION("""COMPUTED_VALUE"""),11145.0)</f>
        <v>11145</v>
      </c>
      <c r="C45" s="3" t="str">
        <f>IFERROR(__xludf.DUMMYFUNCTION("""COMPUTED_VALUE"""),"สกลนคร")</f>
        <v>สกลนคร</v>
      </c>
      <c r="D45" s="3" t="str">
        <f>IFERROR(__xludf.DUMMYFUNCTION("""COMPUTED_VALUE"""),"BIGC SAKOLNAKORN")</f>
        <v>BIGC SAKOLNAKORN</v>
      </c>
      <c r="E45" s="1" t="str">
        <f>IFERROR(__xludf.DUMMYFUNCTION("""COMPUTED_VALUE"""),"บิ๊กซี HyperMarket")</f>
        <v>บิ๊กซี HyperMarket</v>
      </c>
      <c r="F45" s="1" t="str">
        <f>IFERROR(__xludf.DUMMYFUNCTION("""COMPUTED_VALUE"""),"033317")</f>
        <v>033317</v>
      </c>
      <c r="G45" s="1" t="str">
        <f>IFERROR(__xludf.DUMMYFUNCTION("""COMPUTED_VALUE"""),"นายอาณัติ เพชรภาน")</f>
        <v>นายอาณัติ เพชรภาน</v>
      </c>
      <c r="H45" s="1" t="str">
        <f>IFERROR(__xludf.DUMMYFUNCTION("""COMPUTED_VALUE"""),"033317")</f>
        <v>033317</v>
      </c>
      <c r="I45" s="1" t="str">
        <f>IFERROR(__xludf.DUMMYFUNCTION("""COMPUTED_VALUE"""),"นายอาณัติ เพชรภาน")</f>
        <v>นายอาณัติ เพชรภาน</v>
      </c>
      <c r="J45" s="3">
        <f>IFERROR(__xludf.DUMMYFUNCTION("""COMPUTED_VALUE"""),33317.0)</f>
        <v>33317</v>
      </c>
      <c r="K45" s="3" t="str">
        <f>IFERROR(__xludf.DUMMYFUNCTION("""COMPUTED_VALUE"""),"นายอาณัติ เพชรภาน")</f>
        <v>นายอาณัติ เพชรภาน</v>
      </c>
      <c r="L45" s="1" t="str">
        <f>IFERROR(__xludf.DUMMYFUNCTION("""COMPUTED_VALUE"""),"Hub10-NE 2")</f>
        <v>Hub10-NE 2</v>
      </c>
      <c r="M45" s="1" t="str">
        <f>IFERROR(__xludf.DUMMYFUNCTION("""COMPUTED_VALUE"""),"0644791409")</f>
        <v>0644791409</v>
      </c>
      <c r="N45" s="3">
        <f>IFERROR(__xludf.DUMMYFUNCTION("""COMPUTED_VALUE"""),11145.0)</f>
        <v>11145</v>
      </c>
      <c r="O45" s="3" t="str">
        <f>IFERROR(__xludf.DUMMYFUNCTION("""COMPUTED_VALUE"""),"สกลนคร")</f>
        <v>สกลนคร</v>
      </c>
      <c r="P45" s="4">
        <f>IFERROR(__xludf.DUMMYFUNCTION("""COMPUTED_VALUE"""),38681.0)</f>
        <v>38681</v>
      </c>
      <c r="Q45" s="3" t="str">
        <f>IFERROR(__xludf.DUMMYFUNCTION("""COMPUTED_VALUE"""),"A")</f>
        <v>A</v>
      </c>
      <c r="R45" s="3" t="str">
        <f>IFERROR(__xludf.DUMMYFUNCTION("""COMPUTED_VALUE"""),"Big Format")</f>
        <v>Big Format</v>
      </c>
      <c r="S45" s="3" t="str">
        <f>IFERROR(__xludf.DUMMYFUNCTION("""COMPUTED_VALUE"""),"Hyper")</f>
        <v>Hyper</v>
      </c>
      <c r="T45" s="3" t="str">
        <f>IFERROR(__xludf.DUMMYFUNCTION("""COMPUTED_VALUE"""),"Hub10-NE 2")</f>
        <v>Hub10-NE 2</v>
      </c>
      <c r="U45" s="3" t="str">
        <f>IFERROR(__xludf.DUMMYFUNCTION("""COMPUTED_VALUE"""),"Hub10-NE 2")</f>
        <v>Hub10-NE 2</v>
      </c>
      <c r="V45" s="3" t="str">
        <f>IFERROR(__xludf.DUMMYFUNCTION("""COMPUTED_VALUE"""),"N")</f>
        <v>N</v>
      </c>
      <c r="W45" s="3">
        <f>IFERROR(__xludf.DUMMYFUNCTION("""COMPUTED_VALUE"""),111145.0)</f>
        <v>111145</v>
      </c>
      <c r="X45" s="3" t="str">
        <f>IFERROR(__xludf.DUMMYFUNCTION("""COMPUTED_VALUE"""),"1594/16 ถนนรอบเมือง ตำบลธาตุเชิงชุม อำเภอเมืองสกลนคร จังหวัดสกลนคร 47000")</f>
        <v>1594/16 ถนนรอบเมือง ตำบลธาตุเชิงชุม อำเภอเมืองสกลนคร จังหวัดสกลนคร 47000</v>
      </c>
      <c r="Y45" s="3" t="str">
        <f>IFERROR(__xludf.DUMMYFUNCTION("""COMPUTED_VALUE"""),"ถนนรอบเมือง")</f>
        <v>ถนนรอบเมือง</v>
      </c>
      <c r="Z45" s="3" t="str">
        <f>IFERROR(__xludf.DUMMYFUNCTION("""COMPUTED_VALUE"""),"ธาตุเชิงชุม")</f>
        <v>ธาตุเชิงชุม</v>
      </c>
      <c r="AA45" s="3" t="str">
        <f>IFERROR(__xludf.DUMMYFUNCTION("""COMPUTED_VALUE"""),"เมือง")</f>
        <v>เมือง</v>
      </c>
      <c r="AB45" s="3" t="str">
        <f>IFERROR(__xludf.DUMMYFUNCTION("""COMPUTED_VALUE"""),"สกลนคร")</f>
        <v>สกลนคร</v>
      </c>
      <c r="AC45" s="3">
        <f>IFERROR(__xludf.DUMMYFUNCTION("""COMPUTED_VALUE"""),47000.0)</f>
        <v>47000</v>
      </c>
      <c r="AD45" s="3">
        <f>IFERROR(__xludf.DUMMYFUNCTION("""COMPUTED_VALUE"""),17.15965366)</f>
        <v>17.15965366</v>
      </c>
      <c r="AE45" s="3">
        <f>IFERROR(__xludf.DUMMYFUNCTION("""COMPUTED_VALUE"""),104.149425)</f>
        <v>104.149425</v>
      </c>
      <c r="AF45" s="3" t="str">
        <f>IFERROR(__xludf.DUMMYFUNCTION("""COMPUTED_VALUE"""),"สกลนคร-11145")</f>
        <v>สกลนคร-11145</v>
      </c>
      <c r="AG45" s="3" t="str">
        <f>IFERROR(__xludf.DUMMYFUNCTION("""COMPUTED_VALUE"""),"ตะวันออกเฉียงเหนือ")</f>
        <v>ตะวันออกเฉียงเหนือ</v>
      </c>
      <c r="AH45" s="3" t="str">
        <f>IFERROR(__xludf.DUMMYFUNCTION("""COMPUTED_VALUE"""),"Pajaob Wongpakdee")</f>
        <v>Pajaob Wongpakdee</v>
      </c>
      <c r="AI45" s="3" t="str">
        <f>IFERROR(__xludf.DUMMYFUNCTION("""COMPUTED_VALUE"""),"Out of warranty")</f>
        <v>Out of warranty</v>
      </c>
      <c r="AJ45" s="3">
        <f>IFERROR(__xludf.DUMMYFUNCTION("""COMPUTED_VALUE"""),242.0)</f>
        <v>242</v>
      </c>
      <c r="AK45" s="3"/>
      <c r="AL45" s="3" t="str">
        <f>IFERROR(__xludf.DUMMYFUNCTION("""COMPUTED_VALUE"""),"sgm.sakolnakorn@bigc.co.th")</f>
        <v>sgm.sakolnakorn@bigc.co.th</v>
      </c>
    </row>
    <row r="46" ht="15.75" customHeight="1">
      <c r="A46" s="1" t="str">
        <f>IFERROR(__xludf.DUMMYFUNCTION("""COMPUTED_VALUE"""),"11146")</f>
        <v>11146</v>
      </c>
      <c r="B46" s="2">
        <f>IFERROR(__xludf.DUMMYFUNCTION("""COMPUTED_VALUE"""),11146.0)</f>
        <v>11146</v>
      </c>
      <c r="C46" s="3" t="str">
        <f>IFERROR(__xludf.DUMMYFUNCTION("""COMPUTED_VALUE"""),"แพร่")</f>
        <v>แพร่</v>
      </c>
      <c r="D46" s="3" t="str">
        <f>IFERROR(__xludf.DUMMYFUNCTION("""COMPUTED_VALUE"""),"BIGC PHRAE")</f>
        <v>BIGC PHRAE</v>
      </c>
      <c r="E46" s="1" t="str">
        <f>IFERROR(__xludf.DUMMYFUNCTION("""COMPUTED_VALUE"""),"บิ๊กซี HyperMarket")</f>
        <v>บิ๊กซี HyperMarket</v>
      </c>
      <c r="F46" s="1" t="str">
        <f>IFERROR(__xludf.DUMMYFUNCTION("""COMPUTED_VALUE"""),"000348")</f>
        <v>000348</v>
      </c>
      <c r="G46" s="1" t="str">
        <f>IFERROR(__xludf.DUMMYFUNCTION("""COMPUTED_VALUE"""),"นายธีรนันท์ ไม้สนธิ์")</f>
        <v>นายธีรนันท์ ไม้สนธิ์</v>
      </c>
      <c r="H46" s="1" t="str">
        <f>IFERROR(__xludf.DUMMYFUNCTION("""COMPUTED_VALUE"""),"000348")</f>
        <v>000348</v>
      </c>
      <c r="I46" s="1" t="str">
        <f>IFERROR(__xludf.DUMMYFUNCTION("""COMPUTED_VALUE"""),"นายธีรนันท์ ไม้สนธิ์")</f>
        <v>นายธีรนันท์ ไม้สนธิ์</v>
      </c>
      <c r="J46" s="3">
        <f>IFERROR(__xludf.DUMMYFUNCTION("""COMPUTED_VALUE"""),348.0)</f>
        <v>348</v>
      </c>
      <c r="K46" s="3" t="str">
        <f>IFERROR(__xludf.DUMMYFUNCTION("""COMPUTED_VALUE"""),"นายธีรนันท์ ไม้สนธิ์")</f>
        <v>นายธีรนันท์ ไม้สนธิ์</v>
      </c>
      <c r="L46" s="1" t="str">
        <f>IFERROR(__xludf.DUMMYFUNCTION("""COMPUTED_VALUE"""),"Hub07-North")</f>
        <v>Hub07-North</v>
      </c>
      <c r="M46" s="1" t="str">
        <f>IFERROR(__xludf.DUMMYFUNCTION("""COMPUTED_VALUE"""),"0614175866")</f>
        <v>0614175866</v>
      </c>
      <c r="N46" s="3">
        <f>IFERROR(__xludf.DUMMYFUNCTION("""COMPUTED_VALUE"""),11146.0)</f>
        <v>11146</v>
      </c>
      <c r="O46" s="3" t="str">
        <f>IFERROR(__xludf.DUMMYFUNCTION("""COMPUTED_VALUE"""),"แพร่")</f>
        <v>แพร่</v>
      </c>
      <c r="P46" s="4">
        <f>IFERROR(__xludf.DUMMYFUNCTION("""COMPUTED_VALUE"""),38847.0)</f>
        <v>38847</v>
      </c>
      <c r="Q46" s="3" t="str">
        <f>IFERROR(__xludf.DUMMYFUNCTION("""COMPUTED_VALUE"""),"A")</f>
        <v>A</v>
      </c>
      <c r="R46" s="3" t="str">
        <f>IFERROR(__xludf.DUMMYFUNCTION("""COMPUTED_VALUE"""),"Big Format")</f>
        <v>Big Format</v>
      </c>
      <c r="S46" s="3" t="str">
        <f>IFERROR(__xludf.DUMMYFUNCTION("""COMPUTED_VALUE"""),"Hyper")</f>
        <v>Hyper</v>
      </c>
      <c r="T46" s="3" t="str">
        <f>IFERROR(__xludf.DUMMYFUNCTION("""COMPUTED_VALUE"""),"Hub07-North")</f>
        <v>Hub07-North</v>
      </c>
      <c r="U46" s="3" t="str">
        <f>IFERROR(__xludf.DUMMYFUNCTION("""COMPUTED_VALUE"""),"Hub07-North")</f>
        <v>Hub07-North</v>
      </c>
      <c r="V46" s="3" t="str">
        <f>IFERROR(__xludf.DUMMYFUNCTION("""COMPUTED_VALUE"""),"N")</f>
        <v>N</v>
      </c>
      <c r="W46" s="3">
        <f>IFERROR(__xludf.DUMMYFUNCTION("""COMPUTED_VALUE"""),111146.0)</f>
        <v>111146</v>
      </c>
      <c r="X46" s="3" t="str">
        <f>IFERROR(__xludf.DUMMYFUNCTION("""COMPUTED_VALUE"""),"600 หมู่ที่ 9 ตำบลนาจักร อำเภอเมืองแพร่ จังหวัดแพร่ 54000")</f>
        <v>600 หมู่ที่ 9 ตำบลนาจักร อำเภอเมืองแพร่ จังหวัดแพร่ 54000</v>
      </c>
      <c r="Y46" s="3"/>
      <c r="Z46" s="3" t="str">
        <f>IFERROR(__xludf.DUMMYFUNCTION("""COMPUTED_VALUE"""),"นาจักร")</f>
        <v>นาจักร</v>
      </c>
      <c r="AA46" s="3" t="str">
        <f>IFERROR(__xludf.DUMMYFUNCTION("""COMPUTED_VALUE"""),"เมือง")</f>
        <v>เมือง</v>
      </c>
      <c r="AB46" s="3" t="str">
        <f>IFERROR(__xludf.DUMMYFUNCTION("""COMPUTED_VALUE"""),"แพร่")</f>
        <v>แพร่</v>
      </c>
      <c r="AC46" s="3">
        <f>IFERROR(__xludf.DUMMYFUNCTION("""COMPUTED_VALUE"""),54000.0)</f>
        <v>54000</v>
      </c>
      <c r="AD46" s="3">
        <f>IFERROR(__xludf.DUMMYFUNCTION("""COMPUTED_VALUE"""),18.1284)</f>
        <v>18.1284</v>
      </c>
      <c r="AE46" s="3">
        <f>IFERROR(__xludf.DUMMYFUNCTION("""COMPUTED_VALUE"""),100.144)</f>
        <v>100.144</v>
      </c>
      <c r="AF46" s="3" t="str">
        <f>IFERROR(__xludf.DUMMYFUNCTION("""COMPUTED_VALUE"""),"แพร่-11146")</f>
        <v>แพร่-11146</v>
      </c>
      <c r="AG46" s="3" t="str">
        <f>IFERROR(__xludf.DUMMYFUNCTION("""COMPUTED_VALUE"""),"เหนือ")</f>
        <v>เหนือ</v>
      </c>
      <c r="AH46" s="3" t="str">
        <f>IFERROR(__xludf.DUMMYFUNCTION("""COMPUTED_VALUE"""),"Wichai Soomboonsod")</f>
        <v>Wichai Soomboonsod</v>
      </c>
      <c r="AI46" s="3" t="str">
        <f>IFERROR(__xludf.DUMMYFUNCTION("""COMPUTED_VALUE"""),"Out of warranty")</f>
        <v>Out of warranty</v>
      </c>
      <c r="AJ46" s="3">
        <f>IFERROR(__xludf.DUMMYFUNCTION("""COMPUTED_VALUE"""),237.0)</f>
        <v>237</v>
      </c>
      <c r="AK46" s="3"/>
      <c r="AL46" s="3" t="str">
        <f>IFERROR(__xludf.DUMMYFUNCTION("""COMPUTED_VALUE"""),"sgm.phrae@bigc.co.th")</f>
        <v>sgm.phrae@bigc.co.th</v>
      </c>
    </row>
    <row r="47" ht="15.75" customHeight="1">
      <c r="A47" s="1" t="str">
        <f>IFERROR(__xludf.DUMMYFUNCTION("""COMPUTED_VALUE"""),"11147")</f>
        <v>11147</v>
      </c>
      <c r="B47" s="2">
        <f>IFERROR(__xludf.DUMMYFUNCTION("""COMPUTED_VALUE"""),11147.0)</f>
        <v>11147</v>
      </c>
      <c r="C47" s="3" t="str">
        <f>IFERROR(__xludf.DUMMYFUNCTION("""COMPUTED_VALUE"""),"ราชบุรี")</f>
        <v>ราชบุรี</v>
      </c>
      <c r="D47" s="3" t="str">
        <f>IFERROR(__xludf.DUMMYFUNCTION("""COMPUTED_VALUE"""),"BIGC RATCHABURI")</f>
        <v>BIGC RATCHABURI</v>
      </c>
      <c r="E47" s="1" t="str">
        <f>IFERROR(__xludf.DUMMYFUNCTION("""COMPUTED_VALUE"""),"บิ๊กซี HyperMarket")</f>
        <v>บิ๊กซี HyperMarket</v>
      </c>
      <c r="F47" s="1" t="str">
        <f>IFERROR(__xludf.DUMMYFUNCTION("""COMPUTED_VALUE"""),"2455179")</f>
        <v>2455179</v>
      </c>
      <c r="G47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47" s="1" t="str">
        <f>IFERROR(__xludf.DUMMYFUNCTION("""COMPUTED_VALUE"""),"2455179")</f>
        <v>2455179</v>
      </c>
      <c r="I47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47" s="3">
        <f>IFERROR(__xludf.DUMMYFUNCTION("""COMPUTED_VALUE"""),2455179.0)</f>
        <v>2455179</v>
      </c>
      <c r="K47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47" s="1" t="str">
        <f>IFERROR(__xludf.DUMMYFUNCTION("""COMPUTED_VALUE"""),"Hub06-C&amp;W")</f>
        <v>Hub06-C&amp;W</v>
      </c>
      <c r="M47" s="1" t="str">
        <f>IFERROR(__xludf.DUMMYFUNCTION("""COMPUTED_VALUE"""),"090-993-6896")</f>
        <v>090-993-6896</v>
      </c>
      <c r="N47" s="3">
        <f>IFERROR(__xludf.DUMMYFUNCTION("""COMPUTED_VALUE"""),11147.0)</f>
        <v>11147</v>
      </c>
      <c r="O47" s="3" t="str">
        <f>IFERROR(__xludf.DUMMYFUNCTION("""COMPUTED_VALUE"""),"ราชบุรี")</f>
        <v>ราชบุรี</v>
      </c>
      <c r="P47" s="4">
        <f>IFERROR(__xludf.DUMMYFUNCTION("""COMPUTED_VALUE"""),38874.0)</f>
        <v>38874</v>
      </c>
      <c r="Q47" s="3" t="str">
        <f>IFERROR(__xludf.DUMMYFUNCTION("""COMPUTED_VALUE"""),"A")</f>
        <v>A</v>
      </c>
      <c r="R47" s="3" t="str">
        <f>IFERROR(__xludf.DUMMYFUNCTION("""COMPUTED_VALUE"""),"Big Format")</f>
        <v>Big Format</v>
      </c>
      <c r="S47" s="3" t="str">
        <f>IFERROR(__xludf.DUMMYFUNCTION("""COMPUTED_VALUE"""),"Hyper")</f>
        <v>Hyper</v>
      </c>
      <c r="T47" s="3" t="str">
        <f>IFERROR(__xludf.DUMMYFUNCTION("""COMPUTED_VALUE"""),"Hub06-C&amp;W")</f>
        <v>Hub06-C&amp;W</v>
      </c>
      <c r="U47" s="3" t="str">
        <f>IFERROR(__xludf.DUMMYFUNCTION("""COMPUTED_VALUE"""),"Hub06-C&amp;W")</f>
        <v>Hub06-C&amp;W</v>
      </c>
      <c r="V47" s="3" t="str">
        <f>IFERROR(__xludf.DUMMYFUNCTION("""COMPUTED_VALUE"""),"N")</f>
        <v>N</v>
      </c>
      <c r="W47" s="3">
        <f>IFERROR(__xludf.DUMMYFUNCTION("""COMPUTED_VALUE"""),111147.0)</f>
        <v>111147</v>
      </c>
      <c r="X47" s="3" t="str">
        <f>IFERROR(__xludf.DUMMYFUNCTION("""COMPUTED_VALUE"""),"534 หมู่ที่ 1 ตำบลโคกหม้อ อำเภอเมืองราชบุรี จังหวัดราชบุรี 70000")</f>
        <v>534 หมู่ที่ 1 ตำบลโคกหม้อ อำเภอเมืองราชบุรี จังหวัดราชบุรี 70000</v>
      </c>
      <c r="Y47" s="3"/>
      <c r="Z47" s="3" t="str">
        <f>IFERROR(__xludf.DUMMYFUNCTION("""COMPUTED_VALUE"""),"โคกหม้อ")</f>
        <v>โคกหม้อ</v>
      </c>
      <c r="AA47" s="3" t="str">
        <f>IFERROR(__xludf.DUMMYFUNCTION("""COMPUTED_VALUE"""),"เมือง")</f>
        <v>เมือง</v>
      </c>
      <c r="AB47" s="3" t="str">
        <f>IFERROR(__xludf.DUMMYFUNCTION("""COMPUTED_VALUE"""),"ราชบุรี")</f>
        <v>ราชบุรี</v>
      </c>
      <c r="AC47" s="3">
        <f>IFERROR(__xludf.DUMMYFUNCTION("""COMPUTED_VALUE"""),70000.0)</f>
        <v>70000</v>
      </c>
      <c r="AD47" s="3">
        <f>IFERROR(__xludf.DUMMYFUNCTION("""COMPUTED_VALUE"""),13.5506)</f>
        <v>13.5506</v>
      </c>
      <c r="AE47" s="3">
        <f>IFERROR(__xludf.DUMMYFUNCTION("""COMPUTED_VALUE"""),99.8231)</f>
        <v>99.8231</v>
      </c>
      <c r="AF47" s="3" t="str">
        <f>IFERROR(__xludf.DUMMYFUNCTION("""COMPUTED_VALUE"""),"ราชบุรี-11147")</f>
        <v>ราชบุรี-11147</v>
      </c>
      <c r="AG47" s="3" t="str">
        <f>IFERROR(__xludf.DUMMYFUNCTION("""COMPUTED_VALUE"""),"ตะวันตก")</f>
        <v>ตะวันตก</v>
      </c>
      <c r="AH47" s="3" t="str">
        <f>IFERROR(__xludf.DUMMYFUNCTION("""COMPUTED_VALUE"""),"Wichian Nasungnoen")</f>
        <v>Wichian Nasungnoen</v>
      </c>
      <c r="AI47" s="3" t="str">
        <f>IFERROR(__xludf.DUMMYFUNCTION("""COMPUTED_VALUE"""),"Out of warranty")</f>
        <v>Out of warranty</v>
      </c>
      <c r="AJ47" s="3">
        <f>IFERROR(__xludf.DUMMYFUNCTION("""COMPUTED_VALUE"""),236.0)</f>
        <v>236</v>
      </c>
      <c r="AK47" s="3"/>
      <c r="AL47" s="3" t="str">
        <f>IFERROR(__xludf.DUMMYFUNCTION("""COMPUTED_VALUE"""),"sgm.ratchaburi@bigc.co.th")</f>
        <v>sgm.ratchaburi@bigc.co.th</v>
      </c>
    </row>
    <row r="48" ht="15.75" customHeight="1">
      <c r="A48" s="1" t="str">
        <f>IFERROR(__xludf.DUMMYFUNCTION("""COMPUTED_VALUE"""),"11148")</f>
        <v>11148</v>
      </c>
      <c r="B48" s="2">
        <f>IFERROR(__xludf.DUMMYFUNCTION("""COMPUTED_VALUE"""),11148.0)</f>
        <v>11148</v>
      </c>
      <c r="C48" s="3" t="str">
        <f>IFERROR(__xludf.DUMMYFUNCTION("""COMPUTED_VALUE"""),"ลำลูกกา")</f>
        <v>ลำลูกกา</v>
      </c>
      <c r="D48" s="3" t="str">
        <f>IFERROR(__xludf.DUMMYFUNCTION("""COMPUTED_VALUE"""),"BIGC LAMLUKKA")</f>
        <v>BIGC LAMLUKKA</v>
      </c>
      <c r="E48" s="1" t="str">
        <f>IFERROR(__xludf.DUMMYFUNCTION("""COMPUTED_VALUE"""),"บิ๊กซี HyperMarket")</f>
        <v>บิ๊กซี HyperMarket</v>
      </c>
      <c r="F48" s="1" t="str">
        <f>IFERROR(__xludf.DUMMYFUNCTION("""COMPUTED_VALUE"""),"2454813")</f>
        <v>2454813</v>
      </c>
      <c r="G48" s="1" t="str">
        <f>IFERROR(__xludf.DUMMYFUNCTION("""COMPUTED_VALUE"""),"นายอนุรักษ์ จั่นเที่ยง")</f>
        <v>นายอนุรักษ์ จั่นเที่ยง</v>
      </c>
      <c r="H48" s="1" t="str">
        <f>IFERROR(__xludf.DUMMYFUNCTION("""COMPUTED_VALUE"""),"2454813")</f>
        <v>2454813</v>
      </c>
      <c r="I48" s="1" t="str">
        <f>IFERROR(__xludf.DUMMYFUNCTION("""COMPUTED_VALUE"""),"นายอนุรักษ์ จั่นเที่ยง")</f>
        <v>นายอนุรักษ์ จั่นเที่ยง</v>
      </c>
      <c r="J48" s="3">
        <f>IFERROR(__xludf.DUMMYFUNCTION("""COMPUTED_VALUE"""),2454813.0)</f>
        <v>2454813</v>
      </c>
      <c r="K48" s="3" t="str">
        <f>IFERROR(__xludf.DUMMYFUNCTION("""COMPUTED_VALUE"""),"นายอนุรักษ์ จั่นเที่ยง")</f>
        <v>นายอนุรักษ์ จั่นเที่ยง</v>
      </c>
      <c r="L48" s="1" t="str">
        <f>IFERROR(__xludf.DUMMYFUNCTION("""COMPUTED_VALUE"""),"Hub04-BKK 4")</f>
        <v>Hub04-BKK 4</v>
      </c>
      <c r="M48" s="1" t="str">
        <f>IFERROR(__xludf.DUMMYFUNCTION("""COMPUTED_VALUE"""),"0991964531")</f>
        <v>0991964531</v>
      </c>
      <c r="N48" s="3">
        <f>IFERROR(__xludf.DUMMYFUNCTION("""COMPUTED_VALUE"""),11148.0)</f>
        <v>11148</v>
      </c>
      <c r="O48" s="3" t="str">
        <f>IFERROR(__xludf.DUMMYFUNCTION("""COMPUTED_VALUE"""),"ลำลูกกา")</f>
        <v>ลำลูกกา</v>
      </c>
      <c r="P48" s="4">
        <f>IFERROR(__xludf.DUMMYFUNCTION("""COMPUTED_VALUE"""),39006.0)</f>
        <v>39006</v>
      </c>
      <c r="Q48" s="3" t="str">
        <f>IFERROR(__xludf.DUMMYFUNCTION("""COMPUTED_VALUE"""),"A")</f>
        <v>A</v>
      </c>
      <c r="R48" s="3" t="str">
        <f>IFERROR(__xludf.DUMMYFUNCTION("""COMPUTED_VALUE"""),"Big Format")</f>
        <v>Big Format</v>
      </c>
      <c r="S48" s="3" t="str">
        <f>IFERROR(__xludf.DUMMYFUNCTION("""COMPUTED_VALUE"""),"Hyper")</f>
        <v>Hyper</v>
      </c>
      <c r="T48" s="3" t="str">
        <f>IFERROR(__xludf.DUMMYFUNCTION("""COMPUTED_VALUE"""),"Hub04-BKK 4")</f>
        <v>Hub04-BKK 4</v>
      </c>
      <c r="U48" s="3" t="str">
        <f>IFERROR(__xludf.DUMMYFUNCTION("""COMPUTED_VALUE"""),"Hub04-BKK 4")</f>
        <v>Hub04-BKK 4</v>
      </c>
      <c r="V48" s="3" t="str">
        <f>IFERROR(__xludf.DUMMYFUNCTION("""COMPUTED_VALUE"""),"N")</f>
        <v>N</v>
      </c>
      <c r="W48" s="3">
        <f>IFERROR(__xludf.DUMMYFUNCTION("""COMPUTED_VALUE"""),111148.0)</f>
        <v>111148</v>
      </c>
      <c r="X48" s="3" t="str">
        <f>IFERROR(__xludf.DUMMYFUNCTION("""COMPUTED_VALUE"""),"10 หมู่ที่ 12 ตำบลบึงคำพร้อย อำเภอลำลูกกา จังหวัดปทุมธานี 12150")</f>
        <v>10 หมู่ที่ 12 ตำบลบึงคำพร้อย อำเภอลำลูกกา จังหวัดปทุมธานี 12150</v>
      </c>
      <c r="Y48" s="3"/>
      <c r="Z48" s="3" t="str">
        <f>IFERROR(__xludf.DUMMYFUNCTION("""COMPUTED_VALUE"""),"บึงคำพร้อย")</f>
        <v>บึงคำพร้อย</v>
      </c>
      <c r="AA48" s="3" t="str">
        <f>IFERROR(__xludf.DUMMYFUNCTION("""COMPUTED_VALUE"""),"ลำลูกกา")</f>
        <v>ลำลูกกา</v>
      </c>
      <c r="AB48" s="3" t="str">
        <f>IFERROR(__xludf.DUMMYFUNCTION("""COMPUTED_VALUE"""),"ปทุมธานี")</f>
        <v>ปทุมธานี</v>
      </c>
      <c r="AC48" s="3">
        <f>IFERROR(__xludf.DUMMYFUNCTION("""COMPUTED_VALUE"""),12150.0)</f>
        <v>12150</v>
      </c>
      <c r="AD48" s="3">
        <f>IFERROR(__xludf.DUMMYFUNCTION("""COMPUTED_VALUE"""),13.934634)</f>
        <v>13.934634</v>
      </c>
      <c r="AE48" s="3">
        <f>IFERROR(__xludf.DUMMYFUNCTION("""COMPUTED_VALUE"""),100.714295)</f>
        <v>100.714295</v>
      </c>
      <c r="AF48" s="3" t="str">
        <f>IFERROR(__xludf.DUMMYFUNCTION("""COMPUTED_VALUE"""),"ลำลูกกา-11148")</f>
        <v>ลำลูกกา-11148</v>
      </c>
      <c r="AG48" s="3" t="str">
        <f>IFERROR(__xludf.DUMMYFUNCTION("""COMPUTED_VALUE"""),"กลาง")</f>
        <v>กลาง</v>
      </c>
      <c r="AH48" s="3" t="str">
        <f>IFERROR(__xludf.DUMMYFUNCTION("""COMPUTED_VALUE"""),"Natsarine Seammai")</f>
        <v>Natsarine Seammai</v>
      </c>
      <c r="AI48" s="3" t="str">
        <f>IFERROR(__xludf.DUMMYFUNCTION("""COMPUTED_VALUE"""),"Out of warranty")</f>
        <v>Out of warranty</v>
      </c>
      <c r="AJ48" s="3">
        <f>IFERROR(__xludf.DUMMYFUNCTION("""COMPUTED_VALUE"""),232.0)</f>
        <v>232</v>
      </c>
      <c r="AK48" s="3"/>
      <c r="AL48" s="3" t="str">
        <f>IFERROR(__xludf.DUMMYFUNCTION("""COMPUTED_VALUE"""),"sgm.lamlukka@bigc.co.th")</f>
        <v>sgm.lamlukka@bigc.co.th</v>
      </c>
    </row>
    <row r="49" ht="15.75" customHeight="1">
      <c r="A49" s="1" t="str">
        <f>IFERROR(__xludf.DUMMYFUNCTION("""COMPUTED_VALUE"""),"11149")</f>
        <v>11149</v>
      </c>
      <c r="B49" s="2">
        <f>IFERROR(__xludf.DUMMYFUNCTION("""COMPUTED_VALUE"""),11149.0)</f>
        <v>11149</v>
      </c>
      <c r="C49" s="3" t="str">
        <f>IFERROR(__xludf.DUMMYFUNCTION("""COMPUTED_VALUE"""),"ปราจีนบุรี")</f>
        <v>ปราจีนบุรี</v>
      </c>
      <c r="D49" s="3" t="str">
        <f>IFERROR(__xludf.DUMMYFUNCTION("""COMPUTED_VALUE"""),"BIGC PRACHINBURI")</f>
        <v>BIGC PRACHINBURI</v>
      </c>
      <c r="E49" s="1" t="str">
        <f>IFERROR(__xludf.DUMMYFUNCTION("""COMPUTED_VALUE"""),"บิ๊กซี Market")</f>
        <v>บิ๊กซี Market</v>
      </c>
      <c r="F49" s="1" t="str">
        <f>IFERROR(__xludf.DUMMYFUNCTION("""COMPUTED_VALUE"""),"13461215")</f>
        <v>13461215</v>
      </c>
      <c r="G49" s="1" t="str">
        <f>IFERROR(__xludf.DUMMYFUNCTION("""COMPUTED_VALUE"""),"นายธีรภัทร สังข์เงิน")</f>
        <v>นายธีรภัทร สังข์เงิน</v>
      </c>
      <c r="H49" s="1" t="str">
        <f>IFERROR(__xludf.DUMMYFUNCTION("""COMPUTED_VALUE"""),"13461215")</f>
        <v>13461215</v>
      </c>
      <c r="I49" s="1" t="str">
        <f>IFERROR(__xludf.DUMMYFUNCTION("""COMPUTED_VALUE"""),"นายธีรภัทร สังข์เงิน")</f>
        <v>นายธีรภัทร สังข์เงิน</v>
      </c>
      <c r="J49" s="3">
        <f>IFERROR(__xludf.DUMMYFUNCTION("""COMPUTED_VALUE"""),1.3461215E7)</f>
        <v>13461215</v>
      </c>
      <c r="K49" s="3" t="str">
        <f>IFERROR(__xludf.DUMMYFUNCTION("""COMPUTED_VALUE"""),"นายธีรภัทร สังข์เงิน")</f>
        <v>นายธีรภัทร สังข์เงิน</v>
      </c>
      <c r="L49" s="1" t="str">
        <f>IFERROR(__xludf.DUMMYFUNCTION("""COMPUTED_VALUE"""),"06 K.Teerapat")</f>
        <v>06 K.Teerapat</v>
      </c>
      <c r="M49" s="1" t="str">
        <f>IFERROR(__xludf.DUMMYFUNCTION("""COMPUTED_VALUE"""),"063-601-6803")</f>
        <v>063-601-6803</v>
      </c>
      <c r="N49" s="3">
        <f>IFERROR(__xludf.DUMMYFUNCTION("""COMPUTED_VALUE"""),11149.0)</f>
        <v>11149</v>
      </c>
      <c r="O49" s="3" t="str">
        <f>IFERROR(__xludf.DUMMYFUNCTION("""COMPUTED_VALUE"""),"ปราจีนบุรี")</f>
        <v>ปราจีนบุรี</v>
      </c>
      <c r="P49" s="4">
        <f>IFERROR(__xludf.DUMMYFUNCTION("""COMPUTED_VALUE"""),39065.0)</f>
        <v>39065</v>
      </c>
      <c r="Q49" s="3" t="str">
        <f>IFERROR(__xludf.DUMMYFUNCTION("""COMPUTED_VALUE"""),"I")</f>
        <v>I</v>
      </c>
      <c r="R49" s="3" t="str">
        <f>IFERROR(__xludf.DUMMYFUNCTION("""COMPUTED_VALUE"""),"Big Format")</f>
        <v>Big Format</v>
      </c>
      <c r="S49" s="3" t="str">
        <f>IFERROR(__xludf.DUMMYFUNCTION("""COMPUTED_VALUE"""),"BMK")</f>
        <v>BMK</v>
      </c>
      <c r="T49" s="3" t="str">
        <f>IFERROR(__xludf.DUMMYFUNCTION("""COMPUTED_VALUE"""),"06 K.Teerapat")</f>
        <v>06 K.Teerapat</v>
      </c>
      <c r="U49" s="3" t="str">
        <f>IFERROR(__xludf.DUMMYFUNCTION("""COMPUTED_VALUE"""),"06 K.Teerapat")</f>
        <v>06 K.Teerapat</v>
      </c>
      <c r="V49" s="3" t="str">
        <f>IFERROR(__xludf.DUMMYFUNCTION("""COMPUTED_VALUE"""),"N")</f>
        <v>N</v>
      </c>
      <c r="W49" s="3">
        <f>IFERROR(__xludf.DUMMYFUNCTION("""COMPUTED_VALUE"""),111149.0)</f>
        <v>111149</v>
      </c>
      <c r="X49" s="3" t="str">
        <f>IFERROR(__xludf.DUMMYFUNCTION("""COMPUTED_VALUE"""),"630/1 ถนนราษฎรดำริ ตำบลหน้าเมือง อำเภอเมืองปราจีนบุรี จังหวัดปราจีนบุรี 25000")</f>
        <v>630/1 ถนนราษฎรดำริ ตำบลหน้าเมือง อำเภอเมืองปราจีนบุรี จังหวัดปราจีนบุรี 25000</v>
      </c>
      <c r="Y49" s="3" t="str">
        <f>IFERROR(__xludf.DUMMYFUNCTION("""COMPUTED_VALUE"""),"ถนนราษฎรดำริ")</f>
        <v>ถนนราษฎรดำริ</v>
      </c>
      <c r="Z49" s="3" t="str">
        <f>IFERROR(__xludf.DUMMYFUNCTION("""COMPUTED_VALUE"""),"หน้าเมือง")</f>
        <v>หน้าเมือง</v>
      </c>
      <c r="AA49" s="3" t="str">
        <f>IFERROR(__xludf.DUMMYFUNCTION("""COMPUTED_VALUE"""),"เมือง")</f>
        <v>เมือง</v>
      </c>
      <c r="AB49" s="3" t="str">
        <f>IFERROR(__xludf.DUMMYFUNCTION("""COMPUTED_VALUE"""),"ปราจีนบุรี")</f>
        <v>ปราจีนบุรี</v>
      </c>
      <c r="AC49" s="3">
        <f>IFERROR(__xludf.DUMMYFUNCTION("""COMPUTED_VALUE"""),25000.0)</f>
        <v>25000</v>
      </c>
      <c r="AD49" s="3">
        <f>IFERROR(__xludf.DUMMYFUNCTION("""COMPUTED_VALUE"""),14.06972061)</f>
        <v>14.06972061</v>
      </c>
      <c r="AE49" s="3">
        <f>IFERROR(__xludf.DUMMYFUNCTION("""COMPUTED_VALUE"""),101.3744465)</f>
        <v>101.3744465</v>
      </c>
      <c r="AF49" s="3" t="str">
        <f>IFERROR(__xludf.DUMMYFUNCTION("""COMPUTED_VALUE"""),"ปราจีนบุรี-11149")</f>
        <v>ปราจีนบุรี-11149</v>
      </c>
      <c r="AG49" s="3" t="str">
        <f>IFERROR(__xludf.DUMMYFUNCTION("""COMPUTED_VALUE"""),"ตะวันออก")</f>
        <v>ตะวันออก</v>
      </c>
      <c r="AH49" s="3" t="str">
        <f>IFERROR(__xludf.DUMMYFUNCTION("""COMPUTED_VALUE"""),"#N/A")</f>
        <v>#N/A</v>
      </c>
      <c r="AI49" s="3" t="str">
        <f>IFERROR(__xludf.DUMMYFUNCTION("""COMPUTED_VALUE"""),"Out of warranty")</f>
        <v>Out of warranty</v>
      </c>
      <c r="AJ49" s="3">
        <f>IFERROR(__xludf.DUMMYFUNCTION("""COMPUTED_VALUE"""),230.0)</f>
        <v>230</v>
      </c>
      <c r="AK49" s="3"/>
      <c r="AL49" s="3" t="str">
        <f>IFERROR(__xludf.DUMMYFUNCTION("""COMPUTED_VALUE"""),"#N/A")</f>
        <v>#N/A</v>
      </c>
    </row>
    <row r="50" ht="15.75" customHeight="1">
      <c r="A50" s="1" t="str">
        <f>IFERROR(__xludf.DUMMYFUNCTION("""COMPUTED_VALUE"""),"11150")</f>
        <v>11150</v>
      </c>
      <c r="B50" s="2">
        <f>IFERROR(__xludf.DUMMYFUNCTION("""COMPUTED_VALUE"""),11150.0)</f>
        <v>11150</v>
      </c>
      <c r="C50" s="3" t="str">
        <f>IFERROR(__xludf.DUMMYFUNCTION("""COMPUTED_VALUE"""),"ลำพูน")</f>
        <v>ลำพูน</v>
      </c>
      <c r="D50" s="3" t="str">
        <f>IFERROR(__xludf.DUMMYFUNCTION("""COMPUTED_VALUE"""),"BIGC LAMPHUN")</f>
        <v>BIGC LAMPHUN</v>
      </c>
      <c r="E50" s="1" t="str">
        <f>IFERROR(__xludf.DUMMYFUNCTION("""COMPUTED_VALUE"""),"บิ๊กซี HyperMarket")</f>
        <v>บิ๊กซี HyperMarket</v>
      </c>
      <c r="F50" s="1" t="str">
        <f>IFERROR(__xludf.DUMMYFUNCTION("""COMPUTED_VALUE"""),"000348")</f>
        <v>000348</v>
      </c>
      <c r="G50" s="1" t="str">
        <f>IFERROR(__xludf.DUMMYFUNCTION("""COMPUTED_VALUE"""),"นายธีรนันท์ ไม้สนธิ์")</f>
        <v>นายธีรนันท์ ไม้สนธิ์</v>
      </c>
      <c r="H50" s="1" t="str">
        <f>IFERROR(__xludf.DUMMYFUNCTION("""COMPUTED_VALUE"""),"000348")</f>
        <v>000348</v>
      </c>
      <c r="I50" s="1" t="str">
        <f>IFERROR(__xludf.DUMMYFUNCTION("""COMPUTED_VALUE"""),"นายธีรนันท์ ไม้สนธิ์")</f>
        <v>นายธีรนันท์ ไม้สนธิ์</v>
      </c>
      <c r="J50" s="3">
        <f>IFERROR(__xludf.DUMMYFUNCTION("""COMPUTED_VALUE"""),348.0)</f>
        <v>348</v>
      </c>
      <c r="K50" s="3" t="str">
        <f>IFERROR(__xludf.DUMMYFUNCTION("""COMPUTED_VALUE"""),"นายธีรนันท์ ไม้สนธิ์")</f>
        <v>นายธีรนันท์ ไม้สนธิ์</v>
      </c>
      <c r="L50" s="1" t="str">
        <f>IFERROR(__xludf.DUMMYFUNCTION("""COMPUTED_VALUE"""),"Hub07-North")</f>
        <v>Hub07-North</v>
      </c>
      <c r="M50" s="1" t="str">
        <f>IFERROR(__xludf.DUMMYFUNCTION("""COMPUTED_VALUE"""),"0614175866")</f>
        <v>0614175866</v>
      </c>
      <c r="N50" s="3">
        <f>IFERROR(__xludf.DUMMYFUNCTION("""COMPUTED_VALUE"""),11150.0)</f>
        <v>11150</v>
      </c>
      <c r="O50" s="3" t="str">
        <f>IFERROR(__xludf.DUMMYFUNCTION("""COMPUTED_VALUE"""),"ลำพูน")</f>
        <v>ลำพูน</v>
      </c>
      <c r="P50" s="4">
        <f>IFERROR(__xludf.DUMMYFUNCTION("""COMPUTED_VALUE"""),39204.0)</f>
        <v>39204</v>
      </c>
      <c r="Q50" s="3" t="str">
        <f>IFERROR(__xludf.DUMMYFUNCTION("""COMPUTED_VALUE"""),"A")</f>
        <v>A</v>
      </c>
      <c r="R50" s="3" t="str">
        <f>IFERROR(__xludf.DUMMYFUNCTION("""COMPUTED_VALUE"""),"Big Format")</f>
        <v>Big Format</v>
      </c>
      <c r="S50" s="3" t="str">
        <f>IFERROR(__xludf.DUMMYFUNCTION("""COMPUTED_VALUE"""),"Hyper")</f>
        <v>Hyper</v>
      </c>
      <c r="T50" s="3" t="str">
        <f>IFERROR(__xludf.DUMMYFUNCTION("""COMPUTED_VALUE"""),"Hub07-North")</f>
        <v>Hub07-North</v>
      </c>
      <c r="U50" s="3" t="str">
        <f>IFERROR(__xludf.DUMMYFUNCTION("""COMPUTED_VALUE"""),"Hub07-North")</f>
        <v>Hub07-North</v>
      </c>
      <c r="V50" s="3" t="str">
        <f>IFERROR(__xludf.DUMMYFUNCTION("""COMPUTED_VALUE"""),"N")</f>
        <v>N</v>
      </c>
      <c r="W50" s="3">
        <f>IFERROR(__xludf.DUMMYFUNCTION("""COMPUTED_VALUE"""),111150.0)</f>
        <v>111150</v>
      </c>
      <c r="X50" s="3" t="str">
        <f>IFERROR(__xludf.DUMMYFUNCTION("""COMPUTED_VALUE"""),"200 หมู่ที่ 4 ตำบลบ้านกลาง อำเภอเมืองลำพูน จังหวัดลำพูน 51000")</f>
        <v>200 หมู่ที่ 4 ตำบลบ้านกลาง อำเภอเมืองลำพูน จังหวัดลำพูน 51000</v>
      </c>
      <c r="Y50" s="3"/>
      <c r="Z50" s="3" t="str">
        <f>IFERROR(__xludf.DUMMYFUNCTION("""COMPUTED_VALUE"""),"บ้านกลาง")</f>
        <v>บ้านกลาง</v>
      </c>
      <c r="AA50" s="3" t="str">
        <f>IFERROR(__xludf.DUMMYFUNCTION("""COMPUTED_VALUE"""),"เมือง")</f>
        <v>เมือง</v>
      </c>
      <c r="AB50" s="3" t="str">
        <f>IFERROR(__xludf.DUMMYFUNCTION("""COMPUTED_VALUE"""),"ลำพูน")</f>
        <v>ลำพูน</v>
      </c>
      <c r="AC50" s="3">
        <f>IFERROR(__xludf.DUMMYFUNCTION("""COMPUTED_VALUE"""),51000.0)</f>
        <v>51000</v>
      </c>
      <c r="AD50" s="3">
        <f>IFERROR(__xludf.DUMMYFUNCTION("""COMPUTED_VALUE"""),18.591)</f>
        <v>18.591</v>
      </c>
      <c r="AE50" s="3">
        <f>IFERROR(__xludf.DUMMYFUNCTION("""COMPUTED_VALUE"""),99.0412)</f>
        <v>99.0412</v>
      </c>
      <c r="AF50" s="3" t="str">
        <f>IFERROR(__xludf.DUMMYFUNCTION("""COMPUTED_VALUE"""),"ลำพูน-11150")</f>
        <v>ลำพูน-11150</v>
      </c>
      <c r="AG50" s="3" t="str">
        <f>IFERROR(__xludf.DUMMYFUNCTION("""COMPUTED_VALUE"""),"เหนือ")</f>
        <v>เหนือ</v>
      </c>
      <c r="AH50" s="3" t="str">
        <f>IFERROR(__xludf.DUMMYFUNCTION("""COMPUTED_VALUE"""),"Wichai Soomboonsod")</f>
        <v>Wichai Soomboonsod</v>
      </c>
      <c r="AI50" s="3" t="str">
        <f>IFERROR(__xludf.DUMMYFUNCTION("""COMPUTED_VALUE"""),"Out of warranty")</f>
        <v>Out of warranty</v>
      </c>
      <c r="AJ50" s="3">
        <f>IFERROR(__xludf.DUMMYFUNCTION("""COMPUTED_VALUE"""),225.0)</f>
        <v>225</v>
      </c>
      <c r="AK50" s="3"/>
      <c r="AL50" s="3" t="str">
        <f>IFERROR(__xludf.DUMMYFUNCTION("""COMPUTED_VALUE"""),"sgm.lamphun@bigc.co.th")</f>
        <v>sgm.lamphun@bigc.co.th</v>
      </c>
    </row>
    <row r="51" ht="15.75" customHeight="1">
      <c r="A51" s="1" t="str">
        <f>IFERROR(__xludf.DUMMYFUNCTION("""COMPUTED_VALUE"""),"11151")</f>
        <v>11151</v>
      </c>
      <c r="B51" s="2">
        <f>IFERROR(__xludf.DUMMYFUNCTION("""COMPUTED_VALUE"""),11151.0)</f>
        <v>11151</v>
      </c>
      <c r="C51" s="3" t="str">
        <f>IFERROR(__xludf.DUMMYFUNCTION("""COMPUTED_VALUE"""),"สมุย")</f>
        <v>สมุย</v>
      </c>
      <c r="D51" s="3" t="str">
        <f>IFERROR(__xludf.DUMMYFUNCTION("""COMPUTED_VALUE"""),"BIGC SAMUI")</f>
        <v>BIGC SAMUI</v>
      </c>
      <c r="E51" s="1" t="str">
        <f>IFERROR(__xludf.DUMMYFUNCTION("""COMPUTED_VALUE"""),"บิ๊กซี HyperMarket")</f>
        <v>บิ๊กซี HyperMarket</v>
      </c>
      <c r="F51" s="1" t="str">
        <f>IFERROR(__xludf.DUMMYFUNCTION("""COMPUTED_VALUE"""),"2454709")</f>
        <v>2454709</v>
      </c>
      <c r="G51" s="1" t="str">
        <f>IFERROR(__xludf.DUMMYFUNCTION("""COMPUTED_VALUE"""),"นายประชา เกตุชาติ")</f>
        <v>นายประชา เกตุชาติ</v>
      </c>
      <c r="H51" s="1" t="str">
        <f>IFERROR(__xludf.DUMMYFUNCTION("""COMPUTED_VALUE"""),"2454709")</f>
        <v>2454709</v>
      </c>
      <c r="I51" s="1" t="str">
        <f>IFERROR(__xludf.DUMMYFUNCTION("""COMPUTED_VALUE"""),"นายประชา เกตุชาติ")</f>
        <v>นายประชา เกตุชาติ</v>
      </c>
      <c r="J51" s="3">
        <f>IFERROR(__xludf.DUMMYFUNCTION("""COMPUTED_VALUE"""),2454709.0)</f>
        <v>2454709</v>
      </c>
      <c r="K51" s="3" t="str">
        <f>IFERROR(__xludf.DUMMYFUNCTION("""COMPUTED_VALUE"""),"นายประชา เกตุชาติ")</f>
        <v>นายประชา เกตุชาติ</v>
      </c>
      <c r="L51" s="1" t="str">
        <f>IFERROR(__xludf.DUMMYFUNCTION("""COMPUTED_VALUE"""),"Hub05-South")</f>
        <v>Hub05-South</v>
      </c>
      <c r="M51" s="1" t="str">
        <f>IFERROR(__xludf.DUMMYFUNCTION("""COMPUTED_VALUE"""),"0659291311")</f>
        <v>0659291311</v>
      </c>
      <c r="N51" s="3">
        <f>IFERROR(__xludf.DUMMYFUNCTION("""COMPUTED_VALUE"""),11151.0)</f>
        <v>11151</v>
      </c>
      <c r="O51" s="3" t="str">
        <f>IFERROR(__xludf.DUMMYFUNCTION("""COMPUTED_VALUE"""),"สมุย")</f>
        <v>สมุย</v>
      </c>
      <c r="P51" s="4">
        <f>IFERROR(__xludf.DUMMYFUNCTION("""COMPUTED_VALUE"""),39330.0)</f>
        <v>39330</v>
      </c>
      <c r="Q51" s="3" t="str">
        <f>IFERROR(__xludf.DUMMYFUNCTION("""COMPUTED_VALUE"""),"A")</f>
        <v>A</v>
      </c>
      <c r="R51" s="3" t="str">
        <f>IFERROR(__xludf.DUMMYFUNCTION("""COMPUTED_VALUE"""),"Big Format")</f>
        <v>Big Format</v>
      </c>
      <c r="S51" s="3" t="str">
        <f>IFERROR(__xludf.DUMMYFUNCTION("""COMPUTED_VALUE"""),"Hyper")</f>
        <v>Hyper</v>
      </c>
      <c r="T51" s="3" t="str">
        <f>IFERROR(__xludf.DUMMYFUNCTION("""COMPUTED_VALUE"""),"Hub05-South")</f>
        <v>Hub05-South</v>
      </c>
      <c r="U51" s="3" t="str">
        <f>IFERROR(__xludf.DUMMYFUNCTION("""COMPUTED_VALUE"""),"Hub05-South")</f>
        <v>Hub05-South</v>
      </c>
      <c r="V51" s="3" t="str">
        <f>IFERROR(__xludf.DUMMYFUNCTION("""COMPUTED_VALUE"""),"N")</f>
        <v>N</v>
      </c>
      <c r="W51" s="3">
        <f>IFERROR(__xludf.DUMMYFUNCTION("""COMPUTED_VALUE"""),111151.0)</f>
        <v>111151</v>
      </c>
      <c r="X51" s="3" t="str">
        <f>IFERROR(__xludf.DUMMYFUNCTION("""COMPUTED_VALUE"""),"129/19 หมู่ที่ 1 ตำบลบ่อผุด อำเภอเกาะสมุย จังหวัดสุราษฎร์ธานี 84320")</f>
        <v>129/19 หมู่ที่ 1 ตำบลบ่อผุด อำเภอเกาะสมุย จังหวัดสุราษฎร์ธานี 84320</v>
      </c>
      <c r="Y51" s="3"/>
      <c r="Z51" s="3" t="str">
        <f>IFERROR(__xludf.DUMMYFUNCTION("""COMPUTED_VALUE"""),"บ่อผุด")</f>
        <v>บ่อผุด</v>
      </c>
      <c r="AA51" s="3" t="str">
        <f>IFERROR(__xludf.DUMMYFUNCTION("""COMPUTED_VALUE"""),"เกาะสมุย")</f>
        <v>เกาะสมุย</v>
      </c>
      <c r="AB51" s="3" t="str">
        <f>IFERROR(__xludf.DUMMYFUNCTION("""COMPUTED_VALUE"""),"สุราษฎร์ธานี")</f>
        <v>สุราษฎร์ธานี</v>
      </c>
      <c r="AC51" s="3">
        <f>IFERROR(__xludf.DUMMYFUNCTION("""COMPUTED_VALUE"""),84320.0)</f>
        <v>84320</v>
      </c>
      <c r="AD51" s="3">
        <f>IFERROR(__xludf.DUMMYFUNCTION("""COMPUTED_VALUE"""),9.55202)</f>
        <v>9.55202</v>
      </c>
      <c r="AE51" s="3">
        <f>IFERROR(__xludf.DUMMYFUNCTION("""COMPUTED_VALUE"""),100.035)</f>
        <v>100.035</v>
      </c>
      <c r="AF51" s="3" t="str">
        <f>IFERROR(__xludf.DUMMYFUNCTION("""COMPUTED_VALUE"""),"สมุย-11151")</f>
        <v>สมุย-11151</v>
      </c>
      <c r="AG51" s="3" t="str">
        <f>IFERROR(__xludf.DUMMYFUNCTION("""COMPUTED_VALUE"""),"ใต้")</f>
        <v>ใต้</v>
      </c>
      <c r="AH51" s="3" t="str">
        <f>IFERROR(__xludf.DUMMYFUNCTION("""COMPUTED_VALUE"""),"Suwadee Intachart")</f>
        <v>Suwadee Intachart</v>
      </c>
      <c r="AI51" s="3" t="str">
        <f>IFERROR(__xludf.DUMMYFUNCTION("""COMPUTED_VALUE"""),"Out of warranty")</f>
        <v>Out of warranty</v>
      </c>
      <c r="AJ51" s="3">
        <f>IFERROR(__xludf.DUMMYFUNCTION("""COMPUTED_VALUE"""),221.0)</f>
        <v>221</v>
      </c>
      <c r="AK51" s="3"/>
      <c r="AL51" s="3" t="str">
        <f>IFERROR(__xludf.DUMMYFUNCTION("""COMPUTED_VALUE"""),"sgm.samui@bigc.co.th")</f>
        <v>sgm.samui@bigc.co.th</v>
      </c>
    </row>
    <row r="52" ht="15.75" customHeight="1">
      <c r="A52" s="1" t="str">
        <f>IFERROR(__xludf.DUMMYFUNCTION("""COMPUTED_VALUE"""),"11152")</f>
        <v>11152</v>
      </c>
      <c r="B52" s="2">
        <f>IFERROR(__xludf.DUMMYFUNCTION("""COMPUTED_VALUE"""),11152.0)</f>
        <v>11152</v>
      </c>
      <c r="C52" s="3" t="str">
        <f>IFERROR(__xludf.DUMMYFUNCTION("""COMPUTED_VALUE"""),"ชลบุรี")</f>
        <v>ชลบุรี</v>
      </c>
      <c r="D52" s="3" t="str">
        <f>IFERROR(__xludf.DUMMYFUNCTION("""COMPUTED_VALUE"""),"BIGC CHONBURI")</f>
        <v>BIGC CHONBURI</v>
      </c>
      <c r="E52" s="1" t="str">
        <f>IFERROR(__xludf.DUMMYFUNCTION("""COMPUTED_VALUE"""),"บิ๊กซี HyperMarket")</f>
        <v>บิ๊กซี HyperMarket</v>
      </c>
      <c r="F52" s="1" t="str">
        <f>IFERROR(__xludf.DUMMYFUNCTION("""COMPUTED_VALUE"""),"2455164")</f>
        <v>2455164</v>
      </c>
      <c r="G52" s="1" t="str">
        <f>IFERROR(__xludf.DUMMYFUNCTION("""COMPUTED_VALUE"""),"นายกรวิทย์ เจริญพร")</f>
        <v>นายกรวิทย์ เจริญพร</v>
      </c>
      <c r="H52" s="1" t="str">
        <f>IFERROR(__xludf.DUMMYFUNCTION("""COMPUTED_VALUE"""),"2455164")</f>
        <v>2455164</v>
      </c>
      <c r="I52" s="1" t="str">
        <f>IFERROR(__xludf.DUMMYFUNCTION("""COMPUTED_VALUE"""),"นายกรวิทย์ เจริญพร")</f>
        <v>นายกรวิทย์ เจริญพร</v>
      </c>
      <c r="J52" s="3">
        <f>IFERROR(__xludf.DUMMYFUNCTION("""COMPUTED_VALUE"""),2455164.0)</f>
        <v>2455164</v>
      </c>
      <c r="K52" s="3" t="str">
        <f>IFERROR(__xludf.DUMMYFUNCTION("""COMPUTED_VALUE"""),"นายกรวิทย์ เจริญพร")</f>
        <v>นายกรวิทย์ เจริญพร</v>
      </c>
      <c r="L52" s="1" t="str">
        <f>IFERROR(__xludf.DUMMYFUNCTION("""COMPUTED_VALUE"""),"Hub08-East")</f>
        <v>Hub08-East</v>
      </c>
      <c r="M52" s="1" t="str">
        <f>IFERROR(__xludf.DUMMYFUNCTION("""COMPUTED_VALUE"""),"092-605-9922")</f>
        <v>092-605-9922</v>
      </c>
      <c r="N52" s="3">
        <f>IFERROR(__xludf.DUMMYFUNCTION("""COMPUTED_VALUE"""),11152.0)</f>
        <v>11152</v>
      </c>
      <c r="O52" s="3" t="str">
        <f>IFERROR(__xludf.DUMMYFUNCTION("""COMPUTED_VALUE"""),"ชลบุรี")</f>
        <v>ชลบุรี</v>
      </c>
      <c r="P52" s="4">
        <f>IFERROR(__xludf.DUMMYFUNCTION("""COMPUTED_VALUE"""),39364.0)</f>
        <v>39364</v>
      </c>
      <c r="Q52" s="3" t="str">
        <f>IFERROR(__xludf.DUMMYFUNCTION("""COMPUTED_VALUE"""),"A")</f>
        <v>A</v>
      </c>
      <c r="R52" s="3" t="str">
        <f>IFERROR(__xludf.DUMMYFUNCTION("""COMPUTED_VALUE"""),"Big Format")</f>
        <v>Big Format</v>
      </c>
      <c r="S52" s="3" t="str">
        <f>IFERROR(__xludf.DUMMYFUNCTION("""COMPUTED_VALUE"""),"Hyper")</f>
        <v>Hyper</v>
      </c>
      <c r="T52" s="3" t="str">
        <f>IFERROR(__xludf.DUMMYFUNCTION("""COMPUTED_VALUE"""),"Hub08-East")</f>
        <v>Hub08-East</v>
      </c>
      <c r="U52" s="3" t="str">
        <f>IFERROR(__xludf.DUMMYFUNCTION("""COMPUTED_VALUE"""),"Hub08-East")</f>
        <v>Hub08-East</v>
      </c>
      <c r="V52" s="3" t="str">
        <f>IFERROR(__xludf.DUMMYFUNCTION("""COMPUTED_VALUE"""),"N")</f>
        <v>N</v>
      </c>
      <c r="W52" s="3">
        <f>IFERROR(__xludf.DUMMYFUNCTION("""COMPUTED_VALUE"""),111152.0)</f>
        <v>111152</v>
      </c>
      <c r="X52" s="3" t="str">
        <f>IFERROR(__xludf.DUMMYFUNCTION("""COMPUTED_VALUE"""),"49/1 หมู่ที่ 3 ตำบลห้วยกะปิ อำเภอเมืองชลบุรี จังหวัดชลบุรี 20000")</f>
        <v>49/1 หมู่ที่ 3 ตำบลห้วยกะปิ อำเภอเมืองชลบุรี จังหวัดชลบุรี 20000</v>
      </c>
      <c r="Y52" s="3"/>
      <c r="Z52" s="3" t="str">
        <f>IFERROR(__xludf.DUMMYFUNCTION("""COMPUTED_VALUE"""),"ห้วยกะปิ")</f>
        <v>ห้วยกะปิ</v>
      </c>
      <c r="AA52" s="3" t="str">
        <f>IFERROR(__xludf.DUMMYFUNCTION("""COMPUTED_VALUE"""),"เมือง")</f>
        <v>เมือง</v>
      </c>
      <c r="AB52" s="3" t="str">
        <f>IFERROR(__xludf.DUMMYFUNCTION("""COMPUTED_VALUE"""),"ชลบุรี")</f>
        <v>ชลบุรี</v>
      </c>
      <c r="AC52" s="3">
        <f>IFERROR(__xludf.DUMMYFUNCTION("""COMPUTED_VALUE"""),20000.0)</f>
        <v>20000</v>
      </c>
      <c r="AD52" s="3">
        <f>IFERROR(__xludf.DUMMYFUNCTION("""COMPUTED_VALUE"""),13.30825536)</f>
        <v>13.30825536</v>
      </c>
      <c r="AE52" s="3">
        <f>IFERROR(__xludf.DUMMYFUNCTION("""COMPUTED_VALUE"""),100.9568117)</f>
        <v>100.9568117</v>
      </c>
      <c r="AF52" s="3" t="str">
        <f>IFERROR(__xludf.DUMMYFUNCTION("""COMPUTED_VALUE"""),"ชลบุรี-11152")</f>
        <v>ชลบุรี-11152</v>
      </c>
      <c r="AG52" s="3" t="str">
        <f>IFERROR(__xludf.DUMMYFUNCTION("""COMPUTED_VALUE"""),"ตะวันออก")</f>
        <v>ตะวันออก</v>
      </c>
      <c r="AH52" s="3" t="str">
        <f>IFERROR(__xludf.DUMMYFUNCTION("""COMPUTED_VALUE"""),"Walaiporn Sutyod")</f>
        <v>Walaiporn Sutyod</v>
      </c>
      <c r="AI52" s="3" t="str">
        <f>IFERROR(__xludf.DUMMYFUNCTION("""COMPUTED_VALUE"""),"Out of warranty")</f>
        <v>Out of warranty</v>
      </c>
      <c r="AJ52" s="3">
        <f>IFERROR(__xludf.DUMMYFUNCTION("""COMPUTED_VALUE"""),220.0)</f>
        <v>220</v>
      </c>
      <c r="AK52" s="3"/>
      <c r="AL52" s="3" t="str">
        <f>IFERROR(__xludf.DUMMYFUNCTION("""COMPUTED_VALUE"""),"sgm.chonburi@bigc.co.th")</f>
        <v>sgm.chonburi@bigc.co.th</v>
      </c>
    </row>
    <row r="53" ht="15.75" customHeight="1">
      <c r="A53" s="1" t="str">
        <f>IFERROR(__xludf.DUMMYFUNCTION("""COMPUTED_VALUE"""),"11153")</f>
        <v>11153</v>
      </c>
      <c r="B53" s="2">
        <f>IFERROR(__xludf.DUMMYFUNCTION("""COMPUTED_VALUE"""),11153.0)</f>
        <v>11153</v>
      </c>
      <c r="C53" s="3" t="str">
        <f>IFERROR(__xludf.DUMMYFUNCTION("""COMPUTED_VALUE"""),"บุรีรัมย์")</f>
        <v>บุรีรัมย์</v>
      </c>
      <c r="D53" s="3" t="str">
        <f>IFERROR(__xludf.DUMMYFUNCTION("""COMPUTED_VALUE"""),"BIGC BURIRAM")</f>
        <v>BIGC BURIRAM</v>
      </c>
      <c r="E53" s="1" t="str">
        <f>IFERROR(__xludf.DUMMYFUNCTION("""COMPUTED_VALUE"""),"บิ๊กซี HyperMarket")</f>
        <v>บิ๊กซี HyperMarket</v>
      </c>
      <c r="F53" s="1" t="str">
        <f>IFERROR(__xludf.DUMMYFUNCTION("""COMPUTED_VALUE"""),"033317")</f>
        <v>033317</v>
      </c>
      <c r="G53" s="1" t="str">
        <f>IFERROR(__xludf.DUMMYFUNCTION("""COMPUTED_VALUE"""),"นายอาณัติ เพชรภาน")</f>
        <v>นายอาณัติ เพชรภาน</v>
      </c>
      <c r="H53" s="1" t="str">
        <f>IFERROR(__xludf.DUMMYFUNCTION("""COMPUTED_VALUE"""),"033317")</f>
        <v>033317</v>
      </c>
      <c r="I53" s="1" t="str">
        <f>IFERROR(__xludf.DUMMYFUNCTION("""COMPUTED_VALUE"""),"นายอาณัติ เพชรภาน")</f>
        <v>นายอาณัติ เพชรภาน</v>
      </c>
      <c r="J53" s="3">
        <f>IFERROR(__xludf.DUMMYFUNCTION("""COMPUTED_VALUE"""),33317.0)</f>
        <v>33317</v>
      </c>
      <c r="K53" s="3" t="str">
        <f>IFERROR(__xludf.DUMMYFUNCTION("""COMPUTED_VALUE"""),"นายอาณัติ เพชรภาน")</f>
        <v>นายอาณัติ เพชรภาน</v>
      </c>
      <c r="L53" s="1" t="str">
        <f>IFERROR(__xludf.DUMMYFUNCTION("""COMPUTED_VALUE"""),"Hub10-NE 2")</f>
        <v>Hub10-NE 2</v>
      </c>
      <c r="M53" s="1" t="str">
        <f>IFERROR(__xludf.DUMMYFUNCTION("""COMPUTED_VALUE"""),"0644791409")</f>
        <v>0644791409</v>
      </c>
      <c r="N53" s="3">
        <f>IFERROR(__xludf.DUMMYFUNCTION("""COMPUTED_VALUE"""),11153.0)</f>
        <v>11153</v>
      </c>
      <c r="O53" s="3" t="str">
        <f>IFERROR(__xludf.DUMMYFUNCTION("""COMPUTED_VALUE"""),"บุรีรัมย์")</f>
        <v>บุรีรัมย์</v>
      </c>
      <c r="P53" s="4">
        <f>IFERROR(__xludf.DUMMYFUNCTION("""COMPUTED_VALUE"""),39365.0)</f>
        <v>39365</v>
      </c>
      <c r="Q53" s="3" t="str">
        <f>IFERROR(__xludf.DUMMYFUNCTION("""COMPUTED_VALUE"""),"A")</f>
        <v>A</v>
      </c>
      <c r="R53" s="3" t="str">
        <f>IFERROR(__xludf.DUMMYFUNCTION("""COMPUTED_VALUE"""),"Big Format")</f>
        <v>Big Format</v>
      </c>
      <c r="S53" s="3" t="str">
        <f>IFERROR(__xludf.DUMMYFUNCTION("""COMPUTED_VALUE"""),"Hyper")</f>
        <v>Hyper</v>
      </c>
      <c r="T53" s="3" t="str">
        <f>IFERROR(__xludf.DUMMYFUNCTION("""COMPUTED_VALUE"""),"Hub10-NE 2")</f>
        <v>Hub10-NE 2</v>
      </c>
      <c r="U53" s="3" t="str">
        <f>IFERROR(__xludf.DUMMYFUNCTION("""COMPUTED_VALUE"""),"Hub10-NE 2")</f>
        <v>Hub10-NE 2</v>
      </c>
      <c r="V53" s="3" t="str">
        <f>IFERROR(__xludf.DUMMYFUNCTION("""COMPUTED_VALUE"""),"N")</f>
        <v>N</v>
      </c>
      <c r="W53" s="3">
        <f>IFERROR(__xludf.DUMMYFUNCTION("""COMPUTED_VALUE"""),111153.0)</f>
        <v>111153</v>
      </c>
      <c r="X53" s="3" t="str">
        <f>IFERROR(__xludf.DUMMYFUNCTION("""COMPUTED_VALUE"""),"150 หมู่ที่ 7 ตำบลอิสาณ อำเภอเมืองบุรีรัมย์ จังหวัดบุรีรัมย์ 31000")</f>
        <v>150 หมู่ที่ 7 ตำบลอิสาณ อำเภอเมืองบุรีรัมย์ จังหวัดบุรีรัมย์ 31000</v>
      </c>
      <c r="Y53" s="3"/>
      <c r="Z53" s="3" t="str">
        <f>IFERROR(__xludf.DUMMYFUNCTION("""COMPUTED_VALUE"""),"อิสาณ")</f>
        <v>อิสาณ</v>
      </c>
      <c r="AA53" s="3" t="str">
        <f>IFERROR(__xludf.DUMMYFUNCTION("""COMPUTED_VALUE"""),"เมือง")</f>
        <v>เมือง</v>
      </c>
      <c r="AB53" s="3" t="str">
        <f>IFERROR(__xludf.DUMMYFUNCTION("""COMPUTED_VALUE"""),"บุรีรัมย์")</f>
        <v>บุรีรัมย์</v>
      </c>
      <c r="AC53" s="3">
        <f>IFERROR(__xludf.DUMMYFUNCTION("""COMPUTED_VALUE"""),31000.0)</f>
        <v>31000</v>
      </c>
      <c r="AD53" s="3">
        <f>IFERROR(__xludf.DUMMYFUNCTION("""COMPUTED_VALUE"""),14.96988141)</f>
        <v>14.96988141</v>
      </c>
      <c r="AE53" s="3">
        <f>IFERROR(__xludf.DUMMYFUNCTION("""COMPUTED_VALUE"""),103.0818377)</f>
        <v>103.0818377</v>
      </c>
      <c r="AF53" s="3" t="str">
        <f>IFERROR(__xludf.DUMMYFUNCTION("""COMPUTED_VALUE"""),"บุรีรัมย์-11153")</f>
        <v>บุรีรัมย์-11153</v>
      </c>
      <c r="AG53" s="3" t="str">
        <f>IFERROR(__xludf.DUMMYFUNCTION("""COMPUTED_VALUE"""),"ตะวันออกเฉียงเหนือ")</f>
        <v>ตะวันออกเฉียงเหนือ</v>
      </c>
      <c r="AH53" s="3" t="str">
        <f>IFERROR(__xludf.DUMMYFUNCTION("""COMPUTED_VALUE"""),"Pajaob Wongpakdee")</f>
        <v>Pajaob Wongpakdee</v>
      </c>
      <c r="AI53" s="3" t="str">
        <f>IFERROR(__xludf.DUMMYFUNCTION("""COMPUTED_VALUE"""),"Out of warranty")</f>
        <v>Out of warranty</v>
      </c>
      <c r="AJ53" s="3">
        <f>IFERROR(__xludf.DUMMYFUNCTION("""COMPUTED_VALUE"""),220.0)</f>
        <v>220</v>
      </c>
      <c r="AK53" s="3"/>
      <c r="AL53" s="3" t="str">
        <f>IFERROR(__xludf.DUMMYFUNCTION("""COMPUTED_VALUE"""),"sgm.buriram@bigc.co.th")</f>
        <v>sgm.buriram@bigc.co.th</v>
      </c>
    </row>
    <row r="54" ht="15.75" customHeight="1">
      <c r="A54" s="1" t="str">
        <f>IFERROR(__xludf.DUMMYFUNCTION("""COMPUTED_VALUE"""),"11154")</f>
        <v>11154</v>
      </c>
      <c r="B54" s="2">
        <f>IFERROR(__xludf.DUMMYFUNCTION("""COMPUTED_VALUE"""),11154.0)</f>
        <v>11154</v>
      </c>
      <c r="C54" s="3" t="str">
        <f>IFERROR(__xludf.DUMMYFUNCTION("""COMPUTED_VALUE"""),"หางดง")</f>
        <v>หางดง</v>
      </c>
      <c r="D54" s="3" t="str">
        <f>IFERROR(__xludf.DUMMYFUNCTION("""COMPUTED_VALUE"""),"BIGC HANGDONG")</f>
        <v>BIGC HANGDONG</v>
      </c>
      <c r="E54" s="1" t="str">
        <f>IFERROR(__xludf.DUMMYFUNCTION("""COMPUTED_VALUE"""),"บิ๊กซี HyperMarket")</f>
        <v>บิ๊กซี HyperMarket</v>
      </c>
      <c r="F54" s="1" t="str">
        <f>IFERROR(__xludf.DUMMYFUNCTION("""COMPUTED_VALUE"""),"000348")</f>
        <v>000348</v>
      </c>
      <c r="G54" s="1" t="str">
        <f>IFERROR(__xludf.DUMMYFUNCTION("""COMPUTED_VALUE"""),"นายธีรนันท์ ไม้สนธิ์")</f>
        <v>นายธีรนันท์ ไม้สนธิ์</v>
      </c>
      <c r="H54" s="1" t="str">
        <f>IFERROR(__xludf.DUMMYFUNCTION("""COMPUTED_VALUE"""),"000348")</f>
        <v>000348</v>
      </c>
      <c r="I54" s="1" t="str">
        <f>IFERROR(__xludf.DUMMYFUNCTION("""COMPUTED_VALUE"""),"นายธีรนันท์ ไม้สนธิ์")</f>
        <v>นายธีรนันท์ ไม้สนธิ์</v>
      </c>
      <c r="J54" s="3">
        <f>IFERROR(__xludf.DUMMYFUNCTION("""COMPUTED_VALUE"""),348.0)</f>
        <v>348</v>
      </c>
      <c r="K54" s="3" t="str">
        <f>IFERROR(__xludf.DUMMYFUNCTION("""COMPUTED_VALUE"""),"นายธีรนันท์ ไม้สนธิ์")</f>
        <v>นายธีรนันท์ ไม้สนธิ์</v>
      </c>
      <c r="L54" s="1" t="str">
        <f>IFERROR(__xludf.DUMMYFUNCTION("""COMPUTED_VALUE"""),"Hub07-North")</f>
        <v>Hub07-North</v>
      </c>
      <c r="M54" s="1" t="str">
        <f>IFERROR(__xludf.DUMMYFUNCTION("""COMPUTED_VALUE"""),"0614175866")</f>
        <v>0614175866</v>
      </c>
      <c r="N54" s="3">
        <f>IFERROR(__xludf.DUMMYFUNCTION("""COMPUTED_VALUE"""),11154.0)</f>
        <v>11154</v>
      </c>
      <c r="O54" s="3" t="str">
        <f>IFERROR(__xludf.DUMMYFUNCTION("""COMPUTED_VALUE"""),"หางดง")</f>
        <v>หางดง</v>
      </c>
      <c r="P54" s="4">
        <f>IFERROR(__xludf.DUMMYFUNCTION("""COMPUTED_VALUE"""),39406.0)</f>
        <v>39406</v>
      </c>
      <c r="Q54" s="3" t="str">
        <f>IFERROR(__xludf.DUMMYFUNCTION("""COMPUTED_VALUE"""),"A")</f>
        <v>A</v>
      </c>
      <c r="R54" s="3" t="str">
        <f>IFERROR(__xludf.DUMMYFUNCTION("""COMPUTED_VALUE"""),"Big Format")</f>
        <v>Big Format</v>
      </c>
      <c r="S54" s="3" t="str">
        <f>IFERROR(__xludf.DUMMYFUNCTION("""COMPUTED_VALUE"""),"Hyper")</f>
        <v>Hyper</v>
      </c>
      <c r="T54" s="3" t="str">
        <f>IFERROR(__xludf.DUMMYFUNCTION("""COMPUTED_VALUE"""),"Hub07-North")</f>
        <v>Hub07-North</v>
      </c>
      <c r="U54" s="3" t="str">
        <f>IFERROR(__xludf.DUMMYFUNCTION("""COMPUTED_VALUE"""),"Hub07-North")</f>
        <v>Hub07-North</v>
      </c>
      <c r="V54" s="3" t="str">
        <f>IFERROR(__xludf.DUMMYFUNCTION("""COMPUTED_VALUE"""),"N")</f>
        <v>N</v>
      </c>
      <c r="W54" s="3">
        <f>IFERROR(__xludf.DUMMYFUNCTION("""COMPUTED_VALUE"""),111154.0)</f>
        <v>111154</v>
      </c>
      <c r="X54" s="3" t="str">
        <f>IFERROR(__xludf.DUMMYFUNCTION("""COMPUTED_VALUE"""),"433/4-5 หมู่ที่ 7 ตำบลแม่เหียะ อำเภอเมืองเชียงใหม่ จังหวัดเชียงใหม่ 50100")</f>
        <v>433/4-5 หมู่ที่ 7 ตำบลแม่เหียะ อำเภอเมืองเชียงใหม่ จังหวัดเชียงใหม่ 50100</v>
      </c>
      <c r="Y54" s="3"/>
      <c r="Z54" s="3" t="str">
        <f>IFERROR(__xludf.DUMMYFUNCTION("""COMPUTED_VALUE"""),"แม่เหียะ")</f>
        <v>แม่เหียะ</v>
      </c>
      <c r="AA54" s="3" t="str">
        <f>IFERROR(__xludf.DUMMYFUNCTION("""COMPUTED_VALUE"""),"เมือง")</f>
        <v>เมือง</v>
      </c>
      <c r="AB54" s="3" t="str">
        <f>IFERROR(__xludf.DUMMYFUNCTION("""COMPUTED_VALUE"""),"เชียงใหม่")</f>
        <v>เชียงใหม่</v>
      </c>
      <c r="AC54" s="3">
        <f>IFERROR(__xludf.DUMMYFUNCTION("""COMPUTED_VALUE"""),50100.0)</f>
        <v>50100</v>
      </c>
      <c r="AD54" s="3">
        <f>IFERROR(__xludf.DUMMYFUNCTION("""COMPUTED_VALUE"""),18.74496332)</f>
        <v>18.74496332</v>
      </c>
      <c r="AE54" s="3">
        <f>IFERROR(__xludf.DUMMYFUNCTION("""COMPUTED_VALUE"""),98.96208376)</f>
        <v>98.96208376</v>
      </c>
      <c r="AF54" s="3" t="str">
        <f>IFERROR(__xludf.DUMMYFUNCTION("""COMPUTED_VALUE"""),"หางดง-11154")</f>
        <v>หางดง-11154</v>
      </c>
      <c r="AG54" s="3" t="str">
        <f>IFERROR(__xludf.DUMMYFUNCTION("""COMPUTED_VALUE"""),"เหนือ")</f>
        <v>เหนือ</v>
      </c>
      <c r="AH54" s="3" t="str">
        <f>IFERROR(__xludf.DUMMYFUNCTION("""COMPUTED_VALUE"""),"Wichai Soomboonsod")</f>
        <v>Wichai Soomboonsod</v>
      </c>
      <c r="AI54" s="3" t="str">
        <f>IFERROR(__xludf.DUMMYFUNCTION("""COMPUTED_VALUE"""),"Out of warranty")</f>
        <v>Out of warranty</v>
      </c>
      <c r="AJ54" s="3">
        <f>IFERROR(__xludf.DUMMYFUNCTION("""COMPUTED_VALUE"""),219.0)</f>
        <v>219</v>
      </c>
      <c r="AK54" s="3"/>
      <c r="AL54" s="3" t="str">
        <f>IFERROR(__xludf.DUMMYFUNCTION("""COMPUTED_VALUE"""),"sgm.hangdong@bigc.co.th")</f>
        <v>sgm.hangdong@bigc.co.th</v>
      </c>
    </row>
    <row r="55" ht="15.75" customHeight="1">
      <c r="A55" s="1" t="str">
        <f>IFERROR(__xludf.DUMMYFUNCTION("""COMPUTED_VALUE"""),"11155")</f>
        <v>11155</v>
      </c>
      <c r="B55" s="2">
        <f>IFERROR(__xludf.DUMMYFUNCTION("""COMPUTED_VALUE"""),11155.0)</f>
        <v>11155</v>
      </c>
      <c r="C55" s="3" t="str">
        <f>IFERROR(__xludf.DUMMYFUNCTION("""COMPUTED_VALUE"""),"อยุธยา")</f>
        <v>อยุธยา</v>
      </c>
      <c r="D55" s="3" t="str">
        <f>IFERROR(__xludf.DUMMYFUNCTION("""COMPUTED_VALUE"""),"BIGC AYUTTHAYA")</f>
        <v>BIGC AYUTTHAYA</v>
      </c>
      <c r="E55" s="1" t="str">
        <f>IFERROR(__xludf.DUMMYFUNCTION("""COMPUTED_VALUE"""),"บิ๊กซี HyperMarket")</f>
        <v>บิ๊กซี HyperMarket</v>
      </c>
      <c r="F55" s="1" t="str">
        <f>IFERROR(__xludf.DUMMYFUNCTION("""COMPUTED_VALUE"""),"2455179")</f>
        <v>2455179</v>
      </c>
      <c r="G55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55" s="1" t="str">
        <f>IFERROR(__xludf.DUMMYFUNCTION("""COMPUTED_VALUE"""),"2455179")</f>
        <v>2455179</v>
      </c>
      <c r="I55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55" s="3">
        <f>IFERROR(__xludf.DUMMYFUNCTION("""COMPUTED_VALUE"""),2455179.0)</f>
        <v>2455179</v>
      </c>
      <c r="K55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55" s="1" t="str">
        <f>IFERROR(__xludf.DUMMYFUNCTION("""COMPUTED_VALUE"""),"Hub06-C&amp;W")</f>
        <v>Hub06-C&amp;W</v>
      </c>
      <c r="M55" s="1" t="str">
        <f>IFERROR(__xludf.DUMMYFUNCTION("""COMPUTED_VALUE"""),"090-993-6896")</f>
        <v>090-993-6896</v>
      </c>
      <c r="N55" s="3">
        <f>IFERROR(__xludf.DUMMYFUNCTION("""COMPUTED_VALUE"""),11155.0)</f>
        <v>11155</v>
      </c>
      <c r="O55" s="3" t="str">
        <f>IFERROR(__xludf.DUMMYFUNCTION("""COMPUTED_VALUE"""),"อยุธยา")</f>
        <v>อยุธยา</v>
      </c>
      <c r="P55" s="4">
        <f>IFERROR(__xludf.DUMMYFUNCTION("""COMPUTED_VALUE"""),39504.0)</f>
        <v>39504</v>
      </c>
      <c r="Q55" s="3" t="str">
        <f>IFERROR(__xludf.DUMMYFUNCTION("""COMPUTED_VALUE"""),"A")</f>
        <v>A</v>
      </c>
      <c r="R55" s="3" t="str">
        <f>IFERROR(__xludf.DUMMYFUNCTION("""COMPUTED_VALUE"""),"Big Format")</f>
        <v>Big Format</v>
      </c>
      <c r="S55" s="3" t="str">
        <f>IFERROR(__xludf.DUMMYFUNCTION("""COMPUTED_VALUE"""),"Hyper")</f>
        <v>Hyper</v>
      </c>
      <c r="T55" s="3" t="str">
        <f>IFERROR(__xludf.DUMMYFUNCTION("""COMPUTED_VALUE"""),"Hub06-C&amp;W")</f>
        <v>Hub06-C&amp;W</v>
      </c>
      <c r="U55" s="3" t="str">
        <f>IFERROR(__xludf.DUMMYFUNCTION("""COMPUTED_VALUE"""),"Hub06-C&amp;W")</f>
        <v>Hub06-C&amp;W</v>
      </c>
      <c r="V55" s="3" t="str">
        <f>IFERROR(__xludf.DUMMYFUNCTION("""COMPUTED_VALUE"""),"N")</f>
        <v>N</v>
      </c>
      <c r="W55" s="3">
        <f>IFERROR(__xludf.DUMMYFUNCTION("""COMPUTED_VALUE"""),111155.0)</f>
        <v>111155</v>
      </c>
      <c r="X55" s="3" t="str">
        <f>IFERROR(__xludf.DUMMYFUNCTION("""COMPUTED_VALUE"""),"80 หมู่ที่ 2 ตำบลบ้านกรด อำเภอบางปะอิน จังหวัดพระนครศรีอยุธยา 13160")</f>
        <v>80 หมู่ที่ 2 ตำบลบ้านกรด อำเภอบางปะอิน จังหวัดพระนครศรีอยุธยา 13160</v>
      </c>
      <c r="Y55" s="3"/>
      <c r="Z55" s="3" t="str">
        <f>IFERROR(__xludf.DUMMYFUNCTION("""COMPUTED_VALUE"""),"บ้านกรด")</f>
        <v>บ้านกรด</v>
      </c>
      <c r="AA55" s="3" t="str">
        <f>IFERROR(__xludf.DUMMYFUNCTION("""COMPUTED_VALUE"""),"บางปะอิน")</f>
        <v>บางปะอิน</v>
      </c>
      <c r="AB55" s="3" t="str">
        <f>IFERROR(__xludf.DUMMYFUNCTION("""COMPUTED_VALUE"""),"พระนครศรีอยุธยา")</f>
        <v>พระนครศรีอยุธยา</v>
      </c>
      <c r="AC55" s="3">
        <f>IFERROR(__xludf.DUMMYFUNCTION("""COMPUTED_VALUE"""),13160.0)</f>
        <v>13160</v>
      </c>
      <c r="AD55" s="3">
        <f>IFERROR(__xludf.DUMMYFUNCTION("""COMPUTED_VALUE"""),14.306626)</f>
        <v>14.306626</v>
      </c>
      <c r="AE55" s="3">
        <f>IFERROR(__xludf.DUMMYFUNCTION("""COMPUTED_VALUE"""),100.611627)</f>
        <v>100.611627</v>
      </c>
      <c r="AF55" s="3" t="str">
        <f>IFERROR(__xludf.DUMMYFUNCTION("""COMPUTED_VALUE"""),"อยุธยา-11155")</f>
        <v>อยุธยา-11155</v>
      </c>
      <c r="AG55" s="3" t="str">
        <f>IFERROR(__xludf.DUMMYFUNCTION("""COMPUTED_VALUE"""),"กลาง")</f>
        <v>กลาง</v>
      </c>
      <c r="AH55" s="3" t="str">
        <f>IFERROR(__xludf.DUMMYFUNCTION("""COMPUTED_VALUE"""),"Wichian Nasungnoen")</f>
        <v>Wichian Nasungnoen</v>
      </c>
      <c r="AI55" s="3" t="str">
        <f>IFERROR(__xludf.DUMMYFUNCTION("""COMPUTED_VALUE"""),"Out of warranty")</f>
        <v>Out of warranty</v>
      </c>
      <c r="AJ55" s="3">
        <f>IFERROR(__xludf.DUMMYFUNCTION("""COMPUTED_VALUE"""),215.0)</f>
        <v>215</v>
      </c>
      <c r="AK55" s="3"/>
      <c r="AL55" s="3" t="str">
        <f>IFERROR(__xludf.DUMMYFUNCTION("""COMPUTED_VALUE"""),"sgm.ayutthaya@bigc.co.th")</f>
        <v>sgm.ayutthaya@bigc.co.th</v>
      </c>
    </row>
    <row r="56" ht="15.75" customHeight="1">
      <c r="A56" s="1" t="str">
        <f>IFERROR(__xludf.DUMMYFUNCTION("""COMPUTED_VALUE"""),"11156")</f>
        <v>11156</v>
      </c>
      <c r="B56" s="2">
        <f>IFERROR(__xludf.DUMMYFUNCTION("""COMPUTED_VALUE"""),11156.0)</f>
        <v>11156</v>
      </c>
      <c r="C56" s="3" t="str">
        <f>IFERROR(__xludf.DUMMYFUNCTION("""COMPUTED_VALUE"""),"สุโขทัย")</f>
        <v>สุโขทัย</v>
      </c>
      <c r="D56" s="3" t="str">
        <f>IFERROR(__xludf.DUMMYFUNCTION("""COMPUTED_VALUE"""),"BIGC SUKHOTHAI")</f>
        <v>BIGC SUKHOTHAI</v>
      </c>
      <c r="E56" s="1" t="str">
        <f>IFERROR(__xludf.DUMMYFUNCTION("""COMPUTED_VALUE"""),"บิ๊กซี HyperMarket")</f>
        <v>บิ๊กซี HyperMarket</v>
      </c>
      <c r="F56" s="1" t="str">
        <f>IFERROR(__xludf.DUMMYFUNCTION("""COMPUTED_VALUE"""),"000348")</f>
        <v>000348</v>
      </c>
      <c r="G56" s="1" t="str">
        <f>IFERROR(__xludf.DUMMYFUNCTION("""COMPUTED_VALUE"""),"นายธีรนันท์ ไม้สนธิ์")</f>
        <v>นายธีรนันท์ ไม้สนธิ์</v>
      </c>
      <c r="H56" s="1" t="str">
        <f>IFERROR(__xludf.DUMMYFUNCTION("""COMPUTED_VALUE"""),"000348")</f>
        <v>000348</v>
      </c>
      <c r="I56" s="1" t="str">
        <f>IFERROR(__xludf.DUMMYFUNCTION("""COMPUTED_VALUE"""),"นายธีรนันท์ ไม้สนธิ์")</f>
        <v>นายธีรนันท์ ไม้สนธิ์</v>
      </c>
      <c r="J56" s="3">
        <f>IFERROR(__xludf.DUMMYFUNCTION("""COMPUTED_VALUE"""),348.0)</f>
        <v>348</v>
      </c>
      <c r="K56" s="3" t="str">
        <f>IFERROR(__xludf.DUMMYFUNCTION("""COMPUTED_VALUE"""),"นายธีรนันท์ ไม้สนธิ์")</f>
        <v>นายธีรนันท์ ไม้สนธิ์</v>
      </c>
      <c r="L56" s="1" t="str">
        <f>IFERROR(__xludf.DUMMYFUNCTION("""COMPUTED_VALUE"""),"Hub07-North")</f>
        <v>Hub07-North</v>
      </c>
      <c r="M56" s="1" t="str">
        <f>IFERROR(__xludf.DUMMYFUNCTION("""COMPUTED_VALUE"""),"0614175866")</f>
        <v>0614175866</v>
      </c>
      <c r="N56" s="3">
        <f>IFERROR(__xludf.DUMMYFUNCTION("""COMPUTED_VALUE"""),11156.0)</f>
        <v>11156</v>
      </c>
      <c r="O56" s="3" t="str">
        <f>IFERROR(__xludf.DUMMYFUNCTION("""COMPUTED_VALUE"""),"สุโขทัย")</f>
        <v>สุโขทัย</v>
      </c>
      <c r="P56" s="4">
        <f>IFERROR(__xludf.DUMMYFUNCTION("""COMPUTED_VALUE"""),39577.0)</f>
        <v>39577</v>
      </c>
      <c r="Q56" s="3" t="str">
        <f>IFERROR(__xludf.DUMMYFUNCTION("""COMPUTED_VALUE"""),"A")</f>
        <v>A</v>
      </c>
      <c r="R56" s="3" t="str">
        <f>IFERROR(__xludf.DUMMYFUNCTION("""COMPUTED_VALUE"""),"Big Format")</f>
        <v>Big Format</v>
      </c>
      <c r="S56" s="3" t="str">
        <f>IFERROR(__xludf.DUMMYFUNCTION("""COMPUTED_VALUE"""),"Hyper")</f>
        <v>Hyper</v>
      </c>
      <c r="T56" s="3" t="str">
        <f>IFERROR(__xludf.DUMMYFUNCTION("""COMPUTED_VALUE"""),"Hub07-North")</f>
        <v>Hub07-North</v>
      </c>
      <c r="U56" s="3" t="str">
        <f>IFERROR(__xludf.DUMMYFUNCTION("""COMPUTED_VALUE"""),"Hub07-North")</f>
        <v>Hub07-North</v>
      </c>
      <c r="V56" s="3" t="str">
        <f>IFERROR(__xludf.DUMMYFUNCTION("""COMPUTED_VALUE"""),"N")</f>
        <v>N</v>
      </c>
      <c r="W56" s="3">
        <f>IFERROR(__xludf.DUMMYFUNCTION("""COMPUTED_VALUE"""),111156.0)</f>
        <v>111156</v>
      </c>
      <c r="X56" s="3" t="str">
        <f>IFERROR(__xludf.DUMMYFUNCTION("""COMPUTED_VALUE"""),"68 หมู่ที่ 2 ตำบลบ้านกล้วย อำเภอเมืองสุโขทัย จังหวัดสุโขทัย 64000")</f>
        <v>68 หมู่ที่ 2 ตำบลบ้านกล้วย อำเภอเมืองสุโขทัย จังหวัดสุโขทัย 64000</v>
      </c>
      <c r="Y56" s="3"/>
      <c r="Z56" s="3" t="str">
        <f>IFERROR(__xludf.DUMMYFUNCTION("""COMPUTED_VALUE"""),"บ้านกล้วย")</f>
        <v>บ้านกล้วย</v>
      </c>
      <c r="AA56" s="3" t="str">
        <f>IFERROR(__xludf.DUMMYFUNCTION("""COMPUTED_VALUE"""),"เมือง")</f>
        <v>เมือง</v>
      </c>
      <c r="AB56" s="3" t="str">
        <f>IFERROR(__xludf.DUMMYFUNCTION("""COMPUTED_VALUE"""),"สุโขทัย")</f>
        <v>สุโขทัย</v>
      </c>
      <c r="AC56" s="3">
        <f>IFERROR(__xludf.DUMMYFUNCTION("""COMPUTED_VALUE"""),64000.0)</f>
        <v>64000</v>
      </c>
      <c r="AD56" s="3">
        <f>IFERROR(__xludf.DUMMYFUNCTION("""COMPUTED_VALUE"""),17.011011)</f>
        <v>17.011011</v>
      </c>
      <c r="AE56" s="3">
        <f>IFERROR(__xludf.DUMMYFUNCTION("""COMPUTED_VALUE"""),99.777694)</f>
        <v>99.777694</v>
      </c>
      <c r="AF56" s="3" t="str">
        <f>IFERROR(__xludf.DUMMYFUNCTION("""COMPUTED_VALUE"""),"สุโขทัย-11156")</f>
        <v>สุโขทัย-11156</v>
      </c>
      <c r="AG56" s="3" t="str">
        <f>IFERROR(__xludf.DUMMYFUNCTION("""COMPUTED_VALUE"""),"กลาง")</f>
        <v>กลาง</v>
      </c>
      <c r="AH56" s="3" t="str">
        <f>IFERROR(__xludf.DUMMYFUNCTION("""COMPUTED_VALUE"""),"Wichai Soomboonsod")</f>
        <v>Wichai Soomboonsod</v>
      </c>
      <c r="AI56" s="3" t="str">
        <f>IFERROR(__xludf.DUMMYFUNCTION("""COMPUTED_VALUE"""),"Out of warranty")</f>
        <v>Out of warranty</v>
      </c>
      <c r="AJ56" s="3">
        <f>IFERROR(__xludf.DUMMYFUNCTION("""COMPUTED_VALUE"""),213.0)</f>
        <v>213</v>
      </c>
      <c r="AK56" s="3"/>
      <c r="AL56" s="3" t="str">
        <f>IFERROR(__xludf.DUMMYFUNCTION("""COMPUTED_VALUE"""),"sgm.sukhothai@bigc.co.th")</f>
        <v>sgm.sukhothai@bigc.co.th</v>
      </c>
    </row>
    <row r="57" ht="15.75" customHeight="1">
      <c r="A57" s="1" t="str">
        <f>IFERROR(__xludf.DUMMYFUNCTION("""COMPUTED_VALUE"""),"11157")</f>
        <v>11157</v>
      </c>
      <c r="B57" s="2">
        <f>IFERROR(__xludf.DUMMYFUNCTION("""COMPUTED_VALUE"""),11157.0)</f>
        <v>11157</v>
      </c>
      <c r="C57" s="3" t="str">
        <f>IFERROR(__xludf.DUMMYFUNCTION("""COMPUTED_VALUE"""),"บ้านโป่ง")</f>
        <v>บ้านโป่ง</v>
      </c>
      <c r="D57" s="3" t="str">
        <f>IFERROR(__xludf.DUMMYFUNCTION("""COMPUTED_VALUE"""),"BIGC BANPONG")</f>
        <v>BIGC BANPONG</v>
      </c>
      <c r="E57" s="1" t="str">
        <f>IFERROR(__xludf.DUMMYFUNCTION("""COMPUTED_VALUE"""),"บิ๊กซี HyperMarket")</f>
        <v>บิ๊กซี HyperMarket</v>
      </c>
      <c r="F57" s="1" t="str">
        <f>IFERROR(__xludf.DUMMYFUNCTION("""COMPUTED_VALUE"""),"2455179")</f>
        <v>2455179</v>
      </c>
      <c r="G57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57" s="1" t="str">
        <f>IFERROR(__xludf.DUMMYFUNCTION("""COMPUTED_VALUE"""),"2455179")</f>
        <v>2455179</v>
      </c>
      <c r="I57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57" s="3">
        <f>IFERROR(__xludf.DUMMYFUNCTION("""COMPUTED_VALUE"""),2455179.0)</f>
        <v>2455179</v>
      </c>
      <c r="K57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57" s="1" t="str">
        <f>IFERROR(__xludf.DUMMYFUNCTION("""COMPUTED_VALUE"""),"Hub06-C&amp;W")</f>
        <v>Hub06-C&amp;W</v>
      </c>
      <c r="M57" s="1" t="str">
        <f>IFERROR(__xludf.DUMMYFUNCTION("""COMPUTED_VALUE"""),"090-993-6896")</f>
        <v>090-993-6896</v>
      </c>
      <c r="N57" s="3">
        <f>IFERROR(__xludf.DUMMYFUNCTION("""COMPUTED_VALUE"""),11157.0)</f>
        <v>11157</v>
      </c>
      <c r="O57" s="3" t="str">
        <f>IFERROR(__xludf.DUMMYFUNCTION("""COMPUTED_VALUE"""),"บ้านโป่ง")</f>
        <v>บ้านโป่ง</v>
      </c>
      <c r="P57" s="4">
        <f>IFERROR(__xludf.DUMMYFUNCTION("""COMPUTED_VALUE"""),39576.0)</f>
        <v>39576</v>
      </c>
      <c r="Q57" s="3" t="str">
        <f>IFERROR(__xludf.DUMMYFUNCTION("""COMPUTED_VALUE"""),"A")</f>
        <v>A</v>
      </c>
      <c r="R57" s="3" t="str">
        <f>IFERROR(__xludf.DUMMYFUNCTION("""COMPUTED_VALUE"""),"Big Format")</f>
        <v>Big Format</v>
      </c>
      <c r="S57" s="3" t="str">
        <f>IFERROR(__xludf.DUMMYFUNCTION("""COMPUTED_VALUE"""),"Hyper")</f>
        <v>Hyper</v>
      </c>
      <c r="T57" s="3" t="str">
        <f>IFERROR(__xludf.DUMMYFUNCTION("""COMPUTED_VALUE"""),"Hub06-C&amp;W")</f>
        <v>Hub06-C&amp;W</v>
      </c>
      <c r="U57" s="3" t="str">
        <f>IFERROR(__xludf.DUMMYFUNCTION("""COMPUTED_VALUE"""),"Hub06-C&amp;W")</f>
        <v>Hub06-C&amp;W</v>
      </c>
      <c r="V57" s="3" t="str">
        <f>IFERROR(__xludf.DUMMYFUNCTION("""COMPUTED_VALUE"""),"N")</f>
        <v>N</v>
      </c>
      <c r="W57" s="3">
        <f>IFERROR(__xludf.DUMMYFUNCTION("""COMPUTED_VALUE"""),111157.0)</f>
        <v>111157</v>
      </c>
      <c r="X57" s="3" t="str">
        <f>IFERROR(__xludf.DUMMYFUNCTION("""COMPUTED_VALUE"""),"58 หมู่ที่ 5 ตำบลหนองอ้อ อำเภอบ้านโป่ง จังหวัดราชบุรี 70110")</f>
        <v>58 หมู่ที่ 5 ตำบลหนองอ้อ อำเภอบ้านโป่ง จังหวัดราชบุรี 70110</v>
      </c>
      <c r="Y57" s="3"/>
      <c r="Z57" s="3" t="str">
        <f>IFERROR(__xludf.DUMMYFUNCTION("""COMPUTED_VALUE"""),"หนองอ้อ")</f>
        <v>หนองอ้อ</v>
      </c>
      <c r="AA57" s="3" t="str">
        <f>IFERROR(__xludf.DUMMYFUNCTION("""COMPUTED_VALUE"""),"บ้านโป่ง")</f>
        <v>บ้านโป่ง</v>
      </c>
      <c r="AB57" s="3" t="str">
        <f>IFERROR(__xludf.DUMMYFUNCTION("""COMPUTED_VALUE"""),"ราชบุรี")</f>
        <v>ราชบุรี</v>
      </c>
      <c r="AC57" s="3">
        <f>IFERROR(__xludf.DUMMYFUNCTION("""COMPUTED_VALUE"""),70110.0)</f>
        <v>70110</v>
      </c>
      <c r="AD57" s="3">
        <f>IFERROR(__xludf.DUMMYFUNCTION("""COMPUTED_VALUE"""),13.795185)</f>
        <v>13.795185</v>
      </c>
      <c r="AE57" s="3">
        <f>IFERROR(__xludf.DUMMYFUNCTION("""COMPUTED_VALUE"""),99.917535)</f>
        <v>99.917535</v>
      </c>
      <c r="AF57" s="3" t="str">
        <f>IFERROR(__xludf.DUMMYFUNCTION("""COMPUTED_VALUE"""),"บ้านโป่ง-11157")</f>
        <v>บ้านโป่ง-11157</v>
      </c>
      <c r="AG57" s="3" t="str">
        <f>IFERROR(__xludf.DUMMYFUNCTION("""COMPUTED_VALUE"""),"ตะวันตก")</f>
        <v>ตะวันตก</v>
      </c>
      <c r="AH57" s="3" t="str">
        <f>IFERROR(__xludf.DUMMYFUNCTION("""COMPUTED_VALUE"""),"Wichian Nasungnoen")</f>
        <v>Wichian Nasungnoen</v>
      </c>
      <c r="AI57" s="3" t="str">
        <f>IFERROR(__xludf.DUMMYFUNCTION("""COMPUTED_VALUE"""),"Out of warranty")</f>
        <v>Out of warranty</v>
      </c>
      <c r="AJ57" s="3">
        <f>IFERROR(__xludf.DUMMYFUNCTION("""COMPUTED_VALUE"""),213.0)</f>
        <v>213</v>
      </c>
      <c r="AK57" s="3"/>
      <c r="AL57" s="3" t="str">
        <f>IFERROR(__xludf.DUMMYFUNCTION("""COMPUTED_VALUE"""),"sgm.banpong@bigc.co.th")</f>
        <v>sgm.banpong@bigc.co.th</v>
      </c>
    </row>
    <row r="58" ht="15.75" customHeight="1">
      <c r="A58" s="1" t="str">
        <f>IFERROR(__xludf.DUMMYFUNCTION("""COMPUTED_VALUE"""),"11158")</f>
        <v>11158</v>
      </c>
      <c r="B58" s="2">
        <f>IFERROR(__xludf.DUMMYFUNCTION("""COMPUTED_VALUE"""),11158.0)</f>
        <v>11158</v>
      </c>
      <c r="C58" s="3" t="str">
        <f>IFERROR(__xludf.DUMMYFUNCTION("""COMPUTED_VALUE"""),"ชัยภูมิ")</f>
        <v>ชัยภูมิ</v>
      </c>
      <c r="D58" s="3" t="str">
        <f>IFERROR(__xludf.DUMMYFUNCTION("""COMPUTED_VALUE"""),"BIGC CHAIYAPHUM")</f>
        <v>BIGC CHAIYAPHUM</v>
      </c>
      <c r="E58" s="1" t="str">
        <f>IFERROR(__xludf.DUMMYFUNCTION("""COMPUTED_VALUE"""),"บิ๊กซี HyperMarket")</f>
        <v>บิ๊กซี HyperMarket</v>
      </c>
      <c r="F58" s="1" t="str">
        <f>IFERROR(__xludf.DUMMYFUNCTION("""COMPUTED_VALUE"""),"033317")</f>
        <v>033317</v>
      </c>
      <c r="G58" s="1" t="str">
        <f>IFERROR(__xludf.DUMMYFUNCTION("""COMPUTED_VALUE"""),"นายอาณัติ เพชรภาน")</f>
        <v>นายอาณัติ เพชรภาน</v>
      </c>
      <c r="H58" s="1" t="str">
        <f>IFERROR(__xludf.DUMMYFUNCTION("""COMPUTED_VALUE"""),"033317")</f>
        <v>033317</v>
      </c>
      <c r="I58" s="1" t="str">
        <f>IFERROR(__xludf.DUMMYFUNCTION("""COMPUTED_VALUE"""),"นายอาณัติ เพชรภาน")</f>
        <v>นายอาณัติ เพชรภาน</v>
      </c>
      <c r="J58" s="3">
        <f>IFERROR(__xludf.DUMMYFUNCTION("""COMPUTED_VALUE"""),33317.0)</f>
        <v>33317</v>
      </c>
      <c r="K58" s="3" t="str">
        <f>IFERROR(__xludf.DUMMYFUNCTION("""COMPUTED_VALUE"""),"นายอาณัติ เพชรภาน")</f>
        <v>นายอาณัติ เพชรภาน</v>
      </c>
      <c r="L58" s="1" t="str">
        <f>IFERROR(__xludf.DUMMYFUNCTION("""COMPUTED_VALUE"""),"Hub10-NE 2")</f>
        <v>Hub10-NE 2</v>
      </c>
      <c r="M58" s="1" t="str">
        <f>IFERROR(__xludf.DUMMYFUNCTION("""COMPUTED_VALUE"""),"0644791409")</f>
        <v>0644791409</v>
      </c>
      <c r="N58" s="3">
        <f>IFERROR(__xludf.DUMMYFUNCTION("""COMPUTED_VALUE"""),11158.0)</f>
        <v>11158</v>
      </c>
      <c r="O58" s="3" t="str">
        <f>IFERROR(__xludf.DUMMYFUNCTION("""COMPUTED_VALUE"""),"ชัยภูมิ")</f>
        <v>ชัยภูมิ</v>
      </c>
      <c r="P58" s="4">
        <f>IFERROR(__xludf.DUMMYFUNCTION("""COMPUTED_VALUE"""),39582.0)</f>
        <v>39582</v>
      </c>
      <c r="Q58" s="3" t="str">
        <f>IFERROR(__xludf.DUMMYFUNCTION("""COMPUTED_VALUE"""),"A")</f>
        <v>A</v>
      </c>
      <c r="R58" s="3" t="str">
        <f>IFERROR(__xludf.DUMMYFUNCTION("""COMPUTED_VALUE"""),"Big Format")</f>
        <v>Big Format</v>
      </c>
      <c r="S58" s="3" t="str">
        <f>IFERROR(__xludf.DUMMYFUNCTION("""COMPUTED_VALUE"""),"Hyper")</f>
        <v>Hyper</v>
      </c>
      <c r="T58" s="3" t="str">
        <f>IFERROR(__xludf.DUMMYFUNCTION("""COMPUTED_VALUE"""),"Hub10-NE 2")</f>
        <v>Hub10-NE 2</v>
      </c>
      <c r="U58" s="3" t="str">
        <f>IFERROR(__xludf.DUMMYFUNCTION("""COMPUTED_VALUE"""),"Hub10-NE 2")</f>
        <v>Hub10-NE 2</v>
      </c>
      <c r="V58" s="3" t="str">
        <f>IFERROR(__xludf.DUMMYFUNCTION("""COMPUTED_VALUE"""),"N")</f>
        <v>N</v>
      </c>
      <c r="W58" s="3">
        <f>IFERROR(__xludf.DUMMYFUNCTION("""COMPUTED_VALUE"""),111158.0)</f>
        <v>111158</v>
      </c>
      <c r="X58" s="3" t="str">
        <f>IFERROR(__xludf.DUMMYFUNCTION("""COMPUTED_VALUE"""),"99 หมู่ที่ 1 ตำบลบุ่งคล้า อำเภอเมืองชัยภูมิ จังหวัดชัยภูมิ 36000")</f>
        <v>99 หมู่ที่ 1 ตำบลบุ่งคล้า อำเภอเมืองชัยภูมิ จังหวัดชัยภูมิ 36000</v>
      </c>
      <c r="Y58" s="3"/>
      <c r="Z58" s="3" t="str">
        <f>IFERROR(__xludf.DUMMYFUNCTION("""COMPUTED_VALUE"""),"บุ่งคล้า")</f>
        <v>บุ่งคล้า</v>
      </c>
      <c r="AA58" s="3" t="str">
        <f>IFERROR(__xludf.DUMMYFUNCTION("""COMPUTED_VALUE"""),"เมือง")</f>
        <v>เมือง</v>
      </c>
      <c r="AB58" s="3" t="str">
        <f>IFERROR(__xludf.DUMMYFUNCTION("""COMPUTED_VALUE"""),"ชัยภูมิ")</f>
        <v>ชัยภูมิ</v>
      </c>
      <c r="AC58" s="3">
        <f>IFERROR(__xludf.DUMMYFUNCTION("""COMPUTED_VALUE"""),36000.0)</f>
        <v>36000</v>
      </c>
      <c r="AD58" s="3">
        <f>IFERROR(__xludf.DUMMYFUNCTION("""COMPUTED_VALUE"""),15.778544)</f>
        <v>15.778544</v>
      </c>
      <c r="AE58" s="3">
        <f>IFERROR(__xludf.DUMMYFUNCTION("""COMPUTED_VALUE"""),102.02555)</f>
        <v>102.02555</v>
      </c>
      <c r="AF58" s="3" t="str">
        <f>IFERROR(__xludf.DUMMYFUNCTION("""COMPUTED_VALUE"""),"ชัยภูมิ-11158")</f>
        <v>ชัยภูมิ-11158</v>
      </c>
      <c r="AG58" s="3" t="str">
        <f>IFERROR(__xludf.DUMMYFUNCTION("""COMPUTED_VALUE"""),"ตะวันออกเฉียงเหนือ")</f>
        <v>ตะวันออกเฉียงเหนือ</v>
      </c>
      <c r="AH58" s="3" t="str">
        <f>IFERROR(__xludf.DUMMYFUNCTION("""COMPUTED_VALUE"""),"Pajaob Wongpakdee")</f>
        <v>Pajaob Wongpakdee</v>
      </c>
      <c r="AI58" s="3" t="str">
        <f>IFERROR(__xludf.DUMMYFUNCTION("""COMPUTED_VALUE"""),"Out of warranty")</f>
        <v>Out of warranty</v>
      </c>
      <c r="AJ58" s="3">
        <f>IFERROR(__xludf.DUMMYFUNCTION("""COMPUTED_VALUE"""),213.0)</f>
        <v>213</v>
      </c>
      <c r="AK58" s="3"/>
      <c r="AL58" s="3" t="str">
        <f>IFERROR(__xludf.DUMMYFUNCTION("""COMPUTED_VALUE"""),"sgm.chaiyaphom@bigc.co.th")</f>
        <v>sgm.chaiyaphom@bigc.co.th</v>
      </c>
    </row>
    <row r="59" ht="15.75" customHeight="1">
      <c r="A59" s="1" t="str">
        <f>IFERROR(__xludf.DUMMYFUNCTION("""COMPUTED_VALUE"""),"11159")</f>
        <v>11159</v>
      </c>
      <c r="B59" s="2">
        <f>IFERROR(__xludf.DUMMYFUNCTION("""COMPUTED_VALUE"""),11159.0)</f>
        <v>11159</v>
      </c>
      <c r="C59" s="3" t="str">
        <f>IFERROR(__xludf.DUMMYFUNCTION("""COMPUTED_VALUE"""),"เพชรบูรณ์")</f>
        <v>เพชรบูรณ์</v>
      </c>
      <c r="D59" s="3" t="str">
        <f>IFERROR(__xludf.DUMMYFUNCTION("""COMPUTED_VALUE"""),"BIGC PHETCHABUN")</f>
        <v>BIGC PHETCHABUN</v>
      </c>
      <c r="E59" s="1" t="str">
        <f>IFERROR(__xludf.DUMMYFUNCTION("""COMPUTED_VALUE"""),"บิ๊กซี HyperMarket")</f>
        <v>บิ๊กซี HyperMarket</v>
      </c>
      <c r="F59" s="1" t="str">
        <f>IFERROR(__xludf.DUMMYFUNCTION("""COMPUTED_VALUE"""),"000348")</f>
        <v>000348</v>
      </c>
      <c r="G59" s="1" t="str">
        <f>IFERROR(__xludf.DUMMYFUNCTION("""COMPUTED_VALUE"""),"นายธีรนันท์ ไม้สนธิ์")</f>
        <v>นายธีรนันท์ ไม้สนธิ์</v>
      </c>
      <c r="H59" s="1" t="str">
        <f>IFERROR(__xludf.DUMMYFUNCTION("""COMPUTED_VALUE"""),"000348")</f>
        <v>000348</v>
      </c>
      <c r="I59" s="1" t="str">
        <f>IFERROR(__xludf.DUMMYFUNCTION("""COMPUTED_VALUE"""),"นายธีรนันท์ ไม้สนธิ์")</f>
        <v>นายธีรนันท์ ไม้สนธิ์</v>
      </c>
      <c r="J59" s="3">
        <f>IFERROR(__xludf.DUMMYFUNCTION("""COMPUTED_VALUE"""),348.0)</f>
        <v>348</v>
      </c>
      <c r="K59" s="3" t="str">
        <f>IFERROR(__xludf.DUMMYFUNCTION("""COMPUTED_VALUE"""),"นายธีรนันท์ ไม้สนธิ์")</f>
        <v>นายธีรนันท์ ไม้สนธิ์</v>
      </c>
      <c r="L59" s="1" t="str">
        <f>IFERROR(__xludf.DUMMYFUNCTION("""COMPUTED_VALUE"""),"Hub07-North")</f>
        <v>Hub07-North</v>
      </c>
      <c r="M59" s="1" t="str">
        <f>IFERROR(__xludf.DUMMYFUNCTION("""COMPUTED_VALUE"""),"0614175866")</f>
        <v>0614175866</v>
      </c>
      <c r="N59" s="3">
        <f>IFERROR(__xludf.DUMMYFUNCTION("""COMPUTED_VALUE"""),11159.0)</f>
        <v>11159</v>
      </c>
      <c r="O59" s="3" t="str">
        <f>IFERROR(__xludf.DUMMYFUNCTION("""COMPUTED_VALUE"""),"เพชรบูรณ์")</f>
        <v>เพชรบูรณ์</v>
      </c>
      <c r="P59" s="4">
        <f>IFERROR(__xludf.DUMMYFUNCTION("""COMPUTED_VALUE"""),39603.0)</f>
        <v>39603</v>
      </c>
      <c r="Q59" s="3" t="str">
        <f>IFERROR(__xludf.DUMMYFUNCTION("""COMPUTED_VALUE"""),"A")</f>
        <v>A</v>
      </c>
      <c r="R59" s="3" t="str">
        <f>IFERROR(__xludf.DUMMYFUNCTION("""COMPUTED_VALUE"""),"Big Format")</f>
        <v>Big Format</v>
      </c>
      <c r="S59" s="3" t="str">
        <f>IFERROR(__xludf.DUMMYFUNCTION("""COMPUTED_VALUE"""),"Hyper")</f>
        <v>Hyper</v>
      </c>
      <c r="T59" s="3" t="str">
        <f>IFERROR(__xludf.DUMMYFUNCTION("""COMPUTED_VALUE"""),"Hub07-North")</f>
        <v>Hub07-North</v>
      </c>
      <c r="U59" s="3" t="str">
        <f>IFERROR(__xludf.DUMMYFUNCTION("""COMPUTED_VALUE"""),"Hub07-North")</f>
        <v>Hub07-North</v>
      </c>
      <c r="V59" s="3" t="str">
        <f>IFERROR(__xludf.DUMMYFUNCTION("""COMPUTED_VALUE"""),"N")</f>
        <v>N</v>
      </c>
      <c r="W59" s="3">
        <f>IFERROR(__xludf.DUMMYFUNCTION("""COMPUTED_VALUE"""),111159.0)</f>
        <v>111159</v>
      </c>
      <c r="X59" s="3" t="str">
        <f>IFERROR(__xludf.DUMMYFUNCTION("""COMPUTED_VALUE"""),"939 หมู่ที่ 2 ตำบลสะเดียง อำเภอเมืองเพชรบูรณ์ จังหวัดเพชรบูรณ์ 67000")</f>
        <v>939 หมู่ที่ 2 ตำบลสะเดียง อำเภอเมืองเพชรบูรณ์ จังหวัดเพชรบูรณ์ 67000</v>
      </c>
      <c r="Y59" s="3"/>
      <c r="Z59" s="3" t="str">
        <f>IFERROR(__xludf.DUMMYFUNCTION("""COMPUTED_VALUE"""),"สะเดียง")</f>
        <v>สะเดียง</v>
      </c>
      <c r="AA59" s="3" t="str">
        <f>IFERROR(__xludf.DUMMYFUNCTION("""COMPUTED_VALUE"""),"เมือง")</f>
        <v>เมือง</v>
      </c>
      <c r="AB59" s="3" t="str">
        <f>IFERROR(__xludf.DUMMYFUNCTION("""COMPUTED_VALUE"""),"เพชรบูรณ์")</f>
        <v>เพชรบูรณ์</v>
      </c>
      <c r="AC59" s="3">
        <f>IFERROR(__xludf.DUMMYFUNCTION("""COMPUTED_VALUE"""),67000.0)</f>
        <v>67000</v>
      </c>
      <c r="AD59" s="3">
        <f>IFERROR(__xludf.DUMMYFUNCTION("""COMPUTED_VALUE"""),16.39276)</f>
        <v>16.39276</v>
      </c>
      <c r="AE59" s="3">
        <f>IFERROR(__xludf.DUMMYFUNCTION("""COMPUTED_VALUE"""),101.13233)</f>
        <v>101.13233</v>
      </c>
      <c r="AF59" s="3" t="str">
        <f>IFERROR(__xludf.DUMMYFUNCTION("""COMPUTED_VALUE"""),"เพชรบูรณ์-11159")</f>
        <v>เพชรบูรณ์-11159</v>
      </c>
      <c r="AG59" s="3" t="str">
        <f>IFERROR(__xludf.DUMMYFUNCTION("""COMPUTED_VALUE"""),"กลาง")</f>
        <v>กลาง</v>
      </c>
      <c r="AH59" s="3" t="str">
        <f>IFERROR(__xludf.DUMMYFUNCTION("""COMPUTED_VALUE"""),"Wichai Soomboonsod")</f>
        <v>Wichai Soomboonsod</v>
      </c>
      <c r="AI59" s="3" t="str">
        <f>IFERROR(__xludf.DUMMYFUNCTION("""COMPUTED_VALUE"""),"Out of warranty")</f>
        <v>Out of warranty</v>
      </c>
      <c r="AJ59" s="3">
        <f>IFERROR(__xludf.DUMMYFUNCTION("""COMPUTED_VALUE"""),212.0)</f>
        <v>212</v>
      </c>
      <c r="AK59" s="3"/>
      <c r="AL59" s="3" t="str">
        <f>IFERROR(__xludf.DUMMYFUNCTION("""COMPUTED_VALUE"""),"sgm.phetchabun@bigc.co.th")</f>
        <v>sgm.phetchabun@bigc.co.th</v>
      </c>
    </row>
    <row r="60" ht="15.75" customHeight="1">
      <c r="A60" s="1" t="str">
        <f>IFERROR(__xludf.DUMMYFUNCTION("""COMPUTED_VALUE"""),"11160")</f>
        <v>11160</v>
      </c>
      <c r="B60" s="2">
        <f>IFERROR(__xludf.DUMMYFUNCTION("""COMPUTED_VALUE"""),11160.0)</f>
        <v>11160</v>
      </c>
      <c r="C60" s="3" t="str">
        <f>IFERROR(__xludf.DUMMYFUNCTION("""COMPUTED_VALUE"""),"กระบี่")</f>
        <v>กระบี่</v>
      </c>
      <c r="D60" s="3" t="str">
        <f>IFERROR(__xludf.DUMMYFUNCTION("""COMPUTED_VALUE"""),"BIGC KRABI")</f>
        <v>BIGC KRABI</v>
      </c>
      <c r="E60" s="1" t="str">
        <f>IFERROR(__xludf.DUMMYFUNCTION("""COMPUTED_VALUE"""),"บิ๊กซี HyperMarket")</f>
        <v>บิ๊กซี HyperMarket</v>
      </c>
      <c r="F60" s="1" t="str">
        <f>IFERROR(__xludf.DUMMYFUNCTION("""COMPUTED_VALUE"""),"2454709")</f>
        <v>2454709</v>
      </c>
      <c r="G60" s="1" t="str">
        <f>IFERROR(__xludf.DUMMYFUNCTION("""COMPUTED_VALUE"""),"นายประชา เกตุชาติ")</f>
        <v>นายประชา เกตุชาติ</v>
      </c>
      <c r="H60" s="1" t="str">
        <f>IFERROR(__xludf.DUMMYFUNCTION("""COMPUTED_VALUE"""),"2454709")</f>
        <v>2454709</v>
      </c>
      <c r="I60" s="1" t="str">
        <f>IFERROR(__xludf.DUMMYFUNCTION("""COMPUTED_VALUE"""),"นายประชา เกตุชาติ")</f>
        <v>นายประชา เกตุชาติ</v>
      </c>
      <c r="J60" s="3">
        <f>IFERROR(__xludf.DUMMYFUNCTION("""COMPUTED_VALUE"""),2454709.0)</f>
        <v>2454709</v>
      </c>
      <c r="K60" s="3" t="str">
        <f>IFERROR(__xludf.DUMMYFUNCTION("""COMPUTED_VALUE"""),"นายประชา เกตุชาติ")</f>
        <v>นายประชา เกตุชาติ</v>
      </c>
      <c r="L60" s="1" t="str">
        <f>IFERROR(__xludf.DUMMYFUNCTION("""COMPUTED_VALUE"""),"Hub05-South")</f>
        <v>Hub05-South</v>
      </c>
      <c r="M60" s="1" t="str">
        <f>IFERROR(__xludf.DUMMYFUNCTION("""COMPUTED_VALUE"""),"0659291311")</f>
        <v>0659291311</v>
      </c>
      <c r="N60" s="3">
        <f>IFERROR(__xludf.DUMMYFUNCTION("""COMPUTED_VALUE"""),11160.0)</f>
        <v>11160</v>
      </c>
      <c r="O60" s="3" t="str">
        <f>IFERROR(__xludf.DUMMYFUNCTION("""COMPUTED_VALUE"""),"กระบี่")</f>
        <v>กระบี่</v>
      </c>
      <c r="P60" s="4">
        <f>IFERROR(__xludf.DUMMYFUNCTION("""COMPUTED_VALUE"""),39625.0)</f>
        <v>39625</v>
      </c>
      <c r="Q60" s="3" t="str">
        <f>IFERROR(__xludf.DUMMYFUNCTION("""COMPUTED_VALUE"""),"A")</f>
        <v>A</v>
      </c>
      <c r="R60" s="3" t="str">
        <f>IFERROR(__xludf.DUMMYFUNCTION("""COMPUTED_VALUE"""),"Big Format")</f>
        <v>Big Format</v>
      </c>
      <c r="S60" s="3" t="str">
        <f>IFERROR(__xludf.DUMMYFUNCTION("""COMPUTED_VALUE"""),"Hyper")</f>
        <v>Hyper</v>
      </c>
      <c r="T60" s="3" t="str">
        <f>IFERROR(__xludf.DUMMYFUNCTION("""COMPUTED_VALUE"""),"Hub05-South")</f>
        <v>Hub05-South</v>
      </c>
      <c r="U60" s="3" t="str">
        <f>IFERROR(__xludf.DUMMYFUNCTION("""COMPUTED_VALUE"""),"Hub05-South")</f>
        <v>Hub05-South</v>
      </c>
      <c r="V60" s="3" t="str">
        <f>IFERROR(__xludf.DUMMYFUNCTION("""COMPUTED_VALUE"""),"N")</f>
        <v>N</v>
      </c>
      <c r="W60" s="3">
        <f>IFERROR(__xludf.DUMMYFUNCTION("""COMPUTED_VALUE"""),111160.0)</f>
        <v>111160</v>
      </c>
      <c r="X60" s="3" t="str">
        <f>IFERROR(__xludf.DUMMYFUNCTION("""COMPUTED_VALUE"""),"349 หมู่ที่ 11 ตำบลกระบี่น้อย อำเภอเมืองกระบี่ จังหวัดกระบี่ 81000")</f>
        <v>349 หมู่ที่ 11 ตำบลกระบี่น้อย อำเภอเมืองกระบี่ จังหวัดกระบี่ 81000</v>
      </c>
      <c r="Y60" s="3"/>
      <c r="Z60" s="3" t="str">
        <f>IFERROR(__xludf.DUMMYFUNCTION("""COMPUTED_VALUE"""),"กระบี่น้อย")</f>
        <v>กระบี่น้อย</v>
      </c>
      <c r="AA60" s="3" t="str">
        <f>IFERROR(__xludf.DUMMYFUNCTION("""COMPUTED_VALUE"""),"เมือง")</f>
        <v>เมือง</v>
      </c>
      <c r="AB60" s="3" t="str">
        <f>IFERROR(__xludf.DUMMYFUNCTION("""COMPUTED_VALUE"""),"กระบี่")</f>
        <v>กระบี่</v>
      </c>
      <c r="AC60" s="3">
        <f>IFERROR(__xludf.DUMMYFUNCTION("""COMPUTED_VALUE"""),81000.0)</f>
        <v>81000</v>
      </c>
      <c r="AD60" s="3">
        <f>IFERROR(__xludf.DUMMYFUNCTION("""COMPUTED_VALUE"""),8.10837)</f>
        <v>8.10837</v>
      </c>
      <c r="AE60" s="3">
        <f>IFERROR(__xludf.DUMMYFUNCTION("""COMPUTED_VALUE"""),98.92927)</f>
        <v>98.92927</v>
      </c>
      <c r="AF60" s="3" t="str">
        <f>IFERROR(__xludf.DUMMYFUNCTION("""COMPUTED_VALUE"""),"กระบี่-11160")</f>
        <v>กระบี่-11160</v>
      </c>
      <c r="AG60" s="3" t="str">
        <f>IFERROR(__xludf.DUMMYFUNCTION("""COMPUTED_VALUE"""),"ใต้")</f>
        <v>ใต้</v>
      </c>
      <c r="AH60" s="3" t="str">
        <f>IFERROR(__xludf.DUMMYFUNCTION("""COMPUTED_VALUE"""),"Suwadee Intachart")</f>
        <v>Suwadee Intachart</v>
      </c>
      <c r="AI60" s="3" t="str">
        <f>IFERROR(__xludf.DUMMYFUNCTION("""COMPUTED_VALUE"""),"Out of warranty")</f>
        <v>Out of warranty</v>
      </c>
      <c r="AJ60" s="3">
        <f>IFERROR(__xludf.DUMMYFUNCTION("""COMPUTED_VALUE"""),211.0)</f>
        <v>211</v>
      </c>
      <c r="AK60" s="3"/>
      <c r="AL60" s="3" t="str">
        <f>IFERROR(__xludf.DUMMYFUNCTION("""COMPUTED_VALUE"""),"sgm.krabi@bigc.co.th")</f>
        <v>sgm.krabi@bigc.co.th</v>
      </c>
    </row>
    <row r="61" ht="15.75" customHeight="1">
      <c r="A61" s="1" t="str">
        <f>IFERROR(__xludf.DUMMYFUNCTION("""COMPUTED_VALUE"""),"11161")</f>
        <v>11161</v>
      </c>
      <c r="B61" s="2">
        <f>IFERROR(__xludf.DUMMYFUNCTION("""COMPUTED_VALUE"""),11161.0)</f>
        <v>11161</v>
      </c>
      <c r="C61" s="3" t="str">
        <f>IFERROR(__xludf.DUMMYFUNCTION("""COMPUTED_VALUE"""),"นวนคร")</f>
        <v>นวนคร</v>
      </c>
      <c r="D61" s="3" t="str">
        <f>IFERROR(__xludf.DUMMYFUNCTION("""COMPUTED_VALUE"""),"BIGC NAVANAKORN")</f>
        <v>BIGC NAVANAKORN</v>
      </c>
      <c r="E61" s="1" t="str">
        <f>IFERROR(__xludf.DUMMYFUNCTION("""COMPUTED_VALUE"""),"บิ๊กซี HyperMarket")</f>
        <v>บิ๊กซี HyperMarket</v>
      </c>
      <c r="F61" s="1" t="str">
        <f>IFERROR(__xludf.DUMMYFUNCTION("""COMPUTED_VALUE"""),"2454813")</f>
        <v>2454813</v>
      </c>
      <c r="G61" s="1" t="str">
        <f>IFERROR(__xludf.DUMMYFUNCTION("""COMPUTED_VALUE"""),"นายอนุรักษ์ จั่นเที่ยง")</f>
        <v>นายอนุรักษ์ จั่นเที่ยง</v>
      </c>
      <c r="H61" s="1" t="str">
        <f>IFERROR(__xludf.DUMMYFUNCTION("""COMPUTED_VALUE"""),"2454813")</f>
        <v>2454813</v>
      </c>
      <c r="I61" s="1" t="str">
        <f>IFERROR(__xludf.DUMMYFUNCTION("""COMPUTED_VALUE"""),"นายอนุรักษ์ จั่นเที่ยง")</f>
        <v>นายอนุรักษ์ จั่นเที่ยง</v>
      </c>
      <c r="J61" s="3">
        <f>IFERROR(__xludf.DUMMYFUNCTION("""COMPUTED_VALUE"""),2454813.0)</f>
        <v>2454813</v>
      </c>
      <c r="K61" s="3" t="str">
        <f>IFERROR(__xludf.DUMMYFUNCTION("""COMPUTED_VALUE"""),"นายอนุรักษ์ จั่นเที่ยง")</f>
        <v>นายอนุรักษ์ จั่นเที่ยง</v>
      </c>
      <c r="L61" s="1" t="str">
        <f>IFERROR(__xludf.DUMMYFUNCTION("""COMPUTED_VALUE"""),"Hub04-BKK 4")</f>
        <v>Hub04-BKK 4</v>
      </c>
      <c r="M61" s="1" t="str">
        <f>IFERROR(__xludf.DUMMYFUNCTION("""COMPUTED_VALUE"""),"0991964531")</f>
        <v>0991964531</v>
      </c>
      <c r="N61" s="3">
        <f>IFERROR(__xludf.DUMMYFUNCTION("""COMPUTED_VALUE"""),11161.0)</f>
        <v>11161</v>
      </c>
      <c r="O61" s="3" t="str">
        <f>IFERROR(__xludf.DUMMYFUNCTION("""COMPUTED_VALUE"""),"นวนคร")</f>
        <v>นวนคร</v>
      </c>
      <c r="P61" s="4">
        <f>IFERROR(__xludf.DUMMYFUNCTION("""COMPUTED_VALUE"""),39662.0)</f>
        <v>39662</v>
      </c>
      <c r="Q61" s="3" t="str">
        <f>IFERROR(__xludf.DUMMYFUNCTION("""COMPUTED_VALUE"""),"A")</f>
        <v>A</v>
      </c>
      <c r="R61" s="3" t="str">
        <f>IFERROR(__xludf.DUMMYFUNCTION("""COMPUTED_VALUE"""),"Big Format")</f>
        <v>Big Format</v>
      </c>
      <c r="S61" s="3" t="str">
        <f>IFERROR(__xludf.DUMMYFUNCTION("""COMPUTED_VALUE"""),"Hyper")</f>
        <v>Hyper</v>
      </c>
      <c r="T61" s="3" t="str">
        <f>IFERROR(__xludf.DUMMYFUNCTION("""COMPUTED_VALUE"""),"Hub04-BKK 4")</f>
        <v>Hub04-BKK 4</v>
      </c>
      <c r="U61" s="3" t="str">
        <f>IFERROR(__xludf.DUMMYFUNCTION("""COMPUTED_VALUE"""),"Hub04-BKK 4")</f>
        <v>Hub04-BKK 4</v>
      </c>
      <c r="V61" s="3" t="str">
        <f>IFERROR(__xludf.DUMMYFUNCTION("""COMPUTED_VALUE"""),"N")</f>
        <v>N</v>
      </c>
      <c r="W61" s="3">
        <f>IFERROR(__xludf.DUMMYFUNCTION("""COMPUTED_VALUE"""),111161.0)</f>
        <v>111161</v>
      </c>
      <c r="X61" s="3" t="str">
        <f>IFERROR(__xludf.DUMMYFUNCTION("""COMPUTED_VALUE"""),"98/196 หมู่ที่ 13 ตำบลคลองหนึ่ง อำเภอคลองหลวง จังหวัดปทุมธานี 12120")</f>
        <v>98/196 หมู่ที่ 13 ตำบลคลองหนึ่ง อำเภอคลองหลวง จังหวัดปทุมธานี 12120</v>
      </c>
      <c r="Y61" s="3"/>
      <c r="Z61" s="3" t="str">
        <f>IFERROR(__xludf.DUMMYFUNCTION("""COMPUTED_VALUE"""),"คลองหนึ่ง")</f>
        <v>คลองหนึ่ง</v>
      </c>
      <c r="AA61" s="3" t="str">
        <f>IFERROR(__xludf.DUMMYFUNCTION("""COMPUTED_VALUE"""),"คลองหลวง")</f>
        <v>คลองหลวง</v>
      </c>
      <c r="AB61" s="3" t="str">
        <f>IFERROR(__xludf.DUMMYFUNCTION("""COMPUTED_VALUE"""),"ปทุมธานี")</f>
        <v>ปทุมธานี</v>
      </c>
      <c r="AC61" s="3">
        <f>IFERROR(__xludf.DUMMYFUNCTION("""COMPUTED_VALUE"""),12120.0)</f>
        <v>12120</v>
      </c>
      <c r="AD61" s="3">
        <f>IFERROR(__xludf.DUMMYFUNCTION("""COMPUTED_VALUE"""),14.12260275)</f>
        <v>14.12260275</v>
      </c>
      <c r="AE61" s="3">
        <f>IFERROR(__xludf.DUMMYFUNCTION("""COMPUTED_VALUE"""),100.6169826)</f>
        <v>100.6169826</v>
      </c>
      <c r="AF61" s="3" t="str">
        <f>IFERROR(__xludf.DUMMYFUNCTION("""COMPUTED_VALUE"""),"นวนคร-11161")</f>
        <v>นวนคร-11161</v>
      </c>
      <c r="AG61" s="3" t="str">
        <f>IFERROR(__xludf.DUMMYFUNCTION("""COMPUTED_VALUE"""),"กลาง")</f>
        <v>กลาง</v>
      </c>
      <c r="AH61" s="3" t="str">
        <f>IFERROR(__xludf.DUMMYFUNCTION("""COMPUTED_VALUE"""),"Natsarine Seammai")</f>
        <v>Natsarine Seammai</v>
      </c>
      <c r="AI61" s="3" t="str">
        <f>IFERROR(__xludf.DUMMYFUNCTION("""COMPUTED_VALUE"""),"Out of warranty")</f>
        <v>Out of warranty</v>
      </c>
      <c r="AJ61" s="3">
        <f>IFERROR(__xludf.DUMMYFUNCTION("""COMPUTED_VALUE"""),210.0)</f>
        <v>210</v>
      </c>
      <c r="AK61" s="3"/>
      <c r="AL61" s="3" t="str">
        <f>IFERROR(__xludf.DUMMYFUNCTION("""COMPUTED_VALUE"""),"sgm.navanakorn@bigc.co.th")</f>
        <v>sgm.navanakorn@bigc.co.th</v>
      </c>
    </row>
    <row r="62" ht="15.75" customHeight="1">
      <c r="A62" s="1" t="str">
        <f>IFERROR(__xludf.DUMMYFUNCTION("""COMPUTED_VALUE"""),"11162")</f>
        <v>11162</v>
      </c>
      <c r="B62" s="2">
        <f>IFERROR(__xludf.DUMMYFUNCTION("""COMPUTED_VALUE"""),11162.0)</f>
        <v>11162</v>
      </c>
      <c r="C62" s="3" t="str">
        <f>IFERROR(__xludf.DUMMYFUNCTION("""COMPUTED_VALUE"""),"รังสิตคลองหก")</f>
        <v>รังสิตคลองหก</v>
      </c>
      <c r="D62" s="3" t="str">
        <f>IFERROR(__xludf.DUMMYFUNCTION("""COMPUTED_VALUE"""),"BIGC RANGSIT KLONG6")</f>
        <v>BIGC RANGSIT KLONG6</v>
      </c>
      <c r="E62" s="1" t="str">
        <f>IFERROR(__xludf.DUMMYFUNCTION("""COMPUTED_VALUE"""),"บิ๊กซี HyperMarket")</f>
        <v>บิ๊กซี HyperMarket</v>
      </c>
      <c r="F62" s="1" t="str">
        <f>IFERROR(__xludf.DUMMYFUNCTION("""COMPUTED_VALUE"""),"2454813")</f>
        <v>2454813</v>
      </c>
      <c r="G62" s="1" t="str">
        <f>IFERROR(__xludf.DUMMYFUNCTION("""COMPUTED_VALUE"""),"นายอนุรักษ์ จั่นเที่ยง")</f>
        <v>นายอนุรักษ์ จั่นเที่ยง</v>
      </c>
      <c r="H62" s="1" t="str">
        <f>IFERROR(__xludf.DUMMYFUNCTION("""COMPUTED_VALUE"""),"2454813")</f>
        <v>2454813</v>
      </c>
      <c r="I62" s="1" t="str">
        <f>IFERROR(__xludf.DUMMYFUNCTION("""COMPUTED_VALUE"""),"นายอนุรักษ์ จั่นเที่ยง")</f>
        <v>นายอนุรักษ์ จั่นเที่ยง</v>
      </c>
      <c r="J62" s="3">
        <f>IFERROR(__xludf.DUMMYFUNCTION("""COMPUTED_VALUE"""),2454813.0)</f>
        <v>2454813</v>
      </c>
      <c r="K62" s="3" t="str">
        <f>IFERROR(__xludf.DUMMYFUNCTION("""COMPUTED_VALUE"""),"นายอนุรักษ์ จั่นเที่ยง")</f>
        <v>นายอนุรักษ์ จั่นเที่ยง</v>
      </c>
      <c r="L62" s="1" t="str">
        <f>IFERROR(__xludf.DUMMYFUNCTION("""COMPUTED_VALUE"""),"Hub04-BKK 4")</f>
        <v>Hub04-BKK 4</v>
      </c>
      <c r="M62" s="1" t="str">
        <f>IFERROR(__xludf.DUMMYFUNCTION("""COMPUTED_VALUE"""),"0991964531")</f>
        <v>0991964531</v>
      </c>
      <c r="N62" s="3">
        <f>IFERROR(__xludf.DUMMYFUNCTION("""COMPUTED_VALUE"""),11162.0)</f>
        <v>11162</v>
      </c>
      <c r="O62" s="3" t="str">
        <f>IFERROR(__xludf.DUMMYFUNCTION("""COMPUTED_VALUE"""),"รังสิตคลองหก")</f>
        <v>รังสิตคลองหก</v>
      </c>
      <c r="P62" s="4">
        <f>IFERROR(__xludf.DUMMYFUNCTION("""COMPUTED_VALUE"""),39664.0)</f>
        <v>39664</v>
      </c>
      <c r="Q62" s="3" t="str">
        <f>IFERROR(__xludf.DUMMYFUNCTION("""COMPUTED_VALUE"""),"A")</f>
        <v>A</v>
      </c>
      <c r="R62" s="3" t="str">
        <f>IFERROR(__xludf.DUMMYFUNCTION("""COMPUTED_VALUE"""),"Big Format")</f>
        <v>Big Format</v>
      </c>
      <c r="S62" s="3" t="str">
        <f>IFERROR(__xludf.DUMMYFUNCTION("""COMPUTED_VALUE"""),"Hyper")</f>
        <v>Hyper</v>
      </c>
      <c r="T62" s="3" t="str">
        <f>IFERROR(__xludf.DUMMYFUNCTION("""COMPUTED_VALUE"""),"Hub04-BKK 4")</f>
        <v>Hub04-BKK 4</v>
      </c>
      <c r="U62" s="3" t="str">
        <f>IFERROR(__xludf.DUMMYFUNCTION("""COMPUTED_VALUE"""),"Hub04-BKK 4")</f>
        <v>Hub04-BKK 4</v>
      </c>
      <c r="V62" s="3" t="str">
        <f>IFERROR(__xludf.DUMMYFUNCTION("""COMPUTED_VALUE"""),"N")</f>
        <v>N</v>
      </c>
      <c r="W62" s="3">
        <f>IFERROR(__xludf.DUMMYFUNCTION("""COMPUTED_VALUE"""),111162.0)</f>
        <v>111162</v>
      </c>
      <c r="X62" s="3" t="str">
        <f>IFERROR(__xludf.DUMMYFUNCTION("""COMPUTED_VALUE"""),"158/17 หมู่ที่ 4 ตำบลรังสิต อำเภอธัญบุรี จังหวัดปทุมธานี 12110")</f>
        <v>158/17 หมู่ที่ 4 ตำบลรังสิต อำเภอธัญบุรี จังหวัดปทุมธานี 12110</v>
      </c>
      <c r="Y62" s="3"/>
      <c r="Z62" s="3" t="str">
        <f>IFERROR(__xludf.DUMMYFUNCTION("""COMPUTED_VALUE"""),"รังสิต")</f>
        <v>รังสิต</v>
      </c>
      <c r="AA62" s="3" t="str">
        <f>IFERROR(__xludf.DUMMYFUNCTION("""COMPUTED_VALUE"""),"ธัญบุรี")</f>
        <v>ธัญบุรี</v>
      </c>
      <c r="AB62" s="3" t="str">
        <f>IFERROR(__xludf.DUMMYFUNCTION("""COMPUTED_VALUE"""),"ปทุมธานี")</f>
        <v>ปทุมธานี</v>
      </c>
      <c r="AC62" s="3">
        <f>IFERROR(__xludf.DUMMYFUNCTION("""COMPUTED_VALUE"""),12110.0)</f>
        <v>12110</v>
      </c>
      <c r="AD62" s="3">
        <f>IFERROR(__xludf.DUMMYFUNCTION("""COMPUTED_VALUE"""),14.02584059)</f>
        <v>14.02584059</v>
      </c>
      <c r="AE62" s="3">
        <f>IFERROR(__xludf.DUMMYFUNCTION("""COMPUTED_VALUE"""),100.7433414)</f>
        <v>100.7433414</v>
      </c>
      <c r="AF62" s="3" t="str">
        <f>IFERROR(__xludf.DUMMYFUNCTION("""COMPUTED_VALUE"""),"รังสิตคลองหก-11162")</f>
        <v>รังสิตคลองหก-11162</v>
      </c>
      <c r="AG62" s="3" t="str">
        <f>IFERROR(__xludf.DUMMYFUNCTION("""COMPUTED_VALUE"""),"กลาง")</f>
        <v>กลาง</v>
      </c>
      <c r="AH62" s="3" t="str">
        <f>IFERROR(__xludf.DUMMYFUNCTION("""COMPUTED_VALUE"""),"Natsarine Seammai")</f>
        <v>Natsarine Seammai</v>
      </c>
      <c r="AI62" s="3" t="str">
        <f>IFERROR(__xludf.DUMMYFUNCTION("""COMPUTED_VALUE"""),"Out of warranty")</f>
        <v>Out of warranty</v>
      </c>
      <c r="AJ62" s="3">
        <f>IFERROR(__xludf.DUMMYFUNCTION("""COMPUTED_VALUE"""),210.0)</f>
        <v>210</v>
      </c>
      <c r="AK62" s="3"/>
      <c r="AL62" s="3" t="str">
        <f>IFERROR(__xludf.DUMMYFUNCTION("""COMPUTED_VALUE"""),"sgm.rangsit_k6@bigc.co.th")</f>
        <v>sgm.rangsit_k6@bigc.co.th</v>
      </c>
    </row>
    <row r="63" ht="15.75" customHeight="1">
      <c r="A63" s="1" t="str">
        <f>IFERROR(__xludf.DUMMYFUNCTION("""COMPUTED_VALUE"""),"11163")</f>
        <v>11163</v>
      </c>
      <c r="B63" s="2">
        <f>IFERROR(__xludf.DUMMYFUNCTION("""COMPUTED_VALUE"""),11163.0)</f>
        <v>11163</v>
      </c>
      <c r="C63" s="3" t="str">
        <f>IFERROR(__xludf.DUMMYFUNCTION("""COMPUTED_VALUE"""),"ยโสธร")</f>
        <v>ยโสธร</v>
      </c>
      <c r="D63" s="3" t="str">
        <f>IFERROR(__xludf.DUMMYFUNCTION("""COMPUTED_VALUE"""),"BIGC YASOTHON")</f>
        <v>BIGC YASOTHON</v>
      </c>
      <c r="E63" s="1" t="str">
        <f>IFERROR(__xludf.DUMMYFUNCTION("""COMPUTED_VALUE"""),"บิ๊กซี HyperMarket")</f>
        <v>บิ๊กซี HyperMarket</v>
      </c>
      <c r="F63" s="1" t="str">
        <f>IFERROR(__xludf.DUMMYFUNCTION("""COMPUTED_VALUE"""),"033317")</f>
        <v>033317</v>
      </c>
      <c r="G63" s="1" t="str">
        <f>IFERROR(__xludf.DUMMYFUNCTION("""COMPUTED_VALUE"""),"นายอาณัติ เพชรภาน")</f>
        <v>นายอาณัติ เพชรภาน</v>
      </c>
      <c r="H63" s="1" t="str">
        <f>IFERROR(__xludf.DUMMYFUNCTION("""COMPUTED_VALUE"""),"033317")</f>
        <v>033317</v>
      </c>
      <c r="I63" s="1" t="str">
        <f>IFERROR(__xludf.DUMMYFUNCTION("""COMPUTED_VALUE"""),"นายอาณัติ เพชรภาน")</f>
        <v>นายอาณัติ เพชรภาน</v>
      </c>
      <c r="J63" s="3">
        <f>IFERROR(__xludf.DUMMYFUNCTION("""COMPUTED_VALUE"""),33317.0)</f>
        <v>33317</v>
      </c>
      <c r="K63" s="3" t="str">
        <f>IFERROR(__xludf.DUMMYFUNCTION("""COMPUTED_VALUE"""),"นายอาณัติ เพชรภาน")</f>
        <v>นายอาณัติ เพชรภาน</v>
      </c>
      <c r="L63" s="1" t="str">
        <f>IFERROR(__xludf.DUMMYFUNCTION("""COMPUTED_VALUE"""),"Hub10-NE 2")</f>
        <v>Hub10-NE 2</v>
      </c>
      <c r="M63" s="1" t="str">
        <f>IFERROR(__xludf.DUMMYFUNCTION("""COMPUTED_VALUE"""),"0644791409")</f>
        <v>0644791409</v>
      </c>
      <c r="N63" s="3">
        <f>IFERROR(__xludf.DUMMYFUNCTION("""COMPUTED_VALUE"""),11163.0)</f>
        <v>11163</v>
      </c>
      <c r="O63" s="3" t="str">
        <f>IFERROR(__xludf.DUMMYFUNCTION("""COMPUTED_VALUE"""),"ยโสธร")</f>
        <v>ยโสธร</v>
      </c>
      <c r="P63" s="4">
        <f>IFERROR(__xludf.DUMMYFUNCTION("""COMPUTED_VALUE"""),39714.0)</f>
        <v>39714</v>
      </c>
      <c r="Q63" s="3" t="str">
        <f>IFERROR(__xludf.DUMMYFUNCTION("""COMPUTED_VALUE"""),"A")</f>
        <v>A</v>
      </c>
      <c r="R63" s="3" t="str">
        <f>IFERROR(__xludf.DUMMYFUNCTION("""COMPUTED_VALUE"""),"Big Format")</f>
        <v>Big Format</v>
      </c>
      <c r="S63" s="3" t="str">
        <f>IFERROR(__xludf.DUMMYFUNCTION("""COMPUTED_VALUE"""),"Hyper")</f>
        <v>Hyper</v>
      </c>
      <c r="T63" s="3" t="str">
        <f>IFERROR(__xludf.DUMMYFUNCTION("""COMPUTED_VALUE"""),"Hub10-NE 2")</f>
        <v>Hub10-NE 2</v>
      </c>
      <c r="U63" s="3" t="str">
        <f>IFERROR(__xludf.DUMMYFUNCTION("""COMPUTED_VALUE"""),"Hub10-NE 2")</f>
        <v>Hub10-NE 2</v>
      </c>
      <c r="V63" s="3" t="str">
        <f>IFERROR(__xludf.DUMMYFUNCTION("""COMPUTED_VALUE"""),"N")</f>
        <v>N</v>
      </c>
      <c r="W63" s="3">
        <f>IFERROR(__xludf.DUMMYFUNCTION("""COMPUTED_VALUE"""),111163.0)</f>
        <v>111163</v>
      </c>
      <c r="X63" s="3" t="str">
        <f>IFERROR(__xludf.DUMMYFUNCTION("""COMPUTED_VALUE"""),"323 หมู่ที่ 2 ตำบลสำราญ อำเภอเมืองยโสธร จังหวัดยโสธร 35000")</f>
        <v>323 หมู่ที่ 2 ตำบลสำราญ อำเภอเมืองยโสธร จังหวัดยโสธร 35000</v>
      </c>
      <c r="Y63" s="3"/>
      <c r="Z63" s="3" t="str">
        <f>IFERROR(__xludf.DUMMYFUNCTION("""COMPUTED_VALUE"""),"สำราญ")</f>
        <v>สำราญ</v>
      </c>
      <c r="AA63" s="3" t="str">
        <f>IFERROR(__xludf.DUMMYFUNCTION("""COMPUTED_VALUE"""),"เมือง")</f>
        <v>เมือง</v>
      </c>
      <c r="AB63" s="3" t="str">
        <f>IFERROR(__xludf.DUMMYFUNCTION("""COMPUTED_VALUE"""),"ยโสธร")</f>
        <v>ยโสธร</v>
      </c>
      <c r="AC63" s="3">
        <f>IFERROR(__xludf.DUMMYFUNCTION("""COMPUTED_VALUE"""),35000.0)</f>
        <v>35000</v>
      </c>
      <c r="AD63" s="3">
        <f>IFERROR(__xludf.DUMMYFUNCTION("""COMPUTED_VALUE"""),15.8226)</f>
        <v>15.8226</v>
      </c>
      <c r="AE63" s="3">
        <f>IFERROR(__xludf.DUMMYFUNCTION("""COMPUTED_VALUE"""),104.122)</f>
        <v>104.122</v>
      </c>
      <c r="AF63" s="3" t="str">
        <f>IFERROR(__xludf.DUMMYFUNCTION("""COMPUTED_VALUE"""),"ยโสธร-11163")</f>
        <v>ยโสธร-11163</v>
      </c>
      <c r="AG63" s="3" t="str">
        <f>IFERROR(__xludf.DUMMYFUNCTION("""COMPUTED_VALUE"""),"ตะวันออกเฉียงเหนือ")</f>
        <v>ตะวันออกเฉียงเหนือ</v>
      </c>
      <c r="AH63" s="3" t="str">
        <f>IFERROR(__xludf.DUMMYFUNCTION("""COMPUTED_VALUE"""),"Pajaob Wongpakdee")</f>
        <v>Pajaob Wongpakdee</v>
      </c>
      <c r="AI63" s="3" t="str">
        <f>IFERROR(__xludf.DUMMYFUNCTION("""COMPUTED_VALUE"""),"Out of warranty")</f>
        <v>Out of warranty</v>
      </c>
      <c r="AJ63" s="3">
        <f>IFERROR(__xludf.DUMMYFUNCTION("""COMPUTED_VALUE"""),208.0)</f>
        <v>208</v>
      </c>
      <c r="AK63" s="3"/>
      <c r="AL63" s="3" t="str">
        <f>IFERROR(__xludf.DUMMYFUNCTION("""COMPUTED_VALUE"""),"sgm.yasothon@bigc.co.th")</f>
        <v>sgm.yasothon@bigc.co.th</v>
      </c>
    </row>
    <row r="64" ht="15.75" customHeight="1">
      <c r="A64" s="1" t="str">
        <f>IFERROR(__xludf.DUMMYFUNCTION("""COMPUTED_VALUE"""),"11164")</f>
        <v>11164</v>
      </c>
      <c r="B64" s="2">
        <f>IFERROR(__xludf.DUMMYFUNCTION("""COMPUTED_VALUE"""),11164.0)</f>
        <v>11164</v>
      </c>
      <c r="C64" s="3" t="str">
        <f>IFERROR(__xludf.DUMMYFUNCTION("""COMPUTED_VALUE"""),"สระแก้ว")</f>
        <v>สระแก้ว</v>
      </c>
      <c r="D64" s="3" t="str">
        <f>IFERROR(__xludf.DUMMYFUNCTION("""COMPUTED_VALUE"""),"BIGC SAKAEO")</f>
        <v>BIGC SAKAEO</v>
      </c>
      <c r="E64" s="1" t="str">
        <f>IFERROR(__xludf.DUMMYFUNCTION("""COMPUTED_VALUE"""),"บิ๊กซี HyperMarket")</f>
        <v>บิ๊กซี HyperMarket</v>
      </c>
      <c r="F64" s="1" t="str">
        <f>IFERROR(__xludf.DUMMYFUNCTION("""COMPUTED_VALUE"""),"2455164")</f>
        <v>2455164</v>
      </c>
      <c r="G64" s="1" t="str">
        <f>IFERROR(__xludf.DUMMYFUNCTION("""COMPUTED_VALUE"""),"นายกรวิทย์ เจริญพร")</f>
        <v>นายกรวิทย์ เจริญพร</v>
      </c>
      <c r="H64" s="1" t="str">
        <f>IFERROR(__xludf.DUMMYFUNCTION("""COMPUTED_VALUE"""),"2455164")</f>
        <v>2455164</v>
      </c>
      <c r="I64" s="1" t="str">
        <f>IFERROR(__xludf.DUMMYFUNCTION("""COMPUTED_VALUE"""),"นายกรวิทย์ เจริญพร")</f>
        <v>นายกรวิทย์ เจริญพร</v>
      </c>
      <c r="J64" s="3">
        <f>IFERROR(__xludf.DUMMYFUNCTION("""COMPUTED_VALUE"""),2455164.0)</f>
        <v>2455164</v>
      </c>
      <c r="K64" s="3" t="str">
        <f>IFERROR(__xludf.DUMMYFUNCTION("""COMPUTED_VALUE"""),"นายกรวิทย์ เจริญพร")</f>
        <v>นายกรวิทย์ เจริญพร</v>
      </c>
      <c r="L64" s="1" t="str">
        <f>IFERROR(__xludf.DUMMYFUNCTION("""COMPUTED_VALUE"""),"Hub08-East")</f>
        <v>Hub08-East</v>
      </c>
      <c r="M64" s="1" t="str">
        <f>IFERROR(__xludf.DUMMYFUNCTION("""COMPUTED_VALUE"""),"092-605-9922")</f>
        <v>092-605-9922</v>
      </c>
      <c r="N64" s="3">
        <f>IFERROR(__xludf.DUMMYFUNCTION("""COMPUTED_VALUE"""),11164.0)</f>
        <v>11164</v>
      </c>
      <c r="O64" s="3" t="str">
        <f>IFERROR(__xludf.DUMMYFUNCTION("""COMPUTED_VALUE"""),"สระแก้ว")</f>
        <v>สระแก้ว</v>
      </c>
      <c r="P64" s="4">
        <f>IFERROR(__xludf.DUMMYFUNCTION("""COMPUTED_VALUE"""),39729.0)</f>
        <v>39729</v>
      </c>
      <c r="Q64" s="3" t="str">
        <f>IFERROR(__xludf.DUMMYFUNCTION("""COMPUTED_VALUE"""),"A")</f>
        <v>A</v>
      </c>
      <c r="R64" s="3" t="str">
        <f>IFERROR(__xludf.DUMMYFUNCTION("""COMPUTED_VALUE"""),"Big Format")</f>
        <v>Big Format</v>
      </c>
      <c r="S64" s="3" t="str">
        <f>IFERROR(__xludf.DUMMYFUNCTION("""COMPUTED_VALUE"""),"Hyper")</f>
        <v>Hyper</v>
      </c>
      <c r="T64" s="3" t="str">
        <f>IFERROR(__xludf.DUMMYFUNCTION("""COMPUTED_VALUE"""),"Hub08-East")</f>
        <v>Hub08-East</v>
      </c>
      <c r="U64" s="3" t="str">
        <f>IFERROR(__xludf.DUMMYFUNCTION("""COMPUTED_VALUE"""),"Hub08-East")</f>
        <v>Hub08-East</v>
      </c>
      <c r="V64" s="3" t="str">
        <f>IFERROR(__xludf.DUMMYFUNCTION("""COMPUTED_VALUE"""),"N")</f>
        <v>N</v>
      </c>
      <c r="W64" s="3">
        <f>IFERROR(__xludf.DUMMYFUNCTION("""COMPUTED_VALUE"""),111164.0)</f>
        <v>111164</v>
      </c>
      <c r="X64" s="3" t="str">
        <f>IFERROR(__xludf.DUMMYFUNCTION("""COMPUTED_VALUE"""),"352 ถนนสุวรรณศร ตำบลสระแก้ว อำเภอเมืองสระแก้ว จังหวัดสระแก้ว 27000")</f>
        <v>352 ถนนสุวรรณศร ตำบลสระแก้ว อำเภอเมืองสระแก้ว จังหวัดสระแก้ว 27000</v>
      </c>
      <c r="Y64" s="3" t="str">
        <f>IFERROR(__xludf.DUMMYFUNCTION("""COMPUTED_VALUE"""),"ถนนสุวรรณศร")</f>
        <v>ถนนสุวรรณศร</v>
      </c>
      <c r="Z64" s="3" t="str">
        <f>IFERROR(__xludf.DUMMYFUNCTION("""COMPUTED_VALUE"""),"สระแก้ว")</f>
        <v>สระแก้ว</v>
      </c>
      <c r="AA64" s="3" t="str">
        <f>IFERROR(__xludf.DUMMYFUNCTION("""COMPUTED_VALUE"""),"เมือง")</f>
        <v>เมือง</v>
      </c>
      <c r="AB64" s="3" t="str">
        <f>IFERROR(__xludf.DUMMYFUNCTION("""COMPUTED_VALUE"""),"สระแก้ว")</f>
        <v>สระแก้ว</v>
      </c>
      <c r="AC64" s="3">
        <f>IFERROR(__xludf.DUMMYFUNCTION("""COMPUTED_VALUE"""),27000.0)</f>
        <v>27000</v>
      </c>
      <c r="AD64" s="3">
        <f>IFERROR(__xludf.DUMMYFUNCTION("""COMPUTED_VALUE"""),13.81166)</f>
        <v>13.81166</v>
      </c>
      <c r="AE64" s="3">
        <f>IFERROR(__xludf.DUMMYFUNCTION("""COMPUTED_VALUE"""),102.077149)</f>
        <v>102.077149</v>
      </c>
      <c r="AF64" s="3" t="str">
        <f>IFERROR(__xludf.DUMMYFUNCTION("""COMPUTED_VALUE"""),"สระแก้ว-11164")</f>
        <v>สระแก้ว-11164</v>
      </c>
      <c r="AG64" s="3" t="str">
        <f>IFERROR(__xludf.DUMMYFUNCTION("""COMPUTED_VALUE"""),"ตะวันออก")</f>
        <v>ตะวันออก</v>
      </c>
      <c r="AH64" s="3" t="str">
        <f>IFERROR(__xludf.DUMMYFUNCTION("""COMPUTED_VALUE"""),"Walaiporn Sutyod")</f>
        <v>Walaiporn Sutyod</v>
      </c>
      <c r="AI64" s="3" t="str">
        <f>IFERROR(__xludf.DUMMYFUNCTION("""COMPUTED_VALUE"""),"Out of warranty")</f>
        <v>Out of warranty</v>
      </c>
      <c r="AJ64" s="3">
        <f>IFERROR(__xludf.DUMMYFUNCTION("""COMPUTED_VALUE"""),208.0)</f>
        <v>208</v>
      </c>
      <c r="AK64" s="3"/>
      <c r="AL64" s="3" t="str">
        <f>IFERROR(__xludf.DUMMYFUNCTION("""COMPUTED_VALUE"""),"sgm.sakaew@bigc.co.th")</f>
        <v>sgm.sakaew@bigc.co.th</v>
      </c>
    </row>
    <row r="65" ht="15.75" customHeight="1">
      <c r="A65" s="1" t="str">
        <f>IFERROR(__xludf.DUMMYFUNCTION("""COMPUTED_VALUE"""),"11165")</f>
        <v>11165</v>
      </c>
      <c r="B65" s="2">
        <f>IFERROR(__xludf.DUMMYFUNCTION("""COMPUTED_VALUE"""),11165.0)</f>
        <v>11165</v>
      </c>
      <c r="C65" s="3" t="str">
        <f>IFERROR(__xludf.DUMMYFUNCTION("""COMPUTED_VALUE"""),"วารินชำราบ")</f>
        <v>วารินชำราบ</v>
      </c>
      <c r="D65" s="3" t="str">
        <f>IFERROR(__xludf.DUMMYFUNCTION("""COMPUTED_VALUE"""),"BIGC VARINCHUMRAB")</f>
        <v>BIGC VARINCHUMRAB</v>
      </c>
      <c r="E65" s="1" t="str">
        <f>IFERROR(__xludf.DUMMYFUNCTION("""COMPUTED_VALUE"""),"บิ๊กซี HyperMarket")</f>
        <v>บิ๊กซี HyperMarket</v>
      </c>
      <c r="F65" s="1" t="str">
        <f>IFERROR(__xludf.DUMMYFUNCTION("""COMPUTED_VALUE"""),"033317")</f>
        <v>033317</v>
      </c>
      <c r="G65" s="1" t="str">
        <f>IFERROR(__xludf.DUMMYFUNCTION("""COMPUTED_VALUE"""),"นายอาณัติ เพชรภาน")</f>
        <v>นายอาณัติ เพชรภาน</v>
      </c>
      <c r="H65" s="1" t="str">
        <f>IFERROR(__xludf.DUMMYFUNCTION("""COMPUTED_VALUE"""),"033317")</f>
        <v>033317</v>
      </c>
      <c r="I65" s="1" t="str">
        <f>IFERROR(__xludf.DUMMYFUNCTION("""COMPUTED_VALUE"""),"นายอาณัติ เพชรภาน")</f>
        <v>นายอาณัติ เพชรภาน</v>
      </c>
      <c r="J65" s="3">
        <f>IFERROR(__xludf.DUMMYFUNCTION("""COMPUTED_VALUE"""),33317.0)</f>
        <v>33317</v>
      </c>
      <c r="K65" s="3" t="str">
        <f>IFERROR(__xludf.DUMMYFUNCTION("""COMPUTED_VALUE"""),"นายอาณัติ เพชรภาน")</f>
        <v>นายอาณัติ เพชรภาน</v>
      </c>
      <c r="L65" s="1" t="str">
        <f>IFERROR(__xludf.DUMMYFUNCTION("""COMPUTED_VALUE"""),"Hub10-NE 2")</f>
        <v>Hub10-NE 2</v>
      </c>
      <c r="M65" s="1" t="str">
        <f>IFERROR(__xludf.DUMMYFUNCTION("""COMPUTED_VALUE"""),"0644791409")</f>
        <v>0644791409</v>
      </c>
      <c r="N65" s="3">
        <f>IFERROR(__xludf.DUMMYFUNCTION("""COMPUTED_VALUE"""),11165.0)</f>
        <v>11165</v>
      </c>
      <c r="O65" s="3" t="str">
        <f>IFERROR(__xludf.DUMMYFUNCTION("""COMPUTED_VALUE"""),"วารินชำราบ")</f>
        <v>วารินชำราบ</v>
      </c>
      <c r="P65" s="4">
        <f>IFERROR(__xludf.DUMMYFUNCTION("""COMPUTED_VALUE"""),39751.0)</f>
        <v>39751</v>
      </c>
      <c r="Q65" s="3" t="str">
        <f>IFERROR(__xludf.DUMMYFUNCTION("""COMPUTED_VALUE"""),"A")</f>
        <v>A</v>
      </c>
      <c r="R65" s="3" t="str">
        <f>IFERROR(__xludf.DUMMYFUNCTION("""COMPUTED_VALUE"""),"Big Format")</f>
        <v>Big Format</v>
      </c>
      <c r="S65" s="3" t="str">
        <f>IFERROR(__xludf.DUMMYFUNCTION("""COMPUTED_VALUE"""),"Hyper")</f>
        <v>Hyper</v>
      </c>
      <c r="T65" s="3" t="str">
        <f>IFERROR(__xludf.DUMMYFUNCTION("""COMPUTED_VALUE"""),"Hub10-NE 2")</f>
        <v>Hub10-NE 2</v>
      </c>
      <c r="U65" s="3" t="str">
        <f>IFERROR(__xludf.DUMMYFUNCTION("""COMPUTED_VALUE"""),"Hub10-NE 2")</f>
        <v>Hub10-NE 2</v>
      </c>
      <c r="V65" s="3" t="str">
        <f>IFERROR(__xludf.DUMMYFUNCTION("""COMPUTED_VALUE"""),"N")</f>
        <v>N</v>
      </c>
      <c r="W65" s="3">
        <f>IFERROR(__xludf.DUMMYFUNCTION("""COMPUTED_VALUE"""),111165.0)</f>
        <v>111165</v>
      </c>
      <c r="X65" s="3" t="str">
        <f>IFERROR(__xludf.DUMMYFUNCTION("""COMPUTED_VALUE"""),"322 หมู่ที่ 8 ตำบลแสนสุข อำเภอวารินชำราบ จังหวัดอุบลราชธานี 34190")</f>
        <v>322 หมู่ที่ 8 ตำบลแสนสุข อำเภอวารินชำราบ จังหวัดอุบลราชธานี 34190</v>
      </c>
      <c r="Y65" s="3"/>
      <c r="Z65" s="3" t="str">
        <f>IFERROR(__xludf.DUMMYFUNCTION("""COMPUTED_VALUE"""),"แสนสุข")</f>
        <v>แสนสุข</v>
      </c>
      <c r="AA65" s="3" t="str">
        <f>IFERROR(__xludf.DUMMYFUNCTION("""COMPUTED_VALUE"""),"วารินชำราบ")</f>
        <v>วารินชำราบ</v>
      </c>
      <c r="AB65" s="3" t="str">
        <f>IFERROR(__xludf.DUMMYFUNCTION("""COMPUTED_VALUE"""),"อุบลราชธานี")</f>
        <v>อุบลราชธานี</v>
      </c>
      <c r="AC65" s="3">
        <f>IFERROR(__xludf.DUMMYFUNCTION("""COMPUTED_VALUE"""),34190.0)</f>
        <v>34190</v>
      </c>
      <c r="AD65" s="3">
        <f>IFERROR(__xludf.DUMMYFUNCTION("""COMPUTED_VALUE"""),15.167136)</f>
        <v>15.167136</v>
      </c>
      <c r="AE65" s="3">
        <f>IFERROR(__xludf.DUMMYFUNCTION("""COMPUTED_VALUE"""),104.854994)</f>
        <v>104.854994</v>
      </c>
      <c r="AF65" s="3" t="str">
        <f>IFERROR(__xludf.DUMMYFUNCTION("""COMPUTED_VALUE"""),"วารินชำราบ-11165")</f>
        <v>วารินชำราบ-11165</v>
      </c>
      <c r="AG65" s="3" t="str">
        <f>IFERROR(__xludf.DUMMYFUNCTION("""COMPUTED_VALUE"""),"ตะวันออกเฉียงเหนือ")</f>
        <v>ตะวันออกเฉียงเหนือ</v>
      </c>
      <c r="AH65" s="3" t="str">
        <f>IFERROR(__xludf.DUMMYFUNCTION("""COMPUTED_VALUE"""),"Pajaob Wongpakdee")</f>
        <v>Pajaob Wongpakdee</v>
      </c>
      <c r="AI65" s="3" t="str">
        <f>IFERROR(__xludf.DUMMYFUNCTION("""COMPUTED_VALUE"""),"Out of warranty")</f>
        <v>Out of warranty</v>
      </c>
      <c r="AJ65" s="3">
        <f>IFERROR(__xludf.DUMMYFUNCTION("""COMPUTED_VALUE"""),207.0)</f>
        <v>207</v>
      </c>
      <c r="AK65" s="3"/>
      <c r="AL65" s="3" t="str">
        <f>IFERROR(__xludf.DUMMYFUNCTION("""COMPUTED_VALUE"""),"sgm.varinchamrub@bigc.co.th")</f>
        <v>sgm.varinchamrub@bigc.co.th</v>
      </c>
    </row>
    <row r="66" ht="15.75" customHeight="1">
      <c r="A66" s="1" t="str">
        <f>IFERROR(__xludf.DUMMYFUNCTION("""COMPUTED_VALUE"""),"11166")</f>
        <v>11166</v>
      </c>
      <c r="B66" s="2">
        <f>IFERROR(__xludf.DUMMYFUNCTION("""COMPUTED_VALUE"""),11166.0)</f>
        <v>11166</v>
      </c>
      <c r="C66" s="3" t="str">
        <f>IFERROR(__xludf.DUMMYFUNCTION("""COMPUTED_VALUE"""),"มหาสารคาม")</f>
        <v>มหาสารคาม</v>
      </c>
      <c r="D66" s="3" t="str">
        <f>IFERROR(__xludf.DUMMYFUNCTION("""COMPUTED_VALUE"""),"BIGC MAHASARAKHAM")</f>
        <v>BIGC MAHASARAKHAM</v>
      </c>
      <c r="E66" s="1" t="str">
        <f>IFERROR(__xludf.DUMMYFUNCTION("""COMPUTED_VALUE"""),"บิ๊กซี HyperMarket")</f>
        <v>บิ๊กซี HyperMarket</v>
      </c>
      <c r="F66" s="1" t="str">
        <f>IFERROR(__xludf.DUMMYFUNCTION("""COMPUTED_VALUE"""),"295801")</f>
        <v>295801</v>
      </c>
      <c r="G66" s="1" t="str">
        <f>IFERROR(__xludf.DUMMYFUNCTION("""COMPUTED_VALUE"""),"นายอรรถพล เหล่าสุวงศ์")</f>
        <v>นายอรรถพล เหล่าสุวงศ์</v>
      </c>
      <c r="H66" s="1" t="str">
        <f>IFERROR(__xludf.DUMMYFUNCTION("""COMPUTED_VALUE"""),"295801")</f>
        <v>295801</v>
      </c>
      <c r="I66" s="1" t="str">
        <f>IFERROR(__xludf.DUMMYFUNCTION("""COMPUTED_VALUE"""),"นายอรรถพล เหล่าสุวงศ์")</f>
        <v>นายอรรถพล เหล่าสุวงศ์</v>
      </c>
      <c r="J66" s="3">
        <f>IFERROR(__xludf.DUMMYFUNCTION("""COMPUTED_VALUE"""),295801.0)</f>
        <v>295801</v>
      </c>
      <c r="K66" s="3" t="str">
        <f>IFERROR(__xludf.DUMMYFUNCTION("""COMPUTED_VALUE"""),"นายอรรถพล เหล่าสุวงศ์")</f>
        <v>นายอรรถพล เหล่าสุวงศ์</v>
      </c>
      <c r="L66" s="1" t="str">
        <f>IFERROR(__xludf.DUMMYFUNCTION("""COMPUTED_VALUE"""),"Hub09-NE 1")</f>
        <v>Hub09-NE 1</v>
      </c>
      <c r="M66" s="1" t="str">
        <f>IFERROR(__xludf.DUMMYFUNCTION("""COMPUTED_VALUE"""),"0655090879")</f>
        <v>0655090879</v>
      </c>
      <c r="N66" s="3">
        <f>IFERROR(__xludf.DUMMYFUNCTION("""COMPUTED_VALUE"""),11166.0)</f>
        <v>11166</v>
      </c>
      <c r="O66" s="3" t="str">
        <f>IFERROR(__xludf.DUMMYFUNCTION("""COMPUTED_VALUE"""),"มหาสารคาม")</f>
        <v>มหาสารคาม</v>
      </c>
      <c r="P66" s="4">
        <f>IFERROR(__xludf.DUMMYFUNCTION("""COMPUTED_VALUE"""),39763.0)</f>
        <v>39763</v>
      </c>
      <c r="Q66" s="3" t="str">
        <f>IFERROR(__xludf.DUMMYFUNCTION("""COMPUTED_VALUE"""),"A")</f>
        <v>A</v>
      </c>
      <c r="R66" s="3" t="str">
        <f>IFERROR(__xludf.DUMMYFUNCTION("""COMPUTED_VALUE"""),"Big Format")</f>
        <v>Big Format</v>
      </c>
      <c r="S66" s="3" t="str">
        <f>IFERROR(__xludf.DUMMYFUNCTION("""COMPUTED_VALUE"""),"Hyper")</f>
        <v>Hyper</v>
      </c>
      <c r="T66" s="3" t="str">
        <f>IFERROR(__xludf.DUMMYFUNCTION("""COMPUTED_VALUE"""),"Hub09-NE 1")</f>
        <v>Hub09-NE 1</v>
      </c>
      <c r="U66" s="3" t="str">
        <f>IFERROR(__xludf.DUMMYFUNCTION("""COMPUTED_VALUE"""),"Hub09-NE 1")</f>
        <v>Hub09-NE 1</v>
      </c>
      <c r="V66" s="3" t="str">
        <f>IFERROR(__xludf.DUMMYFUNCTION("""COMPUTED_VALUE"""),"N")</f>
        <v>N</v>
      </c>
      <c r="W66" s="3">
        <f>IFERROR(__xludf.DUMMYFUNCTION("""COMPUTED_VALUE"""),111166.0)</f>
        <v>111166</v>
      </c>
      <c r="X66" s="3" t="str">
        <f>IFERROR(__xludf.DUMMYFUNCTION("""COMPUTED_VALUE"""),"238/1-3 หมู่ที่ 11 ตำบลเกิ้ง อำเภอเมืองมหาสารคาม จังหวัดมหาสารคาม 44000")</f>
        <v>238/1-3 หมู่ที่ 11 ตำบลเกิ้ง อำเภอเมืองมหาสารคาม จังหวัดมหาสารคาม 44000</v>
      </c>
      <c r="Y66" s="3"/>
      <c r="Z66" s="3" t="str">
        <f>IFERROR(__xludf.DUMMYFUNCTION("""COMPUTED_VALUE"""),"เกิ้ง")</f>
        <v>เกิ้ง</v>
      </c>
      <c r="AA66" s="3" t="str">
        <f>IFERROR(__xludf.DUMMYFUNCTION("""COMPUTED_VALUE"""),"เมือง")</f>
        <v>เมือง</v>
      </c>
      <c r="AB66" s="3" t="str">
        <f>IFERROR(__xludf.DUMMYFUNCTION("""COMPUTED_VALUE"""),"มหาสารคาม")</f>
        <v>มหาสารคาม</v>
      </c>
      <c r="AC66" s="3">
        <f>IFERROR(__xludf.DUMMYFUNCTION("""COMPUTED_VALUE"""),44000.0)</f>
        <v>44000</v>
      </c>
      <c r="AD66" s="3">
        <f>IFERROR(__xludf.DUMMYFUNCTION("""COMPUTED_VALUE"""),16.222661)</f>
        <v>16.222661</v>
      </c>
      <c r="AE66" s="3">
        <f>IFERROR(__xludf.DUMMYFUNCTION("""COMPUTED_VALUE"""),103.27409)</f>
        <v>103.27409</v>
      </c>
      <c r="AF66" s="3" t="str">
        <f>IFERROR(__xludf.DUMMYFUNCTION("""COMPUTED_VALUE"""),"มหาสารคาม-11166")</f>
        <v>มหาสารคาม-11166</v>
      </c>
      <c r="AG66" s="3" t="str">
        <f>IFERROR(__xludf.DUMMYFUNCTION("""COMPUTED_VALUE"""),"ตะวันออกเฉียงเหนือ")</f>
        <v>ตะวันออกเฉียงเหนือ</v>
      </c>
      <c r="AH66" s="3" t="str">
        <f>IFERROR(__xludf.DUMMYFUNCTION("""COMPUTED_VALUE"""),"K.Narabordee")</f>
        <v>K.Narabordee</v>
      </c>
      <c r="AI66" s="3" t="str">
        <f>IFERROR(__xludf.DUMMYFUNCTION("""COMPUTED_VALUE"""),"Out of warranty")</f>
        <v>Out of warranty</v>
      </c>
      <c r="AJ66" s="3">
        <f>IFERROR(__xludf.DUMMYFUNCTION("""COMPUTED_VALUE"""),207.0)</f>
        <v>207</v>
      </c>
      <c r="AK66" s="3"/>
      <c r="AL66" s="3" t="str">
        <f>IFERROR(__xludf.DUMMYFUNCTION("""COMPUTED_VALUE"""),"sgm.mahasarakham@bigc.co.th")</f>
        <v>sgm.mahasarakham@bigc.co.th</v>
      </c>
    </row>
    <row r="67" ht="15.75" customHeight="1">
      <c r="A67" s="1" t="str">
        <f>IFERROR(__xludf.DUMMYFUNCTION("""COMPUTED_VALUE"""),"11167")</f>
        <v>11167</v>
      </c>
      <c r="B67" s="2">
        <f>IFERROR(__xludf.DUMMYFUNCTION("""COMPUTED_VALUE"""),11167.0)</f>
        <v>11167</v>
      </c>
      <c r="C67" s="3" t="str">
        <f>IFERROR(__xludf.DUMMYFUNCTION("""COMPUTED_VALUE"""),"ศรีสะเกษ")</f>
        <v>ศรีสะเกษ</v>
      </c>
      <c r="D67" s="3" t="str">
        <f>IFERROR(__xludf.DUMMYFUNCTION("""COMPUTED_VALUE"""),"BIGC SISAKET")</f>
        <v>BIGC SISAKET</v>
      </c>
      <c r="E67" s="1" t="str">
        <f>IFERROR(__xludf.DUMMYFUNCTION("""COMPUTED_VALUE"""),"บิ๊กซี HyperMarket")</f>
        <v>บิ๊กซี HyperMarket</v>
      </c>
      <c r="F67" s="1" t="str">
        <f>IFERROR(__xludf.DUMMYFUNCTION("""COMPUTED_VALUE"""),"033317")</f>
        <v>033317</v>
      </c>
      <c r="G67" s="1" t="str">
        <f>IFERROR(__xludf.DUMMYFUNCTION("""COMPUTED_VALUE"""),"นายอาณัติ เพชรภาน")</f>
        <v>นายอาณัติ เพชรภาน</v>
      </c>
      <c r="H67" s="1" t="str">
        <f>IFERROR(__xludf.DUMMYFUNCTION("""COMPUTED_VALUE"""),"033317")</f>
        <v>033317</v>
      </c>
      <c r="I67" s="1" t="str">
        <f>IFERROR(__xludf.DUMMYFUNCTION("""COMPUTED_VALUE"""),"นายอาณัติ เพชรภาน")</f>
        <v>นายอาณัติ เพชรภาน</v>
      </c>
      <c r="J67" s="3">
        <f>IFERROR(__xludf.DUMMYFUNCTION("""COMPUTED_VALUE"""),33317.0)</f>
        <v>33317</v>
      </c>
      <c r="K67" s="3" t="str">
        <f>IFERROR(__xludf.DUMMYFUNCTION("""COMPUTED_VALUE"""),"นายอาณัติ เพชรภาน")</f>
        <v>นายอาณัติ เพชรภาน</v>
      </c>
      <c r="L67" s="1" t="str">
        <f>IFERROR(__xludf.DUMMYFUNCTION("""COMPUTED_VALUE"""),"Hub10-NE 2")</f>
        <v>Hub10-NE 2</v>
      </c>
      <c r="M67" s="1" t="str">
        <f>IFERROR(__xludf.DUMMYFUNCTION("""COMPUTED_VALUE"""),"0644791409")</f>
        <v>0644791409</v>
      </c>
      <c r="N67" s="3">
        <f>IFERROR(__xludf.DUMMYFUNCTION("""COMPUTED_VALUE"""),11167.0)</f>
        <v>11167</v>
      </c>
      <c r="O67" s="3" t="str">
        <f>IFERROR(__xludf.DUMMYFUNCTION("""COMPUTED_VALUE"""),"ศรีสะเกษ")</f>
        <v>ศรีสะเกษ</v>
      </c>
      <c r="P67" s="4">
        <f>IFERROR(__xludf.DUMMYFUNCTION("""COMPUTED_VALUE"""),39912.0)</f>
        <v>39912</v>
      </c>
      <c r="Q67" s="3" t="str">
        <f>IFERROR(__xludf.DUMMYFUNCTION("""COMPUTED_VALUE"""),"A")</f>
        <v>A</v>
      </c>
      <c r="R67" s="3" t="str">
        <f>IFERROR(__xludf.DUMMYFUNCTION("""COMPUTED_VALUE"""),"Big Format")</f>
        <v>Big Format</v>
      </c>
      <c r="S67" s="3" t="str">
        <f>IFERROR(__xludf.DUMMYFUNCTION("""COMPUTED_VALUE"""),"Hyper")</f>
        <v>Hyper</v>
      </c>
      <c r="T67" s="3" t="str">
        <f>IFERROR(__xludf.DUMMYFUNCTION("""COMPUTED_VALUE"""),"Hub10-NE 2")</f>
        <v>Hub10-NE 2</v>
      </c>
      <c r="U67" s="3" t="str">
        <f>IFERROR(__xludf.DUMMYFUNCTION("""COMPUTED_VALUE"""),"Hub10-NE 2")</f>
        <v>Hub10-NE 2</v>
      </c>
      <c r="V67" s="3" t="str">
        <f>IFERROR(__xludf.DUMMYFUNCTION("""COMPUTED_VALUE"""),"N")</f>
        <v>N</v>
      </c>
      <c r="W67" s="3">
        <f>IFERROR(__xludf.DUMMYFUNCTION("""COMPUTED_VALUE"""),111167.0)</f>
        <v>111167</v>
      </c>
      <c r="X67" s="3" t="str">
        <f>IFERROR(__xludf.DUMMYFUNCTION("""COMPUTED_VALUE"""),"29/49 หมู่ที่ 11 ตำบลหญ้าปล้อง อำเภอเมืองศรีสะเกษ จังหวัดศรีสะเกษ 33000")</f>
        <v>29/49 หมู่ที่ 11 ตำบลหญ้าปล้อง อำเภอเมืองศรีสะเกษ จังหวัดศรีสะเกษ 33000</v>
      </c>
      <c r="Y67" s="3"/>
      <c r="Z67" s="3" t="str">
        <f>IFERROR(__xludf.DUMMYFUNCTION("""COMPUTED_VALUE"""),"หญ้าปล้อง")</f>
        <v>หญ้าปล้อง</v>
      </c>
      <c r="AA67" s="3" t="str">
        <f>IFERROR(__xludf.DUMMYFUNCTION("""COMPUTED_VALUE"""),"เมือง")</f>
        <v>เมือง</v>
      </c>
      <c r="AB67" s="3" t="str">
        <f>IFERROR(__xludf.DUMMYFUNCTION("""COMPUTED_VALUE"""),"ศรีสะเกษ")</f>
        <v>ศรีสะเกษ</v>
      </c>
      <c r="AC67" s="3">
        <f>IFERROR(__xludf.DUMMYFUNCTION("""COMPUTED_VALUE"""),33000.0)</f>
        <v>33000</v>
      </c>
      <c r="AD67" s="3">
        <f>IFERROR(__xludf.DUMMYFUNCTION("""COMPUTED_VALUE"""),15.12)</f>
        <v>15.12</v>
      </c>
      <c r="AE67" s="3">
        <f>IFERROR(__xludf.DUMMYFUNCTION("""COMPUTED_VALUE"""),104.3108)</f>
        <v>104.3108</v>
      </c>
      <c r="AF67" s="3" t="str">
        <f>IFERROR(__xludf.DUMMYFUNCTION("""COMPUTED_VALUE"""),"ศรีสะเกษ-11167")</f>
        <v>ศรีสะเกษ-11167</v>
      </c>
      <c r="AG67" s="3" t="str">
        <f>IFERROR(__xludf.DUMMYFUNCTION("""COMPUTED_VALUE"""),"ตะวันออกเฉียงเหนือ")</f>
        <v>ตะวันออกเฉียงเหนือ</v>
      </c>
      <c r="AH67" s="3" t="str">
        <f>IFERROR(__xludf.DUMMYFUNCTION("""COMPUTED_VALUE"""),"Pajaob Wongpakdee")</f>
        <v>Pajaob Wongpakdee</v>
      </c>
      <c r="AI67" s="3" t="str">
        <f>IFERROR(__xludf.DUMMYFUNCTION("""COMPUTED_VALUE"""),"Out of warranty")</f>
        <v>Out of warranty</v>
      </c>
      <c r="AJ67" s="3">
        <f>IFERROR(__xludf.DUMMYFUNCTION("""COMPUTED_VALUE"""),202.0)</f>
        <v>202</v>
      </c>
      <c r="AK67" s="3"/>
      <c r="AL67" s="3" t="str">
        <f>IFERROR(__xludf.DUMMYFUNCTION("""COMPUTED_VALUE"""),"sgm.sisaket@bigc.co.th")</f>
        <v>sgm.sisaket@bigc.co.th</v>
      </c>
    </row>
    <row r="68" ht="15.75" customHeight="1">
      <c r="A68" s="1" t="str">
        <f>IFERROR(__xludf.DUMMYFUNCTION("""COMPUTED_VALUE"""),"11168")</f>
        <v>11168</v>
      </c>
      <c r="B68" s="2">
        <f>IFERROR(__xludf.DUMMYFUNCTION("""COMPUTED_VALUE"""),11168.0)</f>
        <v>11168</v>
      </c>
      <c r="C68" s="3" t="str">
        <f>IFERROR(__xludf.DUMMYFUNCTION("""COMPUTED_VALUE"""),"มหาชัย")</f>
        <v>มหาชัย</v>
      </c>
      <c r="D68" s="3" t="str">
        <f>IFERROR(__xludf.DUMMYFUNCTION("""COMPUTED_VALUE"""),"BIGC MAHACHAI")</f>
        <v>BIGC MAHACHAI</v>
      </c>
      <c r="E68" s="1" t="str">
        <f>IFERROR(__xludf.DUMMYFUNCTION("""COMPUTED_VALUE"""),"บิ๊กซี HyperMarket")</f>
        <v>บิ๊กซี HyperMarket</v>
      </c>
      <c r="F68" s="1" t="str">
        <f>IFERROR(__xludf.DUMMYFUNCTION("""COMPUTED_VALUE"""),"2454701")</f>
        <v>2454701</v>
      </c>
      <c r="G68" s="1" t="str">
        <f>IFERROR(__xludf.DUMMYFUNCTION("""COMPUTED_VALUE"""),"นายกานต์ ไชยแสงศรี")</f>
        <v>นายกานต์ ไชยแสงศรี</v>
      </c>
      <c r="H68" s="1" t="str">
        <f>IFERROR(__xludf.DUMMYFUNCTION("""COMPUTED_VALUE"""),"2454701")</f>
        <v>2454701</v>
      </c>
      <c r="I68" s="1" t="str">
        <f>IFERROR(__xludf.DUMMYFUNCTION("""COMPUTED_VALUE"""),"นายกานต์ ไชยแสงศรี")</f>
        <v>นายกานต์ ไชยแสงศรี</v>
      </c>
      <c r="J68" s="3">
        <f>IFERROR(__xludf.DUMMYFUNCTION("""COMPUTED_VALUE"""),2454701.0)</f>
        <v>2454701</v>
      </c>
      <c r="K68" s="3" t="str">
        <f>IFERROR(__xludf.DUMMYFUNCTION("""COMPUTED_VALUE"""),"นายกานต์ ไชยแสงศรี")</f>
        <v>นายกานต์ ไชยแสงศรี</v>
      </c>
      <c r="L68" s="1" t="str">
        <f>IFERROR(__xludf.DUMMYFUNCTION("""COMPUTED_VALUE"""),"Hub01-BKK 1")</f>
        <v>Hub01-BKK 1</v>
      </c>
      <c r="M68" s="1" t="str">
        <f>IFERROR(__xludf.DUMMYFUNCTION("""COMPUTED_VALUE"""),"0909090652")</f>
        <v>0909090652</v>
      </c>
      <c r="N68" s="3">
        <f>IFERROR(__xludf.DUMMYFUNCTION("""COMPUTED_VALUE"""),11168.0)</f>
        <v>11168</v>
      </c>
      <c r="O68" s="3" t="str">
        <f>IFERROR(__xludf.DUMMYFUNCTION("""COMPUTED_VALUE"""),"มหาชัย")</f>
        <v>มหาชัย</v>
      </c>
      <c r="P68" s="4">
        <f>IFERROR(__xludf.DUMMYFUNCTION("""COMPUTED_VALUE"""),40269.0)</f>
        <v>40269</v>
      </c>
      <c r="Q68" s="3" t="str">
        <f>IFERROR(__xludf.DUMMYFUNCTION("""COMPUTED_VALUE"""),"A")</f>
        <v>A</v>
      </c>
      <c r="R68" s="3" t="str">
        <f>IFERROR(__xludf.DUMMYFUNCTION("""COMPUTED_VALUE"""),"Big Format")</f>
        <v>Big Format</v>
      </c>
      <c r="S68" s="3" t="str">
        <f>IFERROR(__xludf.DUMMYFUNCTION("""COMPUTED_VALUE"""),"Hyper")</f>
        <v>Hyper</v>
      </c>
      <c r="T68" s="3" t="str">
        <f>IFERROR(__xludf.DUMMYFUNCTION("""COMPUTED_VALUE"""),"Hub01-BKK 1")</f>
        <v>Hub01-BKK 1</v>
      </c>
      <c r="U68" s="3" t="str">
        <f>IFERROR(__xludf.DUMMYFUNCTION("""COMPUTED_VALUE"""),"Hub01-BKK 1")</f>
        <v>Hub01-BKK 1</v>
      </c>
      <c r="V68" s="3" t="str">
        <f>IFERROR(__xludf.DUMMYFUNCTION("""COMPUTED_VALUE"""),"N")</f>
        <v>N</v>
      </c>
      <c r="W68" s="3">
        <f>IFERROR(__xludf.DUMMYFUNCTION("""COMPUTED_VALUE"""),111168.0)</f>
        <v>111168</v>
      </c>
      <c r="X68" s="3" t="str">
        <f>IFERROR(__xludf.DUMMYFUNCTION("""COMPUTED_VALUE"""),"79 หมู่ที่ 8 ตำบลท่าทราย อำเภอเมืองสมุทรสาคร จังหวัดสมุทรสาคร 74000")</f>
        <v>79 หมู่ที่ 8 ตำบลท่าทราย อำเภอเมืองสมุทรสาคร จังหวัดสมุทรสาคร 74000</v>
      </c>
      <c r="Y68" s="3"/>
      <c r="Z68" s="3" t="str">
        <f>IFERROR(__xludf.DUMMYFUNCTION("""COMPUTED_VALUE"""),"ท่าทราย")</f>
        <v>ท่าทราย</v>
      </c>
      <c r="AA68" s="3" t="str">
        <f>IFERROR(__xludf.DUMMYFUNCTION("""COMPUTED_VALUE"""),"เมือง")</f>
        <v>เมือง</v>
      </c>
      <c r="AB68" s="3" t="str">
        <f>IFERROR(__xludf.DUMMYFUNCTION("""COMPUTED_VALUE"""),"สมุทรสาคร")</f>
        <v>สมุทรสาคร</v>
      </c>
      <c r="AC68" s="3">
        <f>IFERROR(__xludf.DUMMYFUNCTION("""COMPUTED_VALUE"""),74000.0)</f>
        <v>74000</v>
      </c>
      <c r="AD68" s="3">
        <f>IFERROR(__xludf.DUMMYFUNCTION("""COMPUTED_VALUE"""),13.5652)</f>
        <v>13.5652</v>
      </c>
      <c r="AE68" s="3">
        <f>IFERROR(__xludf.DUMMYFUNCTION("""COMPUTED_VALUE"""),100.2726)</f>
        <v>100.2726</v>
      </c>
      <c r="AF68" s="3" t="str">
        <f>IFERROR(__xludf.DUMMYFUNCTION("""COMPUTED_VALUE"""),"มหาชัย-11168")</f>
        <v>มหาชัย-11168</v>
      </c>
      <c r="AG68" s="3" t="str">
        <f>IFERROR(__xludf.DUMMYFUNCTION("""COMPUTED_VALUE"""),"กลาง")</f>
        <v>กลาง</v>
      </c>
      <c r="AH68" s="3" t="str">
        <f>IFERROR(__xludf.DUMMYFUNCTION("""COMPUTED_VALUE"""),"Suchin Thawinwisan")</f>
        <v>Suchin Thawinwisan</v>
      </c>
      <c r="AI68" s="3" t="str">
        <f>IFERROR(__xludf.DUMMYFUNCTION("""COMPUTED_VALUE"""),"Out of warranty")</f>
        <v>Out of warranty</v>
      </c>
      <c r="AJ68" s="3">
        <f>IFERROR(__xludf.DUMMYFUNCTION("""COMPUTED_VALUE"""),190.0)</f>
        <v>190</v>
      </c>
      <c r="AK68" s="3"/>
      <c r="AL68" s="3" t="str">
        <f>IFERROR(__xludf.DUMMYFUNCTION("""COMPUTED_VALUE"""),"sgm.mahachai@bigc.co.th")</f>
        <v>sgm.mahachai@bigc.co.th</v>
      </c>
    </row>
    <row r="69" ht="15.75" customHeight="1">
      <c r="A69" s="1" t="str">
        <f>IFERROR(__xludf.DUMMYFUNCTION("""COMPUTED_VALUE"""),"11169")</f>
        <v>11169</v>
      </c>
      <c r="B69" s="2">
        <f>IFERROR(__xludf.DUMMYFUNCTION("""COMPUTED_VALUE"""),11169.0)</f>
        <v>11169</v>
      </c>
      <c r="C69" s="3" t="str">
        <f>IFERROR(__xludf.DUMMYFUNCTION("""COMPUTED_VALUE"""),"อำนาจเจริญ")</f>
        <v>อำนาจเจริญ</v>
      </c>
      <c r="D69" s="3" t="str">
        <f>IFERROR(__xludf.DUMMYFUNCTION("""COMPUTED_VALUE"""),"BIGC AMNAT CHAROEN")</f>
        <v>BIGC AMNAT CHAROEN</v>
      </c>
      <c r="E69" s="1" t="str">
        <f>IFERROR(__xludf.DUMMYFUNCTION("""COMPUTED_VALUE"""),"บิ๊กซี HyperMarket")</f>
        <v>บิ๊กซี HyperMarket</v>
      </c>
      <c r="F69" s="1" t="str">
        <f>IFERROR(__xludf.DUMMYFUNCTION("""COMPUTED_VALUE"""),"033317")</f>
        <v>033317</v>
      </c>
      <c r="G69" s="1" t="str">
        <f>IFERROR(__xludf.DUMMYFUNCTION("""COMPUTED_VALUE"""),"นายอาณัติ เพชรภาน")</f>
        <v>นายอาณัติ เพชรภาน</v>
      </c>
      <c r="H69" s="1" t="str">
        <f>IFERROR(__xludf.DUMMYFUNCTION("""COMPUTED_VALUE"""),"033317")</f>
        <v>033317</v>
      </c>
      <c r="I69" s="1" t="str">
        <f>IFERROR(__xludf.DUMMYFUNCTION("""COMPUTED_VALUE"""),"นายอาณัติ เพชรภาน")</f>
        <v>นายอาณัติ เพชรภาน</v>
      </c>
      <c r="J69" s="3">
        <f>IFERROR(__xludf.DUMMYFUNCTION("""COMPUTED_VALUE"""),33317.0)</f>
        <v>33317</v>
      </c>
      <c r="K69" s="3" t="str">
        <f>IFERROR(__xludf.DUMMYFUNCTION("""COMPUTED_VALUE"""),"นายอาณัติ เพชรภาน")</f>
        <v>นายอาณัติ เพชรภาน</v>
      </c>
      <c r="L69" s="1" t="str">
        <f>IFERROR(__xludf.DUMMYFUNCTION("""COMPUTED_VALUE"""),"Hub10-NE 2")</f>
        <v>Hub10-NE 2</v>
      </c>
      <c r="M69" s="1" t="str">
        <f>IFERROR(__xludf.DUMMYFUNCTION("""COMPUTED_VALUE"""),"0644791409")</f>
        <v>0644791409</v>
      </c>
      <c r="N69" s="3">
        <f>IFERROR(__xludf.DUMMYFUNCTION("""COMPUTED_VALUE"""),11169.0)</f>
        <v>11169</v>
      </c>
      <c r="O69" s="3" t="str">
        <f>IFERROR(__xludf.DUMMYFUNCTION("""COMPUTED_VALUE"""),"อำนาจเจริญ")</f>
        <v>อำนาจเจริญ</v>
      </c>
      <c r="P69" s="4">
        <f>IFERROR(__xludf.DUMMYFUNCTION("""COMPUTED_VALUE"""),40479.0)</f>
        <v>40479</v>
      </c>
      <c r="Q69" s="3" t="str">
        <f>IFERROR(__xludf.DUMMYFUNCTION("""COMPUTED_VALUE"""),"A")</f>
        <v>A</v>
      </c>
      <c r="R69" s="3" t="str">
        <f>IFERROR(__xludf.DUMMYFUNCTION("""COMPUTED_VALUE"""),"Big Format")</f>
        <v>Big Format</v>
      </c>
      <c r="S69" s="3" t="str">
        <f>IFERROR(__xludf.DUMMYFUNCTION("""COMPUTED_VALUE"""),"Hyper")</f>
        <v>Hyper</v>
      </c>
      <c r="T69" s="3" t="str">
        <f>IFERROR(__xludf.DUMMYFUNCTION("""COMPUTED_VALUE"""),"Hub10-NE 2")</f>
        <v>Hub10-NE 2</v>
      </c>
      <c r="U69" s="3" t="str">
        <f>IFERROR(__xludf.DUMMYFUNCTION("""COMPUTED_VALUE"""),"Hub10-NE 2")</f>
        <v>Hub10-NE 2</v>
      </c>
      <c r="V69" s="3" t="str">
        <f>IFERROR(__xludf.DUMMYFUNCTION("""COMPUTED_VALUE"""),"N")</f>
        <v>N</v>
      </c>
      <c r="W69" s="3">
        <f>IFERROR(__xludf.DUMMYFUNCTION("""COMPUTED_VALUE"""),111169.0)</f>
        <v>111169</v>
      </c>
      <c r="X69" s="3" t="str">
        <f>IFERROR(__xludf.DUMMYFUNCTION("""COMPUTED_VALUE"""),"477 หมู่ที่ 7 ตำบลบุ่ง อำเภอเมืองอำนาจเจริญ จังหวัดอำนาจเจริญ 37000")</f>
        <v>477 หมู่ที่ 7 ตำบลบุ่ง อำเภอเมืองอำนาจเจริญ จังหวัดอำนาจเจริญ 37000</v>
      </c>
      <c r="Y69" s="3"/>
      <c r="Z69" s="3" t="str">
        <f>IFERROR(__xludf.DUMMYFUNCTION("""COMPUTED_VALUE"""),"บุ่ง")</f>
        <v>บุ่ง</v>
      </c>
      <c r="AA69" s="3" t="str">
        <f>IFERROR(__xludf.DUMMYFUNCTION("""COMPUTED_VALUE"""),"เมือง")</f>
        <v>เมือง</v>
      </c>
      <c r="AB69" s="3" t="str">
        <f>IFERROR(__xludf.DUMMYFUNCTION("""COMPUTED_VALUE"""),"อำนาจเจริญ")</f>
        <v>อำนาจเจริญ</v>
      </c>
      <c r="AC69" s="3">
        <f>IFERROR(__xludf.DUMMYFUNCTION("""COMPUTED_VALUE"""),37000.0)</f>
        <v>37000</v>
      </c>
      <c r="AD69" s="3">
        <f>IFERROR(__xludf.DUMMYFUNCTION("""COMPUTED_VALUE"""),15.88357)</f>
        <v>15.88357</v>
      </c>
      <c r="AE69" s="3">
        <f>IFERROR(__xludf.DUMMYFUNCTION("""COMPUTED_VALUE"""),104.62453)</f>
        <v>104.62453</v>
      </c>
      <c r="AF69" s="3" t="str">
        <f>IFERROR(__xludf.DUMMYFUNCTION("""COMPUTED_VALUE"""),"อำนาจเจริญ-11169")</f>
        <v>อำนาจเจริญ-11169</v>
      </c>
      <c r="AG69" s="3" t="str">
        <f>IFERROR(__xludf.DUMMYFUNCTION("""COMPUTED_VALUE"""),"ตะวันออกเฉียงเหนือ")</f>
        <v>ตะวันออกเฉียงเหนือ</v>
      </c>
      <c r="AH69" s="3" t="str">
        <f>IFERROR(__xludf.DUMMYFUNCTION("""COMPUTED_VALUE"""),"Pajaob Wongpakdee")</f>
        <v>Pajaob Wongpakdee</v>
      </c>
      <c r="AI69" s="3" t="str">
        <f>IFERROR(__xludf.DUMMYFUNCTION("""COMPUTED_VALUE"""),"Out of warranty")</f>
        <v>Out of warranty</v>
      </c>
      <c r="AJ69" s="3">
        <f>IFERROR(__xludf.DUMMYFUNCTION("""COMPUTED_VALUE"""),183.0)</f>
        <v>183</v>
      </c>
      <c r="AK69" s="3"/>
      <c r="AL69" s="3" t="str">
        <f>IFERROR(__xludf.DUMMYFUNCTION("""COMPUTED_VALUE"""),"sgm.amnatcharoen@bigc.co.th")</f>
        <v>sgm.amnatcharoen@bigc.co.th</v>
      </c>
    </row>
    <row r="70" ht="15.75" customHeight="1">
      <c r="A70" s="1" t="str">
        <f>IFERROR(__xludf.DUMMYFUNCTION("""COMPUTED_VALUE"""),"11170")</f>
        <v>11170</v>
      </c>
      <c r="B70" s="2">
        <f>IFERROR(__xludf.DUMMYFUNCTION("""COMPUTED_VALUE"""),11170.0)</f>
        <v>11170</v>
      </c>
      <c r="C70" s="3" t="str">
        <f>IFERROR(__xludf.DUMMYFUNCTION("""COMPUTED_VALUE"""),"แหลมทอง")</f>
        <v>แหลมทอง</v>
      </c>
      <c r="D70" s="3" t="str">
        <f>IFERROR(__xludf.DUMMYFUNCTION("""COMPUTED_VALUE"""),"BIGC LAEMTHONG")</f>
        <v>BIGC LAEMTHONG</v>
      </c>
      <c r="E70" s="1" t="str">
        <f>IFERROR(__xludf.DUMMYFUNCTION("""COMPUTED_VALUE"""),"บิ๊กซี HyperMarket")</f>
        <v>บิ๊กซี HyperMarket</v>
      </c>
      <c r="F70" s="1" t="str">
        <f>IFERROR(__xludf.DUMMYFUNCTION("""COMPUTED_VALUE"""),"2455164")</f>
        <v>2455164</v>
      </c>
      <c r="G70" s="1" t="str">
        <f>IFERROR(__xludf.DUMMYFUNCTION("""COMPUTED_VALUE"""),"นายกรวิทย์ เจริญพร")</f>
        <v>นายกรวิทย์ เจริญพร</v>
      </c>
      <c r="H70" s="1" t="str">
        <f>IFERROR(__xludf.DUMMYFUNCTION("""COMPUTED_VALUE"""),"2455164")</f>
        <v>2455164</v>
      </c>
      <c r="I70" s="1" t="str">
        <f>IFERROR(__xludf.DUMMYFUNCTION("""COMPUTED_VALUE"""),"นายกรวิทย์ เจริญพร")</f>
        <v>นายกรวิทย์ เจริญพร</v>
      </c>
      <c r="J70" s="3">
        <f>IFERROR(__xludf.DUMMYFUNCTION("""COMPUTED_VALUE"""),2455164.0)</f>
        <v>2455164</v>
      </c>
      <c r="K70" s="3" t="str">
        <f>IFERROR(__xludf.DUMMYFUNCTION("""COMPUTED_VALUE"""),"นายกรวิทย์ เจริญพร")</f>
        <v>นายกรวิทย์ เจริญพร</v>
      </c>
      <c r="L70" s="1" t="str">
        <f>IFERROR(__xludf.DUMMYFUNCTION("""COMPUTED_VALUE"""),"Hub08-East")</f>
        <v>Hub08-East</v>
      </c>
      <c r="M70" s="1" t="str">
        <f>IFERROR(__xludf.DUMMYFUNCTION("""COMPUTED_VALUE"""),"092-605-9922")</f>
        <v>092-605-9922</v>
      </c>
      <c r="N70" s="3">
        <f>IFERROR(__xludf.DUMMYFUNCTION("""COMPUTED_VALUE"""),11170.0)</f>
        <v>11170</v>
      </c>
      <c r="O70" s="3" t="str">
        <f>IFERROR(__xludf.DUMMYFUNCTION("""COMPUTED_VALUE"""),"แหลมทอง")</f>
        <v>แหลมทอง</v>
      </c>
      <c r="P70" s="4">
        <f>IFERROR(__xludf.DUMMYFUNCTION("""COMPUTED_VALUE"""),40499.0)</f>
        <v>40499</v>
      </c>
      <c r="Q70" s="3" t="str">
        <f>IFERROR(__xludf.DUMMYFUNCTION("""COMPUTED_VALUE"""),"A")</f>
        <v>A</v>
      </c>
      <c r="R70" s="3" t="str">
        <f>IFERROR(__xludf.DUMMYFUNCTION("""COMPUTED_VALUE"""),"Big Format")</f>
        <v>Big Format</v>
      </c>
      <c r="S70" s="3" t="str">
        <f>IFERROR(__xludf.DUMMYFUNCTION("""COMPUTED_VALUE"""),"Hyper")</f>
        <v>Hyper</v>
      </c>
      <c r="T70" s="3" t="str">
        <f>IFERROR(__xludf.DUMMYFUNCTION("""COMPUTED_VALUE"""),"Hub08-East")</f>
        <v>Hub08-East</v>
      </c>
      <c r="U70" s="3" t="str">
        <f>IFERROR(__xludf.DUMMYFUNCTION("""COMPUTED_VALUE"""),"Hub08-East")</f>
        <v>Hub08-East</v>
      </c>
      <c r="V70" s="3" t="str">
        <f>IFERROR(__xludf.DUMMYFUNCTION("""COMPUTED_VALUE"""),"N")</f>
        <v>N</v>
      </c>
      <c r="W70" s="3">
        <f>IFERROR(__xludf.DUMMYFUNCTION("""COMPUTED_VALUE"""),111170.0)</f>
        <v>111170</v>
      </c>
      <c r="X70" s="3" t="str">
        <f>IFERROR(__xludf.DUMMYFUNCTION("""COMPUTED_VALUE"""),"554 ถนนสุขุมวิท ตำบลเนินพระ อำเภอเมืองระยอง จังหวัดระยอง 21000")</f>
        <v>554 ถนนสุขุมวิท ตำบลเนินพระ อำเภอเมืองระยอง จังหวัดระยอง 21000</v>
      </c>
      <c r="Y70" s="3" t="str">
        <f>IFERROR(__xludf.DUMMYFUNCTION("""COMPUTED_VALUE"""),"ถนนสุขุมวิท")</f>
        <v>ถนนสุขุมวิท</v>
      </c>
      <c r="Z70" s="3" t="str">
        <f>IFERROR(__xludf.DUMMYFUNCTION("""COMPUTED_VALUE"""),"เนินพระ")</f>
        <v>เนินพระ</v>
      </c>
      <c r="AA70" s="3" t="str">
        <f>IFERROR(__xludf.DUMMYFUNCTION("""COMPUTED_VALUE"""),"เมือง")</f>
        <v>เมือง</v>
      </c>
      <c r="AB70" s="3" t="str">
        <f>IFERROR(__xludf.DUMMYFUNCTION("""COMPUTED_VALUE"""),"ระยอง")</f>
        <v>ระยอง</v>
      </c>
      <c r="AC70" s="3">
        <f>IFERROR(__xludf.DUMMYFUNCTION("""COMPUTED_VALUE"""),21000.0)</f>
        <v>21000</v>
      </c>
      <c r="AD70" s="3">
        <f>IFERROR(__xludf.DUMMYFUNCTION("""COMPUTED_VALUE"""),12.68257642)</f>
        <v>12.68257642</v>
      </c>
      <c r="AE70" s="3">
        <f>IFERROR(__xludf.DUMMYFUNCTION("""COMPUTED_VALUE"""),101.2425408)</f>
        <v>101.2425408</v>
      </c>
      <c r="AF70" s="3" t="str">
        <f>IFERROR(__xludf.DUMMYFUNCTION("""COMPUTED_VALUE"""),"แหลมทอง-11170")</f>
        <v>แหลมทอง-11170</v>
      </c>
      <c r="AG70" s="3" t="str">
        <f>IFERROR(__xludf.DUMMYFUNCTION("""COMPUTED_VALUE"""),"ตะวันออก")</f>
        <v>ตะวันออก</v>
      </c>
      <c r="AH70" s="3" t="str">
        <f>IFERROR(__xludf.DUMMYFUNCTION("""COMPUTED_VALUE"""),"Walaiporn Sutyod")</f>
        <v>Walaiporn Sutyod</v>
      </c>
      <c r="AI70" s="3" t="str">
        <f>IFERROR(__xludf.DUMMYFUNCTION("""COMPUTED_VALUE"""),"Out of warranty")</f>
        <v>Out of warranty</v>
      </c>
      <c r="AJ70" s="3">
        <f>IFERROR(__xludf.DUMMYFUNCTION("""COMPUTED_VALUE"""),183.0)</f>
        <v>183</v>
      </c>
      <c r="AK70" s="3"/>
      <c r="AL70" s="3" t="str">
        <f>IFERROR(__xludf.DUMMYFUNCTION("""COMPUTED_VALUE"""),"sgm.laemthong@bigc.co.th")</f>
        <v>sgm.laemthong@bigc.co.th</v>
      </c>
    </row>
    <row r="71" ht="15.75" customHeight="1">
      <c r="A71" s="1" t="str">
        <f>IFERROR(__xludf.DUMMYFUNCTION("""COMPUTED_VALUE"""),"11171")</f>
        <v>11171</v>
      </c>
      <c r="B71" s="2">
        <f>IFERROR(__xludf.DUMMYFUNCTION("""COMPUTED_VALUE"""),11171.0)</f>
        <v>11171</v>
      </c>
      <c r="C71" s="3" t="str">
        <f>IFERROR(__xludf.DUMMYFUNCTION("""COMPUTED_VALUE"""),"กำแพงเพชร")</f>
        <v>กำแพงเพชร</v>
      </c>
      <c r="D71" s="3" t="str">
        <f>IFERROR(__xludf.DUMMYFUNCTION("""COMPUTED_VALUE"""),"BIGC KAMPHAENGPHET")</f>
        <v>BIGC KAMPHAENGPHET</v>
      </c>
      <c r="E71" s="1" t="str">
        <f>IFERROR(__xludf.DUMMYFUNCTION("""COMPUTED_VALUE"""),"บิ๊กซี HyperMarket")</f>
        <v>บิ๊กซี HyperMarket</v>
      </c>
      <c r="F71" s="1" t="str">
        <f>IFERROR(__xludf.DUMMYFUNCTION("""COMPUTED_VALUE"""),"000348")</f>
        <v>000348</v>
      </c>
      <c r="G71" s="1" t="str">
        <f>IFERROR(__xludf.DUMMYFUNCTION("""COMPUTED_VALUE"""),"นายธีรนันท์ ไม้สนธิ์")</f>
        <v>นายธีรนันท์ ไม้สนธิ์</v>
      </c>
      <c r="H71" s="1" t="str">
        <f>IFERROR(__xludf.DUMMYFUNCTION("""COMPUTED_VALUE"""),"000348")</f>
        <v>000348</v>
      </c>
      <c r="I71" s="1" t="str">
        <f>IFERROR(__xludf.DUMMYFUNCTION("""COMPUTED_VALUE"""),"นายธีรนันท์ ไม้สนธิ์")</f>
        <v>นายธีรนันท์ ไม้สนธิ์</v>
      </c>
      <c r="J71" s="3">
        <f>IFERROR(__xludf.DUMMYFUNCTION("""COMPUTED_VALUE"""),348.0)</f>
        <v>348</v>
      </c>
      <c r="K71" s="3" t="str">
        <f>IFERROR(__xludf.DUMMYFUNCTION("""COMPUTED_VALUE"""),"นายธีรนันท์ ไม้สนธิ์")</f>
        <v>นายธีรนันท์ ไม้สนธิ์</v>
      </c>
      <c r="L71" s="1" t="str">
        <f>IFERROR(__xludf.DUMMYFUNCTION("""COMPUTED_VALUE"""),"Hub07-North")</f>
        <v>Hub07-North</v>
      </c>
      <c r="M71" s="1" t="str">
        <f>IFERROR(__xludf.DUMMYFUNCTION("""COMPUTED_VALUE"""),"0614175866")</f>
        <v>0614175866</v>
      </c>
      <c r="N71" s="3">
        <f>IFERROR(__xludf.DUMMYFUNCTION("""COMPUTED_VALUE"""),11171.0)</f>
        <v>11171</v>
      </c>
      <c r="O71" s="3" t="str">
        <f>IFERROR(__xludf.DUMMYFUNCTION("""COMPUTED_VALUE"""),"กำแพงเพชร")</f>
        <v>กำแพงเพชร</v>
      </c>
      <c r="P71" s="4">
        <f>IFERROR(__xludf.DUMMYFUNCTION("""COMPUTED_VALUE"""),40514.0)</f>
        <v>40514</v>
      </c>
      <c r="Q71" s="3" t="str">
        <f>IFERROR(__xludf.DUMMYFUNCTION("""COMPUTED_VALUE"""),"A")</f>
        <v>A</v>
      </c>
      <c r="R71" s="3" t="str">
        <f>IFERROR(__xludf.DUMMYFUNCTION("""COMPUTED_VALUE"""),"Big Format")</f>
        <v>Big Format</v>
      </c>
      <c r="S71" s="3" t="str">
        <f>IFERROR(__xludf.DUMMYFUNCTION("""COMPUTED_VALUE"""),"Hyper")</f>
        <v>Hyper</v>
      </c>
      <c r="T71" s="3" t="str">
        <f>IFERROR(__xludf.DUMMYFUNCTION("""COMPUTED_VALUE"""),"Hub07-North")</f>
        <v>Hub07-North</v>
      </c>
      <c r="U71" s="3" t="str">
        <f>IFERROR(__xludf.DUMMYFUNCTION("""COMPUTED_VALUE"""),"Hub07-North")</f>
        <v>Hub07-North</v>
      </c>
      <c r="V71" s="3" t="str">
        <f>IFERROR(__xludf.DUMMYFUNCTION("""COMPUTED_VALUE"""),"N")</f>
        <v>N</v>
      </c>
      <c r="W71" s="3">
        <f>IFERROR(__xludf.DUMMYFUNCTION("""COMPUTED_VALUE"""),111171.0)</f>
        <v>111171</v>
      </c>
      <c r="X71" s="3" t="str">
        <f>IFERROR(__xludf.DUMMYFUNCTION("""COMPUTED_VALUE"""),"613/1 ถนนเจริญสุข ตำบลในเมือง อำเภอเมืองกำแพงเพชร จังหวัดกำแพงเพชร 62000")</f>
        <v>613/1 ถนนเจริญสุข ตำบลในเมือง อำเภอเมืองกำแพงเพชร จังหวัดกำแพงเพชร 62000</v>
      </c>
      <c r="Y71" s="3" t="str">
        <f>IFERROR(__xludf.DUMMYFUNCTION("""COMPUTED_VALUE"""),"ถนนเจริญสุข")</f>
        <v>ถนนเจริญสุข</v>
      </c>
      <c r="Z71" s="3" t="str">
        <f>IFERROR(__xludf.DUMMYFUNCTION("""COMPUTED_VALUE"""),"ในเมือง")</f>
        <v>ในเมือง</v>
      </c>
      <c r="AA71" s="3" t="str">
        <f>IFERROR(__xludf.DUMMYFUNCTION("""COMPUTED_VALUE"""),"เมือง")</f>
        <v>เมือง</v>
      </c>
      <c r="AB71" s="3" t="str">
        <f>IFERROR(__xludf.DUMMYFUNCTION("""COMPUTED_VALUE"""),"กำแพงเพชร")</f>
        <v>กำแพงเพชร</v>
      </c>
      <c r="AC71" s="3">
        <f>IFERROR(__xludf.DUMMYFUNCTION("""COMPUTED_VALUE"""),62000.0)</f>
        <v>62000</v>
      </c>
      <c r="AD71" s="3">
        <f>IFERROR(__xludf.DUMMYFUNCTION("""COMPUTED_VALUE"""),16.4741)</f>
        <v>16.4741</v>
      </c>
      <c r="AE71" s="3">
        <f>IFERROR(__xludf.DUMMYFUNCTION("""COMPUTED_VALUE"""),99.5411)</f>
        <v>99.5411</v>
      </c>
      <c r="AF71" s="3" t="str">
        <f>IFERROR(__xludf.DUMMYFUNCTION("""COMPUTED_VALUE"""),"กำแพงเพชร-11171")</f>
        <v>กำแพงเพชร-11171</v>
      </c>
      <c r="AG71" s="3" t="str">
        <f>IFERROR(__xludf.DUMMYFUNCTION("""COMPUTED_VALUE"""),"กลาง")</f>
        <v>กลาง</v>
      </c>
      <c r="AH71" s="3" t="str">
        <f>IFERROR(__xludf.DUMMYFUNCTION("""COMPUTED_VALUE"""),"Wichai Soomboonsod")</f>
        <v>Wichai Soomboonsod</v>
      </c>
      <c r="AI71" s="3" t="str">
        <f>IFERROR(__xludf.DUMMYFUNCTION("""COMPUTED_VALUE"""),"Out of warranty")</f>
        <v>Out of warranty</v>
      </c>
      <c r="AJ71" s="3">
        <f>IFERROR(__xludf.DUMMYFUNCTION("""COMPUTED_VALUE"""),182.0)</f>
        <v>182</v>
      </c>
      <c r="AK71" s="3"/>
      <c r="AL71" s="3" t="str">
        <f>IFERROR(__xludf.DUMMYFUNCTION("""COMPUTED_VALUE"""),"sgm.kamphaengphet@bigc.co.th")</f>
        <v>sgm.kamphaengphet@bigc.co.th</v>
      </c>
    </row>
    <row r="72" ht="15.75" customHeight="1">
      <c r="A72" s="1" t="str">
        <f>IFERROR(__xludf.DUMMYFUNCTION("""COMPUTED_VALUE"""),"11172")</f>
        <v>11172</v>
      </c>
      <c r="B72" s="2">
        <f>IFERROR(__xludf.DUMMYFUNCTION("""COMPUTED_VALUE"""),11172.0)</f>
        <v>11172</v>
      </c>
      <c r="C72" s="3" t="str">
        <f>IFERROR(__xludf.DUMMYFUNCTION("""COMPUTED_VALUE"""),"ราชดำริ")</f>
        <v>ราชดำริ</v>
      </c>
      <c r="D72" s="3" t="str">
        <f>IFERROR(__xludf.DUMMYFUNCTION("""COMPUTED_VALUE"""),"BIGC RAJDUMRI")</f>
        <v>BIGC RAJDUMRI</v>
      </c>
      <c r="E72" s="1" t="str">
        <f>IFERROR(__xludf.DUMMYFUNCTION("""COMPUTED_VALUE"""),"บิ๊กซี HyperMarket")</f>
        <v>บิ๊กซี HyperMarket</v>
      </c>
      <c r="F72" s="1" t="str">
        <f>IFERROR(__xludf.DUMMYFUNCTION("""COMPUTED_VALUE"""),"02408546")</f>
        <v>02408546</v>
      </c>
      <c r="G72" s="1" t="str">
        <f>IFERROR(__xludf.DUMMYFUNCTION("""COMPUTED_VALUE"""),"นายเกษมศิษฐ์ ฮดบุญเรือง")</f>
        <v>นายเกษมศิษฐ์ ฮดบุญเรือง</v>
      </c>
      <c r="H72" s="1" t="str">
        <f>IFERROR(__xludf.DUMMYFUNCTION("""COMPUTED_VALUE"""),"02408546")</f>
        <v>02408546</v>
      </c>
      <c r="I72" s="1" t="str">
        <f>IFERROR(__xludf.DUMMYFUNCTION("""COMPUTED_VALUE"""),"นายเกษมศิษฐ์ ฮดบุญเรือง")</f>
        <v>นายเกษมศิษฐ์ ฮดบุญเรือง</v>
      </c>
      <c r="J72" s="3">
        <f>IFERROR(__xludf.DUMMYFUNCTION("""COMPUTED_VALUE"""),2408546.0)</f>
        <v>2408546</v>
      </c>
      <c r="K72" s="3" t="str">
        <f>IFERROR(__xludf.DUMMYFUNCTION("""COMPUTED_VALUE"""),"นายเกษมศิษฐ์ ฮดบุญเรือง")</f>
        <v>นายเกษมศิษฐ์ ฮดบุญเรือง</v>
      </c>
      <c r="L72" s="1" t="str">
        <f>IFERROR(__xludf.DUMMYFUNCTION("""COMPUTED_VALUE"""),"Hub02-BKK 2")</f>
        <v>Hub02-BKK 2</v>
      </c>
      <c r="M72" s="1" t="str">
        <f>IFERROR(__xludf.DUMMYFUNCTION("""COMPUTED_VALUE"""),"0988580755")</f>
        <v>0988580755</v>
      </c>
      <c r="N72" s="3">
        <f>IFERROR(__xludf.DUMMYFUNCTION("""COMPUTED_VALUE"""),11172.0)</f>
        <v>11172</v>
      </c>
      <c r="O72" s="3" t="str">
        <f>IFERROR(__xludf.DUMMYFUNCTION("""COMPUTED_VALUE"""),"ราชดำริ")</f>
        <v>ราชดำริ</v>
      </c>
      <c r="P72" s="4">
        <f>IFERROR(__xludf.DUMMYFUNCTION("""COMPUTED_VALUE"""),40576.0)</f>
        <v>40576</v>
      </c>
      <c r="Q72" s="3" t="str">
        <f>IFERROR(__xludf.DUMMYFUNCTION("""COMPUTED_VALUE"""),"A")</f>
        <v>A</v>
      </c>
      <c r="R72" s="3" t="str">
        <f>IFERROR(__xludf.DUMMYFUNCTION("""COMPUTED_VALUE"""),"Big Format")</f>
        <v>Big Format</v>
      </c>
      <c r="S72" s="3" t="str">
        <f>IFERROR(__xludf.DUMMYFUNCTION("""COMPUTED_VALUE"""),"Hyper")</f>
        <v>Hyper</v>
      </c>
      <c r="T72" s="3" t="str">
        <f>IFERROR(__xludf.DUMMYFUNCTION("""COMPUTED_VALUE"""),"Hub02-BKK 2")</f>
        <v>Hub02-BKK 2</v>
      </c>
      <c r="U72" s="3" t="str">
        <f>IFERROR(__xludf.DUMMYFUNCTION("""COMPUTED_VALUE"""),"Hub02-BKK 2")</f>
        <v>Hub02-BKK 2</v>
      </c>
      <c r="V72" s="3" t="str">
        <f>IFERROR(__xludf.DUMMYFUNCTION("""COMPUTED_VALUE"""),"N")</f>
        <v>N</v>
      </c>
      <c r="W72" s="3">
        <f>IFERROR(__xludf.DUMMYFUNCTION("""COMPUTED_VALUE"""),111172.0)</f>
        <v>111172</v>
      </c>
      <c r="X72" s="3" t="str">
        <f>IFERROR(__xludf.DUMMYFUNCTION("""COMPUTED_VALUE"""),"97/11 ถนนราชดำริห์ แขวงลุมพินี เขตปทุมวัน กรุงเทพฯ 10330")</f>
        <v>97/11 ถนนราชดำริห์ แขวงลุมพินี เขตปทุมวัน กรุงเทพฯ 10330</v>
      </c>
      <c r="Y72" s="3" t="str">
        <f>IFERROR(__xludf.DUMMYFUNCTION("""COMPUTED_VALUE"""),"ถนนราชดำริห์")</f>
        <v>ถนนราชดำริห์</v>
      </c>
      <c r="Z72" s="3" t="str">
        <f>IFERROR(__xludf.DUMMYFUNCTION("""COMPUTED_VALUE"""),"ลุมพินี")</f>
        <v>ลุมพินี</v>
      </c>
      <c r="AA72" s="3" t="str">
        <f>IFERROR(__xludf.DUMMYFUNCTION("""COMPUTED_VALUE"""),"ปทุมวัน")</f>
        <v>ปทุมวัน</v>
      </c>
      <c r="AB72" s="3" t="str">
        <f>IFERROR(__xludf.DUMMYFUNCTION("""COMPUTED_VALUE"""),"กรุงเทพมหานคร")</f>
        <v>กรุงเทพมหานคร</v>
      </c>
      <c r="AC72" s="3">
        <f>IFERROR(__xludf.DUMMYFUNCTION("""COMPUTED_VALUE"""),10330.0)</f>
        <v>10330</v>
      </c>
      <c r="AD72" s="3">
        <f>IFERROR(__xludf.DUMMYFUNCTION("""COMPUTED_VALUE"""),13.74726271)</f>
        <v>13.74726271</v>
      </c>
      <c r="AE72" s="3">
        <f>IFERROR(__xludf.DUMMYFUNCTION("""COMPUTED_VALUE"""),100.5410454)</f>
        <v>100.5410454</v>
      </c>
      <c r="AF72" s="3" t="str">
        <f>IFERROR(__xludf.DUMMYFUNCTION("""COMPUTED_VALUE"""),"ราชดำริ-11172")</f>
        <v>ราชดำริ-11172</v>
      </c>
      <c r="AG72" s="3" t="str">
        <f>IFERROR(__xludf.DUMMYFUNCTION("""COMPUTED_VALUE"""),"กลาง")</f>
        <v>กลาง</v>
      </c>
      <c r="AH72" s="3" t="str">
        <f>IFERROR(__xludf.DUMMYFUNCTION("""COMPUTED_VALUE"""),"Vassana Teratam")</f>
        <v>Vassana Teratam</v>
      </c>
      <c r="AI72" s="3" t="str">
        <f>IFERROR(__xludf.DUMMYFUNCTION("""COMPUTED_VALUE"""),"Out of warranty")</f>
        <v>Out of warranty</v>
      </c>
      <c r="AJ72" s="3">
        <f>IFERROR(__xludf.DUMMYFUNCTION("""COMPUTED_VALUE"""),180.0)</f>
        <v>180</v>
      </c>
      <c r="AK72" s="3"/>
      <c r="AL72" s="3" t="str">
        <f>IFERROR(__xludf.DUMMYFUNCTION("""COMPUTED_VALUE"""),"sgm.rajdamri@bigc.co.th")</f>
        <v>sgm.rajdamri@bigc.co.th</v>
      </c>
    </row>
    <row r="73" ht="15.75" customHeight="1">
      <c r="A73" s="1" t="str">
        <f>IFERROR(__xludf.DUMMYFUNCTION("""COMPUTED_VALUE"""),"11174")</f>
        <v>11174</v>
      </c>
      <c r="B73" s="2">
        <f>IFERROR(__xludf.DUMMYFUNCTION("""COMPUTED_VALUE"""),11174.0)</f>
        <v>11174</v>
      </c>
      <c r="C73" s="3" t="str">
        <f>IFERROR(__xludf.DUMMYFUNCTION("""COMPUTED_VALUE"""),"ลาดพร้าว-2")</f>
        <v>ลาดพร้าว-2</v>
      </c>
      <c r="D73" s="3" t="str">
        <f>IFERROR(__xludf.DUMMYFUNCTION("""COMPUTED_VALUE"""),"BIGC LADPRAO-2")</f>
        <v>BIGC LADPRAO-2</v>
      </c>
      <c r="E73" s="1" t="str">
        <f>IFERROR(__xludf.DUMMYFUNCTION("""COMPUTED_VALUE"""),"บิ๊กซี HyperMarket")</f>
        <v>บิ๊กซี HyperMarket</v>
      </c>
      <c r="F73" s="1" t="str">
        <f>IFERROR(__xludf.DUMMYFUNCTION("""COMPUTED_VALUE"""),"2454813")</f>
        <v>2454813</v>
      </c>
      <c r="G73" s="1" t="str">
        <f>IFERROR(__xludf.DUMMYFUNCTION("""COMPUTED_VALUE"""),"นายอนุรักษ์ จั่นเที่ยง")</f>
        <v>นายอนุรักษ์ จั่นเที่ยง</v>
      </c>
      <c r="H73" s="1" t="str">
        <f>IFERROR(__xludf.DUMMYFUNCTION("""COMPUTED_VALUE"""),"2454813")</f>
        <v>2454813</v>
      </c>
      <c r="I73" s="1" t="str">
        <f>IFERROR(__xludf.DUMMYFUNCTION("""COMPUTED_VALUE"""),"นายอนุรักษ์ จั่นเที่ยง")</f>
        <v>นายอนุรักษ์ จั่นเที่ยง</v>
      </c>
      <c r="J73" s="3">
        <f>IFERROR(__xludf.DUMMYFUNCTION("""COMPUTED_VALUE"""),2454813.0)</f>
        <v>2454813</v>
      </c>
      <c r="K73" s="3" t="str">
        <f>IFERROR(__xludf.DUMMYFUNCTION("""COMPUTED_VALUE"""),"นายอนุรักษ์ จั่นเที่ยง")</f>
        <v>นายอนุรักษ์ จั่นเที่ยง</v>
      </c>
      <c r="L73" s="1" t="str">
        <f>IFERROR(__xludf.DUMMYFUNCTION("""COMPUTED_VALUE"""),"Hub04-BKK 4")</f>
        <v>Hub04-BKK 4</v>
      </c>
      <c r="M73" s="1" t="str">
        <f>IFERROR(__xludf.DUMMYFUNCTION("""COMPUTED_VALUE"""),"0991964531")</f>
        <v>0991964531</v>
      </c>
      <c r="N73" s="3">
        <f>IFERROR(__xludf.DUMMYFUNCTION("""COMPUTED_VALUE"""),11174.0)</f>
        <v>11174</v>
      </c>
      <c r="O73" s="3" t="str">
        <f>IFERROR(__xludf.DUMMYFUNCTION("""COMPUTED_VALUE"""),"ลาดพร้าว-2")</f>
        <v>ลาดพร้าว-2</v>
      </c>
      <c r="P73" s="4">
        <f>IFERROR(__xludf.DUMMYFUNCTION("""COMPUTED_VALUE"""),37902.0)</f>
        <v>37902</v>
      </c>
      <c r="Q73" s="3" t="str">
        <f>IFERROR(__xludf.DUMMYFUNCTION("""COMPUTED_VALUE"""),"A")</f>
        <v>A</v>
      </c>
      <c r="R73" s="3" t="str">
        <f>IFERROR(__xludf.DUMMYFUNCTION("""COMPUTED_VALUE"""),"Big Format")</f>
        <v>Big Format</v>
      </c>
      <c r="S73" s="3" t="str">
        <f>IFERROR(__xludf.DUMMYFUNCTION("""COMPUTED_VALUE"""),"Hyper")</f>
        <v>Hyper</v>
      </c>
      <c r="T73" s="3" t="str">
        <f>IFERROR(__xludf.DUMMYFUNCTION("""COMPUTED_VALUE"""),"Hub04-BKK 4")</f>
        <v>Hub04-BKK 4</v>
      </c>
      <c r="U73" s="3" t="str">
        <f>IFERROR(__xludf.DUMMYFUNCTION("""COMPUTED_VALUE"""),"Hub04-BKK 4")</f>
        <v>Hub04-BKK 4</v>
      </c>
      <c r="V73" s="3" t="str">
        <f>IFERROR(__xludf.DUMMYFUNCTION("""COMPUTED_VALUE"""),"N")</f>
        <v>N</v>
      </c>
      <c r="W73" s="3">
        <f>IFERROR(__xludf.DUMMYFUNCTION("""COMPUTED_VALUE"""),111174.0)</f>
        <v>111174</v>
      </c>
      <c r="X73" s="3" t="str">
        <f>IFERROR(__xludf.DUMMYFUNCTION("""COMPUTED_VALUE"""),"669 ถนนลาดพร้าว แขวงจอมพล เขตจตุจักร กรุงเทพฯ 10900")</f>
        <v>669 ถนนลาดพร้าว แขวงจอมพล เขตจตุจักร กรุงเทพฯ 10900</v>
      </c>
      <c r="Y73" s="3" t="str">
        <f>IFERROR(__xludf.DUMMYFUNCTION("""COMPUTED_VALUE"""),"ถนนลาดพร้าว")</f>
        <v>ถนนลาดพร้าว</v>
      </c>
      <c r="Z73" s="3" t="str">
        <f>IFERROR(__xludf.DUMMYFUNCTION("""COMPUTED_VALUE"""),"จอมพล")</f>
        <v>จอมพล</v>
      </c>
      <c r="AA73" s="3" t="str">
        <f>IFERROR(__xludf.DUMMYFUNCTION("""COMPUTED_VALUE"""),"จตุจักร")</f>
        <v>จตุจักร</v>
      </c>
      <c r="AB73" s="3" t="str">
        <f>IFERROR(__xludf.DUMMYFUNCTION("""COMPUTED_VALUE"""),"กรุงเทพมหานคร")</f>
        <v>กรุงเทพมหานคร</v>
      </c>
      <c r="AC73" s="3">
        <f>IFERROR(__xludf.DUMMYFUNCTION("""COMPUTED_VALUE"""),10900.0)</f>
        <v>10900</v>
      </c>
      <c r="AD73" s="3">
        <f>IFERROR(__xludf.DUMMYFUNCTION("""COMPUTED_VALUE"""),13.81013869)</f>
        <v>13.81013869</v>
      </c>
      <c r="AE73" s="3">
        <f>IFERROR(__xludf.DUMMYFUNCTION("""COMPUTED_VALUE"""),100.5692983)</f>
        <v>100.5692983</v>
      </c>
      <c r="AF73" s="3" t="str">
        <f>IFERROR(__xludf.DUMMYFUNCTION("""COMPUTED_VALUE"""),"ลาดพร้าว-2-11174")</f>
        <v>ลาดพร้าว-2-11174</v>
      </c>
      <c r="AG73" s="3" t="str">
        <f>IFERROR(__xludf.DUMMYFUNCTION("""COMPUTED_VALUE"""),"กลาง")</f>
        <v>กลาง</v>
      </c>
      <c r="AH73" s="3" t="str">
        <f>IFERROR(__xludf.DUMMYFUNCTION("""COMPUTED_VALUE"""),"Natsarine Seammai")</f>
        <v>Natsarine Seammai</v>
      </c>
      <c r="AI73" s="3" t="str">
        <f>IFERROR(__xludf.DUMMYFUNCTION("""COMPUTED_VALUE"""),"Out of warranty")</f>
        <v>Out of warranty</v>
      </c>
      <c r="AJ73" s="3">
        <f>IFERROR(__xludf.DUMMYFUNCTION("""COMPUTED_VALUE"""),268.0)</f>
        <v>268</v>
      </c>
      <c r="AK73" s="3"/>
      <c r="AL73" s="3" t="str">
        <f>IFERROR(__xludf.DUMMYFUNCTION("""COMPUTED_VALUE"""),"sgm.ladphrao2@bigc.co.th")</f>
        <v>sgm.ladphrao2@bigc.co.th</v>
      </c>
    </row>
    <row r="74" ht="15.75" customHeight="1">
      <c r="A74" s="1" t="str">
        <f>IFERROR(__xludf.DUMMYFUNCTION("""COMPUTED_VALUE"""),"11175")</f>
        <v>11175</v>
      </c>
      <c r="B74" s="2">
        <f>IFERROR(__xludf.DUMMYFUNCTION("""COMPUTED_VALUE"""),11175.0)</f>
        <v>11175</v>
      </c>
      <c r="C74" s="3" t="str">
        <f>IFERROR(__xludf.DUMMYFUNCTION("""COMPUTED_VALUE"""),"ชลบุรี เซ็นทรัล")</f>
        <v>ชลบุรี เซ็นทรัล</v>
      </c>
      <c r="D74" s="3" t="str">
        <f>IFERROR(__xludf.DUMMYFUNCTION("""COMPUTED_VALUE"""),"BIGC CHONBURI CENTRAL")</f>
        <v>BIGC CHONBURI CENTRAL</v>
      </c>
      <c r="E74" s="1" t="str">
        <f>IFERROR(__xludf.DUMMYFUNCTION("""COMPUTED_VALUE"""),"บิ๊กซี HyperMarket")</f>
        <v>บิ๊กซี HyperMarket</v>
      </c>
      <c r="F74" s="1" t="str">
        <f>IFERROR(__xludf.DUMMYFUNCTION("""COMPUTED_VALUE"""),"2455164")</f>
        <v>2455164</v>
      </c>
      <c r="G74" s="1" t="str">
        <f>IFERROR(__xludf.DUMMYFUNCTION("""COMPUTED_VALUE"""),"นายกรวิทย์ เจริญพร")</f>
        <v>นายกรวิทย์ เจริญพร</v>
      </c>
      <c r="H74" s="1" t="str">
        <f>IFERROR(__xludf.DUMMYFUNCTION("""COMPUTED_VALUE"""),"2455164")</f>
        <v>2455164</v>
      </c>
      <c r="I74" s="1" t="str">
        <f>IFERROR(__xludf.DUMMYFUNCTION("""COMPUTED_VALUE"""),"นายกรวิทย์ เจริญพร")</f>
        <v>นายกรวิทย์ เจริญพร</v>
      </c>
      <c r="J74" s="3">
        <f>IFERROR(__xludf.DUMMYFUNCTION("""COMPUTED_VALUE"""),2455164.0)</f>
        <v>2455164</v>
      </c>
      <c r="K74" s="3" t="str">
        <f>IFERROR(__xludf.DUMMYFUNCTION("""COMPUTED_VALUE"""),"นายกรวิทย์ เจริญพร")</f>
        <v>นายกรวิทย์ เจริญพร</v>
      </c>
      <c r="L74" s="1" t="str">
        <f>IFERROR(__xludf.DUMMYFUNCTION("""COMPUTED_VALUE"""),"Hub08-East")</f>
        <v>Hub08-East</v>
      </c>
      <c r="M74" s="1" t="str">
        <f>IFERROR(__xludf.DUMMYFUNCTION("""COMPUTED_VALUE"""),"092-605-9922")</f>
        <v>092-605-9922</v>
      </c>
      <c r="N74" s="3">
        <f>IFERROR(__xludf.DUMMYFUNCTION("""COMPUTED_VALUE"""),11175.0)</f>
        <v>11175</v>
      </c>
      <c r="O74" s="3" t="str">
        <f>IFERROR(__xludf.DUMMYFUNCTION("""COMPUTED_VALUE"""),"ชลบุรี เซ็นทรัล")</f>
        <v>ชลบุรี เซ็นทรัล</v>
      </c>
      <c r="P74" s="4">
        <f>IFERROR(__xludf.DUMMYFUNCTION("""COMPUTED_VALUE"""),39912.0)</f>
        <v>39912</v>
      </c>
      <c r="Q74" s="3" t="str">
        <f>IFERROR(__xludf.DUMMYFUNCTION("""COMPUTED_VALUE"""),"A")</f>
        <v>A</v>
      </c>
      <c r="R74" s="3" t="str">
        <f>IFERROR(__xludf.DUMMYFUNCTION("""COMPUTED_VALUE"""),"Big Format")</f>
        <v>Big Format</v>
      </c>
      <c r="S74" s="3" t="str">
        <f>IFERROR(__xludf.DUMMYFUNCTION("""COMPUTED_VALUE"""),"Hyper")</f>
        <v>Hyper</v>
      </c>
      <c r="T74" s="3" t="str">
        <f>IFERROR(__xludf.DUMMYFUNCTION("""COMPUTED_VALUE"""),"Hub08-East")</f>
        <v>Hub08-East</v>
      </c>
      <c r="U74" s="3" t="str">
        <f>IFERROR(__xludf.DUMMYFUNCTION("""COMPUTED_VALUE"""),"Hub08-East")</f>
        <v>Hub08-East</v>
      </c>
      <c r="V74" s="3" t="str">
        <f>IFERROR(__xludf.DUMMYFUNCTION("""COMPUTED_VALUE"""),"N")</f>
        <v>N</v>
      </c>
      <c r="W74" s="3">
        <f>IFERROR(__xludf.DUMMYFUNCTION("""COMPUTED_VALUE"""),111175.0)</f>
        <v>111175</v>
      </c>
      <c r="X74" s="3" t="str">
        <f>IFERROR(__xludf.DUMMYFUNCTION("""COMPUTED_VALUE"""),"55/92 หมู่ที่ 1 ตำบลเสม็ด อำเภอเมืองชลบุรี จังหวัดชลบุรี 20000")</f>
        <v>55/92 หมู่ที่ 1 ตำบลเสม็ด อำเภอเมืองชลบุรี จังหวัดชลบุรี 20000</v>
      </c>
      <c r="Y74" s="3"/>
      <c r="Z74" s="3" t="str">
        <f>IFERROR(__xludf.DUMMYFUNCTION("""COMPUTED_VALUE"""),"เสม็ด")</f>
        <v>เสม็ด</v>
      </c>
      <c r="AA74" s="3" t="str">
        <f>IFERROR(__xludf.DUMMYFUNCTION("""COMPUTED_VALUE"""),"เมือง")</f>
        <v>เมือง</v>
      </c>
      <c r="AB74" s="3" t="str">
        <f>IFERROR(__xludf.DUMMYFUNCTION("""COMPUTED_VALUE"""),"ชลบุรี")</f>
        <v>ชลบุรี</v>
      </c>
      <c r="AC74" s="3">
        <f>IFERROR(__xludf.DUMMYFUNCTION("""COMPUTED_VALUE"""),20000.0)</f>
        <v>20000</v>
      </c>
      <c r="AD74" s="3">
        <f>IFERROR(__xludf.DUMMYFUNCTION("""COMPUTED_VALUE"""),13.3382)</f>
        <v>13.3382</v>
      </c>
      <c r="AE74" s="3">
        <f>IFERROR(__xludf.DUMMYFUNCTION("""COMPUTED_VALUE"""),100.969975)</f>
        <v>100.969975</v>
      </c>
      <c r="AF74" s="3" t="str">
        <f>IFERROR(__xludf.DUMMYFUNCTION("""COMPUTED_VALUE"""),"ชลบุรี เซ็นทรัล-11175")</f>
        <v>ชลบุรี เซ็นทรัล-11175</v>
      </c>
      <c r="AG74" s="3" t="str">
        <f>IFERROR(__xludf.DUMMYFUNCTION("""COMPUTED_VALUE"""),"ตะวันออก")</f>
        <v>ตะวันออก</v>
      </c>
      <c r="AH74" s="3" t="str">
        <f>IFERROR(__xludf.DUMMYFUNCTION("""COMPUTED_VALUE"""),"Walaiporn Sutyod")</f>
        <v>Walaiporn Sutyod</v>
      </c>
      <c r="AI74" s="3" t="str">
        <f>IFERROR(__xludf.DUMMYFUNCTION("""COMPUTED_VALUE"""),"Out of warranty")</f>
        <v>Out of warranty</v>
      </c>
      <c r="AJ74" s="3">
        <f>IFERROR(__xludf.DUMMYFUNCTION("""COMPUTED_VALUE"""),202.0)</f>
        <v>202</v>
      </c>
      <c r="AK74" s="3"/>
      <c r="AL74" s="3" t="str">
        <f>IFERROR(__xludf.DUMMYFUNCTION("""COMPUTED_VALUE"""),"sgm.chonburicentral@bigc.co.th")</f>
        <v>sgm.chonburicentral@bigc.co.th</v>
      </c>
    </row>
    <row r="75" ht="15.75" customHeight="1">
      <c r="A75" s="1" t="str">
        <f>IFERROR(__xludf.DUMMYFUNCTION("""COMPUTED_VALUE"""),"11176")</f>
        <v>11176</v>
      </c>
      <c r="B75" s="2">
        <f>IFERROR(__xludf.DUMMYFUNCTION("""COMPUTED_VALUE"""),11176.0)</f>
        <v>11176</v>
      </c>
      <c r="C75" s="3" t="str">
        <f>IFERROR(__xludf.DUMMYFUNCTION("""COMPUTED_VALUE"""),"ลพบุรี2")</f>
        <v>ลพบุรี2</v>
      </c>
      <c r="D75" s="3" t="str">
        <f>IFERROR(__xludf.DUMMYFUNCTION("""COMPUTED_VALUE"""),"BIGC LOPBURI-2")</f>
        <v>BIGC LOPBURI-2</v>
      </c>
      <c r="E75" s="1" t="str">
        <f>IFERROR(__xludf.DUMMYFUNCTION("""COMPUTED_VALUE"""),"บิ๊กซี HyperMarket")</f>
        <v>บิ๊กซี HyperMarket</v>
      </c>
      <c r="F75" s="1" t="str">
        <f>IFERROR(__xludf.DUMMYFUNCTION("""COMPUTED_VALUE"""),"2455179")</f>
        <v>2455179</v>
      </c>
      <c r="G75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75" s="1" t="str">
        <f>IFERROR(__xludf.DUMMYFUNCTION("""COMPUTED_VALUE"""),"2455179")</f>
        <v>2455179</v>
      </c>
      <c r="I75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75" s="3">
        <f>IFERROR(__xludf.DUMMYFUNCTION("""COMPUTED_VALUE"""),2455179.0)</f>
        <v>2455179</v>
      </c>
      <c r="K75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75" s="1" t="str">
        <f>IFERROR(__xludf.DUMMYFUNCTION("""COMPUTED_VALUE"""),"Hub06-C&amp;W")</f>
        <v>Hub06-C&amp;W</v>
      </c>
      <c r="M75" s="1" t="str">
        <f>IFERROR(__xludf.DUMMYFUNCTION("""COMPUTED_VALUE"""),"090-993-6896")</f>
        <v>090-993-6896</v>
      </c>
      <c r="N75" s="3">
        <f>IFERROR(__xludf.DUMMYFUNCTION("""COMPUTED_VALUE"""),11176.0)</f>
        <v>11176</v>
      </c>
      <c r="O75" s="3" t="str">
        <f>IFERROR(__xludf.DUMMYFUNCTION("""COMPUTED_VALUE"""),"ลพบุรี2")</f>
        <v>ลพบุรี2</v>
      </c>
      <c r="P75" s="4">
        <f>IFERROR(__xludf.DUMMYFUNCTION("""COMPUTED_VALUE"""),40080.0)</f>
        <v>40080</v>
      </c>
      <c r="Q75" s="3" t="str">
        <f>IFERROR(__xludf.DUMMYFUNCTION("""COMPUTED_VALUE"""),"A")</f>
        <v>A</v>
      </c>
      <c r="R75" s="3" t="str">
        <f>IFERROR(__xludf.DUMMYFUNCTION("""COMPUTED_VALUE"""),"Big Format")</f>
        <v>Big Format</v>
      </c>
      <c r="S75" s="3" t="str">
        <f>IFERROR(__xludf.DUMMYFUNCTION("""COMPUTED_VALUE"""),"Hyper")</f>
        <v>Hyper</v>
      </c>
      <c r="T75" s="3" t="str">
        <f>IFERROR(__xludf.DUMMYFUNCTION("""COMPUTED_VALUE"""),"Hub06-C&amp;W")</f>
        <v>Hub06-C&amp;W</v>
      </c>
      <c r="U75" s="3" t="str">
        <f>IFERROR(__xludf.DUMMYFUNCTION("""COMPUTED_VALUE"""),"Hub06-C&amp;W")</f>
        <v>Hub06-C&amp;W</v>
      </c>
      <c r="V75" s="3" t="str">
        <f>IFERROR(__xludf.DUMMYFUNCTION("""COMPUTED_VALUE"""),"N")</f>
        <v>N</v>
      </c>
      <c r="W75" s="3">
        <f>IFERROR(__xludf.DUMMYFUNCTION("""COMPUTED_VALUE"""),111176.0)</f>
        <v>111176</v>
      </c>
      <c r="X75" s="3" t="str">
        <f>IFERROR(__xludf.DUMMYFUNCTION("""COMPUTED_VALUE"""),"319 หมู่ที่ 2 ตำบลท่าศาลา อำเภอเมืองลพบุรี จังหวัดลพบุรี 15000")</f>
        <v>319 หมู่ที่ 2 ตำบลท่าศาลา อำเภอเมืองลพบุรี จังหวัดลพบุรี 15000</v>
      </c>
      <c r="Y75" s="3"/>
      <c r="Z75" s="3" t="str">
        <f>IFERROR(__xludf.DUMMYFUNCTION("""COMPUTED_VALUE"""),"ท่าศาลา")</f>
        <v>ท่าศาลา</v>
      </c>
      <c r="AA75" s="3" t="str">
        <f>IFERROR(__xludf.DUMMYFUNCTION("""COMPUTED_VALUE"""),"เมือง")</f>
        <v>เมือง</v>
      </c>
      <c r="AB75" s="3" t="str">
        <f>IFERROR(__xludf.DUMMYFUNCTION("""COMPUTED_VALUE"""),"ลพบุรี")</f>
        <v>ลพบุรี</v>
      </c>
      <c r="AC75" s="3">
        <f>IFERROR(__xludf.DUMMYFUNCTION("""COMPUTED_VALUE"""),15000.0)</f>
        <v>15000</v>
      </c>
      <c r="AD75" s="3">
        <f>IFERROR(__xludf.DUMMYFUNCTION("""COMPUTED_VALUE"""),14.79769393)</f>
        <v>14.79769393</v>
      </c>
      <c r="AE75" s="3">
        <f>IFERROR(__xludf.DUMMYFUNCTION("""COMPUTED_VALUE"""),100.6652033)</f>
        <v>100.6652033</v>
      </c>
      <c r="AF75" s="3" t="str">
        <f>IFERROR(__xludf.DUMMYFUNCTION("""COMPUTED_VALUE"""),"ลพบุรี2-11176")</f>
        <v>ลพบุรี2-11176</v>
      </c>
      <c r="AG75" s="3" t="str">
        <f>IFERROR(__xludf.DUMMYFUNCTION("""COMPUTED_VALUE"""),"กลาง")</f>
        <v>กลาง</v>
      </c>
      <c r="AH75" s="3" t="str">
        <f>IFERROR(__xludf.DUMMYFUNCTION("""COMPUTED_VALUE"""),"Wichian Nasungnoen")</f>
        <v>Wichian Nasungnoen</v>
      </c>
      <c r="AI75" s="3" t="str">
        <f>IFERROR(__xludf.DUMMYFUNCTION("""COMPUTED_VALUE"""),"Out of warranty")</f>
        <v>Out of warranty</v>
      </c>
      <c r="AJ75" s="3">
        <f>IFERROR(__xludf.DUMMYFUNCTION("""COMPUTED_VALUE"""),196.0)</f>
        <v>196</v>
      </c>
      <c r="AK75" s="3"/>
      <c r="AL75" s="3" t="str">
        <f>IFERROR(__xludf.DUMMYFUNCTION("""COMPUTED_VALUE"""),"sgm.lopburi2@bigc.co.th")</f>
        <v>sgm.lopburi2@bigc.co.th</v>
      </c>
    </row>
    <row r="76" ht="15.75" customHeight="1">
      <c r="A76" s="1" t="str">
        <f>IFERROR(__xludf.DUMMYFUNCTION("""COMPUTED_VALUE"""),"11177")</f>
        <v>11177</v>
      </c>
      <c r="B76" s="2">
        <f>IFERROR(__xludf.DUMMYFUNCTION("""COMPUTED_VALUE"""),11177.0)</f>
        <v>11177</v>
      </c>
      <c r="C76" s="3" t="str">
        <f>IFERROR(__xludf.DUMMYFUNCTION("""COMPUTED_VALUE"""),"สุขาภิบาล3-2")</f>
        <v>สุขาภิบาล3-2</v>
      </c>
      <c r="D76" s="3" t="str">
        <f>IFERROR(__xludf.DUMMYFUNCTION("""COMPUTED_VALUE"""),"BIGC SUKAPIBAL3_2")</f>
        <v>BIGC SUKAPIBAL3_2</v>
      </c>
      <c r="E76" s="1" t="str">
        <f>IFERROR(__xludf.DUMMYFUNCTION("""COMPUTED_VALUE"""),"บิ๊กซี HyperMarket")</f>
        <v>บิ๊กซี HyperMarket</v>
      </c>
      <c r="F76" s="1" t="str">
        <f>IFERROR(__xludf.DUMMYFUNCTION("""COMPUTED_VALUE"""),"13461215")</f>
        <v>13461215</v>
      </c>
      <c r="G76" s="1" t="str">
        <f>IFERROR(__xludf.DUMMYFUNCTION("""COMPUTED_VALUE"""),"นายธีรภัทร สังข์เงิน")</f>
        <v>นายธีรภัทร สังข์เงิน</v>
      </c>
      <c r="H76" s="1" t="str">
        <f>IFERROR(__xludf.DUMMYFUNCTION("""COMPUTED_VALUE"""),"13461215")</f>
        <v>13461215</v>
      </c>
      <c r="I76" s="1" t="str">
        <f>IFERROR(__xludf.DUMMYFUNCTION("""COMPUTED_VALUE"""),"นายธีรภัทร สังข์เงิน")</f>
        <v>นายธีรภัทร สังข์เงิน</v>
      </c>
      <c r="J76" s="3">
        <f>IFERROR(__xludf.DUMMYFUNCTION("""COMPUTED_VALUE"""),1.3461215E7)</f>
        <v>13461215</v>
      </c>
      <c r="K76" s="3" t="str">
        <f>IFERROR(__xludf.DUMMYFUNCTION("""COMPUTED_VALUE"""),"นายธีรภัทร สังข์เงิน")</f>
        <v>นายธีรภัทร สังข์เงิน</v>
      </c>
      <c r="L76" s="1" t="str">
        <f>IFERROR(__xludf.DUMMYFUNCTION("""COMPUTED_VALUE"""),"06 K.Teerapat")</f>
        <v>06 K.Teerapat</v>
      </c>
      <c r="M76" s="1" t="str">
        <f>IFERROR(__xludf.DUMMYFUNCTION("""COMPUTED_VALUE"""),"063-601-6803")</f>
        <v>063-601-6803</v>
      </c>
      <c r="N76" s="3">
        <f>IFERROR(__xludf.DUMMYFUNCTION("""COMPUTED_VALUE"""),11177.0)</f>
        <v>11177</v>
      </c>
      <c r="O76" s="3" t="str">
        <f>IFERROR(__xludf.DUMMYFUNCTION("""COMPUTED_VALUE"""),"สุขาภิบาล3-2")</f>
        <v>สุขาภิบาล3-2</v>
      </c>
      <c r="P76" s="4">
        <f>IFERROR(__xludf.DUMMYFUNCTION("""COMPUTED_VALUE"""),35131.0)</f>
        <v>35131</v>
      </c>
      <c r="Q76" s="3" t="str">
        <f>IFERROR(__xludf.DUMMYFUNCTION("""COMPUTED_VALUE"""),"I")</f>
        <v>I</v>
      </c>
      <c r="R76" s="3" t="str">
        <f>IFERROR(__xludf.DUMMYFUNCTION("""COMPUTED_VALUE"""),"Big Format")</f>
        <v>Big Format</v>
      </c>
      <c r="S76" s="3" t="str">
        <f>IFERROR(__xludf.DUMMYFUNCTION("""COMPUTED_VALUE"""),"Hyper")</f>
        <v>Hyper</v>
      </c>
      <c r="T76" s="3" t="str">
        <f>IFERROR(__xludf.DUMMYFUNCTION("""COMPUTED_VALUE"""),"06 K.Teerapat")</f>
        <v>06 K.Teerapat</v>
      </c>
      <c r="U76" s="3" t="str">
        <f>IFERROR(__xludf.DUMMYFUNCTION("""COMPUTED_VALUE"""),"06 K.Teerapat")</f>
        <v>06 K.Teerapat</v>
      </c>
      <c r="V76" s="3" t="str">
        <f>IFERROR(__xludf.DUMMYFUNCTION("""COMPUTED_VALUE"""),"N")</f>
        <v>N</v>
      </c>
      <c r="W76" s="3">
        <f>IFERROR(__xludf.DUMMYFUNCTION("""COMPUTED_VALUE"""),111177.0)</f>
        <v>111177</v>
      </c>
      <c r="X76" s="3" t="str">
        <f>IFERROR(__xludf.DUMMYFUNCTION("""COMPUTED_VALUE"""),"1245 ถนนรามคำแหง แขวงหัวหมาก เขตบางกะปิ กรุงเทพฯ 10240")</f>
        <v>1245 ถนนรามคำแหง แขวงหัวหมาก เขตบางกะปิ กรุงเทพฯ 10240</v>
      </c>
      <c r="Y76" s="3" t="str">
        <f>IFERROR(__xludf.DUMMYFUNCTION("""COMPUTED_VALUE"""),"ถนนรามคำแหง")</f>
        <v>ถนนรามคำแหง</v>
      </c>
      <c r="Z76" s="3" t="str">
        <f>IFERROR(__xludf.DUMMYFUNCTION("""COMPUTED_VALUE"""),"หัวหมาก")</f>
        <v>หัวหมาก</v>
      </c>
      <c r="AA76" s="3" t="str">
        <f>IFERROR(__xludf.DUMMYFUNCTION("""COMPUTED_VALUE"""),"บางกะปิ")</f>
        <v>บางกะปิ</v>
      </c>
      <c r="AB76" s="3" t="str">
        <f>IFERROR(__xludf.DUMMYFUNCTION("""COMPUTED_VALUE"""),"กรุงเทพมหานคร")</f>
        <v>กรุงเทพมหานคร</v>
      </c>
      <c r="AC76" s="3">
        <f>IFERROR(__xludf.DUMMYFUNCTION("""COMPUTED_VALUE"""),10240.0)</f>
        <v>10240</v>
      </c>
      <c r="AD76" s="3">
        <f>IFERROR(__xludf.DUMMYFUNCTION("""COMPUTED_VALUE"""),13.770544)</f>
        <v>13.770544</v>
      </c>
      <c r="AE76" s="3">
        <f>IFERROR(__xludf.DUMMYFUNCTION("""COMPUTED_VALUE"""),100.658369)</f>
        <v>100.658369</v>
      </c>
      <c r="AF76" s="3" t="str">
        <f>IFERROR(__xludf.DUMMYFUNCTION("""COMPUTED_VALUE"""),"สุขาภิบาล3-2-11177")</f>
        <v>สุขาภิบาล3-2-11177</v>
      </c>
      <c r="AG76" s="3" t="str">
        <f>IFERROR(__xludf.DUMMYFUNCTION("""COMPUTED_VALUE"""),"กลาง")</f>
        <v>กลาง</v>
      </c>
      <c r="AH76" s="3" t="str">
        <f>IFERROR(__xludf.DUMMYFUNCTION("""COMPUTED_VALUE"""),"#N/A")</f>
        <v>#N/A</v>
      </c>
      <c r="AI76" s="3" t="str">
        <f>IFERROR(__xludf.DUMMYFUNCTION("""COMPUTED_VALUE"""),"Out of warranty")</f>
        <v>Out of warranty</v>
      </c>
      <c r="AJ76" s="3">
        <f>IFERROR(__xludf.DUMMYFUNCTION("""COMPUTED_VALUE"""),359.0)</f>
        <v>359</v>
      </c>
      <c r="AK76" s="3"/>
      <c r="AL76" s="3" t="str">
        <f>IFERROR(__xludf.DUMMYFUNCTION("""COMPUTED_VALUE"""),"sgm.sukapibal-3_2@bigc.co.th")</f>
        <v>sgm.sukapibal-3_2@bigc.co.th</v>
      </c>
    </row>
    <row r="77" ht="15.75" customHeight="1">
      <c r="A77" s="1" t="str">
        <f>IFERROR(__xludf.DUMMYFUNCTION("""COMPUTED_VALUE"""),"11178")</f>
        <v>11178</v>
      </c>
      <c r="B77" s="2">
        <f>IFERROR(__xludf.DUMMYFUNCTION("""COMPUTED_VALUE"""),11178.0)</f>
        <v>11178</v>
      </c>
      <c r="C77" s="3" t="str">
        <f>IFERROR(__xludf.DUMMYFUNCTION("""COMPUTED_VALUE"""),"ศรีนครินทร์")</f>
        <v>ศรีนครินทร์</v>
      </c>
      <c r="D77" s="3" t="str">
        <f>IFERROR(__xludf.DUMMYFUNCTION("""COMPUTED_VALUE"""),"BIGC SRINAKARIN")</f>
        <v>BIGC SRINAKARIN</v>
      </c>
      <c r="E77" s="1" t="str">
        <f>IFERROR(__xludf.DUMMYFUNCTION("""COMPUTED_VALUE"""),"บิ๊กซี HyperMarket")</f>
        <v>บิ๊กซี HyperMarket</v>
      </c>
      <c r="F77" s="1" t="str">
        <f>IFERROR(__xludf.DUMMYFUNCTION("""COMPUTED_VALUE"""),"2454716")</f>
        <v>2454716</v>
      </c>
      <c r="G77" s="1" t="str">
        <f>IFERROR(__xludf.DUMMYFUNCTION("""COMPUTED_VALUE"""),"นายโฆษิต วงค์กะโซ่")</f>
        <v>นายโฆษิต วงค์กะโซ่</v>
      </c>
      <c r="H77" s="1" t="str">
        <f>IFERROR(__xludf.DUMMYFUNCTION("""COMPUTED_VALUE"""),"2454716")</f>
        <v>2454716</v>
      </c>
      <c r="I77" s="1" t="str">
        <f>IFERROR(__xludf.DUMMYFUNCTION("""COMPUTED_VALUE"""),"นายโฆษิต วงค์กะโซ่")</f>
        <v>นายโฆษิต วงค์กะโซ่</v>
      </c>
      <c r="J77" s="3">
        <f>IFERROR(__xludf.DUMMYFUNCTION("""COMPUTED_VALUE"""),2454716.0)</f>
        <v>2454716</v>
      </c>
      <c r="K77" s="3" t="str">
        <f>IFERROR(__xludf.DUMMYFUNCTION("""COMPUTED_VALUE"""),"นายโฆษิต วงค์กะโซ่")</f>
        <v>นายโฆษิต วงค์กะโซ่</v>
      </c>
      <c r="L77" s="1" t="str">
        <f>IFERROR(__xludf.DUMMYFUNCTION("""COMPUTED_VALUE"""),"Hub03-BKK 3")</f>
        <v>Hub03-BKK 3</v>
      </c>
      <c r="M77" s="1" t="str">
        <f>IFERROR(__xludf.DUMMYFUNCTION("""COMPUTED_VALUE"""),"062-434-5030")</f>
        <v>062-434-5030</v>
      </c>
      <c r="N77" s="3">
        <f>IFERROR(__xludf.DUMMYFUNCTION("""COMPUTED_VALUE"""),11178.0)</f>
        <v>11178</v>
      </c>
      <c r="O77" s="3" t="str">
        <f>IFERROR(__xludf.DUMMYFUNCTION("""COMPUTED_VALUE"""),"ศรีนครินทร์")</f>
        <v>ศรีนครินทร์</v>
      </c>
      <c r="P77" s="4">
        <f>IFERROR(__xludf.DUMMYFUNCTION("""COMPUTED_VALUE"""),35327.0)</f>
        <v>35327</v>
      </c>
      <c r="Q77" s="3" t="str">
        <f>IFERROR(__xludf.DUMMYFUNCTION("""COMPUTED_VALUE"""),"A")</f>
        <v>A</v>
      </c>
      <c r="R77" s="3" t="str">
        <f>IFERROR(__xludf.DUMMYFUNCTION("""COMPUTED_VALUE"""),"Big Format")</f>
        <v>Big Format</v>
      </c>
      <c r="S77" s="3" t="str">
        <f>IFERROR(__xludf.DUMMYFUNCTION("""COMPUTED_VALUE"""),"Hyper")</f>
        <v>Hyper</v>
      </c>
      <c r="T77" s="3" t="str">
        <f>IFERROR(__xludf.DUMMYFUNCTION("""COMPUTED_VALUE"""),"Hub03-BKK 3")</f>
        <v>Hub03-BKK 3</v>
      </c>
      <c r="U77" s="3" t="str">
        <f>IFERROR(__xludf.DUMMYFUNCTION("""COMPUTED_VALUE"""),"Hub03-BKK 3")</f>
        <v>Hub03-BKK 3</v>
      </c>
      <c r="V77" s="3" t="str">
        <f>IFERROR(__xludf.DUMMYFUNCTION("""COMPUTED_VALUE"""),"N")</f>
        <v>N</v>
      </c>
      <c r="W77" s="3">
        <f>IFERROR(__xludf.DUMMYFUNCTION("""COMPUTED_VALUE"""),111178.0)</f>
        <v>111178</v>
      </c>
      <c r="X77" s="3" t="str">
        <f>IFERROR(__xludf.DUMMYFUNCTION("""COMPUTED_VALUE"""),"425 หมู่ที่ 5 ถนนศรีนครินทร์ ตำบลสำโรงเหนือ อำเภอเมืองสมุทรปราการ จังหวัดสมุทรปราการ 10270")</f>
        <v>425 หมู่ที่ 5 ถนนศรีนครินทร์ ตำบลสำโรงเหนือ อำเภอเมืองสมุทรปราการ จังหวัดสมุทรปราการ 10270</v>
      </c>
      <c r="Y77" s="3"/>
      <c r="Z77" s="3" t="str">
        <f>IFERROR(__xludf.DUMMYFUNCTION("""COMPUTED_VALUE"""),"สำโรงเหนือ")</f>
        <v>สำโรงเหนือ</v>
      </c>
      <c r="AA77" s="3" t="str">
        <f>IFERROR(__xludf.DUMMYFUNCTION("""COMPUTED_VALUE"""),"เมืองสมุทรปราการ")</f>
        <v>เมืองสมุทรปราการ</v>
      </c>
      <c r="AB77" s="3" t="str">
        <f>IFERROR(__xludf.DUMMYFUNCTION("""COMPUTED_VALUE"""),"สมุทรปราการ")</f>
        <v>สมุทรปราการ</v>
      </c>
      <c r="AC77" s="3">
        <f>IFERROR(__xludf.DUMMYFUNCTION("""COMPUTED_VALUE"""),10270.0)</f>
        <v>10270</v>
      </c>
      <c r="AD77" s="3">
        <f>IFERROR(__xludf.DUMMYFUNCTION("""COMPUTED_VALUE"""),13.648944)</f>
        <v>13.648944</v>
      </c>
      <c r="AE77" s="3">
        <f>IFERROR(__xludf.DUMMYFUNCTION("""COMPUTED_VALUE"""),100.640721)</f>
        <v>100.640721</v>
      </c>
      <c r="AF77" s="3" t="str">
        <f>IFERROR(__xludf.DUMMYFUNCTION("""COMPUTED_VALUE"""),"ศรีนครินทร์-11178")</f>
        <v>ศรีนครินทร์-11178</v>
      </c>
      <c r="AG77" s="3" t="str">
        <f>IFERROR(__xludf.DUMMYFUNCTION("""COMPUTED_VALUE"""),"กลาง")</f>
        <v>กลาง</v>
      </c>
      <c r="AH77" s="3" t="str">
        <f>IFERROR(__xludf.DUMMYFUNCTION("""COMPUTED_VALUE"""),"Saitan Boonpitak")</f>
        <v>Saitan Boonpitak</v>
      </c>
      <c r="AI77" s="3" t="str">
        <f>IFERROR(__xludf.DUMMYFUNCTION("""COMPUTED_VALUE"""),"Out of warranty")</f>
        <v>Out of warranty</v>
      </c>
      <c r="AJ77" s="3">
        <f>IFERROR(__xludf.DUMMYFUNCTION("""COMPUTED_VALUE"""),353.0)</f>
        <v>353</v>
      </c>
      <c r="AK77" s="3"/>
      <c r="AL77" s="3" t="str">
        <f>IFERROR(__xludf.DUMMYFUNCTION("""COMPUTED_VALUE"""),"sgm.srinakarin@bigc.co.th")</f>
        <v>sgm.srinakarin@bigc.co.th</v>
      </c>
    </row>
    <row r="78" ht="15.75" customHeight="1">
      <c r="A78" s="1" t="str">
        <f>IFERROR(__xludf.DUMMYFUNCTION("""COMPUTED_VALUE"""),"11179")</f>
        <v>11179</v>
      </c>
      <c r="B78" s="2">
        <f>IFERROR(__xludf.DUMMYFUNCTION("""COMPUTED_VALUE"""),11179.0)</f>
        <v>11179</v>
      </c>
      <c r="C78" s="3" t="str">
        <f>IFERROR(__xludf.DUMMYFUNCTION("""COMPUTED_VALUE"""),"เพชรเกษม-2")</f>
        <v>เพชรเกษม-2</v>
      </c>
      <c r="D78" s="3" t="str">
        <f>IFERROR(__xludf.DUMMYFUNCTION("""COMPUTED_VALUE"""),"BIGC PHETCHAKASEM-2")</f>
        <v>BIGC PHETCHAKASEM-2</v>
      </c>
      <c r="E78" s="1" t="str">
        <f>IFERROR(__xludf.DUMMYFUNCTION("""COMPUTED_VALUE"""),"บิ๊กซี HyperMarket")</f>
        <v>บิ๊กซี HyperMarket</v>
      </c>
      <c r="F78" s="1" t="str">
        <f>IFERROR(__xludf.DUMMYFUNCTION("""COMPUTED_VALUE"""),"2454701")</f>
        <v>2454701</v>
      </c>
      <c r="G78" s="1" t="str">
        <f>IFERROR(__xludf.DUMMYFUNCTION("""COMPUTED_VALUE"""),"นายกานต์ ไชยแสงศรี")</f>
        <v>นายกานต์ ไชยแสงศรี</v>
      </c>
      <c r="H78" s="1" t="str">
        <f>IFERROR(__xludf.DUMMYFUNCTION("""COMPUTED_VALUE"""),"2454701")</f>
        <v>2454701</v>
      </c>
      <c r="I78" s="1" t="str">
        <f>IFERROR(__xludf.DUMMYFUNCTION("""COMPUTED_VALUE"""),"นายกานต์ ไชยแสงศรี")</f>
        <v>นายกานต์ ไชยแสงศรี</v>
      </c>
      <c r="J78" s="3">
        <f>IFERROR(__xludf.DUMMYFUNCTION("""COMPUTED_VALUE"""),2454701.0)</f>
        <v>2454701</v>
      </c>
      <c r="K78" s="3" t="str">
        <f>IFERROR(__xludf.DUMMYFUNCTION("""COMPUTED_VALUE"""),"นายกานต์ ไชยแสงศรี")</f>
        <v>นายกานต์ ไชยแสงศรี</v>
      </c>
      <c r="L78" s="1" t="str">
        <f>IFERROR(__xludf.DUMMYFUNCTION("""COMPUTED_VALUE"""),"Hub01-BKK 1")</f>
        <v>Hub01-BKK 1</v>
      </c>
      <c r="M78" s="1" t="str">
        <f>IFERROR(__xludf.DUMMYFUNCTION("""COMPUTED_VALUE"""),"0909090652")</f>
        <v>0909090652</v>
      </c>
      <c r="N78" s="3">
        <f>IFERROR(__xludf.DUMMYFUNCTION("""COMPUTED_VALUE"""),11179.0)</f>
        <v>11179</v>
      </c>
      <c r="O78" s="3" t="str">
        <f>IFERROR(__xludf.DUMMYFUNCTION("""COMPUTED_VALUE"""),"เพชรเกษม-2")</f>
        <v>เพชรเกษม-2</v>
      </c>
      <c r="P78" s="4">
        <f>IFERROR(__xludf.DUMMYFUNCTION("""COMPUTED_VALUE"""),35811.0)</f>
        <v>35811</v>
      </c>
      <c r="Q78" s="3" t="str">
        <f>IFERROR(__xludf.DUMMYFUNCTION("""COMPUTED_VALUE"""),"A")</f>
        <v>A</v>
      </c>
      <c r="R78" s="3" t="str">
        <f>IFERROR(__xludf.DUMMYFUNCTION("""COMPUTED_VALUE"""),"Big Format")</f>
        <v>Big Format</v>
      </c>
      <c r="S78" s="3" t="str">
        <f>IFERROR(__xludf.DUMMYFUNCTION("""COMPUTED_VALUE"""),"Hyper")</f>
        <v>Hyper</v>
      </c>
      <c r="T78" s="3" t="str">
        <f>IFERROR(__xludf.DUMMYFUNCTION("""COMPUTED_VALUE"""),"Hub01-BKK 1")</f>
        <v>Hub01-BKK 1</v>
      </c>
      <c r="U78" s="3" t="str">
        <f>IFERROR(__xludf.DUMMYFUNCTION("""COMPUTED_VALUE"""),"Hub01-BKK 1")</f>
        <v>Hub01-BKK 1</v>
      </c>
      <c r="V78" s="3" t="str">
        <f>IFERROR(__xludf.DUMMYFUNCTION("""COMPUTED_VALUE"""),"N")</f>
        <v>N</v>
      </c>
      <c r="W78" s="3">
        <f>IFERROR(__xludf.DUMMYFUNCTION("""COMPUTED_VALUE"""),111179.0)</f>
        <v>111179</v>
      </c>
      <c r="X78" s="3" t="str">
        <f>IFERROR(__xludf.DUMMYFUNCTION("""COMPUTED_VALUE"""),"178 ถนนเพชรเกษม แขวงหนองค้างพลู เขตหนองแขม กรุงเทพฯ 10160")</f>
        <v>178 ถนนเพชรเกษม แขวงหนองค้างพลู เขตหนองแขม กรุงเทพฯ 10160</v>
      </c>
      <c r="Y78" s="3" t="str">
        <f>IFERROR(__xludf.DUMMYFUNCTION("""COMPUTED_VALUE"""),"ถนนเพชรเกษม")</f>
        <v>ถนนเพชรเกษม</v>
      </c>
      <c r="Z78" s="3" t="str">
        <f>IFERROR(__xludf.DUMMYFUNCTION("""COMPUTED_VALUE"""),"หนองค้างพลู")</f>
        <v>หนองค้างพลู</v>
      </c>
      <c r="AA78" s="3" t="str">
        <f>IFERROR(__xludf.DUMMYFUNCTION("""COMPUTED_VALUE"""),"หนองแขม")</f>
        <v>หนองแขม</v>
      </c>
      <c r="AB78" s="3" t="str">
        <f>IFERROR(__xludf.DUMMYFUNCTION("""COMPUTED_VALUE"""),"กรุงเทพมหานคร")</f>
        <v>กรุงเทพมหานคร</v>
      </c>
      <c r="AC78" s="3">
        <f>IFERROR(__xludf.DUMMYFUNCTION("""COMPUTED_VALUE"""),10160.0)</f>
        <v>10160</v>
      </c>
      <c r="AD78" s="3">
        <f>IFERROR(__xludf.DUMMYFUNCTION("""COMPUTED_VALUE"""),13.7091598)</f>
        <v>13.7091598</v>
      </c>
      <c r="AE78" s="3">
        <f>IFERROR(__xludf.DUMMYFUNCTION("""COMPUTED_VALUE"""),100.3667593)</f>
        <v>100.3667593</v>
      </c>
      <c r="AF78" s="3" t="str">
        <f>IFERROR(__xludf.DUMMYFUNCTION("""COMPUTED_VALUE"""),"เพชรเกษม-2-11179")</f>
        <v>เพชรเกษม-2-11179</v>
      </c>
      <c r="AG78" s="3" t="str">
        <f>IFERROR(__xludf.DUMMYFUNCTION("""COMPUTED_VALUE"""),"กลาง")</f>
        <v>กลาง</v>
      </c>
      <c r="AH78" s="3" t="str">
        <f>IFERROR(__xludf.DUMMYFUNCTION("""COMPUTED_VALUE"""),"Suchin Thawinwisan")</f>
        <v>Suchin Thawinwisan</v>
      </c>
      <c r="AI78" s="3" t="str">
        <f>IFERROR(__xludf.DUMMYFUNCTION("""COMPUTED_VALUE"""),"Out of warranty")</f>
        <v>Out of warranty</v>
      </c>
      <c r="AJ78" s="3">
        <f>IFERROR(__xludf.DUMMYFUNCTION("""COMPUTED_VALUE"""),337.0)</f>
        <v>337</v>
      </c>
      <c r="AK78" s="3"/>
      <c r="AL78" s="3" t="str">
        <f>IFERROR(__xludf.DUMMYFUNCTION("""COMPUTED_VALUE"""),"sgm.phetchakasem2@bigc.co.th")</f>
        <v>sgm.phetchakasem2@bigc.co.th</v>
      </c>
    </row>
    <row r="79" ht="15.75" customHeight="1">
      <c r="A79" s="1" t="str">
        <f>IFERROR(__xludf.DUMMYFUNCTION("""COMPUTED_VALUE"""),"11180")</f>
        <v>11180</v>
      </c>
      <c r="B79" s="2">
        <f>IFERROR(__xludf.DUMMYFUNCTION("""COMPUTED_VALUE"""),11180.0)</f>
        <v>11180</v>
      </c>
      <c r="C79" s="3" t="str">
        <f>IFERROR(__xludf.DUMMYFUNCTION("""COMPUTED_VALUE"""),"รามอินทรา")</f>
        <v>รามอินทรา</v>
      </c>
      <c r="D79" s="3" t="str">
        <f>IFERROR(__xludf.DUMMYFUNCTION("""COMPUTED_VALUE"""),"BIGC RAMINTRA")</f>
        <v>BIGC RAMINTRA</v>
      </c>
      <c r="E79" s="1" t="str">
        <f>IFERROR(__xludf.DUMMYFUNCTION("""COMPUTED_VALUE"""),"บิ๊กซี HyperMarket")</f>
        <v>บิ๊กซี HyperMarket</v>
      </c>
      <c r="F79" s="1" t="str">
        <f>IFERROR(__xludf.DUMMYFUNCTION("""COMPUTED_VALUE"""),"02408546")</f>
        <v>02408546</v>
      </c>
      <c r="G79" s="1" t="str">
        <f>IFERROR(__xludf.DUMMYFUNCTION("""COMPUTED_VALUE"""),"นายเกษมศิษฐ์ ฮดบุญเรือง")</f>
        <v>นายเกษมศิษฐ์ ฮดบุญเรือง</v>
      </c>
      <c r="H79" s="1" t="str">
        <f>IFERROR(__xludf.DUMMYFUNCTION("""COMPUTED_VALUE"""),"02408546")</f>
        <v>02408546</v>
      </c>
      <c r="I79" s="1" t="str">
        <f>IFERROR(__xludf.DUMMYFUNCTION("""COMPUTED_VALUE"""),"นายเกษมศิษฐ์ ฮดบุญเรือง")</f>
        <v>นายเกษมศิษฐ์ ฮดบุญเรือง</v>
      </c>
      <c r="J79" s="3">
        <f>IFERROR(__xludf.DUMMYFUNCTION("""COMPUTED_VALUE"""),2408546.0)</f>
        <v>2408546</v>
      </c>
      <c r="K79" s="3" t="str">
        <f>IFERROR(__xludf.DUMMYFUNCTION("""COMPUTED_VALUE"""),"นายเกษมศิษฐ์ ฮดบุญเรือง")</f>
        <v>นายเกษมศิษฐ์ ฮดบุญเรือง</v>
      </c>
      <c r="L79" s="1" t="str">
        <f>IFERROR(__xludf.DUMMYFUNCTION("""COMPUTED_VALUE"""),"Hub02-BKK 2")</f>
        <v>Hub02-BKK 2</v>
      </c>
      <c r="M79" s="1" t="str">
        <f>IFERROR(__xludf.DUMMYFUNCTION("""COMPUTED_VALUE"""),"0988580755")</f>
        <v>0988580755</v>
      </c>
      <c r="N79" s="3">
        <f>IFERROR(__xludf.DUMMYFUNCTION("""COMPUTED_VALUE"""),11180.0)</f>
        <v>11180</v>
      </c>
      <c r="O79" s="3" t="str">
        <f>IFERROR(__xludf.DUMMYFUNCTION("""COMPUTED_VALUE"""),"รามอินทรา")</f>
        <v>รามอินทรา</v>
      </c>
      <c r="P79" s="4">
        <f>IFERROR(__xludf.DUMMYFUNCTION("""COMPUTED_VALUE"""),36301.0)</f>
        <v>36301</v>
      </c>
      <c r="Q79" s="3" t="str">
        <f>IFERROR(__xludf.DUMMYFUNCTION("""COMPUTED_VALUE"""),"A")</f>
        <v>A</v>
      </c>
      <c r="R79" s="3" t="str">
        <f>IFERROR(__xludf.DUMMYFUNCTION("""COMPUTED_VALUE"""),"Big Format")</f>
        <v>Big Format</v>
      </c>
      <c r="S79" s="3" t="str">
        <f>IFERROR(__xludf.DUMMYFUNCTION("""COMPUTED_VALUE"""),"Hyper")</f>
        <v>Hyper</v>
      </c>
      <c r="T79" s="3" t="str">
        <f>IFERROR(__xludf.DUMMYFUNCTION("""COMPUTED_VALUE"""),"Hub02-BKK 2")</f>
        <v>Hub02-BKK 2</v>
      </c>
      <c r="U79" s="3" t="str">
        <f>IFERROR(__xludf.DUMMYFUNCTION("""COMPUTED_VALUE"""),"Hub02-BKK 2")</f>
        <v>Hub02-BKK 2</v>
      </c>
      <c r="V79" s="3" t="str">
        <f>IFERROR(__xludf.DUMMYFUNCTION("""COMPUTED_VALUE"""),"N")</f>
        <v>N</v>
      </c>
      <c r="W79" s="3">
        <f>IFERROR(__xludf.DUMMYFUNCTION("""COMPUTED_VALUE"""),111180.0)</f>
        <v>111180</v>
      </c>
      <c r="X79" s="3" t="str">
        <f>IFERROR(__xludf.DUMMYFUNCTION("""COMPUTED_VALUE"""),"59 หมู่ที่ 4 แขวงอนุสาวรีย์ เขตบางเขน กรุงเทพฯ 10220")</f>
        <v>59 หมู่ที่ 4 แขวงอนุสาวรีย์ เขตบางเขน กรุงเทพฯ 10220</v>
      </c>
      <c r="Y79" s="3"/>
      <c r="Z79" s="3" t="str">
        <f>IFERROR(__xludf.DUMMYFUNCTION("""COMPUTED_VALUE"""),"อนุสาวรีย์")</f>
        <v>อนุสาวรีย์</v>
      </c>
      <c r="AA79" s="3" t="str">
        <f>IFERROR(__xludf.DUMMYFUNCTION("""COMPUTED_VALUE"""),"บางเขน")</f>
        <v>บางเขน</v>
      </c>
      <c r="AB79" s="3" t="str">
        <f>IFERROR(__xludf.DUMMYFUNCTION("""COMPUTED_VALUE"""),"กรุงเทพมหานคร")</f>
        <v>กรุงเทพมหานคร</v>
      </c>
      <c r="AC79" s="3">
        <f>IFERROR(__xludf.DUMMYFUNCTION("""COMPUTED_VALUE"""),10220.0)</f>
        <v>10220</v>
      </c>
      <c r="AD79" s="3">
        <f>IFERROR(__xludf.DUMMYFUNCTION("""COMPUTED_VALUE"""),13.860906)</f>
        <v>13.860906</v>
      </c>
      <c r="AE79" s="3">
        <f>IFERROR(__xludf.DUMMYFUNCTION("""COMPUTED_VALUE"""),100.618435)</f>
        <v>100.618435</v>
      </c>
      <c r="AF79" s="3" t="str">
        <f>IFERROR(__xludf.DUMMYFUNCTION("""COMPUTED_VALUE"""),"รามอินทรา-11180")</f>
        <v>รามอินทรา-11180</v>
      </c>
      <c r="AG79" s="3" t="str">
        <f>IFERROR(__xludf.DUMMYFUNCTION("""COMPUTED_VALUE"""),"กลาง")</f>
        <v>กลาง</v>
      </c>
      <c r="AH79" s="3" t="str">
        <f>IFERROR(__xludf.DUMMYFUNCTION("""COMPUTED_VALUE"""),"Vassana Teratam")</f>
        <v>Vassana Teratam</v>
      </c>
      <c r="AI79" s="3" t="str">
        <f>IFERROR(__xludf.DUMMYFUNCTION("""COMPUTED_VALUE"""),"Out of warranty")</f>
        <v>Out of warranty</v>
      </c>
      <c r="AJ79" s="3">
        <f>IFERROR(__xludf.DUMMYFUNCTION("""COMPUTED_VALUE"""),320.0)</f>
        <v>320</v>
      </c>
      <c r="AK79" s="3"/>
      <c r="AL79" s="3" t="str">
        <f>IFERROR(__xludf.DUMMYFUNCTION("""COMPUTED_VALUE"""),"sgm.ramintra@bigc.co.th")</f>
        <v>sgm.ramintra@bigc.co.th</v>
      </c>
    </row>
    <row r="80" ht="15.75" customHeight="1">
      <c r="A80" s="1" t="str">
        <f>IFERROR(__xludf.DUMMYFUNCTION("""COMPUTED_VALUE"""),"11181")</f>
        <v>11181</v>
      </c>
      <c r="B80" s="2">
        <f>IFERROR(__xludf.DUMMYFUNCTION("""COMPUTED_VALUE"""),11181.0)</f>
        <v>11181</v>
      </c>
      <c r="C80" s="3" t="str">
        <f>IFERROR(__xludf.DUMMYFUNCTION("""COMPUTED_VALUE"""),"ชลบุรี-2")</f>
        <v>ชลบุรี-2</v>
      </c>
      <c r="D80" s="3" t="str">
        <f>IFERROR(__xludf.DUMMYFUNCTION("""COMPUTED_VALUE"""),"BIGC CHONBURI-2")</f>
        <v>BIGC CHONBURI-2</v>
      </c>
      <c r="E80" s="1" t="str">
        <f>IFERROR(__xludf.DUMMYFUNCTION("""COMPUTED_VALUE"""),"บิ๊กซี HyperMarket")</f>
        <v>บิ๊กซี HyperMarket</v>
      </c>
      <c r="F80" s="1" t="str">
        <f>IFERROR(__xludf.DUMMYFUNCTION("""COMPUTED_VALUE"""),"2455164")</f>
        <v>2455164</v>
      </c>
      <c r="G80" s="1" t="str">
        <f>IFERROR(__xludf.DUMMYFUNCTION("""COMPUTED_VALUE"""),"นายกรวิทย์ เจริญพร")</f>
        <v>นายกรวิทย์ เจริญพร</v>
      </c>
      <c r="H80" s="1" t="str">
        <f>IFERROR(__xludf.DUMMYFUNCTION("""COMPUTED_VALUE"""),"2455164")</f>
        <v>2455164</v>
      </c>
      <c r="I80" s="1" t="str">
        <f>IFERROR(__xludf.DUMMYFUNCTION("""COMPUTED_VALUE"""),"นายกรวิทย์ เจริญพร")</f>
        <v>นายกรวิทย์ เจริญพร</v>
      </c>
      <c r="J80" s="3">
        <f>IFERROR(__xludf.DUMMYFUNCTION("""COMPUTED_VALUE"""),2455164.0)</f>
        <v>2455164</v>
      </c>
      <c r="K80" s="3" t="str">
        <f>IFERROR(__xludf.DUMMYFUNCTION("""COMPUTED_VALUE"""),"นายกรวิทย์ เจริญพร")</f>
        <v>นายกรวิทย์ เจริญพร</v>
      </c>
      <c r="L80" s="1" t="str">
        <f>IFERROR(__xludf.DUMMYFUNCTION("""COMPUTED_VALUE"""),"Hub08-East")</f>
        <v>Hub08-East</v>
      </c>
      <c r="M80" s="1" t="str">
        <f>IFERROR(__xludf.DUMMYFUNCTION("""COMPUTED_VALUE"""),"092-605-9922")</f>
        <v>092-605-9922</v>
      </c>
      <c r="N80" s="3">
        <f>IFERROR(__xludf.DUMMYFUNCTION("""COMPUTED_VALUE"""),11181.0)</f>
        <v>11181</v>
      </c>
      <c r="O80" s="3" t="str">
        <f>IFERROR(__xludf.DUMMYFUNCTION("""COMPUTED_VALUE"""),"ชลบุรี-2")</f>
        <v>ชลบุรี-2</v>
      </c>
      <c r="P80" s="4">
        <f>IFERROR(__xludf.DUMMYFUNCTION("""COMPUTED_VALUE"""),39199.0)</f>
        <v>39199</v>
      </c>
      <c r="Q80" s="3" t="str">
        <f>IFERROR(__xludf.DUMMYFUNCTION("""COMPUTED_VALUE"""),"A")</f>
        <v>A</v>
      </c>
      <c r="R80" s="3" t="str">
        <f>IFERROR(__xludf.DUMMYFUNCTION("""COMPUTED_VALUE"""),"Big Format")</f>
        <v>Big Format</v>
      </c>
      <c r="S80" s="3" t="str">
        <f>IFERROR(__xludf.DUMMYFUNCTION("""COMPUTED_VALUE"""),"Hyper")</f>
        <v>Hyper</v>
      </c>
      <c r="T80" s="3" t="str">
        <f>IFERROR(__xludf.DUMMYFUNCTION("""COMPUTED_VALUE"""),"Hub08-East")</f>
        <v>Hub08-East</v>
      </c>
      <c r="U80" s="3" t="str">
        <f>IFERROR(__xludf.DUMMYFUNCTION("""COMPUTED_VALUE"""),"Hub08-East")</f>
        <v>Hub08-East</v>
      </c>
      <c r="V80" s="3" t="str">
        <f>IFERROR(__xludf.DUMMYFUNCTION("""COMPUTED_VALUE"""),"N")</f>
        <v>N</v>
      </c>
      <c r="W80" s="3">
        <f>IFERROR(__xludf.DUMMYFUNCTION("""COMPUTED_VALUE"""),111181.0)</f>
        <v>111181</v>
      </c>
      <c r="X80" s="3" t="str">
        <f>IFERROR(__xludf.DUMMYFUNCTION("""COMPUTED_VALUE"""),"15/17 หมู่ที่ 3 ตำบลห้วยกะปิ อำเภอเมืองชลบุรี จังหวัดชลบุรี 20000")</f>
        <v>15/17 หมู่ที่ 3 ตำบลห้วยกะปิ อำเภอเมืองชลบุรี จังหวัดชลบุรี 20000</v>
      </c>
      <c r="Y80" s="3"/>
      <c r="Z80" s="3" t="str">
        <f>IFERROR(__xludf.DUMMYFUNCTION("""COMPUTED_VALUE"""),"ห้วยกะปิ")</f>
        <v>ห้วยกะปิ</v>
      </c>
      <c r="AA80" s="3" t="str">
        <f>IFERROR(__xludf.DUMMYFUNCTION("""COMPUTED_VALUE"""),"เมือง")</f>
        <v>เมือง</v>
      </c>
      <c r="AB80" s="3" t="str">
        <f>IFERROR(__xludf.DUMMYFUNCTION("""COMPUTED_VALUE"""),"ชลบุรี")</f>
        <v>ชลบุรี</v>
      </c>
      <c r="AC80" s="3">
        <f>IFERROR(__xludf.DUMMYFUNCTION("""COMPUTED_VALUE"""),20000.0)</f>
        <v>20000</v>
      </c>
      <c r="AD80" s="3">
        <f>IFERROR(__xludf.DUMMYFUNCTION("""COMPUTED_VALUE"""),13.31573375)</f>
        <v>13.31573375</v>
      </c>
      <c r="AE80" s="3">
        <f>IFERROR(__xludf.DUMMYFUNCTION("""COMPUTED_VALUE"""),100.9603)</f>
        <v>100.9603</v>
      </c>
      <c r="AF80" s="3" t="str">
        <f>IFERROR(__xludf.DUMMYFUNCTION("""COMPUTED_VALUE"""),"ชลบุรี-2-11181")</f>
        <v>ชลบุรี-2-11181</v>
      </c>
      <c r="AG80" s="3" t="str">
        <f>IFERROR(__xludf.DUMMYFUNCTION("""COMPUTED_VALUE"""),"ตะวันออก")</f>
        <v>ตะวันออก</v>
      </c>
      <c r="AH80" s="3" t="str">
        <f>IFERROR(__xludf.DUMMYFUNCTION("""COMPUTED_VALUE"""),"Walaiporn Sutyod")</f>
        <v>Walaiporn Sutyod</v>
      </c>
      <c r="AI80" s="3" t="str">
        <f>IFERROR(__xludf.DUMMYFUNCTION("""COMPUTED_VALUE"""),"Out of warranty")</f>
        <v>Out of warranty</v>
      </c>
      <c r="AJ80" s="3">
        <f>IFERROR(__xludf.DUMMYFUNCTION("""COMPUTED_VALUE"""),225.0)</f>
        <v>225</v>
      </c>
      <c r="AK80" s="3"/>
      <c r="AL80" s="3" t="str">
        <f>IFERROR(__xludf.DUMMYFUNCTION("""COMPUTED_VALUE"""),"sgm.chonburi2@bigc.co.th")</f>
        <v>sgm.chonburi2@bigc.co.th</v>
      </c>
    </row>
    <row r="81" ht="15.75" customHeight="1">
      <c r="A81" s="1" t="str">
        <f>IFERROR(__xludf.DUMMYFUNCTION("""COMPUTED_VALUE"""),"11182")</f>
        <v>11182</v>
      </c>
      <c r="B81" s="2">
        <f>IFERROR(__xludf.DUMMYFUNCTION("""COMPUTED_VALUE"""),11182.0)</f>
        <v>11182</v>
      </c>
      <c r="C81" s="3" t="str">
        <f>IFERROR(__xludf.DUMMYFUNCTION("""COMPUTED_VALUE"""),"อ่อนนุช")</f>
        <v>อ่อนนุช</v>
      </c>
      <c r="D81" s="3" t="str">
        <f>IFERROR(__xludf.DUMMYFUNCTION("""COMPUTED_VALUE"""),"BIGC ON NUCH")</f>
        <v>BIGC ON NUCH</v>
      </c>
      <c r="E81" s="1" t="str">
        <f>IFERROR(__xludf.DUMMYFUNCTION("""COMPUTED_VALUE"""),"บิ๊กซี HyperMarket")</f>
        <v>บิ๊กซี HyperMarket</v>
      </c>
      <c r="F81" s="1" t="str">
        <f>IFERROR(__xludf.DUMMYFUNCTION("""COMPUTED_VALUE"""),"02408546")</f>
        <v>02408546</v>
      </c>
      <c r="G81" s="1" t="str">
        <f>IFERROR(__xludf.DUMMYFUNCTION("""COMPUTED_VALUE"""),"นายเกษมศิษฐ์ ฮดบุญเรือง")</f>
        <v>นายเกษมศิษฐ์ ฮดบุญเรือง</v>
      </c>
      <c r="H81" s="1" t="str">
        <f>IFERROR(__xludf.DUMMYFUNCTION("""COMPUTED_VALUE"""),"02408546")</f>
        <v>02408546</v>
      </c>
      <c r="I81" s="1" t="str">
        <f>IFERROR(__xludf.DUMMYFUNCTION("""COMPUTED_VALUE"""),"นายเกษมศิษฐ์ ฮดบุญเรือง")</f>
        <v>นายเกษมศิษฐ์ ฮดบุญเรือง</v>
      </c>
      <c r="J81" s="3">
        <f>IFERROR(__xludf.DUMMYFUNCTION("""COMPUTED_VALUE"""),2408546.0)</f>
        <v>2408546</v>
      </c>
      <c r="K81" s="3" t="str">
        <f>IFERROR(__xludf.DUMMYFUNCTION("""COMPUTED_VALUE"""),"นายเกษมศิษฐ์ ฮดบุญเรือง")</f>
        <v>นายเกษมศิษฐ์ ฮดบุญเรือง</v>
      </c>
      <c r="L81" s="1" t="str">
        <f>IFERROR(__xludf.DUMMYFUNCTION("""COMPUTED_VALUE"""),"Hub02-BKK 2")</f>
        <v>Hub02-BKK 2</v>
      </c>
      <c r="M81" s="1" t="str">
        <f>IFERROR(__xludf.DUMMYFUNCTION("""COMPUTED_VALUE"""),"0988580755")</f>
        <v>0988580755</v>
      </c>
      <c r="N81" s="3">
        <f>IFERROR(__xludf.DUMMYFUNCTION("""COMPUTED_VALUE"""),11182.0)</f>
        <v>11182</v>
      </c>
      <c r="O81" s="3" t="str">
        <f>IFERROR(__xludf.DUMMYFUNCTION("""COMPUTED_VALUE"""),"อ่อนนุช")</f>
        <v>อ่อนนุช</v>
      </c>
      <c r="P81" s="4">
        <f>IFERROR(__xludf.DUMMYFUNCTION("""COMPUTED_VALUE"""),37350.0)</f>
        <v>37350</v>
      </c>
      <c r="Q81" s="3" t="str">
        <f>IFERROR(__xludf.DUMMYFUNCTION("""COMPUTED_VALUE"""),"A")</f>
        <v>A</v>
      </c>
      <c r="R81" s="3" t="str">
        <f>IFERROR(__xludf.DUMMYFUNCTION("""COMPUTED_VALUE"""),"Big Format")</f>
        <v>Big Format</v>
      </c>
      <c r="S81" s="3" t="str">
        <f>IFERROR(__xludf.DUMMYFUNCTION("""COMPUTED_VALUE"""),"Hyper")</f>
        <v>Hyper</v>
      </c>
      <c r="T81" s="3" t="str">
        <f>IFERROR(__xludf.DUMMYFUNCTION("""COMPUTED_VALUE"""),"Hub02-BKK 2")</f>
        <v>Hub02-BKK 2</v>
      </c>
      <c r="U81" s="3" t="str">
        <f>IFERROR(__xludf.DUMMYFUNCTION("""COMPUTED_VALUE"""),"Hub02-BKK 2")</f>
        <v>Hub02-BKK 2</v>
      </c>
      <c r="V81" s="3" t="str">
        <f>IFERROR(__xludf.DUMMYFUNCTION("""COMPUTED_VALUE"""),"N")</f>
        <v>N</v>
      </c>
      <c r="W81" s="3">
        <f>IFERROR(__xludf.DUMMYFUNCTION("""COMPUTED_VALUE"""),111182.0)</f>
        <v>111182</v>
      </c>
      <c r="X81" s="3" t="str">
        <f>IFERROR(__xludf.DUMMYFUNCTION("""COMPUTED_VALUE"""),"114 ซอยสุขุมวิท 77 (อ่อนนุช 1) แขวงพระโขนงเหนือ เขตวัฒนา กรุงเทพมหานคร 10110")</f>
        <v>114 ซอยสุขุมวิท 77 (อ่อนนุช 1) แขวงพระโขนงเหนือ เขตวัฒนา กรุงเทพมหานคร 10110</v>
      </c>
      <c r="Y81" s="3" t="str">
        <f>IFERROR(__xludf.DUMMYFUNCTION("""COMPUTED_VALUE"""),"ซอยสุขุมวิท")</f>
        <v>ซอยสุขุมวิท</v>
      </c>
      <c r="Z81" s="3" t="str">
        <f>IFERROR(__xludf.DUMMYFUNCTION("""COMPUTED_VALUE"""),"พระโขนงเหนือ")</f>
        <v>พระโขนงเหนือ</v>
      </c>
      <c r="AA81" s="3" t="str">
        <f>IFERROR(__xludf.DUMMYFUNCTION("""COMPUTED_VALUE"""),"วัฒนา")</f>
        <v>วัฒนา</v>
      </c>
      <c r="AB81" s="3" t="str">
        <f>IFERROR(__xludf.DUMMYFUNCTION("""COMPUTED_VALUE"""),"กรุงเทพมหานคร")</f>
        <v>กรุงเทพมหานคร</v>
      </c>
      <c r="AC81" s="3">
        <f>IFERROR(__xludf.DUMMYFUNCTION("""COMPUTED_VALUE"""),10250.0)</f>
        <v>10250</v>
      </c>
      <c r="AD81" s="3">
        <f>IFERROR(__xludf.DUMMYFUNCTION("""COMPUTED_VALUE"""),13.70919107)</f>
        <v>13.70919107</v>
      </c>
      <c r="AE81" s="3">
        <f>IFERROR(__xludf.DUMMYFUNCTION("""COMPUTED_VALUE"""),100.6015384)</f>
        <v>100.6015384</v>
      </c>
      <c r="AF81" s="3" t="str">
        <f>IFERROR(__xludf.DUMMYFUNCTION("""COMPUTED_VALUE"""),"อ่อนนุช-11182")</f>
        <v>อ่อนนุช-11182</v>
      </c>
      <c r="AG81" s="3" t="str">
        <f>IFERROR(__xludf.DUMMYFUNCTION("""COMPUTED_VALUE"""),"กลาง")</f>
        <v>กลาง</v>
      </c>
      <c r="AH81" s="3" t="str">
        <f>IFERROR(__xludf.DUMMYFUNCTION("""COMPUTED_VALUE"""),"Vassana Teratam")</f>
        <v>Vassana Teratam</v>
      </c>
      <c r="AI81" s="3" t="str">
        <f>IFERROR(__xludf.DUMMYFUNCTION("""COMPUTED_VALUE"""),"Out of warranty")</f>
        <v>Out of warranty</v>
      </c>
      <c r="AJ81" s="3">
        <f>IFERROR(__xludf.DUMMYFUNCTION("""COMPUTED_VALUE"""),286.0)</f>
        <v>286</v>
      </c>
      <c r="AK81" s="3"/>
      <c r="AL81" s="3" t="str">
        <f>IFERROR(__xludf.DUMMYFUNCTION("""COMPUTED_VALUE"""),"sgm.onnuch@bigc.co.th")</f>
        <v>sgm.onnuch@bigc.co.th</v>
      </c>
    </row>
    <row r="82" ht="15.75" customHeight="1">
      <c r="A82" s="1" t="str">
        <f>IFERROR(__xludf.DUMMYFUNCTION("""COMPUTED_VALUE"""),"11183")</f>
        <v>11183</v>
      </c>
      <c r="B82" s="2">
        <f>IFERROR(__xludf.DUMMYFUNCTION("""COMPUTED_VALUE"""),11183.0)</f>
        <v>11183</v>
      </c>
      <c r="C82" s="3" t="str">
        <f>IFERROR(__xludf.DUMMYFUNCTION("""COMPUTED_VALUE"""),"บางใหญ่")</f>
        <v>บางใหญ่</v>
      </c>
      <c r="D82" s="3" t="str">
        <f>IFERROR(__xludf.DUMMYFUNCTION("""COMPUTED_VALUE"""),"BIGC BANGYAI")</f>
        <v>BIGC BANGYAI</v>
      </c>
      <c r="E82" s="1" t="str">
        <f>IFERROR(__xludf.DUMMYFUNCTION("""COMPUTED_VALUE"""),"บิ๊กซี HyperMarket")</f>
        <v>บิ๊กซี HyperMarket</v>
      </c>
      <c r="F82" s="1" t="str">
        <f>IFERROR(__xludf.DUMMYFUNCTION("""COMPUTED_VALUE"""),"2454813")</f>
        <v>2454813</v>
      </c>
      <c r="G82" s="1" t="str">
        <f>IFERROR(__xludf.DUMMYFUNCTION("""COMPUTED_VALUE"""),"นายอนุรักษ์ จั่นเที่ยง")</f>
        <v>นายอนุรักษ์ จั่นเที่ยง</v>
      </c>
      <c r="H82" s="1" t="str">
        <f>IFERROR(__xludf.DUMMYFUNCTION("""COMPUTED_VALUE"""),"2454813")</f>
        <v>2454813</v>
      </c>
      <c r="I82" s="1" t="str">
        <f>IFERROR(__xludf.DUMMYFUNCTION("""COMPUTED_VALUE"""),"นายอนุรักษ์ จั่นเที่ยง")</f>
        <v>นายอนุรักษ์ จั่นเที่ยง</v>
      </c>
      <c r="J82" s="3">
        <f>IFERROR(__xludf.DUMMYFUNCTION("""COMPUTED_VALUE"""),2454813.0)</f>
        <v>2454813</v>
      </c>
      <c r="K82" s="3" t="str">
        <f>IFERROR(__xludf.DUMMYFUNCTION("""COMPUTED_VALUE"""),"นายอนุรักษ์ จั่นเที่ยง")</f>
        <v>นายอนุรักษ์ จั่นเที่ยง</v>
      </c>
      <c r="L82" s="1" t="str">
        <f>IFERROR(__xludf.DUMMYFUNCTION("""COMPUTED_VALUE"""),"Hub04-BKK 4")</f>
        <v>Hub04-BKK 4</v>
      </c>
      <c r="M82" s="1" t="str">
        <f>IFERROR(__xludf.DUMMYFUNCTION("""COMPUTED_VALUE"""),"0991964531")</f>
        <v>0991964531</v>
      </c>
      <c r="N82" s="3">
        <f>IFERROR(__xludf.DUMMYFUNCTION("""COMPUTED_VALUE"""),11183.0)</f>
        <v>11183</v>
      </c>
      <c r="O82" s="3" t="str">
        <f>IFERROR(__xludf.DUMMYFUNCTION("""COMPUTED_VALUE"""),"บางใหญ่")</f>
        <v>บางใหญ่</v>
      </c>
      <c r="P82" s="4">
        <f>IFERROR(__xludf.DUMMYFUNCTION("""COMPUTED_VALUE"""),35592.0)</f>
        <v>35592</v>
      </c>
      <c r="Q82" s="3" t="str">
        <f>IFERROR(__xludf.DUMMYFUNCTION("""COMPUTED_VALUE"""),"A")</f>
        <v>A</v>
      </c>
      <c r="R82" s="3" t="str">
        <f>IFERROR(__xludf.DUMMYFUNCTION("""COMPUTED_VALUE"""),"Big Format")</f>
        <v>Big Format</v>
      </c>
      <c r="S82" s="3" t="str">
        <f>IFERROR(__xludf.DUMMYFUNCTION("""COMPUTED_VALUE"""),"Hyper")</f>
        <v>Hyper</v>
      </c>
      <c r="T82" s="3" t="str">
        <f>IFERROR(__xludf.DUMMYFUNCTION("""COMPUTED_VALUE"""),"Hub04-BKK 4")</f>
        <v>Hub04-BKK 4</v>
      </c>
      <c r="U82" s="3" t="str">
        <f>IFERROR(__xludf.DUMMYFUNCTION("""COMPUTED_VALUE"""),"Hub04-BKK 4")</f>
        <v>Hub04-BKK 4</v>
      </c>
      <c r="V82" s="3" t="str">
        <f>IFERROR(__xludf.DUMMYFUNCTION("""COMPUTED_VALUE"""),"N")</f>
        <v>N</v>
      </c>
      <c r="W82" s="3">
        <f>IFERROR(__xludf.DUMMYFUNCTION("""COMPUTED_VALUE"""),111183.0)</f>
        <v>111183</v>
      </c>
      <c r="X82" s="3" t="str">
        <f>IFERROR(__xludf.DUMMYFUNCTION("""COMPUTED_VALUE"""),"9/9 หมู่ที่ 11 ถนนตลิ่งชัน-สุพรรณบุรี ตำบลบางรักพัฒนา อำเภอบางบัวทอง จังหวัดนนทบุรี 11110")</f>
        <v>9/9 หมู่ที่ 11 ถนนตลิ่งชัน-สุพรรณบุรี ตำบลบางรักพัฒนา อำเภอบางบัวทอง จังหวัดนนทบุรี 11110</v>
      </c>
      <c r="Y82" s="3"/>
      <c r="Z82" s="3" t="str">
        <f>IFERROR(__xludf.DUMMYFUNCTION("""COMPUTED_VALUE"""),"บางรักพัฒนา")</f>
        <v>บางรักพัฒนา</v>
      </c>
      <c r="AA82" s="3" t="str">
        <f>IFERROR(__xludf.DUMMYFUNCTION("""COMPUTED_VALUE"""),"บางบัวทอง")</f>
        <v>บางบัวทอง</v>
      </c>
      <c r="AB82" s="3" t="str">
        <f>IFERROR(__xludf.DUMMYFUNCTION("""COMPUTED_VALUE"""),"นนทบุรี")</f>
        <v>นนทบุรี</v>
      </c>
      <c r="AC82" s="3">
        <f>IFERROR(__xludf.DUMMYFUNCTION("""COMPUTED_VALUE"""),11110.0)</f>
        <v>11110</v>
      </c>
      <c r="AD82" s="3">
        <f>IFERROR(__xludf.DUMMYFUNCTION("""COMPUTED_VALUE"""),13.88153221)</f>
        <v>13.88153221</v>
      </c>
      <c r="AE82" s="3">
        <f>IFERROR(__xludf.DUMMYFUNCTION("""COMPUTED_VALUE"""),100.4082155)</f>
        <v>100.4082155</v>
      </c>
      <c r="AF82" s="3" t="str">
        <f>IFERROR(__xludf.DUMMYFUNCTION("""COMPUTED_VALUE"""),"บางใหญ่-11183")</f>
        <v>บางใหญ่-11183</v>
      </c>
      <c r="AG82" s="3" t="str">
        <f>IFERROR(__xludf.DUMMYFUNCTION("""COMPUTED_VALUE"""),"กลาง")</f>
        <v>กลาง</v>
      </c>
      <c r="AH82" s="3" t="str">
        <f>IFERROR(__xludf.DUMMYFUNCTION("""COMPUTED_VALUE"""),"Natsarine Seammai")</f>
        <v>Natsarine Seammai</v>
      </c>
      <c r="AI82" s="3" t="str">
        <f>IFERROR(__xludf.DUMMYFUNCTION("""COMPUTED_VALUE"""),"Out of warranty")</f>
        <v>Out of warranty</v>
      </c>
      <c r="AJ82" s="3">
        <f>IFERROR(__xludf.DUMMYFUNCTION("""COMPUTED_VALUE"""),344.0)</f>
        <v>344</v>
      </c>
      <c r="AK82" s="3"/>
      <c r="AL82" s="3" t="str">
        <f>IFERROR(__xludf.DUMMYFUNCTION("""COMPUTED_VALUE"""),"sgm.bangyai@bigc.co.th")</f>
        <v>sgm.bangyai@bigc.co.th</v>
      </c>
    </row>
    <row r="83" ht="15.75" customHeight="1">
      <c r="A83" s="1" t="str">
        <f>IFERROR(__xludf.DUMMYFUNCTION("""COMPUTED_VALUE"""),"11184")</f>
        <v>11184</v>
      </c>
      <c r="B83" s="2">
        <f>IFERROR(__xludf.DUMMYFUNCTION("""COMPUTED_VALUE"""),11184.0)</f>
        <v>11184</v>
      </c>
      <c r="C83" s="3" t="str">
        <f>IFERROR(__xludf.DUMMYFUNCTION("""COMPUTED_VALUE"""),"เชียงใหม่-2")</f>
        <v>เชียงใหม่-2</v>
      </c>
      <c r="D83" s="3" t="str">
        <f>IFERROR(__xludf.DUMMYFUNCTION("""COMPUTED_VALUE"""),"BIGC CHIANGMAI-2")</f>
        <v>BIGC CHIANGMAI-2</v>
      </c>
      <c r="E83" s="1" t="str">
        <f>IFERROR(__xludf.DUMMYFUNCTION("""COMPUTED_VALUE"""),"บิ๊กซี HyperMarket")</f>
        <v>บิ๊กซี HyperMarket</v>
      </c>
      <c r="F83" s="1" t="str">
        <f>IFERROR(__xludf.DUMMYFUNCTION("""COMPUTED_VALUE"""),"000348")</f>
        <v>000348</v>
      </c>
      <c r="G83" s="1" t="str">
        <f>IFERROR(__xludf.DUMMYFUNCTION("""COMPUTED_VALUE"""),"นายธีรนันท์ ไม้สนธิ์")</f>
        <v>นายธีรนันท์ ไม้สนธิ์</v>
      </c>
      <c r="H83" s="1" t="str">
        <f>IFERROR(__xludf.DUMMYFUNCTION("""COMPUTED_VALUE"""),"000348")</f>
        <v>000348</v>
      </c>
      <c r="I83" s="1" t="str">
        <f>IFERROR(__xludf.DUMMYFUNCTION("""COMPUTED_VALUE"""),"นายธีรนันท์ ไม้สนธิ์")</f>
        <v>นายธีรนันท์ ไม้สนธิ์</v>
      </c>
      <c r="J83" s="3">
        <f>IFERROR(__xludf.DUMMYFUNCTION("""COMPUTED_VALUE"""),348.0)</f>
        <v>348</v>
      </c>
      <c r="K83" s="3" t="str">
        <f>IFERROR(__xludf.DUMMYFUNCTION("""COMPUTED_VALUE"""),"นายธีรนันท์ ไม้สนธิ์")</f>
        <v>นายธีรนันท์ ไม้สนธิ์</v>
      </c>
      <c r="L83" s="1" t="str">
        <f>IFERROR(__xludf.DUMMYFUNCTION("""COMPUTED_VALUE"""),"Hub07-North")</f>
        <v>Hub07-North</v>
      </c>
      <c r="M83" s="1" t="str">
        <f>IFERROR(__xludf.DUMMYFUNCTION("""COMPUTED_VALUE"""),"0614175866")</f>
        <v>0614175866</v>
      </c>
      <c r="N83" s="3">
        <f>IFERROR(__xludf.DUMMYFUNCTION("""COMPUTED_VALUE"""),11184.0)</f>
        <v>11184</v>
      </c>
      <c r="O83" s="3" t="str">
        <f>IFERROR(__xludf.DUMMYFUNCTION("""COMPUTED_VALUE"""),"เชียงใหม่-2")</f>
        <v>เชียงใหม่-2</v>
      </c>
      <c r="P83" s="4">
        <f>IFERROR(__xludf.DUMMYFUNCTION("""COMPUTED_VALUE"""),35754.0)</f>
        <v>35754</v>
      </c>
      <c r="Q83" s="3" t="str">
        <f>IFERROR(__xludf.DUMMYFUNCTION("""COMPUTED_VALUE"""),"A")</f>
        <v>A</v>
      </c>
      <c r="R83" s="3" t="str">
        <f>IFERROR(__xludf.DUMMYFUNCTION("""COMPUTED_VALUE"""),"Big Format")</f>
        <v>Big Format</v>
      </c>
      <c r="S83" s="3" t="str">
        <f>IFERROR(__xludf.DUMMYFUNCTION("""COMPUTED_VALUE"""),"Hyper")</f>
        <v>Hyper</v>
      </c>
      <c r="T83" s="3" t="str">
        <f>IFERROR(__xludf.DUMMYFUNCTION("""COMPUTED_VALUE"""),"Hub07-North")</f>
        <v>Hub07-North</v>
      </c>
      <c r="U83" s="3" t="str">
        <f>IFERROR(__xludf.DUMMYFUNCTION("""COMPUTED_VALUE"""),"Hub07-North")</f>
        <v>Hub07-North</v>
      </c>
      <c r="V83" s="3" t="str">
        <f>IFERROR(__xludf.DUMMYFUNCTION("""COMPUTED_VALUE"""),"N")</f>
        <v>N</v>
      </c>
      <c r="W83" s="3">
        <f>IFERROR(__xludf.DUMMYFUNCTION("""COMPUTED_VALUE"""),111184.0)</f>
        <v>111184</v>
      </c>
      <c r="X83" s="3" t="str">
        <f>IFERROR(__xludf.DUMMYFUNCTION("""COMPUTED_VALUE"""),"94 หมู่ 4 ถนนเชียงใหม่-ลำปาง ตำบลหนองป่าครั่ง อำเภอเมือง จังหวัดเชียงใหม่ 50000")</f>
        <v>94 หมู่ 4 ถนนเชียงใหม่-ลำปาง ตำบลหนองป่าครั่ง อำเภอเมือง จังหวัดเชียงใหม่ 50000</v>
      </c>
      <c r="Y83" s="3"/>
      <c r="Z83" s="3" t="str">
        <f>IFERROR(__xludf.DUMMYFUNCTION("""COMPUTED_VALUE"""),"หนองป่าครั่ง")</f>
        <v>หนองป่าครั่ง</v>
      </c>
      <c r="AA83" s="3" t="str">
        <f>IFERROR(__xludf.DUMMYFUNCTION("""COMPUTED_VALUE"""),"เมือง")</f>
        <v>เมือง</v>
      </c>
      <c r="AB83" s="3" t="str">
        <f>IFERROR(__xludf.DUMMYFUNCTION("""COMPUTED_VALUE"""),"เชียงใหม่")</f>
        <v>เชียงใหม่</v>
      </c>
      <c r="AC83" s="3">
        <f>IFERROR(__xludf.DUMMYFUNCTION("""COMPUTED_VALUE"""),50000.0)</f>
        <v>50000</v>
      </c>
      <c r="AD83" s="3">
        <f>IFERROR(__xludf.DUMMYFUNCTION("""COMPUTED_VALUE"""),18.79853993)</f>
        <v>18.79853993</v>
      </c>
      <c r="AE83" s="3">
        <f>IFERROR(__xludf.DUMMYFUNCTION("""COMPUTED_VALUE"""),99.02235031)</f>
        <v>99.02235031</v>
      </c>
      <c r="AF83" s="3" t="str">
        <f>IFERROR(__xludf.DUMMYFUNCTION("""COMPUTED_VALUE"""),"เชียงใหม่-2-11184")</f>
        <v>เชียงใหม่-2-11184</v>
      </c>
      <c r="AG83" s="3" t="str">
        <f>IFERROR(__xludf.DUMMYFUNCTION("""COMPUTED_VALUE"""),"เหนือ")</f>
        <v>เหนือ</v>
      </c>
      <c r="AH83" s="3" t="str">
        <f>IFERROR(__xludf.DUMMYFUNCTION("""COMPUTED_VALUE"""),"Wichai Soomboonsod")</f>
        <v>Wichai Soomboonsod</v>
      </c>
      <c r="AI83" s="3" t="str">
        <f>IFERROR(__xludf.DUMMYFUNCTION("""COMPUTED_VALUE"""),"Out of warranty")</f>
        <v>Out of warranty</v>
      </c>
      <c r="AJ83" s="3">
        <f>IFERROR(__xludf.DUMMYFUNCTION("""COMPUTED_VALUE"""),339.0)</f>
        <v>339</v>
      </c>
      <c r="AK83" s="3"/>
      <c r="AL83" s="3" t="str">
        <f>IFERROR(__xludf.DUMMYFUNCTION("""COMPUTED_VALUE"""),"sgm.chiangmai2@bigc.co.th")</f>
        <v>sgm.chiangmai2@bigc.co.th</v>
      </c>
    </row>
    <row r="84" ht="15.75" customHeight="1">
      <c r="A84" s="1" t="str">
        <f>IFERROR(__xludf.DUMMYFUNCTION("""COMPUTED_VALUE"""),"11185")</f>
        <v>11185</v>
      </c>
      <c r="B84" s="2">
        <f>IFERROR(__xludf.DUMMYFUNCTION("""COMPUTED_VALUE"""),11185.0)</f>
        <v>11185</v>
      </c>
      <c r="C84" s="3" t="str">
        <f>IFERROR(__xludf.DUMMYFUNCTION("""COMPUTED_VALUE"""),"แจ้งวัฒนะ-2")</f>
        <v>แจ้งวัฒนะ-2</v>
      </c>
      <c r="D84" s="3" t="str">
        <f>IFERROR(__xludf.DUMMYFUNCTION("""COMPUTED_VALUE"""),"BIGC CHAENGWATTANA-2")</f>
        <v>BIGC CHAENGWATTANA-2</v>
      </c>
      <c r="E84" s="1" t="str">
        <f>IFERROR(__xludf.DUMMYFUNCTION("""COMPUTED_VALUE"""),"บิ๊กซี HyperMarket")</f>
        <v>บิ๊กซี HyperMarket</v>
      </c>
      <c r="F84" s="1" t="str">
        <f>IFERROR(__xludf.DUMMYFUNCTION("""COMPUTED_VALUE"""),"2454701")</f>
        <v>2454701</v>
      </c>
      <c r="G84" s="1" t="str">
        <f>IFERROR(__xludf.DUMMYFUNCTION("""COMPUTED_VALUE"""),"นายกานต์ ไชยแสงศรี")</f>
        <v>นายกานต์ ไชยแสงศรี</v>
      </c>
      <c r="H84" s="1" t="str">
        <f>IFERROR(__xludf.DUMMYFUNCTION("""COMPUTED_VALUE"""),"2454701")</f>
        <v>2454701</v>
      </c>
      <c r="I84" s="1" t="str">
        <f>IFERROR(__xludf.DUMMYFUNCTION("""COMPUTED_VALUE"""),"นายกานต์ ไชยแสงศรี")</f>
        <v>นายกานต์ ไชยแสงศรี</v>
      </c>
      <c r="J84" s="3">
        <f>IFERROR(__xludf.DUMMYFUNCTION("""COMPUTED_VALUE"""),2454701.0)</f>
        <v>2454701</v>
      </c>
      <c r="K84" s="3" t="str">
        <f>IFERROR(__xludf.DUMMYFUNCTION("""COMPUTED_VALUE"""),"นายกานต์ ไชยแสงศรี")</f>
        <v>นายกานต์ ไชยแสงศรี</v>
      </c>
      <c r="L84" s="1" t="str">
        <f>IFERROR(__xludf.DUMMYFUNCTION("""COMPUTED_VALUE"""),"Hub01-BKK 1")</f>
        <v>Hub01-BKK 1</v>
      </c>
      <c r="M84" s="1" t="str">
        <f>IFERROR(__xludf.DUMMYFUNCTION("""COMPUTED_VALUE"""),"0909090652")</f>
        <v>0909090652</v>
      </c>
      <c r="N84" s="3">
        <f>IFERROR(__xludf.DUMMYFUNCTION("""COMPUTED_VALUE"""),11185.0)</f>
        <v>11185</v>
      </c>
      <c r="O84" s="3" t="str">
        <f>IFERROR(__xludf.DUMMYFUNCTION("""COMPUTED_VALUE"""),"แจ้งวัฒนะ-2")</f>
        <v>แจ้งวัฒนะ-2</v>
      </c>
      <c r="P84" s="4">
        <f>IFERROR(__xludf.DUMMYFUNCTION("""COMPUTED_VALUE"""),36427.0)</f>
        <v>36427</v>
      </c>
      <c r="Q84" s="3" t="str">
        <f>IFERROR(__xludf.DUMMYFUNCTION("""COMPUTED_VALUE"""),"A")</f>
        <v>A</v>
      </c>
      <c r="R84" s="3" t="str">
        <f>IFERROR(__xludf.DUMMYFUNCTION("""COMPUTED_VALUE"""),"Big Format")</f>
        <v>Big Format</v>
      </c>
      <c r="S84" s="3" t="str">
        <f>IFERROR(__xludf.DUMMYFUNCTION("""COMPUTED_VALUE"""),"Hyper")</f>
        <v>Hyper</v>
      </c>
      <c r="T84" s="3" t="str">
        <f>IFERROR(__xludf.DUMMYFUNCTION("""COMPUTED_VALUE"""),"Hub01-BKK 1")</f>
        <v>Hub01-BKK 1</v>
      </c>
      <c r="U84" s="3" t="str">
        <f>IFERROR(__xludf.DUMMYFUNCTION("""COMPUTED_VALUE"""),"Hub01-BKK 1")</f>
        <v>Hub01-BKK 1</v>
      </c>
      <c r="V84" s="3" t="str">
        <f>IFERROR(__xludf.DUMMYFUNCTION("""COMPUTED_VALUE"""),"N")</f>
        <v>N</v>
      </c>
      <c r="W84" s="3">
        <f>IFERROR(__xludf.DUMMYFUNCTION("""COMPUTED_VALUE"""),111185.0)</f>
        <v>111185</v>
      </c>
      <c r="X84" s="3" t="str">
        <f>IFERROR(__xludf.DUMMYFUNCTION("""COMPUTED_VALUE"""),"112 หมู่ที่ 5 ถนนแจ้งวัฒนะ ตำบลปากเกร็ด อำเภอปากเกร็ด จังหวัดนนทบุรี 11120")</f>
        <v>112 หมู่ที่ 5 ถนนแจ้งวัฒนะ ตำบลปากเกร็ด อำเภอปากเกร็ด จังหวัดนนทบุรี 11120</v>
      </c>
      <c r="Y84" s="3"/>
      <c r="Z84" s="3" t="str">
        <f>IFERROR(__xludf.DUMMYFUNCTION("""COMPUTED_VALUE"""),"ปากเกร็ด")</f>
        <v>ปากเกร็ด</v>
      </c>
      <c r="AA84" s="3" t="str">
        <f>IFERROR(__xludf.DUMMYFUNCTION("""COMPUTED_VALUE"""),"ปากเกร็ด")</f>
        <v>ปากเกร็ด</v>
      </c>
      <c r="AB84" s="3" t="str">
        <f>IFERROR(__xludf.DUMMYFUNCTION("""COMPUTED_VALUE"""),"นนทบุรี")</f>
        <v>นนทบุรี</v>
      </c>
      <c r="AC84" s="3">
        <f>IFERROR(__xludf.DUMMYFUNCTION("""COMPUTED_VALUE"""),11120.0)</f>
        <v>11120</v>
      </c>
      <c r="AD84" s="3">
        <f>IFERROR(__xludf.DUMMYFUNCTION("""COMPUTED_VALUE"""),13.90570009)</f>
        <v>13.90570009</v>
      </c>
      <c r="AE84" s="3">
        <f>IFERROR(__xludf.DUMMYFUNCTION("""COMPUTED_VALUE"""),100.5148816)</f>
        <v>100.5148816</v>
      </c>
      <c r="AF84" s="3" t="str">
        <f>IFERROR(__xludf.DUMMYFUNCTION("""COMPUTED_VALUE"""),"แจ้งวัฒนะ-2-11185")</f>
        <v>แจ้งวัฒนะ-2-11185</v>
      </c>
      <c r="AG84" s="3" t="str">
        <f>IFERROR(__xludf.DUMMYFUNCTION("""COMPUTED_VALUE"""),"กลาง")</f>
        <v>กลาง</v>
      </c>
      <c r="AH84" s="3" t="str">
        <f>IFERROR(__xludf.DUMMYFUNCTION("""COMPUTED_VALUE"""),"Suchin Thawinwisan")</f>
        <v>Suchin Thawinwisan</v>
      </c>
      <c r="AI84" s="3" t="str">
        <f>IFERROR(__xludf.DUMMYFUNCTION("""COMPUTED_VALUE"""),"Out of warranty")</f>
        <v>Out of warranty</v>
      </c>
      <c r="AJ84" s="3">
        <f>IFERROR(__xludf.DUMMYFUNCTION("""COMPUTED_VALUE"""),316.0)</f>
        <v>316</v>
      </c>
      <c r="AK84" s="3"/>
      <c r="AL84" s="3" t="str">
        <f>IFERROR(__xludf.DUMMYFUNCTION("""COMPUTED_VALUE"""),"sgm.chaengwattana2@bigc.co.th")</f>
        <v>sgm.chaengwattana2@bigc.co.th</v>
      </c>
    </row>
    <row r="85" ht="15.75" customHeight="1">
      <c r="A85" s="1" t="str">
        <f>IFERROR(__xludf.DUMMYFUNCTION("""COMPUTED_VALUE"""),"11186")</f>
        <v>11186</v>
      </c>
      <c r="B85" s="2">
        <f>IFERROR(__xludf.DUMMYFUNCTION("""COMPUTED_VALUE"""),11186.0)</f>
        <v>11186</v>
      </c>
      <c r="C85" s="3" t="str">
        <f>IFERROR(__xludf.DUMMYFUNCTION("""COMPUTED_VALUE"""),"หาดใหญ่-2")</f>
        <v>หาดใหญ่-2</v>
      </c>
      <c r="D85" s="3" t="str">
        <f>IFERROR(__xludf.DUMMYFUNCTION("""COMPUTED_VALUE"""),"BIGC HATYAI-2")</f>
        <v>BIGC HATYAI-2</v>
      </c>
      <c r="E85" s="1" t="str">
        <f>IFERROR(__xludf.DUMMYFUNCTION("""COMPUTED_VALUE"""),"บิ๊กซี HyperMarket")</f>
        <v>บิ๊กซี HyperMarket</v>
      </c>
      <c r="F85" s="1" t="str">
        <f>IFERROR(__xludf.DUMMYFUNCTION("""COMPUTED_VALUE"""),"2454709")</f>
        <v>2454709</v>
      </c>
      <c r="G85" s="1" t="str">
        <f>IFERROR(__xludf.DUMMYFUNCTION("""COMPUTED_VALUE"""),"นายประชา เกตุชาติ")</f>
        <v>นายประชา เกตุชาติ</v>
      </c>
      <c r="H85" s="1" t="str">
        <f>IFERROR(__xludf.DUMMYFUNCTION("""COMPUTED_VALUE"""),"2454709")</f>
        <v>2454709</v>
      </c>
      <c r="I85" s="1" t="str">
        <f>IFERROR(__xludf.DUMMYFUNCTION("""COMPUTED_VALUE"""),"นายประชา เกตุชาติ")</f>
        <v>นายประชา เกตุชาติ</v>
      </c>
      <c r="J85" s="3">
        <f>IFERROR(__xludf.DUMMYFUNCTION("""COMPUTED_VALUE"""),2454709.0)</f>
        <v>2454709</v>
      </c>
      <c r="K85" s="3" t="str">
        <f>IFERROR(__xludf.DUMMYFUNCTION("""COMPUTED_VALUE"""),"นายประชา เกตุชาติ")</f>
        <v>นายประชา เกตุชาติ</v>
      </c>
      <c r="L85" s="1" t="str">
        <f>IFERROR(__xludf.DUMMYFUNCTION("""COMPUTED_VALUE"""),"Hub05-South")</f>
        <v>Hub05-South</v>
      </c>
      <c r="M85" s="1" t="str">
        <f>IFERROR(__xludf.DUMMYFUNCTION("""COMPUTED_VALUE"""),"0659291311")</f>
        <v>0659291311</v>
      </c>
      <c r="N85" s="3">
        <f>IFERROR(__xludf.DUMMYFUNCTION("""COMPUTED_VALUE"""),11186.0)</f>
        <v>11186</v>
      </c>
      <c r="O85" s="3" t="str">
        <f>IFERROR(__xludf.DUMMYFUNCTION("""COMPUTED_VALUE"""),"หาดใหญ่-2")</f>
        <v>หาดใหญ่-2</v>
      </c>
      <c r="P85" s="4">
        <f>IFERROR(__xludf.DUMMYFUNCTION("""COMPUTED_VALUE"""),38275.0)</f>
        <v>38275</v>
      </c>
      <c r="Q85" s="3" t="str">
        <f>IFERROR(__xludf.DUMMYFUNCTION("""COMPUTED_VALUE"""),"A")</f>
        <v>A</v>
      </c>
      <c r="R85" s="3" t="str">
        <f>IFERROR(__xludf.DUMMYFUNCTION("""COMPUTED_VALUE"""),"Big Format")</f>
        <v>Big Format</v>
      </c>
      <c r="S85" s="3" t="str">
        <f>IFERROR(__xludf.DUMMYFUNCTION("""COMPUTED_VALUE"""),"Hyper")</f>
        <v>Hyper</v>
      </c>
      <c r="T85" s="3" t="str">
        <f>IFERROR(__xludf.DUMMYFUNCTION("""COMPUTED_VALUE"""),"Hub05-South")</f>
        <v>Hub05-South</v>
      </c>
      <c r="U85" s="3" t="str">
        <f>IFERROR(__xludf.DUMMYFUNCTION("""COMPUTED_VALUE"""),"Hub05-South")</f>
        <v>Hub05-South</v>
      </c>
      <c r="V85" s="3" t="str">
        <f>IFERROR(__xludf.DUMMYFUNCTION("""COMPUTED_VALUE"""),"N")</f>
        <v>N</v>
      </c>
      <c r="W85" s="3">
        <f>IFERROR(__xludf.DUMMYFUNCTION("""COMPUTED_VALUE"""),111186.0)</f>
        <v>111186</v>
      </c>
      <c r="X85" s="3" t="str">
        <f>IFERROR(__xludf.DUMMYFUNCTION("""COMPUTED_VALUE"""),"677 ถนนเพชรเกษม ตำบลหาดใหญ่ อำเภอหาดใหญ่ จังหวัดสงขลา 90110")</f>
        <v>677 ถนนเพชรเกษม ตำบลหาดใหญ่ อำเภอหาดใหญ่ จังหวัดสงขลา 90110</v>
      </c>
      <c r="Y85" s="3" t="str">
        <f>IFERROR(__xludf.DUMMYFUNCTION("""COMPUTED_VALUE"""),"ถนนเพชรเกษม")</f>
        <v>ถนนเพชรเกษม</v>
      </c>
      <c r="Z85" s="3" t="str">
        <f>IFERROR(__xludf.DUMMYFUNCTION("""COMPUTED_VALUE"""),"หาดใหญ่")</f>
        <v>หาดใหญ่</v>
      </c>
      <c r="AA85" s="3" t="str">
        <f>IFERROR(__xludf.DUMMYFUNCTION("""COMPUTED_VALUE"""),"หาดใหญ่")</f>
        <v>หาดใหญ่</v>
      </c>
      <c r="AB85" s="3" t="str">
        <f>IFERROR(__xludf.DUMMYFUNCTION("""COMPUTED_VALUE"""),"สงขลา")</f>
        <v>สงขลา</v>
      </c>
      <c r="AC85" s="3">
        <f>IFERROR(__xludf.DUMMYFUNCTION("""COMPUTED_VALUE"""),90110.0)</f>
        <v>90110</v>
      </c>
      <c r="AD85" s="3">
        <f>IFERROR(__xludf.DUMMYFUNCTION("""COMPUTED_VALUE"""),7.019833399)</f>
        <v>7.019833399</v>
      </c>
      <c r="AE85" s="3">
        <f>IFERROR(__xludf.DUMMYFUNCTION("""COMPUTED_VALUE"""),100.485388)</f>
        <v>100.485388</v>
      </c>
      <c r="AF85" s="3" t="str">
        <f>IFERROR(__xludf.DUMMYFUNCTION("""COMPUTED_VALUE"""),"หาดใหญ่-2-11186")</f>
        <v>หาดใหญ่-2-11186</v>
      </c>
      <c r="AG85" s="3" t="str">
        <f>IFERROR(__xludf.DUMMYFUNCTION("""COMPUTED_VALUE"""),"ใต้")</f>
        <v>ใต้</v>
      </c>
      <c r="AH85" s="3" t="str">
        <f>IFERROR(__xludf.DUMMYFUNCTION("""COMPUTED_VALUE"""),"Suwadee Intachart")</f>
        <v>Suwadee Intachart</v>
      </c>
      <c r="AI85" s="3" t="str">
        <f>IFERROR(__xludf.DUMMYFUNCTION("""COMPUTED_VALUE"""),"Out of warranty")</f>
        <v>Out of warranty</v>
      </c>
      <c r="AJ85" s="3">
        <f>IFERROR(__xludf.DUMMYFUNCTION("""COMPUTED_VALUE"""),256.0)</f>
        <v>256</v>
      </c>
      <c r="AK85" s="3"/>
      <c r="AL85" s="3" t="str">
        <f>IFERROR(__xludf.DUMMYFUNCTION("""COMPUTED_VALUE"""),"sgm.hatyai2@bigc.co.th")</f>
        <v>sgm.hatyai2@bigc.co.th</v>
      </c>
    </row>
    <row r="86" ht="15.75" customHeight="1">
      <c r="A86" s="1" t="str">
        <f>IFERROR(__xludf.DUMMYFUNCTION("""COMPUTED_VALUE"""),"11187")</f>
        <v>11187</v>
      </c>
      <c r="B86" s="2">
        <f>IFERROR(__xludf.DUMMYFUNCTION("""COMPUTED_VALUE"""),11187.0)</f>
        <v>11187</v>
      </c>
      <c r="C86" s="3" t="str">
        <f>IFERROR(__xludf.DUMMYFUNCTION("""COMPUTED_VALUE"""),"ภูเก็ต-2")</f>
        <v>ภูเก็ต-2</v>
      </c>
      <c r="D86" s="3" t="str">
        <f>IFERROR(__xludf.DUMMYFUNCTION("""COMPUTED_VALUE"""),"BIGC PHUKET-2")</f>
        <v>BIGC PHUKET-2</v>
      </c>
      <c r="E86" s="1" t="str">
        <f>IFERROR(__xludf.DUMMYFUNCTION("""COMPUTED_VALUE"""),"บิ๊กซี HyperMarket")</f>
        <v>บิ๊กซี HyperMarket</v>
      </c>
      <c r="F86" s="1" t="str">
        <f>IFERROR(__xludf.DUMMYFUNCTION("""COMPUTED_VALUE"""),"2454709")</f>
        <v>2454709</v>
      </c>
      <c r="G86" s="1" t="str">
        <f>IFERROR(__xludf.DUMMYFUNCTION("""COMPUTED_VALUE"""),"นายประชา เกตุชาติ")</f>
        <v>นายประชา เกตุชาติ</v>
      </c>
      <c r="H86" s="1" t="str">
        <f>IFERROR(__xludf.DUMMYFUNCTION("""COMPUTED_VALUE"""),"2454709")</f>
        <v>2454709</v>
      </c>
      <c r="I86" s="1" t="str">
        <f>IFERROR(__xludf.DUMMYFUNCTION("""COMPUTED_VALUE"""),"นายประชา เกตุชาติ")</f>
        <v>นายประชา เกตุชาติ</v>
      </c>
      <c r="J86" s="3">
        <f>IFERROR(__xludf.DUMMYFUNCTION("""COMPUTED_VALUE"""),2454709.0)</f>
        <v>2454709</v>
      </c>
      <c r="K86" s="3" t="str">
        <f>IFERROR(__xludf.DUMMYFUNCTION("""COMPUTED_VALUE"""),"นายประชา เกตุชาติ")</f>
        <v>นายประชา เกตุชาติ</v>
      </c>
      <c r="L86" s="1" t="str">
        <f>IFERROR(__xludf.DUMMYFUNCTION("""COMPUTED_VALUE"""),"Hub05-South")</f>
        <v>Hub05-South</v>
      </c>
      <c r="M86" s="1" t="str">
        <f>IFERROR(__xludf.DUMMYFUNCTION("""COMPUTED_VALUE"""),"0659291311")</f>
        <v>0659291311</v>
      </c>
      <c r="N86" s="3">
        <f>IFERROR(__xludf.DUMMYFUNCTION("""COMPUTED_VALUE"""),11187.0)</f>
        <v>11187</v>
      </c>
      <c r="O86" s="3" t="str">
        <f>IFERROR(__xludf.DUMMYFUNCTION("""COMPUTED_VALUE"""),"ภูเก็ต-2")</f>
        <v>ภูเก็ต-2</v>
      </c>
      <c r="P86" s="4">
        <f>IFERROR(__xludf.DUMMYFUNCTION("""COMPUTED_VALUE"""),39071.0)</f>
        <v>39071</v>
      </c>
      <c r="Q86" s="3" t="str">
        <f>IFERROR(__xludf.DUMMYFUNCTION("""COMPUTED_VALUE"""),"A")</f>
        <v>A</v>
      </c>
      <c r="R86" s="3" t="str">
        <f>IFERROR(__xludf.DUMMYFUNCTION("""COMPUTED_VALUE"""),"Big Format")</f>
        <v>Big Format</v>
      </c>
      <c r="S86" s="3" t="str">
        <f>IFERROR(__xludf.DUMMYFUNCTION("""COMPUTED_VALUE"""),"Hyper")</f>
        <v>Hyper</v>
      </c>
      <c r="T86" s="3" t="str">
        <f>IFERROR(__xludf.DUMMYFUNCTION("""COMPUTED_VALUE"""),"Hub05-South")</f>
        <v>Hub05-South</v>
      </c>
      <c r="U86" s="3" t="str">
        <f>IFERROR(__xludf.DUMMYFUNCTION("""COMPUTED_VALUE"""),"Hub05-South")</f>
        <v>Hub05-South</v>
      </c>
      <c r="V86" s="3" t="str">
        <f>IFERROR(__xludf.DUMMYFUNCTION("""COMPUTED_VALUE"""),"N")</f>
        <v>N</v>
      </c>
      <c r="W86" s="3">
        <f>IFERROR(__xludf.DUMMYFUNCTION("""COMPUTED_VALUE"""),111187.0)</f>
        <v>111187</v>
      </c>
      <c r="X86" s="3" t="str">
        <f>IFERROR(__xludf.DUMMYFUNCTION("""COMPUTED_VALUE"""),"201 ถนนราษฎร์อุทิศ 200 ปี ตำบลป่าตอง อำเภอกะทู้ จังหวัดภูเก็ต 83150")</f>
        <v>201 ถนนราษฎร์อุทิศ 200 ปี ตำบลป่าตอง อำเภอกะทู้ จังหวัดภูเก็ต 83150</v>
      </c>
      <c r="Y86" s="3" t="str">
        <f>IFERROR(__xludf.DUMMYFUNCTION("""COMPUTED_VALUE"""),"ถนนราษฎร์อุทิศ")</f>
        <v>ถนนราษฎร์อุทิศ</v>
      </c>
      <c r="Z86" s="3" t="str">
        <f>IFERROR(__xludf.DUMMYFUNCTION("""COMPUTED_VALUE"""),"ปี")</f>
        <v>ปี</v>
      </c>
      <c r="AA86" s="3" t="str">
        <f>IFERROR(__xludf.DUMMYFUNCTION("""COMPUTED_VALUE"""),"กะทู้")</f>
        <v>กะทู้</v>
      </c>
      <c r="AB86" s="3" t="str">
        <f>IFERROR(__xludf.DUMMYFUNCTION("""COMPUTED_VALUE"""),"ภูเก็ต")</f>
        <v>ภูเก็ต</v>
      </c>
      <c r="AC86" s="3">
        <f>IFERROR(__xludf.DUMMYFUNCTION("""COMPUTED_VALUE"""),83150.0)</f>
        <v>83150</v>
      </c>
      <c r="AD86" s="3">
        <f>IFERROR(__xludf.DUMMYFUNCTION("""COMPUTED_VALUE"""),7.900043)</f>
        <v>7.900043</v>
      </c>
      <c r="AE86" s="3">
        <f>IFERROR(__xludf.DUMMYFUNCTION("""COMPUTED_VALUE"""),98.300058)</f>
        <v>98.300058</v>
      </c>
      <c r="AF86" s="3" t="str">
        <f>IFERROR(__xludf.DUMMYFUNCTION("""COMPUTED_VALUE"""),"ภูเก็ต-2-11187")</f>
        <v>ภูเก็ต-2-11187</v>
      </c>
      <c r="AG86" s="3" t="str">
        <f>IFERROR(__xludf.DUMMYFUNCTION("""COMPUTED_VALUE"""),"ใต้")</f>
        <v>ใต้</v>
      </c>
      <c r="AH86" s="3" t="str">
        <f>IFERROR(__xludf.DUMMYFUNCTION("""COMPUTED_VALUE"""),"Suwadee Intachart")</f>
        <v>Suwadee Intachart</v>
      </c>
      <c r="AI86" s="3" t="str">
        <f>IFERROR(__xludf.DUMMYFUNCTION("""COMPUTED_VALUE"""),"Out of warranty")</f>
        <v>Out of warranty</v>
      </c>
      <c r="AJ86" s="3">
        <f>IFERROR(__xludf.DUMMYFUNCTION("""COMPUTED_VALUE"""),230.0)</f>
        <v>230</v>
      </c>
      <c r="AK86" s="3"/>
      <c r="AL86" s="3" t="str">
        <f>IFERROR(__xludf.DUMMYFUNCTION("""COMPUTED_VALUE"""),"sgm.phuket2@bigc.co.th")</f>
        <v>sgm.phuket2@bigc.co.th</v>
      </c>
    </row>
    <row r="87" ht="15.75" customHeight="1">
      <c r="A87" s="1" t="str">
        <f>IFERROR(__xludf.DUMMYFUNCTION("""COMPUTED_VALUE"""),"11188")</f>
        <v>11188</v>
      </c>
      <c r="B87" s="2">
        <f>IFERROR(__xludf.DUMMYFUNCTION("""COMPUTED_VALUE"""),11188.0)</f>
        <v>11188</v>
      </c>
      <c r="C87" s="3" t="str">
        <f>IFERROR(__xludf.DUMMYFUNCTION("""COMPUTED_VALUE"""),"หางดง-2")</f>
        <v>หางดง-2</v>
      </c>
      <c r="D87" s="3" t="str">
        <f>IFERROR(__xludf.DUMMYFUNCTION("""COMPUTED_VALUE"""),"BIGC HANGDONG-2")</f>
        <v>BIGC HANGDONG-2</v>
      </c>
      <c r="E87" s="1" t="str">
        <f>IFERROR(__xludf.DUMMYFUNCTION("""COMPUTED_VALUE"""),"บิ๊กซี HyperMarket")</f>
        <v>บิ๊กซี HyperMarket</v>
      </c>
      <c r="F87" s="1" t="str">
        <f>IFERROR(__xludf.DUMMYFUNCTION("""COMPUTED_VALUE"""),"000348")</f>
        <v>000348</v>
      </c>
      <c r="G87" s="1" t="str">
        <f>IFERROR(__xludf.DUMMYFUNCTION("""COMPUTED_VALUE"""),"นายธีรนันท์ ไม้สนธิ์")</f>
        <v>นายธีรนันท์ ไม้สนธิ์</v>
      </c>
      <c r="H87" s="1" t="str">
        <f>IFERROR(__xludf.DUMMYFUNCTION("""COMPUTED_VALUE"""),"000348")</f>
        <v>000348</v>
      </c>
      <c r="I87" s="1" t="str">
        <f>IFERROR(__xludf.DUMMYFUNCTION("""COMPUTED_VALUE"""),"นายธีรนันท์ ไม้สนธิ์")</f>
        <v>นายธีรนันท์ ไม้สนธิ์</v>
      </c>
      <c r="J87" s="3">
        <f>IFERROR(__xludf.DUMMYFUNCTION("""COMPUTED_VALUE"""),348.0)</f>
        <v>348</v>
      </c>
      <c r="K87" s="3" t="str">
        <f>IFERROR(__xludf.DUMMYFUNCTION("""COMPUTED_VALUE"""),"นายธีรนันท์ ไม้สนธิ์")</f>
        <v>นายธีรนันท์ ไม้สนธิ์</v>
      </c>
      <c r="L87" s="1" t="str">
        <f>IFERROR(__xludf.DUMMYFUNCTION("""COMPUTED_VALUE"""),"Hub07-North")</f>
        <v>Hub07-North</v>
      </c>
      <c r="M87" s="1" t="str">
        <f>IFERROR(__xludf.DUMMYFUNCTION("""COMPUTED_VALUE"""),"0614175866")</f>
        <v>0614175866</v>
      </c>
      <c r="N87" s="3">
        <f>IFERROR(__xludf.DUMMYFUNCTION("""COMPUTED_VALUE"""),11188.0)</f>
        <v>11188</v>
      </c>
      <c r="O87" s="3" t="str">
        <f>IFERROR(__xludf.DUMMYFUNCTION("""COMPUTED_VALUE"""),"หางดง-2")</f>
        <v>หางดง-2</v>
      </c>
      <c r="P87" s="4">
        <f>IFERROR(__xludf.DUMMYFUNCTION("""COMPUTED_VALUE"""),39796.0)</f>
        <v>39796</v>
      </c>
      <c r="Q87" s="3" t="str">
        <f>IFERROR(__xludf.DUMMYFUNCTION("""COMPUTED_VALUE"""),"A")</f>
        <v>A</v>
      </c>
      <c r="R87" s="3" t="str">
        <f>IFERROR(__xludf.DUMMYFUNCTION("""COMPUTED_VALUE"""),"Big Format")</f>
        <v>Big Format</v>
      </c>
      <c r="S87" s="3" t="str">
        <f>IFERROR(__xludf.DUMMYFUNCTION("""COMPUTED_VALUE"""),"Hyper")</f>
        <v>Hyper</v>
      </c>
      <c r="T87" s="3" t="str">
        <f>IFERROR(__xludf.DUMMYFUNCTION("""COMPUTED_VALUE"""),"Hub07-North")</f>
        <v>Hub07-North</v>
      </c>
      <c r="U87" s="3" t="str">
        <f>IFERROR(__xludf.DUMMYFUNCTION("""COMPUTED_VALUE"""),"Hub07-North")</f>
        <v>Hub07-North</v>
      </c>
      <c r="V87" s="3" t="str">
        <f>IFERROR(__xludf.DUMMYFUNCTION("""COMPUTED_VALUE"""),"N")</f>
        <v>N</v>
      </c>
      <c r="W87" s="3">
        <f>IFERROR(__xludf.DUMMYFUNCTION("""COMPUTED_VALUE"""),111188.0)</f>
        <v>111188</v>
      </c>
      <c r="X87" s="3" t="str">
        <f>IFERROR(__xludf.DUMMYFUNCTION("""COMPUTED_VALUE"""),"111,111/2-5 หมู่ 5 ตำบลหางดง อำเภอหางดง จังหวัดเชียงใหม่ 50230")</f>
        <v>111,111/2-5 หมู่ 5 ตำบลหางดง อำเภอหางดง จังหวัดเชียงใหม่ 50230</v>
      </c>
      <c r="Y87" s="3"/>
      <c r="Z87" s="3" t="str">
        <f>IFERROR(__xludf.DUMMYFUNCTION("""COMPUTED_VALUE"""),"หางดง")</f>
        <v>หางดง</v>
      </c>
      <c r="AA87" s="3" t="str">
        <f>IFERROR(__xludf.DUMMYFUNCTION("""COMPUTED_VALUE"""),"หางดง")</f>
        <v>หางดง</v>
      </c>
      <c r="AB87" s="3" t="str">
        <f>IFERROR(__xludf.DUMMYFUNCTION("""COMPUTED_VALUE"""),"เชียงใหม่")</f>
        <v>เชียงใหม่</v>
      </c>
      <c r="AC87" s="3">
        <f>IFERROR(__xludf.DUMMYFUNCTION("""COMPUTED_VALUE"""),50230.0)</f>
        <v>50230</v>
      </c>
      <c r="AD87" s="3">
        <f>IFERROR(__xludf.DUMMYFUNCTION("""COMPUTED_VALUE"""),18.66776454)</f>
        <v>18.66776454</v>
      </c>
      <c r="AE87" s="3">
        <f>IFERROR(__xludf.DUMMYFUNCTION("""COMPUTED_VALUE"""),98.91456306)</f>
        <v>98.91456306</v>
      </c>
      <c r="AF87" s="3" t="str">
        <f>IFERROR(__xludf.DUMMYFUNCTION("""COMPUTED_VALUE"""),"หางดง-2-11188")</f>
        <v>หางดง-2-11188</v>
      </c>
      <c r="AG87" s="3" t="str">
        <f>IFERROR(__xludf.DUMMYFUNCTION("""COMPUTED_VALUE"""),"เหนือ")</f>
        <v>เหนือ</v>
      </c>
      <c r="AH87" s="3" t="str">
        <f>IFERROR(__xludf.DUMMYFUNCTION("""COMPUTED_VALUE"""),"Wichai Soomboonsod")</f>
        <v>Wichai Soomboonsod</v>
      </c>
      <c r="AI87" s="3" t="str">
        <f>IFERROR(__xludf.DUMMYFUNCTION("""COMPUTED_VALUE"""),"Out of warranty")</f>
        <v>Out of warranty</v>
      </c>
      <c r="AJ87" s="3">
        <f>IFERROR(__xludf.DUMMYFUNCTION("""COMPUTED_VALUE"""),206.0)</f>
        <v>206</v>
      </c>
      <c r="AK87" s="3"/>
      <c r="AL87" s="3" t="str">
        <f>IFERROR(__xludf.DUMMYFUNCTION("""COMPUTED_VALUE"""),"sgm.hangdong2@bigc.co.th")</f>
        <v>sgm.hangdong2@bigc.co.th</v>
      </c>
    </row>
    <row r="88" ht="15.75" customHeight="1">
      <c r="A88" s="1" t="str">
        <f>IFERROR(__xludf.DUMMYFUNCTION("""COMPUTED_VALUE"""),"11189")</f>
        <v>11189</v>
      </c>
      <c r="B88" s="2">
        <f>IFERROR(__xludf.DUMMYFUNCTION("""COMPUTED_VALUE"""),11189.0)</f>
        <v>11189</v>
      </c>
      <c r="C88" s="3" t="str">
        <f>IFERROR(__xludf.DUMMYFUNCTION("""COMPUTED_VALUE"""),"รัตนาธิเบศร์-2")</f>
        <v>รัตนาธิเบศร์-2</v>
      </c>
      <c r="D88" s="3" t="str">
        <f>IFERROR(__xludf.DUMMYFUNCTION("""COMPUTED_VALUE"""),"BIGC RATTANATHIBETH-2")</f>
        <v>BIGC RATTANATHIBETH-2</v>
      </c>
      <c r="E88" s="1" t="str">
        <f>IFERROR(__xludf.DUMMYFUNCTION("""COMPUTED_VALUE"""),"บิ๊กซี HyperMarket")</f>
        <v>บิ๊กซี HyperMarket</v>
      </c>
      <c r="F88" s="1" t="str">
        <f>IFERROR(__xludf.DUMMYFUNCTION("""COMPUTED_VALUE"""),"2454813")</f>
        <v>2454813</v>
      </c>
      <c r="G88" s="1" t="str">
        <f>IFERROR(__xludf.DUMMYFUNCTION("""COMPUTED_VALUE"""),"นายอนุรักษ์ จั่นเที่ยง")</f>
        <v>นายอนุรักษ์ จั่นเที่ยง</v>
      </c>
      <c r="H88" s="1" t="str">
        <f>IFERROR(__xludf.DUMMYFUNCTION("""COMPUTED_VALUE"""),"2454813")</f>
        <v>2454813</v>
      </c>
      <c r="I88" s="1" t="str">
        <f>IFERROR(__xludf.DUMMYFUNCTION("""COMPUTED_VALUE"""),"นายอนุรักษ์ จั่นเที่ยง")</f>
        <v>นายอนุรักษ์ จั่นเที่ยง</v>
      </c>
      <c r="J88" s="3">
        <f>IFERROR(__xludf.DUMMYFUNCTION("""COMPUTED_VALUE"""),2454813.0)</f>
        <v>2454813</v>
      </c>
      <c r="K88" s="3" t="str">
        <f>IFERROR(__xludf.DUMMYFUNCTION("""COMPUTED_VALUE"""),"นายอนุรักษ์ จั่นเที่ยง")</f>
        <v>นายอนุรักษ์ จั่นเที่ยง</v>
      </c>
      <c r="L88" s="1" t="str">
        <f>IFERROR(__xludf.DUMMYFUNCTION("""COMPUTED_VALUE"""),"Hub04-BKK 4")</f>
        <v>Hub04-BKK 4</v>
      </c>
      <c r="M88" s="1" t="str">
        <f>IFERROR(__xludf.DUMMYFUNCTION("""COMPUTED_VALUE"""),"0991964531")</f>
        <v>0991964531</v>
      </c>
      <c r="N88" s="3">
        <f>IFERROR(__xludf.DUMMYFUNCTION("""COMPUTED_VALUE"""),11189.0)</f>
        <v>11189</v>
      </c>
      <c r="O88" s="3" t="str">
        <f>IFERROR(__xludf.DUMMYFUNCTION("""COMPUTED_VALUE"""),"รัตนาธิเบศร์-2")</f>
        <v>รัตนาธิเบศร์-2</v>
      </c>
      <c r="P88" s="4">
        <f>IFERROR(__xludf.DUMMYFUNCTION("""COMPUTED_VALUE"""),36558.0)</f>
        <v>36558</v>
      </c>
      <c r="Q88" s="3" t="str">
        <f>IFERROR(__xludf.DUMMYFUNCTION("""COMPUTED_VALUE"""),"A")</f>
        <v>A</v>
      </c>
      <c r="R88" s="3" t="str">
        <f>IFERROR(__xludf.DUMMYFUNCTION("""COMPUTED_VALUE"""),"Big Format")</f>
        <v>Big Format</v>
      </c>
      <c r="S88" s="3" t="str">
        <f>IFERROR(__xludf.DUMMYFUNCTION("""COMPUTED_VALUE"""),"Hyper")</f>
        <v>Hyper</v>
      </c>
      <c r="T88" s="3" t="str">
        <f>IFERROR(__xludf.DUMMYFUNCTION("""COMPUTED_VALUE"""),"Hub04-BKK 4")</f>
        <v>Hub04-BKK 4</v>
      </c>
      <c r="U88" s="3" t="str">
        <f>IFERROR(__xludf.DUMMYFUNCTION("""COMPUTED_VALUE"""),"Hub04-BKK 4")</f>
        <v>Hub04-BKK 4</v>
      </c>
      <c r="V88" s="3" t="str">
        <f>IFERROR(__xludf.DUMMYFUNCTION("""COMPUTED_VALUE"""),"N")</f>
        <v>N</v>
      </c>
      <c r="W88" s="3">
        <f>IFERROR(__xludf.DUMMYFUNCTION("""COMPUTED_VALUE"""),111189.0)</f>
        <v>111189</v>
      </c>
      <c r="X88" s="3" t="str">
        <f>IFERROR(__xludf.DUMMYFUNCTION("""COMPUTED_VALUE"""),"243 ถนนรัตนาธิเบศร์ ตำบลบางกระสอ อำเภอเมืองนนทบุรี จังหวัดนนทบุรี 11000")</f>
        <v>243 ถนนรัตนาธิเบศร์ ตำบลบางกระสอ อำเภอเมืองนนทบุรี จังหวัดนนทบุรี 11000</v>
      </c>
      <c r="Y88" s="3" t="str">
        <f>IFERROR(__xludf.DUMMYFUNCTION("""COMPUTED_VALUE"""),"ถนนรัตนาธิเบศร์")</f>
        <v>ถนนรัตนาธิเบศร์</v>
      </c>
      <c r="Z88" s="3" t="str">
        <f>IFERROR(__xludf.DUMMYFUNCTION("""COMPUTED_VALUE"""),"บางกระสอ")</f>
        <v>บางกระสอ</v>
      </c>
      <c r="AA88" s="3" t="str">
        <f>IFERROR(__xludf.DUMMYFUNCTION("""COMPUTED_VALUE"""),"เมืองนนทบุรี")</f>
        <v>เมืองนนทบุรี</v>
      </c>
      <c r="AB88" s="3" t="str">
        <f>IFERROR(__xludf.DUMMYFUNCTION("""COMPUTED_VALUE"""),"นนทบุรี")</f>
        <v>นนทบุรี</v>
      </c>
      <c r="AC88" s="3">
        <f>IFERROR(__xludf.DUMMYFUNCTION("""COMPUTED_VALUE"""),11000.0)</f>
        <v>11000</v>
      </c>
      <c r="AD88" s="3">
        <f>IFERROR(__xludf.DUMMYFUNCTION("""COMPUTED_VALUE"""),13.86065343)</f>
        <v>13.86065343</v>
      </c>
      <c r="AE88" s="3">
        <f>IFERROR(__xludf.DUMMYFUNCTION("""COMPUTED_VALUE"""),100.5034769)</f>
        <v>100.5034769</v>
      </c>
      <c r="AF88" s="3" t="str">
        <f>IFERROR(__xludf.DUMMYFUNCTION("""COMPUTED_VALUE"""),"รัตนาธิเบศร์-2-11189")</f>
        <v>รัตนาธิเบศร์-2-11189</v>
      </c>
      <c r="AG88" s="3" t="str">
        <f>IFERROR(__xludf.DUMMYFUNCTION("""COMPUTED_VALUE"""),"กลาง")</f>
        <v>กลาง</v>
      </c>
      <c r="AH88" s="3" t="str">
        <f>IFERROR(__xludf.DUMMYFUNCTION("""COMPUTED_VALUE"""),"Natsarine Seammai")</f>
        <v>Natsarine Seammai</v>
      </c>
      <c r="AI88" s="3" t="str">
        <f>IFERROR(__xludf.DUMMYFUNCTION("""COMPUTED_VALUE"""),"Out of warranty")</f>
        <v>Out of warranty</v>
      </c>
      <c r="AJ88" s="3">
        <f>IFERROR(__xludf.DUMMYFUNCTION("""COMPUTED_VALUE"""),312.0)</f>
        <v>312</v>
      </c>
      <c r="AK88" s="3"/>
      <c r="AL88" s="3" t="str">
        <f>IFERROR(__xludf.DUMMYFUNCTION("""COMPUTED_VALUE"""),"sgm.rattanatibeth2@bigc.co.th")</f>
        <v>sgm.rattanatibeth2@bigc.co.th</v>
      </c>
    </row>
    <row r="89" ht="15.75" customHeight="1">
      <c r="A89" s="1" t="str">
        <f>IFERROR(__xludf.DUMMYFUNCTION("""COMPUTED_VALUE"""),"11190")</f>
        <v>11190</v>
      </c>
      <c r="B89" s="2">
        <f>IFERROR(__xludf.DUMMYFUNCTION("""COMPUTED_VALUE"""),11190.0)</f>
        <v>11190</v>
      </c>
      <c r="C89" s="3" t="str">
        <f>IFERROR(__xludf.DUMMYFUNCTION("""COMPUTED_VALUE"""),"พระราม4")</f>
        <v>พระราม4</v>
      </c>
      <c r="D89" s="3" t="str">
        <f>IFERROR(__xludf.DUMMYFUNCTION("""COMPUTED_VALUE"""),"BIGC RAMA4")</f>
        <v>BIGC RAMA4</v>
      </c>
      <c r="E89" s="1" t="str">
        <f>IFERROR(__xludf.DUMMYFUNCTION("""COMPUTED_VALUE"""),"บิ๊กซี HyperMarket")</f>
        <v>บิ๊กซี HyperMarket</v>
      </c>
      <c r="F89" s="1" t="str">
        <f>IFERROR(__xludf.DUMMYFUNCTION("""COMPUTED_VALUE"""),"2454813")</f>
        <v>2454813</v>
      </c>
      <c r="G89" s="1" t="str">
        <f>IFERROR(__xludf.DUMMYFUNCTION("""COMPUTED_VALUE"""),"นายอนุรักษ์ จั่นเที่ยง")</f>
        <v>นายอนุรักษ์ จั่นเที่ยง</v>
      </c>
      <c r="H89" s="1" t="str">
        <f>IFERROR(__xludf.DUMMYFUNCTION("""COMPUTED_VALUE"""),"2454813")</f>
        <v>2454813</v>
      </c>
      <c r="I89" s="1" t="str">
        <f>IFERROR(__xludf.DUMMYFUNCTION("""COMPUTED_VALUE"""),"นายอนุรักษ์ จั่นเที่ยง")</f>
        <v>นายอนุรักษ์ จั่นเที่ยง</v>
      </c>
      <c r="J89" s="3">
        <f>IFERROR(__xludf.DUMMYFUNCTION("""COMPUTED_VALUE"""),2454813.0)</f>
        <v>2454813</v>
      </c>
      <c r="K89" s="3" t="str">
        <f>IFERROR(__xludf.DUMMYFUNCTION("""COMPUTED_VALUE"""),"นายอนุรักษ์ จั่นเที่ยง")</f>
        <v>นายอนุรักษ์ จั่นเที่ยง</v>
      </c>
      <c r="L89" s="1" t="str">
        <f>IFERROR(__xludf.DUMMYFUNCTION("""COMPUTED_VALUE"""),"Hub04-BKK 4")</f>
        <v>Hub04-BKK 4</v>
      </c>
      <c r="M89" s="1" t="str">
        <f>IFERROR(__xludf.DUMMYFUNCTION("""COMPUTED_VALUE"""),"0991964531")</f>
        <v>0991964531</v>
      </c>
      <c r="N89" s="3">
        <f>IFERROR(__xludf.DUMMYFUNCTION("""COMPUTED_VALUE"""),11190.0)</f>
        <v>11190</v>
      </c>
      <c r="O89" s="3" t="str">
        <f>IFERROR(__xludf.DUMMYFUNCTION("""COMPUTED_VALUE"""),"พระราม4")</f>
        <v>พระราม4</v>
      </c>
      <c r="P89" s="4">
        <f>IFERROR(__xludf.DUMMYFUNCTION("""COMPUTED_VALUE"""),36713.0)</f>
        <v>36713</v>
      </c>
      <c r="Q89" s="3" t="str">
        <f>IFERROR(__xludf.DUMMYFUNCTION("""COMPUTED_VALUE"""),"A")</f>
        <v>A</v>
      </c>
      <c r="R89" s="3" t="str">
        <f>IFERROR(__xludf.DUMMYFUNCTION("""COMPUTED_VALUE"""),"Big Format")</f>
        <v>Big Format</v>
      </c>
      <c r="S89" s="3" t="str">
        <f>IFERROR(__xludf.DUMMYFUNCTION("""COMPUTED_VALUE"""),"Hyper")</f>
        <v>Hyper</v>
      </c>
      <c r="T89" s="3" t="str">
        <f>IFERROR(__xludf.DUMMYFUNCTION("""COMPUTED_VALUE"""),"Hub04-BKK 4")</f>
        <v>Hub04-BKK 4</v>
      </c>
      <c r="U89" s="3" t="str">
        <f>IFERROR(__xludf.DUMMYFUNCTION("""COMPUTED_VALUE"""),"Hub04-BKK 4")</f>
        <v>Hub04-BKK 4</v>
      </c>
      <c r="V89" s="3" t="str">
        <f>IFERROR(__xludf.DUMMYFUNCTION("""COMPUTED_VALUE"""),"N")</f>
        <v>N</v>
      </c>
      <c r="W89" s="3">
        <f>IFERROR(__xludf.DUMMYFUNCTION("""COMPUTED_VALUE"""),111190.0)</f>
        <v>111190</v>
      </c>
      <c r="X89" s="3" t="str">
        <f>IFERROR(__xludf.DUMMYFUNCTION("""COMPUTED_VALUE"""),"2929 ถนนพระราม 4 แขวงคลองตัน เขตคลองเตย กรุงเทพฯ 10110")</f>
        <v>2929 ถนนพระราม 4 แขวงคลองตัน เขตคลองเตย กรุงเทพฯ 10110</v>
      </c>
      <c r="Y89" s="3" t="str">
        <f>IFERROR(__xludf.DUMMYFUNCTION("""COMPUTED_VALUE"""),"ถนนพระราม")</f>
        <v>ถนนพระราม</v>
      </c>
      <c r="Z89" s="3" t="str">
        <f>IFERROR(__xludf.DUMMYFUNCTION("""COMPUTED_VALUE"""),"คลองตัน")</f>
        <v>คลองตัน</v>
      </c>
      <c r="AA89" s="3" t="str">
        <f>IFERROR(__xludf.DUMMYFUNCTION("""COMPUTED_VALUE"""),"คลองเตย")</f>
        <v>คลองเตย</v>
      </c>
      <c r="AB89" s="3" t="str">
        <f>IFERROR(__xludf.DUMMYFUNCTION("""COMPUTED_VALUE"""),"กรุงเทพมหานคร")</f>
        <v>กรุงเทพมหานคร</v>
      </c>
      <c r="AC89" s="3">
        <f>IFERROR(__xludf.DUMMYFUNCTION("""COMPUTED_VALUE"""),10110.0)</f>
        <v>10110</v>
      </c>
      <c r="AD89" s="3">
        <f>IFERROR(__xludf.DUMMYFUNCTION("""COMPUTED_VALUE"""),13.71876978)</f>
        <v>13.71876978</v>
      </c>
      <c r="AE89" s="3">
        <f>IFERROR(__xludf.DUMMYFUNCTION("""COMPUTED_VALUE"""),100.568912)</f>
        <v>100.568912</v>
      </c>
      <c r="AF89" s="3" t="str">
        <f>IFERROR(__xludf.DUMMYFUNCTION("""COMPUTED_VALUE"""),"พระราม4-11190")</f>
        <v>พระราม4-11190</v>
      </c>
      <c r="AG89" s="3" t="str">
        <f>IFERROR(__xludf.DUMMYFUNCTION("""COMPUTED_VALUE"""),"กลาง")</f>
        <v>กลาง</v>
      </c>
      <c r="AH89" s="3" t="str">
        <f>IFERROR(__xludf.DUMMYFUNCTION("""COMPUTED_VALUE"""),"Natsarine Seammai")</f>
        <v>Natsarine Seammai</v>
      </c>
      <c r="AI89" s="3" t="str">
        <f>IFERROR(__xludf.DUMMYFUNCTION("""COMPUTED_VALUE"""),"Out of warranty")</f>
        <v>Out of warranty</v>
      </c>
      <c r="AJ89" s="3">
        <f>IFERROR(__xludf.DUMMYFUNCTION("""COMPUTED_VALUE"""),307.0)</f>
        <v>307</v>
      </c>
      <c r="AK89" s="3"/>
      <c r="AL89" s="3" t="str">
        <f>IFERROR(__xludf.DUMMYFUNCTION("""COMPUTED_VALUE"""),"sgm.rama4@bigc.co.th")</f>
        <v>sgm.rama4@bigc.co.th</v>
      </c>
    </row>
    <row r="90" ht="15.75" customHeight="1">
      <c r="A90" s="1" t="str">
        <f>IFERROR(__xludf.DUMMYFUNCTION("""COMPUTED_VALUE"""),"11191")</f>
        <v>11191</v>
      </c>
      <c r="B90" s="2">
        <f>IFERROR(__xludf.DUMMYFUNCTION("""COMPUTED_VALUE"""),11191.0)</f>
        <v>11191</v>
      </c>
      <c r="C90" s="3" t="str">
        <f>IFERROR(__xludf.DUMMYFUNCTION("""COMPUTED_VALUE"""),"รัชดาภิเษก")</f>
        <v>รัชดาภิเษก</v>
      </c>
      <c r="D90" s="3" t="str">
        <f>IFERROR(__xludf.DUMMYFUNCTION("""COMPUTED_VALUE"""),"BIGC RATCHADAPISEK")</f>
        <v>BIGC RATCHADAPISEK</v>
      </c>
      <c r="E90" s="1" t="str">
        <f>IFERROR(__xludf.DUMMYFUNCTION("""COMPUTED_VALUE"""),"บิ๊กซี HyperMarket")</f>
        <v>บิ๊กซี HyperMarket</v>
      </c>
      <c r="F90" s="1" t="str">
        <f>IFERROR(__xludf.DUMMYFUNCTION("""COMPUTED_VALUE"""),"02408546")</f>
        <v>02408546</v>
      </c>
      <c r="G90" s="1" t="str">
        <f>IFERROR(__xludf.DUMMYFUNCTION("""COMPUTED_VALUE"""),"นายเกษมศิษฐ์ ฮดบุญเรือง")</f>
        <v>นายเกษมศิษฐ์ ฮดบุญเรือง</v>
      </c>
      <c r="H90" s="1" t="str">
        <f>IFERROR(__xludf.DUMMYFUNCTION("""COMPUTED_VALUE"""),"02408546")</f>
        <v>02408546</v>
      </c>
      <c r="I90" s="1" t="str">
        <f>IFERROR(__xludf.DUMMYFUNCTION("""COMPUTED_VALUE"""),"นายเกษมศิษฐ์ ฮดบุญเรือง")</f>
        <v>นายเกษมศิษฐ์ ฮดบุญเรือง</v>
      </c>
      <c r="J90" s="3">
        <f>IFERROR(__xludf.DUMMYFUNCTION("""COMPUTED_VALUE"""),2408546.0)</f>
        <v>2408546</v>
      </c>
      <c r="K90" s="3" t="str">
        <f>IFERROR(__xludf.DUMMYFUNCTION("""COMPUTED_VALUE"""),"นายเกษมศิษฐ์ ฮดบุญเรือง")</f>
        <v>นายเกษมศิษฐ์ ฮดบุญเรือง</v>
      </c>
      <c r="L90" s="1" t="str">
        <f>IFERROR(__xludf.DUMMYFUNCTION("""COMPUTED_VALUE"""),"Hub02-BKK 2")</f>
        <v>Hub02-BKK 2</v>
      </c>
      <c r="M90" s="1" t="str">
        <f>IFERROR(__xludf.DUMMYFUNCTION("""COMPUTED_VALUE"""),"0988580755")</f>
        <v>0988580755</v>
      </c>
      <c r="N90" s="3">
        <f>IFERROR(__xludf.DUMMYFUNCTION("""COMPUTED_VALUE"""),11191.0)</f>
        <v>11191</v>
      </c>
      <c r="O90" s="3" t="str">
        <f>IFERROR(__xludf.DUMMYFUNCTION("""COMPUTED_VALUE"""),"รัชดาภิเษก")</f>
        <v>รัชดาภิเษก</v>
      </c>
      <c r="P90" s="4">
        <f>IFERROR(__xludf.DUMMYFUNCTION("""COMPUTED_VALUE"""),37072.0)</f>
        <v>37072</v>
      </c>
      <c r="Q90" s="3" t="str">
        <f>IFERROR(__xludf.DUMMYFUNCTION("""COMPUTED_VALUE"""),"A")</f>
        <v>A</v>
      </c>
      <c r="R90" s="3" t="str">
        <f>IFERROR(__xludf.DUMMYFUNCTION("""COMPUTED_VALUE"""),"Big Format")</f>
        <v>Big Format</v>
      </c>
      <c r="S90" s="3" t="str">
        <f>IFERROR(__xludf.DUMMYFUNCTION("""COMPUTED_VALUE"""),"Hyper")</f>
        <v>Hyper</v>
      </c>
      <c r="T90" s="3" t="str">
        <f>IFERROR(__xludf.DUMMYFUNCTION("""COMPUTED_VALUE"""),"Hub02-BKK 2")</f>
        <v>Hub02-BKK 2</v>
      </c>
      <c r="U90" s="3" t="str">
        <f>IFERROR(__xludf.DUMMYFUNCTION("""COMPUTED_VALUE"""),"Hub02-BKK 2")</f>
        <v>Hub02-BKK 2</v>
      </c>
      <c r="V90" s="3" t="str">
        <f>IFERROR(__xludf.DUMMYFUNCTION("""COMPUTED_VALUE"""),"N")</f>
        <v>N</v>
      </c>
      <c r="W90" s="3">
        <f>IFERROR(__xludf.DUMMYFUNCTION("""COMPUTED_VALUE"""),111191.0)</f>
        <v>111191</v>
      </c>
      <c r="X90" s="3" t="str">
        <f>IFERROR(__xludf.DUMMYFUNCTION("""COMPUTED_VALUE"""),"125 ถนนรัชดาภิเษก แขวงดินแดง เขตดินแดง กรุงเทพฯ 10400")</f>
        <v>125 ถนนรัชดาภิเษก แขวงดินแดง เขตดินแดง กรุงเทพฯ 10400</v>
      </c>
      <c r="Y90" s="3" t="str">
        <f>IFERROR(__xludf.DUMMYFUNCTION("""COMPUTED_VALUE"""),"ถนนรัชดาภิเษก")</f>
        <v>ถนนรัชดาภิเษก</v>
      </c>
      <c r="Z90" s="3" t="str">
        <f>IFERROR(__xludf.DUMMYFUNCTION("""COMPUTED_VALUE"""),"ดินแดง")</f>
        <v>ดินแดง</v>
      </c>
      <c r="AA90" s="3" t="str">
        <f>IFERROR(__xludf.DUMMYFUNCTION("""COMPUTED_VALUE"""),"ดินแดง")</f>
        <v>ดินแดง</v>
      </c>
      <c r="AB90" s="3" t="str">
        <f>IFERROR(__xludf.DUMMYFUNCTION("""COMPUTED_VALUE"""),"กรุงเทพมหานคร")</f>
        <v>กรุงเทพมหานคร</v>
      </c>
      <c r="AC90" s="3">
        <f>IFERROR(__xludf.DUMMYFUNCTION("""COMPUTED_VALUE"""),10400.0)</f>
        <v>10400</v>
      </c>
      <c r="AD90" s="3">
        <f>IFERROR(__xludf.DUMMYFUNCTION("""COMPUTED_VALUE"""),13.7687103)</f>
        <v>13.7687103</v>
      </c>
      <c r="AE90" s="3">
        <f>IFERROR(__xludf.DUMMYFUNCTION("""COMPUTED_VALUE"""),100.571841)</f>
        <v>100.571841</v>
      </c>
      <c r="AF90" s="3" t="str">
        <f>IFERROR(__xludf.DUMMYFUNCTION("""COMPUTED_VALUE"""),"รัชดาภิเษก-11191")</f>
        <v>รัชดาภิเษก-11191</v>
      </c>
      <c r="AG90" s="3" t="str">
        <f>IFERROR(__xludf.DUMMYFUNCTION("""COMPUTED_VALUE"""),"กลาง")</f>
        <v>กลาง</v>
      </c>
      <c r="AH90" s="3" t="str">
        <f>IFERROR(__xludf.DUMMYFUNCTION("""COMPUTED_VALUE"""),"Vassana Teratam")</f>
        <v>Vassana Teratam</v>
      </c>
      <c r="AI90" s="3" t="str">
        <f>IFERROR(__xludf.DUMMYFUNCTION("""COMPUTED_VALUE"""),"Out of warranty")</f>
        <v>Out of warranty</v>
      </c>
      <c r="AJ90" s="3">
        <f>IFERROR(__xludf.DUMMYFUNCTION("""COMPUTED_VALUE"""),295.0)</f>
        <v>295</v>
      </c>
      <c r="AK90" s="3"/>
      <c r="AL90" s="3" t="str">
        <f>IFERROR(__xludf.DUMMYFUNCTION("""COMPUTED_VALUE"""),"sgm.ratchada@bigc.co.th")</f>
        <v>sgm.ratchada@bigc.co.th</v>
      </c>
    </row>
    <row r="91" ht="15.75" customHeight="1">
      <c r="A91" s="1" t="str">
        <f>IFERROR(__xludf.DUMMYFUNCTION("""COMPUTED_VALUE"""),"11192")</f>
        <v>11192</v>
      </c>
      <c r="B91" s="2">
        <f>IFERROR(__xludf.DUMMYFUNCTION("""COMPUTED_VALUE"""),11192.0)</f>
        <v>11192</v>
      </c>
      <c r="C91" s="3" t="str">
        <f>IFERROR(__xludf.DUMMYFUNCTION("""COMPUTED_VALUE"""),"พัทยา3")</f>
        <v>พัทยา3</v>
      </c>
      <c r="D91" s="3" t="str">
        <f>IFERROR(__xludf.DUMMYFUNCTION("""COMPUTED_VALUE"""),"BIGC PATTAYA-3")</f>
        <v>BIGC PATTAYA-3</v>
      </c>
      <c r="E91" s="1" t="str">
        <f>IFERROR(__xludf.DUMMYFUNCTION("""COMPUTED_VALUE"""),"บิ๊กซี HyperMarket")</f>
        <v>บิ๊กซี HyperMarket</v>
      </c>
      <c r="F91" s="1" t="str">
        <f>IFERROR(__xludf.DUMMYFUNCTION("""COMPUTED_VALUE"""),"2455164")</f>
        <v>2455164</v>
      </c>
      <c r="G91" s="1" t="str">
        <f>IFERROR(__xludf.DUMMYFUNCTION("""COMPUTED_VALUE"""),"นายกรวิทย์ เจริญพร")</f>
        <v>นายกรวิทย์ เจริญพร</v>
      </c>
      <c r="H91" s="1" t="str">
        <f>IFERROR(__xludf.DUMMYFUNCTION("""COMPUTED_VALUE"""),"2455164")</f>
        <v>2455164</v>
      </c>
      <c r="I91" s="1" t="str">
        <f>IFERROR(__xludf.DUMMYFUNCTION("""COMPUTED_VALUE"""),"นายกรวิทย์ เจริญพร")</f>
        <v>นายกรวิทย์ เจริญพร</v>
      </c>
      <c r="J91" s="3">
        <f>IFERROR(__xludf.DUMMYFUNCTION("""COMPUTED_VALUE"""),2455164.0)</f>
        <v>2455164</v>
      </c>
      <c r="K91" s="3" t="str">
        <f>IFERROR(__xludf.DUMMYFUNCTION("""COMPUTED_VALUE"""),"นายกรวิทย์ เจริญพร")</f>
        <v>นายกรวิทย์ เจริญพร</v>
      </c>
      <c r="L91" s="1" t="str">
        <f>IFERROR(__xludf.DUMMYFUNCTION("""COMPUTED_VALUE"""),"Hub08-East")</f>
        <v>Hub08-East</v>
      </c>
      <c r="M91" s="1" t="str">
        <f>IFERROR(__xludf.DUMMYFUNCTION("""COMPUTED_VALUE"""),"092-605-9922")</f>
        <v>092-605-9922</v>
      </c>
      <c r="N91" s="3">
        <f>IFERROR(__xludf.DUMMYFUNCTION("""COMPUTED_VALUE"""),11192.0)</f>
        <v>11192</v>
      </c>
      <c r="O91" s="3" t="str">
        <f>IFERROR(__xludf.DUMMYFUNCTION("""COMPUTED_VALUE"""),"พัทยา3")</f>
        <v>พัทยา3</v>
      </c>
      <c r="P91" s="4">
        <f>IFERROR(__xludf.DUMMYFUNCTION("""COMPUTED_VALUE"""),37958.0)</f>
        <v>37958</v>
      </c>
      <c r="Q91" s="3" t="str">
        <f>IFERROR(__xludf.DUMMYFUNCTION("""COMPUTED_VALUE"""),"A")</f>
        <v>A</v>
      </c>
      <c r="R91" s="3" t="str">
        <f>IFERROR(__xludf.DUMMYFUNCTION("""COMPUTED_VALUE"""),"Big Format")</f>
        <v>Big Format</v>
      </c>
      <c r="S91" s="3" t="str">
        <f>IFERROR(__xludf.DUMMYFUNCTION("""COMPUTED_VALUE"""),"Hyper")</f>
        <v>Hyper</v>
      </c>
      <c r="T91" s="3" t="str">
        <f>IFERROR(__xludf.DUMMYFUNCTION("""COMPUTED_VALUE"""),"Hub08-East")</f>
        <v>Hub08-East</v>
      </c>
      <c r="U91" s="3" t="str">
        <f>IFERROR(__xludf.DUMMYFUNCTION("""COMPUTED_VALUE"""),"Hub08-East")</f>
        <v>Hub08-East</v>
      </c>
      <c r="V91" s="3" t="str">
        <f>IFERROR(__xludf.DUMMYFUNCTION("""COMPUTED_VALUE"""),"N")</f>
        <v>N</v>
      </c>
      <c r="W91" s="3">
        <f>IFERROR(__xludf.DUMMYFUNCTION("""COMPUTED_VALUE"""),111192.0)</f>
        <v>111192</v>
      </c>
      <c r="X91" s="3" t="str">
        <f>IFERROR(__xludf.DUMMYFUNCTION("""COMPUTED_VALUE"""),"333 หมู่ที่ 9 ถนนพัทยากลาง ตำบลหนองปรือ อำเภอบางละมุง จังหวัดชลบุรี 20150")</f>
        <v>333 หมู่ที่ 9 ถนนพัทยากลาง ตำบลหนองปรือ อำเภอบางละมุง จังหวัดชลบุรี 20150</v>
      </c>
      <c r="Y91" s="3"/>
      <c r="Z91" s="3" t="str">
        <f>IFERROR(__xludf.DUMMYFUNCTION("""COMPUTED_VALUE"""),"หนองปรือ")</f>
        <v>หนองปรือ</v>
      </c>
      <c r="AA91" s="3" t="str">
        <f>IFERROR(__xludf.DUMMYFUNCTION("""COMPUTED_VALUE"""),"บางละมุง")</f>
        <v>บางละมุง</v>
      </c>
      <c r="AB91" s="3" t="str">
        <f>IFERROR(__xludf.DUMMYFUNCTION("""COMPUTED_VALUE"""),"ชลบุรี")</f>
        <v>ชลบุรี</v>
      </c>
      <c r="AC91" s="3">
        <f>IFERROR(__xludf.DUMMYFUNCTION("""COMPUTED_VALUE"""),20260.0)</f>
        <v>20260</v>
      </c>
      <c r="AD91" s="3">
        <f>IFERROR(__xludf.DUMMYFUNCTION("""COMPUTED_VALUE"""),12.935258)</f>
        <v>12.935258</v>
      </c>
      <c r="AE91" s="3">
        <f>IFERROR(__xludf.DUMMYFUNCTION("""COMPUTED_VALUE"""),100.894809)</f>
        <v>100.894809</v>
      </c>
      <c r="AF91" s="3" t="str">
        <f>IFERROR(__xludf.DUMMYFUNCTION("""COMPUTED_VALUE"""),"พัทยา3-11192")</f>
        <v>พัทยา3-11192</v>
      </c>
      <c r="AG91" s="3" t="str">
        <f>IFERROR(__xludf.DUMMYFUNCTION("""COMPUTED_VALUE"""),"ตะวันออก")</f>
        <v>ตะวันออก</v>
      </c>
      <c r="AH91" s="3" t="str">
        <f>IFERROR(__xludf.DUMMYFUNCTION("""COMPUTED_VALUE"""),"Walaiporn Sutyod")</f>
        <v>Walaiporn Sutyod</v>
      </c>
      <c r="AI91" s="3" t="str">
        <f>IFERROR(__xludf.DUMMYFUNCTION("""COMPUTED_VALUE"""),"Out of warranty")</f>
        <v>Out of warranty</v>
      </c>
      <c r="AJ91" s="3">
        <f>IFERROR(__xludf.DUMMYFUNCTION("""COMPUTED_VALUE"""),266.0)</f>
        <v>266</v>
      </c>
      <c r="AK91" s="3"/>
      <c r="AL91" s="3" t="str">
        <f>IFERROR(__xludf.DUMMYFUNCTION("""COMPUTED_VALUE"""),"sgm.pattaya3@bigc.co.th")</f>
        <v>sgm.pattaya3@bigc.co.th</v>
      </c>
    </row>
    <row r="92" ht="15.75" customHeight="1">
      <c r="A92" s="1" t="str">
        <f>IFERROR(__xludf.DUMMYFUNCTION("""COMPUTED_VALUE"""),"11193")</f>
        <v>11193</v>
      </c>
      <c r="B92" s="2">
        <f>IFERROR(__xludf.DUMMYFUNCTION("""COMPUTED_VALUE"""),11193.0)</f>
        <v>11193</v>
      </c>
      <c r="C92" s="3" t="str">
        <f>IFERROR(__xludf.DUMMYFUNCTION("""COMPUTED_VALUE"""),"ลำลูกกา2")</f>
        <v>ลำลูกกา2</v>
      </c>
      <c r="D92" s="3" t="str">
        <f>IFERROR(__xludf.DUMMYFUNCTION("""COMPUTED_VALUE"""),"BIGC LAMLUKKA-2")</f>
        <v>BIGC LAMLUKKA-2</v>
      </c>
      <c r="E92" s="1" t="str">
        <f>IFERROR(__xludf.DUMMYFUNCTION("""COMPUTED_VALUE"""),"บิ๊กซี HyperMarket")</f>
        <v>บิ๊กซี HyperMarket</v>
      </c>
      <c r="F92" s="1" t="str">
        <f>IFERROR(__xludf.DUMMYFUNCTION("""COMPUTED_VALUE"""),"2454813")</f>
        <v>2454813</v>
      </c>
      <c r="G92" s="1" t="str">
        <f>IFERROR(__xludf.DUMMYFUNCTION("""COMPUTED_VALUE"""),"นายอนุรักษ์ จั่นเที่ยง")</f>
        <v>นายอนุรักษ์ จั่นเที่ยง</v>
      </c>
      <c r="H92" s="1" t="str">
        <f>IFERROR(__xludf.DUMMYFUNCTION("""COMPUTED_VALUE"""),"2454813")</f>
        <v>2454813</v>
      </c>
      <c r="I92" s="1" t="str">
        <f>IFERROR(__xludf.DUMMYFUNCTION("""COMPUTED_VALUE"""),"นายอนุรักษ์ จั่นเที่ยง")</f>
        <v>นายอนุรักษ์ จั่นเที่ยง</v>
      </c>
      <c r="J92" s="3">
        <f>IFERROR(__xludf.DUMMYFUNCTION("""COMPUTED_VALUE"""),2454813.0)</f>
        <v>2454813</v>
      </c>
      <c r="K92" s="3" t="str">
        <f>IFERROR(__xludf.DUMMYFUNCTION("""COMPUTED_VALUE"""),"นายอนุรักษ์ จั่นเที่ยง")</f>
        <v>นายอนุรักษ์ จั่นเที่ยง</v>
      </c>
      <c r="L92" s="1" t="str">
        <f>IFERROR(__xludf.DUMMYFUNCTION("""COMPUTED_VALUE"""),"Hub04-BKK 4")</f>
        <v>Hub04-BKK 4</v>
      </c>
      <c r="M92" s="1" t="str">
        <f>IFERROR(__xludf.DUMMYFUNCTION("""COMPUTED_VALUE"""),"0991964531")</f>
        <v>0991964531</v>
      </c>
      <c r="N92" s="3">
        <f>IFERROR(__xludf.DUMMYFUNCTION("""COMPUTED_VALUE"""),11193.0)</f>
        <v>11193</v>
      </c>
      <c r="O92" s="3" t="str">
        <f>IFERROR(__xludf.DUMMYFUNCTION("""COMPUTED_VALUE"""),"ลำลูกกา2")</f>
        <v>ลำลูกกา2</v>
      </c>
      <c r="P92" s="4">
        <f>IFERROR(__xludf.DUMMYFUNCTION("""COMPUTED_VALUE"""),40094.0)</f>
        <v>40094</v>
      </c>
      <c r="Q92" s="3" t="str">
        <f>IFERROR(__xludf.DUMMYFUNCTION("""COMPUTED_VALUE"""),"A")</f>
        <v>A</v>
      </c>
      <c r="R92" s="3" t="str">
        <f>IFERROR(__xludf.DUMMYFUNCTION("""COMPUTED_VALUE"""),"Big Format")</f>
        <v>Big Format</v>
      </c>
      <c r="S92" s="3" t="str">
        <f>IFERROR(__xludf.DUMMYFUNCTION("""COMPUTED_VALUE"""),"Hyper")</f>
        <v>Hyper</v>
      </c>
      <c r="T92" s="3" t="str">
        <f>IFERROR(__xludf.DUMMYFUNCTION("""COMPUTED_VALUE"""),"Hub04-BKK 4")</f>
        <v>Hub04-BKK 4</v>
      </c>
      <c r="U92" s="3" t="str">
        <f>IFERROR(__xludf.DUMMYFUNCTION("""COMPUTED_VALUE"""),"Hub04-BKK 4")</f>
        <v>Hub04-BKK 4</v>
      </c>
      <c r="V92" s="3" t="str">
        <f>IFERROR(__xludf.DUMMYFUNCTION("""COMPUTED_VALUE"""),"N")</f>
        <v>N</v>
      </c>
      <c r="W92" s="3">
        <f>IFERROR(__xludf.DUMMYFUNCTION("""COMPUTED_VALUE"""),111193.0)</f>
        <v>111193</v>
      </c>
      <c r="X92" s="3" t="str">
        <f>IFERROR(__xludf.DUMMYFUNCTION("""COMPUTED_VALUE"""),"3/83 หมู่ที่ 7 ตำบลลาดสวาย อำเภอลำลูกกา จังหวัดปทุมธานี 12150")</f>
        <v>3/83 หมู่ที่ 7 ตำบลลาดสวาย อำเภอลำลูกกา จังหวัดปทุมธานี 12150</v>
      </c>
      <c r="Y92" s="3"/>
      <c r="Z92" s="3" t="str">
        <f>IFERROR(__xludf.DUMMYFUNCTION("""COMPUTED_VALUE"""),"ลาดสวาย")</f>
        <v>ลาดสวาย</v>
      </c>
      <c r="AA92" s="3" t="str">
        <f>IFERROR(__xludf.DUMMYFUNCTION("""COMPUTED_VALUE"""),"ลำลูกกา")</f>
        <v>ลำลูกกา</v>
      </c>
      <c r="AB92" s="3" t="str">
        <f>IFERROR(__xludf.DUMMYFUNCTION("""COMPUTED_VALUE"""),"ปทุมธานี")</f>
        <v>ปทุมธานี</v>
      </c>
      <c r="AC92" s="3">
        <f>IFERROR(__xludf.DUMMYFUNCTION("""COMPUTED_VALUE"""),12150.0)</f>
        <v>12150</v>
      </c>
      <c r="AD92" s="3">
        <f>IFERROR(__xludf.DUMMYFUNCTION("""COMPUTED_VALUE"""),13.93385892)</f>
        <v>13.93385892</v>
      </c>
      <c r="AE92" s="3">
        <f>IFERROR(__xludf.DUMMYFUNCTION("""COMPUTED_VALUE"""),100.6821334)</f>
        <v>100.6821334</v>
      </c>
      <c r="AF92" s="3" t="str">
        <f>IFERROR(__xludf.DUMMYFUNCTION("""COMPUTED_VALUE"""),"ลำลูกกา2-11193")</f>
        <v>ลำลูกกา2-11193</v>
      </c>
      <c r="AG92" s="3" t="str">
        <f>IFERROR(__xludf.DUMMYFUNCTION("""COMPUTED_VALUE"""),"กลาง")</f>
        <v>กลาง</v>
      </c>
      <c r="AH92" s="3" t="str">
        <f>IFERROR(__xludf.DUMMYFUNCTION("""COMPUTED_VALUE"""),"Natsarine Seammai")</f>
        <v>Natsarine Seammai</v>
      </c>
      <c r="AI92" s="3" t="str">
        <f>IFERROR(__xludf.DUMMYFUNCTION("""COMPUTED_VALUE"""),"Out of warranty")</f>
        <v>Out of warranty</v>
      </c>
      <c r="AJ92" s="3">
        <f>IFERROR(__xludf.DUMMYFUNCTION("""COMPUTED_VALUE"""),196.0)</f>
        <v>196</v>
      </c>
      <c r="AK92" s="3"/>
      <c r="AL92" s="3" t="str">
        <f>IFERROR(__xludf.DUMMYFUNCTION("""COMPUTED_VALUE"""),"sgm.lamlukka2@bigc.co.th")</f>
        <v>sgm.lamlukka2@bigc.co.th</v>
      </c>
    </row>
    <row r="93" ht="15.75" customHeight="1">
      <c r="A93" s="1" t="str">
        <f>IFERROR(__xludf.DUMMYFUNCTION("""COMPUTED_VALUE"""),"11194")</f>
        <v>11194</v>
      </c>
      <c r="B93" s="2">
        <f>IFERROR(__xludf.DUMMYFUNCTION("""COMPUTED_VALUE"""),11194.0)</f>
        <v>11194</v>
      </c>
      <c r="C93" s="3" t="str">
        <f>IFERROR(__xludf.DUMMYFUNCTION("""COMPUTED_VALUE"""),"รังสิต-2")</f>
        <v>รังสิต-2</v>
      </c>
      <c r="D93" s="3" t="str">
        <f>IFERROR(__xludf.DUMMYFUNCTION("""COMPUTED_VALUE"""),"BIGC RANGSIT-2")</f>
        <v>BIGC RANGSIT-2</v>
      </c>
      <c r="E93" s="1" t="str">
        <f>IFERROR(__xludf.DUMMYFUNCTION("""COMPUTED_VALUE"""),"บิ๊กซี HyperMarket")</f>
        <v>บิ๊กซี HyperMarket</v>
      </c>
      <c r="F93" s="1" t="str">
        <f>IFERROR(__xludf.DUMMYFUNCTION("""COMPUTED_VALUE"""),"02408546")</f>
        <v>02408546</v>
      </c>
      <c r="G93" s="1" t="str">
        <f>IFERROR(__xludf.DUMMYFUNCTION("""COMPUTED_VALUE"""),"นายเกษมศิษฐ์ ฮดบุญเรือง")</f>
        <v>นายเกษมศิษฐ์ ฮดบุญเรือง</v>
      </c>
      <c r="H93" s="1" t="str">
        <f>IFERROR(__xludf.DUMMYFUNCTION("""COMPUTED_VALUE"""),"02408546")</f>
        <v>02408546</v>
      </c>
      <c r="I93" s="1" t="str">
        <f>IFERROR(__xludf.DUMMYFUNCTION("""COMPUTED_VALUE"""),"นายเกษมศิษฐ์ ฮดบุญเรือง")</f>
        <v>นายเกษมศิษฐ์ ฮดบุญเรือง</v>
      </c>
      <c r="J93" s="3">
        <f>IFERROR(__xludf.DUMMYFUNCTION("""COMPUTED_VALUE"""),2408546.0)</f>
        <v>2408546</v>
      </c>
      <c r="K93" s="3" t="str">
        <f>IFERROR(__xludf.DUMMYFUNCTION("""COMPUTED_VALUE"""),"นายเกษมศิษฐ์ ฮดบุญเรือง")</f>
        <v>นายเกษมศิษฐ์ ฮดบุญเรือง</v>
      </c>
      <c r="L93" s="1" t="str">
        <f>IFERROR(__xludf.DUMMYFUNCTION("""COMPUTED_VALUE"""),"Hub02-BKK 2")</f>
        <v>Hub02-BKK 2</v>
      </c>
      <c r="M93" s="1" t="str">
        <f>IFERROR(__xludf.DUMMYFUNCTION("""COMPUTED_VALUE"""),"0988580755")</f>
        <v>0988580755</v>
      </c>
      <c r="N93" s="3">
        <f>IFERROR(__xludf.DUMMYFUNCTION("""COMPUTED_VALUE"""),11194.0)</f>
        <v>11194</v>
      </c>
      <c r="O93" s="3" t="str">
        <f>IFERROR(__xludf.DUMMYFUNCTION("""COMPUTED_VALUE"""),"รังสิต-2")</f>
        <v>รังสิต-2</v>
      </c>
      <c r="P93" s="4">
        <f>IFERROR(__xludf.DUMMYFUNCTION("""COMPUTED_VALUE"""),35607.0)</f>
        <v>35607</v>
      </c>
      <c r="Q93" s="3" t="str">
        <f>IFERROR(__xludf.DUMMYFUNCTION("""COMPUTED_VALUE"""),"I")</f>
        <v>I</v>
      </c>
      <c r="R93" s="3" t="str">
        <f>IFERROR(__xludf.DUMMYFUNCTION("""COMPUTED_VALUE"""),"Big Format")</f>
        <v>Big Format</v>
      </c>
      <c r="S93" s="3" t="str">
        <f>IFERROR(__xludf.DUMMYFUNCTION("""COMPUTED_VALUE"""),"Hyper")</f>
        <v>Hyper</v>
      </c>
      <c r="T93" s="3" t="str">
        <f>IFERROR(__xludf.DUMMYFUNCTION("""COMPUTED_VALUE"""),"Hub02-BKK 2")</f>
        <v>Hub02-BKK 2</v>
      </c>
      <c r="U93" s="3" t="str">
        <f>IFERROR(__xludf.DUMMYFUNCTION("""COMPUTED_VALUE"""),"Hub02-BKK 2")</f>
        <v>Hub02-BKK 2</v>
      </c>
      <c r="V93" s="3" t="str">
        <f>IFERROR(__xludf.DUMMYFUNCTION("""COMPUTED_VALUE"""),"N")</f>
        <v>N</v>
      </c>
      <c r="W93" s="3">
        <f>IFERROR(__xludf.DUMMYFUNCTION("""COMPUTED_VALUE"""),111194.0)</f>
        <v>111194</v>
      </c>
      <c r="X93" s="3" t="str">
        <f>IFERROR(__xludf.DUMMYFUNCTION("""COMPUTED_VALUE"""),"70/1 หมู่ 15 ถนนพหลโยธิน ตำบลคูคต อำเภอลำลูกกา จังหวัดปทุมธานี 12130")</f>
        <v>70/1 หมู่ 15 ถนนพหลโยธิน ตำบลคูคต อำเภอลำลูกกา จังหวัดปทุมธานี 12130</v>
      </c>
      <c r="Y93" s="3"/>
      <c r="Z93" s="3" t="str">
        <f>IFERROR(__xludf.DUMMYFUNCTION("""COMPUTED_VALUE"""),"คูคต")</f>
        <v>คูคต</v>
      </c>
      <c r="AA93" s="3" t="str">
        <f>IFERROR(__xludf.DUMMYFUNCTION("""COMPUTED_VALUE"""),"ลำลูกกา")</f>
        <v>ลำลูกกา</v>
      </c>
      <c r="AB93" s="3" t="str">
        <f>IFERROR(__xludf.DUMMYFUNCTION("""COMPUTED_VALUE"""),"ปทุมธานี")</f>
        <v>ปทุมธานี</v>
      </c>
      <c r="AC93" s="3">
        <f>IFERROR(__xludf.DUMMYFUNCTION("""COMPUTED_VALUE"""),12130.0)</f>
        <v>12130</v>
      </c>
      <c r="AD93" s="3">
        <f>IFERROR(__xludf.DUMMYFUNCTION("""COMPUTED_VALUE"""),13.9596319)</f>
        <v>13.9596319</v>
      </c>
      <c r="AE93" s="3">
        <f>IFERROR(__xludf.DUMMYFUNCTION("""COMPUTED_VALUE"""),100.6201477)</f>
        <v>100.6201477</v>
      </c>
      <c r="AF93" s="3" t="str">
        <f>IFERROR(__xludf.DUMMYFUNCTION("""COMPUTED_VALUE"""),"รังสิต-2-11194")</f>
        <v>รังสิต-2-11194</v>
      </c>
      <c r="AG93" s="3" t="str">
        <f>IFERROR(__xludf.DUMMYFUNCTION("""COMPUTED_VALUE"""),"กลาง")</f>
        <v>กลาง</v>
      </c>
      <c r="AH93" s="3" t="str">
        <f>IFERROR(__xludf.DUMMYFUNCTION("""COMPUTED_VALUE"""),"#N/A")</f>
        <v>#N/A</v>
      </c>
      <c r="AI93" s="3" t="str">
        <f>IFERROR(__xludf.DUMMYFUNCTION("""COMPUTED_VALUE"""),"Out of warranty")</f>
        <v>Out of warranty</v>
      </c>
      <c r="AJ93" s="3">
        <f>IFERROR(__xludf.DUMMYFUNCTION("""COMPUTED_VALUE"""),343.0)</f>
        <v>343</v>
      </c>
      <c r="AK93" s="3"/>
      <c r="AL93" s="3" t="str">
        <f>IFERROR(__xludf.DUMMYFUNCTION("""COMPUTED_VALUE"""),"sgm.rangsit2@bigc.co.th")</f>
        <v>sgm.rangsit2@bigc.co.th</v>
      </c>
    </row>
    <row r="94" ht="15.75" customHeight="1">
      <c r="A94" s="1" t="str">
        <f>IFERROR(__xludf.DUMMYFUNCTION("""COMPUTED_VALUE"""),"11195")</f>
        <v>11195</v>
      </c>
      <c r="B94" s="2">
        <f>IFERROR(__xludf.DUMMYFUNCTION("""COMPUTED_VALUE"""),11195.0)</f>
        <v>11195</v>
      </c>
      <c r="C94" s="3" t="str">
        <f>IFERROR(__xludf.DUMMYFUNCTION("""COMPUTED_VALUE"""),"บางบอน")</f>
        <v>บางบอน</v>
      </c>
      <c r="D94" s="3" t="str">
        <f>IFERROR(__xludf.DUMMYFUNCTION("""COMPUTED_VALUE"""),"BIGC BANGBON")</f>
        <v>BIGC BANGBON</v>
      </c>
      <c r="E94" s="1" t="str">
        <f>IFERROR(__xludf.DUMMYFUNCTION("""COMPUTED_VALUE"""),"บิ๊กซี HyperMarket")</f>
        <v>บิ๊กซี HyperMarket</v>
      </c>
      <c r="F94" s="1" t="str">
        <f>IFERROR(__xludf.DUMMYFUNCTION("""COMPUTED_VALUE"""),"2454701")</f>
        <v>2454701</v>
      </c>
      <c r="G94" s="1" t="str">
        <f>IFERROR(__xludf.DUMMYFUNCTION("""COMPUTED_VALUE"""),"นายกานต์ ไชยแสงศรี")</f>
        <v>นายกานต์ ไชยแสงศรี</v>
      </c>
      <c r="H94" s="1" t="str">
        <f>IFERROR(__xludf.DUMMYFUNCTION("""COMPUTED_VALUE"""),"2454701")</f>
        <v>2454701</v>
      </c>
      <c r="I94" s="1" t="str">
        <f>IFERROR(__xludf.DUMMYFUNCTION("""COMPUTED_VALUE"""),"นายกานต์ ไชยแสงศรี")</f>
        <v>นายกานต์ ไชยแสงศรี</v>
      </c>
      <c r="J94" s="3">
        <f>IFERROR(__xludf.DUMMYFUNCTION("""COMPUTED_VALUE"""),2454701.0)</f>
        <v>2454701</v>
      </c>
      <c r="K94" s="3" t="str">
        <f>IFERROR(__xludf.DUMMYFUNCTION("""COMPUTED_VALUE"""),"นายกานต์ ไชยแสงศรี")</f>
        <v>นายกานต์ ไชยแสงศรี</v>
      </c>
      <c r="L94" s="1" t="str">
        <f>IFERROR(__xludf.DUMMYFUNCTION("""COMPUTED_VALUE"""),"Hub01-BKK 1")</f>
        <v>Hub01-BKK 1</v>
      </c>
      <c r="M94" s="1" t="str">
        <f>IFERROR(__xludf.DUMMYFUNCTION("""COMPUTED_VALUE"""),"0909090652")</f>
        <v>0909090652</v>
      </c>
      <c r="N94" s="3">
        <f>IFERROR(__xludf.DUMMYFUNCTION("""COMPUTED_VALUE"""),11195.0)</f>
        <v>11195</v>
      </c>
      <c r="O94" s="3" t="str">
        <f>IFERROR(__xludf.DUMMYFUNCTION("""COMPUTED_VALUE"""),"บางบอน")</f>
        <v>บางบอน</v>
      </c>
      <c r="P94" s="4">
        <f>IFERROR(__xludf.DUMMYFUNCTION("""COMPUTED_VALUE"""),37099.0)</f>
        <v>37099</v>
      </c>
      <c r="Q94" s="3" t="str">
        <f>IFERROR(__xludf.DUMMYFUNCTION("""COMPUTED_VALUE"""),"A")</f>
        <v>A</v>
      </c>
      <c r="R94" s="3" t="str">
        <f>IFERROR(__xludf.DUMMYFUNCTION("""COMPUTED_VALUE"""),"Big Format")</f>
        <v>Big Format</v>
      </c>
      <c r="S94" s="3" t="str">
        <f>IFERROR(__xludf.DUMMYFUNCTION("""COMPUTED_VALUE"""),"Hyper")</f>
        <v>Hyper</v>
      </c>
      <c r="T94" s="3" t="str">
        <f>IFERROR(__xludf.DUMMYFUNCTION("""COMPUTED_VALUE"""),"Hub01-BKK 1")</f>
        <v>Hub01-BKK 1</v>
      </c>
      <c r="U94" s="3" t="str">
        <f>IFERROR(__xludf.DUMMYFUNCTION("""COMPUTED_VALUE"""),"Hub01-BKK 1")</f>
        <v>Hub01-BKK 1</v>
      </c>
      <c r="V94" s="3" t="str">
        <f>IFERROR(__xludf.DUMMYFUNCTION("""COMPUTED_VALUE"""),"N")</f>
        <v>N</v>
      </c>
      <c r="W94" s="3">
        <f>IFERROR(__xludf.DUMMYFUNCTION("""COMPUTED_VALUE"""),111195.0)</f>
        <v>111195</v>
      </c>
      <c r="X94" s="3" t="str">
        <f>IFERROR(__xludf.DUMMYFUNCTION("""COMPUTED_VALUE"""),"371 ถนนเอกชัย แขวงบางบอน เขตบางบอน กรุงเทพฯ 10150")</f>
        <v>371 ถนนเอกชัย แขวงบางบอน เขตบางบอน กรุงเทพฯ 10150</v>
      </c>
      <c r="Y94" s="3" t="str">
        <f>IFERROR(__xludf.DUMMYFUNCTION("""COMPUTED_VALUE"""),"ถนนเอกชัย")</f>
        <v>ถนนเอกชัย</v>
      </c>
      <c r="Z94" s="3" t="str">
        <f>IFERROR(__xludf.DUMMYFUNCTION("""COMPUTED_VALUE"""),"บางบอน")</f>
        <v>บางบอน</v>
      </c>
      <c r="AA94" s="3" t="str">
        <f>IFERROR(__xludf.DUMMYFUNCTION("""COMPUTED_VALUE"""),"บางบอน")</f>
        <v>บางบอน</v>
      </c>
      <c r="AB94" s="3" t="str">
        <f>IFERROR(__xludf.DUMMYFUNCTION("""COMPUTED_VALUE"""),"กรุงเทพมหานคร")</f>
        <v>กรุงเทพมหานคร</v>
      </c>
      <c r="AC94" s="3">
        <f>IFERROR(__xludf.DUMMYFUNCTION("""COMPUTED_VALUE"""),10150.0)</f>
        <v>10150</v>
      </c>
      <c r="AD94" s="3">
        <f>IFERROR(__xludf.DUMMYFUNCTION("""COMPUTED_VALUE"""),13.67907)</f>
        <v>13.67907</v>
      </c>
      <c r="AE94" s="3">
        <f>IFERROR(__xludf.DUMMYFUNCTION("""COMPUTED_VALUE"""),100.43597)</f>
        <v>100.43597</v>
      </c>
      <c r="AF94" s="3" t="str">
        <f>IFERROR(__xludf.DUMMYFUNCTION("""COMPUTED_VALUE"""),"บางบอน-11195")</f>
        <v>บางบอน-11195</v>
      </c>
      <c r="AG94" s="3" t="str">
        <f>IFERROR(__xludf.DUMMYFUNCTION("""COMPUTED_VALUE"""),"กลาง")</f>
        <v>กลาง</v>
      </c>
      <c r="AH94" s="3" t="str">
        <f>IFERROR(__xludf.DUMMYFUNCTION("""COMPUTED_VALUE"""),"Suchin Thawinwisan")</f>
        <v>Suchin Thawinwisan</v>
      </c>
      <c r="AI94" s="3" t="str">
        <f>IFERROR(__xludf.DUMMYFUNCTION("""COMPUTED_VALUE"""),"Out of warranty")</f>
        <v>Out of warranty</v>
      </c>
      <c r="AJ94" s="3">
        <f>IFERROR(__xludf.DUMMYFUNCTION("""COMPUTED_VALUE"""),294.0)</f>
        <v>294</v>
      </c>
      <c r="AK94" s="3"/>
      <c r="AL94" s="3" t="str">
        <f>IFERROR(__xludf.DUMMYFUNCTION("""COMPUTED_VALUE"""),"sgm.bangbon@bigc.co.th")</f>
        <v>sgm.bangbon@bigc.co.th</v>
      </c>
    </row>
    <row r="95" ht="15.75" customHeight="1">
      <c r="A95" s="1" t="str">
        <f>IFERROR(__xludf.DUMMYFUNCTION("""COMPUTED_VALUE"""),"11196")</f>
        <v>11196</v>
      </c>
      <c r="B95" s="2">
        <f>IFERROR(__xludf.DUMMYFUNCTION("""COMPUTED_VALUE"""),11196.0)</f>
        <v>11196</v>
      </c>
      <c r="C95" s="3" t="str">
        <f>IFERROR(__xludf.DUMMYFUNCTION("""COMPUTED_VALUE"""),"บางปะกอก")</f>
        <v>บางปะกอก</v>
      </c>
      <c r="D95" s="3" t="str">
        <f>IFERROR(__xludf.DUMMYFUNCTION("""COMPUTED_VALUE"""),"BIGC BANGPAKOK")</f>
        <v>BIGC BANGPAKOK</v>
      </c>
      <c r="E95" s="1" t="str">
        <f>IFERROR(__xludf.DUMMYFUNCTION("""COMPUTED_VALUE"""),"บิ๊กซี HyperMarket")</f>
        <v>บิ๊กซี HyperMarket</v>
      </c>
      <c r="F95" s="1" t="str">
        <f>IFERROR(__xludf.DUMMYFUNCTION("""COMPUTED_VALUE"""),"02408546")</f>
        <v>02408546</v>
      </c>
      <c r="G95" s="1" t="str">
        <f>IFERROR(__xludf.DUMMYFUNCTION("""COMPUTED_VALUE"""),"นายเกษมศิษฐ์ ฮดบุญเรือง")</f>
        <v>นายเกษมศิษฐ์ ฮดบุญเรือง</v>
      </c>
      <c r="H95" s="1" t="str">
        <f>IFERROR(__xludf.DUMMYFUNCTION("""COMPUTED_VALUE"""),"02408546")</f>
        <v>02408546</v>
      </c>
      <c r="I95" s="1" t="str">
        <f>IFERROR(__xludf.DUMMYFUNCTION("""COMPUTED_VALUE"""),"นายเกษมศิษฐ์ ฮดบุญเรือง")</f>
        <v>นายเกษมศิษฐ์ ฮดบุญเรือง</v>
      </c>
      <c r="J95" s="3">
        <f>IFERROR(__xludf.DUMMYFUNCTION("""COMPUTED_VALUE"""),2408546.0)</f>
        <v>2408546</v>
      </c>
      <c r="K95" s="3" t="str">
        <f>IFERROR(__xludf.DUMMYFUNCTION("""COMPUTED_VALUE"""),"นายเกษมศิษฐ์ ฮดบุญเรือง")</f>
        <v>นายเกษมศิษฐ์ ฮดบุญเรือง</v>
      </c>
      <c r="L95" s="1" t="str">
        <f>IFERROR(__xludf.DUMMYFUNCTION("""COMPUTED_VALUE"""),"Hub02-BKK 2")</f>
        <v>Hub02-BKK 2</v>
      </c>
      <c r="M95" s="1" t="str">
        <f>IFERROR(__xludf.DUMMYFUNCTION("""COMPUTED_VALUE"""),"0988580755")</f>
        <v>0988580755</v>
      </c>
      <c r="N95" s="3">
        <f>IFERROR(__xludf.DUMMYFUNCTION("""COMPUTED_VALUE"""),11196.0)</f>
        <v>11196</v>
      </c>
      <c r="O95" s="3" t="str">
        <f>IFERROR(__xludf.DUMMYFUNCTION("""COMPUTED_VALUE"""),"บางปะกอก")</f>
        <v>บางปะกอก</v>
      </c>
      <c r="P95" s="4">
        <f>IFERROR(__xludf.DUMMYFUNCTION("""COMPUTED_VALUE"""),37226.0)</f>
        <v>37226</v>
      </c>
      <c r="Q95" s="3" t="str">
        <f>IFERROR(__xludf.DUMMYFUNCTION("""COMPUTED_VALUE"""),"A")</f>
        <v>A</v>
      </c>
      <c r="R95" s="3" t="str">
        <f>IFERROR(__xludf.DUMMYFUNCTION("""COMPUTED_VALUE"""),"Big Format")</f>
        <v>Big Format</v>
      </c>
      <c r="S95" s="3" t="str">
        <f>IFERROR(__xludf.DUMMYFUNCTION("""COMPUTED_VALUE"""),"Hyper")</f>
        <v>Hyper</v>
      </c>
      <c r="T95" s="3" t="str">
        <f>IFERROR(__xludf.DUMMYFUNCTION("""COMPUTED_VALUE"""),"Hub02-BKK 2")</f>
        <v>Hub02-BKK 2</v>
      </c>
      <c r="U95" s="3" t="str">
        <f>IFERROR(__xludf.DUMMYFUNCTION("""COMPUTED_VALUE"""),"Hub02-BKK 2")</f>
        <v>Hub02-BKK 2</v>
      </c>
      <c r="V95" s="3" t="str">
        <f>IFERROR(__xludf.DUMMYFUNCTION("""COMPUTED_VALUE"""),"N")</f>
        <v>N</v>
      </c>
      <c r="W95" s="3">
        <f>IFERROR(__xludf.DUMMYFUNCTION("""COMPUTED_VALUE"""),111196.0)</f>
        <v>111196</v>
      </c>
      <c r="X95" s="3" t="str">
        <f>IFERROR(__xludf.DUMMYFUNCTION("""COMPUTED_VALUE"""),"278 หมู่ที่ 1 ถนนสุขสวัสดิ์ แขวงบางปะกอก เขตราษฎร์บูรณะ กรุงเทพฯ 10140")</f>
        <v>278 หมู่ที่ 1 ถนนสุขสวัสดิ์ แขวงบางปะกอก เขตราษฎร์บูรณะ กรุงเทพฯ 10140</v>
      </c>
      <c r="Y95" s="3" t="str">
        <f>IFERROR(__xludf.DUMMYFUNCTION("""COMPUTED_VALUE"""),"สุขสวัสดิ์")</f>
        <v>สุขสวัสดิ์</v>
      </c>
      <c r="Z95" s="3" t="str">
        <f>IFERROR(__xludf.DUMMYFUNCTION("""COMPUTED_VALUE"""),"บางปะกอก")</f>
        <v>บางปะกอก</v>
      </c>
      <c r="AA95" s="3" t="str">
        <f>IFERROR(__xludf.DUMMYFUNCTION("""COMPUTED_VALUE"""),"ราษฎร์บูรณะ")</f>
        <v>ราษฎร์บูรณะ</v>
      </c>
      <c r="AB95" s="3" t="str">
        <f>IFERROR(__xludf.DUMMYFUNCTION("""COMPUTED_VALUE"""),"กรุงเทพมหานคร")</f>
        <v>กรุงเทพมหานคร</v>
      </c>
      <c r="AC95" s="3">
        <f>IFERROR(__xludf.DUMMYFUNCTION("""COMPUTED_VALUE"""),10140.0)</f>
        <v>10140</v>
      </c>
      <c r="AD95" s="3">
        <f>IFERROR(__xludf.DUMMYFUNCTION("""COMPUTED_VALUE"""),13.6830606)</f>
        <v>13.6830606</v>
      </c>
      <c r="AE95" s="3">
        <f>IFERROR(__xludf.DUMMYFUNCTION("""COMPUTED_VALUE"""),100.4927292)</f>
        <v>100.4927292</v>
      </c>
      <c r="AF95" s="3" t="str">
        <f>IFERROR(__xludf.DUMMYFUNCTION("""COMPUTED_VALUE"""),"บางปะกอก-11196")</f>
        <v>บางปะกอก-11196</v>
      </c>
      <c r="AG95" s="3" t="str">
        <f>IFERROR(__xludf.DUMMYFUNCTION("""COMPUTED_VALUE"""),"กลาง")</f>
        <v>กลาง</v>
      </c>
      <c r="AH95" s="3" t="str">
        <f>IFERROR(__xludf.DUMMYFUNCTION("""COMPUTED_VALUE"""),"Vassana Teratam")</f>
        <v>Vassana Teratam</v>
      </c>
      <c r="AI95" s="3" t="str">
        <f>IFERROR(__xludf.DUMMYFUNCTION("""COMPUTED_VALUE"""),"Out of warranty")</f>
        <v>Out of warranty</v>
      </c>
      <c r="AJ95" s="3">
        <f>IFERROR(__xludf.DUMMYFUNCTION("""COMPUTED_VALUE"""),290.0)</f>
        <v>290</v>
      </c>
      <c r="AK95" s="3"/>
      <c r="AL95" s="3" t="str">
        <f>IFERROR(__xludf.DUMMYFUNCTION("""COMPUTED_VALUE"""),"sgm.bangpakok@bigc.co.th")</f>
        <v>sgm.bangpakok@bigc.co.th</v>
      </c>
    </row>
    <row r="96" ht="15.75" customHeight="1">
      <c r="A96" s="1" t="str">
        <f>IFERROR(__xludf.DUMMYFUNCTION("""COMPUTED_VALUE"""),"11197")</f>
        <v>11197</v>
      </c>
      <c r="B96" s="2">
        <f>IFERROR(__xludf.DUMMYFUNCTION("""COMPUTED_VALUE"""),11197.0)</f>
        <v>11197</v>
      </c>
      <c r="C96" s="3" t="str">
        <f>IFERROR(__xludf.DUMMYFUNCTION("""COMPUTED_VALUE"""),"พระราม2-2")</f>
        <v>พระราม2-2</v>
      </c>
      <c r="D96" s="3" t="str">
        <f>IFERROR(__xludf.DUMMYFUNCTION("""COMPUTED_VALUE"""),"BIGC RAMA2-2")</f>
        <v>BIGC RAMA2-2</v>
      </c>
      <c r="E96" s="1" t="str">
        <f>IFERROR(__xludf.DUMMYFUNCTION("""COMPUTED_VALUE"""),"บิ๊กซี HyperMarket")</f>
        <v>บิ๊กซี HyperMarket</v>
      </c>
      <c r="F96" s="1" t="str">
        <f>IFERROR(__xludf.DUMMYFUNCTION("""COMPUTED_VALUE"""),"2454701")</f>
        <v>2454701</v>
      </c>
      <c r="G96" s="1" t="str">
        <f>IFERROR(__xludf.DUMMYFUNCTION("""COMPUTED_VALUE"""),"นายกานต์ ไชยแสงศรี")</f>
        <v>นายกานต์ ไชยแสงศรี</v>
      </c>
      <c r="H96" s="1" t="str">
        <f>IFERROR(__xludf.DUMMYFUNCTION("""COMPUTED_VALUE"""),"2454701")</f>
        <v>2454701</v>
      </c>
      <c r="I96" s="1" t="str">
        <f>IFERROR(__xludf.DUMMYFUNCTION("""COMPUTED_VALUE"""),"นายกานต์ ไชยแสงศรี")</f>
        <v>นายกานต์ ไชยแสงศรี</v>
      </c>
      <c r="J96" s="3">
        <f>IFERROR(__xludf.DUMMYFUNCTION("""COMPUTED_VALUE"""),2454701.0)</f>
        <v>2454701</v>
      </c>
      <c r="K96" s="3" t="str">
        <f>IFERROR(__xludf.DUMMYFUNCTION("""COMPUTED_VALUE"""),"นายกานต์ ไชยแสงศรี")</f>
        <v>นายกานต์ ไชยแสงศรี</v>
      </c>
      <c r="L96" s="1" t="str">
        <f>IFERROR(__xludf.DUMMYFUNCTION("""COMPUTED_VALUE"""),"Hub01-BKK 1")</f>
        <v>Hub01-BKK 1</v>
      </c>
      <c r="M96" s="1" t="str">
        <f>IFERROR(__xludf.DUMMYFUNCTION("""COMPUTED_VALUE"""),"0909090652")</f>
        <v>0909090652</v>
      </c>
      <c r="N96" s="3">
        <f>IFERROR(__xludf.DUMMYFUNCTION("""COMPUTED_VALUE"""),11197.0)</f>
        <v>11197</v>
      </c>
      <c r="O96" s="3" t="str">
        <f>IFERROR(__xludf.DUMMYFUNCTION("""COMPUTED_VALUE"""),"พระราม2-2")</f>
        <v>พระราม2-2</v>
      </c>
      <c r="P96" s="4">
        <f>IFERROR(__xludf.DUMMYFUNCTION("""COMPUTED_VALUE"""),39429.0)</f>
        <v>39429</v>
      </c>
      <c r="Q96" s="3" t="str">
        <f>IFERROR(__xludf.DUMMYFUNCTION("""COMPUTED_VALUE"""),"A")</f>
        <v>A</v>
      </c>
      <c r="R96" s="3" t="str">
        <f>IFERROR(__xludf.DUMMYFUNCTION("""COMPUTED_VALUE"""),"Big Format")</f>
        <v>Big Format</v>
      </c>
      <c r="S96" s="3" t="str">
        <f>IFERROR(__xludf.DUMMYFUNCTION("""COMPUTED_VALUE"""),"Hyper")</f>
        <v>Hyper</v>
      </c>
      <c r="T96" s="3" t="str">
        <f>IFERROR(__xludf.DUMMYFUNCTION("""COMPUTED_VALUE"""),"Hub01-BKK 1")</f>
        <v>Hub01-BKK 1</v>
      </c>
      <c r="U96" s="3" t="str">
        <f>IFERROR(__xludf.DUMMYFUNCTION("""COMPUTED_VALUE"""),"Hub01-BKK 1")</f>
        <v>Hub01-BKK 1</v>
      </c>
      <c r="V96" s="3" t="str">
        <f>IFERROR(__xludf.DUMMYFUNCTION("""COMPUTED_VALUE"""),"N")</f>
        <v>N</v>
      </c>
      <c r="W96" s="3">
        <f>IFERROR(__xludf.DUMMYFUNCTION("""COMPUTED_VALUE"""),111197.0)</f>
        <v>111197</v>
      </c>
      <c r="X96" s="3" t="str">
        <f>IFERROR(__xludf.DUMMYFUNCTION("""COMPUTED_VALUE"""),"282/2 ถนนพระรามที่ 2 แขวงแสมดำ เขตบางขุนเทียน กรุงเทพฯ 10150")</f>
        <v>282/2 ถนนพระรามที่ 2 แขวงแสมดำ เขตบางขุนเทียน กรุงเทพฯ 10150</v>
      </c>
      <c r="Y96" s="3" t="str">
        <f>IFERROR(__xludf.DUMMYFUNCTION("""COMPUTED_VALUE"""),"ถนนพระรามที่")</f>
        <v>ถนนพระรามที่</v>
      </c>
      <c r="Z96" s="3" t="str">
        <f>IFERROR(__xludf.DUMMYFUNCTION("""COMPUTED_VALUE"""),"แสมดำ")</f>
        <v>แสมดำ</v>
      </c>
      <c r="AA96" s="3" t="str">
        <f>IFERROR(__xludf.DUMMYFUNCTION("""COMPUTED_VALUE"""),"บางขุนเทียน")</f>
        <v>บางขุนเทียน</v>
      </c>
      <c r="AB96" s="3" t="str">
        <f>IFERROR(__xludf.DUMMYFUNCTION("""COMPUTED_VALUE"""),"กรุงเทพมหานคร")</f>
        <v>กรุงเทพมหานคร</v>
      </c>
      <c r="AC96" s="3">
        <f>IFERROR(__xludf.DUMMYFUNCTION("""COMPUTED_VALUE"""),10150.0)</f>
        <v>10150</v>
      </c>
      <c r="AD96" s="3">
        <f>IFERROR(__xludf.DUMMYFUNCTION("""COMPUTED_VALUE"""),13.65150209)</f>
        <v>13.65150209</v>
      </c>
      <c r="AE96" s="3">
        <f>IFERROR(__xludf.DUMMYFUNCTION("""COMPUTED_VALUE"""),100.4203391)</f>
        <v>100.4203391</v>
      </c>
      <c r="AF96" s="3" t="str">
        <f>IFERROR(__xludf.DUMMYFUNCTION("""COMPUTED_VALUE"""),"พระราม2-2-11197")</f>
        <v>พระราม2-2-11197</v>
      </c>
      <c r="AG96" s="3" t="str">
        <f>IFERROR(__xludf.DUMMYFUNCTION("""COMPUTED_VALUE"""),"กลาง")</f>
        <v>กลาง</v>
      </c>
      <c r="AH96" s="3" t="str">
        <f>IFERROR(__xludf.DUMMYFUNCTION("""COMPUTED_VALUE"""),"Suchin Thawinwisan")</f>
        <v>Suchin Thawinwisan</v>
      </c>
      <c r="AI96" s="3" t="str">
        <f>IFERROR(__xludf.DUMMYFUNCTION("""COMPUTED_VALUE"""),"Out of warranty")</f>
        <v>Out of warranty</v>
      </c>
      <c r="AJ96" s="3">
        <f>IFERROR(__xludf.DUMMYFUNCTION("""COMPUTED_VALUE"""),218.0)</f>
        <v>218</v>
      </c>
      <c r="AK96" s="3"/>
      <c r="AL96" s="3" t="str">
        <f>IFERROR(__xludf.DUMMYFUNCTION("""COMPUTED_VALUE"""),"sgm.rama2_2@bigc.co.th")</f>
        <v>sgm.rama2_2@bigc.co.th</v>
      </c>
    </row>
    <row r="97" ht="15.75" customHeight="1">
      <c r="A97" s="1" t="str">
        <f>IFERROR(__xludf.DUMMYFUNCTION("""COMPUTED_VALUE"""),"11198")</f>
        <v>11198</v>
      </c>
      <c r="B97" s="2">
        <f>IFERROR(__xludf.DUMMYFUNCTION("""COMPUTED_VALUE"""),11198.0)</f>
        <v>11198</v>
      </c>
      <c r="C97" s="3" t="str">
        <f>IFERROR(__xludf.DUMMYFUNCTION("""COMPUTED_VALUE"""),"คลอง3")</f>
        <v>คลอง3</v>
      </c>
      <c r="D97" s="3" t="str">
        <f>IFERROR(__xludf.DUMMYFUNCTION("""COMPUTED_VALUE"""),"BIGC RANGSIT KLONG3")</f>
        <v>BIGC RANGSIT KLONG3</v>
      </c>
      <c r="E97" s="1" t="str">
        <f>IFERROR(__xludf.DUMMYFUNCTION("""COMPUTED_VALUE"""),"บิ๊กซี HyperMarket")</f>
        <v>บิ๊กซี HyperMarket</v>
      </c>
      <c r="F97" s="1" t="str">
        <f>IFERROR(__xludf.DUMMYFUNCTION("""COMPUTED_VALUE"""),"2454813")</f>
        <v>2454813</v>
      </c>
      <c r="G97" s="1" t="str">
        <f>IFERROR(__xludf.DUMMYFUNCTION("""COMPUTED_VALUE"""),"นายอนุรักษ์ จั่นเที่ยง")</f>
        <v>นายอนุรักษ์ จั่นเที่ยง</v>
      </c>
      <c r="H97" s="1" t="str">
        <f>IFERROR(__xludf.DUMMYFUNCTION("""COMPUTED_VALUE"""),"2454813")</f>
        <v>2454813</v>
      </c>
      <c r="I97" s="1" t="str">
        <f>IFERROR(__xludf.DUMMYFUNCTION("""COMPUTED_VALUE"""),"นายอนุรักษ์ จั่นเที่ยง")</f>
        <v>นายอนุรักษ์ จั่นเที่ยง</v>
      </c>
      <c r="J97" s="3">
        <f>IFERROR(__xludf.DUMMYFUNCTION("""COMPUTED_VALUE"""),2454813.0)</f>
        <v>2454813</v>
      </c>
      <c r="K97" s="3" t="str">
        <f>IFERROR(__xludf.DUMMYFUNCTION("""COMPUTED_VALUE"""),"นายอนุรักษ์ จั่นเที่ยง")</f>
        <v>นายอนุรักษ์ จั่นเที่ยง</v>
      </c>
      <c r="L97" s="1" t="str">
        <f>IFERROR(__xludf.DUMMYFUNCTION("""COMPUTED_VALUE"""),"Hub04-BKK 4")</f>
        <v>Hub04-BKK 4</v>
      </c>
      <c r="M97" s="1" t="str">
        <f>IFERROR(__xludf.DUMMYFUNCTION("""COMPUTED_VALUE"""),"0991964531")</f>
        <v>0991964531</v>
      </c>
      <c r="N97" s="3">
        <f>IFERROR(__xludf.DUMMYFUNCTION("""COMPUTED_VALUE"""),11198.0)</f>
        <v>11198</v>
      </c>
      <c r="O97" s="3" t="str">
        <f>IFERROR(__xludf.DUMMYFUNCTION("""COMPUTED_VALUE"""),"คลอง3")</f>
        <v>คลอง3</v>
      </c>
      <c r="P97" s="4">
        <f>IFERROR(__xludf.DUMMYFUNCTION("""COMPUTED_VALUE"""),39445.0)</f>
        <v>39445</v>
      </c>
      <c r="Q97" s="3" t="str">
        <f>IFERROR(__xludf.DUMMYFUNCTION("""COMPUTED_VALUE"""),"A")</f>
        <v>A</v>
      </c>
      <c r="R97" s="3" t="str">
        <f>IFERROR(__xludf.DUMMYFUNCTION("""COMPUTED_VALUE"""),"Big Format")</f>
        <v>Big Format</v>
      </c>
      <c r="S97" s="3" t="str">
        <f>IFERROR(__xludf.DUMMYFUNCTION("""COMPUTED_VALUE"""),"Hyper")</f>
        <v>Hyper</v>
      </c>
      <c r="T97" s="3" t="str">
        <f>IFERROR(__xludf.DUMMYFUNCTION("""COMPUTED_VALUE"""),"Hub04-BKK 4")</f>
        <v>Hub04-BKK 4</v>
      </c>
      <c r="U97" s="3" t="str">
        <f>IFERROR(__xludf.DUMMYFUNCTION("""COMPUTED_VALUE"""),"Hub04-BKK 4")</f>
        <v>Hub04-BKK 4</v>
      </c>
      <c r="V97" s="3" t="str">
        <f>IFERROR(__xludf.DUMMYFUNCTION("""COMPUTED_VALUE"""),"N")</f>
        <v>N</v>
      </c>
      <c r="W97" s="3">
        <f>IFERROR(__xludf.DUMMYFUNCTION("""COMPUTED_VALUE"""),111198.0)</f>
        <v>111198</v>
      </c>
      <c r="X97" s="3" t="str">
        <f>IFERROR(__xludf.DUMMYFUNCTION("""COMPUTED_VALUE"""),"99 หมู่ที่ 3 ตำบลคลองสาม อำเภอคลองหลวง จังหวัดปทุมธานี 12120")</f>
        <v>99 หมู่ที่ 3 ตำบลคลองสาม อำเภอคลองหลวง จังหวัดปทุมธานี 12120</v>
      </c>
      <c r="Y97" s="3"/>
      <c r="Z97" s="3" t="str">
        <f>IFERROR(__xludf.DUMMYFUNCTION("""COMPUTED_VALUE"""),"คลองสาม")</f>
        <v>คลองสาม</v>
      </c>
      <c r="AA97" s="3" t="str">
        <f>IFERROR(__xludf.DUMMYFUNCTION("""COMPUTED_VALUE"""),"คลองหลวง")</f>
        <v>คลองหลวง</v>
      </c>
      <c r="AB97" s="3" t="str">
        <f>IFERROR(__xludf.DUMMYFUNCTION("""COMPUTED_VALUE"""),"ปทุมธานี")</f>
        <v>ปทุมธานี</v>
      </c>
      <c r="AC97" s="3">
        <f>IFERROR(__xludf.DUMMYFUNCTION("""COMPUTED_VALUE"""),12120.0)</f>
        <v>12120</v>
      </c>
      <c r="AD97" s="3">
        <f>IFERROR(__xludf.DUMMYFUNCTION("""COMPUTED_VALUE"""),14.03264795)</f>
        <v>14.03264795</v>
      </c>
      <c r="AE97" s="3">
        <f>IFERROR(__xludf.DUMMYFUNCTION("""COMPUTED_VALUE"""),100.6627464)</f>
        <v>100.6627464</v>
      </c>
      <c r="AF97" s="3" t="str">
        <f>IFERROR(__xludf.DUMMYFUNCTION("""COMPUTED_VALUE"""),"คลอง3-11198")</f>
        <v>คลอง3-11198</v>
      </c>
      <c r="AG97" s="3" t="str">
        <f>IFERROR(__xludf.DUMMYFUNCTION("""COMPUTED_VALUE"""),"กลาง")</f>
        <v>กลาง</v>
      </c>
      <c r="AH97" s="3" t="str">
        <f>IFERROR(__xludf.DUMMYFUNCTION("""COMPUTED_VALUE"""),"Natsarine Seammai")</f>
        <v>Natsarine Seammai</v>
      </c>
      <c r="AI97" s="3" t="str">
        <f>IFERROR(__xludf.DUMMYFUNCTION("""COMPUTED_VALUE"""),"Out of warranty")</f>
        <v>Out of warranty</v>
      </c>
      <c r="AJ97" s="3">
        <f>IFERROR(__xludf.DUMMYFUNCTION("""COMPUTED_VALUE"""),217.0)</f>
        <v>217</v>
      </c>
      <c r="AK97" s="3"/>
      <c r="AL97" s="3" t="str">
        <f>IFERROR(__xludf.DUMMYFUNCTION("""COMPUTED_VALUE"""),"sgm.rangsit_k3@bigc.co.th")</f>
        <v>sgm.rangsit_k3@bigc.co.th</v>
      </c>
    </row>
    <row r="98" ht="15.75" customHeight="1">
      <c r="A98" s="1" t="str">
        <f>IFERROR(__xludf.DUMMYFUNCTION("""COMPUTED_VALUE"""),"11199")</f>
        <v>11199</v>
      </c>
      <c r="B98" s="2">
        <f>IFERROR(__xludf.DUMMYFUNCTION("""COMPUTED_VALUE"""),11199.0)</f>
        <v>11199</v>
      </c>
      <c r="C98" s="3" t="str">
        <f>IFERROR(__xludf.DUMMYFUNCTION("""COMPUTED_VALUE"""),"อิสรภาพ")</f>
        <v>อิสรภาพ</v>
      </c>
      <c r="D98" s="3" t="str">
        <f>IFERROR(__xludf.DUMMYFUNCTION("""COMPUTED_VALUE"""),"BIGC ISSARAPHAP")</f>
        <v>BIGC ISSARAPHAP</v>
      </c>
      <c r="E98" s="1" t="str">
        <f>IFERROR(__xludf.DUMMYFUNCTION("""COMPUTED_VALUE"""),"บิ๊กซี HyperMarket")</f>
        <v>บิ๊กซี HyperMarket</v>
      </c>
      <c r="F98" s="1" t="str">
        <f>IFERROR(__xludf.DUMMYFUNCTION("""COMPUTED_VALUE"""),"02408546")</f>
        <v>02408546</v>
      </c>
      <c r="G98" s="1" t="str">
        <f>IFERROR(__xludf.DUMMYFUNCTION("""COMPUTED_VALUE"""),"นายเกษมศิษฐ์ ฮดบุญเรือง")</f>
        <v>นายเกษมศิษฐ์ ฮดบุญเรือง</v>
      </c>
      <c r="H98" s="1" t="str">
        <f>IFERROR(__xludf.DUMMYFUNCTION("""COMPUTED_VALUE"""),"02408546")</f>
        <v>02408546</v>
      </c>
      <c r="I98" s="1" t="str">
        <f>IFERROR(__xludf.DUMMYFUNCTION("""COMPUTED_VALUE"""),"นายเกษมศิษฐ์ ฮดบุญเรือง")</f>
        <v>นายเกษมศิษฐ์ ฮดบุญเรือง</v>
      </c>
      <c r="J98" s="3">
        <f>IFERROR(__xludf.DUMMYFUNCTION("""COMPUTED_VALUE"""),2408546.0)</f>
        <v>2408546</v>
      </c>
      <c r="K98" s="3" t="str">
        <f>IFERROR(__xludf.DUMMYFUNCTION("""COMPUTED_VALUE"""),"นายเกษมศิษฐ์ ฮดบุญเรือง")</f>
        <v>นายเกษมศิษฐ์ ฮดบุญเรือง</v>
      </c>
      <c r="L98" s="1" t="str">
        <f>IFERROR(__xludf.DUMMYFUNCTION("""COMPUTED_VALUE"""),"Hub02-BKK 2")</f>
        <v>Hub02-BKK 2</v>
      </c>
      <c r="M98" s="1" t="str">
        <f>IFERROR(__xludf.DUMMYFUNCTION("""COMPUTED_VALUE"""),"0988580755")</f>
        <v>0988580755</v>
      </c>
      <c r="N98" s="3">
        <f>IFERROR(__xludf.DUMMYFUNCTION("""COMPUTED_VALUE"""),11199.0)</f>
        <v>11199</v>
      </c>
      <c r="O98" s="3" t="str">
        <f>IFERROR(__xludf.DUMMYFUNCTION("""COMPUTED_VALUE"""),"อิสรภาพ")</f>
        <v>อิสรภาพ</v>
      </c>
      <c r="P98" s="4">
        <f>IFERROR(__xludf.DUMMYFUNCTION("""COMPUTED_VALUE"""),38687.0)</f>
        <v>38687</v>
      </c>
      <c r="Q98" s="3" t="str">
        <f>IFERROR(__xludf.DUMMYFUNCTION("""COMPUTED_VALUE"""),"A")</f>
        <v>A</v>
      </c>
      <c r="R98" s="3" t="str">
        <f>IFERROR(__xludf.DUMMYFUNCTION("""COMPUTED_VALUE"""),"Big Format")</f>
        <v>Big Format</v>
      </c>
      <c r="S98" s="3" t="str">
        <f>IFERROR(__xludf.DUMMYFUNCTION("""COMPUTED_VALUE"""),"Hyper")</f>
        <v>Hyper</v>
      </c>
      <c r="T98" s="3" t="str">
        <f>IFERROR(__xludf.DUMMYFUNCTION("""COMPUTED_VALUE"""),"Hub02-BKK 2")</f>
        <v>Hub02-BKK 2</v>
      </c>
      <c r="U98" s="3" t="str">
        <f>IFERROR(__xludf.DUMMYFUNCTION("""COMPUTED_VALUE"""),"Hub02-BKK 2")</f>
        <v>Hub02-BKK 2</v>
      </c>
      <c r="V98" s="3" t="str">
        <f>IFERROR(__xludf.DUMMYFUNCTION("""COMPUTED_VALUE"""),"N")</f>
        <v>N</v>
      </c>
      <c r="W98" s="3">
        <f>IFERROR(__xludf.DUMMYFUNCTION("""COMPUTED_VALUE"""),111199.0)</f>
        <v>111199</v>
      </c>
      <c r="X98" s="3" t="str">
        <f>IFERROR(__xludf.DUMMYFUNCTION("""COMPUTED_VALUE"""),"2 ถนนอิสรภาพ แขวงวัดกัลยาณ์ อำเภอธนบุรี กรุงเทพฯ 10600")</f>
        <v>2 ถนนอิสรภาพ แขวงวัดกัลยาณ์ อำเภอธนบุรี กรุงเทพฯ 10600</v>
      </c>
      <c r="Y98" s="3" t="str">
        <f>IFERROR(__xludf.DUMMYFUNCTION("""COMPUTED_VALUE"""),"ถนนอิสรภาพ")</f>
        <v>ถนนอิสรภาพ</v>
      </c>
      <c r="Z98" s="3" t="str">
        <f>IFERROR(__xludf.DUMMYFUNCTION("""COMPUTED_VALUE"""),"วัดกัลยาณ์")</f>
        <v>วัดกัลยาณ์</v>
      </c>
      <c r="AA98" s="3" t="str">
        <f>IFERROR(__xludf.DUMMYFUNCTION("""COMPUTED_VALUE"""),"ธนบุรี")</f>
        <v>ธนบุรี</v>
      </c>
      <c r="AB98" s="3" t="str">
        <f>IFERROR(__xludf.DUMMYFUNCTION("""COMPUTED_VALUE"""),"กรุงเทพมหานคร")</f>
        <v>กรุงเทพมหานคร</v>
      </c>
      <c r="AC98" s="3">
        <f>IFERROR(__xludf.DUMMYFUNCTION("""COMPUTED_VALUE"""),10600.0)</f>
        <v>10600</v>
      </c>
      <c r="AD98" s="3">
        <f>IFERROR(__xludf.DUMMYFUNCTION("""COMPUTED_VALUE"""),13.732684)</f>
        <v>13.732684</v>
      </c>
      <c r="AE98" s="3">
        <f>IFERROR(__xludf.DUMMYFUNCTION("""COMPUTED_VALUE"""),100.492716)</f>
        <v>100.492716</v>
      </c>
      <c r="AF98" s="3" t="str">
        <f>IFERROR(__xludf.DUMMYFUNCTION("""COMPUTED_VALUE"""),"อิสรภาพ-11199")</f>
        <v>อิสรภาพ-11199</v>
      </c>
      <c r="AG98" s="3" t="str">
        <f>IFERROR(__xludf.DUMMYFUNCTION("""COMPUTED_VALUE"""),"กลาง")</f>
        <v>กลาง</v>
      </c>
      <c r="AH98" s="3" t="str">
        <f>IFERROR(__xludf.DUMMYFUNCTION("""COMPUTED_VALUE"""),"Vassana Teratam")</f>
        <v>Vassana Teratam</v>
      </c>
      <c r="AI98" s="3" t="str">
        <f>IFERROR(__xludf.DUMMYFUNCTION("""COMPUTED_VALUE"""),"Out of warranty")</f>
        <v>Out of warranty</v>
      </c>
      <c r="AJ98" s="3">
        <f>IFERROR(__xludf.DUMMYFUNCTION("""COMPUTED_VALUE"""),242.0)</f>
        <v>242</v>
      </c>
      <c r="AK98" s="3"/>
      <c r="AL98" s="3" t="str">
        <f>IFERROR(__xludf.DUMMYFUNCTION("""COMPUTED_VALUE"""),"sgm.issaraphap@bigc.co.th")</f>
        <v>sgm.issaraphap@bigc.co.th</v>
      </c>
    </row>
    <row r="99" ht="15.75" customHeight="1">
      <c r="A99" s="1" t="str">
        <f>IFERROR(__xludf.DUMMYFUNCTION("""COMPUTED_VALUE"""),"11200")</f>
        <v>11200</v>
      </c>
      <c r="B99" s="2">
        <f>IFERROR(__xludf.DUMMYFUNCTION("""COMPUTED_VALUE"""),11200.0)</f>
        <v>11200</v>
      </c>
      <c r="C99" s="3" t="str">
        <f>IFERROR(__xludf.DUMMYFUNCTION("""COMPUTED_VALUE"""),"สุวินทวงศ์")</f>
        <v>สุวินทวงศ์</v>
      </c>
      <c r="D99" s="3" t="str">
        <f>IFERROR(__xludf.DUMMYFUNCTION("""COMPUTED_VALUE"""),"BIGC SUWINTAWONG")</f>
        <v>BIGC SUWINTAWONG</v>
      </c>
      <c r="E99" s="1" t="str">
        <f>IFERROR(__xludf.DUMMYFUNCTION("""COMPUTED_VALUE"""),"บิ๊กซี HyperMarket")</f>
        <v>บิ๊กซี HyperMarket</v>
      </c>
      <c r="F99" s="1" t="str">
        <f>IFERROR(__xludf.DUMMYFUNCTION("""COMPUTED_VALUE"""),"2454716")</f>
        <v>2454716</v>
      </c>
      <c r="G99" s="1" t="str">
        <f>IFERROR(__xludf.DUMMYFUNCTION("""COMPUTED_VALUE"""),"นายโฆษิต วงค์กะโซ่")</f>
        <v>นายโฆษิต วงค์กะโซ่</v>
      </c>
      <c r="H99" s="1" t="str">
        <f>IFERROR(__xludf.DUMMYFUNCTION("""COMPUTED_VALUE"""),"2454716")</f>
        <v>2454716</v>
      </c>
      <c r="I99" s="1" t="str">
        <f>IFERROR(__xludf.DUMMYFUNCTION("""COMPUTED_VALUE"""),"นายโฆษิต วงค์กะโซ่")</f>
        <v>นายโฆษิต วงค์กะโซ่</v>
      </c>
      <c r="J99" s="3">
        <f>IFERROR(__xludf.DUMMYFUNCTION("""COMPUTED_VALUE"""),2454716.0)</f>
        <v>2454716</v>
      </c>
      <c r="K99" s="3" t="str">
        <f>IFERROR(__xludf.DUMMYFUNCTION("""COMPUTED_VALUE"""),"นายโฆษิต วงค์กะโซ่")</f>
        <v>นายโฆษิต วงค์กะโซ่</v>
      </c>
      <c r="L99" s="1" t="str">
        <f>IFERROR(__xludf.DUMMYFUNCTION("""COMPUTED_VALUE"""),"Hub03-BKK 3")</f>
        <v>Hub03-BKK 3</v>
      </c>
      <c r="M99" s="1" t="str">
        <f>IFERROR(__xludf.DUMMYFUNCTION("""COMPUTED_VALUE"""),"062-434-5030")</f>
        <v>062-434-5030</v>
      </c>
      <c r="N99" s="3">
        <f>IFERROR(__xludf.DUMMYFUNCTION("""COMPUTED_VALUE"""),11200.0)</f>
        <v>11200</v>
      </c>
      <c r="O99" s="3" t="str">
        <f>IFERROR(__xludf.DUMMYFUNCTION("""COMPUTED_VALUE"""),"สุวินทวงศ์")</f>
        <v>สุวินทวงศ์</v>
      </c>
      <c r="P99" s="4">
        <f>IFERROR(__xludf.DUMMYFUNCTION("""COMPUTED_VALUE"""),35475.0)</f>
        <v>35475</v>
      </c>
      <c r="Q99" s="3" t="str">
        <f>IFERROR(__xludf.DUMMYFUNCTION("""COMPUTED_VALUE"""),"A")</f>
        <v>A</v>
      </c>
      <c r="R99" s="3" t="str">
        <f>IFERROR(__xludf.DUMMYFUNCTION("""COMPUTED_VALUE"""),"Big Format")</f>
        <v>Big Format</v>
      </c>
      <c r="S99" s="3" t="str">
        <f>IFERROR(__xludf.DUMMYFUNCTION("""COMPUTED_VALUE"""),"Hyper")</f>
        <v>Hyper</v>
      </c>
      <c r="T99" s="3" t="str">
        <f>IFERROR(__xludf.DUMMYFUNCTION("""COMPUTED_VALUE"""),"Hub03-BKK 3")</f>
        <v>Hub03-BKK 3</v>
      </c>
      <c r="U99" s="3" t="str">
        <f>IFERROR(__xludf.DUMMYFUNCTION("""COMPUTED_VALUE"""),"Hub03-BKK 3")</f>
        <v>Hub03-BKK 3</v>
      </c>
      <c r="V99" s="3" t="str">
        <f>IFERROR(__xludf.DUMMYFUNCTION("""COMPUTED_VALUE"""),"N")</f>
        <v>N</v>
      </c>
      <c r="W99" s="3">
        <f>IFERROR(__xludf.DUMMYFUNCTION("""COMPUTED_VALUE"""),111200.0)</f>
        <v>111200</v>
      </c>
      <c r="X99" s="3" t="str">
        <f>IFERROR(__xludf.DUMMYFUNCTION("""COMPUTED_VALUE"""),"29 ถนนสุวินทวงศ์ แขวงมีนบุรี เขตมีนบุรี กรุงเทพฯ 10510")</f>
        <v>29 ถนนสุวินทวงศ์ แขวงมีนบุรี เขตมีนบุรี กรุงเทพฯ 10510</v>
      </c>
      <c r="Y99" s="3" t="str">
        <f>IFERROR(__xludf.DUMMYFUNCTION("""COMPUTED_VALUE"""),"ถนนสุวินทวงศ์")</f>
        <v>ถนนสุวินทวงศ์</v>
      </c>
      <c r="Z99" s="3" t="str">
        <f>IFERROR(__xludf.DUMMYFUNCTION("""COMPUTED_VALUE"""),"มีนบุรี")</f>
        <v>มีนบุรี</v>
      </c>
      <c r="AA99" s="3" t="str">
        <f>IFERROR(__xludf.DUMMYFUNCTION("""COMPUTED_VALUE"""),"มีนบุรี")</f>
        <v>มีนบุรี</v>
      </c>
      <c r="AB99" s="3" t="str">
        <f>IFERROR(__xludf.DUMMYFUNCTION("""COMPUTED_VALUE"""),"กรุงเทพมหานคร")</f>
        <v>กรุงเทพมหานคร</v>
      </c>
      <c r="AC99" s="3">
        <f>IFERROR(__xludf.DUMMYFUNCTION("""COMPUTED_VALUE"""),10510.0)</f>
        <v>10510</v>
      </c>
      <c r="AD99" s="3">
        <f>IFERROR(__xludf.DUMMYFUNCTION("""COMPUTED_VALUE"""),13.813211)</f>
        <v>13.813211</v>
      </c>
      <c r="AE99" s="3">
        <f>IFERROR(__xludf.DUMMYFUNCTION("""COMPUTED_VALUE"""),100.7179498)</f>
        <v>100.7179498</v>
      </c>
      <c r="AF99" s="3" t="str">
        <f>IFERROR(__xludf.DUMMYFUNCTION("""COMPUTED_VALUE"""),"สุวินทวงศ์-11200")</f>
        <v>สุวินทวงศ์-11200</v>
      </c>
      <c r="AG99" s="3" t="str">
        <f>IFERROR(__xludf.DUMMYFUNCTION("""COMPUTED_VALUE"""),"กลาง")</f>
        <v>กลาง</v>
      </c>
      <c r="AH99" s="3" t="str">
        <f>IFERROR(__xludf.DUMMYFUNCTION("""COMPUTED_VALUE"""),"Saitan Boonpitak")</f>
        <v>Saitan Boonpitak</v>
      </c>
      <c r="AI99" s="3" t="str">
        <f>IFERROR(__xludf.DUMMYFUNCTION("""COMPUTED_VALUE"""),"Out of warranty")</f>
        <v>Out of warranty</v>
      </c>
      <c r="AJ99" s="3">
        <f>IFERROR(__xludf.DUMMYFUNCTION("""COMPUTED_VALUE"""),348.0)</f>
        <v>348</v>
      </c>
      <c r="AK99" s="3"/>
      <c r="AL99" s="3" t="str">
        <f>IFERROR(__xludf.DUMMYFUNCTION("""COMPUTED_VALUE"""),"sgm.suwintawong@bigc.co.th")</f>
        <v>sgm.suwintawong@bigc.co.th</v>
      </c>
    </row>
    <row r="100" ht="15.75" customHeight="1">
      <c r="A100" s="1" t="str">
        <f>IFERROR(__xludf.DUMMYFUNCTION("""COMPUTED_VALUE"""),"11201")</f>
        <v>11201</v>
      </c>
      <c r="B100" s="2">
        <f>IFERROR(__xludf.DUMMYFUNCTION("""COMPUTED_VALUE"""),11201.0)</f>
        <v>11201</v>
      </c>
      <c r="C100" s="3" t="str">
        <f>IFERROR(__xludf.DUMMYFUNCTION("""COMPUTED_VALUE"""),"หนองจอก")</f>
        <v>หนองจอก</v>
      </c>
      <c r="D100" s="3" t="str">
        <f>IFERROR(__xludf.DUMMYFUNCTION("""COMPUTED_VALUE"""),"BIGC NONGCHOK")</f>
        <v>BIGC NONGCHOK</v>
      </c>
      <c r="E100" s="1" t="str">
        <f>IFERROR(__xludf.DUMMYFUNCTION("""COMPUTED_VALUE"""),"บิ๊กซี HyperMarket")</f>
        <v>บิ๊กซี HyperMarket</v>
      </c>
      <c r="F100" s="1" t="str">
        <f>IFERROR(__xludf.DUMMYFUNCTION("""COMPUTED_VALUE"""),"2454716")</f>
        <v>2454716</v>
      </c>
      <c r="G100" s="1" t="str">
        <f>IFERROR(__xludf.DUMMYFUNCTION("""COMPUTED_VALUE"""),"นายโฆษิต วงค์กะโซ่")</f>
        <v>นายโฆษิต วงค์กะโซ่</v>
      </c>
      <c r="H100" s="1" t="str">
        <f>IFERROR(__xludf.DUMMYFUNCTION("""COMPUTED_VALUE"""),"2454716")</f>
        <v>2454716</v>
      </c>
      <c r="I100" s="1" t="str">
        <f>IFERROR(__xludf.DUMMYFUNCTION("""COMPUTED_VALUE"""),"นายโฆษิต วงค์กะโซ่")</f>
        <v>นายโฆษิต วงค์กะโซ่</v>
      </c>
      <c r="J100" s="3">
        <f>IFERROR(__xludf.DUMMYFUNCTION("""COMPUTED_VALUE"""),2454716.0)</f>
        <v>2454716</v>
      </c>
      <c r="K100" s="3" t="str">
        <f>IFERROR(__xludf.DUMMYFUNCTION("""COMPUTED_VALUE"""),"นายโฆษิต วงค์กะโซ่")</f>
        <v>นายโฆษิต วงค์กะโซ่</v>
      </c>
      <c r="L100" s="1" t="str">
        <f>IFERROR(__xludf.DUMMYFUNCTION("""COMPUTED_VALUE"""),"Hub03-BKK 3")</f>
        <v>Hub03-BKK 3</v>
      </c>
      <c r="M100" s="1" t="str">
        <f>IFERROR(__xludf.DUMMYFUNCTION("""COMPUTED_VALUE"""),"062-434-5030")</f>
        <v>062-434-5030</v>
      </c>
      <c r="N100" s="3">
        <f>IFERROR(__xludf.DUMMYFUNCTION("""COMPUTED_VALUE"""),11201.0)</f>
        <v>11201</v>
      </c>
      <c r="O100" s="3" t="str">
        <f>IFERROR(__xludf.DUMMYFUNCTION("""COMPUTED_VALUE"""),"หนองจอก")</f>
        <v>หนองจอก</v>
      </c>
      <c r="P100" s="4">
        <f>IFERROR(__xludf.DUMMYFUNCTION("""COMPUTED_VALUE"""),39536.0)</f>
        <v>39536</v>
      </c>
      <c r="Q100" s="3" t="str">
        <f>IFERROR(__xludf.DUMMYFUNCTION("""COMPUTED_VALUE"""),"A")</f>
        <v>A</v>
      </c>
      <c r="R100" s="3" t="str">
        <f>IFERROR(__xludf.DUMMYFUNCTION("""COMPUTED_VALUE"""),"Big Format")</f>
        <v>Big Format</v>
      </c>
      <c r="S100" s="3" t="str">
        <f>IFERROR(__xludf.DUMMYFUNCTION("""COMPUTED_VALUE"""),"Hyper")</f>
        <v>Hyper</v>
      </c>
      <c r="T100" s="3" t="str">
        <f>IFERROR(__xludf.DUMMYFUNCTION("""COMPUTED_VALUE"""),"Hub03-BKK 3")</f>
        <v>Hub03-BKK 3</v>
      </c>
      <c r="U100" s="3" t="str">
        <f>IFERROR(__xludf.DUMMYFUNCTION("""COMPUTED_VALUE"""),"Hub03-BKK 3")</f>
        <v>Hub03-BKK 3</v>
      </c>
      <c r="V100" s="3" t="str">
        <f>IFERROR(__xludf.DUMMYFUNCTION("""COMPUTED_VALUE"""),"N")</f>
        <v>N</v>
      </c>
      <c r="W100" s="3">
        <f>IFERROR(__xludf.DUMMYFUNCTION("""COMPUTED_VALUE"""),111201.0)</f>
        <v>111201</v>
      </c>
      <c r="X100" s="3" t="str">
        <f>IFERROR(__xludf.DUMMYFUNCTION("""COMPUTED_VALUE"""),"34 หมู่ที่ 1 ถนนเลียบวารี แขวงกระทุ่มราย เขตหนองจอก กรุงเทพฯ 10530")</f>
        <v>34 หมู่ที่ 1 ถนนเลียบวารี แขวงกระทุ่มราย เขตหนองจอก กรุงเทพฯ 10530</v>
      </c>
      <c r="Y100" s="3" t="str">
        <f>IFERROR(__xludf.DUMMYFUNCTION("""COMPUTED_VALUE"""),"เลียบวารี")</f>
        <v>เลียบวารี</v>
      </c>
      <c r="Z100" s="3" t="str">
        <f>IFERROR(__xludf.DUMMYFUNCTION("""COMPUTED_VALUE"""),"กระทุ่มราย")</f>
        <v>กระทุ่มราย</v>
      </c>
      <c r="AA100" s="3" t="str">
        <f>IFERROR(__xludf.DUMMYFUNCTION("""COMPUTED_VALUE"""),"หนองจอก")</f>
        <v>หนองจอก</v>
      </c>
      <c r="AB100" s="3" t="str">
        <f>IFERROR(__xludf.DUMMYFUNCTION("""COMPUTED_VALUE"""),"กรุงเทพมหานคร")</f>
        <v>กรุงเทพมหานคร</v>
      </c>
      <c r="AC100" s="3">
        <f>IFERROR(__xludf.DUMMYFUNCTION("""COMPUTED_VALUE"""),10530.0)</f>
        <v>10530</v>
      </c>
      <c r="AD100" s="3">
        <f>IFERROR(__xludf.DUMMYFUNCTION("""COMPUTED_VALUE"""),13.8543514)</f>
        <v>13.8543514</v>
      </c>
      <c r="AE100" s="3">
        <f>IFERROR(__xludf.DUMMYFUNCTION("""COMPUTED_VALUE"""),100.854739)</f>
        <v>100.854739</v>
      </c>
      <c r="AF100" s="3" t="str">
        <f>IFERROR(__xludf.DUMMYFUNCTION("""COMPUTED_VALUE"""),"หนองจอก-11201")</f>
        <v>หนองจอก-11201</v>
      </c>
      <c r="AG100" s="3" t="str">
        <f>IFERROR(__xludf.DUMMYFUNCTION("""COMPUTED_VALUE"""),"กลาง")</f>
        <v>กลาง</v>
      </c>
      <c r="AH100" s="3" t="str">
        <f>IFERROR(__xludf.DUMMYFUNCTION("""COMPUTED_VALUE"""),"Saitan Boonpitak")</f>
        <v>Saitan Boonpitak</v>
      </c>
      <c r="AI100" s="3" t="str">
        <f>IFERROR(__xludf.DUMMYFUNCTION("""COMPUTED_VALUE"""),"Out of warranty")</f>
        <v>Out of warranty</v>
      </c>
      <c r="AJ100" s="3">
        <f>IFERROR(__xludf.DUMMYFUNCTION("""COMPUTED_VALUE"""),214.0)</f>
        <v>214</v>
      </c>
      <c r="AK100" s="3"/>
      <c r="AL100" s="3" t="str">
        <f>IFERROR(__xludf.DUMMYFUNCTION("""COMPUTED_VALUE"""),"sgm.nongchok@bigc.co.th")</f>
        <v>sgm.nongchok@bigc.co.th</v>
      </c>
    </row>
    <row r="101" ht="15.75" customHeight="1">
      <c r="A101" s="1" t="str">
        <f>IFERROR(__xludf.DUMMYFUNCTION("""COMPUTED_VALUE"""),"11202")</f>
        <v>11202</v>
      </c>
      <c r="B101" s="2">
        <f>IFERROR(__xludf.DUMMYFUNCTION("""COMPUTED_VALUE"""),11202.0)</f>
        <v>11202</v>
      </c>
      <c r="C101" s="3" t="str">
        <f>IFERROR(__xludf.DUMMYFUNCTION("""COMPUTED_VALUE"""),"ร่มเกล้า")</f>
        <v>ร่มเกล้า</v>
      </c>
      <c r="D101" s="3" t="str">
        <f>IFERROR(__xludf.DUMMYFUNCTION("""COMPUTED_VALUE"""),"BIGC ROMKLAO")</f>
        <v>BIGC ROMKLAO</v>
      </c>
      <c r="E101" s="1" t="str">
        <f>IFERROR(__xludf.DUMMYFUNCTION("""COMPUTED_VALUE"""),"บิ๊กซี HyperMarket")</f>
        <v>บิ๊กซี HyperMarket</v>
      </c>
      <c r="F101" s="1" t="str">
        <f>IFERROR(__xludf.DUMMYFUNCTION("""COMPUTED_VALUE"""),"2454716")</f>
        <v>2454716</v>
      </c>
      <c r="G101" s="1" t="str">
        <f>IFERROR(__xludf.DUMMYFUNCTION("""COMPUTED_VALUE"""),"นายโฆษิต วงค์กะโซ่")</f>
        <v>นายโฆษิต วงค์กะโซ่</v>
      </c>
      <c r="H101" s="1" t="str">
        <f>IFERROR(__xludf.DUMMYFUNCTION("""COMPUTED_VALUE"""),"2454716")</f>
        <v>2454716</v>
      </c>
      <c r="I101" s="1" t="str">
        <f>IFERROR(__xludf.DUMMYFUNCTION("""COMPUTED_VALUE"""),"นายโฆษิต วงค์กะโซ่")</f>
        <v>นายโฆษิต วงค์กะโซ่</v>
      </c>
      <c r="J101" s="3">
        <f>IFERROR(__xludf.DUMMYFUNCTION("""COMPUTED_VALUE"""),2454716.0)</f>
        <v>2454716</v>
      </c>
      <c r="K101" s="3" t="str">
        <f>IFERROR(__xludf.DUMMYFUNCTION("""COMPUTED_VALUE"""),"นายโฆษิต วงค์กะโซ่")</f>
        <v>นายโฆษิต วงค์กะโซ่</v>
      </c>
      <c r="L101" s="1" t="str">
        <f>IFERROR(__xludf.DUMMYFUNCTION("""COMPUTED_VALUE"""),"Hub03-BKK 3")</f>
        <v>Hub03-BKK 3</v>
      </c>
      <c r="M101" s="1" t="str">
        <f>IFERROR(__xludf.DUMMYFUNCTION("""COMPUTED_VALUE"""),"062-434-5030")</f>
        <v>062-434-5030</v>
      </c>
      <c r="N101" s="3">
        <f>IFERROR(__xludf.DUMMYFUNCTION("""COMPUTED_VALUE"""),11202.0)</f>
        <v>11202</v>
      </c>
      <c r="O101" s="3" t="str">
        <f>IFERROR(__xludf.DUMMYFUNCTION("""COMPUTED_VALUE"""),"ร่มเกล้า")</f>
        <v>ร่มเกล้า</v>
      </c>
      <c r="P101" s="4">
        <f>IFERROR(__xludf.DUMMYFUNCTION("""COMPUTED_VALUE"""),39900.0)</f>
        <v>39900</v>
      </c>
      <c r="Q101" s="3" t="str">
        <f>IFERROR(__xludf.DUMMYFUNCTION("""COMPUTED_VALUE"""),"A")</f>
        <v>A</v>
      </c>
      <c r="R101" s="3" t="str">
        <f>IFERROR(__xludf.DUMMYFUNCTION("""COMPUTED_VALUE"""),"Big Format")</f>
        <v>Big Format</v>
      </c>
      <c r="S101" s="3" t="str">
        <f>IFERROR(__xludf.DUMMYFUNCTION("""COMPUTED_VALUE"""),"Hyper")</f>
        <v>Hyper</v>
      </c>
      <c r="T101" s="3" t="str">
        <f>IFERROR(__xludf.DUMMYFUNCTION("""COMPUTED_VALUE"""),"Hub03-BKK 3")</f>
        <v>Hub03-BKK 3</v>
      </c>
      <c r="U101" s="3" t="str">
        <f>IFERROR(__xludf.DUMMYFUNCTION("""COMPUTED_VALUE"""),"Hub03-BKK 3")</f>
        <v>Hub03-BKK 3</v>
      </c>
      <c r="V101" s="3" t="str">
        <f>IFERROR(__xludf.DUMMYFUNCTION("""COMPUTED_VALUE"""),"N")</f>
        <v>N</v>
      </c>
      <c r="W101" s="3">
        <f>IFERROR(__xludf.DUMMYFUNCTION("""COMPUTED_VALUE"""),111202.0)</f>
        <v>111202</v>
      </c>
      <c r="X101" s="3" t="str">
        <f>IFERROR(__xludf.DUMMYFUNCTION("""COMPUTED_VALUE"""),"42,44 ถ.ร่มเกล้า แขวงมีนบุรี เขตมีนบุรี กรุงเทพฯ 10510")</f>
        <v>42,44 ถ.ร่มเกล้า แขวงมีนบุรี เขตมีนบุรี กรุงเทพฯ 10510</v>
      </c>
      <c r="Y101" s="3" t="str">
        <f>IFERROR(__xludf.DUMMYFUNCTION("""COMPUTED_VALUE"""),"ถ.ร่มเกล้า")</f>
        <v>ถ.ร่มเกล้า</v>
      </c>
      <c r="Z101" s="3" t="str">
        <f>IFERROR(__xludf.DUMMYFUNCTION("""COMPUTED_VALUE"""),"มีนบุรี")</f>
        <v>มีนบุรี</v>
      </c>
      <c r="AA101" s="3" t="str">
        <f>IFERROR(__xludf.DUMMYFUNCTION("""COMPUTED_VALUE"""),"มีนบุรี")</f>
        <v>มีนบุรี</v>
      </c>
      <c r="AB101" s="3" t="str">
        <f>IFERROR(__xludf.DUMMYFUNCTION("""COMPUTED_VALUE"""),"กรุงเทพมหานคร")</f>
        <v>กรุงเทพมหานคร</v>
      </c>
      <c r="AC101" s="3">
        <f>IFERROR(__xludf.DUMMYFUNCTION("""COMPUTED_VALUE"""),10510.0)</f>
        <v>10510</v>
      </c>
      <c r="AD101" s="3">
        <f>IFERROR(__xludf.DUMMYFUNCTION("""COMPUTED_VALUE"""),13.8102012)</f>
        <v>13.8102012</v>
      </c>
      <c r="AE101" s="3">
        <f>IFERROR(__xludf.DUMMYFUNCTION("""COMPUTED_VALUE"""),100.7362175)</f>
        <v>100.7362175</v>
      </c>
      <c r="AF101" s="3" t="str">
        <f>IFERROR(__xludf.DUMMYFUNCTION("""COMPUTED_VALUE"""),"ร่มเกล้า-11202")</f>
        <v>ร่มเกล้า-11202</v>
      </c>
      <c r="AG101" s="3" t="str">
        <f>IFERROR(__xludf.DUMMYFUNCTION("""COMPUTED_VALUE"""),"กลาง")</f>
        <v>กลาง</v>
      </c>
      <c r="AH101" s="3" t="str">
        <f>IFERROR(__xludf.DUMMYFUNCTION("""COMPUTED_VALUE"""),"Saitan Boonpitak")</f>
        <v>Saitan Boonpitak</v>
      </c>
      <c r="AI101" s="3" t="str">
        <f>IFERROR(__xludf.DUMMYFUNCTION("""COMPUTED_VALUE"""),"Out of warranty")</f>
        <v>Out of warranty</v>
      </c>
      <c r="AJ101" s="3">
        <f>IFERROR(__xludf.DUMMYFUNCTION("""COMPUTED_VALUE"""),202.0)</f>
        <v>202</v>
      </c>
      <c r="AK101" s="3"/>
      <c r="AL101" s="3" t="str">
        <f>IFERROR(__xludf.DUMMYFUNCTION("""COMPUTED_VALUE"""),"sgm.romklao@bigc.co.th")</f>
        <v>sgm.romklao@bigc.co.th</v>
      </c>
    </row>
    <row r="102" ht="15.75" customHeight="1">
      <c r="A102" s="1" t="str">
        <f>IFERROR(__xludf.DUMMYFUNCTION("""COMPUTED_VALUE"""),"11203")</f>
        <v>11203</v>
      </c>
      <c r="B102" s="2">
        <f>IFERROR(__xludf.DUMMYFUNCTION("""COMPUTED_VALUE"""),11203.0)</f>
        <v>11203</v>
      </c>
      <c r="C102" s="3" t="str">
        <f>IFERROR(__xludf.DUMMYFUNCTION("""COMPUTED_VALUE"""),"นครศรีธรรมาราช")</f>
        <v>นครศรีธรรมาราช</v>
      </c>
      <c r="D102" s="3" t="str">
        <f>IFERROR(__xludf.DUMMYFUNCTION("""COMPUTED_VALUE"""),"BIGC NAKORNSRITHAMMARAT")</f>
        <v>BIGC NAKORNSRITHAMMARAT</v>
      </c>
      <c r="E102" s="1" t="str">
        <f>IFERROR(__xludf.DUMMYFUNCTION("""COMPUTED_VALUE"""),"บิ๊กซี HyperMarket")</f>
        <v>บิ๊กซี HyperMarket</v>
      </c>
      <c r="F102" s="1" t="str">
        <f>IFERROR(__xludf.DUMMYFUNCTION("""COMPUTED_VALUE"""),"295093")</f>
        <v>295093</v>
      </c>
      <c r="G102" s="1" t="str">
        <f>IFERROR(__xludf.DUMMYFUNCTION("""COMPUTED_VALUE"""),"นายธนทร แก้วอนุรักษ์")</f>
        <v>นายธนทร แก้วอนุรักษ์</v>
      </c>
      <c r="H102" s="1" t="str">
        <f>IFERROR(__xludf.DUMMYFUNCTION("""COMPUTED_VALUE"""),"295093")</f>
        <v>295093</v>
      </c>
      <c r="I102" s="1" t="str">
        <f>IFERROR(__xludf.DUMMYFUNCTION("""COMPUTED_VALUE"""),"นายธนทร แก้วอนุรักษ์")</f>
        <v>นายธนทร แก้วอนุรักษ์</v>
      </c>
      <c r="J102" s="3">
        <f>IFERROR(__xludf.DUMMYFUNCTION("""COMPUTED_VALUE"""),295093.0)</f>
        <v>295093</v>
      </c>
      <c r="K102" s="3" t="str">
        <f>IFERROR(__xludf.DUMMYFUNCTION("""COMPUTED_VALUE"""),"นายธนทร แก้วอนุรักษ์")</f>
        <v>นายธนทร แก้วอนุรักษ์</v>
      </c>
      <c r="L102" s="1" t="str">
        <f>IFERROR(__xludf.DUMMYFUNCTION("""COMPUTED_VALUE"""),"0")</f>
        <v>0</v>
      </c>
      <c r="M102" s="1" t="str">
        <f>IFERROR(__xludf.DUMMYFUNCTION("""COMPUTED_VALUE"""),"0")</f>
        <v>0</v>
      </c>
      <c r="N102" s="3">
        <f>IFERROR(__xludf.DUMMYFUNCTION("""COMPUTED_VALUE"""),11203.0)</f>
        <v>11203</v>
      </c>
      <c r="O102" s="3" t="str">
        <f>IFERROR(__xludf.DUMMYFUNCTION("""COMPUTED_VALUE"""),"นครศรีธรรมาราช")</f>
        <v>นครศรีธรรมาราช</v>
      </c>
      <c r="P102" s="4">
        <f>IFERROR(__xludf.DUMMYFUNCTION("""COMPUTED_VALUE"""),38610.0)</f>
        <v>38610</v>
      </c>
      <c r="Q102" s="3" t="str">
        <f>IFERROR(__xludf.DUMMYFUNCTION("""COMPUTED_VALUE"""),"I")</f>
        <v>I</v>
      </c>
      <c r="R102" s="3" t="str">
        <f>IFERROR(__xludf.DUMMYFUNCTION("""COMPUTED_VALUE"""),"Big Format")</f>
        <v>Big Format</v>
      </c>
      <c r="S102" s="3" t="str">
        <f>IFERROR(__xludf.DUMMYFUNCTION("""COMPUTED_VALUE"""),"Hyper")</f>
        <v>Hyper</v>
      </c>
      <c r="T102" s="3" t="str">
        <f>IFERROR(__xludf.DUMMYFUNCTION("""COMPUTED_VALUE"""),"#N/A")</f>
        <v>#N/A</v>
      </c>
      <c r="U102" s="3" t="str">
        <f>IFERROR(__xludf.DUMMYFUNCTION("""COMPUTED_VALUE"""),"#N/A")</f>
        <v>#N/A</v>
      </c>
      <c r="V102" s="3" t="str">
        <f>IFERROR(__xludf.DUMMYFUNCTION("""COMPUTED_VALUE"""),"N")</f>
        <v>N</v>
      </c>
      <c r="W102" s="3">
        <f>IFERROR(__xludf.DUMMYFUNCTION("""COMPUTED_VALUE"""),0.0)</f>
        <v>0</v>
      </c>
      <c r="X102" s="3" t="str">
        <f>IFERROR(__xludf.DUMMYFUNCTION("""COMPUTED_VALUE"""),"1392 ถนนศรีปราชญ์ ตำบลท่าวัง อำเภอเมืองนครศรีธรรมราช จังหวัดนครศรีธรรมราช 80000")</f>
        <v>1392 ถนนศรีปราชญ์ ตำบลท่าวัง อำเภอเมืองนครศรีธรรมราช จังหวัดนครศรีธรรมราช 80000</v>
      </c>
      <c r="Y102" s="3" t="str">
        <f>IFERROR(__xludf.DUMMYFUNCTION("""COMPUTED_VALUE"""),"ถนนศรีปราชญ์")</f>
        <v>ถนนศรีปราชญ์</v>
      </c>
      <c r="Z102" s="3" t="str">
        <f>IFERROR(__xludf.DUMMYFUNCTION("""COMPUTED_VALUE"""),"ท่าวัง")</f>
        <v>ท่าวัง</v>
      </c>
      <c r="AA102" s="3" t="str">
        <f>IFERROR(__xludf.DUMMYFUNCTION("""COMPUTED_VALUE"""),"เมือง")</f>
        <v>เมือง</v>
      </c>
      <c r="AB102" s="3" t="str">
        <f>IFERROR(__xludf.DUMMYFUNCTION("""COMPUTED_VALUE"""),"นครศรีธรรมราช")</f>
        <v>นครศรีธรรมราช</v>
      </c>
      <c r="AC102" s="3">
        <f>IFERROR(__xludf.DUMMYFUNCTION("""COMPUTED_VALUE"""),80000.0)</f>
        <v>80000</v>
      </c>
      <c r="AD102" s="3">
        <f>IFERROR(__xludf.DUMMYFUNCTION("""COMPUTED_VALUE"""),8.4408391)</f>
        <v>8.4408391</v>
      </c>
      <c r="AE102" s="3">
        <f>IFERROR(__xludf.DUMMYFUNCTION("""COMPUTED_VALUE"""),99.9618356)</f>
        <v>99.9618356</v>
      </c>
      <c r="AF102" s="3" t="str">
        <f>IFERROR(__xludf.DUMMYFUNCTION("""COMPUTED_VALUE"""),"นครศรีธรรมาราช-11203")</f>
        <v>นครศรีธรรมาราช-11203</v>
      </c>
      <c r="AG102" s="3" t="str">
        <f>IFERROR(__xludf.DUMMYFUNCTION("""COMPUTED_VALUE"""),"ใต้")</f>
        <v>ใต้</v>
      </c>
      <c r="AH102" s="3" t="str">
        <f>IFERROR(__xludf.DUMMYFUNCTION("""COMPUTED_VALUE"""),"#N/A")</f>
        <v>#N/A</v>
      </c>
      <c r="AI102" s="3" t="str">
        <f>IFERROR(__xludf.DUMMYFUNCTION("""COMPUTED_VALUE"""),"Out of warranty")</f>
        <v>Out of warranty</v>
      </c>
      <c r="AJ102" s="3">
        <f>IFERROR(__xludf.DUMMYFUNCTION("""COMPUTED_VALUE"""),245.0)</f>
        <v>245</v>
      </c>
      <c r="AK102" s="3"/>
      <c r="AL102" s="3" t="str">
        <f>IFERROR(__xludf.DUMMYFUNCTION("""COMPUTED_VALUE"""),"#N/A")</f>
        <v>#N/A</v>
      </c>
    </row>
    <row r="103" ht="15.75" customHeight="1">
      <c r="A103" s="1" t="str">
        <f>IFERROR(__xludf.DUMMYFUNCTION("""COMPUTED_VALUE"""),"11204")</f>
        <v>11204</v>
      </c>
      <c r="B103" s="2">
        <f>IFERROR(__xludf.DUMMYFUNCTION("""COMPUTED_VALUE"""),11204.0)</f>
        <v>11204</v>
      </c>
      <c r="C103" s="3" t="str">
        <f>IFERROR(__xludf.DUMMYFUNCTION("""COMPUTED_VALUE"""),"ฉะเชิงเทรา2")</f>
        <v>ฉะเชิงเทรา2</v>
      </c>
      <c r="D103" s="3" t="str">
        <f>IFERROR(__xludf.DUMMYFUNCTION("""COMPUTED_VALUE"""),"BIGC CHACHOENGSAO-2")</f>
        <v>BIGC CHACHOENGSAO-2</v>
      </c>
      <c r="E103" s="1" t="str">
        <f>IFERROR(__xludf.DUMMYFUNCTION("""COMPUTED_VALUE"""),"บิ๊กซี HyperMarket")</f>
        <v>บิ๊กซี HyperMarket</v>
      </c>
      <c r="F103" s="1" t="str">
        <f>IFERROR(__xludf.DUMMYFUNCTION("""COMPUTED_VALUE"""),"2455164")</f>
        <v>2455164</v>
      </c>
      <c r="G103" s="1" t="str">
        <f>IFERROR(__xludf.DUMMYFUNCTION("""COMPUTED_VALUE"""),"นายกรวิทย์ เจริญพร")</f>
        <v>นายกรวิทย์ เจริญพร</v>
      </c>
      <c r="H103" s="1" t="str">
        <f>IFERROR(__xludf.DUMMYFUNCTION("""COMPUTED_VALUE"""),"2455164")</f>
        <v>2455164</v>
      </c>
      <c r="I103" s="1" t="str">
        <f>IFERROR(__xludf.DUMMYFUNCTION("""COMPUTED_VALUE"""),"นายกรวิทย์ เจริญพร")</f>
        <v>นายกรวิทย์ เจริญพร</v>
      </c>
      <c r="J103" s="3">
        <f>IFERROR(__xludf.DUMMYFUNCTION("""COMPUTED_VALUE"""),2455164.0)</f>
        <v>2455164</v>
      </c>
      <c r="K103" s="3" t="str">
        <f>IFERROR(__xludf.DUMMYFUNCTION("""COMPUTED_VALUE"""),"นายกรวิทย์ เจริญพร")</f>
        <v>นายกรวิทย์ เจริญพร</v>
      </c>
      <c r="L103" s="1" t="str">
        <f>IFERROR(__xludf.DUMMYFUNCTION("""COMPUTED_VALUE"""),"Hub08-East")</f>
        <v>Hub08-East</v>
      </c>
      <c r="M103" s="1" t="str">
        <f>IFERROR(__xludf.DUMMYFUNCTION("""COMPUTED_VALUE"""),"092-605-9922")</f>
        <v>092-605-9922</v>
      </c>
      <c r="N103" s="3">
        <f>IFERROR(__xludf.DUMMYFUNCTION("""COMPUTED_VALUE"""),11204.0)</f>
        <v>11204</v>
      </c>
      <c r="O103" s="3" t="str">
        <f>IFERROR(__xludf.DUMMYFUNCTION("""COMPUTED_VALUE"""),"ฉะเชิงเทรา2")</f>
        <v>ฉะเชิงเทรา2</v>
      </c>
      <c r="P103" s="4">
        <f>IFERROR(__xludf.DUMMYFUNCTION("""COMPUTED_VALUE"""),38590.0)</f>
        <v>38590</v>
      </c>
      <c r="Q103" s="3" t="str">
        <f>IFERROR(__xludf.DUMMYFUNCTION("""COMPUTED_VALUE"""),"A")</f>
        <v>A</v>
      </c>
      <c r="R103" s="3" t="str">
        <f>IFERROR(__xludf.DUMMYFUNCTION("""COMPUTED_VALUE"""),"Big Format")</f>
        <v>Big Format</v>
      </c>
      <c r="S103" s="3" t="str">
        <f>IFERROR(__xludf.DUMMYFUNCTION("""COMPUTED_VALUE"""),"Hyper")</f>
        <v>Hyper</v>
      </c>
      <c r="T103" s="3" t="str">
        <f>IFERROR(__xludf.DUMMYFUNCTION("""COMPUTED_VALUE"""),"Hub08-East")</f>
        <v>Hub08-East</v>
      </c>
      <c r="U103" s="3" t="str">
        <f>IFERROR(__xludf.DUMMYFUNCTION("""COMPUTED_VALUE"""),"Hub08-East")</f>
        <v>Hub08-East</v>
      </c>
      <c r="V103" s="3" t="str">
        <f>IFERROR(__xludf.DUMMYFUNCTION("""COMPUTED_VALUE"""),"N")</f>
        <v>N</v>
      </c>
      <c r="W103" s="3">
        <f>IFERROR(__xludf.DUMMYFUNCTION("""COMPUTED_VALUE"""),111204.0)</f>
        <v>111204</v>
      </c>
      <c r="X103" s="3" t="str">
        <f>IFERROR(__xludf.DUMMYFUNCTION("""COMPUTED_VALUE"""),"28/73 ถนนศรีโสธรตัดใหม่ ตำบลหน้าเมือง อำเภอเมืองฉะเชิงเทรา จังหวัดฉะเชิงเทรา 24000")</f>
        <v>28/73 ถนนศรีโสธรตัดใหม่ ตำบลหน้าเมือง อำเภอเมืองฉะเชิงเทรา จังหวัดฉะเชิงเทรา 24000</v>
      </c>
      <c r="Y103" s="3" t="str">
        <f>IFERROR(__xludf.DUMMYFUNCTION("""COMPUTED_VALUE"""),"ถนนศรีโสธรตัดใหม่")</f>
        <v>ถนนศรีโสธรตัดใหม่</v>
      </c>
      <c r="Z103" s="3" t="str">
        <f>IFERROR(__xludf.DUMMYFUNCTION("""COMPUTED_VALUE"""),"หน้าเมือง")</f>
        <v>หน้าเมือง</v>
      </c>
      <c r="AA103" s="3" t="str">
        <f>IFERROR(__xludf.DUMMYFUNCTION("""COMPUTED_VALUE"""),"เมือง")</f>
        <v>เมือง</v>
      </c>
      <c r="AB103" s="3" t="str">
        <f>IFERROR(__xludf.DUMMYFUNCTION("""COMPUTED_VALUE"""),"ฉะเชิงเทรา")</f>
        <v>ฉะเชิงเทรา</v>
      </c>
      <c r="AC103" s="3">
        <f>IFERROR(__xludf.DUMMYFUNCTION("""COMPUTED_VALUE"""),24000.0)</f>
        <v>24000</v>
      </c>
      <c r="AD103" s="3">
        <f>IFERROR(__xludf.DUMMYFUNCTION("""COMPUTED_VALUE"""),13.68199019)</f>
        <v>13.68199019</v>
      </c>
      <c r="AE103" s="3">
        <f>IFERROR(__xludf.DUMMYFUNCTION("""COMPUTED_VALUE"""),101.0652333)</f>
        <v>101.0652333</v>
      </c>
      <c r="AF103" s="3" t="str">
        <f>IFERROR(__xludf.DUMMYFUNCTION("""COMPUTED_VALUE"""),"ฉะเชิงเทรา2-11204")</f>
        <v>ฉะเชิงเทรา2-11204</v>
      </c>
      <c r="AG103" s="3" t="str">
        <f>IFERROR(__xludf.DUMMYFUNCTION("""COMPUTED_VALUE"""),"ตะวันออก")</f>
        <v>ตะวันออก</v>
      </c>
      <c r="AH103" s="3" t="str">
        <f>IFERROR(__xludf.DUMMYFUNCTION("""COMPUTED_VALUE"""),"Walaiporn Sutyod")</f>
        <v>Walaiporn Sutyod</v>
      </c>
      <c r="AI103" s="3" t="str">
        <f>IFERROR(__xludf.DUMMYFUNCTION("""COMPUTED_VALUE"""),"Out of warranty")</f>
        <v>Out of warranty</v>
      </c>
      <c r="AJ103" s="3">
        <f>IFERROR(__xludf.DUMMYFUNCTION("""COMPUTED_VALUE"""),245.0)</f>
        <v>245</v>
      </c>
      <c r="AK103" s="3"/>
      <c r="AL103" s="3" t="str">
        <f>IFERROR(__xludf.DUMMYFUNCTION("""COMPUTED_VALUE"""),"sgm.chachoengsao2@bigc.co.th")</f>
        <v>sgm.chachoengsao2@bigc.co.th</v>
      </c>
    </row>
    <row r="104" ht="15.75" customHeight="1">
      <c r="A104" s="1" t="str">
        <f>IFERROR(__xludf.DUMMYFUNCTION("""COMPUTED_VALUE"""),"11205")</f>
        <v>11205</v>
      </c>
      <c r="B104" s="2">
        <f>IFERROR(__xludf.DUMMYFUNCTION("""COMPUTED_VALUE"""),11205.0)</f>
        <v>11205</v>
      </c>
      <c r="C104" s="3" t="str">
        <f>IFERROR(__xludf.DUMMYFUNCTION("""COMPUTED_VALUE"""),"อุดรธานี2")</f>
        <v>อุดรธานี2</v>
      </c>
      <c r="D104" s="3" t="str">
        <f>IFERROR(__xludf.DUMMYFUNCTION("""COMPUTED_VALUE"""),"BIGC UDONTHANI-2")</f>
        <v>BIGC UDONTHANI-2</v>
      </c>
      <c r="E104" s="1" t="str">
        <f>IFERROR(__xludf.DUMMYFUNCTION("""COMPUTED_VALUE"""),"บิ๊กซี HyperMarket")</f>
        <v>บิ๊กซี HyperMarket</v>
      </c>
      <c r="F104" s="1" t="str">
        <f>IFERROR(__xludf.DUMMYFUNCTION("""COMPUTED_VALUE"""),"295801")</f>
        <v>295801</v>
      </c>
      <c r="G104" s="1" t="str">
        <f>IFERROR(__xludf.DUMMYFUNCTION("""COMPUTED_VALUE"""),"นายอรรถพล เหล่าสุวงศ์")</f>
        <v>นายอรรถพล เหล่าสุวงศ์</v>
      </c>
      <c r="H104" s="1" t="str">
        <f>IFERROR(__xludf.DUMMYFUNCTION("""COMPUTED_VALUE"""),"295801")</f>
        <v>295801</v>
      </c>
      <c r="I104" s="1" t="str">
        <f>IFERROR(__xludf.DUMMYFUNCTION("""COMPUTED_VALUE"""),"นายอรรถพล เหล่าสุวงศ์")</f>
        <v>นายอรรถพล เหล่าสุวงศ์</v>
      </c>
      <c r="J104" s="3">
        <f>IFERROR(__xludf.DUMMYFUNCTION("""COMPUTED_VALUE"""),295801.0)</f>
        <v>295801</v>
      </c>
      <c r="K104" s="3" t="str">
        <f>IFERROR(__xludf.DUMMYFUNCTION("""COMPUTED_VALUE"""),"นายอรรถพล เหล่าสุวงศ์")</f>
        <v>นายอรรถพล เหล่าสุวงศ์</v>
      </c>
      <c r="L104" s="1" t="str">
        <f>IFERROR(__xludf.DUMMYFUNCTION("""COMPUTED_VALUE"""),"Hub09-NE 1")</f>
        <v>Hub09-NE 1</v>
      </c>
      <c r="M104" s="1" t="str">
        <f>IFERROR(__xludf.DUMMYFUNCTION("""COMPUTED_VALUE"""),"0655090879")</f>
        <v>0655090879</v>
      </c>
      <c r="N104" s="3">
        <f>IFERROR(__xludf.DUMMYFUNCTION("""COMPUTED_VALUE"""),11205.0)</f>
        <v>11205</v>
      </c>
      <c r="O104" s="3" t="str">
        <f>IFERROR(__xludf.DUMMYFUNCTION("""COMPUTED_VALUE"""),"อุดรธานี2")</f>
        <v>อุดรธานี2</v>
      </c>
      <c r="P104" s="4">
        <f>IFERROR(__xludf.DUMMYFUNCTION("""COMPUTED_VALUE"""),39903.0)</f>
        <v>39903</v>
      </c>
      <c r="Q104" s="3" t="str">
        <f>IFERROR(__xludf.DUMMYFUNCTION("""COMPUTED_VALUE"""),"A")</f>
        <v>A</v>
      </c>
      <c r="R104" s="3" t="str">
        <f>IFERROR(__xludf.DUMMYFUNCTION("""COMPUTED_VALUE"""),"Big Format")</f>
        <v>Big Format</v>
      </c>
      <c r="S104" s="3" t="str">
        <f>IFERROR(__xludf.DUMMYFUNCTION("""COMPUTED_VALUE"""),"Hyper")</f>
        <v>Hyper</v>
      </c>
      <c r="T104" s="3" t="str">
        <f>IFERROR(__xludf.DUMMYFUNCTION("""COMPUTED_VALUE"""),"Hub09-NE 1")</f>
        <v>Hub09-NE 1</v>
      </c>
      <c r="U104" s="3" t="str">
        <f>IFERROR(__xludf.DUMMYFUNCTION("""COMPUTED_VALUE"""),"Hub09-NE 1")</f>
        <v>Hub09-NE 1</v>
      </c>
      <c r="V104" s="3" t="str">
        <f>IFERROR(__xludf.DUMMYFUNCTION("""COMPUTED_VALUE"""),"N")</f>
        <v>N</v>
      </c>
      <c r="W104" s="3">
        <f>IFERROR(__xludf.DUMMYFUNCTION("""COMPUTED_VALUE"""),111205.0)</f>
        <v>111205</v>
      </c>
      <c r="X104" s="3" t="str">
        <f>IFERROR(__xludf.DUMMYFUNCTION("""COMPUTED_VALUE"""),"204 หมู่ที่ 2 ตำบลนาดี อำเภอเมืองอุดรธานี จังหวัดอุดรธานี 41000")</f>
        <v>204 หมู่ที่ 2 ตำบลนาดี อำเภอเมืองอุดรธานี จังหวัดอุดรธานี 41000</v>
      </c>
      <c r="Y104" s="3"/>
      <c r="Z104" s="3" t="str">
        <f>IFERROR(__xludf.DUMMYFUNCTION("""COMPUTED_VALUE"""),"นาดี")</f>
        <v>นาดี</v>
      </c>
      <c r="AA104" s="3" t="str">
        <f>IFERROR(__xludf.DUMMYFUNCTION("""COMPUTED_VALUE"""),"เมือง")</f>
        <v>เมือง</v>
      </c>
      <c r="AB104" s="3" t="str">
        <f>IFERROR(__xludf.DUMMYFUNCTION("""COMPUTED_VALUE"""),"อุดรธานี")</f>
        <v>อุดรธานี</v>
      </c>
      <c r="AC104" s="3">
        <f>IFERROR(__xludf.DUMMYFUNCTION("""COMPUTED_VALUE"""),41000.0)</f>
        <v>41000</v>
      </c>
      <c r="AD104" s="3">
        <f>IFERROR(__xludf.DUMMYFUNCTION("""COMPUTED_VALUE"""),17.385767)</f>
        <v>17.385767</v>
      </c>
      <c r="AE104" s="3">
        <f>IFERROR(__xludf.DUMMYFUNCTION("""COMPUTED_VALUE"""),102.757843)</f>
        <v>102.757843</v>
      </c>
      <c r="AF104" s="3" t="str">
        <f>IFERROR(__xludf.DUMMYFUNCTION("""COMPUTED_VALUE"""),"อุดรธานี2-11205")</f>
        <v>อุดรธานี2-11205</v>
      </c>
      <c r="AG104" s="3" t="str">
        <f>IFERROR(__xludf.DUMMYFUNCTION("""COMPUTED_VALUE"""),"ตะวันออกเฉียงเหนือ")</f>
        <v>ตะวันออกเฉียงเหนือ</v>
      </c>
      <c r="AH104" s="3" t="str">
        <f>IFERROR(__xludf.DUMMYFUNCTION("""COMPUTED_VALUE"""),"K.Narabordee")</f>
        <v>K.Narabordee</v>
      </c>
      <c r="AI104" s="3" t="str">
        <f>IFERROR(__xludf.DUMMYFUNCTION("""COMPUTED_VALUE"""),"Out of warranty")</f>
        <v>Out of warranty</v>
      </c>
      <c r="AJ104" s="3">
        <f>IFERROR(__xludf.DUMMYFUNCTION("""COMPUTED_VALUE"""),202.0)</f>
        <v>202</v>
      </c>
      <c r="AK104" s="3"/>
      <c r="AL104" s="3" t="str">
        <f>IFERROR(__xludf.DUMMYFUNCTION("""COMPUTED_VALUE"""),"sgm.udonthanee2@bigc.co.th")</f>
        <v>sgm.udonthanee2@bigc.co.th</v>
      </c>
    </row>
    <row r="105" ht="15.75" customHeight="1">
      <c r="A105" s="1" t="str">
        <f>IFERROR(__xludf.DUMMYFUNCTION("""COMPUTED_VALUE"""),"11206")</f>
        <v>11206</v>
      </c>
      <c r="B105" s="2">
        <f>IFERROR(__xludf.DUMMYFUNCTION("""COMPUTED_VALUE"""),11206.0)</f>
        <v>11206</v>
      </c>
      <c r="C105" s="3" t="str">
        <f>IFERROR(__xludf.DUMMYFUNCTION("""COMPUTED_VALUE"""),"ชุมพร")</f>
        <v>ชุมพร</v>
      </c>
      <c r="D105" s="3" t="str">
        <f>IFERROR(__xludf.DUMMYFUNCTION("""COMPUTED_VALUE"""),"BIGC CHUMPHON")</f>
        <v>BIGC CHUMPHON</v>
      </c>
      <c r="E105" s="1" t="str">
        <f>IFERROR(__xludf.DUMMYFUNCTION("""COMPUTED_VALUE"""),"บิ๊กซี HyperMarket")</f>
        <v>บิ๊กซี HyperMarket</v>
      </c>
      <c r="F105" s="1" t="str">
        <f>IFERROR(__xludf.DUMMYFUNCTION("""COMPUTED_VALUE"""),"2454709")</f>
        <v>2454709</v>
      </c>
      <c r="G105" s="1" t="str">
        <f>IFERROR(__xludf.DUMMYFUNCTION("""COMPUTED_VALUE"""),"นายประชา เกตุชาติ")</f>
        <v>นายประชา เกตุชาติ</v>
      </c>
      <c r="H105" s="1" t="str">
        <f>IFERROR(__xludf.DUMMYFUNCTION("""COMPUTED_VALUE"""),"2454709")</f>
        <v>2454709</v>
      </c>
      <c r="I105" s="1" t="str">
        <f>IFERROR(__xludf.DUMMYFUNCTION("""COMPUTED_VALUE"""),"นายประชา เกตุชาติ")</f>
        <v>นายประชา เกตุชาติ</v>
      </c>
      <c r="J105" s="3">
        <f>IFERROR(__xludf.DUMMYFUNCTION("""COMPUTED_VALUE"""),2454709.0)</f>
        <v>2454709</v>
      </c>
      <c r="K105" s="3" t="str">
        <f>IFERROR(__xludf.DUMMYFUNCTION("""COMPUTED_VALUE"""),"นายประชา เกตุชาติ")</f>
        <v>นายประชา เกตุชาติ</v>
      </c>
      <c r="L105" s="1" t="str">
        <f>IFERROR(__xludf.DUMMYFUNCTION("""COMPUTED_VALUE"""),"Hub05-South")</f>
        <v>Hub05-South</v>
      </c>
      <c r="M105" s="1" t="str">
        <f>IFERROR(__xludf.DUMMYFUNCTION("""COMPUTED_VALUE"""),"0659291311")</f>
        <v>0659291311</v>
      </c>
      <c r="N105" s="3">
        <f>IFERROR(__xludf.DUMMYFUNCTION("""COMPUTED_VALUE"""),11206.0)</f>
        <v>11206</v>
      </c>
      <c r="O105" s="3" t="str">
        <f>IFERROR(__xludf.DUMMYFUNCTION("""COMPUTED_VALUE"""),"ชุมพร")</f>
        <v>ชุมพร</v>
      </c>
      <c r="P105" s="4">
        <f>IFERROR(__xludf.DUMMYFUNCTION("""COMPUTED_VALUE"""),40166.0)</f>
        <v>40166</v>
      </c>
      <c r="Q105" s="3" t="str">
        <f>IFERROR(__xludf.DUMMYFUNCTION("""COMPUTED_VALUE"""),"A")</f>
        <v>A</v>
      </c>
      <c r="R105" s="3" t="str">
        <f>IFERROR(__xludf.DUMMYFUNCTION("""COMPUTED_VALUE"""),"Big Format")</f>
        <v>Big Format</v>
      </c>
      <c r="S105" s="3" t="str">
        <f>IFERROR(__xludf.DUMMYFUNCTION("""COMPUTED_VALUE"""),"Hyper")</f>
        <v>Hyper</v>
      </c>
      <c r="T105" s="3" t="str">
        <f>IFERROR(__xludf.DUMMYFUNCTION("""COMPUTED_VALUE"""),"Hub05-South")</f>
        <v>Hub05-South</v>
      </c>
      <c r="U105" s="3" t="str">
        <f>IFERROR(__xludf.DUMMYFUNCTION("""COMPUTED_VALUE"""),"Hub05-South")</f>
        <v>Hub05-South</v>
      </c>
      <c r="V105" s="3" t="str">
        <f>IFERROR(__xludf.DUMMYFUNCTION("""COMPUTED_VALUE"""),"N")</f>
        <v>N</v>
      </c>
      <c r="W105" s="3">
        <f>IFERROR(__xludf.DUMMYFUNCTION("""COMPUTED_VALUE"""),111206.0)</f>
        <v>111206</v>
      </c>
      <c r="X105" s="3" t="str">
        <f>IFERROR(__xludf.DUMMYFUNCTION("""COMPUTED_VALUE"""),"195 หมู่ที่ 3 ตำบลวังไผ่ อำเภอเมืองชุมพร จังหวัดชุมพร 86000")</f>
        <v>195 หมู่ที่ 3 ตำบลวังไผ่ อำเภอเมืองชุมพร จังหวัดชุมพร 86000</v>
      </c>
      <c r="Y105" s="3"/>
      <c r="Z105" s="3" t="str">
        <f>IFERROR(__xludf.DUMMYFUNCTION("""COMPUTED_VALUE"""),"วังไผ่")</f>
        <v>วังไผ่</v>
      </c>
      <c r="AA105" s="3" t="str">
        <f>IFERROR(__xludf.DUMMYFUNCTION("""COMPUTED_VALUE"""),"เมือง")</f>
        <v>เมือง</v>
      </c>
      <c r="AB105" s="3" t="str">
        <f>IFERROR(__xludf.DUMMYFUNCTION("""COMPUTED_VALUE"""),"ชุมพร")</f>
        <v>ชุมพร</v>
      </c>
      <c r="AC105" s="3">
        <f>IFERROR(__xludf.DUMMYFUNCTION("""COMPUTED_VALUE"""),86000.0)</f>
        <v>86000</v>
      </c>
      <c r="AD105" s="3">
        <f>IFERROR(__xludf.DUMMYFUNCTION("""COMPUTED_VALUE"""),10.502191)</f>
        <v>10.502191</v>
      </c>
      <c r="AE105" s="3">
        <f>IFERROR(__xludf.DUMMYFUNCTION("""COMPUTED_VALUE"""),99.141451)</f>
        <v>99.141451</v>
      </c>
      <c r="AF105" s="3" t="str">
        <f>IFERROR(__xludf.DUMMYFUNCTION("""COMPUTED_VALUE"""),"ชุมพร-11206")</f>
        <v>ชุมพร-11206</v>
      </c>
      <c r="AG105" s="3" t="str">
        <f>IFERROR(__xludf.DUMMYFUNCTION("""COMPUTED_VALUE"""),"ใต้")</f>
        <v>ใต้</v>
      </c>
      <c r="AH105" s="3" t="str">
        <f>IFERROR(__xludf.DUMMYFUNCTION("""COMPUTED_VALUE"""),"Suwadee Intachart")</f>
        <v>Suwadee Intachart</v>
      </c>
      <c r="AI105" s="3" t="str">
        <f>IFERROR(__xludf.DUMMYFUNCTION("""COMPUTED_VALUE"""),"Out of warranty")</f>
        <v>Out of warranty</v>
      </c>
      <c r="AJ105" s="3">
        <f>IFERROR(__xludf.DUMMYFUNCTION("""COMPUTED_VALUE"""),194.0)</f>
        <v>194</v>
      </c>
      <c r="AK105" s="3"/>
      <c r="AL105" s="3" t="str">
        <f>IFERROR(__xludf.DUMMYFUNCTION("""COMPUTED_VALUE"""),"sgm.chumphon@bigc.co.th")</f>
        <v>sgm.chumphon@bigc.co.th</v>
      </c>
    </row>
    <row r="106" ht="15.75" customHeight="1">
      <c r="A106" s="1" t="str">
        <f>IFERROR(__xludf.DUMMYFUNCTION("""COMPUTED_VALUE"""),"11207")</f>
        <v>11207</v>
      </c>
      <c r="B106" s="2">
        <f>IFERROR(__xludf.DUMMYFUNCTION("""COMPUTED_VALUE"""),11207.0)</f>
        <v>11207</v>
      </c>
      <c r="C106" s="3" t="str">
        <f>IFERROR(__xludf.DUMMYFUNCTION("""COMPUTED_VALUE"""),"ตาก")</f>
        <v>ตาก</v>
      </c>
      <c r="D106" s="3" t="str">
        <f>IFERROR(__xludf.DUMMYFUNCTION("""COMPUTED_VALUE"""),"BIGC TAK")</f>
        <v>BIGC TAK</v>
      </c>
      <c r="E106" s="1" t="str">
        <f>IFERROR(__xludf.DUMMYFUNCTION("""COMPUTED_VALUE"""),"บิ๊กซี HyperMarket")</f>
        <v>บิ๊กซี HyperMarket</v>
      </c>
      <c r="F106" s="1" t="str">
        <f>IFERROR(__xludf.DUMMYFUNCTION("""COMPUTED_VALUE"""),"000348")</f>
        <v>000348</v>
      </c>
      <c r="G106" s="1" t="str">
        <f>IFERROR(__xludf.DUMMYFUNCTION("""COMPUTED_VALUE"""),"นายธีรนันท์ ไม้สนธิ์")</f>
        <v>นายธีรนันท์ ไม้สนธิ์</v>
      </c>
      <c r="H106" s="1" t="str">
        <f>IFERROR(__xludf.DUMMYFUNCTION("""COMPUTED_VALUE"""),"000348")</f>
        <v>000348</v>
      </c>
      <c r="I106" s="1" t="str">
        <f>IFERROR(__xludf.DUMMYFUNCTION("""COMPUTED_VALUE"""),"นายธีรนันท์ ไม้สนธิ์")</f>
        <v>นายธีรนันท์ ไม้สนธิ์</v>
      </c>
      <c r="J106" s="3">
        <f>IFERROR(__xludf.DUMMYFUNCTION("""COMPUTED_VALUE"""),348.0)</f>
        <v>348</v>
      </c>
      <c r="K106" s="3" t="str">
        <f>IFERROR(__xludf.DUMMYFUNCTION("""COMPUTED_VALUE"""),"นายธีรนันท์ ไม้สนธิ์")</f>
        <v>นายธีรนันท์ ไม้สนธิ์</v>
      </c>
      <c r="L106" s="1" t="str">
        <f>IFERROR(__xludf.DUMMYFUNCTION("""COMPUTED_VALUE"""),"Hub07-North")</f>
        <v>Hub07-North</v>
      </c>
      <c r="M106" s="1" t="str">
        <f>IFERROR(__xludf.DUMMYFUNCTION("""COMPUTED_VALUE"""),"0614175866")</f>
        <v>0614175866</v>
      </c>
      <c r="N106" s="3">
        <f>IFERROR(__xludf.DUMMYFUNCTION("""COMPUTED_VALUE"""),11207.0)</f>
        <v>11207</v>
      </c>
      <c r="O106" s="3" t="str">
        <f>IFERROR(__xludf.DUMMYFUNCTION("""COMPUTED_VALUE"""),"ตาก")</f>
        <v>ตาก</v>
      </c>
      <c r="P106" s="4">
        <f>IFERROR(__xludf.DUMMYFUNCTION("""COMPUTED_VALUE"""),40771.0)</f>
        <v>40771</v>
      </c>
      <c r="Q106" s="3" t="str">
        <f>IFERROR(__xludf.DUMMYFUNCTION("""COMPUTED_VALUE"""),"A")</f>
        <v>A</v>
      </c>
      <c r="R106" s="3" t="str">
        <f>IFERROR(__xludf.DUMMYFUNCTION("""COMPUTED_VALUE"""),"Big Format")</f>
        <v>Big Format</v>
      </c>
      <c r="S106" s="3" t="str">
        <f>IFERROR(__xludf.DUMMYFUNCTION("""COMPUTED_VALUE"""),"Hyper")</f>
        <v>Hyper</v>
      </c>
      <c r="T106" s="3" t="str">
        <f>IFERROR(__xludf.DUMMYFUNCTION("""COMPUTED_VALUE"""),"Hub07-North")</f>
        <v>Hub07-North</v>
      </c>
      <c r="U106" s="3" t="str">
        <f>IFERROR(__xludf.DUMMYFUNCTION("""COMPUTED_VALUE"""),"Hub07-North")</f>
        <v>Hub07-North</v>
      </c>
      <c r="V106" s="3" t="str">
        <f>IFERROR(__xludf.DUMMYFUNCTION("""COMPUTED_VALUE"""),"N")</f>
        <v>N</v>
      </c>
      <c r="W106" s="3">
        <f>IFERROR(__xludf.DUMMYFUNCTION("""COMPUTED_VALUE"""),111207.0)</f>
        <v>111207</v>
      </c>
      <c r="X106" s="3" t="str">
        <f>IFERROR(__xludf.DUMMYFUNCTION("""COMPUTED_VALUE"""),"18/3 ถนนพหลโยธิน ตำบลระแหง อำเภอเมืองตาก จังหวัดตาก 63000")</f>
        <v>18/3 ถนนพหลโยธิน ตำบลระแหง อำเภอเมืองตาก จังหวัดตาก 63000</v>
      </c>
      <c r="Y106" s="3" t="str">
        <f>IFERROR(__xludf.DUMMYFUNCTION("""COMPUTED_VALUE"""),"ถนนพหลโยธิน")</f>
        <v>ถนนพหลโยธิน</v>
      </c>
      <c r="Z106" s="3" t="str">
        <f>IFERROR(__xludf.DUMMYFUNCTION("""COMPUTED_VALUE"""),"ระแหง")</f>
        <v>ระแหง</v>
      </c>
      <c r="AA106" s="3" t="str">
        <f>IFERROR(__xludf.DUMMYFUNCTION("""COMPUTED_VALUE"""),"เมือง")</f>
        <v>เมือง</v>
      </c>
      <c r="AB106" s="3" t="str">
        <f>IFERROR(__xludf.DUMMYFUNCTION("""COMPUTED_VALUE"""),"ตาก")</f>
        <v>ตาก</v>
      </c>
      <c r="AC106" s="3">
        <f>IFERROR(__xludf.DUMMYFUNCTION("""COMPUTED_VALUE"""),63000.0)</f>
        <v>63000</v>
      </c>
      <c r="AD106" s="3">
        <f>IFERROR(__xludf.DUMMYFUNCTION("""COMPUTED_VALUE"""),16.866335)</f>
        <v>16.866335</v>
      </c>
      <c r="AE106" s="3">
        <f>IFERROR(__xludf.DUMMYFUNCTION("""COMPUTED_VALUE"""),99.135011)</f>
        <v>99.135011</v>
      </c>
      <c r="AF106" s="3" t="str">
        <f>IFERROR(__xludf.DUMMYFUNCTION("""COMPUTED_VALUE"""),"ตาก-11207")</f>
        <v>ตาก-11207</v>
      </c>
      <c r="AG106" s="3" t="str">
        <f>IFERROR(__xludf.DUMMYFUNCTION("""COMPUTED_VALUE"""),"ตะวันตก")</f>
        <v>ตะวันตก</v>
      </c>
      <c r="AH106" s="3" t="str">
        <f>IFERROR(__xludf.DUMMYFUNCTION("""COMPUTED_VALUE"""),"Wichai Soomboonsod")</f>
        <v>Wichai Soomboonsod</v>
      </c>
      <c r="AI106" s="3" t="str">
        <f>IFERROR(__xludf.DUMMYFUNCTION("""COMPUTED_VALUE"""),"Out of warranty")</f>
        <v>Out of warranty</v>
      </c>
      <c r="AJ106" s="3">
        <f>IFERROR(__xludf.DUMMYFUNCTION("""COMPUTED_VALUE"""),174.0)</f>
        <v>174</v>
      </c>
      <c r="AK106" s="3"/>
      <c r="AL106" s="3" t="str">
        <f>IFERROR(__xludf.DUMMYFUNCTION("""COMPUTED_VALUE"""),"sgm.tak@bigc.co.th")</f>
        <v>sgm.tak@bigc.co.th</v>
      </c>
    </row>
    <row r="107" ht="15.75" customHeight="1">
      <c r="A107" s="1" t="str">
        <f>IFERROR(__xludf.DUMMYFUNCTION("""COMPUTED_VALUE"""),"11208")</f>
        <v>11208</v>
      </c>
      <c r="B107" s="2">
        <f>IFERROR(__xludf.DUMMYFUNCTION("""COMPUTED_VALUE"""),11208.0)</f>
        <v>11208</v>
      </c>
      <c r="C107" s="3" t="str">
        <f>IFERROR(__xludf.DUMMYFUNCTION("""COMPUTED_VALUE"""),"บ้านบึง")</f>
        <v>บ้านบึง</v>
      </c>
      <c r="D107" s="3" t="str">
        <f>IFERROR(__xludf.DUMMYFUNCTION("""COMPUTED_VALUE"""),"BIGC BANBUENG")</f>
        <v>BIGC BANBUENG</v>
      </c>
      <c r="E107" s="1" t="str">
        <f>IFERROR(__xludf.DUMMYFUNCTION("""COMPUTED_VALUE"""),"บิ๊กซี HyperMarket")</f>
        <v>บิ๊กซี HyperMarket</v>
      </c>
      <c r="F107" s="1" t="str">
        <f>IFERROR(__xludf.DUMMYFUNCTION("""COMPUTED_VALUE"""),"2455164")</f>
        <v>2455164</v>
      </c>
      <c r="G107" s="1" t="str">
        <f>IFERROR(__xludf.DUMMYFUNCTION("""COMPUTED_VALUE"""),"นายกรวิทย์ เจริญพร")</f>
        <v>นายกรวิทย์ เจริญพร</v>
      </c>
      <c r="H107" s="1" t="str">
        <f>IFERROR(__xludf.DUMMYFUNCTION("""COMPUTED_VALUE"""),"2455164")</f>
        <v>2455164</v>
      </c>
      <c r="I107" s="1" t="str">
        <f>IFERROR(__xludf.DUMMYFUNCTION("""COMPUTED_VALUE"""),"นายกรวิทย์ เจริญพร")</f>
        <v>นายกรวิทย์ เจริญพร</v>
      </c>
      <c r="J107" s="3">
        <f>IFERROR(__xludf.DUMMYFUNCTION("""COMPUTED_VALUE"""),2455164.0)</f>
        <v>2455164</v>
      </c>
      <c r="K107" s="3" t="str">
        <f>IFERROR(__xludf.DUMMYFUNCTION("""COMPUTED_VALUE"""),"นายกรวิทย์ เจริญพร")</f>
        <v>นายกรวิทย์ เจริญพร</v>
      </c>
      <c r="L107" s="1" t="str">
        <f>IFERROR(__xludf.DUMMYFUNCTION("""COMPUTED_VALUE"""),"Hub08-East")</f>
        <v>Hub08-East</v>
      </c>
      <c r="M107" s="1" t="str">
        <f>IFERROR(__xludf.DUMMYFUNCTION("""COMPUTED_VALUE"""),"092-605-9922")</f>
        <v>092-605-9922</v>
      </c>
      <c r="N107" s="3">
        <f>IFERROR(__xludf.DUMMYFUNCTION("""COMPUTED_VALUE"""),11208.0)</f>
        <v>11208</v>
      </c>
      <c r="O107" s="3" t="str">
        <f>IFERROR(__xludf.DUMMYFUNCTION("""COMPUTED_VALUE"""),"บ้านบึง")</f>
        <v>บ้านบึง</v>
      </c>
      <c r="P107" s="4">
        <f>IFERROR(__xludf.DUMMYFUNCTION("""COMPUTED_VALUE"""),40866.0)</f>
        <v>40866</v>
      </c>
      <c r="Q107" s="3" t="str">
        <f>IFERROR(__xludf.DUMMYFUNCTION("""COMPUTED_VALUE"""),"A")</f>
        <v>A</v>
      </c>
      <c r="R107" s="3" t="str">
        <f>IFERROR(__xludf.DUMMYFUNCTION("""COMPUTED_VALUE"""),"Big Format")</f>
        <v>Big Format</v>
      </c>
      <c r="S107" s="3" t="str">
        <f>IFERROR(__xludf.DUMMYFUNCTION("""COMPUTED_VALUE"""),"Hyper")</f>
        <v>Hyper</v>
      </c>
      <c r="T107" s="3" t="str">
        <f>IFERROR(__xludf.DUMMYFUNCTION("""COMPUTED_VALUE"""),"Hub08-East")</f>
        <v>Hub08-East</v>
      </c>
      <c r="U107" s="3" t="str">
        <f>IFERROR(__xludf.DUMMYFUNCTION("""COMPUTED_VALUE"""),"Hub08-East")</f>
        <v>Hub08-East</v>
      </c>
      <c r="V107" s="3" t="str">
        <f>IFERROR(__xludf.DUMMYFUNCTION("""COMPUTED_VALUE"""),"N")</f>
        <v>N</v>
      </c>
      <c r="W107" s="3">
        <f>IFERROR(__xludf.DUMMYFUNCTION("""COMPUTED_VALUE"""),111208.0)</f>
        <v>111208</v>
      </c>
      <c r="X107" s="3" t="str">
        <f>IFERROR(__xludf.DUMMYFUNCTION("""COMPUTED_VALUE"""),"181 ถนนบ้านบึง-แกลง ตำบลบ้านบึง อำเภอบ้านบึง จังหวัดชลบุรี 20170")</f>
        <v>181 ถนนบ้านบึง-แกลง ตำบลบ้านบึง อำเภอบ้านบึง จังหวัดชลบุรี 20170</v>
      </c>
      <c r="Y107" s="3" t="str">
        <f>IFERROR(__xludf.DUMMYFUNCTION("""COMPUTED_VALUE"""),"ถนนบ้านบึง-แกลง")</f>
        <v>ถนนบ้านบึง-แกลง</v>
      </c>
      <c r="Z107" s="3" t="str">
        <f>IFERROR(__xludf.DUMMYFUNCTION("""COMPUTED_VALUE"""),"บ้านบึง")</f>
        <v>บ้านบึง</v>
      </c>
      <c r="AA107" s="3" t="str">
        <f>IFERROR(__xludf.DUMMYFUNCTION("""COMPUTED_VALUE"""),"บ้านบึง")</f>
        <v>บ้านบึง</v>
      </c>
      <c r="AB107" s="3" t="str">
        <f>IFERROR(__xludf.DUMMYFUNCTION("""COMPUTED_VALUE"""),"ชลบุรี")</f>
        <v>ชลบุรี</v>
      </c>
      <c r="AC107" s="3">
        <f>IFERROR(__xludf.DUMMYFUNCTION("""COMPUTED_VALUE"""),20170.0)</f>
        <v>20170</v>
      </c>
      <c r="AD107" s="3">
        <f>IFERROR(__xludf.DUMMYFUNCTION("""COMPUTED_VALUE"""),13.3045)</f>
        <v>13.3045</v>
      </c>
      <c r="AE107" s="3">
        <f>IFERROR(__xludf.DUMMYFUNCTION("""COMPUTED_VALUE"""),101.11922)</f>
        <v>101.11922</v>
      </c>
      <c r="AF107" s="3" t="str">
        <f>IFERROR(__xludf.DUMMYFUNCTION("""COMPUTED_VALUE"""),"บ้านบึง-11208")</f>
        <v>บ้านบึง-11208</v>
      </c>
      <c r="AG107" s="3" t="str">
        <f>IFERROR(__xludf.DUMMYFUNCTION("""COMPUTED_VALUE"""),"ตะวันออก")</f>
        <v>ตะวันออก</v>
      </c>
      <c r="AH107" s="3" t="str">
        <f>IFERROR(__xludf.DUMMYFUNCTION("""COMPUTED_VALUE"""),"Walaiporn Sutyod")</f>
        <v>Walaiporn Sutyod</v>
      </c>
      <c r="AI107" s="3" t="str">
        <f>IFERROR(__xludf.DUMMYFUNCTION("""COMPUTED_VALUE"""),"Out of warranty")</f>
        <v>Out of warranty</v>
      </c>
      <c r="AJ107" s="3">
        <f>IFERROR(__xludf.DUMMYFUNCTION("""COMPUTED_VALUE"""),171.0)</f>
        <v>171</v>
      </c>
      <c r="AK107" s="3"/>
      <c r="AL107" s="3" t="str">
        <f>IFERROR(__xludf.DUMMYFUNCTION("""COMPUTED_VALUE"""),"sgm.banbeung@bigc.co.th")</f>
        <v>sgm.banbeung@bigc.co.th</v>
      </c>
    </row>
    <row r="108" ht="15.75" customHeight="1">
      <c r="A108" s="1" t="str">
        <f>IFERROR(__xludf.DUMMYFUNCTION("""COMPUTED_VALUE"""),"11209")</f>
        <v>11209</v>
      </c>
      <c r="B108" s="2">
        <f>IFERROR(__xludf.DUMMYFUNCTION("""COMPUTED_VALUE"""),11209.0)</f>
        <v>11209</v>
      </c>
      <c r="C108" s="3" t="str">
        <f>IFERROR(__xludf.DUMMYFUNCTION("""COMPUTED_VALUE"""),"จันทบุรี")</f>
        <v>จันทบุรี</v>
      </c>
      <c r="D108" s="3" t="str">
        <f>IFERROR(__xludf.DUMMYFUNCTION("""COMPUTED_VALUE"""),"BIGC CHANTHABURI")</f>
        <v>BIGC CHANTHABURI</v>
      </c>
      <c r="E108" s="1" t="str">
        <f>IFERROR(__xludf.DUMMYFUNCTION("""COMPUTED_VALUE"""),"บิ๊กซี HyperMarket")</f>
        <v>บิ๊กซี HyperMarket</v>
      </c>
      <c r="F108" s="1" t="str">
        <f>IFERROR(__xludf.DUMMYFUNCTION("""COMPUTED_VALUE"""),"2455164")</f>
        <v>2455164</v>
      </c>
      <c r="G108" s="1" t="str">
        <f>IFERROR(__xludf.DUMMYFUNCTION("""COMPUTED_VALUE"""),"นายกรวิทย์ เจริญพร")</f>
        <v>นายกรวิทย์ เจริญพร</v>
      </c>
      <c r="H108" s="1" t="str">
        <f>IFERROR(__xludf.DUMMYFUNCTION("""COMPUTED_VALUE"""),"2455164")</f>
        <v>2455164</v>
      </c>
      <c r="I108" s="1" t="str">
        <f>IFERROR(__xludf.DUMMYFUNCTION("""COMPUTED_VALUE"""),"นายกรวิทย์ เจริญพร")</f>
        <v>นายกรวิทย์ เจริญพร</v>
      </c>
      <c r="J108" s="3">
        <f>IFERROR(__xludf.DUMMYFUNCTION("""COMPUTED_VALUE"""),2455164.0)</f>
        <v>2455164</v>
      </c>
      <c r="K108" s="3" t="str">
        <f>IFERROR(__xludf.DUMMYFUNCTION("""COMPUTED_VALUE"""),"นายกรวิทย์ เจริญพร")</f>
        <v>นายกรวิทย์ เจริญพร</v>
      </c>
      <c r="L108" s="1" t="str">
        <f>IFERROR(__xludf.DUMMYFUNCTION("""COMPUTED_VALUE"""),"Hub08-East")</f>
        <v>Hub08-East</v>
      </c>
      <c r="M108" s="1" t="str">
        <f>IFERROR(__xludf.DUMMYFUNCTION("""COMPUTED_VALUE"""),"092-605-9922")</f>
        <v>092-605-9922</v>
      </c>
      <c r="N108" s="3">
        <f>IFERROR(__xludf.DUMMYFUNCTION("""COMPUTED_VALUE"""),11209.0)</f>
        <v>11209</v>
      </c>
      <c r="O108" s="3" t="str">
        <f>IFERROR(__xludf.DUMMYFUNCTION("""COMPUTED_VALUE"""),"จันทบุรี")</f>
        <v>จันทบุรี</v>
      </c>
      <c r="P108" s="4">
        <f>IFERROR(__xludf.DUMMYFUNCTION("""COMPUTED_VALUE"""),40896.0)</f>
        <v>40896</v>
      </c>
      <c r="Q108" s="3" t="str">
        <f>IFERROR(__xludf.DUMMYFUNCTION("""COMPUTED_VALUE"""),"A")</f>
        <v>A</v>
      </c>
      <c r="R108" s="3" t="str">
        <f>IFERROR(__xludf.DUMMYFUNCTION("""COMPUTED_VALUE"""),"Big Format")</f>
        <v>Big Format</v>
      </c>
      <c r="S108" s="3" t="str">
        <f>IFERROR(__xludf.DUMMYFUNCTION("""COMPUTED_VALUE"""),"Hyper")</f>
        <v>Hyper</v>
      </c>
      <c r="T108" s="3" t="str">
        <f>IFERROR(__xludf.DUMMYFUNCTION("""COMPUTED_VALUE"""),"Hub08-East")</f>
        <v>Hub08-East</v>
      </c>
      <c r="U108" s="3" t="str">
        <f>IFERROR(__xludf.DUMMYFUNCTION("""COMPUTED_VALUE"""),"Hub08-East")</f>
        <v>Hub08-East</v>
      </c>
      <c r="V108" s="3" t="str">
        <f>IFERROR(__xludf.DUMMYFUNCTION("""COMPUTED_VALUE"""),"N")</f>
        <v>N</v>
      </c>
      <c r="W108" s="3">
        <f>IFERROR(__xludf.DUMMYFUNCTION("""COMPUTED_VALUE"""),111209.0)</f>
        <v>111209</v>
      </c>
      <c r="X108" s="3" t="str">
        <f>IFERROR(__xludf.DUMMYFUNCTION("""COMPUTED_VALUE"""),"1012 ถนนท่าแฉลบ ตำบลตลาด อำเภอเมืองจันทบุรี จังหวัดจันทบุรี 22000")</f>
        <v>1012 ถนนท่าแฉลบ ตำบลตลาด อำเภอเมืองจันทบุรี จังหวัดจันทบุรี 22000</v>
      </c>
      <c r="Y108" s="3" t="str">
        <f>IFERROR(__xludf.DUMMYFUNCTION("""COMPUTED_VALUE"""),"ถนนท่าแฉลบ")</f>
        <v>ถนนท่าแฉลบ</v>
      </c>
      <c r="Z108" s="3" t="str">
        <f>IFERROR(__xludf.DUMMYFUNCTION("""COMPUTED_VALUE"""),"ตลาด")</f>
        <v>ตลาด</v>
      </c>
      <c r="AA108" s="3" t="str">
        <f>IFERROR(__xludf.DUMMYFUNCTION("""COMPUTED_VALUE"""),"เมือง")</f>
        <v>เมือง</v>
      </c>
      <c r="AB108" s="3" t="str">
        <f>IFERROR(__xludf.DUMMYFUNCTION("""COMPUTED_VALUE"""),"จันทบุรี")</f>
        <v>จันทบุรี</v>
      </c>
      <c r="AC108" s="3">
        <f>IFERROR(__xludf.DUMMYFUNCTION("""COMPUTED_VALUE"""),22000.0)</f>
        <v>22000</v>
      </c>
      <c r="AD108" s="3">
        <f>IFERROR(__xludf.DUMMYFUNCTION("""COMPUTED_VALUE"""),12.59817)</f>
        <v>12.59817</v>
      </c>
      <c r="AE108" s="3">
        <f>IFERROR(__xludf.DUMMYFUNCTION("""COMPUTED_VALUE"""),102.09929)</f>
        <v>102.09929</v>
      </c>
      <c r="AF108" s="3" t="str">
        <f>IFERROR(__xludf.DUMMYFUNCTION("""COMPUTED_VALUE"""),"จันทบุรี-11209")</f>
        <v>จันทบุรี-11209</v>
      </c>
      <c r="AG108" s="3" t="str">
        <f>IFERROR(__xludf.DUMMYFUNCTION("""COMPUTED_VALUE"""),"ตะวันออก")</f>
        <v>ตะวันออก</v>
      </c>
      <c r="AH108" s="3" t="str">
        <f>IFERROR(__xludf.DUMMYFUNCTION("""COMPUTED_VALUE"""),"Walaiporn Sutyod")</f>
        <v>Walaiporn Sutyod</v>
      </c>
      <c r="AI108" s="3" t="str">
        <f>IFERROR(__xludf.DUMMYFUNCTION("""COMPUTED_VALUE"""),"Out of warranty")</f>
        <v>Out of warranty</v>
      </c>
      <c r="AJ108" s="3">
        <f>IFERROR(__xludf.DUMMYFUNCTION("""COMPUTED_VALUE"""),170.0)</f>
        <v>170</v>
      </c>
      <c r="AK108" s="3"/>
      <c r="AL108" s="3" t="str">
        <f>IFERROR(__xludf.DUMMYFUNCTION("""COMPUTED_VALUE"""),"sgm.chantaburi@bigc.co.th")</f>
        <v>sgm.chantaburi@bigc.co.th</v>
      </c>
    </row>
    <row r="109" ht="15.75" customHeight="1">
      <c r="A109" s="1" t="str">
        <f>IFERROR(__xludf.DUMMYFUNCTION("""COMPUTED_VALUE"""),"11210")</f>
        <v>11210</v>
      </c>
      <c r="B109" s="2">
        <f>IFERROR(__xludf.DUMMYFUNCTION("""COMPUTED_VALUE"""),11210.0)</f>
        <v>11210</v>
      </c>
      <c r="C109" s="3" t="str">
        <f>IFERROR(__xludf.DUMMYFUNCTION("""COMPUTED_VALUE"""),"เมกาบางนา")</f>
        <v>เมกาบางนา</v>
      </c>
      <c r="D109" s="3" t="str">
        <f>IFERROR(__xludf.DUMMYFUNCTION("""COMPUTED_VALUE"""),"BIGC MEGA BANGNA")</f>
        <v>BIGC MEGA BANGNA</v>
      </c>
      <c r="E109" s="1" t="str">
        <f>IFERROR(__xludf.DUMMYFUNCTION("""COMPUTED_VALUE"""),"บิ๊กซี HyperMarket")</f>
        <v>บิ๊กซี HyperMarket</v>
      </c>
      <c r="F109" s="1" t="str">
        <f>IFERROR(__xludf.DUMMYFUNCTION("""COMPUTED_VALUE"""),"2454813")</f>
        <v>2454813</v>
      </c>
      <c r="G109" s="1" t="str">
        <f>IFERROR(__xludf.DUMMYFUNCTION("""COMPUTED_VALUE"""),"นายอนุรักษ์ จั่นเที่ยง")</f>
        <v>นายอนุรักษ์ จั่นเที่ยง</v>
      </c>
      <c r="H109" s="1" t="str">
        <f>IFERROR(__xludf.DUMMYFUNCTION("""COMPUTED_VALUE"""),"2454813")</f>
        <v>2454813</v>
      </c>
      <c r="I109" s="1" t="str">
        <f>IFERROR(__xludf.DUMMYFUNCTION("""COMPUTED_VALUE"""),"นายอนุรักษ์ จั่นเที่ยง")</f>
        <v>นายอนุรักษ์ จั่นเที่ยง</v>
      </c>
      <c r="J109" s="3">
        <f>IFERROR(__xludf.DUMMYFUNCTION("""COMPUTED_VALUE"""),2454813.0)</f>
        <v>2454813</v>
      </c>
      <c r="K109" s="3" t="str">
        <f>IFERROR(__xludf.DUMMYFUNCTION("""COMPUTED_VALUE"""),"นายอนุรักษ์ จั่นเที่ยง")</f>
        <v>นายอนุรักษ์ จั่นเที่ยง</v>
      </c>
      <c r="L109" s="1" t="str">
        <f>IFERROR(__xludf.DUMMYFUNCTION("""COMPUTED_VALUE"""),"Hub04-BKK 4")</f>
        <v>Hub04-BKK 4</v>
      </c>
      <c r="M109" s="1" t="str">
        <f>IFERROR(__xludf.DUMMYFUNCTION("""COMPUTED_VALUE"""),"0991964531")</f>
        <v>0991964531</v>
      </c>
      <c r="N109" s="3">
        <f>IFERROR(__xludf.DUMMYFUNCTION("""COMPUTED_VALUE"""),11210.0)</f>
        <v>11210</v>
      </c>
      <c r="O109" s="3" t="str">
        <f>IFERROR(__xludf.DUMMYFUNCTION("""COMPUTED_VALUE"""),"เมกาบางนา")</f>
        <v>เมกาบางนา</v>
      </c>
      <c r="P109" s="4">
        <f>IFERROR(__xludf.DUMMYFUNCTION("""COMPUTED_VALUE"""),41032.0)</f>
        <v>41032</v>
      </c>
      <c r="Q109" s="3" t="str">
        <f>IFERROR(__xludf.DUMMYFUNCTION("""COMPUTED_VALUE"""),"A")</f>
        <v>A</v>
      </c>
      <c r="R109" s="3" t="str">
        <f>IFERROR(__xludf.DUMMYFUNCTION("""COMPUTED_VALUE"""),"Big Format")</f>
        <v>Big Format</v>
      </c>
      <c r="S109" s="3" t="str">
        <f>IFERROR(__xludf.DUMMYFUNCTION("""COMPUTED_VALUE"""),"Hyper")</f>
        <v>Hyper</v>
      </c>
      <c r="T109" s="3" t="str">
        <f>IFERROR(__xludf.DUMMYFUNCTION("""COMPUTED_VALUE"""),"Hub04-BKK 4")</f>
        <v>Hub04-BKK 4</v>
      </c>
      <c r="U109" s="3" t="str">
        <f>IFERROR(__xludf.DUMMYFUNCTION("""COMPUTED_VALUE"""),"Hub04-BKK 4")</f>
        <v>Hub04-BKK 4</v>
      </c>
      <c r="V109" s="3" t="str">
        <f>IFERROR(__xludf.DUMMYFUNCTION("""COMPUTED_VALUE"""),"N")</f>
        <v>N</v>
      </c>
      <c r="W109" s="3">
        <f>IFERROR(__xludf.DUMMYFUNCTION("""COMPUTED_VALUE"""),111210.0)</f>
        <v>111210</v>
      </c>
      <c r="X109" s="3" t="str">
        <f>IFERROR(__xludf.DUMMYFUNCTION("""COMPUTED_VALUE"""),"39 หมู่ 6 ตำบลบางแก้ว อำเภอบางพลี จังหวัดสมุทรปราการ 10540")</f>
        <v>39 หมู่ 6 ตำบลบางแก้ว อำเภอบางพลี จังหวัดสมุทรปราการ 10540</v>
      </c>
      <c r="Y109" s="3"/>
      <c r="Z109" s="3" t="str">
        <f>IFERROR(__xludf.DUMMYFUNCTION("""COMPUTED_VALUE"""),"บางแก้ว")</f>
        <v>บางแก้ว</v>
      </c>
      <c r="AA109" s="3" t="str">
        <f>IFERROR(__xludf.DUMMYFUNCTION("""COMPUTED_VALUE"""),"บางพลี")</f>
        <v>บางพลี</v>
      </c>
      <c r="AB109" s="3" t="str">
        <f>IFERROR(__xludf.DUMMYFUNCTION("""COMPUTED_VALUE"""),"สมุทรปราการ")</f>
        <v>สมุทรปราการ</v>
      </c>
      <c r="AC109" s="3">
        <f>IFERROR(__xludf.DUMMYFUNCTION("""COMPUTED_VALUE"""),10540.0)</f>
        <v>10540</v>
      </c>
      <c r="AD109" s="3">
        <f>IFERROR(__xludf.DUMMYFUNCTION("""COMPUTED_VALUE"""),13.64928)</f>
        <v>13.64928</v>
      </c>
      <c r="AE109" s="3">
        <f>IFERROR(__xludf.DUMMYFUNCTION("""COMPUTED_VALUE"""),100.6806)</f>
        <v>100.6806</v>
      </c>
      <c r="AF109" s="3" t="str">
        <f>IFERROR(__xludf.DUMMYFUNCTION("""COMPUTED_VALUE"""),"เมกาบางนา-11210")</f>
        <v>เมกาบางนา-11210</v>
      </c>
      <c r="AG109" s="3" t="str">
        <f>IFERROR(__xludf.DUMMYFUNCTION("""COMPUTED_VALUE"""),"กลาง")</f>
        <v>กลาง</v>
      </c>
      <c r="AH109" s="3" t="str">
        <f>IFERROR(__xludf.DUMMYFUNCTION("""COMPUTED_VALUE"""),"Natsarine Seammai")</f>
        <v>Natsarine Seammai</v>
      </c>
      <c r="AI109" s="3" t="str">
        <f>IFERROR(__xludf.DUMMYFUNCTION("""COMPUTED_VALUE"""),"Out of warranty")</f>
        <v>Out of warranty</v>
      </c>
      <c r="AJ109" s="3">
        <f>IFERROR(__xludf.DUMMYFUNCTION("""COMPUTED_VALUE"""),165.0)</f>
        <v>165</v>
      </c>
      <c r="AK109" s="3"/>
      <c r="AL109" s="3" t="str">
        <f>IFERROR(__xludf.DUMMYFUNCTION("""COMPUTED_VALUE"""),"sgm.megabangna@bigc.co.th")</f>
        <v>sgm.megabangna@bigc.co.th</v>
      </c>
    </row>
    <row r="110" ht="15.75" customHeight="1">
      <c r="A110" s="1" t="str">
        <f>IFERROR(__xludf.DUMMYFUNCTION("""COMPUTED_VALUE"""),"11211")</f>
        <v>11211</v>
      </c>
      <c r="B110" s="2">
        <f>IFERROR(__xludf.DUMMYFUNCTION("""COMPUTED_VALUE"""),11211.0)</f>
        <v>11211</v>
      </c>
      <c r="C110" s="3" t="str">
        <f>IFERROR(__xludf.DUMMYFUNCTION("""COMPUTED_VALUE"""),"เลย")</f>
        <v>เลย</v>
      </c>
      <c r="D110" s="3" t="str">
        <f>IFERROR(__xludf.DUMMYFUNCTION("""COMPUTED_VALUE"""),"BIGC LOEI")</f>
        <v>BIGC LOEI</v>
      </c>
      <c r="E110" s="1" t="str">
        <f>IFERROR(__xludf.DUMMYFUNCTION("""COMPUTED_VALUE"""),"บิ๊กซี HyperMarket")</f>
        <v>บิ๊กซี HyperMarket</v>
      </c>
      <c r="F110" s="1" t="str">
        <f>IFERROR(__xludf.DUMMYFUNCTION("""COMPUTED_VALUE"""),"295801")</f>
        <v>295801</v>
      </c>
      <c r="G110" s="1" t="str">
        <f>IFERROR(__xludf.DUMMYFUNCTION("""COMPUTED_VALUE"""),"นายอรรถพล เหล่าสุวงศ์")</f>
        <v>นายอรรถพล เหล่าสุวงศ์</v>
      </c>
      <c r="H110" s="1" t="str">
        <f>IFERROR(__xludf.DUMMYFUNCTION("""COMPUTED_VALUE"""),"295801")</f>
        <v>295801</v>
      </c>
      <c r="I110" s="1" t="str">
        <f>IFERROR(__xludf.DUMMYFUNCTION("""COMPUTED_VALUE"""),"นายอรรถพล เหล่าสุวงศ์")</f>
        <v>นายอรรถพล เหล่าสุวงศ์</v>
      </c>
      <c r="J110" s="3">
        <f>IFERROR(__xludf.DUMMYFUNCTION("""COMPUTED_VALUE"""),295801.0)</f>
        <v>295801</v>
      </c>
      <c r="K110" s="3" t="str">
        <f>IFERROR(__xludf.DUMMYFUNCTION("""COMPUTED_VALUE"""),"นายอรรถพล เหล่าสุวงศ์")</f>
        <v>นายอรรถพล เหล่าสุวงศ์</v>
      </c>
      <c r="L110" s="1" t="str">
        <f>IFERROR(__xludf.DUMMYFUNCTION("""COMPUTED_VALUE"""),"Hub09-NE 1")</f>
        <v>Hub09-NE 1</v>
      </c>
      <c r="M110" s="1" t="str">
        <f>IFERROR(__xludf.DUMMYFUNCTION("""COMPUTED_VALUE"""),"0655090879")</f>
        <v>0655090879</v>
      </c>
      <c r="N110" s="3">
        <f>IFERROR(__xludf.DUMMYFUNCTION("""COMPUTED_VALUE"""),11211.0)</f>
        <v>11211</v>
      </c>
      <c r="O110" s="3" t="str">
        <f>IFERROR(__xludf.DUMMYFUNCTION("""COMPUTED_VALUE"""),"เลย")</f>
        <v>เลย</v>
      </c>
      <c r="P110" s="4">
        <f>IFERROR(__xludf.DUMMYFUNCTION("""COMPUTED_VALUE"""),41122.0)</f>
        <v>41122</v>
      </c>
      <c r="Q110" s="3" t="str">
        <f>IFERROR(__xludf.DUMMYFUNCTION("""COMPUTED_VALUE"""),"A")</f>
        <v>A</v>
      </c>
      <c r="R110" s="3" t="str">
        <f>IFERROR(__xludf.DUMMYFUNCTION("""COMPUTED_VALUE"""),"Big Format")</f>
        <v>Big Format</v>
      </c>
      <c r="S110" s="3" t="str">
        <f>IFERROR(__xludf.DUMMYFUNCTION("""COMPUTED_VALUE"""),"Hyper")</f>
        <v>Hyper</v>
      </c>
      <c r="T110" s="3" t="str">
        <f>IFERROR(__xludf.DUMMYFUNCTION("""COMPUTED_VALUE"""),"Hub09-NE 1")</f>
        <v>Hub09-NE 1</v>
      </c>
      <c r="U110" s="3" t="str">
        <f>IFERROR(__xludf.DUMMYFUNCTION("""COMPUTED_VALUE"""),"Hub09-NE 1")</f>
        <v>Hub09-NE 1</v>
      </c>
      <c r="V110" s="3" t="str">
        <f>IFERROR(__xludf.DUMMYFUNCTION("""COMPUTED_VALUE"""),"N")</f>
        <v>N</v>
      </c>
      <c r="W110" s="3">
        <f>IFERROR(__xludf.DUMMYFUNCTION("""COMPUTED_VALUE"""),111211.0)</f>
        <v>111211</v>
      </c>
      <c r="X110" s="3" t="str">
        <f>IFERROR(__xludf.DUMMYFUNCTION("""COMPUTED_VALUE"""),"114 หมู่ 9 ตำบลนาอาน อำเภอเมืองเลย จังหวัดเลย 42000")</f>
        <v>114 หมู่ 9 ตำบลนาอาน อำเภอเมืองเลย จังหวัดเลย 42000</v>
      </c>
      <c r="Y110" s="3"/>
      <c r="Z110" s="3" t="str">
        <f>IFERROR(__xludf.DUMMYFUNCTION("""COMPUTED_VALUE"""),"นาอาน")</f>
        <v>นาอาน</v>
      </c>
      <c r="AA110" s="3" t="str">
        <f>IFERROR(__xludf.DUMMYFUNCTION("""COMPUTED_VALUE"""),"เมือง")</f>
        <v>เมือง</v>
      </c>
      <c r="AB110" s="3" t="str">
        <f>IFERROR(__xludf.DUMMYFUNCTION("""COMPUTED_VALUE"""),"เลย")</f>
        <v>เลย</v>
      </c>
      <c r="AC110" s="3">
        <f>IFERROR(__xludf.DUMMYFUNCTION("""COMPUTED_VALUE"""),42000.0)</f>
        <v>42000</v>
      </c>
      <c r="AD110" s="3">
        <f>IFERROR(__xludf.DUMMYFUNCTION("""COMPUTED_VALUE"""),17.462905)</f>
        <v>17.462905</v>
      </c>
      <c r="AE110" s="3">
        <f>IFERROR(__xludf.DUMMYFUNCTION("""COMPUTED_VALUE"""),101.72789)</f>
        <v>101.72789</v>
      </c>
      <c r="AF110" s="3" t="str">
        <f>IFERROR(__xludf.DUMMYFUNCTION("""COMPUTED_VALUE"""),"เลย-11211")</f>
        <v>เลย-11211</v>
      </c>
      <c r="AG110" s="3" t="str">
        <f>IFERROR(__xludf.DUMMYFUNCTION("""COMPUTED_VALUE"""),"ตะวันออกเฉียงเหนือ")</f>
        <v>ตะวันออกเฉียงเหนือ</v>
      </c>
      <c r="AH110" s="3" t="str">
        <f>IFERROR(__xludf.DUMMYFUNCTION("""COMPUTED_VALUE"""),"K.Narabordee")</f>
        <v>K.Narabordee</v>
      </c>
      <c r="AI110" s="3" t="str">
        <f>IFERROR(__xludf.DUMMYFUNCTION("""COMPUTED_VALUE"""),"Out of warranty")</f>
        <v>Out of warranty</v>
      </c>
      <c r="AJ110" s="3">
        <f>IFERROR(__xludf.DUMMYFUNCTION("""COMPUTED_VALUE"""),162.0)</f>
        <v>162</v>
      </c>
      <c r="AK110" s="3"/>
      <c r="AL110" s="3" t="str">
        <f>IFERROR(__xludf.DUMMYFUNCTION("""COMPUTED_VALUE"""),"sgm.loei@bigc.co.th")</f>
        <v>sgm.loei@bigc.co.th</v>
      </c>
    </row>
    <row r="111" ht="15.75" customHeight="1">
      <c r="A111" s="1" t="str">
        <f>IFERROR(__xludf.DUMMYFUNCTION("""COMPUTED_VALUE"""),"11212")</f>
        <v>11212</v>
      </c>
      <c r="B111" s="2">
        <f>IFERROR(__xludf.DUMMYFUNCTION("""COMPUTED_VALUE"""),11212.0)</f>
        <v>11212</v>
      </c>
      <c r="C111" s="3" t="str">
        <f>IFERROR(__xludf.DUMMYFUNCTION("""COMPUTED_VALUE"""),"สตูล")</f>
        <v>สตูล</v>
      </c>
      <c r="D111" s="3" t="str">
        <f>IFERROR(__xludf.DUMMYFUNCTION("""COMPUTED_VALUE"""),"BIGC SATUN")</f>
        <v>BIGC SATUN</v>
      </c>
      <c r="E111" s="1" t="str">
        <f>IFERROR(__xludf.DUMMYFUNCTION("""COMPUTED_VALUE"""),"บิ๊กซี HyperMarket")</f>
        <v>บิ๊กซี HyperMarket</v>
      </c>
      <c r="F111" s="1" t="str">
        <f>IFERROR(__xludf.DUMMYFUNCTION("""COMPUTED_VALUE"""),"2454709")</f>
        <v>2454709</v>
      </c>
      <c r="G111" s="1" t="str">
        <f>IFERROR(__xludf.DUMMYFUNCTION("""COMPUTED_VALUE"""),"นายประชา เกตุชาติ")</f>
        <v>นายประชา เกตุชาติ</v>
      </c>
      <c r="H111" s="1" t="str">
        <f>IFERROR(__xludf.DUMMYFUNCTION("""COMPUTED_VALUE"""),"2454709")</f>
        <v>2454709</v>
      </c>
      <c r="I111" s="1" t="str">
        <f>IFERROR(__xludf.DUMMYFUNCTION("""COMPUTED_VALUE"""),"นายประชา เกตุชาติ")</f>
        <v>นายประชา เกตุชาติ</v>
      </c>
      <c r="J111" s="3">
        <f>IFERROR(__xludf.DUMMYFUNCTION("""COMPUTED_VALUE"""),2454709.0)</f>
        <v>2454709</v>
      </c>
      <c r="K111" s="3" t="str">
        <f>IFERROR(__xludf.DUMMYFUNCTION("""COMPUTED_VALUE"""),"นายประชา เกตุชาติ")</f>
        <v>นายประชา เกตุชาติ</v>
      </c>
      <c r="L111" s="1" t="str">
        <f>IFERROR(__xludf.DUMMYFUNCTION("""COMPUTED_VALUE"""),"Hub05-South")</f>
        <v>Hub05-South</v>
      </c>
      <c r="M111" s="1" t="str">
        <f>IFERROR(__xludf.DUMMYFUNCTION("""COMPUTED_VALUE"""),"0659291311")</f>
        <v>0659291311</v>
      </c>
      <c r="N111" s="3">
        <f>IFERROR(__xludf.DUMMYFUNCTION("""COMPUTED_VALUE"""),11212.0)</f>
        <v>11212</v>
      </c>
      <c r="O111" s="3" t="str">
        <f>IFERROR(__xludf.DUMMYFUNCTION("""COMPUTED_VALUE"""),"สตูล")</f>
        <v>สตูล</v>
      </c>
      <c r="P111" s="4">
        <f>IFERROR(__xludf.DUMMYFUNCTION("""COMPUTED_VALUE"""),41136.0)</f>
        <v>41136</v>
      </c>
      <c r="Q111" s="3" t="str">
        <f>IFERROR(__xludf.DUMMYFUNCTION("""COMPUTED_VALUE"""),"A")</f>
        <v>A</v>
      </c>
      <c r="R111" s="3" t="str">
        <f>IFERROR(__xludf.DUMMYFUNCTION("""COMPUTED_VALUE"""),"Big Format")</f>
        <v>Big Format</v>
      </c>
      <c r="S111" s="3" t="str">
        <f>IFERROR(__xludf.DUMMYFUNCTION("""COMPUTED_VALUE"""),"Hyper")</f>
        <v>Hyper</v>
      </c>
      <c r="T111" s="3" t="str">
        <f>IFERROR(__xludf.DUMMYFUNCTION("""COMPUTED_VALUE"""),"Hub05-South")</f>
        <v>Hub05-South</v>
      </c>
      <c r="U111" s="3" t="str">
        <f>IFERROR(__xludf.DUMMYFUNCTION("""COMPUTED_VALUE"""),"Hub05-South")</f>
        <v>Hub05-South</v>
      </c>
      <c r="V111" s="3" t="str">
        <f>IFERROR(__xludf.DUMMYFUNCTION("""COMPUTED_VALUE"""),"N")</f>
        <v>N</v>
      </c>
      <c r="W111" s="3">
        <f>IFERROR(__xludf.DUMMYFUNCTION("""COMPUTED_VALUE"""),111212.0)</f>
        <v>111212</v>
      </c>
      <c r="X111" s="3" t="str">
        <f>IFERROR(__xludf.DUMMYFUNCTION("""COMPUTED_VALUE"""),"959 หมู่ 7 ตำบลคลองขุด อำเภอเมืองสตูล จังหวัดสตูล 91000")</f>
        <v>959 หมู่ 7 ตำบลคลองขุด อำเภอเมืองสตูล จังหวัดสตูล 91000</v>
      </c>
      <c r="Y111" s="3"/>
      <c r="Z111" s="3" t="str">
        <f>IFERROR(__xludf.DUMMYFUNCTION("""COMPUTED_VALUE"""),"คลองขุด")</f>
        <v>คลองขุด</v>
      </c>
      <c r="AA111" s="3" t="str">
        <f>IFERROR(__xludf.DUMMYFUNCTION("""COMPUTED_VALUE"""),"เมือง")</f>
        <v>เมือง</v>
      </c>
      <c r="AB111" s="3" t="str">
        <f>IFERROR(__xludf.DUMMYFUNCTION("""COMPUTED_VALUE"""),"สตูล")</f>
        <v>สตูล</v>
      </c>
      <c r="AC111" s="3">
        <f>IFERROR(__xludf.DUMMYFUNCTION("""COMPUTED_VALUE"""),91000.0)</f>
        <v>91000</v>
      </c>
      <c r="AD111" s="3">
        <f>IFERROR(__xludf.DUMMYFUNCTION("""COMPUTED_VALUE"""),6.63801)</f>
        <v>6.63801</v>
      </c>
      <c r="AE111" s="3">
        <f>IFERROR(__xludf.DUMMYFUNCTION("""COMPUTED_VALUE"""),100.07169)</f>
        <v>100.07169</v>
      </c>
      <c r="AF111" s="3" t="str">
        <f>IFERROR(__xludf.DUMMYFUNCTION("""COMPUTED_VALUE"""),"สตูล-11212")</f>
        <v>สตูล-11212</v>
      </c>
      <c r="AG111" s="3" t="str">
        <f>IFERROR(__xludf.DUMMYFUNCTION("""COMPUTED_VALUE"""),"ใต้")</f>
        <v>ใต้</v>
      </c>
      <c r="AH111" s="3" t="str">
        <f>IFERROR(__xludf.DUMMYFUNCTION("""COMPUTED_VALUE"""),"Suwadee Intachart")</f>
        <v>Suwadee Intachart</v>
      </c>
      <c r="AI111" s="3" t="str">
        <f>IFERROR(__xludf.DUMMYFUNCTION("""COMPUTED_VALUE"""),"Out of warranty")</f>
        <v>Out of warranty</v>
      </c>
      <c r="AJ111" s="3">
        <f>IFERROR(__xludf.DUMMYFUNCTION("""COMPUTED_VALUE"""),162.0)</f>
        <v>162</v>
      </c>
      <c r="AK111" s="3"/>
      <c r="AL111" s="3" t="str">
        <f>IFERROR(__xludf.DUMMYFUNCTION("""COMPUTED_VALUE"""),"sgm.satun@bigc.co.th")</f>
        <v>sgm.satun@bigc.co.th</v>
      </c>
    </row>
    <row r="112" ht="15.75" customHeight="1">
      <c r="A112" s="1" t="str">
        <f>IFERROR(__xludf.DUMMYFUNCTION("""COMPUTED_VALUE"""),"11213")</f>
        <v>11213</v>
      </c>
      <c r="B112" s="2">
        <f>IFERROR(__xludf.DUMMYFUNCTION("""COMPUTED_VALUE"""),11213.0)</f>
        <v>11213</v>
      </c>
      <c r="C112" s="3" t="str">
        <f>IFERROR(__xludf.DUMMYFUNCTION("""COMPUTED_VALUE"""),"มุกดาหาร")</f>
        <v>มุกดาหาร</v>
      </c>
      <c r="D112" s="3" t="str">
        <f>IFERROR(__xludf.DUMMYFUNCTION("""COMPUTED_VALUE"""),"BIGC MUKDAHAN")</f>
        <v>BIGC MUKDAHAN</v>
      </c>
      <c r="E112" s="1" t="str">
        <f>IFERROR(__xludf.DUMMYFUNCTION("""COMPUTED_VALUE"""),"บิ๊กซี HyperMarket")</f>
        <v>บิ๊กซี HyperMarket</v>
      </c>
      <c r="F112" s="1" t="str">
        <f>IFERROR(__xludf.DUMMYFUNCTION("""COMPUTED_VALUE"""),"033317")</f>
        <v>033317</v>
      </c>
      <c r="G112" s="1" t="str">
        <f>IFERROR(__xludf.DUMMYFUNCTION("""COMPUTED_VALUE"""),"นายอาณัติ เพชรภาน")</f>
        <v>นายอาณัติ เพชรภาน</v>
      </c>
      <c r="H112" s="1" t="str">
        <f>IFERROR(__xludf.DUMMYFUNCTION("""COMPUTED_VALUE"""),"033317")</f>
        <v>033317</v>
      </c>
      <c r="I112" s="1" t="str">
        <f>IFERROR(__xludf.DUMMYFUNCTION("""COMPUTED_VALUE"""),"นายอาณัติ เพชรภาน")</f>
        <v>นายอาณัติ เพชรภาน</v>
      </c>
      <c r="J112" s="3">
        <f>IFERROR(__xludf.DUMMYFUNCTION("""COMPUTED_VALUE"""),33317.0)</f>
        <v>33317</v>
      </c>
      <c r="K112" s="3" t="str">
        <f>IFERROR(__xludf.DUMMYFUNCTION("""COMPUTED_VALUE"""),"นายอาณัติ เพชรภาน")</f>
        <v>นายอาณัติ เพชรภาน</v>
      </c>
      <c r="L112" s="1" t="str">
        <f>IFERROR(__xludf.DUMMYFUNCTION("""COMPUTED_VALUE"""),"Hub10-NE 2")</f>
        <v>Hub10-NE 2</v>
      </c>
      <c r="M112" s="1" t="str">
        <f>IFERROR(__xludf.DUMMYFUNCTION("""COMPUTED_VALUE"""),"0644791409")</f>
        <v>0644791409</v>
      </c>
      <c r="N112" s="3">
        <f>IFERROR(__xludf.DUMMYFUNCTION("""COMPUTED_VALUE"""),11213.0)</f>
        <v>11213</v>
      </c>
      <c r="O112" s="3" t="str">
        <f>IFERROR(__xludf.DUMMYFUNCTION("""COMPUTED_VALUE"""),"มุกดาหาร")</f>
        <v>มุกดาหาร</v>
      </c>
      <c r="P112" s="4">
        <f>IFERROR(__xludf.DUMMYFUNCTION("""COMPUTED_VALUE"""),41153.0)</f>
        <v>41153</v>
      </c>
      <c r="Q112" s="3" t="str">
        <f>IFERROR(__xludf.DUMMYFUNCTION("""COMPUTED_VALUE"""),"A")</f>
        <v>A</v>
      </c>
      <c r="R112" s="3" t="str">
        <f>IFERROR(__xludf.DUMMYFUNCTION("""COMPUTED_VALUE"""),"Big Format")</f>
        <v>Big Format</v>
      </c>
      <c r="S112" s="3" t="str">
        <f>IFERROR(__xludf.DUMMYFUNCTION("""COMPUTED_VALUE"""),"Hyper")</f>
        <v>Hyper</v>
      </c>
      <c r="T112" s="3" t="str">
        <f>IFERROR(__xludf.DUMMYFUNCTION("""COMPUTED_VALUE"""),"Hub10-NE 2")</f>
        <v>Hub10-NE 2</v>
      </c>
      <c r="U112" s="3" t="str">
        <f>IFERROR(__xludf.DUMMYFUNCTION("""COMPUTED_VALUE"""),"Hub10-NE 2")</f>
        <v>Hub10-NE 2</v>
      </c>
      <c r="V112" s="3" t="str">
        <f>IFERROR(__xludf.DUMMYFUNCTION("""COMPUTED_VALUE"""),"N")</f>
        <v>N</v>
      </c>
      <c r="W112" s="3">
        <f>IFERROR(__xludf.DUMMYFUNCTION("""COMPUTED_VALUE"""),111213.0)</f>
        <v>111213</v>
      </c>
      <c r="X112" s="3" t="str">
        <f>IFERROR(__xludf.DUMMYFUNCTION("""COMPUTED_VALUE"""),"77/11 ถนนชยางกูร ตำบลมุกดาหาร อำเภอเมืองมุกดาหาร จังหวัดมุกดาหาร 49000")</f>
        <v>77/11 ถนนชยางกูร ตำบลมุกดาหาร อำเภอเมืองมุกดาหาร จังหวัดมุกดาหาร 49000</v>
      </c>
      <c r="Y112" s="3" t="str">
        <f>IFERROR(__xludf.DUMMYFUNCTION("""COMPUTED_VALUE"""),"ถนนชยางกูร")</f>
        <v>ถนนชยางกูร</v>
      </c>
      <c r="Z112" s="3" t="str">
        <f>IFERROR(__xludf.DUMMYFUNCTION("""COMPUTED_VALUE"""),"มุกดาหาร")</f>
        <v>มุกดาหาร</v>
      </c>
      <c r="AA112" s="3" t="str">
        <f>IFERROR(__xludf.DUMMYFUNCTION("""COMPUTED_VALUE"""),"เมือง")</f>
        <v>เมือง</v>
      </c>
      <c r="AB112" s="3" t="str">
        <f>IFERROR(__xludf.DUMMYFUNCTION("""COMPUTED_VALUE"""),"มุกดาหาร")</f>
        <v>มุกดาหาร</v>
      </c>
      <c r="AC112" s="3">
        <f>IFERROR(__xludf.DUMMYFUNCTION("""COMPUTED_VALUE"""),49000.0)</f>
        <v>49000</v>
      </c>
      <c r="AD112" s="3">
        <f>IFERROR(__xludf.DUMMYFUNCTION("""COMPUTED_VALUE"""),16.55531)</f>
        <v>16.55531</v>
      </c>
      <c r="AE112" s="3">
        <f>IFERROR(__xludf.DUMMYFUNCTION("""COMPUTED_VALUE"""),104.71754)</f>
        <v>104.71754</v>
      </c>
      <c r="AF112" s="3" t="str">
        <f>IFERROR(__xludf.DUMMYFUNCTION("""COMPUTED_VALUE"""),"มุกดาหาร-11213")</f>
        <v>มุกดาหาร-11213</v>
      </c>
      <c r="AG112" s="3" t="str">
        <f>IFERROR(__xludf.DUMMYFUNCTION("""COMPUTED_VALUE"""),"ตะวันออกเฉียงเหนือ")</f>
        <v>ตะวันออกเฉียงเหนือ</v>
      </c>
      <c r="AH112" s="3" t="str">
        <f>IFERROR(__xludf.DUMMYFUNCTION("""COMPUTED_VALUE"""),"Pajaob Wongpakdee")</f>
        <v>Pajaob Wongpakdee</v>
      </c>
      <c r="AI112" s="3" t="str">
        <f>IFERROR(__xludf.DUMMYFUNCTION("""COMPUTED_VALUE"""),"Out of warranty")</f>
        <v>Out of warranty</v>
      </c>
      <c r="AJ112" s="3">
        <f>IFERROR(__xludf.DUMMYFUNCTION("""COMPUTED_VALUE"""),161.0)</f>
        <v>161</v>
      </c>
      <c r="AK112" s="3"/>
      <c r="AL112" s="3" t="str">
        <f>IFERROR(__xludf.DUMMYFUNCTION("""COMPUTED_VALUE"""),"sgm.mukdahan@bigc.co.th")</f>
        <v>sgm.mukdahan@bigc.co.th</v>
      </c>
    </row>
    <row r="113" ht="15.75" customHeight="1">
      <c r="A113" s="1" t="str">
        <f>IFERROR(__xludf.DUMMYFUNCTION("""COMPUTED_VALUE"""),"11214")</f>
        <v>11214</v>
      </c>
      <c r="B113" s="2">
        <f>IFERROR(__xludf.DUMMYFUNCTION("""COMPUTED_VALUE"""),11214.0)</f>
        <v>11214</v>
      </c>
      <c r="C113" s="3" t="str">
        <f>IFERROR(__xludf.DUMMYFUNCTION("""COMPUTED_VALUE"""),"นครสวรรค์ 2")</f>
        <v>นครสวรรค์ 2</v>
      </c>
      <c r="D113" s="3" t="str">
        <f>IFERROR(__xludf.DUMMYFUNCTION("""COMPUTED_VALUE"""),"BIGC NAKHONSAWAN2")</f>
        <v>BIGC NAKHONSAWAN2</v>
      </c>
      <c r="E113" s="1" t="str">
        <f>IFERROR(__xludf.DUMMYFUNCTION("""COMPUTED_VALUE"""),"บิ๊กซี HyperMarket")</f>
        <v>บิ๊กซี HyperMarket</v>
      </c>
      <c r="F113" s="1" t="str">
        <f>IFERROR(__xludf.DUMMYFUNCTION("""COMPUTED_VALUE"""),"2455179")</f>
        <v>2455179</v>
      </c>
      <c r="G113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113" s="1" t="str">
        <f>IFERROR(__xludf.DUMMYFUNCTION("""COMPUTED_VALUE"""),"2455179")</f>
        <v>2455179</v>
      </c>
      <c r="I113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113" s="3">
        <f>IFERROR(__xludf.DUMMYFUNCTION("""COMPUTED_VALUE"""),2455179.0)</f>
        <v>2455179</v>
      </c>
      <c r="K113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113" s="1" t="str">
        <f>IFERROR(__xludf.DUMMYFUNCTION("""COMPUTED_VALUE"""),"Hub06-C&amp;W")</f>
        <v>Hub06-C&amp;W</v>
      </c>
      <c r="M113" s="1" t="str">
        <f>IFERROR(__xludf.DUMMYFUNCTION("""COMPUTED_VALUE"""),"090-993-6896")</f>
        <v>090-993-6896</v>
      </c>
      <c r="N113" s="3">
        <f>IFERROR(__xludf.DUMMYFUNCTION("""COMPUTED_VALUE"""),11214.0)</f>
        <v>11214</v>
      </c>
      <c r="O113" s="3" t="str">
        <f>IFERROR(__xludf.DUMMYFUNCTION("""COMPUTED_VALUE"""),"นครสวรรค์ 2")</f>
        <v>นครสวรรค์ 2</v>
      </c>
      <c r="P113" s="4">
        <f>IFERROR(__xludf.DUMMYFUNCTION("""COMPUTED_VALUE"""),41268.0)</f>
        <v>41268</v>
      </c>
      <c r="Q113" s="3" t="str">
        <f>IFERROR(__xludf.DUMMYFUNCTION("""COMPUTED_VALUE"""),"A")</f>
        <v>A</v>
      </c>
      <c r="R113" s="3" t="str">
        <f>IFERROR(__xludf.DUMMYFUNCTION("""COMPUTED_VALUE"""),"Big Format")</f>
        <v>Big Format</v>
      </c>
      <c r="S113" s="3" t="str">
        <f>IFERROR(__xludf.DUMMYFUNCTION("""COMPUTED_VALUE"""),"Hyper")</f>
        <v>Hyper</v>
      </c>
      <c r="T113" s="3" t="str">
        <f>IFERROR(__xludf.DUMMYFUNCTION("""COMPUTED_VALUE"""),"Hub06-C&amp;W")</f>
        <v>Hub06-C&amp;W</v>
      </c>
      <c r="U113" s="3" t="str">
        <f>IFERROR(__xludf.DUMMYFUNCTION("""COMPUTED_VALUE"""),"Hub06-C&amp;W")</f>
        <v>Hub06-C&amp;W</v>
      </c>
      <c r="V113" s="3" t="str">
        <f>IFERROR(__xludf.DUMMYFUNCTION("""COMPUTED_VALUE"""),"N")</f>
        <v>N</v>
      </c>
      <c r="W113" s="3">
        <f>IFERROR(__xludf.DUMMYFUNCTION("""COMPUTED_VALUE"""),111214.0)</f>
        <v>111214</v>
      </c>
      <c r="X113" s="3" t="str">
        <f>IFERROR(__xludf.DUMMYFUNCTION("""COMPUTED_VALUE"""),"610/9 หมู่ 10 ตำบลนครสวรรค์ตก อำเภอเมืองนครสวรรค์ จังหวัดนครสวรรค์ 60000")</f>
        <v>610/9 หมู่ 10 ตำบลนครสวรรค์ตก อำเภอเมืองนครสวรรค์ จังหวัดนครสวรรค์ 60000</v>
      </c>
      <c r="Y113" s="3"/>
      <c r="Z113" s="3" t="str">
        <f>IFERROR(__xludf.DUMMYFUNCTION("""COMPUTED_VALUE"""),"นครสวรรค์ตก")</f>
        <v>นครสวรรค์ตก</v>
      </c>
      <c r="AA113" s="3" t="str">
        <f>IFERROR(__xludf.DUMMYFUNCTION("""COMPUTED_VALUE"""),"เมือง")</f>
        <v>เมือง</v>
      </c>
      <c r="AB113" s="3" t="str">
        <f>IFERROR(__xludf.DUMMYFUNCTION("""COMPUTED_VALUE"""),"นครสวรรค์")</f>
        <v>นครสวรรค์</v>
      </c>
      <c r="AC113" s="3">
        <f>IFERROR(__xludf.DUMMYFUNCTION("""COMPUTED_VALUE"""),60000.0)</f>
        <v>60000</v>
      </c>
      <c r="AD113" s="3">
        <f>IFERROR(__xludf.DUMMYFUNCTION("""COMPUTED_VALUE"""),15.711544)</f>
        <v>15.711544</v>
      </c>
      <c r="AE113" s="3">
        <f>IFERROR(__xludf.DUMMYFUNCTION("""COMPUTED_VALUE"""),100.121627)</f>
        <v>100.121627</v>
      </c>
      <c r="AF113" s="3" t="str">
        <f>IFERROR(__xludf.DUMMYFUNCTION("""COMPUTED_VALUE"""),"นครสวรรค์ 2-11214")</f>
        <v>นครสวรรค์ 2-11214</v>
      </c>
      <c r="AG113" s="3" t="str">
        <f>IFERROR(__xludf.DUMMYFUNCTION("""COMPUTED_VALUE"""),"กลาง")</f>
        <v>กลาง</v>
      </c>
      <c r="AH113" s="3" t="str">
        <f>IFERROR(__xludf.DUMMYFUNCTION("""COMPUTED_VALUE"""),"Wichian Nasungnoen")</f>
        <v>Wichian Nasungnoen</v>
      </c>
      <c r="AI113" s="3" t="str">
        <f>IFERROR(__xludf.DUMMYFUNCTION("""COMPUTED_VALUE"""),"Out of warranty")</f>
        <v>Out of warranty</v>
      </c>
      <c r="AJ113" s="3">
        <f>IFERROR(__xludf.DUMMYFUNCTION("""COMPUTED_VALUE"""),157.0)</f>
        <v>157</v>
      </c>
      <c r="AK113" s="3"/>
      <c r="AL113" s="3" t="str">
        <f>IFERROR(__xludf.DUMMYFUNCTION("""COMPUTED_VALUE"""),"sgm.nakhonsawan2@bigc.co.th")</f>
        <v>sgm.nakhonsawan2@bigc.co.th</v>
      </c>
    </row>
    <row r="114" ht="15.75" customHeight="1">
      <c r="A114" s="1" t="str">
        <f>IFERROR(__xludf.DUMMYFUNCTION("""COMPUTED_VALUE"""),"11215")</f>
        <v>11215</v>
      </c>
      <c r="B114" s="2">
        <f>IFERROR(__xludf.DUMMYFUNCTION("""COMPUTED_VALUE"""),11215.0)</f>
        <v>11215</v>
      </c>
      <c r="C114" s="3" t="str">
        <f>IFERROR(__xludf.DUMMYFUNCTION("""COMPUTED_VALUE"""),"ร้อยเอ็ด")</f>
        <v>ร้อยเอ็ด</v>
      </c>
      <c r="D114" s="3" t="str">
        <f>IFERROR(__xludf.DUMMYFUNCTION("""COMPUTED_VALUE"""),"BIGC ROIET")</f>
        <v>BIGC ROIET</v>
      </c>
      <c r="E114" s="1" t="str">
        <f>IFERROR(__xludf.DUMMYFUNCTION("""COMPUTED_VALUE"""),"บิ๊กซี HyperMarket")</f>
        <v>บิ๊กซี HyperMarket</v>
      </c>
      <c r="F114" s="1" t="str">
        <f>IFERROR(__xludf.DUMMYFUNCTION("""COMPUTED_VALUE"""),"295801")</f>
        <v>295801</v>
      </c>
      <c r="G114" s="1" t="str">
        <f>IFERROR(__xludf.DUMMYFUNCTION("""COMPUTED_VALUE"""),"นายอรรถพล เหล่าสุวงศ์")</f>
        <v>นายอรรถพล เหล่าสุวงศ์</v>
      </c>
      <c r="H114" s="1" t="str">
        <f>IFERROR(__xludf.DUMMYFUNCTION("""COMPUTED_VALUE"""),"295801")</f>
        <v>295801</v>
      </c>
      <c r="I114" s="1" t="str">
        <f>IFERROR(__xludf.DUMMYFUNCTION("""COMPUTED_VALUE"""),"นายอรรถพล เหล่าสุวงศ์")</f>
        <v>นายอรรถพล เหล่าสุวงศ์</v>
      </c>
      <c r="J114" s="3">
        <f>IFERROR(__xludf.DUMMYFUNCTION("""COMPUTED_VALUE"""),295801.0)</f>
        <v>295801</v>
      </c>
      <c r="K114" s="3" t="str">
        <f>IFERROR(__xludf.DUMMYFUNCTION("""COMPUTED_VALUE"""),"นายอรรถพล เหล่าสุวงศ์")</f>
        <v>นายอรรถพล เหล่าสุวงศ์</v>
      </c>
      <c r="L114" s="1" t="str">
        <f>IFERROR(__xludf.DUMMYFUNCTION("""COMPUTED_VALUE"""),"Hub09-NE 1")</f>
        <v>Hub09-NE 1</v>
      </c>
      <c r="M114" s="1" t="str">
        <f>IFERROR(__xludf.DUMMYFUNCTION("""COMPUTED_VALUE"""),"0655090879")</f>
        <v>0655090879</v>
      </c>
      <c r="N114" s="3">
        <f>IFERROR(__xludf.DUMMYFUNCTION("""COMPUTED_VALUE"""),11215.0)</f>
        <v>11215</v>
      </c>
      <c r="O114" s="3" t="str">
        <f>IFERROR(__xludf.DUMMYFUNCTION("""COMPUTED_VALUE"""),"ร้อยเอ็ด")</f>
        <v>ร้อยเอ็ด</v>
      </c>
      <c r="P114" s="4">
        <f>IFERROR(__xludf.DUMMYFUNCTION("""COMPUTED_VALUE"""),41305.0)</f>
        <v>41305</v>
      </c>
      <c r="Q114" s="3" t="str">
        <f>IFERROR(__xludf.DUMMYFUNCTION("""COMPUTED_VALUE"""),"A")</f>
        <v>A</v>
      </c>
      <c r="R114" s="3" t="str">
        <f>IFERROR(__xludf.DUMMYFUNCTION("""COMPUTED_VALUE"""),"Big Format")</f>
        <v>Big Format</v>
      </c>
      <c r="S114" s="3" t="str">
        <f>IFERROR(__xludf.DUMMYFUNCTION("""COMPUTED_VALUE"""),"Hyper")</f>
        <v>Hyper</v>
      </c>
      <c r="T114" s="3" t="str">
        <f>IFERROR(__xludf.DUMMYFUNCTION("""COMPUTED_VALUE"""),"Hub09-NE 1")</f>
        <v>Hub09-NE 1</v>
      </c>
      <c r="U114" s="3" t="str">
        <f>IFERROR(__xludf.DUMMYFUNCTION("""COMPUTED_VALUE"""),"Hub09-NE 1")</f>
        <v>Hub09-NE 1</v>
      </c>
      <c r="V114" s="3" t="str">
        <f>IFERROR(__xludf.DUMMYFUNCTION("""COMPUTED_VALUE"""),"N")</f>
        <v>N</v>
      </c>
      <c r="W114" s="3">
        <f>IFERROR(__xludf.DUMMYFUNCTION("""COMPUTED_VALUE"""),111215.0)</f>
        <v>111215</v>
      </c>
      <c r="X114" s="3" t="str">
        <f>IFERROR(__xludf.DUMMYFUNCTION("""COMPUTED_VALUE"""),"320 หมู่ 10 ตำบลเหนือเมือง อำเภอเมืองร้อยเอ็ด จังหวัดร้อยเอ็ด 45000")</f>
        <v>320 หมู่ 10 ตำบลเหนือเมือง อำเภอเมืองร้อยเอ็ด จังหวัดร้อยเอ็ด 45000</v>
      </c>
      <c r="Y114" s="3"/>
      <c r="Z114" s="3" t="str">
        <f>IFERROR(__xludf.DUMMYFUNCTION("""COMPUTED_VALUE"""),"เหนือเมือง")</f>
        <v>เหนือเมือง</v>
      </c>
      <c r="AA114" s="3" t="str">
        <f>IFERROR(__xludf.DUMMYFUNCTION("""COMPUTED_VALUE"""),"เมือง")</f>
        <v>เมือง</v>
      </c>
      <c r="AB114" s="3" t="str">
        <f>IFERROR(__xludf.DUMMYFUNCTION("""COMPUTED_VALUE"""),"ร้อยเอ็ด")</f>
        <v>ร้อยเอ็ด</v>
      </c>
      <c r="AC114" s="3">
        <f>IFERROR(__xludf.DUMMYFUNCTION("""COMPUTED_VALUE"""),45000.0)</f>
        <v>45000</v>
      </c>
      <c r="AD114" s="3">
        <f>IFERROR(__xludf.DUMMYFUNCTION("""COMPUTED_VALUE"""),16.0766)</f>
        <v>16.0766</v>
      </c>
      <c r="AE114" s="3">
        <f>IFERROR(__xludf.DUMMYFUNCTION("""COMPUTED_VALUE"""),103.6491)</f>
        <v>103.6491</v>
      </c>
      <c r="AF114" s="3" t="str">
        <f>IFERROR(__xludf.DUMMYFUNCTION("""COMPUTED_VALUE"""),"ร้อยเอ็ด-11215")</f>
        <v>ร้อยเอ็ด-11215</v>
      </c>
      <c r="AG114" s="3" t="str">
        <f>IFERROR(__xludf.DUMMYFUNCTION("""COMPUTED_VALUE"""),"ตะวันออกเฉียงเหนือ")</f>
        <v>ตะวันออกเฉียงเหนือ</v>
      </c>
      <c r="AH114" s="3" t="str">
        <f>IFERROR(__xludf.DUMMYFUNCTION("""COMPUTED_VALUE"""),"K.Narabordee")</f>
        <v>K.Narabordee</v>
      </c>
      <c r="AI114" s="3" t="str">
        <f>IFERROR(__xludf.DUMMYFUNCTION("""COMPUTED_VALUE"""),"Out of warranty")</f>
        <v>Out of warranty</v>
      </c>
      <c r="AJ114" s="3">
        <f>IFERROR(__xludf.DUMMYFUNCTION("""COMPUTED_VALUE"""),156.0)</f>
        <v>156</v>
      </c>
      <c r="AK114" s="3"/>
      <c r="AL114" s="3" t="str">
        <f>IFERROR(__xludf.DUMMYFUNCTION("""COMPUTED_VALUE"""),"sgm.roi_et@bigc.co.th")</f>
        <v>sgm.roi_et@bigc.co.th</v>
      </c>
    </row>
    <row r="115" ht="15.75" customHeight="1">
      <c r="A115" s="1" t="str">
        <f>IFERROR(__xludf.DUMMYFUNCTION("""COMPUTED_VALUE"""),"11216")</f>
        <v>11216</v>
      </c>
      <c r="B115" s="2">
        <f>IFERROR(__xludf.DUMMYFUNCTION("""COMPUTED_VALUE"""),11216.0)</f>
        <v>11216</v>
      </c>
      <c r="C115" s="3" t="str">
        <f>IFERROR(__xludf.DUMMYFUNCTION("""COMPUTED_VALUE"""),"อ่างทอง")</f>
        <v>อ่างทอง</v>
      </c>
      <c r="D115" s="3" t="str">
        <f>IFERROR(__xludf.DUMMYFUNCTION("""COMPUTED_VALUE"""),"BIGC ANGTHONG")</f>
        <v>BIGC ANGTHONG</v>
      </c>
      <c r="E115" s="1" t="str">
        <f>IFERROR(__xludf.DUMMYFUNCTION("""COMPUTED_VALUE"""),"บิ๊กซี HyperMarket")</f>
        <v>บิ๊กซี HyperMarket</v>
      </c>
      <c r="F115" s="1" t="str">
        <f>IFERROR(__xludf.DUMMYFUNCTION("""COMPUTED_VALUE"""),"2455179")</f>
        <v>2455179</v>
      </c>
      <c r="G115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115" s="1" t="str">
        <f>IFERROR(__xludf.DUMMYFUNCTION("""COMPUTED_VALUE"""),"2455179")</f>
        <v>2455179</v>
      </c>
      <c r="I115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115" s="3">
        <f>IFERROR(__xludf.DUMMYFUNCTION("""COMPUTED_VALUE"""),2455179.0)</f>
        <v>2455179</v>
      </c>
      <c r="K115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115" s="1" t="str">
        <f>IFERROR(__xludf.DUMMYFUNCTION("""COMPUTED_VALUE"""),"Hub06-C&amp;W")</f>
        <v>Hub06-C&amp;W</v>
      </c>
      <c r="M115" s="1" t="str">
        <f>IFERROR(__xludf.DUMMYFUNCTION("""COMPUTED_VALUE"""),"090-993-6896")</f>
        <v>090-993-6896</v>
      </c>
      <c r="N115" s="3">
        <f>IFERROR(__xludf.DUMMYFUNCTION("""COMPUTED_VALUE"""),11216.0)</f>
        <v>11216</v>
      </c>
      <c r="O115" s="3" t="str">
        <f>IFERROR(__xludf.DUMMYFUNCTION("""COMPUTED_VALUE"""),"อ่างทอง")</f>
        <v>อ่างทอง</v>
      </c>
      <c r="P115" s="4">
        <f>IFERROR(__xludf.DUMMYFUNCTION("""COMPUTED_VALUE"""),41422.0)</f>
        <v>41422</v>
      </c>
      <c r="Q115" s="3" t="str">
        <f>IFERROR(__xludf.DUMMYFUNCTION("""COMPUTED_VALUE"""),"A")</f>
        <v>A</v>
      </c>
      <c r="R115" s="3" t="str">
        <f>IFERROR(__xludf.DUMMYFUNCTION("""COMPUTED_VALUE"""),"Big Format")</f>
        <v>Big Format</v>
      </c>
      <c r="S115" s="3" t="str">
        <f>IFERROR(__xludf.DUMMYFUNCTION("""COMPUTED_VALUE"""),"Hyper")</f>
        <v>Hyper</v>
      </c>
      <c r="T115" s="3" t="str">
        <f>IFERROR(__xludf.DUMMYFUNCTION("""COMPUTED_VALUE"""),"Hub06-C&amp;W")</f>
        <v>Hub06-C&amp;W</v>
      </c>
      <c r="U115" s="3" t="str">
        <f>IFERROR(__xludf.DUMMYFUNCTION("""COMPUTED_VALUE"""),"Hub06-C&amp;W")</f>
        <v>Hub06-C&amp;W</v>
      </c>
      <c r="V115" s="3" t="str">
        <f>IFERROR(__xludf.DUMMYFUNCTION("""COMPUTED_VALUE"""),"N")</f>
        <v>N</v>
      </c>
      <c r="W115" s="3">
        <f>IFERROR(__xludf.DUMMYFUNCTION("""COMPUTED_VALUE"""),111216.0)</f>
        <v>111216</v>
      </c>
      <c r="X115" s="3" t="str">
        <f>IFERROR(__xludf.DUMMYFUNCTION("""COMPUTED_VALUE"""),"24 ถนนโพธิ์พระยา-ท่าเรือ ตำบลโพสะ อำเภอเมืองอ่างทอง จังหวัดอ่างทอง 14000")</f>
        <v>24 ถนนโพธิ์พระยา-ท่าเรือ ตำบลโพสะ อำเภอเมืองอ่างทอง จังหวัดอ่างทอง 14000</v>
      </c>
      <c r="Y115" s="3" t="str">
        <f>IFERROR(__xludf.DUMMYFUNCTION("""COMPUTED_VALUE"""),"ถนนโพธิ์พระยา-ท่าเรือ")</f>
        <v>ถนนโพธิ์พระยา-ท่าเรือ</v>
      </c>
      <c r="Z115" s="3" t="str">
        <f>IFERROR(__xludf.DUMMYFUNCTION("""COMPUTED_VALUE"""),"โพสะ")</f>
        <v>โพสะ</v>
      </c>
      <c r="AA115" s="3" t="str">
        <f>IFERROR(__xludf.DUMMYFUNCTION("""COMPUTED_VALUE"""),"เมือง")</f>
        <v>เมือง</v>
      </c>
      <c r="AB115" s="3" t="str">
        <f>IFERROR(__xludf.DUMMYFUNCTION("""COMPUTED_VALUE"""),"อ่างทอง")</f>
        <v>อ่างทอง</v>
      </c>
      <c r="AC115" s="3">
        <f>IFERROR(__xludf.DUMMYFUNCTION("""COMPUTED_VALUE"""),14000.0)</f>
        <v>14000</v>
      </c>
      <c r="AD115" s="3">
        <f>IFERROR(__xludf.DUMMYFUNCTION("""COMPUTED_VALUE"""),14.58205)</f>
        <v>14.58205</v>
      </c>
      <c r="AE115" s="3">
        <f>IFERROR(__xludf.DUMMYFUNCTION("""COMPUTED_VALUE"""),100.458381)</f>
        <v>100.458381</v>
      </c>
      <c r="AF115" s="3" t="str">
        <f>IFERROR(__xludf.DUMMYFUNCTION("""COMPUTED_VALUE"""),"อ่างทอง-11216")</f>
        <v>อ่างทอง-11216</v>
      </c>
      <c r="AG115" s="3" t="str">
        <f>IFERROR(__xludf.DUMMYFUNCTION("""COMPUTED_VALUE"""),"กลาง")</f>
        <v>กลาง</v>
      </c>
      <c r="AH115" s="3" t="str">
        <f>IFERROR(__xludf.DUMMYFUNCTION("""COMPUTED_VALUE"""),"Wichian Nasungnoen")</f>
        <v>Wichian Nasungnoen</v>
      </c>
      <c r="AI115" s="3" t="str">
        <f>IFERROR(__xludf.DUMMYFUNCTION("""COMPUTED_VALUE"""),"Out of warranty")</f>
        <v>Out of warranty</v>
      </c>
      <c r="AJ115" s="3">
        <f>IFERROR(__xludf.DUMMYFUNCTION("""COMPUTED_VALUE"""),152.0)</f>
        <v>152</v>
      </c>
      <c r="AK115" s="3"/>
      <c r="AL115" s="3" t="str">
        <f>IFERROR(__xludf.DUMMYFUNCTION("""COMPUTED_VALUE"""),"sgm.angthong@bigc.co.th")</f>
        <v>sgm.angthong@bigc.co.th</v>
      </c>
    </row>
    <row r="116" ht="15.75" customHeight="1">
      <c r="A116" s="1" t="str">
        <f>IFERROR(__xludf.DUMMYFUNCTION("""COMPUTED_VALUE"""),"11217")</f>
        <v>11217</v>
      </c>
      <c r="B116" s="2">
        <f>IFERROR(__xludf.DUMMYFUNCTION("""COMPUTED_VALUE"""),11217.0)</f>
        <v>11217</v>
      </c>
      <c r="C116" s="3" t="str">
        <f>IFERROR(__xludf.DUMMYFUNCTION("""COMPUTED_VALUE"""),"กาฬสินธุ์")</f>
        <v>กาฬสินธุ์</v>
      </c>
      <c r="D116" s="3" t="str">
        <f>IFERROR(__xludf.DUMMYFUNCTION("""COMPUTED_VALUE"""),"BIGC KALASIN")</f>
        <v>BIGC KALASIN</v>
      </c>
      <c r="E116" s="1" t="str">
        <f>IFERROR(__xludf.DUMMYFUNCTION("""COMPUTED_VALUE"""),"บิ๊กซี HyperMarket")</f>
        <v>บิ๊กซี HyperMarket</v>
      </c>
      <c r="F116" s="1" t="str">
        <f>IFERROR(__xludf.DUMMYFUNCTION("""COMPUTED_VALUE"""),"295801")</f>
        <v>295801</v>
      </c>
      <c r="G116" s="1" t="str">
        <f>IFERROR(__xludf.DUMMYFUNCTION("""COMPUTED_VALUE"""),"นายอรรถพล เหล่าสุวงศ์")</f>
        <v>นายอรรถพล เหล่าสุวงศ์</v>
      </c>
      <c r="H116" s="1" t="str">
        <f>IFERROR(__xludf.DUMMYFUNCTION("""COMPUTED_VALUE"""),"295801")</f>
        <v>295801</v>
      </c>
      <c r="I116" s="1" t="str">
        <f>IFERROR(__xludf.DUMMYFUNCTION("""COMPUTED_VALUE"""),"นายอรรถพล เหล่าสุวงศ์")</f>
        <v>นายอรรถพล เหล่าสุวงศ์</v>
      </c>
      <c r="J116" s="3">
        <f>IFERROR(__xludf.DUMMYFUNCTION("""COMPUTED_VALUE"""),295801.0)</f>
        <v>295801</v>
      </c>
      <c r="K116" s="3" t="str">
        <f>IFERROR(__xludf.DUMMYFUNCTION("""COMPUTED_VALUE"""),"นายอรรถพล เหล่าสุวงศ์")</f>
        <v>นายอรรถพล เหล่าสุวงศ์</v>
      </c>
      <c r="L116" s="1" t="str">
        <f>IFERROR(__xludf.DUMMYFUNCTION("""COMPUTED_VALUE"""),"Hub09-NE 1")</f>
        <v>Hub09-NE 1</v>
      </c>
      <c r="M116" s="1" t="str">
        <f>IFERROR(__xludf.DUMMYFUNCTION("""COMPUTED_VALUE"""),"0655090879")</f>
        <v>0655090879</v>
      </c>
      <c r="N116" s="3">
        <f>IFERROR(__xludf.DUMMYFUNCTION("""COMPUTED_VALUE"""),11217.0)</f>
        <v>11217</v>
      </c>
      <c r="O116" s="3" t="str">
        <f>IFERROR(__xludf.DUMMYFUNCTION("""COMPUTED_VALUE"""),"กาฬสินธุ์")</f>
        <v>กาฬสินธุ์</v>
      </c>
      <c r="P116" s="4">
        <f>IFERROR(__xludf.DUMMYFUNCTION("""COMPUTED_VALUE"""),41486.0)</f>
        <v>41486</v>
      </c>
      <c r="Q116" s="3" t="str">
        <f>IFERROR(__xludf.DUMMYFUNCTION("""COMPUTED_VALUE"""),"A")</f>
        <v>A</v>
      </c>
      <c r="R116" s="3" t="str">
        <f>IFERROR(__xludf.DUMMYFUNCTION("""COMPUTED_VALUE"""),"Big Format")</f>
        <v>Big Format</v>
      </c>
      <c r="S116" s="3" t="str">
        <f>IFERROR(__xludf.DUMMYFUNCTION("""COMPUTED_VALUE"""),"Hyper")</f>
        <v>Hyper</v>
      </c>
      <c r="T116" s="3" t="str">
        <f>IFERROR(__xludf.DUMMYFUNCTION("""COMPUTED_VALUE"""),"Hub09-NE 1")</f>
        <v>Hub09-NE 1</v>
      </c>
      <c r="U116" s="3" t="str">
        <f>IFERROR(__xludf.DUMMYFUNCTION("""COMPUTED_VALUE"""),"Hub09-NE 1")</f>
        <v>Hub09-NE 1</v>
      </c>
      <c r="V116" s="3" t="str">
        <f>IFERROR(__xludf.DUMMYFUNCTION("""COMPUTED_VALUE"""),"N")</f>
        <v>N</v>
      </c>
      <c r="W116" s="3">
        <f>IFERROR(__xludf.DUMMYFUNCTION("""COMPUTED_VALUE"""),111217.0)</f>
        <v>111217</v>
      </c>
      <c r="X116" s="3" t="str">
        <f>IFERROR(__xludf.DUMMYFUNCTION("""COMPUTED_VALUE"""),"101/2-3 ถนนถีนานนท์ ตำบลกาฬสินธุ์ อำเภอเมืองกาฬสินธุ์ จังหวัดกาฬสินธุ์ 46000")</f>
        <v>101/2-3 ถนนถีนานนท์ ตำบลกาฬสินธุ์ อำเภอเมืองกาฬสินธุ์ จังหวัดกาฬสินธุ์ 46000</v>
      </c>
      <c r="Y116" s="3" t="str">
        <f>IFERROR(__xludf.DUMMYFUNCTION("""COMPUTED_VALUE"""),"ถนนถีนานนท์")</f>
        <v>ถนนถีนานนท์</v>
      </c>
      <c r="Z116" s="3" t="str">
        <f>IFERROR(__xludf.DUMMYFUNCTION("""COMPUTED_VALUE"""),"กาฬสินธุ์")</f>
        <v>กาฬสินธุ์</v>
      </c>
      <c r="AA116" s="3" t="str">
        <f>IFERROR(__xludf.DUMMYFUNCTION("""COMPUTED_VALUE"""),"เมือง")</f>
        <v>เมือง</v>
      </c>
      <c r="AB116" s="3" t="str">
        <f>IFERROR(__xludf.DUMMYFUNCTION("""COMPUTED_VALUE"""),"กาฬสินธุ์")</f>
        <v>กาฬสินธุ์</v>
      </c>
      <c r="AC116" s="3">
        <f>IFERROR(__xludf.DUMMYFUNCTION("""COMPUTED_VALUE"""),46000.0)</f>
        <v>46000</v>
      </c>
      <c r="AD116" s="3">
        <f>IFERROR(__xludf.DUMMYFUNCTION("""COMPUTED_VALUE"""),16.447775)</f>
        <v>16.447775</v>
      </c>
      <c r="AE116" s="3">
        <f>IFERROR(__xludf.DUMMYFUNCTION("""COMPUTED_VALUE"""),103.524314)</f>
        <v>103.524314</v>
      </c>
      <c r="AF116" s="3" t="str">
        <f>IFERROR(__xludf.DUMMYFUNCTION("""COMPUTED_VALUE"""),"กาฬสินธุ์-11217")</f>
        <v>กาฬสินธุ์-11217</v>
      </c>
      <c r="AG116" s="3" t="str">
        <f>IFERROR(__xludf.DUMMYFUNCTION("""COMPUTED_VALUE"""),"ตะวันออกเฉียงเหนือ")</f>
        <v>ตะวันออกเฉียงเหนือ</v>
      </c>
      <c r="AH116" s="3" t="str">
        <f>IFERROR(__xludf.DUMMYFUNCTION("""COMPUTED_VALUE"""),"K.Narabordee")</f>
        <v>K.Narabordee</v>
      </c>
      <c r="AI116" s="3" t="str">
        <f>IFERROR(__xludf.DUMMYFUNCTION("""COMPUTED_VALUE"""),"Out of warranty")</f>
        <v>Out of warranty</v>
      </c>
      <c r="AJ116" s="3">
        <f>IFERROR(__xludf.DUMMYFUNCTION("""COMPUTED_VALUE"""),150.0)</f>
        <v>150</v>
      </c>
      <c r="AK116" s="3"/>
      <c r="AL116" s="3" t="str">
        <f>IFERROR(__xludf.DUMMYFUNCTION("""COMPUTED_VALUE"""),"sgm.kalasin@bigc.co.th")</f>
        <v>sgm.kalasin@bigc.co.th</v>
      </c>
    </row>
    <row r="117" ht="15.75" customHeight="1">
      <c r="A117" s="1" t="str">
        <f>IFERROR(__xludf.DUMMYFUNCTION("""COMPUTED_VALUE"""),"11218")</f>
        <v>11218</v>
      </c>
      <c r="B117" s="2">
        <f>IFERROR(__xludf.DUMMYFUNCTION("""COMPUTED_VALUE"""),11218.0)</f>
        <v>11218</v>
      </c>
      <c r="C117" s="3" t="str">
        <f>IFERROR(__xludf.DUMMYFUNCTION("""COMPUTED_VALUE"""),"สมุทรสงคราม")</f>
        <v>สมุทรสงคราม</v>
      </c>
      <c r="D117" s="3" t="str">
        <f>IFERROR(__xludf.DUMMYFUNCTION("""COMPUTED_VALUE"""),"BIGC SAMUTSONGKHRAM")</f>
        <v>BIGC SAMUTSONGKHRAM</v>
      </c>
      <c r="E117" s="1" t="str">
        <f>IFERROR(__xludf.DUMMYFUNCTION("""COMPUTED_VALUE"""),"บิ๊กซี HyperMarket")</f>
        <v>บิ๊กซี HyperMarket</v>
      </c>
      <c r="F117" s="1" t="str">
        <f>IFERROR(__xludf.DUMMYFUNCTION("""COMPUTED_VALUE"""),"2455179")</f>
        <v>2455179</v>
      </c>
      <c r="G117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117" s="1" t="str">
        <f>IFERROR(__xludf.DUMMYFUNCTION("""COMPUTED_VALUE"""),"2455179")</f>
        <v>2455179</v>
      </c>
      <c r="I117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117" s="3">
        <f>IFERROR(__xludf.DUMMYFUNCTION("""COMPUTED_VALUE"""),2455179.0)</f>
        <v>2455179</v>
      </c>
      <c r="K117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117" s="1" t="str">
        <f>IFERROR(__xludf.DUMMYFUNCTION("""COMPUTED_VALUE"""),"Hub06-C&amp;W")</f>
        <v>Hub06-C&amp;W</v>
      </c>
      <c r="M117" s="1" t="str">
        <f>IFERROR(__xludf.DUMMYFUNCTION("""COMPUTED_VALUE"""),"090-993-6896")</f>
        <v>090-993-6896</v>
      </c>
      <c r="N117" s="3">
        <f>IFERROR(__xludf.DUMMYFUNCTION("""COMPUTED_VALUE"""),11218.0)</f>
        <v>11218</v>
      </c>
      <c r="O117" s="3" t="str">
        <f>IFERROR(__xludf.DUMMYFUNCTION("""COMPUTED_VALUE"""),"สมุทรสงคราม")</f>
        <v>สมุทรสงคราม</v>
      </c>
      <c r="P117" s="4">
        <f>IFERROR(__xludf.DUMMYFUNCTION("""COMPUTED_VALUE"""),41518.0)</f>
        <v>41518</v>
      </c>
      <c r="Q117" s="3" t="str">
        <f>IFERROR(__xludf.DUMMYFUNCTION("""COMPUTED_VALUE"""),"A")</f>
        <v>A</v>
      </c>
      <c r="R117" s="3" t="str">
        <f>IFERROR(__xludf.DUMMYFUNCTION("""COMPUTED_VALUE"""),"Big Format")</f>
        <v>Big Format</v>
      </c>
      <c r="S117" s="3" t="str">
        <f>IFERROR(__xludf.DUMMYFUNCTION("""COMPUTED_VALUE"""),"Hyper")</f>
        <v>Hyper</v>
      </c>
      <c r="T117" s="3" t="str">
        <f>IFERROR(__xludf.DUMMYFUNCTION("""COMPUTED_VALUE"""),"Hub06-C&amp;W")</f>
        <v>Hub06-C&amp;W</v>
      </c>
      <c r="U117" s="3" t="str">
        <f>IFERROR(__xludf.DUMMYFUNCTION("""COMPUTED_VALUE"""),"Hub06-C&amp;W")</f>
        <v>Hub06-C&amp;W</v>
      </c>
      <c r="V117" s="3" t="str">
        <f>IFERROR(__xludf.DUMMYFUNCTION("""COMPUTED_VALUE"""),"N")</f>
        <v>N</v>
      </c>
      <c r="W117" s="3">
        <f>IFERROR(__xludf.DUMMYFUNCTION("""COMPUTED_VALUE"""),111218.0)</f>
        <v>111218</v>
      </c>
      <c r="X117" s="3" t="str">
        <f>IFERROR(__xludf.DUMMYFUNCTION("""COMPUTED_VALUE"""),"2/19 หมู่ 1 ตำบลบางแก้ว อำเภอเมืองสมุทรสงคราม จังหวัดสมุทรสงคราม 75000")</f>
        <v>2/19 หมู่ 1 ตำบลบางแก้ว อำเภอเมืองสมุทรสงคราม จังหวัดสมุทรสงคราม 75000</v>
      </c>
      <c r="Y117" s="3"/>
      <c r="Z117" s="3" t="str">
        <f>IFERROR(__xludf.DUMMYFUNCTION("""COMPUTED_VALUE"""),"บางแก้ว")</f>
        <v>บางแก้ว</v>
      </c>
      <c r="AA117" s="3" t="str">
        <f>IFERROR(__xludf.DUMMYFUNCTION("""COMPUTED_VALUE"""),"เมือง")</f>
        <v>เมือง</v>
      </c>
      <c r="AB117" s="3" t="str">
        <f>IFERROR(__xludf.DUMMYFUNCTION("""COMPUTED_VALUE"""),"สมุทรสงคราม")</f>
        <v>สมุทรสงคราม</v>
      </c>
      <c r="AC117" s="3">
        <f>IFERROR(__xludf.DUMMYFUNCTION("""COMPUTED_VALUE"""),75000.0)</f>
        <v>75000</v>
      </c>
      <c r="AD117" s="3">
        <f>IFERROR(__xludf.DUMMYFUNCTION("""COMPUTED_VALUE"""),13.410506)</f>
        <v>13.410506</v>
      </c>
      <c r="AE117" s="3">
        <f>IFERROR(__xludf.DUMMYFUNCTION("""COMPUTED_VALUE"""),100.020225)</f>
        <v>100.020225</v>
      </c>
      <c r="AF117" s="3" t="str">
        <f>IFERROR(__xludf.DUMMYFUNCTION("""COMPUTED_VALUE"""),"สมุทรสงคราม-11218")</f>
        <v>สมุทรสงคราม-11218</v>
      </c>
      <c r="AG117" s="3" t="str">
        <f>IFERROR(__xludf.DUMMYFUNCTION("""COMPUTED_VALUE"""),"กลาง")</f>
        <v>กลาง</v>
      </c>
      <c r="AH117" s="3" t="str">
        <f>IFERROR(__xludf.DUMMYFUNCTION("""COMPUTED_VALUE"""),"Wichian Nasungnoen")</f>
        <v>Wichian Nasungnoen</v>
      </c>
      <c r="AI117" s="3" t="str">
        <f>IFERROR(__xludf.DUMMYFUNCTION("""COMPUTED_VALUE"""),"Out of warranty")</f>
        <v>Out of warranty</v>
      </c>
      <c r="AJ117" s="3">
        <f>IFERROR(__xludf.DUMMYFUNCTION("""COMPUTED_VALUE"""),149.0)</f>
        <v>149</v>
      </c>
      <c r="AK117" s="3"/>
      <c r="AL117" s="3" t="str">
        <f>IFERROR(__xludf.DUMMYFUNCTION("""COMPUTED_VALUE"""),"sgm.samutsongkhram@bigc.co.th")</f>
        <v>sgm.samutsongkhram@bigc.co.th</v>
      </c>
    </row>
    <row r="118" ht="15.75" customHeight="1">
      <c r="A118" s="1" t="str">
        <f>IFERROR(__xludf.DUMMYFUNCTION("""COMPUTED_VALUE"""),"11219")</f>
        <v>11219</v>
      </c>
      <c r="B118" s="2">
        <f>IFERROR(__xludf.DUMMYFUNCTION("""COMPUTED_VALUE"""),11219.0)</f>
        <v>11219</v>
      </c>
      <c r="C118" s="3" t="str">
        <f>IFERROR(__xludf.DUMMYFUNCTION("""COMPUTED_VALUE"""),"สุพรรณบุรี")</f>
        <v>สุพรรณบุรี</v>
      </c>
      <c r="D118" s="3" t="str">
        <f>IFERROR(__xludf.DUMMYFUNCTION("""COMPUTED_VALUE"""),"BIGC SUPHANBURI")</f>
        <v>BIGC SUPHANBURI</v>
      </c>
      <c r="E118" s="1" t="str">
        <f>IFERROR(__xludf.DUMMYFUNCTION("""COMPUTED_VALUE"""),"บิ๊กซี HyperMarket")</f>
        <v>บิ๊กซี HyperMarket</v>
      </c>
      <c r="F118" s="1" t="str">
        <f>IFERROR(__xludf.DUMMYFUNCTION("""COMPUTED_VALUE"""),"2455179")</f>
        <v>2455179</v>
      </c>
      <c r="G118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118" s="1" t="str">
        <f>IFERROR(__xludf.DUMMYFUNCTION("""COMPUTED_VALUE"""),"2455179")</f>
        <v>2455179</v>
      </c>
      <c r="I118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118" s="3">
        <f>IFERROR(__xludf.DUMMYFUNCTION("""COMPUTED_VALUE"""),2455179.0)</f>
        <v>2455179</v>
      </c>
      <c r="K118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118" s="1" t="str">
        <f>IFERROR(__xludf.DUMMYFUNCTION("""COMPUTED_VALUE"""),"Hub06-C&amp;W")</f>
        <v>Hub06-C&amp;W</v>
      </c>
      <c r="M118" s="1" t="str">
        <f>IFERROR(__xludf.DUMMYFUNCTION("""COMPUTED_VALUE"""),"090-993-6896")</f>
        <v>090-993-6896</v>
      </c>
      <c r="N118" s="3">
        <f>IFERROR(__xludf.DUMMYFUNCTION("""COMPUTED_VALUE"""),11219.0)</f>
        <v>11219</v>
      </c>
      <c r="O118" s="3" t="str">
        <f>IFERROR(__xludf.DUMMYFUNCTION("""COMPUTED_VALUE"""),"สุพรรณบุรี")</f>
        <v>สุพรรณบุรี</v>
      </c>
      <c r="P118" s="4">
        <f>IFERROR(__xludf.DUMMYFUNCTION("""COMPUTED_VALUE"""),41544.0)</f>
        <v>41544</v>
      </c>
      <c r="Q118" s="3" t="str">
        <f>IFERROR(__xludf.DUMMYFUNCTION("""COMPUTED_VALUE"""),"A")</f>
        <v>A</v>
      </c>
      <c r="R118" s="3" t="str">
        <f>IFERROR(__xludf.DUMMYFUNCTION("""COMPUTED_VALUE"""),"Big Format")</f>
        <v>Big Format</v>
      </c>
      <c r="S118" s="3" t="str">
        <f>IFERROR(__xludf.DUMMYFUNCTION("""COMPUTED_VALUE"""),"Hyper")</f>
        <v>Hyper</v>
      </c>
      <c r="T118" s="3" t="str">
        <f>IFERROR(__xludf.DUMMYFUNCTION("""COMPUTED_VALUE"""),"Hub06-C&amp;W")</f>
        <v>Hub06-C&amp;W</v>
      </c>
      <c r="U118" s="3" t="str">
        <f>IFERROR(__xludf.DUMMYFUNCTION("""COMPUTED_VALUE"""),"Hub06-C&amp;W")</f>
        <v>Hub06-C&amp;W</v>
      </c>
      <c r="V118" s="3" t="str">
        <f>IFERROR(__xludf.DUMMYFUNCTION("""COMPUTED_VALUE"""),"N")</f>
        <v>N</v>
      </c>
      <c r="W118" s="3">
        <f>IFERROR(__xludf.DUMMYFUNCTION("""COMPUTED_VALUE"""),111219.0)</f>
        <v>111219</v>
      </c>
      <c r="X118" s="3" t="str">
        <f>IFERROR(__xludf.DUMMYFUNCTION("""COMPUTED_VALUE"""),"140/20 ถนนมาลัยแมน ตำบลรั้วใหญ่ อำเภอเมืองสุพรรณบุรี จังหวัดสุพรรณบุรี 72000")</f>
        <v>140/20 ถนนมาลัยแมน ตำบลรั้วใหญ่ อำเภอเมืองสุพรรณบุรี จังหวัดสุพรรณบุรี 72000</v>
      </c>
      <c r="Y118" s="3" t="str">
        <f>IFERROR(__xludf.DUMMYFUNCTION("""COMPUTED_VALUE"""),"ถนนมาลัยแมน")</f>
        <v>ถนนมาลัยแมน</v>
      </c>
      <c r="Z118" s="3" t="str">
        <f>IFERROR(__xludf.DUMMYFUNCTION("""COMPUTED_VALUE"""),"รั้วใหญ่")</f>
        <v>รั้วใหญ่</v>
      </c>
      <c r="AA118" s="3" t="str">
        <f>IFERROR(__xludf.DUMMYFUNCTION("""COMPUTED_VALUE"""),"เมือง")</f>
        <v>เมือง</v>
      </c>
      <c r="AB118" s="3" t="str">
        <f>IFERROR(__xludf.DUMMYFUNCTION("""COMPUTED_VALUE"""),"สุพรรณบุรี")</f>
        <v>สุพรรณบุรี</v>
      </c>
      <c r="AC118" s="3">
        <f>IFERROR(__xludf.DUMMYFUNCTION("""COMPUTED_VALUE"""),72000.0)</f>
        <v>72000</v>
      </c>
      <c r="AD118" s="3">
        <f>IFERROR(__xludf.DUMMYFUNCTION("""COMPUTED_VALUE"""),14.47539)</f>
        <v>14.47539</v>
      </c>
      <c r="AE118" s="3">
        <f>IFERROR(__xludf.DUMMYFUNCTION("""COMPUTED_VALUE"""),100.105277)</f>
        <v>100.105277</v>
      </c>
      <c r="AF118" s="3" t="str">
        <f>IFERROR(__xludf.DUMMYFUNCTION("""COMPUTED_VALUE"""),"สุพรรณบุรี-11219")</f>
        <v>สุพรรณบุรี-11219</v>
      </c>
      <c r="AG118" s="3" t="str">
        <f>IFERROR(__xludf.DUMMYFUNCTION("""COMPUTED_VALUE"""),"กลาง")</f>
        <v>กลาง</v>
      </c>
      <c r="AH118" s="3" t="str">
        <f>IFERROR(__xludf.DUMMYFUNCTION("""COMPUTED_VALUE"""),"Wichian Nasungnoen")</f>
        <v>Wichian Nasungnoen</v>
      </c>
      <c r="AI118" s="3" t="str">
        <f>IFERROR(__xludf.DUMMYFUNCTION("""COMPUTED_VALUE"""),"Out of warranty")</f>
        <v>Out of warranty</v>
      </c>
      <c r="AJ118" s="3">
        <f>IFERROR(__xludf.DUMMYFUNCTION("""COMPUTED_VALUE"""),148.0)</f>
        <v>148</v>
      </c>
      <c r="AK118" s="3"/>
      <c r="AL118" s="3" t="str">
        <f>IFERROR(__xludf.DUMMYFUNCTION("""COMPUTED_VALUE"""),"sgm.suphanburi@bigc.co.th")</f>
        <v>sgm.suphanburi@bigc.co.th</v>
      </c>
    </row>
    <row r="119" ht="15.75" customHeight="1">
      <c r="A119" s="1" t="str">
        <f>IFERROR(__xludf.DUMMYFUNCTION("""COMPUTED_VALUE"""),"11220")</f>
        <v>11220</v>
      </c>
      <c r="B119" s="2">
        <f>IFERROR(__xludf.DUMMYFUNCTION("""COMPUTED_VALUE"""),11220.0)</f>
        <v>11220</v>
      </c>
      <c r="C119" s="3" t="str">
        <f>IFERROR(__xludf.DUMMYFUNCTION("""COMPUTED_VALUE"""),"ตรัง")</f>
        <v>ตรัง</v>
      </c>
      <c r="D119" s="3" t="str">
        <f>IFERROR(__xludf.DUMMYFUNCTION("""COMPUTED_VALUE"""),"BIGC TRANG")</f>
        <v>BIGC TRANG</v>
      </c>
      <c r="E119" s="1" t="str">
        <f>IFERROR(__xludf.DUMMYFUNCTION("""COMPUTED_VALUE"""),"บิ๊กซี HyperMarket")</f>
        <v>บิ๊กซี HyperMarket</v>
      </c>
      <c r="F119" s="1" t="str">
        <f>IFERROR(__xludf.DUMMYFUNCTION("""COMPUTED_VALUE"""),"2454709")</f>
        <v>2454709</v>
      </c>
      <c r="G119" s="1" t="str">
        <f>IFERROR(__xludf.DUMMYFUNCTION("""COMPUTED_VALUE"""),"นายประชา เกตุชาติ")</f>
        <v>นายประชา เกตุชาติ</v>
      </c>
      <c r="H119" s="1" t="str">
        <f>IFERROR(__xludf.DUMMYFUNCTION("""COMPUTED_VALUE"""),"2454709")</f>
        <v>2454709</v>
      </c>
      <c r="I119" s="1" t="str">
        <f>IFERROR(__xludf.DUMMYFUNCTION("""COMPUTED_VALUE"""),"นายประชา เกตุชาติ")</f>
        <v>นายประชา เกตุชาติ</v>
      </c>
      <c r="J119" s="3">
        <f>IFERROR(__xludf.DUMMYFUNCTION("""COMPUTED_VALUE"""),2454709.0)</f>
        <v>2454709</v>
      </c>
      <c r="K119" s="3" t="str">
        <f>IFERROR(__xludf.DUMMYFUNCTION("""COMPUTED_VALUE"""),"นายประชา เกตุชาติ")</f>
        <v>นายประชา เกตุชาติ</v>
      </c>
      <c r="L119" s="1" t="str">
        <f>IFERROR(__xludf.DUMMYFUNCTION("""COMPUTED_VALUE"""),"Hub05-South")</f>
        <v>Hub05-South</v>
      </c>
      <c r="M119" s="1" t="str">
        <f>IFERROR(__xludf.DUMMYFUNCTION("""COMPUTED_VALUE"""),"0659291311")</f>
        <v>0659291311</v>
      </c>
      <c r="N119" s="3">
        <f>IFERROR(__xludf.DUMMYFUNCTION("""COMPUTED_VALUE"""),11220.0)</f>
        <v>11220</v>
      </c>
      <c r="O119" s="3" t="str">
        <f>IFERROR(__xludf.DUMMYFUNCTION("""COMPUTED_VALUE"""),"ตรัง")</f>
        <v>ตรัง</v>
      </c>
      <c r="P119" s="4">
        <f>IFERROR(__xludf.DUMMYFUNCTION("""COMPUTED_VALUE"""),41612.0)</f>
        <v>41612</v>
      </c>
      <c r="Q119" s="3" t="str">
        <f>IFERROR(__xludf.DUMMYFUNCTION("""COMPUTED_VALUE"""),"A")</f>
        <v>A</v>
      </c>
      <c r="R119" s="3" t="str">
        <f>IFERROR(__xludf.DUMMYFUNCTION("""COMPUTED_VALUE"""),"Big Format")</f>
        <v>Big Format</v>
      </c>
      <c r="S119" s="3" t="str">
        <f>IFERROR(__xludf.DUMMYFUNCTION("""COMPUTED_VALUE"""),"Hyper")</f>
        <v>Hyper</v>
      </c>
      <c r="T119" s="3" t="str">
        <f>IFERROR(__xludf.DUMMYFUNCTION("""COMPUTED_VALUE"""),"Hub05-South")</f>
        <v>Hub05-South</v>
      </c>
      <c r="U119" s="3" t="str">
        <f>IFERROR(__xludf.DUMMYFUNCTION("""COMPUTED_VALUE"""),"Hub05-South")</f>
        <v>Hub05-South</v>
      </c>
      <c r="V119" s="3" t="str">
        <f>IFERROR(__xludf.DUMMYFUNCTION("""COMPUTED_VALUE"""),"N")</f>
        <v>N</v>
      </c>
      <c r="W119" s="3">
        <f>IFERROR(__xludf.DUMMYFUNCTION("""COMPUTED_VALUE"""),111227.0)</f>
        <v>111227</v>
      </c>
      <c r="X119" s="3" t="str">
        <f>IFERROR(__xludf.DUMMYFUNCTION("""COMPUTED_VALUE"""),"102/2 ถนนรัษฎา ตำบลทับเที่ยง อำเภอเมืองตรัง จังหวัดตรัง 92000")</f>
        <v>102/2 ถนนรัษฎา ตำบลทับเที่ยง อำเภอเมืองตรัง จังหวัดตรัง 92000</v>
      </c>
      <c r="Y119" s="3" t="str">
        <f>IFERROR(__xludf.DUMMYFUNCTION("""COMPUTED_VALUE"""),"ถนนรัษฎา")</f>
        <v>ถนนรัษฎา</v>
      </c>
      <c r="Z119" s="3" t="str">
        <f>IFERROR(__xludf.DUMMYFUNCTION("""COMPUTED_VALUE"""),"ทับเที่ยง")</f>
        <v>ทับเที่ยง</v>
      </c>
      <c r="AA119" s="3" t="str">
        <f>IFERROR(__xludf.DUMMYFUNCTION("""COMPUTED_VALUE"""),"เมือง")</f>
        <v>เมือง</v>
      </c>
      <c r="AB119" s="3" t="str">
        <f>IFERROR(__xludf.DUMMYFUNCTION("""COMPUTED_VALUE"""),"ตรัง")</f>
        <v>ตรัง</v>
      </c>
      <c r="AC119" s="3">
        <f>IFERROR(__xludf.DUMMYFUNCTION("""COMPUTED_VALUE"""),92000.0)</f>
        <v>92000</v>
      </c>
      <c r="AD119" s="3">
        <f>IFERROR(__xludf.DUMMYFUNCTION("""COMPUTED_VALUE"""),7.545004)</f>
        <v>7.545004</v>
      </c>
      <c r="AE119" s="3">
        <f>IFERROR(__xludf.DUMMYFUNCTION("""COMPUTED_VALUE"""),99.6156)</f>
        <v>99.6156</v>
      </c>
      <c r="AF119" s="3" t="str">
        <f>IFERROR(__xludf.DUMMYFUNCTION("""COMPUTED_VALUE"""),"ตรัง-11220")</f>
        <v>ตรัง-11220</v>
      </c>
      <c r="AG119" s="3" t="str">
        <f>IFERROR(__xludf.DUMMYFUNCTION("""COMPUTED_VALUE"""),"ใต้")</f>
        <v>ใต้</v>
      </c>
      <c r="AH119" s="3" t="str">
        <f>IFERROR(__xludf.DUMMYFUNCTION("""COMPUTED_VALUE"""),"Suwadee Intachart")</f>
        <v>Suwadee Intachart</v>
      </c>
      <c r="AI119" s="3" t="str">
        <f>IFERROR(__xludf.DUMMYFUNCTION("""COMPUTED_VALUE"""),"Out of warranty")</f>
        <v>Out of warranty</v>
      </c>
      <c r="AJ119" s="3">
        <f>IFERROR(__xludf.DUMMYFUNCTION("""COMPUTED_VALUE"""),146.0)</f>
        <v>146</v>
      </c>
      <c r="AK119" s="3"/>
      <c r="AL119" s="3" t="str">
        <f>IFERROR(__xludf.DUMMYFUNCTION("""COMPUTED_VALUE"""),"sgm.trang@bigc.co.th")</f>
        <v>sgm.trang@bigc.co.th</v>
      </c>
    </row>
    <row r="120" ht="15.75" customHeight="1">
      <c r="A120" s="1" t="str">
        <f>IFERROR(__xludf.DUMMYFUNCTION("""COMPUTED_VALUE"""),"11221")</f>
        <v>11221</v>
      </c>
      <c r="B120" s="2">
        <f>IFERROR(__xludf.DUMMYFUNCTION("""COMPUTED_VALUE"""),11221.0)</f>
        <v>11221</v>
      </c>
      <c r="C120" s="3" t="str">
        <f>IFERROR(__xludf.DUMMYFUNCTION("""COMPUTED_VALUE"""),"กัลปพฤกษ์")</f>
        <v>กัลปพฤกษ์</v>
      </c>
      <c r="D120" s="3" t="str">
        <f>IFERROR(__xludf.DUMMYFUNCTION("""COMPUTED_VALUE"""),"BIGC KANLAPAPHRUEK")</f>
        <v>BIGC KANLAPAPHRUEK</v>
      </c>
      <c r="E120" s="1" t="str">
        <f>IFERROR(__xludf.DUMMYFUNCTION("""COMPUTED_VALUE"""),"บิ๊กซี HyperMarket")</f>
        <v>บิ๊กซี HyperMarket</v>
      </c>
      <c r="F120" s="1" t="str">
        <f>IFERROR(__xludf.DUMMYFUNCTION("""COMPUTED_VALUE"""),"2454701")</f>
        <v>2454701</v>
      </c>
      <c r="G120" s="1" t="str">
        <f>IFERROR(__xludf.DUMMYFUNCTION("""COMPUTED_VALUE"""),"นายกานต์ ไชยแสงศรี")</f>
        <v>นายกานต์ ไชยแสงศรี</v>
      </c>
      <c r="H120" s="1" t="str">
        <f>IFERROR(__xludf.DUMMYFUNCTION("""COMPUTED_VALUE"""),"2454701")</f>
        <v>2454701</v>
      </c>
      <c r="I120" s="1" t="str">
        <f>IFERROR(__xludf.DUMMYFUNCTION("""COMPUTED_VALUE"""),"นายกานต์ ไชยแสงศรี")</f>
        <v>นายกานต์ ไชยแสงศรี</v>
      </c>
      <c r="J120" s="3">
        <f>IFERROR(__xludf.DUMMYFUNCTION("""COMPUTED_VALUE"""),2454701.0)</f>
        <v>2454701</v>
      </c>
      <c r="K120" s="3" t="str">
        <f>IFERROR(__xludf.DUMMYFUNCTION("""COMPUTED_VALUE"""),"นายกานต์ ไชยแสงศรี")</f>
        <v>นายกานต์ ไชยแสงศรี</v>
      </c>
      <c r="L120" s="1" t="str">
        <f>IFERROR(__xludf.DUMMYFUNCTION("""COMPUTED_VALUE"""),"Hub01-BKK 1")</f>
        <v>Hub01-BKK 1</v>
      </c>
      <c r="M120" s="1" t="str">
        <f>IFERROR(__xludf.DUMMYFUNCTION("""COMPUTED_VALUE"""),"0909090652")</f>
        <v>0909090652</v>
      </c>
      <c r="N120" s="3">
        <f>IFERROR(__xludf.DUMMYFUNCTION("""COMPUTED_VALUE"""),11221.0)</f>
        <v>11221</v>
      </c>
      <c r="O120" s="3" t="str">
        <f>IFERROR(__xludf.DUMMYFUNCTION("""COMPUTED_VALUE"""),"กัลปพฤกษ์")</f>
        <v>กัลปพฤกษ์</v>
      </c>
      <c r="P120" s="4">
        <f>IFERROR(__xludf.DUMMYFUNCTION("""COMPUTED_VALUE"""),41754.0)</f>
        <v>41754</v>
      </c>
      <c r="Q120" s="3" t="str">
        <f>IFERROR(__xludf.DUMMYFUNCTION("""COMPUTED_VALUE"""),"A")</f>
        <v>A</v>
      </c>
      <c r="R120" s="3" t="str">
        <f>IFERROR(__xludf.DUMMYFUNCTION("""COMPUTED_VALUE"""),"Big Format")</f>
        <v>Big Format</v>
      </c>
      <c r="S120" s="3" t="str">
        <f>IFERROR(__xludf.DUMMYFUNCTION("""COMPUTED_VALUE"""),"Hyper")</f>
        <v>Hyper</v>
      </c>
      <c r="T120" s="3" t="str">
        <f>IFERROR(__xludf.DUMMYFUNCTION("""COMPUTED_VALUE"""),"Hub01-BKK 1")</f>
        <v>Hub01-BKK 1</v>
      </c>
      <c r="U120" s="3" t="str">
        <f>IFERROR(__xludf.DUMMYFUNCTION("""COMPUTED_VALUE"""),"Hub01-BKK 1")</f>
        <v>Hub01-BKK 1</v>
      </c>
      <c r="V120" s="3" t="str">
        <f>IFERROR(__xludf.DUMMYFUNCTION("""COMPUTED_VALUE"""),"N")</f>
        <v>N</v>
      </c>
      <c r="W120" s="3">
        <f>IFERROR(__xludf.DUMMYFUNCTION("""COMPUTED_VALUE"""),111228.0)</f>
        <v>111228</v>
      </c>
      <c r="X120" s="3" t="str">
        <f>IFERROR(__xludf.DUMMYFUNCTION("""COMPUTED_VALUE"""),"25 ถนนกัลปพฤกษ์ แขวงคลองบางพราน เขตบางบอน กรุงเทพมหานคร 10150")</f>
        <v>25 ถนนกัลปพฤกษ์ แขวงคลองบางพราน เขตบางบอน กรุงเทพมหานคร 10150</v>
      </c>
      <c r="Y120" s="3" t="str">
        <f>IFERROR(__xludf.DUMMYFUNCTION("""COMPUTED_VALUE"""),"ถนนกัลปพฤกษ์")</f>
        <v>ถนนกัลปพฤกษ์</v>
      </c>
      <c r="Z120" s="3" t="str">
        <f>IFERROR(__xludf.DUMMYFUNCTION("""COMPUTED_VALUE"""),"บางบอน")</f>
        <v>บางบอน</v>
      </c>
      <c r="AA120" s="3" t="str">
        <f>IFERROR(__xludf.DUMMYFUNCTION("""COMPUTED_VALUE"""),"บางบอน")</f>
        <v>บางบอน</v>
      </c>
      <c r="AB120" s="3" t="str">
        <f>IFERROR(__xludf.DUMMYFUNCTION("""COMPUTED_VALUE"""),"กรุงเทพมหานคร")</f>
        <v>กรุงเทพมหานคร</v>
      </c>
      <c r="AC120" s="3">
        <f>IFERROR(__xludf.DUMMYFUNCTION("""COMPUTED_VALUE"""),10150.0)</f>
        <v>10150</v>
      </c>
      <c r="AD120" s="3">
        <f>IFERROR(__xludf.DUMMYFUNCTION("""COMPUTED_VALUE"""),13.694446)</f>
        <v>13.694446</v>
      </c>
      <c r="AE120" s="3">
        <f>IFERROR(__xludf.DUMMYFUNCTION("""COMPUTED_VALUE"""),100.437697)</f>
        <v>100.437697</v>
      </c>
      <c r="AF120" s="3" t="str">
        <f>IFERROR(__xludf.DUMMYFUNCTION("""COMPUTED_VALUE"""),"กัลปพฤกษ์-11221")</f>
        <v>กัลปพฤกษ์-11221</v>
      </c>
      <c r="AG120" s="3" t="str">
        <f>IFERROR(__xludf.DUMMYFUNCTION("""COMPUTED_VALUE"""),"กลาง")</f>
        <v>กลาง</v>
      </c>
      <c r="AH120" s="3" t="str">
        <f>IFERROR(__xludf.DUMMYFUNCTION("""COMPUTED_VALUE"""),"Suchin Thawinwisan")</f>
        <v>Suchin Thawinwisan</v>
      </c>
      <c r="AI120" s="3" t="str">
        <f>IFERROR(__xludf.DUMMYFUNCTION("""COMPUTED_VALUE"""),"Out of warranty")</f>
        <v>Out of warranty</v>
      </c>
      <c r="AJ120" s="3">
        <f>IFERROR(__xludf.DUMMYFUNCTION("""COMPUTED_VALUE"""),141.0)</f>
        <v>141</v>
      </c>
      <c r="AK120" s="3"/>
      <c r="AL120" s="3" t="str">
        <f>IFERROR(__xludf.DUMMYFUNCTION("""COMPUTED_VALUE"""),"sgm.kanlapaphruek@bigc.co.th")</f>
        <v>sgm.kanlapaphruek@bigc.co.th</v>
      </c>
    </row>
    <row r="121" ht="15.75" customHeight="1">
      <c r="A121" s="1" t="str">
        <f>IFERROR(__xludf.DUMMYFUNCTION("""COMPUTED_VALUE"""),"11222")</f>
        <v>11222</v>
      </c>
      <c r="B121" s="2">
        <f>IFERROR(__xludf.DUMMYFUNCTION("""COMPUTED_VALUE"""),11222.0)</f>
        <v>11222</v>
      </c>
      <c r="C121" s="3" t="str">
        <f>IFERROR(__xludf.DUMMYFUNCTION("""COMPUTED_VALUE"""),"ศรีมหาโพธิ")</f>
        <v>ศรีมหาโพธิ</v>
      </c>
      <c r="D121" s="3" t="str">
        <f>IFERROR(__xludf.DUMMYFUNCTION("""COMPUTED_VALUE"""),"BIGC SRIMAHAPHO")</f>
        <v>BIGC SRIMAHAPHO</v>
      </c>
      <c r="E121" s="1" t="str">
        <f>IFERROR(__xludf.DUMMYFUNCTION("""COMPUTED_VALUE"""),"บิ๊กซี HyperMarket")</f>
        <v>บิ๊กซี HyperMarket</v>
      </c>
      <c r="F121" s="1" t="str">
        <f>IFERROR(__xludf.DUMMYFUNCTION("""COMPUTED_VALUE"""),"2455164")</f>
        <v>2455164</v>
      </c>
      <c r="G121" s="1" t="str">
        <f>IFERROR(__xludf.DUMMYFUNCTION("""COMPUTED_VALUE"""),"นายกรวิทย์ เจริญพร")</f>
        <v>นายกรวิทย์ เจริญพร</v>
      </c>
      <c r="H121" s="1" t="str">
        <f>IFERROR(__xludf.DUMMYFUNCTION("""COMPUTED_VALUE"""),"2455164")</f>
        <v>2455164</v>
      </c>
      <c r="I121" s="1" t="str">
        <f>IFERROR(__xludf.DUMMYFUNCTION("""COMPUTED_VALUE"""),"นายกรวิทย์ เจริญพร")</f>
        <v>นายกรวิทย์ เจริญพร</v>
      </c>
      <c r="J121" s="3">
        <f>IFERROR(__xludf.DUMMYFUNCTION("""COMPUTED_VALUE"""),2455164.0)</f>
        <v>2455164</v>
      </c>
      <c r="K121" s="3" t="str">
        <f>IFERROR(__xludf.DUMMYFUNCTION("""COMPUTED_VALUE"""),"นายกรวิทย์ เจริญพร")</f>
        <v>นายกรวิทย์ เจริญพร</v>
      </c>
      <c r="L121" s="1" t="str">
        <f>IFERROR(__xludf.DUMMYFUNCTION("""COMPUTED_VALUE"""),"Hub08-East")</f>
        <v>Hub08-East</v>
      </c>
      <c r="M121" s="1" t="str">
        <f>IFERROR(__xludf.DUMMYFUNCTION("""COMPUTED_VALUE"""),"092-605-9922")</f>
        <v>092-605-9922</v>
      </c>
      <c r="N121" s="3">
        <f>IFERROR(__xludf.DUMMYFUNCTION("""COMPUTED_VALUE"""),11222.0)</f>
        <v>11222</v>
      </c>
      <c r="O121" s="3" t="str">
        <f>IFERROR(__xludf.DUMMYFUNCTION("""COMPUTED_VALUE"""),"ศรีมหาโพธิ")</f>
        <v>ศรีมหาโพธิ</v>
      </c>
      <c r="P121" s="4">
        <f>IFERROR(__xludf.DUMMYFUNCTION("""COMPUTED_VALUE"""),41780.0)</f>
        <v>41780</v>
      </c>
      <c r="Q121" s="3" t="str">
        <f>IFERROR(__xludf.DUMMYFUNCTION("""COMPUTED_VALUE"""),"A")</f>
        <v>A</v>
      </c>
      <c r="R121" s="3" t="str">
        <f>IFERROR(__xludf.DUMMYFUNCTION("""COMPUTED_VALUE"""),"Big Format")</f>
        <v>Big Format</v>
      </c>
      <c r="S121" s="3" t="str">
        <f>IFERROR(__xludf.DUMMYFUNCTION("""COMPUTED_VALUE"""),"Hyper")</f>
        <v>Hyper</v>
      </c>
      <c r="T121" s="3" t="str">
        <f>IFERROR(__xludf.DUMMYFUNCTION("""COMPUTED_VALUE"""),"Hub08-East")</f>
        <v>Hub08-East</v>
      </c>
      <c r="U121" s="3" t="str">
        <f>IFERROR(__xludf.DUMMYFUNCTION("""COMPUTED_VALUE"""),"Hub08-East")</f>
        <v>Hub08-East</v>
      </c>
      <c r="V121" s="3" t="str">
        <f>IFERROR(__xludf.DUMMYFUNCTION("""COMPUTED_VALUE"""),"N")</f>
        <v>N</v>
      </c>
      <c r="W121" s="3">
        <f>IFERROR(__xludf.DUMMYFUNCTION("""COMPUTED_VALUE"""),111229.0)</f>
        <v>111229</v>
      </c>
      <c r="X121" s="3" t="str">
        <f>IFERROR(__xludf.DUMMYFUNCTION("""COMPUTED_VALUE"""),"618 หมู่ 7 ตำบลท่าตูม อำเภอศรีมหาโพธิ จังหวัดปราจีนบุรี 25140")</f>
        <v>618 หมู่ 7 ตำบลท่าตูม อำเภอศรีมหาโพธิ จังหวัดปราจีนบุรี 25140</v>
      </c>
      <c r="Y121" s="3"/>
      <c r="Z121" s="3" t="str">
        <f>IFERROR(__xludf.DUMMYFUNCTION("""COMPUTED_VALUE"""),"ท่าตูม")</f>
        <v>ท่าตูม</v>
      </c>
      <c r="AA121" s="3" t="str">
        <f>IFERROR(__xludf.DUMMYFUNCTION("""COMPUTED_VALUE"""),"ศรีมหาโพธิ")</f>
        <v>ศรีมหาโพธิ</v>
      </c>
      <c r="AB121" s="3" t="str">
        <f>IFERROR(__xludf.DUMMYFUNCTION("""COMPUTED_VALUE"""),"ปราจีนบุรี")</f>
        <v>ปราจีนบุรี</v>
      </c>
      <c r="AC121" s="3">
        <f>IFERROR(__xludf.DUMMYFUNCTION("""COMPUTED_VALUE"""),25140.0)</f>
        <v>25140</v>
      </c>
      <c r="AD121" s="3">
        <f>IFERROR(__xludf.DUMMYFUNCTION("""COMPUTED_VALUE"""),13.9027262)</f>
        <v>13.9027262</v>
      </c>
      <c r="AE121" s="3">
        <f>IFERROR(__xludf.DUMMYFUNCTION("""COMPUTED_VALUE"""),101.5743267)</f>
        <v>101.5743267</v>
      </c>
      <c r="AF121" s="3" t="str">
        <f>IFERROR(__xludf.DUMMYFUNCTION("""COMPUTED_VALUE"""),"ศรีมหาโพธิ-11222")</f>
        <v>ศรีมหาโพธิ-11222</v>
      </c>
      <c r="AG121" s="3" t="str">
        <f>IFERROR(__xludf.DUMMYFUNCTION("""COMPUTED_VALUE"""),"ตะวันออก")</f>
        <v>ตะวันออก</v>
      </c>
      <c r="AH121" s="3" t="str">
        <f>IFERROR(__xludf.DUMMYFUNCTION("""COMPUTED_VALUE"""),"Walaiporn Sutyod")</f>
        <v>Walaiporn Sutyod</v>
      </c>
      <c r="AI121" s="3" t="str">
        <f>IFERROR(__xludf.DUMMYFUNCTION("""COMPUTED_VALUE"""),"Out of warranty")</f>
        <v>Out of warranty</v>
      </c>
      <c r="AJ121" s="3">
        <f>IFERROR(__xludf.DUMMYFUNCTION("""COMPUTED_VALUE"""),140.0)</f>
        <v>140</v>
      </c>
      <c r="AK121" s="3"/>
      <c r="AL121" s="3" t="str">
        <f>IFERROR(__xludf.DUMMYFUNCTION("""COMPUTED_VALUE"""),"sgm.srimahapho@bigc.co.th")</f>
        <v>sgm.srimahapho@bigc.co.th</v>
      </c>
    </row>
    <row r="122" ht="15.75" customHeight="1">
      <c r="A122" s="1" t="str">
        <f>IFERROR(__xludf.DUMMYFUNCTION("""COMPUTED_VALUE"""),"11223")</f>
        <v>11223</v>
      </c>
      <c r="B122" s="2">
        <f>IFERROR(__xludf.DUMMYFUNCTION("""COMPUTED_VALUE"""),11223.0)</f>
        <v>11223</v>
      </c>
      <c r="C122" s="3" t="str">
        <f>IFERROR(__xludf.DUMMYFUNCTION("""COMPUTED_VALUE"""),"นครพนม")</f>
        <v>นครพนม</v>
      </c>
      <c r="D122" s="3" t="str">
        <f>IFERROR(__xludf.DUMMYFUNCTION("""COMPUTED_VALUE"""),"BIGC NAKHONPHANOM")</f>
        <v>BIGC NAKHONPHANOM</v>
      </c>
      <c r="E122" s="1" t="str">
        <f>IFERROR(__xludf.DUMMYFUNCTION("""COMPUTED_VALUE"""),"บิ๊กซี HyperMarket")</f>
        <v>บิ๊กซี HyperMarket</v>
      </c>
      <c r="F122" s="1" t="str">
        <f>IFERROR(__xludf.DUMMYFUNCTION("""COMPUTED_VALUE"""),"033317")</f>
        <v>033317</v>
      </c>
      <c r="G122" s="1" t="str">
        <f>IFERROR(__xludf.DUMMYFUNCTION("""COMPUTED_VALUE"""),"นายอาณัติ เพชรภาน")</f>
        <v>นายอาณัติ เพชรภาน</v>
      </c>
      <c r="H122" s="1" t="str">
        <f>IFERROR(__xludf.DUMMYFUNCTION("""COMPUTED_VALUE"""),"033317")</f>
        <v>033317</v>
      </c>
      <c r="I122" s="1" t="str">
        <f>IFERROR(__xludf.DUMMYFUNCTION("""COMPUTED_VALUE"""),"นายอาณัติ เพชรภาน")</f>
        <v>นายอาณัติ เพชรภาน</v>
      </c>
      <c r="J122" s="3">
        <f>IFERROR(__xludf.DUMMYFUNCTION("""COMPUTED_VALUE"""),33317.0)</f>
        <v>33317</v>
      </c>
      <c r="K122" s="3" t="str">
        <f>IFERROR(__xludf.DUMMYFUNCTION("""COMPUTED_VALUE"""),"นายอาณัติ เพชรภาน")</f>
        <v>นายอาณัติ เพชรภาน</v>
      </c>
      <c r="L122" s="1" t="str">
        <f>IFERROR(__xludf.DUMMYFUNCTION("""COMPUTED_VALUE"""),"Hub10-NE 2")</f>
        <v>Hub10-NE 2</v>
      </c>
      <c r="M122" s="1" t="str">
        <f>IFERROR(__xludf.DUMMYFUNCTION("""COMPUTED_VALUE"""),"0644791409")</f>
        <v>0644791409</v>
      </c>
      <c r="N122" s="3">
        <f>IFERROR(__xludf.DUMMYFUNCTION("""COMPUTED_VALUE"""),11223.0)</f>
        <v>11223</v>
      </c>
      <c r="O122" s="3" t="str">
        <f>IFERROR(__xludf.DUMMYFUNCTION("""COMPUTED_VALUE"""),"นครพนม")</f>
        <v>นครพนม</v>
      </c>
      <c r="P122" s="4">
        <f>IFERROR(__xludf.DUMMYFUNCTION("""COMPUTED_VALUE"""),41724.0)</f>
        <v>41724</v>
      </c>
      <c r="Q122" s="3" t="str">
        <f>IFERROR(__xludf.DUMMYFUNCTION("""COMPUTED_VALUE"""),"A")</f>
        <v>A</v>
      </c>
      <c r="R122" s="3" t="str">
        <f>IFERROR(__xludf.DUMMYFUNCTION("""COMPUTED_VALUE"""),"Big Format")</f>
        <v>Big Format</v>
      </c>
      <c r="S122" s="3" t="str">
        <f>IFERROR(__xludf.DUMMYFUNCTION("""COMPUTED_VALUE"""),"Hyper")</f>
        <v>Hyper</v>
      </c>
      <c r="T122" s="3" t="str">
        <f>IFERROR(__xludf.DUMMYFUNCTION("""COMPUTED_VALUE"""),"Hub10-NE 2")</f>
        <v>Hub10-NE 2</v>
      </c>
      <c r="U122" s="3" t="str">
        <f>IFERROR(__xludf.DUMMYFUNCTION("""COMPUTED_VALUE"""),"Hub10-NE 2")</f>
        <v>Hub10-NE 2</v>
      </c>
      <c r="V122" s="3" t="str">
        <f>IFERROR(__xludf.DUMMYFUNCTION("""COMPUTED_VALUE"""),"N")</f>
        <v>N</v>
      </c>
      <c r="W122" s="3">
        <f>IFERROR(__xludf.DUMMYFUNCTION("""COMPUTED_VALUE"""),111223.0)</f>
        <v>111223</v>
      </c>
      <c r="X122" s="3" t="str">
        <f>IFERROR(__xludf.DUMMYFUNCTION("""COMPUTED_VALUE"""),"9/2 ซอยร่วมมิตร ถนนนิตโย ตำบลหนองญาติ อำเภอเมืองนครพนม จังหวัดนครพนม 48000")</f>
        <v>9/2 ซอยร่วมมิตร ถนนนิตโย ตำบลหนองญาติ อำเภอเมืองนครพนม จังหวัดนครพนม 48000</v>
      </c>
      <c r="Y122" s="3" t="str">
        <f>IFERROR(__xludf.DUMMYFUNCTION("""COMPUTED_VALUE"""),"ซอยร่วมมิตร")</f>
        <v>ซอยร่วมมิตร</v>
      </c>
      <c r="Z122" s="3" t="str">
        <f>IFERROR(__xludf.DUMMYFUNCTION("""COMPUTED_VALUE"""),"หนองญาติ")</f>
        <v>หนองญาติ</v>
      </c>
      <c r="AA122" s="3" t="str">
        <f>IFERROR(__xludf.DUMMYFUNCTION("""COMPUTED_VALUE"""),"เมือง")</f>
        <v>เมือง</v>
      </c>
      <c r="AB122" s="3" t="str">
        <f>IFERROR(__xludf.DUMMYFUNCTION("""COMPUTED_VALUE"""),"นครพนม")</f>
        <v>นครพนม</v>
      </c>
      <c r="AC122" s="3">
        <f>IFERROR(__xludf.DUMMYFUNCTION("""COMPUTED_VALUE"""),48000.0)</f>
        <v>48000</v>
      </c>
      <c r="AD122" s="3">
        <f>IFERROR(__xludf.DUMMYFUNCTION("""COMPUTED_VALUE"""),17.393764)</f>
        <v>17.393764</v>
      </c>
      <c r="AE122" s="3">
        <f>IFERROR(__xludf.DUMMYFUNCTION("""COMPUTED_VALUE"""),104.767605)</f>
        <v>104.767605</v>
      </c>
      <c r="AF122" s="3" t="str">
        <f>IFERROR(__xludf.DUMMYFUNCTION("""COMPUTED_VALUE"""),"นครพนม-11223")</f>
        <v>นครพนม-11223</v>
      </c>
      <c r="AG122" s="3" t="str">
        <f>IFERROR(__xludf.DUMMYFUNCTION("""COMPUTED_VALUE"""),"ตะวันออกเฉียงเหนือ")</f>
        <v>ตะวันออกเฉียงเหนือ</v>
      </c>
      <c r="AH122" s="3" t="str">
        <f>IFERROR(__xludf.DUMMYFUNCTION("""COMPUTED_VALUE"""),"Pajaob Wongpakdee")</f>
        <v>Pajaob Wongpakdee</v>
      </c>
      <c r="AI122" s="3" t="str">
        <f>IFERROR(__xludf.DUMMYFUNCTION("""COMPUTED_VALUE"""),"Out of warranty")</f>
        <v>Out of warranty</v>
      </c>
      <c r="AJ122" s="3">
        <f>IFERROR(__xludf.DUMMYFUNCTION("""COMPUTED_VALUE"""),142.0)</f>
        <v>142</v>
      </c>
      <c r="AK122" s="3"/>
      <c r="AL122" s="3" t="str">
        <f>IFERROR(__xludf.DUMMYFUNCTION("""COMPUTED_VALUE"""),"sgm.nakhonpanom@bigc.co.th")</f>
        <v>sgm.nakhonpanom@bigc.co.th</v>
      </c>
    </row>
    <row r="123" ht="15.75" customHeight="1">
      <c r="A123" s="1" t="str">
        <f>IFERROR(__xludf.DUMMYFUNCTION("""COMPUTED_VALUE"""),"11224")</f>
        <v>11224</v>
      </c>
      <c r="B123" s="2">
        <f>IFERROR(__xludf.DUMMYFUNCTION("""COMPUTED_VALUE"""),11224.0)</f>
        <v>11224</v>
      </c>
      <c r="C123" s="3" t="str">
        <f>IFERROR(__xludf.DUMMYFUNCTION("""COMPUTED_VALUE"""),"กาญจนบุรี")</f>
        <v>กาญจนบุรี</v>
      </c>
      <c r="D123" s="3" t="str">
        <f>IFERROR(__xludf.DUMMYFUNCTION("""COMPUTED_VALUE"""),"BIGC KANCHANABURI")</f>
        <v>BIGC KANCHANABURI</v>
      </c>
      <c r="E123" s="1" t="str">
        <f>IFERROR(__xludf.DUMMYFUNCTION("""COMPUTED_VALUE"""),"บิ๊กซี HyperMarket")</f>
        <v>บิ๊กซี HyperMarket</v>
      </c>
      <c r="F123" s="1" t="str">
        <f>IFERROR(__xludf.DUMMYFUNCTION("""COMPUTED_VALUE"""),"2455179")</f>
        <v>2455179</v>
      </c>
      <c r="G123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123" s="1" t="str">
        <f>IFERROR(__xludf.DUMMYFUNCTION("""COMPUTED_VALUE"""),"2455179")</f>
        <v>2455179</v>
      </c>
      <c r="I123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123" s="3">
        <f>IFERROR(__xludf.DUMMYFUNCTION("""COMPUTED_VALUE"""),2455179.0)</f>
        <v>2455179</v>
      </c>
      <c r="K123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123" s="1" t="str">
        <f>IFERROR(__xludf.DUMMYFUNCTION("""COMPUTED_VALUE"""),"Hub06-C&amp;W")</f>
        <v>Hub06-C&amp;W</v>
      </c>
      <c r="M123" s="1" t="str">
        <f>IFERROR(__xludf.DUMMYFUNCTION("""COMPUTED_VALUE"""),"090-993-6896")</f>
        <v>090-993-6896</v>
      </c>
      <c r="N123" s="3">
        <f>IFERROR(__xludf.DUMMYFUNCTION("""COMPUTED_VALUE"""),11224.0)</f>
        <v>11224</v>
      </c>
      <c r="O123" s="3" t="str">
        <f>IFERROR(__xludf.DUMMYFUNCTION("""COMPUTED_VALUE"""),"กาญจนบุรี")</f>
        <v>กาญจนบุรี</v>
      </c>
      <c r="P123" s="4">
        <f>IFERROR(__xludf.DUMMYFUNCTION("""COMPUTED_VALUE"""),41727.0)</f>
        <v>41727</v>
      </c>
      <c r="Q123" s="3" t="str">
        <f>IFERROR(__xludf.DUMMYFUNCTION("""COMPUTED_VALUE"""),"A")</f>
        <v>A</v>
      </c>
      <c r="R123" s="3" t="str">
        <f>IFERROR(__xludf.DUMMYFUNCTION("""COMPUTED_VALUE"""),"Big Format")</f>
        <v>Big Format</v>
      </c>
      <c r="S123" s="3" t="str">
        <f>IFERROR(__xludf.DUMMYFUNCTION("""COMPUTED_VALUE"""),"Hyper")</f>
        <v>Hyper</v>
      </c>
      <c r="T123" s="3" t="str">
        <f>IFERROR(__xludf.DUMMYFUNCTION("""COMPUTED_VALUE"""),"Hub06-C&amp;W")</f>
        <v>Hub06-C&amp;W</v>
      </c>
      <c r="U123" s="3" t="str">
        <f>IFERROR(__xludf.DUMMYFUNCTION("""COMPUTED_VALUE"""),"Hub06-C&amp;W")</f>
        <v>Hub06-C&amp;W</v>
      </c>
      <c r="V123" s="3" t="str">
        <f>IFERROR(__xludf.DUMMYFUNCTION("""COMPUTED_VALUE"""),"N")</f>
        <v>N</v>
      </c>
      <c r="W123" s="3">
        <f>IFERROR(__xludf.DUMMYFUNCTION("""COMPUTED_VALUE"""),111230.0)</f>
        <v>111230</v>
      </c>
      <c r="X123" s="3" t="str">
        <f>IFERROR(__xludf.DUMMYFUNCTION("""COMPUTED_VALUE"""),"786/8 ถนนแสงชูโตเหนือ ตำบลท่ามะขาม อำเภอเมืองกาญจนบุรี จังหวัดกาญจนบุรี 71000")</f>
        <v>786/8 ถนนแสงชูโตเหนือ ตำบลท่ามะขาม อำเภอเมืองกาญจนบุรี จังหวัดกาญจนบุรี 71000</v>
      </c>
      <c r="Y123" s="3" t="str">
        <f>IFERROR(__xludf.DUMMYFUNCTION("""COMPUTED_VALUE"""),"ถนนแสงชูโตเหนือ")</f>
        <v>ถนนแสงชูโตเหนือ</v>
      </c>
      <c r="Z123" s="3" t="str">
        <f>IFERROR(__xludf.DUMMYFUNCTION("""COMPUTED_VALUE"""),"ท่ามะขาม")</f>
        <v>ท่ามะขาม</v>
      </c>
      <c r="AA123" s="3" t="str">
        <f>IFERROR(__xludf.DUMMYFUNCTION("""COMPUTED_VALUE"""),"เมือง")</f>
        <v>เมือง</v>
      </c>
      <c r="AB123" s="3" t="str">
        <f>IFERROR(__xludf.DUMMYFUNCTION("""COMPUTED_VALUE"""),"กาญจนบุรี")</f>
        <v>กาญจนบุรี</v>
      </c>
      <c r="AC123" s="3">
        <f>IFERROR(__xludf.DUMMYFUNCTION("""COMPUTED_VALUE"""),71000.0)</f>
        <v>71000</v>
      </c>
      <c r="AD123" s="3">
        <f>IFERROR(__xludf.DUMMYFUNCTION("""COMPUTED_VALUE"""),14.048168)</f>
        <v>14.048168</v>
      </c>
      <c r="AE123" s="3">
        <f>IFERROR(__xludf.DUMMYFUNCTION("""COMPUTED_VALUE"""),99.507695)</f>
        <v>99.507695</v>
      </c>
      <c r="AF123" s="3" t="str">
        <f>IFERROR(__xludf.DUMMYFUNCTION("""COMPUTED_VALUE"""),"กาญจนบุรี-11224")</f>
        <v>กาญจนบุรี-11224</v>
      </c>
      <c r="AG123" s="3" t="str">
        <f>IFERROR(__xludf.DUMMYFUNCTION("""COMPUTED_VALUE"""),"ตะวันตก")</f>
        <v>ตะวันตก</v>
      </c>
      <c r="AH123" s="3" t="str">
        <f>IFERROR(__xludf.DUMMYFUNCTION("""COMPUTED_VALUE"""),"Wichian Nasungnoen")</f>
        <v>Wichian Nasungnoen</v>
      </c>
      <c r="AI123" s="3" t="str">
        <f>IFERROR(__xludf.DUMMYFUNCTION("""COMPUTED_VALUE"""),"Out of warranty")</f>
        <v>Out of warranty</v>
      </c>
      <c r="AJ123" s="3">
        <f>IFERROR(__xludf.DUMMYFUNCTION("""COMPUTED_VALUE"""),142.0)</f>
        <v>142</v>
      </c>
      <c r="AK123" s="3"/>
      <c r="AL123" s="3" t="str">
        <f>IFERROR(__xludf.DUMMYFUNCTION("""COMPUTED_VALUE"""),"sgm.kanchanaburi@bigc.co.th")</f>
        <v>sgm.kanchanaburi@bigc.co.th</v>
      </c>
    </row>
    <row r="124" ht="15.75" customHeight="1">
      <c r="A124" s="1" t="str">
        <f>IFERROR(__xludf.DUMMYFUNCTION("""COMPUTED_VALUE"""),"11225")</f>
        <v>11225</v>
      </c>
      <c r="B124" s="2">
        <f>IFERROR(__xludf.DUMMYFUNCTION("""COMPUTED_VALUE"""),11225.0)</f>
        <v>11225</v>
      </c>
      <c r="C124" s="3" t="str">
        <f>IFERROR(__xludf.DUMMYFUNCTION("""COMPUTED_VALUE"""),"น่าน")</f>
        <v>น่าน</v>
      </c>
      <c r="D124" s="3" t="str">
        <f>IFERROR(__xludf.DUMMYFUNCTION("""COMPUTED_VALUE"""),"BIGC NAN")</f>
        <v>BIGC NAN</v>
      </c>
      <c r="E124" s="1" t="str">
        <f>IFERROR(__xludf.DUMMYFUNCTION("""COMPUTED_VALUE"""),"บิ๊กซี HyperMarket")</f>
        <v>บิ๊กซี HyperMarket</v>
      </c>
      <c r="F124" s="1" t="str">
        <f>IFERROR(__xludf.DUMMYFUNCTION("""COMPUTED_VALUE"""),"000348")</f>
        <v>000348</v>
      </c>
      <c r="G124" s="1" t="str">
        <f>IFERROR(__xludf.DUMMYFUNCTION("""COMPUTED_VALUE"""),"นายธีรนันท์ ไม้สนธิ์")</f>
        <v>นายธีรนันท์ ไม้สนธิ์</v>
      </c>
      <c r="H124" s="1" t="str">
        <f>IFERROR(__xludf.DUMMYFUNCTION("""COMPUTED_VALUE"""),"000348")</f>
        <v>000348</v>
      </c>
      <c r="I124" s="1" t="str">
        <f>IFERROR(__xludf.DUMMYFUNCTION("""COMPUTED_VALUE"""),"นายธีรนันท์ ไม้สนธิ์")</f>
        <v>นายธีรนันท์ ไม้สนธิ์</v>
      </c>
      <c r="J124" s="3">
        <f>IFERROR(__xludf.DUMMYFUNCTION("""COMPUTED_VALUE"""),348.0)</f>
        <v>348</v>
      </c>
      <c r="K124" s="3" t="str">
        <f>IFERROR(__xludf.DUMMYFUNCTION("""COMPUTED_VALUE"""),"นายธีรนันท์ ไม้สนธิ์")</f>
        <v>นายธีรนันท์ ไม้สนธิ์</v>
      </c>
      <c r="L124" s="1" t="str">
        <f>IFERROR(__xludf.DUMMYFUNCTION("""COMPUTED_VALUE"""),"Hub07-North")</f>
        <v>Hub07-North</v>
      </c>
      <c r="M124" s="1" t="str">
        <f>IFERROR(__xludf.DUMMYFUNCTION("""COMPUTED_VALUE"""),"0614175866")</f>
        <v>0614175866</v>
      </c>
      <c r="N124" s="3">
        <f>IFERROR(__xludf.DUMMYFUNCTION("""COMPUTED_VALUE"""),11225.0)</f>
        <v>11225</v>
      </c>
      <c r="O124" s="3" t="str">
        <f>IFERROR(__xludf.DUMMYFUNCTION("""COMPUTED_VALUE"""),"น่าน")</f>
        <v>น่าน</v>
      </c>
      <c r="P124" s="4">
        <f>IFERROR(__xludf.DUMMYFUNCTION("""COMPUTED_VALUE"""),42153.0)</f>
        <v>42153</v>
      </c>
      <c r="Q124" s="3" t="str">
        <f>IFERROR(__xludf.DUMMYFUNCTION("""COMPUTED_VALUE"""),"A")</f>
        <v>A</v>
      </c>
      <c r="R124" s="3" t="str">
        <f>IFERROR(__xludf.DUMMYFUNCTION("""COMPUTED_VALUE"""),"Big Format")</f>
        <v>Big Format</v>
      </c>
      <c r="S124" s="3" t="str">
        <f>IFERROR(__xludf.DUMMYFUNCTION("""COMPUTED_VALUE"""),"Hyper")</f>
        <v>Hyper</v>
      </c>
      <c r="T124" s="3" t="str">
        <f>IFERROR(__xludf.DUMMYFUNCTION("""COMPUTED_VALUE"""),"Hub07-North")</f>
        <v>Hub07-North</v>
      </c>
      <c r="U124" s="3" t="str">
        <f>IFERROR(__xludf.DUMMYFUNCTION("""COMPUTED_VALUE"""),"Hub07-North")</f>
        <v>Hub07-North</v>
      </c>
      <c r="V124" s="3" t="str">
        <f>IFERROR(__xludf.DUMMYFUNCTION("""COMPUTED_VALUE"""),"N")</f>
        <v>N</v>
      </c>
      <c r="W124" s="3">
        <f>IFERROR(__xludf.DUMMYFUNCTION("""COMPUTED_VALUE"""),111231.0)</f>
        <v>111231</v>
      </c>
      <c r="X124" s="3" t="str">
        <f>IFERROR(__xludf.DUMMYFUNCTION("""COMPUTED_VALUE"""),"708 หมู่ 4 ตำบลไชยสถาน อำเภอเมืองน่าน จังหวัดน่าน 55000")</f>
        <v>708 หมู่ 4 ตำบลไชยสถาน อำเภอเมืองน่าน จังหวัดน่าน 55000</v>
      </c>
      <c r="Y124" s="3"/>
      <c r="Z124" s="3" t="str">
        <f>IFERROR(__xludf.DUMMYFUNCTION("""COMPUTED_VALUE"""),"ไชยสถาน")</f>
        <v>ไชยสถาน</v>
      </c>
      <c r="AA124" s="3" t="str">
        <f>IFERROR(__xludf.DUMMYFUNCTION("""COMPUTED_VALUE"""),"เมือง")</f>
        <v>เมือง</v>
      </c>
      <c r="AB124" s="3" t="str">
        <f>IFERROR(__xludf.DUMMYFUNCTION("""COMPUTED_VALUE"""),"น่าน")</f>
        <v>น่าน</v>
      </c>
      <c r="AC124" s="3">
        <f>IFERROR(__xludf.DUMMYFUNCTION("""COMPUTED_VALUE"""),55000.0)</f>
        <v>55000</v>
      </c>
      <c r="AD124" s="3">
        <f>IFERROR(__xludf.DUMMYFUNCTION("""COMPUTED_VALUE"""),18.783753)</f>
        <v>18.783753</v>
      </c>
      <c r="AE124" s="3">
        <f>IFERROR(__xludf.DUMMYFUNCTION("""COMPUTED_VALUE"""),100.74663)</f>
        <v>100.74663</v>
      </c>
      <c r="AF124" s="3" t="str">
        <f>IFERROR(__xludf.DUMMYFUNCTION("""COMPUTED_VALUE"""),"น่าน-11225")</f>
        <v>น่าน-11225</v>
      </c>
      <c r="AG124" s="3" t="str">
        <f>IFERROR(__xludf.DUMMYFUNCTION("""COMPUTED_VALUE"""),"เหนือ")</f>
        <v>เหนือ</v>
      </c>
      <c r="AH124" s="3" t="str">
        <f>IFERROR(__xludf.DUMMYFUNCTION("""COMPUTED_VALUE"""),"Wichai Soomboonsod")</f>
        <v>Wichai Soomboonsod</v>
      </c>
      <c r="AI124" s="3" t="str">
        <f>IFERROR(__xludf.DUMMYFUNCTION("""COMPUTED_VALUE"""),"Out of warranty")</f>
        <v>Out of warranty</v>
      </c>
      <c r="AJ124" s="3">
        <f>IFERROR(__xludf.DUMMYFUNCTION("""COMPUTED_VALUE"""),128.0)</f>
        <v>128</v>
      </c>
      <c r="AK124" s="3"/>
      <c r="AL124" s="3" t="str">
        <f>IFERROR(__xludf.DUMMYFUNCTION("""COMPUTED_VALUE"""),"sgm.nan@bigc.co.th")</f>
        <v>sgm.nan@bigc.co.th</v>
      </c>
    </row>
    <row r="125" ht="15.75" customHeight="1">
      <c r="A125" s="1" t="str">
        <f>IFERROR(__xludf.DUMMYFUNCTION("""COMPUTED_VALUE"""),"11226")</f>
        <v>11226</v>
      </c>
      <c r="B125" s="2">
        <f>IFERROR(__xludf.DUMMYFUNCTION("""COMPUTED_VALUE"""),11226.0)</f>
        <v>11226</v>
      </c>
      <c r="C125" s="3" t="str">
        <f>IFERROR(__xludf.DUMMYFUNCTION("""COMPUTED_VALUE"""),"กระนวน")</f>
        <v>กระนวน</v>
      </c>
      <c r="D125" s="3" t="str">
        <f>IFERROR(__xludf.DUMMYFUNCTION("""COMPUTED_VALUE"""),"BIGC KRANUAN")</f>
        <v>BIGC KRANUAN</v>
      </c>
      <c r="E125" s="1" t="str">
        <f>IFERROR(__xludf.DUMMYFUNCTION("""COMPUTED_VALUE"""),"บิ๊กซี HyperMarket")</f>
        <v>บิ๊กซี HyperMarket</v>
      </c>
      <c r="F125" s="1" t="str">
        <f>IFERROR(__xludf.DUMMYFUNCTION("""COMPUTED_VALUE"""),"295801")</f>
        <v>295801</v>
      </c>
      <c r="G125" s="1" t="str">
        <f>IFERROR(__xludf.DUMMYFUNCTION("""COMPUTED_VALUE"""),"นายอรรถพล เหล่าสุวงศ์")</f>
        <v>นายอรรถพล เหล่าสุวงศ์</v>
      </c>
      <c r="H125" s="1" t="str">
        <f>IFERROR(__xludf.DUMMYFUNCTION("""COMPUTED_VALUE"""),"295801")</f>
        <v>295801</v>
      </c>
      <c r="I125" s="1" t="str">
        <f>IFERROR(__xludf.DUMMYFUNCTION("""COMPUTED_VALUE"""),"นายอรรถพล เหล่าสุวงศ์")</f>
        <v>นายอรรถพล เหล่าสุวงศ์</v>
      </c>
      <c r="J125" s="3">
        <f>IFERROR(__xludf.DUMMYFUNCTION("""COMPUTED_VALUE"""),295801.0)</f>
        <v>295801</v>
      </c>
      <c r="K125" s="3" t="str">
        <f>IFERROR(__xludf.DUMMYFUNCTION("""COMPUTED_VALUE"""),"นายอรรถพล เหล่าสุวงศ์")</f>
        <v>นายอรรถพล เหล่าสุวงศ์</v>
      </c>
      <c r="L125" s="1" t="str">
        <f>IFERROR(__xludf.DUMMYFUNCTION("""COMPUTED_VALUE"""),"Hub09-NE 1")</f>
        <v>Hub09-NE 1</v>
      </c>
      <c r="M125" s="1" t="str">
        <f>IFERROR(__xludf.DUMMYFUNCTION("""COMPUTED_VALUE"""),"0655090879")</f>
        <v>0655090879</v>
      </c>
      <c r="N125" s="3">
        <f>IFERROR(__xludf.DUMMYFUNCTION("""COMPUTED_VALUE"""),11226.0)</f>
        <v>11226</v>
      </c>
      <c r="O125" s="3" t="str">
        <f>IFERROR(__xludf.DUMMYFUNCTION("""COMPUTED_VALUE"""),"กระนวน")</f>
        <v>กระนวน</v>
      </c>
      <c r="P125" s="4">
        <f>IFERROR(__xludf.DUMMYFUNCTION("""COMPUTED_VALUE"""),42366.0)</f>
        <v>42366</v>
      </c>
      <c r="Q125" s="3" t="str">
        <f>IFERROR(__xludf.DUMMYFUNCTION("""COMPUTED_VALUE"""),"A")</f>
        <v>A</v>
      </c>
      <c r="R125" s="3" t="str">
        <f>IFERROR(__xludf.DUMMYFUNCTION("""COMPUTED_VALUE"""),"Big Format")</f>
        <v>Big Format</v>
      </c>
      <c r="S125" s="3" t="str">
        <f>IFERROR(__xludf.DUMMYFUNCTION("""COMPUTED_VALUE"""),"Hyper")</f>
        <v>Hyper</v>
      </c>
      <c r="T125" s="3" t="str">
        <f>IFERROR(__xludf.DUMMYFUNCTION("""COMPUTED_VALUE"""),"Hub09-NE 1")</f>
        <v>Hub09-NE 1</v>
      </c>
      <c r="U125" s="3" t="str">
        <f>IFERROR(__xludf.DUMMYFUNCTION("""COMPUTED_VALUE"""),"Hub09-NE 1")</f>
        <v>Hub09-NE 1</v>
      </c>
      <c r="V125" s="3" t="str">
        <f>IFERROR(__xludf.DUMMYFUNCTION("""COMPUTED_VALUE"""),"N")</f>
        <v>N</v>
      </c>
      <c r="W125" s="3">
        <f>IFERROR(__xludf.DUMMYFUNCTION("""COMPUTED_VALUE"""),111232.0)</f>
        <v>111232</v>
      </c>
      <c r="X125" s="3" t="str">
        <f>IFERROR(__xludf.DUMMYFUNCTION("""COMPUTED_VALUE"""),"559 หมู่ 10 ตำบลหนองโก อำเภอกระนวน จังหวัดขอนแก่น 40170")</f>
        <v>559 หมู่ 10 ตำบลหนองโก อำเภอกระนวน จังหวัดขอนแก่น 40170</v>
      </c>
      <c r="Y125" s="3"/>
      <c r="Z125" s="3" t="str">
        <f>IFERROR(__xludf.DUMMYFUNCTION("""COMPUTED_VALUE"""),"หนองโก")</f>
        <v>หนองโก</v>
      </c>
      <c r="AA125" s="3" t="str">
        <f>IFERROR(__xludf.DUMMYFUNCTION("""COMPUTED_VALUE"""),"กระนวน")</f>
        <v>กระนวน</v>
      </c>
      <c r="AB125" s="3" t="str">
        <f>IFERROR(__xludf.DUMMYFUNCTION("""COMPUTED_VALUE"""),"ขอนแก่น")</f>
        <v>ขอนแก่น</v>
      </c>
      <c r="AC125" s="3">
        <f>IFERROR(__xludf.DUMMYFUNCTION("""COMPUTED_VALUE"""),40170.0)</f>
        <v>40170</v>
      </c>
      <c r="AD125" s="3">
        <f>IFERROR(__xludf.DUMMYFUNCTION("""COMPUTED_VALUE"""),16.704947)</f>
        <v>16.704947</v>
      </c>
      <c r="AE125" s="3">
        <f>IFERROR(__xludf.DUMMYFUNCTION("""COMPUTED_VALUE"""),103.0758099)</f>
        <v>103.0758099</v>
      </c>
      <c r="AF125" s="3" t="str">
        <f>IFERROR(__xludf.DUMMYFUNCTION("""COMPUTED_VALUE"""),"กระนวน-11226")</f>
        <v>กระนวน-11226</v>
      </c>
      <c r="AG125" s="3" t="str">
        <f>IFERROR(__xludf.DUMMYFUNCTION("""COMPUTED_VALUE"""),"ตะวันออกเฉียงเหนือ")</f>
        <v>ตะวันออกเฉียงเหนือ</v>
      </c>
      <c r="AH125" s="3" t="str">
        <f>IFERROR(__xludf.DUMMYFUNCTION("""COMPUTED_VALUE"""),"K.Narabordee")</f>
        <v>K.Narabordee</v>
      </c>
      <c r="AI125" s="3" t="str">
        <f>IFERROR(__xludf.DUMMYFUNCTION("""COMPUTED_VALUE"""),"Out of warranty")</f>
        <v>Out of warranty</v>
      </c>
      <c r="AJ125" s="3">
        <f>IFERROR(__xludf.DUMMYFUNCTION("""COMPUTED_VALUE"""),121.0)</f>
        <v>121</v>
      </c>
      <c r="AK125" s="3"/>
      <c r="AL125" s="3" t="str">
        <f>IFERROR(__xludf.DUMMYFUNCTION("""COMPUTED_VALUE"""),"sgm.kranuan@bigc.co.th")</f>
        <v>sgm.kranuan@bigc.co.th</v>
      </c>
    </row>
    <row r="126" ht="15.75" customHeight="1">
      <c r="A126" s="1" t="str">
        <f>IFERROR(__xludf.DUMMYFUNCTION("""COMPUTED_VALUE"""),"11227")</f>
        <v>11227</v>
      </c>
      <c r="B126" s="2">
        <f>IFERROR(__xludf.DUMMYFUNCTION("""COMPUTED_VALUE"""),11227.0)</f>
        <v>11227</v>
      </c>
      <c r="C126" s="3" t="str">
        <f>IFERROR(__xludf.DUMMYFUNCTION("""COMPUTED_VALUE"""),"ระนอง")</f>
        <v>ระนอง</v>
      </c>
      <c r="D126" s="3" t="str">
        <f>IFERROR(__xludf.DUMMYFUNCTION("""COMPUTED_VALUE"""),"BIGC RANONG")</f>
        <v>BIGC RANONG</v>
      </c>
      <c r="E126" s="1" t="str">
        <f>IFERROR(__xludf.DUMMYFUNCTION("""COMPUTED_VALUE"""),"บิ๊กซี HyperMarket")</f>
        <v>บิ๊กซี HyperMarket</v>
      </c>
      <c r="F126" s="1" t="str">
        <f>IFERROR(__xludf.DUMMYFUNCTION("""COMPUTED_VALUE"""),"2454709")</f>
        <v>2454709</v>
      </c>
      <c r="G126" s="1" t="str">
        <f>IFERROR(__xludf.DUMMYFUNCTION("""COMPUTED_VALUE"""),"นายประชา เกตุชาติ")</f>
        <v>นายประชา เกตุชาติ</v>
      </c>
      <c r="H126" s="1" t="str">
        <f>IFERROR(__xludf.DUMMYFUNCTION("""COMPUTED_VALUE"""),"2454709")</f>
        <v>2454709</v>
      </c>
      <c r="I126" s="1" t="str">
        <f>IFERROR(__xludf.DUMMYFUNCTION("""COMPUTED_VALUE"""),"นายประชา เกตุชาติ")</f>
        <v>นายประชา เกตุชาติ</v>
      </c>
      <c r="J126" s="3">
        <f>IFERROR(__xludf.DUMMYFUNCTION("""COMPUTED_VALUE"""),2454709.0)</f>
        <v>2454709</v>
      </c>
      <c r="K126" s="3" t="str">
        <f>IFERROR(__xludf.DUMMYFUNCTION("""COMPUTED_VALUE"""),"นายประชา เกตุชาติ")</f>
        <v>นายประชา เกตุชาติ</v>
      </c>
      <c r="L126" s="1" t="str">
        <f>IFERROR(__xludf.DUMMYFUNCTION("""COMPUTED_VALUE"""),"Hub05-South")</f>
        <v>Hub05-South</v>
      </c>
      <c r="M126" s="1" t="str">
        <f>IFERROR(__xludf.DUMMYFUNCTION("""COMPUTED_VALUE"""),"0659291311")</f>
        <v>0659291311</v>
      </c>
      <c r="N126" s="3">
        <f>IFERROR(__xludf.DUMMYFUNCTION("""COMPUTED_VALUE"""),11227.0)</f>
        <v>11227</v>
      </c>
      <c r="O126" s="3" t="str">
        <f>IFERROR(__xludf.DUMMYFUNCTION("""COMPUTED_VALUE"""),"ระนอง")</f>
        <v>ระนอง</v>
      </c>
      <c r="P126" s="4">
        <f>IFERROR(__xludf.DUMMYFUNCTION("""COMPUTED_VALUE"""),42503.0)</f>
        <v>42503</v>
      </c>
      <c r="Q126" s="3" t="str">
        <f>IFERROR(__xludf.DUMMYFUNCTION("""COMPUTED_VALUE"""),"A")</f>
        <v>A</v>
      </c>
      <c r="R126" s="3" t="str">
        <f>IFERROR(__xludf.DUMMYFUNCTION("""COMPUTED_VALUE"""),"Big Format")</f>
        <v>Big Format</v>
      </c>
      <c r="S126" s="3" t="str">
        <f>IFERROR(__xludf.DUMMYFUNCTION("""COMPUTED_VALUE"""),"Hyper")</f>
        <v>Hyper</v>
      </c>
      <c r="T126" s="3" t="str">
        <f>IFERROR(__xludf.DUMMYFUNCTION("""COMPUTED_VALUE"""),"Hub05-South")</f>
        <v>Hub05-South</v>
      </c>
      <c r="U126" s="3" t="str">
        <f>IFERROR(__xludf.DUMMYFUNCTION("""COMPUTED_VALUE"""),"Hub05-South")</f>
        <v>Hub05-South</v>
      </c>
      <c r="V126" s="3" t="str">
        <f>IFERROR(__xludf.DUMMYFUNCTION("""COMPUTED_VALUE"""),"N")</f>
        <v>N</v>
      </c>
      <c r="W126" s="3">
        <f>IFERROR(__xludf.DUMMYFUNCTION("""COMPUTED_VALUE"""),111233.0)</f>
        <v>111233</v>
      </c>
      <c r="X126" s="3" t="str">
        <f>IFERROR(__xludf.DUMMYFUNCTION("""COMPUTED_VALUE"""),"666/1 หมู่ 4 ตำบลบางนอน อำเภอเมืองระนอง จังหวัดระนอง 85000")</f>
        <v>666/1 หมู่ 4 ตำบลบางนอน อำเภอเมืองระนอง จังหวัดระนอง 85000</v>
      </c>
      <c r="Y126" s="3"/>
      <c r="Z126" s="3" t="str">
        <f>IFERROR(__xludf.DUMMYFUNCTION("""COMPUTED_VALUE"""),"บางนอน")</f>
        <v>บางนอน</v>
      </c>
      <c r="AA126" s="3" t="str">
        <f>IFERROR(__xludf.DUMMYFUNCTION("""COMPUTED_VALUE"""),"เมือง")</f>
        <v>เมือง</v>
      </c>
      <c r="AB126" s="3" t="str">
        <f>IFERROR(__xludf.DUMMYFUNCTION("""COMPUTED_VALUE"""),"ระนอง")</f>
        <v>ระนอง</v>
      </c>
      <c r="AC126" s="3">
        <f>IFERROR(__xludf.DUMMYFUNCTION("""COMPUTED_VALUE"""),85000.0)</f>
        <v>85000</v>
      </c>
      <c r="AD126" s="3">
        <f>IFERROR(__xludf.DUMMYFUNCTION("""COMPUTED_VALUE"""),9.982542)</f>
        <v>9.982542</v>
      </c>
      <c r="AE126" s="3">
        <f>IFERROR(__xludf.DUMMYFUNCTION("""COMPUTED_VALUE"""),98.6384764)</f>
        <v>98.6384764</v>
      </c>
      <c r="AF126" s="3" t="str">
        <f>IFERROR(__xludf.DUMMYFUNCTION("""COMPUTED_VALUE"""),"ระนอง-11227")</f>
        <v>ระนอง-11227</v>
      </c>
      <c r="AG126" s="3" t="str">
        <f>IFERROR(__xludf.DUMMYFUNCTION("""COMPUTED_VALUE"""),"ใต้")</f>
        <v>ใต้</v>
      </c>
      <c r="AH126" s="3" t="str">
        <f>IFERROR(__xludf.DUMMYFUNCTION("""COMPUTED_VALUE"""),"Suwadee Intachart")</f>
        <v>Suwadee Intachart</v>
      </c>
      <c r="AI126" s="3" t="str">
        <f>IFERROR(__xludf.DUMMYFUNCTION("""COMPUTED_VALUE"""),"Out of warranty")</f>
        <v>Out of warranty</v>
      </c>
      <c r="AJ126" s="3">
        <f>IFERROR(__xludf.DUMMYFUNCTION("""COMPUTED_VALUE"""),117.0)</f>
        <v>117</v>
      </c>
      <c r="AK126" s="3"/>
      <c r="AL126" s="3" t="str">
        <f>IFERROR(__xludf.DUMMYFUNCTION("""COMPUTED_VALUE"""),"sgm.ranong@bigc.co.th")</f>
        <v>sgm.ranong@bigc.co.th</v>
      </c>
    </row>
    <row r="127" ht="15.75" customHeight="1">
      <c r="A127" s="1" t="str">
        <f>IFERROR(__xludf.DUMMYFUNCTION("""COMPUTED_VALUE"""),"11228")</f>
        <v>11228</v>
      </c>
      <c r="B127" s="2">
        <f>IFERROR(__xludf.DUMMYFUNCTION("""COMPUTED_VALUE"""),11228.0)</f>
        <v>11228</v>
      </c>
      <c r="C127" s="3" t="str">
        <f>IFERROR(__xludf.DUMMYFUNCTION("""COMPUTED_VALUE"""),"โพนพิสัย")</f>
        <v>โพนพิสัย</v>
      </c>
      <c r="D127" s="3" t="str">
        <f>IFERROR(__xludf.DUMMYFUNCTION("""COMPUTED_VALUE"""),"BIGC PHON PHISAI")</f>
        <v>BIGC PHON PHISAI</v>
      </c>
      <c r="E127" s="1" t="str">
        <f>IFERROR(__xludf.DUMMYFUNCTION("""COMPUTED_VALUE"""),"บิ๊กซี HyperMarket")</f>
        <v>บิ๊กซี HyperMarket</v>
      </c>
      <c r="F127" s="1" t="str">
        <f>IFERROR(__xludf.DUMMYFUNCTION("""COMPUTED_VALUE"""),"295801")</f>
        <v>295801</v>
      </c>
      <c r="G127" s="1" t="str">
        <f>IFERROR(__xludf.DUMMYFUNCTION("""COMPUTED_VALUE"""),"นายอรรถพล เหล่าสุวงศ์")</f>
        <v>นายอรรถพล เหล่าสุวงศ์</v>
      </c>
      <c r="H127" s="1" t="str">
        <f>IFERROR(__xludf.DUMMYFUNCTION("""COMPUTED_VALUE"""),"295801")</f>
        <v>295801</v>
      </c>
      <c r="I127" s="1" t="str">
        <f>IFERROR(__xludf.DUMMYFUNCTION("""COMPUTED_VALUE"""),"นายอรรถพล เหล่าสุวงศ์")</f>
        <v>นายอรรถพล เหล่าสุวงศ์</v>
      </c>
      <c r="J127" s="3">
        <f>IFERROR(__xludf.DUMMYFUNCTION("""COMPUTED_VALUE"""),295801.0)</f>
        <v>295801</v>
      </c>
      <c r="K127" s="3" t="str">
        <f>IFERROR(__xludf.DUMMYFUNCTION("""COMPUTED_VALUE"""),"นายอรรถพล เหล่าสุวงศ์")</f>
        <v>นายอรรถพล เหล่าสุวงศ์</v>
      </c>
      <c r="L127" s="1" t="str">
        <f>IFERROR(__xludf.DUMMYFUNCTION("""COMPUTED_VALUE"""),"Hub09-NE 1")</f>
        <v>Hub09-NE 1</v>
      </c>
      <c r="M127" s="1" t="str">
        <f>IFERROR(__xludf.DUMMYFUNCTION("""COMPUTED_VALUE"""),"0655090879")</f>
        <v>0655090879</v>
      </c>
      <c r="N127" s="3">
        <f>IFERROR(__xludf.DUMMYFUNCTION("""COMPUTED_VALUE"""),11228.0)</f>
        <v>11228</v>
      </c>
      <c r="O127" s="3" t="str">
        <f>IFERROR(__xludf.DUMMYFUNCTION("""COMPUTED_VALUE"""),"โพนพิสัย")</f>
        <v>โพนพิสัย</v>
      </c>
      <c r="P127" s="4">
        <f>IFERROR(__xludf.DUMMYFUNCTION("""COMPUTED_VALUE"""),42575.0)</f>
        <v>42575</v>
      </c>
      <c r="Q127" s="3" t="str">
        <f>IFERROR(__xludf.DUMMYFUNCTION("""COMPUTED_VALUE"""),"A")</f>
        <v>A</v>
      </c>
      <c r="R127" s="3" t="str">
        <f>IFERROR(__xludf.DUMMYFUNCTION("""COMPUTED_VALUE"""),"Big Format")</f>
        <v>Big Format</v>
      </c>
      <c r="S127" s="3" t="str">
        <f>IFERROR(__xludf.DUMMYFUNCTION("""COMPUTED_VALUE"""),"Hyper")</f>
        <v>Hyper</v>
      </c>
      <c r="T127" s="3" t="str">
        <f>IFERROR(__xludf.DUMMYFUNCTION("""COMPUTED_VALUE"""),"Hub09-NE 1")</f>
        <v>Hub09-NE 1</v>
      </c>
      <c r="U127" s="3" t="str">
        <f>IFERROR(__xludf.DUMMYFUNCTION("""COMPUTED_VALUE"""),"Hub09-NE 1")</f>
        <v>Hub09-NE 1</v>
      </c>
      <c r="V127" s="3" t="str">
        <f>IFERROR(__xludf.DUMMYFUNCTION("""COMPUTED_VALUE"""),"N")</f>
        <v>N</v>
      </c>
      <c r="W127" s="3">
        <f>IFERROR(__xludf.DUMMYFUNCTION("""COMPUTED_VALUE"""),111235.0)</f>
        <v>111235</v>
      </c>
      <c r="X127" s="3" t="str">
        <f>IFERROR(__xludf.DUMMYFUNCTION("""COMPUTED_VALUE"""),"89 หมู่ 16 ตำบลจุมพล อำเภอโพนพิสัย จังหวัดหนองคาย 43120")</f>
        <v>89 หมู่ 16 ตำบลจุมพล อำเภอโพนพิสัย จังหวัดหนองคาย 43120</v>
      </c>
      <c r="Y127" s="3"/>
      <c r="Z127" s="3" t="str">
        <f>IFERROR(__xludf.DUMMYFUNCTION("""COMPUTED_VALUE"""),"จุมพล")</f>
        <v>จุมพล</v>
      </c>
      <c r="AA127" s="3" t="str">
        <f>IFERROR(__xludf.DUMMYFUNCTION("""COMPUTED_VALUE"""),"โพนพิสัย")</f>
        <v>โพนพิสัย</v>
      </c>
      <c r="AB127" s="3" t="str">
        <f>IFERROR(__xludf.DUMMYFUNCTION("""COMPUTED_VALUE"""),"หนองคาย")</f>
        <v>หนองคาย</v>
      </c>
      <c r="AC127" s="3">
        <f>IFERROR(__xludf.DUMMYFUNCTION("""COMPUTED_VALUE"""),43120.0)</f>
        <v>43120</v>
      </c>
      <c r="AD127" s="3">
        <f>IFERROR(__xludf.DUMMYFUNCTION("""COMPUTED_VALUE"""),18.0543742)</f>
        <v>18.0543742</v>
      </c>
      <c r="AE127" s="3">
        <f>IFERROR(__xludf.DUMMYFUNCTION("""COMPUTED_VALUE"""),103.1050541)</f>
        <v>103.1050541</v>
      </c>
      <c r="AF127" s="3" t="str">
        <f>IFERROR(__xludf.DUMMYFUNCTION("""COMPUTED_VALUE"""),"โพนพิสัย-11228")</f>
        <v>โพนพิสัย-11228</v>
      </c>
      <c r="AG127" s="3" t="str">
        <f>IFERROR(__xludf.DUMMYFUNCTION("""COMPUTED_VALUE"""),"ตะวันออกเฉียงเหนือ")</f>
        <v>ตะวันออกเฉียงเหนือ</v>
      </c>
      <c r="AH127" s="3" t="str">
        <f>IFERROR(__xludf.DUMMYFUNCTION("""COMPUTED_VALUE"""),"K.Narabordee")</f>
        <v>K.Narabordee</v>
      </c>
      <c r="AI127" s="3" t="str">
        <f>IFERROR(__xludf.DUMMYFUNCTION("""COMPUTED_VALUE"""),"Out of warranty")</f>
        <v>Out of warranty</v>
      </c>
      <c r="AJ127" s="3">
        <f>IFERROR(__xludf.DUMMYFUNCTION("""COMPUTED_VALUE"""),114.0)</f>
        <v>114</v>
      </c>
      <c r="AK127" s="3"/>
      <c r="AL127" s="3" t="str">
        <f>IFERROR(__xludf.DUMMYFUNCTION("""COMPUTED_VALUE"""),"sgm.phonphisai@bigc.co.th")</f>
        <v>sgm.phonphisai@bigc.co.th</v>
      </c>
    </row>
    <row r="128" ht="15.75" customHeight="1">
      <c r="A128" s="1" t="str">
        <f>IFERROR(__xludf.DUMMYFUNCTION("""COMPUTED_VALUE"""),"11229")</f>
        <v>11229</v>
      </c>
      <c r="B128" s="2">
        <f>IFERROR(__xludf.DUMMYFUNCTION("""COMPUTED_VALUE"""),11229.0)</f>
        <v>11229</v>
      </c>
      <c r="C128" s="3" t="str">
        <f>IFERROR(__xludf.DUMMYFUNCTION("""COMPUTED_VALUE"""),"นาทวี")</f>
        <v>นาทวี</v>
      </c>
      <c r="D128" s="3" t="str">
        <f>IFERROR(__xludf.DUMMYFUNCTION("""COMPUTED_VALUE"""),"BIGC NA THAWI")</f>
        <v>BIGC NA THAWI</v>
      </c>
      <c r="E128" s="1" t="str">
        <f>IFERROR(__xludf.DUMMYFUNCTION("""COMPUTED_VALUE"""),"บิ๊กซี HyperMarket")</f>
        <v>บิ๊กซี HyperMarket</v>
      </c>
      <c r="F128" s="1" t="str">
        <f>IFERROR(__xludf.DUMMYFUNCTION("""COMPUTED_VALUE"""),"2454709")</f>
        <v>2454709</v>
      </c>
      <c r="G128" s="1" t="str">
        <f>IFERROR(__xludf.DUMMYFUNCTION("""COMPUTED_VALUE"""),"นายประชา เกตุชาติ")</f>
        <v>นายประชา เกตุชาติ</v>
      </c>
      <c r="H128" s="1" t="str">
        <f>IFERROR(__xludf.DUMMYFUNCTION("""COMPUTED_VALUE"""),"2454709")</f>
        <v>2454709</v>
      </c>
      <c r="I128" s="1" t="str">
        <f>IFERROR(__xludf.DUMMYFUNCTION("""COMPUTED_VALUE"""),"นายประชา เกตุชาติ")</f>
        <v>นายประชา เกตุชาติ</v>
      </c>
      <c r="J128" s="3">
        <f>IFERROR(__xludf.DUMMYFUNCTION("""COMPUTED_VALUE"""),2454709.0)</f>
        <v>2454709</v>
      </c>
      <c r="K128" s="3" t="str">
        <f>IFERROR(__xludf.DUMMYFUNCTION("""COMPUTED_VALUE"""),"นายประชา เกตุชาติ")</f>
        <v>นายประชา เกตุชาติ</v>
      </c>
      <c r="L128" s="1" t="str">
        <f>IFERROR(__xludf.DUMMYFUNCTION("""COMPUTED_VALUE"""),"Hub05-South")</f>
        <v>Hub05-South</v>
      </c>
      <c r="M128" s="1" t="str">
        <f>IFERROR(__xludf.DUMMYFUNCTION("""COMPUTED_VALUE"""),"0659291311")</f>
        <v>0659291311</v>
      </c>
      <c r="N128" s="3">
        <f>IFERROR(__xludf.DUMMYFUNCTION("""COMPUTED_VALUE"""),11229.0)</f>
        <v>11229</v>
      </c>
      <c r="O128" s="3" t="str">
        <f>IFERROR(__xludf.DUMMYFUNCTION("""COMPUTED_VALUE"""),"นาทวี")</f>
        <v>นาทวี</v>
      </c>
      <c r="P128" s="4">
        <f>IFERROR(__xludf.DUMMYFUNCTION("""COMPUTED_VALUE"""),42620.0)</f>
        <v>42620</v>
      </c>
      <c r="Q128" s="3" t="str">
        <f>IFERROR(__xludf.DUMMYFUNCTION("""COMPUTED_VALUE"""),"A")</f>
        <v>A</v>
      </c>
      <c r="R128" s="3" t="str">
        <f>IFERROR(__xludf.DUMMYFUNCTION("""COMPUTED_VALUE"""),"Big Format")</f>
        <v>Big Format</v>
      </c>
      <c r="S128" s="3" t="str">
        <f>IFERROR(__xludf.DUMMYFUNCTION("""COMPUTED_VALUE"""),"Hyper")</f>
        <v>Hyper</v>
      </c>
      <c r="T128" s="3" t="str">
        <f>IFERROR(__xludf.DUMMYFUNCTION("""COMPUTED_VALUE"""),"Hub05-South")</f>
        <v>Hub05-South</v>
      </c>
      <c r="U128" s="3" t="str">
        <f>IFERROR(__xludf.DUMMYFUNCTION("""COMPUTED_VALUE"""),"Hub05-South")</f>
        <v>Hub05-South</v>
      </c>
      <c r="V128" s="3" t="str">
        <f>IFERROR(__xludf.DUMMYFUNCTION("""COMPUTED_VALUE"""),"N")</f>
        <v>N</v>
      </c>
      <c r="W128" s="3">
        <f>IFERROR(__xludf.DUMMYFUNCTION("""COMPUTED_VALUE"""),111234.0)</f>
        <v>111234</v>
      </c>
      <c r="X128" s="3" t="str">
        <f>IFERROR(__xludf.DUMMYFUNCTION("""COMPUTED_VALUE"""),"194 หมู่ 4 ตำบลนาทวี อำเภอนาทวี จังหวัดสงขลา 90160")</f>
        <v>194 หมู่ 4 ตำบลนาทวี อำเภอนาทวี จังหวัดสงขลา 90160</v>
      </c>
      <c r="Y128" s="3"/>
      <c r="Z128" s="3" t="str">
        <f>IFERROR(__xludf.DUMMYFUNCTION("""COMPUTED_VALUE"""),"นาทวี")</f>
        <v>นาทวี</v>
      </c>
      <c r="AA128" s="3" t="str">
        <f>IFERROR(__xludf.DUMMYFUNCTION("""COMPUTED_VALUE"""),"นาทวี")</f>
        <v>นาทวี</v>
      </c>
      <c r="AB128" s="3" t="str">
        <f>IFERROR(__xludf.DUMMYFUNCTION("""COMPUTED_VALUE"""),"สงขลา")</f>
        <v>สงขลา</v>
      </c>
      <c r="AC128" s="3">
        <f>IFERROR(__xludf.DUMMYFUNCTION("""COMPUTED_VALUE"""),90160.0)</f>
        <v>90160</v>
      </c>
      <c r="AD128" s="3">
        <f>IFERROR(__xludf.DUMMYFUNCTION("""COMPUTED_VALUE"""),6.6985544)</f>
        <v>6.6985544</v>
      </c>
      <c r="AE128" s="3">
        <f>IFERROR(__xludf.DUMMYFUNCTION("""COMPUTED_VALUE"""),100.6858455)</f>
        <v>100.6858455</v>
      </c>
      <c r="AF128" s="3" t="str">
        <f>IFERROR(__xludf.DUMMYFUNCTION("""COMPUTED_VALUE"""),"นาทวี-11229")</f>
        <v>นาทวี-11229</v>
      </c>
      <c r="AG128" s="3" t="str">
        <f>IFERROR(__xludf.DUMMYFUNCTION("""COMPUTED_VALUE"""),"ใต้")</f>
        <v>ใต้</v>
      </c>
      <c r="AH128" s="3" t="str">
        <f>IFERROR(__xludf.DUMMYFUNCTION("""COMPUTED_VALUE"""),"Suwadee Intachart")</f>
        <v>Suwadee Intachart</v>
      </c>
      <c r="AI128" s="3" t="str">
        <f>IFERROR(__xludf.DUMMYFUNCTION("""COMPUTED_VALUE"""),"Out of warranty")</f>
        <v>Out of warranty</v>
      </c>
      <c r="AJ128" s="3">
        <f>IFERROR(__xludf.DUMMYFUNCTION("""COMPUTED_VALUE"""),113.0)</f>
        <v>113</v>
      </c>
      <c r="AK128" s="3"/>
      <c r="AL128" s="3" t="str">
        <f>IFERROR(__xludf.DUMMYFUNCTION("""COMPUTED_VALUE"""),"sgm.nathawi@bigc.co.th")</f>
        <v>sgm.nathawi@bigc.co.th</v>
      </c>
    </row>
    <row r="129" ht="15.75" customHeight="1">
      <c r="A129" s="1" t="str">
        <f>IFERROR(__xludf.DUMMYFUNCTION("""COMPUTED_VALUE"""),"11230")</f>
        <v>11230</v>
      </c>
      <c r="B129" s="2">
        <f>IFERROR(__xludf.DUMMYFUNCTION("""COMPUTED_VALUE"""),11230.0)</f>
        <v>11230</v>
      </c>
      <c r="C129" s="3" t="str">
        <f>IFERROR(__xludf.DUMMYFUNCTION("""COMPUTED_VALUE"""),"บ้านไผ่")</f>
        <v>บ้านไผ่</v>
      </c>
      <c r="D129" s="3" t="str">
        <f>IFERROR(__xludf.DUMMYFUNCTION("""COMPUTED_VALUE"""),"BIGC BANPHAI")</f>
        <v>BIGC BANPHAI</v>
      </c>
      <c r="E129" s="1" t="str">
        <f>IFERROR(__xludf.DUMMYFUNCTION("""COMPUTED_VALUE"""),"บิ๊กซี HyperMarket")</f>
        <v>บิ๊กซี HyperMarket</v>
      </c>
      <c r="F129" s="1" t="str">
        <f>IFERROR(__xludf.DUMMYFUNCTION("""COMPUTED_VALUE"""),"295801")</f>
        <v>295801</v>
      </c>
      <c r="G129" s="1" t="str">
        <f>IFERROR(__xludf.DUMMYFUNCTION("""COMPUTED_VALUE"""),"นายอรรถพล เหล่าสุวงศ์")</f>
        <v>นายอรรถพล เหล่าสุวงศ์</v>
      </c>
      <c r="H129" s="1" t="str">
        <f>IFERROR(__xludf.DUMMYFUNCTION("""COMPUTED_VALUE"""),"295801")</f>
        <v>295801</v>
      </c>
      <c r="I129" s="1" t="str">
        <f>IFERROR(__xludf.DUMMYFUNCTION("""COMPUTED_VALUE"""),"นายอรรถพล เหล่าสุวงศ์")</f>
        <v>นายอรรถพล เหล่าสุวงศ์</v>
      </c>
      <c r="J129" s="3">
        <f>IFERROR(__xludf.DUMMYFUNCTION("""COMPUTED_VALUE"""),295801.0)</f>
        <v>295801</v>
      </c>
      <c r="K129" s="3" t="str">
        <f>IFERROR(__xludf.DUMMYFUNCTION("""COMPUTED_VALUE"""),"นายอรรถพล เหล่าสุวงศ์")</f>
        <v>นายอรรถพล เหล่าสุวงศ์</v>
      </c>
      <c r="L129" s="1" t="str">
        <f>IFERROR(__xludf.DUMMYFUNCTION("""COMPUTED_VALUE"""),"Hub09-NE 1")</f>
        <v>Hub09-NE 1</v>
      </c>
      <c r="M129" s="1" t="str">
        <f>IFERROR(__xludf.DUMMYFUNCTION("""COMPUTED_VALUE"""),"0655090879")</f>
        <v>0655090879</v>
      </c>
      <c r="N129" s="3">
        <f>IFERROR(__xludf.DUMMYFUNCTION("""COMPUTED_VALUE"""),11230.0)</f>
        <v>11230</v>
      </c>
      <c r="O129" s="3" t="str">
        <f>IFERROR(__xludf.DUMMYFUNCTION("""COMPUTED_VALUE"""),"บ้านไผ่")</f>
        <v>บ้านไผ่</v>
      </c>
      <c r="P129" s="4">
        <f>IFERROR(__xludf.DUMMYFUNCTION("""COMPUTED_VALUE"""),42690.0)</f>
        <v>42690</v>
      </c>
      <c r="Q129" s="3" t="str">
        <f>IFERROR(__xludf.DUMMYFUNCTION("""COMPUTED_VALUE"""),"A")</f>
        <v>A</v>
      </c>
      <c r="R129" s="3" t="str">
        <f>IFERROR(__xludf.DUMMYFUNCTION("""COMPUTED_VALUE"""),"Big Format")</f>
        <v>Big Format</v>
      </c>
      <c r="S129" s="3" t="str">
        <f>IFERROR(__xludf.DUMMYFUNCTION("""COMPUTED_VALUE"""),"Hyper")</f>
        <v>Hyper</v>
      </c>
      <c r="T129" s="3" t="str">
        <f>IFERROR(__xludf.DUMMYFUNCTION("""COMPUTED_VALUE"""),"Hub09-NE 1")</f>
        <v>Hub09-NE 1</v>
      </c>
      <c r="U129" s="3" t="str">
        <f>IFERROR(__xludf.DUMMYFUNCTION("""COMPUTED_VALUE"""),"Hub09-NE 1")</f>
        <v>Hub09-NE 1</v>
      </c>
      <c r="V129" s="3" t="str">
        <f>IFERROR(__xludf.DUMMYFUNCTION("""COMPUTED_VALUE"""),"N")</f>
        <v>N</v>
      </c>
      <c r="W129" s="3">
        <f>IFERROR(__xludf.DUMMYFUNCTION("""COMPUTED_VALUE"""),111236.0)</f>
        <v>111236</v>
      </c>
      <c r="X129" s="3" t="str">
        <f>IFERROR(__xludf.DUMMYFUNCTION("""COMPUTED_VALUE"""),"100 หมู่ 6 ตำบลหัวหนอง อำเภอบ้านไผ่ จังหวัดขอนแก่น 40110")</f>
        <v>100 หมู่ 6 ตำบลหัวหนอง อำเภอบ้านไผ่ จังหวัดขอนแก่น 40110</v>
      </c>
      <c r="Y129" s="3"/>
      <c r="Z129" s="3" t="str">
        <f>IFERROR(__xludf.DUMMYFUNCTION("""COMPUTED_VALUE"""),"หัวหนอง")</f>
        <v>หัวหนอง</v>
      </c>
      <c r="AA129" s="3" t="str">
        <f>IFERROR(__xludf.DUMMYFUNCTION("""COMPUTED_VALUE"""),"บ้านไผ่")</f>
        <v>บ้านไผ่</v>
      </c>
      <c r="AB129" s="3" t="str">
        <f>IFERROR(__xludf.DUMMYFUNCTION("""COMPUTED_VALUE"""),"ขอนแก่น")</f>
        <v>ขอนแก่น</v>
      </c>
      <c r="AC129" s="3">
        <f>IFERROR(__xludf.DUMMYFUNCTION("""COMPUTED_VALUE"""),40110.0)</f>
        <v>40110</v>
      </c>
      <c r="AD129" s="3">
        <f>IFERROR(__xludf.DUMMYFUNCTION("""COMPUTED_VALUE"""),16.0459854)</f>
        <v>16.0459854</v>
      </c>
      <c r="AE129" s="3">
        <f>IFERROR(__xludf.DUMMYFUNCTION("""COMPUTED_VALUE"""),102.6946198)</f>
        <v>102.6946198</v>
      </c>
      <c r="AF129" s="3" t="str">
        <f>IFERROR(__xludf.DUMMYFUNCTION("""COMPUTED_VALUE"""),"บ้านไผ่-11230")</f>
        <v>บ้านไผ่-11230</v>
      </c>
      <c r="AG129" s="3" t="str">
        <f>IFERROR(__xludf.DUMMYFUNCTION("""COMPUTED_VALUE"""),"ตะวันออกเฉียงเหนือ")</f>
        <v>ตะวันออกเฉียงเหนือ</v>
      </c>
      <c r="AH129" s="3" t="str">
        <f>IFERROR(__xludf.DUMMYFUNCTION("""COMPUTED_VALUE"""),"K.Narabordee")</f>
        <v>K.Narabordee</v>
      </c>
      <c r="AI129" s="3" t="str">
        <f>IFERROR(__xludf.DUMMYFUNCTION("""COMPUTED_VALUE"""),"Out of warranty")</f>
        <v>Out of warranty</v>
      </c>
      <c r="AJ129" s="3">
        <f>IFERROR(__xludf.DUMMYFUNCTION("""COMPUTED_VALUE"""),111.0)</f>
        <v>111</v>
      </c>
      <c r="AK129" s="3"/>
      <c r="AL129" s="3" t="str">
        <f>IFERROR(__xludf.DUMMYFUNCTION("""COMPUTED_VALUE"""),"sgm.banphai@bigc.co.th")</f>
        <v>sgm.banphai@bigc.co.th</v>
      </c>
    </row>
    <row r="130" ht="15.75" customHeight="1">
      <c r="A130" s="1" t="str">
        <f>IFERROR(__xludf.DUMMYFUNCTION("""COMPUTED_VALUE"""),"11231")</f>
        <v>11231</v>
      </c>
      <c r="B130" s="2">
        <f>IFERROR(__xludf.DUMMYFUNCTION("""COMPUTED_VALUE"""),11231.0)</f>
        <v>11231</v>
      </c>
      <c r="C130" s="3" t="str">
        <f>IFERROR(__xludf.DUMMYFUNCTION("""COMPUTED_VALUE"""),"หนองคาย")</f>
        <v>หนองคาย</v>
      </c>
      <c r="D130" s="3" t="str">
        <f>IFERROR(__xludf.DUMMYFUNCTION("""COMPUTED_VALUE"""),"BIGC NONG KHAI")</f>
        <v>BIGC NONG KHAI</v>
      </c>
      <c r="E130" s="1" t="str">
        <f>IFERROR(__xludf.DUMMYFUNCTION("""COMPUTED_VALUE"""),"บิ๊กซี HyperMarket")</f>
        <v>บิ๊กซี HyperMarket</v>
      </c>
      <c r="F130" s="1" t="str">
        <f>IFERROR(__xludf.DUMMYFUNCTION("""COMPUTED_VALUE"""),"295801")</f>
        <v>295801</v>
      </c>
      <c r="G130" s="1" t="str">
        <f>IFERROR(__xludf.DUMMYFUNCTION("""COMPUTED_VALUE"""),"นายอรรถพล เหล่าสุวงศ์")</f>
        <v>นายอรรถพล เหล่าสุวงศ์</v>
      </c>
      <c r="H130" s="1" t="str">
        <f>IFERROR(__xludf.DUMMYFUNCTION("""COMPUTED_VALUE"""),"295801")</f>
        <v>295801</v>
      </c>
      <c r="I130" s="1" t="str">
        <f>IFERROR(__xludf.DUMMYFUNCTION("""COMPUTED_VALUE"""),"นายอรรถพล เหล่าสุวงศ์")</f>
        <v>นายอรรถพล เหล่าสุวงศ์</v>
      </c>
      <c r="J130" s="3">
        <f>IFERROR(__xludf.DUMMYFUNCTION("""COMPUTED_VALUE"""),295801.0)</f>
        <v>295801</v>
      </c>
      <c r="K130" s="3" t="str">
        <f>IFERROR(__xludf.DUMMYFUNCTION("""COMPUTED_VALUE"""),"นายอรรถพล เหล่าสุวงศ์")</f>
        <v>นายอรรถพล เหล่าสุวงศ์</v>
      </c>
      <c r="L130" s="1" t="str">
        <f>IFERROR(__xludf.DUMMYFUNCTION("""COMPUTED_VALUE"""),"Hub09-NE 1")</f>
        <v>Hub09-NE 1</v>
      </c>
      <c r="M130" s="1" t="str">
        <f>IFERROR(__xludf.DUMMYFUNCTION("""COMPUTED_VALUE"""),"0655090879")</f>
        <v>0655090879</v>
      </c>
      <c r="N130" s="3">
        <f>IFERROR(__xludf.DUMMYFUNCTION("""COMPUTED_VALUE"""),11231.0)</f>
        <v>11231</v>
      </c>
      <c r="O130" s="3" t="str">
        <f>IFERROR(__xludf.DUMMYFUNCTION("""COMPUTED_VALUE"""),"หนองคาย")</f>
        <v>หนองคาย</v>
      </c>
      <c r="P130" s="4">
        <f>IFERROR(__xludf.DUMMYFUNCTION("""COMPUTED_VALUE"""),42675.0)</f>
        <v>42675</v>
      </c>
      <c r="Q130" s="3" t="str">
        <f>IFERROR(__xludf.DUMMYFUNCTION("""COMPUTED_VALUE"""),"A")</f>
        <v>A</v>
      </c>
      <c r="R130" s="3" t="str">
        <f>IFERROR(__xludf.DUMMYFUNCTION("""COMPUTED_VALUE"""),"Big Format")</f>
        <v>Big Format</v>
      </c>
      <c r="S130" s="3" t="str">
        <f>IFERROR(__xludf.DUMMYFUNCTION("""COMPUTED_VALUE"""),"Hyper")</f>
        <v>Hyper</v>
      </c>
      <c r="T130" s="3" t="str">
        <f>IFERROR(__xludf.DUMMYFUNCTION("""COMPUTED_VALUE"""),"Hub09-NE 1")</f>
        <v>Hub09-NE 1</v>
      </c>
      <c r="U130" s="3" t="str">
        <f>IFERROR(__xludf.DUMMYFUNCTION("""COMPUTED_VALUE"""),"Hub09-NE 1")</f>
        <v>Hub09-NE 1</v>
      </c>
      <c r="V130" s="3" t="str">
        <f>IFERROR(__xludf.DUMMYFUNCTION("""COMPUTED_VALUE"""),"N")</f>
        <v>N</v>
      </c>
      <c r="W130" s="3">
        <f>IFERROR(__xludf.DUMMYFUNCTION("""COMPUTED_VALUE"""),111241.0)</f>
        <v>111241</v>
      </c>
      <c r="X130" s="3" t="str">
        <f>IFERROR(__xludf.DUMMYFUNCTION("""COMPUTED_VALUE"""),"89 หมู่ที่ 5 ตำบลโพธิ์ชัย อำเภอเมืองหนองคาย จังหวัดหนองคาย 43000")</f>
        <v>89 หมู่ที่ 5 ตำบลโพธิ์ชัย อำเภอเมืองหนองคาย จังหวัดหนองคาย 43000</v>
      </c>
      <c r="Y130" s="3"/>
      <c r="Z130" s="3" t="str">
        <f>IFERROR(__xludf.DUMMYFUNCTION("""COMPUTED_VALUE"""),"โพธิ์ชัย")</f>
        <v>โพธิ์ชัย</v>
      </c>
      <c r="AA130" s="3" t="str">
        <f>IFERROR(__xludf.DUMMYFUNCTION("""COMPUTED_VALUE"""),"เมือง")</f>
        <v>เมือง</v>
      </c>
      <c r="AB130" s="3" t="str">
        <f>IFERROR(__xludf.DUMMYFUNCTION("""COMPUTED_VALUE"""),"หนองคาย")</f>
        <v>หนองคาย</v>
      </c>
      <c r="AC130" s="3">
        <f>IFERROR(__xludf.DUMMYFUNCTION("""COMPUTED_VALUE"""),43000.0)</f>
        <v>43000</v>
      </c>
      <c r="AD130" s="3">
        <f>IFERROR(__xludf.DUMMYFUNCTION("""COMPUTED_VALUE"""),17.8487349)</f>
        <v>17.8487349</v>
      </c>
      <c r="AE130" s="3">
        <f>IFERROR(__xludf.DUMMYFUNCTION("""COMPUTED_VALUE"""),102.7405476)</f>
        <v>102.7405476</v>
      </c>
      <c r="AF130" s="3" t="str">
        <f>IFERROR(__xludf.DUMMYFUNCTION("""COMPUTED_VALUE"""),"หนองคาย-11231")</f>
        <v>หนองคาย-11231</v>
      </c>
      <c r="AG130" s="3" t="str">
        <f>IFERROR(__xludf.DUMMYFUNCTION("""COMPUTED_VALUE"""),"ตะวันออกเฉียงเหนือ")</f>
        <v>ตะวันออกเฉียงเหนือ</v>
      </c>
      <c r="AH130" s="3" t="str">
        <f>IFERROR(__xludf.DUMMYFUNCTION("""COMPUTED_VALUE"""),"K.Narabordee")</f>
        <v>K.Narabordee</v>
      </c>
      <c r="AI130" s="3" t="str">
        <f>IFERROR(__xludf.DUMMYFUNCTION("""COMPUTED_VALUE"""),"Out of warranty")</f>
        <v>Out of warranty</v>
      </c>
      <c r="AJ130" s="3">
        <f>IFERROR(__xludf.DUMMYFUNCTION("""COMPUTED_VALUE"""),111.0)</f>
        <v>111</v>
      </c>
      <c r="AK130" s="3"/>
      <c r="AL130" s="3" t="str">
        <f>IFERROR(__xludf.DUMMYFUNCTION("""COMPUTED_VALUE"""),"sgm.nongkhai@bigc.co.th")</f>
        <v>sgm.nongkhai@bigc.co.th</v>
      </c>
    </row>
    <row r="131" ht="15.75" customHeight="1">
      <c r="A131" s="1" t="str">
        <f>IFERROR(__xludf.DUMMYFUNCTION("""COMPUTED_VALUE"""),"11232")</f>
        <v>11232</v>
      </c>
      <c r="B131" s="2">
        <f>IFERROR(__xludf.DUMMYFUNCTION("""COMPUTED_VALUE"""),11232.0)</f>
        <v>11232</v>
      </c>
      <c r="C131" s="3" t="str">
        <f>IFERROR(__xludf.DUMMYFUNCTION("""COMPUTED_VALUE"""),"อรัญประเทศ")</f>
        <v>อรัญประเทศ</v>
      </c>
      <c r="D131" s="3" t="str">
        <f>IFERROR(__xludf.DUMMYFUNCTION("""COMPUTED_VALUE"""),"BIGC ARANYAPRATHET")</f>
        <v>BIGC ARANYAPRATHET</v>
      </c>
      <c r="E131" s="1" t="str">
        <f>IFERROR(__xludf.DUMMYFUNCTION("""COMPUTED_VALUE"""),"บิ๊กซี HyperMarket")</f>
        <v>บิ๊กซี HyperMarket</v>
      </c>
      <c r="F131" s="1" t="str">
        <f>IFERROR(__xludf.DUMMYFUNCTION("""COMPUTED_VALUE"""),"2455164")</f>
        <v>2455164</v>
      </c>
      <c r="G131" s="1" t="str">
        <f>IFERROR(__xludf.DUMMYFUNCTION("""COMPUTED_VALUE"""),"นายกรวิทย์ เจริญพร")</f>
        <v>นายกรวิทย์ เจริญพร</v>
      </c>
      <c r="H131" s="1" t="str">
        <f>IFERROR(__xludf.DUMMYFUNCTION("""COMPUTED_VALUE"""),"2455164")</f>
        <v>2455164</v>
      </c>
      <c r="I131" s="1" t="str">
        <f>IFERROR(__xludf.DUMMYFUNCTION("""COMPUTED_VALUE"""),"นายกรวิทย์ เจริญพร")</f>
        <v>นายกรวิทย์ เจริญพร</v>
      </c>
      <c r="J131" s="3">
        <f>IFERROR(__xludf.DUMMYFUNCTION("""COMPUTED_VALUE"""),2455164.0)</f>
        <v>2455164</v>
      </c>
      <c r="K131" s="3" t="str">
        <f>IFERROR(__xludf.DUMMYFUNCTION("""COMPUTED_VALUE"""),"นายกรวิทย์ เจริญพร")</f>
        <v>นายกรวิทย์ เจริญพร</v>
      </c>
      <c r="L131" s="1" t="str">
        <f>IFERROR(__xludf.DUMMYFUNCTION("""COMPUTED_VALUE"""),"Hub08-East")</f>
        <v>Hub08-East</v>
      </c>
      <c r="M131" s="1" t="str">
        <f>IFERROR(__xludf.DUMMYFUNCTION("""COMPUTED_VALUE"""),"092-605-9922")</f>
        <v>092-605-9922</v>
      </c>
      <c r="N131" s="3">
        <f>IFERROR(__xludf.DUMMYFUNCTION("""COMPUTED_VALUE"""),11232.0)</f>
        <v>11232</v>
      </c>
      <c r="O131" s="3" t="str">
        <f>IFERROR(__xludf.DUMMYFUNCTION("""COMPUTED_VALUE"""),"อรัญประเทศ")</f>
        <v>อรัญประเทศ</v>
      </c>
      <c r="P131" s="4">
        <f>IFERROR(__xludf.DUMMYFUNCTION("""COMPUTED_VALUE"""),42675.0)</f>
        <v>42675</v>
      </c>
      <c r="Q131" s="3" t="str">
        <f>IFERROR(__xludf.DUMMYFUNCTION("""COMPUTED_VALUE"""),"A")</f>
        <v>A</v>
      </c>
      <c r="R131" s="3" t="str">
        <f>IFERROR(__xludf.DUMMYFUNCTION("""COMPUTED_VALUE"""),"Big Format")</f>
        <v>Big Format</v>
      </c>
      <c r="S131" s="3" t="str">
        <f>IFERROR(__xludf.DUMMYFUNCTION("""COMPUTED_VALUE"""),"Hyper")</f>
        <v>Hyper</v>
      </c>
      <c r="T131" s="3" t="str">
        <f>IFERROR(__xludf.DUMMYFUNCTION("""COMPUTED_VALUE"""),"Hub08-East")</f>
        <v>Hub08-East</v>
      </c>
      <c r="U131" s="3" t="str">
        <f>IFERROR(__xludf.DUMMYFUNCTION("""COMPUTED_VALUE"""),"Hub08-East")</f>
        <v>Hub08-East</v>
      </c>
      <c r="V131" s="3" t="str">
        <f>IFERROR(__xludf.DUMMYFUNCTION("""COMPUTED_VALUE"""),"N")</f>
        <v>N</v>
      </c>
      <c r="W131" s="3">
        <f>IFERROR(__xludf.DUMMYFUNCTION("""COMPUTED_VALUE"""),111242.0)</f>
        <v>111242</v>
      </c>
      <c r="X131" s="3" t="str">
        <f>IFERROR(__xludf.DUMMYFUNCTION("""COMPUTED_VALUE"""),"189 หมู่ที่ 7 ตำบลป่าไร่ อำเภออรัญประเทศ จังหวัดสระแก้ว 27120")</f>
        <v>189 หมู่ที่ 7 ตำบลป่าไร่ อำเภออรัญประเทศ จังหวัดสระแก้ว 27120</v>
      </c>
      <c r="Y131" s="3"/>
      <c r="Z131" s="3" t="str">
        <f>IFERROR(__xludf.DUMMYFUNCTION("""COMPUTED_VALUE"""),"ป่าไร่")</f>
        <v>ป่าไร่</v>
      </c>
      <c r="AA131" s="3" t="str">
        <f>IFERROR(__xludf.DUMMYFUNCTION("""COMPUTED_VALUE"""),"อรัญประเทศ")</f>
        <v>อรัญประเทศ</v>
      </c>
      <c r="AB131" s="3" t="str">
        <f>IFERROR(__xludf.DUMMYFUNCTION("""COMPUTED_VALUE"""),"สระแก้ว")</f>
        <v>สระแก้ว</v>
      </c>
      <c r="AC131" s="3">
        <f>IFERROR(__xludf.DUMMYFUNCTION("""COMPUTED_VALUE"""),27120.0)</f>
        <v>27120</v>
      </c>
      <c r="AD131" s="3">
        <f>IFERROR(__xludf.DUMMYFUNCTION("""COMPUTED_VALUE"""),13.6842651)</f>
        <v>13.6842651</v>
      </c>
      <c r="AE131" s="3">
        <f>IFERROR(__xludf.DUMMYFUNCTION("""COMPUTED_VALUE"""),102.4988293)</f>
        <v>102.4988293</v>
      </c>
      <c r="AF131" s="3" t="str">
        <f>IFERROR(__xludf.DUMMYFUNCTION("""COMPUTED_VALUE"""),"อรัญประเทศ-11232")</f>
        <v>อรัญประเทศ-11232</v>
      </c>
      <c r="AG131" s="3" t="str">
        <f>IFERROR(__xludf.DUMMYFUNCTION("""COMPUTED_VALUE"""),"ตะวันออก")</f>
        <v>ตะวันออก</v>
      </c>
      <c r="AH131" s="3" t="str">
        <f>IFERROR(__xludf.DUMMYFUNCTION("""COMPUTED_VALUE"""),"Walaiporn Sutyod")</f>
        <v>Walaiporn Sutyod</v>
      </c>
      <c r="AI131" s="3" t="str">
        <f>IFERROR(__xludf.DUMMYFUNCTION("""COMPUTED_VALUE"""),"Out of warranty")</f>
        <v>Out of warranty</v>
      </c>
      <c r="AJ131" s="3">
        <f>IFERROR(__xludf.DUMMYFUNCTION("""COMPUTED_VALUE"""),111.0)</f>
        <v>111</v>
      </c>
      <c r="AK131" s="3"/>
      <c r="AL131" s="3" t="str">
        <f>IFERROR(__xludf.DUMMYFUNCTION("""COMPUTED_VALUE"""),"sgm.MM_Aranyaprathet@bigc.co.th")</f>
        <v>sgm.MM_Aranyaprathet@bigc.co.th</v>
      </c>
    </row>
    <row r="132" ht="15.75" customHeight="1">
      <c r="A132" s="1" t="str">
        <f>IFERROR(__xludf.DUMMYFUNCTION("""COMPUTED_VALUE"""),"11233")</f>
        <v>11233</v>
      </c>
      <c r="B132" s="2">
        <f>IFERROR(__xludf.DUMMYFUNCTION("""COMPUTED_VALUE"""),11233.0)</f>
        <v>11233</v>
      </c>
      <c r="C132" s="3" t="str">
        <f>IFERROR(__xludf.DUMMYFUNCTION("""COMPUTED_VALUE"""),"โคราช 2")</f>
        <v>โคราช 2</v>
      </c>
      <c r="D132" s="3" t="str">
        <f>IFERROR(__xludf.DUMMYFUNCTION("""COMPUTED_VALUE"""),"BIGC KORAT 2")</f>
        <v>BIGC KORAT 2</v>
      </c>
      <c r="E132" s="1" t="str">
        <f>IFERROR(__xludf.DUMMYFUNCTION("""COMPUTED_VALUE"""),"บิ๊กซี HyperMarket")</f>
        <v>บิ๊กซี HyperMarket</v>
      </c>
      <c r="F132" s="1" t="str">
        <f>IFERROR(__xludf.DUMMYFUNCTION("""COMPUTED_VALUE"""),"033317")</f>
        <v>033317</v>
      </c>
      <c r="G132" s="1" t="str">
        <f>IFERROR(__xludf.DUMMYFUNCTION("""COMPUTED_VALUE"""),"นายอาณัติ เพชรภาน")</f>
        <v>นายอาณัติ เพชรภาน</v>
      </c>
      <c r="H132" s="1" t="str">
        <f>IFERROR(__xludf.DUMMYFUNCTION("""COMPUTED_VALUE"""),"033317")</f>
        <v>033317</v>
      </c>
      <c r="I132" s="1" t="str">
        <f>IFERROR(__xludf.DUMMYFUNCTION("""COMPUTED_VALUE"""),"นายอาณัติ เพชรภาน")</f>
        <v>นายอาณัติ เพชรภาน</v>
      </c>
      <c r="J132" s="3">
        <f>IFERROR(__xludf.DUMMYFUNCTION("""COMPUTED_VALUE"""),33317.0)</f>
        <v>33317</v>
      </c>
      <c r="K132" s="3" t="str">
        <f>IFERROR(__xludf.DUMMYFUNCTION("""COMPUTED_VALUE"""),"นายอาณัติ เพชรภาน")</f>
        <v>นายอาณัติ เพชรภาน</v>
      </c>
      <c r="L132" s="1" t="str">
        <f>IFERROR(__xludf.DUMMYFUNCTION("""COMPUTED_VALUE"""),"Hub10-NE 2")</f>
        <v>Hub10-NE 2</v>
      </c>
      <c r="M132" s="1" t="str">
        <f>IFERROR(__xludf.DUMMYFUNCTION("""COMPUTED_VALUE"""),"0644791409")</f>
        <v>0644791409</v>
      </c>
      <c r="N132" s="3">
        <f>IFERROR(__xludf.DUMMYFUNCTION("""COMPUTED_VALUE"""),11233.0)</f>
        <v>11233</v>
      </c>
      <c r="O132" s="3" t="str">
        <f>IFERROR(__xludf.DUMMYFUNCTION("""COMPUTED_VALUE"""),"โคราช 2")</f>
        <v>โคราช 2</v>
      </c>
      <c r="P132" s="4">
        <f>IFERROR(__xludf.DUMMYFUNCTION("""COMPUTED_VALUE"""),42894.0)</f>
        <v>42894</v>
      </c>
      <c r="Q132" s="3" t="str">
        <f>IFERROR(__xludf.DUMMYFUNCTION("""COMPUTED_VALUE"""),"A")</f>
        <v>A</v>
      </c>
      <c r="R132" s="3" t="str">
        <f>IFERROR(__xludf.DUMMYFUNCTION("""COMPUTED_VALUE"""),"Big Format")</f>
        <v>Big Format</v>
      </c>
      <c r="S132" s="3" t="str">
        <f>IFERROR(__xludf.DUMMYFUNCTION("""COMPUTED_VALUE"""),"Hyper")</f>
        <v>Hyper</v>
      </c>
      <c r="T132" s="3" t="str">
        <f>IFERROR(__xludf.DUMMYFUNCTION("""COMPUTED_VALUE"""),"Hub10-NE 2")</f>
        <v>Hub10-NE 2</v>
      </c>
      <c r="U132" s="3" t="str">
        <f>IFERROR(__xludf.DUMMYFUNCTION("""COMPUTED_VALUE"""),"Hub10-NE 2")</f>
        <v>Hub10-NE 2</v>
      </c>
      <c r="V132" s="3" t="str">
        <f>IFERROR(__xludf.DUMMYFUNCTION("""COMPUTED_VALUE"""),"N")</f>
        <v>N</v>
      </c>
      <c r="W132" s="3">
        <f>IFERROR(__xludf.DUMMYFUNCTION("""COMPUTED_VALUE"""),111240.0)</f>
        <v>111240</v>
      </c>
      <c r="X132" s="3" t="str">
        <f>IFERROR(__xludf.DUMMYFUNCTION("""COMPUTED_VALUE"""),"103 ถนนปักธงชัย ตำบลในเมือง อำเภอเมืองนครราชสีมา จังหวัดนครราชสีมา 30000")</f>
        <v>103 ถนนปักธงชัย ตำบลในเมือง อำเภอเมืองนครราชสีมา จังหวัดนครราชสีมา 30000</v>
      </c>
      <c r="Y132" s="3" t="str">
        <f>IFERROR(__xludf.DUMMYFUNCTION("""COMPUTED_VALUE"""),"ถนนปักธงชัย")</f>
        <v>ถนนปักธงชัย</v>
      </c>
      <c r="Z132" s="3" t="str">
        <f>IFERROR(__xludf.DUMMYFUNCTION("""COMPUTED_VALUE"""),"ในเมือง")</f>
        <v>ในเมือง</v>
      </c>
      <c r="AA132" s="3" t="str">
        <f>IFERROR(__xludf.DUMMYFUNCTION("""COMPUTED_VALUE"""),"เมือง")</f>
        <v>เมือง</v>
      </c>
      <c r="AB132" s="3" t="str">
        <f>IFERROR(__xludf.DUMMYFUNCTION("""COMPUTED_VALUE"""),"นครราชสีมา")</f>
        <v>นครราชสีมา</v>
      </c>
      <c r="AC132" s="3">
        <f>IFERROR(__xludf.DUMMYFUNCTION("""COMPUTED_VALUE"""),30000.0)</f>
        <v>30000</v>
      </c>
      <c r="AD132" s="3">
        <f>IFERROR(__xludf.DUMMYFUNCTION("""COMPUTED_VALUE"""),14.94950476)</f>
        <v>14.94950476</v>
      </c>
      <c r="AE132" s="3">
        <f>IFERROR(__xludf.DUMMYFUNCTION("""COMPUTED_VALUE"""),102.0555035)</f>
        <v>102.0555035</v>
      </c>
      <c r="AF132" s="3" t="str">
        <f>IFERROR(__xludf.DUMMYFUNCTION("""COMPUTED_VALUE"""),"โคราช 2-11233")</f>
        <v>โคราช 2-11233</v>
      </c>
      <c r="AG132" s="3" t="str">
        <f>IFERROR(__xludf.DUMMYFUNCTION("""COMPUTED_VALUE"""),"ตะวันออกเฉียงเหนือ")</f>
        <v>ตะวันออกเฉียงเหนือ</v>
      </c>
      <c r="AH132" s="3" t="str">
        <f>IFERROR(__xludf.DUMMYFUNCTION("""COMPUTED_VALUE"""),"Pajaob Wongpakdee")</f>
        <v>Pajaob Wongpakdee</v>
      </c>
      <c r="AI132" s="3" t="str">
        <f>IFERROR(__xludf.DUMMYFUNCTION("""COMPUTED_VALUE"""),"Out of warranty")</f>
        <v>Out of warranty</v>
      </c>
      <c r="AJ132" s="3">
        <f>IFERROR(__xludf.DUMMYFUNCTION("""COMPUTED_VALUE"""),104.0)</f>
        <v>104</v>
      </c>
      <c r="AK132" s="3"/>
      <c r="AL132" s="3" t="str">
        <f>IFERROR(__xludf.DUMMYFUNCTION("""COMPUTED_VALUE"""),"sgm.korat2@bigc.co.th")</f>
        <v>sgm.korat2@bigc.co.th</v>
      </c>
    </row>
    <row r="133" ht="15.75" customHeight="1">
      <c r="A133" s="1" t="str">
        <f>IFERROR(__xludf.DUMMYFUNCTION("""COMPUTED_VALUE"""),"11234")</f>
        <v>11234</v>
      </c>
      <c r="B133" s="2">
        <f>IFERROR(__xludf.DUMMYFUNCTION("""COMPUTED_VALUE"""),11234.0)</f>
        <v>11234</v>
      </c>
      <c r="C133" s="3" t="str">
        <f>IFERROR(__xludf.DUMMYFUNCTION("""COMPUTED_VALUE"""),"ปทุมธานี")</f>
        <v>ปทุมธานี</v>
      </c>
      <c r="D133" s="3" t="str">
        <f>IFERROR(__xludf.DUMMYFUNCTION("""COMPUTED_VALUE"""),"BIGC PATHUMTHANI")</f>
        <v>BIGC PATHUMTHANI</v>
      </c>
      <c r="E133" s="1" t="str">
        <f>IFERROR(__xludf.DUMMYFUNCTION("""COMPUTED_VALUE"""),"บิ๊กซี HyperMarket")</f>
        <v>บิ๊กซี HyperMarket</v>
      </c>
      <c r="F133" s="1" t="str">
        <f>IFERROR(__xludf.DUMMYFUNCTION("""COMPUTED_VALUE"""),"2454813")</f>
        <v>2454813</v>
      </c>
      <c r="G133" s="1" t="str">
        <f>IFERROR(__xludf.DUMMYFUNCTION("""COMPUTED_VALUE"""),"นายอนุรักษ์ จั่นเที่ยง")</f>
        <v>นายอนุรักษ์ จั่นเที่ยง</v>
      </c>
      <c r="H133" s="1" t="str">
        <f>IFERROR(__xludf.DUMMYFUNCTION("""COMPUTED_VALUE"""),"2454813")</f>
        <v>2454813</v>
      </c>
      <c r="I133" s="1" t="str">
        <f>IFERROR(__xludf.DUMMYFUNCTION("""COMPUTED_VALUE"""),"นายอนุรักษ์ จั่นเที่ยง")</f>
        <v>นายอนุรักษ์ จั่นเที่ยง</v>
      </c>
      <c r="J133" s="3">
        <f>IFERROR(__xludf.DUMMYFUNCTION("""COMPUTED_VALUE"""),2454813.0)</f>
        <v>2454813</v>
      </c>
      <c r="K133" s="3" t="str">
        <f>IFERROR(__xludf.DUMMYFUNCTION("""COMPUTED_VALUE"""),"นายอนุรักษ์ จั่นเที่ยง")</f>
        <v>นายอนุรักษ์ จั่นเที่ยง</v>
      </c>
      <c r="L133" s="1" t="str">
        <f>IFERROR(__xludf.DUMMYFUNCTION("""COMPUTED_VALUE"""),"Hub04-BKK 4")</f>
        <v>Hub04-BKK 4</v>
      </c>
      <c r="M133" s="1" t="str">
        <f>IFERROR(__xludf.DUMMYFUNCTION("""COMPUTED_VALUE"""),"0991964531")</f>
        <v>0991964531</v>
      </c>
      <c r="N133" s="3">
        <f>IFERROR(__xludf.DUMMYFUNCTION("""COMPUTED_VALUE"""),11234.0)</f>
        <v>11234</v>
      </c>
      <c r="O133" s="3" t="str">
        <f>IFERROR(__xludf.DUMMYFUNCTION("""COMPUTED_VALUE"""),"ปทุมธานี")</f>
        <v>ปทุมธานี</v>
      </c>
      <c r="P133" s="4">
        <f>IFERROR(__xludf.DUMMYFUNCTION("""COMPUTED_VALUE"""),42923.0)</f>
        <v>42923</v>
      </c>
      <c r="Q133" s="3" t="str">
        <f>IFERROR(__xludf.DUMMYFUNCTION("""COMPUTED_VALUE"""),"A")</f>
        <v>A</v>
      </c>
      <c r="R133" s="3" t="str">
        <f>IFERROR(__xludf.DUMMYFUNCTION("""COMPUTED_VALUE"""),"Big Format")</f>
        <v>Big Format</v>
      </c>
      <c r="S133" s="3" t="str">
        <f>IFERROR(__xludf.DUMMYFUNCTION("""COMPUTED_VALUE"""),"Hyper")</f>
        <v>Hyper</v>
      </c>
      <c r="T133" s="3" t="str">
        <f>IFERROR(__xludf.DUMMYFUNCTION("""COMPUTED_VALUE"""),"Hub04-BKK 4")</f>
        <v>Hub04-BKK 4</v>
      </c>
      <c r="U133" s="3" t="str">
        <f>IFERROR(__xludf.DUMMYFUNCTION("""COMPUTED_VALUE"""),"Hub04-BKK 4")</f>
        <v>Hub04-BKK 4</v>
      </c>
      <c r="V133" s="3" t="str">
        <f>IFERROR(__xludf.DUMMYFUNCTION("""COMPUTED_VALUE"""),"N")</f>
        <v>N</v>
      </c>
      <c r="W133" s="3">
        <f>IFERROR(__xludf.DUMMYFUNCTION("""COMPUTED_VALUE"""),111239.0)</f>
        <v>111239</v>
      </c>
      <c r="X133" s="3" t="str">
        <f>IFERROR(__xludf.DUMMYFUNCTION("""COMPUTED_VALUE"""),"41/10 หมู่ 3 ตำบลบ้านฉาง อำเภอเมืองปทุมธานี จังหวัดปทุมธานี 12000")</f>
        <v>41/10 หมู่ 3 ตำบลบ้านฉาง อำเภอเมืองปทุมธานี จังหวัดปทุมธานี 12000</v>
      </c>
      <c r="Y133" s="3"/>
      <c r="Z133" s="3" t="str">
        <f>IFERROR(__xludf.DUMMYFUNCTION("""COMPUTED_VALUE"""),"บ้านฉาง")</f>
        <v>บ้านฉาง</v>
      </c>
      <c r="AA133" s="3" t="str">
        <f>IFERROR(__xludf.DUMMYFUNCTION("""COMPUTED_VALUE"""),"เมือง")</f>
        <v>เมือง</v>
      </c>
      <c r="AB133" s="3" t="str">
        <f>IFERROR(__xludf.DUMMYFUNCTION("""COMPUTED_VALUE"""),"ปทุมธานี")</f>
        <v>ปทุมธานี</v>
      </c>
      <c r="AC133" s="3">
        <f>IFERROR(__xludf.DUMMYFUNCTION("""COMPUTED_VALUE"""),12000.0)</f>
        <v>12000</v>
      </c>
      <c r="AD133" s="3">
        <f>IFERROR(__xludf.DUMMYFUNCTION("""COMPUTED_VALUE"""),14.005213)</f>
        <v>14.005213</v>
      </c>
      <c r="AE133" s="3">
        <f>IFERROR(__xludf.DUMMYFUNCTION("""COMPUTED_VALUE"""),100.5173096)</f>
        <v>100.5173096</v>
      </c>
      <c r="AF133" s="3" t="str">
        <f>IFERROR(__xludf.DUMMYFUNCTION("""COMPUTED_VALUE"""),"ปทุมธานี-11234")</f>
        <v>ปทุมธานี-11234</v>
      </c>
      <c r="AG133" s="3" t="str">
        <f>IFERROR(__xludf.DUMMYFUNCTION("""COMPUTED_VALUE"""),"กลาง")</f>
        <v>กลาง</v>
      </c>
      <c r="AH133" s="3" t="str">
        <f>IFERROR(__xludf.DUMMYFUNCTION("""COMPUTED_VALUE"""),"Natsarine Seammai")</f>
        <v>Natsarine Seammai</v>
      </c>
      <c r="AI133" s="3" t="str">
        <f>IFERROR(__xludf.DUMMYFUNCTION("""COMPUTED_VALUE"""),"Out of warranty")</f>
        <v>Out of warranty</v>
      </c>
      <c r="AJ133" s="3">
        <f>IFERROR(__xludf.DUMMYFUNCTION("""COMPUTED_VALUE"""),103.0)</f>
        <v>103</v>
      </c>
      <c r="AK133" s="3"/>
      <c r="AL133" s="3" t="str">
        <f>IFERROR(__xludf.DUMMYFUNCTION("""COMPUTED_VALUE"""),"sgm.pathumthani@bigc.co.th")</f>
        <v>sgm.pathumthani@bigc.co.th</v>
      </c>
    </row>
    <row r="134" ht="15.75" customHeight="1">
      <c r="A134" s="1" t="str">
        <f>IFERROR(__xludf.DUMMYFUNCTION("""COMPUTED_VALUE"""),"11235")</f>
        <v>11235</v>
      </c>
      <c r="B134" s="2">
        <f>IFERROR(__xludf.DUMMYFUNCTION("""COMPUTED_VALUE"""),11235.0)</f>
        <v>11235</v>
      </c>
      <c r="C134" s="3" t="str">
        <f>IFERROR(__xludf.DUMMYFUNCTION("""COMPUTED_VALUE"""),"บ้านดุง")</f>
        <v>บ้านดุง</v>
      </c>
      <c r="D134" s="3" t="str">
        <f>IFERROR(__xludf.DUMMYFUNCTION("""COMPUTED_VALUE"""),"BIGC BANDUNG")</f>
        <v>BIGC BANDUNG</v>
      </c>
      <c r="E134" s="1" t="str">
        <f>IFERROR(__xludf.DUMMYFUNCTION("""COMPUTED_VALUE"""),"บิ๊กซี HyperMarket")</f>
        <v>บิ๊กซี HyperMarket</v>
      </c>
      <c r="F134" s="1" t="str">
        <f>IFERROR(__xludf.DUMMYFUNCTION("""COMPUTED_VALUE"""),"295801")</f>
        <v>295801</v>
      </c>
      <c r="G134" s="1" t="str">
        <f>IFERROR(__xludf.DUMMYFUNCTION("""COMPUTED_VALUE"""),"นายอรรถพล เหล่าสุวงศ์")</f>
        <v>นายอรรถพล เหล่าสุวงศ์</v>
      </c>
      <c r="H134" s="1" t="str">
        <f>IFERROR(__xludf.DUMMYFUNCTION("""COMPUTED_VALUE"""),"295801")</f>
        <v>295801</v>
      </c>
      <c r="I134" s="1" t="str">
        <f>IFERROR(__xludf.DUMMYFUNCTION("""COMPUTED_VALUE"""),"นายอรรถพล เหล่าสุวงศ์")</f>
        <v>นายอรรถพล เหล่าสุวงศ์</v>
      </c>
      <c r="J134" s="3">
        <f>IFERROR(__xludf.DUMMYFUNCTION("""COMPUTED_VALUE"""),295801.0)</f>
        <v>295801</v>
      </c>
      <c r="K134" s="3" t="str">
        <f>IFERROR(__xludf.DUMMYFUNCTION("""COMPUTED_VALUE"""),"นายอรรถพล เหล่าสุวงศ์")</f>
        <v>นายอรรถพล เหล่าสุวงศ์</v>
      </c>
      <c r="L134" s="1" t="str">
        <f>IFERROR(__xludf.DUMMYFUNCTION("""COMPUTED_VALUE"""),"Hub09-NE 1")</f>
        <v>Hub09-NE 1</v>
      </c>
      <c r="M134" s="1" t="str">
        <f>IFERROR(__xludf.DUMMYFUNCTION("""COMPUTED_VALUE"""),"0655090879")</f>
        <v>0655090879</v>
      </c>
      <c r="N134" s="3">
        <f>IFERROR(__xludf.DUMMYFUNCTION("""COMPUTED_VALUE"""),11235.0)</f>
        <v>11235</v>
      </c>
      <c r="O134" s="3" t="str">
        <f>IFERROR(__xludf.DUMMYFUNCTION("""COMPUTED_VALUE"""),"บ้านดุง")</f>
        <v>บ้านดุง</v>
      </c>
      <c r="P134" s="4">
        <f>IFERROR(__xludf.DUMMYFUNCTION("""COMPUTED_VALUE"""),43002.0)</f>
        <v>43002</v>
      </c>
      <c r="Q134" s="3" t="str">
        <f>IFERROR(__xludf.DUMMYFUNCTION("""COMPUTED_VALUE"""),"A")</f>
        <v>A</v>
      </c>
      <c r="R134" s="3" t="str">
        <f>IFERROR(__xludf.DUMMYFUNCTION("""COMPUTED_VALUE"""),"Big Format")</f>
        <v>Big Format</v>
      </c>
      <c r="S134" s="3" t="str">
        <f>IFERROR(__xludf.DUMMYFUNCTION("""COMPUTED_VALUE"""),"Hyper")</f>
        <v>Hyper</v>
      </c>
      <c r="T134" s="3" t="str">
        <f>IFERROR(__xludf.DUMMYFUNCTION("""COMPUTED_VALUE"""),"Hub09-NE 1")</f>
        <v>Hub09-NE 1</v>
      </c>
      <c r="U134" s="3" t="str">
        <f>IFERROR(__xludf.DUMMYFUNCTION("""COMPUTED_VALUE"""),"Hub09-NE 1")</f>
        <v>Hub09-NE 1</v>
      </c>
      <c r="V134" s="3" t="str">
        <f>IFERROR(__xludf.DUMMYFUNCTION("""COMPUTED_VALUE"""),"N")</f>
        <v>N</v>
      </c>
      <c r="W134" s="3">
        <f>IFERROR(__xludf.DUMMYFUNCTION("""COMPUTED_VALUE"""),111238.0)</f>
        <v>111238</v>
      </c>
      <c r="X134" s="3" t="str">
        <f>IFERROR(__xludf.DUMMYFUNCTION("""COMPUTED_VALUE"""),"500 หมู่ 9 ถนนบริบาลดำริ ตำบลศรีสุทโธ อำเภอบ้านดุง จังหวัดอุดรธานี 41190")</f>
        <v>500 หมู่ 9 ถนนบริบาลดำริ ตำบลศรีสุทโธ อำเภอบ้านดุง จังหวัดอุดรธานี 41190</v>
      </c>
      <c r="Y134" s="3"/>
      <c r="Z134" s="3" t="str">
        <f>IFERROR(__xludf.DUMMYFUNCTION("""COMPUTED_VALUE"""),"ศรีสุทโธ")</f>
        <v>ศรีสุทโธ</v>
      </c>
      <c r="AA134" s="3" t="str">
        <f>IFERROR(__xludf.DUMMYFUNCTION("""COMPUTED_VALUE"""),"บ้านดุง")</f>
        <v>บ้านดุง</v>
      </c>
      <c r="AB134" s="3" t="str">
        <f>IFERROR(__xludf.DUMMYFUNCTION("""COMPUTED_VALUE"""),"อุดรธานี")</f>
        <v>อุดรธานี</v>
      </c>
      <c r="AC134" s="3">
        <f>IFERROR(__xludf.DUMMYFUNCTION("""COMPUTED_VALUE"""),41190.0)</f>
        <v>41190</v>
      </c>
      <c r="AD134" s="3">
        <f>IFERROR(__xludf.DUMMYFUNCTION("""COMPUTED_VALUE"""),17.6745413)</f>
        <v>17.6745413</v>
      </c>
      <c r="AE134" s="3">
        <f>IFERROR(__xludf.DUMMYFUNCTION("""COMPUTED_VALUE"""),103.2488673)</f>
        <v>103.2488673</v>
      </c>
      <c r="AF134" s="3" t="str">
        <f>IFERROR(__xludf.DUMMYFUNCTION("""COMPUTED_VALUE"""),"บ้านดุง-11235")</f>
        <v>บ้านดุง-11235</v>
      </c>
      <c r="AG134" s="3" t="str">
        <f>IFERROR(__xludf.DUMMYFUNCTION("""COMPUTED_VALUE"""),"ตะวันออกเฉียงเหนือ")</f>
        <v>ตะวันออกเฉียงเหนือ</v>
      </c>
      <c r="AH134" s="3" t="str">
        <f>IFERROR(__xludf.DUMMYFUNCTION("""COMPUTED_VALUE"""),"K.Narabordee")</f>
        <v>K.Narabordee</v>
      </c>
      <c r="AI134" s="3" t="str">
        <f>IFERROR(__xludf.DUMMYFUNCTION("""COMPUTED_VALUE"""),"Out of warranty")</f>
        <v>Out of warranty</v>
      </c>
      <c r="AJ134" s="3">
        <f>IFERROR(__xludf.DUMMYFUNCTION("""COMPUTED_VALUE"""),100.0)</f>
        <v>100</v>
      </c>
      <c r="AK134" s="3"/>
      <c r="AL134" s="3" t="str">
        <f>IFERROR(__xludf.DUMMYFUNCTION("""COMPUTED_VALUE"""),"sgm.bandung@bigc.co.th")</f>
        <v>sgm.bandung@bigc.co.th</v>
      </c>
    </row>
    <row r="135" ht="15.75" customHeight="1">
      <c r="A135" s="1" t="str">
        <f>IFERROR(__xludf.DUMMYFUNCTION("""COMPUTED_VALUE"""),"11236")</f>
        <v>11236</v>
      </c>
      <c r="B135" s="2">
        <f>IFERROR(__xludf.DUMMYFUNCTION("""COMPUTED_VALUE"""),11236.0)</f>
        <v>11236</v>
      </c>
      <c r="C135" s="3" t="str">
        <f>IFERROR(__xludf.DUMMYFUNCTION("""COMPUTED_VALUE"""),"น้ำยืน")</f>
        <v>น้ำยืน</v>
      </c>
      <c r="D135" s="3" t="str">
        <f>IFERROR(__xludf.DUMMYFUNCTION("""COMPUTED_VALUE"""),"BIGC NAMYUEN")</f>
        <v>BIGC NAMYUEN</v>
      </c>
      <c r="E135" s="1" t="str">
        <f>IFERROR(__xludf.DUMMYFUNCTION("""COMPUTED_VALUE"""),"บิ๊กซี HyperMarket")</f>
        <v>บิ๊กซี HyperMarket</v>
      </c>
      <c r="F135" s="1" t="str">
        <f>IFERROR(__xludf.DUMMYFUNCTION("""COMPUTED_VALUE"""),"033317")</f>
        <v>033317</v>
      </c>
      <c r="G135" s="1" t="str">
        <f>IFERROR(__xludf.DUMMYFUNCTION("""COMPUTED_VALUE"""),"นายอาณัติ เพชรภาน")</f>
        <v>นายอาณัติ เพชรภาน</v>
      </c>
      <c r="H135" s="1" t="str">
        <f>IFERROR(__xludf.DUMMYFUNCTION("""COMPUTED_VALUE"""),"033317")</f>
        <v>033317</v>
      </c>
      <c r="I135" s="1" t="str">
        <f>IFERROR(__xludf.DUMMYFUNCTION("""COMPUTED_VALUE"""),"นายอาณัติ เพชรภาน")</f>
        <v>นายอาณัติ เพชรภาน</v>
      </c>
      <c r="J135" s="3">
        <f>IFERROR(__xludf.DUMMYFUNCTION("""COMPUTED_VALUE"""),33317.0)</f>
        <v>33317</v>
      </c>
      <c r="K135" s="3" t="str">
        <f>IFERROR(__xludf.DUMMYFUNCTION("""COMPUTED_VALUE"""),"นายอาณัติ เพชรภาน")</f>
        <v>นายอาณัติ เพชรภาน</v>
      </c>
      <c r="L135" s="1" t="str">
        <f>IFERROR(__xludf.DUMMYFUNCTION("""COMPUTED_VALUE"""),"Hub10-NE 2")</f>
        <v>Hub10-NE 2</v>
      </c>
      <c r="M135" s="1" t="str">
        <f>IFERROR(__xludf.DUMMYFUNCTION("""COMPUTED_VALUE"""),"0644791409")</f>
        <v>0644791409</v>
      </c>
      <c r="N135" s="3">
        <f>IFERROR(__xludf.DUMMYFUNCTION("""COMPUTED_VALUE"""),11236.0)</f>
        <v>11236</v>
      </c>
      <c r="O135" s="3" t="str">
        <f>IFERROR(__xludf.DUMMYFUNCTION("""COMPUTED_VALUE"""),"น้ำยืน")</f>
        <v>น้ำยืน</v>
      </c>
      <c r="P135" s="4">
        <f>IFERROR(__xludf.DUMMYFUNCTION("""COMPUTED_VALUE"""),43000.0)</f>
        <v>43000</v>
      </c>
      <c r="Q135" s="3" t="str">
        <f>IFERROR(__xludf.DUMMYFUNCTION("""COMPUTED_VALUE"""),"A")</f>
        <v>A</v>
      </c>
      <c r="R135" s="3" t="str">
        <f>IFERROR(__xludf.DUMMYFUNCTION("""COMPUTED_VALUE"""),"Big Format")</f>
        <v>Big Format</v>
      </c>
      <c r="S135" s="3" t="str">
        <f>IFERROR(__xludf.DUMMYFUNCTION("""COMPUTED_VALUE"""),"Hyper")</f>
        <v>Hyper</v>
      </c>
      <c r="T135" s="3" t="str">
        <f>IFERROR(__xludf.DUMMYFUNCTION("""COMPUTED_VALUE"""),"Hub10-NE 2")</f>
        <v>Hub10-NE 2</v>
      </c>
      <c r="U135" s="3" t="str">
        <f>IFERROR(__xludf.DUMMYFUNCTION("""COMPUTED_VALUE"""),"Hub10-NE 2")</f>
        <v>Hub10-NE 2</v>
      </c>
      <c r="V135" s="3" t="str">
        <f>IFERROR(__xludf.DUMMYFUNCTION("""COMPUTED_VALUE"""),"N")</f>
        <v>N</v>
      </c>
      <c r="W135" s="3">
        <f>IFERROR(__xludf.DUMMYFUNCTION("""COMPUTED_VALUE"""),111243.0)</f>
        <v>111243</v>
      </c>
      <c r="X135" s="3" t="str">
        <f>IFERROR(__xludf.DUMMYFUNCTION("""COMPUTED_VALUE"""),"199 หมู่ 15 ตำบลสีวิเชียร อำเภอน้ำยืน จังหวัดอุบลราชธานี 34260")</f>
        <v>199 หมู่ 15 ตำบลสีวิเชียร อำเภอน้ำยืน จังหวัดอุบลราชธานี 34260</v>
      </c>
      <c r="Y135" s="3"/>
      <c r="Z135" s="3" t="str">
        <f>IFERROR(__xludf.DUMMYFUNCTION("""COMPUTED_VALUE"""),"สีวิเชียร")</f>
        <v>สีวิเชียร</v>
      </c>
      <c r="AA135" s="3" t="str">
        <f>IFERROR(__xludf.DUMMYFUNCTION("""COMPUTED_VALUE"""),"น้ำยืน")</f>
        <v>น้ำยืน</v>
      </c>
      <c r="AB135" s="3" t="str">
        <f>IFERROR(__xludf.DUMMYFUNCTION("""COMPUTED_VALUE"""),"อุบลราชธานี")</f>
        <v>อุบลราชธานี</v>
      </c>
      <c r="AC135" s="3">
        <f>IFERROR(__xludf.DUMMYFUNCTION("""COMPUTED_VALUE"""),34260.0)</f>
        <v>34260</v>
      </c>
      <c r="AD135" s="3">
        <f>IFERROR(__xludf.DUMMYFUNCTION("""COMPUTED_VALUE"""),14.4424731)</f>
        <v>14.4424731</v>
      </c>
      <c r="AE135" s="3">
        <f>IFERROR(__xludf.DUMMYFUNCTION("""COMPUTED_VALUE"""),104.9445716)</f>
        <v>104.9445716</v>
      </c>
      <c r="AF135" s="3" t="str">
        <f>IFERROR(__xludf.DUMMYFUNCTION("""COMPUTED_VALUE"""),"น้ำยืน-11236")</f>
        <v>น้ำยืน-11236</v>
      </c>
      <c r="AG135" s="3" t="str">
        <f>IFERROR(__xludf.DUMMYFUNCTION("""COMPUTED_VALUE"""),"ตะวันออกเฉียงเหนือ")</f>
        <v>ตะวันออกเฉียงเหนือ</v>
      </c>
      <c r="AH135" s="3" t="str">
        <f>IFERROR(__xludf.DUMMYFUNCTION("""COMPUTED_VALUE"""),"Pajaob Wongpakdee")</f>
        <v>Pajaob Wongpakdee</v>
      </c>
      <c r="AI135" s="3" t="str">
        <f>IFERROR(__xludf.DUMMYFUNCTION("""COMPUTED_VALUE"""),"Out of warranty")</f>
        <v>Out of warranty</v>
      </c>
      <c r="AJ135" s="3">
        <f>IFERROR(__xludf.DUMMYFUNCTION("""COMPUTED_VALUE"""),100.0)</f>
        <v>100</v>
      </c>
      <c r="AK135" s="3"/>
      <c r="AL135" s="3" t="str">
        <f>IFERROR(__xludf.DUMMYFUNCTION("""COMPUTED_VALUE"""),"sgm.namyuen@bigc.co.th")</f>
        <v>sgm.namyuen@bigc.co.th</v>
      </c>
    </row>
    <row r="136" ht="15.75" customHeight="1">
      <c r="A136" s="1" t="str">
        <f>IFERROR(__xludf.DUMMYFUNCTION("""COMPUTED_VALUE"""),"11237")</f>
        <v>11237</v>
      </c>
      <c r="B136" s="2">
        <f>IFERROR(__xludf.DUMMYFUNCTION("""COMPUTED_VALUE"""),11237.0)</f>
        <v>11237</v>
      </c>
      <c r="C136" s="3" t="str">
        <f>IFERROR(__xludf.DUMMYFUNCTION("""COMPUTED_VALUE"""),"วังน้ำเย็น")</f>
        <v>วังน้ำเย็น</v>
      </c>
      <c r="D136" s="3" t="str">
        <f>IFERROR(__xludf.DUMMYFUNCTION("""COMPUTED_VALUE"""),"BIGC WANGNAMYEN")</f>
        <v>BIGC WANGNAMYEN</v>
      </c>
      <c r="E136" s="1" t="str">
        <f>IFERROR(__xludf.DUMMYFUNCTION("""COMPUTED_VALUE"""),"บิ๊กซี HyperMarket")</f>
        <v>บิ๊กซี HyperMarket</v>
      </c>
      <c r="F136" s="1" t="str">
        <f>IFERROR(__xludf.DUMMYFUNCTION("""COMPUTED_VALUE"""),"2455164")</f>
        <v>2455164</v>
      </c>
      <c r="G136" s="1" t="str">
        <f>IFERROR(__xludf.DUMMYFUNCTION("""COMPUTED_VALUE"""),"นายกรวิทย์ เจริญพร")</f>
        <v>นายกรวิทย์ เจริญพร</v>
      </c>
      <c r="H136" s="1" t="str">
        <f>IFERROR(__xludf.DUMMYFUNCTION("""COMPUTED_VALUE"""),"2455164")</f>
        <v>2455164</v>
      </c>
      <c r="I136" s="1" t="str">
        <f>IFERROR(__xludf.DUMMYFUNCTION("""COMPUTED_VALUE"""),"นายกรวิทย์ เจริญพร")</f>
        <v>นายกรวิทย์ เจริญพร</v>
      </c>
      <c r="J136" s="3">
        <f>IFERROR(__xludf.DUMMYFUNCTION("""COMPUTED_VALUE"""),2455164.0)</f>
        <v>2455164</v>
      </c>
      <c r="K136" s="3" t="str">
        <f>IFERROR(__xludf.DUMMYFUNCTION("""COMPUTED_VALUE"""),"นายกรวิทย์ เจริญพร")</f>
        <v>นายกรวิทย์ เจริญพร</v>
      </c>
      <c r="L136" s="1" t="str">
        <f>IFERROR(__xludf.DUMMYFUNCTION("""COMPUTED_VALUE"""),"Hub08-East")</f>
        <v>Hub08-East</v>
      </c>
      <c r="M136" s="1" t="str">
        <f>IFERROR(__xludf.DUMMYFUNCTION("""COMPUTED_VALUE"""),"092-605-9922")</f>
        <v>092-605-9922</v>
      </c>
      <c r="N136" s="3">
        <f>IFERROR(__xludf.DUMMYFUNCTION("""COMPUTED_VALUE"""),11237.0)</f>
        <v>11237</v>
      </c>
      <c r="O136" s="3" t="str">
        <f>IFERROR(__xludf.DUMMYFUNCTION("""COMPUTED_VALUE"""),"วังน้ำเย็น")</f>
        <v>วังน้ำเย็น</v>
      </c>
      <c r="P136" s="4">
        <f>IFERROR(__xludf.DUMMYFUNCTION("""COMPUTED_VALUE"""),43072.0)</f>
        <v>43072</v>
      </c>
      <c r="Q136" s="3" t="str">
        <f>IFERROR(__xludf.DUMMYFUNCTION("""COMPUTED_VALUE"""),"A")</f>
        <v>A</v>
      </c>
      <c r="R136" s="3" t="str">
        <f>IFERROR(__xludf.DUMMYFUNCTION("""COMPUTED_VALUE"""),"Big Format")</f>
        <v>Big Format</v>
      </c>
      <c r="S136" s="3" t="str">
        <f>IFERROR(__xludf.DUMMYFUNCTION("""COMPUTED_VALUE"""),"Hyper")</f>
        <v>Hyper</v>
      </c>
      <c r="T136" s="3" t="str">
        <f>IFERROR(__xludf.DUMMYFUNCTION("""COMPUTED_VALUE"""),"Hub08-East")</f>
        <v>Hub08-East</v>
      </c>
      <c r="U136" s="3" t="str">
        <f>IFERROR(__xludf.DUMMYFUNCTION("""COMPUTED_VALUE"""),"Hub08-East")</f>
        <v>Hub08-East</v>
      </c>
      <c r="V136" s="3" t="str">
        <f>IFERROR(__xludf.DUMMYFUNCTION("""COMPUTED_VALUE"""),"N")</f>
        <v>N</v>
      </c>
      <c r="W136" s="3">
        <f>IFERROR(__xludf.DUMMYFUNCTION("""COMPUTED_VALUE"""),111247.0)</f>
        <v>111247</v>
      </c>
      <c r="X136" s="3" t="str">
        <f>IFERROR(__xludf.DUMMYFUNCTION("""COMPUTED_VALUE"""),"916 หมู่ 1 ตำบลวังน้ำเย็น อำเภอวังน้ำเย็น จังหวัดสระแก้ว 27210")</f>
        <v>916 หมู่ 1 ตำบลวังน้ำเย็น อำเภอวังน้ำเย็น จังหวัดสระแก้ว 27210</v>
      </c>
      <c r="Y136" s="3"/>
      <c r="Z136" s="3" t="str">
        <f>IFERROR(__xludf.DUMMYFUNCTION("""COMPUTED_VALUE"""),"วังน้ำเย็น")</f>
        <v>วังน้ำเย็น</v>
      </c>
      <c r="AA136" s="3" t="str">
        <f>IFERROR(__xludf.DUMMYFUNCTION("""COMPUTED_VALUE"""),"วังน้ำเย็น")</f>
        <v>วังน้ำเย็น</v>
      </c>
      <c r="AB136" s="3" t="str">
        <f>IFERROR(__xludf.DUMMYFUNCTION("""COMPUTED_VALUE"""),"สระแก้ว")</f>
        <v>สระแก้ว</v>
      </c>
      <c r="AC136" s="3">
        <f>IFERROR(__xludf.DUMMYFUNCTION("""COMPUTED_VALUE"""),27210.0)</f>
        <v>27210</v>
      </c>
      <c r="AD136" s="3">
        <f>IFERROR(__xludf.DUMMYFUNCTION("""COMPUTED_VALUE"""),13.5112675)</f>
        <v>13.5112675</v>
      </c>
      <c r="AE136" s="3">
        <f>IFERROR(__xludf.DUMMYFUNCTION("""COMPUTED_VALUE"""),102.1729005)</f>
        <v>102.1729005</v>
      </c>
      <c r="AF136" s="3" t="str">
        <f>IFERROR(__xludf.DUMMYFUNCTION("""COMPUTED_VALUE"""),"วังน้ำเย็น-11237")</f>
        <v>วังน้ำเย็น-11237</v>
      </c>
      <c r="AG136" s="3" t="str">
        <f>IFERROR(__xludf.DUMMYFUNCTION("""COMPUTED_VALUE"""),"ตะวันออก")</f>
        <v>ตะวันออก</v>
      </c>
      <c r="AH136" s="3" t="str">
        <f>IFERROR(__xludf.DUMMYFUNCTION("""COMPUTED_VALUE"""),"Walaiporn Sutyod")</f>
        <v>Walaiporn Sutyod</v>
      </c>
      <c r="AI136" s="3" t="str">
        <f>IFERROR(__xludf.DUMMYFUNCTION("""COMPUTED_VALUE"""),"Out of warranty")</f>
        <v>Out of warranty</v>
      </c>
      <c r="AJ136" s="3">
        <f>IFERROR(__xludf.DUMMYFUNCTION("""COMPUTED_VALUE"""),98.0)</f>
        <v>98</v>
      </c>
      <c r="AK136" s="3"/>
      <c r="AL136" s="3" t="str">
        <f>IFERROR(__xludf.DUMMYFUNCTION("""COMPUTED_VALUE"""),"sgm.wangnamyen@bigc.co.th")</f>
        <v>sgm.wangnamyen@bigc.co.th</v>
      </c>
    </row>
    <row r="137" ht="15.75" customHeight="1">
      <c r="A137" s="1" t="str">
        <f>IFERROR(__xludf.DUMMYFUNCTION("""COMPUTED_VALUE"""),"11238")</f>
        <v>11238</v>
      </c>
      <c r="B137" s="2">
        <f>IFERROR(__xludf.DUMMYFUNCTION("""COMPUTED_VALUE"""),11238.0)</f>
        <v>11238</v>
      </c>
      <c r="C137" s="3" t="str">
        <f>IFERROR(__xludf.DUMMYFUNCTION("""COMPUTED_VALUE"""),"ท่าตะโก")</f>
        <v>ท่าตะโก</v>
      </c>
      <c r="D137" s="3" t="str">
        <f>IFERROR(__xludf.DUMMYFUNCTION("""COMPUTED_VALUE"""),"BIGC THA TAKO")</f>
        <v>BIGC THA TAKO</v>
      </c>
      <c r="E137" s="1" t="str">
        <f>IFERROR(__xludf.DUMMYFUNCTION("""COMPUTED_VALUE"""),"บิ๊กซี HyperMarket")</f>
        <v>บิ๊กซี HyperMarket</v>
      </c>
      <c r="F137" s="1" t="str">
        <f>IFERROR(__xludf.DUMMYFUNCTION("""COMPUTED_VALUE"""),"2455179")</f>
        <v>2455179</v>
      </c>
      <c r="G137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137" s="1" t="str">
        <f>IFERROR(__xludf.DUMMYFUNCTION("""COMPUTED_VALUE"""),"2455179")</f>
        <v>2455179</v>
      </c>
      <c r="I137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137" s="3">
        <f>IFERROR(__xludf.DUMMYFUNCTION("""COMPUTED_VALUE"""),2455179.0)</f>
        <v>2455179</v>
      </c>
      <c r="K137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137" s="1" t="str">
        <f>IFERROR(__xludf.DUMMYFUNCTION("""COMPUTED_VALUE"""),"Hub06-C&amp;W")</f>
        <v>Hub06-C&amp;W</v>
      </c>
      <c r="M137" s="1" t="str">
        <f>IFERROR(__xludf.DUMMYFUNCTION("""COMPUTED_VALUE"""),"090-993-6896")</f>
        <v>090-993-6896</v>
      </c>
      <c r="N137" s="3">
        <f>IFERROR(__xludf.DUMMYFUNCTION("""COMPUTED_VALUE"""),11238.0)</f>
        <v>11238</v>
      </c>
      <c r="O137" s="3" t="str">
        <f>IFERROR(__xludf.DUMMYFUNCTION("""COMPUTED_VALUE"""),"ท่าตะโก")</f>
        <v>ท่าตะโก</v>
      </c>
      <c r="P137" s="4">
        <f>IFERROR(__xludf.DUMMYFUNCTION("""COMPUTED_VALUE"""),43069.0)</f>
        <v>43069</v>
      </c>
      <c r="Q137" s="3" t="str">
        <f>IFERROR(__xludf.DUMMYFUNCTION("""COMPUTED_VALUE"""),"A")</f>
        <v>A</v>
      </c>
      <c r="R137" s="3" t="str">
        <f>IFERROR(__xludf.DUMMYFUNCTION("""COMPUTED_VALUE"""),"Big Format")</f>
        <v>Big Format</v>
      </c>
      <c r="S137" s="3" t="str">
        <f>IFERROR(__xludf.DUMMYFUNCTION("""COMPUTED_VALUE"""),"Hyper")</f>
        <v>Hyper</v>
      </c>
      <c r="T137" s="3" t="str">
        <f>IFERROR(__xludf.DUMMYFUNCTION("""COMPUTED_VALUE"""),"Hub06-C&amp;W")</f>
        <v>Hub06-C&amp;W</v>
      </c>
      <c r="U137" s="3" t="str">
        <f>IFERROR(__xludf.DUMMYFUNCTION("""COMPUTED_VALUE"""),"Hub06-C&amp;W")</f>
        <v>Hub06-C&amp;W</v>
      </c>
      <c r="V137" s="3" t="str">
        <f>IFERROR(__xludf.DUMMYFUNCTION("""COMPUTED_VALUE"""),"N")</f>
        <v>N</v>
      </c>
      <c r="W137" s="3">
        <f>IFERROR(__xludf.DUMMYFUNCTION("""COMPUTED_VALUE"""),111248.0)</f>
        <v>111248</v>
      </c>
      <c r="X137" s="3" t="str">
        <f>IFERROR(__xludf.DUMMYFUNCTION("""COMPUTED_VALUE"""),"989 หมู่ 1 ตำบลท่าตะโก อำเภอท่าตะโก จังหวัดนครสวรรค์ 60160")</f>
        <v>989 หมู่ 1 ตำบลท่าตะโก อำเภอท่าตะโก จังหวัดนครสวรรค์ 60160</v>
      </c>
      <c r="Y137" s="3"/>
      <c r="Z137" s="3" t="str">
        <f>IFERROR(__xludf.DUMMYFUNCTION("""COMPUTED_VALUE"""),"ท่าตะโก")</f>
        <v>ท่าตะโก</v>
      </c>
      <c r="AA137" s="3" t="str">
        <f>IFERROR(__xludf.DUMMYFUNCTION("""COMPUTED_VALUE"""),"ท่าตะโก")</f>
        <v>ท่าตะโก</v>
      </c>
      <c r="AB137" s="3" t="str">
        <f>IFERROR(__xludf.DUMMYFUNCTION("""COMPUTED_VALUE"""),"นครสวรรค์")</f>
        <v>นครสวรรค์</v>
      </c>
      <c r="AC137" s="3">
        <f>IFERROR(__xludf.DUMMYFUNCTION("""COMPUTED_VALUE"""),60160.0)</f>
        <v>60160</v>
      </c>
      <c r="AD137" s="3">
        <f>IFERROR(__xludf.DUMMYFUNCTION("""COMPUTED_VALUE"""),15.635456)</f>
        <v>15.635456</v>
      </c>
      <c r="AE137" s="3">
        <f>IFERROR(__xludf.DUMMYFUNCTION("""COMPUTED_VALUE"""),100.4744118)</f>
        <v>100.4744118</v>
      </c>
      <c r="AF137" s="3" t="str">
        <f>IFERROR(__xludf.DUMMYFUNCTION("""COMPUTED_VALUE"""),"ท่าตะโก-11238")</f>
        <v>ท่าตะโก-11238</v>
      </c>
      <c r="AG137" s="3" t="str">
        <f>IFERROR(__xludf.DUMMYFUNCTION("""COMPUTED_VALUE"""),"กลาง")</f>
        <v>กลาง</v>
      </c>
      <c r="AH137" s="3" t="str">
        <f>IFERROR(__xludf.DUMMYFUNCTION("""COMPUTED_VALUE"""),"Wichian Nasungnoen")</f>
        <v>Wichian Nasungnoen</v>
      </c>
      <c r="AI137" s="3" t="str">
        <f>IFERROR(__xludf.DUMMYFUNCTION("""COMPUTED_VALUE"""),"Out of warranty")</f>
        <v>Out of warranty</v>
      </c>
      <c r="AJ137" s="3">
        <f>IFERROR(__xludf.DUMMYFUNCTION("""COMPUTED_VALUE"""),98.0)</f>
        <v>98</v>
      </c>
      <c r="AK137" s="3"/>
      <c r="AL137" s="3" t="str">
        <f>IFERROR(__xludf.DUMMYFUNCTION("""COMPUTED_VALUE"""),"sgm.thatako@bigc.co.th")</f>
        <v>sgm.thatako@bigc.co.th</v>
      </c>
    </row>
    <row r="138" ht="15.75" customHeight="1">
      <c r="A138" s="1" t="str">
        <f>IFERROR(__xludf.DUMMYFUNCTION("""COMPUTED_VALUE"""),"11239")</f>
        <v>11239</v>
      </c>
      <c r="B138" s="2">
        <f>IFERROR(__xludf.DUMMYFUNCTION("""COMPUTED_VALUE"""),11239.0)</f>
        <v>11239</v>
      </c>
      <c r="C138" s="3" t="str">
        <f>IFERROR(__xludf.DUMMYFUNCTION("""COMPUTED_VALUE"""),"ด่านขุนทด")</f>
        <v>ด่านขุนทด</v>
      </c>
      <c r="D138" s="3" t="str">
        <f>IFERROR(__xludf.DUMMYFUNCTION("""COMPUTED_VALUE"""),"BIGC DAN KHUN THOT")</f>
        <v>BIGC DAN KHUN THOT</v>
      </c>
      <c r="E138" s="1" t="str">
        <f>IFERROR(__xludf.DUMMYFUNCTION("""COMPUTED_VALUE"""),"บิ๊กซี HyperMarket")</f>
        <v>บิ๊กซี HyperMarket</v>
      </c>
      <c r="F138" s="1" t="str">
        <f>IFERROR(__xludf.DUMMYFUNCTION("""COMPUTED_VALUE"""),"033317")</f>
        <v>033317</v>
      </c>
      <c r="G138" s="1" t="str">
        <f>IFERROR(__xludf.DUMMYFUNCTION("""COMPUTED_VALUE"""),"นายอาณัติ เพชรภาน")</f>
        <v>นายอาณัติ เพชรภาน</v>
      </c>
      <c r="H138" s="1" t="str">
        <f>IFERROR(__xludf.DUMMYFUNCTION("""COMPUTED_VALUE"""),"033317")</f>
        <v>033317</v>
      </c>
      <c r="I138" s="1" t="str">
        <f>IFERROR(__xludf.DUMMYFUNCTION("""COMPUTED_VALUE"""),"นายอาณัติ เพชรภาน")</f>
        <v>นายอาณัติ เพชรภาน</v>
      </c>
      <c r="J138" s="3">
        <f>IFERROR(__xludf.DUMMYFUNCTION("""COMPUTED_VALUE"""),33317.0)</f>
        <v>33317</v>
      </c>
      <c r="K138" s="3" t="str">
        <f>IFERROR(__xludf.DUMMYFUNCTION("""COMPUTED_VALUE"""),"นายอาณัติ เพชรภาน")</f>
        <v>นายอาณัติ เพชรภาน</v>
      </c>
      <c r="L138" s="1" t="str">
        <f>IFERROR(__xludf.DUMMYFUNCTION("""COMPUTED_VALUE"""),"Hub10-NE 2")</f>
        <v>Hub10-NE 2</v>
      </c>
      <c r="M138" s="1" t="str">
        <f>IFERROR(__xludf.DUMMYFUNCTION("""COMPUTED_VALUE"""),"0644791409")</f>
        <v>0644791409</v>
      </c>
      <c r="N138" s="3">
        <f>IFERROR(__xludf.DUMMYFUNCTION("""COMPUTED_VALUE"""),11239.0)</f>
        <v>11239</v>
      </c>
      <c r="O138" s="3" t="str">
        <f>IFERROR(__xludf.DUMMYFUNCTION("""COMPUTED_VALUE"""),"ด่านขุนทด")</f>
        <v>ด่านขุนทด</v>
      </c>
      <c r="P138" s="4">
        <f>IFERROR(__xludf.DUMMYFUNCTION("""COMPUTED_VALUE"""),43048.0)</f>
        <v>43048</v>
      </c>
      <c r="Q138" s="3" t="str">
        <f>IFERROR(__xludf.DUMMYFUNCTION("""COMPUTED_VALUE"""),"A")</f>
        <v>A</v>
      </c>
      <c r="R138" s="3" t="str">
        <f>IFERROR(__xludf.DUMMYFUNCTION("""COMPUTED_VALUE"""),"Big Format")</f>
        <v>Big Format</v>
      </c>
      <c r="S138" s="3" t="str">
        <f>IFERROR(__xludf.DUMMYFUNCTION("""COMPUTED_VALUE"""),"Hyper")</f>
        <v>Hyper</v>
      </c>
      <c r="T138" s="3" t="str">
        <f>IFERROR(__xludf.DUMMYFUNCTION("""COMPUTED_VALUE"""),"Hub10-NE 2")</f>
        <v>Hub10-NE 2</v>
      </c>
      <c r="U138" s="3" t="str">
        <f>IFERROR(__xludf.DUMMYFUNCTION("""COMPUTED_VALUE"""),"Hub10-NE 2")</f>
        <v>Hub10-NE 2</v>
      </c>
      <c r="V138" s="3" t="str">
        <f>IFERROR(__xludf.DUMMYFUNCTION("""COMPUTED_VALUE"""),"N")</f>
        <v>N</v>
      </c>
      <c r="W138" s="3">
        <f>IFERROR(__xludf.DUMMYFUNCTION("""COMPUTED_VALUE"""),111249.0)</f>
        <v>111249</v>
      </c>
      <c r="X138" s="3" t="str">
        <f>IFERROR(__xludf.DUMMYFUNCTION("""COMPUTED_VALUE"""),"384 หมู่ 3 ตำบลด่านขุนทด อำเภอด่านขุนทด จังหวัดนครราชสีมา 30210")</f>
        <v>384 หมู่ 3 ตำบลด่านขุนทด อำเภอด่านขุนทด จังหวัดนครราชสีมา 30210</v>
      </c>
      <c r="Y138" s="3"/>
      <c r="Z138" s="3" t="str">
        <f>IFERROR(__xludf.DUMMYFUNCTION("""COMPUTED_VALUE"""),"ด่านขุนทด")</f>
        <v>ด่านขุนทด</v>
      </c>
      <c r="AA138" s="3" t="str">
        <f>IFERROR(__xludf.DUMMYFUNCTION("""COMPUTED_VALUE"""),"ด่านขุนทด")</f>
        <v>ด่านขุนทด</v>
      </c>
      <c r="AB138" s="3" t="str">
        <f>IFERROR(__xludf.DUMMYFUNCTION("""COMPUTED_VALUE"""),"นครราชสีมา")</f>
        <v>นครราชสีมา</v>
      </c>
      <c r="AC138" s="3">
        <f>IFERROR(__xludf.DUMMYFUNCTION("""COMPUTED_VALUE"""),30210.0)</f>
        <v>30210</v>
      </c>
      <c r="AD138" s="3">
        <f>IFERROR(__xludf.DUMMYFUNCTION("""COMPUTED_VALUE"""),15.2095976)</f>
        <v>15.2095976</v>
      </c>
      <c r="AE138" s="3">
        <f>IFERROR(__xludf.DUMMYFUNCTION("""COMPUTED_VALUE"""),101.7502936)</f>
        <v>101.7502936</v>
      </c>
      <c r="AF138" s="3" t="str">
        <f>IFERROR(__xludf.DUMMYFUNCTION("""COMPUTED_VALUE"""),"ด่านขุนทด-11239")</f>
        <v>ด่านขุนทด-11239</v>
      </c>
      <c r="AG138" s="3" t="str">
        <f>IFERROR(__xludf.DUMMYFUNCTION("""COMPUTED_VALUE"""),"ตะวันออกเฉียงเหนือ")</f>
        <v>ตะวันออกเฉียงเหนือ</v>
      </c>
      <c r="AH138" s="3" t="str">
        <f>IFERROR(__xludf.DUMMYFUNCTION("""COMPUTED_VALUE"""),"Pajaob Wongpakdee")</f>
        <v>Pajaob Wongpakdee</v>
      </c>
      <c r="AI138" s="3" t="str">
        <f>IFERROR(__xludf.DUMMYFUNCTION("""COMPUTED_VALUE"""),"Out of warranty")</f>
        <v>Out of warranty</v>
      </c>
      <c r="AJ138" s="3">
        <f>IFERROR(__xludf.DUMMYFUNCTION("""COMPUTED_VALUE"""),99.0)</f>
        <v>99</v>
      </c>
      <c r="AK138" s="3"/>
      <c r="AL138" s="3" t="str">
        <f>IFERROR(__xludf.DUMMYFUNCTION("""COMPUTED_VALUE"""),"sgm.dankhunthot@bigc.co.th")</f>
        <v>sgm.dankhunthot@bigc.co.th</v>
      </c>
    </row>
    <row r="139" ht="15.75" customHeight="1">
      <c r="A139" s="1" t="str">
        <f>IFERROR(__xludf.DUMMYFUNCTION("""COMPUTED_VALUE"""),"11240")</f>
        <v>11240</v>
      </c>
      <c r="B139" s="2">
        <f>IFERROR(__xludf.DUMMYFUNCTION("""COMPUTED_VALUE"""),11240.0)</f>
        <v>11240</v>
      </c>
      <c r="C139" s="3" t="str">
        <f>IFERROR(__xludf.DUMMYFUNCTION("""COMPUTED_VALUE"""),"สุวรรณภูมิ (ร้อยเอ็ด)")</f>
        <v>สุวรรณภูมิ (ร้อยเอ็ด)</v>
      </c>
      <c r="D139" s="3" t="str">
        <f>IFERROR(__xludf.DUMMYFUNCTION("""COMPUTED_VALUE"""),"BIGC SUWANNAPHUM")</f>
        <v>BIGC SUWANNAPHUM</v>
      </c>
      <c r="E139" s="1" t="str">
        <f>IFERROR(__xludf.DUMMYFUNCTION("""COMPUTED_VALUE"""),"บิ๊กซี HyperMarket")</f>
        <v>บิ๊กซี HyperMarket</v>
      </c>
      <c r="F139" s="1" t="str">
        <f>IFERROR(__xludf.DUMMYFUNCTION("""COMPUTED_VALUE"""),"295801")</f>
        <v>295801</v>
      </c>
      <c r="G139" s="1" t="str">
        <f>IFERROR(__xludf.DUMMYFUNCTION("""COMPUTED_VALUE"""),"นายอรรถพล เหล่าสุวงศ์")</f>
        <v>นายอรรถพล เหล่าสุวงศ์</v>
      </c>
      <c r="H139" s="1" t="str">
        <f>IFERROR(__xludf.DUMMYFUNCTION("""COMPUTED_VALUE"""),"295801")</f>
        <v>295801</v>
      </c>
      <c r="I139" s="1" t="str">
        <f>IFERROR(__xludf.DUMMYFUNCTION("""COMPUTED_VALUE"""),"นายอรรถพล เหล่าสุวงศ์")</f>
        <v>นายอรรถพล เหล่าสุวงศ์</v>
      </c>
      <c r="J139" s="3">
        <f>IFERROR(__xludf.DUMMYFUNCTION("""COMPUTED_VALUE"""),295801.0)</f>
        <v>295801</v>
      </c>
      <c r="K139" s="3" t="str">
        <f>IFERROR(__xludf.DUMMYFUNCTION("""COMPUTED_VALUE"""),"นายอรรถพล เหล่าสุวงศ์")</f>
        <v>นายอรรถพล เหล่าสุวงศ์</v>
      </c>
      <c r="L139" s="1" t="str">
        <f>IFERROR(__xludf.DUMMYFUNCTION("""COMPUTED_VALUE"""),"Hub09-NE 1")</f>
        <v>Hub09-NE 1</v>
      </c>
      <c r="M139" s="1" t="str">
        <f>IFERROR(__xludf.DUMMYFUNCTION("""COMPUTED_VALUE"""),"0655090879")</f>
        <v>0655090879</v>
      </c>
      <c r="N139" s="3">
        <f>IFERROR(__xludf.DUMMYFUNCTION("""COMPUTED_VALUE"""),11240.0)</f>
        <v>11240</v>
      </c>
      <c r="O139" s="3" t="str">
        <f>IFERROR(__xludf.DUMMYFUNCTION("""COMPUTED_VALUE"""),"สุวรรณภูมิ (ร้อยเอ็ด)")</f>
        <v>สุวรรณภูมิ (ร้อยเอ็ด)</v>
      </c>
      <c r="P139" s="4">
        <f>IFERROR(__xludf.DUMMYFUNCTION("""COMPUTED_VALUE"""),43077.0)</f>
        <v>43077</v>
      </c>
      <c r="Q139" s="3" t="str">
        <f>IFERROR(__xludf.DUMMYFUNCTION("""COMPUTED_VALUE"""),"A")</f>
        <v>A</v>
      </c>
      <c r="R139" s="3" t="str">
        <f>IFERROR(__xludf.DUMMYFUNCTION("""COMPUTED_VALUE"""),"Big Format")</f>
        <v>Big Format</v>
      </c>
      <c r="S139" s="3" t="str">
        <f>IFERROR(__xludf.DUMMYFUNCTION("""COMPUTED_VALUE"""),"Hyper")</f>
        <v>Hyper</v>
      </c>
      <c r="T139" s="3" t="str">
        <f>IFERROR(__xludf.DUMMYFUNCTION("""COMPUTED_VALUE"""),"Hub09-NE 1")</f>
        <v>Hub09-NE 1</v>
      </c>
      <c r="U139" s="3" t="str">
        <f>IFERROR(__xludf.DUMMYFUNCTION("""COMPUTED_VALUE"""),"Hub09-NE 1")</f>
        <v>Hub09-NE 1</v>
      </c>
      <c r="V139" s="3" t="str">
        <f>IFERROR(__xludf.DUMMYFUNCTION("""COMPUTED_VALUE"""),"N")</f>
        <v>N</v>
      </c>
      <c r="W139" s="3">
        <f>IFERROR(__xludf.DUMMYFUNCTION("""COMPUTED_VALUE"""),111245.0)</f>
        <v>111245</v>
      </c>
      <c r="X139" s="3" t="str">
        <f>IFERROR(__xludf.DUMMYFUNCTION("""COMPUTED_VALUE"""),"12 หมู่5 ตำบลสระคู อำเภอสุวรรณภูมิ จังหวัดร้อยเอ็ด 45130")</f>
        <v>12 หมู่5 ตำบลสระคู อำเภอสุวรรณภูมิ จังหวัดร้อยเอ็ด 45130</v>
      </c>
      <c r="Y139" s="3"/>
      <c r="Z139" s="3" t="str">
        <f>IFERROR(__xludf.DUMMYFUNCTION("""COMPUTED_VALUE"""),"สระคู")</f>
        <v>สระคู</v>
      </c>
      <c r="AA139" s="3" t="str">
        <f>IFERROR(__xludf.DUMMYFUNCTION("""COMPUTED_VALUE"""),"สุวรรณภูมิ")</f>
        <v>สุวรรณภูมิ</v>
      </c>
      <c r="AB139" s="3" t="str">
        <f>IFERROR(__xludf.DUMMYFUNCTION("""COMPUTED_VALUE"""),"ร้อยเอ็ด")</f>
        <v>ร้อยเอ็ด</v>
      </c>
      <c r="AC139" s="3">
        <f>IFERROR(__xludf.DUMMYFUNCTION("""COMPUTED_VALUE"""),45130.0)</f>
        <v>45130</v>
      </c>
      <c r="AD139" s="3">
        <f>IFERROR(__xludf.DUMMYFUNCTION("""COMPUTED_VALUE"""),15.6576545)</f>
        <v>15.6576545</v>
      </c>
      <c r="AE139" s="3">
        <f>IFERROR(__xludf.DUMMYFUNCTION("""COMPUTED_VALUE"""),103.6565265)</f>
        <v>103.6565265</v>
      </c>
      <c r="AF139" s="3" t="str">
        <f>IFERROR(__xludf.DUMMYFUNCTION("""COMPUTED_VALUE"""),"สุวรรณภูมิ (ร้อยเอ็ด)-11240")</f>
        <v>สุวรรณภูมิ (ร้อยเอ็ด)-11240</v>
      </c>
      <c r="AG139" s="3" t="str">
        <f>IFERROR(__xludf.DUMMYFUNCTION("""COMPUTED_VALUE"""),"ตะวันออกเฉียงเหนือ")</f>
        <v>ตะวันออกเฉียงเหนือ</v>
      </c>
      <c r="AH139" s="3" t="str">
        <f>IFERROR(__xludf.DUMMYFUNCTION("""COMPUTED_VALUE"""),"K.Narabordee")</f>
        <v>K.Narabordee</v>
      </c>
      <c r="AI139" s="3" t="str">
        <f>IFERROR(__xludf.DUMMYFUNCTION("""COMPUTED_VALUE"""),"Out of warranty")</f>
        <v>Out of warranty</v>
      </c>
      <c r="AJ139" s="3">
        <f>IFERROR(__xludf.DUMMYFUNCTION("""COMPUTED_VALUE"""),98.0)</f>
        <v>98</v>
      </c>
      <c r="AK139" s="3"/>
      <c r="AL139" s="3" t="str">
        <f>IFERROR(__xludf.DUMMYFUNCTION("""COMPUTED_VALUE"""),"sgm.suvarnabhumi@bigc.co.th")</f>
        <v>sgm.suvarnabhumi@bigc.co.th</v>
      </c>
    </row>
    <row r="140" ht="15.75" customHeight="1">
      <c r="A140" s="1" t="str">
        <f>IFERROR(__xludf.DUMMYFUNCTION("""COMPUTED_VALUE"""),"11241")</f>
        <v>11241</v>
      </c>
      <c r="B140" s="2">
        <f>IFERROR(__xludf.DUMMYFUNCTION("""COMPUTED_VALUE"""),11241.0)</f>
        <v>11241</v>
      </c>
      <c r="C140" s="3" t="str">
        <f>IFERROR(__xludf.DUMMYFUNCTION("""COMPUTED_VALUE"""),"วิเชียรบุรี")</f>
        <v>วิเชียรบุรี</v>
      </c>
      <c r="D140" s="3" t="str">
        <f>IFERROR(__xludf.DUMMYFUNCTION("""COMPUTED_VALUE"""),"BIGC WICHIENBURI")</f>
        <v>BIGC WICHIENBURI</v>
      </c>
      <c r="E140" s="1" t="str">
        <f>IFERROR(__xludf.DUMMYFUNCTION("""COMPUTED_VALUE"""),"บิ๊กซี HyperMarket")</f>
        <v>บิ๊กซี HyperMarket</v>
      </c>
      <c r="F140" s="1" t="str">
        <f>IFERROR(__xludf.DUMMYFUNCTION("""COMPUTED_VALUE"""),"000348")</f>
        <v>000348</v>
      </c>
      <c r="G140" s="1" t="str">
        <f>IFERROR(__xludf.DUMMYFUNCTION("""COMPUTED_VALUE"""),"นายธีรนันท์ ไม้สนธิ์")</f>
        <v>นายธีรนันท์ ไม้สนธิ์</v>
      </c>
      <c r="H140" s="1" t="str">
        <f>IFERROR(__xludf.DUMMYFUNCTION("""COMPUTED_VALUE"""),"000348")</f>
        <v>000348</v>
      </c>
      <c r="I140" s="1" t="str">
        <f>IFERROR(__xludf.DUMMYFUNCTION("""COMPUTED_VALUE"""),"นายธีรนันท์ ไม้สนธิ์")</f>
        <v>นายธีรนันท์ ไม้สนธิ์</v>
      </c>
      <c r="J140" s="3">
        <f>IFERROR(__xludf.DUMMYFUNCTION("""COMPUTED_VALUE"""),348.0)</f>
        <v>348</v>
      </c>
      <c r="K140" s="3" t="str">
        <f>IFERROR(__xludf.DUMMYFUNCTION("""COMPUTED_VALUE"""),"นายธีรนันท์ ไม้สนธิ์")</f>
        <v>นายธีรนันท์ ไม้สนธิ์</v>
      </c>
      <c r="L140" s="1" t="str">
        <f>IFERROR(__xludf.DUMMYFUNCTION("""COMPUTED_VALUE"""),"Hub07-North")</f>
        <v>Hub07-North</v>
      </c>
      <c r="M140" s="1" t="str">
        <f>IFERROR(__xludf.DUMMYFUNCTION("""COMPUTED_VALUE"""),"0614175866")</f>
        <v>0614175866</v>
      </c>
      <c r="N140" s="3">
        <f>IFERROR(__xludf.DUMMYFUNCTION("""COMPUTED_VALUE"""),11241.0)</f>
        <v>11241</v>
      </c>
      <c r="O140" s="3" t="str">
        <f>IFERROR(__xludf.DUMMYFUNCTION("""COMPUTED_VALUE"""),"วิเชียรบุรี")</f>
        <v>วิเชียรบุรี</v>
      </c>
      <c r="P140" s="4">
        <f>IFERROR(__xludf.DUMMYFUNCTION("""COMPUTED_VALUE"""),43093.0)</f>
        <v>43093</v>
      </c>
      <c r="Q140" s="3" t="str">
        <f>IFERROR(__xludf.DUMMYFUNCTION("""COMPUTED_VALUE"""),"A")</f>
        <v>A</v>
      </c>
      <c r="R140" s="3" t="str">
        <f>IFERROR(__xludf.DUMMYFUNCTION("""COMPUTED_VALUE"""),"Big Format")</f>
        <v>Big Format</v>
      </c>
      <c r="S140" s="3" t="str">
        <f>IFERROR(__xludf.DUMMYFUNCTION("""COMPUTED_VALUE"""),"Hyper")</f>
        <v>Hyper</v>
      </c>
      <c r="T140" s="3" t="str">
        <f>IFERROR(__xludf.DUMMYFUNCTION("""COMPUTED_VALUE"""),"Hub07-North")</f>
        <v>Hub07-North</v>
      </c>
      <c r="U140" s="3" t="str">
        <f>IFERROR(__xludf.DUMMYFUNCTION("""COMPUTED_VALUE"""),"Hub07-North")</f>
        <v>Hub07-North</v>
      </c>
      <c r="V140" s="3" t="str">
        <f>IFERROR(__xludf.DUMMYFUNCTION("""COMPUTED_VALUE"""),"N")</f>
        <v>N</v>
      </c>
      <c r="W140" s="3">
        <f>IFERROR(__xludf.DUMMYFUNCTION("""COMPUTED_VALUE"""),111252.0)</f>
        <v>111252</v>
      </c>
      <c r="X140" s="3" t="str">
        <f>IFERROR(__xludf.DUMMYFUNCTION("""COMPUTED_VALUE"""),"157 หมู่4 ตำบลสระประดู่ อำเภอวิเชียรบุรี จังหวัดเพชรบรูณ์ 67130")</f>
        <v>157 หมู่4 ตำบลสระประดู่ อำเภอวิเชียรบุรี จังหวัดเพชรบรูณ์ 67130</v>
      </c>
      <c r="Y140" s="3"/>
      <c r="Z140" s="3" t="str">
        <f>IFERROR(__xludf.DUMMYFUNCTION("""COMPUTED_VALUE"""),"สระประดู่")</f>
        <v>สระประดู่</v>
      </c>
      <c r="AA140" s="3" t="str">
        <f>IFERROR(__xludf.DUMMYFUNCTION("""COMPUTED_VALUE"""),"วิเชียรบุรี")</f>
        <v>วิเชียรบุรี</v>
      </c>
      <c r="AB140" s="3" t="str">
        <f>IFERROR(__xludf.DUMMYFUNCTION("""COMPUTED_VALUE"""),"เพชรบูรณ์")</f>
        <v>เพชรบูรณ์</v>
      </c>
      <c r="AC140" s="3">
        <f>IFERROR(__xludf.DUMMYFUNCTION("""COMPUTED_VALUE"""),67130.0)</f>
        <v>67130</v>
      </c>
      <c r="AD140" s="3">
        <f>IFERROR(__xludf.DUMMYFUNCTION("""COMPUTED_VALUE"""),15.635462)</f>
        <v>15.635462</v>
      </c>
      <c r="AE140" s="3">
        <f>IFERROR(__xludf.DUMMYFUNCTION("""COMPUTED_VALUE"""),101.0411127)</f>
        <v>101.0411127</v>
      </c>
      <c r="AF140" s="3" t="str">
        <f>IFERROR(__xludf.DUMMYFUNCTION("""COMPUTED_VALUE"""),"วิเชียรบุรี-11241")</f>
        <v>วิเชียรบุรี-11241</v>
      </c>
      <c r="AG140" s="3" t="str">
        <f>IFERROR(__xludf.DUMMYFUNCTION("""COMPUTED_VALUE"""),"กลาง")</f>
        <v>กลาง</v>
      </c>
      <c r="AH140" s="3" t="str">
        <f>IFERROR(__xludf.DUMMYFUNCTION("""COMPUTED_VALUE"""),"Wichai Soomboonsod")</f>
        <v>Wichai Soomboonsod</v>
      </c>
      <c r="AI140" s="3" t="str">
        <f>IFERROR(__xludf.DUMMYFUNCTION("""COMPUTED_VALUE"""),"Out of warranty")</f>
        <v>Out of warranty</v>
      </c>
      <c r="AJ140" s="3">
        <f>IFERROR(__xludf.DUMMYFUNCTION("""COMPUTED_VALUE"""),97.0)</f>
        <v>97</v>
      </c>
      <c r="AK140" s="3"/>
      <c r="AL140" s="3" t="str">
        <f>IFERROR(__xludf.DUMMYFUNCTION("""COMPUTED_VALUE"""),"sgm.wichianburi@bigc.co.th")</f>
        <v>sgm.wichianburi@bigc.co.th</v>
      </c>
    </row>
    <row r="141" ht="15.75" customHeight="1">
      <c r="A141" s="1" t="str">
        <f>IFERROR(__xludf.DUMMYFUNCTION("""COMPUTED_VALUE"""),"11242")</f>
        <v>11242</v>
      </c>
      <c r="B141" s="2">
        <f>IFERROR(__xludf.DUMMYFUNCTION("""COMPUTED_VALUE"""),11242.0)</f>
        <v>11242</v>
      </c>
      <c r="C141" s="3" t="str">
        <f>IFERROR(__xludf.DUMMYFUNCTION("""COMPUTED_VALUE"""),"คำตากล้า")</f>
        <v>คำตากล้า</v>
      </c>
      <c r="D141" s="3" t="str">
        <f>IFERROR(__xludf.DUMMYFUNCTION("""COMPUTED_VALUE"""),"BIGC KHAMTAKLA")</f>
        <v>BIGC KHAMTAKLA</v>
      </c>
      <c r="E141" s="1" t="str">
        <f>IFERROR(__xludf.DUMMYFUNCTION("""COMPUTED_VALUE"""),"บิ๊กซี HyperMarket")</f>
        <v>บิ๊กซี HyperMarket</v>
      </c>
      <c r="F141" s="1" t="str">
        <f>IFERROR(__xludf.DUMMYFUNCTION("""COMPUTED_VALUE"""),"295801")</f>
        <v>295801</v>
      </c>
      <c r="G141" s="1" t="str">
        <f>IFERROR(__xludf.DUMMYFUNCTION("""COMPUTED_VALUE"""),"นายอรรถพล เหล่าสุวงศ์")</f>
        <v>นายอรรถพล เหล่าสุวงศ์</v>
      </c>
      <c r="H141" s="1" t="str">
        <f>IFERROR(__xludf.DUMMYFUNCTION("""COMPUTED_VALUE"""),"295801")</f>
        <v>295801</v>
      </c>
      <c r="I141" s="1" t="str">
        <f>IFERROR(__xludf.DUMMYFUNCTION("""COMPUTED_VALUE"""),"นายอรรถพล เหล่าสุวงศ์")</f>
        <v>นายอรรถพล เหล่าสุวงศ์</v>
      </c>
      <c r="J141" s="3">
        <f>IFERROR(__xludf.DUMMYFUNCTION("""COMPUTED_VALUE"""),295801.0)</f>
        <v>295801</v>
      </c>
      <c r="K141" s="3" t="str">
        <f>IFERROR(__xludf.DUMMYFUNCTION("""COMPUTED_VALUE"""),"นายอรรถพล เหล่าสุวงศ์")</f>
        <v>นายอรรถพล เหล่าสุวงศ์</v>
      </c>
      <c r="L141" s="1" t="str">
        <f>IFERROR(__xludf.DUMMYFUNCTION("""COMPUTED_VALUE"""),"Hub09-NE 1")</f>
        <v>Hub09-NE 1</v>
      </c>
      <c r="M141" s="1" t="str">
        <f>IFERROR(__xludf.DUMMYFUNCTION("""COMPUTED_VALUE"""),"0655090879")</f>
        <v>0655090879</v>
      </c>
      <c r="N141" s="3">
        <f>IFERROR(__xludf.DUMMYFUNCTION("""COMPUTED_VALUE"""),11242.0)</f>
        <v>11242</v>
      </c>
      <c r="O141" s="3" t="str">
        <f>IFERROR(__xludf.DUMMYFUNCTION("""COMPUTED_VALUE"""),"คำตากล้า")</f>
        <v>คำตากล้า</v>
      </c>
      <c r="P141" s="4">
        <f>IFERROR(__xludf.DUMMYFUNCTION("""COMPUTED_VALUE"""),43189.0)</f>
        <v>43189</v>
      </c>
      <c r="Q141" s="3" t="str">
        <f>IFERROR(__xludf.DUMMYFUNCTION("""COMPUTED_VALUE"""),"A")</f>
        <v>A</v>
      </c>
      <c r="R141" s="3" t="str">
        <f>IFERROR(__xludf.DUMMYFUNCTION("""COMPUTED_VALUE"""),"Big Format")</f>
        <v>Big Format</v>
      </c>
      <c r="S141" s="3" t="str">
        <f>IFERROR(__xludf.DUMMYFUNCTION("""COMPUTED_VALUE"""),"Hyper")</f>
        <v>Hyper</v>
      </c>
      <c r="T141" s="3" t="str">
        <f>IFERROR(__xludf.DUMMYFUNCTION("""COMPUTED_VALUE"""),"Hub09-NE 1")</f>
        <v>Hub09-NE 1</v>
      </c>
      <c r="U141" s="3" t="str">
        <f>IFERROR(__xludf.DUMMYFUNCTION("""COMPUTED_VALUE"""),"Hub09-NE 1")</f>
        <v>Hub09-NE 1</v>
      </c>
      <c r="V141" s="3" t="str">
        <f>IFERROR(__xludf.DUMMYFUNCTION("""COMPUTED_VALUE"""),"N")</f>
        <v>N</v>
      </c>
      <c r="W141" s="3">
        <f>IFERROR(__xludf.DUMMYFUNCTION("""COMPUTED_VALUE"""),111250.0)</f>
        <v>111250</v>
      </c>
      <c r="X141" s="3" t="str">
        <f>IFERROR(__xludf.DUMMYFUNCTION("""COMPUTED_VALUE"""),"296 หมู่11 ตำบลคำตากล้า อำเภอคำตากล้า จังหวัดสกลนคร 47250")</f>
        <v>296 หมู่11 ตำบลคำตากล้า อำเภอคำตากล้า จังหวัดสกลนคร 47250</v>
      </c>
      <c r="Y141" s="3"/>
      <c r="Z141" s="3" t="str">
        <f>IFERROR(__xludf.DUMMYFUNCTION("""COMPUTED_VALUE"""),"คำตากล้า")</f>
        <v>คำตากล้า</v>
      </c>
      <c r="AA141" s="3" t="str">
        <f>IFERROR(__xludf.DUMMYFUNCTION("""COMPUTED_VALUE"""),"คำตากล้า")</f>
        <v>คำตากล้า</v>
      </c>
      <c r="AB141" s="3" t="str">
        <f>IFERROR(__xludf.DUMMYFUNCTION("""COMPUTED_VALUE"""),"สกลนคร")</f>
        <v>สกลนคร</v>
      </c>
      <c r="AC141" s="3">
        <f>IFERROR(__xludf.DUMMYFUNCTION("""COMPUTED_VALUE"""),47250.0)</f>
        <v>47250</v>
      </c>
      <c r="AD141" s="3">
        <f>IFERROR(__xludf.DUMMYFUNCTION("""COMPUTED_VALUE"""),17.8516927)</f>
        <v>17.8516927</v>
      </c>
      <c r="AE141" s="3">
        <f>IFERROR(__xludf.DUMMYFUNCTION("""COMPUTED_VALUE"""),103.7424555)</f>
        <v>103.7424555</v>
      </c>
      <c r="AF141" s="3" t="str">
        <f>IFERROR(__xludf.DUMMYFUNCTION("""COMPUTED_VALUE"""),"คำตากล้า-11242")</f>
        <v>คำตากล้า-11242</v>
      </c>
      <c r="AG141" s="3" t="str">
        <f>IFERROR(__xludf.DUMMYFUNCTION("""COMPUTED_VALUE"""),"ตะวันออกเฉียงเหนือ")</f>
        <v>ตะวันออกเฉียงเหนือ</v>
      </c>
      <c r="AH141" s="3" t="str">
        <f>IFERROR(__xludf.DUMMYFUNCTION("""COMPUTED_VALUE"""),"K.Narabordee")</f>
        <v>K.Narabordee</v>
      </c>
      <c r="AI141" s="3" t="str">
        <f>IFERROR(__xludf.DUMMYFUNCTION("""COMPUTED_VALUE"""),"Out of warranty")</f>
        <v>Out of warranty</v>
      </c>
      <c r="AJ141" s="3">
        <f>IFERROR(__xludf.DUMMYFUNCTION("""COMPUTED_VALUE"""),94.0)</f>
        <v>94</v>
      </c>
      <c r="AK141" s="3"/>
      <c r="AL141" s="3" t="str">
        <f>IFERROR(__xludf.DUMMYFUNCTION("""COMPUTED_VALUE"""),"sgm.khamtakla@bigc.co.th")</f>
        <v>sgm.khamtakla@bigc.co.th</v>
      </c>
    </row>
    <row r="142" ht="15.75" customHeight="1">
      <c r="A142" s="1" t="str">
        <f>IFERROR(__xludf.DUMMYFUNCTION("""COMPUTED_VALUE"""),"11243")</f>
        <v>11243</v>
      </c>
      <c r="B142" s="2">
        <f>IFERROR(__xludf.DUMMYFUNCTION("""COMPUTED_VALUE"""),11243.0)</f>
        <v>11243</v>
      </c>
      <c r="C142" s="3" t="str">
        <f>IFERROR(__xludf.DUMMYFUNCTION("""COMPUTED_VALUE"""),"พังโคน")</f>
        <v>พังโคน</v>
      </c>
      <c r="D142" s="3" t="str">
        <f>IFERROR(__xludf.DUMMYFUNCTION("""COMPUTED_VALUE"""),"BIGC PHANGKHON")</f>
        <v>BIGC PHANGKHON</v>
      </c>
      <c r="E142" s="1" t="str">
        <f>IFERROR(__xludf.DUMMYFUNCTION("""COMPUTED_VALUE"""),"บิ๊กซี HyperMarket")</f>
        <v>บิ๊กซี HyperMarket</v>
      </c>
      <c r="F142" s="1" t="str">
        <f>IFERROR(__xludf.DUMMYFUNCTION("""COMPUTED_VALUE"""),"295801")</f>
        <v>295801</v>
      </c>
      <c r="G142" s="1" t="str">
        <f>IFERROR(__xludf.DUMMYFUNCTION("""COMPUTED_VALUE"""),"นายอรรถพล เหล่าสุวงศ์")</f>
        <v>นายอรรถพล เหล่าสุวงศ์</v>
      </c>
      <c r="H142" s="1" t="str">
        <f>IFERROR(__xludf.DUMMYFUNCTION("""COMPUTED_VALUE"""),"295801")</f>
        <v>295801</v>
      </c>
      <c r="I142" s="1" t="str">
        <f>IFERROR(__xludf.DUMMYFUNCTION("""COMPUTED_VALUE"""),"นายอรรถพล เหล่าสุวงศ์")</f>
        <v>นายอรรถพล เหล่าสุวงศ์</v>
      </c>
      <c r="J142" s="3">
        <f>IFERROR(__xludf.DUMMYFUNCTION("""COMPUTED_VALUE"""),295801.0)</f>
        <v>295801</v>
      </c>
      <c r="K142" s="3" t="str">
        <f>IFERROR(__xludf.DUMMYFUNCTION("""COMPUTED_VALUE"""),"นายอรรถพล เหล่าสุวงศ์")</f>
        <v>นายอรรถพล เหล่าสุวงศ์</v>
      </c>
      <c r="L142" s="1" t="str">
        <f>IFERROR(__xludf.DUMMYFUNCTION("""COMPUTED_VALUE"""),"Hub09-NE 1")</f>
        <v>Hub09-NE 1</v>
      </c>
      <c r="M142" s="1" t="str">
        <f>IFERROR(__xludf.DUMMYFUNCTION("""COMPUTED_VALUE"""),"0655090879")</f>
        <v>0655090879</v>
      </c>
      <c r="N142" s="3">
        <f>IFERROR(__xludf.DUMMYFUNCTION("""COMPUTED_VALUE"""),11243.0)</f>
        <v>11243</v>
      </c>
      <c r="O142" s="3" t="str">
        <f>IFERROR(__xludf.DUMMYFUNCTION("""COMPUTED_VALUE"""),"พังโคน")</f>
        <v>พังโคน</v>
      </c>
      <c r="P142" s="4">
        <f>IFERROR(__xludf.DUMMYFUNCTION("""COMPUTED_VALUE"""),43187.0)</f>
        <v>43187</v>
      </c>
      <c r="Q142" s="3" t="str">
        <f>IFERROR(__xludf.DUMMYFUNCTION("""COMPUTED_VALUE"""),"A")</f>
        <v>A</v>
      </c>
      <c r="R142" s="3" t="str">
        <f>IFERROR(__xludf.DUMMYFUNCTION("""COMPUTED_VALUE"""),"Big Format")</f>
        <v>Big Format</v>
      </c>
      <c r="S142" s="3" t="str">
        <f>IFERROR(__xludf.DUMMYFUNCTION("""COMPUTED_VALUE"""),"Hyper")</f>
        <v>Hyper</v>
      </c>
      <c r="T142" s="3" t="str">
        <f>IFERROR(__xludf.DUMMYFUNCTION("""COMPUTED_VALUE"""),"Hub09-NE 1")</f>
        <v>Hub09-NE 1</v>
      </c>
      <c r="U142" s="3" t="str">
        <f>IFERROR(__xludf.DUMMYFUNCTION("""COMPUTED_VALUE"""),"Hub09-NE 1")</f>
        <v>Hub09-NE 1</v>
      </c>
      <c r="V142" s="3" t="str">
        <f>IFERROR(__xludf.DUMMYFUNCTION("""COMPUTED_VALUE"""),"N")</f>
        <v>N</v>
      </c>
      <c r="W142" s="3">
        <f>IFERROR(__xludf.DUMMYFUNCTION("""COMPUTED_VALUE"""),111251.0)</f>
        <v>111251</v>
      </c>
      <c r="X142" s="3" t="str">
        <f>IFERROR(__xludf.DUMMYFUNCTION("""COMPUTED_VALUE"""),"506 หมู่8 ตำบลพังโคน อำเภอพังโคน จังหวัดสกลนคร 47160")</f>
        <v>506 หมู่8 ตำบลพังโคน อำเภอพังโคน จังหวัดสกลนคร 47160</v>
      </c>
      <c r="Y142" s="3"/>
      <c r="Z142" s="3" t="str">
        <f>IFERROR(__xludf.DUMMYFUNCTION("""COMPUTED_VALUE"""),"พังโคน")</f>
        <v>พังโคน</v>
      </c>
      <c r="AA142" s="3" t="str">
        <f>IFERROR(__xludf.DUMMYFUNCTION("""COMPUTED_VALUE"""),"พังโคน")</f>
        <v>พังโคน</v>
      </c>
      <c r="AB142" s="3" t="str">
        <f>IFERROR(__xludf.DUMMYFUNCTION("""COMPUTED_VALUE"""),"สกลนคร")</f>
        <v>สกลนคร</v>
      </c>
      <c r="AC142" s="3">
        <f>IFERROR(__xludf.DUMMYFUNCTION("""COMPUTED_VALUE"""),47160.0)</f>
        <v>47160</v>
      </c>
      <c r="AD142" s="3">
        <f>IFERROR(__xludf.DUMMYFUNCTION("""COMPUTED_VALUE"""),17.3815908)</f>
        <v>17.3815908</v>
      </c>
      <c r="AE142" s="3">
        <f>IFERROR(__xludf.DUMMYFUNCTION("""COMPUTED_VALUE"""),103.6996272)</f>
        <v>103.6996272</v>
      </c>
      <c r="AF142" s="3" t="str">
        <f>IFERROR(__xludf.DUMMYFUNCTION("""COMPUTED_VALUE"""),"พังโคน-11243")</f>
        <v>พังโคน-11243</v>
      </c>
      <c r="AG142" s="3" t="str">
        <f>IFERROR(__xludf.DUMMYFUNCTION("""COMPUTED_VALUE"""),"ตะวันออกเฉียงเหนือ")</f>
        <v>ตะวันออกเฉียงเหนือ</v>
      </c>
      <c r="AH142" s="3" t="str">
        <f>IFERROR(__xludf.DUMMYFUNCTION("""COMPUTED_VALUE"""),"K.Narabordee")</f>
        <v>K.Narabordee</v>
      </c>
      <c r="AI142" s="3" t="str">
        <f>IFERROR(__xludf.DUMMYFUNCTION("""COMPUTED_VALUE"""),"Out of warranty")</f>
        <v>Out of warranty</v>
      </c>
      <c r="AJ142" s="3">
        <f>IFERROR(__xludf.DUMMYFUNCTION("""COMPUTED_VALUE"""),94.0)</f>
        <v>94</v>
      </c>
      <c r="AK142" s="3"/>
      <c r="AL142" s="3" t="str">
        <f>IFERROR(__xludf.DUMMYFUNCTION("""COMPUTED_VALUE"""),"sgm.phangkhon@bigc.co.th")</f>
        <v>sgm.phangkhon@bigc.co.th</v>
      </c>
    </row>
    <row r="143" ht="15.75" customHeight="1">
      <c r="A143" s="1" t="str">
        <f>IFERROR(__xludf.DUMMYFUNCTION("""COMPUTED_VALUE"""),"11244")</f>
        <v>11244</v>
      </c>
      <c r="B143" s="2">
        <f>IFERROR(__xludf.DUMMYFUNCTION("""COMPUTED_VALUE"""),11244.0)</f>
        <v>11244</v>
      </c>
      <c r="C143" s="3" t="str">
        <f>IFERROR(__xludf.DUMMYFUNCTION("""COMPUTED_VALUE"""),"สัตหีบ")</f>
        <v>สัตหีบ</v>
      </c>
      <c r="D143" s="3" t="str">
        <f>IFERROR(__xludf.DUMMYFUNCTION("""COMPUTED_VALUE"""),"BIGC SATAHIB")</f>
        <v>BIGC SATAHIB</v>
      </c>
      <c r="E143" s="1" t="str">
        <f>IFERROR(__xludf.DUMMYFUNCTION("""COMPUTED_VALUE"""),"บิ๊กซี HyperMarket")</f>
        <v>บิ๊กซี HyperMarket</v>
      </c>
      <c r="F143" s="1" t="str">
        <f>IFERROR(__xludf.DUMMYFUNCTION("""COMPUTED_VALUE"""),"2455164")</f>
        <v>2455164</v>
      </c>
      <c r="G143" s="1" t="str">
        <f>IFERROR(__xludf.DUMMYFUNCTION("""COMPUTED_VALUE"""),"นายกรวิทย์ เจริญพร")</f>
        <v>นายกรวิทย์ เจริญพร</v>
      </c>
      <c r="H143" s="1" t="str">
        <f>IFERROR(__xludf.DUMMYFUNCTION("""COMPUTED_VALUE"""),"2455164")</f>
        <v>2455164</v>
      </c>
      <c r="I143" s="1" t="str">
        <f>IFERROR(__xludf.DUMMYFUNCTION("""COMPUTED_VALUE"""),"นายกรวิทย์ เจริญพร")</f>
        <v>นายกรวิทย์ เจริญพร</v>
      </c>
      <c r="J143" s="3">
        <f>IFERROR(__xludf.DUMMYFUNCTION("""COMPUTED_VALUE"""),2455164.0)</f>
        <v>2455164</v>
      </c>
      <c r="K143" s="3" t="str">
        <f>IFERROR(__xludf.DUMMYFUNCTION("""COMPUTED_VALUE"""),"นายกรวิทย์ เจริญพร")</f>
        <v>นายกรวิทย์ เจริญพร</v>
      </c>
      <c r="L143" s="1" t="str">
        <f>IFERROR(__xludf.DUMMYFUNCTION("""COMPUTED_VALUE"""),"Hub08-East")</f>
        <v>Hub08-East</v>
      </c>
      <c r="M143" s="1" t="str">
        <f>IFERROR(__xludf.DUMMYFUNCTION("""COMPUTED_VALUE"""),"092-605-9922")</f>
        <v>092-605-9922</v>
      </c>
      <c r="N143" s="3">
        <f>IFERROR(__xludf.DUMMYFUNCTION("""COMPUTED_VALUE"""),11244.0)</f>
        <v>11244</v>
      </c>
      <c r="O143" s="3" t="str">
        <f>IFERROR(__xludf.DUMMYFUNCTION("""COMPUTED_VALUE"""),"สัตหีบ")</f>
        <v>สัตหีบ</v>
      </c>
      <c r="P143" s="4">
        <f>IFERROR(__xludf.DUMMYFUNCTION("""COMPUTED_VALUE"""),43194.0)</f>
        <v>43194</v>
      </c>
      <c r="Q143" s="3" t="str">
        <f>IFERROR(__xludf.DUMMYFUNCTION("""COMPUTED_VALUE"""),"A")</f>
        <v>A</v>
      </c>
      <c r="R143" s="3" t="str">
        <f>IFERROR(__xludf.DUMMYFUNCTION("""COMPUTED_VALUE"""),"Big Format")</f>
        <v>Big Format</v>
      </c>
      <c r="S143" s="3" t="str">
        <f>IFERROR(__xludf.DUMMYFUNCTION("""COMPUTED_VALUE"""),"Hyper")</f>
        <v>Hyper</v>
      </c>
      <c r="T143" s="3" t="str">
        <f>IFERROR(__xludf.DUMMYFUNCTION("""COMPUTED_VALUE"""),"Hub08-East")</f>
        <v>Hub08-East</v>
      </c>
      <c r="U143" s="3" t="str">
        <f>IFERROR(__xludf.DUMMYFUNCTION("""COMPUTED_VALUE"""),"Hub08-East")</f>
        <v>Hub08-East</v>
      </c>
      <c r="V143" s="3" t="str">
        <f>IFERROR(__xludf.DUMMYFUNCTION("""COMPUTED_VALUE"""),"N")</f>
        <v>N</v>
      </c>
      <c r="W143" s="3">
        <f>IFERROR(__xludf.DUMMYFUNCTION("""COMPUTED_VALUE"""),111244.0)</f>
        <v>111244</v>
      </c>
      <c r="X143" s="3" t="str">
        <f>IFERROR(__xludf.DUMMYFUNCTION("""COMPUTED_VALUE"""),"88/18 หมู่3 ตำบลสัตหีบ อำเภอสัตหีบ จังหวัดชลบุรี 20180")</f>
        <v>88/18 หมู่3 ตำบลสัตหีบ อำเภอสัตหีบ จังหวัดชลบุรี 20180</v>
      </c>
      <c r="Y143" s="3"/>
      <c r="Z143" s="3" t="str">
        <f>IFERROR(__xludf.DUMMYFUNCTION("""COMPUTED_VALUE"""),"สัตหีบ")</f>
        <v>สัตหีบ</v>
      </c>
      <c r="AA143" s="3" t="str">
        <f>IFERROR(__xludf.DUMMYFUNCTION("""COMPUTED_VALUE"""),"สัตหีบ")</f>
        <v>สัตหีบ</v>
      </c>
      <c r="AB143" s="3" t="str">
        <f>IFERROR(__xludf.DUMMYFUNCTION("""COMPUTED_VALUE"""),"ชลบุรี")</f>
        <v>ชลบุรี</v>
      </c>
      <c r="AC143" s="3">
        <f>IFERROR(__xludf.DUMMYFUNCTION("""COMPUTED_VALUE"""),20180.0)</f>
        <v>20180</v>
      </c>
      <c r="AD143" s="3">
        <f>IFERROR(__xludf.DUMMYFUNCTION("""COMPUTED_VALUE"""),12.6895045)</f>
        <v>12.6895045</v>
      </c>
      <c r="AE143" s="3">
        <f>IFERROR(__xludf.DUMMYFUNCTION("""COMPUTED_VALUE"""),100.8834022)</f>
        <v>100.8834022</v>
      </c>
      <c r="AF143" s="3" t="str">
        <f>IFERROR(__xludf.DUMMYFUNCTION("""COMPUTED_VALUE"""),"สัตหีบ-11244")</f>
        <v>สัตหีบ-11244</v>
      </c>
      <c r="AG143" s="3" t="str">
        <f>IFERROR(__xludf.DUMMYFUNCTION("""COMPUTED_VALUE"""),"ตะวันออก")</f>
        <v>ตะวันออก</v>
      </c>
      <c r="AH143" s="3" t="str">
        <f>IFERROR(__xludf.DUMMYFUNCTION("""COMPUTED_VALUE"""),"Walaiporn Sutyod")</f>
        <v>Walaiporn Sutyod</v>
      </c>
      <c r="AI143" s="3" t="str">
        <f>IFERROR(__xludf.DUMMYFUNCTION("""COMPUTED_VALUE"""),"Out of warranty")</f>
        <v>Out of warranty</v>
      </c>
      <c r="AJ143" s="3">
        <f>IFERROR(__xludf.DUMMYFUNCTION("""COMPUTED_VALUE"""),94.0)</f>
        <v>94</v>
      </c>
      <c r="AK143" s="3"/>
      <c r="AL143" s="3" t="str">
        <f>IFERROR(__xludf.DUMMYFUNCTION("""COMPUTED_VALUE"""),"sgm.sattahib@bigc.co.th")</f>
        <v>sgm.sattahib@bigc.co.th</v>
      </c>
    </row>
    <row r="144" ht="15.75" customHeight="1">
      <c r="A144" s="1" t="str">
        <f>IFERROR(__xludf.DUMMYFUNCTION("""COMPUTED_VALUE"""),"11245")</f>
        <v>11245</v>
      </c>
      <c r="B144" s="2">
        <f>IFERROR(__xludf.DUMMYFUNCTION("""COMPUTED_VALUE"""),11245.0)</f>
        <v>11245</v>
      </c>
      <c r="C144" s="3" t="str">
        <f>IFERROR(__xludf.DUMMYFUNCTION("""COMPUTED_VALUE"""),"ตลาดเพชรไพบูลย์")</f>
        <v>ตลาดเพชรไพบูลย์</v>
      </c>
      <c r="D144" s="3" t="str">
        <f>IFERROR(__xludf.DUMMYFUNCTION("""COMPUTED_VALUE"""),"BIGC TALAD PETCH PAIBOON")</f>
        <v>BIGC TALAD PETCH PAIBOON</v>
      </c>
      <c r="E144" s="1" t="str">
        <f>IFERROR(__xludf.DUMMYFUNCTION("""COMPUTED_VALUE"""),"บิ๊กซี HyperMarket")</f>
        <v>บิ๊กซี HyperMarket</v>
      </c>
      <c r="F144" s="1" t="str">
        <f>IFERROR(__xludf.DUMMYFUNCTION("""COMPUTED_VALUE"""),"2455179")</f>
        <v>2455179</v>
      </c>
      <c r="G144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144" s="1" t="str">
        <f>IFERROR(__xludf.DUMMYFUNCTION("""COMPUTED_VALUE"""),"2455179")</f>
        <v>2455179</v>
      </c>
      <c r="I144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144" s="3">
        <f>IFERROR(__xludf.DUMMYFUNCTION("""COMPUTED_VALUE"""),2455179.0)</f>
        <v>2455179</v>
      </c>
      <c r="K144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144" s="1" t="str">
        <f>IFERROR(__xludf.DUMMYFUNCTION("""COMPUTED_VALUE"""),"Hub06-C&amp;W")</f>
        <v>Hub06-C&amp;W</v>
      </c>
      <c r="M144" s="1" t="str">
        <f>IFERROR(__xludf.DUMMYFUNCTION("""COMPUTED_VALUE"""),"090-993-6896")</f>
        <v>090-993-6896</v>
      </c>
      <c r="N144" s="3">
        <f>IFERROR(__xludf.DUMMYFUNCTION("""COMPUTED_VALUE"""),11245.0)</f>
        <v>11245</v>
      </c>
      <c r="O144" s="3" t="str">
        <f>IFERROR(__xludf.DUMMYFUNCTION("""COMPUTED_VALUE"""),"ตลาดเพชรไพบูลย์")</f>
        <v>ตลาดเพชรไพบูลย์</v>
      </c>
      <c r="P144" s="4">
        <f>IFERROR(__xludf.DUMMYFUNCTION("""COMPUTED_VALUE"""),43221.0)</f>
        <v>43221</v>
      </c>
      <c r="Q144" s="3" t="str">
        <f>IFERROR(__xludf.DUMMYFUNCTION("""COMPUTED_VALUE"""),"A")</f>
        <v>A</v>
      </c>
      <c r="R144" s="3" t="str">
        <f>IFERROR(__xludf.DUMMYFUNCTION("""COMPUTED_VALUE"""),"Big Format")</f>
        <v>Big Format</v>
      </c>
      <c r="S144" s="3" t="str">
        <f>IFERROR(__xludf.DUMMYFUNCTION("""COMPUTED_VALUE"""),"Hyper")</f>
        <v>Hyper</v>
      </c>
      <c r="T144" s="3" t="str">
        <f>IFERROR(__xludf.DUMMYFUNCTION("""COMPUTED_VALUE"""),"Hub06-C&amp;W")</f>
        <v>Hub06-C&amp;W</v>
      </c>
      <c r="U144" s="3" t="str">
        <f>IFERROR(__xludf.DUMMYFUNCTION("""COMPUTED_VALUE"""),"Hub06-C&amp;W")</f>
        <v>Hub06-C&amp;W</v>
      </c>
      <c r="V144" s="3" t="str">
        <f>IFERROR(__xludf.DUMMYFUNCTION("""COMPUTED_VALUE"""),"N")</f>
        <v>N</v>
      </c>
      <c r="W144" s="3">
        <f>IFERROR(__xludf.DUMMYFUNCTION("""COMPUTED_VALUE"""),111261.0)</f>
        <v>111261</v>
      </c>
      <c r="X144" s="3" t="str">
        <f>IFERROR(__xludf.DUMMYFUNCTION("""COMPUTED_VALUE"""),"105 หมู่6 ตำบลบ้านหม้อ อำเภอเมืองเพชรบุรี จังหวัดเพชรบุรี 76000")</f>
        <v>105 หมู่6 ตำบลบ้านหม้อ อำเภอเมืองเพชรบุรี จังหวัดเพชรบุรี 76000</v>
      </c>
      <c r="Y144" s="3"/>
      <c r="Z144" s="3" t="str">
        <f>IFERROR(__xludf.DUMMYFUNCTION("""COMPUTED_VALUE"""),"บ้านหม้อ")</f>
        <v>บ้านหม้อ</v>
      </c>
      <c r="AA144" s="3" t="str">
        <f>IFERROR(__xludf.DUMMYFUNCTION("""COMPUTED_VALUE"""),"เมือง")</f>
        <v>เมือง</v>
      </c>
      <c r="AB144" s="3" t="str">
        <f>IFERROR(__xludf.DUMMYFUNCTION("""COMPUTED_VALUE"""),"เพชรบุรี")</f>
        <v>เพชรบุรี</v>
      </c>
      <c r="AC144" s="3">
        <f>IFERROR(__xludf.DUMMYFUNCTION("""COMPUTED_VALUE"""),76000.0)</f>
        <v>76000</v>
      </c>
      <c r="AD144" s="3">
        <f>IFERROR(__xludf.DUMMYFUNCTION("""COMPUTED_VALUE"""),13.0937558)</f>
        <v>13.0937558</v>
      </c>
      <c r="AE144" s="3">
        <f>IFERROR(__xludf.DUMMYFUNCTION("""COMPUTED_VALUE"""),99.9229912)</f>
        <v>99.9229912</v>
      </c>
      <c r="AF144" s="3" t="str">
        <f>IFERROR(__xludf.DUMMYFUNCTION("""COMPUTED_VALUE"""),"ตลาดเพชรไพบูลย์-11245")</f>
        <v>ตลาดเพชรไพบูลย์-11245</v>
      </c>
      <c r="AG144" s="3" t="str">
        <f>IFERROR(__xludf.DUMMYFUNCTION("""COMPUTED_VALUE"""),"ตะวันตก")</f>
        <v>ตะวันตก</v>
      </c>
      <c r="AH144" s="3" t="str">
        <f>IFERROR(__xludf.DUMMYFUNCTION("""COMPUTED_VALUE"""),"#N/A")</f>
        <v>#N/A</v>
      </c>
      <c r="AI144" s="3" t="str">
        <f>IFERROR(__xludf.DUMMYFUNCTION("""COMPUTED_VALUE"""),"Out of warranty")</f>
        <v>Out of warranty</v>
      </c>
      <c r="AJ144" s="3">
        <f>IFERROR(__xludf.DUMMYFUNCTION("""COMPUTED_VALUE"""),93.0)</f>
        <v>93</v>
      </c>
      <c r="AK144" s="3"/>
      <c r="AL144" s="3"/>
    </row>
    <row r="145" ht="15.75" customHeight="1">
      <c r="A145" s="1" t="str">
        <f>IFERROR(__xludf.DUMMYFUNCTION("""COMPUTED_VALUE"""),"11246")</f>
        <v>11246</v>
      </c>
      <c r="B145" s="2">
        <f>IFERROR(__xludf.DUMMYFUNCTION("""COMPUTED_VALUE"""),11246.0)</f>
        <v>11246</v>
      </c>
      <c r="C145" s="3" t="str">
        <f>IFERROR(__xludf.DUMMYFUNCTION("""COMPUTED_VALUE"""),"หนองบัว")</f>
        <v>หนองบัว</v>
      </c>
      <c r="D145" s="3" t="str">
        <f>IFERROR(__xludf.DUMMYFUNCTION("""COMPUTED_VALUE"""),"BIGC NONGBUA")</f>
        <v>BIGC NONGBUA</v>
      </c>
      <c r="E145" s="1" t="str">
        <f>IFERROR(__xludf.DUMMYFUNCTION("""COMPUTED_VALUE"""),"บิ๊กซี HyperMarket")</f>
        <v>บิ๊กซี HyperMarket</v>
      </c>
      <c r="F145" s="1" t="str">
        <f>IFERROR(__xludf.DUMMYFUNCTION("""COMPUTED_VALUE"""),"2455179")</f>
        <v>2455179</v>
      </c>
      <c r="G145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145" s="1" t="str">
        <f>IFERROR(__xludf.DUMMYFUNCTION("""COMPUTED_VALUE"""),"2455179")</f>
        <v>2455179</v>
      </c>
      <c r="I145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145" s="3">
        <f>IFERROR(__xludf.DUMMYFUNCTION("""COMPUTED_VALUE"""),2455179.0)</f>
        <v>2455179</v>
      </c>
      <c r="K145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145" s="1" t="str">
        <f>IFERROR(__xludf.DUMMYFUNCTION("""COMPUTED_VALUE"""),"Hub06-C&amp;W")</f>
        <v>Hub06-C&amp;W</v>
      </c>
      <c r="M145" s="1" t="str">
        <f>IFERROR(__xludf.DUMMYFUNCTION("""COMPUTED_VALUE"""),"090-993-6896")</f>
        <v>090-993-6896</v>
      </c>
      <c r="N145" s="3">
        <f>IFERROR(__xludf.DUMMYFUNCTION("""COMPUTED_VALUE"""),11246.0)</f>
        <v>11246</v>
      </c>
      <c r="O145" s="3" t="str">
        <f>IFERROR(__xludf.DUMMYFUNCTION("""COMPUTED_VALUE"""),"หนองบัว")</f>
        <v>หนองบัว</v>
      </c>
      <c r="P145" s="4">
        <f>IFERROR(__xludf.DUMMYFUNCTION("""COMPUTED_VALUE"""),43295.0)</f>
        <v>43295</v>
      </c>
      <c r="Q145" s="3" t="str">
        <f>IFERROR(__xludf.DUMMYFUNCTION("""COMPUTED_VALUE"""),"A")</f>
        <v>A</v>
      </c>
      <c r="R145" s="3" t="str">
        <f>IFERROR(__xludf.DUMMYFUNCTION("""COMPUTED_VALUE"""),"Big Format")</f>
        <v>Big Format</v>
      </c>
      <c r="S145" s="3" t="str">
        <f>IFERROR(__xludf.DUMMYFUNCTION("""COMPUTED_VALUE"""),"Hyper")</f>
        <v>Hyper</v>
      </c>
      <c r="T145" s="3" t="str">
        <f>IFERROR(__xludf.DUMMYFUNCTION("""COMPUTED_VALUE"""),"Hub06-C&amp;W")</f>
        <v>Hub06-C&amp;W</v>
      </c>
      <c r="U145" s="3" t="str">
        <f>IFERROR(__xludf.DUMMYFUNCTION("""COMPUTED_VALUE"""),"Hub06-C&amp;W")</f>
        <v>Hub06-C&amp;W</v>
      </c>
      <c r="V145" s="3" t="str">
        <f>IFERROR(__xludf.DUMMYFUNCTION("""COMPUTED_VALUE"""),"N")</f>
        <v>N</v>
      </c>
      <c r="W145" s="3">
        <f>IFERROR(__xludf.DUMMYFUNCTION("""COMPUTED_VALUE"""),111254.0)</f>
        <v>111254</v>
      </c>
      <c r="X145" s="3" t="str">
        <f>IFERROR(__xludf.DUMMYFUNCTION("""COMPUTED_VALUE"""),"554 หมู่3 ตำบลหนองกลับ อำเภอหนองบัว จังหวัดนครสวรรค์ 60110")</f>
        <v>554 หมู่3 ตำบลหนองกลับ อำเภอหนองบัว จังหวัดนครสวรรค์ 60110</v>
      </c>
      <c r="Y145" s="3"/>
      <c r="Z145" s="3" t="str">
        <f>IFERROR(__xludf.DUMMYFUNCTION("""COMPUTED_VALUE"""),"หนองกลับ")</f>
        <v>หนองกลับ</v>
      </c>
      <c r="AA145" s="3" t="str">
        <f>IFERROR(__xludf.DUMMYFUNCTION("""COMPUTED_VALUE"""),"หนองบัว")</f>
        <v>หนองบัว</v>
      </c>
      <c r="AB145" s="3" t="str">
        <f>IFERROR(__xludf.DUMMYFUNCTION("""COMPUTED_VALUE"""),"นครสวรรค์")</f>
        <v>นครสวรรค์</v>
      </c>
      <c r="AC145" s="3">
        <f>IFERROR(__xludf.DUMMYFUNCTION("""COMPUTED_VALUE"""),60110.0)</f>
        <v>60110</v>
      </c>
      <c r="AD145" s="3">
        <f>IFERROR(__xludf.DUMMYFUNCTION("""COMPUTED_VALUE"""),15.86626759)</f>
        <v>15.86626759</v>
      </c>
      <c r="AE145" s="3">
        <f>IFERROR(__xludf.DUMMYFUNCTION("""COMPUTED_VALUE"""),100.6074738)</f>
        <v>100.6074738</v>
      </c>
      <c r="AF145" s="3" t="str">
        <f>IFERROR(__xludf.DUMMYFUNCTION("""COMPUTED_VALUE"""),"หนองบัว-11246")</f>
        <v>หนองบัว-11246</v>
      </c>
      <c r="AG145" s="3" t="str">
        <f>IFERROR(__xludf.DUMMYFUNCTION("""COMPUTED_VALUE"""),"กลาง")</f>
        <v>กลาง</v>
      </c>
      <c r="AH145" s="3" t="str">
        <f>IFERROR(__xludf.DUMMYFUNCTION("""COMPUTED_VALUE"""),"Wichian Nasungnoen")</f>
        <v>Wichian Nasungnoen</v>
      </c>
      <c r="AI145" s="3" t="str">
        <f>IFERROR(__xludf.DUMMYFUNCTION("""COMPUTED_VALUE"""),"Out of warranty")</f>
        <v>Out of warranty</v>
      </c>
      <c r="AJ145" s="3">
        <f>IFERROR(__xludf.DUMMYFUNCTION("""COMPUTED_VALUE"""),91.0)</f>
        <v>91</v>
      </c>
      <c r="AK145" s="3"/>
      <c r="AL145" s="3" t="str">
        <f>IFERROR(__xludf.DUMMYFUNCTION("""COMPUTED_VALUE"""),"sgm.nongbua@bigc.co.th")</f>
        <v>sgm.nongbua@bigc.co.th</v>
      </c>
    </row>
    <row r="146" ht="15.75" customHeight="1">
      <c r="A146" s="1" t="str">
        <f>IFERROR(__xludf.DUMMYFUNCTION("""COMPUTED_VALUE"""),"11247")</f>
        <v>11247</v>
      </c>
      <c r="B146" s="2">
        <f>IFERROR(__xludf.DUMMYFUNCTION("""COMPUTED_VALUE"""),11247.0)</f>
        <v>11247</v>
      </c>
      <c r="C146" s="3" t="str">
        <f>IFERROR(__xludf.DUMMYFUNCTION("""COMPUTED_VALUE"""),"หนองกี่")</f>
        <v>หนองกี่</v>
      </c>
      <c r="D146" s="3" t="str">
        <f>IFERROR(__xludf.DUMMYFUNCTION("""COMPUTED_VALUE"""),"BIGC NONGKI")</f>
        <v>BIGC NONGKI</v>
      </c>
      <c r="E146" s="1" t="str">
        <f>IFERROR(__xludf.DUMMYFUNCTION("""COMPUTED_VALUE"""),"บิ๊กซี HyperMarket")</f>
        <v>บิ๊กซี HyperMarket</v>
      </c>
      <c r="F146" s="1" t="str">
        <f>IFERROR(__xludf.DUMMYFUNCTION("""COMPUTED_VALUE"""),"033317")</f>
        <v>033317</v>
      </c>
      <c r="G146" s="1" t="str">
        <f>IFERROR(__xludf.DUMMYFUNCTION("""COMPUTED_VALUE"""),"นายอาณัติ เพชรภาน")</f>
        <v>นายอาณัติ เพชรภาน</v>
      </c>
      <c r="H146" s="1" t="str">
        <f>IFERROR(__xludf.DUMMYFUNCTION("""COMPUTED_VALUE"""),"033317")</f>
        <v>033317</v>
      </c>
      <c r="I146" s="1" t="str">
        <f>IFERROR(__xludf.DUMMYFUNCTION("""COMPUTED_VALUE"""),"นายอาณัติ เพชรภาน")</f>
        <v>นายอาณัติ เพชรภาน</v>
      </c>
      <c r="J146" s="3">
        <f>IFERROR(__xludf.DUMMYFUNCTION("""COMPUTED_VALUE"""),33317.0)</f>
        <v>33317</v>
      </c>
      <c r="K146" s="3" t="str">
        <f>IFERROR(__xludf.DUMMYFUNCTION("""COMPUTED_VALUE"""),"นายอาณัติ เพชรภาน")</f>
        <v>นายอาณัติ เพชรภาน</v>
      </c>
      <c r="L146" s="1" t="str">
        <f>IFERROR(__xludf.DUMMYFUNCTION("""COMPUTED_VALUE"""),"Hub10-NE 2")</f>
        <v>Hub10-NE 2</v>
      </c>
      <c r="M146" s="1" t="str">
        <f>IFERROR(__xludf.DUMMYFUNCTION("""COMPUTED_VALUE"""),"0644791409")</f>
        <v>0644791409</v>
      </c>
      <c r="N146" s="3">
        <f>IFERROR(__xludf.DUMMYFUNCTION("""COMPUTED_VALUE"""),11247.0)</f>
        <v>11247</v>
      </c>
      <c r="O146" s="3" t="str">
        <f>IFERROR(__xludf.DUMMYFUNCTION("""COMPUTED_VALUE"""),"หนองกี่")</f>
        <v>หนองกี่</v>
      </c>
      <c r="P146" s="4">
        <f>IFERROR(__xludf.DUMMYFUNCTION("""COMPUTED_VALUE"""),43343.0)</f>
        <v>43343</v>
      </c>
      <c r="Q146" s="3" t="str">
        <f>IFERROR(__xludf.DUMMYFUNCTION("""COMPUTED_VALUE"""),"A")</f>
        <v>A</v>
      </c>
      <c r="R146" s="3" t="str">
        <f>IFERROR(__xludf.DUMMYFUNCTION("""COMPUTED_VALUE"""),"Big Format")</f>
        <v>Big Format</v>
      </c>
      <c r="S146" s="3" t="str">
        <f>IFERROR(__xludf.DUMMYFUNCTION("""COMPUTED_VALUE"""),"Hyper")</f>
        <v>Hyper</v>
      </c>
      <c r="T146" s="3" t="str">
        <f>IFERROR(__xludf.DUMMYFUNCTION("""COMPUTED_VALUE"""),"Hub10-NE 2")</f>
        <v>Hub10-NE 2</v>
      </c>
      <c r="U146" s="3" t="str">
        <f>IFERROR(__xludf.DUMMYFUNCTION("""COMPUTED_VALUE"""),"Hub10-NE 2")</f>
        <v>Hub10-NE 2</v>
      </c>
      <c r="V146" s="3" t="str">
        <f>IFERROR(__xludf.DUMMYFUNCTION("""COMPUTED_VALUE"""),"N")</f>
        <v>N</v>
      </c>
      <c r="W146" s="3">
        <f>IFERROR(__xludf.DUMMYFUNCTION("""COMPUTED_VALUE"""),111259.0)</f>
        <v>111259</v>
      </c>
      <c r="X146" s="3" t="str">
        <f>IFERROR(__xludf.DUMMYFUNCTION("""COMPUTED_VALUE"""),"199 หมู่2 ตำบลหนองกี่ อำเภอหนองกี่ จังหวัดบุรีรัมย์ 31210")</f>
        <v>199 หมู่2 ตำบลหนองกี่ อำเภอหนองกี่ จังหวัดบุรีรัมย์ 31210</v>
      </c>
      <c r="Y146" s="3"/>
      <c r="Z146" s="3" t="str">
        <f>IFERROR(__xludf.DUMMYFUNCTION("""COMPUTED_VALUE"""),"หนองกี่")</f>
        <v>หนองกี่</v>
      </c>
      <c r="AA146" s="3" t="str">
        <f>IFERROR(__xludf.DUMMYFUNCTION("""COMPUTED_VALUE"""),"หนองกี่")</f>
        <v>หนองกี่</v>
      </c>
      <c r="AB146" s="3" t="str">
        <f>IFERROR(__xludf.DUMMYFUNCTION("""COMPUTED_VALUE"""),"บุรีรัมย์")</f>
        <v>บุรีรัมย์</v>
      </c>
      <c r="AC146" s="3">
        <f>IFERROR(__xludf.DUMMYFUNCTION("""COMPUTED_VALUE"""),31210.0)</f>
        <v>31210</v>
      </c>
      <c r="AD146" s="3">
        <f>IFERROR(__xludf.DUMMYFUNCTION("""COMPUTED_VALUE"""),14.68056)</f>
        <v>14.68056</v>
      </c>
      <c r="AE146" s="3">
        <f>IFERROR(__xludf.DUMMYFUNCTION("""COMPUTED_VALUE"""),102.55034)</f>
        <v>102.55034</v>
      </c>
      <c r="AF146" s="3" t="str">
        <f>IFERROR(__xludf.DUMMYFUNCTION("""COMPUTED_VALUE"""),"หนองกี่-11247")</f>
        <v>หนองกี่-11247</v>
      </c>
      <c r="AG146" s="3" t="str">
        <f>IFERROR(__xludf.DUMMYFUNCTION("""COMPUTED_VALUE"""),"ตะวันออกเฉียงเหนือ")</f>
        <v>ตะวันออกเฉียงเหนือ</v>
      </c>
      <c r="AH146" s="3" t="str">
        <f>IFERROR(__xludf.DUMMYFUNCTION("""COMPUTED_VALUE"""),"Pajaob Wongpakdee")</f>
        <v>Pajaob Wongpakdee</v>
      </c>
      <c r="AI146" s="3" t="str">
        <f>IFERROR(__xludf.DUMMYFUNCTION("""COMPUTED_VALUE"""),"Out of warranty")</f>
        <v>Out of warranty</v>
      </c>
      <c r="AJ146" s="3">
        <f>IFERROR(__xludf.DUMMYFUNCTION("""COMPUTED_VALUE"""),89.0)</f>
        <v>89</v>
      </c>
      <c r="AK146" s="3"/>
      <c r="AL146" s="3" t="str">
        <f>IFERROR(__xludf.DUMMYFUNCTION("""COMPUTED_VALUE"""),"sgm.nongkhai@bigc.co.th")</f>
        <v>sgm.nongkhai@bigc.co.th</v>
      </c>
    </row>
    <row r="147" ht="15.75" customHeight="1">
      <c r="A147" s="1" t="str">
        <f>IFERROR(__xludf.DUMMYFUNCTION("""COMPUTED_VALUE"""),"11248")</f>
        <v>11248</v>
      </c>
      <c r="B147" s="2">
        <f>IFERROR(__xludf.DUMMYFUNCTION("""COMPUTED_VALUE"""),11248.0)</f>
        <v>11248</v>
      </c>
      <c r="C147" s="3" t="str">
        <f>IFERROR(__xludf.DUMMYFUNCTION("""COMPUTED_VALUE"""),"ลาดยาว")</f>
        <v>ลาดยาว</v>
      </c>
      <c r="D147" s="3" t="str">
        <f>IFERROR(__xludf.DUMMYFUNCTION("""COMPUTED_VALUE"""),"BIGC LADYAO")</f>
        <v>BIGC LADYAO</v>
      </c>
      <c r="E147" s="1" t="str">
        <f>IFERROR(__xludf.DUMMYFUNCTION("""COMPUTED_VALUE"""),"บิ๊กซี HyperMarket")</f>
        <v>บิ๊กซี HyperMarket</v>
      </c>
      <c r="F147" s="1" t="str">
        <f>IFERROR(__xludf.DUMMYFUNCTION("""COMPUTED_VALUE"""),"2455179")</f>
        <v>2455179</v>
      </c>
      <c r="G147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147" s="1" t="str">
        <f>IFERROR(__xludf.DUMMYFUNCTION("""COMPUTED_VALUE"""),"2455179")</f>
        <v>2455179</v>
      </c>
      <c r="I147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147" s="3">
        <f>IFERROR(__xludf.DUMMYFUNCTION("""COMPUTED_VALUE"""),2455179.0)</f>
        <v>2455179</v>
      </c>
      <c r="K147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147" s="1" t="str">
        <f>IFERROR(__xludf.DUMMYFUNCTION("""COMPUTED_VALUE"""),"Hub06-C&amp;W")</f>
        <v>Hub06-C&amp;W</v>
      </c>
      <c r="M147" s="1" t="str">
        <f>IFERROR(__xludf.DUMMYFUNCTION("""COMPUTED_VALUE"""),"090-993-6896")</f>
        <v>090-993-6896</v>
      </c>
      <c r="N147" s="3">
        <f>IFERROR(__xludf.DUMMYFUNCTION("""COMPUTED_VALUE"""),11248.0)</f>
        <v>11248</v>
      </c>
      <c r="O147" s="3" t="str">
        <f>IFERROR(__xludf.DUMMYFUNCTION("""COMPUTED_VALUE"""),"ลาดยาว")</f>
        <v>ลาดยาว</v>
      </c>
      <c r="P147" s="4">
        <f>IFERROR(__xludf.DUMMYFUNCTION("""COMPUTED_VALUE"""),43385.0)</f>
        <v>43385</v>
      </c>
      <c r="Q147" s="3" t="str">
        <f>IFERROR(__xludf.DUMMYFUNCTION("""COMPUTED_VALUE"""),"A")</f>
        <v>A</v>
      </c>
      <c r="R147" s="3" t="str">
        <f>IFERROR(__xludf.DUMMYFUNCTION("""COMPUTED_VALUE"""),"Big Format")</f>
        <v>Big Format</v>
      </c>
      <c r="S147" s="3" t="str">
        <f>IFERROR(__xludf.DUMMYFUNCTION("""COMPUTED_VALUE"""),"Hyper")</f>
        <v>Hyper</v>
      </c>
      <c r="T147" s="3" t="str">
        <f>IFERROR(__xludf.DUMMYFUNCTION("""COMPUTED_VALUE"""),"Hub06-C&amp;W")</f>
        <v>Hub06-C&amp;W</v>
      </c>
      <c r="U147" s="3" t="str">
        <f>IFERROR(__xludf.DUMMYFUNCTION("""COMPUTED_VALUE"""),"Hub06-C&amp;W")</f>
        <v>Hub06-C&amp;W</v>
      </c>
      <c r="V147" s="3" t="str">
        <f>IFERROR(__xludf.DUMMYFUNCTION("""COMPUTED_VALUE"""),"N")</f>
        <v>N</v>
      </c>
      <c r="W147" s="3">
        <f>IFERROR(__xludf.DUMMYFUNCTION("""COMPUTED_VALUE"""),111260.0)</f>
        <v>111260</v>
      </c>
      <c r="X147" s="3" t="str">
        <f>IFERROR(__xludf.DUMMYFUNCTION("""COMPUTED_VALUE"""),"99/19 หมู่6 ตำบลลาดยาว อำเภอลาดยาว จังหวัดนครสวรรค์ 60150")</f>
        <v>99/19 หมู่6 ตำบลลาดยาว อำเภอลาดยาว จังหวัดนครสวรรค์ 60150</v>
      </c>
      <c r="Y147" s="3"/>
      <c r="Z147" s="3" t="str">
        <f>IFERROR(__xludf.DUMMYFUNCTION("""COMPUTED_VALUE"""),"ลาดยาว")</f>
        <v>ลาดยาว</v>
      </c>
      <c r="AA147" s="3" t="str">
        <f>IFERROR(__xludf.DUMMYFUNCTION("""COMPUTED_VALUE"""),"ลาดยาว")</f>
        <v>ลาดยาว</v>
      </c>
      <c r="AB147" s="3" t="str">
        <f>IFERROR(__xludf.DUMMYFUNCTION("""COMPUTED_VALUE"""),"นครสวรรค์")</f>
        <v>นครสวรรค์</v>
      </c>
      <c r="AC147" s="3">
        <f>IFERROR(__xludf.DUMMYFUNCTION("""COMPUTED_VALUE"""),60150.0)</f>
        <v>60150</v>
      </c>
      <c r="AD147" s="3">
        <f>IFERROR(__xludf.DUMMYFUNCTION("""COMPUTED_VALUE"""),15.7555992)</f>
        <v>15.7555992</v>
      </c>
      <c r="AE147" s="3">
        <f>IFERROR(__xludf.DUMMYFUNCTION("""COMPUTED_VALUE"""),99.8078727)</f>
        <v>99.8078727</v>
      </c>
      <c r="AF147" s="3" t="str">
        <f>IFERROR(__xludf.DUMMYFUNCTION("""COMPUTED_VALUE"""),"ลาดยาว-11248")</f>
        <v>ลาดยาว-11248</v>
      </c>
      <c r="AG147" s="3" t="str">
        <f>IFERROR(__xludf.DUMMYFUNCTION("""COMPUTED_VALUE"""),"กลาง")</f>
        <v>กลาง</v>
      </c>
      <c r="AH147" s="3" t="str">
        <f>IFERROR(__xludf.DUMMYFUNCTION("""COMPUTED_VALUE"""),"Wichian Nasungnoen")</f>
        <v>Wichian Nasungnoen</v>
      </c>
      <c r="AI147" s="3" t="str">
        <f>IFERROR(__xludf.DUMMYFUNCTION("""COMPUTED_VALUE"""),"Out of warranty")</f>
        <v>Out of warranty</v>
      </c>
      <c r="AJ147" s="3">
        <f>IFERROR(__xludf.DUMMYFUNCTION("""COMPUTED_VALUE"""),88.0)</f>
        <v>88</v>
      </c>
      <c r="AK147" s="3"/>
      <c r="AL147" s="3" t="str">
        <f>IFERROR(__xludf.DUMMYFUNCTION("""COMPUTED_VALUE"""),"sgm.ladyao@bigc.co.th")</f>
        <v>sgm.ladyao@bigc.co.th</v>
      </c>
    </row>
    <row r="148" ht="15.75" customHeight="1">
      <c r="A148" s="1" t="str">
        <f>IFERROR(__xludf.DUMMYFUNCTION("""COMPUTED_VALUE"""),"11249")</f>
        <v>11249</v>
      </c>
      <c r="B148" s="2">
        <f>IFERROR(__xludf.DUMMYFUNCTION("""COMPUTED_VALUE"""),11249.0)</f>
        <v>11249</v>
      </c>
      <c r="C148" s="3" t="str">
        <f>IFERROR(__xludf.DUMMYFUNCTION("""COMPUTED_VALUE"""),"นครศรีธรรมาราช2")</f>
        <v>นครศรีธรรมาราช2</v>
      </c>
      <c r="D148" s="3" t="str">
        <f>IFERROR(__xludf.DUMMYFUNCTION("""COMPUTED_VALUE"""),"BIGC NAKORNSRITHAMMARAT 2")</f>
        <v>BIGC NAKORNSRITHAMMARAT 2</v>
      </c>
      <c r="E148" s="1" t="str">
        <f>IFERROR(__xludf.DUMMYFUNCTION("""COMPUTED_VALUE"""),"บิ๊กซี HyperMarket")</f>
        <v>บิ๊กซี HyperMarket</v>
      </c>
      <c r="F148" s="1" t="str">
        <f>IFERROR(__xludf.DUMMYFUNCTION("""COMPUTED_VALUE"""),"2454709")</f>
        <v>2454709</v>
      </c>
      <c r="G148" s="1" t="str">
        <f>IFERROR(__xludf.DUMMYFUNCTION("""COMPUTED_VALUE"""),"นายประชา เกตุชาติ")</f>
        <v>นายประชา เกตุชาติ</v>
      </c>
      <c r="H148" s="1" t="str">
        <f>IFERROR(__xludf.DUMMYFUNCTION("""COMPUTED_VALUE"""),"2454709")</f>
        <v>2454709</v>
      </c>
      <c r="I148" s="1" t="str">
        <f>IFERROR(__xludf.DUMMYFUNCTION("""COMPUTED_VALUE"""),"นายประชา เกตุชาติ")</f>
        <v>นายประชา เกตุชาติ</v>
      </c>
      <c r="J148" s="3">
        <f>IFERROR(__xludf.DUMMYFUNCTION("""COMPUTED_VALUE"""),2454709.0)</f>
        <v>2454709</v>
      </c>
      <c r="K148" s="3" t="str">
        <f>IFERROR(__xludf.DUMMYFUNCTION("""COMPUTED_VALUE"""),"นายประชา เกตุชาติ")</f>
        <v>นายประชา เกตุชาติ</v>
      </c>
      <c r="L148" s="1" t="str">
        <f>IFERROR(__xludf.DUMMYFUNCTION("""COMPUTED_VALUE"""),"Hub05-South")</f>
        <v>Hub05-South</v>
      </c>
      <c r="M148" s="1" t="str">
        <f>IFERROR(__xludf.DUMMYFUNCTION("""COMPUTED_VALUE"""),"0659291311")</f>
        <v>0659291311</v>
      </c>
      <c r="N148" s="3">
        <f>IFERROR(__xludf.DUMMYFUNCTION("""COMPUTED_VALUE"""),11249.0)</f>
        <v>11249</v>
      </c>
      <c r="O148" s="3" t="str">
        <f>IFERROR(__xludf.DUMMYFUNCTION("""COMPUTED_VALUE"""),"นครศรีธรรมาราช2")</f>
        <v>นครศรีธรรมาราช2</v>
      </c>
      <c r="P148" s="4">
        <f>IFERROR(__xludf.DUMMYFUNCTION("""COMPUTED_VALUE"""),43430.0)</f>
        <v>43430</v>
      </c>
      <c r="Q148" s="3" t="str">
        <f>IFERROR(__xludf.DUMMYFUNCTION("""COMPUTED_VALUE"""),"A")</f>
        <v>A</v>
      </c>
      <c r="R148" s="3" t="str">
        <f>IFERROR(__xludf.DUMMYFUNCTION("""COMPUTED_VALUE"""),"Big Format")</f>
        <v>Big Format</v>
      </c>
      <c r="S148" s="3" t="str">
        <f>IFERROR(__xludf.DUMMYFUNCTION("""COMPUTED_VALUE"""),"Hyper")</f>
        <v>Hyper</v>
      </c>
      <c r="T148" s="3" t="str">
        <f>IFERROR(__xludf.DUMMYFUNCTION("""COMPUTED_VALUE"""),"Hub05-South")</f>
        <v>Hub05-South</v>
      </c>
      <c r="U148" s="3" t="str">
        <f>IFERROR(__xludf.DUMMYFUNCTION("""COMPUTED_VALUE"""),"Hub05-South")</f>
        <v>Hub05-South</v>
      </c>
      <c r="V148" s="3" t="str">
        <f>IFERROR(__xludf.DUMMYFUNCTION("""COMPUTED_VALUE"""),"N")</f>
        <v>N</v>
      </c>
      <c r="W148" s="3">
        <f>IFERROR(__xludf.DUMMYFUNCTION("""COMPUTED_VALUE"""),111257.0)</f>
        <v>111257</v>
      </c>
      <c r="X148" s="3" t="str">
        <f>IFERROR(__xludf.DUMMYFUNCTION("""COMPUTED_VALUE"""),"22 หมู่5 ตำบลปากพูน อำเภอเมืองนครศรีธรรมราช จังหวัดนครศรีธรรมราช 80000")</f>
        <v>22 หมู่5 ตำบลปากพูน อำเภอเมืองนครศรีธรรมราช จังหวัดนครศรีธรรมราช 80000</v>
      </c>
      <c r="Y148" s="3"/>
      <c r="Z148" s="3" t="str">
        <f>IFERROR(__xludf.DUMMYFUNCTION("""COMPUTED_VALUE"""),"ปากพูน")</f>
        <v>ปากพูน</v>
      </c>
      <c r="AA148" s="3" t="str">
        <f>IFERROR(__xludf.DUMMYFUNCTION("""COMPUTED_VALUE"""),"เมือง")</f>
        <v>เมือง</v>
      </c>
      <c r="AB148" s="3" t="str">
        <f>IFERROR(__xludf.DUMMYFUNCTION("""COMPUTED_VALUE"""),"นครศรีธรรมราช")</f>
        <v>นครศรีธรรมราช</v>
      </c>
      <c r="AC148" s="3">
        <f>IFERROR(__xludf.DUMMYFUNCTION("""COMPUTED_VALUE"""),80000.0)</f>
        <v>80000</v>
      </c>
      <c r="AD148" s="3">
        <f>IFERROR(__xludf.DUMMYFUNCTION("""COMPUTED_VALUE"""),8.4595979)</f>
        <v>8.4595979</v>
      </c>
      <c r="AE148" s="3">
        <f>IFERROR(__xludf.DUMMYFUNCTION("""COMPUTED_VALUE"""),99.961669)</f>
        <v>99.961669</v>
      </c>
      <c r="AF148" s="3" t="str">
        <f>IFERROR(__xludf.DUMMYFUNCTION("""COMPUTED_VALUE"""),"นครศรีธรรมาราช2-11249")</f>
        <v>นครศรีธรรมาราช2-11249</v>
      </c>
      <c r="AG148" s="3" t="str">
        <f>IFERROR(__xludf.DUMMYFUNCTION("""COMPUTED_VALUE"""),"ใต้")</f>
        <v>ใต้</v>
      </c>
      <c r="AH148" s="3" t="str">
        <f>IFERROR(__xludf.DUMMYFUNCTION("""COMPUTED_VALUE"""),"Suwadee Intachart")</f>
        <v>Suwadee Intachart</v>
      </c>
      <c r="AI148" s="3" t="str">
        <f>IFERROR(__xludf.DUMMYFUNCTION("""COMPUTED_VALUE"""),"Out of warranty")</f>
        <v>Out of warranty</v>
      </c>
      <c r="AJ148" s="3">
        <f>IFERROR(__xludf.DUMMYFUNCTION("""COMPUTED_VALUE"""),86.0)</f>
        <v>86</v>
      </c>
      <c r="AK148" s="3"/>
      <c r="AL148" s="3" t="str">
        <f>IFERROR(__xludf.DUMMYFUNCTION("""COMPUTED_VALUE"""),"sgm.nakornsrithammarat2@bigc.co.th")</f>
        <v>sgm.nakornsrithammarat2@bigc.co.th</v>
      </c>
    </row>
    <row r="149" ht="15.75" customHeight="1">
      <c r="A149" s="1" t="str">
        <f>IFERROR(__xludf.DUMMYFUNCTION("""COMPUTED_VALUE"""),"11250")</f>
        <v>11250</v>
      </c>
      <c r="B149" s="2">
        <f>IFERROR(__xludf.DUMMYFUNCTION("""COMPUTED_VALUE"""),11250.0)</f>
        <v>11250</v>
      </c>
      <c r="C149" s="3" t="str">
        <f>IFERROR(__xludf.DUMMYFUNCTION("""COMPUTED_VALUE"""),"เชียงราย2")</f>
        <v>เชียงราย2</v>
      </c>
      <c r="D149" s="3" t="str">
        <f>IFERROR(__xludf.DUMMYFUNCTION("""COMPUTED_VALUE"""),"BIGC CHIANGRAI2")</f>
        <v>BIGC CHIANGRAI2</v>
      </c>
      <c r="E149" s="1" t="str">
        <f>IFERROR(__xludf.DUMMYFUNCTION("""COMPUTED_VALUE"""),"บิ๊กซี HyperMarket")</f>
        <v>บิ๊กซี HyperMarket</v>
      </c>
      <c r="F149" s="1" t="str">
        <f>IFERROR(__xludf.DUMMYFUNCTION("""COMPUTED_VALUE"""),"000348")</f>
        <v>000348</v>
      </c>
      <c r="G149" s="1" t="str">
        <f>IFERROR(__xludf.DUMMYFUNCTION("""COMPUTED_VALUE"""),"นายธีรนันท์ ไม้สนธิ์")</f>
        <v>นายธีรนันท์ ไม้สนธิ์</v>
      </c>
      <c r="H149" s="1" t="str">
        <f>IFERROR(__xludf.DUMMYFUNCTION("""COMPUTED_VALUE"""),"000348")</f>
        <v>000348</v>
      </c>
      <c r="I149" s="1" t="str">
        <f>IFERROR(__xludf.DUMMYFUNCTION("""COMPUTED_VALUE"""),"นายธีรนันท์ ไม้สนธิ์")</f>
        <v>นายธีรนันท์ ไม้สนธิ์</v>
      </c>
      <c r="J149" s="3">
        <f>IFERROR(__xludf.DUMMYFUNCTION("""COMPUTED_VALUE"""),348.0)</f>
        <v>348</v>
      </c>
      <c r="K149" s="3" t="str">
        <f>IFERROR(__xludf.DUMMYFUNCTION("""COMPUTED_VALUE"""),"นายธีรนันท์ ไม้สนธิ์")</f>
        <v>นายธีรนันท์ ไม้สนธิ์</v>
      </c>
      <c r="L149" s="1" t="str">
        <f>IFERROR(__xludf.DUMMYFUNCTION("""COMPUTED_VALUE"""),"Hub07-North")</f>
        <v>Hub07-North</v>
      </c>
      <c r="M149" s="1" t="str">
        <f>IFERROR(__xludf.DUMMYFUNCTION("""COMPUTED_VALUE"""),"0614175866")</f>
        <v>0614175866</v>
      </c>
      <c r="N149" s="3">
        <f>IFERROR(__xludf.DUMMYFUNCTION("""COMPUTED_VALUE"""),11250.0)</f>
        <v>11250</v>
      </c>
      <c r="O149" s="3" t="str">
        <f>IFERROR(__xludf.DUMMYFUNCTION("""COMPUTED_VALUE"""),"เชียงราย2")</f>
        <v>เชียงราย2</v>
      </c>
      <c r="P149" s="4">
        <f>IFERROR(__xludf.DUMMYFUNCTION("""COMPUTED_VALUE"""),43448.0)</f>
        <v>43448</v>
      </c>
      <c r="Q149" s="3" t="str">
        <f>IFERROR(__xludf.DUMMYFUNCTION("""COMPUTED_VALUE"""),"A")</f>
        <v>A</v>
      </c>
      <c r="R149" s="3" t="str">
        <f>IFERROR(__xludf.DUMMYFUNCTION("""COMPUTED_VALUE"""),"Big Format")</f>
        <v>Big Format</v>
      </c>
      <c r="S149" s="3" t="str">
        <f>IFERROR(__xludf.DUMMYFUNCTION("""COMPUTED_VALUE"""),"Hyper")</f>
        <v>Hyper</v>
      </c>
      <c r="T149" s="3" t="str">
        <f>IFERROR(__xludf.DUMMYFUNCTION("""COMPUTED_VALUE"""),"Hub07-North")</f>
        <v>Hub07-North</v>
      </c>
      <c r="U149" s="3" t="str">
        <f>IFERROR(__xludf.DUMMYFUNCTION("""COMPUTED_VALUE"""),"Hub07-North")</f>
        <v>Hub07-North</v>
      </c>
      <c r="V149" s="3" t="str">
        <f>IFERROR(__xludf.DUMMYFUNCTION("""COMPUTED_VALUE"""),"N")</f>
        <v>N</v>
      </c>
      <c r="W149" s="3">
        <f>IFERROR(__xludf.DUMMYFUNCTION("""COMPUTED_VALUE"""),111258.0)</f>
        <v>111258</v>
      </c>
      <c r="X149" s="3" t="str">
        <f>IFERROR(__xludf.DUMMYFUNCTION("""COMPUTED_VALUE"""),"58 หมู่17 ตำบลบ้านดู่ อำเภอเมืองเชียงราย จังหวัดเชียงราย 57100")</f>
        <v>58 หมู่17 ตำบลบ้านดู่ อำเภอเมืองเชียงราย จังหวัดเชียงราย 57100</v>
      </c>
      <c r="Y149" s="3"/>
      <c r="Z149" s="3" t="str">
        <f>IFERROR(__xludf.DUMMYFUNCTION("""COMPUTED_VALUE"""),"บ้านดู่")</f>
        <v>บ้านดู่</v>
      </c>
      <c r="AA149" s="3" t="str">
        <f>IFERROR(__xludf.DUMMYFUNCTION("""COMPUTED_VALUE"""),"เมือง")</f>
        <v>เมือง</v>
      </c>
      <c r="AB149" s="3" t="str">
        <f>IFERROR(__xludf.DUMMYFUNCTION("""COMPUTED_VALUE"""),"เชียงราย")</f>
        <v>เชียงราย</v>
      </c>
      <c r="AC149" s="3">
        <f>IFERROR(__xludf.DUMMYFUNCTION("""COMPUTED_VALUE"""),57100.0)</f>
        <v>57100</v>
      </c>
      <c r="AD149" s="3">
        <f>IFERROR(__xludf.DUMMYFUNCTION("""COMPUTED_VALUE"""),19.9598309)</f>
        <v>19.9598309</v>
      </c>
      <c r="AE149" s="3">
        <f>IFERROR(__xludf.DUMMYFUNCTION("""COMPUTED_VALUE"""),99.8557227)</f>
        <v>99.8557227</v>
      </c>
      <c r="AF149" s="3" t="str">
        <f>IFERROR(__xludf.DUMMYFUNCTION("""COMPUTED_VALUE"""),"เชียงราย2-11250")</f>
        <v>เชียงราย2-11250</v>
      </c>
      <c r="AG149" s="3" t="str">
        <f>IFERROR(__xludf.DUMMYFUNCTION("""COMPUTED_VALUE"""),"เหนือ")</f>
        <v>เหนือ</v>
      </c>
      <c r="AH149" s="3" t="str">
        <f>IFERROR(__xludf.DUMMYFUNCTION("""COMPUTED_VALUE"""),"Wichai Soomboonsod")</f>
        <v>Wichai Soomboonsod</v>
      </c>
      <c r="AI149" s="3" t="str">
        <f>IFERROR(__xludf.DUMMYFUNCTION("""COMPUTED_VALUE"""),"Out of warranty")</f>
        <v>Out of warranty</v>
      </c>
      <c r="AJ149" s="3">
        <f>IFERROR(__xludf.DUMMYFUNCTION("""COMPUTED_VALUE"""),86.0)</f>
        <v>86</v>
      </c>
      <c r="AK149" s="3"/>
      <c r="AL149" s="3" t="str">
        <f>IFERROR(__xludf.DUMMYFUNCTION("""COMPUTED_VALUE"""),"sgm.chiangrai2@bigc.co.th")</f>
        <v>sgm.chiangrai2@bigc.co.th</v>
      </c>
    </row>
    <row r="150" ht="15.75" customHeight="1">
      <c r="A150" s="1" t="str">
        <f>IFERROR(__xludf.DUMMYFUNCTION("""COMPUTED_VALUE"""),"11251")</f>
        <v>11251</v>
      </c>
      <c r="B150" s="2">
        <f>IFERROR(__xludf.DUMMYFUNCTION("""COMPUTED_VALUE"""),11251.0)</f>
        <v>11251</v>
      </c>
      <c r="C150" s="3" t="str">
        <f>IFERROR(__xludf.DUMMYFUNCTION("""COMPUTED_VALUE"""),"ขอนแก่น2")</f>
        <v>ขอนแก่น2</v>
      </c>
      <c r="D150" s="3" t="str">
        <f>IFERROR(__xludf.DUMMYFUNCTION("""COMPUTED_VALUE"""),"BIGC KHONKAEN2")</f>
        <v>BIGC KHONKAEN2</v>
      </c>
      <c r="E150" s="1" t="str">
        <f>IFERROR(__xludf.DUMMYFUNCTION("""COMPUTED_VALUE"""),"บิ๊กซี HyperMarket")</f>
        <v>บิ๊กซี HyperMarket</v>
      </c>
      <c r="F150" s="1" t="str">
        <f>IFERROR(__xludf.DUMMYFUNCTION("""COMPUTED_VALUE"""),"295801")</f>
        <v>295801</v>
      </c>
      <c r="G150" s="1" t="str">
        <f>IFERROR(__xludf.DUMMYFUNCTION("""COMPUTED_VALUE"""),"นายอรรถพล เหล่าสุวงศ์")</f>
        <v>นายอรรถพล เหล่าสุวงศ์</v>
      </c>
      <c r="H150" s="1" t="str">
        <f>IFERROR(__xludf.DUMMYFUNCTION("""COMPUTED_VALUE"""),"295801")</f>
        <v>295801</v>
      </c>
      <c r="I150" s="1" t="str">
        <f>IFERROR(__xludf.DUMMYFUNCTION("""COMPUTED_VALUE"""),"นายอรรถพล เหล่าสุวงศ์")</f>
        <v>นายอรรถพล เหล่าสุวงศ์</v>
      </c>
      <c r="J150" s="3">
        <f>IFERROR(__xludf.DUMMYFUNCTION("""COMPUTED_VALUE"""),295801.0)</f>
        <v>295801</v>
      </c>
      <c r="K150" s="3" t="str">
        <f>IFERROR(__xludf.DUMMYFUNCTION("""COMPUTED_VALUE"""),"นายอรรถพล เหล่าสุวงศ์")</f>
        <v>นายอรรถพล เหล่าสุวงศ์</v>
      </c>
      <c r="L150" s="1" t="str">
        <f>IFERROR(__xludf.DUMMYFUNCTION("""COMPUTED_VALUE"""),"Hub09-NE 1")</f>
        <v>Hub09-NE 1</v>
      </c>
      <c r="M150" s="1" t="str">
        <f>IFERROR(__xludf.DUMMYFUNCTION("""COMPUTED_VALUE"""),"0655090879")</f>
        <v>0655090879</v>
      </c>
      <c r="N150" s="3">
        <f>IFERROR(__xludf.DUMMYFUNCTION("""COMPUTED_VALUE"""),11251.0)</f>
        <v>11251</v>
      </c>
      <c r="O150" s="3" t="str">
        <f>IFERROR(__xludf.DUMMYFUNCTION("""COMPUTED_VALUE"""),"ขอนแก่น2")</f>
        <v>ขอนแก่น2</v>
      </c>
      <c r="P150" s="4">
        <f>IFERROR(__xludf.DUMMYFUNCTION("""COMPUTED_VALUE"""),43721.0)</f>
        <v>43721</v>
      </c>
      <c r="Q150" s="3" t="str">
        <f>IFERROR(__xludf.DUMMYFUNCTION("""COMPUTED_VALUE"""),"A")</f>
        <v>A</v>
      </c>
      <c r="R150" s="3" t="str">
        <f>IFERROR(__xludf.DUMMYFUNCTION("""COMPUTED_VALUE"""),"Big Format")</f>
        <v>Big Format</v>
      </c>
      <c r="S150" s="3" t="str">
        <f>IFERROR(__xludf.DUMMYFUNCTION("""COMPUTED_VALUE"""),"Hyper")</f>
        <v>Hyper</v>
      </c>
      <c r="T150" s="3" t="str">
        <f>IFERROR(__xludf.DUMMYFUNCTION("""COMPUTED_VALUE"""),"Hub09-NE 1")</f>
        <v>Hub09-NE 1</v>
      </c>
      <c r="U150" s="3" t="str">
        <f>IFERROR(__xludf.DUMMYFUNCTION("""COMPUTED_VALUE"""),"Hub09-NE 1")</f>
        <v>Hub09-NE 1</v>
      </c>
      <c r="V150" s="3" t="str">
        <f>IFERROR(__xludf.DUMMYFUNCTION("""COMPUTED_VALUE"""),"N")</f>
        <v>N</v>
      </c>
      <c r="W150" s="3">
        <f>IFERROR(__xludf.DUMMYFUNCTION("""COMPUTED_VALUE"""),111262.0)</f>
        <v>111262</v>
      </c>
      <c r="X150" s="3" t="str">
        <f>IFERROR(__xludf.DUMMYFUNCTION("""COMPUTED_VALUE"""),"177 หมู่9 ตำบลเมืองเก่า อำเภอเมืองขอนแก่น จังหวัดขอนแก่น 40000")</f>
        <v>177 หมู่9 ตำบลเมืองเก่า อำเภอเมืองขอนแก่น จังหวัดขอนแก่น 40000</v>
      </c>
      <c r="Y150" s="3"/>
      <c r="Z150" s="3" t="str">
        <f>IFERROR(__xludf.DUMMYFUNCTION("""COMPUTED_VALUE"""),"เมืองเก่า")</f>
        <v>เมืองเก่า</v>
      </c>
      <c r="AA150" s="3" t="str">
        <f>IFERROR(__xludf.DUMMYFUNCTION("""COMPUTED_VALUE"""),"เมือง")</f>
        <v>เมือง</v>
      </c>
      <c r="AB150" s="3" t="str">
        <f>IFERROR(__xludf.DUMMYFUNCTION("""COMPUTED_VALUE"""),"ขอนแก่น")</f>
        <v>ขอนแก่น</v>
      </c>
      <c r="AC150" s="3">
        <f>IFERROR(__xludf.DUMMYFUNCTION("""COMPUTED_VALUE"""),40000.0)</f>
        <v>40000</v>
      </c>
      <c r="AD150" s="3">
        <f>IFERROR(__xludf.DUMMYFUNCTION("""COMPUTED_VALUE"""),16.3976557)</f>
        <v>16.3976557</v>
      </c>
      <c r="AE150" s="3">
        <f>IFERROR(__xludf.DUMMYFUNCTION("""COMPUTED_VALUE"""),102.8000519)</f>
        <v>102.8000519</v>
      </c>
      <c r="AF150" s="3" t="str">
        <f>IFERROR(__xludf.DUMMYFUNCTION("""COMPUTED_VALUE"""),"ขอนแก่น2-11251")</f>
        <v>ขอนแก่น2-11251</v>
      </c>
      <c r="AG150" s="3" t="str">
        <f>IFERROR(__xludf.DUMMYFUNCTION("""COMPUTED_VALUE"""),"ตะวันออกเฉียงเหนือ")</f>
        <v>ตะวันออกเฉียงเหนือ</v>
      </c>
      <c r="AH150" s="3" t="str">
        <f>IFERROR(__xludf.DUMMYFUNCTION("""COMPUTED_VALUE"""),"K.Narabordee")</f>
        <v>K.Narabordee</v>
      </c>
      <c r="AI150" s="3" t="str">
        <f>IFERROR(__xludf.DUMMYFUNCTION("""COMPUTED_VALUE"""),"Out of warranty")</f>
        <v>Out of warranty</v>
      </c>
      <c r="AJ150" s="3">
        <f>IFERROR(__xludf.DUMMYFUNCTION("""COMPUTED_VALUE"""),77.0)</f>
        <v>77</v>
      </c>
      <c r="AK150" s="3"/>
      <c r="AL150" s="3" t="str">
        <f>IFERROR(__xludf.DUMMYFUNCTION("""COMPUTED_VALUE"""),"sgm.khonkaen_2@bigc.co.th")</f>
        <v>sgm.khonkaen_2@bigc.co.th</v>
      </c>
    </row>
    <row r="151" ht="15.75" customHeight="1">
      <c r="A151" s="1" t="str">
        <f>IFERROR(__xludf.DUMMYFUNCTION("""COMPUTED_VALUE"""),"11252")</f>
        <v>11252</v>
      </c>
      <c r="B151" s="2">
        <f>IFERROR(__xludf.DUMMYFUNCTION("""COMPUTED_VALUE"""),11252.0)</f>
        <v>11252</v>
      </c>
      <c r="C151" s="3" t="str">
        <f>IFERROR(__xludf.DUMMYFUNCTION("""COMPUTED_VALUE"""),"ไทรน้อย")</f>
        <v>ไทรน้อย</v>
      </c>
      <c r="D151" s="3" t="str">
        <f>IFERROR(__xludf.DUMMYFUNCTION("""COMPUTED_VALUE"""),"BIGC SAINOI")</f>
        <v>BIGC SAINOI</v>
      </c>
      <c r="E151" s="1" t="str">
        <f>IFERROR(__xludf.DUMMYFUNCTION("""COMPUTED_VALUE"""),"บิ๊กซี HyperMarket")</f>
        <v>บิ๊กซี HyperMarket</v>
      </c>
      <c r="F151" s="1" t="str">
        <f>IFERROR(__xludf.DUMMYFUNCTION("""COMPUTED_VALUE"""),"2454813")</f>
        <v>2454813</v>
      </c>
      <c r="G151" s="1" t="str">
        <f>IFERROR(__xludf.DUMMYFUNCTION("""COMPUTED_VALUE"""),"นายอนุรักษ์ จั่นเที่ยง")</f>
        <v>นายอนุรักษ์ จั่นเที่ยง</v>
      </c>
      <c r="H151" s="1" t="str">
        <f>IFERROR(__xludf.DUMMYFUNCTION("""COMPUTED_VALUE"""),"295806")</f>
        <v>295806</v>
      </c>
      <c r="I151" s="1" t="str">
        <f>IFERROR(__xludf.DUMMYFUNCTION("""COMPUTED_VALUE"""),"นายวสันต์ เนตรสมบูรณ์")</f>
        <v>นายวสันต์ เนตรสมบูรณ์</v>
      </c>
      <c r="J151" s="3">
        <f>IFERROR(__xludf.DUMMYFUNCTION("""COMPUTED_VALUE"""),2454813.0)</f>
        <v>2454813</v>
      </c>
      <c r="K151" s="3" t="str">
        <f>IFERROR(__xludf.DUMMYFUNCTION("""COMPUTED_VALUE"""),"นายอนุรักษ์ จั่นเที่ยง")</f>
        <v>นายอนุรักษ์ จั่นเที่ยง</v>
      </c>
      <c r="L151" s="1" t="str">
        <f>IFERROR(__xludf.DUMMYFUNCTION("""COMPUTED_VALUE"""),"Hub04-BKK 4")</f>
        <v>Hub04-BKK 4</v>
      </c>
      <c r="M151" s="1" t="str">
        <f>IFERROR(__xludf.DUMMYFUNCTION("""COMPUTED_VALUE"""),"0991964531")</f>
        <v>0991964531</v>
      </c>
      <c r="N151" s="3">
        <f>IFERROR(__xludf.DUMMYFUNCTION("""COMPUTED_VALUE"""),11252.0)</f>
        <v>11252</v>
      </c>
      <c r="O151" s="3" t="str">
        <f>IFERROR(__xludf.DUMMYFUNCTION("""COMPUTED_VALUE"""),"ไทรน้อย")</f>
        <v>ไทรน้อย</v>
      </c>
      <c r="P151" s="4">
        <f>IFERROR(__xludf.DUMMYFUNCTION("""COMPUTED_VALUE"""),43761.0)</f>
        <v>43761</v>
      </c>
      <c r="Q151" s="3" t="str">
        <f>IFERROR(__xludf.DUMMYFUNCTION("""COMPUTED_VALUE"""),"A")</f>
        <v>A</v>
      </c>
      <c r="R151" s="3" t="str">
        <f>IFERROR(__xludf.DUMMYFUNCTION("""COMPUTED_VALUE"""),"Big Format")</f>
        <v>Big Format</v>
      </c>
      <c r="S151" s="3" t="str">
        <f>IFERROR(__xludf.DUMMYFUNCTION("""COMPUTED_VALUE"""),"Hyper")</f>
        <v>Hyper</v>
      </c>
      <c r="T151" s="3" t="str">
        <f>IFERROR(__xludf.DUMMYFUNCTION("""COMPUTED_VALUE"""),"Hub04-BKK 4")</f>
        <v>Hub04-BKK 4</v>
      </c>
      <c r="U151" s="3" t="str">
        <f>IFERROR(__xludf.DUMMYFUNCTION("""COMPUTED_VALUE"""),"#N/A")</f>
        <v>#N/A</v>
      </c>
      <c r="V151" s="3" t="str">
        <f>IFERROR(__xludf.DUMMYFUNCTION("""COMPUTED_VALUE"""),"N")</f>
        <v>N</v>
      </c>
      <c r="W151" s="3">
        <f>IFERROR(__xludf.DUMMYFUNCTION("""COMPUTED_VALUE"""),111263.0)</f>
        <v>111263</v>
      </c>
      <c r="X151" s="3" t="str">
        <f>IFERROR(__xludf.DUMMYFUNCTION("""COMPUTED_VALUE"""),"1 หมู่6 ตำบลไทรน้อย อำเภอไทรน้อย จังหวัดนนทบุรี 11150")</f>
        <v>1 หมู่6 ตำบลไทรน้อย อำเภอไทรน้อย จังหวัดนนทบุรี 11150</v>
      </c>
      <c r="Y151" s="3"/>
      <c r="Z151" s="3" t="str">
        <f>IFERROR(__xludf.DUMMYFUNCTION("""COMPUTED_VALUE"""),"ไทรน้อย")</f>
        <v>ไทรน้อย</v>
      </c>
      <c r="AA151" s="3" t="str">
        <f>IFERROR(__xludf.DUMMYFUNCTION("""COMPUTED_VALUE"""),"ไทรน้อย")</f>
        <v>ไทรน้อย</v>
      </c>
      <c r="AB151" s="3" t="str">
        <f>IFERROR(__xludf.DUMMYFUNCTION("""COMPUTED_VALUE"""),"นนทบุรี")</f>
        <v>นนทบุรี</v>
      </c>
      <c r="AC151" s="3">
        <f>IFERROR(__xludf.DUMMYFUNCTION("""COMPUTED_VALUE"""),11150.0)</f>
        <v>11150</v>
      </c>
      <c r="AD151" s="3">
        <f>IFERROR(__xludf.DUMMYFUNCTION("""COMPUTED_VALUE"""),13.9851346)</f>
        <v>13.9851346</v>
      </c>
      <c r="AE151" s="3">
        <f>IFERROR(__xludf.DUMMYFUNCTION("""COMPUTED_VALUE"""),100.2841267)</f>
        <v>100.2841267</v>
      </c>
      <c r="AF151" s="3" t="str">
        <f>IFERROR(__xludf.DUMMYFUNCTION("""COMPUTED_VALUE"""),"ไทรน้อย-11252")</f>
        <v>ไทรน้อย-11252</v>
      </c>
      <c r="AG151" s="3" t="str">
        <f>IFERROR(__xludf.DUMMYFUNCTION("""COMPUTED_VALUE"""),"กลาง")</f>
        <v>กลาง</v>
      </c>
      <c r="AH151" s="3" t="str">
        <f>IFERROR(__xludf.DUMMYFUNCTION("""COMPUTED_VALUE"""),"Natsarine Seammai")</f>
        <v>Natsarine Seammai</v>
      </c>
      <c r="AI151" s="3" t="str">
        <f>IFERROR(__xludf.DUMMYFUNCTION("""COMPUTED_VALUE"""),"Out of warranty")</f>
        <v>Out of warranty</v>
      </c>
      <c r="AJ151" s="3">
        <f>IFERROR(__xludf.DUMMYFUNCTION("""COMPUTED_VALUE"""),75.0)</f>
        <v>75</v>
      </c>
      <c r="AK151" s="3"/>
      <c r="AL151" s="3" t="str">
        <f>IFERROR(__xludf.DUMMYFUNCTION("""COMPUTED_VALUE"""),"sgm.sainoi@bigc.co.th")</f>
        <v>sgm.sainoi@bigc.co.th</v>
      </c>
    </row>
    <row r="152" ht="15.75" customHeight="1">
      <c r="A152" s="1" t="str">
        <f>IFERROR(__xludf.DUMMYFUNCTION("""COMPUTED_VALUE"""),"11253")</f>
        <v>11253</v>
      </c>
      <c r="B152" s="2">
        <f>IFERROR(__xludf.DUMMYFUNCTION("""COMPUTED_VALUE"""),11253.0)</f>
        <v>11253</v>
      </c>
      <c r="C152" s="3" t="str">
        <f>IFERROR(__xludf.DUMMYFUNCTION("""COMPUTED_VALUE"""),"ปากช่อง")</f>
        <v>ปากช่อง</v>
      </c>
      <c r="D152" s="3" t="str">
        <f>IFERROR(__xludf.DUMMYFUNCTION("""COMPUTED_VALUE"""),"BIGC PAKCHONG")</f>
        <v>BIGC PAKCHONG</v>
      </c>
      <c r="E152" s="1" t="str">
        <f>IFERROR(__xludf.DUMMYFUNCTION("""COMPUTED_VALUE"""),"บิ๊กซี HyperMarket")</f>
        <v>บิ๊กซี HyperMarket</v>
      </c>
      <c r="F152" s="1" t="str">
        <f>IFERROR(__xludf.DUMMYFUNCTION("""COMPUTED_VALUE"""),"033317")</f>
        <v>033317</v>
      </c>
      <c r="G152" s="1" t="str">
        <f>IFERROR(__xludf.DUMMYFUNCTION("""COMPUTED_VALUE"""),"นายอาณัติ เพชรภาน")</f>
        <v>นายอาณัติ เพชรภาน</v>
      </c>
      <c r="H152" s="1" t="str">
        <f>IFERROR(__xludf.DUMMYFUNCTION("""COMPUTED_VALUE"""),"033317")</f>
        <v>033317</v>
      </c>
      <c r="I152" s="1" t="str">
        <f>IFERROR(__xludf.DUMMYFUNCTION("""COMPUTED_VALUE"""),"นายอาณัติ เพชรภาน")</f>
        <v>นายอาณัติ เพชรภาน</v>
      </c>
      <c r="J152" s="3">
        <f>IFERROR(__xludf.DUMMYFUNCTION("""COMPUTED_VALUE"""),33317.0)</f>
        <v>33317</v>
      </c>
      <c r="K152" s="3" t="str">
        <f>IFERROR(__xludf.DUMMYFUNCTION("""COMPUTED_VALUE"""),"นายอาณัติ เพชรภาน")</f>
        <v>นายอาณัติ เพชรภาน</v>
      </c>
      <c r="L152" s="1" t="str">
        <f>IFERROR(__xludf.DUMMYFUNCTION("""COMPUTED_VALUE"""),"Hub10-NE 2")</f>
        <v>Hub10-NE 2</v>
      </c>
      <c r="M152" s="1" t="str">
        <f>IFERROR(__xludf.DUMMYFUNCTION("""COMPUTED_VALUE"""),"0644791409")</f>
        <v>0644791409</v>
      </c>
      <c r="N152" s="3">
        <f>IFERROR(__xludf.DUMMYFUNCTION("""COMPUTED_VALUE"""),11253.0)</f>
        <v>11253</v>
      </c>
      <c r="O152" s="3" t="str">
        <f>IFERROR(__xludf.DUMMYFUNCTION("""COMPUTED_VALUE"""),"ปากช่อง")</f>
        <v>ปากช่อง</v>
      </c>
      <c r="P152" s="4">
        <f>IFERROR(__xludf.DUMMYFUNCTION("""COMPUTED_VALUE"""),43792.0)</f>
        <v>43792</v>
      </c>
      <c r="Q152" s="3" t="str">
        <f>IFERROR(__xludf.DUMMYFUNCTION("""COMPUTED_VALUE"""),"A")</f>
        <v>A</v>
      </c>
      <c r="R152" s="3" t="str">
        <f>IFERROR(__xludf.DUMMYFUNCTION("""COMPUTED_VALUE"""),"Big Format")</f>
        <v>Big Format</v>
      </c>
      <c r="S152" s="3" t="str">
        <f>IFERROR(__xludf.DUMMYFUNCTION("""COMPUTED_VALUE"""),"Hyper")</f>
        <v>Hyper</v>
      </c>
      <c r="T152" s="3" t="str">
        <f>IFERROR(__xludf.DUMMYFUNCTION("""COMPUTED_VALUE"""),"Hub10-NE 2")</f>
        <v>Hub10-NE 2</v>
      </c>
      <c r="U152" s="3" t="str">
        <f>IFERROR(__xludf.DUMMYFUNCTION("""COMPUTED_VALUE"""),"Hub10-NE 2")</f>
        <v>Hub10-NE 2</v>
      </c>
      <c r="V152" s="3" t="str">
        <f>IFERROR(__xludf.DUMMYFUNCTION("""COMPUTED_VALUE"""),"N")</f>
        <v>N</v>
      </c>
      <c r="W152" s="3">
        <f>IFERROR(__xludf.DUMMYFUNCTION("""COMPUTED_VALUE"""),111265.0)</f>
        <v>111265</v>
      </c>
      <c r="X152" s="3" t="str">
        <f>IFERROR(__xludf.DUMMYFUNCTION("""COMPUTED_VALUE"""),"28 ถนนมิตรภาพ ตำบลปากช่อง อำเภอปากช่อง จังหวัดนครราชสีมา 30130")</f>
        <v>28 ถนนมิตรภาพ ตำบลปากช่อง อำเภอปากช่อง จังหวัดนครราชสีมา 30130</v>
      </c>
      <c r="Y152" s="3" t="str">
        <f>IFERROR(__xludf.DUMMYFUNCTION("""COMPUTED_VALUE"""),"ถนนมิตรภาพ")</f>
        <v>ถนนมิตรภาพ</v>
      </c>
      <c r="Z152" s="3" t="str">
        <f>IFERROR(__xludf.DUMMYFUNCTION("""COMPUTED_VALUE"""),"ปากช่อง")</f>
        <v>ปากช่อง</v>
      </c>
      <c r="AA152" s="3" t="str">
        <f>IFERROR(__xludf.DUMMYFUNCTION("""COMPUTED_VALUE"""),"ปากช่อง")</f>
        <v>ปากช่อง</v>
      </c>
      <c r="AB152" s="3" t="str">
        <f>IFERROR(__xludf.DUMMYFUNCTION("""COMPUTED_VALUE"""),"นครราชสีมา")</f>
        <v>นครราชสีมา</v>
      </c>
      <c r="AC152" s="3">
        <f>IFERROR(__xludf.DUMMYFUNCTION("""COMPUTED_VALUE"""),30130.0)</f>
        <v>30130</v>
      </c>
      <c r="AD152" s="3">
        <f>IFERROR(__xludf.DUMMYFUNCTION("""COMPUTED_VALUE"""),14.6586713)</f>
        <v>14.6586713</v>
      </c>
      <c r="AE152" s="3">
        <f>IFERROR(__xludf.DUMMYFUNCTION("""COMPUTED_VALUE"""),101.3788861)</f>
        <v>101.3788861</v>
      </c>
      <c r="AF152" s="3" t="str">
        <f>IFERROR(__xludf.DUMMYFUNCTION("""COMPUTED_VALUE"""),"ปากช่อง-11253")</f>
        <v>ปากช่อง-11253</v>
      </c>
      <c r="AG152" s="3" t="str">
        <f>IFERROR(__xludf.DUMMYFUNCTION("""COMPUTED_VALUE"""),"ตะวันออกเฉียงเหนือ")</f>
        <v>ตะวันออกเฉียงเหนือ</v>
      </c>
      <c r="AH152" s="3" t="str">
        <f>IFERROR(__xludf.DUMMYFUNCTION("""COMPUTED_VALUE"""),"Pajaob Wongpakdee")</f>
        <v>Pajaob Wongpakdee</v>
      </c>
      <c r="AI152" s="3" t="str">
        <f>IFERROR(__xludf.DUMMYFUNCTION("""COMPUTED_VALUE"""),"Out of warranty")</f>
        <v>Out of warranty</v>
      </c>
      <c r="AJ152" s="3">
        <f>IFERROR(__xludf.DUMMYFUNCTION("""COMPUTED_VALUE"""),74.0)</f>
        <v>74</v>
      </c>
      <c r="AK152" s="3"/>
      <c r="AL152" s="3" t="str">
        <f>IFERROR(__xludf.DUMMYFUNCTION("""COMPUTED_VALUE"""),"sgm.pakchong@bigc.co.th")</f>
        <v>sgm.pakchong@bigc.co.th</v>
      </c>
    </row>
    <row r="153" ht="15.75" customHeight="1">
      <c r="A153" s="1" t="str">
        <f>IFERROR(__xludf.DUMMYFUNCTION("""COMPUTED_VALUE"""),"11254")</f>
        <v>11254</v>
      </c>
      <c r="B153" s="2">
        <f>IFERROR(__xludf.DUMMYFUNCTION("""COMPUTED_VALUE"""),11254.0)</f>
        <v>11254</v>
      </c>
      <c r="C153" s="3" t="str">
        <f>IFERROR(__xludf.DUMMYFUNCTION("""COMPUTED_VALUE"""),"มหาชัย2")</f>
        <v>มหาชัย2</v>
      </c>
      <c r="D153" s="3" t="str">
        <f>IFERROR(__xludf.DUMMYFUNCTION("""COMPUTED_VALUE"""),"BIGC MAHACHAI2")</f>
        <v>BIGC MAHACHAI2</v>
      </c>
      <c r="E153" s="1" t="str">
        <f>IFERROR(__xludf.DUMMYFUNCTION("""COMPUTED_VALUE"""),"บิ๊กซี HyperMarket")</f>
        <v>บิ๊กซี HyperMarket</v>
      </c>
      <c r="F153" s="1" t="str">
        <f>IFERROR(__xludf.DUMMYFUNCTION("""COMPUTED_VALUE"""),"2454701")</f>
        <v>2454701</v>
      </c>
      <c r="G153" s="1" t="str">
        <f>IFERROR(__xludf.DUMMYFUNCTION("""COMPUTED_VALUE"""),"นายกานต์ ไชยแสงศรี")</f>
        <v>นายกานต์ ไชยแสงศรี</v>
      </c>
      <c r="H153" s="1" t="str">
        <f>IFERROR(__xludf.DUMMYFUNCTION("""COMPUTED_VALUE"""),"2454701")</f>
        <v>2454701</v>
      </c>
      <c r="I153" s="1" t="str">
        <f>IFERROR(__xludf.DUMMYFUNCTION("""COMPUTED_VALUE"""),"นายกานต์ ไชยแสงศรี")</f>
        <v>นายกานต์ ไชยแสงศรี</v>
      </c>
      <c r="J153" s="3">
        <f>IFERROR(__xludf.DUMMYFUNCTION("""COMPUTED_VALUE"""),2454701.0)</f>
        <v>2454701</v>
      </c>
      <c r="K153" s="3" t="str">
        <f>IFERROR(__xludf.DUMMYFUNCTION("""COMPUTED_VALUE"""),"นายกานต์ ไชยแสงศรี")</f>
        <v>นายกานต์ ไชยแสงศรี</v>
      </c>
      <c r="L153" s="1" t="str">
        <f>IFERROR(__xludf.DUMMYFUNCTION("""COMPUTED_VALUE"""),"Hub01-BKK 1")</f>
        <v>Hub01-BKK 1</v>
      </c>
      <c r="M153" s="1" t="str">
        <f>IFERROR(__xludf.DUMMYFUNCTION("""COMPUTED_VALUE"""),"0909090652")</f>
        <v>0909090652</v>
      </c>
      <c r="N153" s="3">
        <f>IFERROR(__xludf.DUMMYFUNCTION("""COMPUTED_VALUE"""),11254.0)</f>
        <v>11254</v>
      </c>
      <c r="O153" s="3" t="str">
        <f>IFERROR(__xludf.DUMMYFUNCTION("""COMPUTED_VALUE"""),"มหาชัย2")</f>
        <v>มหาชัย2</v>
      </c>
      <c r="P153" s="4">
        <f>IFERROR(__xludf.DUMMYFUNCTION("""COMPUTED_VALUE"""),44100.0)</f>
        <v>44100</v>
      </c>
      <c r="Q153" s="3" t="str">
        <f>IFERROR(__xludf.DUMMYFUNCTION("""COMPUTED_VALUE"""),"A")</f>
        <v>A</v>
      </c>
      <c r="R153" s="3" t="str">
        <f>IFERROR(__xludf.DUMMYFUNCTION("""COMPUTED_VALUE"""),"Big Format")</f>
        <v>Big Format</v>
      </c>
      <c r="S153" s="3" t="str">
        <f>IFERROR(__xludf.DUMMYFUNCTION("""COMPUTED_VALUE"""),"Hyper")</f>
        <v>Hyper</v>
      </c>
      <c r="T153" s="3" t="str">
        <f>IFERROR(__xludf.DUMMYFUNCTION("""COMPUTED_VALUE"""),"Hub01-BKK 1")</f>
        <v>Hub01-BKK 1</v>
      </c>
      <c r="U153" s="3" t="str">
        <f>IFERROR(__xludf.DUMMYFUNCTION("""COMPUTED_VALUE"""),"Hub01-BKK 1")</f>
        <v>Hub01-BKK 1</v>
      </c>
      <c r="V153" s="3" t="str">
        <f>IFERROR(__xludf.DUMMYFUNCTION("""COMPUTED_VALUE"""),"N")</f>
        <v>N</v>
      </c>
      <c r="W153" s="3">
        <f>IFERROR(__xludf.DUMMYFUNCTION("""COMPUTED_VALUE"""),111266.0)</f>
        <v>111266</v>
      </c>
      <c r="X153" s="3" t="str">
        <f>IFERROR(__xludf.DUMMYFUNCTION("""COMPUTED_VALUE"""),"67/534 หมู่4 ตำบลโคกขาม อำเภอเมืองสมุทรสาคร จังหวัดสมุทรสาคร 74000")</f>
        <v>67/534 หมู่4 ตำบลโคกขาม อำเภอเมืองสมุทรสาคร จังหวัดสมุทรสาคร 74000</v>
      </c>
      <c r="Y153" s="3"/>
      <c r="Z153" s="3" t="str">
        <f>IFERROR(__xludf.DUMMYFUNCTION("""COMPUTED_VALUE"""),"โคกขาม")</f>
        <v>โคกขาม</v>
      </c>
      <c r="AA153" s="3" t="str">
        <f>IFERROR(__xludf.DUMMYFUNCTION("""COMPUTED_VALUE"""),"เมือง")</f>
        <v>เมือง</v>
      </c>
      <c r="AB153" s="3" t="str">
        <f>IFERROR(__xludf.DUMMYFUNCTION("""COMPUTED_VALUE"""),"สมุทรสาคร")</f>
        <v>สมุทรสาคร</v>
      </c>
      <c r="AC153" s="3">
        <f>IFERROR(__xludf.DUMMYFUNCTION("""COMPUTED_VALUE"""),74000.0)</f>
        <v>74000</v>
      </c>
      <c r="AD153" s="3">
        <f>IFERROR(__xludf.DUMMYFUNCTION("""COMPUTED_VALUE"""),13.55985938)</f>
        <v>13.55985938</v>
      </c>
      <c r="AE153" s="3">
        <f>IFERROR(__xludf.DUMMYFUNCTION("""COMPUTED_VALUE"""),100.2924976)</f>
        <v>100.2924976</v>
      </c>
      <c r="AF153" s="3" t="str">
        <f>IFERROR(__xludf.DUMMYFUNCTION("""COMPUTED_VALUE"""),"มหาชัย2-11254")</f>
        <v>มหาชัย2-11254</v>
      </c>
      <c r="AG153" s="3" t="str">
        <f>IFERROR(__xludf.DUMMYFUNCTION("""COMPUTED_VALUE"""),"กลาง")</f>
        <v>กลาง</v>
      </c>
      <c r="AH153" s="3" t="str">
        <f>IFERROR(__xludf.DUMMYFUNCTION("""COMPUTED_VALUE"""),"Suchin Thawinwisan")</f>
        <v>Suchin Thawinwisan</v>
      </c>
      <c r="AI153" s="3" t="str">
        <f>IFERROR(__xludf.DUMMYFUNCTION("""COMPUTED_VALUE"""),"Out of warranty")</f>
        <v>Out of warranty</v>
      </c>
      <c r="AJ153" s="3">
        <f>IFERROR(__xludf.DUMMYFUNCTION("""COMPUTED_VALUE"""),64.0)</f>
        <v>64</v>
      </c>
      <c r="AK153" s="3"/>
      <c r="AL153" s="3" t="str">
        <f>IFERROR(__xludf.DUMMYFUNCTION("""COMPUTED_VALUE"""),"sgm.mahachai_2@bigc.co.th")</f>
        <v>sgm.mahachai_2@bigc.co.th</v>
      </c>
    </row>
    <row r="154" ht="15.75" customHeight="1">
      <c r="A154" s="1" t="str">
        <f>IFERROR(__xludf.DUMMYFUNCTION("""COMPUTED_VALUE"""),"11255")</f>
        <v>11255</v>
      </c>
      <c r="B154" s="2">
        <f>IFERROR(__xludf.DUMMYFUNCTION("""COMPUTED_VALUE"""),11255.0)</f>
        <v>11255</v>
      </c>
      <c r="C154" s="3" t="str">
        <f>IFERROR(__xludf.DUMMYFUNCTION("""COMPUTED_VALUE"""),"บ่อวิน")</f>
        <v>บ่อวิน</v>
      </c>
      <c r="D154" s="3" t="str">
        <f>IFERROR(__xludf.DUMMYFUNCTION("""COMPUTED_VALUE"""),"BIGC BOWIN")</f>
        <v>BIGC BOWIN</v>
      </c>
      <c r="E154" s="1" t="str">
        <f>IFERROR(__xludf.DUMMYFUNCTION("""COMPUTED_VALUE"""),"บิ๊กซี HyperMarket")</f>
        <v>บิ๊กซี HyperMarket</v>
      </c>
      <c r="F154" s="1" t="str">
        <f>IFERROR(__xludf.DUMMYFUNCTION("""COMPUTED_VALUE"""),"2455164")</f>
        <v>2455164</v>
      </c>
      <c r="G154" s="1" t="str">
        <f>IFERROR(__xludf.DUMMYFUNCTION("""COMPUTED_VALUE"""),"นายกรวิทย์ เจริญพร")</f>
        <v>นายกรวิทย์ เจริญพร</v>
      </c>
      <c r="H154" s="1" t="str">
        <f>IFERROR(__xludf.DUMMYFUNCTION("""COMPUTED_VALUE"""),"2455164")</f>
        <v>2455164</v>
      </c>
      <c r="I154" s="1" t="str">
        <f>IFERROR(__xludf.DUMMYFUNCTION("""COMPUTED_VALUE"""),"นายกรวิทย์ เจริญพร")</f>
        <v>นายกรวิทย์ เจริญพร</v>
      </c>
      <c r="J154" s="3">
        <f>IFERROR(__xludf.DUMMYFUNCTION("""COMPUTED_VALUE"""),2455164.0)</f>
        <v>2455164</v>
      </c>
      <c r="K154" s="3" t="str">
        <f>IFERROR(__xludf.DUMMYFUNCTION("""COMPUTED_VALUE"""),"นายกรวิทย์ เจริญพร")</f>
        <v>นายกรวิทย์ เจริญพร</v>
      </c>
      <c r="L154" s="1" t="str">
        <f>IFERROR(__xludf.DUMMYFUNCTION("""COMPUTED_VALUE"""),"Hub08-East")</f>
        <v>Hub08-East</v>
      </c>
      <c r="M154" s="1" t="str">
        <f>IFERROR(__xludf.DUMMYFUNCTION("""COMPUTED_VALUE"""),"092-605-9922")</f>
        <v>092-605-9922</v>
      </c>
      <c r="N154" s="3">
        <f>IFERROR(__xludf.DUMMYFUNCTION("""COMPUTED_VALUE"""),11255.0)</f>
        <v>11255</v>
      </c>
      <c r="O154" s="3" t="str">
        <f>IFERROR(__xludf.DUMMYFUNCTION("""COMPUTED_VALUE"""),"บ่อวิน")</f>
        <v>บ่อวิน</v>
      </c>
      <c r="P154" s="4">
        <f>IFERROR(__xludf.DUMMYFUNCTION("""COMPUTED_VALUE"""),44516.0)</f>
        <v>44516</v>
      </c>
      <c r="Q154" s="3" t="str">
        <f>IFERROR(__xludf.DUMMYFUNCTION("""COMPUTED_VALUE"""),"A")</f>
        <v>A</v>
      </c>
      <c r="R154" s="3" t="str">
        <f>IFERROR(__xludf.DUMMYFUNCTION("""COMPUTED_VALUE"""),"Big Format")</f>
        <v>Big Format</v>
      </c>
      <c r="S154" s="3" t="str">
        <f>IFERROR(__xludf.DUMMYFUNCTION("""COMPUTED_VALUE"""),"Hyper")</f>
        <v>Hyper</v>
      </c>
      <c r="T154" s="3" t="str">
        <f>IFERROR(__xludf.DUMMYFUNCTION("""COMPUTED_VALUE"""),"Hub08-East")</f>
        <v>Hub08-East</v>
      </c>
      <c r="U154" s="3" t="str">
        <f>IFERROR(__xludf.DUMMYFUNCTION("""COMPUTED_VALUE"""),"Hub08-East")</f>
        <v>Hub08-East</v>
      </c>
      <c r="V154" s="3" t="str">
        <f>IFERROR(__xludf.DUMMYFUNCTION("""COMPUTED_VALUE"""),"N")</f>
        <v>N</v>
      </c>
      <c r="W154" s="3">
        <f>IFERROR(__xludf.DUMMYFUNCTION("""COMPUTED_VALUE"""),111269.0)</f>
        <v>111269</v>
      </c>
      <c r="X154" s="3" t="str">
        <f>IFERROR(__xludf.DUMMYFUNCTION("""COMPUTED_VALUE"""),"351 หมู่4 ตำบลมาบยางพร อำเภอปลวกแดง จังหวัดระยอง 21140")</f>
        <v>351 หมู่4 ตำบลมาบยางพร อำเภอปลวกแดง จังหวัดระยอง 21140</v>
      </c>
      <c r="Y154" s="3"/>
      <c r="Z154" s="3" t="str">
        <f>IFERROR(__xludf.DUMMYFUNCTION("""COMPUTED_VALUE"""),"มาบยางพร")</f>
        <v>มาบยางพร</v>
      </c>
      <c r="AA154" s="3" t="str">
        <f>IFERROR(__xludf.DUMMYFUNCTION("""COMPUTED_VALUE"""),"ปลวดแดง")</f>
        <v>ปลวดแดง</v>
      </c>
      <c r="AB154" s="3" t="str">
        <f>IFERROR(__xludf.DUMMYFUNCTION("""COMPUTED_VALUE"""),"ระยอง")</f>
        <v>ระยอง</v>
      </c>
      <c r="AC154" s="3">
        <f>IFERROR(__xludf.DUMMYFUNCTION("""COMPUTED_VALUE"""),21140.0)</f>
        <v>21140</v>
      </c>
      <c r="AD154" s="3">
        <f>IFERROR(__xludf.DUMMYFUNCTION("""COMPUTED_VALUE"""),13.02585155)</f>
        <v>13.02585155</v>
      </c>
      <c r="AE154" s="3">
        <f>IFERROR(__xludf.DUMMYFUNCTION("""COMPUTED_VALUE"""),101.1087122)</f>
        <v>101.1087122</v>
      </c>
      <c r="AF154" s="3" t="str">
        <f>IFERROR(__xludf.DUMMYFUNCTION("""COMPUTED_VALUE"""),"บ่อวิน-11255")</f>
        <v>บ่อวิน-11255</v>
      </c>
      <c r="AG154" s="3" t="str">
        <f>IFERROR(__xludf.DUMMYFUNCTION("""COMPUTED_VALUE"""),"ตะวันออก")</f>
        <v>ตะวันออก</v>
      </c>
      <c r="AH154" s="3" t="str">
        <f>IFERROR(__xludf.DUMMYFUNCTION("""COMPUTED_VALUE"""),"Walaiporn Sutyod")</f>
        <v>Walaiporn Sutyod</v>
      </c>
      <c r="AI154" s="3" t="str">
        <f>IFERROR(__xludf.DUMMYFUNCTION("""COMPUTED_VALUE"""),"Out of warranty")</f>
        <v>Out of warranty</v>
      </c>
      <c r="AJ154" s="3">
        <f>IFERROR(__xludf.DUMMYFUNCTION("""COMPUTED_VALUE"""),51.0)</f>
        <v>51</v>
      </c>
      <c r="AK154" s="3"/>
      <c r="AL154" s="3" t="str">
        <f>IFERROR(__xludf.DUMMYFUNCTION("""COMPUTED_VALUE"""),"sgm.bowin@bigc.co.th")</f>
        <v>sgm.bowin@bigc.co.th</v>
      </c>
    </row>
    <row r="155" ht="15.75" customHeight="1">
      <c r="A155" s="1" t="str">
        <f>IFERROR(__xludf.DUMMYFUNCTION("""COMPUTED_VALUE"""),"11256")</f>
        <v>11256</v>
      </c>
      <c r="B155" s="2">
        <f>IFERROR(__xludf.DUMMYFUNCTION("""COMPUTED_VALUE"""),11256.0)</f>
        <v>11256</v>
      </c>
      <c r="C155" s="3" t="str">
        <f>IFERROR(__xludf.DUMMYFUNCTION("""COMPUTED_VALUE"""),"นราธิวาส")</f>
        <v>นราธิวาส</v>
      </c>
      <c r="D155" s="3" t="str">
        <f>IFERROR(__xludf.DUMMYFUNCTION("""COMPUTED_VALUE"""),"BIGC NARATHIWAT")</f>
        <v>BIGC NARATHIWAT</v>
      </c>
      <c r="E155" s="1" t="str">
        <f>IFERROR(__xludf.DUMMYFUNCTION("""COMPUTED_VALUE"""),"บิ๊กซี HyperMarket")</f>
        <v>บิ๊กซี HyperMarket</v>
      </c>
      <c r="F155" s="1" t="str">
        <f>IFERROR(__xludf.DUMMYFUNCTION("""COMPUTED_VALUE"""),"2454709")</f>
        <v>2454709</v>
      </c>
      <c r="G155" s="1" t="str">
        <f>IFERROR(__xludf.DUMMYFUNCTION("""COMPUTED_VALUE"""),"นายประชา เกตุชาติ")</f>
        <v>นายประชา เกตุชาติ</v>
      </c>
      <c r="H155" s="1" t="str">
        <f>IFERROR(__xludf.DUMMYFUNCTION("""COMPUTED_VALUE"""),"2454709")</f>
        <v>2454709</v>
      </c>
      <c r="I155" s="1" t="str">
        <f>IFERROR(__xludf.DUMMYFUNCTION("""COMPUTED_VALUE"""),"นายประชา เกตุชาติ")</f>
        <v>นายประชา เกตุชาติ</v>
      </c>
      <c r="J155" s="3">
        <f>IFERROR(__xludf.DUMMYFUNCTION("""COMPUTED_VALUE"""),2454709.0)</f>
        <v>2454709</v>
      </c>
      <c r="K155" s="3" t="str">
        <f>IFERROR(__xludf.DUMMYFUNCTION("""COMPUTED_VALUE"""),"นายประชา เกตุชาติ")</f>
        <v>นายประชา เกตุชาติ</v>
      </c>
      <c r="L155" s="1" t="str">
        <f>IFERROR(__xludf.DUMMYFUNCTION("""COMPUTED_VALUE"""),"Hub05-South")</f>
        <v>Hub05-South</v>
      </c>
      <c r="M155" s="1" t="str">
        <f>IFERROR(__xludf.DUMMYFUNCTION("""COMPUTED_VALUE"""),"0659291311")</f>
        <v>0659291311</v>
      </c>
      <c r="N155" s="3">
        <f>IFERROR(__xludf.DUMMYFUNCTION("""COMPUTED_VALUE"""),11256.0)</f>
        <v>11256</v>
      </c>
      <c r="O155" s="3" t="str">
        <f>IFERROR(__xludf.DUMMYFUNCTION("""COMPUTED_VALUE"""),"นราธิวาส")</f>
        <v>นราธิวาส</v>
      </c>
      <c r="P155" s="4">
        <f>IFERROR(__xludf.DUMMYFUNCTION("""COMPUTED_VALUE"""),44485.0)</f>
        <v>44485</v>
      </c>
      <c r="Q155" s="3" t="str">
        <f>IFERROR(__xludf.DUMMYFUNCTION("""COMPUTED_VALUE"""),"A")</f>
        <v>A</v>
      </c>
      <c r="R155" s="3" t="str">
        <f>IFERROR(__xludf.DUMMYFUNCTION("""COMPUTED_VALUE"""),"Big Format")</f>
        <v>Big Format</v>
      </c>
      <c r="S155" s="3" t="str">
        <f>IFERROR(__xludf.DUMMYFUNCTION("""COMPUTED_VALUE"""),"Hyper")</f>
        <v>Hyper</v>
      </c>
      <c r="T155" s="3" t="str">
        <f>IFERROR(__xludf.DUMMYFUNCTION("""COMPUTED_VALUE"""),"Hub05-South")</f>
        <v>Hub05-South</v>
      </c>
      <c r="U155" s="3" t="str">
        <f>IFERROR(__xludf.DUMMYFUNCTION("""COMPUTED_VALUE"""),"Hub05-South")</f>
        <v>Hub05-South</v>
      </c>
      <c r="V155" s="3" t="str">
        <f>IFERROR(__xludf.DUMMYFUNCTION("""COMPUTED_VALUE"""),"N")</f>
        <v>N</v>
      </c>
      <c r="W155" s="3">
        <f>IFERROR(__xludf.DUMMYFUNCTION("""COMPUTED_VALUE"""),111270.0)</f>
        <v>111270</v>
      </c>
      <c r="X155" s="3" t="str">
        <f>IFERROR(__xludf.DUMMYFUNCTION("""COMPUTED_VALUE"""),"143/32 ถนนสุริยะประดิษฐ์ ตำบลบางนาค อำเภอเมืองนราธิวาส จังหวัดนราธิวาส 96000")</f>
        <v>143/32 ถนนสุริยะประดิษฐ์ ตำบลบางนาค อำเภอเมืองนราธิวาส จังหวัดนราธิวาส 96000</v>
      </c>
      <c r="Y155" s="3" t="str">
        <f>IFERROR(__xludf.DUMMYFUNCTION("""COMPUTED_VALUE"""),"สุริยะประดิษฐ์")</f>
        <v>สุริยะประดิษฐ์</v>
      </c>
      <c r="Z155" s="3" t="str">
        <f>IFERROR(__xludf.DUMMYFUNCTION("""COMPUTED_VALUE"""),"บางนาค")</f>
        <v>บางนาค</v>
      </c>
      <c r="AA155" s="3" t="str">
        <f>IFERROR(__xludf.DUMMYFUNCTION("""COMPUTED_VALUE"""),"เมือง")</f>
        <v>เมือง</v>
      </c>
      <c r="AB155" s="3" t="str">
        <f>IFERROR(__xludf.DUMMYFUNCTION("""COMPUTED_VALUE"""),"นราธิวาส")</f>
        <v>นราธิวาส</v>
      </c>
      <c r="AC155" s="3">
        <f>IFERROR(__xludf.DUMMYFUNCTION("""COMPUTED_VALUE"""),96000.0)</f>
        <v>96000</v>
      </c>
      <c r="AD155" s="3">
        <f>IFERROR(__xludf.DUMMYFUNCTION("""COMPUTED_VALUE"""),6.416614981)</f>
        <v>6.416614981</v>
      </c>
      <c r="AE155" s="3">
        <f>IFERROR(__xludf.DUMMYFUNCTION("""COMPUTED_VALUE"""),101.8140632)</f>
        <v>101.8140632</v>
      </c>
      <c r="AF155" s="3" t="str">
        <f>IFERROR(__xludf.DUMMYFUNCTION("""COMPUTED_VALUE"""),"นราธิวาส-11256")</f>
        <v>นราธิวาส-11256</v>
      </c>
      <c r="AG155" s="3" t="str">
        <f>IFERROR(__xludf.DUMMYFUNCTION("""COMPUTED_VALUE"""),"ใต้")</f>
        <v>ใต้</v>
      </c>
      <c r="AH155" s="3" t="str">
        <f>IFERROR(__xludf.DUMMYFUNCTION("""COMPUTED_VALUE"""),"Suwadee Intachart")</f>
        <v>Suwadee Intachart</v>
      </c>
      <c r="AI155" s="3" t="str">
        <f>IFERROR(__xludf.DUMMYFUNCTION("""COMPUTED_VALUE"""),"Out of warranty")</f>
        <v>Out of warranty</v>
      </c>
      <c r="AJ155" s="3">
        <f>IFERROR(__xludf.DUMMYFUNCTION("""COMPUTED_VALUE"""),52.0)</f>
        <v>52</v>
      </c>
      <c r="AK155" s="3"/>
      <c r="AL155" s="3" t="str">
        <f>IFERROR(__xludf.DUMMYFUNCTION("""COMPUTED_VALUE"""),"sgm.narathiwat@bigc.co.th")</f>
        <v>sgm.narathiwat@bigc.co.th</v>
      </c>
    </row>
    <row r="156" ht="15.75" customHeight="1">
      <c r="A156" s="1" t="str">
        <f>IFERROR(__xludf.DUMMYFUNCTION("""COMPUTED_VALUE"""),"11257")</f>
        <v>11257</v>
      </c>
      <c r="B156" s="2">
        <f>IFERROR(__xludf.DUMMYFUNCTION("""COMPUTED_VALUE"""),11257.0)</f>
        <v>11257</v>
      </c>
      <c r="C156" s="3" t="str">
        <f>IFERROR(__xludf.DUMMYFUNCTION("""COMPUTED_VALUE"""),"สุไหงโก-ลก")</f>
        <v>สุไหงโก-ลก</v>
      </c>
      <c r="D156" s="3" t="str">
        <f>IFERROR(__xludf.DUMMYFUNCTION("""COMPUTED_VALUE"""),"BIGC SU-NGAI-KOLOK")</f>
        <v>BIGC SU-NGAI-KOLOK</v>
      </c>
      <c r="E156" s="1" t="str">
        <f>IFERROR(__xludf.DUMMYFUNCTION("""COMPUTED_VALUE"""),"บิ๊กซี HyperMarket")</f>
        <v>บิ๊กซี HyperMarket</v>
      </c>
      <c r="F156" s="1" t="str">
        <f>IFERROR(__xludf.DUMMYFUNCTION("""COMPUTED_VALUE"""),"2454709")</f>
        <v>2454709</v>
      </c>
      <c r="G156" s="1" t="str">
        <f>IFERROR(__xludf.DUMMYFUNCTION("""COMPUTED_VALUE"""),"นายประชา เกตุชาติ")</f>
        <v>นายประชา เกตุชาติ</v>
      </c>
      <c r="H156" s="1" t="str">
        <f>IFERROR(__xludf.DUMMYFUNCTION("""COMPUTED_VALUE"""),"2454709")</f>
        <v>2454709</v>
      </c>
      <c r="I156" s="1" t="str">
        <f>IFERROR(__xludf.DUMMYFUNCTION("""COMPUTED_VALUE"""),"นายประชา เกตุชาติ")</f>
        <v>นายประชา เกตุชาติ</v>
      </c>
      <c r="J156" s="3">
        <f>IFERROR(__xludf.DUMMYFUNCTION("""COMPUTED_VALUE"""),2454709.0)</f>
        <v>2454709</v>
      </c>
      <c r="K156" s="3" t="str">
        <f>IFERROR(__xludf.DUMMYFUNCTION("""COMPUTED_VALUE"""),"นายประชา เกตุชาติ")</f>
        <v>นายประชา เกตุชาติ</v>
      </c>
      <c r="L156" s="1" t="str">
        <f>IFERROR(__xludf.DUMMYFUNCTION("""COMPUTED_VALUE"""),"Hub05-South")</f>
        <v>Hub05-South</v>
      </c>
      <c r="M156" s="1" t="str">
        <f>IFERROR(__xludf.DUMMYFUNCTION("""COMPUTED_VALUE"""),"0659291311")</f>
        <v>0659291311</v>
      </c>
      <c r="N156" s="3">
        <f>IFERROR(__xludf.DUMMYFUNCTION("""COMPUTED_VALUE"""),11257.0)</f>
        <v>11257</v>
      </c>
      <c r="O156" s="3" t="str">
        <f>IFERROR(__xludf.DUMMYFUNCTION("""COMPUTED_VALUE"""),"สุไหงโก-ลก")</f>
        <v>สุไหงโก-ลก</v>
      </c>
      <c r="P156" s="4">
        <f>IFERROR(__xludf.DUMMYFUNCTION("""COMPUTED_VALUE"""),45138.0)</f>
        <v>45138</v>
      </c>
      <c r="Q156" s="3" t="str">
        <f>IFERROR(__xludf.DUMMYFUNCTION("""COMPUTED_VALUE"""),"A")</f>
        <v>A</v>
      </c>
      <c r="R156" s="3" t="str">
        <f>IFERROR(__xludf.DUMMYFUNCTION("""COMPUTED_VALUE"""),"Big Format")</f>
        <v>Big Format</v>
      </c>
      <c r="S156" s="3" t="str">
        <f>IFERROR(__xludf.DUMMYFUNCTION("""COMPUTED_VALUE"""),"Hyper")</f>
        <v>Hyper</v>
      </c>
      <c r="T156" s="3" t="str">
        <f>IFERROR(__xludf.DUMMYFUNCTION("""COMPUTED_VALUE"""),"Hub05-South")</f>
        <v>Hub05-South</v>
      </c>
      <c r="U156" s="3" t="str">
        <f>IFERROR(__xludf.DUMMYFUNCTION("""COMPUTED_VALUE"""),"Hub05-South")</f>
        <v>Hub05-South</v>
      </c>
      <c r="V156" s="3" t="str">
        <f>IFERROR(__xludf.DUMMYFUNCTION("""COMPUTED_VALUE"""),"N")</f>
        <v>N</v>
      </c>
      <c r="W156" s="3">
        <f>IFERROR(__xludf.DUMMYFUNCTION("""COMPUTED_VALUE"""),111274.0)</f>
        <v>111274</v>
      </c>
      <c r="X156" s="3" t="str">
        <f>IFERROR(__xludf.DUMMYFUNCTION("""COMPUTED_VALUE"""),"867 ถนนประชาวิวัฒน์ ตำบลสุไหงโก-ลก อำเภอสุไหงโก-ลก จังหวัดนราธิวาส 96120")</f>
        <v>867 ถนนประชาวิวัฒน์ ตำบลสุไหงโก-ลก อำเภอสุไหงโก-ลก จังหวัดนราธิวาส 96120</v>
      </c>
      <c r="Y156" s="3" t="str">
        <f>IFERROR(__xludf.DUMMYFUNCTION("""COMPUTED_VALUE"""),"ประชาวิวัฒน์")</f>
        <v>ประชาวิวัฒน์</v>
      </c>
      <c r="Z156" s="3" t="str">
        <f>IFERROR(__xludf.DUMMYFUNCTION("""COMPUTED_VALUE"""),"สุไหงโก-ลก")</f>
        <v>สุไหงโก-ลก</v>
      </c>
      <c r="AA156" s="3" t="str">
        <f>IFERROR(__xludf.DUMMYFUNCTION("""COMPUTED_VALUE"""),"สุไหงโก-ลก")</f>
        <v>สุไหงโก-ลก</v>
      </c>
      <c r="AB156" s="3" t="str">
        <f>IFERROR(__xludf.DUMMYFUNCTION("""COMPUTED_VALUE"""),"นราธิวาส")</f>
        <v>นราธิวาส</v>
      </c>
      <c r="AC156" s="3">
        <f>IFERROR(__xludf.DUMMYFUNCTION("""COMPUTED_VALUE"""),96120.0)</f>
        <v>96120</v>
      </c>
      <c r="AD156" s="3">
        <f>IFERROR(__xludf.DUMMYFUNCTION("""COMPUTED_VALUE"""),6.020109357)</f>
        <v>6.020109357</v>
      </c>
      <c r="AE156" s="3">
        <f>IFERROR(__xludf.DUMMYFUNCTION("""COMPUTED_VALUE"""),101.9414047)</f>
        <v>101.9414047</v>
      </c>
      <c r="AF156" s="3" t="str">
        <f>IFERROR(__xludf.DUMMYFUNCTION("""COMPUTED_VALUE"""),"สุไหงโก-ลก-11257")</f>
        <v>สุไหงโก-ลก-11257</v>
      </c>
      <c r="AG156" s="3" t="str">
        <f>IFERROR(__xludf.DUMMYFUNCTION("""COMPUTED_VALUE"""),"ใต้")</f>
        <v>ใต้</v>
      </c>
      <c r="AH156" s="3" t="str">
        <f>IFERROR(__xludf.DUMMYFUNCTION("""COMPUTED_VALUE"""),"Suwadee Intachart")</f>
        <v>Suwadee Intachart</v>
      </c>
      <c r="AI156" s="3" t="str">
        <f>IFERROR(__xludf.DUMMYFUNCTION("""COMPUTED_VALUE"""),"Out of warranty")</f>
        <v>Out of warranty</v>
      </c>
      <c r="AJ156" s="3">
        <f>IFERROR(__xludf.DUMMYFUNCTION("""COMPUTED_VALUE"""),30.0)</f>
        <v>30</v>
      </c>
      <c r="AK156" s="3"/>
      <c r="AL156" s="3" t="str">
        <f>IFERROR(__xludf.DUMMYFUNCTION("""COMPUTED_VALUE"""),"sgm.su-ngaikolok@bigc.co.th")</f>
        <v>sgm.su-ngaikolok@bigc.co.th</v>
      </c>
    </row>
    <row r="157" ht="15.75" customHeight="1">
      <c r="A157" s="1" t="str">
        <f>IFERROR(__xludf.DUMMYFUNCTION("""COMPUTED_VALUE"""),"11258")</f>
        <v>11258</v>
      </c>
      <c r="B157" s="2">
        <f>IFERROR(__xludf.DUMMYFUNCTION("""COMPUTED_VALUE"""),11258.0)</f>
        <v>11258</v>
      </c>
      <c r="C157" s="3" t="str">
        <f>IFERROR(__xludf.DUMMYFUNCTION("""COMPUTED_VALUE"""),"ไฮเปอร์ สระบุรี")</f>
        <v>ไฮเปอร์ สระบุรี</v>
      </c>
      <c r="D157" s="3" t="str">
        <f>IFERROR(__xludf.DUMMYFUNCTION("""COMPUTED_VALUE"""),"BIGC HYPER SARABURI")</f>
        <v>BIGC HYPER SARABURI</v>
      </c>
      <c r="E157" s="1" t="str">
        <f>IFERROR(__xludf.DUMMYFUNCTION("""COMPUTED_VALUE"""),"บิ๊กซี HyperMarket")</f>
        <v>บิ๊กซี HyperMarket</v>
      </c>
      <c r="F157" s="1" t="str">
        <f>IFERROR(__xludf.DUMMYFUNCTION("""COMPUTED_VALUE"""),"2455179")</f>
        <v>2455179</v>
      </c>
      <c r="G157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157" s="1" t="str">
        <f>IFERROR(__xludf.DUMMYFUNCTION("""COMPUTED_VALUE"""),"2455179")</f>
        <v>2455179</v>
      </c>
      <c r="I157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157" s="3">
        <f>IFERROR(__xludf.DUMMYFUNCTION("""COMPUTED_VALUE"""),2455179.0)</f>
        <v>2455179</v>
      </c>
      <c r="K157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157" s="1" t="str">
        <f>IFERROR(__xludf.DUMMYFUNCTION("""COMPUTED_VALUE"""),"Hub06-C&amp;W")</f>
        <v>Hub06-C&amp;W</v>
      </c>
      <c r="M157" s="1" t="str">
        <f>IFERROR(__xludf.DUMMYFUNCTION("""COMPUTED_VALUE"""),"090-993-6896")</f>
        <v>090-993-6896</v>
      </c>
      <c r="N157" s="3">
        <f>IFERROR(__xludf.DUMMYFUNCTION("""COMPUTED_VALUE"""),11258.0)</f>
        <v>11258</v>
      </c>
      <c r="O157" s="3" t="str">
        <f>IFERROR(__xludf.DUMMYFUNCTION("""COMPUTED_VALUE"""),"ไฮเปอร์ สระบุรี")</f>
        <v>ไฮเปอร์ สระบุรี</v>
      </c>
      <c r="P157" s="4">
        <f>IFERROR(__xludf.DUMMYFUNCTION("""COMPUTED_VALUE"""),45230.0)</f>
        <v>45230</v>
      </c>
      <c r="Q157" s="3" t="str">
        <f>IFERROR(__xludf.DUMMYFUNCTION("""COMPUTED_VALUE"""),"A")</f>
        <v>A</v>
      </c>
      <c r="R157" s="3" t="str">
        <f>IFERROR(__xludf.DUMMYFUNCTION("""COMPUTED_VALUE"""),"Big Format")</f>
        <v>Big Format</v>
      </c>
      <c r="S157" s="3" t="str">
        <f>IFERROR(__xludf.DUMMYFUNCTION("""COMPUTED_VALUE"""),"Hyper")</f>
        <v>Hyper</v>
      </c>
      <c r="T157" s="3" t="str">
        <f>IFERROR(__xludf.DUMMYFUNCTION("""COMPUTED_VALUE"""),"Hub06-C&amp;W")</f>
        <v>Hub06-C&amp;W</v>
      </c>
      <c r="U157" s="3" t="str">
        <f>IFERROR(__xludf.DUMMYFUNCTION("""COMPUTED_VALUE"""),"Hub06-C&amp;W")</f>
        <v>Hub06-C&amp;W</v>
      </c>
      <c r="V157" s="3" t="str">
        <f>IFERROR(__xludf.DUMMYFUNCTION("""COMPUTED_VALUE"""),"N")</f>
        <v>N</v>
      </c>
      <c r="W157" s="3">
        <f>IFERROR(__xludf.DUMMYFUNCTION("""COMPUTED_VALUE"""),111272.0)</f>
        <v>111272</v>
      </c>
      <c r="X157" s="3" t="str">
        <f>IFERROR(__xludf.DUMMYFUNCTION("""COMPUTED_VALUE"""),"510/53 ถนนพหลโยธิน ตำบลปากเพรียว อำเภอเมืองสระบุรี จังหวัดสระบุรี 18000")</f>
        <v>510/53 ถนนพหลโยธิน ตำบลปากเพรียว อำเภอเมืองสระบุรี จังหวัดสระบุรี 18000</v>
      </c>
      <c r="Y157" s="3" t="str">
        <f>IFERROR(__xludf.DUMMYFUNCTION("""COMPUTED_VALUE"""),"พหลโยธิน")</f>
        <v>พหลโยธิน</v>
      </c>
      <c r="Z157" s="3" t="str">
        <f>IFERROR(__xludf.DUMMYFUNCTION("""COMPUTED_VALUE"""),"ปากเพรียว")</f>
        <v>ปากเพรียว</v>
      </c>
      <c r="AA157" s="3" t="str">
        <f>IFERROR(__xludf.DUMMYFUNCTION("""COMPUTED_VALUE"""),"เมืองสระบุรี")</f>
        <v>เมืองสระบุรี</v>
      </c>
      <c r="AB157" s="3" t="str">
        <f>IFERROR(__xludf.DUMMYFUNCTION("""COMPUTED_VALUE"""),"สระบุรี")</f>
        <v>สระบุรี</v>
      </c>
      <c r="AC157" s="3">
        <f>IFERROR(__xludf.DUMMYFUNCTION("""COMPUTED_VALUE"""),18000.0)</f>
        <v>18000</v>
      </c>
      <c r="AD157" s="3">
        <f>IFERROR(__xludf.DUMMYFUNCTION("""COMPUTED_VALUE"""),14.5410171)</f>
        <v>14.5410171</v>
      </c>
      <c r="AE157" s="3">
        <f>IFERROR(__xludf.DUMMYFUNCTION("""COMPUTED_VALUE"""),100.9132642)</f>
        <v>100.9132642</v>
      </c>
      <c r="AF157" s="3" t="str">
        <f>IFERROR(__xludf.DUMMYFUNCTION("""COMPUTED_VALUE"""),"ไฮเปอร์ สระบุรี-11258")</f>
        <v>ไฮเปอร์ สระบุรี-11258</v>
      </c>
      <c r="AG157" s="3" t="str">
        <f>IFERROR(__xludf.DUMMYFUNCTION("""COMPUTED_VALUE"""),"กลาง")</f>
        <v>กลาง</v>
      </c>
      <c r="AH157" s="3" t="str">
        <f>IFERROR(__xludf.DUMMYFUNCTION("""COMPUTED_VALUE"""),"Wichian Nasungnoen")</f>
        <v>Wichian Nasungnoen</v>
      </c>
      <c r="AI157" s="3" t="str">
        <f>IFERROR(__xludf.DUMMYFUNCTION("""COMPUTED_VALUE"""),"Out of warranty")</f>
        <v>Out of warranty</v>
      </c>
      <c r="AJ157" s="3">
        <f>IFERROR(__xludf.DUMMYFUNCTION("""COMPUTED_VALUE"""),27.0)</f>
        <v>27</v>
      </c>
      <c r="AK157" s="3"/>
      <c r="AL157" s="3" t="str">
        <f>IFERROR(__xludf.DUMMYFUNCTION("""COMPUTED_VALUE"""),"sgm.saraburi@bigc.co.th")</f>
        <v>sgm.saraburi@bigc.co.th</v>
      </c>
    </row>
    <row r="158" ht="15.75" customHeight="1">
      <c r="A158" s="1" t="str">
        <f>IFERROR(__xludf.DUMMYFUNCTION("""COMPUTED_VALUE"""),"11259")</f>
        <v>11259</v>
      </c>
      <c r="B158" s="2">
        <f>IFERROR(__xludf.DUMMYFUNCTION("""COMPUTED_VALUE"""),11259.0)</f>
        <v>11259</v>
      </c>
      <c r="C158" s="3" t="str">
        <f>IFERROR(__xludf.DUMMYFUNCTION("""COMPUTED_VALUE"""),"ยะลา")</f>
        <v>ยะลา</v>
      </c>
      <c r="D158" s="3" t="str">
        <f>IFERROR(__xludf.DUMMYFUNCTION("""COMPUTED_VALUE"""),"BIGC YALA")</f>
        <v>BIGC YALA</v>
      </c>
      <c r="E158" s="1" t="str">
        <f>IFERROR(__xludf.DUMMYFUNCTION("""COMPUTED_VALUE"""),"บิ๊กซี HyperMarket")</f>
        <v>บิ๊กซี HyperMarket</v>
      </c>
      <c r="F158" s="1" t="str">
        <f>IFERROR(__xludf.DUMMYFUNCTION("""COMPUTED_VALUE"""),"2454709")</f>
        <v>2454709</v>
      </c>
      <c r="G158" s="1" t="str">
        <f>IFERROR(__xludf.DUMMYFUNCTION("""COMPUTED_VALUE"""),"นายประชา เกตุชาติ")</f>
        <v>นายประชา เกตุชาติ</v>
      </c>
      <c r="H158" s="1" t="str">
        <f>IFERROR(__xludf.DUMMYFUNCTION("""COMPUTED_VALUE"""),"2454709")</f>
        <v>2454709</v>
      </c>
      <c r="I158" s="1" t="str">
        <f>IFERROR(__xludf.DUMMYFUNCTION("""COMPUTED_VALUE"""),"นายประชา เกตุชาติ")</f>
        <v>นายประชา เกตุชาติ</v>
      </c>
      <c r="J158" s="3">
        <f>IFERROR(__xludf.DUMMYFUNCTION("""COMPUTED_VALUE"""),2454709.0)</f>
        <v>2454709</v>
      </c>
      <c r="K158" s="3" t="str">
        <f>IFERROR(__xludf.DUMMYFUNCTION("""COMPUTED_VALUE"""),"นายประชา เกตุชาติ")</f>
        <v>นายประชา เกตุชาติ</v>
      </c>
      <c r="L158" s="1" t="str">
        <f>IFERROR(__xludf.DUMMYFUNCTION("""COMPUTED_VALUE"""),"Hub05-South")</f>
        <v>Hub05-South</v>
      </c>
      <c r="M158" s="1" t="str">
        <f>IFERROR(__xludf.DUMMYFUNCTION("""COMPUTED_VALUE"""),"0659291311")</f>
        <v>0659291311</v>
      </c>
      <c r="N158" s="3">
        <f>IFERROR(__xludf.DUMMYFUNCTION("""COMPUTED_VALUE"""),11259.0)</f>
        <v>11259</v>
      </c>
      <c r="O158" s="3" t="str">
        <f>IFERROR(__xludf.DUMMYFUNCTION("""COMPUTED_VALUE"""),"ยะลา")</f>
        <v>ยะลา</v>
      </c>
      <c r="P158" s="4">
        <f>IFERROR(__xludf.DUMMYFUNCTION("""COMPUTED_VALUE"""),45504.0)</f>
        <v>45504</v>
      </c>
      <c r="Q158" s="3" t="str">
        <f>IFERROR(__xludf.DUMMYFUNCTION("""COMPUTED_VALUE"""),"A")</f>
        <v>A</v>
      </c>
      <c r="R158" s="3" t="str">
        <f>IFERROR(__xludf.DUMMYFUNCTION("""COMPUTED_VALUE"""),"Big Format")</f>
        <v>Big Format</v>
      </c>
      <c r="S158" s="3" t="str">
        <f>IFERROR(__xludf.DUMMYFUNCTION("""COMPUTED_VALUE"""),"Hyper")</f>
        <v>Hyper</v>
      </c>
      <c r="T158" s="3" t="str">
        <f>IFERROR(__xludf.DUMMYFUNCTION("""COMPUTED_VALUE"""),"Hub05-South")</f>
        <v>Hub05-South</v>
      </c>
      <c r="U158" s="3" t="str">
        <f>IFERROR(__xludf.DUMMYFUNCTION("""COMPUTED_VALUE"""),"Hub05-South")</f>
        <v>Hub05-South</v>
      </c>
      <c r="V158" s="3" t="str">
        <f>IFERROR(__xludf.DUMMYFUNCTION("""COMPUTED_VALUE"""),"N")</f>
        <v>N</v>
      </c>
      <c r="W158" s="3">
        <f>IFERROR(__xludf.DUMMYFUNCTION("""COMPUTED_VALUE"""),111268.0)</f>
        <v>111268</v>
      </c>
      <c r="X158" s="3" t="str">
        <f>IFERROR(__xludf.DUMMYFUNCTION("""COMPUTED_VALUE"""),"4,12 ถนนเทศบาล1 ตำบลสะเตง อำเภอเมืองยะลา จังหวัดยะลา 95000")</f>
        <v>4,12 ถนนเทศบาล1 ตำบลสะเตง อำเภอเมืองยะลา จังหวัดยะลา 95000</v>
      </c>
      <c r="Y158" s="3" t="str">
        <f>IFERROR(__xludf.DUMMYFUNCTION("""COMPUTED_VALUE"""),"เทศบาล1")</f>
        <v>เทศบาล1</v>
      </c>
      <c r="Z158" s="3" t="str">
        <f>IFERROR(__xludf.DUMMYFUNCTION("""COMPUTED_VALUE"""),"สะเตง")</f>
        <v>สะเตง</v>
      </c>
      <c r="AA158" s="3" t="str">
        <f>IFERROR(__xludf.DUMMYFUNCTION("""COMPUTED_VALUE"""),"เมืองยะลา")</f>
        <v>เมืองยะลา</v>
      </c>
      <c r="AB158" s="3" t="str">
        <f>IFERROR(__xludf.DUMMYFUNCTION("""COMPUTED_VALUE"""),"ยะลา")</f>
        <v>ยะลา</v>
      </c>
      <c r="AC158" s="3">
        <f>IFERROR(__xludf.DUMMYFUNCTION("""COMPUTED_VALUE"""),95000.0)</f>
        <v>95000</v>
      </c>
      <c r="AD158" s="3">
        <f>IFERROR(__xludf.DUMMYFUNCTION("""COMPUTED_VALUE"""),6.55120486)</f>
        <v>6.55120486</v>
      </c>
      <c r="AE158" s="3">
        <f>IFERROR(__xludf.DUMMYFUNCTION("""COMPUTED_VALUE"""),101.2711113)</f>
        <v>101.2711113</v>
      </c>
      <c r="AF158" s="3" t="str">
        <f>IFERROR(__xludf.DUMMYFUNCTION("""COMPUTED_VALUE"""),"ยะลา-11259")</f>
        <v>ยะลา-11259</v>
      </c>
      <c r="AG158" s="3" t="str">
        <f>IFERROR(__xludf.DUMMYFUNCTION("""COMPUTED_VALUE"""),"ใต้")</f>
        <v>ใต้</v>
      </c>
      <c r="AH158" s="3" t="str">
        <f>IFERROR(__xludf.DUMMYFUNCTION("""COMPUTED_VALUE"""),"Suwadee Intachart")</f>
        <v>Suwadee Intachart</v>
      </c>
      <c r="AI158" s="3" t="str">
        <f>IFERROR(__xludf.DUMMYFUNCTION("""COMPUTED_VALUE"""),"Out of warranty")</f>
        <v>Out of warranty</v>
      </c>
      <c r="AJ158" s="3">
        <f>IFERROR(__xludf.DUMMYFUNCTION("""COMPUTED_VALUE"""),18.0)</f>
        <v>18</v>
      </c>
      <c r="AK158" s="3"/>
      <c r="AL158" s="3" t="str">
        <f>IFERROR(__xludf.DUMMYFUNCTION("""COMPUTED_VALUE"""),"sgm.yala@bigc.co.th")</f>
        <v>sgm.yala@bigc.co.th</v>
      </c>
    </row>
    <row r="159" ht="15.75" customHeight="1">
      <c r="A159" s="1" t="str">
        <f>IFERROR(__xludf.DUMMYFUNCTION("""COMPUTED_VALUE"""),"14001")</f>
        <v>14001</v>
      </c>
      <c r="B159" s="2">
        <f>IFERROR(__xludf.DUMMYFUNCTION("""COMPUTED_VALUE"""),14001.0)</f>
        <v>14001</v>
      </c>
      <c r="C159" s="3" t="str">
        <f>IFERROR(__xludf.DUMMYFUNCTION("""COMPUTED_VALUE"""),"Jumbo สำโรง2")</f>
        <v>Jumbo สำโรง2</v>
      </c>
      <c r="D159" s="3" t="str">
        <f>IFERROR(__xludf.DUMMYFUNCTION("""COMPUTED_VALUE"""),"BIGC JUMBO SAMROMG-2")</f>
        <v>BIGC JUMBO SAMROMG-2</v>
      </c>
      <c r="E159" s="1" t="str">
        <f>IFERROR(__xludf.DUMMYFUNCTION("""COMPUTED_VALUE"""),"บิ๊กซี HyperMarket")</f>
        <v>บิ๊กซี HyperMarket</v>
      </c>
      <c r="F159" s="1" t="str">
        <f>IFERROR(__xludf.DUMMYFUNCTION("""COMPUTED_VALUE"""),"2454716")</f>
        <v>2454716</v>
      </c>
      <c r="G159" s="1" t="str">
        <f>IFERROR(__xludf.DUMMYFUNCTION("""COMPUTED_VALUE"""),"นายโฆษิต วงค์กะโซ่")</f>
        <v>นายโฆษิต วงค์กะโซ่</v>
      </c>
      <c r="H159" s="1" t="str">
        <f>IFERROR(__xludf.DUMMYFUNCTION("""COMPUTED_VALUE"""),"2454716")</f>
        <v>2454716</v>
      </c>
      <c r="I159" s="1" t="str">
        <f>IFERROR(__xludf.DUMMYFUNCTION("""COMPUTED_VALUE"""),"นายโฆษิต วงค์กะโซ่")</f>
        <v>นายโฆษิต วงค์กะโซ่</v>
      </c>
      <c r="J159" s="3">
        <f>IFERROR(__xludf.DUMMYFUNCTION("""COMPUTED_VALUE"""),2454716.0)</f>
        <v>2454716</v>
      </c>
      <c r="K159" s="3" t="str">
        <f>IFERROR(__xludf.DUMMYFUNCTION("""COMPUTED_VALUE"""),"นายโฆษิต วงค์กะโซ่")</f>
        <v>นายโฆษิต วงค์กะโซ่</v>
      </c>
      <c r="L159" s="1" t="str">
        <f>IFERROR(__xludf.DUMMYFUNCTION("""COMPUTED_VALUE"""),"Hub03-BKK 3")</f>
        <v>Hub03-BKK 3</v>
      </c>
      <c r="M159" s="1" t="str">
        <f>IFERROR(__xludf.DUMMYFUNCTION("""COMPUTED_VALUE"""),"062-434-5030")</f>
        <v>062-434-5030</v>
      </c>
      <c r="N159" s="3">
        <f>IFERROR(__xludf.DUMMYFUNCTION("""COMPUTED_VALUE"""),14001.0)</f>
        <v>14001</v>
      </c>
      <c r="O159" s="3" t="str">
        <f>IFERROR(__xludf.DUMMYFUNCTION("""COMPUTED_VALUE"""),"Jumbo สำโรง2")</f>
        <v>Jumbo สำโรง2</v>
      </c>
      <c r="P159" s="4">
        <f>IFERROR(__xludf.DUMMYFUNCTION("""COMPUTED_VALUE"""),37455.0)</f>
        <v>37455</v>
      </c>
      <c r="Q159" s="3" t="str">
        <f>IFERROR(__xludf.DUMMYFUNCTION("""COMPUTED_VALUE"""),"A")</f>
        <v>A</v>
      </c>
      <c r="R159" s="3" t="str">
        <f>IFERROR(__xludf.DUMMYFUNCTION("""COMPUTED_VALUE"""),"Big Format")</f>
        <v>Big Format</v>
      </c>
      <c r="S159" s="3" t="str">
        <f>IFERROR(__xludf.DUMMYFUNCTION("""COMPUTED_VALUE"""),"Hyper")</f>
        <v>Hyper</v>
      </c>
      <c r="T159" s="3" t="str">
        <f>IFERROR(__xludf.DUMMYFUNCTION("""COMPUTED_VALUE"""),"Hub03-BKK 3")</f>
        <v>Hub03-BKK 3</v>
      </c>
      <c r="U159" s="3" t="str">
        <f>IFERROR(__xludf.DUMMYFUNCTION("""COMPUTED_VALUE"""),"Hub03-BKK 3")</f>
        <v>Hub03-BKK 3</v>
      </c>
      <c r="V159" s="3" t="str">
        <f>IFERROR(__xludf.DUMMYFUNCTION("""COMPUTED_VALUE"""),"N")</f>
        <v>N</v>
      </c>
      <c r="W159" s="3">
        <f>IFERROR(__xludf.DUMMYFUNCTION("""COMPUTED_VALUE"""),141001.0)</f>
        <v>141001</v>
      </c>
      <c r="X159" s="3" t="str">
        <f>IFERROR(__xludf.DUMMYFUNCTION("""COMPUTED_VALUE"""),"1293 หมู่ที่ 4 ตำบลเทพารักษ์ อำเภอเมืองสมุทรปราการ จังหวัดสมุทรปราการ 10270")</f>
        <v>1293 หมู่ที่ 4 ตำบลเทพารักษ์ อำเภอเมืองสมุทรปราการ จังหวัดสมุทรปราการ 10270</v>
      </c>
      <c r="Y159" s="3"/>
      <c r="Z159" s="3" t="str">
        <f>IFERROR(__xludf.DUMMYFUNCTION("""COMPUTED_VALUE"""),"เทพารักษ์")</f>
        <v>เทพารักษ์</v>
      </c>
      <c r="AA159" s="3" t="str">
        <f>IFERROR(__xludf.DUMMYFUNCTION("""COMPUTED_VALUE"""),"เมืองสมุทรปราการ")</f>
        <v>เมืองสมุทรปราการ</v>
      </c>
      <c r="AB159" s="3" t="str">
        <f>IFERROR(__xludf.DUMMYFUNCTION("""COMPUTED_VALUE"""),"สมุทรปราการ")</f>
        <v>สมุทรปราการ</v>
      </c>
      <c r="AC159" s="3">
        <f>IFERROR(__xludf.DUMMYFUNCTION("""COMPUTED_VALUE"""),10270.0)</f>
        <v>10270</v>
      </c>
      <c r="AD159" s="3">
        <f>IFERROR(__xludf.DUMMYFUNCTION("""COMPUTED_VALUE"""),13.639828)</f>
        <v>13.639828</v>
      </c>
      <c r="AE159" s="3">
        <f>IFERROR(__xludf.DUMMYFUNCTION("""COMPUTED_VALUE"""),100.59295)</f>
        <v>100.59295</v>
      </c>
      <c r="AF159" s="3" t="str">
        <f>IFERROR(__xludf.DUMMYFUNCTION("""COMPUTED_VALUE"""),"Jumbo สำโรง2-14001")</f>
        <v>Jumbo สำโรง2-14001</v>
      </c>
      <c r="AG159" s="3" t="str">
        <f>IFERROR(__xludf.DUMMYFUNCTION("""COMPUTED_VALUE"""),"กลาง")</f>
        <v>กลาง</v>
      </c>
      <c r="AH159" s="3" t="str">
        <f>IFERROR(__xludf.DUMMYFUNCTION("""COMPUTED_VALUE"""),"Saitan Boonpitak")</f>
        <v>Saitan Boonpitak</v>
      </c>
      <c r="AI159" s="3" t="str">
        <f>IFERROR(__xludf.DUMMYFUNCTION("""COMPUTED_VALUE"""),"Out of warranty")</f>
        <v>Out of warranty</v>
      </c>
      <c r="AJ159" s="3">
        <f>IFERROR(__xludf.DUMMYFUNCTION("""COMPUTED_VALUE"""),283.0)</f>
        <v>283</v>
      </c>
      <c r="AK159" s="3"/>
      <c r="AL159" s="3" t="str">
        <f>IFERROR(__xludf.DUMMYFUNCTION("""COMPUTED_VALUE"""),"sgm.samrong2@bigc.co.th")</f>
        <v>sgm.samrong2@bigc.co.th</v>
      </c>
    </row>
    <row r="160" ht="15.75" customHeight="1">
      <c r="A160" s="1" t="str">
        <f>IFERROR(__xludf.DUMMYFUNCTION("""COMPUTED_VALUE"""),"14002")</f>
        <v>14002</v>
      </c>
      <c r="B160" s="2">
        <f>IFERROR(__xludf.DUMMYFUNCTION("""COMPUTED_VALUE"""),14002.0)</f>
        <v>14002</v>
      </c>
      <c r="C160" s="3" t="str">
        <f>IFERROR(__xludf.DUMMYFUNCTION("""COMPUTED_VALUE"""),"คลังบางนา ก.ม. 23")</f>
        <v>คลังบางนา ก.ม. 23</v>
      </c>
      <c r="D160" s="3" t="str">
        <f>IFERROR(__xludf.DUMMYFUNCTION("""COMPUTED_VALUE"""),"BIGC BANGNA WAREHOUSE")</f>
        <v>BIGC BANGNA WAREHOUSE</v>
      </c>
      <c r="E160" s="1" t="str">
        <f>IFERROR(__xludf.DUMMYFUNCTION("""COMPUTED_VALUE"""),"บิ๊กซี HyperMarket")</f>
        <v>บิ๊กซี HyperMarket</v>
      </c>
      <c r="F160" s="1" t="str">
        <f>IFERROR(__xludf.DUMMYFUNCTION("""COMPUTED_VALUE"""),"296619")</f>
        <v>296619</v>
      </c>
      <c r="G160" s="1" t="str">
        <f>IFERROR(__xludf.DUMMYFUNCTION("""COMPUTED_VALUE"""),"นายกุมภา มารุ่งเรือง")</f>
        <v>นายกุมภา มารุ่งเรือง</v>
      </c>
      <c r="H160" s="1" t="str">
        <f>IFERROR(__xludf.DUMMYFUNCTION("""COMPUTED_VALUE"""),"296619")</f>
        <v>296619</v>
      </c>
      <c r="I160" s="1" t="str">
        <f>IFERROR(__xludf.DUMMYFUNCTION("""COMPUTED_VALUE"""),"นายกุมภา มารุ่งเรือง")</f>
        <v>นายกุมภา มารุ่งเรือง</v>
      </c>
      <c r="J160" s="3">
        <f>IFERROR(__xludf.DUMMYFUNCTION("""COMPUTED_VALUE"""),296619.0)</f>
        <v>296619</v>
      </c>
      <c r="K160" s="3" t="str">
        <f>IFERROR(__xludf.DUMMYFUNCTION("""COMPUTED_VALUE"""),"นายกุมภา มารุ่งเรือง")</f>
        <v>นายกุมภา มารุ่งเรือง</v>
      </c>
      <c r="L160" s="1" t="str">
        <f>IFERROR(__xludf.DUMMYFUNCTION("""COMPUTED_VALUE"""),"0")</f>
        <v>0</v>
      </c>
      <c r="M160" s="1" t="str">
        <f>IFERROR(__xludf.DUMMYFUNCTION("""COMPUTED_VALUE"""),"0825151955")</f>
        <v>0825151955</v>
      </c>
      <c r="N160" s="3">
        <f>IFERROR(__xludf.DUMMYFUNCTION("""COMPUTED_VALUE"""),14002.0)</f>
        <v>14002</v>
      </c>
      <c r="O160" s="3" t="str">
        <f>IFERROR(__xludf.DUMMYFUNCTION("""COMPUTED_VALUE"""),"คลังบางนา ก.ม. 23")</f>
        <v>คลังบางนา ก.ม. 23</v>
      </c>
      <c r="P160" s="4">
        <f>IFERROR(__xludf.DUMMYFUNCTION("""COMPUTED_VALUE"""),43466.0)</f>
        <v>43466</v>
      </c>
      <c r="Q160" s="3" t="str">
        <f>IFERROR(__xludf.DUMMYFUNCTION("""COMPUTED_VALUE"""),"I")</f>
        <v>I</v>
      </c>
      <c r="R160" s="3" t="str">
        <f>IFERROR(__xludf.DUMMYFUNCTION("""COMPUTED_VALUE"""),"Big Format")</f>
        <v>Big Format</v>
      </c>
      <c r="S160" s="3" t="str">
        <f>IFERROR(__xludf.DUMMYFUNCTION("""COMPUTED_VALUE"""),"Hyper")</f>
        <v>Hyper</v>
      </c>
      <c r="T160" s="3">
        <f>IFERROR(__xludf.DUMMYFUNCTION("""COMPUTED_VALUE"""),0.0)</f>
        <v>0</v>
      </c>
      <c r="U160" s="3">
        <f>IFERROR(__xludf.DUMMYFUNCTION("""COMPUTED_VALUE"""),0.0)</f>
        <v>0</v>
      </c>
      <c r="V160" s="3" t="str">
        <f>IFERROR(__xludf.DUMMYFUNCTION("""COMPUTED_VALUE"""),"N")</f>
        <v>N</v>
      </c>
      <c r="W160" s="3">
        <f>IFERROR(__xludf.DUMMYFUNCTION("""COMPUTED_VALUE"""),111253.0)</f>
        <v>111253</v>
      </c>
      <c r="X160" s="3" t="str">
        <f>IFERROR(__xludf.DUMMYFUNCTION("""COMPUTED_VALUE"""),"อาคาร W3/1 เลขที่ 55/83 หมู่ที่ 15 ตำบลบางเสาธง อำเภอบางเสาธง จังหวัดสมุทรปราการ 10570")</f>
        <v>อาคาร W3/1 เลขที่ 55/83 หมู่ที่ 15 ตำบลบางเสาธง อำเภอบางเสาธง จังหวัดสมุทรปราการ 10570</v>
      </c>
      <c r="Y160" s="3"/>
      <c r="Z160" s="3" t="str">
        <f>IFERROR(__xludf.DUMMYFUNCTION("""COMPUTED_VALUE"""),"บางโฉลง")</f>
        <v>บางโฉลง</v>
      </c>
      <c r="AA160" s="3" t="str">
        <f>IFERROR(__xludf.DUMMYFUNCTION("""COMPUTED_VALUE"""),"บางพลี")</f>
        <v>บางพลี</v>
      </c>
      <c r="AB160" s="3" t="str">
        <f>IFERROR(__xludf.DUMMYFUNCTION("""COMPUTED_VALUE"""),"สมุทรปราการ")</f>
        <v>สมุทรปราการ</v>
      </c>
      <c r="AC160" s="3">
        <f>IFERROR(__xludf.DUMMYFUNCTION("""COMPUTED_VALUE"""),10540.0)</f>
        <v>10540</v>
      </c>
      <c r="AD160" s="3">
        <f>IFERROR(__xludf.DUMMYFUNCTION("""COMPUTED_VALUE"""),0.0)</f>
        <v>0</v>
      </c>
      <c r="AE160" s="3">
        <f>IFERROR(__xludf.DUMMYFUNCTION("""COMPUTED_VALUE"""),0.0)</f>
        <v>0</v>
      </c>
      <c r="AF160" s="3" t="str">
        <f>IFERROR(__xludf.DUMMYFUNCTION("""COMPUTED_VALUE"""),"คลังบางนา ก.ม. 23-14002")</f>
        <v>คลังบางนา ก.ม. 23-14002</v>
      </c>
      <c r="AG160" s="3" t="str">
        <f>IFERROR(__xludf.DUMMYFUNCTION("""COMPUTED_VALUE"""),"กลาง")</f>
        <v>กลาง</v>
      </c>
      <c r="AH160" s="3" t="str">
        <f>IFERROR(__xludf.DUMMYFUNCTION("""COMPUTED_VALUE"""),"#N/A")</f>
        <v>#N/A</v>
      </c>
      <c r="AI160" s="3" t="str">
        <f>IFERROR(__xludf.DUMMYFUNCTION("""COMPUTED_VALUE"""),"Out of warranty")</f>
        <v>Out of warranty</v>
      </c>
      <c r="AJ160" s="3">
        <f>IFERROR(__xludf.DUMMYFUNCTION("""COMPUTED_VALUE"""),85.0)</f>
        <v>85</v>
      </c>
      <c r="AK160" s="3"/>
      <c r="AL160" s="3" t="str">
        <f>IFERROR(__xludf.DUMMYFUNCTION("""COMPUTED_VALUE"""),"#N/A")</f>
        <v>#N/A</v>
      </c>
    </row>
    <row r="161" ht="15.75" customHeight="1">
      <c r="A161" s="1" t="str">
        <f>IFERROR(__xludf.DUMMYFUNCTION("""COMPUTED_VALUE"""),"14003")</f>
        <v>14003</v>
      </c>
      <c r="B161" s="2">
        <f>IFERROR(__xludf.DUMMYFUNCTION("""COMPUTED_VALUE"""),14003.0)</f>
        <v>14003</v>
      </c>
      <c r="C161" s="3" t="str">
        <f>IFERROR(__xludf.DUMMYFUNCTION("""COMPUTED_VALUE"""),"ประโคนชัย")</f>
        <v>ประโคนชัย</v>
      </c>
      <c r="D161" s="3" t="str">
        <f>IFERROR(__xludf.DUMMYFUNCTION("""COMPUTED_VALUE"""),"BIGC DEPOT PRAKHONCHAI")</f>
        <v>BIGC DEPOT PRAKHONCHAI</v>
      </c>
      <c r="E161" s="1" t="str">
        <f>IFERROR(__xludf.DUMMYFUNCTION("""COMPUTED_VALUE"""),"บิ๊กซี Depot")</f>
        <v>บิ๊กซี Depot</v>
      </c>
      <c r="F161" s="1" t="str">
        <f>IFERROR(__xludf.DUMMYFUNCTION("""COMPUTED_VALUE"""),"033317")</f>
        <v>033317</v>
      </c>
      <c r="G161" s="1" t="str">
        <f>IFERROR(__xludf.DUMMYFUNCTION("""COMPUTED_VALUE"""),"นายอาณัติ เพชรภาน")</f>
        <v>นายอาณัติ เพชรภาน</v>
      </c>
      <c r="H161" s="1" t="str">
        <f>IFERROR(__xludf.DUMMYFUNCTION("""COMPUTED_VALUE"""),"033317")</f>
        <v>033317</v>
      </c>
      <c r="I161" s="1" t="str">
        <f>IFERROR(__xludf.DUMMYFUNCTION("""COMPUTED_VALUE"""),"นายอาณัติ เพชรภาน")</f>
        <v>นายอาณัติ เพชรภาน</v>
      </c>
      <c r="J161" s="3">
        <f>IFERROR(__xludf.DUMMYFUNCTION("""COMPUTED_VALUE"""),33317.0)</f>
        <v>33317</v>
      </c>
      <c r="K161" s="3" t="str">
        <f>IFERROR(__xludf.DUMMYFUNCTION("""COMPUTED_VALUE"""),"นายอาณัติ เพชรภาน")</f>
        <v>นายอาณัติ เพชรภาน</v>
      </c>
      <c r="L161" s="3" t="str">
        <f>IFERROR(__xludf.DUMMYFUNCTION("""COMPUTED_VALUE"""),"Hub10-NE 2")</f>
        <v>Hub10-NE 2</v>
      </c>
      <c r="M161" s="1" t="str">
        <f>IFERROR(__xludf.DUMMYFUNCTION("""COMPUTED_VALUE"""),"0644791409")</f>
        <v>0644791409</v>
      </c>
      <c r="N161" s="3">
        <f>IFERROR(__xludf.DUMMYFUNCTION("""COMPUTED_VALUE"""),14003.0)</f>
        <v>14003</v>
      </c>
      <c r="O161" s="3" t="str">
        <f>IFERROR(__xludf.DUMMYFUNCTION("""COMPUTED_VALUE"""),"ประโคนชัย")</f>
        <v>ประโคนชัย</v>
      </c>
      <c r="P161" s="4">
        <f>IFERROR(__xludf.DUMMYFUNCTION("""COMPUTED_VALUE"""),41985.0)</f>
        <v>41985</v>
      </c>
      <c r="Q161" s="3" t="str">
        <f>IFERROR(__xludf.DUMMYFUNCTION("""COMPUTED_VALUE"""),"I")</f>
        <v>I</v>
      </c>
      <c r="R161" s="3" t="str">
        <f>IFERROR(__xludf.DUMMYFUNCTION("""COMPUTED_VALUE"""),"Big Format")</f>
        <v>Big Format</v>
      </c>
      <c r="S161" s="3" t="str">
        <f>IFERROR(__xludf.DUMMYFUNCTION("""COMPUTED_VALUE"""),"Depot")</f>
        <v>Depot</v>
      </c>
      <c r="T161" s="3" t="str">
        <f>IFERROR(__xludf.DUMMYFUNCTION("""COMPUTED_VALUE"""),"Hub10-NE 2")</f>
        <v>Hub10-NE 2</v>
      </c>
      <c r="U161" s="3" t="str">
        <f>IFERROR(__xludf.DUMMYFUNCTION("""COMPUTED_VALUE"""),"Hub10-NE 2")</f>
        <v>Hub10-NE 2</v>
      </c>
      <c r="V161" s="3" t="str">
        <f>IFERROR(__xludf.DUMMYFUNCTION("""COMPUTED_VALUE"""),"N")</f>
        <v>N</v>
      </c>
      <c r="W161" s="3">
        <f>IFERROR(__xludf.DUMMYFUNCTION("""COMPUTED_VALUE"""),151043.0)</f>
        <v>151043</v>
      </c>
      <c r="X161" s="3" t="str">
        <f>IFERROR(__xludf.DUMMYFUNCTION("""COMPUTED_VALUE"""),"235 หมู่6 ตำบลประโคนชัย อำเภอประโคนชัย จังหวัดบุรีรัมย์ 31140")</f>
        <v>235 หมู่6 ตำบลประโคนชัย อำเภอประโคนชัย จังหวัดบุรีรัมย์ 31140</v>
      </c>
      <c r="Y161" s="3"/>
      <c r="Z161" s="3" t="str">
        <f>IFERROR(__xludf.DUMMYFUNCTION("""COMPUTED_VALUE"""),"ประโคนชัย")</f>
        <v>ประโคนชัย</v>
      </c>
      <c r="AA161" s="3" t="str">
        <f>IFERROR(__xludf.DUMMYFUNCTION("""COMPUTED_VALUE"""),"ประโคนชัย")</f>
        <v>ประโคนชัย</v>
      </c>
      <c r="AB161" s="3" t="str">
        <f>IFERROR(__xludf.DUMMYFUNCTION("""COMPUTED_VALUE"""),"บุรีรัมย์")</f>
        <v>บุรีรัมย์</v>
      </c>
      <c r="AC161" s="3">
        <f>IFERROR(__xludf.DUMMYFUNCTION("""COMPUTED_VALUE"""),31140.0)</f>
        <v>31140</v>
      </c>
      <c r="AD161" s="3">
        <f>IFERROR(__xludf.DUMMYFUNCTION("""COMPUTED_VALUE"""),14.5753144)</f>
        <v>14.5753144</v>
      </c>
      <c r="AE161" s="3">
        <f>IFERROR(__xludf.DUMMYFUNCTION("""COMPUTED_VALUE"""),103.0218164)</f>
        <v>103.0218164</v>
      </c>
      <c r="AF161" s="3" t="str">
        <f>IFERROR(__xludf.DUMMYFUNCTION("""COMPUTED_VALUE"""),"ประโคนชัย-14003")</f>
        <v>ประโคนชัย-14003</v>
      </c>
      <c r="AG161" s="3" t="str">
        <f>IFERROR(__xludf.DUMMYFUNCTION("""COMPUTED_VALUE"""),"ตะวันออกเฉียงเหนือ")</f>
        <v>ตะวันออกเฉียงเหนือ</v>
      </c>
      <c r="AH161" s="3" t="str">
        <f>IFERROR(__xludf.DUMMYFUNCTION("""COMPUTED_VALUE"""),"#N/A")</f>
        <v>#N/A</v>
      </c>
      <c r="AI161" s="3" t="str">
        <f>IFERROR(__xludf.DUMMYFUNCTION("""COMPUTED_VALUE"""),"Out of warranty")</f>
        <v>Out of warranty</v>
      </c>
      <c r="AJ161" s="3">
        <f>IFERROR(__xludf.DUMMYFUNCTION("""COMPUTED_VALUE"""),134.0)</f>
        <v>134</v>
      </c>
      <c r="AK161" s="3"/>
      <c r="AL161" s="3" t="str">
        <f>IFERROR(__xludf.DUMMYFUNCTION("""COMPUTED_VALUE"""),"depot_pakthongchai@bigc.co.th")</f>
        <v>depot_pakthongchai@bigc.co.th</v>
      </c>
    </row>
    <row r="162" ht="15.75" customHeight="1">
      <c r="A162" s="1" t="str">
        <f>IFERROR(__xludf.DUMMYFUNCTION("""COMPUTED_VALUE"""),"14004")</f>
        <v>14004</v>
      </c>
      <c r="B162" s="2">
        <f>IFERROR(__xludf.DUMMYFUNCTION("""COMPUTED_VALUE"""),14004.0)</f>
        <v>14004</v>
      </c>
      <c r="C162" s="3" t="str">
        <f>IFERROR(__xludf.DUMMYFUNCTION("""COMPUTED_VALUE"""),"ตาคลี")</f>
        <v>ตาคลี</v>
      </c>
      <c r="D162" s="3" t="str">
        <f>IFERROR(__xludf.DUMMYFUNCTION("""COMPUTED_VALUE"""),"BIGC DEPOT TAKLEE")</f>
        <v>BIGC DEPOT TAKLEE</v>
      </c>
      <c r="E162" s="1" t="str">
        <f>IFERROR(__xludf.DUMMYFUNCTION("""COMPUTED_VALUE"""),"บิ๊กซี Depot")</f>
        <v>บิ๊กซี Depot</v>
      </c>
      <c r="F162" s="1" t="str">
        <f>IFERROR(__xludf.DUMMYFUNCTION("""COMPUTED_VALUE"""),"000348")</f>
        <v>000348</v>
      </c>
      <c r="G162" s="1" t="str">
        <f>IFERROR(__xludf.DUMMYFUNCTION("""COMPUTED_VALUE"""),"นายธีรนันท์ ไม้สนธิ์")</f>
        <v>นายธีรนันท์ ไม้สนธิ์</v>
      </c>
      <c r="H162" s="1" t="str">
        <f>IFERROR(__xludf.DUMMYFUNCTION("""COMPUTED_VALUE"""),"000348")</f>
        <v>000348</v>
      </c>
      <c r="I162" s="1" t="str">
        <f>IFERROR(__xludf.DUMMYFUNCTION("""COMPUTED_VALUE"""),"นายธีรนันท์ ไม้สนธิ์")</f>
        <v>นายธีรนันท์ ไม้สนธิ์</v>
      </c>
      <c r="J162" s="3">
        <f>IFERROR(__xludf.DUMMYFUNCTION("""COMPUTED_VALUE"""),348.0)</f>
        <v>348</v>
      </c>
      <c r="K162" s="3" t="str">
        <f>IFERROR(__xludf.DUMMYFUNCTION("""COMPUTED_VALUE"""),"นายธีรนันท์ ไม้สนธิ์")</f>
        <v>นายธีรนันท์ ไม้สนธิ์</v>
      </c>
      <c r="L162" s="3" t="str">
        <f>IFERROR(__xludf.DUMMYFUNCTION("""COMPUTED_VALUE"""),"Hub07-North")</f>
        <v>Hub07-North</v>
      </c>
      <c r="M162" s="1" t="str">
        <f>IFERROR(__xludf.DUMMYFUNCTION("""COMPUTED_VALUE"""),"0614175866")</f>
        <v>0614175866</v>
      </c>
      <c r="N162" s="3">
        <f>IFERROR(__xludf.DUMMYFUNCTION("""COMPUTED_VALUE"""),14004.0)</f>
        <v>14004</v>
      </c>
      <c r="O162" s="3" t="str">
        <f>IFERROR(__xludf.DUMMYFUNCTION("""COMPUTED_VALUE"""),"ตาคลี")</f>
        <v>ตาคลี</v>
      </c>
      <c r="P162" s="4">
        <f>IFERROR(__xludf.DUMMYFUNCTION("""COMPUTED_VALUE"""),41384.0)</f>
        <v>41384</v>
      </c>
      <c r="Q162" s="3" t="str">
        <f>IFERROR(__xludf.DUMMYFUNCTION("""COMPUTED_VALUE"""),"A")</f>
        <v>A</v>
      </c>
      <c r="R162" s="3" t="str">
        <f>IFERROR(__xludf.DUMMYFUNCTION("""COMPUTED_VALUE"""),"Big Format")</f>
        <v>Big Format</v>
      </c>
      <c r="S162" s="3" t="str">
        <f>IFERROR(__xludf.DUMMYFUNCTION("""COMPUTED_VALUE"""),"Depot")</f>
        <v>Depot</v>
      </c>
      <c r="T162" s="3" t="str">
        <f>IFERROR(__xludf.DUMMYFUNCTION("""COMPUTED_VALUE"""),"Hub07-North")</f>
        <v>Hub07-North</v>
      </c>
      <c r="U162" s="3" t="str">
        <f>IFERROR(__xludf.DUMMYFUNCTION("""COMPUTED_VALUE"""),"Hub07-North")</f>
        <v>Hub07-North</v>
      </c>
      <c r="V162" s="3" t="str">
        <f>IFERROR(__xludf.DUMMYFUNCTION("""COMPUTED_VALUE"""),"N")</f>
        <v>N</v>
      </c>
      <c r="W162" s="3">
        <f>IFERROR(__xludf.DUMMYFUNCTION("""COMPUTED_VALUE"""),151021.0)</f>
        <v>151021</v>
      </c>
      <c r="X162" s="3" t="str">
        <f>IFERROR(__xludf.DUMMYFUNCTION("""COMPUTED_VALUE"""),"180 หมู่1ตำบลตาคลี อำเภอตาคลี จังหวัดนครสวรรค์ 60140")</f>
        <v>180 หมู่1ตำบลตาคลี อำเภอตาคลี จังหวัดนครสวรรค์ 60140</v>
      </c>
      <c r="Y162" s="3"/>
      <c r="Z162" s="3" t="str">
        <f>IFERROR(__xludf.DUMMYFUNCTION("""COMPUTED_VALUE"""),"อำเภอตาคลี")</f>
        <v>อำเภอตาคลี</v>
      </c>
      <c r="AA162" s="3" t="str">
        <f>IFERROR(__xludf.DUMMYFUNCTION("""COMPUTED_VALUE"""),"ตาคลี")</f>
        <v>ตาคลี</v>
      </c>
      <c r="AB162" s="3" t="str">
        <f>IFERROR(__xludf.DUMMYFUNCTION("""COMPUTED_VALUE"""),"นครสวรรค์")</f>
        <v>นครสวรรค์</v>
      </c>
      <c r="AC162" s="3">
        <f>IFERROR(__xludf.DUMMYFUNCTION("""COMPUTED_VALUE"""),60140.0)</f>
        <v>60140</v>
      </c>
      <c r="AD162" s="3">
        <f>IFERROR(__xludf.DUMMYFUNCTION("""COMPUTED_VALUE"""),15.2614623)</f>
        <v>15.2614623</v>
      </c>
      <c r="AE162" s="3">
        <f>IFERROR(__xludf.DUMMYFUNCTION("""COMPUTED_VALUE"""),100.3166617)</f>
        <v>100.3166617</v>
      </c>
      <c r="AF162" s="3" t="str">
        <f>IFERROR(__xludf.DUMMYFUNCTION("""COMPUTED_VALUE"""),"ตาคลี-14004")</f>
        <v>ตาคลี-14004</v>
      </c>
      <c r="AG162" s="3" t="str">
        <f>IFERROR(__xludf.DUMMYFUNCTION("""COMPUTED_VALUE"""),"กลาง")</f>
        <v>กลาง</v>
      </c>
      <c r="AH162" s="3" t="str">
        <f>IFERROR(__xludf.DUMMYFUNCTION("""COMPUTED_VALUE"""),"#N/A")</f>
        <v>#N/A</v>
      </c>
      <c r="AI162" s="3" t="str">
        <f>IFERROR(__xludf.DUMMYFUNCTION("""COMPUTED_VALUE"""),"Out of warranty")</f>
        <v>Out of warranty</v>
      </c>
      <c r="AJ162" s="3">
        <f>IFERROR(__xludf.DUMMYFUNCTION("""COMPUTED_VALUE"""),154.0)</f>
        <v>154</v>
      </c>
      <c r="AK162" s="3"/>
      <c r="AL162" s="3" t="str">
        <f>IFERROR(__xludf.DUMMYFUNCTION("""COMPUTED_VALUE"""),"depot_taklee@bigc.co.th")</f>
        <v>depot_taklee@bigc.co.th</v>
      </c>
    </row>
    <row r="163" ht="15.75" customHeight="1">
      <c r="A163" s="1" t="str">
        <f>IFERROR(__xludf.DUMMYFUNCTION("""COMPUTED_VALUE"""),"14005")</f>
        <v>14005</v>
      </c>
      <c r="B163" s="2">
        <f>IFERROR(__xludf.DUMMYFUNCTION("""COMPUTED_VALUE"""),14005.0)</f>
        <v>14005</v>
      </c>
      <c r="C163" s="3" t="str">
        <f>IFERROR(__xludf.DUMMYFUNCTION("""COMPUTED_VALUE"""),"กุฉินรายณ์")</f>
        <v>กุฉินรายณ์</v>
      </c>
      <c r="D163" s="3" t="str">
        <f>IFERROR(__xludf.DUMMYFUNCTION("""COMPUTED_VALUE"""),"BIGC DEPOT KUCHINARAI")</f>
        <v>BIGC DEPOT KUCHINARAI</v>
      </c>
      <c r="E163" s="1" t="str">
        <f>IFERROR(__xludf.DUMMYFUNCTION("""COMPUTED_VALUE"""),"บิ๊กซี Depot")</f>
        <v>บิ๊กซี Depot</v>
      </c>
      <c r="F163" s="1" t="str">
        <f>IFERROR(__xludf.DUMMYFUNCTION("""COMPUTED_VALUE"""),"295801")</f>
        <v>295801</v>
      </c>
      <c r="G163" s="1" t="str">
        <f>IFERROR(__xludf.DUMMYFUNCTION("""COMPUTED_VALUE"""),"นายอรรถพล เหล่าสุวงศ์")</f>
        <v>นายอรรถพล เหล่าสุวงศ์</v>
      </c>
      <c r="H163" s="1" t="str">
        <f>IFERROR(__xludf.DUMMYFUNCTION("""COMPUTED_VALUE"""),"295801")</f>
        <v>295801</v>
      </c>
      <c r="I163" s="1" t="str">
        <f>IFERROR(__xludf.DUMMYFUNCTION("""COMPUTED_VALUE"""),"นายอรรถพล เหล่าสุวงศ์")</f>
        <v>นายอรรถพล เหล่าสุวงศ์</v>
      </c>
      <c r="J163" s="3">
        <f>IFERROR(__xludf.DUMMYFUNCTION("""COMPUTED_VALUE"""),295801.0)</f>
        <v>295801</v>
      </c>
      <c r="K163" s="3" t="str">
        <f>IFERROR(__xludf.DUMMYFUNCTION("""COMPUTED_VALUE"""),"นายอรรถพล เหล่าสุวงศ์")</f>
        <v>นายอรรถพล เหล่าสุวงศ์</v>
      </c>
      <c r="L163" s="1" t="str">
        <f>IFERROR(__xludf.DUMMYFUNCTION("""COMPUTED_VALUE"""),"Hub09-NE 1")</f>
        <v>Hub09-NE 1</v>
      </c>
      <c r="M163" s="1" t="str">
        <f>IFERROR(__xludf.DUMMYFUNCTION("""COMPUTED_VALUE"""),"0655090879")</f>
        <v>0655090879</v>
      </c>
      <c r="N163" s="3">
        <f>IFERROR(__xludf.DUMMYFUNCTION("""COMPUTED_VALUE"""),14005.0)</f>
        <v>14005</v>
      </c>
      <c r="O163" s="3" t="str">
        <f>IFERROR(__xludf.DUMMYFUNCTION("""COMPUTED_VALUE"""),"กุฉินรายณ์")</f>
        <v>กุฉินรายณ์</v>
      </c>
      <c r="P163" s="4">
        <f>IFERROR(__xludf.DUMMYFUNCTION("""COMPUTED_VALUE"""),41818.0)</f>
        <v>41818</v>
      </c>
      <c r="Q163" s="3" t="str">
        <f>IFERROR(__xludf.DUMMYFUNCTION("""COMPUTED_VALUE"""),"I")</f>
        <v>I</v>
      </c>
      <c r="R163" s="3" t="str">
        <f>IFERROR(__xludf.DUMMYFUNCTION("""COMPUTED_VALUE"""),"Big Format")</f>
        <v>Big Format</v>
      </c>
      <c r="S163" s="3" t="str">
        <f>IFERROR(__xludf.DUMMYFUNCTION("""COMPUTED_VALUE"""),"Depot")</f>
        <v>Depot</v>
      </c>
      <c r="T163" s="3" t="str">
        <f>IFERROR(__xludf.DUMMYFUNCTION("""COMPUTED_VALUE"""),"Hub09-NE 1")</f>
        <v>Hub09-NE 1</v>
      </c>
      <c r="U163" s="3" t="str">
        <f>IFERROR(__xludf.DUMMYFUNCTION("""COMPUTED_VALUE"""),"Hub09-NE 1")</f>
        <v>Hub09-NE 1</v>
      </c>
      <c r="V163" s="3" t="str">
        <f>IFERROR(__xludf.DUMMYFUNCTION("""COMPUTED_VALUE"""),"N")</f>
        <v>N</v>
      </c>
      <c r="W163" s="3">
        <f>IFERROR(__xludf.DUMMYFUNCTION("""COMPUTED_VALUE"""),151038.0)</f>
        <v>151038</v>
      </c>
      <c r="X163" s="3" t="str">
        <f>IFERROR(__xludf.DUMMYFUNCTION("""COMPUTED_VALUE"""),"244 หมู่2 ตำบลบัวขาว อำเภอกุฉินารายณ์ จังหวัดกาฬสินธุ์ 46110")</f>
        <v>244 หมู่2 ตำบลบัวขาว อำเภอกุฉินารายณ์ จังหวัดกาฬสินธุ์ 46110</v>
      </c>
      <c r="Y163" s="3"/>
      <c r="Z163" s="3" t="str">
        <f>IFERROR(__xludf.DUMMYFUNCTION("""COMPUTED_VALUE"""),"บัวขาว")</f>
        <v>บัวขาว</v>
      </c>
      <c r="AA163" s="3" t="str">
        <f>IFERROR(__xludf.DUMMYFUNCTION("""COMPUTED_VALUE"""),"กุฉินารายณ์")</f>
        <v>กุฉินารายณ์</v>
      </c>
      <c r="AB163" s="3" t="str">
        <f>IFERROR(__xludf.DUMMYFUNCTION("""COMPUTED_VALUE"""),"กาฬสินธุ์")</f>
        <v>กาฬสินธุ์</v>
      </c>
      <c r="AC163" s="3">
        <f>IFERROR(__xludf.DUMMYFUNCTION("""COMPUTED_VALUE"""),46110.0)</f>
        <v>46110</v>
      </c>
      <c r="AD163" s="3">
        <f>IFERROR(__xludf.DUMMYFUNCTION("""COMPUTED_VALUE"""),16.5322563)</f>
        <v>16.5322563</v>
      </c>
      <c r="AE163" s="3">
        <f>IFERROR(__xludf.DUMMYFUNCTION("""COMPUTED_VALUE"""),104.0190446)</f>
        <v>104.0190446</v>
      </c>
      <c r="AF163" s="3" t="str">
        <f>IFERROR(__xludf.DUMMYFUNCTION("""COMPUTED_VALUE"""),"กุฉินรายณ์-14005")</f>
        <v>กุฉินรายณ์-14005</v>
      </c>
      <c r="AG163" s="3" t="str">
        <f>IFERROR(__xludf.DUMMYFUNCTION("""COMPUTED_VALUE"""),"ตะวันออกเฉียงเหนือ")</f>
        <v>ตะวันออกเฉียงเหนือ</v>
      </c>
      <c r="AH163" s="3" t="str">
        <f>IFERROR(__xludf.DUMMYFUNCTION("""COMPUTED_VALUE"""),"#N/A")</f>
        <v>#N/A</v>
      </c>
      <c r="AI163" s="3" t="str">
        <f>IFERROR(__xludf.DUMMYFUNCTION("""COMPUTED_VALUE"""),"Out of warranty")</f>
        <v>Out of warranty</v>
      </c>
      <c r="AJ163" s="3">
        <f>IFERROR(__xludf.DUMMYFUNCTION("""COMPUTED_VALUE"""),139.0)</f>
        <v>139</v>
      </c>
      <c r="AK163" s="3"/>
      <c r="AL163" s="3" t="str">
        <f>IFERROR(__xludf.DUMMYFUNCTION("""COMPUTED_VALUE"""),"depot_kuchinarai@bigc.co.th")</f>
        <v>depot_kuchinarai@bigc.co.th</v>
      </c>
    </row>
    <row r="164" ht="15.75" customHeight="1">
      <c r="A164" s="1" t="str">
        <f>IFERROR(__xludf.DUMMYFUNCTION("""COMPUTED_VALUE"""),"14006")</f>
        <v>14006</v>
      </c>
      <c r="B164" s="2">
        <f>IFERROR(__xludf.DUMMYFUNCTION("""COMPUTED_VALUE"""),14006.0)</f>
        <v>14006</v>
      </c>
      <c r="C164" s="3" t="str">
        <f>IFERROR(__xludf.DUMMYFUNCTION("""COMPUTED_VALUE"""),"ประทาย")</f>
        <v>ประทาย</v>
      </c>
      <c r="D164" s="3" t="str">
        <f>IFERROR(__xludf.DUMMYFUNCTION("""COMPUTED_VALUE"""),"BIGC DEPOT PRATHAI")</f>
        <v>BIGC DEPOT PRATHAI</v>
      </c>
      <c r="E164" s="1" t="str">
        <f>IFERROR(__xludf.DUMMYFUNCTION("""COMPUTED_VALUE"""),"บิ๊กซี Depot")</f>
        <v>บิ๊กซี Depot</v>
      </c>
      <c r="F164" s="1" t="str">
        <f>IFERROR(__xludf.DUMMYFUNCTION("""COMPUTED_VALUE"""),"033317")</f>
        <v>033317</v>
      </c>
      <c r="G164" s="1" t="str">
        <f>IFERROR(__xludf.DUMMYFUNCTION("""COMPUTED_VALUE"""),"นายอาณัติ เพชรภาน")</f>
        <v>นายอาณัติ เพชรภาน</v>
      </c>
      <c r="H164" s="1" t="str">
        <f>IFERROR(__xludf.DUMMYFUNCTION("""COMPUTED_VALUE"""),"033317")</f>
        <v>033317</v>
      </c>
      <c r="I164" s="1" t="str">
        <f>IFERROR(__xludf.DUMMYFUNCTION("""COMPUTED_VALUE"""),"นายอาณัติ เพชรภาน")</f>
        <v>นายอาณัติ เพชรภาน</v>
      </c>
      <c r="J164" s="3">
        <f>IFERROR(__xludf.DUMMYFUNCTION("""COMPUTED_VALUE"""),33317.0)</f>
        <v>33317</v>
      </c>
      <c r="K164" s="3" t="str">
        <f>IFERROR(__xludf.DUMMYFUNCTION("""COMPUTED_VALUE"""),"นายอาณัติ เพชรภาน")</f>
        <v>นายอาณัติ เพชรภาน</v>
      </c>
      <c r="L164" s="1" t="str">
        <f>IFERROR(__xludf.DUMMYFUNCTION("""COMPUTED_VALUE"""),"Hub10-NE 2")</f>
        <v>Hub10-NE 2</v>
      </c>
      <c r="M164" s="1" t="str">
        <f>IFERROR(__xludf.DUMMYFUNCTION("""COMPUTED_VALUE"""),"0644791409")</f>
        <v>0644791409</v>
      </c>
      <c r="N164" s="3">
        <f>IFERROR(__xludf.DUMMYFUNCTION("""COMPUTED_VALUE"""),14006.0)</f>
        <v>14006</v>
      </c>
      <c r="O164" s="3" t="str">
        <f>IFERROR(__xludf.DUMMYFUNCTION("""COMPUTED_VALUE"""),"ประทาย")</f>
        <v>ประทาย</v>
      </c>
      <c r="P164" s="4">
        <f>IFERROR(__xludf.DUMMYFUNCTION("""COMPUTED_VALUE"""),42363.0)</f>
        <v>42363</v>
      </c>
      <c r="Q164" s="3" t="str">
        <f>IFERROR(__xludf.DUMMYFUNCTION("""COMPUTED_VALUE"""),"I")</f>
        <v>I</v>
      </c>
      <c r="R164" s="3" t="str">
        <f>IFERROR(__xludf.DUMMYFUNCTION("""COMPUTED_VALUE"""),"Big Format")</f>
        <v>Big Format</v>
      </c>
      <c r="S164" s="3" t="str">
        <f>IFERROR(__xludf.DUMMYFUNCTION("""COMPUTED_VALUE"""),"Depot")</f>
        <v>Depot</v>
      </c>
      <c r="T164" s="3" t="str">
        <f>IFERROR(__xludf.DUMMYFUNCTION("""COMPUTED_VALUE"""),"Hub10-NE 2")</f>
        <v>Hub10-NE 2</v>
      </c>
      <c r="U164" s="3" t="str">
        <f>IFERROR(__xludf.DUMMYFUNCTION("""COMPUTED_VALUE"""),"Hub10-NE 2")</f>
        <v>Hub10-NE 2</v>
      </c>
      <c r="V164" s="3" t="str">
        <f>IFERROR(__xludf.DUMMYFUNCTION("""COMPUTED_VALUE"""),"N")</f>
        <v>N</v>
      </c>
      <c r="W164" s="3">
        <f>IFERROR(__xludf.DUMMYFUNCTION("""COMPUTED_VALUE"""),151059.0)</f>
        <v>151059</v>
      </c>
      <c r="X164" s="3" t="str">
        <f>IFERROR(__xludf.DUMMYFUNCTION("""COMPUTED_VALUE"""),"123 หมู่16 ตำบลประทาย อำเภอประทาย จังหวัดนครราชสีมา 30180")</f>
        <v>123 หมู่16 ตำบลประทาย อำเภอประทาย จังหวัดนครราชสีมา 30180</v>
      </c>
      <c r="Y164" s="3"/>
      <c r="Z164" s="3" t="str">
        <f>IFERROR(__xludf.DUMMYFUNCTION("""COMPUTED_VALUE"""),"ประทาย")</f>
        <v>ประทาย</v>
      </c>
      <c r="AA164" s="3" t="str">
        <f>IFERROR(__xludf.DUMMYFUNCTION("""COMPUTED_VALUE"""),"ประทาย")</f>
        <v>ประทาย</v>
      </c>
      <c r="AB164" s="3" t="str">
        <f>IFERROR(__xludf.DUMMYFUNCTION("""COMPUTED_VALUE"""),"นครราชสีมา")</f>
        <v>นครราชสีมา</v>
      </c>
      <c r="AC164" s="3">
        <f>IFERROR(__xludf.DUMMYFUNCTION("""COMPUTED_VALUE"""),30180.0)</f>
        <v>30180</v>
      </c>
      <c r="AD164" s="3">
        <f>IFERROR(__xludf.DUMMYFUNCTION("""COMPUTED_VALUE"""),15.5543189)</f>
        <v>15.5543189</v>
      </c>
      <c r="AE164" s="3">
        <f>IFERROR(__xludf.DUMMYFUNCTION("""COMPUTED_VALUE"""),102.708235)</f>
        <v>102.708235</v>
      </c>
      <c r="AF164" s="3" t="str">
        <f>IFERROR(__xludf.DUMMYFUNCTION("""COMPUTED_VALUE"""),"ประทาย-14006")</f>
        <v>ประทาย-14006</v>
      </c>
      <c r="AG164" s="3" t="str">
        <f>IFERROR(__xludf.DUMMYFUNCTION("""COMPUTED_VALUE"""),"ตะวันออกเฉียงเหนือ")</f>
        <v>ตะวันออกเฉียงเหนือ</v>
      </c>
      <c r="AH164" s="3" t="str">
        <f>IFERROR(__xludf.DUMMYFUNCTION("""COMPUTED_VALUE"""),"#N/A")</f>
        <v>#N/A</v>
      </c>
      <c r="AI164" s="3" t="str">
        <f>IFERROR(__xludf.DUMMYFUNCTION("""COMPUTED_VALUE"""),"Out of warranty")</f>
        <v>Out of warranty</v>
      </c>
      <c r="AJ164" s="3">
        <f>IFERROR(__xludf.DUMMYFUNCTION("""COMPUTED_VALUE"""),121.0)</f>
        <v>121</v>
      </c>
      <c r="AK164" s="3"/>
      <c r="AL164" s="3" t="str">
        <f>IFERROR(__xludf.DUMMYFUNCTION("""COMPUTED_VALUE"""),"depot_pratai@bigc.co.th")</f>
        <v>depot_pratai@bigc.co.th</v>
      </c>
    </row>
    <row r="165" ht="15.75" customHeight="1">
      <c r="A165" s="1" t="str">
        <f>IFERROR(__xludf.DUMMYFUNCTION("""COMPUTED_VALUE"""),"14007")</f>
        <v>14007</v>
      </c>
      <c r="B165" s="2">
        <f>IFERROR(__xludf.DUMMYFUNCTION("""COMPUTED_VALUE"""),14007.0)</f>
        <v>14007</v>
      </c>
      <c r="C165" s="3" t="str">
        <f>IFERROR(__xludf.DUMMYFUNCTION("""COMPUTED_VALUE"""),"ปักธงชัย")</f>
        <v>ปักธงชัย</v>
      </c>
      <c r="D165" s="3" t="str">
        <f>IFERROR(__xludf.DUMMYFUNCTION("""COMPUTED_VALUE"""),"BIGC DEPOT PAKTHONGCHAI")</f>
        <v>BIGC DEPOT PAKTHONGCHAI</v>
      </c>
      <c r="E165" s="1" t="str">
        <f>IFERROR(__xludf.DUMMYFUNCTION("""COMPUTED_VALUE"""),"บิ๊กซี Depot")</f>
        <v>บิ๊กซี Depot</v>
      </c>
      <c r="F165" s="1" t="str">
        <f>IFERROR(__xludf.DUMMYFUNCTION("""COMPUTED_VALUE"""),"033317")</f>
        <v>033317</v>
      </c>
      <c r="G165" s="1" t="str">
        <f>IFERROR(__xludf.DUMMYFUNCTION("""COMPUTED_VALUE"""),"นายอาณัติ เพชรภาน")</f>
        <v>นายอาณัติ เพชรภาน</v>
      </c>
      <c r="H165" s="1" t="str">
        <f>IFERROR(__xludf.DUMMYFUNCTION("""COMPUTED_VALUE"""),"033317")</f>
        <v>033317</v>
      </c>
      <c r="I165" s="1" t="str">
        <f>IFERROR(__xludf.DUMMYFUNCTION("""COMPUTED_VALUE"""),"นายอาณัติ เพชรภาน")</f>
        <v>นายอาณัติ เพชรภาน</v>
      </c>
      <c r="J165" s="3">
        <f>IFERROR(__xludf.DUMMYFUNCTION("""COMPUTED_VALUE"""),33317.0)</f>
        <v>33317</v>
      </c>
      <c r="K165" s="3" t="str">
        <f>IFERROR(__xludf.DUMMYFUNCTION("""COMPUTED_VALUE"""),"นายอาณัติ เพชรภาน")</f>
        <v>นายอาณัติ เพชรภาน</v>
      </c>
      <c r="L165" s="1" t="str">
        <f>IFERROR(__xludf.DUMMYFUNCTION("""COMPUTED_VALUE"""),"Hub10-NE 2")</f>
        <v>Hub10-NE 2</v>
      </c>
      <c r="M165" s="1" t="str">
        <f>IFERROR(__xludf.DUMMYFUNCTION("""COMPUTED_VALUE"""),"0644791409")</f>
        <v>0644791409</v>
      </c>
      <c r="N165" s="3">
        <f>IFERROR(__xludf.DUMMYFUNCTION("""COMPUTED_VALUE"""),14007.0)</f>
        <v>14007</v>
      </c>
      <c r="O165" s="3" t="str">
        <f>IFERROR(__xludf.DUMMYFUNCTION("""COMPUTED_VALUE"""),"ปักธงชัย")</f>
        <v>ปักธงชัย</v>
      </c>
      <c r="P165" s="4">
        <f>IFERROR(__xludf.DUMMYFUNCTION("""COMPUTED_VALUE"""),42537.0)</f>
        <v>42537</v>
      </c>
      <c r="Q165" s="3" t="str">
        <f>IFERROR(__xludf.DUMMYFUNCTION("""COMPUTED_VALUE"""),"A")</f>
        <v>A</v>
      </c>
      <c r="R165" s="3" t="str">
        <f>IFERROR(__xludf.DUMMYFUNCTION("""COMPUTED_VALUE"""),"Big Format")</f>
        <v>Big Format</v>
      </c>
      <c r="S165" s="3" t="str">
        <f>IFERROR(__xludf.DUMMYFUNCTION("""COMPUTED_VALUE"""),"Depot")</f>
        <v>Depot</v>
      </c>
      <c r="T165" s="3" t="str">
        <f>IFERROR(__xludf.DUMMYFUNCTION("""COMPUTED_VALUE"""),"Hub10-NE 2")</f>
        <v>Hub10-NE 2</v>
      </c>
      <c r="U165" s="3" t="str">
        <f>IFERROR(__xludf.DUMMYFUNCTION("""COMPUTED_VALUE"""),"Hub10-NE 2")</f>
        <v>Hub10-NE 2</v>
      </c>
      <c r="V165" s="3" t="str">
        <f>IFERROR(__xludf.DUMMYFUNCTION("""COMPUTED_VALUE"""),"N")</f>
        <v>N</v>
      </c>
      <c r="W165" s="3">
        <f>IFERROR(__xludf.DUMMYFUNCTION("""COMPUTED_VALUE"""),151047.0)</f>
        <v>151047</v>
      </c>
      <c r="X165" s="3" t="str">
        <f>IFERROR(__xludf.DUMMYFUNCTION("""COMPUTED_VALUE"""),"338 หมู่12 ตำบลเมืองปัก อำเภอปักธงชัย จังหวัดนครราชสีมา 30150")</f>
        <v>338 หมู่12 ตำบลเมืองปัก อำเภอปักธงชัย จังหวัดนครราชสีมา 30150</v>
      </c>
      <c r="Y165" s="3"/>
      <c r="Z165" s="3" t="str">
        <f>IFERROR(__xludf.DUMMYFUNCTION("""COMPUTED_VALUE"""),"เมืองปัก")</f>
        <v>เมืองปัก</v>
      </c>
      <c r="AA165" s="3" t="str">
        <f>IFERROR(__xludf.DUMMYFUNCTION("""COMPUTED_VALUE"""),"ปักธงชัย")</f>
        <v>ปักธงชัย</v>
      </c>
      <c r="AB165" s="3" t="str">
        <f>IFERROR(__xludf.DUMMYFUNCTION("""COMPUTED_VALUE"""),"นครราชสีมา")</f>
        <v>นครราชสีมา</v>
      </c>
      <c r="AC165" s="3">
        <f>IFERROR(__xludf.DUMMYFUNCTION("""COMPUTED_VALUE"""),30150.0)</f>
        <v>30150</v>
      </c>
      <c r="AD165" s="3">
        <f>IFERROR(__xludf.DUMMYFUNCTION("""COMPUTED_VALUE"""),14.7215732)</f>
        <v>14.7215732</v>
      </c>
      <c r="AE165" s="3">
        <f>IFERROR(__xludf.DUMMYFUNCTION("""COMPUTED_VALUE"""),102.0237024)</f>
        <v>102.0237024</v>
      </c>
      <c r="AF165" s="3" t="str">
        <f>IFERROR(__xludf.DUMMYFUNCTION("""COMPUTED_VALUE"""),"ปักธงชัย-14007")</f>
        <v>ปักธงชัย-14007</v>
      </c>
      <c r="AG165" s="3" t="str">
        <f>IFERROR(__xludf.DUMMYFUNCTION("""COMPUTED_VALUE"""),"ตะวันออกเฉียงเหนือ")</f>
        <v>ตะวันออกเฉียงเหนือ</v>
      </c>
      <c r="AH165" s="3" t="str">
        <f>IFERROR(__xludf.DUMMYFUNCTION("""COMPUTED_VALUE"""),"#N/A")</f>
        <v>#N/A</v>
      </c>
      <c r="AI165" s="3" t="str">
        <f>IFERROR(__xludf.DUMMYFUNCTION("""COMPUTED_VALUE"""),"Out of warranty")</f>
        <v>Out of warranty</v>
      </c>
      <c r="AJ165" s="3">
        <f>IFERROR(__xludf.DUMMYFUNCTION("""COMPUTED_VALUE"""),116.0)</f>
        <v>116</v>
      </c>
      <c r="AK165" s="3"/>
      <c r="AL165" s="3" t="str">
        <f>IFERROR(__xludf.DUMMYFUNCTION("""COMPUTED_VALUE"""),"depot_pakthongchai@bigc.co.th")</f>
        <v>depot_pakthongchai@bigc.co.th</v>
      </c>
    </row>
    <row r="166" ht="15.75" customHeight="1">
      <c r="A166" s="1" t="str">
        <f>IFERROR(__xludf.DUMMYFUNCTION("""COMPUTED_VALUE"""),"14008")</f>
        <v>14008</v>
      </c>
      <c r="B166" s="2">
        <f>IFERROR(__xludf.DUMMYFUNCTION("""COMPUTED_VALUE"""),14008.0)</f>
        <v>14008</v>
      </c>
      <c r="C166" s="3" t="str">
        <f>IFERROR(__xludf.DUMMYFUNCTION("""COMPUTED_VALUE"""),"บ้านตาขุน")</f>
        <v>บ้านตาขุน</v>
      </c>
      <c r="D166" s="3" t="str">
        <f>IFERROR(__xludf.DUMMYFUNCTION("""COMPUTED_VALUE"""),"BIGC DEPOT BAN TA KHUN")</f>
        <v>BIGC DEPOT BAN TA KHUN</v>
      </c>
      <c r="E166" s="1" t="str">
        <f>IFERROR(__xludf.DUMMYFUNCTION("""COMPUTED_VALUE"""),"บิ๊กซี Depot")</f>
        <v>บิ๊กซี Depot</v>
      </c>
      <c r="F166" s="1" t="str">
        <f>IFERROR(__xludf.DUMMYFUNCTION("""COMPUTED_VALUE"""),"295093")</f>
        <v>295093</v>
      </c>
      <c r="G166" s="1" t="str">
        <f>IFERROR(__xludf.DUMMYFUNCTION("""COMPUTED_VALUE"""),"นายธนทร แก้วอนุรักษ์")</f>
        <v>นายธนทร แก้วอนุรักษ์</v>
      </c>
      <c r="H166" s="1" t="str">
        <f>IFERROR(__xludf.DUMMYFUNCTION("""COMPUTED_VALUE"""),"295093")</f>
        <v>295093</v>
      </c>
      <c r="I166" s="1" t="str">
        <f>IFERROR(__xludf.DUMMYFUNCTION("""COMPUTED_VALUE"""),"นายธนทร แก้วอนุรักษ์")</f>
        <v>นายธนทร แก้วอนุรักษ์</v>
      </c>
      <c r="J166" s="3">
        <f>IFERROR(__xludf.DUMMYFUNCTION("""COMPUTED_VALUE"""),2454709.0)</f>
        <v>2454709</v>
      </c>
      <c r="K166" s="3" t="str">
        <f>IFERROR(__xludf.DUMMYFUNCTION("""COMPUTED_VALUE"""),"นายประชา เกตุชาติ")</f>
        <v>นายประชา เกตุชาติ</v>
      </c>
      <c r="L166" s="1" t="str">
        <f>IFERROR(__xludf.DUMMYFUNCTION("""COMPUTED_VALUE"""),"Hub05-South")</f>
        <v>Hub05-South</v>
      </c>
      <c r="M166" s="1" t="str">
        <f>IFERROR(__xludf.DUMMYFUNCTION("""COMPUTED_VALUE"""),"0659291311")</f>
        <v>0659291311</v>
      </c>
      <c r="N166" s="3">
        <f>IFERROR(__xludf.DUMMYFUNCTION("""COMPUTED_VALUE"""),14008.0)</f>
        <v>14008</v>
      </c>
      <c r="O166" s="3" t="str">
        <f>IFERROR(__xludf.DUMMYFUNCTION("""COMPUTED_VALUE"""),"บ้านตาขุน")</f>
        <v>บ้านตาขุน</v>
      </c>
      <c r="P166" s="4">
        <f>IFERROR(__xludf.DUMMYFUNCTION("""COMPUTED_VALUE"""),41922.0)</f>
        <v>41922</v>
      </c>
      <c r="Q166" s="3" t="str">
        <f>IFERROR(__xludf.DUMMYFUNCTION("""COMPUTED_VALUE"""),"I")</f>
        <v>I</v>
      </c>
      <c r="R166" s="3" t="str">
        <f>IFERROR(__xludf.DUMMYFUNCTION("""COMPUTED_VALUE"""),"Big Format")</f>
        <v>Big Format</v>
      </c>
      <c r="S166" s="3" t="str">
        <f>IFERROR(__xludf.DUMMYFUNCTION("""COMPUTED_VALUE"""),"Depot")</f>
        <v>Depot</v>
      </c>
      <c r="T166" s="3" t="str">
        <f>IFERROR(__xludf.DUMMYFUNCTION("""COMPUTED_VALUE"""),"#N/A")</f>
        <v>#N/A</v>
      </c>
      <c r="U166" s="3" t="str">
        <f>IFERROR(__xludf.DUMMYFUNCTION("""COMPUTED_VALUE"""),"#N/A")</f>
        <v>#N/A</v>
      </c>
      <c r="V166" s="3" t="str">
        <f>IFERROR(__xludf.DUMMYFUNCTION("""COMPUTED_VALUE"""),"N")</f>
        <v>N</v>
      </c>
      <c r="W166" s="3">
        <f>IFERROR(__xludf.DUMMYFUNCTION("""COMPUTED_VALUE"""),151042.0)</f>
        <v>151042</v>
      </c>
      <c r="X166" s="3" t="str">
        <f>IFERROR(__xludf.DUMMYFUNCTION("""COMPUTED_VALUE"""),"35/3 หมู่3 ตำบลเขาวง อำเภอบ้านตาขุน จังหวัดสุราษฎร์ธานี 84230")</f>
        <v>35/3 หมู่3 ตำบลเขาวง อำเภอบ้านตาขุน จังหวัดสุราษฎร์ธานี 84230</v>
      </c>
      <c r="Y166" s="3"/>
      <c r="Z166" s="3" t="str">
        <f>IFERROR(__xludf.DUMMYFUNCTION("""COMPUTED_VALUE"""),"เขาวง")</f>
        <v>เขาวง</v>
      </c>
      <c r="AA166" s="3" t="str">
        <f>IFERROR(__xludf.DUMMYFUNCTION("""COMPUTED_VALUE"""),"บ้านตาขุน")</f>
        <v>บ้านตาขุน</v>
      </c>
      <c r="AB166" s="3" t="str">
        <f>IFERROR(__xludf.DUMMYFUNCTION("""COMPUTED_VALUE"""),"สุราษฎร์ธานี")</f>
        <v>สุราษฎร์ธานี</v>
      </c>
      <c r="AC166" s="3">
        <f>IFERROR(__xludf.DUMMYFUNCTION("""COMPUTED_VALUE"""),84230.0)</f>
        <v>84230</v>
      </c>
      <c r="AD166" s="3">
        <f>IFERROR(__xludf.DUMMYFUNCTION("""COMPUTED_VALUE"""),8.916359485)</f>
        <v>8.916359485</v>
      </c>
      <c r="AE166" s="3">
        <f>IFERROR(__xludf.DUMMYFUNCTION("""COMPUTED_VALUE"""),98.8895759)</f>
        <v>98.8895759</v>
      </c>
      <c r="AF166" s="3" t="str">
        <f>IFERROR(__xludf.DUMMYFUNCTION("""COMPUTED_VALUE"""),"บ้านตาขุน-14008")</f>
        <v>บ้านตาขุน-14008</v>
      </c>
      <c r="AG166" s="3" t="str">
        <f>IFERROR(__xludf.DUMMYFUNCTION("""COMPUTED_VALUE"""),"ใต้")</f>
        <v>ใต้</v>
      </c>
      <c r="AH166" s="3" t="str">
        <f>IFERROR(__xludf.DUMMYFUNCTION("""COMPUTED_VALUE"""),"#N/A")</f>
        <v>#N/A</v>
      </c>
      <c r="AI166" s="3" t="str">
        <f>IFERROR(__xludf.DUMMYFUNCTION("""COMPUTED_VALUE"""),"Out of warranty")</f>
        <v>Out of warranty</v>
      </c>
      <c r="AJ166" s="3">
        <f>IFERROR(__xludf.DUMMYFUNCTION("""COMPUTED_VALUE"""),136.0)</f>
        <v>136</v>
      </c>
      <c r="AK166" s="3"/>
      <c r="AL166" s="3" t="str">
        <f>IFERROR(__xludf.DUMMYFUNCTION("""COMPUTED_VALUE"""),"depot_banthakhun@bigc.co.th")</f>
        <v>depot_banthakhun@bigc.co.th</v>
      </c>
    </row>
    <row r="167" ht="15.75" customHeight="1">
      <c r="A167" s="1" t="str">
        <f>IFERROR(__xludf.DUMMYFUNCTION("""COMPUTED_VALUE"""),"14009")</f>
        <v>14009</v>
      </c>
      <c r="B167" s="2">
        <f>IFERROR(__xludf.DUMMYFUNCTION("""COMPUTED_VALUE"""),14009.0)</f>
        <v>14009</v>
      </c>
      <c r="C167" s="3" t="str">
        <f>IFERROR(__xludf.DUMMYFUNCTION("""COMPUTED_VALUE"""),"ตระการพืชผล")</f>
        <v>ตระการพืชผล</v>
      </c>
      <c r="D167" s="3" t="str">
        <f>IFERROR(__xludf.DUMMYFUNCTION("""COMPUTED_VALUE"""),"BIGC DEPOT TRAKAN PHUET PHON")</f>
        <v>BIGC DEPOT TRAKAN PHUET PHON</v>
      </c>
      <c r="E167" s="1" t="str">
        <f>IFERROR(__xludf.DUMMYFUNCTION("""COMPUTED_VALUE"""),"บิ๊กซี Depot")</f>
        <v>บิ๊กซี Depot</v>
      </c>
      <c r="F167" s="1" t="str">
        <f>IFERROR(__xludf.DUMMYFUNCTION("""COMPUTED_VALUE"""),"033317")</f>
        <v>033317</v>
      </c>
      <c r="G167" s="1" t="str">
        <f>IFERROR(__xludf.DUMMYFUNCTION("""COMPUTED_VALUE"""),"นายอาณัติ เพชรภาน")</f>
        <v>นายอาณัติ เพชรภาน</v>
      </c>
      <c r="H167" s="1" t="str">
        <f>IFERROR(__xludf.DUMMYFUNCTION("""COMPUTED_VALUE"""),"033317")</f>
        <v>033317</v>
      </c>
      <c r="I167" s="1" t="str">
        <f>IFERROR(__xludf.DUMMYFUNCTION("""COMPUTED_VALUE"""),"นายอาณัติ เพชรภาน")</f>
        <v>นายอาณัติ เพชรภาน</v>
      </c>
      <c r="J167" s="3">
        <f>IFERROR(__xludf.DUMMYFUNCTION("""COMPUTED_VALUE"""),33317.0)</f>
        <v>33317</v>
      </c>
      <c r="K167" s="3" t="str">
        <f>IFERROR(__xludf.DUMMYFUNCTION("""COMPUTED_VALUE"""),"นายอาณัติ เพชรภาน")</f>
        <v>นายอาณัติ เพชรภาน</v>
      </c>
      <c r="L167" s="1" t="str">
        <f>IFERROR(__xludf.DUMMYFUNCTION("""COMPUTED_VALUE"""),"Hub10-NE 2")</f>
        <v>Hub10-NE 2</v>
      </c>
      <c r="M167" s="1" t="str">
        <f>IFERROR(__xludf.DUMMYFUNCTION("""COMPUTED_VALUE"""),"0644791409")</f>
        <v>0644791409</v>
      </c>
      <c r="N167" s="3">
        <f>IFERROR(__xludf.DUMMYFUNCTION("""COMPUTED_VALUE"""),14009.0)</f>
        <v>14009</v>
      </c>
      <c r="O167" s="3" t="str">
        <f>IFERROR(__xludf.DUMMYFUNCTION("""COMPUTED_VALUE"""),"ตระการพืชผล")</f>
        <v>ตระการพืชผล</v>
      </c>
      <c r="P167" s="4">
        <f>IFERROR(__xludf.DUMMYFUNCTION("""COMPUTED_VALUE"""),43101.0)</f>
        <v>43101</v>
      </c>
      <c r="Q167" s="3" t="str">
        <f>IFERROR(__xludf.DUMMYFUNCTION("""COMPUTED_VALUE"""),"A")</f>
        <v>A</v>
      </c>
      <c r="R167" s="3" t="str">
        <f>IFERROR(__xludf.DUMMYFUNCTION("""COMPUTED_VALUE"""),"Big Format")</f>
        <v>Big Format</v>
      </c>
      <c r="S167" s="3" t="str">
        <f>IFERROR(__xludf.DUMMYFUNCTION("""COMPUTED_VALUE"""),"Depot")</f>
        <v>Depot</v>
      </c>
      <c r="T167" s="3" t="str">
        <f>IFERROR(__xludf.DUMMYFUNCTION("""COMPUTED_VALUE"""),"Hub10-NE 2")</f>
        <v>Hub10-NE 2</v>
      </c>
      <c r="U167" s="3" t="str">
        <f>IFERROR(__xludf.DUMMYFUNCTION("""COMPUTED_VALUE"""),"Hub10-NE 2")</f>
        <v>Hub10-NE 2</v>
      </c>
      <c r="V167" s="3" t="str">
        <f>IFERROR(__xludf.DUMMYFUNCTION("""COMPUTED_VALUE"""),"N")</f>
        <v>N</v>
      </c>
      <c r="W167" s="3">
        <f>IFERROR(__xludf.DUMMYFUNCTION("""COMPUTED_VALUE"""),151029.0)</f>
        <v>151029</v>
      </c>
      <c r="X167" s="3" t="str">
        <f>IFERROR(__xludf.DUMMYFUNCTION("""COMPUTED_VALUE"""),"454 หมู่4 ตำบลขุหลุ อำเภอตระการพืชผล จังหวัดอุบลราชธานี 34130")</f>
        <v>454 หมู่4 ตำบลขุหลุ อำเภอตระการพืชผล จังหวัดอุบลราชธานี 34130</v>
      </c>
      <c r="Y167" s="3"/>
      <c r="Z167" s="3" t="str">
        <f>IFERROR(__xludf.DUMMYFUNCTION("""COMPUTED_VALUE"""),"ขุหลุ")</f>
        <v>ขุหลุ</v>
      </c>
      <c r="AA167" s="3" t="str">
        <f>IFERROR(__xludf.DUMMYFUNCTION("""COMPUTED_VALUE"""),"ตระการพืชผล")</f>
        <v>ตระการพืชผล</v>
      </c>
      <c r="AB167" s="3" t="str">
        <f>IFERROR(__xludf.DUMMYFUNCTION("""COMPUTED_VALUE"""),"อุบลราชธานี")</f>
        <v>อุบลราชธานี</v>
      </c>
      <c r="AC167" s="3">
        <f>IFERROR(__xludf.DUMMYFUNCTION("""COMPUTED_VALUE"""),34130.0)</f>
        <v>34130</v>
      </c>
      <c r="AD167" s="3">
        <f>IFERROR(__xludf.DUMMYFUNCTION("""COMPUTED_VALUE"""),15.61959931)</f>
        <v>15.61959931</v>
      </c>
      <c r="AE167" s="3">
        <f>IFERROR(__xludf.DUMMYFUNCTION("""COMPUTED_VALUE"""),105.028913)</f>
        <v>105.028913</v>
      </c>
      <c r="AF167" s="3" t="str">
        <f>IFERROR(__xludf.DUMMYFUNCTION("""COMPUTED_VALUE"""),"ตระการพืชผล-14009")</f>
        <v>ตระการพืชผล-14009</v>
      </c>
      <c r="AG167" s="3" t="str">
        <f>IFERROR(__xludf.DUMMYFUNCTION("""COMPUTED_VALUE"""),"ตะวันออกเฉียงเหนือ")</f>
        <v>ตะวันออกเฉียงเหนือ</v>
      </c>
      <c r="AH167" s="3" t="str">
        <f>IFERROR(__xludf.DUMMYFUNCTION("""COMPUTED_VALUE"""),"#N/A")</f>
        <v>#N/A</v>
      </c>
      <c r="AI167" s="3" t="str">
        <f>IFERROR(__xludf.DUMMYFUNCTION("""COMPUTED_VALUE"""),"Out of warranty")</f>
        <v>Out of warranty</v>
      </c>
      <c r="AJ167" s="3">
        <f>IFERROR(__xludf.DUMMYFUNCTION("""COMPUTED_VALUE"""),97.0)</f>
        <v>97</v>
      </c>
      <c r="AK167" s="3"/>
      <c r="AL167" s="3" t="str">
        <f>IFERROR(__xludf.DUMMYFUNCTION("""COMPUTED_VALUE"""),"depot_trakanphuetphon@bigc.co.th")</f>
        <v>depot_trakanphuetphon@bigc.co.th</v>
      </c>
    </row>
    <row r="168" ht="15.75" customHeight="1">
      <c r="A168" s="1" t="str">
        <f>IFERROR(__xludf.DUMMYFUNCTION("""COMPUTED_VALUE"""),"14010")</f>
        <v>14010</v>
      </c>
      <c r="B168" s="2">
        <f>IFERROR(__xludf.DUMMYFUNCTION("""COMPUTED_VALUE"""),14010.0)</f>
        <v>14010</v>
      </c>
      <c r="C168" s="3" t="str">
        <f>IFERROR(__xludf.DUMMYFUNCTION("""COMPUTED_VALUE"""),"ตะพานหิน")</f>
        <v>ตะพานหิน</v>
      </c>
      <c r="D168" s="3" t="str">
        <f>IFERROR(__xludf.DUMMYFUNCTION("""COMPUTED_VALUE"""),"BIGC DEPOT TAPHANHIN")</f>
        <v>BIGC DEPOT TAPHANHIN</v>
      </c>
      <c r="E168" s="1" t="str">
        <f>IFERROR(__xludf.DUMMYFUNCTION("""COMPUTED_VALUE"""),"บิ๊กซี Depot")</f>
        <v>บิ๊กซี Depot</v>
      </c>
      <c r="F168" s="1" t="str">
        <f>IFERROR(__xludf.DUMMYFUNCTION("""COMPUTED_VALUE"""),"000348")</f>
        <v>000348</v>
      </c>
      <c r="G168" s="1" t="str">
        <f>IFERROR(__xludf.DUMMYFUNCTION("""COMPUTED_VALUE"""),"นายธีรนันท์ ไม้สนธิ์")</f>
        <v>นายธีรนันท์ ไม้สนธิ์</v>
      </c>
      <c r="H168" s="1" t="str">
        <f>IFERROR(__xludf.DUMMYFUNCTION("""COMPUTED_VALUE"""),"000348")</f>
        <v>000348</v>
      </c>
      <c r="I168" s="1" t="str">
        <f>IFERROR(__xludf.DUMMYFUNCTION("""COMPUTED_VALUE"""),"นายธีรนันท์ ไม้สนธิ์")</f>
        <v>นายธีรนันท์ ไม้สนธิ์</v>
      </c>
      <c r="J168" s="3">
        <f>IFERROR(__xludf.DUMMYFUNCTION("""COMPUTED_VALUE"""),348.0)</f>
        <v>348</v>
      </c>
      <c r="K168" s="3" t="str">
        <f>IFERROR(__xludf.DUMMYFUNCTION("""COMPUTED_VALUE"""),"นายธีรนันท์ ไม้สนธิ์")</f>
        <v>นายธีรนันท์ ไม้สนธิ์</v>
      </c>
      <c r="L168" s="1" t="str">
        <f>IFERROR(__xludf.DUMMYFUNCTION("""COMPUTED_VALUE"""),"Hub07-North")</f>
        <v>Hub07-North</v>
      </c>
      <c r="M168" s="1" t="str">
        <f>IFERROR(__xludf.DUMMYFUNCTION("""COMPUTED_VALUE"""),"0614175866")</f>
        <v>0614175866</v>
      </c>
      <c r="N168" s="3">
        <f>IFERROR(__xludf.DUMMYFUNCTION("""COMPUTED_VALUE"""),14010.0)</f>
        <v>14010</v>
      </c>
      <c r="O168" s="3" t="str">
        <f>IFERROR(__xludf.DUMMYFUNCTION("""COMPUTED_VALUE"""),"ตะพานหิน")</f>
        <v>ตะพานหิน</v>
      </c>
      <c r="P168" s="4">
        <f>IFERROR(__xludf.DUMMYFUNCTION("""COMPUTED_VALUE"""),41535.0)</f>
        <v>41535</v>
      </c>
      <c r="Q168" s="3" t="str">
        <f>IFERROR(__xludf.DUMMYFUNCTION("""COMPUTED_VALUE"""),"I")</f>
        <v>I</v>
      </c>
      <c r="R168" s="3" t="str">
        <f>IFERROR(__xludf.DUMMYFUNCTION("""COMPUTED_VALUE"""),"Big Format")</f>
        <v>Big Format</v>
      </c>
      <c r="S168" s="3" t="str">
        <f>IFERROR(__xludf.DUMMYFUNCTION("""COMPUTED_VALUE"""),"Depot")</f>
        <v>Depot</v>
      </c>
      <c r="T168" s="3" t="str">
        <f>IFERROR(__xludf.DUMMYFUNCTION("""COMPUTED_VALUE"""),"Hub07-North")</f>
        <v>Hub07-North</v>
      </c>
      <c r="U168" s="3" t="str">
        <f>IFERROR(__xludf.DUMMYFUNCTION("""COMPUTED_VALUE"""),"Hub07-North")</f>
        <v>Hub07-North</v>
      </c>
      <c r="V168" s="3" t="str">
        <f>IFERROR(__xludf.DUMMYFUNCTION("""COMPUTED_VALUE"""),"N")</f>
        <v>N</v>
      </c>
      <c r="W168" s="3">
        <f>IFERROR(__xludf.DUMMYFUNCTION("""COMPUTED_VALUE"""),151028.0)</f>
        <v>151028</v>
      </c>
      <c r="X168" s="3" t="str">
        <f>IFERROR(__xludf.DUMMYFUNCTION("""COMPUTED_VALUE"""),"145 ถนนชมฐีระเวช ตำบลตะพานหิน อำเภอตะพานหิน จังหวัดพิจิตร 66110")</f>
        <v>145 ถนนชมฐีระเวช ตำบลตะพานหิน อำเภอตะพานหิน จังหวัดพิจิตร 66110</v>
      </c>
      <c r="Y168" s="3" t="str">
        <f>IFERROR(__xludf.DUMMYFUNCTION("""COMPUTED_VALUE"""),"ชมฐีระเวช")</f>
        <v>ชมฐีระเวช</v>
      </c>
      <c r="Z168" s="3" t="str">
        <f>IFERROR(__xludf.DUMMYFUNCTION("""COMPUTED_VALUE"""),"ตะพานหิน")</f>
        <v>ตะพานหิน</v>
      </c>
      <c r="AA168" s="3" t="str">
        <f>IFERROR(__xludf.DUMMYFUNCTION("""COMPUTED_VALUE"""),"ตะพานหิน")</f>
        <v>ตะพานหิน</v>
      </c>
      <c r="AB168" s="3" t="str">
        <f>IFERROR(__xludf.DUMMYFUNCTION("""COMPUTED_VALUE"""),"พิจิตร")</f>
        <v>พิจิตร</v>
      </c>
      <c r="AC168" s="3">
        <f>IFERROR(__xludf.DUMMYFUNCTION("""COMPUTED_VALUE"""),66110.0)</f>
        <v>66110</v>
      </c>
      <c r="AD168" s="3">
        <f>IFERROR(__xludf.DUMMYFUNCTION("""COMPUTED_VALUE"""),16.21808003)</f>
        <v>16.21808003</v>
      </c>
      <c r="AE168" s="3">
        <f>IFERROR(__xludf.DUMMYFUNCTION("""COMPUTED_VALUE"""),100.4347396)</f>
        <v>100.4347396</v>
      </c>
      <c r="AF168" s="3" t="str">
        <f>IFERROR(__xludf.DUMMYFUNCTION("""COMPUTED_VALUE"""),"ตะพานหิน-14010")</f>
        <v>ตะพานหิน-14010</v>
      </c>
      <c r="AG168" s="3" t="str">
        <f>IFERROR(__xludf.DUMMYFUNCTION("""COMPUTED_VALUE"""),"กลาง")</f>
        <v>กลาง</v>
      </c>
      <c r="AH168" s="3" t="str">
        <f>IFERROR(__xludf.DUMMYFUNCTION("""COMPUTED_VALUE"""),"#N/A")</f>
        <v>#N/A</v>
      </c>
      <c r="AI168" s="3" t="str">
        <f>IFERROR(__xludf.DUMMYFUNCTION("""COMPUTED_VALUE"""),"Out of warranty")</f>
        <v>Out of warranty</v>
      </c>
      <c r="AJ168" s="3">
        <f>IFERROR(__xludf.DUMMYFUNCTION("""COMPUTED_VALUE"""),149.0)</f>
        <v>149</v>
      </c>
      <c r="AK168" s="3"/>
      <c r="AL168" s="3" t="str">
        <f>IFERROR(__xludf.DUMMYFUNCTION("""COMPUTED_VALUE"""),"depot_taphanhin@bigc.co.th")</f>
        <v>depot_taphanhin@bigc.co.th</v>
      </c>
    </row>
    <row r="169" ht="15.75" customHeight="1">
      <c r="A169" s="1" t="str">
        <f>IFERROR(__xludf.DUMMYFUNCTION("""COMPUTED_VALUE"""),"14011")</f>
        <v>14011</v>
      </c>
      <c r="B169" s="2">
        <f>IFERROR(__xludf.DUMMYFUNCTION("""COMPUTED_VALUE"""),14011.0)</f>
        <v>14011</v>
      </c>
      <c r="C169" s="3" t="str">
        <f>IFERROR(__xludf.DUMMYFUNCTION("""COMPUTED_VALUE"""),"ปราสาท")</f>
        <v>ปราสาท</v>
      </c>
      <c r="D169" s="3" t="str">
        <f>IFERROR(__xludf.DUMMYFUNCTION("""COMPUTED_VALUE"""),"BIGC DEPOT PRASART")</f>
        <v>BIGC DEPOT PRASART</v>
      </c>
      <c r="E169" s="1" t="str">
        <f>IFERROR(__xludf.DUMMYFUNCTION("""COMPUTED_VALUE"""),"บิ๊กซี Depot")</f>
        <v>บิ๊กซี Depot</v>
      </c>
      <c r="F169" s="1" t="str">
        <f>IFERROR(__xludf.DUMMYFUNCTION("""COMPUTED_VALUE"""),"033317")</f>
        <v>033317</v>
      </c>
      <c r="G169" s="1" t="str">
        <f>IFERROR(__xludf.DUMMYFUNCTION("""COMPUTED_VALUE"""),"นายอาณัติ เพชรภาน")</f>
        <v>นายอาณัติ เพชรภาน</v>
      </c>
      <c r="H169" s="1" t="str">
        <f>IFERROR(__xludf.DUMMYFUNCTION("""COMPUTED_VALUE"""),"033317")</f>
        <v>033317</v>
      </c>
      <c r="I169" s="1" t="str">
        <f>IFERROR(__xludf.DUMMYFUNCTION("""COMPUTED_VALUE"""),"นายอาณัติ เพชรภาน")</f>
        <v>นายอาณัติ เพชรภาน</v>
      </c>
      <c r="J169" s="3">
        <f>IFERROR(__xludf.DUMMYFUNCTION("""COMPUTED_VALUE"""),33317.0)</f>
        <v>33317</v>
      </c>
      <c r="K169" s="3" t="str">
        <f>IFERROR(__xludf.DUMMYFUNCTION("""COMPUTED_VALUE"""),"นายอาณัติ เพชรภาน")</f>
        <v>นายอาณัติ เพชรภาน</v>
      </c>
      <c r="L169" s="1" t="str">
        <f>IFERROR(__xludf.DUMMYFUNCTION("""COMPUTED_VALUE"""),"Hub10-NE 2")</f>
        <v>Hub10-NE 2</v>
      </c>
      <c r="M169" s="1" t="str">
        <f>IFERROR(__xludf.DUMMYFUNCTION("""COMPUTED_VALUE"""),"0644791409")</f>
        <v>0644791409</v>
      </c>
      <c r="N169" s="3">
        <f>IFERROR(__xludf.DUMMYFUNCTION("""COMPUTED_VALUE"""),14011.0)</f>
        <v>14011</v>
      </c>
      <c r="O169" s="3" t="str">
        <f>IFERROR(__xludf.DUMMYFUNCTION("""COMPUTED_VALUE"""),"ปราสาท")</f>
        <v>ปราสาท</v>
      </c>
      <c r="P169" s="4">
        <f>IFERROR(__xludf.DUMMYFUNCTION("""COMPUTED_VALUE"""),41575.0)</f>
        <v>41575</v>
      </c>
      <c r="Q169" s="3" t="str">
        <f>IFERROR(__xludf.DUMMYFUNCTION("""COMPUTED_VALUE"""),"A")</f>
        <v>A</v>
      </c>
      <c r="R169" s="3" t="str">
        <f>IFERROR(__xludf.DUMMYFUNCTION("""COMPUTED_VALUE"""),"Big Format")</f>
        <v>Big Format</v>
      </c>
      <c r="S169" s="3" t="str">
        <f>IFERROR(__xludf.DUMMYFUNCTION("""COMPUTED_VALUE"""),"Depot")</f>
        <v>Depot</v>
      </c>
      <c r="T169" s="3" t="str">
        <f>IFERROR(__xludf.DUMMYFUNCTION("""COMPUTED_VALUE"""),"Hub10-NE 2")</f>
        <v>Hub10-NE 2</v>
      </c>
      <c r="U169" s="3" t="str">
        <f>IFERROR(__xludf.DUMMYFUNCTION("""COMPUTED_VALUE"""),"Hub10-NE 2")</f>
        <v>Hub10-NE 2</v>
      </c>
      <c r="V169" s="3" t="str">
        <f>IFERROR(__xludf.DUMMYFUNCTION("""COMPUTED_VALUE"""),"N")</f>
        <v>N</v>
      </c>
      <c r="W169" s="3">
        <f>IFERROR(__xludf.DUMMYFUNCTION("""COMPUTED_VALUE"""),151034.0)</f>
        <v>151034</v>
      </c>
      <c r="X169" s="3" t="str">
        <f>IFERROR(__xludf.DUMMYFUNCTION("""COMPUTED_VALUE"""),"612 หมู่2 ตำบลกังแอน อำเภอปราสาท จังหวัดสุรินทร์ 32140")</f>
        <v>612 หมู่2 ตำบลกังแอน อำเภอปราสาท จังหวัดสุรินทร์ 32140</v>
      </c>
      <c r="Y169" s="3"/>
      <c r="Z169" s="3" t="str">
        <f>IFERROR(__xludf.DUMMYFUNCTION("""COMPUTED_VALUE"""),"กังแอน")</f>
        <v>กังแอน</v>
      </c>
      <c r="AA169" s="3" t="str">
        <f>IFERROR(__xludf.DUMMYFUNCTION("""COMPUTED_VALUE"""),"ปราสาท")</f>
        <v>ปราสาท</v>
      </c>
      <c r="AB169" s="3" t="str">
        <f>IFERROR(__xludf.DUMMYFUNCTION("""COMPUTED_VALUE"""),"สุรินทร์")</f>
        <v>สุรินทร์</v>
      </c>
      <c r="AC169" s="3">
        <f>IFERROR(__xludf.DUMMYFUNCTION("""COMPUTED_VALUE"""),32140.0)</f>
        <v>32140</v>
      </c>
      <c r="AD169" s="3">
        <f>IFERROR(__xludf.DUMMYFUNCTION("""COMPUTED_VALUE"""),14.63066799)</f>
        <v>14.63066799</v>
      </c>
      <c r="AE169" s="3">
        <f>IFERROR(__xludf.DUMMYFUNCTION("""COMPUTED_VALUE"""),103.404601)</f>
        <v>103.404601</v>
      </c>
      <c r="AF169" s="3" t="str">
        <f>IFERROR(__xludf.DUMMYFUNCTION("""COMPUTED_VALUE"""),"ปราสาท-14011")</f>
        <v>ปราสาท-14011</v>
      </c>
      <c r="AG169" s="3" t="str">
        <f>IFERROR(__xludf.DUMMYFUNCTION("""COMPUTED_VALUE"""),"ตะวันออกเฉียงเหนือ")</f>
        <v>ตะวันออกเฉียงเหนือ</v>
      </c>
      <c r="AH169" s="3" t="str">
        <f>IFERROR(__xludf.DUMMYFUNCTION("""COMPUTED_VALUE"""),"#N/A")</f>
        <v>#N/A</v>
      </c>
      <c r="AI169" s="3" t="str">
        <f>IFERROR(__xludf.DUMMYFUNCTION("""COMPUTED_VALUE"""),"Out of warranty")</f>
        <v>Out of warranty</v>
      </c>
      <c r="AJ169" s="3">
        <f>IFERROR(__xludf.DUMMYFUNCTION("""COMPUTED_VALUE"""),147.0)</f>
        <v>147</v>
      </c>
      <c r="AK169" s="3"/>
      <c r="AL169" s="3" t="str">
        <f>IFERROR(__xludf.DUMMYFUNCTION("""COMPUTED_VALUE"""),"depot_prasat@bigc.co.th")</f>
        <v>depot_prasat@bigc.co.th</v>
      </c>
    </row>
    <row r="170" ht="15.75" customHeight="1">
      <c r="A170" s="1" t="str">
        <f>IFERROR(__xludf.DUMMYFUNCTION("""COMPUTED_VALUE"""),"14012")</f>
        <v>14012</v>
      </c>
      <c r="B170" s="2">
        <f>IFERROR(__xludf.DUMMYFUNCTION("""COMPUTED_VALUE"""),14012.0)</f>
        <v>14012</v>
      </c>
      <c r="C170" s="3" t="str">
        <f>IFERROR(__xludf.DUMMYFUNCTION("""COMPUTED_VALUE"""),"บำเหน็จณรงค์")</f>
        <v>บำเหน็จณรงค์</v>
      </c>
      <c r="D170" s="3" t="str">
        <f>IFERROR(__xludf.DUMMYFUNCTION("""COMPUTED_VALUE"""),"BIGC DEPOT BAMNET NARONG")</f>
        <v>BIGC DEPOT BAMNET NARONG</v>
      </c>
      <c r="E170" s="1" t="str">
        <f>IFERROR(__xludf.DUMMYFUNCTION("""COMPUTED_VALUE"""),"บิ๊กซี Depot")</f>
        <v>บิ๊กซี Depot</v>
      </c>
      <c r="F170" s="1" t="str">
        <f>IFERROR(__xludf.DUMMYFUNCTION("""COMPUTED_VALUE"""),"033317")</f>
        <v>033317</v>
      </c>
      <c r="G170" s="1" t="str">
        <f>IFERROR(__xludf.DUMMYFUNCTION("""COMPUTED_VALUE"""),"นายอาณัติ เพชรภาน")</f>
        <v>นายอาณัติ เพชรภาน</v>
      </c>
      <c r="H170" s="1" t="str">
        <f>IFERROR(__xludf.DUMMYFUNCTION("""COMPUTED_VALUE"""),"033317")</f>
        <v>033317</v>
      </c>
      <c r="I170" s="1" t="str">
        <f>IFERROR(__xludf.DUMMYFUNCTION("""COMPUTED_VALUE"""),"นายอาณัติ เพชรภาน")</f>
        <v>นายอาณัติ เพชรภาน</v>
      </c>
      <c r="J170" s="3">
        <f>IFERROR(__xludf.DUMMYFUNCTION("""COMPUTED_VALUE"""),33317.0)</f>
        <v>33317</v>
      </c>
      <c r="K170" s="3" t="str">
        <f>IFERROR(__xludf.DUMMYFUNCTION("""COMPUTED_VALUE"""),"นายอาณัติ เพชรภาน")</f>
        <v>นายอาณัติ เพชรภาน</v>
      </c>
      <c r="L170" s="1" t="str">
        <f>IFERROR(__xludf.DUMMYFUNCTION("""COMPUTED_VALUE"""),"Hub10-NE 2")</f>
        <v>Hub10-NE 2</v>
      </c>
      <c r="M170" s="1" t="str">
        <f>IFERROR(__xludf.DUMMYFUNCTION("""COMPUTED_VALUE"""),"0644791409")</f>
        <v>0644791409</v>
      </c>
      <c r="N170" s="3">
        <f>IFERROR(__xludf.DUMMYFUNCTION("""COMPUTED_VALUE"""),14012.0)</f>
        <v>14012</v>
      </c>
      <c r="O170" s="3" t="str">
        <f>IFERROR(__xludf.DUMMYFUNCTION("""COMPUTED_VALUE"""),"บำเหน็จณรงค์")</f>
        <v>บำเหน็จณรงค์</v>
      </c>
      <c r="P170" s="4">
        <f>IFERROR(__xludf.DUMMYFUNCTION("""COMPUTED_VALUE"""),42321.0)</f>
        <v>42321</v>
      </c>
      <c r="Q170" s="3" t="str">
        <f>IFERROR(__xludf.DUMMYFUNCTION("""COMPUTED_VALUE"""),"I")</f>
        <v>I</v>
      </c>
      <c r="R170" s="3" t="str">
        <f>IFERROR(__xludf.DUMMYFUNCTION("""COMPUTED_VALUE"""),"Big Format")</f>
        <v>Big Format</v>
      </c>
      <c r="S170" s="3" t="str">
        <f>IFERROR(__xludf.DUMMYFUNCTION("""COMPUTED_VALUE"""),"Depot")</f>
        <v>Depot</v>
      </c>
      <c r="T170" s="3" t="str">
        <f>IFERROR(__xludf.DUMMYFUNCTION("""COMPUTED_VALUE"""),"Hub10-NE 2")</f>
        <v>Hub10-NE 2</v>
      </c>
      <c r="U170" s="3" t="str">
        <f>IFERROR(__xludf.DUMMYFUNCTION("""COMPUTED_VALUE"""),"Hub10-NE 2")</f>
        <v>Hub10-NE 2</v>
      </c>
      <c r="V170" s="3" t="str">
        <f>IFERROR(__xludf.DUMMYFUNCTION("""COMPUTED_VALUE"""),"N")</f>
        <v>N</v>
      </c>
      <c r="W170" s="3">
        <f>IFERROR(__xludf.DUMMYFUNCTION("""COMPUTED_VALUE"""),151050.0)</f>
        <v>151050</v>
      </c>
      <c r="X170" s="3" t="str">
        <f>IFERROR(__xludf.DUMMYFUNCTION("""COMPUTED_VALUE"""),"454 หมู่10 ตำบลบ้านเพชร อำเภอบำเหน็จณรงค์ จังหวัดชัยภูมิ 36160")</f>
        <v>454 หมู่10 ตำบลบ้านเพชร อำเภอบำเหน็จณรงค์ จังหวัดชัยภูมิ 36160</v>
      </c>
      <c r="Y170" s="3"/>
      <c r="Z170" s="3" t="str">
        <f>IFERROR(__xludf.DUMMYFUNCTION("""COMPUTED_VALUE"""),"บ้านเพชร")</f>
        <v>บ้านเพชร</v>
      </c>
      <c r="AA170" s="3" t="str">
        <f>IFERROR(__xludf.DUMMYFUNCTION("""COMPUTED_VALUE"""),"บำเหน็จณรงค์")</f>
        <v>บำเหน็จณรงค์</v>
      </c>
      <c r="AB170" s="3" t="str">
        <f>IFERROR(__xludf.DUMMYFUNCTION("""COMPUTED_VALUE"""),"ชัยภูมิ")</f>
        <v>ชัยภูมิ</v>
      </c>
      <c r="AC170" s="3">
        <f>IFERROR(__xludf.DUMMYFUNCTION("""COMPUTED_VALUE"""),36160.0)</f>
        <v>36160</v>
      </c>
      <c r="AD170" s="3">
        <f>IFERROR(__xludf.DUMMYFUNCTION("""COMPUTED_VALUE"""),15.4868099)</f>
        <v>15.4868099</v>
      </c>
      <c r="AE170" s="3">
        <f>IFERROR(__xludf.DUMMYFUNCTION("""COMPUTED_VALUE"""),101.6474615)</f>
        <v>101.6474615</v>
      </c>
      <c r="AF170" s="3" t="str">
        <f>IFERROR(__xludf.DUMMYFUNCTION("""COMPUTED_VALUE"""),"บำเหน็จณรงค์-14012")</f>
        <v>บำเหน็จณรงค์-14012</v>
      </c>
      <c r="AG170" s="3" t="str">
        <f>IFERROR(__xludf.DUMMYFUNCTION("""COMPUTED_VALUE"""),"ตะวันออกเฉียงเหนือ")</f>
        <v>ตะวันออกเฉียงเหนือ</v>
      </c>
      <c r="AH170" s="3" t="str">
        <f>IFERROR(__xludf.DUMMYFUNCTION("""COMPUTED_VALUE"""),"#N/A")</f>
        <v>#N/A</v>
      </c>
      <c r="AI170" s="3" t="str">
        <f>IFERROR(__xludf.DUMMYFUNCTION("""COMPUTED_VALUE"""),"Out of warranty")</f>
        <v>Out of warranty</v>
      </c>
      <c r="AJ170" s="3">
        <f>IFERROR(__xludf.DUMMYFUNCTION("""COMPUTED_VALUE"""),123.0)</f>
        <v>123</v>
      </c>
      <c r="AK170" s="3"/>
      <c r="AL170" s="3" t="str">
        <f>IFERROR(__xludf.DUMMYFUNCTION("""COMPUTED_VALUE"""),"depot_bamnetnarong@bigc.co.th")</f>
        <v>depot_bamnetnarong@bigc.co.th</v>
      </c>
    </row>
    <row r="171" ht="15.75" customHeight="1">
      <c r="A171" s="1" t="str">
        <f>IFERROR(__xludf.DUMMYFUNCTION("""COMPUTED_VALUE"""),"14013")</f>
        <v>14013</v>
      </c>
      <c r="B171" s="2">
        <f>IFERROR(__xludf.DUMMYFUNCTION("""COMPUTED_VALUE"""),14013.0)</f>
        <v>14013</v>
      </c>
      <c r="C171" s="3" t="str">
        <f>IFERROR(__xludf.DUMMYFUNCTION("""COMPUTED_VALUE"""),"สมเด็จ")</f>
        <v>สมเด็จ</v>
      </c>
      <c r="D171" s="3" t="str">
        <f>IFERROR(__xludf.DUMMYFUNCTION("""COMPUTED_VALUE"""),"BIGC DEPOT SOMDET")</f>
        <v>BIGC DEPOT SOMDET</v>
      </c>
      <c r="E171" s="1" t="str">
        <f>IFERROR(__xludf.DUMMYFUNCTION("""COMPUTED_VALUE"""),"บิ๊กซี Depot")</f>
        <v>บิ๊กซี Depot</v>
      </c>
      <c r="F171" s="1" t="str">
        <f>IFERROR(__xludf.DUMMYFUNCTION("""COMPUTED_VALUE"""),"295801")</f>
        <v>295801</v>
      </c>
      <c r="G171" s="1" t="str">
        <f>IFERROR(__xludf.DUMMYFUNCTION("""COMPUTED_VALUE"""),"นายอรรถพล เหล่าสุวงศ์")</f>
        <v>นายอรรถพล เหล่าสุวงศ์</v>
      </c>
      <c r="H171" s="1" t="str">
        <f>IFERROR(__xludf.DUMMYFUNCTION("""COMPUTED_VALUE"""),"295801")</f>
        <v>295801</v>
      </c>
      <c r="I171" s="1" t="str">
        <f>IFERROR(__xludf.DUMMYFUNCTION("""COMPUTED_VALUE"""),"นายอรรถพล เหล่าสุวงศ์")</f>
        <v>นายอรรถพล เหล่าสุวงศ์</v>
      </c>
      <c r="J171" s="3">
        <f>IFERROR(__xludf.DUMMYFUNCTION("""COMPUTED_VALUE"""),295801.0)</f>
        <v>295801</v>
      </c>
      <c r="K171" s="3" t="str">
        <f>IFERROR(__xludf.DUMMYFUNCTION("""COMPUTED_VALUE"""),"นายอรรถพล เหล่าสุวงศ์")</f>
        <v>นายอรรถพล เหล่าสุวงศ์</v>
      </c>
      <c r="L171" s="1" t="str">
        <f>IFERROR(__xludf.DUMMYFUNCTION("""COMPUTED_VALUE"""),"Hub09-NE 1")</f>
        <v>Hub09-NE 1</v>
      </c>
      <c r="M171" s="1" t="str">
        <f>IFERROR(__xludf.DUMMYFUNCTION("""COMPUTED_VALUE"""),"0655090879")</f>
        <v>0655090879</v>
      </c>
      <c r="N171" s="3">
        <f>IFERROR(__xludf.DUMMYFUNCTION("""COMPUTED_VALUE"""),14013.0)</f>
        <v>14013</v>
      </c>
      <c r="O171" s="3" t="str">
        <f>IFERROR(__xludf.DUMMYFUNCTION("""COMPUTED_VALUE"""),"สมเด็จ")</f>
        <v>สมเด็จ</v>
      </c>
      <c r="P171" s="4">
        <f>IFERROR(__xludf.DUMMYFUNCTION("""COMPUTED_VALUE"""),42536.0)</f>
        <v>42536</v>
      </c>
      <c r="Q171" s="3" t="str">
        <f>IFERROR(__xludf.DUMMYFUNCTION("""COMPUTED_VALUE"""),"I")</f>
        <v>I</v>
      </c>
      <c r="R171" s="3" t="str">
        <f>IFERROR(__xludf.DUMMYFUNCTION("""COMPUTED_VALUE"""),"Big Format")</f>
        <v>Big Format</v>
      </c>
      <c r="S171" s="3" t="str">
        <f>IFERROR(__xludf.DUMMYFUNCTION("""COMPUTED_VALUE"""),"Depot")</f>
        <v>Depot</v>
      </c>
      <c r="T171" s="3" t="str">
        <f>IFERROR(__xludf.DUMMYFUNCTION("""COMPUTED_VALUE"""),"Hub09-NE 1")</f>
        <v>Hub09-NE 1</v>
      </c>
      <c r="U171" s="3" t="str">
        <f>IFERROR(__xludf.DUMMYFUNCTION("""COMPUTED_VALUE"""),"Hub09-NE 1")</f>
        <v>Hub09-NE 1</v>
      </c>
      <c r="V171" s="3" t="str">
        <f>IFERROR(__xludf.DUMMYFUNCTION("""COMPUTED_VALUE"""),"N")</f>
        <v>N</v>
      </c>
      <c r="W171" s="3">
        <f>IFERROR(__xludf.DUMMYFUNCTION("""COMPUTED_VALUE"""),151064.0)</f>
        <v>151064</v>
      </c>
      <c r="X171" s="3" t="str">
        <f>IFERROR(__xludf.DUMMYFUNCTION("""COMPUTED_VALUE"""),"440 หมู่5 ตำบลสมเด็จ อำเภอสมเด็จ จังหวัดกาฬสินธุ์ 46150")</f>
        <v>440 หมู่5 ตำบลสมเด็จ อำเภอสมเด็จ จังหวัดกาฬสินธุ์ 46150</v>
      </c>
      <c r="Y171" s="3"/>
      <c r="Z171" s="3" t="str">
        <f>IFERROR(__xludf.DUMMYFUNCTION("""COMPUTED_VALUE"""),"สมเด็จ")</f>
        <v>สมเด็จ</v>
      </c>
      <c r="AA171" s="3" t="str">
        <f>IFERROR(__xludf.DUMMYFUNCTION("""COMPUTED_VALUE"""),"สมเด็จ")</f>
        <v>สมเด็จ</v>
      </c>
      <c r="AB171" s="3" t="str">
        <f>IFERROR(__xludf.DUMMYFUNCTION("""COMPUTED_VALUE"""),"กาฬสินธุ์")</f>
        <v>กาฬสินธุ์</v>
      </c>
      <c r="AC171" s="3">
        <f>IFERROR(__xludf.DUMMYFUNCTION("""COMPUTED_VALUE"""),46150.0)</f>
        <v>46150</v>
      </c>
      <c r="AD171" s="3">
        <f>IFERROR(__xludf.DUMMYFUNCTION("""COMPUTED_VALUE"""),16.68840608)</f>
        <v>16.68840608</v>
      </c>
      <c r="AE171" s="3">
        <f>IFERROR(__xludf.DUMMYFUNCTION("""COMPUTED_VALUE"""),103.7403097)</f>
        <v>103.7403097</v>
      </c>
      <c r="AF171" s="3" t="str">
        <f>IFERROR(__xludf.DUMMYFUNCTION("""COMPUTED_VALUE"""),"สมเด็จ-14013")</f>
        <v>สมเด็จ-14013</v>
      </c>
      <c r="AG171" s="3" t="str">
        <f>IFERROR(__xludf.DUMMYFUNCTION("""COMPUTED_VALUE"""),"ตะวันออกเฉียงเหนือ")</f>
        <v>ตะวันออกเฉียงเหนือ</v>
      </c>
      <c r="AH171" s="3" t="str">
        <f>IFERROR(__xludf.DUMMYFUNCTION("""COMPUTED_VALUE"""),"#N/A")</f>
        <v>#N/A</v>
      </c>
      <c r="AI171" s="3" t="str">
        <f>IFERROR(__xludf.DUMMYFUNCTION("""COMPUTED_VALUE"""),"Out of warranty")</f>
        <v>Out of warranty</v>
      </c>
      <c r="AJ171" s="3">
        <f>IFERROR(__xludf.DUMMYFUNCTION("""COMPUTED_VALUE"""),116.0)</f>
        <v>116</v>
      </c>
      <c r="AK171" s="3"/>
      <c r="AL171" s="3" t="str">
        <f>IFERROR(__xludf.DUMMYFUNCTION("""COMPUTED_VALUE"""),"depot_somdet@bigc.co.th")</f>
        <v>depot_somdet@bigc.co.th</v>
      </c>
    </row>
    <row r="172" ht="15.75" customHeight="1">
      <c r="A172" s="1" t="str">
        <f>IFERROR(__xludf.DUMMYFUNCTION("""COMPUTED_VALUE"""),"14014")</f>
        <v>14014</v>
      </c>
      <c r="B172" s="2">
        <f>IFERROR(__xludf.DUMMYFUNCTION("""COMPUTED_VALUE"""),14014.0)</f>
        <v>14014</v>
      </c>
      <c r="C172" s="3" t="str">
        <f>IFERROR(__xludf.DUMMYFUNCTION("""COMPUTED_VALUE"""),"โชคชัย 4")</f>
        <v>โชคชัย 4</v>
      </c>
      <c r="D172" s="3" t="str">
        <f>IFERROR(__xludf.DUMMYFUNCTION("""COMPUTED_VALUE"""),"BIGC DEPOT CHOKCHAI 4")</f>
        <v>BIGC DEPOT CHOKCHAI 4</v>
      </c>
      <c r="E172" s="1" t="str">
        <f>IFERROR(__xludf.DUMMYFUNCTION("""COMPUTED_VALUE"""),"บิ๊กซี Depot")</f>
        <v>บิ๊กซี Depot</v>
      </c>
      <c r="F172" s="1" t="str">
        <f>IFERROR(__xludf.DUMMYFUNCTION("""COMPUTED_VALUE"""),"296619")</f>
        <v>296619</v>
      </c>
      <c r="G172" s="1" t="str">
        <f>IFERROR(__xludf.DUMMYFUNCTION("""COMPUTED_VALUE"""),"นายกุมภา มารุ่งเรือง")</f>
        <v>นายกุมภา มารุ่งเรือง</v>
      </c>
      <c r="H172" s="1" t="str">
        <f>IFERROR(__xludf.DUMMYFUNCTION("""COMPUTED_VALUE"""),"296619")</f>
        <v>296619</v>
      </c>
      <c r="I172" s="1" t="str">
        <f>IFERROR(__xludf.DUMMYFUNCTION("""COMPUTED_VALUE"""),"นายกุมภา มารุ่งเรือง")</f>
        <v>นายกุมภา มารุ่งเรือง</v>
      </c>
      <c r="J172" s="3">
        <f>IFERROR(__xludf.DUMMYFUNCTION("""COMPUTED_VALUE"""),2408546.0)</f>
        <v>2408546</v>
      </c>
      <c r="K172" s="3" t="str">
        <f>IFERROR(__xludf.DUMMYFUNCTION("""COMPUTED_VALUE"""),"นายเกษมศิษฐ์ ฮดบุญเรือง")</f>
        <v>นายเกษมศิษฐ์ ฮดบุญเรือง</v>
      </c>
      <c r="L172" s="1" t="str">
        <f>IFERROR(__xludf.DUMMYFUNCTION("""COMPUTED_VALUE"""),"Hub02-BKK 2")</f>
        <v>Hub02-BKK 2</v>
      </c>
      <c r="M172" s="1" t="str">
        <f>IFERROR(__xludf.DUMMYFUNCTION("""COMPUTED_VALUE"""),"0988580755")</f>
        <v>0988580755</v>
      </c>
      <c r="N172" s="3">
        <f>IFERROR(__xludf.DUMMYFUNCTION("""COMPUTED_VALUE"""),14014.0)</f>
        <v>14014</v>
      </c>
      <c r="O172" s="3" t="str">
        <f>IFERROR(__xludf.DUMMYFUNCTION("""COMPUTED_VALUE"""),"โชคชัย 4")</f>
        <v>โชคชัย 4</v>
      </c>
      <c r="P172" s="4">
        <f>IFERROR(__xludf.DUMMYFUNCTION("""COMPUTED_VALUE"""),42869.0)</f>
        <v>42869</v>
      </c>
      <c r="Q172" s="3" t="str">
        <f>IFERROR(__xludf.DUMMYFUNCTION("""COMPUTED_VALUE"""),"I")</f>
        <v>I</v>
      </c>
      <c r="R172" s="3" t="str">
        <f>IFERROR(__xludf.DUMMYFUNCTION("""COMPUTED_VALUE"""),"Big Format")</f>
        <v>Big Format</v>
      </c>
      <c r="S172" s="3" t="str">
        <f>IFERROR(__xludf.DUMMYFUNCTION("""COMPUTED_VALUE"""),"Depot")</f>
        <v>Depot</v>
      </c>
      <c r="T172" s="3">
        <f>IFERROR(__xludf.DUMMYFUNCTION("""COMPUTED_VALUE"""),0.0)</f>
        <v>0</v>
      </c>
      <c r="U172" s="3">
        <f>IFERROR(__xludf.DUMMYFUNCTION("""COMPUTED_VALUE"""),0.0)</f>
        <v>0</v>
      </c>
      <c r="V172" s="3" t="str">
        <f>IFERROR(__xludf.DUMMYFUNCTION("""COMPUTED_VALUE"""),"N")</f>
        <v>N</v>
      </c>
      <c r="W172" s="3">
        <f>IFERROR(__xludf.DUMMYFUNCTION("""COMPUTED_VALUE"""),151065.0)</f>
        <v>151065</v>
      </c>
      <c r="X172" s="3" t="str">
        <f>IFERROR(__xludf.DUMMYFUNCTION("""COMPUTED_VALUE"""),"ห้องเลขที่ GCR158 เลขที่ 139/27-28 ซอย ลาดพร้าว 53 (โชคชัย4) แขวงสะพานสอง เขตวังทองหลาง จังหวัดกรุงเทพมหานคร 10310")</f>
        <v>ห้องเลขที่ GCR158 เลขที่ 139/27-28 ซอย ลาดพร้าว 53 (โชคชัย4) แขวงสะพานสอง เขตวังทองหลาง จังหวัดกรุงเทพมหานคร 10310</v>
      </c>
      <c r="Y172" s="3" t="str">
        <f>IFERROR(__xludf.DUMMYFUNCTION("""COMPUTED_VALUE"""),"ลาดพร้าว")</f>
        <v>ลาดพร้าว</v>
      </c>
      <c r="Z172" s="3" t="str">
        <f>IFERROR(__xludf.DUMMYFUNCTION("""COMPUTED_VALUE"""),"สะพานสอง")</f>
        <v>สะพานสอง</v>
      </c>
      <c r="AA172" s="3" t="str">
        <f>IFERROR(__xludf.DUMMYFUNCTION("""COMPUTED_VALUE"""),"วังทองหลาง")</f>
        <v>วังทองหลาง</v>
      </c>
      <c r="AB172" s="3" t="str">
        <f>IFERROR(__xludf.DUMMYFUNCTION("""COMPUTED_VALUE"""),"กรุงเทพมหานคร")</f>
        <v>กรุงเทพมหานคร</v>
      </c>
      <c r="AC172" s="3">
        <f>IFERROR(__xludf.DUMMYFUNCTION("""COMPUTED_VALUE"""),10310.0)</f>
        <v>10310</v>
      </c>
      <c r="AD172" s="3">
        <f>IFERROR(__xludf.DUMMYFUNCTION("""COMPUTED_VALUE"""),13.79801236)</f>
        <v>13.79801236</v>
      </c>
      <c r="AE172" s="3">
        <f>IFERROR(__xludf.DUMMYFUNCTION("""COMPUTED_VALUE"""),100.5951655)</f>
        <v>100.5951655</v>
      </c>
      <c r="AF172" s="3" t="str">
        <f>IFERROR(__xludf.DUMMYFUNCTION("""COMPUTED_VALUE"""),"โชคชัย 4-14014")</f>
        <v>โชคชัย 4-14014</v>
      </c>
      <c r="AG172" s="3" t="str">
        <f>IFERROR(__xludf.DUMMYFUNCTION("""COMPUTED_VALUE"""),"กลาง")</f>
        <v>กลาง</v>
      </c>
      <c r="AH172" s="3" t="str">
        <f>IFERROR(__xludf.DUMMYFUNCTION("""COMPUTED_VALUE"""),"#N/A")</f>
        <v>#N/A</v>
      </c>
      <c r="AI172" s="3" t="str">
        <f>IFERROR(__xludf.DUMMYFUNCTION("""COMPUTED_VALUE"""),"Out of warranty")</f>
        <v>Out of warranty</v>
      </c>
      <c r="AJ172" s="3">
        <f>IFERROR(__xludf.DUMMYFUNCTION("""COMPUTED_VALUE"""),105.0)</f>
        <v>105</v>
      </c>
      <c r="AK172" s="3"/>
      <c r="AL172" s="3" t="str">
        <f>IFERROR(__xludf.DUMMYFUNCTION("""COMPUTED_VALUE"""),"#N/A")</f>
        <v>#N/A</v>
      </c>
    </row>
    <row r="173" ht="15.75" customHeight="1">
      <c r="A173" s="1" t="str">
        <f>IFERROR(__xludf.DUMMYFUNCTION("""COMPUTED_VALUE"""),"15001")</f>
        <v>15001</v>
      </c>
      <c r="B173" s="2">
        <f>IFERROR(__xludf.DUMMYFUNCTION("""COMPUTED_VALUE"""),15001.0)</f>
        <v>15001</v>
      </c>
      <c r="C173" s="3" t="str">
        <f>IFERROR(__xludf.DUMMYFUNCTION("""COMPUTED_VALUE"""),"สระบุรี")</f>
        <v>สระบุรี</v>
      </c>
      <c r="D173" s="3" t="str">
        <f>IFERROR(__xludf.DUMMYFUNCTION("""COMPUTED_VALUE"""),"BIGC MARKET SARABURI")</f>
        <v>BIGC MARKET SARABURI</v>
      </c>
      <c r="E173" s="1" t="str">
        <f>IFERROR(__xludf.DUMMYFUNCTION("""COMPUTED_VALUE"""),"บิ๊กซี Market")</f>
        <v>บิ๊กซี Market</v>
      </c>
      <c r="F173" s="1" t="str">
        <f>IFERROR(__xludf.DUMMYFUNCTION("""COMPUTED_VALUE"""),"00510143")</f>
        <v>00510143</v>
      </c>
      <c r="G173" s="1" t="str">
        <f>IFERROR(__xludf.DUMMYFUNCTION("""COMPUTED_VALUE"""),"นายธีระวัฒน์ บุญสิทธิ์")</f>
        <v>นายธีระวัฒน์ บุญสิทธิ์</v>
      </c>
      <c r="H173" s="1" t="str">
        <f>IFERROR(__xludf.DUMMYFUNCTION("""COMPUTED_VALUE"""),"00510143")</f>
        <v>00510143</v>
      </c>
      <c r="I173" s="1" t="str">
        <f>IFERROR(__xludf.DUMMYFUNCTION("""COMPUTED_VALUE"""),"นายธีระวัฒน์ บุญสิทธิ์")</f>
        <v>นายธีระวัฒน์ บุญสิทธิ์</v>
      </c>
      <c r="J173" s="3">
        <f>IFERROR(__xludf.DUMMYFUNCTION("""COMPUTED_VALUE"""),510143.0)</f>
        <v>510143</v>
      </c>
      <c r="K173" s="3" t="str">
        <f>IFERROR(__xludf.DUMMYFUNCTION("""COMPUTED_VALUE"""),"นายธีระวัฒน์ บุญสิทธิ์")</f>
        <v>นายธีระวัฒน์ บุญสิทธิ์</v>
      </c>
      <c r="L173" s="1" t="str">
        <f>IFERROR(__xludf.DUMMYFUNCTION("""COMPUTED_VALUE"""),"12 K.Theerawat B.")</f>
        <v>12 K.Theerawat B.</v>
      </c>
      <c r="M173" s="1" t="str">
        <f>IFERROR(__xludf.DUMMYFUNCTION("""COMPUTED_VALUE"""),"0655107379")</f>
        <v>0655107379</v>
      </c>
      <c r="N173" s="3">
        <f>IFERROR(__xludf.DUMMYFUNCTION("""COMPUTED_VALUE"""),15001.0)</f>
        <v>15001</v>
      </c>
      <c r="O173" s="3" t="str">
        <f>IFERROR(__xludf.DUMMYFUNCTION("""COMPUTED_VALUE"""),"สระบุรี")</f>
        <v>สระบุรี</v>
      </c>
      <c r="P173" s="4">
        <f>IFERROR(__xludf.DUMMYFUNCTION("""COMPUTED_VALUE"""),40354.0)</f>
        <v>40354</v>
      </c>
      <c r="Q173" s="3" t="str">
        <f>IFERROR(__xludf.DUMMYFUNCTION("""COMPUTED_VALUE"""),"I")</f>
        <v>I</v>
      </c>
      <c r="R173" s="3" t="str">
        <f>IFERROR(__xludf.DUMMYFUNCTION("""COMPUTED_VALUE"""),"Big Format")</f>
        <v>Big Format</v>
      </c>
      <c r="S173" s="3" t="str">
        <f>IFERROR(__xludf.DUMMYFUNCTION("""COMPUTED_VALUE"""),"BMK")</f>
        <v>BMK</v>
      </c>
      <c r="T173" s="3" t="str">
        <f>IFERROR(__xludf.DUMMYFUNCTION("""COMPUTED_VALUE"""),"12 K.Theerawat B.")</f>
        <v>12 K.Theerawat B.</v>
      </c>
      <c r="U173" s="3" t="str">
        <f>IFERROR(__xludf.DUMMYFUNCTION("""COMPUTED_VALUE"""),"12 K.Theerawat B.")</f>
        <v>12 K.Theerawat B.</v>
      </c>
      <c r="V173" s="3" t="str">
        <f>IFERROR(__xludf.DUMMYFUNCTION("""COMPUTED_VALUE"""),"N")</f>
        <v>N</v>
      </c>
      <c r="W173" s="3">
        <f>IFERROR(__xludf.DUMMYFUNCTION("""COMPUTED_VALUE"""),151001.0)</f>
        <v>151001</v>
      </c>
      <c r="X173" s="3" t="str">
        <f>IFERROR(__xludf.DUMMYFUNCTION("""COMPUTED_VALUE"""),"57/7 ถนนสุดบรรทัด ตำบลปากเพรียว อำเภอเมืองสระบุรี จังหวัดสระบุรี 18000")</f>
        <v>57/7 ถนนสุดบรรทัด ตำบลปากเพรียว อำเภอเมืองสระบุรี จังหวัดสระบุรี 18000</v>
      </c>
      <c r="Y173" s="3" t="str">
        <f>IFERROR(__xludf.DUMMYFUNCTION("""COMPUTED_VALUE"""),"ถนนสุดบรรทัด")</f>
        <v>ถนนสุดบรรทัด</v>
      </c>
      <c r="Z173" s="3" t="str">
        <f>IFERROR(__xludf.DUMMYFUNCTION("""COMPUTED_VALUE"""),"ปากเพรียว")</f>
        <v>ปากเพรียว</v>
      </c>
      <c r="AA173" s="3" t="str">
        <f>IFERROR(__xludf.DUMMYFUNCTION("""COMPUTED_VALUE"""),"เมือง")</f>
        <v>เมือง</v>
      </c>
      <c r="AB173" s="3" t="str">
        <f>IFERROR(__xludf.DUMMYFUNCTION("""COMPUTED_VALUE"""),"สระบุรี")</f>
        <v>สระบุรี</v>
      </c>
      <c r="AC173" s="3">
        <f>IFERROR(__xludf.DUMMYFUNCTION("""COMPUTED_VALUE"""),18000.0)</f>
        <v>18000</v>
      </c>
      <c r="AD173" s="3">
        <f>IFERROR(__xludf.DUMMYFUNCTION("""COMPUTED_VALUE"""),14.524)</f>
        <v>14.524</v>
      </c>
      <c r="AE173" s="3">
        <f>IFERROR(__xludf.DUMMYFUNCTION("""COMPUTED_VALUE"""),100.9176)</f>
        <v>100.9176</v>
      </c>
      <c r="AF173" s="3" t="str">
        <f>IFERROR(__xludf.DUMMYFUNCTION("""COMPUTED_VALUE"""),"สระบุรี-15001")</f>
        <v>สระบุรี-15001</v>
      </c>
      <c r="AG173" s="3" t="str">
        <f>IFERROR(__xludf.DUMMYFUNCTION("""COMPUTED_VALUE"""),"กลาง")</f>
        <v>กลาง</v>
      </c>
      <c r="AH173" s="3" t="str">
        <f>IFERROR(__xludf.DUMMYFUNCTION("""COMPUTED_VALUE"""),"#N/A")</f>
        <v>#N/A</v>
      </c>
      <c r="AI173" s="3" t="str">
        <f>IFERROR(__xludf.DUMMYFUNCTION("""COMPUTED_VALUE"""),"Out of warranty")</f>
        <v>Out of warranty</v>
      </c>
      <c r="AJ173" s="3">
        <f>IFERROR(__xludf.DUMMYFUNCTION("""COMPUTED_VALUE"""),187.0)</f>
        <v>187</v>
      </c>
      <c r="AK173" s="3"/>
      <c r="AL173" s="3" t="str">
        <f>IFERROR(__xludf.DUMMYFUNCTION("""COMPUTED_VALUE"""),"bmk_sm.saraburi@bigc.co.th")</f>
        <v>bmk_sm.saraburi@bigc.co.th</v>
      </c>
    </row>
    <row r="174" ht="15.75" customHeight="1">
      <c r="A174" s="1" t="str">
        <f>IFERROR(__xludf.DUMMYFUNCTION("""COMPUTED_VALUE"""),"15002")</f>
        <v>15002</v>
      </c>
      <c r="B174" s="2">
        <f>IFERROR(__xludf.DUMMYFUNCTION("""COMPUTED_VALUE"""),15002.0)</f>
        <v>15002</v>
      </c>
      <c r="C174" s="3" t="str">
        <f>IFERROR(__xludf.DUMMYFUNCTION("""COMPUTED_VALUE"""),"พังงา")</f>
        <v>พังงา</v>
      </c>
      <c r="D174" s="3" t="str">
        <f>IFERROR(__xludf.DUMMYFUNCTION("""COMPUTED_VALUE"""),"BIGC MARKET PHANGNGA")</f>
        <v>BIGC MARKET PHANGNGA</v>
      </c>
      <c r="E174" s="1" t="str">
        <f>IFERROR(__xludf.DUMMYFUNCTION("""COMPUTED_VALUE"""),"บิ๊กซี Market")</f>
        <v>บิ๊กซี Market</v>
      </c>
      <c r="F174" s="1" t="str">
        <f>IFERROR(__xludf.DUMMYFUNCTION("""COMPUTED_VALUE"""),"2454709")</f>
        <v>2454709</v>
      </c>
      <c r="G174" s="1" t="str">
        <f>IFERROR(__xludf.DUMMYFUNCTION("""COMPUTED_VALUE"""),"นายประชา เกตุชาติ")</f>
        <v>นายประชา เกตุชาติ</v>
      </c>
      <c r="H174" s="1" t="str">
        <f>IFERROR(__xludf.DUMMYFUNCTION("""COMPUTED_VALUE"""),"2454709")</f>
        <v>2454709</v>
      </c>
      <c r="I174" s="1" t="str">
        <f>IFERROR(__xludf.DUMMYFUNCTION("""COMPUTED_VALUE"""),"นายประชา เกตุชาติ")</f>
        <v>นายประชา เกตุชาติ</v>
      </c>
      <c r="J174" s="3">
        <f>IFERROR(__xludf.DUMMYFUNCTION("""COMPUTED_VALUE"""),2454709.0)</f>
        <v>2454709</v>
      </c>
      <c r="K174" s="3" t="str">
        <f>IFERROR(__xludf.DUMMYFUNCTION("""COMPUTED_VALUE"""),"นายประชา เกตุชาติ")</f>
        <v>นายประชา เกตุชาติ</v>
      </c>
      <c r="L174" s="1" t="str">
        <f>IFERROR(__xludf.DUMMYFUNCTION("""COMPUTED_VALUE"""),"Hub05-South")</f>
        <v>Hub05-South</v>
      </c>
      <c r="M174" s="1" t="str">
        <f>IFERROR(__xludf.DUMMYFUNCTION("""COMPUTED_VALUE"""),"0659291311")</f>
        <v>0659291311</v>
      </c>
      <c r="N174" s="3">
        <f>IFERROR(__xludf.DUMMYFUNCTION("""COMPUTED_VALUE"""),15002.0)</f>
        <v>15002</v>
      </c>
      <c r="O174" s="3" t="str">
        <f>IFERROR(__xludf.DUMMYFUNCTION("""COMPUTED_VALUE"""),"พังงา")</f>
        <v>พังงา</v>
      </c>
      <c r="P174" s="4">
        <f>IFERROR(__xludf.DUMMYFUNCTION("""COMPUTED_VALUE"""),40466.0)</f>
        <v>40466</v>
      </c>
      <c r="Q174" s="3" t="str">
        <f>IFERROR(__xludf.DUMMYFUNCTION("""COMPUTED_VALUE"""),"A")</f>
        <v>A</v>
      </c>
      <c r="R174" s="3" t="str">
        <f>IFERROR(__xludf.DUMMYFUNCTION("""COMPUTED_VALUE"""),"Big Format")</f>
        <v>Big Format</v>
      </c>
      <c r="S174" s="3" t="str">
        <f>IFERROR(__xludf.DUMMYFUNCTION("""COMPUTED_VALUE"""),"BMK")</f>
        <v>BMK</v>
      </c>
      <c r="T174" s="3" t="str">
        <f>IFERROR(__xludf.DUMMYFUNCTION("""COMPUTED_VALUE"""),"Hub05-South")</f>
        <v>Hub05-South</v>
      </c>
      <c r="U174" s="3" t="str">
        <f>IFERROR(__xludf.DUMMYFUNCTION("""COMPUTED_VALUE"""),"Hub05-South")</f>
        <v>Hub05-South</v>
      </c>
      <c r="V174" s="3" t="str">
        <f>IFERROR(__xludf.DUMMYFUNCTION("""COMPUTED_VALUE"""),"N")</f>
        <v>N</v>
      </c>
      <c r="W174" s="3">
        <f>IFERROR(__xludf.DUMMYFUNCTION("""COMPUTED_VALUE"""),151002.0)</f>
        <v>151002</v>
      </c>
      <c r="X174" s="3" t="str">
        <f>IFERROR(__xludf.DUMMYFUNCTION("""COMPUTED_VALUE"""),"295,297 ถนนเพชรเกษม ตำบลท้ายช้าง อำเภอเมืองพังงา จังหวัดพังงา 82000")</f>
        <v>295,297 ถนนเพชรเกษม ตำบลท้ายช้าง อำเภอเมืองพังงา จังหวัดพังงา 82000</v>
      </c>
      <c r="Y174" s="3" t="str">
        <f>IFERROR(__xludf.DUMMYFUNCTION("""COMPUTED_VALUE"""),"ถนนเพชรเกษม")</f>
        <v>ถนนเพชรเกษม</v>
      </c>
      <c r="Z174" s="3" t="str">
        <f>IFERROR(__xludf.DUMMYFUNCTION("""COMPUTED_VALUE"""),"ท้ายช้าง")</f>
        <v>ท้ายช้าง</v>
      </c>
      <c r="AA174" s="3" t="str">
        <f>IFERROR(__xludf.DUMMYFUNCTION("""COMPUTED_VALUE"""),"เมือง")</f>
        <v>เมือง</v>
      </c>
      <c r="AB174" s="3" t="str">
        <f>IFERROR(__xludf.DUMMYFUNCTION("""COMPUTED_VALUE"""),"พังงา")</f>
        <v>พังงา</v>
      </c>
      <c r="AC174" s="3">
        <f>IFERROR(__xludf.DUMMYFUNCTION("""COMPUTED_VALUE"""),82000.0)</f>
        <v>82000</v>
      </c>
      <c r="AD174" s="3">
        <f>IFERROR(__xludf.DUMMYFUNCTION("""COMPUTED_VALUE"""),8.4588)</f>
        <v>8.4588</v>
      </c>
      <c r="AE174" s="3">
        <f>IFERROR(__xludf.DUMMYFUNCTION("""COMPUTED_VALUE"""),98.5318)</f>
        <v>98.5318</v>
      </c>
      <c r="AF174" s="3" t="str">
        <f>IFERROR(__xludf.DUMMYFUNCTION("""COMPUTED_VALUE"""),"พังงา-15002")</f>
        <v>พังงา-15002</v>
      </c>
      <c r="AG174" s="3" t="str">
        <f>IFERROR(__xludf.DUMMYFUNCTION("""COMPUTED_VALUE"""),"ใต้")</f>
        <v>ใต้</v>
      </c>
      <c r="AH174" s="3" t="str">
        <f>IFERROR(__xludf.DUMMYFUNCTION("""COMPUTED_VALUE"""),"Suwadee Intachart")</f>
        <v>Suwadee Intachart</v>
      </c>
      <c r="AI174" s="3" t="str">
        <f>IFERROR(__xludf.DUMMYFUNCTION("""COMPUTED_VALUE"""),"Out of warranty")</f>
        <v>Out of warranty</v>
      </c>
      <c r="AJ174" s="3">
        <f>IFERROR(__xludf.DUMMYFUNCTION("""COMPUTED_VALUE"""),184.0)</f>
        <v>184</v>
      </c>
      <c r="AK174" s="3"/>
      <c r="AL174" s="3" t="str">
        <f>IFERROR(__xludf.DUMMYFUNCTION("""COMPUTED_VALUE"""),"bmk_sm.phang_nga@bigc.co.th")</f>
        <v>bmk_sm.phang_nga@bigc.co.th</v>
      </c>
    </row>
    <row r="175" ht="15.75" customHeight="1">
      <c r="A175" s="1" t="str">
        <f>IFERROR(__xludf.DUMMYFUNCTION("""COMPUTED_VALUE"""),"15003")</f>
        <v>15003</v>
      </c>
      <c r="B175" s="2">
        <f>IFERROR(__xludf.DUMMYFUNCTION("""COMPUTED_VALUE"""),15003.0)</f>
        <v>15003</v>
      </c>
      <c r="C175" s="3" t="str">
        <f>IFERROR(__xludf.DUMMYFUNCTION("""COMPUTED_VALUE"""),"สายไหม")</f>
        <v>สายไหม</v>
      </c>
      <c r="D175" s="3" t="str">
        <f>IFERROR(__xludf.DUMMYFUNCTION("""COMPUTED_VALUE"""),"BIGC MARKET SAIMAI")</f>
        <v>BIGC MARKET SAIMAI</v>
      </c>
      <c r="E175" s="1" t="str">
        <f>IFERROR(__xludf.DUMMYFUNCTION("""COMPUTED_VALUE"""),"บิ๊กซี FoodPlace")</f>
        <v>บิ๊กซี FoodPlace</v>
      </c>
      <c r="F175" s="1" t="str">
        <f>IFERROR(__xludf.DUMMYFUNCTION("""COMPUTED_VALUE"""),"2454813")</f>
        <v>2454813</v>
      </c>
      <c r="G175" s="1" t="str">
        <f>IFERROR(__xludf.DUMMYFUNCTION("""COMPUTED_VALUE"""),"นายอนุรักษ์ จั่นเที่ยง")</f>
        <v>นายอนุรักษ์ จั่นเที่ยง</v>
      </c>
      <c r="H175" s="1" t="str">
        <f>IFERROR(__xludf.DUMMYFUNCTION("""COMPUTED_VALUE"""),"2454813")</f>
        <v>2454813</v>
      </c>
      <c r="I175" s="1" t="str">
        <f>IFERROR(__xludf.DUMMYFUNCTION("""COMPUTED_VALUE"""),"นายอนุรักษ์ จั่นเที่ยง")</f>
        <v>นายอนุรักษ์ จั่นเที่ยง</v>
      </c>
      <c r="J175" s="3">
        <f>IFERROR(__xludf.DUMMYFUNCTION("""COMPUTED_VALUE"""),2454813.0)</f>
        <v>2454813</v>
      </c>
      <c r="K175" s="3" t="str">
        <f>IFERROR(__xludf.DUMMYFUNCTION("""COMPUTED_VALUE"""),"นายอนุรักษ์ จั่นเที่ยง")</f>
        <v>นายอนุรักษ์ จั่นเที่ยง</v>
      </c>
      <c r="L175" s="1" t="str">
        <f>IFERROR(__xludf.DUMMYFUNCTION("""COMPUTED_VALUE"""),"Hub04-BKK 4")</f>
        <v>Hub04-BKK 4</v>
      </c>
      <c r="M175" s="1" t="str">
        <f>IFERROR(__xludf.DUMMYFUNCTION("""COMPUTED_VALUE"""),"0991964531")</f>
        <v>0991964531</v>
      </c>
      <c r="N175" s="3">
        <f>IFERROR(__xludf.DUMMYFUNCTION("""COMPUTED_VALUE"""),15003.0)</f>
        <v>15003</v>
      </c>
      <c r="O175" s="3" t="str">
        <f>IFERROR(__xludf.DUMMYFUNCTION("""COMPUTED_VALUE"""),"สายไหม")</f>
        <v>สายไหม</v>
      </c>
      <c r="P175" s="4">
        <f>IFERROR(__xludf.DUMMYFUNCTION("""COMPUTED_VALUE"""),40315.0)</f>
        <v>40315</v>
      </c>
      <c r="Q175" s="3" t="str">
        <f>IFERROR(__xludf.DUMMYFUNCTION("""COMPUTED_VALUE"""),"A")</f>
        <v>A</v>
      </c>
      <c r="R175" s="3" t="str">
        <f>IFERROR(__xludf.DUMMYFUNCTION("""COMPUTED_VALUE"""),"Big Format")</f>
        <v>Big Format</v>
      </c>
      <c r="S175" s="3" t="str">
        <f>IFERROR(__xludf.DUMMYFUNCTION("""COMPUTED_VALUE"""),"FoodPlace")</f>
        <v>FoodPlace</v>
      </c>
      <c r="T175" s="3" t="str">
        <f>IFERROR(__xludf.DUMMYFUNCTION("""COMPUTED_VALUE"""),"Hub04-BKK 4")</f>
        <v>Hub04-BKK 4</v>
      </c>
      <c r="U175" s="3" t="str">
        <f>IFERROR(__xludf.DUMMYFUNCTION("""COMPUTED_VALUE"""),"Hub04-BKK 4")</f>
        <v>Hub04-BKK 4</v>
      </c>
      <c r="V175" s="3" t="str">
        <f>IFERROR(__xludf.DUMMYFUNCTION("""COMPUTED_VALUE"""),"N")</f>
        <v>N</v>
      </c>
      <c r="W175" s="3">
        <f>IFERROR(__xludf.DUMMYFUNCTION("""COMPUTED_VALUE"""),151003.0)</f>
        <v>151003</v>
      </c>
      <c r="X175" s="3" t="str">
        <f>IFERROR(__xludf.DUMMYFUNCTION("""COMPUTED_VALUE"""),"89-89/3 หมู่ที่ 3 แขวงสายไหม เขตสายไหม กรุงเทพฯ 10220")</f>
        <v>89-89/3 หมู่ที่ 3 แขวงสายไหม เขตสายไหม กรุงเทพฯ 10220</v>
      </c>
      <c r="Y175" s="3"/>
      <c r="Z175" s="3" t="str">
        <f>IFERROR(__xludf.DUMMYFUNCTION("""COMPUTED_VALUE"""),"สายไหม")</f>
        <v>สายไหม</v>
      </c>
      <c r="AA175" s="3" t="str">
        <f>IFERROR(__xludf.DUMMYFUNCTION("""COMPUTED_VALUE"""),"สายไหม")</f>
        <v>สายไหม</v>
      </c>
      <c r="AB175" s="3" t="str">
        <f>IFERROR(__xludf.DUMMYFUNCTION("""COMPUTED_VALUE"""),"กรุงเทพมหานคร")</f>
        <v>กรุงเทพมหานคร</v>
      </c>
      <c r="AC175" s="3">
        <f>IFERROR(__xludf.DUMMYFUNCTION("""COMPUTED_VALUE"""),10220.0)</f>
        <v>10220</v>
      </c>
      <c r="AD175" s="3">
        <f>IFERROR(__xludf.DUMMYFUNCTION("""COMPUTED_VALUE"""),13.9219043)</f>
        <v>13.9219043</v>
      </c>
      <c r="AE175" s="3">
        <f>IFERROR(__xludf.DUMMYFUNCTION("""COMPUTED_VALUE"""),100.666523)</f>
        <v>100.666523</v>
      </c>
      <c r="AF175" s="3" t="str">
        <f>IFERROR(__xludf.DUMMYFUNCTION("""COMPUTED_VALUE"""),"สายไหม-15003")</f>
        <v>สายไหม-15003</v>
      </c>
      <c r="AG175" s="3" t="str">
        <f>IFERROR(__xludf.DUMMYFUNCTION("""COMPUTED_VALUE"""),"กลาง")</f>
        <v>กลาง</v>
      </c>
      <c r="AH175" s="3" t="str">
        <f>IFERROR(__xludf.DUMMYFUNCTION("""COMPUTED_VALUE"""),"Natsarine Seammai")</f>
        <v>Natsarine Seammai</v>
      </c>
      <c r="AI175" s="3" t="str">
        <f>IFERROR(__xludf.DUMMYFUNCTION("""COMPUTED_VALUE"""),"Out of warranty")</f>
        <v>Out of warranty</v>
      </c>
      <c r="AJ175" s="3">
        <f>IFERROR(__xludf.DUMMYFUNCTION("""COMPUTED_VALUE"""),189.0)</f>
        <v>189</v>
      </c>
      <c r="AK175" s="3"/>
      <c r="AL175" s="3" t="str">
        <f>IFERROR(__xludf.DUMMYFUNCTION("""COMPUTED_VALUE"""),"Foodplace.saimai@bigc.co.th")</f>
        <v>Foodplace.saimai@bigc.co.th</v>
      </c>
    </row>
    <row r="176" ht="15.75" customHeight="1">
      <c r="A176" s="1" t="str">
        <f>IFERROR(__xludf.DUMMYFUNCTION("""COMPUTED_VALUE"""),"15004")</f>
        <v>15004</v>
      </c>
      <c r="B176" s="2">
        <f>IFERROR(__xludf.DUMMYFUNCTION("""COMPUTED_VALUE"""),15004.0)</f>
        <v>15004</v>
      </c>
      <c r="C176" s="3" t="str">
        <f>IFERROR(__xludf.DUMMYFUNCTION("""COMPUTED_VALUE"""),"สุขาภิบาล5")</f>
        <v>สุขาภิบาล5</v>
      </c>
      <c r="D176" s="3" t="str">
        <f>IFERROR(__xludf.DUMMYFUNCTION("""COMPUTED_VALUE"""),"BIGC MARKET SUKHAPIBAN-5")</f>
        <v>BIGC MARKET SUKHAPIBAN-5</v>
      </c>
      <c r="E176" s="1" t="str">
        <f>IFERROR(__xludf.DUMMYFUNCTION("""COMPUTED_VALUE"""),"บิ๊กซี FoodPlace")</f>
        <v>บิ๊กซี FoodPlace</v>
      </c>
      <c r="F176" s="1" t="str">
        <f>IFERROR(__xludf.DUMMYFUNCTION("""COMPUTED_VALUE"""),"2454813")</f>
        <v>2454813</v>
      </c>
      <c r="G176" s="1" t="str">
        <f>IFERROR(__xludf.DUMMYFUNCTION("""COMPUTED_VALUE"""),"นายอนุรักษ์ จั่นเที่ยง")</f>
        <v>นายอนุรักษ์ จั่นเที่ยง</v>
      </c>
      <c r="H176" s="1" t="str">
        <f>IFERROR(__xludf.DUMMYFUNCTION("""COMPUTED_VALUE"""),"2454813")</f>
        <v>2454813</v>
      </c>
      <c r="I176" s="1" t="str">
        <f>IFERROR(__xludf.DUMMYFUNCTION("""COMPUTED_VALUE"""),"นายอนุรักษ์ จั่นเที่ยง")</f>
        <v>นายอนุรักษ์ จั่นเที่ยง</v>
      </c>
      <c r="J176" s="3">
        <f>IFERROR(__xludf.DUMMYFUNCTION("""COMPUTED_VALUE"""),2454813.0)</f>
        <v>2454813</v>
      </c>
      <c r="K176" s="3" t="str">
        <f>IFERROR(__xludf.DUMMYFUNCTION("""COMPUTED_VALUE"""),"นายอนุรักษ์ จั่นเที่ยง")</f>
        <v>นายอนุรักษ์ จั่นเที่ยง</v>
      </c>
      <c r="L176" s="1" t="str">
        <f>IFERROR(__xludf.DUMMYFUNCTION("""COMPUTED_VALUE"""),"Hub04-BKK 4")</f>
        <v>Hub04-BKK 4</v>
      </c>
      <c r="M176" s="1" t="str">
        <f>IFERROR(__xludf.DUMMYFUNCTION("""COMPUTED_VALUE"""),"0991964531")</f>
        <v>0991964531</v>
      </c>
      <c r="N176" s="3">
        <f>IFERROR(__xludf.DUMMYFUNCTION("""COMPUTED_VALUE"""),15004.0)</f>
        <v>15004</v>
      </c>
      <c r="O176" s="3" t="str">
        <f>IFERROR(__xludf.DUMMYFUNCTION("""COMPUTED_VALUE"""),"สุขาภิบาล5")</f>
        <v>สุขาภิบาล5</v>
      </c>
      <c r="P176" s="4">
        <f>IFERROR(__xludf.DUMMYFUNCTION("""COMPUTED_VALUE"""),40315.0)</f>
        <v>40315</v>
      </c>
      <c r="Q176" s="3" t="str">
        <f>IFERROR(__xludf.DUMMYFUNCTION("""COMPUTED_VALUE"""),"A")</f>
        <v>A</v>
      </c>
      <c r="R176" s="3" t="str">
        <f>IFERROR(__xludf.DUMMYFUNCTION("""COMPUTED_VALUE"""),"Big Format")</f>
        <v>Big Format</v>
      </c>
      <c r="S176" s="3" t="str">
        <f>IFERROR(__xludf.DUMMYFUNCTION("""COMPUTED_VALUE"""),"FoodPlace")</f>
        <v>FoodPlace</v>
      </c>
      <c r="T176" s="3" t="str">
        <f>IFERROR(__xludf.DUMMYFUNCTION("""COMPUTED_VALUE"""),"Hub04-BKK 4")</f>
        <v>Hub04-BKK 4</v>
      </c>
      <c r="U176" s="3" t="str">
        <f>IFERROR(__xludf.DUMMYFUNCTION("""COMPUTED_VALUE"""),"Hub04-BKK 4")</f>
        <v>Hub04-BKK 4</v>
      </c>
      <c r="V176" s="3" t="str">
        <f>IFERROR(__xludf.DUMMYFUNCTION("""COMPUTED_VALUE"""),"N")</f>
        <v>N</v>
      </c>
      <c r="W176" s="3">
        <f>IFERROR(__xludf.DUMMYFUNCTION("""COMPUTED_VALUE"""),151004.0)</f>
        <v>151004</v>
      </c>
      <c r="X176" s="3" t="str">
        <f>IFERROR(__xludf.DUMMYFUNCTION("""COMPUTED_VALUE"""),"98,98/1-3 ถนนสุขาภิบาล 5 แขวงออเงิน เขตสายไหม กรุงเทพฯ 10220")</f>
        <v>98,98/1-3 ถนนสุขาภิบาล 5 แขวงออเงิน เขตสายไหม กรุงเทพฯ 10220</v>
      </c>
      <c r="Y176" s="3" t="str">
        <f>IFERROR(__xludf.DUMMYFUNCTION("""COMPUTED_VALUE"""),"ถนนสุขาภิบาล")</f>
        <v>ถนนสุขาภิบาล</v>
      </c>
      <c r="Z176" s="3" t="str">
        <f>IFERROR(__xludf.DUMMYFUNCTION("""COMPUTED_VALUE"""),"ออเงิน")</f>
        <v>ออเงิน</v>
      </c>
      <c r="AA176" s="3" t="str">
        <f>IFERROR(__xludf.DUMMYFUNCTION("""COMPUTED_VALUE"""),"สายไหม")</f>
        <v>สายไหม</v>
      </c>
      <c r="AB176" s="3" t="str">
        <f>IFERROR(__xludf.DUMMYFUNCTION("""COMPUTED_VALUE"""),"กรุงเทพมหานคร")</f>
        <v>กรุงเทพมหานคร</v>
      </c>
      <c r="AC176" s="3">
        <f>IFERROR(__xludf.DUMMYFUNCTION("""COMPUTED_VALUE"""),10220.0)</f>
        <v>10220</v>
      </c>
      <c r="AD176" s="3">
        <f>IFERROR(__xludf.DUMMYFUNCTION("""COMPUTED_VALUE"""),13.8881428)</f>
        <v>13.8881428</v>
      </c>
      <c r="AE176" s="3">
        <f>IFERROR(__xludf.DUMMYFUNCTION("""COMPUTED_VALUE"""),100.6549538)</f>
        <v>100.6549538</v>
      </c>
      <c r="AF176" s="3" t="str">
        <f>IFERROR(__xludf.DUMMYFUNCTION("""COMPUTED_VALUE"""),"สุขาภิบาล5-15004")</f>
        <v>สุขาภิบาล5-15004</v>
      </c>
      <c r="AG176" s="3" t="str">
        <f>IFERROR(__xludf.DUMMYFUNCTION("""COMPUTED_VALUE"""),"กลาง")</f>
        <v>กลาง</v>
      </c>
      <c r="AH176" s="3" t="str">
        <f>IFERROR(__xludf.DUMMYFUNCTION("""COMPUTED_VALUE"""),"Natsarine Seammai")</f>
        <v>Natsarine Seammai</v>
      </c>
      <c r="AI176" s="3" t="str">
        <f>IFERROR(__xludf.DUMMYFUNCTION("""COMPUTED_VALUE"""),"Out of warranty")</f>
        <v>Out of warranty</v>
      </c>
      <c r="AJ176" s="3">
        <f>IFERROR(__xludf.DUMMYFUNCTION("""COMPUTED_VALUE"""),189.0)</f>
        <v>189</v>
      </c>
      <c r="AK176" s="3"/>
      <c r="AL176" s="3" t="str">
        <f>IFERROR(__xludf.DUMMYFUNCTION("""COMPUTED_VALUE"""),"Foodplace.sukapibal-5@bigc.co.th")</f>
        <v>Foodplace.sukapibal-5@bigc.co.th</v>
      </c>
    </row>
    <row r="177" ht="15.75" customHeight="1">
      <c r="A177" s="1" t="str">
        <f>IFERROR(__xludf.DUMMYFUNCTION("""COMPUTED_VALUE"""),"15005")</f>
        <v>15005</v>
      </c>
      <c r="B177" s="2">
        <f>IFERROR(__xludf.DUMMYFUNCTION("""COMPUTED_VALUE"""),15005.0)</f>
        <v>15005</v>
      </c>
      <c r="C177" s="3" t="str">
        <f>IFERROR(__xludf.DUMMYFUNCTION("""COMPUTED_VALUE"""),"สุขาภิบาล1")</f>
        <v>สุขาภิบาล1</v>
      </c>
      <c r="D177" s="3" t="str">
        <f>IFERROR(__xludf.DUMMYFUNCTION("""COMPUTED_VALUE"""),"BIGC MARKET SUKHAPIBAN-1")</f>
        <v>BIGC MARKET SUKHAPIBAN-1</v>
      </c>
      <c r="E177" s="1" t="str">
        <f>IFERROR(__xludf.DUMMYFUNCTION("""COMPUTED_VALUE"""),"บิ๊กซี Market")</f>
        <v>บิ๊กซี Market</v>
      </c>
      <c r="F177" s="1" t="str">
        <f>IFERROR(__xludf.DUMMYFUNCTION("""COMPUTED_VALUE"""),"02408546")</f>
        <v>02408546</v>
      </c>
      <c r="G177" s="1" t="str">
        <f>IFERROR(__xludf.DUMMYFUNCTION("""COMPUTED_VALUE"""),"นายเกษมศิษฐ์ ฮดบุญเรือง")</f>
        <v>นายเกษมศิษฐ์ ฮดบุญเรือง</v>
      </c>
      <c r="H177" s="1" t="str">
        <f>IFERROR(__xludf.DUMMYFUNCTION("""COMPUTED_VALUE"""),"02408546")</f>
        <v>02408546</v>
      </c>
      <c r="I177" s="1" t="str">
        <f>IFERROR(__xludf.DUMMYFUNCTION("""COMPUTED_VALUE"""),"นายเกษมศิษฐ์ ฮดบุญเรือง")</f>
        <v>นายเกษมศิษฐ์ ฮดบุญเรือง</v>
      </c>
      <c r="J177" s="3">
        <f>IFERROR(__xludf.DUMMYFUNCTION("""COMPUTED_VALUE"""),2408546.0)</f>
        <v>2408546</v>
      </c>
      <c r="K177" s="3" t="str">
        <f>IFERROR(__xludf.DUMMYFUNCTION("""COMPUTED_VALUE"""),"นายเกษมศิษฐ์ ฮดบุญเรือง")</f>
        <v>นายเกษมศิษฐ์ ฮดบุญเรือง</v>
      </c>
      <c r="L177" s="1" t="str">
        <f>IFERROR(__xludf.DUMMYFUNCTION("""COMPUTED_VALUE"""),"Hub02-BKK 2")</f>
        <v>Hub02-BKK 2</v>
      </c>
      <c r="M177" s="1" t="str">
        <f>IFERROR(__xludf.DUMMYFUNCTION("""COMPUTED_VALUE"""),"0988580755")</f>
        <v>0988580755</v>
      </c>
      <c r="N177" s="3">
        <f>IFERROR(__xludf.DUMMYFUNCTION("""COMPUTED_VALUE"""),15005.0)</f>
        <v>15005</v>
      </c>
      <c r="O177" s="3" t="str">
        <f>IFERROR(__xludf.DUMMYFUNCTION("""COMPUTED_VALUE"""),"สุขาภิบาล1")</f>
        <v>สุขาภิบาล1</v>
      </c>
      <c r="P177" s="4">
        <f>IFERROR(__xludf.DUMMYFUNCTION("""COMPUTED_VALUE"""),43101.0)</f>
        <v>43101</v>
      </c>
      <c r="Q177" s="3" t="str">
        <f>IFERROR(__xludf.DUMMYFUNCTION("""COMPUTED_VALUE"""),"I")</f>
        <v>I</v>
      </c>
      <c r="R177" s="3" t="str">
        <f>IFERROR(__xludf.DUMMYFUNCTION("""COMPUTED_VALUE"""),"Big Format")</f>
        <v>Big Format</v>
      </c>
      <c r="S177" s="3" t="str">
        <f>IFERROR(__xludf.DUMMYFUNCTION("""COMPUTED_VALUE"""),"BMK")</f>
        <v>BMK</v>
      </c>
      <c r="T177" s="3" t="str">
        <f>IFERROR(__xludf.DUMMYFUNCTION("""COMPUTED_VALUE"""),"Hub02-BKK 2")</f>
        <v>Hub02-BKK 2</v>
      </c>
      <c r="U177" s="3" t="str">
        <f>IFERROR(__xludf.DUMMYFUNCTION("""COMPUTED_VALUE"""),"Hub02-BKK 2")</f>
        <v>Hub02-BKK 2</v>
      </c>
      <c r="V177" s="3" t="str">
        <f>IFERROR(__xludf.DUMMYFUNCTION("""COMPUTED_VALUE"""),"N")</f>
        <v>N</v>
      </c>
      <c r="W177" s="3">
        <f>IFERROR(__xludf.DUMMYFUNCTION("""COMPUTED_VALUE"""),0.0)</f>
        <v>0</v>
      </c>
      <c r="X177" s="3" t="str">
        <f>IFERROR(__xludf.DUMMYFUNCTION("""COMPUTED_VALUE"""),"13/40 ถนนนวมินทร์ แขวงนวลจันทร์ เขตบึงกุ่ม กรุงเทพฯ 10230")</f>
        <v>13/40 ถนนนวมินทร์ แขวงนวลจันทร์ เขตบึงกุ่ม กรุงเทพฯ 10230</v>
      </c>
      <c r="Y177" s="3" t="str">
        <f>IFERROR(__xludf.DUMMYFUNCTION("""COMPUTED_VALUE"""),"ถนนนวมินทร์")</f>
        <v>ถนนนวมินทร์</v>
      </c>
      <c r="Z177" s="3" t="str">
        <f>IFERROR(__xludf.DUMMYFUNCTION("""COMPUTED_VALUE"""),"นวลจันทร์")</f>
        <v>นวลจันทร์</v>
      </c>
      <c r="AA177" s="3" t="str">
        <f>IFERROR(__xludf.DUMMYFUNCTION("""COMPUTED_VALUE"""),"บึงกุ่ม")</f>
        <v>บึงกุ่ม</v>
      </c>
      <c r="AB177" s="3" t="str">
        <f>IFERROR(__xludf.DUMMYFUNCTION("""COMPUTED_VALUE"""),"กรุงเทพมหานคร")</f>
        <v>กรุงเทพมหานคร</v>
      </c>
      <c r="AC177" s="3">
        <f>IFERROR(__xludf.DUMMYFUNCTION("""COMPUTED_VALUE"""),10230.0)</f>
        <v>10230</v>
      </c>
      <c r="AD177" s="3">
        <f>IFERROR(__xludf.DUMMYFUNCTION("""COMPUTED_VALUE"""),0.0)</f>
        <v>0</v>
      </c>
      <c r="AE177" s="3">
        <f>IFERROR(__xludf.DUMMYFUNCTION("""COMPUTED_VALUE"""),0.0)</f>
        <v>0</v>
      </c>
      <c r="AF177" s="3" t="str">
        <f>IFERROR(__xludf.DUMMYFUNCTION("""COMPUTED_VALUE"""),"สุขาภิบาล1-15005")</f>
        <v>สุขาภิบาล1-15005</v>
      </c>
      <c r="AG177" s="3" t="str">
        <f>IFERROR(__xludf.DUMMYFUNCTION("""COMPUTED_VALUE"""),"กลาง")</f>
        <v>กลาง</v>
      </c>
      <c r="AH177" s="3" t="str">
        <f>IFERROR(__xludf.DUMMYFUNCTION("""COMPUTED_VALUE"""),"#N/A")</f>
        <v>#N/A</v>
      </c>
      <c r="AI177" s="3" t="str">
        <f>IFERROR(__xludf.DUMMYFUNCTION("""COMPUTED_VALUE"""),"Out of warranty")</f>
        <v>Out of warranty</v>
      </c>
      <c r="AJ177" s="3">
        <f>IFERROR(__xludf.DUMMYFUNCTION("""COMPUTED_VALUE"""),97.0)</f>
        <v>97</v>
      </c>
      <c r="AK177" s="3"/>
      <c r="AL177" s="3" t="str">
        <f>IFERROR(__xludf.DUMMYFUNCTION("""COMPUTED_VALUE"""),"#N/A")</f>
        <v>#N/A</v>
      </c>
    </row>
    <row r="178" ht="15.75" customHeight="1">
      <c r="A178" s="1" t="str">
        <f>IFERROR(__xludf.DUMMYFUNCTION("""COMPUTED_VALUE"""),"15006")</f>
        <v>15006</v>
      </c>
      <c r="B178" s="2">
        <f>IFERROR(__xludf.DUMMYFUNCTION("""COMPUTED_VALUE"""),15006.0)</f>
        <v>15006</v>
      </c>
      <c r="C178" s="3" t="str">
        <f>IFERROR(__xludf.DUMMYFUNCTION("""COMPUTED_VALUE"""),"สวนหลวง")</f>
        <v>สวนหลวง</v>
      </c>
      <c r="D178" s="3" t="str">
        <f>IFERROR(__xludf.DUMMYFUNCTION("""COMPUTED_VALUE"""),"BIGC MARKET SUANLUANG")</f>
        <v>BIGC MARKET SUANLUANG</v>
      </c>
      <c r="E178" s="1" t="str">
        <f>IFERROR(__xludf.DUMMYFUNCTION("""COMPUTED_VALUE"""),"บิ๊กซี FoodPlace")</f>
        <v>บิ๊กซี FoodPlace</v>
      </c>
      <c r="F178" s="1" t="str">
        <f>IFERROR(__xludf.DUMMYFUNCTION("""COMPUTED_VALUE"""),"2454716")</f>
        <v>2454716</v>
      </c>
      <c r="G178" s="1" t="str">
        <f>IFERROR(__xludf.DUMMYFUNCTION("""COMPUTED_VALUE"""),"นายโฆษิต วงค์กะโซ่")</f>
        <v>นายโฆษิต วงค์กะโซ่</v>
      </c>
      <c r="H178" s="1" t="str">
        <f>IFERROR(__xludf.DUMMYFUNCTION("""COMPUTED_VALUE"""),"2454716")</f>
        <v>2454716</v>
      </c>
      <c r="I178" s="1" t="str">
        <f>IFERROR(__xludf.DUMMYFUNCTION("""COMPUTED_VALUE"""),"นายโฆษิต วงค์กะโซ่")</f>
        <v>นายโฆษิต วงค์กะโซ่</v>
      </c>
      <c r="J178" s="3">
        <f>IFERROR(__xludf.DUMMYFUNCTION("""COMPUTED_VALUE"""),2454716.0)</f>
        <v>2454716</v>
      </c>
      <c r="K178" s="3" t="str">
        <f>IFERROR(__xludf.DUMMYFUNCTION("""COMPUTED_VALUE"""),"นายโฆษิต วงค์กะโซ่")</f>
        <v>นายโฆษิต วงค์กะโซ่</v>
      </c>
      <c r="L178" s="1" t="str">
        <f>IFERROR(__xludf.DUMMYFUNCTION("""COMPUTED_VALUE"""),"Hub03-BKK 3")</f>
        <v>Hub03-BKK 3</v>
      </c>
      <c r="M178" s="1" t="str">
        <f>IFERROR(__xludf.DUMMYFUNCTION("""COMPUTED_VALUE"""),"062-434-5030")</f>
        <v>062-434-5030</v>
      </c>
      <c r="N178" s="3">
        <f>IFERROR(__xludf.DUMMYFUNCTION("""COMPUTED_VALUE"""),15006.0)</f>
        <v>15006</v>
      </c>
      <c r="O178" s="3" t="str">
        <f>IFERROR(__xludf.DUMMYFUNCTION("""COMPUTED_VALUE"""),"สวนหลวง")</f>
        <v>สวนหลวง</v>
      </c>
      <c r="P178" s="4">
        <f>IFERROR(__xludf.DUMMYFUNCTION("""COMPUTED_VALUE"""),39598.0)</f>
        <v>39598</v>
      </c>
      <c r="Q178" s="3" t="str">
        <f>IFERROR(__xludf.DUMMYFUNCTION("""COMPUTED_VALUE"""),"A")</f>
        <v>A</v>
      </c>
      <c r="R178" s="3" t="str">
        <f>IFERROR(__xludf.DUMMYFUNCTION("""COMPUTED_VALUE"""),"Big Format")</f>
        <v>Big Format</v>
      </c>
      <c r="S178" s="3" t="str">
        <f>IFERROR(__xludf.DUMMYFUNCTION("""COMPUTED_VALUE"""),"FoodPlace")</f>
        <v>FoodPlace</v>
      </c>
      <c r="T178" s="3" t="str">
        <f>IFERROR(__xludf.DUMMYFUNCTION("""COMPUTED_VALUE"""),"Hub03-BKK 3")</f>
        <v>Hub03-BKK 3</v>
      </c>
      <c r="U178" s="3" t="str">
        <f>IFERROR(__xludf.DUMMYFUNCTION("""COMPUTED_VALUE"""),"Hub03-BKK 3")</f>
        <v>Hub03-BKK 3</v>
      </c>
      <c r="V178" s="3" t="str">
        <f>IFERROR(__xludf.DUMMYFUNCTION("""COMPUTED_VALUE"""),"N")</f>
        <v>N</v>
      </c>
      <c r="W178" s="3">
        <f>IFERROR(__xludf.DUMMYFUNCTION("""COMPUTED_VALUE"""),151006.0)</f>
        <v>151006</v>
      </c>
      <c r="X178" s="3" t="str">
        <f>IFERROR(__xludf.DUMMYFUNCTION("""COMPUTED_VALUE"""),"314-314/1-4 ถนนเฉลิมพระเกียรติ ร.9 แขวงหนองบอน เขตประเวศ กรุงเทพฯ 10250")</f>
        <v>314-314/1-4 ถนนเฉลิมพระเกียรติ ร.9 แขวงหนองบอน เขตประเวศ กรุงเทพฯ 10250</v>
      </c>
      <c r="Y178" s="3" t="str">
        <f>IFERROR(__xludf.DUMMYFUNCTION("""COMPUTED_VALUE"""),"ถนนเฉลิมพระเกียรติ")</f>
        <v>ถนนเฉลิมพระเกียรติ</v>
      </c>
      <c r="Z178" s="3" t="str">
        <f>IFERROR(__xludf.DUMMYFUNCTION("""COMPUTED_VALUE"""),"ร.9")</f>
        <v>ร.9</v>
      </c>
      <c r="AA178" s="3" t="str">
        <f>IFERROR(__xludf.DUMMYFUNCTION("""COMPUTED_VALUE"""),"ประเวศ")</f>
        <v>ประเวศ</v>
      </c>
      <c r="AB178" s="3" t="str">
        <f>IFERROR(__xludf.DUMMYFUNCTION("""COMPUTED_VALUE"""),"กรุงเทพมหานคร")</f>
        <v>กรุงเทพมหานคร</v>
      </c>
      <c r="AC178" s="3">
        <f>IFERROR(__xludf.DUMMYFUNCTION("""COMPUTED_VALUE"""),10250.0)</f>
        <v>10250</v>
      </c>
      <c r="AD178" s="3">
        <f>IFERROR(__xludf.DUMMYFUNCTION("""COMPUTED_VALUE"""),13.6864153)</f>
        <v>13.6864153</v>
      </c>
      <c r="AE178" s="3">
        <f>IFERROR(__xludf.DUMMYFUNCTION("""COMPUTED_VALUE"""),100.6683683)</f>
        <v>100.6683683</v>
      </c>
      <c r="AF178" s="3" t="str">
        <f>IFERROR(__xludf.DUMMYFUNCTION("""COMPUTED_VALUE"""),"สวนหลวง-15006")</f>
        <v>สวนหลวง-15006</v>
      </c>
      <c r="AG178" s="3" t="str">
        <f>IFERROR(__xludf.DUMMYFUNCTION("""COMPUTED_VALUE"""),"กลาง")</f>
        <v>กลาง</v>
      </c>
      <c r="AH178" s="3" t="str">
        <f>IFERROR(__xludf.DUMMYFUNCTION("""COMPUTED_VALUE"""),"Saitan Boonpitak")</f>
        <v>Saitan Boonpitak</v>
      </c>
      <c r="AI178" s="3" t="str">
        <f>IFERROR(__xludf.DUMMYFUNCTION("""COMPUTED_VALUE"""),"Out of warranty")</f>
        <v>Out of warranty</v>
      </c>
      <c r="AJ178" s="3">
        <f>IFERROR(__xludf.DUMMYFUNCTION("""COMPUTED_VALUE"""),212.0)</f>
        <v>212</v>
      </c>
      <c r="AK178" s="3"/>
      <c r="AL178" s="3" t="str">
        <f>IFERROR(__xludf.DUMMYFUNCTION("""COMPUTED_VALUE"""),"Foodplace.suanluang@bigc.co.th")</f>
        <v>Foodplace.suanluang@bigc.co.th</v>
      </c>
    </row>
    <row r="179" ht="15.75" customHeight="1">
      <c r="A179" s="1" t="str">
        <f>IFERROR(__xludf.DUMMYFUNCTION("""COMPUTED_VALUE"""),"15007")</f>
        <v>15007</v>
      </c>
      <c r="B179" s="2">
        <f>IFERROR(__xludf.DUMMYFUNCTION("""COMPUTED_VALUE"""),15007.0)</f>
        <v>15007</v>
      </c>
      <c r="C179" s="3" t="str">
        <f>IFERROR(__xludf.DUMMYFUNCTION("""COMPUTED_VALUE"""),"ประชาอุทิศ")</f>
        <v>ประชาอุทิศ</v>
      </c>
      <c r="D179" s="3" t="str">
        <f>IFERROR(__xludf.DUMMYFUNCTION("""COMPUTED_VALUE"""),"BIGC MARKET PRACHA-UTHIT")</f>
        <v>BIGC MARKET PRACHA-UTHIT</v>
      </c>
      <c r="E179" s="1" t="str">
        <f>IFERROR(__xludf.DUMMYFUNCTION("""COMPUTED_VALUE"""),"บิ๊กซี FoodPlace")</f>
        <v>บิ๊กซี FoodPlace</v>
      </c>
      <c r="F179" s="1" t="str">
        <f>IFERROR(__xludf.DUMMYFUNCTION("""COMPUTED_VALUE"""),"2454701")</f>
        <v>2454701</v>
      </c>
      <c r="G179" s="1" t="str">
        <f>IFERROR(__xludf.DUMMYFUNCTION("""COMPUTED_VALUE"""),"นายกานต์ ไชยแสงศรี")</f>
        <v>นายกานต์ ไชยแสงศรี</v>
      </c>
      <c r="H179" s="1" t="str">
        <f>IFERROR(__xludf.DUMMYFUNCTION("""COMPUTED_VALUE"""),"2454701")</f>
        <v>2454701</v>
      </c>
      <c r="I179" s="1" t="str">
        <f>IFERROR(__xludf.DUMMYFUNCTION("""COMPUTED_VALUE"""),"นายกานต์ ไชยแสงศรี")</f>
        <v>นายกานต์ ไชยแสงศรี</v>
      </c>
      <c r="J179" s="3">
        <f>IFERROR(__xludf.DUMMYFUNCTION("""COMPUTED_VALUE"""),2454701.0)</f>
        <v>2454701</v>
      </c>
      <c r="K179" s="3" t="str">
        <f>IFERROR(__xludf.DUMMYFUNCTION("""COMPUTED_VALUE"""),"นายกานต์ ไชยแสงศรี")</f>
        <v>นายกานต์ ไชยแสงศรี</v>
      </c>
      <c r="L179" s="1" t="str">
        <f>IFERROR(__xludf.DUMMYFUNCTION("""COMPUTED_VALUE"""),"Hub01-BKK 1")</f>
        <v>Hub01-BKK 1</v>
      </c>
      <c r="M179" s="1" t="str">
        <f>IFERROR(__xludf.DUMMYFUNCTION("""COMPUTED_VALUE"""),"0909090652")</f>
        <v>0909090652</v>
      </c>
      <c r="N179" s="3">
        <f>IFERROR(__xludf.DUMMYFUNCTION("""COMPUTED_VALUE"""),15007.0)</f>
        <v>15007</v>
      </c>
      <c r="O179" s="3" t="str">
        <f>IFERROR(__xludf.DUMMYFUNCTION("""COMPUTED_VALUE"""),"ประชาอุทิศ")</f>
        <v>ประชาอุทิศ</v>
      </c>
      <c r="P179" s="4">
        <f>IFERROR(__xludf.DUMMYFUNCTION("""COMPUTED_VALUE"""),39976.0)</f>
        <v>39976</v>
      </c>
      <c r="Q179" s="3" t="str">
        <f>IFERROR(__xludf.DUMMYFUNCTION("""COMPUTED_VALUE"""),"A")</f>
        <v>A</v>
      </c>
      <c r="R179" s="3" t="str">
        <f>IFERROR(__xludf.DUMMYFUNCTION("""COMPUTED_VALUE"""),"Big Format")</f>
        <v>Big Format</v>
      </c>
      <c r="S179" s="3" t="str">
        <f>IFERROR(__xludf.DUMMYFUNCTION("""COMPUTED_VALUE"""),"FoodPlace")</f>
        <v>FoodPlace</v>
      </c>
      <c r="T179" s="3" t="str">
        <f>IFERROR(__xludf.DUMMYFUNCTION("""COMPUTED_VALUE"""),"Hub01-BKK 1")</f>
        <v>Hub01-BKK 1</v>
      </c>
      <c r="U179" s="3" t="str">
        <f>IFERROR(__xludf.DUMMYFUNCTION("""COMPUTED_VALUE"""),"Hub01-BKK 1")</f>
        <v>Hub01-BKK 1</v>
      </c>
      <c r="V179" s="3" t="str">
        <f>IFERROR(__xludf.DUMMYFUNCTION("""COMPUTED_VALUE"""),"N")</f>
        <v>N</v>
      </c>
      <c r="W179" s="3">
        <f>IFERROR(__xludf.DUMMYFUNCTION("""COMPUTED_VALUE"""),151007.0)</f>
        <v>151007</v>
      </c>
      <c r="X179" s="3" t="str">
        <f>IFERROR(__xludf.DUMMYFUNCTION("""COMPUTED_VALUE"""),"523-523/3 ถ.ประชาอุทิศ แขวงทุ่งครุ เขตทุ่งครุ กรุงเทพฯ 10140")</f>
        <v>523-523/3 ถ.ประชาอุทิศ แขวงทุ่งครุ เขตทุ่งครุ กรุงเทพฯ 10140</v>
      </c>
      <c r="Y179" s="3" t="str">
        <f>IFERROR(__xludf.DUMMYFUNCTION("""COMPUTED_VALUE"""),"ถ.ประชาอุทิศ")</f>
        <v>ถ.ประชาอุทิศ</v>
      </c>
      <c r="Z179" s="3" t="str">
        <f>IFERROR(__xludf.DUMMYFUNCTION("""COMPUTED_VALUE"""),"ทุ่งครุ")</f>
        <v>ทุ่งครุ</v>
      </c>
      <c r="AA179" s="3" t="str">
        <f>IFERROR(__xludf.DUMMYFUNCTION("""COMPUTED_VALUE"""),"ทุ่งครุ")</f>
        <v>ทุ่งครุ</v>
      </c>
      <c r="AB179" s="3" t="str">
        <f>IFERROR(__xludf.DUMMYFUNCTION("""COMPUTED_VALUE"""),"กรุงเทพมหานคร")</f>
        <v>กรุงเทพมหานคร</v>
      </c>
      <c r="AC179" s="3">
        <f>IFERROR(__xludf.DUMMYFUNCTION("""COMPUTED_VALUE"""),10140.0)</f>
        <v>10140</v>
      </c>
      <c r="AD179" s="3">
        <f>IFERROR(__xludf.DUMMYFUNCTION("""COMPUTED_VALUE"""),13.644652)</f>
        <v>13.644652</v>
      </c>
      <c r="AE179" s="3">
        <f>IFERROR(__xludf.DUMMYFUNCTION("""COMPUTED_VALUE"""),100.511169)</f>
        <v>100.511169</v>
      </c>
      <c r="AF179" s="3" t="str">
        <f>IFERROR(__xludf.DUMMYFUNCTION("""COMPUTED_VALUE"""),"ประชาอุทิศ-15007")</f>
        <v>ประชาอุทิศ-15007</v>
      </c>
      <c r="AG179" s="3" t="str">
        <f>IFERROR(__xludf.DUMMYFUNCTION("""COMPUTED_VALUE"""),"กลาง")</f>
        <v>กลาง</v>
      </c>
      <c r="AH179" s="3" t="str">
        <f>IFERROR(__xludf.DUMMYFUNCTION("""COMPUTED_VALUE"""),"Suchin Thawinwisan")</f>
        <v>Suchin Thawinwisan</v>
      </c>
      <c r="AI179" s="3" t="str">
        <f>IFERROR(__xludf.DUMMYFUNCTION("""COMPUTED_VALUE"""),"Out of warranty")</f>
        <v>Out of warranty</v>
      </c>
      <c r="AJ179" s="3">
        <f>IFERROR(__xludf.DUMMYFUNCTION("""COMPUTED_VALUE"""),200.0)</f>
        <v>200</v>
      </c>
      <c r="AK179" s="3"/>
      <c r="AL179" s="3" t="str">
        <f>IFERROR(__xludf.DUMMYFUNCTION("""COMPUTED_VALUE"""),"Foodplace.prachauthit@bigc.co.th")</f>
        <v>Foodplace.prachauthit@bigc.co.th</v>
      </c>
    </row>
    <row r="180" ht="15.75" customHeight="1">
      <c r="A180" s="1" t="str">
        <f>IFERROR(__xludf.DUMMYFUNCTION("""COMPUTED_VALUE"""),"15008")</f>
        <v>15008</v>
      </c>
      <c r="B180" s="2">
        <f>IFERROR(__xludf.DUMMYFUNCTION("""COMPUTED_VALUE"""),15008.0)</f>
        <v>15008</v>
      </c>
      <c r="C180" s="3" t="str">
        <f>IFERROR(__xludf.DUMMYFUNCTION("""COMPUTED_VALUE"""),"เคหะร่มเกล้า")</f>
        <v>เคหะร่มเกล้า</v>
      </c>
      <c r="D180" s="3" t="str">
        <f>IFERROR(__xludf.DUMMYFUNCTION("""COMPUTED_VALUE"""),"BIGC MARKET KEHA-ROMKLAO")</f>
        <v>BIGC MARKET KEHA-ROMKLAO</v>
      </c>
      <c r="E180" s="1" t="str">
        <f>IFERROR(__xludf.DUMMYFUNCTION("""COMPUTED_VALUE"""),"บิ๊กซี FoodPlace")</f>
        <v>บิ๊กซี FoodPlace</v>
      </c>
      <c r="F180" s="1" t="str">
        <f>IFERROR(__xludf.DUMMYFUNCTION("""COMPUTED_VALUE"""),"2454716")</f>
        <v>2454716</v>
      </c>
      <c r="G180" s="1" t="str">
        <f>IFERROR(__xludf.DUMMYFUNCTION("""COMPUTED_VALUE"""),"นายโฆษิต วงค์กะโซ่")</f>
        <v>นายโฆษิต วงค์กะโซ่</v>
      </c>
      <c r="H180" s="1" t="str">
        <f>IFERROR(__xludf.DUMMYFUNCTION("""COMPUTED_VALUE"""),"2454716")</f>
        <v>2454716</v>
      </c>
      <c r="I180" s="1" t="str">
        <f>IFERROR(__xludf.DUMMYFUNCTION("""COMPUTED_VALUE"""),"นายโฆษิต วงค์กะโซ่")</f>
        <v>นายโฆษิต วงค์กะโซ่</v>
      </c>
      <c r="J180" s="3">
        <f>IFERROR(__xludf.DUMMYFUNCTION("""COMPUTED_VALUE"""),2454716.0)</f>
        <v>2454716</v>
      </c>
      <c r="K180" s="3" t="str">
        <f>IFERROR(__xludf.DUMMYFUNCTION("""COMPUTED_VALUE"""),"นายโฆษิต วงค์กะโซ่")</f>
        <v>นายโฆษิต วงค์กะโซ่</v>
      </c>
      <c r="L180" s="1" t="str">
        <f>IFERROR(__xludf.DUMMYFUNCTION("""COMPUTED_VALUE"""),"Hub03-BKK 3")</f>
        <v>Hub03-BKK 3</v>
      </c>
      <c r="M180" s="1" t="str">
        <f>IFERROR(__xludf.DUMMYFUNCTION("""COMPUTED_VALUE"""),"062-434-5030")</f>
        <v>062-434-5030</v>
      </c>
      <c r="N180" s="3">
        <f>IFERROR(__xludf.DUMMYFUNCTION("""COMPUTED_VALUE"""),15008.0)</f>
        <v>15008</v>
      </c>
      <c r="O180" s="3" t="str">
        <f>IFERROR(__xludf.DUMMYFUNCTION("""COMPUTED_VALUE"""),"เคหะร่มเกล้า")</f>
        <v>เคหะร่มเกล้า</v>
      </c>
      <c r="P180" s="4">
        <f>IFERROR(__xludf.DUMMYFUNCTION("""COMPUTED_VALUE"""),40297.0)</f>
        <v>40297</v>
      </c>
      <c r="Q180" s="3" t="str">
        <f>IFERROR(__xludf.DUMMYFUNCTION("""COMPUTED_VALUE"""),"A")</f>
        <v>A</v>
      </c>
      <c r="R180" s="3" t="str">
        <f>IFERROR(__xludf.DUMMYFUNCTION("""COMPUTED_VALUE"""),"Big Format")</f>
        <v>Big Format</v>
      </c>
      <c r="S180" s="3" t="str">
        <f>IFERROR(__xludf.DUMMYFUNCTION("""COMPUTED_VALUE"""),"FoodPlace")</f>
        <v>FoodPlace</v>
      </c>
      <c r="T180" s="3" t="str">
        <f>IFERROR(__xludf.DUMMYFUNCTION("""COMPUTED_VALUE"""),"Hub03-BKK 3")</f>
        <v>Hub03-BKK 3</v>
      </c>
      <c r="U180" s="3" t="str">
        <f>IFERROR(__xludf.DUMMYFUNCTION("""COMPUTED_VALUE"""),"Hub03-BKK 3")</f>
        <v>Hub03-BKK 3</v>
      </c>
      <c r="V180" s="3" t="str">
        <f>IFERROR(__xludf.DUMMYFUNCTION("""COMPUTED_VALUE"""),"N")</f>
        <v>N</v>
      </c>
      <c r="W180" s="3">
        <f>IFERROR(__xludf.DUMMYFUNCTION("""COMPUTED_VALUE"""),151008.0)</f>
        <v>151008</v>
      </c>
      <c r="X180" s="3" t="str">
        <f>IFERROR(__xludf.DUMMYFUNCTION("""COMPUTED_VALUE"""),"8/1-3 ถ.เคหะร่มเกล้า แขวงคลองสองต้นนุ่น เขตลาดกระบัง กรุงเทพฯ 10520")</f>
        <v>8/1-3 ถ.เคหะร่มเกล้า แขวงคลองสองต้นนุ่น เขตลาดกระบัง กรุงเทพฯ 10520</v>
      </c>
      <c r="Y180" s="3" t="str">
        <f>IFERROR(__xludf.DUMMYFUNCTION("""COMPUTED_VALUE"""),"ถ.เคหะร่มเกล้า")</f>
        <v>ถ.เคหะร่มเกล้า</v>
      </c>
      <c r="Z180" s="3" t="str">
        <f>IFERROR(__xludf.DUMMYFUNCTION("""COMPUTED_VALUE"""),"คลองสองต้นนุ่น")</f>
        <v>คลองสองต้นนุ่น</v>
      </c>
      <c r="AA180" s="3" t="str">
        <f>IFERROR(__xludf.DUMMYFUNCTION("""COMPUTED_VALUE"""),"ลาดกระบัง")</f>
        <v>ลาดกระบัง</v>
      </c>
      <c r="AB180" s="3" t="str">
        <f>IFERROR(__xludf.DUMMYFUNCTION("""COMPUTED_VALUE"""),"กรุงเทพมหานคร")</f>
        <v>กรุงเทพมหานคร</v>
      </c>
      <c r="AC180" s="3">
        <f>IFERROR(__xludf.DUMMYFUNCTION("""COMPUTED_VALUE"""),10520.0)</f>
        <v>10520</v>
      </c>
      <c r="AD180" s="3">
        <f>IFERROR(__xludf.DUMMYFUNCTION("""COMPUTED_VALUE"""),13.765244)</f>
        <v>13.765244</v>
      </c>
      <c r="AE180" s="3">
        <f>IFERROR(__xludf.DUMMYFUNCTION("""COMPUTED_VALUE"""),100.724533)</f>
        <v>100.724533</v>
      </c>
      <c r="AF180" s="3" t="str">
        <f>IFERROR(__xludf.DUMMYFUNCTION("""COMPUTED_VALUE"""),"เคหะร่มเกล้า-15008")</f>
        <v>เคหะร่มเกล้า-15008</v>
      </c>
      <c r="AG180" s="3" t="str">
        <f>IFERROR(__xludf.DUMMYFUNCTION("""COMPUTED_VALUE"""),"กลาง")</f>
        <v>กลาง</v>
      </c>
      <c r="AH180" s="3" t="str">
        <f>IFERROR(__xludf.DUMMYFUNCTION("""COMPUTED_VALUE"""),"Saitan Boonpitak")</f>
        <v>Saitan Boonpitak</v>
      </c>
      <c r="AI180" s="3" t="str">
        <f>IFERROR(__xludf.DUMMYFUNCTION("""COMPUTED_VALUE"""),"Out of warranty")</f>
        <v>Out of warranty</v>
      </c>
      <c r="AJ180" s="3">
        <f>IFERROR(__xludf.DUMMYFUNCTION("""COMPUTED_VALUE"""),189.0)</f>
        <v>189</v>
      </c>
      <c r="AK180" s="3"/>
      <c r="AL180" s="3" t="str">
        <f>IFERROR(__xludf.DUMMYFUNCTION("""COMPUTED_VALUE"""),"Foodplace.keharomklao@bigc.co.th")</f>
        <v>Foodplace.keharomklao@bigc.co.th</v>
      </c>
    </row>
    <row r="181" ht="15.75" customHeight="1">
      <c r="A181" s="1" t="str">
        <f>IFERROR(__xludf.DUMMYFUNCTION("""COMPUTED_VALUE"""),"15009")</f>
        <v>15009</v>
      </c>
      <c r="B181" s="2">
        <f>IFERROR(__xludf.DUMMYFUNCTION("""COMPUTED_VALUE"""),15009.0)</f>
        <v>15009</v>
      </c>
      <c r="C181" s="3" t="str">
        <f>IFERROR(__xludf.DUMMYFUNCTION("""COMPUTED_VALUE"""),"หทัยราษฎร์")</f>
        <v>หทัยราษฎร์</v>
      </c>
      <c r="D181" s="3" t="str">
        <f>IFERROR(__xludf.DUMMYFUNCTION("""COMPUTED_VALUE"""),"BIGC MARKET HATAIRAT")</f>
        <v>BIGC MARKET HATAIRAT</v>
      </c>
      <c r="E181" s="1" t="str">
        <f>IFERROR(__xludf.DUMMYFUNCTION("""COMPUTED_VALUE"""),"บิ๊กซี FoodPlace")</f>
        <v>บิ๊กซี FoodPlace</v>
      </c>
      <c r="F181" s="1" t="str">
        <f>IFERROR(__xludf.DUMMYFUNCTION("""COMPUTED_VALUE"""),"2454716")</f>
        <v>2454716</v>
      </c>
      <c r="G181" s="1" t="str">
        <f>IFERROR(__xludf.DUMMYFUNCTION("""COMPUTED_VALUE"""),"นายโฆษิต วงค์กะโซ่")</f>
        <v>นายโฆษิต วงค์กะโซ่</v>
      </c>
      <c r="H181" s="1" t="str">
        <f>IFERROR(__xludf.DUMMYFUNCTION("""COMPUTED_VALUE"""),"2454716")</f>
        <v>2454716</v>
      </c>
      <c r="I181" s="1" t="str">
        <f>IFERROR(__xludf.DUMMYFUNCTION("""COMPUTED_VALUE"""),"นายโฆษิต วงค์กะโซ่")</f>
        <v>นายโฆษิต วงค์กะโซ่</v>
      </c>
      <c r="J181" s="3">
        <f>IFERROR(__xludf.DUMMYFUNCTION("""COMPUTED_VALUE"""),2454716.0)</f>
        <v>2454716</v>
      </c>
      <c r="K181" s="3" t="str">
        <f>IFERROR(__xludf.DUMMYFUNCTION("""COMPUTED_VALUE"""),"นายโฆษิต วงค์กะโซ่")</f>
        <v>นายโฆษิต วงค์กะโซ่</v>
      </c>
      <c r="L181" s="1" t="str">
        <f>IFERROR(__xludf.DUMMYFUNCTION("""COMPUTED_VALUE"""),"Hub03-BKK 3")</f>
        <v>Hub03-BKK 3</v>
      </c>
      <c r="M181" s="1" t="str">
        <f>IFERROR(__xludf.DUMMYFUNCTION("""COMPUTED_VALUE"""),"062-434-5030")</f>
        <v>062-434-5030</v>
      </c>
      <c r="N181" s="3">
        <f>IFERROR(__xludf.DUMMYFUNCTION("""COMPUTED_VALUE"""),15009.0)</f>
        <v>15009</v>
      </c>
      <c r="O181" s="3" t="str">
        <f>IFERROR(__xludf.DUMMYFUNCTION("""COMPUTED_VALUE"""),"หทัยราษฎร์")</f>
        <v>หทัยราษฎร์</v>
      </c>
      <c r="P181" s="4">
        <f>IFERROR(__xludf.DUMMYFUNCTION("""COMPUTED_VALUE"""),40263.0)</f>
        <v>40263</v>
      </c>
      <c r="Q181" s="3" t="str">
        <f>IFERROR(__xludf.DUMMYFUNCTION("""COMPUTED_VALUE"""),"A")</f>
        <v>A</v>
      </c>
      <c r="R181" s="3" t="str">
        <f>IFERROR(__xludf.DUMMYFUNCTION("""COMPUTED_VALUE"""),"Big Format")</f>
        <v>Big Format</v>
      </c>
      <c r="S181" s="3" t="str">
        <f>IFERROR(__xludf.DUMMYFUNCTION("""COMPUTED_VALUE"""),"FoodPlace")</f>
        <v>FoodPlace</v>
      </c>
      <c r="T181" s="3" t="str">
        <f>IFERROR(__xludf.DUMMYFUNCTION("""COMPUTED_VALUE"""),"Hub03-BKK 3")</f>
        <v>Hub03-BKK 3</v>
      </c>
      <c r="U181" s="3" t="str">
        <f>IFERROR(__xludf.DUMMYFUNCTION("""COMPUTED_VALUE"""),"Hub03-BKK 3")</f>
        <v>Hub03-BKK 3</v>
      </c>
      <c r="V181" s="3" t="str">
        <f>IFERROR(__xludf.DUMMYFUNCTION("""COMPUTED_VALUE"""),"N")</f>
        <v>N</v>
      </c>
      <c r="W181" s="3">
        <f>IFERROR(__xludf.DUMMYFUNCTION("""COMPUTED_VALUE"""),151009.0)</f>
        <v>151009</v>
      </c>
      <c r="X181" s="3" t="str">
        <f>IFERROR(__xludf.DUMMYFUNCTION("""COMPUTED_VALUE"""),"458,458/1-2 ถนนเลียบคลองสอง แขวงบางชัน เขตคลองสามวา กรุงเทพฯ 10510")</f>
        <v>458,458/1-2 ถนนเลียบคลองสอง แขวงบางชัน เขตคลองสามวา กรุงเทพฯ 10510</v>
      </c>
      <c r="Y181" s="3" t="str">
        <f>IFERROR(__xludf.DUMMYFUNCTION("""COMPUTED_VALUE"""),"ถนนเลียบคลองสอง")</f>
        <v>ถนนเลียบคลองสอง</v>
      </c>
      <c r="Z181" s="3" t="str">
        <f>IFERROR(__xludf.DUMMYFUNCTION("""COMPUTED_VALUE"""),"บางชัน")</f>
        <v>บางชัน</v>
      </c>
      <c r="AA181" s="3" t="str">
        <f>IFERROR(__xludf.DUMMYFUNCTION("""COMPUTED_VALUE"""),"คลองสามวา")</f>
        <v>คลองสามวา</v>
      </c>
      <c r="AB181" s="3" t="str">
        <f>IFERROR(__xludf.DUMMYFUNCTION("""COMPUTED_VALUE"""),"กรุงเทพมหานคร")</f>
        <v>กรุงเทพมหานคร</v>
      </c>
      <c r="AC181" s="3">
        <f>IFERROR(__xludf.DUMMYFUNCTION("""COMPUTED_VALUE"""),10510.0)</f>
        <v>10510</v>
      </c>
      <c r="AD181" s="3">
        <f>IFERROR(__xludf.DUMMYFUNCTION("""COMPUTED_VALUE"""),13.8603826)</f>
        <v>13.8603826</v>
      </c>
      <c r="AE181" s="3">
        <f>IFERROR(__xludf.DUMMYFUNCTION("""COMPUTED_VALUE"""),100.7207143)</f>
        <v>100.7207143</v>
      </c>
      <c r="AF181" s="3" t="str">
        <f>IFERROR(__xludf.DUMMYFUNCTION("""COMPUTED_VALUE"""),"หทัยราษฎร์-15009")</f>
        <v>หทัยราษฎร์-15009</v>
      </c>
      <c r="AG181" s="3" t="str">
        <f>IFERROR(__xludf.DUMMYFUNCTION("""COMPUTED_VALUE"""),"กลาง")</f>
        <v>กลาง</v>
      </c>
      <c r="AH181" s="3" t="str">
        <f>IFERROR(__xludf.DUMMYFUNCTION("""COMPUTED_VALUE"""),"Saitan Boonpitak")</f>
        <v>Saitan Boonpitak</v>
      </c>
      <c r="AI181" s="3" t="str">
        <f>IFERROR(__xludf.DUMMYFUNCTION("""COMPUTED_VALUE"""),"Out of warranty")</f>
        <v>Out of warranty</v>
      </c>
      <c r="AJ181" s="3">
        <f>IFERROR(__xludf.DUMMYFUNCTION("""COMPUTED_VALUE"""),190.0)</f>
        <v>190</v>
      </c>
      <c r="AK181" s="3"/>
      <c r="AL181" s="3" t="str">
        <f>IFERROR(__xludf.DUMMYFUNCTION("""COMPUTED_VALUE"""),"Foodplace.hatairat@bigc.co.th")</f>
        <v>Foodplace.hatairat@bigc.co.th</v>
      </c>
    </row>
    <row r="182" ht="15.75" customHeight="1">
      <c r="A182" s="1" t="str">
        <f>IFERROR(__xludf.DUMMYFUNCTION("""COMPUTED_VALUE"""),"15010")</f>
        <v>15010</v>
      </c>
      <c r="B182" s="2">
        <f>IFERROR(__xludf.DUMMYFUNCTION("""COMPUTED_VALUE"""),15010.0)</f>
        <v>15010</v>
      </c>
      <c r="C182" s="3" t="str">
        <f>IFERROR(__xludf.DUMMYFUNCTION("""COMPUTED_VALUE"""),"หล่มสัก")</f>
        <v>หล่มสัก</v>
      </c>
      <c r="D182" s="3" t="str">
        <f>IFERROR(__xludf.DUMMYFUNCTION("""COMPUTED_VALUE"""),"BIGC MARKET LOMSAK")</f>
        <v>BIGC MARKET LOMSAK</v>
      </c>
      <c r="E182" s="1" t="str">
        <f>IFERROR(__xludf.DUMMYFUNCTION("""COMPUTED_VALUE"""),"บิ๊กซี Market")</f>
        <v>บิ๊กซี Market</v>
      </c>
      <c r="F182" s="1" t="str">
        <f>IFERROR(__xludf.DUMMYFUNCTION("""COMPUTED_VALUE"""),"000348")</f>
        <v>000348</v>
      </c>
      <c r="G182" s="1" t="str">
        <f>IFERROR(__xludf.DUMMYFUNCTION("""COMPUTED_VALUE"""),"นายธีรนันท์ ไม้สนธิ์")</f>
        <v>นายธีรนันท์ ไม้สนธิ์</v>
      </c>
      <c r="H182" s="1" t="str">
        <f>IFERROR(__xludf.DUMMYFUNCTION("""COMPUTED_VALUE"""),"000348")</f>
        <v>000348</v>
      </c>
      <c r="I182" s="1" t="str">
        <f>IFERROR(__xludf.DUMMYFUNCTION("""COMPUTED_VALUE"""),"นายธีรนันท์ ไม้สนธิ์")</f>
        <v>นายธีรนันท์ ไม้สนธิ์</v>
      </c>
      <c r="J182" s="3">
        <f>IFERROR(__xludf.DUMMYFUNCTION("""COMPUTED_VALUE"""),348.0)</f>
        <v>348</v>
      </c>
      <c r="K182" s="3" t="str">
        <f>IFERROR(__xludf.DUMMYFUNCTION("""COMPUTED_VALUE"""),"นายธีรนันท์ ไม้สนธิ์")</f>
        <v>นายธีรนันท์ ไม้สนธิ์</v>
      </c>
      <c r="L182" s="1" t="str">
        <f>IFERROR(__xludf.DUMMYFUNCTION("""COMPUTED_VALUE"""),"Hub07-North")</f>
        <v>Hub07-North</v>
      </c>
      <c r="M182" s="1" t="str">
        <f>IFERROR(__xludf.DUMMYFUNCTION("""COMPUTED_VALUE"""),"0614175866")</f>
        <v>0614175866</v>
      </c>
      <c r="N182" s="3">
        <f>IFERROR(__xludf.DUMMYFUNCTION("""COMPUTED_VALUE"""),15010.0)</f>
        <v>15010</v>
      </c>
      <c r="O182" s="3" t="str">
        <f>IFERROR(__xludf.DUMMYFUNCTION("""COMPUTED_VALUE"""),"หล่มสัก")</f>
        <v>หล่มสัก</v>
      </c>
      <c r="P182" s="4">
        <f>IFERROR(__xludf.DUMMYFUNCTION("""COMPUTED_VALUE"""),40802.0)</f>
        <v>40802</v>
      </c>
      <c r="Q182" s="3" t="str">
        <f>IFERROR(__xludf.DUMMYFUNCTION("""COMPUTED_VALUE"""),"A")</f>
        <v>A</v>
      </c>
      <c r="R182" s="3" t="str">
        <f>IFERROR(__xludf.DUMMYFUNCTION("""COMPUTED_VALUE"""),"Big Format")</f>
        <v>Big Format</v>
      </c>
      <c r="S182" s="3" t="str">
        <f>IFERROR(__xludf.DUMMYFUNCTION("""COMPUTED_VALUE"""),"BMK")</f>
        <v>BMK</v>
      </c>
      <c r="T182" s="3" t="str">
        <f>IFERROR(__xludf.DUMMYFUNCTION("""COMPUTED_VALUE"""),"Hub07-North")</f>
        <v>Hub07-North</v>
      </c>
      <c r="U182" s="3" t="str">
        <f>IFERROR(__xludf.DUMMYFUNCTION("""COMPUTED_VALUE"""),"Hub07-North")</f>
        <v>Hub07-North</v>
      </c>
      <c r="V182" s="3" t="str">
        <f>IFERROR(__xludf.DUMMYFUNCTION("""COMPUTED_VALUE"""),"N")</f>
        <v>N</v>
      </c>
      <c r="W182" s="3">
        <f>IFERROR(__xludf.DUMMYFUNCTION("""COMPUTED_VALUE"""),151010.0)</f>
        <v>151010</v>
      </c>
      <c r="X182" s="3" t="str">
        <f>IFERROR(__xludf.DUMMYFUNCTION("""COMPUTED_VALUE"""),"70 ถนนสามัคคีชัย ตำบลหล่มสัก อำเภอหล่มสัก จังหวัดเพชรบูรณ์ 67110")</f>
        <v>70 ถนนสามัคคีชัย ตำบลหล่มสัก อำเภอหล่มสัก จังหวัดเพชรบูรณ์ 67110</v>
      </c>
      <c r="Y182" s="3" t="str">
        <f>IFERROR(__xludf.DUMMYFUNCTION("""COMPUTED_VALUE"""),"ถนนสามัคคีชัย")</f>
        <v>ถนนสามัคคีชัย</v>
      </c>
      <c r="Z182" s="3" t="str">
        <f>IFERROR(__xludf.DUMMYFUNCTION("""COMPUTED_VALUE"""),"หล่มสัก")</f>
        <v>หล่มสัก</v>
      </c>
      <c r="AA182" s="3" t="str">
        <f>IFERROR(__xludf.DUMMYFUNCTION("""COMPUTED_VALUE"""),"หล่มสัก")</f>
        <v>หล่มสัก</v>
      </c>
      <c r="AB182" s="3" t="str">
        <f>IFERROR(__xludf.DUMMYFUNCTION("""COMPUTED_VALUE"""),"เพชรบูรณ์")</f>
        <v>เพชรบูรณ์</v>
      </c>
      <c r="AC182" s="3">
        <f>IFERROR(__xludf.DUMMYFUNCTION("""COMPUTED_VALUE"""),67110.0)</f>
        <v>67110</v>
      </c>
      <c r="AD182" s="3">
        <f>IFERROR(__xludf.DUMMYFUNCTION("""COMPUTED_VALUE"""),16.77458)</f>
        <v>16.77458</v>
      </c>
      <c r="AE182" s="3">
        <f>IFERROR(__xludf.DUMMYFUNCTION("""COMPUTED_VALUE"""),101.23353)</f>
        <v>101.23353</v>
      </c>
      <c r="AF182" s="3" t="str">
        <f>IFERROR(__xludf.DUMMYFUNCTION("""COMPUTED_VALUE"""),"หล่มสัก-15010")</f>
        <v>หล่มสัก-15010</v>
      </c>
      <c r="AG182" s="3" t="str">
        <f>IFERROR(__xludf.DUMMYFUNCTION("""COMPUTED_VALUE"""),"กลาง")</f>
        <v>กลาง</v>
      </c>
      <c r="AH182" s="3" t="str">
        <f>IFERROR(__xludf.DUMMYFUNCTION("""COMPUTED_VALUE"""),"Wichai Soomboonsod")</f>
        <v>Wichai Soomboonsod</v>
      </c>
      <c r="AI182" s="3" t="str">
        <f>IFERROR(__xludf.DUMMYFUNCTION("""COMPUTED_VALUE"""),"Out of warranty")</f>
        <v>Out of warranty</v>
      </c>
      <c r="AJ182" s="3">
        <f>IFERROR(__xludf.DUMMYFUNCTION("""COMPUTED_VALUE"""),173.0)</f>
        <v>173</v>
      </c>
      <c r="AK182" s="3"/>
      <c r="AL182" s="3" t="str">
        <f>IFERROR(__xludf.DUMMYFUNCTION("""COMPUTED_VALUE"""),"bmk_sm.lomsak@bigc.co.th")</f>
        <v>bmk_sm.lomsak@bigc.co.th</v>
      </c>
    </row>
    <row r="183" ht="15.75" customHeight="1">
      <c r="A183" s="1" t="str">
        <f>IFERROR(__xludf.DUMMYFUNCTION("""COMPUTED_VALUE"""),"15011")</f>
        <v>15011</v>
      </c>
      <c r="B183" s="2">
        <f>IFERROR(__xludf.DUMMYFUNCTION("""COMPUTED_VALUE"""),15011.0)</f>
        <v>15011</v>
      </c>
      <c r="C183" s="3" t="str">
        <f>IFERROR(__xludf.DUMMYFUNCTION("""COMPUTED_VALUE"""),"เทพกษัตรีย์")</f>
        <v>เทพกษัตรีย์</v>
      </c>
      <c r="D183" s="3" t="str">
        <f>IFERROR(__xludf.DUMMYFUNCTION("""COMPUTED_VALUE"""),"BIGC MARKET THEPKASATTRI")</f>
        <v>BIGC MARKET THEPKASATTRI</v>
      </c>
      <c r="E183" s="1" t="str">
        <f>IFERROR(__xludf.DUMMYFUNCTION("""COMPUTED_VALUE"""),"บิ๊กซี Market")</f>
        <v>บิ๊กซี Market</v>
      </c>
      <c r="F183" s="1" t="str">
        <f>IFERROR(__xludf.DUMMYFUNCTION("""COMPUTED_VALUE"""),"2454709")</f>
        <v>2454709</v>
      </c>
      <c r="G183" s="1" t="str">
        <f>IFERROR(__xludf.DUMMYFUNCTION("""COMPUTED_VALUE"""),"นายประชา เกตุชาติ")</f>
        <v>นายประชา เกตุชาติ</v>
      </c>
      <c r="H183" s="1" t="str">
        <f>IFERROR(__xludf.DUMMYFUNCTION("""COMPUTED_VALUE"""),"2454709")</f>
        <v>2454709</v>
      </c>
      <c r="I183" s="1" t="str">
        <f>IFERROR(__xludf.DUMMYFUNCTION("""COMPUTED_VALUE"""),"นายประชา เกตุชาติ")</f>
        <v>นายประชา เกตุชาติ</v>
      </c>
      <c r="J183" s="3">
        <f>IFERROR(__xludf.DUMMYFUNCTION("""COMPUTED_VALUE"""),2454709.0)</f>
        <v>2454709</v>
      </c>
      <c r="K183" s="3" t="str">
        <f>IFERROR(__xludf.DUMMYFUNCTION("""COMPUTED_VALUE"""),"นายประชา เกตุชาติ")</f>
        <v>นายประชา เกตุชาติ</v>
      </c>
      <c r="L183" s="1" t="str">
        <f>IFERROR(__xludf.DUMMYFUNCTION("""COMPUTED_VALUE"""),"Hub05-South")</f>
        <v>Hub05-South</v>
      </c>
      <c r="M183" s="1" t="str">
        <f>IFERROR(__xludf.DUMMYFUNCTION("""COMPUTED_VALUE"""),"0659291311")</f>
        <v>0659291311</v>
      </c>
      <c r="N183" s="3">
        <f>IFERROR(__xludf.DUMMYFUNCTION("""COMPUTED_VALUE"""),15011.0)</f>
        <v>15011</v>
      </c>
      <c r="O183" s="3" t="str">
        <f>IFERROR(__xludf.DUMMYFUNCTION("""COMPUTED_VALUE"""),"เทพกษัตรีย์")</f>
        <v>เทพกษัตรีย์</v>
      </c>
      <c r="P183" s="4">
        <f>IFERROR(__xludf.DUMMYFUNCTION("""COMPUTED_VALUE"""),40872.0)</f>
        <v>40872</v>
      </c>
      <c r="Q183" s="3" t="str">
        <f>IFERROR(__xludf.DUMMYFUNCTION("""COMPUTED_VALUE"""),"A")</f>
        <v>A</v>
      </c>
      <c r="R183" s="3" t="str">
        <f>IFERROR(__xludf.DUMMYFUNCTION("""COMPUTED_VALUE"""),"Big Format")</f>
        <v>Big Format</v>
      </c>
      <c r="S183" s="3" t="str">
        <f>IFERROR(__xludf.DUMMYFUNCTION("""COMPUTED_VALUE"""),"BMK")</f>
        <v>BMK</v>
      </c>
      <c r="T183" s="3" t="str">
        <f>IFERROR(__xludf.DUMMYFUNCTION("""COMPUTED_VALUE"""),"Hub05-South")</f>
        <v>Hub05-South</v>
      </c>
      <c r="U183" s="3" t="str">
        <f>IFERROR(__xludf.DUMMYFUNCTION("""COMPUTED_VALUE"""),"Hub05-South")</f>
        <v>Hub05-South</v>
      </c>
      <c r="V183" s="3" t="str">
        <f>IFERROR(__xludf.DUMMYFUNCTION("""COMPUTED_VALUE"""),"N")</f>
        <v>N</v>
      </c>
      <c r="W183" s="3">
        <f>IFERROR(__xludf.DUMMYFUNCTION("""COMPUTED_VALUE"""),151011.0)</f>
        <v>151011</v>
      </c>
      <c r="X183" s="3" t="str">
        <f>IFERROR(__xludf.DUMMYFUNCTION("""COMPUTED_VALUE"""),"888 หมู่ 2 ตำบลรัษฎา อำเภอเมืองภูเก็ต จังหวัดภูเก็ต 83000")</f>
        <v>888 หมู่ 2 ตำบลรัษฎา อำเภอเมืองภูเก็ต จังหวัดภูเก็ต 83000</v>
      </c>
      <c r="Y183" s="3"/>
      <c r="Z183" s="3" t="str">
        <f>IFERROR(__xludf.DUMMYFUNCTION("""COMPUTED_VALUE"""),"รัษฎา")</f>
        <v>รัษฎา</v>
      </c>
      <c r="AA183" s="3" t="str">
        <f>IFERROR(__xludf.DUMMYFUNCTION("""COMPUTED_VALUE"""),"เมือง")</f>
        <v>เมือง</v>
      </c>
      <c r="AB183" s="3" t="str">
        <f>IFERROR(__xludf.DUMMYFUNCTION("""COMPUTED_VALUE"""),"ภูเก็ต")</f>
        <v>ภูเก็ต</v>
      </c>
      <c r="AC183" s="3">
        <f>IFERROR(__xludf.DUMMYFUNCTION("""COMPUTED_VALUE"""),83000.0)</f>
        <v>83000</v>
      </c>
      <c r="AD183" s="3">
        <f>IFERROR(__xludf.DUMMYFUNCTION("""COMPUTED_VALUE"""),7.9094)</f>
        <v>7.9094</v>
      </c>
      <c r="AE183" s="3">
        <f>IFERROR(__xludf.DUMMYFUNCTION("""COMPUTED_VALUE"""),98.3922)</f>
        <v>98.3922</v>
      </c>
      <c r="AF183" s="3" t="str">
        <f>IFERROR(__xludf.DUMMYFUNCTION("""COMPUTED_VALUE"""),"เทพกษัตรีย์-15011")</f>
        <v>เทพกษัตรีย์-15011</v>
      </c>
      <c r="AG183" s="3" t="str">
        <f>IFERROR(__xludf.DUMMYFUNCTION("""COMPUTED_VALUE"""),"ใต้")</f>
        <v>ใต้</v>
      </c>
      <c r="AH183" s="3" t="str">
        <f>IFERROR(__xludf.DUMMYFUNCTION("""COMPUTED_VALUE"""),"Suwadee Intachart")</f>
        <v>Suwadee Intachart</v>
      </c>
      <c r="AI183" s="3" t="str">
        <f>IFERROR(__xludf.DUMMYFUNCTION("""COMPUTED_VALUE"""),"Out of warranty")</f>
        <v>Out of warranty</v>
      </c>
      <c r="AJ183" s="3">
        <f>IFERROR(__xludf.DUMMYFUNCTION("""COMPUTED_VALUE"""),170.0)</f>
        <v>170</v>
      </c>
      <c r="AK183" s="3"/>
      <c r="AL183" s="3" t="str">
        <f>IFERROR(__xludf.DUMMYFUNCTION("""COMPUTED_VALUE"""),"bmk_sm.thepkasattri@bigc.co.th")</f>
        <v>bmk_sm.thepkasattri@bigc.co.th</v>
      </c>
    </row>
    <row r="184" ht="15.75" customHeight="1">
      <c r="A184" s="1" t="str">
        <f>IFERROR(__xludf.DUMMYFUNCTION("""COMPUTED_VALUE"""),"15012")</f>
        <v>15012</v>
      </c>
      <c r="B184" s="2">
        <f>IFERROR(__xludf.DUMMYFUNCTION("""COMPUTED_VALUE"""),15012.0)</f>
        <v>15012</v>
      </c>
      <c r="C184" s="3" t="str">
        <f>IFERROR(__xludf.DUMMYFUNCTION("""COMPUTED_VALUE"""),"ราชพฤกษ์")</f>
        <v>ราชพฤกษ์</v>
      </c>
      <c r="D184" s="3" t="str">
        <f>IFERROR(__xludf.DUMMYFUNCTION("""COMPUTED_VALUE"""),"BIGC MARKET RATCHAPREUK")</f>
        <v>BIGC MARKET RATCHAPREUK</v>
      </c>
      <c r="E184" s="1" t="str">
        <f>IFERROR(__xludf.DUMMYFUNCTION("""COMPUTED_VALUE"""),"บิ๊กซี Market")</f>
        <v>บิ๊กซี Market</v>
      </c>
      <c r="F184" s="1" t="str">
        <f>IFERROR(__xludf.DUMMYFUNCTION("""COMPUTED_VALUE"""),"14460232")</f>
        <v>14460232</v>
      </c>
      <c r="G184" s="1" t="str">
        <f>IFERROR(__xludf.DUMMYFUNCTION("""COMPUTED_VALUE"""),"นายอติกานต์ กลางณรงค์")</f>
        <v>นายอติกานต์ กลางณรงค์</v>
      </c>
      <c r="H184" s="1" t="str">
        <f>IFERROR(__xludf.DUMMYFUNCTION("""COMPUTED_VALUE"""),"14460232")</f>
        <v>14460232</v>
      </c>
      <c r="I184" s="1" t="str">
        <f>IFERROR(__xludf.DUMMYFUNCTION("""COMPUTED_VALUE"""),"นายอติกานต์ กลางณรงค์")</f>
        <v>นายอติกานต์ กลางณรงค์</v>
      </c>
      <c r="J184" s="3">
        <f>IFERROR(__xludf.DUMMYFUNCTION("""COMPUTED_VALUE"""),1.4460232E7)</f>
        <v>14460232</v>
      </c>
      <c r="K184" s="3" t="str">
        <f>IFERROR(__xludf.DUMMYFUNCTION("""COMPUTED_VALUE"""),"นายอติกานต์ กลางณรงค์")</f>
        <v>นายอติกานต์ กลางณรงค์</v>
      </c>
      <c r="L184" s="1" t="str">
        <f>IFERROR(__xludf.DUMMYFUNCTION("""COMPUTED_VALUE"""),"0")</f>
        <v>0</v>
      </c>
      <c r="M184" s="1" t="str">
        <f>IFERROR(__xludf.DUMMYFUNCTION("""COMPUTED_VALUE"""),"0")</f>
        <v>0</v>
      </c>
      <c r="N184" s="3">
        <f>IFERROR(__xludf.DUMMYFUNCTION("""COMPUTED_VALUE"""),15012.0)</f>
        <v>15012</v>
      </c>
      <c r="O184" s="3" t="str">
        <f>IFERROR(__xludf.DUMMYFUNCTION("""COMPUTED_VALUE"""),"ราชพฤกษ์")</f>
        <v>ราชพฤกษ์</v>
      </c>
      <c r="P184" s="4">
        <f>IFERROR(__xludf.DUMMYFUNCTION("""COMPUTED_VALUE"""),40962.0)</f>
        <v>40962</v>
      </c>
      <c r="Q184" s="3" t="str">
        <f>IFERROR(__xludf.DUMMYFUNCTION("""COMPUTED_VALUE"""),"I")</f>
        <v>I</v>
      </c>
      <c r="R184" s="3" t="str">
        <f>IFERROR(__xludf.DUMMYFUNCTION("""COMPUTED_VALUE"""),"Big Format")</f>
        <v>Big Format</v>
      </c>
      <c r="S184" s="3" t="str">
        <f>IFERROR(__xludf.DUMMYFUNCTION("""COMPUTED_VALUE"""),"BMK")</f>
        <v>BMK</v>
      </c>
      <c r="T184" s="3" t="str">
        <f>IFERROR(__xludf.DUMMYFUNCTION("""COMPUTED_VALUE"""),"#N/A")</f>
        <v>#N/A</v>
      </c>
      <c r="U184" s="3" t="str">
        <f>IFERROR(__xludf.DUMMYFUNCTION("""COMPUTED_VALUE"""),"#N/A")</f>
        <v>#N/A</v>
      </c>
      <c r="V184" s="3" t="str">
        <f>IFERROR(__xludf.DUMMYFUNCTION("""COMPUTED_VALUE"""),"N")</f>
        <v>N</v>
      </c>
      <c r="W184" s="3">
        <f>IFERROR(__xludf.DUMMYFUNCTION("""COMPUTED_VALUE"""),151012.0)</f>
        <v>151012</v>
      </c>
      <c r="X184" s="3" t="str">
        <f>IFERROR(__xludf.DUMMYFUNCTION("""COMPUTED_VALUE"""),"189 หมู่ 2 ตำบลบางขุนกอง อำเภอบางกรวย จังหวัดนนทบุรี 11130")</f>
        <v>189 หมู่ 2 ตำบลบางขุนกอง อำเภอบางกรวย จังหวัดนนทบุรี 11130</v>
      </c>
      <c r="Y184" s="3"/>
      <c r="Z184" s="3" t="str">
        <f>IFERROR(__xludf.DUMMYFUNCTION("""COMPUTED_VALUE"""),"บางขุนกอง")</f>
        <v>บางขุนกอง</v>
      </c>
      <c r="AA184" s="3" t="str">
        <f>IFERROR(__xludf.DUMMYFUNCTION("""COMPUTED_VALUE"""),"บางกรวย")</f>
        <v>บางกรวย</v>
      </c>
      <c r="AB184" s="3" t="str">
        <f>IFERROR(__xludf.DUMMYFUNCTION("""COMPUTED_VALUE"""),"นนทบุรี")</f>
        <v>นนทบุรี</v>
      </c>
      <c r="AC184" s="3">
        <f>IFERROR(__xludf.DUMMYFUNCTION("""COMPUTED_VALUE"""),11130.0)</f>
        <v>11130</v>
      </c>
      <c r="AD184" s="3">
        <f>IFERROR(__xludf.DUMMYFUNCTION("""COMPUTED_VALUE"""),13.8211)</f>
        <v>13.8211</v>
      </c>
      <c r="AE184" s="3">
        <f>IFERROR(__xludf.DUMMYFUNCTION("""COMPUTED_VALUE"""),100.4495)</f>
        <v>100.4495</v>
      </c>
      <c r="AF184" s="3" t="str">
        <f>IFERROR(__xludf.DUMMYFUNCTION("""COMPUTED_VALUE"""),"ราชพฤกษ์-15012")</f>
        <v>ราชพฤกษ์-15012</v>
      </c>
      <c r="AG184" s="3" t="str">
        <f>IFERROR(__xludf.DUMMYFUNCTION("""COMPUTED_VALUE"""),"กลาง")</f>
        <v>กลาง</v>
      </c>
      <c r="AH184" s="3" t="str">
        <f>IFERROR(__xludf.DUMMYFUNCTION("""COMPUTED_VALUE"""),"#N/A")</f>
        <v>#N/A</v>
      </c>
      <c r="AI184" s="3" t="str">
        <f>IFERROR(__xludf.DUMMYFUNCTION("""COMPUTED_VALUE"""),"Out of warranty")</f>
        <v>Out of warranty</v>
      </c>
      <c r="AJ184" s="3">
        <f>IFERROR(__xludf.DUMMYFUNCTION("""COMPUTED_VALUE"""),167.0)</f>
        <v>167</v>
      </c>
      <c r="AK184" s="3"/>
      <c r="AL184" s="3" t="str">
        <f>IFERROR(__xludf.DUMMYFUNCTION("""COMPUTED_VALUE"""),"#N/A")</f>
        <v>#N/A</v>
      </c>
    </row>
    <row r="185" ht="15.75" customHeight="1">
      <c r="A185" s="1" t="str">
        <f>IFERROR(__xludf.DUMMYFUNCTION("""COMPUTED_VALUE"""),"15013")</f>
        <v>15013</v>
      </c>
      <c r="B185" s="2">
        <f>IFERROR(__xludf.DUMMYFUNCTION("""COMPUTED_VALUE"""),15013.0)</f>
        <v>15013</v>
      </c>
      <c r="C185" s="3" t="str">
        <f>IFERROR(__xludf.DUMMYFUNCTION("""COMPUTED_VALUE"""),"กมลา")</f>
        <v>กมลา</v>
      </c>
      <c r="D185" s="3" t="str">
        <f>IFERROR(__xludf.DUMMYFUNCTION("""COMPUTED_VALUE"""),"BIGC MARKET KAMALA")</f>
        <v>BIGC MARKET KAMALA</v>
      </c>
      <c r="E185" s="1" t="str">
        <f>IFERROR(__xludf.DUMMYFUNCTION("""COMPUTED_VALUE"""),"บิ๊กซี Market")</f>
        <v>บิ๊กซี Market</v>
      </c>
      <c r="F185" s="1" t="str">
        <f>IFERROR(__xludf.DUMMYFUNCTION("""COMPUTED_VALUE"""),"2454709")</f>
        <v>2454709</v>
      </c>
      <c r="G185" s="1" t="str">
        <f>IFERROR(__xludf.DUMMYFUNCTION("""COMPUTED_VALUE"""),"นายประชา เกตุชาติ")</f>
        <v>นายประชา เกตุชาติ</v>
      </c>
      <c r="H185" s="1" t="str">
        <f>IFERROR(__xludf.DUMMYFUNCTION("""COMPUTED_VALUE"""),"2454709")</f>
        <v>2454709</v>
      </c>
      <c r="I185" s="1" t="str">
        <f>IFERROR(__xludf.DUMMYFUNCTION("""COMPUTED_VALUE"""),"นายประชา เกตุชาติ")</f>
        <v>นายประชา เกตุชาติ</v>
      </c>
      <c r="J185" s="3">
        <f>IFERROR(__xludf.DUMMYFUNCTION("""COMPUTED_VALUE"""),2454709.0)</f>
        <v>2454709</v>
      </c>
      <c r="K185" s="3" t="str">
        <f>IFERROR(__xludf.DUMMYFUNCTION("""COMPUTED_VALUE"""),"นายประชา เกตุชาติ")</f>
        <v>นายประชา เกตุชาติ</v>
      </c>
      <c r="L185" s="3" t="str">
        <f>IFERROR(__xludf.DUMMYFUNCTION("""COMPUTED_VALUE"""),"Hub05-South")</f>
        <v>Hub05-South</v>
      </c>
      <c r="M185" s="1" t="str">
        <f>IFERROR(__xludf.DUMMYFUNCTION("""COMPUTED_VALUE"""),"0659291311")</f>
        <v>0659291311</v>
      </c>
      <c r="N185" s="3">
        <f>IFERROR(__xludf.DUMMYFUNCTION("""COMPUTED_VALUE"""),15013.0)</f>
        <v>15013</v>
      </c>
      <c r="O185" s="3" t="str">
        <f>IFERROR(__xludf.DUMMYFUNCTION("""COMPUTED_VALUE"""),"กมลา")</f>
        <v>กมลา</v>
      </c>
      <c r="P185" s="4">
        <f>IFERROR(__xludf.DUMMYFUNCTION("""COMPUTED_VALUE"""),40942.0)</f>
        <v>40942</v>
      </c>
      <c r="Q185" s="3" t="str">
        <f>IFERROR(__xludf.DUMMYFUNCTION("""COMPUTED_VALUE"""),"A")</f>
        <v>A</v>
      </c>
      <c r="R185" s="3" t="str">
        <f>IFERROR(__xludf.DUMMYFUNCTION("""COMPUTED_VALUE"""),"Big Format")</f>
        <v>Big Format</v>
      </c>
      <c r="S185" s="3" t="str">
        <f>IFERROR(__xludf.DUMMYFUNCTION("""COMPUTED_VALUE"""),"BMK")</f>
        <v>BMK</v>
      </c>
      <c r="T185" s="3" t="str">
        <f>IFERROR(__xludf.DUMMYFUNCTION("""COMPUTED_VALUE"""),"Hub05-South")</f>
        <v>Hub05-South</v>
      </c>
      <c r="U185" s="3" t="str">
        <f>IFERROR(__xludf.DUMMYFUNCTION("""COMPUTED_VALUE"""),"Hub05-South")</f>
        <v>Hub05-South</v>
      </c>
      <c r="V185" s="3" t="str">
        <f>IFERROR(__xludf.DUMMYFUNCTION("""COMPUTED_VALUE"""),"N")</f>
        <v>N</v>
      </c>
      <c r="W185" s="3">
        <f>IFERROR(__xludf.DUMMYFUNCTION("""COMPUTED_VALUE"""),151013.0)</f>
        <v>151013</v>
      </c>
      <c r="X185" s="3" t="str">
        <f>IFERROR(__xludf.DUMMYFUNCTION("""COMPUTED_VALUE"""),"78/37 หมู่ 3 ตำบลกมลา อำเภอกะทู้ จังหวัดภูเก็ต 83120")</f>
        <v>78/37 หมู่ 3 ตำบลกมลา อำเภอกะทู้ จังหวัดภูเก็ต 83120</v>
      </c>
      <c r="Y185" s="3"/>
      <c r="Z185" s="3" t="str">
        <f>IFERROR(__xludf.DUMMYFUNCTION("""COMPUTED_VALUE"""),"กมลา")</f>
        <v>กมลา</v>
      </c>
      <c r="AA185" s="3" t="str">
        <f>IFERROR(__xludf.DUMMYFUNCTION("""COMPUTED_VALUE"""),"กะทู้")</f>
        <v>กะทู้</v>
      </c>
      <c r="AB185" s="3" t="str">
        <f>IFERROR(__xludf.DUMMYFUNCTION("""COMPUTED_VALUE"""),"ภูเก็ต")</f>
        <v>ภูเก็ต</v>
      </c>
      <c r="AC185" s="3">
        <f>IFERROR(__xludf.DUMMYFUNCTION("""COMPUTED_VALUE"""),83120.0)</f>
        <v>83120</v>
      </c>
      <c r="AD185" s="3">
        <f>IFERROR(__xludf.DUMMYFUNCTION("""COMPUTED_VALUE"""),7.94764)</f>
        <v>7.94764</v>
      </c>
      <c r="AE185" s="3">
        <f>IFERROR(__xludf.DUMMYFUNCTION("""COMPUTED_VALUE"""),98.28032)</f>
        <v>98.28032</v>
      </c>
      <c r="AF185" s="3" t="str">
        <f>IFERROR(__xludf.DUMMYFUNCTION("""COMPUTED_VALUE"""),"กมลา-15013")</f>
        <v>กมลา-15013</v>
      </c>
      <c r="AG185" s="3" t="str">
        <f>IFERROR(__xludf.DUMMYFUNCTION("""COMPUTED_VALUE"""),"ใต้")</f>
        <v>ใต้</v>
      </c>
      <c r="AH185" s="3" t="str">
        <f>IFERROR(__xludf.DUMMYFUNCTION("""COMPUTED_VALUE"""),"Suwadee Intachart")</f>
        <v>Suwadee Intachart</v>
      </c>
      <c r="AI185" s="3" t="str">
        <f>IFERROR(__xludf.DUMMYFUNCTION("""COMPUTED_VALUE"""),"Out of warranty")</f>
        <v>Out of warranty</v>
      </c>
      <c r="AJ185" s="3">
        <f>IFERROR(__xludf.DUMMYFUNCTION("""COMPUTED_VALUE"""),168.0)</f>
        <v>168</v>
      </c>
      <c r="AK185" s="3"/>
      <c r="AL185" s="3" t="str">
        <f>IFERROR(__xludf.DUMMYFUNCTION("""COMPUTED_VALUE"""),"bmk_sm.kamala@bigc.co.th")</f>
        <v>bmk_sm.kamala@bigc.co.th</v>
      </c>
    </row>
    <row r="186" ht="15.75" customHeight="1">
      <c r="A186" s="1" t="str">
        <f>IFERROR(__xludf.DUMMYFUNCTION("""COMPUTED_VALUE"""),"15014")</f>
        <v>15014</v>
      </c>
      <c r="B186" s="2">
        <f>IFERROR(__xludf.DUMMYFUNCTION("""COMPUTED_VALUE"""),15014.0)</f>
        <v>15014</v>
      </c>
      <c r="C186" s="3" t="str">
        <f>IFERROR(__xludf.DUMMYFUNCTION("""COMPUTED_VALUE"""),"พิบูลมังสาหาร")</f>
        <v>พิบูลมังสาหาร</v>
      </c>
      <c r="D186" s="3" t="str">
        <f>IFERROR(__xludf.DUMMYFUNCTION("""COMPUTED_VALUE"""),"BIGC MARKET PHIBULMANGSAHARN")</f>
        <v>BIGC MARKET PHIBULMANGSAHARN</v>
      </c>
      <c r="E186" s="1" t="str">
        <f>IFERROR(__xludf.DUMMYFUNCTION("""COMPUTED_VALUE"""),"บิ๊กซี HyperMarket")</f>
        <v>บิ๊กซี HyperMarket</v>
      </c>
      <c r="F186" s="1" t="str">
        <f>IFERROR(__xludf.DUMMYFUNCTION("""COMPUTED_VALUE"""),"033317")</f>
        <v>033317</v>
      </c>
      <c r="G186" s="1" t="str">
        <f>IFERROR(__xludf.DUMMYFUNCTION("""COMPUTED_VALUE"""),"นายอาณัติ เพชรภาน")</f>
        <v>นายอาณัติ เพชรภาน</v>
      </c>
      <c r="H186" s="1" t="str">
        <f>IFERROR(__xludf.DUMMYFUNCTION("""COMPUTED_VALUE"""),"033317")</f>
        <v>033317</v>
      </c>
      <c r="I186" s="1" t="str">
        <f>IFERROR(__xludf.DUMMYFUNCTION("""COMPUTED_VALUE"""),"นายอาณัติ เพชรภาน")</f>
        <v>นายอาณัติ เพชรภาน</v>
      </c>
      <c r="J186" s="3">
        <f>IFERROR(__xludf.DUMMYFUNCTION("""COMPUTED_VALUE"""),33317.0)</f>
        <v>33317</v>
      </c>
      <c r="K186" s="3" t="str">
        <f>IFERROR(__xludf.DUMMYFUNCTION("""COMPUTED_VALUE"""),"นายอาณัติ เพชรภาน")</f>
        <v>นายอาณัติ เพชรภาน</v>
      </c>
      <c r="L186" s="3" t="str">
        <f>IFERROR(__xludf.DUMMYFUNCTION("""COMPUTED_VALUE"""),"Hub10-NE 2")</f>
        <v>Hub10-NE 2</v>
      </c>
      <c r="M186" s="1" t="str">
        <f>IFERROR(__xludf.DUMMYFUNCTION("""COMPUTED_VALUE"""),"0644791409")</f>
        <v>0644791409</v>
      </c>
      <c r="N186" s="3">
        <f>IFERROR(__xludf.DUMMYFUNCTION("""COMPUTED_VALUE"""),15014.0)</f>
        <v>15014</v>
      </c>
      <c r="O186" s="3" t="str">
        <f>IFERROR(__xludf.DUMMYFUNCTION("""COMPUTED_VALUE"""),"พิบูลมังสาหาร")</f>
        <v>พิบูลมังสาหาร</v>
      </c>
      <c r="P186" s="4">
        <f>IFERROR(__xludf.DUMMYFUNCTION("""COMPUTED_VALUE"""),41044.0)</f>
        <v>41044</v>
      </c>
      <c r="Q186" s="3" t="str">
        <f>IFERROR(__xludf.DUMMYFUNCTION("""COMPUTED_VALUE"""),"A")</f>
        <v>A</v>
      </c>
      <c r="R186" s="3" t="str">
        <f>IFERROR(__xludf.DUMMYFUNCTION("""COMPUTED_VALUE"""),"Big Format")</f>
        <v>Big Format</v>
      </c>
      <c r="S186" s="3" t="str">
        <f>IFERROR(__xludf.DUMMYFUNCTION("""COMPUTED_VALUE"""),"Hyper")</f>
        <v>Hyper</v>
      </c>
      <c r="T186" s="3" t="str">
        <f>IFERROR(__xludf.DUMMYFUNCTION("""COMPUTED_VALUE"""),"Hub10-NE 2")</f>
        <v>Hub10-NE 2</v>
      </c>
      <c r="U186" s="3" t="str">
        <f>IFERROR(__xludf.DUMMYFUNCTION("""COMPUTED_VALUE"""),"Hub10-NE 2")</f>
        <v>Hub10-NE 2</v>
      </c>
      <c r="V186" s="3" t="str">
        <f>IFERROR(__xludf.DUMMYFUNCTION("""COMPUTED_VALUE"""),"N")</f>
        <v>N</v>
      </c>
      <c r="W186" s="3">
        <f>IFERROR(__xludf.DUMMYFUNCTION("""COMPUTED_VALUE"""),151014.0)</f>
        <v>151014</v>
      </c>
      <c r="X186" s="3" t="str">
        <f>IFERROR(__xludf.DUMMYFUNCTION("""COMPUTED_VALUE"""),"41/9 ถนนสถิตย์นิมานการ ตำบลพิบูล อำเภอพิบูลมังสาหาร จังหวัดอุบลราชธานี 34110")</f>
        <v>41/9 ถนนสถิตย์นิมานการ ตำบลพิบูล อำเภอพิบูลมังสาหาร จังหวัดอุบลราชธานี 34110</v>
      </c>
      <c r="Y186" s="3" t="str">
        <f>IFERROR(__xludf.DUMMYFUNCTION("""COMPUTED_VALUE"""),"ถนนสถิตย์นิมานการ")</f>
        <v>ถนนสถิตย์นิมานการ</v>
      </c>
      <c r="Z186" s="3" t="str">
        <f>IFERROR(__xludf.DUMMYFUNCTION("""COMPUTED_VALUE"""),"พิบูล")</f>
        <v>พิบูล</v>
      </c>
      <c r="AA186" s="3" t="str">
        <f>IFERROR(__xludf.DUMMYFUNCTION("""COMPUTED_VALUE"""),"พิบูลมังสาหาร")</f>
        <v>พิบูลมังสาหาร</v>
      </c>
      <c r="AB186" s="3" t="str">
        <f>IFERROR(__xludf.DUMMYFUNCTION("""COMPUTED_VALUE"""),"อุบลราชธานี")</f>
        <v>อุบลราชธานี</v>
      </c>
      <c r="AC186" s="3">
        <f>IFERROR(__xludf.DUMMYFUNCTION("""COMPUTED_VALUE"""),34110.0)</f>
        <v>34110</v>
      </c>
      <c r="AD186" s="3">
        <f>IFERROR(__xludf.DUMMYFUNCTION("""COMPUTED_VALUE"""),15.24123)</f>
        <v>15.24123</v>
      </c>
      <c r="AE186" s="3">
        <f>IFERROR(__xludf.DUMMYFUNCTION("""COMPUTED_VALUE"""),105.2298)</f>
        <v>105.2298</v>
      </c>
      <c r="AF186" s="3" t="str">
        <f>IFERROR(__xludf.DUMMYFUNCTION("""COMPUTED_VALUE"""),"พิบูลมังสาหาร-15014")</f>
        <v>พิบูลมังสาหาร-15014</v>
      </c>
      <c r="AG186" s="3" t="str">
        <f>IFERROR(__xludf.DUMMYFUNCTION("""COMPUTED_VALUE"""),"ตะวันออกเฉียงเหนือ")</f>
        <v>ตะวันออกเฉียงเหนือ</v>
      </c>
      <c r="AH186" s="3" t="str">
        <f>IFERROR(__xludf.DUMMYFUNCTION("""COMPUTED_VALUE"""),"Pajaob Wongpakdee")</f>
        <v>Pajaob Wongpakdee</v>
      </c>
      <c r="AI186" s="3" t="str">
        <f>IFERROR(__xludf.DUMMYFUNCTION("""COMPUTED_VALUE"""),"Out of warranty")</f>
        <v>Out of warranty</v>
      </c>
      <c r="AJ186" s="3">
        <f>IFERROR(__xludf.DUMMYFUNCTION("""COMPUTED_VALUE"""),165.0)</f>
        <v>165</v>
      </c>
      <c r="AK186" s="3"/>
      <c r="AL186" s="3" t="str">
        <f>IFERROR(__xludf.DUMMYFUNCTION("""COMPUTED_VALUE"""),"sgm.phibulmangsaharn@bigc.co.th")</f>
        <v>sgm.phibulmangsaharn@bigc.co.th</v>
      </c>
    </row>
    <row r="187" ht="15.75" customHeight="1">
      <c r="A187" s="1" t="str">
        <f>IFERROR(__xludf.DUMMYFUNCTION("""COMPUTED_VALUE"""),"15015")</f>
        <v>15015</v>
      </c>
      <c r="B187" s="2">
        <f>IFERROR(__xludf.DUMMYFUNCTION("""COMPUTED_VALUE"""),15015.0)</f>
        <v>15015</v>
      </c>
      <c r="C187" s="3" t="str">
        <f>IFERROR(__xludf.DUMMYFUNCTION("""COMPUTED_VALUE"""),"ปลวกแดง")</f>
        <v>ปลวกแดง</v>
      </c>
      <c r="D187" s="3" t="str">
        <f>IFERROR(__xludf.DUMMYFUNCTION("""COMPUTED_VALUE"""),"BIGC MARKET PLUAKDAENG")</f>
        <v>BIGC MARKET PLUAKDAENG</v>
      </c>
      <c r="E187" s="1" t="str">
        <f>IFERROR(__xludf.DUMMYFUNCTION("""COMPUTED_VALUE"""),"บิ๊กซี Market")</f>
        <v>บิ๊กซี Market</v>
      </c>
      <c r="F187" s="1" t="str">
        <f>IFERROR(__xludf.DUMMYFUNCTION("""COMPUTED_VALUE"""),"2455164")</f>
        <v>2455164</v>
      </c>
      <c r="G187" s="1" t="str">
        <f>IFERROR(__xludf.DUMMYFUNCTION("""COMPUTED_VALUE"""),"นายกรวิทย์ เจริญพร")</f>
        <v>นายกรวิทย์ เจริญพร</v>
      </c>
      <c r="H187" s="1" t="str">
        <f>IFERROR(__xludf.DUMMYFUNCTION("""COMPUTED_VALUE"""),"2455164")</f>
        <v>2455164</v>
      </c>
      <c r="I187" s="1" t="str">
        <f>IFERROR(__xludf.DUMMYFUNCTION("""COMPUTED_VALUE"""),"นายกรวิทย์ เจริญพร")</f>
        <v>นายกรวิทย์ เจริญพร</v>
      </c>
      <c r="J187" s="3">
        <f>IFERROR(__xludf.DUMMYFUNCTION("""COMPUTED_VALUE"""),2455164.0)</f>
        <v>2455164</v>
      </c>
      <c r="K187" s="3" t="str">
        <f>IFERROR(__xludf.DUMMYFUNCTION("""COMPUTED_VALUE"""),"นายกรวิทย์ เจริญพร")</f>
        <v>นายกรวิทย์ เจริญพร</v>
      </c>
      <c r="L187" s="1" t="str">
        <f>IFERROR(__xludf.DUMMYFUNCTION("""COMPUTED_VALUE"""),"Hub08-East")</f>
        <v>Hub08-East</v>
      </c>
      <c r="M187" s="1" t="str">
        <f>IFERROR(__xludf.DUMMYFUNCTION("""COMPUTED_VALUE"""),"092-605-9922")</f>
        <v>092-605-9922</v>
      </c>
      <c r="N187" s="3">
        <f>IFERROR(__xludf.DUMMYFUNCTION("""COMPUTED_VALUE"""),15015.0)</f>
        <v>15015</v>
      </c>
      <c r="O187" s="3" t="str">
        <f>IFERROR(__xludf.DUMMYFUNCTION("""COMPUTED_VALUE"""),"ปลวกแดง")</f>
        <v>ปลวกแดง</v>
      </c>
      <c r="P187" s="4">
        <f>IFERROR(__xludf.DUMMYFUNCTION("""COMPUTED_VALUE"""),41131.0)</f>
        <v>41131</v>
      </c>
      <c r="Q187" s="3" t="str">
        <f>IFERROR(__xludf.DUMMYFUNCTION("""COMPUTED_VALUE"""),"A")</f>
        <v>A</v>
      </c>
      <c r="R187" s="3" t="str">
        <f>IFERROR(__xludf.DUMMYFUNCTION("""COMPUTED_VALUE"""),"Big Format")</f>
        <v>Big Format</v>
      </c>
      <c r="S187" s="3" t="str">
        <f>IFERROR(__xludf.DUMMYFUNCTION("""COMPUTED_VALUE"""),"BMK")</f>
        <v>BMK</v>
      </c>
      <c r="T187" s="3" t="str">
        <f>IFERROR(__xludf.DUMMYFUNCTION("""COMPUTED_VALUE"""),"Hub08-East")</f>
        <v>Hub08-East</v>
      </c>
      <c r="U187" s="3" t="str">
        <f>IFERROR(__xludf.DUMMYFUNCTION("""COMPUTED_VALUE"""),"Hub08-East")</f>
        <v>Hub08-East</v>
      </c>
      <c r="V187" s="3" t="str">
        <f>IFERROR(__xludf.DUMMYFUNCTION("""COMPUTED_VALUE"""),"N")</f>
        <v>N</v>
      </c>
      <c r="W187" s="3">
        <f>IFERROR(__xludf.DUMMYFUNCTION("""COMPUTED_VALUE"""),151015.0)</f>
        <v>151015</v>
      </c>
      <c r="X187" s="3" t="str">
        <f>IFERROR(__xludf.DUMMYFUNCTION("""COMPUTED_VALUE"""),"888 หมู่ 1 ตำบลปลวกแดง อำเภอปลวกแดง จังหวัดระยอง 21140")</f>
        <v>888 หมู่ 1 ตำบลปลวกแดง อำเภอปลวกแดง จังหวัดระยอง 21140</v>
      </c>
      <c r="Y187" s="3"/>
      <c r="Z187" s="3" t="str">
        <f>IFERROR(__xludf.DUMMYFUNCTION("""COMPUTED_VALUE"""),"ปลวกแดง")</f>
        <v>ปลวกแดง</v>
      </c>
      <c r="AA187" s="3" t="str">
        <f>IFERROR(__xludf.DUMMYFUNCTION("""COMPUTED_VALUE"""),"ปลวกแดง")</f>
        <v>ปลวกแดง</v>
      </c>
      <c r="AB187" s="3" t="str">
        <f>IFERROR(__xludf.DUMMYFUNCTION("""COMPUTED_VALUE"""),"ระยอง")</f>
        <v>ระยอง</v>
      </c>
      <c r="AC187" s="3">
        <f>IFERROR(__xludf.DUMMYFUNCTION("""COMPUTED_VALUE"""),21140.0)</f>
        <v>21140</v>
      </c>
      <c r="AD187" s="3">
        <f>IFERROR(__xludf.DUMMYFUNCTION("""COMPUTED_VALUE"""),12.982945)</f>
        <v>12.982945</v>
      </c>
      <c r="AE187" s="3">
        <f>IFERROR(__xludf.DUMMYFUNCTION("""COMPUTED_VALUE"""),101.21169)</f>
        <v>101.21169</v>
      </c>
      <c r="AF187" s="3" t="str">
        <f>IFERROR(__xludf.DUMMYFUNCTION("""COMPUTED_VALUE"""),"ปลวกแดง-15015")</f>
        <v>ปลวกแดง-15015</v>
      </c>
      <c r="AG187" s="3" t="str">
        <f>IFERROR(__xludf.DUMMYFUNCTION("""COMPUTED_VALUE"""),"ตะวันออก")</f>
        <v>ตะวันออก</v>
      </c>
      <c r="AH187" s="3" t="str">
        <f>IFERROR(__xludf.DUMMYFUNCTION("""COMPUTED_VALUE"""),"Walaiporn Sutyod")</f>
        <v>Walaiporn Sutyod</v>
      </c>
      <c r="AI187" s="3" t="str">
        <f>IFERROR(__xludf.DUMMYFUNCTION("""COMPUTED_VALUE"""),"Out of warranty")</f>
        <v>Out of warranty</v>
      </c>
      <c r="AJ187" s="3">
        <f>IFERROR(__xludf.DUMMYFUNCTION("""COMPUTED_VALUE"""),162.0)</f>
        <v>162</v>
      </c>
      <c r="AK187" s="3"/>
      <c r="AL187" s="3" t="str">
        <f>IFERROR(__xludf.DUMMYFUNCTION("""COMPUTED_VALUE"""),"bmk_sm.pluakdaeng@bigc.co.th")</f>
        <v>bmk_sm.pluakdaeng@bigc.co.th</v>
      </c>
    </row>
    <row r="188" ht="15.75" customHeight="1">
      <c r="A188" s="1" t="str">
        <f>IFERROR(__xludf.DUMMYFUNCTION("""COMPUTED_VALUE"""),"15016")</f>
        <v>15016</v>
      </c>
      <c r="B188" s="2">
        <f>IFERROR(__xludf.DUMMYFUNCTION("""COMPUTED_VALUE"""),15016.0)</f>
        <v>15016</v>
      </c>
      <c r="C188" s="3" t="str">
        <f>IFERROR(__xludf.DUMMYFUNCTION("""COMPUTED_VALUE"""),"ท่าเรือ")</f>
        <v>ท่าเรือ</v>
      </c>
      <c r="D188" s="3" t="str">
        <f>IFERROR(__xludf.DUMMYFUNCTION("""COMPUTED_VALUE"""),"BIGC MARKET THARUE")</f>
        <v>BIGC MARKET THARUE</v>
      </c>
      <c r="E188" s="1" t="str">
        <f>IFERROR(__xludf.DUMMYFUNCTION("""COMPUTED_VALUE"""),"บิ๊กซี Market")</f>
        <v>บิ๊กซี Market</v>
      </c>
      <c r="F188" s="1" t="str">
        <f>IFERROR(__xludf.DUMMYFUNCTION("""COMPUTED_VALUE"""),"2455179")</f>
        <v>2455179</v>
      </c>
      <c r="G188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188" s="1" t="str">
        <f>IFERROR(__xludf.DUMMYFUNCTION("""COMPUTED_VALUE"""),"2455179")</f>
        <v>2455179</v>
      </c>
      <c r="I188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188" s="3">
        <f>IFERROR(__xludf.DUMMYFUNCTION("""COMPUTED_VALUE"""),2455179.0)</f>
        <v>2455179</v>
      </c>
      <c r="K188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188" s="1" t="str">
        <f>IFERROR(__xludf.DUMMYFUNCTION("""COMPUTED_VALUE"""),"Hub06-C&amp;W")</f>
        <v>Hub06-C&amp;W</v>
      </c>
      <c r="M188" s="1" t="str">
        <f>IFERROR(__xludf.DUMMYFUNCTION("""COMPUTED_VALUE"""),"090-993-6896")</f>
        <v>090-993-6896</v>
      </c>
      <c r="N188" s="3">
        <f>IFERROR(__xludf.DUMMYFUNCTION("""COMPUTED_VALUE"""),15016.0)</f>
        <v>15016</v>
      </c>
      <c r="O188" s="3" t="str">
        <f>IFERROR(__xludf.DUMMYFUNCTION("""COMPUTED_VALUE"""),"ท่าเรือ")</f>
        <v>ท่าเรือ</v>
      </c>
      <c r="P188" s="4">
        <f>IFERROR(__xludf.DUMMYFUNCTION("""COMPUTED_VALUE"""),41153.0)</f>
        <v>41153</v>
      </c>
      <c r="Q188" s="3" t="str">
        <f>IFERROR(__xludf.DUMMYFUNCTION("""COMPUTED_VALUE"""),"A")</f>
        <v>A</v>
      </c>
      <c r="R188" s="3" t="str">
        <f>IFERROR(__xludf.DUMMYFUNCTION("""COMPUTED_VALUE"""),"Big Format")</f>
        <v>Big Format</v>
      </c>
      <c r="S188" s="3" t="str">
        <f>IFERROR(__xludf.DUMMYFUNCTION("""COMPUTED_VALUE"""),"BMK")</f>
        <v>BMK</v>
      </c>
      <c r="T188" s="3" t="str">
        <f>IFERROR(__xludf.DUMMYFUNCTION("""COMPUTED_VALUE"""),"Hub06-C&amp;W")</f>
        <v>Hub06-C&amp;W</v>
      </c>
      <c r="U188" s="3" t="str">
        <f>IFERROR(__xludf.DUMMYFUNCTION("""COMPUTED_VALUE"""),"Hub06-C&amp;W")</f>
        <v>Hub06-C&amp;W</v>
      </c>
      <c r="V188" s="3" t="str">
        <f>IFERROR(__xludf.DUMMYFUNCTION("""COMPUTED_VALUE"""),"N")</f>
        <v>N</v>
      </c>
      <c r="W188" s="3">
        <f>IFERROR(__xludf.DUMMYFUNCTION("""COMPUTED_VALUE"""),151016.0)</f>
        <v>151016</v>
      </c>
      <c r="X188" s="3" t="str">
        <f>IFERROR(__xludf.DUMMYFUNCTION("""COMPUTED_VALUE"""),"41/1 ถนนแสงชูโตใหม่ ตำบลท่าเรือ อำเภอท่ามะกา จังหวัดกาญจนบุรี 71130")</f>
        <v>41/1 ถนนแสงชูโตใหม่ ตำบลท่าเรือ อำเภอท่ามะกา จังหวัดกาญจนบุรี 71130</v>
      </c>
      <c r="Y188" s="3" t="str">
        <f>IFERROR(__xludf.DUMMYFUNCTION("""COMPUTED_VALUE"""),"ถนนแสงชูโตใหม่")</f>
        <v>ถนนแสงชูโตใหม่</v>
      </c>
      <c r="Z188" s="3" t="str">
        <f>IFERROR(__xludf.DUMMYFUNCTION("""COMPUTED_VALUE"""),"ท่าเรือ")</f>
        <v>ท่าเรือ</v>
      </c>
      <c r="AA188" s="3" t="str">
        <f>IFERROR(__xludf.DUMMYFUNCTION("""COMPUTED_VALUE"""),"ท่ามะกา")</f>
        <v>ท่ามะกา</v>
      </c>
      <c r="AB188" s="3" t="str">
        <f>IFERROR(__xludf.DUMMYFUNCTION("""COMPUTED_VALUE"""),"กาญจนบุรี")</f>
        <v>กาญจนบุรี</v>
      </c>
      <c r="AC188" s="3">
        <f>IFERROR(__xludf.DUMMYFUNCTION("""COMPUTED_VALUE"""),71130.0)</f>
        <v>71130</v>
      </c>
      <c r="AD188" s="3">
        <f>IFERROR(__xludf.DUMMYFUNCTION("""COMPUTED_VALUE"""),13.95865)</f>
        <v>13.95865</v>
      </c>
      <c r="AE188" s="3">
        <f>IFERROR(__xludf.DUMMYFUNCTION("""COMPUTED_VALUE"""),99.75417)</f>
        <v>99.75417</v>
      </c>
      <c r="AF188" s="3" t="str">
        <f>IFERROR(__xludf.DUMMYFUNCTION("""COMPUTED_VALUE"""),"ท่าเรือ-15016")</f>
        <v>ท่าเรือ-15016</v>
      </c>
      <c r="AG188" s="3" t="str">
        <f>IFERROR(__xludf.DUMMYFUNCTION("""COMPUTED_VALUE"""),"ตะวันตก")</f>
        <v>ตะวันตก</v>
      </c>
      <c r="AH188" s="3" t="str">
        <f>IFERROR(__xludf.DUMMYFUNCTION("""COMPUTED_VALUE"""),"Wichian Nasungnoen")</f>
        <v>Wichian Nasungnoen</v>
      </c>
      <c r="AI188" s="3" t="str">
        <f>IFERROR(__xludf.DUMMYFUNCTION("""COMPUTED_VALUE"""),"Out of warranty")</f>
        <v>Out of warranty</v>
      </c>
      <c r="AJ188" s="3">
        <f>IFERROR(__xludf.DUMMYFUNCTION("""COMPUTED_VALUE"""),161.0)</f>
        <v>161</v>
      </c>
      <c r="AK188" s="3"/>
      <c r="AL188" s="3" t="str">
        <f>IFERROR(__xludf.DUMMYFUNCTION("""COMPUTED_VALUE"""),"bmk_sm.tharua@bigc.co.th")</f>
        <v>bmk_sm.tharua@bigc.co.th</v>
      </c>
    </row>
    <row r="189" ht="15.75" customHeight="1">
      <c r="A189" s="1" t="str">
        <f>IFERROR(__xludf.DUMMYFUNCTION("""COMPUTED_VALUE"""),"15017")</f>
        <v>15017</v>
      </c>
      <c r="B189" s="2">
        <f>IFERROR(__xludf.DUMMYFUNCTION("""COMPUTED_VALUE"""),15017.0)</f>
        <v>15017</v>
      </c>
      <c r="C189" s="3" t="str">
        <f>IFERROR(__xludf.DUMMYFUNCTION("""COMPUTED_VALUE"""),"คู้บอน")</f>
        <v>คู้บอน</v>
      </c>
      <c r="D189" s="3" t="str">
        <f>IFERROR(__xludf.DUMMYFUNCTION("""COMPUTED_VALUE"""),"BIGC MARKET KHUBON")</f>
        <v>BIGC MARKET KHUBON</v>
      </c>
      <c r="E189" s="1" t="str">
        <f>IFERROR(__xludf.DUMMYFUNCTION("""COMPUTED_VALUE"""),"บิ๊กซี Market")</f>
        <v>บิ๊กซี Market</v>
      </c>
      <c r="F189" s="1" t="str">
        <f>IFERROR(__xludf.DUMMYFUNCTION("""COMPUTED_VALUE"""),"2454716")</f>
        <v>2454716</v>
      </c>
      <c r="G189" s="1" t="str">
        <f>IFERROR(__xludf.DUMMYFUNCTION("""COMPUTED_VALUE"""),"นายโฆษิต วงค์กะโซ่")</f>
        <v>นายโฆษิต วงค์กะโซ่</v>
      </c>
      <c r="H189" s="1" t="str">
        <f>IFERROR(__xludf.DUMMYFUNCTION("""COMPUTED_VALUE"""),"2454716")</f>
        <v>2454716</v>
      </c>
      <c r="I189" s="1" t="str">
        <f>IFERROR(__xludf.DUMMYFUNCTION("""COMPUTED_VALUE"""),"นายโฆษิต วงค์กะโซ่")</f>
        <v>นายโฆษิต วงค์กะโซ่</v>
      </c>
      <c r="J189" s="3">
        <f>IFERROR(__xludf.DUMMYFUNCTION("""COMPUTED_VALUE"""),2454716.0)</f>
        <v>2454716</v>
      </c>
      <c r="K189" s="3" t="str">
        <f>IFERROR(__xludf.DUMMYFUNCTION("""COMPUTED_VALUE"""),"นายโฆษิต วงค์กะโซ่")</f>
        <v>นายโฆษิต วงค์กะโซ่</v>
      </c>
      <c r="L189" s="1" t="str">
        <f>IFERROR(__xludf.DUMMYFUNCTION("""COMPUTED_VALUE"""),"Hub03-BKK 3")</f>
        <v>Hub03-BKK 3</v>
      </c>
      <c r="M189" s="1" t="str">
        <f>IFERROR(__xludf.DUMMYFUNCTION("""COMPUTED_VALUE"""),"062-434-5030")</f>
        <v>062-434-5030</v>
      </c>
      <c r="N189" s="3">
        <f>IFERROR(__xludf.DUMMYFUNCTION("""COMPUTED_VALUE"""),15017.0)</f>
        <v>15017</v>
      </c>
      <c r="O189" s="3" t="str">
        <f>IFERROR(__xludf.DUMMYFUNCTION("""COMPUTED_VALUE"""),"คู้บอน")</f>
        <v>คู้บอน</v>
      </c>
      <c r="P189" s="4">
        <f>IFERROR(__xludf.DUMMYFUNCTION("""COMPUTED_VALUE"""),41180.0)</f>
        <v>41180</v>
      </c>
      <c r="Q189" s="3" t="str">
        <f>IFERROR(__xludf.DUMMYFUNCTION("""COMPUTED_VALUE"""),"A")</f>
        <v>A</v>
      </c>
      <c r="R189" s="3" t="str">
        <f>IFERROR(__xludf.DUMMYFUNCTION("""COMPUTED_VALUE"""),"Big Format")</f>
        <v>Big Format</v>
      </c>
      <c r="S189" s="3" t="str">
        <f>IFERROR(__xludf.DUMMYFUNCTION("""COMPUTED_VALUE"""),"BMK")</f>
        <v>BMK</v>
      </c>
      <c r="T189" s="3" t="str">
        <f>IFERROR(__xludf.DUMMYFUNCTION("""COMPUTED_VALUE"""),"Hub03-BKK 3")</f>
        <v>Hub03-BKK 3</v>
      </c>
      <c r="U189" s="3" t="str">
        <f>IFERROR(__xludf.DUMMYFUNCTION("""COMPUTED_VALUE"""),"Hub03-BKK 3")</f>
        <v>Hub03-BKK 3</v>
      </c>
      <c r="V189" s="3" t="str">
        <f>IFERROR(__xludf.DUMMYFUNCTION("""COMPUTED_VALUE"""),"N")</f>
        <v>N</v>
      </c>
      <c r="W189" s="3">
        <f>IFERROR(__xludf.DUMMYFUNCTION("""COMPUTED_VALUE"""),151017.0)</f>
        <v>151017</v>
      </c>
      <c r="X189" s="3" t="str">
        <f>IFERROR(__xludf.DUMMYFUNCTION("""COMPUTED_VALUE"""),"47/1 ถนน คู้บอน แขวง รามอินทรา เขต คันนายาว กรุงเทพฯ 10230")</f>
        <v>47/1 ถนน คู้บอน แขวง รามอินทรา เขต คันนายาว กรุงเทพฯ 10230</v>
      </c>
      <c r="Y189" s="3" t="str">
        <f>IFERROR(__xludf.DUMMYFUNCTION("""COMPUTED_VALUE"""),"ถนน")</f>
        <v>ถนน</v>
      </c>
      <c r="Z189" s="3" t="str">
        <f>IFERROR(__xludf.DUMMYFUNCTION("""COMPUTED_VALUE"""),"คู้บอน")</f>
        <v>คู้บอน</v>
      </c>
      <c r="AA189" s="3" t="str">
        <f>IFERROR(__xludf.DUMMYFUNCTION("""COMPUTED_VALUE"""),"คันนายาว")</f>
        <v>คันนายาว</v>
      </c>
      <c r="AB189" s="3" t="str">
        <f>IFERROR(__xludf.DUMMYFUNCTION("""COMPUTED_VALUE"""),"กรุงเทพมหานคร")</f>
        <v>กรุงเทพมหานคร</v>
      </c>
      <c r="AC189" s="3">
        <f>IFERROR(__xludf.DUMMYFUNCTION("""COMPUTED_VALUE"""),10230.0)</f>
        <v>10230</v>
      </c>
      <c r="AD189" s="3">
        <f>IFERROR(__xludf.DUMMYFUNCTION("""COMPUTED_VALUE"""),13.841014)</f>
        <v>13.841014</v>
      </c>
      <c r="AE189" s="3">
        <f>IFERROR(__xludf.DUMMYFUNCTION("""COMPUTED_VALUE"""),100.66195)</f>
        <v>100.66195</v>
      </c>
      <c r="AF189" s="3" t="str">
        <f>IFERROR(__xludf.DUMMYFUNCTION("""COMPUTED_VALUE"""),"คู้บอน-15017")</f>
        <v>คู้บอน-15017</v>
      </c>
      <c r="AG189" s="3" t="str">
        <f>IFERROR(__xludf.DUMMYFUNCTION("""COMPUTED_VALUE"""),"กลาง")</f>
        <v>กลาง</v>
      </c>
      <c r="AH189" s="3" t="str">
        <f>IFERROR(__xludf.DUMMYFUNCTION("""COMPUTED_VALUE"""),"Saitan Boonpitak")</f>
        <v>Saitan Boonpitak</v>
      </c>
      <c r="AI189" s="3" t="str">
        <f>IFERROR(__xludf.DUMMYFUNCTION("""COMPUTED_VALUE"""),"Out of warranty")</f>
        <v>Out of warranty</v>
      </c>
      <c r="AJ189" s="3">
        <f>IFERROR(__xludf.DUMMYFUNCTION("""COMPUTED_VALUE"""),160.0)</f>
        <v>160</v>
      </c>
      <c r="AK189" s="3"/>
      <c r="AL189" s="3" t="str">
        <f>IFERROR(__xludf.DUMMYFUNCTION("""COMPUTED_VALUE"""),"bmk_sm.kubon@bigc.co.th")</f>
        <v>bmk_sm.kubon@bigc.co.th</v>
      </c>
    </row>
    <row r="190" ht="15.75" customHeight="1">
      <c r="A190" s="1" t="str">
        <f>IFERROR(__xludf.DUMMYFUNCTION("""COMPUTED_VALUE"""),"15018")</f>
        <v>15018</v>
      </c>
      <c r="B190" s="2">
        <f>IFERROR(__xludf.DUMMYFUNCTION("""COMPUTED_VALUE"""),15018.0)</f>
        <v>15018</v>
      </c>
      <c r="C190" s="3" t="str">
        <f>IFERROR(__xludf.DUMMYFUNCTION("""COMPUTED_VALUE"""),"บ้านเพ")</f>
        <v>บ้านเพ</v>
      </c>
      <c r="D190" s="3" t="str">
        <f>IFERROR(__xludf.DUMMYFUNCTION("""COMPUTED_VALUE"""),"BIGC MARKET BANPAE")</f>
        <v>BIGC MARKET BANPAE</v>
      </c>
      <c r="E190" s="1" t="str">
        <f>IFERROR(__xludf.DUMMYFUNCTION("""COMPUTED_VALUE"""),"บิ๊กซี Market")</f>
        <v>บิ๊กซี Market</v>
      </c>
      <c r="F190" s="1" t="str">
        <f>IFERROR(__xludf.DUMMYFUNCTION("""COMPUTED_VALUE"""),"2455164")</f>
        <v>2455164</v>
      </c>
      <c r="G190" s="1" t="str">
        <f>IFERROR(__xludf.DUMMYFUNCTION("""COMPUTED_VALUE"""),"นายกรวิทย์ เจริญพร")</f>
        <v>นายกรวิทย์ เจริญพร</v>
      </c>
      <c r="H190" s="1" t="str">
        <f>IFERROR(__xludf.DUMMYFUNCTION("""COMPUTED_VALUE"""),"2455164")</f>
        <v>2455164</v>
      </c>
      <c r="I190" s="1" t="str">
        <f>IFERROR(__xludf.DUMMYFUNCTION("""COMPUTED_VALUE"""),"นายกรวิทย์ เจริญพร")</f>
        <v>นายกรวิทย์ เจริญพร</v>
      </c>
      <c r="J190" s="3">
        <f>IFERROR(__xludf.DUMMYFUNCTION("""COMPUTED_VALUE"""),2455164.0)</f>
        <v>2455164</v>
      </c>
      <c r="K190" s="3" t="str">
        <f>IFERROR(__xludf.DUMMYFUNCTION("""COMPUTED_VALUE"""),"นายกรวิทย์ เจริญพร")</f>
        <v>นายกรวิทย์ เจริญพร</v>
      </c>
      <c r="L190" s="1" t="str">
        <f>IFERROR(__xludf.DUMMYFUNCTION("""COMPUTED_VALUE"""),"Hub08-East")</f>
        <v>Hub08-East</v>
      </c>
      <c r="M190" s="1" t="str">
        <f>IFERROR(__xludf.DUMMYFUNCTION("""COMPUTED_VALUE"""),"092-605-9922")</f>
        <v>092-605-9922</v>
      </c>
      <c r="N190" s="3">
        <f>IFERROR(__xludf.DUMMYFUNCTION("""COMPUTED_VALUE"""),15018.0)</f>
        <v>15018</v>
      </c>
      <c r="O190" s="3" t="str">
        <f>IFERROR(__xludf.DUMMYFUNCTION("""COMPUTED_VALUE"""),"บ้านเพ")</f>
        <v>บ้านเพ</v>
      </c>
      <c r="P190" s="4">
        <f>IFERROR(__xludf.DUMMYFUNCTION("""COMPUTED_VALUE"""),41264.0)</f>
        <v>41264</v>
      </c>
      <c r="Q190" s="3" t="str">
        <f>IFERROR(__xludf.DUMMYFUNCTION("""COMPUTED_VALUE"""),"A")</f>
        <v>A</v>
      </c>
      <c r="R190" s="3" t="str">
        <f>IFERROR(__xludf.DUMMYFUNCTION("""COMPUTED_VALUE"""),"Big Format")</f>
        <v>Big Format</v>
      </c>
      <c r="S190" s="3" t="str">
        <f>IFERROR(__xludf.DUMMYFUNCTION("""COMPUTED_VALUE"""),"BMK")</f>
        <v>BMK</v>
      </c>
      <c r="T190" s="3" t="str">
        <f>IFERROR(__xludf.DUMMYFUNCTION("""COMPUTED_VALUE"""),"Hub08-East")</f>
        <v>Hub08-East</v>
      </c>
      <c r="U190" s="3" t="str">
        <f>IFERROR(__xludf.DUMMYFUNCTION("""COMPUTED_VALUE"""),"Hub08-East")</f>
        <v>Hub08-East</v>
      </c>
      <c r="V190" s="3" t="str">
        <f>IFERROR(__xludf.DUMMYFUNCTION("""COMPUTED_VALUE"""),"N")</f>
        <v>N</v>
      </c>
      <c r="W190" s="3">
        <f>IFERROR(__xludf.DUMMYFUNCTION("""COMPUTED_VALUE"""),151018.0)</f>
        <v>151018</v>
      </c>
      <c r="X190" s="3" t="str">
        <f>IFERROR(__xludf.DUMMYFUNCTION("""COMPUTED_VALUE"""),"58/2 หมู่ 3 ตำบลเพ อำเภอเมืองระยอง จังหวัดระยอง 21160")</f>
        <v>58/2 หมู่ 3 ตำบลเพ อำเภอเมืองระยอง จังหวัดระยอง 21160</v>
      </c>
      <c r="Y190" s="3"/>
      <c r="Z190" s="3" t="str">
        <f>IFERROR(__xludf.DUMMYFUNCTION("""COMPUTED_VALUE"""),"เพ")</f>
        <v>เพ</v>
      </c>
      <c r="AA190" s="3" t="str">
        <f>IFERROR(__xludf.DUMMYFUNCTION("""COMPUTED_VALUE"""),"เมือง")</f>
        <v>เมือง</v>
      </c>
      <c r="AB190" s="3" t="str">
        <f>IFERROR(__xludf.DUMMYFUNCTION("""COMPUTED_VALUE"""),"ระยอง")</f>
        <v>ระยอง</v>
      </c>
      <c r="AC190" s="3">
        <f>IFERROR(__xludf.DUMMYFUNCTION("""COMPUTED_VALUE"""),21160.0)</f>
        <v>21160</v>
      </c>
      <c r="AD190" s="3">
        <f>IFERROR(__xludf.DUMMYFUNCTION("""COMPUTED_VALUE"""),12.62463)</f>
        <v>12.62463</v>
      </c>
      <c r="AE190" s="3">
        <f>IFERROR(__xludf.DUMMYFUNCTION("""COMPUTED_VALUE"""),101.42459)</f>
        <v>101.42459</v>
      </c>
      <c r="AF190" s="3" t="str">
        <f>IFERROR(__xludf.DUMMYFUNCTION("""COMPUTED_VALUE"""),"บ้านเพ-15018")</f>
        <v>บ้านเพ-15018</v>
      </c>
      <c r="AG190" s="3" t="str">
        <f>IFERROR(__xludf.DUMMYFUNCTION("""COMPUTED_VALUE"""),"ตะวันออก")</f>
        <v>ตะวันออก</v>
      </c>
      <c r="AH190" s="3" t="str">
        <f>IFERROR(__xludf.DUMMYFUNCTION("""COMPUTED_VALUE"""),"Walaiporn Sutyod")</f>
        <v>Walaiporn Sutyod</v>
      </c>
      <c r="AI190" s="3" t="str">
        <f>IFERROR(__xludf.DUMMYFUNCTION("""COMPUTED_VALUE"""),"Out of warranty")</f>
        <v>Out of warranty</v>
      </c>
      <c r="AJ190" s="3">
        <f>IFERROR(__xludf.DUMMYFUNCTION("""COMPUTED_VALUE"""),157.0)</f>
        <v>157</v>
      </c>
      <c r="AK190" s="3"/>
      <c r="AL190" s="3" t="str">
        <f>IFERROR(__xludf.DUMMYFUNCTION("""COMPUTED_VALUE"""),"bmk_sm.banpae@bigc.co.th")</f>
        <v>bmk_sm.banpae@bigc.co.th</v>
      </c>
    </row>
    <row r="191" ht="15.75" customHeight="1">
      <c r="A191" s="1" t="str">
        <f>IFERROR(__xludf.DUMMYFUNCTION("""COMPUTED_VALUE"""),"15019")</f>
        <v>15019</v>
      </c>
      <c r="B191" s="2">
        <f>IFERROR(__xludf.DUMMYFUNCTION("""COMPUTED_VALUE"""),15019.0)</f>
        <v>15019</v>
      </c>
      <c r="C191" s="3" t="str">
        <f>IFERROR(__xludf.DUMMYFUNCTION("""COMPUTED_VALUE"""),"ชะอำ")</f>
        <v>ชะอำ</v>
      </c>
      <c r="D191" s="3" t="str">
        <f>IFERROR(__xludf.DUMMYFUNCTION("""COMPUTED_VALUE"""),"BIGC MARKET CHAAM")</f>
        <v>BIGC MARKET CHAAM</v>
      </c>
      <c r="E191" s="1" t="str">
        <f>IFERROR(__xludf.DUMMYFUNCTION("""COMPUTED_VALUE"""),"บิ๊กซี Market")</f>
        <v>บิ๊กซี Market</v>
      </c>
      <c r="F191" s="1" t="str">
        <f>IFERROR(__xludf.DUMMYFUNCTION("""COMPUTED_VALUE"""),"2455179")</f>
        <v>2455179</v>
      </c>
      <c r="G191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191" s="1" t="str">
        <f>IFERROR(__xludf.DUMMYFUNCTION("""COMPUTED_VALUE"""),"2455179")</f>
        <v>2455179</v>
      </c>
      <c r="I191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191" s="3">
        <f>IFERROR(__xludf.DUMMYFUNCTION("""COMPUTED_VALUE"""),2455179.0)</f>
        <v>2455179</v>
      </c>
      <c r="K191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191" s="1" t="str">
        <f>IFERROR(__xludf.DUMMYFUNCTION("""COMPUTED_VALUE"""),"Hub06-C&amp;W")</f>
        <v>Hub06-C&amp;W</v>
      </c>
      <c r="M191" s="1" t="str">
        <f>IFERROR(__xludf.DUMMYFUNCTION("""COMPUTED_VALUE"""),"090-993-6896")</f>
        <v>090-993-6896</v>
      </c>
      <c r="N191" s="3">
        <f>IFERROR(__xludf.DUMMYFUNCTION("""COMPUTED_VALUE"""),15019.0)</f>
        <v>15019</v>
      </c>
      <c r="O191" s="3" t="str">
        <f>IFERROR(__xludf.DUMMYFUNCTION("""COMPUTED_VALUE"""),"ชะอำ")</f>
        <v>ชะอำ</v>
      </c>
      <c r="P191" s="4">
        <f>IFERROR(__xludf.DUMMYFUNCTION("""COMPUTED_VALUE"""),41348.0)</f>
        <v>41348</v>
      </c>
      <c r="Q191" s="3" t="str">
        <f>IFERROR(__xludf.DUMMYFUNCTION("""COMPUTED_VALUE"""),"A")</f>
        <v>A</v>
      </c>
      <c r="R191" s="3" t="str">
        <f>IFERROR(__xludf.DUMMYFUNCTION("""COMPUTED_VALUE"""),"Big Format")</f>
        <v>Big Format</v>
      </c>
      <c r="S191" s="3" t="str">
        <f>IFERROR(__xludf.DUMMYFUNCTION("""COMPUTED_VALUE"""),"BMK")</f>
        <v>BMK</v>
      </c>
      <c r="T191" s="3" t="str">
        <f>IFERROR(__xludf.DUMMYFUNCTION("""COMPUTED_VALUE"""),"Hub06-C&amp;W")</f>
        <v>Hub06-C&amp;W</v>
      </c>
      <c r="U191" s="3" t="str">
        <f>IFERROR(__xludf.DUMMYFUNCTION("""COMPUTED_VALUE"""),"Hub06-C&amp;W")</f>
        <v>Hub06-C&amp;W</v>
      </c>
      <c r="V191" s="3" t="str">
        <f>IFERROR(__xludf.DUMMYFUNCTION("""COMPUTED_VALUE"""),"N")</f>
        <v>N</v>
      </c>
      <c r="W191" s="3">
        <f>IFERROR(__xludf.DUMMYFUNCTION("""COMPUTED_VALUE"""),151019.0)</f>
        <v>151019</v>
      </c>
      <c r="X191" s="3" t="str">
        <f>IFERROR(__xludf.DUMMYFUNCTION("""COMPUTED_VALUE"""),"493/59 ถนนเพชรเกษม(ชะอำ) ตำบลชะอำ อำเภอชะอำ จังหวัดเพชรบุรี 76120")</f>
        <v>493/59 ถนนเพชรเกษม(ชะอำ) ตำบลชะอำ อำเภอชะอำ จังหวัดเพชรบุรี 76120</v>
      </c>
      <c r="Y191" s="3" t="str">
        <f>IFERROR(__xludf.DUMMYFUNCTION("""COMPUTED_VALUE"""),"ถนนเพชรเกษม(ชะอำ)")</f>
        <v>ถนนเพชรเกษม(ชะอำ)</v>
      </c>
      <c r="Z191" s="3" t="str">
        <f>IFERROR(__xludf.DUMMYFUNCTION("""COMPUTED_VALUE"""),"ชะอำ")</f>
        <v>ชะอำ</v>
      </c>
      <c r="AA191" s="3" t="str">
        <f>IFERROR(__xludf.DUMMYFUNCTION("""COMPUTED_VALUE"""),"ชะอำ")</f>
        <v>ชะอำ</v>
      </c>
      <c r="AB191" s="3" t="str">
        <f>IFERROR(__xludf.DUMMYFUNCTION("""COMPUTED_VALUE"""),"เพชรบุรี")</f>
        <v>เพชรบุรี</v>
      </c>
      <c r="AC191" s="3">
        <f>IFERROR(__xludf.DUMMYFUNCTION("""COMPUTED_VALUE"""),76120.0)</f>
        <v>76120</v>
      </c>
      <c r="AD191" s="3">
        <f>IFERROR(__xludf.DUMMYFUNCTION("""COMPUTED_VALUE"""),12.790676)</f>
        <v>12.790676</v>
      </c>
      <c r="AE191" s="3">
        <f>IFERROR(__xludf.DUMMYFUNCTION("""COMPUTED_VALUE"""),99.969271)</f>
        <v>99.969271</v>
      </c>
      <c r="AF191" s="3" t="str">
        <f>IFERROR(__xludf.DUMMYFUNCTION("""COMPUTED_VALUE"""),"ชะอำ-15019")</f>
        <v>ชะอำ-15019</v>
      </c>
      <c r="AG191" s="3" t="str">
        <f>IFERROR(__xludf.DUMMYFUNCTION("""COMPUTED_VALUE"""),"ตะวันตก")</f>
        <v>ตะวันตก</v>
      </c>
      <c r="AH191" s="3" t="str">
        <f>IFERROR(__xludf.DUMMYFUNCTION("""COMPUTED_VALUE"""),"Wichian Nasungnoen")</f>
        <v>Wichian Nasungnoen</v>
      </c>
      <c r="AI191" s="3" t="str">
        <f>IFERROR(__xludf.DUMMYFUNCTION("""COMPUTED_VALUE"""),"Out of warranty")</f>
        <v>Out of warranty</v>
      </c>
      <c r="AJ191" s="3">
        <f>IFERROR(__xludf.DUMMYFUNCTION("""COMPUTED_VALUE"""),155.0)</f>
        <v>155</v>
      </c>
      <c r="AK191" s="3"/>
      <c r="AL191" s="3" t="str">
        <f>IFERROR(__xludf.DUMMYFUNCTION("""COMPUTED_VALUE"""),"bmk_sm.cha_am@bigc.co.th")</f>
        <v>bmk_sm.cha_am@bigc.co.th</v>
      </c>
    </row>
    <row r="192" ht="15.75" customHeight="1">
      <c r="A192" s="1" t="str">
        <f>IFERROR(__xludf.DUMMYFUNCTION("""COMPUTED_VALUE"""),"15020")</f>
        <v>15020</v>
      </c>
      <c r="B192" s="2">
        <f>IFERROR(__xludf.DUMMYFUNCTION("""COMPUTED_VALUE"""),15020.0)</f>
        <v>15020</v>
      </c>
      <c r="C192" s="3" t="str">
        <f>IFERROR(__xludf.DUMMYFUNCTION("""COMPUTED_VALUE"""),"หัวหิน")</f>
        <v>หัวหิน</v>
      </c>
      <c r="D192" s="3" t="str">
        <f>IFERROR(__xludf.DUMMYFUNCTION("""COMPUTED_VALUE"""),"BIGC MARKET HUA HIN")</f>
        <v>BIGC MARKET HUA HIN</v>
      </c>
      <c r="E192" s="1" t="str">
        <f>IFERROR(__xludf.DUMMYFUNCTION("""COMPUTED_VALUE"""),"บิ๊กซี Market")</f>
        <v>บิ๊กซี Market</v>
      </c>
      <c r="F192" s="1" t="str">
        <f>IFERROR(__xludf.DUMMYFUNCTION("""COMPUTED_VALUE"""),"2455179")</f>
        <v>2455179</v>
      </c>
      <c r="G192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192" s="1" t="str">
        <f>IFERROR(__xludf.DUMMYFUNCTION("""COMPUTED_VALUE"""),"2455179")</f>
        <v>2455179</v>
      </c>
      <c r="I192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192" s="3">
        <f>IFERROR(__xludf.DUMMYFUNCTION("""COMPUTED_VALUE"""),2455179.0)</f>
        <v>2455179</v>
      </c>
      <c r="K192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192" s="1" t="str">
        <f>IFERROR(__xludf.DUMMYFUNCTION("""COMPUTED_VALUE"""),"Hub06-C&amp;W")</f>
        <v>Hub06-C&amp;W</v>
      </c>
      <c r="M192" s="1" t="str">
        <f>IFERROR(__xludf.DUMMYFUNCTION("""COMPUTED_VALUE"""),"090-993-6896")</f>
        <v>090-993-6896</v>
      </c>
      <c r="N192" s="3">
        <f>IFERROR(__xludf.DUMMYFUNCTION("""COMPUTED_VALUE"""),15020.0)</f>
        <v>15020</v>
      </c>
      <c r="O192" s="3" t="str">
        <f>IFERROR(__xludf.DUMMYFUNCTION("""COMPUTED_VALUE"""),"หัวหิน")</f>
        <v>หัวหิน</v>
      </c>
      <c r="P192" s="4">
        <f>IFERROR(__xludf.DUMMYFUNCTION("""COMPUTED_VALUE"""),41374.0)</f>
        <v>41374</v>
      </c>
      <c r="Q192" s="3" t="str">
        <f>IFERROR(__xludf.DUMMYFUNCTION("""COMPUTED_VALUE"""),"A")</f>
        <v>A</v>
      </c>
      <c r="R192" s="3" t="str">
        <f>IFERROR(__xludf.DUMMYFUNCTION("""COMPUTED_VALUE"""),"Big Format")</f>
        <v>Big Format</v>
      </c>
      <c r="S192" s="3" t="str">
        <f>IFERROR(__xludf.DUMMYFUNCTION("""COMPUTED_VALUE"""),"BMK")</f>
        <v>BMK</v>
      </c>
      <c r="T192" s="3" t="str">
        <f>IFERROR(__xludf.DUMMYFUNCTION("""COMPUTED_VALUE"""),"Hub06-C&amp;W")</f>
        <v>Hub06-C&amp;W</v>
      </c>
      <c r="U192" s="3" t="str">
        <f>IFERROR(__xludf.DUMMYFUNCTION("""COMPUTED_VALUE"""),"Hub06-C&amp;W")</f>
        <v>Hub06-C&amp;W</v>
      </c>
      <c r="V192" s="3" t="str">
        <f>IFERROR(__xludf.DUMMYFUNCTION("""COMPUTED_VALUE"""),"N")</f>
        <v>N</v>
      </c>
      <c r="W192" s="3">
        <f>IFERROR(__xludf.DUMMYFUNCTION("""COMPUTED_VALUE"""),151020.0)</f>
        <v>151020</v>
      </c>
      <c r="X192" s="3" t="str">
        <f>IFERROR(__xludf.DUMMYFUNCTION("""COMPUTED_VALUE"""),"28/128 ซอยหมู่บ้านเขาน้อย ตำบลหัวหิน อำเภอหัวหิน จังหวัดประจวบคีรีขันธ์ 77110")</f>
        <v>28/128 ซอยหมู่บ้านเขาน้อย ตำบลหัวหิน อำเภอหัวหิน จังหวัดประจวบคีรีขันธ์ 77110</v>
      </c>
      <c r="Y192" s="3" t="str">
        <f>IFERROR(__xludf.DUMMYFUNCTION("""COMPUTED_VALUE"""),"ซอยหมู่บ้านเขาน้อย")</f>
        <v>ซอยหมู่บ้านเขาน้อย</v>
      </c>
      <c r="Z192" s="3" t="str">
        <f>IFERROR(__xludf.DUMMYFUNCTION("""COMPUTED_VALUE"""),"หัวหิน")</f>
        <v>หัวหิน</v>
      </c>
      <c r="AA192" s="3" t="str">
        <f>IFERROR(__xludf.DUMMYFUNCTION("""COMPUTED_VALUE"""),"หัวหิน")</f>
        <v>หัวหิน</v>
      </c>
      <c r="AB192" s="3" t="str">
        <f>IFERROR(__xludf.DUMMYFUNCTION("""COMPUTED_VALUE"""),"ประจวบคีรีขันธ์")</f>
        <v>ประจวบคีรีขันธ์</v>
      </c>
      <c r="AC192" s="3">
        <f>IFERROR(__xludf.DUMMYFUNCTION("""COMPUTED_VALUE"""),77110.0)</f>
        <v>77110</v>
      </c>
      <c r="AD192" s="3">
        <f>IFERROR(__xludf.DUMMYFUNCTION("""COMPUTED_VALUE"""),12.57624)</f>
        <v>12.57624</v>
      </c>
      <c r="AE192" s="3">
        <f>IFERROR(__xludf.DUMMYFUNCTION("""COMPUTED_VALUE"""),99.94426)</f>
        <v>99.94426</v>
      </c>
      <c r="AF192" s="3" t="str">
        <f>IFERROR(__xludf.DUMMYFUNCTION("""COMPUTED_VALUE"""),"หัวหิน-15020")</f>
        <v>หัวหิน-15020</v>
      </c>
      <c r="AG192" s="3" t="str">
        <f>IFERROR(__xludf.DUMMYFUNCTION("""COMPUTED_VALUE"""),"ตะวันตก")</f>
        <v>ตะวันตก</v>
      </c>
      <c r="AH192" s="3" t="str">
        <f>IFERROR(__xludf.DUMMYFUNCTION("""COMPUTED_VALUE"""),"Wichian Nasungnoen")</f>
        <v>Wichian Nasungnoen</v>
      </c>
      <c r="AI192" s="3" t="str">
        <f>IFERROR(__xludf.DUMMYFUNCTION("""COMPUTED_VALUE"""),"Out of warranty")</f>
        <v>Out of warranty</v>
      </c>
      <c r="AJ192" s="3">
        <f>IFERROR(__xludf.DUMMYFUNCTION("""COMPUTED_VALUE"""),154.0)</f>
        <v>154</v>
      </c>
      <c r="AK192" s="3"/>
      <c r="AL192" s="3" t="str">
        <f>IFERROR(__xludf.DUMMYFUNCTION("""COMPUTED_VALUE"""),"bmk_sm.huahin@bigc.co.th")</f>
        <v>bmk_sm.huahin@bigc.co.th</v>
      </c>
    </row>
    <row r="193" ht="15.75" customHeight="1">
      <c r="A193" s="1" t="str">
        <f>IFERROR(__xludf.DUMMYFUNCTION("""COMPUTED_VALUE"""),"15021")</f>
        <v>15021</v>
      </c>
      <c r="B193" s="2">
        <f>IFERROR(__xludf.DUMMYFUNCTION("""COMPUTED_VALUE"""),15021.0)</f>
        <v>15021</v>
      </c>
      <c r="C193" s="3" t="str">
        <f>IFERROR(__xludf.DUMMYFUNCTION("""COMPUTED_VALUE"""),"ตาคลี")</f>
        <v>ตาคลี</v>
      </c>
      <c r="D193" s="3" t="str">
        <f>IFERROR(__xludf.DUMMYFUNCTION("""COMPUTED_VALUE"""),"BIGC MARKET TAKLEE")</f>
        <v>BIGC MARKET TAKLEE</v>
      </c>
      <c r="E193" s="1" t="str">
        <f>IFERROR(__xludf.DUMMYFUNCTION("""COMPUTED_VALUE"""),"บิ๊กซี Market")</f>
        <v>บิ๊กซี Market</v>
      </c>
      <c r="F193" s="1" t="str">
        <f>IFERROR(__xludf.DUMMYFUNCTION("""COMPUTED_VALUE"""),"295801")</f>
        <v>295801</v>
      </c>
      <c r="G193" s="1" t="str">
        <f>IFERROR(__xludf.DUMMYFUNCTION("""COMPUTED_VALUE"""),"นายอรรถพล เหล่าสุวงศ์")</f>
        <v>นายอรรถพล เหล่าสุวงศ์</v>
      </c>
      <c r="H193" s="1" t="str">
        <f>IFERROR(__xludf.DUMMYFUNCTION("""COMPUTED_VALUE"""),"295801")</f>
        <v>295801</v>
      </c>
      <c r="I193" s="1" t="str">
        <f>IFERROR(__xludf.DUMMYFUNCTION("""COMPUTED_VALUE"""),"นายอรรถพล เหล่าสุวงศ์")</f>
        <v>นายอรรถพล เหล่าสุวงศ์</v>
      </c>
      <c r="J193" s="3">
        <f>IFERROR(__xludf.DUMMYFUNCTION("""COMPUTED_VALUE"""),295801.0)</f>
        <v>295801</v>
      </c>
      <c r="K193" s="3" t="str">
        <f>IFERROR(__xludf.DUMMYFUNCTION("""COMPUTED_VALUE"""),"นายอรรถพล เหล่าสุวงศ์")</f>
        <v>นายอรรถพล เหล่าสุวงศ์</v>
      </c>
      <c r="L193" s="1" t="str">
        <f>IFERROR(__xludf.DUMMYFUNCTION("""COMPUTED_VALUE"""),"Hub09-NE 1")</f>
        <v>Hub09-NE 1</v>
      </c>
      <c r="M193" s="1" t="str">
        <f>IFERROR(__xludf.DUMMYFUNCTION("""COMPUTED_VALUE"""),"0655090879")</f>
        <v>0655090879</v>
      </c>
      <c r="N193" s="3">
        <f>IFERROR(__xludf.DUMMYFUNCTION("""COMPUTED_VALUE"""),15021.0)</f>
        <v>15021</v>
      </c>
      <c r="O193" s="3" t="str">
        <f>IFERROR(__xludf.DUMMYFUNCTION("""COMPUTED_VALUE"""),"ตาคลี")</f>
        <v>ตาคลี</v>
      </c>
      <c r="P193" s="4">
        <f>IFERROR(__xludf.DUMMYFUNCTION("""COMPUTED_VALUE"""),41384.0)</f>
        <v>41384</v>
      </c>
      <c r="Q193" s="3" t="str">
        <f>IFERROR(__xludf.DUMMYFUNCTION("""COMPUTED_VALUE"""),"I")</f>
        <v>I</v>
      </c>
      <c r="R193" s="3" t="str">
        <f>IFERROR(__xludf.DUMMYFUNCTION("""COMPUTED_VALUE"""),"Big Format")</f>
        <v>Big Format</v>
      </c>
      <c r="S193" s="3" t="str">
        <f>IFERROR(__xludf.DUMMYFUNCTION("""COMPUTED_VALUE"""),"BMK")</f>
        <v>BMK</v>
      </c>
      <c r="T193" s="3" t="str">
        <f>IFERROR(__xludf.DUMMYFUNCTION("""COMPUTED_VALUE"""),"Hub09-NE 1")</f>
        <v>Hub09-NE 1</v>
      </c>
      <c r="U193" s="3" t="str">
        <f>IFERROR(__xludf.DUMMYFUNCTION("""COMPUTED_VALUE"""),"Hub09-NE 1")</f>
        <v>Hub09-NE 1</v>
      </c>
      <c r="V193" s="3" t="str">
        <f>IFERROR(__xludf.DUMMYFUNCTION("""COMPUTED_VALUE"""),"N")</f>
        <v>N</v>
      </c>
      <c r="W193" s="3">
        <f>IFERROR(__xludf.DUMMYFUNCTION("""COMPUTED_VALUE"""),0.0)</f>
        <v>0</v>
      </c>
      <c r="X193" s="3" t="str">
        <f>IFERROR(__xludf.DUMMYFUNCTION("""COMPUTED_VALUE"""),"180 หมู่ 1 ตำบลตาคลี อำเภอตาคลี จังหวัดนครสวรรค์ 60140")</f>
        <v>180 หมู่ 1 ตำบลตาคลี อำเภอตาคลี จังหวัดนครสวรรค์ 60140</v>
      </c>
      <c r="Y193" s="3"/>
      <c r="Z193" s="3" t="str">
        <f>IFERROR(__xludf.DUMMYFUNCTION("""COMPUTED_VALUE"""),"ตาคลี")</f>
        <v>ตาคลี</v>
      </c>
      <c r="AA193" s="3" t="str">
        <f>IFERROR(__xludf.DUMMYFUNCTION("""COMPUTED_VALUE"""),"ตาคลี")</f>
        <v>ตาคลี</v>
      </c>
      <c r="AB193" s="3" t="str">
        <f>IFERROR(__xludf.DUMMYFUNCTION("""COMPUTED_VALUE"""),"นครสวรรค์")</f>
        <v>นครสวรรค์</v>
      </c>
      <c r="AC193" s="3">
        <f>IFERROR(__xludf.DUMMYFUNCTION("""COMPUTED_VALUE"""),60140.0)</f>
        <v>60140</v>
      </c>
      <c r="AD193" s="3">
        <f>IFERROR(__xludf.DUMMYFUNCTION("""COMPUTED_VALUE"""),15.2715)</f>
        <v>15.2715</v>
      </c>
      <c r="AE193" s="3">
        <f>IFERROR(__xludf.DUMMYFUNCTION("""COMPUTED_VALUE"""),100.363)</f>
        <v>100.363</v>
      </c>
      <c r="AF193" s="3" t="str">
        <f>IFERROR(__xludf.DUMMYFUNCTION("""COMPUTED_VALUE"""),"ตาคลี-15021")</f>
        <v>ตาคลี-15021</v>
      </c>
      <c r="AG193" s="3" t="str">
        <f>IFERROR(__xludf.DUMMYFUNCTION("""COMPUTED_VALUE"""),"กลาง")</f>
        <v>กลาง</v>
      </c>
      <c r="AH193" s="3" t="str">
        <f>IFERROR(__xludf.DUMMYFUNCTION("""COMPUTED_VALUE"""),"#N/A")</f>
        <v>#N/A</v>
      </c>
      <c r="AI193" s="3" t="str">
        <f>IFERROR(__xludf.DUMMYFUNCTION("""COMPUTED_VALUE"""),"Out of warranty")</f>
        <v>Out of warranty</v>
      </c>
      <c r="AJ193" s="3">
        <f>IFERROR(__xludf.DUMMYFUNCTION("""COMPUTED_VALUE"""),154.0)</f>
        <v>154</v>
      </c>
      <c r="AK193" s="3"/>
      <c r="AL193" s="3" t="str">
        <f>IFERROR(__xludf.DUMMYFUNCTION("""COMPUTED_VALUE"""),"#N/A")</f>
        <v>#N/A</v>
      </c>
    </row>
    <row r="194" ht="15.75" customHeight="1">
      <c r="A194" s="1" t="str">
        <f>IFERROR(__xludf.DUMMYFUNCTION("""COMPUTED_VALUE"""),"15022")</f>
        <v>15022</v>
      </c>
      <c r="B194" s="2">
        <f>IFERROR(__xludf.DUMMYFUNCTION("""COMPUTED_VALUE"""),15022.0)</f>
        <v>15022</v>
      </c>
      <c r="C194" s="3" t="str">
        <f>IFERROR(__xludf.DUMMYFUNCTION("""COMPUTED_VALUE"""),"เกาะพะงัน")</f>
        <v>เกาะพะงัน</v>
      </c>
      <c r="D194" s="3" t="str">
        <f>IFERROR(__xludf.DUMMYFUNCTION("""COMPUTED_VALUE"""),"BIGC MARKET KOH PHANGAN")</f>
        <v>BIGC MARKET KOH PHANGAN</v>
      </c>
      <c r="E194" s="1" t="str">
        <f>IFERROR(__xludf.DUMMYFUNCTION("""COMPUTED_VALUE"""),"บิ๊กซี Market")</f>
        <v>บิ๊กซี Market</v>
      </c>
      <c r="F194" s="1" t="str">
        <f>IFERROR(__xludf.DUMMYFUNCTION("""COMPUTED_VALUE"""),"2454709")</f>
        <v>2454709</v>
      </c>
      <c r="G194" s="1" t="str">
        <f>IFERROR(__xludf.DUMMYFUNCTION("""COMPUTED_VALUE"""),"นายประชา เกตุชาติ")</f>
        <v>นายประชา เกตุชาติ</v>
      </c>
      <c r="H194" s="1" t="str">
        <f>IFERROR(__xludf.DUMMYFUNCTION("""COMPUTED_VALUE"""),"2454709")</f>
        <v>2454709</v>
      </c>
      <c r="I194" s="1" t="str">
        <f>IFERROR(__xludf.DUMMYFUNCTION("""COMPUTED_VALUE"""),"นายประชา เกตุชาติ")</f>
        <v>นายประชา เกตุชาติ</v>
      </c>
      <c r="J194" s="3">
        <f>IFERROR(__xludf.DUMMYFUNCTION("""COMPUTED_VALUE"""),2454709.0)</f>
        <v>2454709</v>
      </c>
      <c r="K194" s="3" t="str">
        <f>IFERROR(__xludf.DUMMYFUNCTION("""COMPUTED_VALUE"""),"นายประชา เกตุชาติ")</f>
        <v>นายประชา เกตุชาติ</v>
      </c>
      <c r="L194" s="1" t="str">
        <f>IFERROR(__xludf.DUMMYFUNCTION("""COMPUTED_VALUE"""),"Hub05-South")</f>
        <v>Hub05-South</v>
      </c>
      <c r="M194" s="1" t="str">
        <f>IFERROR(__xludf.DUMMYFUNCTION("""COMPUTED_VALUE"""),"0659291311")</f>
        <v>0659291311</v>
      </c>
      <c r="N194" s="3">
        <f>IFERROR(__xludf.DUMMYFUNCTION("""COMPUTED_VALUE"""),15022.0)</f>
        <v>15022</v>
      </c>
      <c r="O194" s="3" t="str">
        <f>IFERROR(__xludf.DUMMYFUNCTION("""COMPUTED_VALUE"""),"เกาะพะงัน")</f>
        <v>เกาะพะงัน</v>
      </c>
      <c r="P194" s="4">
        <f>IFERROR(__xludf.DUMMYFUNCTION("""COMPUTED_VALUE"""),41425.0)</f>
        <v>41425</v>
      </c>
      <c r="Q194" s="3" t="str">
        <f>IFERROR(__xludf.DUMMYFUNCTION("""COMPUTED_VALUE"""),"A")</f>
        <v>A</v>
      </c>
      <c r="R194" s="3" t="str">
        <f>IFERROR(__xludf.DUMMYFUNCTION("""COMPUTED_VALUE"""),"Big Format")</f>
        <v>Big Format</v>
      </c>
      <c r="S194" s="3" t="str">
        <f>IFERROR(__xludf.DUMMYFUNCTION("""COMPUTED_VALUE"""),"BMK")</f>
        <v>BMK</v>
      </c>
      <c r="T194" s="3" t="str">
        <f>IFERROR(__xludf.DUMMYFUNCTION("""COMPUTED_VALUE"""),"Hub05-South")</f>
        <v>Hub05-South</v>
      </c>
      <c r="U194" s="3" t="str">
        <f>IFERROR(__xludf.DUMMYFUNCTION("""COMPUTED_VALUE"""),"Hub05-South")</f>
        <v>Hub05-South</v>
      </c>
      <c r="V194" s="3" t="str">
        <f>IFERROR(__xludf.DUMMYFUNCTION("""COMPUTED_VALUE"""),"N")</f>
        <v>N</v>
      </c>
      <c r="W194" s="3">
        <f>IFERROR(__xludf.DUMMYFUNCTION("""COMPUTED_VALUE"""),151022.0)</f>
        <v>151022</v>
      </c>
      <c r="X194" s="3" t="str">
        <f>IFERROR(__xludf.DUMMYFUNCTION("""COMPUTED_VALUE"""),"112/42 หมู่ 1 ตำบลเกาะพะงัน อำเภอเกาะพะงัน จังหวัดสุราษฎร์ธานี 84280")</f>
        <v>112/42 หมู่ 1 ตำบลเกาะพะงัน อำเภอเกาะพะงัน จังหวัดสุราษฎร์ธานี 84280</v>
      </c>
      <c r="Y194" s="3"/>
      <c r="Z194" s="3" t="str">
        <f>IFERROR(__xludf.DUMMYFUNCTION("""COMPUTED_VALUE"""),"เกาะพะงัน")</f>
        <v>เกาะพะงัน</v>
      </c>
      <c r="AA194" s="3" t="str">
        <f>IFERROR(__xludf.DUMMYFUNCTION("""COMPUTED_VALUE"""),"เกาะพะงัน")</f>
        <v>เกาะพะงัน</v>
      </c>
      <c r="AB194" s="3" t="str">
        <f>IFERROR(__xludf.DUMMYFUNCTION("""COMPUTED_VALUE"""),"สุราษฎร์ธานี")</f>
        <v>สุราษฎร์ธานี</v>
      </c>
      <c r="AC194" s="3">
        <f>IFERROR(__xludf.DUMMYFUNCTION("""COMPUTED_VALUE"""),84280.0)</f>
        <v>84280</v>
      </c>
      <c r="AD194" s="3">
        <f>IFERROR(__xludf.DUMMYFUNCTION("""COMPUTED_VALUE"""),9.709407695)</f>
        <v>9.709407695</v>
      </c>
      <c r="AE194" s="3">
        <f>IFERROR(__xludf.DUMMYFUNCTION("""COMPUTED_VALUE"""),100.0008258)</f>
        <v>100.0008258</v>
      </c>
      <c r="AF194" s="3" t="str">
        <f>IFERROR(__xludf.DUMMYFUNCTION("""COMPUTED_VALUE"""),"เกาะพะงัน-15022")</f>
        <v>เกาะพะงัน-15022</v>
      </c>
      <c r="AG194" s="3" t="str">
        <f>IFERROR(__xludf.DUMMYFUNCTION("""COMPUTED_VALUE"""),"ใต้")</f>
        <v>ใต้</v>
      </c>
      <c r="AH194" s="3" t="str">
        <f>IFERROR(__xludf.DUMMYFUNCTION("""COMPUTED_VALUE"""),"Suwadee Intachart")</f>
        <v>Suwadee Intachart</v>
      </c>
      <c r="AI194" s="3" t="str">
        <f>IFERROR(__xludf.DUMMYFUNCTION("""COMPUTED_VALUE"""),"Out of warranty")</f>
        <v>Out of warranty</v>
      </c>
      <c r="AJ194" s="3">
        <f>IFERROR(__xludf.DUMMYFUNCTION("""COMPUTED_VALUE"""),152.0)</f>
        <v>152</v>
      </c>
      <c r="AK194" s="3"/>
      <c r="AL194" s="3" t="str">
        <f>IFERROR(__xludf.DUMMYFUNCTION("""COMPUTED_VALUE"""),"bmk_sm.kohphangan@bigc.co.th")</f>
        <v>bmk_sm.kohphangan@bigc.co.th</v>
      </c>
    </row>
    <row r="195" ht="15.75" customHeight="1">
      <c r="A195" s="1" t="str">
        <f>IFERROR(__xludf.DUMMYFUNCTION("""COMPUTED_VALUE"""),"15023")</f>
        <v>15023</v>
      </c>
      <c r="B195" s="2">
        <f>IFERROR(__xludf.DUMMYFUNCTION("""COMPUTED_VALUE"""),15023.0)</f>
        <v>15023</v>
      </c>
      <c r="C195" s="3" t="str">
        <f>IFERROR(__xludf.DUMMYFUNCTION("""COMPUTED_VALUE"""),"เชียงคาน")</f>
        <v>เชียงคาน</v>
      </c>
      <c r="D195" s="3" t="str">
        <f>IFERROR(__xludf.DUMMYFUNCTION("""COMPUTED_VALUE"""),"BIGC MARKET CHIANGKHAN")</f>
        <v>BIGC MARKET CHIANGKHAN</v>
      </c>
      <c r="E195" s="1" t="str">
        <f>IFERROR(__xludf.DUMMYFUNCTION("""COMPUTED_VALUE"""),"บิ๊กซี Market")</f>
        <v>บิ๊กซี Market</v>
      </c>
      <c r="F195" s="1" t="str">
        <f>IFERROR(__xludf.DUMMYFUNCTION("""COMPUTED_VALUE"""),"295801")</f>
        <v>295801</v>
      </c>
      <c r="G195" s="1" t="str">
        <f>IFERROR(__xludf.DUMMYFUNCTION("""COMPUTED_VALUE"""),"นายอรรถพล เหล่าสุวงศ์")</f>
        <v>นายอรรถพล เหล่าสุวงศ์</v>
      </c>
      <c r="H195" s="1" t="str">
        <f>IFERROR(__xludf.DUMMYFUNCTION("""COMPUTED_VALUE"""),"295801")</f>
        <v>295801</v>
      </c>
      <c r="I195" s="1" t="str">
        <f>IFERROR(__xludf.DUMMYFUNCTION("""COMPUTED_VALUE"""),"นายอรรถพล เหล่าสุวงศ์")</f>
        <v>นายอรรถพล เหล่าสุวงศ์</v>
      </c>
      <c r="J195" s="3">
        <f>IFERROR(__xludf.DUMMYFUNCTION("""COMPUTED_VALUE"""),295801.0)</f>
        <v>295801</v>
      </c>
      <c r="K195" s="3" t="str">
        <f>IFERROR(__xludf.DUMMYFUNCTION("""COMPUTED_VALUE"""),"นายอรรถพล เหล่าสุวงศ์")</f>
        <v>นายอรรถพล เหล่าสุวงศ์</v>
      </c>
      <c r="L195" s="1" t="str">
        <f>IFERROR(__xludf.DUMMYFUNCTION("""COMPUTED_VALUE"""),"Hub09-NE 1")</f>
        <v>Hub09-NE 1</v>
      </c>
      <c r="M195" s="1" t="str">
        <f>IFERROR(__xludf.DUMMYFUNCTION("""COMPUTED_VALUE"""),"0655090879")</f>
        <v>0655090879</v>
      </c>
      <c r="N195" s="3">
        <f>IFERROR(__xludf.DUMMYFUNCTION("""COMPUTED_VALUE"""),15023.0)</f>
        <v>15023</v>
      </c>
      <c r="O195" s="3" t="str">
        <f>IFERROR(__xludf.DUMMYFUNCTION("""COMPUTED_VALUE"""),"เชียงคาน")</f>
        <v>เชียงคาน</v>
      </c>
      <c r="P195" s="4">
        <f>IFERROR(__xludf.DUMMYFUNCTION("""COMPUTED_VALUE"""),41530.0)</f>
        <v>41530</v>
      </c>
      <c r="Q195" s="3" t="str">
        <f>IFERROR(__xludf.DUMMYFUNCTION("""COMPUTED_VALUE"""),"A")</f>
        <v>A</v>
      </c>
      <c r="R195" s="3" t="str">
        <f>IFERROR(__xludf.DUMMYFUNCTION("""COMPUTED_VALUE"""),"Big Format")</f>
        <v>Big Format</v>
      </c>
      <c r="S195" s="3" t="str">
        <f>IFERROR(__xludf.DUMMYFUNCTION("""COMPUTED_VALUE"""),"BMK")</f>
        <v>BMK</v>
      </c>
      <c r="T195" s="3" t="str">
        <f>IFERROR(__xludf.DUMMYFUNCTION("""COMPUTED_VALUE"""),"Hub09-NE 1")</f>
        <v>Hub09-NE 1</v>
      </c>
      <c r="U195" s="3" t="str">
        <f>IFERROR(__xludf.DUMMYFUNCTION("""COMPUTED_VALUE"""),"Hub09-NE 1")</f>
        <v>Hub09-NE 1</v>
      </c>
      <c r="V195" s="3" t="str">
        <f>IFERROR(__xludf.DUMMYFUNCTION("""COMPUTED_VALUE"""),"N")</f>
        <v>N</v>
      </c>
      <c r="W195" s="3">
        <f>IFERROR(__xludf.DUMMYFUNCTION("""COMPUTED_VALUE"""),151030.0)</f>
        <v>151030</v>
      </c>
      <c r="X195" s="3" t="str">
        <f>IFERROR(__xludf.DUMMYFUNCTION("""COMPUTED_VALUE"""),"9 หมู่ 6 ตำบลเชียงคาน อำเภอเชียงคาน จังหวัดเลย 42110")</f>
        <v>9 หมู่ 6 ตำบลเชียงคาน อำเภอเชียงคาน จังหวัดเลย 42110</v>
      </c>
      <c r="Y195" s="3"/>
      <c r="Z195" s="3" t="str">
        <f>IFERROR(__xludf.DUMMYFUNCTION("""COMPUTED_VALUE"""),"เชียงคาน")</f>
        <v>เชียงคาน</v>
      </c>
      <c r="AA195" s="3" t="str">
        <f>IFERROR(__xludf.DUMMYFUNCTION("""COMPUTED_VALUE"""),"เชียงคาน")</f>
        <v>เชียงคาน</v>
      </c>
      <c r="AB195" s="3" t="str">
        <f>IFERROR(__xludf.DUMMYFUNCTION("""COMPUTED_VALUE"""),"เลย")</f>
        <v>เลย</v>
      </c>
      <c r="AC195" s="3">
        <f>IFERROR(__xludf.DUMMYFUNCTION("""COMPUTED_VALUE"""),42110.0)</f>
        <v>42110</v>
      </c>
      <c r="AD195" s="3">
        <f>IFERROR(__xludf.DUMMYFUNCTION("""COMPUTED_VALUE"""),17.883983)</f>
        <v>17.883983</v>
      </c>
      <c r="AE195" s="3">
        <f>IFERROR(__xludf.DUMMYFUNCTION("""COMPUTED_VALUE"""),101.654448)</f>
        <v>101.654448</v>
      </c>
      <c r="AF195" s="3" t="str">
        <f>IFERROR(__xludf.DUMMYFUNCTION("""COMPUTED_VALUE"""),"เชียงคาน-15023")</f>
        <v>เชียงคาน-15023</v>
      </c>
      <c r="AG195" s="3" t="str">
        <f>IFERROR(__xludf.DUMMYFUNCTION("""COMPUTED_VALUE"""),"ตะวันออกเฉียงเหนือ")</f>
        <v>ตะวันออกเฉียงเหนือ</v>
      </c>
      <c r="AH195" s="3" t="str">
        <f>IFERROR(__xludf.DUMMYFUNCTION("""COMPUTED_VALUE"""),"K.Narabordee")</f>
        <v>K.Narabordee</v>
      </c>
      <c r="AI195" s="3" t="str">
        <f>IFERROR(__xludf.DUMMYFUNCTION("""COMPUTED_VALUE"""),"Out of warranty")</f>
        <v>Out of warranty</v>
      </c>
      <c r="AJ195" s="3">
        <f>IFERROR(__xludf.DUMMYFUNCTION("""COMPUTED_VALUE"""),149.0)</f>
        <v>149</v>
      </c>
      <c r="AK195" s="3"/>
      <c r="AL195" s="3" t="str">
        <f>IFERROR(__xludf.DUMMYFUNCTION("""COMPUTED_VALUE"""),"bmk_sm.chiangkhan@bigc.co.th")</f>
        <v>bmk_sm.chiangkhan@bigc.co.th</v>
      </c>
    </row>
    <row r="196" ht="15.75" customHeight="1">
      <c r="A196" s="1" t="str">
        <f>IFERROR(__xludf.DUMMYFUNCTION("""COMPUTED_VALUE"""),"15024")</f>
        <v>15024</v>
      </c>
      <c r="B196" s="2">
        <f>IFERROR(__xludf.DUMMYFUNCTION("""COMPUTED_VALUE"""),15024.0)</f>
        <v>15024</v>
      </c>
      <c r="C196" s="3" t="str">
        <f>IFERROR(__xludf.DUMMYFUNCTION("""COMPUTED_VALUE"""),"ตะพานหิน")</f>
        <v>ตะพานหิน</v>
      </c>
      <c r="D196" s="3" t="str">
        <f>IFERROR(__xludf.DUMMYFUNCTION("""COMPUTED_VALUE"""),"BIGC MARKET TAPHANHIN")</f>
        <v>BIGC MARKET TAPHANHIN</v>
      </c>
      <c r="E196" s="1" t="str">
        <f>IFERROR(__xludf.DUMMYFUNCTION("""COMPUTED_VALUE"""),"บิ๊กซี Market")</f>
        <v>บิ๊กซี Market</v>
      </c>
      <c r="F196" s="1" t="str">
        <f>IFERROR(__xludf.DUMMYFUNCTION("""COMPUTED_VALUE"""),"295801")</f>
        <v>295801</v>
      </c>
      <c r="G196" s="1" t="str">
        <f>IFERROR(__xludf.DUMMYFUNCTION("""COMPUTED_VALUE"""),"นายอรรถพล เหล่าสุวงศ์")</f>
        <v>นายอรรถพล เหล่าสุวงศ์</v>
      </c>
      <c r="H196" s="1" t="str">
        <f>IFERROR(__xludf.DUMMYFUNCTION("""COMPUTED_VALUE"""),"295801")</f>
        <v>295801</v>
      </c>
      <c r="I196" s="1" t="str">
        <f>IFERROR(__xludf.DUMMYFUNCTION("""COMPUTED_VALUE"""),"นายอรรถพล เหล่าสุวงศ์")</f>
        <v>นายอรรถพล เหล่าสุวงศ์</v>
      </c>
      <c r="J196" s="3">
        <f>IFERROR(__xludf.DUMMYFUNCTION("""COMPUTED_VALUE"""),295801.0)</f>
        <v>295801</v>
      </c>
      <c r="K196" s="3" t="str">
        <f>IFERROR(__xludf.DUMMYFUNCTION("""COMPUTED_VALUE"""),"นายอรรถพล เหล่าสุวงศ์")</f>
        <v>นายอรรถพล เหล่าสุวงศ์</v>
      </c>
      <c r="L196" s="1" t="str">
        <f>IFERROR(__xludf.DUMMYFUNCTION("""COMPUTED_VALUE"""),"Hub09-NE 1")</f>
        <v>Hub09-NE 1</v>
      </c>
      <c r="M196" s="1" t="str">
        <f>IFERROR(__xludf.DUMMYFUNCTION("""COMPUTED_VALUE"""),"0655090879")</f>
        <v>0655090879</v>
      </c>
      <c r="N196" s="3">
        <f>IFERROR(__xludf.DUMMYFUNCTION("""COMPUTED_VALUE"""),15024.0)</f>
        <v>15024</v>
      </c>
      <c r="O196" s="3" t="str">
        <f>IFERROR(__xludf.DUMMYFUNCTION("""COMPUTED_VALUE"""),"ตะพานหิน")</f>
        <v>ตะพานหิน</v>
      </c>
      <c r="P196" s="4">
        <f>IFERROR(__xludf.DUMMYFUNCTION("""COMPUTED_VALUE"""),41535.0)</f>
        <v>41535</v>
      </c>
      <c r="Q196" s="3" t="str">
        <f>IFERROR(__xludf.DUMMYFUNCTION("""COMPUTED_VALUE"""),"I")</f>
        <v>I</v>
      </c>
      <c r="R196" s="3" t="str">
        <f>IFERROR(__xludf.DUMMYFUNCTION("""COMPUTED_VALUE"""),"Big Format")</f>
        <v>Big Format</v>
      </c>
      <c r="S196" s="3" t="str">
        <f>IFERROR(__xludf.DUMMYFUNCTION("""COMPUTED_VALUE"""),"BMK")</f>
        <v>BMK</v>
      </c>
      <c r="T196" s="3" t="str">
        <f>IFERROR(__xludf.DUMMYFUNCTION("""COMPUTED_VALUE"""),"Hub09-NE 1")</f>
        <v>Hub09-NE 1</v>
      </c>
      <c r="U196" s="3" t="str">
        <f>IFERROR(__xludf.DUMMYFUNCTION("""COMPUTED_VALUE"""),"Hub09-NE 1")</f>
        <v>Hub09-NE 1</v>
      </c>
      <c r="V196" s="3" t="str">
        <f>IFERROR(__xludf.DUMMYFUNCTION("""COMPUTED_VALUE"""),"N")</f>
        <v>N</v>
      </c>
      <c r="W196" s="3">
        <f>IFERROR(__xludf.DUMMYFUNCTION("""COMPUTED_VALUE"""),151028.0)</f>
        <v>151028</v>
      </c>
      <c r="X196" s="3" t="str">
        <f>IFERROR(__xludf.DUMMYFUNCTION("""COMPUTED_VALUE"""),"145 ถนนชมฐีระเวช ตำบลตะพานหิน อำเภอตะพานหิน จังหวัดพิจิตร 66110")</f>
        <v>145 ถนนชมฐีระเวช ตำบลตะพานหิน อำเภอตะพานหิน จังหวัดพิจิตร 66110</v>
      </c>
      <c r="Y196" s="3" t="str">
        <f>IFERROR(__xludf.DUMMYFUNCTION("""COMPUTED_VALUE"""),"ถนนชมฐีระเวช")</f>
        <v>ถนนชมฐีระเวช</v>
      </c>
      <c r="Z196" s="3" t="str">
        <f>IFERROR(__xludf.DUMMYFUNCTION("""COMPUTED_VALUE"""),"ตะพานหิน")</f>
        <v>ตะพานหิน</v>
      </c>
      <c r="AA196" s="3" t="str">
        <f>IFERROR(__xludf.DUMMYFUNCTION("""COMPUTED_VALUE"""),"ตะพานหิน")</f>
        <v>ตะพานหิน</v>
      </c>
      <c r="AB196" s="3" t="str">
        <f>IFERROR(__xludf.DUMMYFUNCTION("""COMPUTED_VALUE"""),"พิจิตร")</f>
        <v>พิจิตร</v>
      </c>
      <c r="AC196" s="3">
        <f>IFERROR(__xludf.DUMMYFUNCTION("""COMPUTED_VALUE"""),66110.0)</f>
        <v>66110</v>
      </c>
      <c r="AD196" s="3">
        <f>IFERROR(__xludf.DUMMYFUNCTION("""COMPUTED_VALUE"""),16.218108)</f>
        <v>16.218108</v>
      </c>
      <c r="AE196" s="3">
        <f>IFERROR(__xludf.DUMMYFUNCTION("""COMPUTED_VALUE"""),100.4345)</f>
        <v>100.4345</v>
      </c>
      <c r="AF196" s="3" t="str">
        <f>IFERROR(__xludf.DUMMYFUNCTION("""COMPUTED_VALUE"""),"ตะพานหิน-15024")</f>
        <v>ตะพานหิน-15024</v>
      </c>
      <c r="AG196" s="3" t="str">
        <f>IFERROR(__xludf.DUMMYFUNCTION("""COMPUTED_VALUE"""),"กลาง")</f>
        <v>กลาง</v>
      </c>
      <c r="AH196" s="3" t="str">
        <f>IFERROR(__xludf.DUMMYFUNCTION("""COMPUTED_VALUE"""),"#N/A")</f>
        <v>#N/A</v>
      </c>
      <c r="AI196" s="3" t="str">
        <f>IFERROR(__xludf.DUMMYFUNCTION("""COMPUTED_VALUE"""),"Out of warranty")</f>
        <v>Out of warranty</v>
      </c>
      <c r="AJ196" s="3">
        <f>IFERROR(__xludf.DUMMYFUNCTION("""COMPUTED_VALUE"""),149.0)</f>
        <v>149</v>
      </c>
      <c r="AK196" s="3"/>
      <c r="AL196" s="3" t="str">
        <f>IFERROR(__xludf.DUMMYFUNCTION("""COMPUTED_VALUE"""),"#N/A")</f>
        <v>#N/A</v>
      </c>
    </row>
    <row r="197" ht="15.75" customHeight="1">
      <c r="A197" s="1" t="str">
        <f>IFERROR(__xludf.DUMMYFUNCTION("""COMPUTED_VALUE"""),"15025")</f>
        <v>15025</v>
      </c>
      <c r="B197" s="2">
        <f>IFERROR(__xludf.DUMMYFUNCTION("""COMPUTED_VALUE"""),15025.0)</f>
        <v>15025</v>
      </c>
      <c r="C197" s="3" t="str">
        <f>IFERROR(__xludf.DUMMYFUNCTION("""COMPUTED_VALUE"""),"ตระการพืชผล")</f>
        <v>ตระการพืชผล</v>
      </c>
      <c r="D197" s="3" t="str">
        <f>IFERROR(__xludf.DUMMYFUNCTION("""COMPUTED_VALUE"""),"BIGC MARKET TRAKANPHUETPHON")</f>
        <v>BIGC MARKET TRAKANPHUETPHON</v>
      </c>
      <c r="E197" s="1" t="str">
        <f>IFERROR(__xludf.DUMMYFUNCTION("""COMPUTED_VALUE"""),"บิ๊กซี Market")</f>
        <v>บิ๊กซี Market</v>
      </c>
      <c r="F197" s="1" t="str">
        <f>IFERROR(__xludf.DUMMYFUNCTION("""COMPUTED_VALUE"""),"033317")</f>
        <v>033317</v>
      </c>
      <c r="G197" s="1" t="str">
        <f>IFERROR(__xludf.DUMMYFUNCTION("""COMPUTED_VALUE"""),"นายอาณัติ เพชรภาน")</f>
        <v>นายอาณัติ เพชรภาน</v>
      </c>
      <c r="H197" s="1" t="str">
        <f>IFERROR(__xludf.DUMMYFUNCTION("""COMPUTED_VALUE"""),"033317")</f>
        <v>033317</v>
      </c>
      <c r="I197" s="1" t="str">
        <f>IFERROR(__xludf.DUMMYFUNCTION("""COMPUTED_VALUE"""),"นายอาณัติ เพชรภาน")</f>
        <v>นายอาณัติ เพชรภาน</v>
      </c>
      <c r="J197" s="3">
        <f>IFERROR(__xludf.DUMMYFUNCTION("""COMPUTED_VALUE"""),33317.0)</f>
        <v>33317</v>
      </c>
      <c r="K197" s="3" t="str">
        <f>IFERROR(__xludf.DUMMYFUNCTION("""COMPUTED_VALUE"""),"นายอาณัติ เพชรภาน")</f>
        <v>นายอาณัติ เพชรภาน</v>
      </c>
      <c r="L197" s="1" t="str">
        <f>IFERROR(__xludf.DUMMYFUNCTION("""COMPUTED_VALUE"""),"Hub10-NE 2")</f>
        <v>Hub10-NE 2</v>
      </c>
      <c r="M197" s="1" t="str">
        <f>IFERROR(__xludf.DUMMYFUNCTION("""COMPUTED_VALUE"""),"0644791409")</f>
        <v>0644791409</v>
      </c>
      <c r="N197" s="3">
        <f>IFERROR(__xludf.DUMMYFUNCTION("""COMPUTED_VALUE"""),15025.0)</f>
        <v>15025</v>
      </c>
      <c r="O197" s="3" t="str">
        <f>IFERROR(__xludf.DUMMYFUNCTION("""COMPUTED_VALUE"""),"ตระการพืชผล")</f>
        <v>ตระการพืชผล</v>
      </c>
      <c r="P197" s="4">
        <f>IFERROR(__xludf.DUMMYFUNCTION("""COMPUTED_VALUE"""),43101.0)</f>
        <v>43101</v>
      </c>
      <c r="Q197" s="3" t="str">
        <f>IFERROR(__xludf.DUMMYFUNCTION("""COMPUTED_VALUE"""),"I")</f>
        <v>I</v>
      </c>
      <c r="R197" s="3" t="str">
        <f>IFERROR(__xludf.DUMMYFUNCTION("""COMPUTED_VALUE"""),"Big Format")</f>
        <v>Big Format</v>
      </c>
      <c r="S197" s="3" t="str">
        <f>IFERROR(__xludf.DUMMYFUNCTION("""COMPUTED_VALUE"""),"BMK")</f>
        <v>BMK</v>
      </c>
      <c r="T197" s="3" t="str">
        <f>IFERROR(__xludf.DUMMYFUNCTION("""COMPUTED_VALUE"""),"Hub10-NE 2")</f>
        <v>Hub10-NE 2</v>
      </c>
      <c r="U197" s="3" t="str">
        <f>IFERROR(__xludf.DUMMYFUNCTION("""COMPUTED_VALUE"""),"Hub10-NE 2")</f>
        <v>Hub10-NE 2</v>
      </c>
      <c r="V197" s="3" t="str">
        <f>IFERROR(__xludf.DUMMYFUNCTION("""COMPUTED_VALUE"""),"N")</f>
        <v>N</v>
      </c>
      <c r="W197" s="3">
        <f>IFERROR(__xludf.DUMMYFUNCTION("""COMPUTED_VALUE"""),151029.0)</f>
        <v>151029</v>
      </c>
      <c r="X197" s="3" t="str">
        <f>IFERROR(__xludf.DUMMYFUNCTION("""COMPUTED_VALUE"""),"454 หมู่ 4 ตำบลขุหลุ อำเภอตระการพืชผล จังหวัดอุบลราชธานี 34130")</f>
        <v>454 หมู่ 4 ตำบลขุหลุ อำเภอตระการพืชผล จังหวัดอุบลราชธานี 34130</v>
      </c>
      <c r="Y197" s="3"/>
      <c r="Z197" s="3" t="str">
        <f>IFERROR(__xludf.DUMMYFUNCTION("""COMPUTED_VALUE"""),"ขุหลุ")</f>
        <v>ขุหลุ</v>
      </c>
      <c r="AA197" s="3" t="str">
        <f>IFERROR(__xludf.DUMMYFUNCTION("""COMPUTED_VALUE"""),"ตระการพืชผล")</f>
        <v>ตระการพืชผล</v>
      </c>
      <c r="AB197" s="3" t="str">
        <f>IFERROR(__xludf.DUMMYFUNCTION("""COMPUTED_VALUE"""),"อุบลราชธานี")</f>
        <v>อุบลราชธานี</v>
      </c>
      <c r="AC197" s="3">
        <f>IFERROR(__xludf.DUMMYFUNCTION("""COMPUTED_VALUE"""),34130.0)</f>
        <v>34130</v>
      </c>
      <c r="AD197" s="3">
        <f>IFERROR(__xludf.DUMMYFUNCTION("""COMPUTED_VALUE"""),15.619465)</f>
        <v>15.619465</v>
      </c>
      <c r="AE197" s="3">
        <f>IFERROR(__xludf.DUMMYFUNCTION("""COMPUTED_VALUE"""),105.028913)</f>
        <v>105.028913</v>
      </c>
      <c r="AF197" s="3" t="str">
        <f>IFERROR(__xludf.DUMMYFUNCTION("""COMPUTED_VALUE"""),"ตระการพืชผล-15025")</f>
        <v>ตระการพืชผล-15025</v>
      </c>
      <c r="AG197" s="3" t="str">
        <f>IFERROR(__xludf.DUMMYFUNCTION("""COMPUTED_VALUE"""),"ตะวันออกเฉียงเหนือ")</f>
        <v>ตะวันออกเฉียงเหนือ</v>
      </c>
      <c r="AH197" s="3" t="str">
        <f>IFERROR(__xludf.DUMMYFUNCTION("""COMPUTED_VALUE"""),"#N/A")</f>
        <v>#N/A</v>
      </c>
      <c r="AI197" s="3" t="str">
        <f>IFERROR(__xludf.DUMMYFUNCTION("""COMPUTED_VALUE"""),"Out of warranty")</f>
        <v>Out of warranty</v>
      </c>
      <c r="AJ197" s="3">
        <f>IFERROR(__xludf.DUMMYFUNCTION("""COMPUTED_VALUE"""),97.0)</f>
        <v>97</v>
      </c>
      <c r="AK197" s="3"/>
      <c r="AL197" s="3" t="str">
        <f>IFERROR(__xludf.DUMMYFUNCTION("""COMPUTED_VALUE"""),"#N/A")</f>
        <v>#N/A</v>
      </c>
    </row>
    <row r="198" ht="15.75" customHeight="1">
      <c r="A198" s="1" t="str">
        <f>IFERROR(__xludf.DUMMYFUNCTION("""COMPUTED_VALUE"""),"15026")</f>
        <v>15026</v>
      </c>
      <c r="B198" s="2">
        <f>IFERROR(__xludf.DUMMYFUNCTION("""COMPUTED_VALUE"""),15026.0)</f>
        <v>15026</v>
      </c>
      <c r="C198" s="3" t="str">
        <f>IFERROR(__xludf.DUMMYFUNCTION("""COMPUTED_VALUE"""),"สิชล")</f>
        <v>สิชล</v>
      </c>
      <c r="D198" s="3" t="str">
        <f>IFERROR(__xludf.DUMMYFUNCTION("""COMPUTED_VALUE"""),"BIGC MARKET SICHON")</f>
        <v>BIGC MARKET SICHON</v>
      </c>
      <c r="E198" s="1" t="str">
        <f>IFERROR(__xludf.DUMMYFUNCTION("""COMPUTED_VALUE"""),"บิ๊กซี Market")</f>
        <v>บิ๊กซี Market</v>
      </c>
      <c r="F198" s="1" t="str">
        <f>IFERROR(__xludf.DUMMYFUNCTION("""COMPUTED_VALUE"""),"2454709")</f>
        <v>2454709</v>
      </c>
      <c r="G198" s="1" t="str">
        <f>IFERROR(__xludf.DUMMYFUNCTION("""COMPUTED_VALUE"""),"นายประชา เกตุชาติ")</f>
        <v>นายประชา เกตุชาติ</v>
      </c>
      <c r="H198" s="1" t="str">
        <f>IFERROR(__xludf.DUMMYFUNCTION("""COMPUTED_VALUE"""),"2454709")</f>
        <v>2454709</v>
      </c>
      <c r="I198" s="1" t="str">
        <f>IFERROR(__xludf.DUMMYFUNCTION("""COMPUTED_VALUE"""),"นายประชา เกตุชาติ")</f>
        <v>นายประชา เกตุชาติ</v>
      </c>
      <c r="J198" s="3">
        <f>IFERROR(__xludf.DUMMYFUNCTION("""COMPUTED_VALUE"""),2454709.0)</f>
        <v>2454709</v>
      </c>
      <c r="K198" s="3" t="str">
        <f>IFERROR(__xludf.DUMMYFUNCTION("""COMPUTED_VALUE"""),"นายประชา เกตุชาติ")</f>
        <v>นายประชา เกตุชาติ</v>
      </c>
      <c r="L198" s="1" t="str">
        <f>IFERROR(__xludf.DUMMYFUNCTION("""COMPUTED_VALUE"""),"Hub05-South")</f>
        <v>Hub05-South</v>
      </c>
      <c r="M198" s="1" t="str">
        <f>IFERROR(__xludf.DUMMYFUNCTION("""COMPUTED_VALUE"""),"0659291311")</f>
        <v>0659291311</v>
      </c>
      <c r="N198" s="3">
        <f>IFERROR(__xludf.DUMMYFUNCTION("""COMPUTED_VALUE"""),15026.0)</f>
        <v>15026</v>
      </c>
      <c r="O198" s="3" t="str">
        <f>IFERROR(__xludf.DUMMYFUNCTION("""COMPUTED_VALUE"""),"สิชล")</f>
        <v>สิชล</v>
      </c>
      <c r="P198" s="4">
        <f>IFERROR(__xludf.DUMMYFUNCTION("""COMPUTED_VALUE"""),41551.0)</f>
        <v>41551</v>
      </c>
      <c r="Q198" s="3" t="str">
        <f>IFERROR(__xludf.DUMMYFUNCTION("""COMPUTED_VALUE"""),"A")</f>
        <v>A</v>
      </c>
      <c r="R198" s="3" t="str">
        <f>IFERROR(__xludf.DUMMYFUNCTION("""COMPUTED_VALUE"""),"Big Format")</f>
        <v>Big Format</v>
      </c>
      <c r="S198" s="3" t="str">
        <f>IFERROR(__xludf.DUMMYFUNCTION("""COMPUTED_VALUE"""),"BMK")</f>
        <v>BMK</v>
      </c>
      <c r="T198" s="3" t="str">
        <f>IFERROR(__xludf.DUMMYFUNCTION("""COMPUTED_VALUE"""),"Hub05-South")</f>
        <v>Hub05-South</v>
      </c>
      <c r="U198" s="3" t="str">
        <f>IFERROR(__xludf.DUMMYFUNCTION("""COMPUTED_VALUE"""),"Hub05-South")</f>
        <v>Hub05-South</v>
      </c>
      <c r="V198" s="3" t="str">
        <f>IFERROR(__xludf.DUMMYFUNCTION("""COMPUTED_VALUE"""),"N")</f>
        <v>N</v>
      </c>
      <c r="W198" s="3">
        <f>IFERROR(__xludf.DUMMYFUNCTION("""COMPUTED_VALUE"""),151031.0)</f>
        <v>151031</v>
      </c>
      <c r="X198" s="3" t="str">
        <f>IFERROR(__xludf.DUMMYFUNCTION("""COMPUTED_VALUE"""),"205/3 หมู่ 1 ตำบลสิชล อำเภอสิชล จังหวัดนครศรีธรรมราช 80120")</f>
        <v>205/3 หมู่ 1 ตำบลสิชล อำเภอสิชล จังหวัดนครศรีธรรมราช 80120</v>
      </c>
      <c r="Y198" s="3"/>
      <c r="Z198" s="3" t="str">
        <f>IFERROR(__xludf.DUMMYFUNCTION("""COMPUTED_VALUE"""),"สิชล")</f>
        <v>สิชล</v>
      </c>
      <c r="AA198" s="3" t="str">
        <f>IFERROR(__xludf.DUMMYFUNCTION("""COMPUTED_VALUE"""),"สิชล")</f>
        <v>สิชล</v>
      </c>
      <c r="AB198" s="3" t="str">
        <f>IFERROR(__xludf.DUMMYFUNCTION("""COMPUTED_VALUE"""),"นครศรีธรรมราช")</f>
        <v>นครศรีธรรมราช</v>
      </c>
      <c r="AC198" s="3">
        <f>IFERROR(__xludf.DUMMYFUNCTION("""COMPUTED_VALUE"""),80120.0)</f>
        <v>80120</v>
      </c>
      <c r="AD198" s="3">
        <f>IFERROR(__xludf.DUMMYFUNCTION("""COMPUTED_VALUE"""),8.999628)</f>
        <v>8.999628</v>
      </c>
      <c r="AE198" s="3">
        <f>IFERROR(__xludf.DUMMYFUNCTION("""COMPUTED_VALUE"""),99.887551)</f>
        <v>99.887551</v>
      </c>
      <c r="AF198" s="3" t="str">
        <f>IFERROR(__xludf.DUMMYFUNCTION("""COMPUTED_VALUE"""),"สิชล-15026")</f>
        <v>สิชล-15026</v>
      </c>
      <c r="AG198" s="3" t="str">
        <f>IFERROR(__xludf.DUMMYFUNCTION("""COMPUTED_VALUE"""),"ใต้")</f>
        <v>ใต้</v>
      </c>
      <c r="AH198" s="3" t="str">
        <f>IFERROR(__xludf.DUMMYFUNCTION("""COMPUTED_VALUE"""),"Suwadee Intachart")</f>
        <v>Suwadee Intachart</v>
      </c>
      <c r="AI198" s="3" t="str">
        <f>IFERROR(__xludf.DUMMYFUNCTION("""COMPUTED_VALUE"""),"Out of warranty")</f>
        <v>Out of warranty</v>
      </c>
      <c r="AJ198" s="3">
        <f>IFERROR(__xludf.DUMMYFUNCTION("""COMPUTED_VALUE"""),148.0)</f>
        <v>148</v>
      </c>
      <c r="AK198" s="3"/>
      <c r="AL198" s="3" t="str">
        <f>IFERROR(__xludf.DUMMYFUNCTION("""COMPUTED_VALUE"""),"bmk_sm.sichon@bigc.co.th")</f>
        <v>bmk_sm.sichon@bigc.co.th</v>
      </c>
    </row>
    <row r="199" ht="15.75" customHeight="1">
      <c r="A199" s="1" t="str">
        <f>IFERROR(__xludf.DUMMYFUNCTION("""COMPUTED_VALUE"""),"15027")</f>
        <v>15027</v>
      </c>
      <c r="B199" s="2">
        <f>IFERROR(__xludf.DUMMYFUNCTION("""COMPUTED_VALUE"""),15027.0)</f>
        <v>15027</v>
      </c>
      <c r="C199" s="3" t="str">
        <f>IFERROR(__xludf.DUMMYFUNCTION("""COMPUTED_VALUE"""),"ราษีไศล")</f>
        <v>ราษีไศล</v>
      </c>
      <c r="D199" s="3" t="str">
        <f>IFERROR(__xludf.DUMMYFUNCTION("""COMPUTED_VALUE"""),"BIGC MARKET RASISALAI")</f>
        <v>BIGC MARKET RASISALAI</v>
      </c>
      <c r="E199" s="1" t="str">
        <f>IFERROR(__xludf.DUMMYFUNCTION("""COMPUTED_VALUE"""),"บิ๊กซี Market")</f>
        <v>บิ๊กซี Market</v>
      </c>
      <c r="F199" s="1" t="str">
        <f>IFERROR(__xludf.DUMMYFUNCTION("""COMPUTED_VALUE"""),"033317")</f>
        <v>033317</v>
      </c>
      <c r="G199" s="1" t="str">
        <f>IFERROR(__xludf.DUMMYFUNCTION("""COMPUTED_VALUE"""),"นายอาณัติ เพชรภาน")</f>
        <v>นายอาณัติ เพชรภาน</v>
      </c>
      <c r="H199" s="1" t="str">
        <f>IFERROR(__xludf.DUMMYFUNCTION("""COMPUTED_VALUE"""),"033317")</f>
        <v>033317</v>
      </c>
      <c r="I199" s="1" t="str">
        <f>IFERROR(__xludf.DUMMYFUNCTION("""COMPUTED_VALUE"""),"นายอาณัติ เพชรภาน")</f>
        <v>นายอาณัติ เพชรภาน</v>
      </c>
      <c r="J199" s="3">
        <f>IFERROR(__xludf.DUMMYFUNCTION("""COMPUTED_VALUE"""),33317.0)</f>
        <v>33317</v>
      </c>
      <c r="K199" s="3" t="str">
        <f>IFERROR(__xludf.DUMMYFUNCTION("""COMPUTED_VALUE"""),"นายอาณัติ เพชรภาน")</f>
        <v>นายอาณัติ เพชรภาน</v>
      </c>
      <c r="L199" s="1" t="str">
        <f>IFERROR(__xludf.DUMMYFUNCTION("""COMPUTED_VALUE"""),"Hub10-NE 2")</f>
        <v>Hub10-NE 2</v>
      </c>
      <c r="M199" s="1" t="str">
        <f>IFERROR(__xludf.DUMMYFUNCTION("""COMPUTED_VALUE"""),"0644791409")</f>
        <v>0644791409</v>
      </c>
      <c r="N199" s="3">
        <f>IFERROR(__xludf.DUMMYFUNCTION("""COMPUTED_VALUE"""),15027.0)</f>
        <v>15027</v>
      </c>
      <c r="O199" s="3" t="str">
        <f>IFERROR(__xludf.DUMMYFUNCTION("""COMPUTED_VALUE"""),"ราษีไศล")</f>
        <v>ราษีไศล</v>
      </c>
      <c r="P199" s="4">
        <f>IFERROR(__xludf.DUMMYFUNCTION("""COMPUTED_VALUE"""),41572.0)</f>
        <v>41572</v>
      </c>
      <c r="Q199" s="3" t="str">
        <f>IFERROR(__xludf.DUMMYFUNCTION("""COMPUTED_VALUE"""),"A")</f>
        <v>A</v>
      </c>
      <c r="R199" s="3" t="str">
        <f>IFERROR(__xludf.DUMMYFUNCTION("""COMPUTED_VALUE"""),"Big Format")</f>
        <v>Big Format</v>
      </c>
      <c r="S199" s="3" t="str">
        <f>IFERROR(__xludf.DUMMYFUNCTION("""COMPUTED_VALUE"""),"BMK")</f>
        <v>BMK</v>
      </c>
      <c r="T199" s="3" t="str">
        <f>IFERROR(__xludf.DUMMYFUNCTION("""COMPUTED_VALUE"""),"Hub10-NE 2")</f>
        <v>Hub10-NE 2</v>
      </c>
      <c r="U199" s="3" t="str">
        <f>IFERROR(__xludf.DUMMYFUNCTION("""COMPUTED_VALUE"""),"Hub10-NE 2")</f>
        <v>Hub10-NE 2</v>
      </c>
      <c r="V199" s="3" t="str">
        <f>IFERROR(__xludf.DUMMYFUNCTION("""COMPUTED_VALUE"""),"N")</f>
        <v>N</v>
      </c>
      <c r="W199" s="3">
        <f>IFERROR(__xludf.DUMMYFUNCTION("""COMPUTED_VALUE"""),151033.0)</f>
        <v>151033</v>
      </c>
      <c r="X199" s="3" t="str">
        <f>IFERROR(__xludf.DUMMYFUNCTION("""COMPUTED_VALUE"""),"266 หมู่ 2 ตำบลเมืองคง อำเภอราษีไศล จังหวัดศรีสะเกษ 33160")</f>
        <v>266 หมู่ 2 ตำบลเมืองคง อำเภอราษีไศล จังหวัดศรีสะเกษ 33160</v>
      </c>
      <c r="Y199" s="3"/>
      <c r="Z199" s="3" t="str">
        <f>IFERROR(__xludf.DUMMYFUNCTION("""COMPUTED_VALUE"""),"เมืองคง")</f>
        <v>เมืองคง</v>
      </c>
      <c r="AA199" s="3" t="str">
        <f>IFERROR(__xludf.DUMMYFUNCTION("""COMPUTED_VALUE"""),"ราษีไศล")</f>
        <v>ราษีไศล</v>
      </c>
      <c r="AB199" s="3" t="str">
        <f>IFERROR(__xludf.DUMMYFUNCTION("""COMPUTED_VALUE"""),"ศรีสะเกษ")</f>
        <v>ศรีสะเกษ</v>
      </c>
      <c r="AC199" s="3">
        <f>IFERROR(__xludf.DUMMYFUNCTION("""COMPUTED_VALUE"""),33160.0)</f>
        <v>33160</v>
      </c>
      <c r="AD199" s="3">
        <f>IFERROR(__xludf.DUMMYFUNCTION("""COMPUTED_VALUE"""),15.352633)</f>
        <v>15.352633</v>
      </c>
      <c r="AE199" s="3">
        <f>IFERROR(__xludf.DUMMYFUNCTION("""COMPUTED_VALUE"""),104.157432)</f>
        <v>104.157432</v>
      </c>
      <c r="AF199" s="3" t="str">
        <f>IFERROR(__xludf.DUMMYFUNCTION("""COMPUTED_VALUE"""),"ราษีไศล-15027")</f>
        <v>ราษีไศล-15027</v>
      </c>
      <c r="AG199" s="3" t="str">
        <f>IFERROR(__xludf.DUMMYFUNCTION("""COMPUTED_VALUE"""),"ตะวันออกเฉียงเหนือ")</f>
        <v>ตะวันออกเฉียงเหนือ</v>
      </c>
      <c r="AH199" s="3" t="str">
        <f>IFERROR(__xludf.DUMMYFUNCTION("""COMPUTED_VALUE"""),"Pajaob Wongpakdee")</f>
        <v>Pajaob Wongpakdee</v>
      </c>
      <c r="AI199" s="3" t="str">
        <f>IFERROR(__xludf.DUMMYFUNCTION("""COMPUTED_VALUE"""),"Out of warranty")</f>
        <v>Out of warranty</v>
      </c>
      <c r="AJ199" s="3">
        <f>IFERROR(__xludf.DUMMYFUNCTION("""COMPUTED_VALUE"""),147.0)</f>
        <v>147</v>
      </c>
      <c r="AK199" s="3"/>
      <c r="AL199" s="3" t="str">
        <f>IFERROR(__xludf.DUMMYFUNCTION("""COMPUTED_VALUE"""),"bmk_sm.rasisalai@bigc.co.th")</f>
        <v>bmk_sm.rasisalai@bigc.co.th</v>
      </c>
    </row>
    <row r="200" ht="15.75" customHeight="1">
      <c r="A200" s="1" t="str">
        <f>IFERROR(__xludf.DUMMYFUNCTION("""COMPUTED_VALUE"""),"15028")</f>
        <v>15028</v>
      </c>
      <c r="B200" s="2">
        <f>IFERROR(__xludf.DUMMYFUNCTION("""COMPUTED_VALUE"""),15028.0)</f>
        <v>15028</v>
      </c>
      <c r="C200" s="3" t="str">
        <f>IFERROR(__xludf.DUMMYFUNCTION("""COMPUTED_VALUE"""),"ปราสาท")</f>
        <v>ปราสาท</v>
      </c>
      <c r="D200" s="3" t="str">
        <f>IFERROR(__xludf.DUMMYFUNCTION("""COMPUTED_VALUE"""),"BIGC MARKET PRASAT")</f>
        <v>BIGC MARKET PRASAT</v>
      </c>
      <c r="E200" s="1" t="str">
        <f>IFERROR(__xludf.DUMMYFUNCTION("""COMPUTED_VALUE"""),"บิ๊กซี Market")</f>
        <v>บิ๊กซี Market</v>
      </c>
      <c r="F200" s="1" t="str">
        <f>IFERROR(__xludf.DUMMYFUNCTION("""COMPUTED_VALUE"""),"033317")</f>
        <v>033317</v>
      </c>
      <c r="G200" s="1" t="str">
        <f>IFERROR(__xludf.DUMMYFUNCTION("""COMPUTED_VALUE"""),"นายอาณัติ เพชรภาน")</f>
        <v>นายอาณัติ เพชรภาน</v>
      </c>
      <c r="H200" s="1" t="str">
        <f>IFERROR(__xludf.DUMMYFUNCTION("""COMPUTED_VALUE"""),"033317")</f>
        <v>033317</v>
      </c>
      <c r="I200" s="1" t="str">
        <f>IFERROR(__xludf.DUMMYFUNCTION("""COMPUTED_VALUE"""),"นายอาณัติ เพชรภาน")</f>
        <v>นายอาณัติ เพชรภาน</v>
      </c>
      <c r="J200" s="3">
        <f>IFERROR(__xludf.DUMMYFUNCTION("""COMPUTED_VALUE"""),33317.0)</f>
        <v>33317</v>
      </c>
      <c r="K200" s="3" t="str">
        <f>IFERROR(__xludf.DUMMYFUNCTION("""COMPUTED_VALUE"""),"นายอาณัติ เพชรภาน")</f>
        <v>นายอาณัติ เพชรภาน</v>
      </c>
      <c r="L200" s="1" t="str">
        <f>IFERROR(__xludf.DUMMYFUNCTION("""COMPUTED_VALUE"""),"Hub10-NE 2")</f>
        <v>Hub10-NE 2</v>
      </c>
      <c r="M200" s="1" t="str">
        <f>IFERROR(__xludf.DUMMYFUNCTION("""COMPUTED_VALUE"""),"0644791409")</f>
        <v>0644791409</v>
      </c>
      <c r="N200" s="3">
        <f>IFERROR(__xludf.DUMMYFUNCTION("""COMPUTED_VALUE"""),15028.0)</f>
        <v>15028</v>
      </c>
      <c r="O200" s="3" t="str">
        <f>IFERROR(__xludf.DUMMYFUNCTION("""COMPUTED_VALUE"""),"ปราสาท")</f>
        <v>ปราสาท</v>
      </c>
      <c r="P200" s="4">
        <f>IFERROR(__xludf.DUMMYFUNCTION("""COMPUTED_VALUE"""),41575.0)</f>
        <v>41575</v>
      </c>
      <c r="Q200" s="3" t="str">
        <f>IFERROR(__xludf.DUMMYFUNCTION("""COMPUTED_VALUE"""),"I")</f>
        <v>I</v>
      </c>
      <c r="R200" s="3" t="str">
        <f>IFERROR(__xludf.DUMMYFUNCTION("""COMPUTED_VALUE"""),"Big Format")</f>
        <v>Big Format</v>
      </c>
      <c r="S200" s="3" t="str">
        <f>IFERROR(__xludf.DUMMYFUNCTION("""COMPUTED_VALUE"""),"BMK")</f>
        <v>BMK</v>
      </c>
      <c r="T200" s="3" t="str">
        <f>IFERROR(__xludf.DUMMYFUNCTION("""COMPUTED_VALUE"""),"Hub10-NE 2")</f>
        <v>Hub10-NE 2</v>
      </c>
      <c r="U200" s="3" t="str">
        <f>IFERROR(__xludf.DUMMYFUNCTION("""COMPUTED_VALUE"""),"Hub10-NE 2")</f>
        <v>Hub10-NE 2</v>
      </c>
      <c r="V200" s="3" t="str">
        <f>IFERROR(__xludf.DUMMYFUNCTION("""COMPUTED_VALUE"""),"N")</f>
        <v>N</v>
      </c>
      <c r="W200" s="3">
        <f>IFERROR(__xludf.DUMMYFUNCTION("""COMPUTED_VALUE"""),151034.0)</f>
        <v>151034</v>
      </c>
      <c r="X200" s="3" t="str">
        <f>IFERROR(__xludf.DUMMYFUNCTION("""COMPUTED_VALUE"""),"612 หมู่ 2 ตำบลกังแอน อำเภอปราสาท จังหวัดสุรินทร์ 32140")</f>
        <v>612 หมู่ 2 ตำบลกังแอน อำเภอปราสาท จังหวัดสุรินทร์ 32140</v>
      </c>
      <c r="Y200" s="3"/>
      <c r="Z200" s="3" t="str">
        <f>IFERROR(__xludf.DUMMYFUNCTION("""COMPUTED_VALUE"""),"กังแอน")</f>
        <v>กังแอน</v>
      </c>
      <c r="AA200" s="3" t="str">
        <f>IFERROR(__xludf.DUMMYFUNCTION("""COMPUTED_VALUE"""),"ปราสาท")</f>
        <v>ปราสาท</v>
      </c>
      <c r="AB200" s="3" t="str">
        <f>IFERROR(__xludf.DUMMYFUNCTION("""COMPUTED_VALUE"""),"สุรินทร์")</f>
        <v>สุรินทร์</v>
      </c>
      <c r="AC200" s="3">
        <f>IFERROR(__xludf.DUMMYFUNCTION("""COMPUTED_VALUE"""),32140.0)</f>
        <v>32140</v>
      </c>
      <c r="AD200" s="3">
        <f>IFERROR(__xludf.DUMMYFUNCTION("""COMPUTED_VALUE"""),14.630229)</f>
        <v>14.630229</v>
      </c>
      <c r="AE200" s="3">
        <f>IFERROR(__xludf.DUMMYFUNCTION("""COMPUTED_VALUE"""),103.404664)</f>
        <v>103.404664</v>
      </c>
      <c r="AF200" s="3" t="str">
        <f>IFERROR(__xludf.DUMMYFUNCTION("""COMPUTED_VALUE"""),"ปราสาท-15028")</f>
        <v>ปราสาท-15028</v>
      </c>
      <c r="AG200" s="3" t="str">
        <f>IFERROR(__xludf.DUMMYFUNCTION("""COMPUTED_VALUE"""),"ตะวันออกเฉียงเหนือ")</f>
        <v>ตะวันออกเฉียงเหนือ</v>
      </c>
      <c r="AH200" s="3" t="str">
        <f>IFERROR(__xludf.DUMMYFUNCTION("""COMPUTED_VALUE"""),"#N/A")</f>
        <v>#N/A</v>
      </c>
      <c r="AI200" s="3" t="str">
        <f>IFERROR(__xludf.DUMMYFUNCTION("""COMPUTED_VALUE"""),"Out of warranty")</f>
        <v>Out of warranty</v>
      </c>
      <c r="AJ200" s="3">
        <f>IFERROR(__xludf.DUMMYFUNCTION("""COMPUTED_VALUE"""),147.0)</f>
        <v>147</v>
      </c>
      <c r="AK200" s="3"/>
      <c r="AL200" s="3" t="str">
        <f>IFERROR(__xludf.DUMMYFUNCTION("""COMPUTED_VALUE"""),"#N/A")</f>
        <v>#N/A</v>
      </c>
    </row>
    <row r="201" ht="15.75" customHeight="1">
      <c r="A201" s="1" t="str">
        <f>IFERROR(__xludf.DUMMYFUNCTION("""COMPUTED_VALUE"""),"15029")</f>
        <v>15029</v>
      </c>
      <c r="B201" s="2">
        <f>IFERROR(__xludf.DUMMYFUNCTION("""COMPUTED_VALUE"""),15029.0)</f>
        <v>15029</v>
      </c>
      <c r="C201" s="3" t="str">
        <f>IFERROR(__xludf.DUMMYFUNCTION("""COMPUTED_VALUE"""),"ระโนด")</f>
        <v>ระโนด</v>
      </c>
      <c r="D201" s="3" t="str">
        <f>IFERROR(__xludf.DUMMYFUNCTION("""COMPUTED_VALUE"""),"BIGC MARKET RANOT")</f>
        <v>BIGC MARKET RANOT</v>
      </c>
      <c r="E201" s="1" t="str">
        <f>IFERROR(__xludf.DUMMYFUNCTION("""COMPUTED_VALUE"""),"บิ๊กซี Market")</f>
        <v>บิ๊กซี Market</v>
      </c>
      <c r="F201" s="1" t="str">
        <f>IFERROR(__xludf.DUMMYFUNCTION("""COMPUTED_VALUE"""),"2454709")</f>
        <v>2454709</v>
      </c>
      <c r="G201" s="1" t="str">
        <f>IFERROR(__xludf.DUMMYFUNCTION("""COMPUTED_VALUE"""),"นายประชา เกตุชาติ")</f>
        <v>นายประชา เกตุชาติ</v>
      </c>
      <c r="H201" s="1" t="str">
        <f>IFERROR(__xludf.DUMMYFUNCTION("""COMPUTED_VALUE"""),"2454709")</f>
        <v>2454709</v>
      </c>
      <c r="I201" s="1" t="str">
        <f>IFERROR(__xludf.DUMMYFUNCTION("""COMPUTED_VALUE"""),"นายประชา เกตุชาติ")</f>
        <v>นายประชา เกตุชาติ</v>
      </c>
      <c r="J201" s="3">
        <f>IFERROR(__xludf.DUMMYFUNCTION("""COMPUTED_VALUE"""),2454709.0)</f>
        <v>2454709</v>
      </c>
      <c r="K201" s="3" t="str">
        <f>IFERROR(__xludf.DUMMYFUNCTION("""COMPUTED_VALUE"""),"นายประชา เกตุชาติ")</f>
        <v>นายประชา เกตุชาติ</v>
      </c>
      <c r="L201" s="1" t="str">
        <f>IFERROR(__xludf.DUMMYFUNCTION("""COMPUTED_VALUE"""),"Hub05-South")</f>
        <v>Hub05-South</v>
      </c>
      <c r="M201" s="1" t="str">
        <f>IFERROR(__xludf.DUMMYFUNCTION("""COMPUTED_VALUE"""),"0659291311")</f>
        <v>0659291311</v>
      </c>
      <c r="N201" s="3">
        <f>IFERROR(__xludf.DUMMYFUNCTION("""COMPUTED_VALUE"""),15029.0)</f>
        <v>15029</v>
      </c>
      <c r="O201" s="3" t="str">
        <f>IFERROR(__xludf.DUMMYFUNCTION("""COMPUTED_VALUE"""),"ระโนด")</f>
        <v>ระโนด</v>
      </c>
      <c r="P201" s="4">
        <f>IFERROR(__xludf.DUMMYFUNCTION("""COMPUTED_VALUE"""),41586.0)</f>
        <v>41586</v>
      </c>
      <c r="Q201" s="3" t="str">
        <f>IFERROR(__xludf.DUMMYFUNCTION("""COMPUTED_VALUE"""),"A")</f>
        <v>A</v>
      </c>
      <c r="R201" s="3" t="str">
        <f>IFERROR(__xludf.DUMMYFUNCTION("""COMPUTED_VALUE"""),"Big Format")</f>
        <v>Big Format</v>
      </c>
      <c r="S201" s="3" t="str">
        <f>IFERROR(__xludf.DUMMYFUNCTION("""COMPUTED_VALUE"""),"BMK")</f>
        <v>BMK</v>
      </c>
      <c r="T201" s="3" t="str">
        <f>IFERROR(__xludf.DUMMYFUNCTION("""COMPUTED_VALUE"""),"Hub05-South")</f>
        <v>Hub05-South</v>
      </c>
      <c r="U201" s="3" t="str">
        <f>IFERROR(__xludf.DUMMYFUNCTION("""COMPUTED_VALUE"""),"Hub05-South")</f>
        <v>Hub05-South</v>
      </c>
      <c r="V201" s="3" t="str">
        <f>IFERROR(__xludf.DUMMYFUNCTION("""COMPUTED_VALUE"""),"N")</f>
        <v>N</v>
      </c>
      <c r="W201" s="3">
        <f>IFERROR(__xludf.DUMMYFUNCTION("""COMPUTED_VALUE"""),151036.0)</f>
        <v>151036</v>
      </c>
      <c r="X201" s="3" t="str">
        <f>IFERROR(__xludf.DUMMYFUNCTION("""COMPUTED_VALUE"""),"476/34 หมู่ 4 ตำบลระโนด อำเภอระโนด จังหวัดสงขลา 90140")</f>
        <v>476/34 หมู่ 4 ตำบลระโนด อำเภอระโนด จังหวัดสงขลา 90140</v>
      </c>
      <c r="Y201" s="3"/>
      <c r="Z201" s="3" t="str">
        <f>IFERROR(__xludf.DUMMYFUNCTION("""COMPUTED_VALUE"""),"ระโนด")</f>
        <v>ระโนด</v>
      </c>
      <c r="AA201" s="3" t="str">
        <f>IFERROR(__xludf.DUMMYFUNCTION("""COMPUTED_VALUE"""),"ระโนด")</f>
        <v>ระโนด</v>
      </c>
      <c r="AB201" s="3" t="str">
        <f>IFERROR(__xludf.DUMMYFUNCTION("""COMPUTED_VALUE"""),"สงขลา")</f>
        <v>สงขลา</v>
      </c>
      <c r="AC201" s="3">
        <f>IFERROR(__xludf.DUMMYFUNCTION("""COMPUTED_VALUE"""),90140.0)</f>
        <v>90140</v>
      </c>
      <c r="AD201" s="3">
        <f>IFERROR(__xludf.DUMMYFUNCTION("""COMPUTED_VALUE"""),7.782279)</f>
        <v>7.782279</v>
      </c>
      <c r="AE201" s="3">
        <f>IFERROR(__xludf.DUMMYFUNCTION("""COMPUTED_VALUE"""),100.333731)</f>
        <v>100.333731</v>
      </c>
      <c r="AF201" s="3" t="str">
        <f>IFERROR(__xludf.DUMMYFUNCTION("""COMPUTED_VALUE"""),"ระโนด-15029")</f>
        <v>ระโนด-15029</v>
      </c>
      <c r="AG201" s="3" t="str">
        <f>IFERROR(__xludf.DUMMYFUNCTION("""COMPUTED_VALUE"""),"ใต้")</f>
        <v>ใต้</v>
      </c>
      <c r="AH201" s="3" t="str">
        <f>IFERROR(__xludf.DUMMYFUNCTION("""COMPUTED_VALUE"""),"Suwadee Intachart")</f>
        <v>Suwadee Intachart</v>
      </c>
      <c r="AI201" s="3" t="str">
        <f>IFERROR(__xludf.DUMMYFUNCTION("""COMPUTED_VALUE"""),"Out of warranty")</f>
        <v>Out of warranty</v>
      </c>
      <c r="AJ201" s="3">
        <f>IFERROR(__xludf.DUMMYFUNCTION("""COMPUTED_VALUE"""),147.0)</f>
        <v>147</v>
      </c>
      <c r="AK201" s="3"/>
      <c r="AL201" s="3" t="str">
        <f>IFERROR(__xludf.DUMMYFUNCTION("""COMPUTED_VALUE"""),"bmk_sm.ranot@bigc.co.th")</f>
        <v>bmk_sm.ranot@bigc.co.th</v>
      </c>
    </row>
    <row r="202" ht="15.75" customHeight="1">
      <c r="A202" s="1" t="str">
        <f>IFERROR(__xludf.DUMMYFUNCTION("""COMPUTED_VALUE"""),"15030")</f>
        <v>15030</v>
      </c>
      <c r="B202" s="2">
        <f>IFERROR(__xludf.DUMMYFUNCTION("""COMPUTED_VALUE"""),15030.0)</f>
        <v>15030</v>
      </c>
      <c r="C202" s="3" t="str">
        <f>IFERROR(__xludf.DUMMYFUNCTION("""COMPUTED_VALUE"""),"สวรรคโลก")</f>
        <v>สวรรคโลก</v>
      </c>
      <c r="D202" s="3" t="str">
        <f>IFERROR(__xludf.DUMMYFUNCTION("""COMPUTED_VALUE"""),"BIGC MARKET SAWANKHALOK")</f>
        <v>BIGC MARKET SAWANKHALOK</v>
      </c>
      <c r="E202" s="1" t="str">
        <f>IFERROR(__xludf.DUMMYFUNCTION("""COMPUTED_VALUE"""),"บิ๊กซี Market")</f>
        <v>บิ๊กซี Market</v>
      </c>
      <c r="F202" s="1" t="str">
        <f>IFERROR(__xludf.DUMMYFUNCTION("""COMPUTED_VALUE"""),"000348")</f>
        <v>000348</v>
      </c>
      <c r="G202" s="1" t="str">
        <f>IFERROR(__xludf.DUMMYFUNCTION("""COMPUTED_VALUE"""),"นายธีรนันท์ ไม้สนธิ์")</f>
        <v>นายธีรนันท์ ไม้สนธิ์</v>
      </c>
      <c r="H202" s="1" t="str">
        <f>IFERROR(__xludf.DUMMYFUNCTION("""COMPUTED_VALUE"""),"000348")</f>
        <v>000348</v>
      </c>
      <c r="I202" s="1" t="str">
        <f>IFERROR(__xludf.DUMMYFUNCTION("""COMPUTED_VALUE"""),"นายธีรนันท์ ไม้สนธิ์")</f>
        <v>นายธีรนันท์ ไม้สนธิ์</v>
      </c>
      <c r="J202" s="3">
        <f>IFERROR(__xludf.DUMMYFUNCTION("""COMPUTED_VALUE"""),348.0)</f>
        <v>348</v>
      </c>
      <c r="K202" s="3" t="str">
        <f>IFERROR(__xludf.DUMMYFUNCTION("""COMPUTED_VALUE"""),"นายธีรนันท์ ไม้สนธิ์")</f>
        <v>นายธีรนันท์ ไม้สนธิ์</v>
      </c>
      <c r="L202" s="1" t="str">
        <f>IFERROR(__xludf.DUMMYFUNCTION("""COMPUTED_VALUE"""),"Hub07-North")</f>
        <v>Hub07-North</v>
      </c>
      <c r="M202" s="1" t="str">
        <f>IFERROR(__xludf.DUMMYFUNCTION("""COMPUTED_VALUE"""),"0614175866")</f>
        <v>0614175866</v>
      </c>
      <c r="N202" s="3">
        <f>IFERROR(__xludf.DUMMYFUNCTION("""COMPUTED_VALUE"""),15030.0)</f>
        <v>15030</v>
      </c>
      <c r="O202" s="3" t="str">
        <f>IFERROR(__xludf.DUMMYFUNCTION("""COMPUTED_VALUE"""),"สวรรคโลก")</f>
        <v>สวรรคโลก</v>
      </c>
      <c r="P202" s="4">
        <f>IFERROR(__xludf.DUMMYFUNCTION("""COMPUTED_VALUE"""),41605.0)</f>
        <v>41605</v>
      </c>
      <c r="Q202" s="3" t="str">
        <f>IFERROR(__xludf.DUMMYFUNCTION("""COMPUTED_VALUE"""),"A")</f>
        <v>A</v>
      </c>
      <c r="R202" s="3" t="str">
        <f>IFERROR(__xludf.DUMMYFUNCTION("""COMPUTED_VALUE"""),"Big Format")</f>
        <v>Big Format</v>
      </c>
      <c r="S202" s="3" t="str">
        <f>IFERROR(__xludf.DUMMYFUNCTION("""COMPUTED_VALUE"""),"BMK")</f>
        <v>BMK</v>
      </c>
      <c r="T202" s="3" t="str">
        <f>IFERROR(__xludf.DUMMYFUNCTION("""COMPUTED_VALUE"""),"Hub07-North")</f>
        <v>Hub07-North</v>
      </c>
      <c r="U202" s="3" t="str">
        <f>IFERROR(__xludf.DUMMYFUNCTION("""COMPUTED_VALUE"""),"Hub07-North")</f>
        <v>Hub07-North</v>
      </c>
      <c r="V202" s="3" t="str">
        <f>IFERROR(__xludf.DUMMYFUNCTION("""COMPUTED_VALUE"""),"N")</f>
        <v>N</v>
      </c>
      <c r="W202" s="3">
        <f>IFERROR(__xludf.DUMMYFUNCTION("""COMPUTED_VALUE"""),151035.0)</f>
        <v>151035</v>
      </c>
      <c r="X202" s="3" t="str">
        <f>IFERROR(__xludf.DUMMYFUNCTION("""COMPUTED_VALUE"""),"56 หมู่ 3 ตำบลย่านยาว อำเภอสวรรคโลก จังหวัดสุโขทัย 64110")</f>
        <v>56 หมู่ 3 ตำบลย่านยาว อำเภอสวรรคโลก จังหวัดสุโขทัย 64110</v>
      </c>
      <c r="Y202" s="3"/>
      <c r="Z202" s="3" t="str">
        <f>IFERROR(__xludf.DUMMYFUNCTION("""COMPUTED_VALUE"""),"ย่านยาว")</f>
        <v>ย่านยาว</v>
      </c>
      <c r="AA202" s="3" t="str">
        <f>IFERROR(__xludf.DUMMYFUNCTION("""COMPUTED_VALUE"""),"สวรรคโลก")</f>
        <v>สวรรคโลก</v>
      </c>
      <c r="AB202" s="3" t="str">
        <f>IFERROR(__xludf.DUMMYFUNCTION("""COMPUTED_VALUE"""),"สุโขทัย")</f>
        <v>สุโขทัย</v>
      </c>
      <c r="AC202" s="3">
        <f>IFERROR(__xludf.DUMMYFUNCTION("""COMPUTED_VALUE"""),64110.0)</f>
        <v>64110</v>
      </c>
      <c r="AD202" s="3">
        <f>IFERROR(__xludf.DUMMYFUNCTION("""COMPUTED_VALUE"""),17.293326)</f>
        <v>17.293326</v>
      </c>
      <c r="AE202" s="3">
        <f>IFERROR(__xludf.DUMMYFUNCTION("""COMPUTED_VALUE"""),99.837147)</f>
        <v>99.837147</v>
      </c>
      <c r="AF202" s="3" t="str">
        <f>IFERROR(__xludf.DUMMYFUNCTION("""COMPUTED_VALUE"""),"สวรรคโลก-15030")</f>
        <v>สวรรคโลก-15030</v>
      </c>
      <c r="AG202" s="3" t="str">
        <f>IFERROR(__xludf.DUMMYFUNCTION("""COMPUTED_VALUE"""),"กลาง")</f>
        <v>กลาง</v>
      </c>
      <c r="AH202" s="3" t="str">
        <f>IFERROR(__xludf.DUMMYFUNCTION("""COMPUTED_VALUE"""),"Wichai Soomboonsod")</f>
        <v>Wichai Soomboonsod</v>
      </c>
      <c r="AI202" s="3" t="str">
        <f>IFERROR(__xludf.DUMMYFUNCTION("""COMPUTED_VALUE"""),"Out of warranty")</f>
        <v>Out of warranty</v>
      </c>
      <c r="AJ202" s="3">
        <f>IFERROR(__xludf.DUMMYFUNCTION("""COMPUTED_VALUE"""),146.0)</f>
        <v>146</v>
      </c>
      <c r="AK202" s="3"/>
      <c r="AL202" s="3" t="str">
        <f>IFERROR(__xludf.DUMMYFUNCTION("""COMPUTED_VALUE"""),"bmk_sm.sawankhalok@bigc.co.th")</f>
        <v>bmk_sm.sawankhalok@bigc.co.th</v>
      </c>
    </row>
    <row r="203" ht="15.75" customHeight="1">
      <c r="A203" s="1" t="str">
        <f>IFERROR(__xludf.DUMMYFUNCTION("""COMPUTED_VALUE"""),"15031")</f>
        <v>15031</v>
      </c>
      <c r="B203" s="2">
        <f>IFERROR(__xludf.DUMMYFUNCTION("""COMPUTED_VALUE"""),15031.0)</f>
        <v>15031</v>
      </c>
      <c r="C203" s="3" t="str">
        <f>IFERROR(__xludf.DUMMYFUNCTION("""COMPUTED_VALUE"""),"กุฉินารายณ์")</f>
        <v>กุฉินารายณ์</v>
      </c>
      <c r="D203" s="3" t="str">
        <f>IFERROR(__xludf.DUMMYFUNCTION("""COMPUTED_VALUE"""),"BIGC MARKET KUCHINARAI")</f>
        <v>BIGC MARKET KUCHINARAI</v>
      </c>
      <c r="E203" s="1" t="str">
        <f>IFERROR(__xludf.DUMMYFUNCTION("""COMPUTED_VALUE"""),"บิ๊กซี Market")</f>
        <v>บิ๊กซี Market</v>
      </c>
      <c r="F203" s="1" t="str">
        <f>IFERROR(__xludf.DUMMYFUNCTION("""COMPUTED_VALUE"""),"033317")</f>
        <v>033317</v>
      </c>
      <c r="G203" s="1" t="str">
        <f>IFERROR(__xludf.DUMMYFUNCTION("""COMPUTED_VALUE"""),"นายอาณัติ เพชรภาน")</f>
        <v>นายอาณัติ เพชรภาน</v>
      </c>
      <c r="H203" s="1" t="str">
        <f>IFERROR(__xludf.DUMMYFUNCTION("""COMPUTED_VALUE"""),"033317")</f>
        <v>033317</v>
      </c>
      <c r="I203" s="1" t="str">
        <f>IFERROR(__xludf.DUMMYFUNCTION("""COMPUTED_VALUE"""),"นายอาณัติ เพชรภาน")</f>
        <v>นายอาณัติ เพชรภาน</v>
      </c>
      <c r="J203" s="3">
        <f>IFERROR(__xludf.DUMMYFUNCTION("""COMPUTED_VALUE"""),33317.0)</f>
        <v>33317</v>
      </c>
      <c r="K203" s="3" t="str">
        <f>IFERROR(__xludf.DUMMYFUNCTION("""COMPUTED_VALUE"""),"นายอาณัติ เพชรภาน")</f>
        <v>นายอาณัติ เพชรภาน</v>
      </c>
      <c r="L203" s="1" t="str">
        <f>IFERROR(__xludf.DUMMYFUNCTION("""COMPUTED_VALUE"""),"Hub10-NE 2")</f>
        <v>Hub10-NE 2</v>
      </c>
      <c r="M203" s="1" t="str">
        <f>IFERROR(__xludf.DUMMYFUNCTION("""COMPUTED_VALUE"""),"0644791409")</f>
        <v>0644791409</v>
      </c>
      <c r="N203" s="3">
        <f>IFERROR(__xludf.DUMMYFUNCTION("""COMPUTED_VALUE"""),15031.0)</f>
        <v>15031</v>
      </c>
      <c r="O203" s="3" t="str">
        <f>IFERROR(__xludf.DUMMYFUNCTION("""COMPUTED_VALUE"""),"กุฉินารายณ์")</f>
        <v>กุฉินารายณ์</v>
      </c>
      <c r="P203" s="4">
        <f>IFERROR(__xludf.DUMMYFUNCTION("""COMPUTED_VALUE"""),41818.0)</f>
        <v>41818</v>
      </c>
      <c r="Q203" s="3" t="str">
        <f>IFERROR(__xludf.DUMMYFUNCTION("""COMPUTED_VALUE"""),"I")</f>
        <v>I</v>
      </c>
      <c r="R203" s="3" t="str">
        <f>IFERROR(__xludf.DUMMYFUNCTION("""COMPUTED_VALUE"""),"Big Format")</f>
        <v>Big Format</v>
      </c>
      <c r="S203" s="3" t="str">
        <f>IFERROR(__xludf.DUMMYFUNCTION("""COMPUTED_VALUE"""),"BMK")</f>
        <v>BMK</v>
      </c>
      <c r="T203" s="3" t="str">
        <f>IFERROR(__xludf.DUMMYFUNCTION("""COMPUTED_VALUE"""),"Hub10-NE 2")</f>
        <v>Hub10-NE 2</v>
      </c>
      <c r="U203" s="3" t="str">
        <f>IFERROR(__xludf.DUMMYFUNCTION("""COMPUTED_VALUE"""),"Hub10-NE 2")</f>
        <v>Hub10-NE 2</v>
      </c>
      <c r="V203" s="3" t="str">
        <f>IFERROR(__xludf.DUMMYFUNCTION("""COMPUTED_VALUE"""),"N")</f>
        <v>N</v>
      </c>
      <c r="W203" s="3">
        <f>IFERROR(__xludf.DUMMYFUNCTION("""COMPUTED_VALUE"""),0.0)</f>
        <v>0</v>
      </c>
      <c r="X203" s="3" t="str">
        <f>IFERROR(__xludf.DUMMYFUNCTION("""COMPUTED_VALUE"""),"244 หมู่ 2 ตำบลบัวขาว อำเภอกุฉินารายณ์ จังหวัดกาฬสินธุ์ 46110")</f>
        <v>244 หมู่ 2 ตำบลบัวขาว อำเภอกุฉินารายณ์ จังหวัดกาฬสินธุ์ 46110</v>
      </c>
      <c r="Y203" s="3"/>
      <c r="Z203" s="3" t="str">
        <f>IFERROR(__xludf.DUMMYFUNCTION("""COMPUTED_VALUE"""),"บัวขาว")</f>
        <v>บัวขาว</v>
      </c>
      <c r="AA203" s="3" t="str">
        <f>IFERROR(__xludf.DUMMYFUNCTION("""COMPUTED_VALUE"""),"กุฉินารายณ์")</f>
        <v>กุฉินารายณ์</v>
      </c>
      <c r="AB203" s="3" t="str">
        <f>IFERROR(__xludf.DUMMYFUNCTION("""COMPUTED_VALUE"""),"กาฬสินธุ์")</f>
        <v>กาฬสินธุ์</v>
      </c>
      <c r="AC203" s="3">
        <f>IFERROR(__xludf.DUMMYFUNCTION("""COMPUTED_VALUE"""),46110.0)</f>
        <v>46110</v>
      </c>
      <c r="AD203" s="3">
        <f>IFERROR(__xludf.DUMMYFUNCTION("""COMPUTED_VALUE"""),16.5351027)</f>
        <v>16.5351027</v>
      </c>
      <c r="AE203" s="3">
        <f>IFERROR(__xludf.DUMMYFUNCTION("""COMPUTED_VALUE"""),104.0555273)</f>
        <v>104.0555273</v>
      </c>
      <c r="AF203" s="3" t="str">
        <f>IFERROR(__xludf.DUMMYFUNCTION("""COMPUTED_VALUE"""),"กุฉินารายณ์-15031")</f>
        <v>กุฉินารายณ์-15031</v>
      </c>
      <c r="AG203" s="3" t="str">
        <f>IFERROR(__xludf.DUMMYFUNCTION("""COMPUTED_VALUE"""),"ตะวันออกเฉียงเหนือ")</f>
        <v>ตะวันออกเฉียงเหนือ</v>
      </c>
      <c r="AH203" s="3" t="str">
        <f>IFERROR(__xludf.DUMMYFUNCTION("""COMPUTED_VALUE"""),"#N/A")</f>
        <v>#N/A</v>
      </c>
      <c r="AI203" s="3" t="str">
        <f>IFERROR(__xludf.DUMMYFUNCTION("""COMPUTED_VALUE"""),"Out of warranty")</f>
        <v>Out of warranty</v>
      </c>
      <c r="AJ203" s="3">
        <f>IFERROR(__xludf.DUMMYFUNCTION("""COMPUTED_VALUE"""),139.0)</f>
        <v>139</v>
      </c>
      <c r="AK203" s="3"/>
      <c r="AL203" s="3" t="str">
        <f>IFERROR(__xludf.DUMMYFUNCTION("""COMPUTED_VALUE"""),"#N/A")</f>
        <v>#N/A</v>
      </c>
    </row>
    <row r="204" ht="15.75" customHeight="1">
      <c r="A204" s="1" t="str">
        <f>IFERROR(__xludf.DUMMYFUNCTION("""COMPUTED_VALUE"""),"15032")</f>
        <v>15032</v>
      </c>
      <c r="B204" s="2">
        <f>IFERROR(__xludf.DUMMYFUNCTION("""COMPUTED_VALUE"""),15032.0)</f>
        <v>15032</v>
      </c>
      <c r="C204" s="3" t="str">
        <f>IFERROR(__xludf.DUMMYFUNCTION("""COMPUTED_VALUE"""),"โกสุมพิสัย")</f>
        <v>โกสุมพิสัย</v>
      </c>
      <c r="D204" s="3" t="str">
        <f>IFERROR(__xludf.DUMMYFUNCTION("""COMPUTED_VALUE"""),"BIGC MARKET KOSUMPHISAI")</f>
        <v>BIGC MARKET KOSUMPHISAI</v>
      </c>
      <c r="E204" s="1" t="str">
        <f>IFERROR(__xludf.DUMMYFUNCTION("""COMPUTED_VALUE"""),"บิ๊กซี Market")</f>
        <v>บิ๊กซี Market</v>
      </c>
      <c r="F204" s="1" t="str">
        <f>IFERROR(__xludf.DUMMYFUNCTION("""COMPUTED_VALUE"""),"033317")</f>
        <v>033317</v>
      </c>
      <c r="G204" s="1" t="str">
        <f>IFERROR(__xludf.DUMMYFUNCTION("""COMPUTED_VALUE"""),"นายอาณัติ เพชรภาน")</f>
        <v>นายอาณัติ เพชรภาน</v>
      </c>
      <c r="H204" s="1" t="str">
        <f>IFERROR(__xludf.DUMMYFUNCTION("""COMPUTED_VALUE"""),"033317")</f>
        <v>033317</v>
      </c>
      <c r="I204" s="1" t="str">
        <f>IFERROR(__xludf.DUMMYFUNCTION("""COMPUTED_VALUE"""),"นายอาณัติ เพชรภาน")</f>
        <v>นายอาณัติ เพชรภาน</v>
      </c>
      <c r="J204" s="3">
        <f>IFERROR(__xludf.DUMMYFUNCTION("""COMPUTED_VALUE"""),33317.0)</f>
        <v>33317</v>
      </c>
      <c r="K204" s="3" t="str">
        <f>IFERROR(__xludf.DUMMYFUNCTION("""COMPUTED_VALUE"""),"นายอาณัติ เพชรภาน")</f>
        <v>นายอาณัติ เพชรภาน</v>
      </c>
      <c r="L204" s="1" t="str">
        <f>IFERROR(__xludf.DUMMYFUNCTION("""COMPUTED_VALUE"""),"Hub10-NE 2")</f>
        <v>Hub10-NE 2</v>
      </c>
      <c r="M204" s="1" t="str">
        <f>IFERROR(__xludf.DUMMYFUNCTION("""COMPUTED_VALUE"""),"0644791409")</f>
        <v>0644791409</v>
      </c>
      <c r="N204" s="3">
        <f>IFERROR(__xludf.DUMMYFUNCTION("""COMPUTED_VALUE"""),15032.0)</f>
        <v>15032</v>
      </c>
      <c r="O204" s="3" t="str">
        <f>IFERROR(__xludf.DUMMYFUNCTION("""COMPUTED_VALUE"""),"โกสุมพิสัย")</f>
        <v>โกสุมพิสัย</v>
      </c>
      <c r="P204" s="4">
        <f>IFERROR(__xludf.DUMMYFUNCTION("""COMPUTED_VALUE"""),41810.0)</f>
        <v>41810</v>
      </c>
      <c r="Q204" s="3" t="str">
        <f>IFERROR(__xludf.DUMMYFUNCTION("""COMPUTED_VALUE"""),"I")</f>
        <v>I</v>
      </c>
      <c r="R204" s="3" t="str">
        <f>IFERROR(__xludf.DUMMYFUNCTION("""COMPUTED_VALUE"""),"Big Format")</f>
        <v>Big Format</v>
      </c>
      <c r="S204" s="3" t="str">
        <f>IFERROR(__xludf.DUMMYFUNCTION("""COMPUTED_VALUE"""),"BMK")</f>
        <v>BMK</v>
      </c>
      <c r="T204" s="3" t="str">
        <f>IFERROR(__xludf.DUMMYFUNCTION("""COMPUTED_VALUE"""),"Hub10-NE 2")</f>
        <v>Hub10-NE 2</v>
      </c>
      <c r="U204" s="3" t="str">
        <f>IFERROR(__xludf.DUMMYFUNCTION("""COMPUTED_VALUE"""),"Hub10-NE 2")</f>
        <v>Hub10-NE 2</v>
      </c>
      <c r="V204" s="3" t="str">
        <f>IFERROR(__xludf.DUMMYFUNCTION("""COMPUTED_VALUE"""),"N")</f>
        <v>N</v>
      </c>
      <c r="W204" s="3">
        <f>IFERROR(__xludf.DUMMYFUNCTION("""COMPUTED_VALUE"""),151037.0)</f>
        <v>151037</v>
      </c>
      <c r="X204" s="3" t="str">
        <f>IFERROR(__xludf.DUMMYFUNCTION("""COMPUTED_VALUE"""),"89 หมู่ 23 ตำบลหัวขวาง อำเภอโกสุมพิสัย จังหวัดมหาสารคาม 44140")</f>
        <v>89 หมู่ 23 ตำบลหัวขวาง อำเภอโกสุมพิสัย จังหวัดมหาสารคาม 44140</v>
      </c>
      <c r="Y204" s="3"/>
      <c r="Z204" s="3" t="str">
        <f>IFERROR(__xludf.DUMMYFUNCTION("""COMPUTED_VALUE"""),"หัวขวาง")</f>
        <v>หัวขวาง</v>
      </c>
      <c r="AA204" s="3" t="str">
        <f>IFERROR(__xludf.DUMMYFUNCTION("""COMPUTED_VALUE"""),"โกสุมพิสัย")</f>
        <v>โกสุมพิสัย</v>
      </c>
      <c r="AB204" s="3" t="str">
        <f>IFERROR(__xludf.DUMMYFUNCTION("""COMPUTED_VALUE"""),"มหาสารคาม")</f>
        <v>มหาสารคาม</v>
      </c>
      <c r="AC204" s="3">
        <f>IFERROR(__xludf.DUMMYFUNCTION("""COMPUTED_VALUE"""),44140.0)</f>
        <v>44140</v>
      </c>
      <c r="AD204" s="3">
        <f>IFERROR(__xludf.DUMMYFUNCTION("""COMPUTED_VALUE"""),16.2761383)</f>
        <v>16.2761383</v>
      </c>
      <c r="AE204" s="3">
        <f>IFERROR(__xludf.DUMMYFUNCTION("""COMPUTED_VALUE"""),102.9082852)</f>
        <v>102.9082852</v>
      </c>
      <c r="AF204" s="3" t="str">
        <f>IFERROR(__xludf.DUMMYFUNCTION("""COMPUTED_VALUE"""),"โกสุมพิสัย-15032")</f>
        <v>โกสุมพิสัย-15032</v>
      </c>
      <c r="AG204" s="3" t="str">
        <f>IFERROR(__xludf.DUMMYFUNCTION("""COMPUTED_VALUE"""),"ตะวันออกเฉียงเหนือ")</f>
        <v>ตะวันออกเฉียงเหนือ</v>
      </c>
      <c r="AH204" s="3" t="str">
        <f>IFERROR(__xludf.DUMMYFUNCTION("""COMPUTED_VALUE"""),"#N/A")</f>
        <v>#N/A</v>
      </c>
      <c r="AI204" s="3" t="str">
        <f>IFERROR(__xludf.DUMMYFUNCTION("""COMPUTED_VALUE"""),"Out of warranty")</f>
        <v>Out of warranty</v>
      </c>
      <c r="AJ204" s="3">
        <f>IFERROR(__xludf.DUMMYFUNCTION("""COMPUTED_VALUE"""),140.0)</f>
        <v>140</v>
      </c>
      <c r="AK204" s="3"/>
      <c r="AL204" s="3" t="str">
        <f>IFERROR(__xludf.DUMMYFUNCTION("""COMPUTED_VALUE"""),"bmk_sm.kosumphisai@bigc.co.th")</f>
        <v>bmk_sm.kosumphisai@bigc.co.th</v>
      </c>
    </row>
    <row r="205" ht="15.75" customHeight="1">
      <c r="A205" s="1" t="str">
        <f>IFERROR(__xludf.DUMMYFUNCTION("""COMPUTED_VALUE"""),"15033")</f>
        <v>15033</v>
      </c>
      <c r="B205" s="2">
        <f>IFERROR(__xludf.DUMMYFUNCTION("""COMPUTED_VALUE"""),15033.0)</f>
        <v>15033</v>
      </c>
      <c r="C205" s="3" t="str">
        <f>IFERROR(__xludf.DUMMYFUNCTION("""COMPUTED_VALUE"""),"เสลภูมิ")</f>
        <v>เสลภูมิ</v>
      </c>
      <c r="D205" s="3" t="str">
        <f>IFERROR(__xludf.DUMMYFUNCTION("""COMPUTED_VALUE"""),"BIGC MARKET SELAPHUM")</f>
        <v>BIGC MARKET SELAPHUM</v>
      </c>
      <c r="E205" s="1" t="str">
        <f>IFERROR(__xludf.DUMMYFUNCTION("""COMPUTED_VALUE"""),"บิ๊กซี Market")</f>
        <v>บิ๊กซี Market</v>
      </c>
      <c r="F205" s="1" t="str">
        <f>IFERROR(__xludf.DUMMYFUNCTION("""COMPUTED_VALUE"""),"295801")</f>
        <v>295801</v>
      </c>
      <c r="G205" s="1" t="str">
        <f>IFERROR(__xludf.DUMMYFUNCTION("""COMPUTED_VALUE"""),"นายอรรถพล เหล่าสุวงศ์")</f>
        <v>นายอรรถพล เหล่าสุวงศ์</v>
      </c>
      <c r="H205" s="1" t="str">
        <f>IFERROR(__xludf.DUMMYFUNCTION("""COMPUTED_VALUE"""),"295801")</f>
        <v>295801</v>
      </c>
      <c r="I205" s="1" t="str">
        <f>IFERROR(__xludf.DUMMYFUNCTION("""COMPUTED_VALUE"""),"นายอรรถพล เหล่าสุวงศ์")</f>
        <v>นายอรรถพล เหล่าสุวงศ์</v>
      </c>
      <c r="J205" s="3">
        <f>IFERROR(__xludf.DUMMYFUNCTION("""COMPUTED_VALUE"""),295801.0)</f>
        <v>295801</v>
      </c>
      <c r="K205" s="3" t="str">
        <f>IFERROR(__xludf.DUMMYFUNCTION("""COMPUTED_VALUE"""),"นายอรรถพล เหล่าสุวงศ์")</f>
        <v>นายอรรถพล เหล่าสุวงศ์</v>
      </c>
      <c r="L205" s="1" t="str">
        <f>IFERROR(__xludf.DUMMYFUNCTION("""COMPUTED_VALUE"""),"Hub09-NE 1")</f>
        <v>Hub09-NE 1</v>
      </c>
      <c r="M205" s="1" t="str">
        <f>IFERROR(__xludf.DUMMYFUNCTION("""COMPUTED_VALUE"""),"0655090879")</f>
        <v>0655090879</v>
      </c>
      <c r="N205" s="3">
        <f>IFERROR(__xludf.DUMMYFUNCTION("""COMPUTED_VALUE"""),15033.0)</f>
        <v>15033</v>
      </c>
      <c r="O205" s="3" t="str">
        <f>IFERROR(__xludf.DUMMYFUNCTION("""COMPUTED_VALUE"""),"เสลภูมิ")</f>
        <v>เสลภูมิ</v>
      </c>
      <c r="P205" s="4">
        <f>IFERROR(__xludf.DUMMYFUNCTION("""COMPUTED_VALUE"""),41873.0)</f>
        <v>41873</v>
      </c>
      <c r="Q205" s="3" t="str">
        <f>IFERROR(__xludf.DUMMYFUNCTION("""COMPUTED_VALUE"""),"A")</f>
        <v>A</v>
      </c>
      <c r="R205" s="3" t="str">
        <f>IFERROR(__xludf.DUMMYFUNCTION("""COMPUTED_VALUE"""),"Big Format")</f>
        <v>Big Format</v>
      </c>
      <c r="S205" s="3" t="str">
        <f>IFERROR(__xludf.DUMMYFUNCTION("""COMPUTED_VALUE"""),"BMK")</f>
        <v>BMK</v>
      </c>
      <c r="T205" s="3" t="str">
        <f>IFERROR(__xludf.DUMMYFUNCTION("""COMPUTED_VALUE"""),"Hub09-NE 1")</f>
        <v>Hub09-NE 1</v>
      </c>
      <c r="U205" s="3" t="str">
        <f>IFERROR(__xludf.DUMMYFUNCTION("""COMPUTED_VALUE"""),"Hub09-NE 1")</f>
        <v>Hub09-NE 1</v>
      </c>
      <c r="V205" s="3" t="str">
        <f>IFERROR(__xludf.DUMMYFUNCTION("""COMPUTED_VALUE"""),"N")</f>
        <v>N</v>
      </c>
      <c r="W205" s="3">
        <f>IFERROR(__xludf.DUMMYFUNCTION("""COMPUTED_VALUE"""),151039.0)</f>
        <v>151039</v>
      </c>
      <c r="X205" s="3" t="str">
        <f>IFERROR(__xludf.DUMMYFUNCTION("""COMPUTED_VALUE"""),"144 หมู่ 11 ตำบลขวัญเมือง อำเภอเสลภูมิ จังหวัดร้อยเอ็ด 45120")</f>
        <v>144 หมู่ 11 ตำบลขวัญเมือง อำเภอเสลภูมิ จังหวัดร้อยเอ็ด 45120</v>
      </c>
      <c r="Y205" s="3"/>
      <c r="Z205" s="3" t="str">
        <f>IFERROR(__xludf.DUMMYFUNCTION("""COMPUTED_VALUE"""),"ขวัญเมือง")</f>
        <v>ขวัญเมือง</v>
      </c>
      <c r="AA205" s="3" t="str">
        <f>IFERROR(__xludf.DUMMYFUNCTION("""COMPUTED_VALUE"""),"เสลภูมิ")</f>
        <v>เสลภูมิ</v>
      </c>
      <c r="AB205" s="3" t="str">
        <f>IFERROR(__xludf.DUMMYFUNCTION("""COMPUTED_VALUE"""),"ร้อยเอ็ด")</f>
        <v>ร้อยเอ็ด</v>
      </c>
      <c r="AC205" s="3">
        <f>IFERROR(__xludf.DUMMYFUNCTION("""COMPUTED_VALUE"""),45120.0)</f>
        <v>45120</v>
      </c>
      <c r="AD205" s="3">
        <f>IFERROR(__xludf.DUMMYFUNCTION("""COMPUTED_VALUE"""),16.0237291)</f>
        <v>16.0237291</v>
      </c>
      <c r="AE205" s="3">
        <f>IFERROR(__xludf.DUMMYFUNCTION("""COMPUTED_VALUE"""),103.9445603)</f>
        <v>103.9445603</v>
      </c>
      <c r="AF205" s="3" t="str">
        <f>IFERROR(__xludf.DUMMYFUNCTION("""COMPUTED_VALUE"""),"เสลภูมิ-15033")</f>
        <v>เสลภูมิ-15033</v>
      </c>
      <c r="AG205" s="3" t="str">
        <f>IFERROR(__xludf.DUMMYFUNCTION("""COMPUTED_VALUE"""),"ตะวันออกเฉียงเหนือ")</f>
        <v>ตะวันออกเฉียงเหนือ</v>
      </c>
      <c r="AH205" s="3" t="str">
        <f>IFERROR(__xludf.DUMMYFUNCTION("""COMPUTED_VALUE"""),"K.Narabordee")</f>
        <v>K.Narabordee</v>
      </c>
      <c r="AI205" s="3" t="str">
        <f>IFERROR(__xludf.DUMMYFUNCTION("""COMPUTED_VALUE"""),"Out of warranty")</f>
        <v>Out of warranty</v>
      </c>
      <c r="AJ205" s="3">
        <f>IFERROR(__xludf.DUMMYFUNCTION("""COMPUTED_VALUE"""),137.0)</f>
        <v>137</v>
      </c>
      <c r="AK205" s="3"/>
      <c r="AL205" s="3" t="str">
        <f>IFERROR(__xludf.DUMMYFUNCTION("""COMPUTED_VALUE"""),"bmk_sm.selaphum@bigc.co.th")</f>
        <v>bmk_sm.selaphum@bigc.co.th</v>
      </c>
    </row>
    <row r="206" ht="15.75" customHeight="1">
      <c r="A206" s="1" t="str">
        <f>IFERROR(__xludf.DUMMYFUNCTION("""COMPUTED_VALUE"""),"15034")</f>
        <v>15034</v>
      </c>
      <c r="B206" s="2">
        <f>IFERROR(__xludf.DUMMYFUNCTION("""COMPUTED_VALUE"""),15034.0)</f>
        <v>15034</v>
      </c>
      <c r="C206" s="3" t="str">
        <f>IFERROR(__xludf.DUMMYFUNCTION("""COMPUTED_VALUE"""),"ตะกั่วป่า")</f>
        <v>ตะกั่วป่า</v>
      </c>
      <c r="D206" s="3" t="str">
        <f>IFERROR(__xludf.DUMMYFUNCTION("""COMPUTED_VALUE"""),"BIGC MARKET TAKUAPA")</f>
        <v>BIGC MARKET TAKUAPA</v>
      </c>
      <c r="E206" s="1" t="str">
        <f>IFERROR(__xludf.DUMMYFUNCTION("""COMPUTED_VALUE"""),"บิ๊กซี Market")</f>
        <v>บิ๊กซี Market</v>
      </c>
      <c r="F206" s="1" t="str">
        <f>IFERROR(__xludf.DUMMYFUNCTION("""COMPUTED_VALUE"""),"2454709")</f>
        <v>2454709</v>
      </c>
      <c r="G206" s="1" t="str">
        <f>IFERROR(__xludf.DUMMYFUNCTION("""COMPUTED_VALUE"""),"นายประชา เกตุชาติ")</f>
        <v>นายประชา เกตุชาติ</v>
      </c>
      <c r="H206" s="1" t="str">
        <f>IFERROR(__xludf.DUMMYFUNCTION("""COMPUTED_VALUE"""),"2454709")</f>
        <v>2454709</v>
      </c>
      <c r="I206" s="1" t="str">
        <f>IFERROR(__xludf.DUMMYFUNCTION("""COMPUTED_VALUE"""),"นายประชา เกตุชาติ")</f>
        <v>นายประชา เกตุชาติ</v>
      </c>
      <c r="J206" s="3">
        <f>IFERROR(__xludf.DUMMYFUNCTION("""COMPUTED_VALUE"""),2454709.0)</f>
        <v>2454709</v>
      </c>
      <c r="K206" s="3" t="str">
        <f>IFERROR(__xludf.DUMMYFUNCTION("""COMPUTED_VALUE"""),"นายประชา เกตุชาติ")</f>
        <v>นายประชา เกตุชาติ</v>
      </c>
      <c r="L206" s="1" t="str">
        <f>IFERROR(__xludf.DUMMYFUNCTION("""COMPUTED_VALUE"""),"Hub05-South")</f>
        <v>Hub05-South</v>
      </c>
      <c r="M206" s="1" t="str">
        <f>IFERROR(__xludf.DUMMYFUNCTION("""COMPUTED_VALUE"""),"0659291311")</f>
        <v>0659291311</v>
      </c>
      <c r="N206" s="3">
        <f>IFERROR(__xludf.DUMMYFUNCTION("""COMPUTED_VALUE"""),15034.0)</f>
        <v>15034</v>
      </c>
      <c r="O206" s="3" t="str">
        <f>IFERROR(__xludf.DUMMYFUNCTION("""COMPUTED_VALUE"""),"ตะกั่วป่า")</f>
        <v>ตะกั่วป่า</v>
      </c>
      <c r="P206" s="4">
        <f>IFERROR(__xludf.DUMMYFUNCTION("""COMPUTED_VALUE"""),41835.0)</f>
        <v>41835</v>
      </c>
      <c r="Q206" s="3" t="str">
        <f>IFERROR(__xludf.DUMMYFUNCTION("""COMPUTED_VALUE"""),"A")</f>
        <v>A</v>
      </c>
      <c r="R206" s="3" t="str">
        <f>IFERROR(__xludf.DUMMYFUNCTION("""COMPUTED_VALUE"""),"Big Format")</f>
        <v>Big Format</v>
      </c>
      <c r="S206" s="3" t="str">
        <f>IFERROR(__xludf.DUMMYFUNCTION("""COMPUTED_VALUE"""),"BMK")</f>
        <v>BMK</v>
      </c>
      <c r="T206" s="3" t="str">
        <f>IFERROR(__xludf.DUMMYFUNCTION("""COMPUTED_VALUE"""),"Hub05-South")</f>
        <v>Hub05-South</v>
      </c>
      <c r="U206" s="3" t="str">
        <f>IFERROR(__xludf.DUMMYFUNCTION("""COMPUTED_VALUE"""),"Hub05-South")</f>
        <v>Hub05-South</v>
      </c>
      <c r="V206" s="3" t="str">
        <f>IFERROR(__xludf.DUMMYFUNCTION("""COMPUTED_VALUE"""),"N")</f>
        <v>N</v>
      </c>
      <c r="W206" s="3">
        <f>IFERROR(__xludf.DUMMYFUNCTION("""COMPUTED_VALUE"""),151040.0)</f>
        <v>151040</v>
      </c>
      <c r="X206" s="3" t="str">
        <f>IFERROR(__xludf.DUMMYFUNCTION("""COMPUTED_VALUE"""),"2/33 หมู่ 2 ตำบลบางนายสี อำเภอตะกั่วป่า จังหวัดพังงา 82110")</f>
        <v>2/33 หมู่ 2 ตำบลบางนายสี อำเภอตะกั่วป่า จังหวัดพังงา 82110</v>
      </c>
      <c r="Y206" s="3"/>
      <c r="Z206" s="3" t="str">
        <f>IFERROR(__xludf.DUMMYFUNCTION("""COMPUTED_VALUE"""),"บางนายสี")</f>
        <v>บางนายสี</v>
      </c>
      <c r="AA206" s="3" t="str">
        <f>IFERROR(__xludf.DUMMYFUNCTION("""COMPUTED_VALUE"""),"ตะกั่วป่า")</f>
        <v>ตะกั่วป่า</v>
      </c>
      <c r="AB206" s="3" t="str">
        <f>IFERROR(__xludf.DUMMYFUNCTION("""COMPUTED_VALUE"""),"พังงา")</f>
        <v>พังงา</v>
      </c>
      <c r="AC206" s="3">
        <f>IFERROR(__xludf.DUMMYFUNCTION("""COMPUTED_VALUE"""),82110.0)</f>
        <v>82110</v>
      </c>
      <c r="AD206" s="3">
        <f>IFERROR(__xludf.DUMMYFUNCTION("""COMPUTED_VALUE"""),8.8692043)</f>
        <v>8.8692043</v>
      </c>
      <c r="AE206" s="3">
        <f>IFERROR(__xludf.DUMMYFUNCTION("""COMPUTED_VALUE"""),98.3372697)</f>
        <v>98.3372697</v>
      </c>
      <c r="AF206" s="3" t="str">
        <f>IFERROR(__xludf.DUMMYFUNCTION("""COMPUTED_VALUE"""),"ตะกั่วป่า-15034")</f>
        <v>ตะกั่วป่า-15034</v>
      </c>
      <c r="AG206" s="3" t="str">
        <f>IFERROR(__xludf.DUMMYFUNCTION("""COMPUTED_VALUE"""),"ใต้")</f>
        <v>ใต้</v>
      </c>
      <c r="AH206" s="3" t="str">
        <f>IFERROR(__xludf.DUMMYFUNCTION("""COMPUTED_VALUE"""),"Suwadee Intachart")</f>
        <v>Suwadee Intachart</v>
      </c>
      <c r="AI206" s="3" t="str">
        <f>IFERROR(__xludf.DUMMYFUNCTION("""COMPUTED_VALUE"""),"Out of warranty")</f>
        <v>Out of warranty</v>
      </c>
      <c r="AJ206" s="3">
        <f>IFERROR(__xludf.DUMMYFUNCTION("""COMPUTED_VALUE"""),139.0)</f>
        <v>139</v>
      </c>
      <c r="AK206" s="3"/>
      <c r="AL206" s="3" t="str">
        <f>IFERROR(__xludf.DUMMYFUNCTION("""COMPUTED_VALUE"""),"bmk_sm.takuapa@bigc.co.th")</f>
        <v>bmk_sm.takuapa@bigc.co.th</v>
      </c>
    </row>
    <row r="207" ht="15.75" customHeight="1">
      <c r="A207" s="1" t="str">
        <f>IFERROR(__xludf.DUMMYFUNCTION("""COMPUTED_VALUE"""),"15035")</f>
        <v>15035</v>
      </c>
      <c r="B207" s="2">
        <f>IFERROR(__xludf.DUMMYFUNCTION("""COMPUTED_VALUE"""),15035.0)</f>
        <v>15035</v>
      </c>
      <c r="C207" s="3" t="str">
        <f>IFERROR(__xludf.DUMMYFUNCTION("""COMPUTED_VALUE"""),"บางมูลนาก")</f>
        <v>บางมูลนาก</v>
      </c>
      <c r="D207" s="3" t="str">
        <f>IFERROR(__xludf.DUMMYFUNCTION("""COMPUTED_VALUE"""),"BIGC MARKET BANGMUNNAK")</f>
        <v>BIGC MARKET BANGMUNNAK</v>
      </c>
      <c r="E207" s="1" t="str">
        <f>IFERROR(__xludf.DUMMYFUNCTION("""COMPUTED_VALUE"""),"บิ๊กซี Market")</f>
        <v>บิ๊กซี Market</v>
      </c>
      <c r="F207" s="1" t="str">
        <f>IFERROR(__xludf.DUMMYFUNCTION("""COMPUTED_VALUE"""),"000348")</f>
        <v>000348</v>
      </c>
      <c r="G207" s="1" t="str">
        <f>IFERROR(__xludf.DUMMYFUNCTION("""COMPUTED_VALUE"""),"นายธีรนันท์ ไม้สนธิ์")</f>
        <v>นายธีรนันท์ ไม้สนธิ์</v>
      </c>
      <c r="H207" s="1" t="str">
        <f>IFERROR(__xludf.DUMMYFUNCTION("""COMPUTED_VALUE"""),"000348")</f>
        <v>000348</v>
      </c>
      <c r="I207" s="1" t="str">
        <f>IFERROR(__xludf.DUMMYFUNCTION("""COMPUTED_VALUE"""),"นายธีรนันท์ ไม้สนธิ์")</f>
        <v>นายธีรนันท์ ไม้สนธิ์</v>
      </c>
      <c r="J207" s="3">
        <f>IFERROR(__xludf.DUMMYFUNCTION("""COMPUTED_VALUE"""),348.0)</f>
        <v>348</v>
      </c>
      <c r="K207" s="3" t="str">
        <f>IFERROR(__xludf.DUMMYFUNCTION("""COMPUTED_VALUE"""),"นายธีรนันท์ ไม้สนธิ์")</f>
        <v>นายธีรนันท์ ไม้สนธิ์</v>
      </c>
      <c r="L207" s="1" t="str">
        <f>IFERROR(__xludf.DUMMYFUNCTION("""COMPUTED_VALUE"""),"Hub07-North")</f>
        <v>Hub07-North</v>
      </c>
      <c r="M207" s="1" t="str">
        <f>IFERROR(__xludf.DUMMYFUNCTION("""COMPUTED_VALUE"""),"0614175866")</f>
        <v>0614175866</v>
      </c>
      <c r="N207" s="3">
        <f>IFERROR(__xludf.DUMMYFUNCTION("""COMPUTED_VALUE"""),15035.0)</f>
        <v>15035</v>
      </c>
      <c r="O207" s="3" t="str">
        <f>IFERROR(__xludf.DUMMYFUNCTION("""COMPUTED_VALUE"""),"บางมูลนาก")</f>
        <v>บางมูลนาก</v>
      </c>
      <c r="P207" s="4">
        <f>IFERROR(__xludf.DUMMYFUNCTION("""COMPUTED_VALUE"""),41887.0)</f>
        <v>41887</v>
      </c>
      <c r="Q207" s="3" t="str">
        <f>IFERROR(__xludf.DUMMYFUNCTION("""COMPUTED_VALUE"""),"A")</f>
        <v>A</v>
      </c>
      <c r="R207" s="3" t="str">
        <f>IFERROR(__xludf.DUMMYFUNCTION("""COMPUTED_VALUE"""),"Big Format")</f>
        <v>Big Format</v>
      </c>
      <c r="S207" s="3" t="str">
        <f>IFERROR(__xludf.DUMMYFUNCTION("""COMPUTED_VALUE"""),"BMK")</f>
        <v>BMK</v>
      </c>
      <c r="T207" s="3" t="str">
        <f>IFERROR(__xludf.DUMMYFUNCTION("""COMPUTED_VALUE"""),"Hub07-North")</f>
        <v>Hub07-North</v>
      </c>
      <c r="U207" s="3" t="str">
        <f>IFERROR(__xludf.DUMMYFUNCTION("""COMPUTED_VALUE"""),"Hub07-North")</f>
        <v>Hub07-North</v>
      </c>
      <c r="V207" s="3" t="str">
        <f>IFERROR(__xludf.DUMMYFUNCTION("""COMPUTED_VALUE"""),"N")</f>
        <v>N</v>
      </c>
      <c r="W207" s="3">
        <f>IFERROR(__xludf.DUMMYFUNCTION("""COMPUTED_VALUE"""),151041.0)</f>
        <v>151041</v>
      </c>
      <c r="X207" s="3" t="str">
        <f>IFERROR(__xludf.DUMMYFUNCTION("""COMPUTED_VALUE"""),"62/27 หมู่ 9 ตำบลหอไกร อำเภอบางมูลนาก จังหวัดพิจิตร 66120")</f>
        <v>62/27 หมู่ 9 ตำบลหอไกร อำเภอบางมูลนาก จังหวัดพิจิตร 66120</v>
      </c>
      <c r="Y207" s="3"/>
      <c r="Z207" s="3" t="str">
        <f>IFERROR(__xludf.DUMMYFUNCTION("""COMPUTED_VALUE"""),"หอไกร")</f>
        <v>หอไกร</v>
      </c>
      <c r="AA207" s="3" t="str">
        <f>IFERROR(__xludf.DUMMYFUNCTION("""COMPUTED_VALUE"""),"บางมูลนาก")</f>
        <v>บางมูลนาก</v>
      </c>
      <c r="AB207" s="3" t="str">
        <f>IFERROR(__xludf.DUMMYFUNCTION("""COMPUTED_VALUE"""),"พิจิตร")</f>
        <v>พิจิตร</v>
      </c>
      <c r="AC207" s="3">
        <f>IFERROR(__xludf.DUMMYFUNCTION("""COMPUTED_VALUE"""),66120.0)</f>
        <v>66120</v>
      </c>
      <c r="AD207" s="3">
        <f>IFERROR(__xludf.DUMMYFUNCTION("""COMPUTED_VALUE"""),16.0353051)</f>
        <v>16.0353051</v>
      </c>
      <c r="AE207" s="3">
        <f>IFERROR(__xludf.DUMMYFUNCTION("""COMPUTED_VALUE"""),100.3698113)</f>
        <v>100.3698113</v>
      </c>
      <c r="AF207" s="3" t="str">
        <f>IFERROR(__xludf.DUMMYFUNCTION("""COMPUTED_VALUE"""),"บางมูลนาก-15035")</f>
        <v>บางมูลนาก-15035</v>
      </c>
      <c r="AG207" s="3" t="str">
        <f>IFERROR(__xludf.DUMMYFUNCTION("""COMPUTED_VALUE"""),"กลาง")</f>
        <v>กลาง</v>
      </c>
      <c r="AH207" s="3" t="str">
        <f>IFERROR(__xludf.DUMMYFUNCTION("""COMPUTED_VALUE"""),"Wichai Soomboonsod")</f>
        <v>Wichai Soomboonsod</v>
      </c>
      <c r="AI207" s="3" t="str">
        <f>IFERROR(__xludf.DUMMYFUNCTION("""COMPUTED_VALUE"""),"Out of warranty")</f>
        <v>Out of warranty</v>
      </c>
      <c r="AJ207" s="3">
        <f>IFERROR(__xludf.DUMMYFUNCTION("""COMPUTED_VALUE"""),137.0)</f>
        <v>137</v>
      </c>
      <c r="AK207" s="3"/>
      <c r="AL207" s="3" t="str">
        <f>IFERROR(__xludf.DUMMYFUNCTION("""COMPUTED_VALUE"""),"bmk_sm.bangmunnak@bigc.co.th")</f>
        <v>bmk_sm.bangmunnak@bigc.co.th</v>
      </c>
    </row>
    <row r="208" ht="15.75" customHeight="1">
      <c r="A208" s="1" t="str">
        <f>IFERROR(__xludf.DUMMYFUNCTION("""COMPUTED_VALUE"""),"15036")</f>
        <v>15036</v>
      </c>
      <c r="B208" s="2">
        <f>IFERROR(__xludf.DUMMYFUNCTION("""COMPUTED_VALUE"""),15036.0)</f>
        <v>15036</v>
      </c>
      <c r="C208" s="3" t="str">
        <f>IFERROR(__xludf.DUMMYFUNCTION("""COMPUTED_VALUE"""),"บ้านตาขุน")</f>
        <v>บ้านตาขุน</v>
      </c>
      <c r="D208" s="3" t="str">
        <f>IFERROR(__xludf.DUMMYFUNCTION("""COMPUTED_VALUE"""),"BIGC MARKET BANTAKHUN")</f>
        <v>BIGC MARKET BANTAKHUN</v>
      </c>
      <c r="E208" s="1" t="str">
        <f>IFERROR(__xludf.DUMMYFUNCTION("""COMPUTED_VALUE"""),"บิ๊กซี Market")</f>
        <v>บิ๊กซี Market</v>
      </c>
      <c r="F208" s="1" t="str">
        <f>IFERROR(__xludf.DUMMYFUNCTION("""COMPUTED_VALUE"""),"295093")</f>
        <v>295093</v>
      </c>
      <c r="G208" s="1" t="str">
        <f>IFERROR(__xludf.DUMMYFUNCTION("""COMPUTED_VALUE"""),"นายธนทร แก้วอนุรักษ์")</f>
        <v>นายธนทร แก้วอนุรักษ์</v>
      </c>
      <c r="H208" s="1" t="str">
        <f>IFERROR(__xludf.DUMMYFUNCTION("""COMPUTED_VALUE"""),"295093")</f>
        <v>295093</v>
      </c>
      <c r="I208" s="1" t="str">
        <f>IFERROR(__xludf.DUMMYFUNCTION("""COMPUTED_VALUE"""),"นายธนทร แก้วอนุรักษ์")</f>
        <v>นายธนทร แก้วอนุรักษ์</v>
      </c>
      <c r="J208" s="3">
        <f>IFERROR(__xludf.DUMMYFUNCTION("""COMPUTED_VALUE"""),295093.0)</f>
        <v>295093</v>
      </c>
      <c r="K208" s="3" t="str">
        <f>IFERROR(__xludf.DUMMYFUNCTION("""COMPUTED_VALUE"""),"นายธนทร แก้วอนุรักษ์")</f>
        <v>นายธนทร แก้วอนุรักษ์</v>
      </c>
      <c r="L208" s="1" t="str">
        <f>IFERROR(__xludf.DUMMYFUNCTION("""COMPUTED_VALUE"""),"0")</f>
        <v>0</v>
      </c>
      <c r="M208" s="1" t="str">
        <f>IFERROR(__xludf.DUMMYFUNCTION("""COMPUTED_VALUE"""),"0")</f>
        <v>0</v>
      </c>
      <c r="N208" s="3">
        <f>IFERROR(__xludf.DUMMYFUNCTION("""COMPUTED_VALUE"""),15036.0)</f>
        <v>15036</v>
      </c>
      <c r="O208" s="3" t="str">
        <f>IFERROR(__xludf.DUMMYFUNCTION("""COMPUTED_VALUE"""),"บ้านตาขุน")</f>
        <v>บ้านตาขุน</v>
      </c>
      <c r="P208" s="4">
        <f>IFERROR(__xludf.DUMMYFUNCTION("""COMPUTED_VALUE"""),41922.0)</f>
        <v>41922</v>
      </c>
      <c r="Q208" s="3" t="str">
        <f>IFERROR(__xludf.DUMMYFUNCTION("""COMPUTED_VALUE"""),"I")</f>
        <v>I</v>
      </c>
      <c r="R208" s="3" t="str">
        <f>IFERROR(__xludf.DUMMYFUNCTION("""COMPUTED_VALUE"""),"Big Format")</f>
        <v>Big Format</v>
      </c>
      <c r="S208" s="3" t="str">
        <f>IFERROR(__xludf.DUMMYFUNCTION("""COMPUTED_VALUE"""),"BMK")</f>
        <v>BMK</v>
      </c>
      <c r="T208" s="3" t="str">
        <f>IFERROR(__xludf.DUMMYFUNCTION("""COMPUTED_VALUE"""),"#N/A")</f>
        <v>#N/A</v>
      </c>
      <c r="U208" s="3" t="str">
        <f>IFERROR(__xludf.DUMMYFUNCTION("""COMPUTED_VALUE"""),"#N/A")</f>
        <v>#N/A</v>
      </c>
      <c r="V208" s="3" t="str">
        <f>IFERROR(__xludf.DUMMYFUNCTION("""COMPUTED_VALUE"""),"N")</f>
        <v>N</v>
      </c>
      <c r="W208" s="3">
        <f>IFERROR(__xludf.DUMMYFUNCTION("""COMPUTED_VALUE"""),151042.0)</f>
        <v>151042</v>
      </c>
      <c r="X208" s="3" t="str">
        <f>IFERROR(__xludf.DUMMYFUNCTION("""COMPUTED_VALUE"""),"35/3 หมู่ 3 ตำบลเขาวง อำเภอบ้านตาขุน จังหวัดสุราษฎร์ธานี 84230")</f>
        <v>35/3 หมู่ 3 ตำบลเขาวง อำเภอบ้านตาขุน จังหวัดสุราษฎร์ธานี 84230</v>
      </c>
      <c r="Y208" s="3"/>
      <c r="Z208" s="3" t="str">
        <f>IFERROR(__xludf.DUMMYFUNCTION("""COMPUTED_VALUE"""),"เขาวง")</f>
        <v>เขาวง</v>
      </c>
      <c r="AA208" s="3" t="str">
        <f>IFERROR(__xludf.DUMMYFUNCTION("""COMPUTED_VALUE"""),"บ้านตาขุน")</f>
        <v>บ้านตาขุน</v>
      </c>
      <c r="AB208" s="3" t="str">
        <f>IFERROR(__xludf.DUMMYFUNCTION("""COMPUTED_VALUE"""),"สุราษฎร์ธานี")</f>
        <v>สุราษฎร์ธานี</v>
      </c>
      <c r="AC208" s="3">
        <f>IFERROR(__xludf.DUMMYFUNCTION("""COMPUTED_VALUE"""),84230.0)</f>
        <v>84230</v>
      </c>
      <c r="AD208" s="3">
        <f>IFERROR(__xludf.DUMMYFUNCTION("""COMPUTED_VALUE"""),8.9162482)</f>
        <v>8.9162482</v>
      </c>
      <c r="AE208" s="3">
        <f>IFERROR(__xludf.DUMMYFUNCTION("""COMPUTED_VALUE"""),98.8873872)</f>
        <v>98.8873872</v>
      </c>
      <c r="AF208" s="3" t="str">
        <f>IFERROR(__xludf.DUMMYFUNCTION("""COMPUTED_VALUE"""),"บ้านตาขุน-15036")</f>
        <v>บ้านตาขุน-15036</v>
      </c>
      <c r="AG208" s="3" t="str">
        <f>IFERROR(__xludf.DUMMYFUNCTION("""COMPUTED_VALUE"""),"ใต้")</f>
        <v>ใต้</v>
      </c>
      <c r="AH208" s="3" t="str">
        <f>IFERROR(__xludf.DUMMYFUNCTION("""COMPUTED_VALUE"""),"#N/A")</f>
        <v>#N/A</v>
      </c>
      <c r="AI208" s="3" t="str">
        <f>IFERROR(__xludf.DUMMYFUNCTION("""COMPUTED_VALUE"""),"Out of warranty")</f>
        <v>Out of warranty</v>
      </c>
      <c r="AJ208" s="3">
        <f>IFERROR(__xludf.DUMMYFUNCTION("""COMPUTED_VALUE"""),136.0)</f>
        <v>136</v>
      </c>
      <c r="AK208" s="3"/>
      <c r="AL208" s="3" t="str">
        <f>IFERROR(__xludf.DUMMYFUNCTION("""COMPUTED_VALUE"""),"#N/A")</f>
        <v>#N/A</v>
      </c>
    </row>
    <row r="209" ht="15.75" customHeight="1">
      <c r="A209" s="1" t="str">
        <f>IFERROR(__xludf.DUMMYFUNCTION("""COMPUTED_VALUE"""),"15037")</f>
        <v>15037</v>
      </c>
      <c r="B209" s="2">
        <f>IFERROR(__xludf.DUMMYFUNCTION("""COMPUTED_VALUE"""),15037.0)</f>
        <v>15037</v>
      </c>
      <c r="C209" s="3" t="str">
        <f>IFERROR(__xludf.DUMMYFUNCTION("""COMPUTED_VALUE"""),"ประโคนชัย")</f>
        <v>ประโคนชัย</v>
      </c>
      <c r="D209" s="3" t="str">
        <f>IFERROR(__xludf.DUMMYFUNCTION("""COMPUTED_VALUE"""),"BIGC MARKET PRAKHONCHAI")</f>
        <v>BIGC MARKET PRAKHONCHAI</v>
      </c>
      <c r="E209" s="1" t="str">
        <f>IFERROR(__xludf.DUMMYFUNCTION("""COMPUTED_VALUE"""),"บิ๊กซี Market")</f>
        <v>บิ๊กซี Market</v>
      </c>
      <c r="F209" s="1" t="str">
        <f>IFERROR(__xludf.DUMMYFUNCTION("""COMPUTED_VALUE"""),"033317")</f>
        <v>033317</v>
      </c>
      <c r="G209" s="1" t="str">
        <f>IFERROR(__xludf.DUMMYFUNCTION("""COMPUTED_VALUE"""),"นายอาณัติ เพชรภาน")</f>
        <v>นายอาณัติ เพชรภาน</v>
      </c>
      <c r="H209" s="1" t="str">
        <f>IFERROR(__xludf.DUMMYFUNCTION("""COMPUTED_VALUE"""),"033317")</f>
        <v>033317</v>
      </c>
      <c r="I209" s="1" t="str">
        <f>IFERROR(__xludf.DUMMYFUNCTION("""COMPUTED_VALUE"""),"นายอาณัติ เพชรภาน")</f>
        <v>นายอาณัติ เพชรภาน</v>
      </c>
      <c r="J209" s="3">
        <f>IFERROR(__xludf.DUMMYFUNCTION("""COMPUTED_VALUE"""),33317.0)</f>
        <v>33317</v>
      </c>
      <c r="K209" s="3" t="str">
        <f>IFERROR(__xludf.DUMMYFUNCTION("""COMPUTED_VALUE"""),"นายอาณัติ เพชรภาน")</f>
        <v>นายอาณัติ เพชรภาน</v>
      </c>
      <c r="L209" s="1" t="str">
        <f>IFERROR(__xludf.DUMMYFUNCTION("""COMPUTED_VALUE"""),"Hub10-NE 2")</f>
        <v>Hub10-NE 2</v>
      </c>
      <c r="M209" s="1" t="str">
        <f>IFERROR(__xludf.DUMMYFUNCTION("""COMPUTED_VALUE"""),"0644791409")</f>
        <v>0644791409</v>
      </c>
      <c r="N209" s="3">
        <f>IFERROR(__xludf.DUMMYFUNCTION("""COMPUTED_VALUE"""),15037.0)</f>
        <v>15037</v>
      </c>
      <c r="O209" s="3" t="str">
        <f>IFERROR(__xludf.DUMMYFUNCTION("""COMPUTED_VALUE"""),"ประโคนชัย")</f>
        <v>ประโคนชัย</v>
      </c>
      <c r="P209" s="4">
        <f>IFERROR(__xludf.DUMMYFUNCTION("""COMPUTED_VALUE"""),41985.0)</f>
        <v>41985</v>
      </c>
      <c r="Q209" s="3" t="str">
        <f>IFERROR(__xludf.DUMMYFUNCTION("""COMPUTED_VALUE"""),"I")</f>
        <v>I</v>
      </c>
      <c r="R209" s="3" t="str">
        <f>IFERROR(__xludf.DUMMYFUNCTION("""COMPUTED_VALUE"""),"Big Format")</f>
        <v>Big Format</v>
      </c>
      <c r="S209" s="3" t="str">
        <f>IFERROR(__xludf.DUMMYFUNCTION("""COMPUTED_VALUE"""),"BMK")</f>
        <v>BMK</v>
      </c>
      <c r="T209" s="3" t="str">
        <f>IFERROR(__xludf.DUMMYFUNCTION("""COMPUTED_VALUE"""),"Hub10-NE 2")</f>
        <v>Hub10-NE 2</v>
      </c>
      <c r="U209" s="3" t="str">
        <f>IFERROR(__xludf.DUMMYFUNCTION("""COMPUTED_VALUE"""),"Hub10-NE 2")</f>
        <v>Hub10-NE 2</v>
      </c>
      <c r="V209" s="3" t="str">
        <f>IFERROR(__xludf.DUMMYFUNCTION("""COMPUTED_VALUE"""),"N")</f>
        <v>N</v>
      </c>
      <c r="W209" s="3">
        <f>IFERROR(__xludf.DUMMYFUNCTION("""COMPUTED_VALUE"""),0.0)</f>
        <v>0</v>
      </c>
      <c r="X209" s="3" t="str">
        <f>IFERROR(__xludf.DUMMYFUNCTION("""COMPUTED_VALUE"""),"235 หมู่ 6 ตำบลประโคนชัย อำเภอประโคนชัย จังหวัดบุรีรัมย์ 31140")</f>
        <v>235 หมู่ 6 ตำบลประโคนชัย อำเภอประโคนชัย จังหวัดบุรีรัมย์ 31140</v>
      </c>
      <c r="Y209" s="3"/>
      <c r="Z209" s="3" t="str">
        <f>IFERROR(__xludf.DUMMYFUNCTION("""COMPUTED_VALUE"""),"ประโคนชัย")</f>
        <v>ประโคนชัย</v>
      </c>
      <c r="AA209" s="3" t="str">
        <f>IFERROR(__xludf.DUMMYFUNCTION("""COMPUTED_VALUE"""),"ประโคนชัย")</f>
        <v>ประโคนชัย</v>
      </c>
      <c r="AB209" s="3" t="str">
        <f>IFERROR(__xludf.DUMMYFUNCTION("""COMPUTED_VALUE"""),"บุรีรัมย์")</f>
        <v>บุรีรัมย์</v>
      </c>
      <c r="AC209" s="3">
        <f>IFERROR(__xludf.DUMMYFUNCTION("""COMPUTED_VALUE"""),31140.0)</f>
        <v>31140</v>
      </c>
      <c r="AD209" s="3">
        <f>IFERROR(__xludf.DUMMYFUNCTION("""COMPUTED_VALUE"""),14.6026355)</f>
        <v>14.6026355</v>
      </c>
      <c r="AE209" s="3">
        <f>IFERROR(__xludf.DUMMYFUNCTION("""COMPUTED_VALUE"""),103.0798841)</f>
        <v>103.0798841</v>
      </c>
      <c r="AF209" s="3" t="str">
        <f>IFERROR(__xludf.DUMMYFUNCTION("""COMPUTED_VALUE"""),"ประโคนชัย-15037")</f>
        <v>ประโคนชัย-15037</v>
      </c>
      <c r="AG209" s="3" t="str">
        <f>IFERROR(__xludf.DUMMYFUNCTION("""COMPUTED_VALUE"""),"ตะวันออกเฉียงเหนือ")</f>
        <v>ตะวันออกเฉียงเหนือ</v>
      </c>
      <c r="AH209" s="3" t="str">
        <f>IFERROR(__xludf.DUMMYFUNCTION("""COMPUTED_VALUE"""),"#N/A")</f>
        <v>#N/A</v>
      </c>
      <c r="AI209" s="3" t="str">
        <f>IFERROR(__xludf.DUMMYFUNCTION("""COMPUTED_VALUE"""),"Out of warranty")</f>
        <v>Out of warranty</v>
      </c>
      <c r="AJ209" s="3">
        <f>IFERROR(__xludf.DUMMYFUNCTION("""COMPUTED_VALUE"""),134.0)</f>
        <v>134</v>
      </c>
      <c r="AK209" s="3"/>
      <c r="AL209" s="3" t="str">
        <f>IFERROR(__xludf.DUMMYFUNCTION("""COMPUTED_VALUE"""),"#N/A")</f>
        <v>#N/A</v>
      </c>
    </row>
    <row r="210" ht="15.75" customHeight="1">
      <c r="A210" s="1" t="str">
        <f>IFERROR(__xludf.DUMMYFUNCTION("""COMPUTED_VALUE"""),"15038")</f>
        <v>15038</v>
      </c>
      <c r="B210" s="2">
        <f>IFERROR(__xludf.DUMMYFUNCTION("""COMPUTED_VALUE"""),15038.0)</f>
        <v>15038</v>
      </c>
      <c r="C210" s="3" t="str">
        <f>IFERROR(__xludf.DUMMYFUNCTION("""COMPUTED_VALUE"""),"สีคิ้ว")</f>
        <v>สีคิ้ว</v>
      </c>
      <c r="D210" s="3" t="str">
        <f>IFERROR(__xludf.DUMMYFUNCTION("""COMPUTED_VALUE"""),"BIGC MARKET SIKHIO")</f>
        <v>BIGC MARKET SIKHIO</v>
      </c>
      <c r="E210" s="1" t="str">
        <f>IFERROR(__xludf.DUMMYFUNCTION("""COMPUTED_VALUE"""),"บิ๊กซี Market")</f>
        <v>บิ๊กซี Market</v>
      </c>
      <c r="F210" s="1" t="str">
        <f>IFERROR(__xludf.DUMMYFUNCTION("""COMPUTED_VALUE"""),"033317")</f>
        <v>033317</v>
      </c>
      <c r="G210" s="1" t="str">
        <f>IFERROR(__xludf.DUMMYFUNCTION("""COMPUTED_VALUE"""),"นายอาณัติ เพชรภาน")</f>
        <v>นายอาณัติ เพชรภาน</v>
      </c>
      <c r="H210" s="1" t="str">
        <f>IFERROR(__xludf.DUMMYFUNCTION("""COMPUTED_VALUE"""),"033317")</f>
        <v>033317</v>
      </c>
      <c r="I210" s="1" t="str">
        <f>IFERROR(__xludf.DUMMYFUNCTION("""COMPUTED_VALUE"""),"นายอาณัติ เพชรภาน")</f>
        <v>นายอาณัติ เพชรภาน</v>
      </c>
      <c r="J210" s="3">
        <f>IFERROR(__xludf.DUMMYFUNCTION("""COMPUTED_VALUE"""),33317.0)</f>
        <v>33317</v>
      </c>
      <c r="K210" s="3" t="str">
        <f>IFERROR(__xludf.DUMMYFUNCTION("""COMPUTED_VALUE"""),"นายอาณัติ เพชรภาน")</f>
        <v>นายอาณัติ เพชรภาน</v>
      </c>
      <c r="L210" s="1" t="str">
        <f>IFERROR(__xludf.DUMMYFUNCTION("""COMPUTED_VALUE"""),"Hub10-NE 2")</f>
        <v>Hub10-NE 2</v>
      </c>
      <c r="M210" s="1" t="str">
        <f>IFERROR(__xludf.DUMMYFUNCTION("""COMPUTED_VALUE"""),"0644791409")</f>
        <v>0644791409</v>
      </c>
      <c r="N210" s="3">
        <f>IFERROR(__xludf.DUMMYFUNCTION("""COMPUTED_VALUE"""),15038.0)</f>
        <v>15038</v>
      </c>
      <c r="O210" s="3" t="str">
        <f>IFERROR(__xludf.DUMMYFUNCTION("""COMPUTED_VALUE"""),"สีคิ้ว")</f>
        <v>สีคิ้ว</v>
      </c>
      <c r="P210" s="4">
        <f>IFERROR(__xludf.DUMMYFUNCTION("""COMPUTED_VALUE"""),42125.0)</f>
        <v>42125</v>
      </c>
      <c r="Q210" s="3" t="str">
        <f>IFERROR(__xludf.DUMMYFUNCTION("""COMPUTED_VALUE"""),"A")</f>
        <v>A</v>
      </c>
      <c r="R210" s="3" t="str">
        <f>IFERROR(__xludf.DUMMYFUNCTION("""COMPUTED_VALUE"""),"Big Format")</f>
        <v>Big Format</v>
      </c>
      <c r="S210" s="3" t="str">
        <f>IFERROR(__xludf.DUMMYFUNCTION("""COMPUTED_VALUE"""),"BMK")</f>
        <v>BMK</v>
      </c>
      <c r="T210" s="3" t="str">
        <f>IFERROR(__xludf.DUMMYFUNCTION("""COMPUTED_VALUE"""),"Hub10-NE 2")</f>
        <v>Hub10-NE 2</v>
      </c>
      <c r="U210" s="3" t="str">
        <f>IFERROR(__xludf.DUMMYFUNCTION("""COMPUTED_VALUE"""),"Hub10-NE 2")</f>
        <v>Hub10-NE 2</v>
      </c>
      <c r="V210" s="3" t="str">
        <f>IFERROR(__xludf.DUMMYFUNCTION("""COMPUTED_VALUE"""),"N")</f>
        <v>N</v>
      </c>
      <c r="W210" s="3">
        <f>IFERROR(__xludf.DUMMYFUNCTION("""COMPUTED_VALUE"""),151044.0)</f>
        <v>151044</v>
      </c>
      <c r="X210" s="3" t="str">
        <f>IFERROR(__xludf.DUMMYFUNCTION("""COMPUTED_VALUE"""),"307 หมู่ 9 ตำบลสีคิ้ว อำเภอสีคิ้ว จังหวัดนครราชสีมา 30140")</f>
        <v>307 หมู่ 9 ตำบลสีคิ้ว อำเภอสีคิ้ว จังหวัดนครราชสีมา 30140</v>
      </c>
      <c r="Y210" s="3"/>
      <c r="Z210" s="3" t="str">
        <f>IFERROR(__xludf.DUMMYFUNCTION("""COMPUTED_VALUE"""),"สีคิ้ว")</f>
        <v>สีคิ้ว</v>
      </c>
      <c r="AA210" s="3" t="str">
        <f>IFERROR(__xludf.DUMMYFUNCTION("""COMPUTED_VALUE"""),"สีคิ้ว")</f>
        <v>สีคิ้ว</v>
      </c>
      <c r="AB210" s="3" t="str">
        <f>IFERROR(__xludf.DUMMYFUNCTION("""COMPUTED_VALUE"""),"นครราชสีมา")</f>
        <v>นครราชสีมา</v>
      </c>
      <c r="AC210" s="3">
        <f>IFERROR(__xludf.DUMMYFUNCTION("""COMPUTED_VALUE"""),30140.0)</f>
        <v>30140</v>
      </c>
      <c r="AD210" s="3">
        <f>IFERROR(__xludf.DUMMYFUNCTION("""COMPUTED_VALUE"""),14.8836204)</f>
        <v>14.8836204</v>
      </c>
      <c r="AE210" s="3">
        <f>IFERROR(__xludf.DUMMYFUNCTION("""COMPUTED_VALUE"""),101.7225864)</f>
        <v>101.7225864</v>
      </c>
      <c r="AF210" s="3" t="str">
        <f>IFERROR(__xludf.DUMMYFUNCTION("""COMPUTED_VALUE"""),"สีคิ้ว-15038")</f>
        <v>สีคิ้ว-15038</v>
      </c>
      <c r="AG210" s="3" t="str">
        <f>IFERROR(__xludf.DUMMYFUNCTION("""COMPUTED_VALUE"""),"ตะวันออกเฉียงเหนือ")</f>
        <v>ตะวันออกเฉียงเหนือ</v>
      </c>
      <c r="AH210" s="3" t="str">
        <f>IFERROR(__xludf.DUMMYFUNCTION("""COMPUTED_VALUE"""),"Pajaob Wongpakdee")</f>
        <v>Pajaob Wongpakdee</v>
      </c>
      <c r="AI210" s="3" t="str">
        <f>IFERROR(__xludf.DUMMYFUNCTION("""COMPUTED_VALUE"""),"Out of warranty")</f>
        <v>Out of warranty</v>
      </c>
      <c r="AJ210" s="3">
        <f>IFERROR(__xludf.DUMMYFUNCTION("""COMPUTED_VALUE"""),129.0)</f>
        <v>129</v>
      </c>
      <c r="AK210" s="3"/>
      <c r="AL210" s="3" t="str">
        <f>IFERROR(__xludf.DUMMYFUNCTION("""COMPUTED_VALUE"""),"bmk_sm.sikhio@bigc.co.th")</f>
        <v>bmk_sm.sikhio@bigc.co.th</v>
      </c>
    </row>
    <row r="211" ht="15.75" customHeight="1">
      <c r="A211" s="1" t="str">
        <f>IFERROR(__xludf.DUMMYFUNCTION("""COMPUTED_VALUE"""),"15039")</f>
        <v>15039</v>
      </c>
      <c r="B211" s="2">
        <f>IFERROR(__xludf.DUMMYFUNCTION("""COMPUTED_VALUE"""),15039.0)</f>
        <v>15039</v>
      </c>
      <c r="C211" s="3" t="str">
        <f>IFERROR(__xludf.DUMMYFUNCTION("""COMPUTED_VALUE"""),"บรบือ")</f>
        <v>บรบือ</v>
      </c>
      <c r="D211" s="3" t="str">
        <f>IFERROR(__xludf.DUMMYFUNCTION("""COMPUTED_VALUE"""),"BIGC MARKET BORABUE")</f>
        <v>BIGC MARKET BORABUE</v>
      </c>
      <c r="E211" s="1" t="str">
        <f>IFERROR(__xludf.DUMMYFUNCTION("""COMPUTED_VALUE"""),"บิ๊กซี Market")</f>
        <v>บิ๊กซี Market</v>
      </c>
      <c r="F211" s="1" t="str">
        <f>IFERROR(__xludf.DUMMYFUNCTION("""COMPUTED_VALUE"""),"033317")</f>
        <v>033317</v>
      </c>
      <c r="G211" s="1" t="str">
        <f>IFERROR(__xludf.DUMMYFUNCTION("""COMPUTED_VALUE"""),"นายอาณัติ เพชรภาน")</f>
        <v>นายอาณัติ เพชรภาน</v>
      </c>
      <c r="H211" s="1" t="str">
        <f>IFERROR(__xludf.DUMMYFUNCTION("""COMPUTED_VALUE"""),"033317")</f>
        <v>033317</v>
      </c>
      <c r="I211" s="1" t="str">
        <f>IFERROR(__xludf.DUMMYFUNCTION("""COMPUTED_VALUE"""),"นายอาณัติ เพชรภาน")</f>
        <v>นายอาณัติ เพชรภาน</v>
      </c>
      <c r="J211" s="3">
        <f>IFERROR(__xludf.DUMMYFUNCTION("""COMPUTED_VALUE"""),33317.0)</f>
        <v>33317</v>
      </c>
      <c r="K211" s="3" t="str">
        <f>IFERROR(__xludf.DUMMYFUNCTION("""COMPUTED_VALUE"""),"นายอาณัติ เพชรภาน")</f>
        <v>นายอาณัติ เพชรภาน</v>
      </c>
      <c r="L211" s="1" t="str">
        <f>IFERROR(__xludf.DUMMYFUNCTION("""COMPUTED_VALUE"""),"Hub10-NE 2")</f>
        <v>Hub10-NE 2</v>
      </c>
      <c r="M211" s="1" t="str">
        <f>IFERROR(__xludf.DUMMYFUNCTION("""COMPUTED_VALUE"""),"0644791409")</f>
        <v>0644791409</v>
      </c>
      <c r="N211" s="3">
        <f>IFERROR(__xludf.DUMMYFUNCTION("""COMPUTED_VALUE"""),15039.0)</f>
        <v>15039</v>
      </c>
      <c r="O211" s="3" t="str">
        <f>IFERROR(__xludf.DUMMYFUNCTION("""COMPUTED_VALUE"""),"บรบือ")</f>
        <v>บรบือ</v>
      </c>
      <c r="P211" s="4">
        <f>IFERROR(__xludf.DUMMYFUNCTION("""COMPUTED_VALUE"""),42153.0)</f>
        <v>42153</v>
      </c>
      <c r="Q211" s="3" t="str">
        <f>IFERROR(__xludf.DUMMYFUNCTION("""COMPUTED_VALUE"""),"I")</f>
        <v>I</v>
      </c>
      <c r="R211" s="3" t="str">
        <f>IFERROR(__xludf.DUMMYFUNCTION("""COMPUTED_VALUE"""),"Big Format")</f>
        <v>Big Format</v>
      </c>
      <c r="S211" s="3" t="str">
        <f>IFERROR(__xludf.DUMMYFUNCTION("""COMPUTED_VALUE"""),"BMK")</f>
        <v>BMK</v>
      </c>
      <c r="T211" s="3" t="str">
        <f>IFERROR(__xludf.DUMMYFUNCTION("""COMPUTED_VALUE"""),"Hub10-NE 2")</f>
        <v>Hub10-NE 2</v>
      </c>
      <c r="U211" s="3" t="str">
        <f>IFERROR(__xludf.DUMMYFUNCTION("""COMPUTED_VALUE"""),"Hub10-NE 2")</f>
        <v>Hub10-NE 2</v>
      </c>
      <c r="V211" s="3" t="str">
        <f>IFERROR(__xludf.DUMMYFUNCTION("""COMPUTED_VALUE"""),"N")</f>
        <v>N</v>
      </c>
      <c r="W211" s="3">
        <f>IFERROR(__xludf.DUMMYFUNCTION("""COMPUTED_VALUE"""),151045.0)</f>
        <v>151045</v>
      </c>
      <c r="X211" s="3" t="str">
        <f>IFERROR(__xludf.DUMMYFUNCTION("""COMPUTED_VALUE"""),"149/1 หมู่ 1 ตำบลบรบือ อำเภอบรบือ จังหวัดมหาสารคาม 44130")</f>
        <v>149/1 หมู่ 1 ตำบลบรบือ อำเภอบรบือ จังหวัดมหาสารคาม 44130</v>
      </c>
      <c r="Y211" s="3"/>
      <c r="Z211" s="3" t="str">
        <f>IFERROR(__xludf.DUMMYFUNCTION("""COMPUTED_VALUE"""),"บรบือ")</f>
        <v>บรบือ</v>
      </c>
      <c r="AA211" s="3" t="str">
        <f>IFERROR(__xludf.DUMMYFUNCTION("""COMPUTED_VALUE"""),"บรบือ")</f>
        <v>บรบือ</v>
      </c>
      <c r="AB211" s="3" t="str">
        <f>IFERROR(__xludf.DUMMYFUNCTION("""COMPUTED_VALUE"""),"มหาสารคาม")</f>
        <v>มหาสารคาม</v>
      </c>
      <c r="AC211" s="3">
        <f>IFERROR(__xludf.DUMMYFUNCTION("""COMPUTED_VALUE"""),44130.0)</f>
        <v>44130</v>
      </c>
      <c r="AD211" s="3">
        <f>IFERROR(__xludf.DUMMYFUNCTION("""COMPUTED_VALUE"""),16.0453667)</f>
        <v>16.0453667</v>
      </c>
      <c r="AE211" s="3">
        <f>IFERROR(__xludf.DUMMYFUNCTION("""COMPUTED_VALUE"""),103.1194501)</f>
        <v>103.1194501</v>
      </c>
      <c r="AF211" s="3" t="str">
        <f>IFERROR(__xludf.DUMMYFUNCTION("""COMPUTED_VALUE"""),"บรบือ-15039")</f>
        <v>บรบือ-15039</v>
      </c>
      <c r="AG211" s="3" t="str">
        <f>IFERROR(__xludf.DUMMYFUNCTION("""COMPUTED_VALUE"""),"ตะวันออกเฉียงเหนือ")</f>
        <v>ตะวันออกเฉียงเหนือ</v>
      </c>
      <c r="AH211" s="3" t="str">
        <f>IFERROR(__xludf.DUMMYFUNCTION("""COMPUTED_VALUE"""),"#N/A")</f>
        <v>#N/A</v>
      </c>
      <c r="AI211" s="3" t="str">
        <f>IFERROR(__xludf.DUMMYFUNCTION("""COMPUTED_VALUE"""),"Out of warranty")</f>
        <v>Out of warranty</v>
      </c>
      <c r="AJ211" s="3">
        <f>IFERROR(__xludf.DUMMYFUNCTION("""COMPUTED_VALUE"""),128.0)</f>
        <v>128</v>
      </c>
      <c r="AK211" s="3"/>
      <c r="AL211" s="3" t="str">
        <f>IFERROR(__xludf.DUMMYFUNCTION("""COMPUTED_VALUE"""),"bmk_sm.borabue@bigc.co.th")</f>
        <v>bmk_sm.borabue@bigc.co.th</v>
      </c>
    </row>
    <row r="212" ht="15.75" customHeight="1">
      <c r="A212" s="1" t="str">
        <f>IFERROR(__xludf.DUMMYFUNCTION("""COMPUTED_VALUE"""),"15040")</f>
        <v>15040</v>
      </c>
      <c r="B212" s="2">
        <f>IFERROR(__xludf.DUMMYFUNCTION("""COMPUTED_VALUE"""),15040.0)</f>
        <v>15040</v>
      </c>
      <c r="C212" s="3" t="str">
        <f>IFERROR(__xludf.DUMMYFUNCTION("""COMPUTED_VALUE"""),"วิเศษชัยชาญ")</f>
        <v>วิเศษชัยชาญ</v>
      </c>
      <c r="D212" s="3" t="str">
        <f>IFERROR(__xludf.DUMMYFUNCTION("""COMPUTED_VALUE"""),"BIGC MARKET WISET CHAICHAN")</f>
        <v>BIGC MARKET WISET CHAICHAN</v>
      </c>
      <c r="E212" s="1" t="str">
        <f>IFERROR(__xludf.DUMMYFUNCTION("""COMPUTED_VALUE"""),"บิ๊กซี Market")</f>
        <v>บิ๊กซี Market</v>
      </c>
      <c r="F212" s="1" t="str">
        <f>IFERROR(__xludf.DUMMYFUNCTION("""COMPUTED_VALUE"""),"2455179")</f>
        <v>2455179</v>
      </c>
      <c r="G212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212" s="1" t="str">
        <f>IFERROR(__xludf.DUMMYFUNCTION("""COMPUTED_VALUE"""),"2455179")</f>
        <v>2455179</v>
      </c>
      <c r="I212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212" s="3">
        <f>IFERROR(__xludf.DUMMYFUNCTION("""COMPUTED_VALUE"""),2455179.0)</f>
        <v>2455179</v>
      </c>
      <c r="K212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212" s="1" t="str">
        <f>IFERROR(__xludf.DUMMYFUNCTION("""COMPUTED_VALUE"""),"Hub06-C&amp;W")</f>
        <v>Hub06-C&amp;W</v>
      </c>
      <c r="M212" s="1" t="str">
        <f>IFERROR(__xludf.DUMMYFUNCTION("""COMPUTED_VALUE"""),"090-993-6896")</f>
        <v>090-993-6896</v>
      </c>
      <c r="N212" s="3">
        <f>IFERROR(__xludf.DUMMYFUNCTION("""COMPUTED_VALUE"""),15040.0)</f>
        <v>15040</v>
      </c>
      <c r="O212" s="3" t="str">
        <f>IFERROR(__xludf.DUMMYFUNCTION("""COMPUTED_VALUE"""),"วิเศษชัยชาญ")</f>
        <v>วิเศษชัยชาญ</v>
      </c>
      <c r="P212" s="4">
        <f>IFERROR(__xludf.DUMMYFUNCTION("""COMPUTED_VALUE"""),42182.0)</f>
        <v>42182</v>
      </c>
      <c r="Q212" s="3" t="str">
        <f>IFERROR(__xludf.DUMMYFUNCTION("""COMPUTED_VALUE"""),"A")</f>
        <v>A</v>
      </c>
      <c r="R212" s="3" t="str">
        <f>IFERROR(__xludf.DUMMYFUNCTION("""COMPUTED_VALUE"""),"Big Format")</f>
        <v>Big Format</v>
      </c>
      <c r="S212" s="3" t="str">
        <f>IFERROR(__xludf.DUMMYFUNCTION("""COMPUTED_VALUE"""),"BMK")</f>
        <v>BMK</v>
      </c>
      <c r="T212" s="3" t="str">
        <f>IFERROR(__xludf.DUMMYFUNCTION("""COMPUTED_VALUE"""),"Hub06-C&amp;W")</f>
        <v>Hub06-C&amp;W</v>
      </c>
      <c r="U212" s="3" t="str">
        <f>IFERROR(__xludf.DUMMYFUNCTION("""COMPUTED_VALUE"""),"Hub06-C&amp;W")</f>
        <v>Hub06-C&amp;W</v>
      </c>
      <c r="V212" s="3" t="str">
        <f>IFERROR(__xludf.DUMMYFUNCTION("""COMPUTED_VALUE"""),"N")</f>
        <v>N</v>
      </c>
      <c r="W212" s="3">
        <f>IFERROR(__xludf.DUMMYFUNCTION("""COMPUTED_VALUE"""),151046.0)</f>
        <v>151046</v>
      </c>
      <c r="X212" s="3" t="str">
        <f>IFERROR(__xludf.DUMMYFUNCTION("""COMPUTED_VALUE"""),"387 หมู่ 7 ตำบลศาลเจ้าโรงทอง อำเภอวิเศษชัยชาญ จังหวัดอ่างทอง 14110")</f>
        <v>387 หมู่ 7 ตำบลศาลเจ้าโรงทอง อำเภอวิเศษชัยชาญ จังหวัดอ่างทอง 14110</v>
      </c>
      <c r="Y212" s="3"/>
      <c r="Z212" s="3" t="str">
        <f>IFERROR(__xludf.DUMMYFUNCTION("""COMPUTED_VALUE"""),"ศาลเจ้าโรงทอง")</f>
        <v>ศาลเจ้าโรงทอง</v>
      </c>
      <c r="AA212" s="3" t="str">
        <f>IFERROR(__xludf.DUMMYFUNCTION("""COMPUTED_VALUE"""),"วิเศษชัยชาญ")</f>
        <v>วิเศษชัยชาญ</v>
      </c>
      <c r="AB212" s="3" t="str">
        <f>IFERROR(__xludf.DUMMYFUNCTION("""COMPUTED_VALUE"""),"อ่างทอง")</f>
        <v>อ่างทอง</v>
      </c>
      <c r="AC212" s="3">
        <f>IFERROR(__xludf.DUMMYFUNCTION("""COMPUTED_VALUE"""),14110.0)</f>
        <v>14110</v>
      </c>
      <c r="AD212" s="3">
        <f>IFERROR(__xludf.DUMMYFUNCTION("""COMPUTED_VALUE"""),14.5996598)</f>
        <v>14.5996598</v>
      </c>
      <c r="AE212" s="3">
        <f>IFERROR(__xludf.DUMMYFUNCTION("""COMPUTED_VALUE"""),100.3442884)</f>
        <v>100.3442884</v>
      </c>
      <c r="AF212" s="3" t="str">
        <f>IFERROR(__xludf.DUMMYFUNCTION("""COMPUTED_VALUE"""),"วิเศษชัยชาญ-15040")</f>
        <v>วิเศษชัยชาญ-15040</v>
      </c>
      <c r="AG212" s="3" t="str">
        <f>IFERROR(__xludf.DUMMYFUNCTION("""COMPUTED_VALUE"""),"กลาง")</f>
        <v>กลาง</v>
      </c>
      <c r="AH212" s="3" t="str">
        <f>IFERROR(__xludf.DUMMYFUNCTION("""COMPUTED_VALUE"""),"Wichian Nasungnoen")</f>
        <v>Wichian Nasungnoen</v>
      </c>
      <c r="AI212" s="3" t="str">
        <f>IFERROR(__xludf.DUMMYFUNCTION("""COMPUTED_VALUE"""),"Out of warranty")</f>
        <v>Out of warranty</v>
      </c>
      <c r="AJ212" s="3">
        <f>IFERROR(__xludf.DUMMYFUNCTION("""COMPUTED_VALUE"""),127.0)</f>
        <v>127</v>
      </c>
      <c r="AK212" s="3"/>
      <c r="AL212" s="3" t="str">
        <f>IFERROR(__xludf.DUMMYFUNCTION("""COMPUTED_VALUE"""),"bmk_sm.wisetchaichan@bigc.co.th")</f>
        <v>bmk_sm.wisetchaichan@bigc.co.th</v>
      </c>
    </row>
    <row r="213" ht="15.75" customHeight="1">
      <c r="A213" s="1" t="str">
        <f>IFERROR(__xludf.DUMMYFUNCTION("""COMPUTED_VALUE"""),"15041")</f>
        <v>15041</v>
      </c>
      <c r="B213" s="2">
        <f>IFERROR(__xludf.DUMMYFUNCTION("""COMPUTED_VALUE"""),15041.0)</f>
        <v>15041</v>
      </c>
      <c r="C213" s="3" t="str">
        <f>IFERROR(__xludf.DUMMYFUNCTION("""COMPUTED_VALUE"""),"น้ำโสม")</f>
        <v>น้ำโสม</v>
      </c>
      <c r="D213" s="3" t="str">
        <f>IFERROR(__xludf.DUMMYFUNCTION("""COMPUTED_VALUE"""),"BIGC MARKET NAMSOM")</f>
        <v>BIGC MARKET NAMSOM</v>
      </c>
      <c r="E213" s="1" t="str">
        <f>IFERROR(__xludf.DUMMYFUNCTION("""COMPUTED_VALUE"""),"บิ๊กซี Market")</f>
        <v>บิ๊กซี Market</v>
      </c>
      <c r="F213" s="1" t="str">
        <f>IFERROR(__xludf.DUMMYFUNCTION("""COMPUTED_VALUE"""),"295801")</f>
        <v>295801</v>
      </c>
      <c r="G213" s="1" t="str">
        <f>IFERROR(__xludf.DUMMYFUNCTION("""COMPUTED_VALUE"""),"นายอรรถพล เหล่าสุวงศ์")</f>
        <v>นายอรรถพล เหล่าสุวงศ์</v>
      </c>
      <c r="H213" s="1" t="str">
        <f>IFERROR(__xludf.DUMMYFUNCTION("""COMPUTED_VALUE"""),"295801")</f>
        <v>295801</v>
      </c>
      <c r="I213" s="1" t="str">
        <f>IFERROR(__xludf.DUMMYFUNCTION("""COMPUTED_VALUE"""),"นายอรรถพล เหล่าสุวงศ์")</f>
        <v>นายอรรถพล เหล่าสุวงศ์</v>
      </c>
      <c r="J213" s="3">
        <f>IFERROR(__xludf.DUMMYFUNCTION("""COMPUTED_VALUE"""),295801.0)</f>
        <v>295801</v>
      </c>
      <c r="K213" s="3" t="str">
        <f>IFERROR(__xludf.DUMMYFUNCTION("""COMPUTED_VALUE"""),"นายอรรถพล เหล่าสุวงศ์")</f>
        <v>นายอรรถพล เหล่าสุวงศ์</v>
      </c>
      <c r="L213" s="1" t="str">
        <f>IFERROR(__xludf.DUMMYFUNCTION("""COMPUTED_VALUE"""),"Hub09-NE 1")</f>
        <v>Hub09-NE 1</v>
      </c>
      <c r="M213" s="1" t="str">
        <f>IFERROR(__xludf.DUMMYFUNCTION("""COMPUTED_VALUE"""),"0655090879")</f>
        <v>0655090879</v>
      </c>
      <c r="N213" s="3">
        <f>IFERROR(__xludf.DUMMYFUNCTION("""COMPUTED_VALUE"""),15041.0)</f>
        <v>15041</v>
      </c>
      <c r="O213" s="3" t="str">
        <f>IFERROR(__xludf.DUMMYFUNCTION("""COMPUTED_VALUE"""),"น้ำโสม")</f>
        <v>น้ำโสม</v>
      </c>
      <c r="P213" s="4">
        <f>IFERROR(__xludf.DUMMYFUNCTION("""COMPUTED_VALUE"""),42253.0)</f>
        <v>42253</v>
      </c>
      <c r="Q213" s="3" t="str">
        <f>IFERROR(__xludf.DUMMYFUNCTION("""COMPUTED_VALUE"""),"A")</f>
        <v>A</v>
      </c>
      <c r="R213" s="3" t="str">
        <f>IFERROR(__xludf.DUMMYFUNCTION("""COMPUTED_VALUE"""),"Big Format")</f>
        <v>Big Format</v>
      </c>
      <c r="S213" s="3" t="str">
        <f>IFERROR(__xludf.DUMMYFUNCTION("""COMPUTED_VALUE"""),"BMK")</f>
        <v>BMK</v>
      </c>
      <c r="T213" s="3" t="str">
        <f>IFERROR(__xludf.DUMMYFUNCTION("""COMPUTED_VALUE"""),"Hub09-NE 1")</f>
        <v>Hub09-NE 1</v>
      </c>
      <c r="U213" s="3" t="str">
        <f>IFERROR(__xludf.DUMMYFUNCTION("""COMPUTED_VALUE"""),"Hub09-NE 1")</f>
        <v>Hub09-NE 1</v>
      </c>
      <c r="V213" s="3" t="str">
        <f>IFERROR(__xludf.DUMMYFUNCTION("""COMPUTED_VALUE"""),"N")</f>
        <v>N</v>
      </c>
      <c r="W213" s="3">
        <f>IFERROR(__xludf.DUMMYFUNCTION("""COMPUTED_VALUE"""),151049.0)</f>
        <v>151049</v>
      </c>
      <c r="X213" s="3" t="str">
        <f>IFERROR(__xludf.DUMMYFUNCTION("""COMPUTED_VALUE"""),"194 หมู่ 8 ตำบลนางัว อำเภอน้ำโสม จังหวัดอุดรธานี 41210")</f>
        <v>194 หมู่ 8 ตำบลนางัว อำเภอน้ำโสม จังหวัดอุดรธานี 41210</v>
      </c>
      <c r="Y213" s="3"/>
      <c r="Z213" s="3" t="str">
        <f>IFERROR(__xludf.DUMMYFUNCTION("""COMPUTED_VALUE"""),"นางัว")</f>
        <v>นางัว</v>
      </c>
      <c r="AA213" s="3" t="str">
        <f>IFERROR(__xludf.DUMMYFUNCTION("""COMPUTED_VALUE"""),"น้ำโสม")</f>
        <v>น้ำโสม</v>
      </c>
      <c r="AB213" s="3" t="str">
        <f>IFERROR(__xludf.DUMMYFUNCTION("""COMPUTED_VALUE"""),"อุดรธานี")</f>
        <v>อุดรธานี</v>
      </c>
      <c r="AC213" s="3">
        <f>IFERROR(__xludf.DUMMYFUNCTION("""COMPUTED_VALUE"""),41210.0)</f>
        <v>41210</v>
      </c>
      <c r="AD213" s="3">
        <f>IFERROR(__xludf.DUMMYFUNCTION("""COMPUTED_VALUE"""),17.764402)</f>
        <v>17.764402</v>
      </c>
      <c r="AE213" s="3">
        <f>IFERROR(__xludf.DUMMYFUNCTION("""COMPUTED_VALUE"""),102.1970552)</f>
        <v>102.1970552</v>
      </c>
      <c r="AF213" s="3" t="str">
        <f>IFERROR(__xludf.DUMMYFUNCTION("""COMPUTED_VALUE"""),"น้ำโสม-15041")</f>
        <v>น้ำโสม-15041</v>
      </c>
      <c r="AG213" s="3" t="str">
        <f>IFERROR(__xludf.DUMMYFUNCTION("""COMPUTED_VALUE"""),"ตะวันออกเฉียงเหนือ")</f>
        <v>ตะวันออกเฉียงเหนือ</v>
      </c>
      <c r="AH213" s="3" t="str">
        <f>IFERROR(__xludf.DUMMYFUNCTION("""COMPUTED_VALUE"""),"K.Narabordee")</f>
        <v>K.Narabordee</v>
      </c>
      <c r="AI213" s="3" t="str">
        <f>IFERROR(__xludf.DUMMYFUNCTION("""COMPUTED_VALUE"""),"Out of warranty")</f>
        <v>Out of warranty</v>
      </c>
      <c r="AJ213" s="3">
        <f>IFERROR(__xludf.DUMMYFUNCTION("""COMPUTED_VALUE"""),125.0)</f>
        <v>125</v>
      </c>
      <c r="AK213" s="3"/>
      <c r="AL213" s="3" t="str">
        <f>IFERROR(__xludf.DUMMYFUNCTION("""COMPUTED_VALUE"""),"bmk_sm.namsom@bigc.co.th")</f>
        <v>bmk_sm.namsom@bigc.co.th</v>
      </c>
    </row>
    <row r="214" ht="15.75" customHeight="1">
      <c r="A214" s="1" t="str">
        <f>IFERROR(__xludf.DUMMYFUNCTION("""COMPUTED_VALUE"""),"15042")</f>
        <v>15042</v>
      </c>
      <c r="B214" s="2">
        <f>IFERROR(__xludf.DUMMYFUNCTION("""COMPUTED_VALUE"""),15042.0)</f>
        <v>15042</v>
      </c>
      <c r="C214" s="3" t="str">
        <f>IFERROR(__xludf.DUMMYFUNCTION("""COMPUTED_VALUE"""),"ปาล์ม ไอส์แลนด์")</f>
        <v>ปาล์ม ไอส์แลนด์</v>
      </c>
      <c r="D214" s="3" t="str">
        <f>IFERROR(__xludf.DUMMYFUNCTION("""COMPUTED_VALUE"""),"BIGC MARKET PALM ISLAND")</f>
        <v>BIGC MARKET PALM ISLAND</v>
      </c>
      <c r="E214" s="1" t="str">
        <f>IFERROR(__xludf.DUMMYFUNCTION("""COMPUTED_VALUE"""),"บิ๊กซี Market")</f>
        <v>บิ๊กซี Market</v>
      </c>
      <c r="F214" s="1" t="str">
        <f>IFERROR(__xludf.DUMMYFUNCTION("""COMPUTED_VALUE"""),"13461215")</f>
        <v>13461215</v>
      </c>
      <c r="G214" s="1" t="str">
        <f>IFERROR(__xludf.DUMMYFUNCTION("""COMPUTED_VALUE"""),"นายธีรภัทร สังข์เงิน")</f>
        <v>นายธีรภัทร สังข์เงิน</v>
      </c>
      <c r="H214" s="1" t="str">
        <f>IFERROR(__xludf.DUMMYFUNCTION("""COMPUTED_VALUE"""),"13461215")</f>
        <v>13461215</v>
      </c>
      <c r="I214" s="1" t="str">
        <f>IFERROR(__xludf.DUMMYFUNCTION("""COMPUTED_VALUE"""),"นายธีรภัทร สังข์เงิน")</f>
        <v>นายธีรภัทร สังข์เงิน</v>
      </c>
      <c r="J214" s="3">
        <f>IFERROR(__xludf.DUMMYFUNCTION("""COMPUTED_VALUE"""),1.3461215E7)</f>
        <v>13461215</v>
      </c>
      <c r="K214" s="3" t="str">
        <f>IFERROR(__xludf.DUMMYFUNCTION("""COMPUTED_VALUE"""),"นายธีรภัทร สังข์เงิน")</f>
        <v>นายธีรภัทร สังข์เงิน</v>
      </c>
      <c r="L214" s="1" t="str">
        <f>IFERROR(__xludf.DUMMYFUNCTION("""COMPUTED_VALUE"""),"06 K.Teerapat")</f>
        <v>06 K.Teerapat</v>
      </c>
      <c r="M214" s="1" t="str">
        <f>IFERROR(__xludf.DUMMYFUNCTION("""COMPUTED_VALUE"""),"063-601-6803")</f>
        <v>063-601-6803</v>
      </c>
      <c r="N214" s="3">
        <f>IFERROR(__xludf.DUMMYFUNCTION("""COMPUTED_VALUE"""),15042.0)</f>
        <v>15042</v>
      </c>
      <c r="O214" s="3" t="str">
        <f>IFERROR(__xludf.DUMMYFUNCTION("""COMPUTED_VALUE"""),"ปาล์ม ไอส์แลนด์")</f>
        <v>ปาล์ม ไอส์แลนด์</v>
      </c>
      <c r="P214" s="4">
        <f>IFERROR(__xludf.DUMMYFUNCTION("""COMPUTED_VALUE"""),42236.0)</f>
        <v>42236</v>
      </c>
      <c r="Q214" s="3" t="str">
        <f>IFERROR(__xludf.DUMMYFUNCTION("""COMPUTED_VALUE"""),"I")</f>
        <v>I</v>
      </c>
      <c r="R214" s="3" t="str">
        <f>IFERROR(__xludf.DUMMYFUNCTION("""COMPUTED_VALUE"""),"Big Format")</f>
        <v>Big Format</v>
      </c>
      <c r="S214" s="3" t="str">
        <f>IFERROR(__xludf.DUMMYFUNCTION("""COMPUTED_VALUE"""),"BMK")</f>
        <v>BMK</v>
      </c>
      <c r="T214" s="3" t="str">
        <f>IFERROR(__xludf.DUMMYFUNCTION("""COMPUTED_VALUE"""),"06 K.Teerapat")</f>
        <v>06 K.Teerapat</v>
      </c>
      <c r="U214" s="3" t="str">
        <f>IFERROR(__xludf.DUMMYFUNCTION("""COMPUTED_VALUE"""),"06 K.Teerapat")</f>
        <v>06 K.Teerapat</v>
      </c>
      <c r="V214" s="3" t="str">
        <f>IFERROR(__xludf.DUMMYFUNCTION("""COMPUTED_VALUE"""),"N")</f>
        <v>N</v>
      </c>
      <c r="W214" s="3">
        <f>IFERROR(__xludf.DUMMYFUNCTION("""COMPUTED_VALUE"""),151051.0)</f>
        <v>151051</v>
      </c>
      <c r="X214" s="3" t="str">
        <f>IFERROR(__xludf.DUMMYFUNCTION("""COMPUTED_VALUE"""),"1010/51 หมู่ 3 ตำบลเทพารักษ์ อำเภอเมืองสมุทรปราการ จังหวัดสมุทรปราการ 10270")</f>
        <v>1010/51 หมู่ 3 ตำบลเทพารักษ์ อำเภอเมืองสมุทรปราการ จังหวัดสมุทรปราการ 10270</v>
      </c>
      <c r="Y214" s="3"/>
      <c r="Z214" s="3" t="str">
        <f>IFERROR(__xludf.DUMMYFUNCTION("""COMPUTED_VALUE"""),"เทพารักษ์")</f>
        <v>เทพารักษ์</v>
      </c>
      <c r="AA214" s="3" t="str">
        <f>IFERROR(__xludf.DUMMYFUNCTION("""COMPUTED_VALUE"""),"เมืองสมุทรปราการ")</f>
        <v>เมืองสมุทรปราการ</v>
      </c>
      <c r="AB214" s="3" t="str">
        <f>IFERROR(__xludf.DUMMYFUNCTION("""COMPUTED_VALUE"""),"สมุทรปราการ")</f>
        <v>สมุทรปราการ</v>
      </c>
      <c r="AC214" s="3">
        <f>IFERROR(__xludf.DUMMYFUNCTION("""COMPUTED_VALUE"""),10270.0)</f>
        <v>10270</v>
      </c>
      <c r="AD214" s="3">
        <f>IFERROR(__xludf.DUMMYFUNCTION("""COMPUTED_VALUE"""),13.6384145)</f>
        <v>13.6384145</v>
      </c>
      <c r="AE214" s="3">
        <f>IFERROR(__xludf.DUMMYFUNCTION("""COMPUTED_VALUE"""),100.6093489)</f>
        <v>100.6093489</v>
      </c>
      <c r="AF214" s="3" t="str">
        <f>IFERROR(__xludf.DUMMYFUNCTION("""COMPUTED_VALUE"""),"ปาล์ม ไอส์แลนด์-15042")</f>
        <v>ปาล์ม ไอส์แลนด์-15042</v>
      </c>
      <c r="AG214" s="3" t="str">
        <f>IFERROR(__xludf.DUMMYFUNCTION("""COMPUTED_VALUE"""),"กลาง")</f>
        <v>กลาง</v>
      </c>
      <c r="AH214" s="3" t="str">
        <f>IFERROR(__xludf.DUMMYFUNCTION("""COMPUTED_VALUE"""),"#N/A")</f>
        <v>#N/A</v>
      </c>
      <c r="AI214" s="3" t="str">
        <f>IFERROR(__xludf.DUMMYFUNCTION("""COMPUTED_VALUE"""),"Out of warranty")</f>
        <v>Out of warranty</v>
      </c>
      <c r="AJ214" s="3">
        <f>IFERROR(__xludf.DUMMYFUNCTION("""COMPUTED_VALUE"""),126.0)</f>
        <v>126</v>
      </c>
      <c r="AK214" s="3"/>
      <c r="AL214" s="3" t="str">
        <f>IFERROR(__xludf.DUMMYFUNCTION("""COMPUTED_VALUE"""),"#N/A")</f>
        <v>#N/A</v>
      </c>
    </row>
    <row r="215" ht="15.75" customHeight="1">
      <c r="A215" s="1" t="str">
        <f>IFERROR(__xludf.DUMMYFUNCTION("""COMPUTED_VALUE"""),"15043")</f>
        <v>15043</v>
      </c>
      <c r="B215" s="2">
        <f>IFERROR(__xludf.DUMMYFUNCTION("""COMPUTED_VALUE"""),15043.0)</f>
        <v>15043</v>
      </c>
      <c r="C215" s="3" t="str">
        <f>IFERROR(__xludf.DUMMYFUNCTION("""COMPUTED_VALUE"""),"นาป่า")</f>
        <v>นาป่า</v>
      </c>
      <c r="D215" s="3" t="str">
        <f>IFERROR(__xludf.DUMMYFUNCTION("""COMPUTED_VALUE"""),"BIGC MARKET NAPA")</f>
        <v>BIGC MARKET NAPA</v>
      </c>
      <c r="E215" s="1" t="str">
        <f>IFERROR(__xludf.DUMMYFUNCTION("""COMPUTED_VALUE"""),"บิ๊กซี Market")</f>
        <v>บิ๊กซี Market</v>
      </c>
      <c r="F215" s="1" t="str">
        <f>IFERROR(__xludf.DUMMYFUNCTION("""COMPUTED_VALUE"""),"033317")</f>
        <v>033317</v>
      </c>
      <c r="G215" s="1" t="str">
        <f>IFERROR(__xludf.DUMMYFUNCTION("""COMPUTED_VALUE"""),"นายอาณัติ เพชรภาน")</f>
        <v>นายอาณัติ เพชรภาน</v>
      </c>
      <c r="H215" s="1" t="str">
        <f>IFERROR(__xludf.DUMMYFUNCTION("""COMPUTED_VALUE"""),"033317")</f>
        <v>033317</v>
      </c>
      <c r="I215" s="1" t="str">
        <f>IFERROR(__xludf.DUMMYFUNCTION("""COMPUTED_VALUE"""),"นายอาณัติ เพชรภาน")</f>
        <v>นายอาณัติ เพชรภาน</v>
      </c>
      <c r="J215" s="3">
        <f>IFERROR(__xludf.DUMMYFUNCTION("""COMPUTED_VALUE"""),33317.0)</f>
        <v>33317</v>
      </c>
      <c r="K215" s="3" t="str">
        <f>IFERROR(__xludf.DUMMYFUNCTION("""COMPUTED_VALUE"""),"นายอาณัติ เพชรภาน")</f>
        <v>นายอาณัติ เพชรภาน</v>
      </c>
      <c r="L215" s="1" t="str">
        <f>IFERROR(__xludf.DUMMYFUNCTION("""COMPUTED_VALUE"""),"Hub10-NE 2")</f>
        <v>Hub10-NE 2</v>
      </c>
      <c r="M215" s="1" t="str">
        <f>IFERROR(__xludf.DUMMYFUNCTION("""COMPUTED_VALUE"""),"0644791409")</f>
        <v>0644791409</v>
      </c>
      <c r="N215" s="3">
        <f>IFERROR(__xludf.DUMMYFUNCTION("""COMPUTED_VALUE"""),15043.0)</f>
        <v>15043</v>
      </c>
      <c r="O215" s="3" t="str">
        <f>IFERROR(__xludf.DUMMYFUNCTION("""COMPUTED_VALUE"""),"นาป่า")</f>
        <v>นาป่า</v>
      </c>
      <c r="P215" s="4">
        <f>IFERROR(__xludf.DUMMYFUNCTION("""COMPUTED_VALUE"""),42244.0)</f>
        <v>42244</v>
      </c>
      <c r="Q215" s="3" t="str">
        <f>IFERROR(__xludf.DUMMYFUNCTION("""COMPUTED_VALUE"""),"I")</f>
        <v>I</v>
      </c>
      <c r="R215" s="3" t="str">
        <f>IFERROR(__xludf.DUMMYFUNCTION("""COMPUTED_VALUE"""),"Big Format")</f>
        <v>Big Format</v>
      </c>
      <c r="S215" s="3" t="str">
        <f>IFERROR(__xludf.DUMMYFUNCTION("""COMPUTED_VALUE"""),"BMK")</f>
        <v>BMK</v>
      </c>
      <c r="T215" s="3" t="str">
        <f>IFERROR(__xludf.DUMMYFUNCTION("""COMPUTED_VALUE"""),"Hub10-NE 2")</f>
        <v>Hub10-NE 2</v>
      </c>
      <c r="U215" s="3" t="str">
        <f>IFERROR(__xludf.DUMMYFUNCTION("""COMPUTED_VALUE"""),"Hub10-NE 2")</f>
        <v>Hub10-NE 2</v>
      </c>
      <c r="V215" s="3" t="str">
        <f>IFERROR(__xludf.DUMMYFUNCTION("""COMPUTED_VALUE"""),"N")</f>
        <v>N</v>
      </c>
      <c r="W215" s="3">
        <f>IFERROR(__xludf.DUMMYFUNCTION("""COMPUTED_VALUE"""),151052.0)</f>
        <v>151052</v>
      </c>
      <c r="X215" s="3" t="str">
        <f>IFERROR(__xludf.DUMMYFUNCTION("""COMPUTED_VALUE"""),"108 หมู่ 12 ตำบลนาป่า อำเภอเมืองชลบุรี จังหวัดชลบุรี 20000")</f>
        <v>108 หมู่ 12 ตำบลนาป่า อำเภอเมืองชลบุรี จังหวัดชลบุรี 20000</v>
      </c>
      <c r="Y215" s="3"/>
      <c r="Z215" s="3" t="str">
        <f>IFERROR(__xludf.DUMMYFUNCTION("""COMPUTED_VALUE"""),"นาป่า")</f>
        <v>นาป่า</v>
      </c>
      <c r="AA215" s="3" t="str">
        <f>IFERROR(__xludf.DUMMYFUNCTION("""COMPUTED_VALUE"""),"เมือง")</f>
        <v>เมือง</v>
      </c>
      <c r="AB215" s="3" t="str">
        <f>IFERROR(__xludf.DUMMYFUNCTION("""COMPUTED_VALUE"""),"ชลบุรี")</f>
        <v>ชลบุรี</v>
      </c>
      <c r="AC215" s="3">
        <f>IFERROR(__xludf.DUMMYFUNCTION("""COMPUTED_VALUE"""),20000.0)</f>
        <v>20000</v>
      </c>
      <c r="AD215" s="3">
        <f>IFERROR(__xludf.DUMMYFUNCTION("""COMPUTED_VALUE"""),13.4109043)</f>
        <v>13.4109043</v>
      </c>
      <c r="AE215" s="3">
        <f>IFERROR(__xludf.DUMMYFUNCTION("""COMPUTED_VALUE"""),101.0051193)</f>
        <v>101.0051193</v>
      </c>
      <c r="AF215" s="3" t="str">
        <f>IFERROR(__xludf.DUMMYFUNCTION("""COMPUTED_VALUE"""),"นาป่า-15043")</f>
        <v>นาป่า-15043</v>
      </c>
      <c r="AG215" s="3" t="str">
        <f>IFERROR(__xludf.DUMMYFUNCTION("""COMPUTED_VALUE"""),"ตะวันออก")</f>
        <v>ตะวันออก</v>
      </c>
      <c r="AH215" s="3" t="str">
        <f>IFERROR(__xludf.DUMMYFUNCTION("""COMPUTED_VALUE"""),"#N/A")</f>
        <v>#N/A</v>
      </c>
      <c r="AI215" s="3" t="str">
        <f>IFERROR(__xludf.DUMMYFUNCTION("""COMPUTED_VALUE"""),"Out of warranty")</f>
        <v>Out of warranty</v>
      </c>
      <c r="AJ215" s="3">
        <f>IFERROR(__xludf.DUMMYFUNCTION("""COMPUTED_VALUE"""),125.0)</f>
        <v>125</v>
      </c>
      <c r="AK215" s="3"/>
      <c r="AL215" s="3" t="str">
        <f>IFERROR(__xludf.DUMMYFUNCTION("""COMPUTED_VALUE"""),"bmk_sm.napa@bigc.co.th")</f>
        <v>bmk_sm.napa@bigc.co.th</v>
      </c>
    </row>
    <row r="216" ht="15.75" customHeight="1">
      <c r="A216" s="1" t="str">
        <f>IFERROR(__xludf.DUMMYFUNCTION("""COMPUTED_VALUE"""),"15044")</f>
        <v>15044</v>
      </c>
      <c r="B216" s="2">
        <f>IFERROR(__xludf.DUMMYFUNCTION("""COMPUTED_VALUE"""),15044.0)</f>
        <v>15044</v>
      </c>
      <c r="C216" s="3" t="str">
        <f>IFERROR(__xludf.DUMMYFUNCTION("""COMPUTED_VALUE"""),"โนนสูง")</f>
        <v>โนนสูง</v>
      </c>
      <c r="D216" s="3" t="str">
        <f>IFERROR(__xludf.DUMMYFUNCTION("""COMPUTED_VALUE"""),"BIGC MARKET NON SUNG")</f>
        <v>BIGC MARKET NON SUNG</v>
      </c>
      <c r="E216" s="1" t="str">
        <f>IFERROR(__xludf.DUMMYFUNCTION("""COMPUTED_VALUE"""),"บิ๊กซี Market")</f>
        <v>บิ๊กซี Market</v>
      </c>
      <c r="F216" s="1" t="str">
        <f>IFERROR(__xludf.DUMMYFUNCTION("""COMPUTED_VALUE"""),"033317")</f>
        <v>033317</v>
      </c>
      <c r="G216" s="1" t="str">
        <f>IFERROR(__xludf.DUMMYFUNCTION("""COMPUTED_VALUE"""),"นายอาณัติ เพชรภาน")</f>
        <v>นายอาณัติ เพชรภาน</v>
      </c>
      <c r="H216" s="1" t="str">
        <f>IFERROR(__xludf.DUMMYFUNCTION("""COMPUTED_VALUE"""),"033317")</f>
        <v>033317</v>
      </c>
      <c r="I216" s="1" t="str">
        <f>IFERROR(__xludf.DUMMYFUNCTION("""COMPUTED_VALUE"""),"นายอาณัติ เพชรภาน")</f>
        <v>นายอาณัติ เพชรภาน</v>
      </c>
      <c r="J216" s="3">
        <f>IFERROR(__xludf.DUMMYFUNCTION("""COMPUTED_VALUE"""),33317.0)</f>
        <v>33317</v>
      </c>
      <c r="K216" s="3" t="str">
        <f>IFERROR(__xludf.DUMMYFUNCTION("""COMPUTED_VALUE"""),"นายอาณัติ เพชรภาน")</f>
        <v>นายอาณัติ เพชรภาน</v>
      </c>
      <c r="L216" s="1" t="str">
        <f>IFERROR(__xludf.DUMMYFUNCTION("""COMPUTED_VALUE"""),"Hub10-NE 2")</f>
        <v>Hub10-NE 2</v>
      </c>
      <c r="M216" s="1" t="str">
        <f>IFERROR(__xludf.DUMMYFUNCTION("""COMPUTED_VALUE"""),"0644791409")</f>
        <v>0644791409</v>
      </c>
      <c r="N216" s="3">
        <f>IFERROR(__xludf.DUMMYFUNCTION("""COMPUTED_VALUE"""),15044.0)</f>
        <v>15044</v>
      </c>
      <c r="O216" s="3" t="str">
        <f>IFERROR(__xludf.DUMMYFUNCTION("""COMPUTED_VALUE"""),"โนนสูง")</f>
        <v>โนนสูง</v>
      </c>
      <c r="P216" s="4">
        <f>IFERROR(__xludf.DUMMYFUNCTION("""COMPUTED_VALUE"""),42243.0)</f>
        <v>42243</v>
      </c>
      <c r="Q216" s="3" t="str">
        <f>IFERROR(__xludf.DUMMYFUNCTION("""COMPUTED_VALUE"""),"A")</f>
        <v>A</v>
      </c>
      <c r="R216" s="3" t="str">
        <f>IFERROR(__xludf.DUMMYFUNCTION("""COMPUTED_VALUE"""),"Big Format")</f>
        <v>Big Format</v>
      </c>
      <c r="S216" s="3" t="str">
        <f>IFERROR(__xludf.DUMMYFUNCTION("""COMPUTED_VALUE"""),"BMK")</f>
        <v>BMK</v>
      </c>
      <c r="T216" s="3" t="str">
        <f>IFERROR(__xludf.DUMMYFUNCTION("""COMPUTED_VALUE"""),"Hub10-NE 2")</f>
        <v>Hub10-NE 2</v>
      </c>
      <c r="U216" s="3" t="str">
        <f>IFERROR(__xludf.DUMMYFUNCTION("""COMPUTED_VALUE"""),"Hub10-NE 2")</f>
        <v>Hub10-NE 2</v>
      </c>
      <c r="V216" s="3" t="str">
        <f>IFERROR(__xludf.DUMMYFUNCTION("""COMPUTED_VALUE"""),"N")</f>
        <v>N</v>
      </c>
      <c r="W216" s="3">
        <f>IFERROR(__xludf.DUMMYFUNCTION("""COMPUTED_VALUE"""),151048.0)</f>
        <v>151048</v>
      </c>
      <c r="X216" s="3" t="str">
        <f>IFERROR(__xludf.DUMMYFUNCTION("""COMPUTED_VALUE"""),"98 ถนนโนนสูง-มิตรภาพ ตำบลโนนสูง อำเภอโนนสูง จังหวัดนครราชสีมา 30160")</f>
        <v>98 ถนนโนนสูง-มิตรภาพ ตำบลโนนสูง อำเภอโนนสูง จังหวัดนครราชสีมา 30160</v>
      </c>
      <c r="Y216" s="3" t="str">
        <f>IFERROR(__xludf.DUMMYFUNCTION("""COMPUTED_VALUE"""),"ถนนโนนสูง-มิตรภาพ")</f>
        <v>ถนนโนนสูง-มิตรภาพ</v>
      </c>
      <c r="Z216" s="3" t="str">
        <f>IFERROR(__xludf.DUMMYFUNCTION("""COMPUTED_VALUE"""),"โนนสูง")</f>
        <v>โนนสูง</v>
      </c>
      <c r="AA216" s="3" t="str">
        <f>IFERROR(__xludf.DUMMYFUNCTION("""COMPUTED_VALUE"""),"โนนสูง")</f>
        <v>โนนสูง</v>
      </c>
      <c r="AB216" s="3" t="str">
        <f>IFERROR(__xludf.DUMMYFUNCTION("""COMPUTED_VALUE"""),"นครราชสีมา")</f>
        <v>นครราชสีมา</v>
      </c>
      <c r="AC216" s="3">
        <f>IFERROR(__xludf.DUMMYFUNCTION("""COMPUTED_VALUE"""),30160.0)</f>
        <v>30160</v>
      </c>
      <c r="AD216" s="3">
        <f>IFERROR(__xludf.DUMMYFUNCTION("""COMPUTED_VALUE"""),15.1732469)</f>
        <v>15.1732469</v>
      </c>
      <c r="AE216" s="3">
        <f>IFERROR(__xludf.DUMMYFUNCTION("""COMPUTED_VALUE"""),102.2444423)</f>
        <v>102.2444423</v>
      </c>
      <c r="AF216" s="3" t="str">
        <f>IFERROR(__xludf.DUMMYFUNCTION("""COMPUTED_VALUE"""),"โนนสูง-15044")</f>
        <v>โนนสูง-15044</v>
      </c>
      <c r="AG216" s="3" t="str">
        <f>IFERROR(__xludf.DUMMYFUNCTION("""COMPUTED_VALUE"""),"ตะวันออกเฉียงเหนือ")</f>
        <v>ตะวันออกเฉียงเหนือ</v>
      </c>
      <c r="AH216" s="3" t="str">
        <f>IFERROR(__xludf.DUMMYFUNCTION("""COMPUTED_VALUE"""),"Pajaob Wongpakdee")</f>
        <v>Pajaob Wongpakdee</v>
      </c>
      <c r="AI216" s="3" t="str">
        <f>IFERROR(__xludf.DUMMYFUNCTION("""COMPUTED_VALUE"""),"Out of warranty")</f>
        <v>Out of warranty</v>
      </c>
      <c r="AJ216" s="3">
        <f>IFERROR(__xludf.DUMMYFUNCTION("""COMPUTED_VALUE"""),125.0)</f>
        <v>125</v>
      </c>
      <c r="AK216" s="3"/>
      <c r="AL216" s="3" t="str">
        <f>IFERROR(__xludf.DUMMYFUNCTION("""COMPUTED_VALUE"""),"bmk_sm.nonsung@bigc.co.th")</f>
        <v>bmk_sm.nonsung@bigc.co.th</v>
      </c>
    </row>
    <row r="217" ht="15.75" customHeight="1">
      <c r="A217" s="1" t="str">
        <f>IFERROR(__xludf.DUMMYFUNCTION("""COMPUTED_VALUE"""),"15045")</f>
        <v>15045</v>
      </c>
      <c r="B217" s="2">
        <f>IFERROR(__xludf.DUMMYFUNCTION("""COMPUTED_VALUE"""),15045.0)</f>
        <v>15045</v>
      </c>
      <c r="C217" s="3" t="str">
        <f>IFERROR(__xludf.DUMMYFUNCTION("""COMPUTED_VALUE"""),"ภูเวียง")</f>
        <v>ภูเวียง</v>
      </c>
      <c r="D217" s="3" t="str">
        <f>IFERROR(__xludf.DUMMYFUNCTION("""COMPUTED_VALUE"""),"BIGC MARKET PHU WIANG")</f>
        <v>BIGC MARKET PHU WIANG</v>
      </c>
      <c r="E217" s="1" t="str">
        <f>IFERROR(__xludf.DUMMYFUNCTION("""COMPUTED_VALUE"""),"บิ๊กซี Market")</f>
        <v>บิ๊กซี Market</v>
      </c>
      <c r="F217" s="1" t="str">
        <f>IFERROR(__xludf.DUMMYFUNCTION("""COMPUTED_VALUE"""),"295801")</f>
        <v>295801</v>
      </c>
      <c r="G217" s="1" t="str">
        <f>IFERROR(__xludf.DUMMYFUNCTION("""COMPUTED_VALUE"""),"นายอรรถพล เหล่าสุวงศ์")</f>
        <v>นายอรรถพล เหล่าสุวงศ์</v>
      </c>
      <c r="H217" s="1" t="str">
        <f>IFERROR(__xludf.DUMMYFUNCTION("""COMPUTED_VALUE"""),"295801")</f>
        <v>295801</v>
      </c>
      <c r="I217" s="1" t="str">
        <f>IFERROR(__xludf.DUMMYFUNCTION("""COMPUTED_VALUE"""),"นายอรรถพล เหล่าสุวงศ์")</f>
        <v>นายอรรถพล เหล่าสุวงศ์</v>
      </c>
      <c r="J217" s="3">
        <f>IFERROR(__xludf.DUMMYFUNCTION("""COMPUTED_VALUE"""),295801.0)</f>
        <v>295801</v>
      </c>
      <c r="K217" s="3" t="str">
        <f>IFERROR(__xludf.DUMMYFUNCTION("""COMPUTED_VALUE"""),"นายอรรถพล เหล่าสุวงศ์")</f>
        <v>นายอรรถพล เหล่าสุวงศ์</v>
      </c>
      <c r="L217" s="1" t="str">
        <f>IFERROR(__xludf.DUMMYFUNCTION("""COMPUTED_VALUE"""),"Hub09-NE 1")</f>
        <v>Hub09-NE 1</v>
      </c>
      <c r="M217" s="1" t="str">
        <f>IFERROR(__xludf.DUMMYFUNCTION("""COMPUTED_VALUE"""),"0655090879")</f>
        <v>0655090879</v>
      </c>
      <c r="N217" s="3">
        <f>IFERROR(__xludf.DUMMYFUNCTION("""COMPUTED_VALUE"""),15045.0)</f>
        <v>15045</v>
      </c>
      <c r="O217" s="3" t="str">
        <f>IFERROR(__xludf.DUMMYFUNCTION("""COMPUTED_VALUE"""),"ภูเวียง")</f>
        <v>ภูเวียง</v>
      </c>
      <c r="P217" s="4">
        <f>IFERROR(__xludf.DUMMYFUNCTION("""COMPUTED_VALUE"""),42284.0)</f>
        <v>42284</v>
      </c>
      <c r="Q217" s="3" t="str">
        <f>IFERROR(__xludf.DUMMYFUNCTION("""COMPUTED_VALUE"""),"A")</f>
        <v>A</v>
      </c>
      <c r="R217" s="3" t="str">
        <f>IFERROR(__xludf.DUMMYFUNCTION("""COMPUTED_VALUE"""),"Big Format")</f>
        <v>Big Format</v>
      </c>
      <c r="S217" s="3" t="str">
        <f>IFERROR(__xludf.DUMMYFUNCTION("""COMPUTED_VALUE"""),"BMK")</f>
        <v>BMK</v>
      </c>
      <c r="T217" s="3" t="str">
        <f>IFERROR(__xludf.DUMMYFUNCTION("""COMPUTED_VALUE"""),"Hub09-NE 1")</f>
        <v>Hub09-NE 1</v>
      </c>
      <c r="U217" s="3" t="str">
        <f>IFERROR(__xludf.DUMMYFUNCTION("""COMPUTED_VALUE"""),"Hub09-NE 1")</f>
        <v>Hub09-NE 1</v>
      </c>
      <c r="V217" s="3" t="str">
        <f>IFERROR(__xludf.DUMMYFUNCTION("""COMPUTED_VALUE"""),"N")</f>
        <v>N</v>
      </c>
      <c r="W217" s="3">
        <f>IFERROR(__xludf.DUMMYFUNCTION("""COMPUTED_VALUE"""),151053.0)</f>
        <v>151053</v>
      </c>
      <c r="X217" s="3" t="str">
        <f>IFERROR(__xludf.DUMMYFUNCTION("""COMPUTED_VALUE"""),"446 หมู่ 4 ตำบลภูเวียง อำเภอภูเวียง จังหวัดขอนแก่น 40150")</f>
        <v>446 หมู่ 4 ตำบลภูเวียง อำเภอภูเวียง จังหวัดขอนแก่น 40150</v>
      </c>
      <c r="Y217" s="3"/>
      <c r="Z217" s="3" t="str">
        <f>IFERROR(__xludf.DUMMYFUNCTION("""COMPUTED_VALUE"""),"ภูเวียง")</f>
        <v>ภูเวียง</v>
      </c>
      <c r="AA217" s="3" t="str">
        <f>IFERROR(__xludf.DUMMYFUNCTION("""COMPUTED_VALUE"""),"ภูเวียง")</f>
        <v>ภูเวียง</v>
      </c>
      <c r="AB217" s="3" t="str">
        <f>IFERROR(__xludf.DUMMYFUNCTION("""COMPUTED_VALUE"""),"ขอนแก่น")</f>
        <v>ขอนแก่น</v>
      </c>
      <c r="AC217" s="3">
        <f>IFERROR(__xludf.DUMMYFUNCTION("""COMPUTED_VALUE"""),40150.0)</f>
        <v>40150</v>
      </c>
      <c r="AD217" s="3">
        <f>IFERROR(__xludf.DUMMYFUNCTION("""COMPUTED_VALUE"""),16.6579321)</f>
        <v>16.6579321</v>
      </c>
      <c r="AE217" s="3">
        <f>IFERROR(__xludf.DUMMYFUNCTION("""COMPUTED_VALUE"""),102.3693343)</f>
        <v>102.3693343</v>
      </c>
      <c r="AF217" s="3" t="str">
        <f>IFERROR(__xludf.DUMMYFUNCTION("""COMPUTED_VALUE"""),"ภูเวียง-15045")</f>
        <v>ภูเวียง-15045</v>
      </c>
      <c r="AG217" s="3" t="str">
        <f>IFERROR(__xludf.DUMMYFUNCTION("""COMPUTED_VALUE"""),"ตะวันออกเฉียงเหนือ")</f>
        <v>ตะวันออกเฉียงเหนือ</v>
      </c>
      <c r="AH217" s="3" t="str">
        <f>IFERROR(__xludf.DUMMYFUNCTION("""COMPUTED_VALUE"""),"K.Narabordee")</f>
        <v>K.Narabordee</v>
      </c>
      <c r="AI217" s="3" t="str">
        <f>IFERROR(__xludf.DUMMYFUNCTION("""COMPUTED_VALUE"""),"Out of warranty")</f>
        <v>Out of warranty</v>
      </c>
      <c r="AJ217" s="3">
        <f>IFERROR(__xludf.DUMMYFUNCTION("""COMPUTED_VALUE"""),124.0)</f>
        <v>124</v>
      </c>
      <c r="AK217" s="3"/>
      <c r="AL217" s="3" t="str">
        <f>IFERROR(__xludf.DUMMYFUNCTION("""COMPUTED_VALUE"""),"bmk_sm.phuwiang@bigc.co.th")</f>
        <v>bmk_sm.phuwiang@bigc.co.th</v>
      </c>
    </row>
    <row r="218" ht="15.75" customHeight="1">
      <c r="A218" s="1" t="str">
        <f>IFERROR(__xludf.DUMMYFUNCTION("""COMPUTED_VALUE"""),"15046")</f>
        <v>15046</v>
      </c>
      <c r="B218" s="2">
        <f>IFERROR(__xludf.DUMMYFUNCTION("""COMPUTED_VALUE"""),15046.0)</f>
        <v>15046</v>
      </c>
      <c r="C218" s="3" t="str">
        <f>IFERROR(__xludf.DUMMYFUNCTION("""COMPUTED_VALUE"""),"โซ่พิสัย")</f>
        <v>โซ่พิสัย</v>
      </c>
      <c r="D218" s="3" t="str">
        <f>IFERROR(__xludf.DUMMYFUNCTION("""COMPUTED_VALUE"""),"BIGC MARKET SO PHISAI")</f>
        <v>BIGC MARKET SO PHISAI</v>
      </c>
      <c r="E218" s="1" t="str">
        <f>IFERROR(__xludf.DUMMYFUNCTION("""COMPUTED_VALUE"""),"บิ๊กซี Market")</f>
        <v>บิ๊กซี Market</v>
      </c>
      <c r="F218" s="1" t="str">
        <f>IFERROR(__xludf.DUMMYFUNCTION("""COMPUTED_VALUE"""),"295801")</f>
        <v>295801</v>
      </c>
      <c r="G218" s="1" t="str">
        <f>IFERROR(__xludf.DUMMYFUNCTION("""COMPUTED_VALUE"""),"นายอรรถพล เหล่าสุวงศ์")</f>
        <v>นายอรรถพล เหล่าสุวงศ์</v>
      </c>
      <c r="H218" s="1" t="str">
        <f>IFERROR(__xludf.DUMMYFUNCTION("""COMPUTED_VALUE"""),"295801")</f>
        <v>295801</v>
      </c>
      <c r="I218" s="1" t="str">
        <f>IFERROR(__xludf.DUMMYFUNCTION("""COMPUTED_VALUE"""),"นายอรรถพล เหล่าสุวงศ์")</f>
        <v>นายอรรถพล เหล่าสุวงศ์</v>
      </c>
      <c r="J218" s="3">
        <f>IFERROR(__xludf.DUMMYFUNCTION("""COMPUTED_VALUE"""),295801.0)</f>
        <v>295801</v>
      </c>
      <c r="K218" s="3" t="str">
        <f>IFERROR(__xludf.DUMMYFUNCTION("""COMPUTED_VALUE"""),"นายอรรถพล เหล่าสุวงศ์")</f>
        <v>นายอรรถพล เหล่าสุวงศ์</v>
      </c>
      <c r="L218" s="1" t="str">
        <f>IFERROR(__xludf.DUMMYFUNCTION("""COMPUTED_VALUE"""),"Hub09-NE 1")</f>
        <v>Hub09-NE 1</v>
      </c>
      <c r="M218" s="1" t="str">
        <f>IFERROR(__xludf.DUMMYFUNCTION("""COMPUTED_VALUE"""),"0655090879")</f>
        <v>0655090879</v>
      </c>
      <c r="N218" s="3">
        <f>IFERROR(__xludf.DUMMYFUNCTION("""COMPUTED_VALUE"""),15046.0)</f>
        <v>15046</v>
      </c>
      <c r="O218" s="3" t="str">
        <f>IFERROR(__xludf.DUMMYFUNCTION("""COMPUTED_VALUE"""),"โซ่พิสัย")</f>
        <v>โซ่พิสัย</v>
      </c>
      <c r="P218" s="4">
        <f>IFERROR(__xludf.DUMMYFUNCTION("""COMPUTED_VALUE"""),42292.0)</f>
        <v>42292</v>
      </c>
      <c r="Q218" s="3" t="str">
        <f>IFERROR(__xludf.DUMMYFUNCTION("""COMPUTED_VALUE"""),"A")</f>
        <v>A</v>
      </c>
      <c r="R218" s="3" t="str">
        <f>IFERROR(__xludf.DUMMYFUNCTION("""COMPUTED_VALUE"""),"Big Format")</f>
        <v>Big Format</v>
      </c>
      <c r="S218" s="3" t="str">
        <f>IFERROR(__xludf.DUMMYFUNCTION("""COMPUTED_VALUE"""),"BMK")</f>
        <v>BMK</v>
      </c>
      <c r="T218" s="3" t="str">
        <f>IFERROR(__xludf.DUMMYFUNCTION("""COMPUTED_VALUE"""),"Hub09-NE 1")</f>
        <v>Hub09-NE 1</v>
      </c>
      <c r="U218" s="3" t="str">
        <f>IFERROR(__xludf.DUMMYFUNCTION("""COMPUTED_VALUE"""),"Hub09-NE 1")</f>
        <v>Hub09-NE 1</v>
      </c>
      <c r="V218" s="3" t="str">
        <f>IFERROR(__xludf.DUMMYFUNCTION("""COMPUTED_VALUE"""),"N")</f>
        <v>N</v>
      </c>
      <c r="W218" s="3">
        <f>IFERROR(__xludf.DUMMYFUNCTION("""COMPUTED_VALUE"""),151054.0)</f>
        <v>151054</v>
      </c>
      <c r="X218" s="3" t="str">
        <f>IFERROR(__xludf.DUMMYFUNCTION("""COMPUTED_VALUE"""),"232 หมู่ 3 ตำบลโซ่ อำเภอโซ่พิสัย จังหวัดบึงกาฬ 38170")</f>
        <v>232 หมู่ 3 ตำบลโซ่ อำเภอโซ่พิสัย จังหวัดบึงกาฬ 38170</v>
      </c>
      <c r="Y218" s="3"/>
      <c r="Z218" s="3" t="str">
        <f>IFERROR(__xludf.DUMMYFUNCTION("""COMPUTED_VALUE"""),"โซ่")</f>
        <v>โซ่</v>
      </c>
      <c r="AA218" s="3" t="str">
        <f>IFERROR(__xludf.DUMMYFUNCTION("""COMPUTED_VALUE"""),"โซ่พิสัย")</f>
        <v>โซ่พิสัย</v>
      </c>
      <c r="AB218" s="3" t="str">
        <f>IFERROR(__xludf.DUMMYFUNCTION("""COMPUTED_VALUE"""),"บึงกาฬ")</f>
        <v>บึงกาฬ</v>
      </c>
      <c r="AC218" s="3">
        <f>IFERROR(__xludf.DUMMYFUNCTION("""COMPUTED_VALUE"""),38170.0)</f>
        <v>38170</v>
      </c>
      <c r="AD218" s="3">
        <f>IFERROR(__xludf.DUMMYFUNCTION("""COMPUTED_VALUE"""),18.0745051)</f>
        <v>18.0745051</v>
      </c>
      <c r="AE218" s="3">
        <f>IFERROR(__xludf.DUMMYFUNCTION("""COMPUTED_VALUE"""),103.4478113)</f>
        <v>103.4478113</v>
      </c>
      <c r="AF218" s="3" t="str">
        <f>IFERROR(__xludf.DUMMYFUNCTION("""COMPUTED_VALUE"""),"โซ่พิสัย-15046")</f>
        <v>โซ่พิสัย-15046</v>
      </c>
      <c r="AG218" s="3" t="str">
        <f>IFERROR(__xludf.DUMMYFUNCTION("""COMPUTED_VALUE"""),"ตะวันออกเฉียงเหนือ")</f>
        <v>ตะวันออกเฉียงเหนือ</v>
      </c>
      <c r="AH218" s="3" t="str">
        <f>IFERROR(__xludf.DUMMYFUNCTION("""COMPUTED_VALUE"""),"K.Narabordee")</f>
        <v>K.Narabordee</v>
      </c>
      <c r="AI218" s="3" t="str">
        <f>IFERROR(__xludf.DUMMYFUNCTION("""COMPUTED_VALUE"""),"Out of warranty")</f>
        <v>Out of warranty</v>
      </c>
      <c r="AJ218" s="3">
        <f>IFERROR(__xludf.DUMMYFUNCTION("""COMPUTED_VALUE"""),124.0)</f>
        <v>124</v>
      </c>
      <c r="AK218" s="3"/>
      <c r="AL218" s="3" t="str">
        <f>IFERROR(__xludf.DUMMYFUNCTION("""COMPUTED_VALUE"""),"bmk_sm.sophisai@bigc.co.th")</f>
        <v>bmk_sm.sophisai@bigc.co.th</v>
      </c>
    </row>
    <row r="219" ht="15.75" customHeight="1">
      <c r="A219" s="1" t="str">
        <f>IFERROR(__xludf.DUMMYFUNCTION("""COMPUTED_VALUE"""),"15047")</f>
        <v>15047</v>
      </c>
      <c r="B219" s="2">
        <f>IFERROR(__xludf.DUMMYFUNCTION("""COMPUTED_VALUE"""),15047.0)</f>
        <v>15047</v>
      </c>
      <c r="C219" s="3" t="str">
        <f>IFERROR(__xludf.DUMMYFUNCTION("""COMPUTED_VALUE"""),"หนองม่วง")</f>
        <v>หนองม่วง</v>
      </c>
      <c r="D219" s="3" t="str">
        <f>IFERROR(__xludf.DUMMYFUNCTION("""COMPUTED_VALUE"""),"BIGC MARKET NONG MUANG")</f>
        <v>BIGC MARKET NONG MUANG</v>
      </c>
      <c r="E219" s="1" t="str">
        <f>IFERROR(__xludf.DUMMYFUNCTION("""COMPUTED_VALUE"""),"บิ๊กซี Market")</f>
        <v>บิ๊กซี Market</v>
      </c>
      <c r="F219" s="1" t="str">
        <f>IFERROR(__xludf.DUMMYFUNCTION("""COMPUTED_VALUE"""),"2455179")</f>
        <v>2455179</v>
      </c>
      <c r="G219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219" s="1" t="str">
        <f>IFERROR(__xludf.DUMMYFUNCTION("""COMPUTED_VALUE"""),"2455179")</f>
        <v>2455179</v>
      </c>
      <c r="I219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219" s="3">
        <f>IFERROR(__xludf.DUMMYFUNCTION("""COMPUTED_VALUE"""),2455179.0)</f>
        <v>2455179</v>
      </c>
      <c r="K219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219" s="1" t="str">
        <f>IFERROR(__xludf.DUMMYFUNCTION("""COMPUTED_VALUE"""),"Hub06-C&amp;W")</f>
        <v>Hub06-C&amp;W</v>
      </c>
      <c r="M219" s="1" t="str">
        <f>IFERROR(__xludf.DUMMYFUNCTION("""COMPUTED_VALUE"""),"090-993-6896")</f>
        <v>090-993-6896</v>
      </c>
      <c r="N219" s="3">
        <f>IFERROR(__xludf.DUMMYFUNCTION("""COMPUTED_VALUE"""),15047.0)</f>
        <v>15047</v>
      </c>
      <c r="O219" s="3" t="str">
        <f>IFERROR(__xludf.DUMMYFUNCTION("""COMPUTED_VALUE"""),"หนองม่วง")</f>
        <v>หนองม่วง</v>
      </c>
      <c r="P219" s="4">
        <f>IFERROR(__xludf.DUMMYFUNCTION("""COMPUTED_VALUE"""),42298.0)</f>
        <v>42298</v>
      </c>
      <c r="Q219" s="3" t="str">
        <f>IFERROR(__xludf.DUMMYFUNCTION("""COMPUTED_VALUE"""),"A")</f>
        <v>A</v>
      </c>
      <c r="R219" s="3" t="str">
        <f>IFERROR(__xludf.DUMMYFUNCTION("""COMPUTED_VALUE"""),"Big Format")</f>
        <v>Big Format</v>
      </c>
      <c r="S219" s="3" t="str">
        <f>IFERROR(__xludf.DUMMYFUNCTION("""COMPUTED_VALUE"""),"BMK")</f>
        <v>BMK</v>
      </c>
      <c r="T219" s="3" t="str">
        <f>IFERROR(__xludf.DUMMYFUNCTION("""COMPUTED_VALUE"""),"Hub06-C&amp;W")</f>
        <v>Hub06-C&amp;W</v>
      </c>
      <c r="U219" s="3" t="str">
        <f>IFERROR(__xludf.DUMMYFUNCTION("""COMPUTED_VALUE"""),"Hub06-C&amp;W")</f>
        <v>Hub06-C&amp;W</v>
      </c>
      <c r="V219" s="3" t="str">
        <f>IFERROR(__xludf.DUMMYFUNCTION("""COMPUTED_VALUE"""),"N")</f>
        <v>N</v>
      </c>
      <c r="W219" s="3">
        <f>IFERROR(__xludf.DUMMYFUNCTION("""COMPUTED_VALUE"""),151055.0)</f>
        <v>151055</v>
      </c>
      <c r="X219" s="3" t="str">
        <f>IFERROR(__xludf.DUMMYFUNCTION("""COMPUTED_VALUE"""),"85/17 หมู่ 6 ตำบลหนองม่วง อำเภอหนองม่วง จังหวัดลพบุรี 15170")</f>
        <v>85/17 หมู่ 6 ตำบลหนองม่วง อำเภอหนองม่วง จังหวัดลพบุรี 15170</v>
      </c>
      <c r="Y219" s="3"/>
      <c r="Z219" s="3" t="str">
        <f>IFERROR(__xludf.DUMMYFUNCTION("""COMPUTED_VALUE"""),"หนองม่วง")</f>
        <v>หนองม่วง</v>
      </c>
      <c r="AA219" s="3" t="str">
        <f>IFERROR(__xludf.DUMMYFUNCTION("""COMPUTED_VALUE"""),"หนองม่วง")</f>
        <v>หนองม่วง</v>
      </c>
      <c r="AB219" s="3" t="str">
        <f>IFERROR(__xludf.DUMMYFUNCTION("""COMPUTED_VALUE"""),"ลพบุรี")</f>
        <v>ลพบุรี</v>
      </c>
      <c r="AC219" s="3">
        <f>IFERROR(__xludf.DUMMYFUNCTION("""COMPUTED_VALUE"""),15170.0)</f>
        <v>15170</v>
      </c>
      <c r="AD219" s="3">
        <f>IFERROR(__xludf.DUMMYFUNCTION("""COMPUTED_VALUE"""),15.217492)</f>
        <v>15.217492</v>
      </c>
      <c r="AE219" s="3">
        <f>IFERROR(__xludf.DUMMYFUNCTION("""COMPUTED_VALUE"""),100.6618623)</f>
        <v>100.6618623</v>
      </c>
      <c r="AF219" s="3" t="str">
        <f>IFERROR(__xludf.DUMMYFUNCTION("""COMPUTED_VALUE"""),"หนองม่วง-15047")</f>
        <v>หนองม่วง-15047</v>
      </c>
      <c r="AG219" s="3" t="str">
        <f>IFERROR(__xludf.DUMMYFUNCTION("""COMPUTED_VALUE"""),"กลาง")</f>
        <v>กลาง</v>
      </c>
      <c r="AH219" s="3" t="str">
        <f>IFERROR(__xludf.DUMMYFUNCTION("""COMPUTED_VALUE"""),"Wichian Nasungnoen")</f>
        <v>Wichian Nasungnoen</v>
      </c>
      <c r="AI219" s="3" t="str">
        <f>IFERROR(__xludf.DUMMYFUNCTION("""COMPUTED_VALUE"""),"Out of warranty")</f>
        <v>Out of warranty</v>
      </c>
      <c r="AJ219" s="3">
        <f>IFERROR(__xludf.DUMMYFUNCTION("""COMPUTED_VALUE"""),123.0)</f>
        <v>123</v>
      </c>
      <c r="AK219" s="3"/>
      <c r="AL219" s="3" t="str">
        <f>IFERROR(__xludf.DUMMYFUNCTION("""COMPUTED_VALUE"""),"bmk_sm.nongmuang@bigc.co.th")</f>
        <v>bmk_sm.nongmuang@bigc.co.th</v>
      </c>
    </row>
    <row r="220" ht="15.75" customHeight="1">
      <c r="A220" s="1" t="str">
        <f>IFERROR(__xludf.DUMMYFUNCTION("""COMPUTED_VALUE"""),"15048")</f>
        <v>15048</v>
      </c>
      <c r="B220" s="2">
        <f>IFERROR(__xludf.DUMMYFUNCTION("""COMPUTED_VALUE"""),15048.0)</f>
        <v>15048</v>
      </c>
      <c r="C220" s="3" t="str">
        <f>IFERROR(__xludf.DUMMYFUNCTION("""COMPUTED_VALUE"""),"ชุมพวง")</f>
        <v>ชุมพวง</v>
      </c>
      <c r="D220" s="3" t="str">
        <f>IFERROR(__xludf.DUMMYFUNCTION("""COMPUTED_VALUE"""),"BIGC MARKET CHUM PHUANG")</f>
        <v>BIGC MARKET CHUM PHUANG</v>
      </c>
      <c r="E220" s="1" t="str">
        <f>IFERROR(__xludf.DUMMYFUNCTION("""COMPUTED_VALUE"""),"บิ๊กซี Market")</f>
        <v>บิ๊กซี Market</v>
      </c>
      <c r="F220" s="1" t="str">
        <f>IFERROR(__xludf.DUMMYFUNCTION("""COMPUTED_VALUE"""),"033317")</f>
        <v>033317</v>
      </c>
      <c r="G220" s="1" t="str">
        <f>IFERROR(__xludf.DUMMYFUNCTION("""COMPUTED_VALUE"""),"นายอาณัติ เพชรภาน")</f>
        <v>นายอาณัติ เพชรภาน</v>
      </c>
      <c r="H220" s="1" t="str">
        <f>IFERROR(__xludf.DUMMYFUNCTION("""COMPUTED_VALUE"""),"033317")</f>
        <v>033317</v>
      </c>
      <c r="I220" s="1" t="str">
        <f>IFERROR(__xludf.DUMMYFUNCTION("""COMPUTED_VALUE"""),"นายอาณัติ เพชรภาน")</f>
        <v>นายอาณัติ เพชรภาน</v>
      </c>
      <c r="J220" s="3">
        <f>IFERROR(__xludf.DUMMYFUNCTION("""COMPUTED_VALUE"""),33317.0)</f>
        <v>33317</v>
      </c>
      <c r="K220" s="3" t="str">
        <f>IFERROR(__xludf.DUMMYFUNCTION("""COMPUTED_VALUE"""),"นายอาณัติ เพชรภาน")</f>
        <v>นายอาณัติ เพชรภาน</v>
      </c>
      <c r="L220" s="1" t="str">
        <f>IFERROR(__xludf.DUMMYFUNCTION("""COMPUTED_VALUE"""),"Hub10-NE 2")</f>
        <v>Hub10-NE 2</v>
      </c>
      <c r="M220" s="1" t="str">
        <f>IFERROR(__xludf.DUMMYFUNCTION("""COMPUTED_VALUE"""),"0644791409")</f>
        <v>0644791409</v>
      </c>
      <c r="N220" s="3">
        <f>IFERROR(__xludf.DUMMYFUNCTION("""COMPUTED_VALUE"""),15048.0)</f>
        <v>15048</v>
      </c>
      <c r="O220" s="3" t="str">
        <f>IFERROR(__xludf.DUMMYFUNCTION("""COMPUTED_VALUE"""),"ชุมพวง")</f>
        <v>ชุมพวง</v>
      </c>
      <c r="P220" s="4">
        <f>IFERROR(__xludf.DUMMYFUNCTION("""COMPUTED_VALUE"""),42303.0)</f>
        <v>42303</v>
      </c>
      <c r="Q220" s="3" t="str">
        <f>IFERROR(__xludf.DUMMYFUNCTION("""COMPUTED_VALUE"""),"A")</f>
        <v>A</v>
      </c>
      <c r="R220" s="3" t="str">
        <f>IFERROR(__xludf.DUMMYFUNCTION("""COMPUTED_VALUE"""),"Big Format")</f>
        <v>Big Format</v>
      </c>
      <c r="S220" s="3" t="str">
        <f>IFERROR(__xludf.DUMMYFUNCTION("""COMPUTED_VALUE"""),"BMK")</f>
        <v>BMK</v>
      </c>
      <c r="T220" s="3" t="str">
        <f>IFERROR(__xludf.DUMMYFUNCTION("""COMPUTED_VALUE"""),"Hub10-NE 2")</f>
        <v>Hub10-NE 2</v>
      </c>
      <c r="U220" s="3" t="str">
        <f>IFERROR(__xludf.DUMMYFUNCTION("""COMPUTED_VALUE"""),"Hub10-NE 2")</f>
        <v>Hub10-NE 2</v>
      </c>
      <c r="V220" s="3" t="str">
        <f>IFERROR(__xludf.DUMMYFUNCTION("""COMPUTED_VALUE"""),"N")</f>
        <v>N</v>
      </c>
      <c r="W220" s="3">
        <f>IFERROR(__xludf.DUMMYFUNCTION("""COMPUTED_VALUE"""),151056.0)</f>
        <v>151056</v>
      </c>
      <c r="X220" s="3" t="str">
        <f>IFERROR(__xludf.DUMMYFUNCTION("""COMPUTED_VALUE"""),"266 หมู่ 1 ตำบลชุมพวง อำเภอชุมพวง จังหวัดนครราชสีมา 30270")</f>
        <v>266 หมู่ 1 ตำบลชุมพวง อำเภอชุมพวง จังหวัดนครราชสีมา 30270</v>
      </c>
      <c r="Y220" s="3"/>
      <c r="Z220" s="3" t="str">
        <f>IFERROR(__xludf.DUMMYFUNCTION("""COMPUTED_VALUE"""),"ชุมพวง")</f>
        <v>ชุมพวง</v>
      </c>
      <c r="AA220" s="3" t="str">
        <f>IFERROR(__xludf.DUMMYFUNCTION("""COMPUTED_VALUE"""),"ชุมพวง")</f>
        <v>ชุมพวง</v>
      </c>
      <c r="AB220" s="3" t="str">
        <f>IFERROR(__xludf.DUMMYFUNCTION("""COMPUTED_VALUE"""),"นครราชสีมา")</f>
        <v>นครราชสีมา</v>
      </c>
      <c r="AC220" s="3">
        <f>IFERROR(__xludf.DUMMYFUNCTION("""COMPUTED_VALUE"""),30270.0)</f>
        <v>30270</v>
      </c>
      <c r="AD220" s="3">
        <f>IFERROR(__xludf.DUMMYFUNCTION("""COMPUTED_VALUE"""),15.351668)</f>
        <v>15.351668</v>
      </c>
      <c r="AE220" s="3">
        <f>IFERROR(__xludf.DUMMYFUNCTION("""COMPUTED_VALUE"""),102.7468763)</f>
        <v>102.7468763</v>
      </c>
      <c r="AF220" s="3" t="str">
        <f>IFERROR(__xludf.DUMMYFUNCTION("""COMPUTED_VALUE"""),"ชุมพวง-15048")</f>
        <v>ชุมพวง-15048</v>
      </c>
      <c r="AG220" s="3" t="str">
        <f>IFERROR(__xludf.DUMMYFUNCTION("""COMPUTED_VALUE"""),"ตะวันออกเฉียงเหนือ")</f>
        <v>ตะวันออกเฉียงเหนือ</v>
      </c>
      <c r="AH220" s="3" t="str">
        <f>IFERROR(__xludf.DUMMYFUNCTION("""COMPUTED_VALUE"""),"Pajaob Wongpakdee")</f>
        <v>Pajaob Wongpakdee</v>
      </c>
      <c r="AI220" s="3" t="str">
        <f>IFERROR(__xludf.DUMMYFUNCTION("""COMPUTED_VALUE"""),"Out of warranty")</f>
        <v>Out of warranty</v>
      </c>
      <c r="AJ220" s="3">
        <f>IFERROR(__xludf.DUMMYFUNCTION("""COMPUTED_VALUE"""),123.0)</f>
        <v>123</v>
      </c>
      <c r="AK220" s="3"/>
      <c r="AL220" s="3" t="str">
        <f>IFERROR(__xludf.DUMMYFUNCTION("""COMPUTED_VALUE"""),"bmk_sm.chumphuang@bigc.co.th")</f>
        <v>bmk_sm.chumphuang@bigc.co.th</v>
      </c>
    </row>
    <row r="221" ht="15.75" customHeight="1">
      <c r="A221" s="1" t="str">
        <f>IFERROR(__xludf.DUMMYFUNCTION("""COMPUTED_VALUE"""),"15049")</f>
        <v>15049</v>
      </c>
      <c r="B221" s="2">
        <f>IFERROR(__xludf.DUMMYFUNCTION("""COMPUTED_VALUE"""),15049.0)</f>
        <v>15049</v>
      </c>
      <c r="C221" s="3" t="str">
        <f>IFERROR(__xludf.DUMMYFUNCTION("""COMPUTED_VALUE"""),"บำเหน็จณรงค์")</f>
        <v>บำเหน็จณรงค์</v>
      </c>
      <c r="D221" s="3" t="str">
        <f>IFERROR(__xludf.DUMMYFUNCTION("""COMPUTED_VALUE"""),"BIGC MARKET BAMNET NARONG")</f>
        <v>BIGC MARKET BAMNET NARONG</v>
      </c>
      <c r="E221" s="1" t="str">
        <f>IFERROR(__xludf.DUMMYFUNCTION("""COMPUTED_VALUE"""),"บิ๊กซี Market")</f>
        <v>บิ๊กซี Market</v>
      </c>
      <c r="F221" s="1" t="str">
        <f>IFERROR(__xludf.DUMMYFUNCTION("""COMPUTED_VALUE"""),"000348")</f>
        <v>000348</v>
      </c>
      <c r="G221" s="1" t="str">
        <f>IFERROR(__xludf.DUMMYFUNCTION("""COMPUTED_VALUE"""),"นายธีรนันท์ ไม้สนธิ์")</f>
        <v>นายธีรนันท์ ไม้สนธิ์</v>
      </c>
      <c r="H221" s="1" t="str">
        <f>IFERROR(__xludf.DUMMYFUNCTION("""COMPUTED_VALUE"""),"000348")</f>
        <v>000348</v>
      </c>
      <c r="I221" s="1" t="str">
        <f>IFERROR(__xludf.DUMMYFUNCTION("""COMPUTED_VALUE"""),"นายธีรนันท์ ไม้สนธิ์")</f>
        <v>นายธีรนันท์ ไม้สนธิ์</v>
      </c>
      <c r="J221" s="3">
        <f>IFERROR(__xludf.DUMMYFUNCTION("""COMPUTED_VALUE"""),348.0)</f>
        <v>348</v>
      </c>
      <c r="K221" s="3" t="str">
        <f>IFERROR(__xludf.DUMMYFUNCTION("""COMPUTED_VALUE"""),"นายธีรนันท์ ไม้สนธิ์")</f>
        <v>นายธีรนันท์ ไม้สนธิ์</v>
      </c>
      <c r="L221" s="1" t="str">
        <f>IFERROR(__xludf.DUMMYFUNCTION("""COMPUTED_VALUE"""),"Hub07-North")</f>
        <v>Hub07-North</v>
      </c>
      <c r="M221" s="1" t="str">
        <f>IFERROR(__xludf.DUMMYFUNCTION("""COMPUTED_VALUE"""),"0614175866")</f>
        <v>0614175866</v>
      </c>
      <c r="N221" s="3">
        <f>IFERROR(__xludf.DUMMYFUNCTION("""COMPUTED_VALUE"""),15049.0)</f>
        <v>15049</v>
      </c>
      <c r="O221" s="3" t="str">
        <f>IFERROR(__xludf.DUMMYFUNCTION("""COMPUTED_VALUE"""),"บำเหน็จณรงค์")</f>
        <v>บำเหน็จณรงค์</v>
      </c>
      <c r="P221" s="4">
        <f>IFERROR(__xludf.DUMMYFUNCTION("""COMPUTED_VALUE"""),42321.0)</f>
        <v>42321</v>
      </c>
      <c r="Q221" s="3" t="str">
        <f>IFERROR(__xludf.DUMMYFUNCTION("""COMPUTED_VALUE"""),"I")</f>
        <v>I</v>
      </c>
      <c r="R221" s="3" t="str">
        <f>IFERROR(__xludf.DUMMYFUNCTION("""COMPUTED_VALUE"""),"Big Format")</f>
        <v>Big Format</v>
      </c>
      <c r="S221" s="3" t="str">
        <f>IFERROR(__xludf.DUMMYFUNCTION("""COMPUTED_VALUE"""),"BMK")</f>
        <v>BMK</v>
      </c>
      <c r="T221" s="3" t="str">
        <f>IFERROR(__xludf.DUMMYFUNCTION("""COMPUTED_VALUE"""),"Hub07-North")</f>
        <v>Hub07-North</v>
      </c>
      <c r="U221" s="3" t="str">
        <f>IFERROR(__xludf.DUMMYFUNCTION("""COMPUTED_VALUE"""),"Hub07-North")</f>
        <v>Hub07-North</v>
      </c>
      <c r="V221" s="3" t="str">
        <f>IFERROR(__xludf.DUMMYFUNCTION("""COMPUTED_VALUE"""),"N")</f>
        <v>N</v>
      </c>
      <c r="W221" s="3">
        <f>IFERROR(__xludf.DUMMYFUNCTION("""COMPUTED_VALUE"""),151050.0)</f>
        <v>151050</v>
      </c>
      <c r="X221" s="3" t="str">
        <f>IFERROR(__xludf.DUMMYFUNCTION("""COMPUTED_VALUE"""),"454 หมู่ 10 ตำบลบ้านเพชร อำเภอบำเหน็จณรงค์ จังหวัดชัยภูมิ 36160")</f>
        <v>454 หมู่ 10 ตำบลบ้านเพชร อำเภอบำเหน็จณรงค์ จังหวัดชัยภูมิ 36160</v>
      </c>
      <c r="Y221" s="3"/>
      <c r="Z221" s="3" t="str">
        <f>IFERROR(__xludf.DUMMYFUNCTION("""COMPUTED_VALUE"""),"บ้านเพชร")</f>
        <v>บ้านเพชร</v>
      </c>
      <c r="AA221" s="3" t="str">
        <f>IFERROR(__xludf.DUMMYFUNCTION("""COMPUTED_VALUE"""),"บำเหน็จณรงค์")</f>
        <v>บำเหน็จณรงค์</v>
      </c>
      <c r="AB221" s="3" t="str">
        <f>IFERROR(__xludf.DUMMYFUNCTION("""COMPUTED_VALUE"""),"ชัยภูมิ")</f>
        <v>ชัยภูมิ</v>
      </c>
      <c r="AC221" s="3">
        <f>IFERROR(__xludf.DUMMYFUNCTION("""COMPUTED_VALUE"""),36160.0)</f>
        <v>36160</v>
      </c>
      <c r="AD221" s="3">
        <f>IFERROR(__xludf.DUMMYFUNCTION("""COMPUTED_VALUE"""),15.4410544)</f>
        <v>15.4410544</v>
      </c>
      <c r="AE221" s="3">
        <f>IFERROR(__xludf.DUMMYFUNCTION("""COMPUTED_VALUE"""),101.6920506)</f>
        <v>101.6920506</v>
      </c>
      <c r="AF221" s="3" t="str">
        <f>IFERROR(__xludf.DUMMYFUNCTION("""COMPUTED_VALUE"""),"บำเหน็จณรงค์-15049")</f>
        <v>บำเหน็จณรงค์-15049</v>
      </c>
      <c r="AG221" s="3" t="str">
        <f>IFERROR(__xludf.DUMMYFUNCTION("""COMPUTED_VALUE"""),"ตะวันออกเฉียงเหนือ")</f>
        <v>ตะวันออกเฉียงเหนือ</v>
      </c>
      <c r="AH221" s="3" t="str">
        <f>IFERROR(__xludf.DUMMYFUNCTION("""COMPUTED_VALUE"""),"#N/A")</f>
        <v>#N/A</v>
      </c>
      <c r="AI221" s="3" t="str">
        <f>IFERROR(__xludf.DUMMYFUNCTION("""COMPUTED_VALUE"""),"Out of warranty")</f>
        <v>Out of warranty</v>
      </c>
      <c r="AJ221" s="3">
        <f>IFERROR(__xludf.DUMMYFUNCTION("""COMPUTED_VALUE"""),123.0)</f>
        <v>123</v>
      </c>
      <c r="AK221" s="3"/>
      <c r="AL221" s="3" t="str">
        <f>IFERROR(__xludf.DUMMYFUNCTION("""COMPUTED_VALUE"""),"#N/A")</f>
        <v>#N/A</v>
      </c>
    </row>
    <row r="222" ht="15.75" customHeight="1">
      <c r="A222" s="1" t="str">
        <f>IFERROR(__xludf.DUMMYFUNCTION("""COMPUTED_VALUE"""),"15050")</f>
        <v>15050</v>
      </c>
      <c r="B222" s="2">
        <f>IFERROR(__xludf.DUMMYFUNCTION("""COMPUTED_VALUE"""),15050.0)</f>
        <v>15050</v>
      </c>
      <c r="C222" s="3" t="str">
        <f>IFERROR(__xludf.DUMMYFUNCTION("""COMPUTED_VALUE"""),"พุทธมณฑลสาย 5")</f>
        <v>พุทธมณฑลสาย 5</v>
      </c>
      <c r="D222" s="3" t="str">
        <f>IFERROR(__xludf.DUMMYFUNCTION("""COMPUTED_VALUE"""),"BIGC MARKET PHUTTHAMONTHON S.5")</f>
        <v>BIGC MARKET PHUTTHAMONTHON S.5</v>
      </c>
      <c r="E222" s="1" t="str">
        <f>IFERROR(__xludf.DUMMYFUNCTION("""COMPUTED_VALUE"""),"บิ๊กซี Market")</f>
        <v>บิ๊กซี Market</v>
      </c>
      <c r="F222" s="1" t="str">
        <f>IFERROR(__xludf.DUMMYFUNCTION("""COMPUTED_VALUE"""),"2454701")</f>
        <v>2454701</v>
      </c>
      <c r="G222" s="1" t="str">
        <f>IFERROR(__xludf.DUMMYFUNCTION("""COMPUTED_VALUE"""),"นายกานต์ ไชยแสงศรี")</f>
        <v>นายกานต์ ไชยแสงศรี</v>
      </c>
      <c r="H222" s="1" t="str">
        <f>IFERROR(__xludf.DUMMYFUNCTION("""COMPUTED_VALUE"""),"2454701")</f>
        <v>2454701</v>
      </c>
      <c r="I222" s="1" t="str">
        <f>IFERROR(__xludf.DUMMYFUNCTION("""COMPUTED_VALUE"""),"นายกานต์ ไชยแสงศรี")</f>
        <v>นายกานต์ ไชยแสงศรี</v>
      </c>
      <c r="J222" s="3">
        <f>IFERROR(__xludf.DUMMYFUNCTION("""COMPUTED_VALUE"""),2454701.0)</f>
        <v>2454701</v>
      </c>
      <c r="K222" s="3" t="str">
        <f>IFERROR(__xludf.DUMMYFUNCTION("""COMPUTED_VALUE"""),"นายกานต์ ไชยแสงศรี")</f>
        <v>นายกานต์ ไชยแสงศรี</v>
      </c>
      <c r="L222" s="1" t="str">
        <f>IFERROR(__xludf.DUMMYFUNCTION("""COMPUTED_VALUE"""),"Hub01-BKK 1")</f>
        <v>Hub01-BKK 1</v>
      </c>
      <c r="M222" s="1" t="str">
        <f>IFERROR(__xludf.DUMMYFUNCTION("""COMPUTED_VALUE"""),"0909090652")</f>
        <v>0909090652</v>
      </c>
      <c r="N222" s="3">
        <f>IFERROR(__xludf.DUMMYFUNCTION("""COMPUTED_VALUE"""),15050.0)</f>
        <v>15050</v>
      </c>
      <c r="O222" s="3" t="str">
        <f>IFERROR(__xludf.DUMMYFUNCTION("""COMPUTED_VALUE"""),"พุทธมณฑลสาย 5")</f>
        <v>พุทธมณฑลสาย 5</v>
      </c>
      <c r="P222" s="4">
        <f>IFERROR(__xludf.DUMMYFUNCTION("""COMPUTED_VALUE"""),42350.0)</f>
        <v>42350</v>
      </c>
      <c r="Q222" s="3" t="str">
        <f>IFERROR(__xludf.DUMMYFUNCTION("""COMPUTED_VALUE"""),"A")</f>
        <v>A</v>
      </c>
      <c r="R222" s="3" t="str">
        <f>IFERROR(__xludf.DUMMYFUNCTION("""COMPUTED_VALUE"""),"Big Format")</f>
        <v>Big Format</v>
      </c>
      <c r="S222" s="3" t="str">
        <f>IFERROR(__xludf.DUMMYFUNCTION("""COMPUTED_VALUE"""),"BMK")</f>
        <v>BMK</v>
      </c>
      <c r="T222" s="3" t="str">
        <f>IFERROR(__xludf.DUMMYFUNCTION("""COMPUTED_VALUE"""),"Hub01-BKK 1")</f>
        <v>Hub01-BKK 1</v>
      </c>
      <c r="U222" s="3" t="str">
        <f>IFERROR(__xludf.DUMMYFUNCTION("""COMPUTED_VALUE"""),"Hub01-BKK 1")</f>
        <v>Hub01-BKK 1</v>
      </c>
      <c r="V222" s="3" t="str">
        <f>IFERROR(__xludf.DUMMYFUNCTION("""COMPUTED_VALUE"""),"N")</f>
        <v>N</v>
      </c>
      <c r="W222" s="3">
        <f>IFERROR(__xludf.DUMMYFUNCTION("""COMPUTED_VALUE"""),151057.0)</f>
        <v>151057</v>
      </c>
      <c r="X222" s="3" t="str">
        <f>IFERROR(__xludf.DUMMYFUNCTION("""COMPUTED_VALUE"""),"49/6 หมุ่ 13 ตำบลไร่ขิง อำเภอสามพราน จังหวัดนครปฐม 73210")</f>
        <v>49/6 หมุ่ 13 ตำบลไร่ขิง อำเภอสามพราน จังหวัดนครปฐม 73210</v>
      </c>
      <c r="Y222" s="3"/>
      <c r="Z222" s="3" t="str">
        <f>IFERROR(__xludf.DUMMYFUNCTION("""COMPUTED_VALUE"""),"ไร่ขิง")</f>
        <v>ไร่ขิง</v>
      </c>
      <c r="AA222" s="3" t="str">
        <f>IFERROR(__xludf.DUMMYFUNCTION("""COMPUTED_VALUE"""),"สามพราน")</f>
        <v>สามพราน</v>
      </c>
      <c r="AB222" s="3" t="str">
        <f>IFERROR(__xludf.DUMMYFUNCTION("""COMPUTED_VALUE"""),"นครปฐม")</f>
        <v>นครปฐม</v>
      </c>
      <c r="AC222" s="3">
        <f>IFERROR(__xludf.DUMMYFUNCTION("""COMPUTED_VALUE"""),73210.0)</f>
        <v>73210</v>
      </c>
      <c r="AD222" s="3">
        <f>IFERROR(__xludf.DUMMYFUNCTION("""COMPUTED_VALUE"""),13.7335382)</f>
        <v>13.7335382</v>
      </c>
      <c r="AE222" s="3">
        <f>IFERROR(__xludf.DUMMYFUNCTION("""COMPUTED_VALUE"""),100.2967828)</f>
        <v>100.2967828</v>
      </c>
      <c r="AF222" s="3" t="str">
        <f>IFERROR(__xludf.DUMMYFUNCTION("""COMPUTED_VALUE"""),"พุทธมณฑลสาย 5-15050")</f>
        <v>พุทธมณฑลสาย 5-15050</v>
      </c>
      <c r="AG222" s="3" t="str">
        <f>IFERROR(__xludf.DUMMYFUNCTION("""COMPUTED_VALUE"""),"กลาง")</f>
        <v>กลาง</v>
      </c>
      <c r="AH222" s="3" t="str">
        <f>IFERROR(__xludf.DUMMYFUNCTION("""COMPUTED_VALUE"""),"Suchin Thawinwisan")</f>
        <v>Suchin Thawinwisan</v>
      </c>
      <c r="AI222" s="3" t="str">
        <f>IFERROR(__xludf.DUMMYFUNCTION("""COMPUTED_VALUE"""),"Out of warranty")</f>
        <v>Out of warranty</v>
      </c>
      <c r="AJ222" s="3">
        <f>IFERROR(__xludf.DUMMYFUNCTION("""COMPUTED_VALUE"""),122.0)</f>
        <v>122</v>
      </c>
      <c r="AK222" s="3"/>
      <c r="AL222" s="3" t="str">
        <f>IFERROR(__xludf.DUMMYFUNCTION("""COMPUTED_VALUE"""),"bmk_sm.phutthamonthon_sai5@bigc.co.th")</f>
        <v>bmk_sm.phutthamonthon_sai5@bigc.co.th</v>
      </c>
    </row>
    <row r="223" ht="15.75" customHeight="1">
      <c r="A223" s="1" t="str">
        <f>IFERROR(__xludf.DUMMYFUNCTION("""COMPUTED_VALUE"""),"15051")</f>
        <v>15051</v>
      </c>
      <c r="B223" s="2">
        <f>IFERROR(__xludf.DUMMYFUNCTION("""COMPUTED_VALUE"""),15051.0)</f>
        <v>15051</v>
      </c>
      <c r="C223" s="3" t="str">
        <f>IFERROR(__xludf.DUMMYFUNCTION("""COMPUTED_VALUE"""),"ห้วยแถลง")</f>
        <v>ห้วยแถลง</v>
      </c>
      <c r="D223" s="3" t="str">
        <f>IFERROR(__xludf.DUMMYFUNCTION("""COMPUTED_VALUE"""),"BIGC MARKET HUAI THALAENG")</f>
        <v>BIGC MARKET HUAI THALAENG</v>
      </c>
      <c r="E223" s="1" t="str">
        <f>IFERROR(__xludf.DUMMYFUNCTION("""COMPUTED_VALUE"""),"บิ๊กซี Market")</f>
        <v>บิ๊กซี Market</v>
      </c>
      <c r="F223" s="1" t="str">
        <f>IFERROR(__xludf.DUMMYFUNCTION("""COMPUTED_VALUE"""),"033317")</f>
        <v>033317</v>
      </c>
      <c r="G223" s="1" t="str">
        <f>IFERROR(__xludf.DUMMYFUNCTION("""COMPUTED_VALUE"""),"นายอาณัติ เพชรภาน")</f>
        <v>นายอาณัติ เพชรภาน</v>
      </c>
      <c r="H223" s="1" t="str">
        <f>IFERROR(__xludf.DUMMYFUNCTION("""COMPUTED_VALUE"""),"033317")</f>
        <v>033317</v>
      </c>
      <c r="I223" s="1" t="str">
        <f>IFERROR(__xludf.DUMMYFUNCTION("""COMPUTED_VALUE"""),"นายอาณัติ เพชรภาน")</f>
        <v>นายอาณัติ เพชรภาน</v>
      </c>
      <c r="J223" s="3">
        <f>IFERROR(__xludf.DUMMYFUNCTION("""COMPUTED_VALUE"""),33317.0)</f>
        <v>33317</v>
      </c>
      <c r="K223" s="3" t="str">
        <f>IFERROR(__xludf.DUMMYFUNCTION("""COMPUTED_VALUE"""),"นายอาณัติ เพชรภาน")</f>
        <v>นายอาณัติ เพชรภาน</v>
      </c>
      <c r="L223" s="1" t="str">
        <f>IFERROR(__xludf.DUMMYFUNCTION("""COMPUTED_VALUE"""),"Hub10-NE 2")</f>
        <v>Hub10-NE 2</v>
      </c>
      <c r="M223" s="1" t="str">
        <f>IFERROR(__xludf.DUMMYFUNCTION("""COMPUTED_VALUE"""),"0644791409")</f>
        <v>0644791409</v>
      </c>
      <c r="N223" s="3">
        <f>IFERROR(__xludf.DUMMYFUNCTION("""COMPUTED_VALUE"""),15051.0)</f>
        <v>15051</v>
      </c>
      <c r="O223" s="3" t="str">
        <f>IFERROR(__xludf.DUMMYFUNCTION("""COMPUTED_VALUE"""),"ห้วยแถลง")</f>
        <v>ห้วยแถลง</v>
      </c>
      <c r="P223" s="4">
        <f>IFERROR(__xludf.DUMMYFUNCTION("""COMPUTED_VALUE"""),42330.0)</f>
        <v>42330</v>
      </c>
      <c r="Q223" s="3" t="str">
        <f>IFERROR(__xludf.DUMMYFUNCTION("""COMPUTED_VALUE"""),"A")</f>
        <v>A</v>
      </c>
      <c r="R223" s="3" t="str">
        <f>IFERROR(__xludf.DUMMYFUNCTION("""COMPUTED_VALUE"""),"Big Format")</f>
        <v>Big Format</v>
      </c>
      <c r="S223" s="3" t="str">
        <f>IFERROR(__xludf.DUMMYFUNCTION("""COMPUTED_VALUE"""),"BMK")</f>
        <v>BMK</v>
      </c>
      <c r="T223" s="3" t="str">
        <f>IFERROR(__xludf.DUMMYFUNCTION("""COMPUTED_VALUE"""),"Hub10-NE 2")</f>
        <v>Hub10-NE 2</v>
      </c>
      <c r="U223" s="3" t="str">
        <f>IFERROR(__xludf.DUMMYFUNCTION("""COMPUTED_VALUE"""),"Hub10-NE 2")</f>
        <v>Hub10-NE 2</v>
      </c>
      <c r="V223" s="3" t="str">
        <f>IFERROR(__xludf.DUMMYFUNCTION("""COMPUTED_VALUE"""),"N")</f>
        <v>N</v>
      </c>
      <c r="W223" s="3">
        <f>IFERROR(__xludf.DUMMYFUNCTION("""COMPUTED_VALUE"""),151058.0)</f>
        <v>151058</v>
      </c>
      <c r="X223" s="3" t="str">
        <f>IFERROR(__xludf.DUMMYFUNCTION("""COMPUTED_VALUE"""),"158 หมู่ 6 ตำบลห้วยแถลง อำเภอห้วยแถลง จังหวัดนครราชสีมา 30240")</f>
        <v>158 หมู่ 6 ตำบลห้วยแถลง อำเภอห้วยแถลง จังหวัดนครราชสีมา 30240</v>
      </c>
      <c r="Y223" s="3"/>
      <c r="Z223" s="3" t="str">
        <f>IFERROR(__xludf.DUMMYFUNCTION("""COMPUTED_VALUE"""),"ห้วยแถลง")</f>
        <v>ห้วยแถลง</v>
      </c>
      <c r="AA223" s="3" t="str">
        <f>IFERROR(__xludf.DUMMYFUNCTION("""COMPUTED_VALUE"""),"ห้วยแถลง")</f>
        <v>ห้วยแถลง</v>
      </c>
      <c r="AB223" s="3" t="str">
        <f>IFERROR(__xludf.DUMMYFUNCTION("""COMPUTED_VALUE"""),"นครราชสีมา")</f>
        <v>นครราชสีมา</v>
      </c>
      <c r="AC223" s="3">
        <f>IFERROR(__xludf.DUMMYFUNCTION("""COMPUTED_VALUE"""),30240.0)</f>
        <v>30240</v>
      </c>
      <c r="AD223" s="3">
        <f>IFERROR(__xludf.DUMMYFUNCTION("""COMPUTED_VALUE"""),14.9871938)</f>
        <v>14.9871938</v>
      </c>
      <c r="AE223" s="3">
        <f>IFERROR(__xludf.DUMMYFUNCTION("""COMPUTED_VALUE"""),102.63815)</f>
        <v>102.63815</v>
      </c>
      <c r="AF223" s="3" t="str">
        <f>IFERROR(__xludf.DUMMYFUNCTION("""COMPUTED_VALUE"""),"ห้วยแถลง-15051")</f>
        <v>ห้วยแถลง-15051</v>
      </c>
      <c r="AG223" s="3" t="str">
        <f>IFERROR(__xludf.DUMMYFUNCTION("""COMPUTED_VALUE"""),"ตะวันออกเฉียงเหนือ")</f>
        <v>ตะวันออกเฉียงเหนือ</v>
      </c>
      <c r="AH223" s="3" t="str">
        <f>IFERROR(__xludf.DUMMYFUNCTION("""COMPUTED_VALUE"""),"Pajaob Wongpakdee")</f>
        <v>Pajaob Wongpakdee</v>
      </c>
      <c r="AI223" s="3" t="str">
        <f>IFERROR(__xludf.DUMMYFUNCTION("""COMPUTED_VALUE"""),"Out of warranty")</f>
        <v>Out of warranty</v>
      </c>
      <c r="AJ223" s="3">
        <f>IFERROR(__xludf.DUMMYFUNCTION("""COMPUTED_VALUE"""),122.0)</f>
        <v>122</v>
      </c>
      <c r="AK223" s="3"/>
      <c r="AL223" s="3" t="str">
        <f>IFERROR(__xludf.DUMMYFUNCTION("""COMPUTED_VALUE"""),"bmk_sm.huaithalaeng@bigc.co.th")</f>
        <v>bmk_sm.huaithalaeng@bigc.co.th</v>
      </c>
    </row>
    <row r="224" ht="15.75" customHeight="1">
      <c r="A224" s="1" t="str">
        <f>IFERROR(__xludf.DUMMYFUNCTION("""COMPUTED_VALUE"""),"15052")</f>
        <v>15052</v>
      </c>
      <c r="B224" s="2">
        <f>IFERROR(__xludf.DUMMYFUNCTION("""COMPUTED_VALUE"""),15052.0)</f>
        <v>15052</v>
      </c>
      <c r="C224" s="3" t="str">
        <f>IFERROR(__xludf.DUMMYFUNCTION("""COMPUTED_VALUE"""),"ประทาย")</f>
        <v>ประทาย</v>
      </c>
      <c r="D224" s="3" t="str">
        <f>IFERROR(__xludf.DUMMYFUNCTION("""COMPUTED_VALUE"""),"BIGC MARKET PRATHAI")</f>
        <v>BIGC MARKET PRATHAI</v>
      </c>
      <c r="E224" s="1" t="str">
        <f>IFERROR(__xludf.DUMMYFUNCTION("""COMPUTED_VALUE"""),"บิ๊กซี Market")</f>
        <v>บิ๊กซี Market</v>
      </c>
      <c r="F224" s="1" t="str">
        <f>IFERROR(__xludf.DUMMYFUNCTION("""COMPUTED_VALUE"""),"000348")</f>
        <v>000348</v>
      </c>
      <c r="G224" s="1" t="str">
        <f>IFERROR(__xludf.DUMMYFUNCTION("""COMPUTED_VALUE"""),"นายธีรนันท์ ไม้สนธิ์")</f>
        <v>นายธีรนันท์ ไม้สนธิ์</v>
      </c>
      <c r="H224" s="1" t="str">
        <f>IFERROR(__xludf.DUMMYFUNCTION("""COMPUTED_VALUE"""),"000348")</f>
        <v>000348</v>
      </c>
      <c r="I224" s="1" t="str">
        <f>IFERROR(__xludf.DUMMYFUNCTION("""COMPUTED_VALUE"""),"นายธีรนันท์ ไม้สนธิ์")</f>
        <v>นายธีรนันท์ ไม้สนธิ์</v>
      </c>
      <c r="J224" s="3">
        <f>IFERROR(__xludf.DUMMYFUNCTION("""COMPUTED_VALUE"""),348.0)</f>
        <v>348</v>
      </c>
      <c r="K224" s="3" t="str">
        <f>IFERROR(__xludf.DUMMYFUNCTION("""COMPUTED_VALUE"""),"นายธีรนันท์ ไม้สนธิ์")</f>
        <v>นายธีรนันท์ ไม้สนธิ์</v>
      </c>
      <c r="L224" s="1" t="str">
        <f>IFERROR(__xludf.DUMMYFUNCTION("""COMPUTED_VALUE"""),"Hub07-North")</f>
        <v>Hub07-North</v>
      </c>
      <c r="M224" s="1" t="str">
        <f>IFERROR(__xludf.DUMMYFUNCTION("""COMPUTED_VALUE"""),"0614175866")</f>
        <v>0614175866</v>
      </c>
      <c r="N224" s="3">
        <f>IFERROR(__xludf.DUMMYFUNCTION("""COMPUTED_VALUE"""),15052.0)</f>
        <v>15052</v>
      </c>
      <c r="O224" s="3" t="str">
        <f>IFERROR(__xludf.DUMMYFUNCTION("""COMPUTED_VALUE"""),"ประทาย")</f>
        <v>ประทาย</v>
      </c>
      <c r="P224" s="4">
        <f>IFERROR(__xludf.DUMMYFUNCTION("""COMPUTED_VALUE"""),42363.0)</f>
        <v>42363</v>
      </c>
      <c r="Q224" s="3" t="str">
        <f>IFERROR(__xludf.DUMMYFUNCTION("""COMPUTED_VALUE"""),"I")</f>
        <v>I</v>
      </c>
      <c r="R224" s="3" t="str">
        <f>IFERROR(__xludf.DUMMYFUNCTION("""COMPUTED_VALUE"""),"Big Format")</f>
        <v>Big Format</v>
      </c>
      <c r="S224" s="3" t="str">
        <f>IFERROR(__xludf.DUMMYFUNCTION("""COMPUTED_VALUE"""),"BMK")</f>
        <v>BMK</v>
      </c>
      <c r="T224" s="3" t="str">
        <f>IFERROR(__xludf.DUMMYFUNCTION("""COMPUTED_VALUE"""),"Hub07-North")</f>
        <v>Hub07-North</v>
      </c>
      <c r="U224" s="3" t="str">
        <f>IFERROR(__xludf.DUMMYFUNCTION("""COMPUTED_VALUE"""),"Hub07-North")</f>
        <v>Hub07-North</v>
      </c>
      <c r="V224" s="3" t="str">
        <f>IFERROR(__xludf.DUMMYFUNCTION("""COMPUTED_VALUE"""),"N")</f>
        <v>N</v>
      </c>
      <c r="W224" s="3">
        <f>IFERROR(__xludf.DUMMYFUNCTION("""COMPUTED_VALUE"""),0.0)</f>
        <v>0</v>
      </c>
      <c r="X224" s="3" t="str">
        <f>IFERROR(__xludf.DUMMYFUNCTION("""COMPUTED_VALUE"""),"123 หมู่ 16 ตำบลประทาย อำเภอประทาย จังหวัดนครราชสีมา 30180")</f>
        <v>123 หมู่ 16 ตำบลประทาย อำเภอประทาย จังหวัดนครราชสีมา 30180</v>
      </c>
      <c r="Y224" s="3"/>
      <c r="Z224" s="3" t="str">
        <f>IFERROR(__xludf.DUMMYFUNCTION("""COMPUTED_VALUE"""),"ประทาย")</f>
        <v>ประทาย</v>
      </c>
      <c r="AA224" s="3" t="str">
        <f>IFERROR(__xludf.DUMMYFUNCTION("""COMPUTED_VALUE"""),"ประทาย")</f>
        <v>ประทาย</v>
      </c>
      <c r="AB224" s="3" t="str">
        <f>IFERROR(__xludf.DUMMYFUNCTION("""COMPUTED_VALUE"""),"นครราชสีมา")</f>
        <v>นครราชสีมา</v>
      </c>
      <c r="AC224" s="3">
        <f>IFERROR(__xludf.DUMMYFUNCTION("""COMPUTED_VALUE"""),30180.0)</f>
        <v>30180</v>
      </c>
      <c r="AD224" s="3">
        <f>IFERROR(__xludf.DUMMYFUNCTION("""COMPUTED_VALUE"""),15.6294939)</f>
        <v>15.6294939</v>
      </c>
      <c r="AE224" s="3">
        <f>IFERROR(__xludf.DUMMYFUNCTION("""COMPUTED_VALUE"""),102.5888461)</f>
        <v>102.5888461</v>
      </c>
      <c r="AF224" s="3" t="str">
        <f>IFERROR(__xludf.DUMMYFUNCTION("""COMPUTED_VALUE"""),"ประทาย-15052")</f>
        <v>ประทาย-15052</v>
      </c>
      <c r="AG224" s="3" t="str">
        <f>IFERROR(__xludf.DUMMYFUNCTION("""COMPUTED_VALUE"""),"ตะวันออกเฉียงเหนือ")</f>
        <v>ตะวันออกเฉียงเหนือ</v>
      </c>
      <c r="AH224" s="3" t="str">
        <f>IFERROR(__xludf.DUMMYFUNCTION("""COMPUTED_VALUE"""),"#N/A")</f>
        <v>#N/A</v>
      </c>
      <c r="AI224" s="3" t="str">
        <f>IFERROR(__xludf.DUMMYFUNCTION("""COMPUTED_VALUE"""),"Out of warranty")</f>
        <v>Out of warranty</v>
      </c>
      <c r="AJ224" s="3">
        <f>IFERROR(__xludf.DUMMYFUNCTION("""COMPUTED_VALUE"""),121.0)</f>
        <v>121</v>
      </c>
      <c r="AK224" s="3"/>
      <c r="AL224" s="3" t="str">
        <f>IFERROR(__xludf.DUMMYFUNCTION("""COMPUTED_VALUE"""),"#N/A")</f>
        <v>#N/A</v>
      </c>
    </row>
    <row r="225" ht="15.75" customHeight="1">
      <c r="A225" s="1" t="str">
        <f>IFERROR(__xludf.DUMMYFUNCTION("""COMPUTED_VALUE"""),"15053")</f>
        <v>15053</v>
      </c>
      <c r="B225" s="2">
        <f>IFERROR(__xludf.DUMMYFUNCTION("""COMPUTED_VALUE"""),15053.0)</f>
        <v>15053</v>
      </c>
      <c r="C225" s="3" t="str">
        <f>IFERROR(__xludf.DUMMYFUNCTION("""COMPUTED_VALUE"""),"พันท้ายนรสิงห์")</f>
        <v>พันท้ายนรสิงห์</v>
      </c>
      <c r="D225" s="3" t="str">
        <f>IFERROR(__xludf.DUMMYFUNCTION("""COMPUTED_VALUE"""),"BIGC MARKET PHANTHAI NORASING")</f>
        <v>BIGC MARKET PHANTHAI NORASING</v>
      </c>
      <c r="E225" s="1" t="str">
        <f>IFERROR(__xludf.DUMMYFUNCTION("""COMPUTED_VALUE"""),"บิ๊กซี Market")</f>
        <v>บิ๊กซี Market</v>
      </c>
      <c r="F225" s="1" t="str">
        <f>IFERROR(__xludf.DUMMYFUNCTION("""COMPUTED_VALUE"""),"2454701")</f>
        <v>2454701</v>
      </c>
      <c r="G225" s="1" t="str">
        <f>IFERROR(__xludf.DUMMYFUNCTION("""COMPUTED_VALUE"""),"นายกานต์ ไชยแสงศรี")</f>
        <v>นายกานต์ ไชยแสงศรี</v>
      </c>
      <c r="H225" s="1" t="str">
        <f>IFERROR(__xludf.DUMMYFUNCTION("""COMPUTED_VALUE"""),"2454701")</f>
        <v>2454701</v>
      </c>
      <c r="I225" s="1" t="str">
        <f>IFERROR(__xludf.DUMMYFUNCTION("""COMPUTED_VALUE"""),"นายกานต์ ไชยแสงศรี")</f>
        <v>นายกานต์ ไชยแสงศรี</v>
      </c>
      <c r="J225" s="3">
        <f>IFERROR(__xludf.DUMMYFUNCTION("""COMPUTED_VALUE"""),2454701.0)</f>
        <v>2454701</v>
      </c>
      <c r="K225" s="3" t="str">
        <f>IFERROR(__xludf.DUMMYFUNCTION("""COMPUTED_VALUE"""),"นายกานต์ ไชยแสงศรี")</f>
        <v>นายกานต์ ไชยแสงศรี</v>
      </c>
      <c r="L225" s="1" t="str">
        <f>IFERROR(__xludf.DUMMYFUNCTION("""COMPUTED_VALUE"""),"Hub01-BKK 1")</f>
        <v>Hub01-BKK 1</v>
      </c>
      <c r="M225" s="1" t="str">
        <f>IFERROR(__xludf.DUMMYFUNCTION("""COMPUTED_VALUE"""),"0909090652")</f>
        <v>0909090652</v>
      </c>
      <c r="N225" s="3">
        <f>IFERROR(__xludf.DUMMYFUNCTION("""COMPUTED_VALUE"""),15053.0)</f>
        <v>15053</v>
      </c>
      <c r="O225" s="3" t="str">
        <f>IFERROR(__xludf.DUMMYFUNCTION("""COMPUTED_VALUE"""),"พันท้ายนรสิงห์")</f>
        <v>พันท้ายนรสิงห์</v>
      </c>
      <c r="P225" s="4">
        <f>IFERROR(__xludf.DUMMYFUNCTION("""COMPUTED_VALUE"""),42342.0)</f>
        <v>42342</v>
      </c>
      <c r="Q225" s="3" t="str">
        <f>IFERROR(__xludf.DUMMYFUNCTION("""COMPUTED_VALUE"""),"A")</f>
        <v>A</v>
      </c>
      <c r="R225" s="3" t="str">
        <f>IFERROR(__xludf.DUMMYFUNCTION("""COMPUTED_VALUE"""),"Big Format")</f>
        <v>Big Format</v>
      </c>
      <c r="S225" s="3" t="str">
        <f>IFERROR(__xludf.DUMMYFUNCTION("""COMPUTED_VALUE"""),"BMK")</f>
        <v>BMK</v>
      </c>
      <c r="T225" s="3" t="str">
        <f>IFERROR(__xludf.DUMMYFUNCTION("""COMPUTED_VALUE"""),"Hub01-BKK 1")</f>
        <v>Hub01-BKK 1</v>
      </c>
      <c r="U225" s="3" t="str">
        <f>IFERROR(__xludf.DUMMYFUNCTION("""COMPUTED_VALUE"""),"Hub01-BKK 1")</f>
        <v>Hub01-BKK 1</v>
      </c>
      <c r="V225" s="3" t="str">
        <f>IFERROR(__xludf.DUMMYFUNCTION("""COMPUTED_VALUE"""),"N")</f>
        <v>N</v>
      </c>
      <c r="W225" s="3">
        <f>IFERROR(__xludf.DUMMYFUNCTION("""COMPUTED_VALUE"""),151060.0)</f>
        <v>151060</v>
      </c>
      <c r="X225" s="3" t="str">
        <f>IFERROR(__xludf.DUMMYFUNCTION("""COMPUTED_VALUE"""),"9/12 หมู่ 5 ตำบลพันท้ายนรสิงห์ อำเภอเมืองสมุทรสาคร จังหวัดสมุทรสาคร 74000")</f>
        <v>9/12 หมู่ 5 ตำบลพันท้ายนรสิงห์ อำเภอเมืองสมุทรสาคร จังหวัดสมุทรสาคร 74000</v>
      </c>
      <c r="Y225" s="3"/>
      <c r="Z225" s="3" t="str">
        <f>IFERROR(__xludf.DUMMYFUNCTION("""COMPUTED_VALUE"""),"พันท้ายนรสิงห์")</f>
        <v>พันท้ายนรสิงห์</v>
      </c>
      <c r="AA225" s="3" t="str">
        <f>IFERROR(__xludf.DUMMYFUNCTION("""COMPUTED_VALUE"""),"เมือง")</f>
        <v>เมือง</v>
      </c>
      <c r="AB225" s="3" t="str">
        <f>IFERROR(__xludf.DUMMYFUNCTION("""COMPUTED_VALUE"""),"สมุทรสาคร")</f>
        <v>สมุทรสาคร</v>
      </c>
      <c r="AC225" s="3">
        <f>IFERROR(__xludf.DUMMYFUNCTION("""COMPUTED_VALUE"""),74000.0)</f>
        <v>74000</v>
      </c>
      <c r="AD225" s="3">
        <f>IFERROR(__xludf.DUMMYFUNCTION("""COMPUTED_VALUE"""),13.5838241)</f>
        <v>13.5838241</v>
      </c>
      <c r="AE225" s="3">
        <f>IFERROR(__xludf.DUMMYFUNCTION("""COMPUTED_VALUE"""),100.3640197)</f>
        <v>100.3640197</v>
      </c>
      <c r="AF225" s="3" t="str">
        <f>IFERROR(__xludf.DUMMYFUNCTION("""COMPUTED_VALUE"""),"พันท้ายนรสิงห์-15053")</f>
        <v>พันท้ายนรสิงห์-15053</v>
      </c>
      <c r="AG225" s="3" t="str">
        <f>IFERROR(__xludf.DUMMYFUNCTION("""COMPUTED_VALUE"""),"กลาง")</f>
        <v>กลาง</v>
      </c>
      <c r="AH225" s="3" t="str">
        <f>IFERROR(__xludf.DUMMYFUNCTION("""COMPUTED_VALUE"""),"Suchin Thawinwisan")</f>
        <v>Suchin Thawinwisan</v>
      </c>
      <c r="AI225" s="3" t="str">
        <f>IFERROR(__xludf.DUMMYFUNCTION("""COMPUTED_VALUE"""),"Out of warranty")</f>
        <v>Out of warranty</v>
      </c>
      <c r="AJ225" s="3">
        <f>IFERROR(__xludf.DUMMYFUNCTION("""COMPUTED_VALUE"""),122.0)</f>
        <v>122</v>
      </c>
      <c r="AK225" s="3"/>
      <c r="AL225" s="3" t="str">
        <f>IFERROR(__xludf.DUMMYFUNCTION("""COMPUTED_VALUE"""),"bmk_sm.phanthainorasing@bigc.co.th")</f>
        <v>bmk_sm.phanthainorasing@bigc.co.th</v>
      </c>
    </row>
    <row r="226" ht="15.75" customHeight="1">
      <c r="A226" s="1" t="str">
        <f>IFERROR(__xludf.DUMMYFUNCTION("""COMPUTED_VALUE"""),"15054")</f>
        <v>15054</v>
      </c>
      <c r="B226" s="2">
        <f>IFERROR(__xludf.DUMMYFUNCTION("""COMPUTED_VALUE"""),15054.0)</f>
        <v>15054</v>
      </c>
      <c r="C226" s="3" t="str">
        <f>IFERROR(__xludf.DUMMYFUNCTION("""COMPUTED_VALUE"""),"เกาะช้าง")</f>
        <v>เกาะช้าง</v>
      </c>
      <c r="D226" s="3" t="str">
        <f>IFERROR(__xludf.DUMMYFUNCTION("""COMPUTED_VALUE"""),"BIGC MARKET KO CHANG")</f>
        <v>BIGC MARKET KO CHANG</v>
      </c>
      <c r="E226" s="1" t="str">
        <f>IFERROR(__xludf.DUMMYFUNCTION("""COMPUTED_VALUE"""),"บิ๊กซี Market")</f>
        <v>บิ๊กซี Market</v>
      </c>
      <c r="F226" s="1" t="str">
        <f>IFERROR(__xludf.DUMMYFUNCTION("""COMPUTED_VALUE"""),"2455164")</f>
        <v>2455164</v>
      </c>
      <c r="G226" s="1" t="str">
        <f>IFERROR(__xludf.DUMMYFUNCTION("""COMPUTED_VALUE"""),"นายกรวิทย์ เจริญพร")</f>
        <v>นายกรวิทย์ เจริญพร</v>
      </c>
      <c r="H226" s="1" t="str">
        <f>IFERROR(__xludf.DUMMYFUNCTION("""COMPUTED_VALUE"""),"2455164")</f>
        <v>2455164</v>
      </c>
      <c r="I226" s="1" t="str">
        <f>IFERROR(__xludf.DUMMYFUNCTION("""COMPUTED_VALUE"""),"นายกรวิทย์ เจริญพร")</f>
        <v>นายกรวิทย์ เจริญพร</v>
      </c>
      <c r="J226" s="3">
        <f>IFERROR(__xludf.DUMMYFUNCTION("""COMPUTED_VALUE"""),2455164.0)</f>
        <v>2455164</v>
      </c>
      <c r="K226" s="3" t="str">
        <f>IFERROR(__xludf.DUMMYFUNCTION("""COMPUTED_VALUE"""),"นายกรวิทย์ เจริญพร")</f>
        <v>นายกรวิทย์ เจริญพร</v>
      </c>
      <c r="L226" s="1" t="str">
        <f>IFERROR(__xludf.DUMMYFUNCTION("""COMPUTED_VALUE"""),"Hub08-East")</f>
        <v>Hub08-East</v>
      </c>
      <c r="M226" s="1" t="str">
        <f>IFERROR(__xludf.DUMMYFUNCTION("""COMPUTED_VALUE"""),"092-605-9922")</f>
        <v>092-605-9922</v>
      </c>
      <c r="N226" s="3">
        <f>IFERROR(__xludf.DUMMYFUNCTION("""COMPUTED_VALUE"""),15054.0)</f>
        <v>15054</v>
      </c>
      <c r="O226" s="3" t="str">
        <f>IFERROR(__xludf.DUMMYFUNCTION("""COMPUTED_VALUE"""),"เกาะช้าง")</f>
        <v>เกาะช้าง</v>
      </c>
      <c r="P226" s="4">
        <f>IFERROR(__xludf.DUMMYFUNCTION("""COMPUTED_VALUE"""),42363.0)</f>
        <v>42363</v>
      </c>
      <c r="Q226" s="3" t="str">
        <f>IFERROR(__xludf.DUMMYFUNCTION("""COMPUTED_VALUE"""),"A")</f>
        <v>A</v>
      </c>
      <c r="R226" s="3" t="str">
        <f>IFERROR(__xludf.DUMMYFUNCTION("""COMPUTED_VALUE"""),"Big Format")</f>
        <v>Big Format</v>
      </c>
      <c r="S226" s="3" t="str">
        <f>IFERROR(__xludf.DUMMYFUNCTION("""COMPUTED_VALUE"""),"BMK")</f>
        <v>BMK</v>
      </c>
      <c r="T226" s="3" t="str">
        <f>IFERROR(__xludf.DUMMYFUNCTION("""COMPUTED_VALUE"""),"Hub08-East")</f>
        <v>Hub08-East</v>
      </c>
      <c r="U226" s="3" t="str">
        <f>IFERROR(__xludf.DUMMYFUNCTION("""COMPUTED_VALUE"""),"Hub08-East")</f>
        <v>Hub08-East</v>
      </c>
      <c r="V226" s="3" t="str">
        <f>IFERROR(__xludf.DUMMYFUNCTION("""COMPUTED_VALUE"""),"N")</f>
        <v>N</v>
      </c>
      <c r="W226" s="3">
        <f>IFERROR(__xludf.DUMMYFUNCTION("""COMPUTED_VALUE"""),151061.0)</f>
        <v>151061</v>
      </c>
      <c r="X226" s="3" t="str">
        <f>IFERROR(__xludf.DUMMYFUNCTION("""COMPUTED_VALUE"""),"13/56 หมู่ 4 ตำบลเกาะช้าง อำเภอเกาะช้าง จังหวัดตราด 23170")</f>
        <v>13/56 หมู่ 4 ตำบลเกาะช้าง อำเภอเกาะช้าง จังหวัดตราด 23170</v>
      </c>
      <c r="Y226" s="3"/>
      <c r="Z226" s="3" t="str">
        <f>IFERROR(__xludf.DUMMYFUNCTION("""COMPUTED_VALUE"""),"เกาะช้าง")</f>
        <v>เกาะช้าง</v>
      </c>
      <c r="AA226" s="3" t="str">
        <f>IFERROR(__xludf.DUMMYFUNCTION("""COMPUTED_VALUE"""),"เกาะช้าง")</f>
        <v>เกาะช้าง</v>
      </c>
      <c r="AB226" s="3" t="str">
        <f>IFERROR(__xludf.DUMMYFUNCTION("""COMPUTED_VALUE"""),"ตราด")</f>
        <v>ตราด</v>
      </c>
      <c r="AC226" s="3">
        <f>IFERROR(__xludf.DUMMYFUNCTION("""COMPUTED_VALUE"""),23170.0)</f>
        <v>23170</v>
      </c>
      <c r="AD226" s="3">
        <f>IFERROR(__xludf.DUMMYFUNCTION("""COMPUTED_VALUE"""),12.083167)</f>
        <v>12.083167</v>
      </c>
      <c r="AE226" s="3">
        <f>IFERROR(__xludf.DUMMYFUNCTION("""COMPUTED_VALUE"""),102.2782253)</f>
        <v>102.2782253</v>
      </c>
      <c r="AF226" s="3" t="str">
        <f>IFERROR(__xludf.DUMMYFUNCTION("""COMPUTED_VALUE"""),"เกาะช้าง-15054")</f>
        <v>เกาะช้าง-15054</v>
      </c>
      <c r="AG226" s="3" t="str">
        <f>IFERROR(__xludf.DUMMYFUNCTION("""COMPUTED_VALUE"""),"ตะวันออก")</f>
        <v>ตะวันออก</v>
      </c>
      <c r="AH226" s="3" t="str">
        <f>IFERROR(__xludf.DUMMYFUNCTION("""COMPUTED_VALUE"""),"Walaiporn Sutyod")</f>
        <v>Walaiporn Sutyod</v>
      </c>
      <c r="AI226" s="3" t="str">
        <f>IFERROR(__xludf.DUMMYFUNCTION("""COMPUTED_VALUE"""),"Out of warranty")</f>
        <v>Out of warranty</v>
      </c>
      <c r="AJ226" s="3">
        <f>IFERROR(__xludf.DUMMYFUNCTION("""COMPUTED_VALUE"""),121.0)</f>
        <v>121</v>
      </c>
      <c r="AK226" s="3"/>
      <c r="AL226" s="3" t="str">
        <f>IFERROR(__xludf.DUMMYFUNCTION("""COMPUTED_VALUE"""),"bmk_sm.kohchang@bigc.co.th")</f>
        <v>bmk_sm.kohchang@bigc.co.th</v>
      </c>
    </row>
    <row r="227" ht="15.75" customHeight="1">
      <c r="A227" s="1" t="str">
        <f>IFERROR(__xludf.DUMMYFUNCTION("""COMPUTED_VALUE"""),"15055")</f>
        <v>15055</v>
      </c>
      <c r="B227" s="2">
        <f>IFERROR(__xludf.DUMMYFUNCTION("""COMPUTED_VALUE"""),15055.0)</f>
        <v>15055</v>
      </c>
      <c r="C227" s="3" t="str">
        <f>IFERROR(__xludf.DUMMYFUNCTION("""COMPUTED_VALUE"""),"วัดลาดปลาดุก")</f>
        <v>วัดลาดปลาดุก</v>
      </c>
      <c r="D227" s="3" t="str">
        <f>IFERROR(__xludf.DUMMYFUNCTION("""COMPUTED_VALUE"""),"BIGC MARKET WAT LAT PLADUK")</f>
        <v>BIGC MARKET WAT LAT PLADUK</v>
      </c>
      <c r="E227" s="1" t="str">
        <f>IFERROR(__xludf.DUMMYFUNCTION("""COMPUTED_VALUE"""),"บิ๊กซี Market")</f>
        <v>บิ๊กซี Market</v>
      </c>
      <c r="F227" s="1" t="str">
        <f>IFERROR(__xludf.DUMMYFUNCTION("""COMPUTED_VALUE"""),"2454813")</f>
        <v>2454813</v>
      </c>
      <c r="G227" s="1" t="str">
        <f>IFERROR(__xludf.DUMMYFUNCTION("""COMPUTED_VALUE"""),"นายอนุรักษ์ จั่นเที่ยง")</f>
        <v>นายอนุรักษ์ จั่นเที่ยง</v>
      </c>
      <c r="H227" s="1" t="str">
        <f>IFERROR(__xludf.DUMMYFUNCTION("""COMPUTED_VALUE"""),"2454813")</f>
        <v>2454813</v>
      </c>
      <c r="I227" s="1" t="str">
        <f>IFERROR(__xludf.DUMMYFUNCTION("""COMPUTED_VALUE"""),"นายอนุรักษ์ จั่นเที่ยง")</f>
        <v>นายอนุรักษ์ จั่นเที่ยง</v>
      </c>
      <c r="J227" s="3">
        <f>IFERROR(__xludf.DUMMYFUNCTION("""COMPUTED_VALUE"""),2454813.0)</f>
        <v>2454813</v>
      </c>
      <c r="K227" s="3" t="str">
        <f>IFERROR(__xludf.DUMMYFUNCTION("""COMPUTED_VALUE"""),"นายอนุรักษ์ จั่นเที่ยง")</f>
        <v>นายอนุรักษ์ จั่นเที่ยง</v>
      </c>
      <c r="L227" s="1" t="str">
        <f>IFERROR(__xludf.DUMMYFUNCTION("""COMPUTED_VALUE"""),"Hub04-BKK 4")</f>
        <v>Hub04-BKK 4</v>
      </c>
      <c r="M227" s="1" t="str">
        <f>IFERROR(__xludf.DUMMYFUNCTION("""COMPUTED_VALUE"""),"0991964531")</f>
        <v>0991964531</v>
      </c>
      <c r="N227" s="3">
        <f>IFERROR(__xludf.DUMMYFUNCTION("""COMPUTED_VALUE"""),15055.0)</f>
        <v>15055</v>
      </c>
      <c r="O227" s="3" t="str">
        <f>IFERROR(__xludf.DUMMYFUNCTION("""COMPUTED_VALUE"""),"วัดลาดปลาดุก")</f>
        <v>วัดลาดปลาดุก</v>
      </c>
      <c r="P227" s="4">
        <f>IFERROR(__xludf.DUMMYFUNCTION("""COMPUTED_VALUE"""),42368.0)</f>
        <v>42368</v>
      </c>
      <c r="Q227" s="3" t="str">
        <f>IFERROR(__xludf.DUMMYFUNCTION("""COMPUTED_VALUE"""),"A")</f>
        <v>A</v>
      </c>
      <c r="R227" s="3" t="str">
        <f>IFERROR(__xludf.DUMMYFUNCTION("""COMPUTED_VALUE"""),"Big Format")</f>
        <v>Big Format</v>
      </c>
      <c r="S227" s="3" t="str">
        <f>IFERROR(__xludf.DUMMYFUNCTION("""COMPUTED_VALUE"""),"BMK")</f>
        <v>BMK</v>
      </c>
      <c r="T227" s="3" t="str">
        <f>IFERROR(__xludf.DUMMYFUNCTION("""COMPUTED_VALUE"""),"Hub04-BKK 4")</f>
        <v>Hub04-BKK 4</v>
      </c>
      <c r="U227" s="3" t="str">
        <f>IFERROR(__xludf.DUMMYFUNCTION("""COMPUTED_VALUE"""),"Hub04-BKK 4")</f>
        <v>Hub04-BKK 4</v>
      </c>
      <c r="V227" s="3" t="str">
        <f>IFERROR(__xludf.DUMMYFUNCTION("""COMPUTED_VALUE"""),"N")</f>
        <v>N</v>
      </c>
      <c r="W227" s="3">
        <f>IFERROR(__xludf.DUMMYFUNCTION("""COMPUTED_VALUE"""),151063.0)</f>
        <v>151063</v>
      </c>
      <c r="X227" s="3" t="str">
        <f>IFERROR(__xludf.DUMMYFUNCTION("""COMPUTED_VALUE"""),"92/30 หมู่ 6 ตำบลบางรักพัฒนา อำเภอบางบัวทอง จังหวัดนนทบุรี 11110")</f>
        <v>92/30 หมู่ 6 ตำบลบางรักพัฒนา อำเภอบางบัวทอง จังหวัดนนทบุรี 11110</v>
      </c>
      <c r="Y227" s="3"/>
      <c r="Z227" s="3" t="str">
        <f>IFERROR(__xludf.DUMMYFUNCTION("""COMPUTED_VALUE"""),"บางรักพัฒนา")</f>
        <v>บางรักพัฒนา</v>
      </c>
      <c r="AA227" s="3" t="str">
        <f>IFERROR(__xludf.DUMMYFUNCTION("""COMPUTED_VALUE"""),"บางบัวทอง")</f>
        <v>บางบัวทอง</v>
      </c>
      <c r="AB227" s="3" t="str">
        <f>IFERROR(__xludf.DUMMYFUNCTION("""COMPUTED_VALUE"""),"นนทบุรี")</f>
        <v>นนทบุรี</v>
      </c>
      <c r="AC227" s="3">
        <f>IFERROR(__xludf.DUMMYFUNCTION("""COMPUTED_VALUE"""),11110.0)</f>
        <v>11110</v>
      </c>
      <c r="AD227" s="3">
        <f>IFERROR(__xludf.DUMMYFUNCTION("""COMPUTED_VALUE"""),13.9064074)</f>
        <v>13.9064074</v>
      </c>
      <c r="AE227" s="3">
        <f>IFERROR(__xludf.DUMMYFUNCTION("""COMPUTED_VALUE"""),100.4004952)</f>
        <v>100.4004952</v>
      </c>
      <c r="AF227" s="3" t="str">
        <f>IFERROR(__xludf.DUMMYFUNCTION("""COMPUTED_VALUE"""),"วัดลาดปลาดุก-15055")</f>
        <v>วัดลาดปลาดุก-15055</v>
      </c>
      <c r="AG227" s="3" t="str">
        <f>IFERROR(__xludf.DUMMYFUNCTION("""COMPUTED_VALUE"""),"กลาง")</f>
        <v>กลาง</v>
      </c>
      <c r="AH227" s="3" t="str">
        <f>IFERROR(__xludf.DUMMYFUNCTION("""COMPUTED_VALUE"""),"Natsarine Seammai")</f>
        <v>Natsarine Seammai</v>
      </c>
      <c r="AI227" s="3" t="str">
        <f>IFERROR(__xludf.DUMMYFUNCTION("""COMPUTED_VALUE"""),"Out of warranty")</f>
        <v>Out of warranty</v>
      </c>
      <c r="AJ227" s="3">
        <f>IFERROR(__xludf.DUMMYFUNCTION("""COMPUTED_VALUE"""),121.0)</f>
        <v>121</v>
      </c>
      <c r="AK227" s="3"/>
      <c r="AL227" s="3" t="str">
        <f>IFERROR(__xludf.DUMMYFUNCTION("""COMPUTED_VALUE"""),"bmk_sm.ladpladuk@bigc.co.th")</f>
        <v>bmk_sm.ladpladuk@bigc.co.th</v>
      </c>
    </row>
    <row r="228" ht="15.75" customHeight="1">
      <c r="A228" s="1" t="str">
        <f>IFERROR(__xludf.DUMMYFUNCTION("""COMPUTED_VALUE"""),"15056")</f>
        <v>15056</v>
      </c>
      <c r="B228" s="2">
        <f>IFERROR(__xludf.DUMMYFUNCTION("""COMPUTED_VALUE"""),15056.0)</f>
        <v>15056</v>
      </c>
      <c r="C228" s="3" t="str">
        <f>IFERROR(__xludf.DUMMYFUNCTION("""COMPUTED_VALUE"""),"สมเด็จ")</f>
        <v>สมเด็จ</v>
      </c>
      <c r="D228" s="3" t="str">
        <f>IFERROR(__xludf.DUMMYFUNCTION("""COMPUTED_VALUE"""),"BIGC MARKET SOMDET")</f>
        <v>BIGC MARKET SOMDET</v>
      </c>
      <c r="E228" s="1" t="str">
        <f>IFERROR(__xludf.DUMMYFUNCTION("""COMPUTED_VALUE"""),"บิ๊กซี Market")</f>
        <v>บิ๊กซี Market</v>
      </c>
      <c r="F228" s="1" t="str">
        <f>IFERROR(__xludf.DUMMYFUNCTION("""COMPUTED_VALUE"""),"033317")</f>
        <v>033317</v>
      </c>
      <c r="G228" s="1" t="str">
        <f>IFERROR(__xludf.DUMMYFUNCTION("""COMPUTED_VALUE"""),"นายอาณัติ เพชรภาน")</f>
        <v>นายอาณัติ เพชรภาน</v>
      </c>
      <c r="H228" s="1" t="str">
        <f>IFERROR(__xludf.DUMMYFUNCTION("""COMPUTED_VALUE"""),"033317")</f>
        <v>033317</v>
      </c>
      <c r="I228" s="1" t="str">
        <f>IFERROR(__xludf.DUMMYFUNCTION("""COMPUTED_VALUE"""),"นายอาณัติ เพชรภาน")</f>
        <v>นายอาณัติ เพชรภาน</v>
      </c>
      <c r="J228" s="3">
        <f>IFERROR(__xludf.DUMMYFUNCTION("""COMPUTED_VALUE"""),33317.0)</f>
        <v>33317</v>
      </c>
      <c r="K228" s="3" t="str">
        <f>IFERROR(__xludf.DUMMYFUNCTION("""COMPUTED_VALUE"""),"นายอาณัติ เพชรภาน")</f>
        <v>นายอาณัติ เพชรภาน</v>
      </c>
      <c r="L228" s="1" t="str">
        <f>IFERROR(__xludf.DUMMYFUNCTION("""COMPUTED_VALUE"""),"Hub10-NE 2")</f>
        <v>Hub10-NE 2</v>
      </c>
      <c r="M228" s="1" t="str">
        <f>IFERROR(__xludf.DUMMYFUNCTION("""COMPUTED_VALUE"""),"0644791409")</f>
        <v>0644791409</v>
      </c>
      <c r="N228" s="3">
        <f>IFERROR(__xludf.DUMMYFUNCTION("""COMPUTED_VALUE"""),15056.0)</f>
        <v>15056</v>
      </c>
      <c r="O228" s="3" t="str">
        <f>IFERROR(__xludf.DUMMYFUNCTION("""COMPUTED_VALUE"""),"สมเด็จ")</f>
        <v>สมเด็จ</v>
      </c>
      <c r="P228" s="4">
        <f>IFERROR(__xludf.DUMMYFUNCTION("""COMPUTED_VALUE"""),42536.0)</f>
        <v>42536</v>
      </c>
      <c r="Q228" s="3" t="str">
        <f>IFERROR(__xludf.DUMMYFUNCTION("""COMPUTED_VALUE"""),"I")</f>
        <v>I</v>
      </c>
      <c r="R228" s="3" t="str">
        <f>IFERROR(__xludf.DUMMYFUNCTION("""COMPUTED_VALUE"""),"Big Format")</f>
        <v>Big Format</v>
      </c>
      <c r="S228" s="3" t="str">
        <f>IFERROR(__xludf.DUMMYFUNCTION("""COMPUTED_VALUE"""),"BMK")</f>
        <v>BMK</v>
      </c>
      <c r="T228" s="3" t="str">
        <f>IFERROR(__xludf.DUMMYFUNCTION("""COMPUTED_VALUE"""),"Hub10-NE 2")</f>
        <v>Hub10-NE 2</v>
      </c>
      <c r="U228" s="3" t="str">
        <f>IFERROR(__xludf.DUMMYFUNCTION("""COMPUTED_VALUE"""),"Hub10-NE 2")</f>
        <v>Hub10-NE 2</v>
      </c>
      <c r="V228" s="3" t="str">
        <f>IFERROR(__xludf.DUMMYFUNCTION("""COMPUTED_VALUE"""),"N")</f>
        <v>N</v>
      </c>
      <c r="W228" s="3">
        <f>IFERROR(__xludf.DUMMYFUNCTION("""COMPUTED_VALUE"""),151064.0)</f>
        <v>151064</v>
      </c>
      <c r="X228" s="3" t="str">
        <f>IFERROR(__xludf.DUMMYFUNCTION("""COMPUTED_VALUE"""),"440 หมู่ 5 ตำบลสมเด็จ อำเภอสมเด็จ จังหวัดกาฬสินธุ์ 46150")</f>
        <v>440 หมู่ 5 ตำบลสมเด็จ อำเภอสมเด็จ จังหวัดกาฬสินธุ์ 46150</v>
      </c>
      <c r="Y228" s="3"/>
      <c r="Z228" s="3" t="str">
        <f>IFERROR(__xludf.DUMMYFUNCTION("""COMPUTED_VALUE"""),"สมเด็จ")</f>
        <v>สมเด็จ</v>
      </c>
      <c r="AA228" s="3" t="str">
        <f>IFERROR(__xludf.DUMMYFUNCTION("""COMPUTED_VALUE"""),"สมเด็จ")</f>
        <v>สมเด็จ</v>
      </c>
      <c r="AB228" s="3" t="str">
        <f>IFERROR(__xludf.DUMMYFUNCTION("""COMPUTED_VALUE"""),"กาฬสินธุ์")</f>
        <v>กาฬสินธุ์</v>
      </c>
      <c r="AC228" s="3">
        <f>IFERROR(__xludf.DUMMYFUNCTION("""COMPUTED_VALUE"""),46150.0)</f>
        <v>46150</v>
      </c>
      <c r="AD228" s="3">
        <f>IFERROR(__xludf.DUMMYFUNCTION("""COMPUTED_VALUE"""),16.688126)</f>
        <v>16.688126</v>
      </c>
      <c r="AE228" s="3">
        <f>IFERROR(__xludf.DUMMYFUNCTION("""COMPUTED_VALUE"""),103.7377863)</f>
        <v>103.7377863</v>
      </c>
      <c r="AF228" s="3" t="str">
        <f>IFERROR(__xludf.DUMMYFUNCTION("""COMPUTED_VALUE"""),"สมเด็จ-15056")</f>
        <v>สมเด็จ-15056</v>
      </c>
      <c r="AG228" s="3" t="str">
        <f>IFERROR(__xludf.DUMMYFUNCTION("""COMPUTED_VALUE"""),"ตะวันออกเฉียงเหนือ")</f>
        <v>ตะวันออกเฉียงเหนือ</v>
      </c>
      <c r="AH228" s="3" t="str">
        <f>IFERROR(__xludf.DUMMYFUNCTION("""COMPUTED_VALUE"""),"#N/A")</f>
        <v>#N/A</v>
      </c>
      <c r="AI228" s="3" t="str">
        <f>IFERROR(__xludf.DUMMYFUNCTION("""COMPUTED_VALUE"""),"Out of warranty")</f>
        <v>Out of warranty</v>
      </c>
      <c r="AJ228" s="3">
        <f>IFERROR(__xludf.DUMMYFUNCTION("""COMPUTED_VALUE"""),116.0)</f>
        <v>116</v>
      </c>
      <c r="AK228" s="3"/>
      <c r="AL228" s="3" t="str">
        <f>IFERROR(__xludf.DUMMYFUNCTION("""COMPUTED_VALUE"""),"#N/A")</f>
        <v>#N/A</v>
      </c>
    </row>
    <row r="229" ht="15.75" customHeight="1">
      <c r="A229" s="1" t="str">
        <f>IFERROR(__xludf.DUMMYFUNCTION("""COMPUTED_VALUE"""),"15057")</f>
        <v>15057</v>
      </c>
      <c r="B229" s="2">
        <f>IFERROR(__xludf.DUMMYFUNCTION("""COMPUTED_VALUE"""),15057.0)</f>
        <v>15057</v>
      </c>
      <c r="C229" s="3" t="str">
        <f>IFERROR(__xludf.DUMMYFUNCTION("""COMPUTED_VALUE"""),"ปักธงชัย")</f>
        <v>ปักธงชัย</v>
      </c>
      <c r="D229" s="3" t="str">
        <f>IFERROR(__xludf.DUMMYFUNCTION("""COMPUTED_VALUE"""),"BIGC MARKET PAK THONG CHAI")</f>
        <v>BIGC MARKET PAK THONG CHAI</v>
      </c>
      <c r="E229" s="1" t="str">
        <f>IFERROR(__xludf.DUMMYFUNCTION("""COMPUTED_VALUE"""),"บิ๊กซี Market")</f>
        <v>บิ๊กซี Market</v>
      </c>
      <c r="F229" s="1" t="str">
        <f>IFERROR(__xludf.DUMMYFUNCTION("""COMPUTED_VALUE"""),"000348")</f>
        <v>000348</v>
      </c>
      <c r="G229" s="1" t="str">
        <f>IFERROR(__xludf.DUMMYFUNCTION("""COMPUTED_VALUE"""),"นายธีรนันท์ ไม้สนธิ์")</f>
        <v>นายธีรนันท์ ไม้สนธิ์</v>
      </c>
      <c r="H229" s="1" t="str">
        <f>IFERROR(__xludf.DUMMYFUNCTION("""COMPUTED_VALUE"""),"000348")</f>
        <v>000348</v>
      </c>
      <c r="I229" s="1" t="str">
        <f>IFERROR(__xludf.DUMMYFUNCTION("""COMPUTED_VALUE"""),"นายธีรนันท์ ไม้สนธิ์")</f>
        <v>นายธีรนันท์ ไม้สนธิ์</v>
      </c>
      <c r="J229" s="3">
        <f>IFERROR(__xludf.DUMMYFUNCTION("""COMPUTED_VALUE"""),348.0)</f>
        <v>348</v>
      </c>
      <c r="K229" s="3" t="str">
        <f>IFERROR(__xludf.DUMMYFUNCTION("""COMPUTED_VALUE"""),"นายธีรนันท์ ไม้สนธิ์")</f>
        <v>นายธีรนันท์ ไม้สนธิ์</v>
      </c>
      <c r="L229" s="1" t="str">
        <f>IFERROR(__xludf.DUMMYFUNCTION("""COMPUTED_VALUE"""),"Hub07-North")</f>
        <v>Hub07-North</v>
      </c>
      <c r="M229" s="1" t="str">
        <f>IFERROR(__xludf.DUMMYFUNCTION("""COMPUTED_VALUE"""),"0614175866")</f>
        <v>0614175866</v>
      </c>
      <c r="N229" s="3">
        <f>IFERROR(__xludf.DUMMYFUNCTION("""COMPUTED_VALUE"""),15057.0)</f>
        <v>15057</v>
      </c>
      <c r="O229" s="3" t="str">
        <f>IFERROR(__xludf.DUMMYFUNCTION("""COMPUTED_VALUE"""),"ปักธงชัย")</f>
        <v>ปักธงชัย</v>
      </c>
      <c r="P229" s="4">
        <f>IFERROR(__xludf.DUMMYFUNCTION("""COMPUTED_VALUE"""),42537.0)</f>
        <v>42537</v>
      </c>
      <c r="Q229" s="3" t="str">
        <f>IFERROR(__xludf.DUMMYFUNCTION("""COMPUTED_VALUE"""),"I")</f>
        <v>I</v>
      </c>
      <c r="R229" s="3" t="str">
        <f>IFERROR(__xludf.DUMMYFUNCTION("""COMPUTED_VALUE"""),"Big Format")</f>
        <v>Big Format</v>
      </c>
      <c r="S229" s="3" t="str">
        <f>IFERROR(__xludf.DUMMYFUNCTION("""COMPUTED_VALUE"""),"BMK")</f>
        <v>BMK</v>
      </c>
      <c r="T229" s="3" t="str">
        <f>IFERROR(__xludf.DUMMYFUNCTION("""COMPUTED_VALUE"""),"Hub07-North")</f>
        <v>Hub07-North</v>
      </c>
      <c r="U229" s="3" t="str">
        <f>IFERROR(__xludf.DUMMYFUNCTION("""COMPUTED_VALUE"""),"Hub07-North")</f>
        <v>Hub07-North</v>
      </c>
      <c r="V229" s="3" t="str">
        <f>IFERROR(__xludf.DUMMYFUNCTION("""COMPUTED_VALUE"""),"N")</f>
        <v>N</v>
      </c>
      <c r="W229" s="3">
        <f>IFERROR(__xludf.DUMMYFUNCTION("""COMPUTED_VALUE"""),0.0)</f>
        <v>0</v>
      </c>
      <c r="X229" s="3" t="str">
        <f>IFERROR(__xludf.DUMMYFUNCTION("""COMPUTED_VALUE"""),"338 หมู่ 12 ตำบลเมืองปัก อำเภอปักธงชัย จังหวัดนครราชสีมา 30150")</f>
        <v>338 หมู่ 12 ตำบลเมืองปัก อำเภอปักธงชัย จังหวัดนครราชสีมา 30150</v>
      </c>
      <c r="Y229" s="3"/>
      <c r="Z229" s="3" t="str">
        <f>IFERROR(__xludf.DUMMYFUNCTION("""COMPUTED_VALUE"""),"เมืองปัก")</f>
        <v>เมืองปัก</v>
      </c>
      <c r="AA229" s="3" t="str">
        <f>IFERROR(__xludf.DUMMYFUNCTION("""COMPUTED_VALUE"""),"ปักธงชัย")</f>
        <v>ปักธงชัย</v>
      </c>
      <c r="AB229" s="3" t="str">
        <f>IFERROR(__xludf.DUMMYFUNCTION("""COMPUTED_VALUE"""),"นครราชสีมา")</f>
        <v>นครราชสีมา</v>
      </c>
      <c r="AC229" s="3">
        <f>IFERROR(__xludf.DUMMYFUNCTION("""COMPUTED_VALUE"""),30150.0)</f>
        <v>30150</v>
      </c>
      <c r="AD229" s="3">
        <f>IFERROR(__xludf.DUMMYFUNCTION("""COMPUTED_VALUE"""),14.7551575)</f>
        <v>14.7551575</v>
      </c>
      <c r="AE229" s="3">
        <f>IFERROR(__xludf.DUMMYFUNCTION("""COMPUTED_VALUE"""),101.7356796)</f>
        <v>101.7356796</v>
      </c>
      <c r="AF229" s="3" t="str">
        <f>IFERROR(__xludf.DUMMYFUNCTION("""COMPUTED_VALUE"""),"ปักธงชัย-15057")</f>
        <v>ปักธงชัย-15057</v>
      </c>
      <c r="AG229" s="3" t="str">
        <f>IFERROR(__xludf.DUMMYFUNCTION("""COMPUTED_VALUE"""),"ตะวันออกเฉียงเหนือ")</f>
        <v>ตะวันออกเฉียงเหนือ</v>
      </c>
      <c r="AH229" s="3" t="str">
        <f>IFERROR(__xludf.DUMMYFUNCTION("""COMPUTED_VALUE"""),"#N/A")</f>
        <v>#N/A</v>
      </c>
      <c r="AI229" s="3" t="str">
        <f>IFERROR(__xludf.DUMMYFUNCTION("""COMPUTED_VALUE"""),"Out of warranty")</f>
        <v>Out of warranty</v>
      </c>
      <c r="AJ229" s="3">
        <f>IFERROR(__xludf.DUMMYFUNCTION("""COMPUTED_VALUE"""),116.0)</f>
        <v>116</v>
      </c>
      <c r="AK229" s="3"/>
      <c r="AL229" s="3" t="str">
        <f>IFERROR(__xludf.DUMMYFUNCTION("""COMPUTED_VALUE"""),"#N/A")</f>
        <v>#N/A</v>
      </c>
    </row>
    <row r="230" ht="15.75" customHeight="1">
      <c r="A230" s="1" t="str">
        <f>IFERROR(__xludf.DUMMYFUNCTION("""COMPUTED_VALUE"""),"15058")</f>
        <v>15058</v>
      </c>
      <c r="B230" s="2">
        <f>IFERROR(__xludf.DUMMYFUNCTION("""COMPUTED_VALUE"""),15058.0)</f>
        <v>15058</v>
      </c>
      <c r="C230" s="3" t="str">
        <f>IFERROR(__xludf.DUMMYFUNCTION("""COMPUTED_VALUE"""),"วังสะพุง")</f>
        <v>วังสะพุง</v>
      </c>
      <c r="D230" s="3" t="str">
        <f>IFERROR(__xludf.DUMMYFUNCTION("""COMPUTED_VALUE"""),"BIGC MARKET WANG SAPHUNG")</f>
        <v>BIGC MARKET WANG SAPHUNG</v>
      </c>
      <c r="E230" s="1" t="str">
        <f>IFERROR(__xludf.DUMMYFUNCTION("""COMPUTED_VALUE"""),"บิ๊กซี Market")</f>
        <v>บิ๊กซี Market</v>
      </c>
      <c r="F230" s="1" t="str">
        <f>IFERROR(__xludf.DUMMYFUNCTION("""COMPUTED_VALUE"""),"295801")</f>
        <v>295801</v>
      </c>
      <c r="G230" s="1" t="str">
        <f>IFERROR(__xludf.DUMMYFUNCTION("""COMPUTED_VALUE"""),"นายอรรถพล เหล่าสุวงศ์")</f>
        <v>นายอรรถพล เหล่าสุวงศ์</v>
      </c>
      <c r="H230" s="1" t="str">
        <f>IFERROR(__xludf.DUMMYFUNCTION("""COMPUTED_VALUE"""),"295801")</f>
        <v>295801</v>
      </c>
      <c r="I230" s="1" t="str">
        <f>IFERROR(__xludf.DUMMYFUNCTION("""COMPUTED_VALUE"""),"นายอรรถพล เหล่าสุวงศ์")</f>
        <v>นายอรรถพล เหล่าสุวงศ์</v>
      </c>
      <c r="J230" s="3">
        <f>IFERROR(__xludf.DUMMYFUNCTION("""COMPUTED_VALUE"""),295801.0)</f>
        <v>295801</v>
      </c>
      <c r="K230" s="3" t="str">
        <f>IFERROR(__xludf.DUMMYFUNCTION("""COMPUTED_VALUE"""),"นายอรรถพล เหล่าสุวงศ์")</f>
        <v>นายอรรถพล เหล่าสุวงศ์</v>
      </c>
      <c r="L230" s="1" t="str">
        <f>IFERROR(__xludf.DUMMYFUNCTION("""COMPUTED_VALUE"""),"Hub09-NE 1")</f>
        <v>Hub09-NE 1</v>
      </c>
      <c r="M230" s="1" t="str">
        <f>IFERROR(__xludf.DUMMYFUNCTION("""COMPUTED_VALUE"""),"0655090879")</f>
        <v>0655090879</v>
      </c>
      <c r="N230" s="3">
        <f>IFERROR(__xludf.DUMMYFUNCTION("""COMPUTED_VALUE"""),15058.0)</f>
        <v>15058</v>
      </c>
      <c r="O230" s="3" t="str">
        <f>IFERROR(__xludf.DUMMYFUNCTION("""COMPUTED_VALUE"""),"วังสะพุง")</f>
        <v>วังสะพุง</v>
      </c>
      <c r="P230" s="4">
        <f>IFERROR(__xludf.DUMMYFUNCTION("""COMPUTED_VALUE"""),42579.0)</f>
        <v>42579</v>
      </c>
      <c r="Q230" s="3" t="str">
        <f>IFERROR(__xludf.DUMMYFUNCTION("""COMPUTED_VALUE"""),"A")</f>
        <v>A</v>
      </c>
      <c r="R230" s="3" t="str">
        <f>IFERROR(__xludf.DUMMYFUNCTION("""COMPUTED_VALUE"""),"Big Format")</f>
        <v>Big Format</v>
      </c>
      <c r="S230" s="3" t="str">
        <f>IFERROR(__xludf.DUMMYFUNCTION("""COMPUTED_VALUE"""),"BMK")</f>
        <v>BMK</v>
      </c>
      <c r="T230" s="3" t="str">
        <f>IFERROR(__xludf.DUMMYFUNCTION("""COMPUTED_VALUE"""),"Hub09-NE 1")</f>
        <v>Hub09-NE 1</v>
      </c>
      <c r="U230" s="3" t="str">
        <f>IFERROR(__xludf.DUMMYFUNCTION("""COMPUTED_VALUE"""),"Hub09-NE 1")</f>
        <v>Hub09-NE 1</v>
      </c>
      <c r="V230" s="3" t="str">
        <f>IFERROR(__xludf.DUMMYFUNCTION("""COMPUTED_VALUE"""),"N")</f>
        <v>N</v>
      </c>
      <c r="W230" s="3">
        <f>IFERROR(__xludf.DUMMYFUNCTION("""COMPUTED_VALUE"""),151027.0)</f>
        <v>151027</v>
      </c>
      <c r="X230" s="3" t="str">
        <f>IFERROR(__xludf.DUMMYFUNCTION("""COMPUTED_VALUE"""),"281 หมู่ 2 ถนนศรีสงคราม ตำบลศรีสงคราม อำเภอวังสะพุง จังหวัดเลย 42130")</f>
        <v>281 หมู่ 2 ถนนศรีสงคราม ตำบลศรีสงคราม อำเภอวังสะพุง จังหวัดเลย 42130</v>
      </c>
      <c r="Y230" s="3"/>
      <c r="Z230" s="3" t="str">
        <f>IFERROR(__xludf.DUMMYFUNCTION("""COMPUTED_VALUE"""),"ศรีสงคราม")</f>
        <v>ศรีสงคราม</v>
      </c>
      <c r="AA230" s="3" t="str">
        <f>IFERROR(__xludf.DUMMYFUNCTION("""COMPUTED_VALUE"""),"วังสะพุง")</f>
        <v>วังสะพุง</v>
      </c>
      <c r="AB230" s="3" t="str">
        <f>IFERROR(__xludf.DUMMYFUNCTION("""COMPUTED_VALUE"""),"เลย")</f>
        <v>เลย</v>
      </c>
      <c r="AC230" s="3">
        <f>IFERROR(__xludf.DUMMYFUNCTION("""COMPUTED_VALUE"""),42130.0)</f>
        <v>42130</v>
      </c>
      <c r="AD230" s="3">
        <f>IFERROR(__xludf.DUMMYFUNCTION("""COMPUTED_VALUE"""),17.3008854)</f>
        <v>17.3008854</v>
      </c>
      <c r="AE230" s="3">
        <f>IFERROR(__xludf.DUMMYFUNCTION("""COMPUTED_VALUE"""),101.7755983)</f>
        <v>101.7755983</v>
      </c>
      <c r="AF230" s="3" t="str">
        <f>IFERROR(__xludf.DUMMYFUNCTION("""COMPUTED_VALUE"""),"วังสะพุง-15058")</f>
        <v>วังสะพุง-15058</v>
      </c>
      <c r="AG230" s="3" t="str">
        <f>IFERROR(__xludf.DUMMYFUNCTION("""COMPUTED_VALUE"""),"ตะวันออกเฉียงเหนือ")</f>
        <v>ตะวันออกเฉียงเหนือ</v>
      </c>
      <c r="AH230" s="3" t="str">
        <f>IFERROR(__xludf.DUMMYFUNCTION("""COMPUTED_VALUE"""),"K.Narabordee")</f>
        <v>K.Narabordee</v>
      </c>
      <c r="AI230" s="3" t="str">
        <f>IFERROR(__xludf.DUMMYFUNCTION("""COMPUTED_VALUE"""),"Out of warranty")</f>
        <v>Out of warranty</v>
      </c>
      <c r="AJ230" s="3">
        <f>IFERROR(__xludf.DUMMYFUNCTION("""COMPUTED_VALUE"""),114.0)</f>
        <v>114</v>
      </c>
      <c r="AK230" s="3"/>
      <c r="AL230" s="3" t="str">
        <f>IFERROR(__xludf.DUMMYFUNCTION("""COMPUTED_VALUE"""),"bmk_sm.wangsaphung@bigc.co.th")</f>
        <v>bmk_sm.wangsaphung@bigc.co.th</v>
      </c>
    </row>
    <row r="231" ht="15.75" customHeight="1">
      <c r="A231" s="1" t="str">
        <f>IFERROR(__xludf.DUMMYFUNCTION("""COMPUTED_VALUE"""),"15059")</f>
        <v>15059</v>
      </c>
      <c r="B231" s="2">
        <f>IFERROR(__xludf.DUMMYFUNCTION("""COMPUTED_VALUE"""),15059.0)</f>
        <v>15059</v>
      </c>
      <c r="C231" s="3" t="str">
        <f>IFERROR(__xludf.DUMMYFUNCTION("""COMPUTED_VALUE"""),"พันธุ์ทิพย์ เชียงใหม่")</f>
        <v>พันธุ์ทิพย์ เชียงใหม่</v>
      </c>
      <c r="D231" s="3" t="str">
        <f>IFERROR(__xludf.DUMMYFUNCTION("""COMPUTED_VALUE"""),"BIGC MARKET PANTIP CHIANGMAI")</f>
        <v>BIGC MARKET PANTIP CHIANGMAI</v>
      </c>
      <c r="E231" s="1" t="str">
        <f>IFERROR(__xludf.DUMMYFUNCTION("""COMPUTED_VALUE"""),"บิ๊กซี Market")</f>
        <v>บิ๊กซี Market</v>
      </c>
      <c r="F231" s="1" t="str">
        <f>IFERROR(__xludf.DUMMYFUNCTION("""COMPUTED_VALUE"""),"000348")</f>
        <v>000348</v>
      </c>
      <c r="G231" s="1" t="str">
        <f>IFERROR(__xludf.DUMMYFUNCTION("""COMPUTED_VALUE"""),"นายธีรนันท์ ไม้สนธิ์")</f>
        <v>นายธีรนันท์ ไม้สนธิ์</v>
      </c>
      <c r="H231" s="1" t="str">
        <f>IFERROR(__xludf.DUMMYFUNCTION("""COMPUTED_VALUE"""),"000348")</f>
        <v>000348</v>
      </c>
      <c r="I231" s="1" t="str">
        <f>IFERROR(__xludf.DUMMYFUNCTION("""COMPUTED_VALUE"""),"นายธีรนันท์ ไม้สนธิ์")</f>
        <v>นายธีรนันท์ ไม้สนธิ์</v>
      </c>
      <c r="J231" s="3">
        <f>IFERROR(__xludf.DUMMYFUNCTION("""COMPUTED_VALUE"""),348.0)</f>
        <v>348</v>
      </c>
      <c r="K231" s="3" t="str">
        <f>IFERROR(__xludf.DUMMYFUNCTION("""COMPUTED_VALUE"""),"นายธีรนันท์ ไม้สนธิ์")</f>
        <v>นายธีรนันท์ ไม้สนธิ์</v>
      </c>
      <c r="L231" s="1" t="str">
        <f>IFERROR(__xludf.DUMMYFUNCTION("""COMPUTED_VALUE"""),"Hub07-North")</f>
        <v>Hub07-North</v>
      </c>
      <c r="M231" s="1" t="str">
        <f>IFERROR(__xludf.DUMMYFUNCTION("""COMPUTED_VALUE"""),"0614175866")</f>
        <v>0614175866</v>
      </c>
      <c r="N231" s="3">
        <f>IFERROR(__xludf.DUMMYFUNCTION("""COMPUTED_VALUE"""),15059.0)</f>
        <v>15059</v>
      </c>
      <c r="O231" s="3" t="str">
        <f>IFERROR(__xludf.DUMMYFUNCTION("""COMPUTED_VALUE"""),"พันธุ์ทิพย์ เชียงใหม่")</f>
        <v>พันธุ์ทิพย์ เชียงใหม่</v>
      </c>
      <c r="P231" s="4">
        <f>IFERROR(__xludf.DUMMYFUNCTION("""COMPUTED_VALUE"""),42607.0)</f>
        <v>42607</v>
      </c>
      <c r="Q231" s="3" t="str">
        <f>IFERROR(__xludf.DUMMYFUNCTION("""COMPUTED_VALUE"""),"A")</f>
        <v>A</v>
      </c>
      <c r="R231" s="3" t="str">
        <f>IFERROR(__xludf.DUMMYFUNCTION("""COMPUTED_VALUE"""),"Big Format")</f>
        <v>Big Format</v>
      </c>
      <c r="S231" s="3" t="str">
        <f>IFERROR(__xludf.DUMMYFUNCTION("""COMPUTED_VALUE"""),"BMK")</f>
        <v>BMK</v>
      </c>
      <c r="T231" s="3" t="str">
        <f>IFERROR(__xludf.DUMMYFUNCTION("""COMPUTED_VALUE"""),"Hub07-North")</f>
        <v>Hub07-North</v>
      </c>
      <c r="U231" s="3" t="str">
        <f>IFERROR(__xludf.DUMMYFUNCTION("""COMPUTED_VALUE"""),"Hub07-North")</f>
        <v>Hub07-North</v>
      </c>
      <c r="V231" s="3" t="str">
        <f>IFERROR(__xludf.DUMMYFUNCTION("""COMPUTED_VALUE"""),"N")</f>
        <v>N</v>
      </c>
      <c r="W231" s="3">
        <f>IFERROR(__xludf.DUMMYFUNCTION("""COMPUTED_VALUE"""),151062.0)</f>
        <v>151062</v>
      </c>
      <c r="X231" s="3" t="str">
        <f>IFERROR(__xludf.DUMMYFUNCTION("""COMPUTED_VALUE"""),"152/1 ห้องเลขที่ 101 ชั้น 1 ถนนช้างคลาน ตำบลช้างคลาน อำเภอเมืองเชียงใหม่ จังหวัดเชียงใหม่ 50100")</f>
        <v>152/1 ห้องเลขที่ 101 ชั้น 1 ถนนช้างคลาน ตำบลช้างคลาน อำเภอเมืองเชียงใหม่ จังหวัดเชียงใหม่ 50100</v>
      </c>
      <c r="Y231" s="3"/>
      <c r="Z231" s="3" t="str">
        <f>IFERROR(__xludf.DUMMYFUNCTION("""COMPUTED_VALUE"""),"ช้างคลาน")</f>
        <v>ช้างคลาน</v>
      </c>
      <c r="AA231" s="3" t="str">
        <f>IFERROR(__xludf.DUMMYFUNCTION("""COMPUTED_VALUE"""),"เมือง")</f>
        <v>เมือง</v>
      </c>
      <c r="AB231" s="3" t="str">
        <f>IFERROR(__xludf.DUMMYFUNCTION("""COMPUTED_VALUE"""),"เชียงใหม่")</f>
        <v>เชียงใหม่</v>
      </c>
      <c r="AC231" s="3">
        <f>IFERROR(__xludf.DUMMYFUNCTION("""COMPUTED_VALUE"""),50100.0)</f>
        <v>50100</v>
      </c>
      <c r="AD231" s="3">
        <f>IFERROR(__xludf.DUMMYFUNCTION("""COMPUTED_VALUE"""),18.781933)</f>
        <v>18.781933</v>
      </c>
      <c r="AE231" s="3">
        <f>IFERROR(__xludf.DUMMYFUNCTION("""COMPUTED_VALUE"""),98.9974556)</f>
        <v>98.9974556</v>
      </c>
      <c r="AF231" s="3" t="str">
        <f>IFERROR(__xludf.DUMMYFUNCTION("""COMPUTED_VALUE"""),"พันธุ์ทิพย์ เชียงใหม่-15059")</f>
        <v>พันธุ์ทิพย์ เชียงใหม่-15059</v>
      </c>
      <c r="AG231" s="3" t="str">
        <f>IFERROR(__xludf.DUMMYFUNCTION("""COMPUTED_VALUE"""),"เหนือ")</f>
        <v>เหนือ</v>
      </c>
      <c r="AH231" s="3" t="str">
        <f>IFERROR(__xludf.DUMMYFUNCTION("""COMPUTED_VALUE"""),"Wichai Soomboonsod")</f>
        <v>Wichai Soomboonsod</v>
      </c>
      <c r="AI231" s="3" t="str">
        <f>IFERROR(__xludf.DUMMYFUNCTION("""COMPUTED_VALUE"""),"Out of warranty")</f>
        <v>Out of warranty</v>
      </c>
      <c r="AJ231" s="3">
        <f>IFERROR(__xludf.DUMMYFUNCTION("""COMPUTED_VALUE"""),113.0)</f>
        <v>113</v>
      </c>
      <c r="AK231" s="3"/>
      <c r="AL231" s="3" t="str">
        <f>IFERROR(__xludf.DUMMYFUNCTION("""COMPUTED_VALUE"""),"bmk_sm.pantipplazachiangmai@bigc.co.th")</f>
        <v>bmk_sm.pantipplazachiangmai@bigc.co.th</v>
      </c>
    </row>
    <row r="232" ht="15.75" customHeight="1">
      <c r="A232" s="1" t="str">
        <f>IFERROR(__xludf.DUMMYFUNCTION("""COMPUTED_VALUE"""),"15060")</f>
        <v>15060</v>
      </c>
      <c r="B232" s="2">
        <f>IFERROR(__xludf.DUMMYFUNCTION("""COMPUTED_VALUE"""),15060.0)</f>
        <v>15060</v>
      </c>
      <c r="C232" s="3" t="str">
        <f>IFERROR(__xludf.DUMMYFUNCTION("""COMPUTED_VALUE"""),"โชคชัย 4")</f>
        <v>โชคชัย 4</v>
      </c>
      <c r="D232" s="3" t="str">
        <f>IFERROR(__xludf.DUMMYFUNCTION("""COMPUTED_VALUE"""),"BIGC MARKET CHOKCHAI 4")</f>
        <v>BIGC MARKET CHOKCHAI 4</v>
      </c>
      <c r="E232" s="1" t="str">
        <f>IFERROR(__xludf.DUMMYFUNCTION("""COMPUTED_VALUE"""),"บิ๊กซี Market")</f>
        <v>บิ๊กซี Market</v>
      </c>
      <c r="F232" s="1" t="str">
        <f>IFERROR(__xludf.DUMMYFUNCTION("""COMPUTED_VALUE"""),"02408546")</f>
        <v>02408546</v>
      </c>
      <c r="G232" s="1" t="str">
        <f>IFERROR(__xludf.DUMMYFUNCTION("""COMPUTED_VALUE"""),"นายเกษมศิษฐ์ ฮดบุญเรือง")</f>
        <v>นายเกษมศิษฐ์ ฮดบุญเรือง</v>
      </c>
      <c r="H232" s="1" t="str">
        <f>IFERROR(__xludf.DUMMYFUNCTION("""COMPUTED_VALUE"""),"02408546")</f>
        <v>02408546</v>
      </c>
      <c r="I232" s="1" t="str">
        <f>IFERROR(__xludf.DUMMYFUNCTION("""COMPUTED_VALUE"""),"นายเกษมศิษฐ์ ฮดบุญเรือง")</f>
        <v>นายเกษมศิษฐ์ ฮดบุญเรือง</v>
      </c>
      <c r="J232" s="3">
        <f>IFERROR(__xludf.DUMMYFUNCTION("""COMPUTED_VALUE"""),2408546.0)</f>
        <v>2408546</v>
      </c>
      <c r="K232" s="3" t="str">
        <f>IFERROR(__xludf.DUMMYFUNCTION("""COMPUTED_VALUE"""),"นายเกษมศิษฐ์ ฮดบุญเรือง")</f>
        <v>นายเกษมศิษฐ์ ฮดบุญเรือง</v>
      </c>
      <c r="L232" s="1" t="str">
        <f>IFERROR(__xludf.DUMMYFUNCTION("""COMPUTED_VALUE"""),"Hub02-BKK 2")</f>
        <v>Hub02-BKK 2</v>
      </c>
      <c r="M232" s="1" t="str">
        <f>IFERROR(__xludf.DUMMYFUNCTION("""COMPUTED_VALUE"""),"0988580755")</f>
        <v>0988580755</v>
      </c>
      <c r="N232" s="3">
        <f>IFERROR(__xludf.DUMMYFUNCTION("""COMPUTED_VALUE"""),15060.0)</f>
        <v>15060</v>
      </c>
      <c r="O232" s="3" t="str">
        <f>IFERROR(__xludf.DUMMYFUNCTION("""COMPUTED_VALUE"""),"โชคชัย 4")</f>
        <v>โชคชัย 4</v>
      </c>
      <c r="P232" s="4">
        <f>IFERROR(__xludf.DUMMYFUNCTION("""COMPUTED_VALUE"""),42869.0)</f>
        <v>42869</v>
      </c>
      <c r="Q232" s="3" t="str">
        <f>IFERROR(__xludf.DUMMYFUNCTION("""COMPUTED_VALUE"""),"I")</f>
        <v>I</v>
      </c>
      <c r="R232" s="3" t="str">
        <f>IFERROR(__xludf.DUMMYFUNCTION("""COMPUTED_VALUE"""),"Big Format")</f>
        <v>Big Format</v>
      </c>
      <c r="S232" s="3" t="str">
        <f>IFERROR(__xludf.DUMMYFUNCTION("""COMPUTED_VALUE"""),"BMK")</f>
        <v>BMK</v>
      </c>
      <c r="T232" s="3" t="str">
        <f>IFERROR(__xludf.DUMMYFUNCTION("""COMPUTED_VALUE"""),"Hub02-BKK 2")</f>
        <v>Hub02-BKK 2</v>
      </c>
      <c r="U232" s="3" t="str">
        <f>IFERROR(__xludf.DUMMYFUNCTION("""COMPUTED_VALUE"""),"Hub02-BKK 2")</f>
        <v>Hub02-BKK 2</v>
      </c>
      <c r="V232" s="3" t="str">
        <f>IFERROR(__xludf.DUMMYFUNCTION("""COMPUTED_VALUE"""),"N")</f>
        <v>N</v>
      </c>
      <c r="W232" s="3">
        <f>IFERROR(__xludf.DUMMYFUNCTION("""COMPUTED_VALUE"""),151065.0)</f>
        <v>151065</v>
      </c>
      <c r="X232" s="3" t="str">
        <f>IFERROR(__xludf.DUMMYFUNCTION("""COMPUTED_VALUE"""),"อาคาร C-101 เลขที่ 139/27-28 ซอยลาดพร้าว 53 (โชคชัย4) แขวงสะพานสอง เขตวังทองหลาง กรุงเทพมหานคร 10310")</f>
        <v>อาคาร C-101 เลขที่ 139/27-28 ซอยลาดพร้าว 53 (โชคชัย4) แขวงสะพานสอง เขตวังทองหลาง กรุงเทพมหานคร 10310</v>
      </c>
      <c r="Y232" s="3" t="str">
        <f>IFERROR(__xludf.DUMMYFUNCTION("""COMPUTED_VALUE"""),"ซอยลาดพร้าว 53")</f>
        <v>ซอยลาดพร้าว 53</v>
      </c>
      <c r="Z232" s="3" t="str">
        <f>IFERROR(__xludf.DUMMYFUNCTION("""COMPUTED_VALUE"""),"เลขที่")</f>
        <v>เลขที่</v>
      </c>
      <c r="AA232" s="3" t="str">
        <f>IFERROR(__xludf.DUMMYFUNCTION("""COMPUTED_VALUE"""),"วังทองหลาง")</f>
        <v>วังทองหลาง</v>
      </c>
      <c r="AB232" s="3" t="str">
        <f>IFERROR(__xludf.DUMMYFUNCTION("""COMPUTED_VALUE"""),"กรุงเทพมหานคร")</f>
        <v>กรุงเทพมหานคร</v>
      </c>
      <c r="AC232" s="3">
        <f>IFERROR(__xludf.DUMMYFUNCTION("""COMPUTED_VALUE"""),10310.0)</f>
        <v>10310</v>
      </c>
      <c r="AD232" s="3">
        <f>IFERROR(__xludf.DUMMYFUNCTION("""COMPUTED_VALUE"""),13.7978144)</f>
        <v>13.7978144</v>
      </c>
      <c r="AE232" s="3">
        <f>IFERROR(__xludf.DUMMYFUNCTION("""COMPUTED_VALUE"""),100.5929446)</f>
        <v>100.5929446</v>
      </c>
      <c r="AF232" s="3" t="str">
        <f>IFERROR(__xludf.DUMMYFUNCTION("""COMPUTED_VALUE"""),"โชคชัย 4-15060")</f>
        <v>โชคชัย 4-15060</v>
      </c>
      <c r="AG232" s="3" t="str">
        <f>IFERROR(__xludf.DUMMYFUNCTION("""COMPUTED_VALUE"""),"กลาง")</f>
        <v>กลาง</v>
      </c>
      <c r="AH232" s="3" t="str">
        <f>IFERROR(__xludf.DUMMYFUNCTION("""COMPUTED_VALUE"""),"#N/A")</f>
        <v>#N/A</v>
      </c>
      <c r="AI232" s="3" t="str">
        <f>IFERROR(__xludf.DUMMYFUNCTION("""COMPUTED_VALUE"""),"Out of warranty")</f>
        <v>Out of warranty</v>
      </c>
      <c r="AJ232" s="3">
        <f>IFERROR(__xludf.DUMMYFUNCTION("""COMPUTED_VALUE"""),105.0)</f>
        <v>105</v>
      </c>
      <c r="AK232" s="3"/>
      <c r="AL232" s="3" t="str">
        <f>IFERROR(__xludf.DUMMYFUNCTION("""COMPUTED_VALUE"""),"#N/A")</f>
        <v>#N/A</v>
      </c>
    </row>
    <row r="233" ht="15.75" customHeight="1">
      <c r="A233" s="1" t="str">
        <f>IFERROR(__xludf.DUMMYFUNCTION("""COMPUTED_VALUE"""),"15061")</f>
        <v>15061</v>
      </c>
      <c r="B233" s="2">
        <f>IFERROR(__xludf.DUMMYFUNCTION("""COMPUTED_VALUE"""),15061.0)</f>
        <v>15061</v>
      </c>
      <c r="C233" s="3" t="str">
        <f>IFERROR(__xludf.DUMMYFUNCTION("""COMPUTED_VALUE"""),"เกตเวย์ บางโพ(บางซื่อ)")</f>
        <v>เกตเวย์ บางโพ(บางซื่อ)</v>
      </c>
      <c r="D233" s="3" t="str">
        <f>IFERROR(__xludf.DUMMYFUNCTION("""COMPUTED_VALUE"""),"BIGC MARKET GATEWAY BANGSUE")</f>
        <v>BIGC MARKET GATEWAY BANGSUE</v>
      </c>
      <c r="E233" s="1" t="str">
        <f>IFERROR(__xludf.DUMMYFUNCTION("""COMPUTED_VALUE"""),"บิ๊กซี FoodPlace")</f>
        <v>บิ๊กซี FoodPlace</v>
      </c>
      <c r="F233" s="1" t="str">
        <f>IFERROR(__xludf.DUMMYFUNCTION("""COMPUTED_VALUE"""),"2454701")</f>
        <v>2454701</v>
      </c>
      <c r="G233" s="1" t="str">
        <f>IFERROR(__xludf.DUMMYFUNCTION("""COMPUTED_VALUE"""),"นายกานต์ ไชยแสงศรี")</f>
        <v>นายกานต์ ไชยแสงศรี</v>
      </c>
      <c r="H233" s="1" t="str">
        <f>IFERROR(__xludf.DUMMYFUNCTION("""COMPUTED_VALUE"""),"2454701")</f>
        <v>2454701</v>
      </c>
      <c r="I233" s="1" t="str">
        <f>IFERROR(__xludf.DUMMYFUNCTION("""COMPUTED_VALUE"""),"นายกานต์ ไชยแสงศรี")</f>
        <v>นายกานต์ ไชยแสงศรี</v>
      </c>
      <c r="J233" s="3">
        <f>IFERROR(__xludf.DUMMYFUNCTION("""COMPUTED_VALUE"""),2454701.0)</f>
        <v>2454701</v>
      </c>
      <c r="K233" s="3" t="str">
        <f>IFERROR(__xludf.DUMMYFUNCTION("""COMPUTED_VALUE"""),"นายกานต์ ไชยแสงศรี")</f>
        <v>นายกานต์ ไชยแสงศรี</v>
      </c>
      <c r="L233" s="1" t="str">
        <f>IFERROR(__xludf.DUMMYFUNCTION("""COMPUTED_VALUE"""),"Hub01-BKK 1")</f>
        <v>Hub01-BKK 1</v>
      </c>
      <c r="M233" s="1" t="str">
        <f>IFERROR(__xludf.DUMMYFUNCTION("""COMPUTED_VALUE"""),"0909090652")</f>
        <v>0909090652</v>
      </c>
      <c r="N233" s="3">
        <f>IFERROR(__xludf.DUMMYFUNCTION("""COMPUTED_VALUE"""),15061.0)</f>
        <v>15061</v>
      </c>
      <c r="O233" s="3" t="str">
        <f>IFERROR(__xludf.DUMMYFUNCTION("""COMPUTED_VALUE"""),"เกตเวย์ บางโพ(บางซื่อ)")</f>
        <v>เกตเวย์ บางโพ(บางซื่อ)</v>
      </c>
      <c r="P233" s="4">
        <f>IFERROR(__xludf.DUMMYFUNCTION("""COMPUTED_VALUE"""),43434.0)</f>
        <v>43434</v>
      </c>
      <c r="Q233" s="3" t="str">
        <f>IFERROR(__xludf.DUMMYFUNCTION("""COMPUTED_VALUE"""),"A")</f>
        <v>A</v>
      </c>
      <c r="R233" s="3" t="str">
        <f>IFERROR(__xludf.DUMMYFUNCTION("""COMPUTED_VALUE"""),"Big Format")</f>
        <v>Big Format</v>
      </c>
      <c r="S233" s="3" t="str">
        <f>IFERROR(__xludf.DUMMYFUNCTION("""COMPUTED_VALUE"""),"FoodPlace")</f>
        <v>FoodPlace</v>
      </c>
      <c r="T233" s="3" t="str">
        <f>IFERROR(__xludf.DUMMYFUNCTION("""COMPUTED_VALUE"""),"Hub01-BKK 1")</f>
        <v>Hub01-BKK 1</v>
      </c>
      <c r="U233" s="3" t="str">
        <f>IFERROR(__xludf.DUMMYFUNCTION("""COMPUTED_VALUE"""),"Hub01-BKK 1")</f>
        <v>Hub01-BKK 1</v>
      </c>
      <c r="V233" s="3" t="str">
        <f>IFERROR(__xludf.DUMMYFUNCTION("""COMPUTED_VALUE"""),"N")</f>
        <v>N</v>
      </c>
      <c r="W233" s="3">
        <f>IFERROR(__xludf.DUMMYFUNCTION("""COMPUTED_VALUE"""),151067.0)</f>
        <v>151067</v>
      </c>
      <c r="X233" s="3" t="str">
        <f>IFERROR(__xludf.DUMMYFUNCTION("""COMPUTED_VALUE"""),"อาคารศูนย์การค้าเกตเวย์ แอท บางซื่อ ห้องเลขที่ G001 ชั้นG เลขที่ 162/1-2,168/10 ถนนประชาราษฎร์2 แขวงบางซื่อ เขตบางซื่อ กรุงเทพมหานคร 10800")</f>
        <v>อาคารศูนย์การค้าเกตเวย์ แอท บางซื่อ ห้องเลขที่ G001 ชั้นG เลขที่ 162/1-2,168/10 ถนนประชาราษฎร์2 แขวงบางซื่อ เขตบางซื่อ กรุงเทพมหานคร 10800</v>
      </c>
      <c r="Y233" s="3" t="str">
        <f>IFERROR(__xludf.DUMMYFUNCTION("""COMPUTED_VALUE"""),"ประชาราษฎร์2")</f>
        <v>ประชาราษฎร์2</v>
      </c>
      <c r="Z233" s="3" t="str">
        <f>IFERROR(__xludf.DUMMYFUNCTION("""COMPUTED_VALUE"""),"บางซื่อ")</f>
        <v>บางซื่อ</v>
      </c>
      <c r="AA233" s="3" t="str">
        <f>IFERROR(__xludf.DUMMYFUNCTION("""COMPUTED_VALUE"""),"แขวงบางซื่อ")</f>
        <v>แขวงบางซื่อ</v>
      </c>
      <c r="AB233" s="3" t="str">
        <f>IFERROR(__xludf.DUMMYFUNCTION("""COMPUTED_VALUE"""),"กรุงเทพมหานคร")</f>
        <v>กรุงเทพมหานคร</v>
      </c>
      <c r="AC233" s="3">
        <f>IFERROR(__xludf.DUMMYFUNCTION("""COMPUTED_VALUE"""),10800.0)</f>
        <v>10800</v>
      </c>
      <c r="AD233" s="3">
        <f>IFERROR(__xludf.DUMMYFUNCTION("""COMPUTED_VALUE"""),13.8059334)</f>
        <v>13.8059334</v>
      </c>
      <c r="AE233" s="3">
        <f>IFERROR(__xludf.DUMMYFUNCTION("""COMPUTED_VALUE"""),100.5217635)</f>
        <v>100.5217635</v>
      </c>
      <c r="AF233" s="3" t="str">
        <f>IFERROR(__xludf.DUMMYFUNCTION("""COMPUTED_VALUE"""),"เกตเวย์ บางโพ(บางซื่อ)-15061")</f>
        <v>เกตเวย์ บางโพ(บางซื่อ)-15061</v>
      </c>
      <c r="AG233" s="3" t="str">
        <f>IFERROR(__xludf.DUMMYFUNCTION("""COMPUTED_VALUE"""),"กลาง")</f>
        <v>กลาง</v>
      </c>
      <c r="AH233" s="3" t="str">
        <f>IFERROR(__xludf.DUMMYFUNCTION("""COMPUTED_VALUE"""),"Suchin Thawinwisan")</f>
        <v>Suchin Thawinwisan</v>
      </c>
      <c r="AI233" s="3" t="str">
        <f>IFERROR(__xludf.DUMMYFUNCTION("""COMPUTED_VALUE"""),"Out of warranty")</f>
        <v>Out of warranty</v>
      </c>
      <c r="AJ233" s="3">
        <f>IFERROR(__xludf.DUMMYFUNCTION("""COMPUTED_VALUE"""),86.0)</f>
        <v>86</v>
      </c>
      <c r="AK233" s="3"/>
      <c r="AL233" s="3" t="str">
        <f>IFERROR(__xludf.DUMMYFUNCTION("""COMPUTED_VALUE"""),"Foodplace.gatewaybangsue@bigc.co.th")</f>
        <v>Foodplace.gatewaybangsue@bigc.co.th</v>
      </c>
    </row>
    <row r="234" ht="15.75" customHeight="1">
      <c r="A234" s="1" t="str">
        <f>IFERROR(__xludf.DUMMYFUNCTION("""COMPUTED_VALUE"""),"15062")</f>
        <v>15062</v>
      </c>
      <c r="B234" s="2">
        <f>IFERROR(__xludf.DUMMYFUNCTION("""COMPUTED_VALUE"""),15062.0)</f>
        <v>15062</v>
      </c>
      <c r="C234" s="3" t="str">
        <f>IFERROR(__xludf.DUMMYFUNCTION("""COMPUTED_VALUE"""),"สามย่านมิตรทาวน์")</f>
        <v>สามย่านมิตรทาวน์</v>
      </c>
      <c r="D234" s="3" t="str">
        <f>IFERROR(__xludf.DUMMYFUNCTION("""COMPUTED_VALUE"""),"BIGC MARKET SAMYAN MITRTOWN")</f>
        <v>BIGC MARKET SAMYAN MITRTOWN</v>
      </c>
      <c r="E234" s="1" t="str">
        <f>IFERROR(__xludf.DUMMYFUNCTION("""COMPUTED_VALUE"""),"บิ๊กซี FoodPlace")</f>
        <v>บิ๊กซี FoodPlace</v>
      </c>
      <c r="F234" s="1" t="str">
        <f>IFERROR(__xludf.DUMMYFUNCTION("""COMPUTED_VALUE"""),"02408546")</f>
        <v>02408546</v>
      </c>
      <c r="G234" s="1" t="str">
        <f>IFERROR(__xludf.DUMMYFUNCTION("""COMPUTED_VALUE"""),"นายเกษมศิษฐ์ ฮดบุญเรือง")</f>
        <v>นายเกษมศิษฐ์ ฮดบุญเรือง</v>
      </c>
      <c r="H234" s="1" t="str">
        <f>IFERROR(__xludf.DUMMYFUNCTION("""COMPUTED_VALUE"""),"02408546")</f>
        <v>02408546</v>
      </c>
      <c r="I234" s="1" t="str">
        <f>IFERROR(__xludf.DUMMYFUNCTION("""COMPUTED_VALUE"""),"นายเกษมศิษฐ์ ฮดบุญเรือง")</f>
        <v>นายเกษมศิษฐ์ ฮดบุญเรือง</v>
      </c>
      <c r="J234" s="3">
        <f>IFERROR(__xludf.DUMMYFUNCTION("""COMPUTED_VALUE"""),2408546.0)</f>
        <v>2408546</v>
      </c>
      <c r="K234" s="3" t="str">
        <f>IFERROR(__xludf.DUMMYFUNCTION("""COMPUTED_VALUE"""),"นายเกษมศิษฐ์ ฮดบุญเรือง")</f>
        <v>นายเกษมศิษฐ์ ฮดบุญเรือง</v>
      </c>
      <c r="L234" s="1" t="str">
        <f>IFERROR(__xludf.DUMMYFUNCTION("""COMPUTED_VALUE"""),"Hub02-BKK 2")</f>
        <v>Hub02-BKK 2</v>
      </c>
      <c r="M234" s="1" t="str">
        <f>IFERROR(__xludf.DUMMYFUNCTION("""COMPUTED_VALUE"""),"0988580755")</f>
        <v>0988580755</v>
      </c>
      <c r="N234" s="3">
        <f>IFERROR(__xludf.DUMMYFUNCTION("""COMPUTED_VALUE"""),15062.0)</f>
        <v>15062</v>
      </c>
      <c r="O234" s="3" t="str">
        <f>IFERROR(__xludf.DUMMYFUNCTION("""COMPUTED_VALUE"""),"สามย่านมิตรทาวน์")</f>
        <v>สามย่านมิตรทาวน์</v>
      </c>
      <c r="P234" s="4">
        <f>IFERROR(__xludf.DUMMYFUNCTION("""COMPUTED_VALUE"""),43728.0)</f>
        <v>43728</v>
      </c>
      <c r="Q234" s="3" t="str">
        <f>IFERROR(__xludf.DUMMYFUNCTION("""COMPUTED_VALUE"""),"A")</f>
        <v>A</v>
      </c>
      <c r="R234" s="3" t="str">
        <f>IFERROR(__xludf.DUMMYFUNCTION("""COMPUTED_VALUE"""),"Big Format")</f>
        <v>Big Format</v>
      </c>
      <c r="S234" s="3" t="str">
        <f>IFERROR(__xludf.DUMMYFUNCTION("""COMPUTED_VALUE"""),"FoodPlace")</f>
        <v>FoodPlace</v>
      </c>
      <c r="T234" s="3" t="str">
        <f>IFERROR(__xludf.DUMMYFUNCTION("""COMPUTED_VALUE"""),"Hub02-BKK 2")</f>
        <v>Hub02-BKK 2</v>
      </c>
      <c r="U234" s="3" t="str">
        <f>IFERROR(__xludf.DUMMYFUNCTION("""COMPUTED_VALUE"""),"Hub02-BKK 2")</f>
        <v>Hub02-BKK 2</v>
      </c>
      <c r="V234" s="3" t="str">
        <f>IFERROR(__xludf.DUMMYFUNCTION("""COMPUTED_VALUE"""),"N")</f>
        <v>N</v>
      </c>
      <c r="W234" s="3">
        <f>IFERROR(__xludf.DUMMYFUNCTION("""COMPUTED_VALUE"""),151068.0)</f>
        <v>151068</v>
      </c>
      <c r="X234" s="3" t="str">
        <f>IFERROR(__xludf.DUMMYFUNCTION("""COMPUTED_VALUE"""),"944/1, ห้องB1U001, ชั้นB1, ถนนพระราม4 แขวงวังใหม่ เขตปทุมวัน กรุงเทพมหานคร 10330")</f>
        <v>944/1, ห้องB1U001, ชั้นB1, ถนนพระราม4 แขวงวังใหม่ เขตปทุมวัน กรุงเทพมหานคร 10330</v>
      </c>
      <c r="Y234" s="3" t="str">
        <f>IFERROR(__xludf.DUMMYFUNCTION("""COMPUTED_VALUE"""),"พระราม4")</f>
        <v>พระราม4</v>
      </c>
      <c r="Z234" s="3" t="str">
        <f>IFERROR(__xludf.DUMMYFUNCTION("""COMPUTED_VALUE"""),"วังใหม่")</f>
        <v>วังใหม่</v>
      </c>
      <c r="AA234" s="3" t="str">
        <f>IFERROR(__xludf.DUMMYFUNCTION("""COMPUTED_VALUE"""),"ปทุมวัน")</f>
        <v>ปทุมวัน</v>
      </c>
      <c r="AB234" s="3" t="str">
        <f>IFERROR(__xludf.DUMMYFUNCTION("""COMPUTED_VALUE"""),"กรุงเทพมหานคร")</f>
        <v>กรุงเทพมหานคร</v>
      </c>
      <c r="AC234" s="3">
        <f>IFERROR(__xludf.DUMMYFUNCTION("""COMPUTED_VALUE"""),10330.0)</f>
        <v>10330</v>
      </c>
      <c r="AD234" s="3">
        <f>IFERROR(__xludf.DUMMYFUNCTION("""COMPUTED_VALUE"""),13.7343039)</f>
        <v>13.7343039</v>
      </c>
      <c r="AE234" s="3">
        <f>IFERROR(__xludf.DUMMYFUNCTION("""COMPUTED_VALUE"""),100.5283227)</f>
        <v>100.5283227</v>
      </c>
      <c r="AF234" s="3" t="str">
        <f>IFERROR(__xludf.DUMMYFUNCTION("""COMPUTED_VALUE"""),"สามย่านมิตรทาวน์-15062")</f>
        <v>สามย่านมิตรทาวน์-15062</v>
      </c>
      <c r="AG234" s="3" t="str">
        <f>IFERROR(__xludf.DUMMYFUNCTION("""COMPUTED_VALUE"""),"กลาง")</f>
        <v>กลาง</v>
      </c>
      <c r="AH234" s="3" t="str">
        <f>IFERROR(__xludf.DUMMYFUNCTION("""COMPUTED_VALUE"""),"Vassana Teratam")</f>
        <v>Vassana Teratam</v>
      </c>
      <c r="AI234" s="3" t="str">
        <f>IFERROR(__xludf.DUMMYFUNCTION("""COMPUTED_VALUE"""),"Out of warranty")</f>
        <v>Out of warranty</v>
      </c>
      <c r="AJ234" s="3">
        <f>IFERROR(__xludf.DUMMYFUNCTION("""COMPUTED_VALUE"""),77.0)</f>
        <v>77</v>
      </c>
      <c r="AK234" s="3"/>
      <c r="AL234" s="3" t="str">
        <f>IFERROR(__xludf.DUMMYFUNCTION("""COMPUTED_VALUE"""),"Foodplace.samyanmitrtown@bigc.co.th")</f>
        <v>Foodplace.samyanmitrtown@bigc.co.th</v>
      </c>
    </row>
    <row r="235" ht="15.75" customHeight="1">
      <c r="A235" s="1" t="str">
        <f>IFERROR(__xludf.DUMMYFUNCTION("""COMPUTED_VALUE"""),"15063")</f>
        <v>15063</v>
      </c>
      <c r="B235" s="2">
        <f>IFERROR(__xludf.DUMMYFUNCTION("""COMPUTED_VALUE"""),15063.0)</f>
        <v>15063</v>
      </c>
      <c r="C235" s="3" t="str">
        <f>IFERROR(__xludf.DUMMYFUNCTION("""COMPUTED_VALUE"""),"ท่าอิฐ")</f>
        <v>ท่าอิฐ</v>
      </c>
      <c r="D235" s="3" t="str">
        <f>IFERROR(__xludf.DUMMYFUNCTION("""COMPUTED_VALUE"""),"BIGC MARKET TAIT")</f>
        <v>BIGC MARKET TAIT</v>
      </c>
      <c r="E235" s="1" t="str">
        <f>IFERROR(__xludf.DUMMYFUNCTION("""COMPUTED_VALUE"""),"บิ๊กซี FoodPlace")</f>
        <v>บิ๊กซี FoodPlace</v>
      </c>
      <c r="F235" s="1" t="str">
        <f>IFERROR(__xludf.DUMMYFUNCTION("""COMPUTED_VALUE"""),"2454701")</f>
        <v>2454701</v>
      </c>
      <c r="G235" s="1" t="str">
        <f>IFERROR(__xludf.DUMMYFUNCTION("""COMPUTED_VALUE"""),"นายกานต์ ไชยแสงศรี")</f>
        <v>นายกานต์ ไชยแสงศรี</v>
      </c>
      <c r="H235" s="1" t="str">
        <f>IFERROR(__xludf.DUMMYFUNCTION("""COMPUTED_VALUE"""),"2454701")</f>
        <v>2454701</v>
      </c>
      <c r="I235" s="1" t="str">
        <f>IFERROR(__xludf.DUMMYFUNCTION("""COMPUTED_VALUE"""),"นายกานต์ ไชยแสงศรี")</f>
        <v>นายกานต์ ไชยแสงศรี</v>
      </c>
      <c r="J235" s="3">
        <f>IFERROR(__xludf.DUMMYFUNCTION("""COMPUTED_VALUE"""),2454701.0)</f>
        <v>2454701</v>
      </c>
      <c r="K235" s="3" t="str">
        <f>IFERROR(__xludf.DUMMYFUNCTION("""COMPUTED_VALUE"""),"นายกานต์ ไชยแสงศรี")</f>
        <v>นายกานต์ ไชยแสงศรี</v>
      </c>
      <c r="L235" s="1" t="str">
        <f>IFERROR(__xludf.DUMMYFUNCTION("""COMPUTED_VALUE"""),"Hub01-BKK 1")</f>
        <v>Hub01-BKK 1</v>
      </c>
      <c r="M235" s="1" t="str">
        <f>IFERROR(__xludf.DUMMYFUNCTION("""COMPUTED_VALUE"""),"0909090652")</f>
        <v>0909090652</v>
      </c>
      <c r="N235" s="3">
        <f>IFERROR(__xludf.DUMMYFUNCTION("""COMPUTED_VALUE"""),15063.0)</f>
        <v>15063</v>
      </c>
      <c r="O235" s="3" t="str">
        <f>IFERROR(__xludf.DUMMYFUNCTION("""COMPUTED_VALUE"""),"ท่าอิฐ")</f>
        <v>ท่าอิฐ</v>
      </c>
      <c r="P235" s="4">
        <f>IFERROR(__xludf.DUMMYFUNCTION("""COMPUTED_VALUE"""),44028.0)</f>
        <v>44028</v>
      </c>
      <c r="Q235" s="3" t="str">
        <f>IFERROR(__xludf.DUMMYFUNCTION("""COMPUTED_VALUE"""),"A")</f>
        <v>A</v>
      </c>
      <c r="R235" s="3" t="str">
        <f>IFERROR(__xludf.DUMMYFUNCTION("""COMPUTED_VALUE"""),"Big Format")</f>
        <v>Big Format</v>
      </c>
      <c r="S235" s="3" t="str">
        <f>IFERROR(__xludf.DUMMYFUNCTION("""COMPUTED_VALUE"""),"FoodPlace")</f>
        <v>FoodPlace</v>
      </c>
      <c r="T235" s="3" t="str">
        <f>IFERROR(__xludf.DUMMYFUNCTION("""COMPUTED_VALUE"""),"Hub01-BKK 1")</f>
        <v>Hub01-BKK 1</v>
      </c>
      <c r="U235" s="3" t="str">
        <f>IFERROR(__xludf.DUMMYFUNCTION("""COMPUTED_VALUE"""),"Hub01-BKK 1")</f>
        <v>Hub01-BKK 1</v>
      </c>
      <c r="V235" s="3" t="str">
        <f>IFERROR(__xludf.DUMMYFUNCTION("""COMPUTED_VALUE"""),"N")</f>
        <v>N</v>
      </c>
      <c r="W235" s="3">
        <f>IFERROR(__xludf.DUMMYFUNCTION("""COMPUTED_VALUE"""),151069.0)</f>
        <v>151069</v>
      </c>
      <c r="X235" s="3" t="str">
        <f>IFERROR(__xludf.DUMMYFUNCTION("""COMPUTED_VALUE"""),"49/12 หมู่2 ตำบลไทรม้า อำเภอเมืองนนทบุรี จังหวัดนนทบุรี 11000")</f>
        <v>49/12 หมู่2 ตำบลไทรม้า อำเภอเมืองนนทบุรี จังหวัดนนทบุรี 11000</v>
      </c>
      <c r="Y235" s="3"/>
      <c r="Z235" s="3" t="str">
        <f>IFERROR(__xludf.DUMMYFUNCTION("""COMPUTED_VALUE"""),"ไทรม้า")</f>
        <v>ไทรม้า</v>
      </c>
      <c r="AA235" s="3" t="str">
        <f>IFERROR(__xludf.DUMMYFUNCTION("""COMPUTED_VALUE"""),"เมืองนนทบุรี")</f>
        <v>เมืองนนทบุรี</v>
      </c>
      <c r="AB235" s="3" t="str">
        <f>IFERROR(__xludf.DUMMYFUNCTION("""COMPUTED_VALUE"""),"นนทบุรี")</f>
        <v>นนทบุรี</v>
      </c>
      <c r="AC235" s="3">
        <f>IFERROR(__xludf.DUMMYFUNCTION("""COMPUTED_VALUE"""),11000.0)</f>
        <v>11000</v>
      </c>
      <c r="AD235" s="3">
        <f>IFERROR(__xludf.DUMMYFUNCTION("""COMPUTED_VALUE"""),13.8801101)</f>
        <v>13.8801101</v>
      </c>
      <c r="AE235" s="3">
        <f>IFERROR(__xludf.DUMMYFUNCTION("""COMPUTED_VALUE"""),100.4674526)</f>
        <v>100.4674526</v>
      </c>
      <c r="AF235" s="3" t="str">
        <f>IFERROR(__xludf.DUMMYFUNCTION("""COMPUTED_VALUE"""),"ท่าอิฐ-15063")</f>
        <v>ท่าอิฐ-15063</v>
      </c>
      <c r="AG235" s="3" t="str">
        <f>IFERROR(__xludf.DUMMYFUNCTION("""COMPUTED_VALUE"""),"กลาง")</f>
        <v>กลาง</v>
      </c>
      <c r="AH235" s="3" t="str">
        <f>IFERROR(__xludf.DUMMYFUNCTION("""COMPUTED_VALUE"""),"Suchin Thawinwisan")</f>
        <v>Suchin Thawinwisan</v>
      </c>
      <c r="AI235" s="3" t="str">
        <f>IFERROR(__xludf.DUMMYFUNCTION("""COMPUTED_VALUE"""),"Out of warranty")</f>
        <v>Out of warranty</v>
      </c>
      <c r="AJ235" s="3">
        <f>IFERROR(__xludf.DUMMYFUNCTION("""COMPUTED_VALUE"""),67.0)</f>
        <v>67</v>
      </c>
      <c r="AK235" s="3"/>
      <c r="AL235" s="3" t="str">
        <f>IFERROR(__xludf.DUMMYFUNCTION("""COMPUTED_VALUE"""),"Foodplace.tha_it@bigc.co.th")</f>
        <v>Foodplace.tha_it@bigc.co.th</v>
      </c>
    </row>
    <row r="236" ht="15.75" customHeight="1">
      <c r="A236" s="1" t="str">
        <f>IFERROR(__xludf.DUMMYFUNCTION("""COMPUTED_VALUE"""),"15064")</f>
        <v>15064</v>
      </c>
      <c r="B236" s="2">
        <f>IFERROR(__xludf.DUMMYFUNCTION("""COMPUTED_VALUE"""),15064.0)</f>
        <v>15064</v>
      </c>
      <c r="C236" s="3" t="str">
        <f>IFERROR(__xludf.DUMMYFUNCTION("""COMPUTED_VALUE"""),"หนามแดง")</f>
        <v>หนามแดง</v>
      </c>
      <c r="D236" s="3" t="str">
        <f>IFERROR(__xludf.DUMMYFUNCTION("""COMPUTED_VALUE"""),"BIGC MARKET NAMDANG")</f>
        <v>BIGC MARKET NAMDANG</v>
      </c>
      <c r="E236" s="1" t="str">
        <f>IFERROR(__xludf.DUMMYFUNCTION("""COMPUTED_VALUE"""),"บิ๊กซี FoodPlace")</f>
        <v>บิ๊กซี FoodPlace</v>
      </c>
      <c r="F236" s="1" t="str">
        <f>IFERROR(__xludf.DUMMYFUNCTION("""COMPUTED_VALUE"""),"2454716")</f>
        <v>2454716</v>
      </c>
      <c r="G236" s="1" t="str">
        <f>IFERROR(__xludf.DUMMYFUNCTION("""COMPUTED_VALUE"""),"นายโฆษิต วงค์กะโซ่")</f>
        <v>นายโฆษิต วงค์กะโซ่</v>
      </c>
      <c r="H236" s="1" t="str">
        <f>IFERROR(__xludf.DUMMYFUNCTION("""COMPUTED_VALUE"""),"2454716")</f>
        <v>2454716</v>
      </c>
      <c r="I236" s="1" t="str">
        <f>IFERROR(__xludf.DUMMYFUNCTION("""COMPUTED_VALUE"""),"นายโฆษิต วงค์กะโซ่")</f>
        <v>นายโฆษิต วงค์กะโซ่</v>
      </c>
      <c r="J236" s="3">
        <f>IFERROR(__xludf.DUMMYFUNCTION("""COMPUTED_VALUE"""),2454716.0)</f>
        <v>2454716</v>
      </c>
      <c r="K236" s="3" t="str">
        <f>IFERROR(__xludf.DUMMYFUNCTION("""COMPUTED_VALUE"""),"นายโฆษิต วงค์กะโซ่")</f>
        <v>นายโฆษิต วงค์กะโซ่</v>
      </c>
      <c r="L236" s="1" t="str">
        <f>IFERROR(__xludf.DUMMYFUNCTION("""COMPUTED_VALUE"""),"Hub03-BKK 3")</f>
        <v>Hub03-BKK 3</v>
      </c>
      <c r="M236" s="1" t="str">
        <f>IFERROR(__xludf.DUMMYFUNCTION("""COMPUTED_VALUE"""),"062-434-5030")</f>
        <v>062-434-5030</v>
      </c>
      <c r="N236" s="3">
        <f>IFERROR(__xludf.DUMMYFUNCTION("""COMPUTED_VALUE"""),15064.0)</f>
        <v>15064</v>
      </c>
      <c r="O236" s="3" t="str">
        <f>IFERROR(__xludf.DUMMYFUNCTION("""COMPUTED_VALUE"""),"หนามแดง")</f>
        <v>หนามแดง</v>
      </c>
      <c r="P236" s="4">
        <f>IFERROR(__xludf.DUMMYFUNCTION("""COMPUTED_VALUE"""),44067.0)</f>
        <v>44067</v>
      </c>
      <c r="Q236" s="3" t="str">
        <f>IFERROR(__xludf.DUMMYFUNCTION("""COMPUTED_VALUE"""),"A")</f>
        <v>A</v>
      </c>
      <c r="R236" s="3" t="str">
        <f>IFERROR(__xludf.DUMMYFUNCTION("""COMPUTED_VALUE"""),"Big Format")</f>
        <v>Big Format</v>
      </c>
      <c r="S236" s="3" t="str">
        <f>IFERROR(__xludf.DUMMYFUNCTION("""COMPUTED_VALUE"""),"FoodPlace")</f>
        <v>FoodPlace</v>
      </c>
      <c r="T236" s="3" t="str">
        <f>IFERROR(__xludf.DUMMYFUNCTION("""COMPUTED_VALUE"""),"Hub03-BKK 3")</f>
        <v>Hub03-BKK 3</v>
      </c>
      <c r="U236" s="3" t="str">
        <f>IFERROR(__xludf.DUMMYFUNCTION("""COMPUTED_VALUE"""),"Hub03-BKK 3")</f>
        <v>Hub03-BKK 3</v>
      </c>
      <c r="V236" s="3" t="str">
        <f>IFERROR(__xludf.DUMMYFUNCTION("""COMPUTED_VALUE"""),"N")</f>
        <v>N</v>
      </c>
      <c r="W236" s="3">
        <f>IFERROR(__xludf.DUMMYFUNCTION("""COMPUTED_VALUE"""),151070.0)</f>
        <v>151070</v>
      </c>
      <c r="X236" s="3" t="str">
        <f>IFERROR(__xludf.DUMMYFUNCTION("""COMPUTED_VALUE"""),"25/17 หมู่2 ตำบลบางแก้ว อำเภอบางพลี จังหวัดสมุทรปราการ 10540")</f>
        <v>25/17 หมู่2 ตำบลบางแก้ว อำเภอบางพลี จังหวัดสมุทรปราการ 10540</v>
      </c>
      <c r="Y236" s="3"/>
      <c r="Z236" s="3" t="str">
        <f>IFERROR(__xludf.DUMMYFUNCTION("""COMPUTED_VALUE"""),"บางแก้ว")</f>
        <v>บางแก้ว</v>
      </c>
      <c r="AA236" s="3" t="str">
        <f>IFERROR(__xludf.DUMMYFUNCTION("""COMPUTED_VALUE"""),"บางพลี")</f>
        <v>บางพลี</v>
      </c>
      <c r="AB236" s="3" t="str">
        <f>IFERROR(__xludf.DUMMYFUNCTION("""COMPUTED_VALUE"""),"สมุทรปราการ")</f>
        <v>สมุทรปราการ</v>
      </c>
      <c r="AC236" s="3">
        <f>IFERROR(__xludf.DUMMYFUNCTION("""COMPUTED_VALUE"""),10540.0)</f>
        <v>10540</v>
      </c>
      <c r="AD236" s="3">
        <f>IFERROR(__xludf.DUMMYFUNCTION("""COMPUTED_VALUE"""),13.6119043)</f>
        <v>13.6119043</v>
      </c>
      <c r="AE236" s="3">
        <f>IFERROR(__xludf.DUMMYFUNCTION("""COMPUTED_VALUE"""),100.6402649)</f>
        <v>100.6402649</v>
      </c>
      <c r="AF236" s="3" t="str">
        <f>IFERROR(__xludf.DUMMYFUNCTION("""COMPUTED_VALUE"""),"หนามแดง-15064")</f>
        <v>หนามแดง-15064</v>
      </c>
      <c r="AG236" s="3" t="str">
        <f>IFERROR(__xludf.DUMMYFUNCTION("""COMPUTED_VALUE"""),"กลาง")</f>
        <v>กลาง</v>
      </c>
      <c r="AH236" s="3" t="str">
        <f>IFERROR(__xludf.DUMMYFUNCTION("""COMPUTED_VALUE"""),"Saitan Boonpitak")</f>
        <v>Saitan Boonpitak</v>
      </c>
      <c r="AI236" s="3" t="str">
        <f>IFERROR(__xludf.DUMMYFUNCTION("""COMPUTED_VALUE"""),"Out of warranty")</f>
        <v>Out of warranty</v>
      </c>
      <c r="AJ236" s="3">
        <f>IFERROR(__xludf.DUMMYFUNCTION("""COMPUTED_VALUE"""),65.0)</f>
        <v>65</v>
      </c>
      <c r="AK236" s="3"/>
      <c r="AL236" s="3" t="str">
        <f>IFERROR(__xludf.DUMMYFUNCTION("""COMPUTED_VALUE"""),"Foodplace.namdang@bigc.co.th")</f>
        <v>Foodplace.namdang@bigc.co.th</v>
      </c>
    </row>
    <row r="237" ht="15.75" customHeight="1">
      <c r="A237" s="1" t="str">
        <f>IFERROR(__xludf.DUMMYFUNCTION("""COMPUTED_VALUE"""),"15065")</f>
        <v>15065</v>
      </c>
      <c r="B237" s="2">
        <f>IFERROR(__xludf.DUMMYFUNCTION("""COMPUTED_VALUE"""),15065.0)</f>
        <v>15065</v>
      </c>
      <c r="C237" s="3" t="str">
        <f>IFERROR(__xludf.DUMMYFUNCTION("""COMPUTED_VALUE"""),"BJC 1")</f>
        <v>BJC 1</v>
      </c>
      <c r="D237" s="3" t="str">
        <f>IFERROR(__xludf.DUMMYFUNCTION("""COMPUTED_VALUE"""),"BIGC MARKET BJC 1")</f>
        <v>BIGC MARKET BJC 1</v>
      </c>
      <c r="E237" s="1" t="str">
        <f>IFERROR(__xludf.DUMMYFUNCTION("""COMPUTED_VALUE"""),"บิ๊กซี FoodPlace")</f>
        <v>บิ๊กซี FoodPlace</v>
      </c>
      <c r="F237" s="1" t="str">
        <f>IFERROR(__xludf.DUMMYFUNCTION("""COMPUTED_VALUE"""),"296619")</f>
        <v>296619</v>
      </c>
      <c r="G237" s="1" t="str">
        <f>IFERROR(__xludf.DUMMYFUNCTION("""COMPUTED_VALUE"""),"นายกุมภา มารุ่งเรือง")</f>
        <v>นายกุมภา มารุ่งเรือง</v>
      </c>
      <c r="H237" s="1" t="str">
        <f>IFERROR(__xludf.DUMMYFUNCTION("""COMPUTED_VALUE"""),"296619")</f>
        <v>296619</v>
      </c>
      <c r="I237" s="1" t="str">
        <f>IFERROR(__xludf.DUMMYFUNCTION("""COMPUTED_VALUE"""),"นายกุมภา มารุ่งเรือง")</f>
        <v>นายกุมภา มารุ่งเรือง</v>
      </c>
      <c r="J237" s="3">
        <f>IFERROR(__xludf.DUMMYFUNCTION("""COMPUTED_VALUE"""),2408546.0)</f>
        <v>2408546</v>
      </c>
      <c r="K237" s="3" t="str">
        <f>IFERROR(__xludf.DUMMYFUNCTION("""COMPUTED_VALUE"""),"นายเกษมศิษฐ์ ฮดบุญเรือง")</f>
        <v>นายเกษมศิษฐ์ ฮดบุญเรือง</v>
      </c>
      <c r="L237" s="1" t="str">
        <f>IFERROR(__xludf.DUMMYFUNCTION("""COMPUTED_VALUE"""),"Hub02-BKK 2")</f>
        <v>Hub02-BKK 2</v>
      </c>
      <c r="M237" s="1" t="str">
        <f>IFERROR(__xludf.DUMMYFUNCTION("""COMPUTED_VALUE"""),"0988580755")</f>
        <v>0988580755</v>
      </c>
      <c r="N237" s="3">
        <f>IFERROR(__xludf.DUMMYFUNCTION("""COMPUTED_VALUE"""),15065.0)</f>
        <v>15065</v>
      </c>
      <c r="O237" s="3" t="str">
        <f>IFERROR(__xludf.DUMMYFUNCTION("""COMPUTED_VALUE"""),"BJC 1")</f>
        <v>BJC 1</v>
      </c>
      <c r="P237" s="4">
        <f>IFERROR(__xludf.DUMMYFUNCTION("""COMPUTED_VALUE"""),44743.0)</f>
        <v>44743</v>
      </c>
      <c r="Q237" s="3" t="str">
        <f>IFERROR(__xludf.DUMMYFUNCTION("""COMPUTED_VALUE"""),"I")</f>
        <v>I</v>
      </c>
      <c r="R237" s="3" t="str">
        <f>IFERROR(__xludf.DUMMYFUNCTION("""COMPUTED_VALUE"""),"Big Format")</f>
        <v>Big Format</v>
      </c>
      <c r="S237" s="3" t="str">
        <f>IFERROR(__xludf.DUMMYFUNCTION("""COMPUTED_VALUE"""),"FoodPlace")</f>
        <v>FoodPlace</v>
      </c>
      <c r="T237" s="3">
        <f>IFERROR(__xludf.DUMMYFUNCTION("""COMPUTED_VALUE"""),0.0)</f>
        <v>0</v>
      </c>
      <c r="U237" s="3">
        <f>IFERROR(__xludf.DUMMYFUNCTION("""COMPUTED_VALUE"""),0.0)</f>
        <v>0</v>
      </c>
      <c r="V237" s="3" t="str">
        <f>IFERROR(__xludf.DUMMYFUNCTION("""COMPUTED_VALUE"""),"N")</f>
        <v>N</v>
      </c>
      <c r="W237" s="3">
        <f>IFERROR(__xludf.DUMMYFUNCTION("""COMPUTED_VALUE"""),151071.0)</f>
        <v>151071</v>
      </c>
      <c r="X237" s="3" t="str">
        <f>IFERROR(__xludf.DUMMYFUNCTION("""COMPUTED_VALUE"""),"99/1 ซอยแสงจันทร์ รูเบีย แขวงพระโขนง เขตคลองเตย จังหวัดกรุงเทพมหานคร 10110")</f>
        <v>99/1 ซอยแสงจันทร์ รูเบีย แขวงพระโขนง เขตคลองเตย จังหวัดกรุงเทพมหานคร 10110</v>
      </c>
      <c r="Y237" s="3" t="str">
        <f>IFERROR(__xludf.DUMMYFUNCTION("""COMPUTED_VALUE"""),"แสงจันทร์ รูเบีย")</f>
        <v>แสงจันทร์ รูเบีย</v>
      </c>
      <c r="Z237" s="3" t="str">
        <f>IFERROR(__xludf.DUMMYFUNCTION("""COMPUTED_VALUE"""),"พระโขนง")</f>
        <v>พระโขนง</v>
      </c>
      <c r="AA237" s="3" t="str">
        <f>IFERROR(__xludf.DUMMYFUNCTION("""COMPUTED_VALUE"""),"คลองเตย")</f>
        <v>คลองเตย</v>
      </c>
      <c r="AB237" s="3" t="str">
        <f>IFERROR(__xludf.DUMMYFUNCTION("""COMPUTED_VALUE"""),"กรุงเทพมหานคร")</f>
        <v>กรุงเทพมหานคร</v>
      </c>
      <c r="AC237" s="3">
        <f>IFERROR(__xludf.DUMMYFUNCTION("""COMPUTED_VALUE"""),10110.0)</f>
        <v>10110</v>
      </c>
      <c r="AD237" s="3">
        <f>IFERROR(__xludf.DUMMYFUNCTION("""COMPUTED_VALUE"""),13.71469599)</f>
        <v>13.71469599</v>
      </c>
      <c r="AE237" s="3">
        <f>IFERROR(__xludf.DUMMYFUNCTION("""COMPUTED_VALUE"""),100.5864175)</f>
        <v>100.5864175</v>
      </c>
      <c r="AF237" s="3" t="str">
        <f>IFERROR(__xludf.DUMMYFUNCTION("""COMPUTED_VALUE"""),"BJC 1-15065")</f>
        <v>BJC 1-15065</v>
      </c>
      <c r="AG237" s="3" t="str">
        <f>IFERROR(__xludf.DUMMYFUNCTION("""COMPUTED_VALUE"""),"กลาง")</f>
        <v>กลาง</v>
      </c>
      <c r="AH237" s="3" t="str">
        <f>IFERROR(__xludf.DUMMYFUNCTION("""COMPUTED_VALUE"""),"#N/A")</f>
        <v>#N/A</v>
      </c>
      <c r="AI237" s="3" t="str">
        <f>IFERROR(__xludf.DUMMYFUNCTION("""COMPUTED_VALUE"""),"Out of warranty")</f>
        <v>Out of warranty</v>
      </c>
      <c r="AJ237" s="3">
        <f>IFERROR(__xludf.DUMMYFUNCTION("""COMPUTED_VALUE"""),43.0)</f>
        <v>43</v>
      </c>
      <c r="AK237" s="3"/>
      <c r="AL237" s="3" t="str">
        <f>IFERROR(__xludf.DUMMYFUNCTION("""COMPUTED_VALUE"""),"foodplace.bjc1@bigc.co.th")</f>
        <v>foodplace.bjc1@bigc.co.th</v>
      </c>
    </row>
    <row r="238" ht="15.75" customHeight="1">
      <c r="A238" s="1" t="str">
        <f>IFERROR(__xludf.DUMMYFUNCTION("""COMPUTED_VALUE"""),"15066")</f>
        <v>15066</v>
      </c>
      <c r="B238" s="2">
        <f>IFERROR(__xludf.DUMMYFUNCTION("""COMPUTED_VALUE"""),15066.0)</f>
        <v>15066</v>
      </c>
      <c r="C238" s="3" t="str">
        <f>IFERROR(__xludf.DUMMYFUNCTION("""COMPUTED_VALUE"""),"พันธุ์ทิพย์ งามวงศ์วาน")</f>
        <v>พันธุ์ทิพย์ งามวงศ์วาน</v>
      </c>
      <c r="D238" s="3" t="str">
        <f>IFERROR(__xludf.DUMMYFUNCTION("""COMPUTED_VALUE"""),"BIGC MARKET PANTIP NGAMWONGWAN")</f>
        <v>BIGC MARKET PANTIP NGAMWONGWAN</v>
      </c>
      <c r="E238" s="1" t="str">
        <f>IFERROR(__xludf.DUMMYFUNCTION("""COMPUTED_VALUE"""),"บิ๊กซี FoodPlace")</f>
        <v>บิ๊กซี FoodPlace</v>
      </c>
      <c r="F238" s="1" t="str">
        <f>IFERROR(__xludf.DUMMYFUNCTION("""COMPUTED_VALUE"""),"2454701")</f>
        <v>2454701</v>
      </c>
      <c r="G238" s="1" t="str">
        <f>IFERROR(__xludf.DUMMYFUNCTION("""COMPUTED_VALUE"""),"นายกานต์ ไชยแสงศรี")</f>
        <v>นายกานต์ ไชยแสงศรี</v>
      </c>
      <c r="H238" s="1" t="str">
        <f>IFERROR(__xludf.DUMMYFUNCTION("""COMPUTED_VALUE"""),"2454701")</f>
        <v>2454701</v>
      </c>
      <c r="I238" s="1" t="str">
        <f>IFERROR(__xludf.DUMMYFUNCTION("""COMPUTED_VALUE"""),"นายกานต์ ไชยแสงศรี")</f>
        <v>นายกานต์ ไชยแสงศรี</v>
      </c>
      <c r="J238" s="3">
        <f>IFERROR(__xludf.DUMMYFUNCTION("""COMPUTED_VALUE"""),2454701.0)</f>
        <v>2454701</v>
      </c>
      <c r="K238" s="3" t="str">
        <f>IFERROR(__xludf.DUMMYFUNCTION("""COMPUTED_VALUE"""),"นายกานต์ ไชยแสงศรี")</f>
        <v>นายกานต์ ไชยแสงศรี</v>
      </c>
      <c r="L238" s="1" t="str">
        <f>IFERROR(__xludf.DUMMYFUNCTION("""COMPUTED_VALUE"""),"Hub01-BKK 1")</f>
        <v>Hub01-BKK 1</v>
      </c>
      <c r="M238" s="1" t="str">
        <f>IFERROR(__xludf.DUMMYFUNCTION("""COMPUTED_VALUE"""),"0909090652")</f>
        <v>0909090652</v>
      </c>
      <c r="N238" s="3">
        <f>IFERROR(__xludf.DUMMYFUNCTION("""COMPUTED_VALUE"""),15066.0)</f>
        <v>15066</v>
      </c>
      <c r="O238" s="3" t="str">
        <f>IFERROR(__xludf.DUMMYFUNCTION("""COMPUTED_VALUE"""),"พันธุ์ทิพย์ งามวงศ์วาน")</f>
        <v>พันธุ์ทิพย์ งามวงศ์วาน</v>
      </c>
      <c r="P238" s="4">
        <f>IFERROR(__xludf.DUMMYFUNCTION("""COMPUTED_VALUE"""),45113.0)</f>
        <v>45113</v>
      </c>
      <c r="Q238" s="3" t="str">
        <f>IFERROR(__xludf.DUMMYFUNCTION("""COMPUTED_VALUE"""),"A")</f>
        <v>A</v>
      </c>
      <c r="R238" s="3" t="str">
        <f>IFERROR(__xludf.DUMMYFUNCTION("""COMPUTED_VALUE"""),"Big Format")</f>
        <v>Big Format</v>
      </c>
      <c r="S238" s="3" t="str">
        <f>IFERROR(__xludf.DUMMYFUNCTION("""COMPUTED_VALUE"""),"FoodPlace")</f>
        <v>FoodPlace</v>
      </c>
      <c r="T238" s="3" t="str">
        <f>IFERROR(__xludf.DUMMYFUNCTION("""COMPUTED_VALUE"""),"Hub01-BKK 1")</f>
        <v>Hub01-BKK 1</v>
      </c>
      <c r="U238" s="3" t="str">
        <f>IFERROR(__xludf.DUMMYFUNCTION("""COMPUTED_VALUE"""),"Hub01-BKK 1")</f>
        <v>Hub01-BKK 1</v>
      </c>
      <c r="V238" s="3" t="str">
        <f>IFERROR(__xludf.DUMMYFUNCTION("""COMPUTED_VALUE"""),"N")</f>
        <v>N</v>
      </c>
      <c r="W238" s="3">
        <f>IFERROR(__xludf.DUMMYFUNCTION("""COMPUTED_VALUE"""),151072.0)</f>
        <v>151072</v>
      </c>
      <c r="X238" s="3" t="str">
        <f>IFERROR(__xludf.DUMMYFUNCTION("""COMPUTED_VALUE"""),"ห้องเลขที่ 1006 ชั้น1 เลขที่ 217 ถนนงามวงศ์วาน ตำบลบางเขน อำเภอเมืองนนทบุรี จังหวัดนนทบุรี 11000")</f>
        <v>ห้องเลขที่ 1006 ชั้น1 เลขที่ 217 ถนนงามวงศ์วาน ตำบลบางเขน อำเภอเมืองนนทบุรี จังหวัดนนทบุรี 11000</v>
      </c>
      <c r="Y238" s="3" t="str">
        <f>IFERROR(__xludf.DUMMYFUNCTION("""COMPUTED_VALUE"""),"งามวงศ์วาน")</f>
        <v>งามวงศ์วาน</v>
      </c>
      <c r="Z238" s="3" t="str">
        <f>IFERROR(__xludf.DUMMYFUNCTION("""COMPUTED_VALUE"""),"บางเขน")</f>
        <v>บางเขน</v>
      </c>
      <c r="AA238" s="3" t="str">
        <f>IFERROR(__xludf.DUMMYFUNCTION("""COMPUTED_VALUE"""),"เมืองนนทบุรี")</f>
        <v>เมืองนนทบุรี</v>
      </c>
      <c r="AB238" s="3" t="str">
        <f>IFERROR(__xludf.DUMMYFUNCTION("""COMPUTED_VALUE"""),"นนทบุรี")</f>
        <v>นนทบุรี</v>
      </c>
      <c r="AC238" s="3">
        <f>IFERROR(__xludf.DUMMYFUNCTION("""COMPUTED_VALUE"""),11000.0)</f>
        <v>11000</v>
      </c>
      <c r="AD238" s="3">
        <f>IFERROR(__xludf.DUMMYFUNCTION("""COMPUTED_VALUE"""),13.8579128)</f>
        <v>13.8579128</v>
      </c>
      <c r="AE238" s="3">
        <f>IFERROR(__xludf.DUMMYFUNCTION("""COMPUTED_VALUE"""),100.5369723)</f>
        <v>100.5369723</v>
      </c>
      <c r="AF238" s="3" t="str">
        <f>IFERROR(__xludf.DUMMYFUNCTION("""COMPUTED_VALUE"""),"พันธุ์ทิพย์ งามวงศ์วาน-15066")</f>
        <v>พันธุ์ทิพย์ งามวงศ์วาน-15066</v>
      </c>
      <c r="AG238" s="3" t="str">
        <f>IFERROR(__xludf.DUMMYFUNCTION("""COMPUTED_VALUE"""),"กลาง")</f>
        <v>กลาง</v>
      </c>
      <c r="AH238" s="3" t="str">
        <f>IFERROR(__xludf.DUMMYFUNCTION("""COMPUTED_VALUE"""),"Suchin Thawinwisan")</f>
        <v>Suchin Thawinwisan</v>
      </c>
      <c r="AI238" s="3" t="str">
        <f>IFERROR(__xludf.DUMMYFUNCTION("""COMPUTED_VALUE"""),"Out of warranty")</f>
        <v>Out of warranty</v>
      </c>
      <c r="AJ238" s="3">
        <f>IFERROR(__xludf.DUMMYFUNCTION("""COMPUTED_VALUE"""),31.0)</f>
        <v>31</v>
      </c>
      <c r="AK238" s="3"/>
      <c r="AL238" s="3" t="str">
        <f>IFERROR(__xludf.DUMMYFUNCTION("""COMPUTED_VALUE"""),"foodplace.pantipngamwongwan@bigc.co.th")</f>
        <v>foodplace.pantipngamwongwan@bigc.co.th</v>
      </c>
    </row>
    <row r="239" ht="15.75" customHeight="1">
      <c r="A239" s="1" t="str">
        <f>IFERROR(__xludf.DUMMYFUNCTION("""COMPUTED_VALUE"""),"15067")</f>
        <v>15067</v>
      </c>
      <c r="B239" s="2">
        <f>IFERROR(__xludf.DUMMYFUNCTION("""COMPUTED_VALUE"""),15067.0)</f>
        <v>15067</v>
      </c>
      <c r="C239" s="3" t="str">
        <f>IFERROR(__xludf.DUMMYFUNCTION("""COMPUTED_VALUE"""),"เอเชียทีค")</f>
        <v>เอเชียทีค</v>
      </c>
      <c r="D239" s="3" t="str">
        <f>IFERROR(__xludf.DUMMYFUNCTION("""COMPUTED_VALUE"""),"BIGC MARKET ASIATIQUE")</f>
        <v>BIGC MARKET ASIATIQUE</v>
      </c>
      <c r="E239" s="1" t="str">
        <f>IFERROR(__xludf.DUMMYFUNCTION("""COMPUTED_VALUE"""),"บิ๊กซี FoodPlace")</f>
        <v>บิ๊กซี FoodPlace</v>
      </c>
      <c r="F239" s="1" t="str">
        <f>IFERROR(__xludf.DUMMYFUNCTION("""COMPUTED_VALUE"""),"02408546")</f>
        <v>02408546</v>
      </c>
      <c r="G239" s="1" t="str">
        <f>IFERROR(__xludf.DUMMYFUNCTION("""COMPUTED_VALUE"""),"นายเกษมศิษฐ์ ฮดบุญเรือง")</f>
        <v>นายเกษมศิษฐ์ ฮดบุญเรือง</v>
      </c>
      <c r="H239" s="1" t="str">
        <f>IFERROR(__xludf.DUMMYFUNCTION("""COMPUTED_VALUE"""),"02408546")</f>
        <v>02408546</v>
      </c>
      <c r="I239" s="1" t="str">
        <f>IFERROR(__xludf.DUMMYFUNCTION("""COMPUTED_VALUE"""),"นายเกษมศิษฐ์ ฮดบุญเรือง")</f>
        <v>นายเกษมศิษฐ์ ฮดบุญเรือง</v>
      </c>
      <c r="J239" s="3">
        <f>IFERROR(__xludf.DUMMYFUNCTION("""COMPUTED_VALUE"""),2408546.0)</f>
        <v>2408546</v>
      </c>
      <c r="K239" s="3" t="str">
        <f>IFERROR(__xludf.DUMMYFUNCTION("""COMPUTED_VALUE"""),"นายเกษมศิษฐ์ ฮดบุญเรือง")</f>
        <v>นายเกษมศิษฐ์ ฮดบุญเรือง</v>
      </c>
      <c r="L239" s="1" t="str">
        <f>IFERROR(__xludf.DUMMYFUNCTION("""COMPUTED_VALUE"""),"Hub02-BKK 2")</f>
        <v>Hub02-BKK 2</v>
      </c>
      <c r="M239" s="1" t="str">
        <f>IFERROR(__xludf.DUMMYFUNCTION("""COMPUTED_VALUE"""),"0988580755")</f>
        <v>0988580755</v>
      </c>
      <c r="N239" s="3">
        <f>IFERROR(__xludf.DUMMYFUNCTION("""COMPUTED_VALUE"""),15067.0)</f>
        <v>15067</v>
      </c>
      <c r="O239" s="3" t="str">
        <f>IFERROR(__xludf.DUMMYFUNCTION("""COMPUTED_VALUE"""),"เอเชียทีค")</f>
        <v>เอเชียทีค</v>
      </c>
      <c r="P239" s="4">
        <f>IFERROR(__xludf.DUMMYFUNCTION("""COMPUTED_VALUE"""),45240.0)</f>
        <v>45240</v>
      </c>
      <c r="Q239" s="3" t="str">
        <f>IFERROR(__xludf.DUMMYFUNCTION("""COMPUTED_VALUE"""),"A")</f>
        <v>A</v>
      </c>
      <c r="R239" s="3" t="str">
        <f>IFERROR(__xludf.DUMMYFUNCTION("""COMPUTED_VALUE"""),"Big Format")</f>
        <v>Big Format</v>
      </c>
      <c r="S239" s="3" t="str">
        <f>IFERROR(__xludf.DUMMYFUNCTION("""COMPUTED_VALUE"""),"FoodPlace")</f>
        <v>FoodPlace</v>
      </c>
      <c r="T239" s="3" t="str">
        <f>IFERROR(__xludf.DUMMYFUNCTION("""COMPUTED_VALUE"""),"Hub02-BKK 2")</f>
        <v>Hub02-BKK 2</v>
      </c>
      <c r="U239" s="3" t="str">
        <f>IFERROR(__xludf.DUMMYFUNCTION("""COMPUTED_VALUE"""),"Hub02-BKK 2")</f>
        <v>Hub02-BKK 2</v>
      </c>
      <c r="V239" s="3" t="str">
        <f>IFERROR(__xludf.DUMMYFUNCTION("""COMPUTED_VALUE"""),"N")</f>
        <v>N</v>
      </c>
      <c r="W239" s="3">
        <f>IFERROR(__xludf.DUMMYFUNCTION("""COMPUTED_VALUE"""),151096.0)</f>
        <v>151096</v>
      </c>
      <c r="X239" s="3" t="str">
        <f>IFERROR(__xludf.DUMMYFUNCTION("""COMPUTED_VALUE"""),"อาคาร E ห้องเลขที่ BC01 ชั้นที่ 1/Warehouse 1 เลขที่ 2194,2194/98 ถนนเจริญกรุง แขวงวัดพระยาไกร เขตบางคอแหลม กรุงเทพมหานคร 10120")</f>
        <v>อาคาร E ห้องเลขที่ BC01 ชั้นที่ 1/Warehouse 1 เลขที่ 2194,2194/98 ถนนเจริญกรุง แขวงวัดพระยาไกร เขตบางคอแหลม กรุงเทพมหานคร 10120</v>
      </c>
      <c r="Y239" s="3" t="str">
        <f>IFERROR(__xludf.DUMMYFUNCTION("""COMPUTED_VALUE"""),"เจริญกรุง")</f>
        <v>เจริญกรุง</v>
      </c>
      <c r="Z239" s="3" t="str">
        <f>IFERROR(__xludf.DUMMYFUNCTION("""COMPUTED_VALUE"""),"วัดพระยาไกร")</f>
        <v>วัดพระยาไกร</v>
      </c>
      <c r="AA239" s="3" t="str">
        <f>IFERROR(__xludf.DUMMYFUNCTION("""COMPUTED_VALUE"""),"บางคอแหลม")</f>
        <v>บางคอแหลม</v>
      </c>
      <c r="AB239" s="3" t="str">
        <f>IFERROR(__xludf.DUMMYFUNCTION("""COMPUTED_VALUE"""),"กรุงเทพมหานคร")</f>
        <v>กรุงเทพมหานคร</v>
      </c>
      <c r="AC239" s="3">
        <f>IFERROR(__xludf.DUMMYFUNCTION("""COMPUTED_VALUE"""),10120.0)</f>
        <v>10120</v>
      </c>
      <c r="AD239" s="3">
        <f>IFERROR(__xludf.DUMMYFUNCTION("""COMPUTED_VALUE"""),13.70460389)</f>
        <v>13.70460389</v>
      </c>
      <c r="AE239" s="3">
        <f>IFERROR(__xludf.DUMMYFUNCTION("""COMPUTED_VALUE"""),100.5075312)</f>
        <v>100.5075312</v>
      </c>
      <c r="AF239" s="3" t="str">
        <f>IFERROR(__xludf.DUMMYFUNCTION("""COMPUTED_VALUE"""),"เอเชียทีค-15067")</f>
        <v>เอเชียทีค-15067</v>
      </c>
      <c r="AG239" s="3" t="str">
        <f>IFERROR(__xludf.DUMMYFUNCTION("""COMPUTED_VALUE"""),"กลาง")</f>
        <v>กลาง</v>
      </c>
      <c r="AH239" s="3" t="str">
        <f>IFERROR(__xludf.DUMMYFUNCTION("""COMPUTED_VALUE"""),"Vassana Teratam")</f>
        <v>Vassana Teratam</v>
      </c>
      <c r="AI239" s="3" t="str">
        <f>IFERROR(__xludf.DUMMYFUNCTION("""COMPUTED_VALUE"""),"Out of warranty")</f>
        <v>Out of warranty</v>
      </c>
      <c r="AJ239" s="3">
        <f>IFERROR(__xludf.DUMMYFUNCTION("""COMPUTED_VALUE"""),27.0)</f>
        <v>27</v>
      </c>
      <c r="AK239" s="3"/>
      <c r="AL239" s="3" t="str">
        <f>IFERROR(__xludf.DUMMYFUNCTION("""COMPUTED_VALUE"""),"foodplace.asiatique@bigc.co.th")</f>
        <v>foodplace.asiatique@bigc.co.th</v>
      </c>
    </row>
    <row r="240" ht="15.75" customHeight="1">
      <c r="A240" s="1" t="str">
        <f>IFERROR(__xludf.DUMMYFUNCTION("""COMPUTED_VALUE"""),"15068")</f>
        <v>15068</v>
      </c>
      <c r="B240" s="2">
        <f>IFERROR(__xludf.DUMMYFUNCTION("""COMPUTED_VALUE"""),15068.0)</f>
        <v>15068</v>
      </c>
      <c r="C240" s="3" t="str">
        <f>IFERROR(__xludf.DUMMYFUNCTION("""COMPUTED_VALUE"""),"วัน แบงค็อก")</f>
        <v>วัน แบงค็อก</v>
      </c>
      <c r="D240" s="3" t="str">
        <f>IFERROR(__xludf.DUMMYFUNCTION("""COMPUTED_VALUE"""),"BIGC MARKET THE ONE BANGKOK")</f>
        <v>BIGC MARKET THE ONE BANGKOK</v>
      </c>
      <c r="E240" s="1" t="str">
        <f>IFERROR(__xludf.DUMMYFUNCTION("""COMPUTED_VALUE"""),"บิ๊กซี FoodPlace")</f>
        <v>บิ๊กซี FoodPlace</v>
      </c>
      <c r="F240" s="1" t="str">
        <f>IFERROR(__xludf.DUMMYFUNCTION("""COMPUTED_VALUE"""),"02408546")</f>
        <v>02408546</v>
      </c>
      <c r="G240" s="1" t="str">
        <f>IFERROR(__xludf.DUMMYFUNCTION("""COMPUTED_VALUE"""),"นายเกษมศิษฐ์ ฮดบุญเรือง")</f>
        <v>นายเกษมศิษฐ์ ฮดบุญเรือง</v>
      </c>
      <c r="H240" s="1" t="str">
        <f>IFERROR(__xludf.DUMMYFUNCTION("""COMPUTED_VALUE"""),"02408546")</f>
        <v>02408546</v>
      </c>
      <c r="I240" s="1" t="str">
        <f>IFERROR(__xludf.DUMMYFUNCTION("""COMPUTED_VALUE"""),"นายเกษมศิษฐ์ ฮดบุญเรือง")</f>
        <v>นายเกษมศิษฐ์ ฮดบุญเรือง</v>
      </c>
      <c r="J240" s="3">
        <f>IFERROR(__xludf.DUMMYFUNCTION("""COMPUTED_VALUE"""),2408546.0)</f>
        <v>2408546</v>
      </c>
      <c r="K240" s="3" t="str">
        <f>IFERROR(__xludf.DUMMYFUNCTION("""COMPUTED_VALUE"""),"นายเกษมศิษฐ์ ฮดบุญเรือง")</f>
        <v>นายเกษมศิษฐ์ ฮดบุญเรือง</v>
      </c>
      <c r="L240" s="1" t="str">
        <f>IFERROR(__xludf.DUMMYFUNCTION("""COMPUTED_VALUE"""),"Hub02-BKK 2")</f>
        <v>Hub02-BKK 2</v>
      </c>
      <c r="M240" s="1" t="str">
        <f>IFERROR(__xludf.DUMMYFUNCTION("""COMPUTED_VALUE"""),"0988580755")</f>
        <v>0988580755</v>
      </c>
      <c r="N240" s="3">
        <f>IFERROR(__xludf.DUMMYFUNCTION("""COMPUTED_VALUE"""),15068.0)</f>
        <v>15068</v>
      </c>
      <c r="O240" s="3" t="str">
        <f>IFERROR(__xludf.DUMMYFUNCTION("""COMPUTED_VALUE"""),"วัน แบงค็อก")</f>
        <v>วัน แบงค็อก</v>
      </c>
      <c r="P240" s="4">
        <f>IFERROR(__xludf.DUMMYFUNCTION("""COMPUTED_VALUE"""),45590.0)</f>
        <v>45590</v>
      </c>
      <c r="Q240" s="3" t="str">
        <f>IFERROR(__xludf.DUMMYFUNCTION("""COMPUTED_VALUE"""),"A")</f>
        <v>A</v>
      </c>
      <c r="R240" s="3" t="str">
        <f>IFERROR(__xludf.DUMMYFUNCTION("""COMPUTED_VALUE"""),"Big Format")</f>
        <v>Big Format</v>
      </c>
      <c r="S240" s="3" t="str">
        <f>IFERROR(__xludf.DUMMYFUNCTION("""COMPUTED_VALUE"""),"FoodPlace")</f>
        <v>FoodPlace</v>
      </c>
      <c r="T240" s="3" t="str">
        <f>IFERROR(__xludf.DUMMYFUNCTION("""COMPUTED_VALUE"""),"Hub02-BKK 2")</f>
        <v>Hub02-BKK 2</v>
      </c>
      <c r="U240" s="3" t="str">
        <f>IFERROR(__xludf.DUMMYFUNCTION("""COMPUTED_VALUE"""),"Hub02-BKK 2")</f>
        <v>Hub02-BKK 2</v>
      </c>
      <c r="V240" s="3" t="str">
        <f>IFERROR(__xludf.DUMMYFUNCTION("""COMPUTED_VALUE"""),"N")</f>
        <v>N</v>
      </c>
      <c r="W240" s="3">
        <f>IFERROR(__xludf.DUMMYFUNCTION("""COMPUTED_VALUE"""),151102.0)</f>
        <v>151102</v>
      </c>
      <c r="X240" s="3" t="str">
        <f>IFERROR(__xludf.DUMMYFUNCTION("""COMPUTED_VALUE"""),"อาคาร ฟอรัม ห้องเลขที่ FG01 ชั้นที่ G เลขที่ 197 ถนนวิทยุ แขวงลุมพินี เขตปทุมวัน กรุงเทพมหานคร 10330")</f>
        <v>อาคาร ฟอรัม ห้องเลขที่ FG01 ชั้นที่ G เลขที่ 197 ถนนวิทยุ แขวงลุมพินี เขตปทุมวัน กรุงเทพมหานคร 10330</v>
      </c>
      <c r="Y240" s="3" t="str">
        <f>IFERROR(__xludf.DUMMYFUNCTION("""COMPUTED_VALUE"""),"วิทยุ")</f>
        <v>วิทยุ</v>
      </c>
      <c r="Z240" s="3" t="str">
        <f>IFERROR(__xludf.DUMMYFUNCTION("""COMPUTED_VALUE"""),"ลุมพินี")</f>
        <v>ลุมพินี</v>
      </c>
      <c r="AA240" s="3" t="str">
        <f>IFERROR(__xludf.DUMMYFUNCTION("""COMPUTED_VALUE"""),"ปทุมวัน")</f>
        <v>ปทุมวัน</v>
      </c>
      <c r="AB240" s="3" t="str">
        <f>IFERROR(__xludf.DUMMYFUNCTION("""COMPUTED_VALUE"""),"กรุงเทพมหานคร")</f>
        <v>กรุงเทพมหานคร</v>
      </c>
      <c r="AC240" s="3">
        <f>IFERROR(__xludf.DUMMYFUNCTION("""COMPUTED_VALUE"""),10330.0)</f>
        <v>10330</v>
      </c>
      <c r="AD240" s="3">
        <f>IFERROR(__xludf.DUMMYFUNCTION("""COMPUTED_VALUE"""),13.72802485)</f>
        <v>13.72802485</v>
      </c>
      <c r="AE240" s="3">
        <f>IFERROR(__xludf.DUMMYFUNCTION("""COMPUTED_VALUE"""),100.5483386)</f>
        <v>100.5483386</v>
      </c>
      <c r="AF240" s="3" t="str">
        <f>IFERROR(__xludf.DUMMYFUNCTION("""COMPUTED_VALUE"""),"วัน แบงค็อก-15068")</f>
        <v>วัน แบงค็อก-15068</v>
      </c>
      <c r="AG240" s="3" t="str">
        <f>IFERROR(__xludf.DUMMYFUNCTION("""COMPUTED_VALUE"""),"กลาง")</f>
        <v>กลาง</v>
      </c>
      <c r="AH240" s="3" t="str">
        <f>IFERROR(__xludf.DUMMYFUNCTION("""COMPUTED_VALUE"""),"Vassana Teratam")</f>
        <v>Vassana Teratam</v>
      </c>
      <c r="AI240" s="3" t="str">
        <f>IFERROR(__xludf.DUMMYFUNCTION("""COMPUTED_VALUE"""),"Out of warranty")</f>
        <v>Out of warranty</v>
      </c>
      <c r="AJ240" s="3">
        <f>IFERROR(__xludf.DUMMYFUNCTION("""COMPUTED_VALUE"""),15.0)</f>
        <v>15</v>
      </c>
      <c r="AK240" s="3"/>
      <c r="AL240" s="3" t="str">
        <f>IFERROR(__xludf.DUMMYFUNCTION("""COMPUTED_VALUE"""),"foodplace.the_one@bigc.co.th")</f>
        <v>foodplace.the_one@bigc.co.th</v>
      </c>
    </row>
    <row r="241" ht="15.75" customHeight="1">
      <c r="A241" s="1" t="str">
        <f>IFERROR(__xludf.DUMMYFUNCTION("""COMPUTED_VALUE"""),"15069")</f>
        <v>15069</v>
      </c>
      <c r="B241" s="2">
        <f>IFERROR(__xludf.DUMMYFUNCTION("""COMPUTED_VALUE"""),15069.0)</f>
        <v>15069</v>
      </c>
      <c r="C241" s="3" t="str">
        <f>IFERROR(__xludf.DUMMYFUNCTION("""COMPUTED_VALUE"""),"ดิ โอลด์ สยาม")</f>
        <v>ดิ โอลด์ สยาม</v>
      </c>
      <c r="D241" s="3" t="str">
        <f>IFERROR(__xludf.DUMMYFUNCTION("""COMPUTED_VALUE"""),"BIGC MARKET THE OLD SIAM")</f>
        <v>BIGC MARKET THE OLD SIAM</v>
      </c>
      <c r="E241" s="1" t="str">
        <f>IFERROR(__xludf.DUMMYFUNCTION("""COMPUTED_VALUE"""),"บิ๊กซี FoodPlace")</f>
        <v>บิ๊กซี FoodPlace</v>
      </c>
      <c r="F241" s="1" t="str">
        <f>IFERROR(__xludf.DUMMYFUNCTION("""COMPUTED_VALUE"""),"02408546")</f>
        <v>02408546</v>
      </c>
      <c r="G241" s="1" t="str">
        <f>IFERROR(__xludf.DUMMYFUNCTION("""COMPUTED_VALUE"""),"นายเกษมศิษฐ์ ฮดบุญเรือง")</f>
        <v>นายเกษมศิษฐ์ ฮดบุญเรือง</v>
      </c>
      <c r="H241" s="1" t="str">
        <f>IFERROR(__xludf.DUMMYFUNCTION("""COMPUTED_VALUE"""),"02408546")</f>
        <v>02408546</v>
      </c>
      <c r="I241" s="1" t="str">
        <f>IFERROR(__xludf.DUMMYFUNCTION("""COMPUTED_VALUE"""),"นายเกษมศิษฐ์ ฮดบุญเรือง")</f>
        <v>นายเกษมศิษฐ์ ฮดบุญเรือง</v>
      </c>
      <c r="J241" s="3">
        <f>IFERROR(__xludf.DUMMYFUNCTION("""COMPUTED_VALUE"""),2408546.0)</f>
        <v>2408546</v>
      </c>
      <c r="K241" s="3" t="str">
        <f>IFERROR(__xludf.DUMMYFUNCTION("""COMPUTED_VALUE"""),"นายเกษมศิษฐ์ ฮดบุญเรือง")</f>
        <v>นายเกษมศิษฐ์ ฮดบุญเรือง</v>
      </c>
      <c r="L241" s="1" t="str">
        <f>IFERROR(__xludf.DUMMYFUNCTION("""COMPUTED_VALUE"""),"Hub02-BKK 2")</f>
        <v>Hub02-BKK 2</v>
      </c>
      <c r="M241" s="1" t="str">
        <f>IFERROR(__xludf.DUMMYFUNCTION("""COMPUTED_VALUE"""),"0988580755")</f>
        <v>0988580755</v>
      </c>
      <c r="N241" s="3">
        <f>IFERROR(__xludf.DUMMYFUNCTION("""COMPUTED_VALUE"""),15069.0)</f>
        <v>15069</v>
      </c>
      <c r="O241" s="3" t="str">
        <f>IFERROR(__xludf.DUMMYFUNCTION("""COMPUTED_VALUE"""),"ดิ โอลด์ สยาม")</f>
        <v>ดิ โอลด์ สยาม</v>
      </c>
      <c r="P241" s="4">
        <f>IFERROR(__xludf.DUMMYFUNCTION("""COMPUTED_VALUE"""),45645.0)</f>
        <v>45645</v>
      </c>
      <c r="Q241" s="3" t="str">
        <f>IFERROR(__xludf.DUMMYFUNCTION("""COMPUTED_VALUE"""),"A")</f>
        <v>A</v>
      </c>
      <c r="R241" s="3" t="str">
        <f>IFERROR(__xludf.DUMMYFUNCTION("""COMPUTED_VALUE"""),"Big Format")</f>
        <v>Big Format</v>
      </c>
      <c r="S241" s="3" t="str">
        <f>IFERROR(__xludf.DUMMYFUNCTION("""COMPUTED_VALUE"""),"FoodPlace")</f>
        <v>FoodPlace</v>
      </c>
      <c r="T241" s="3" t="str">
        <f>IFERROR(__xludf.DUMMYFUNCTION("""COMPUTED_VALUE"""),"Hub02-BKK 2")</f>
        <v>Hub02-BKK 2</v>
      </c>
      <c r="U241" s="3" t="str">
        <f>IFERROR(__xludf.DUMMYFUNCTION("""COMPUTED_VALUE"""),"Hub02-BKK 2")</f>
        <v>Hub02-BKK 2</v>
      </c>
      <c r="V241" s="3" t="str">
        <f>IFERROR(__xludf.DUMMYFUNCTION("""COMPUTED_VALUE"""),"N")</f>
        <v>N</v>
      </c>
      <c r="W241" s="3">
        <f>IFERROR(__xludf.DUMMYFUNCTION("""COMPUTED_VALUE"""),151098.0)</f>
        <v>151098</v>
      </c>
      <c r="X241" s="3" t="str">
        <f>IFERROR(__xludf.DUMMYFUNCTION("""COMPUTED_VALUE"""),"เลขที่ 10 ถนนบูรพา แขวงวังบูรพาภิรมย์ เขตพระนคร กรุงเทพมหานคร 10200")</f>
        <v>เลขที่ 10 ถนนบูรพา แขวงวังบูรพาภิรมย์ เขตพระนคร กรุงเทพมหานคร 10200</v>
      </c>
      <c r="Y241" s="3" t="str">
        <f>IFERROR(__xludf.DUMMYFUNCTION("""COMPUTED_VALUE"""),"บูรพา")</f>
        <v>บูรพา</v>
      </c>
      <c r="Z241" s="3" t="str">
        <f>IFERROR(__xludf.DUMMYFUNCTION("""COMPUTED_VALUE"""),"วังบูรพาภิรมย์")</f>
        <v>วังบูรพาภิรมย์</v>
      </c>
      <c r="AA241" s="3" t="str">
        <f>IFERROR(__xludf.DUMMYFUNCTION("""COMPUTED_VALUE"""),"พระนคร")</f>
        <v>พระนคร</v>
      </c>
      <c r="AB241" s="3" t="str">
        <f>IFERROR(__xludf.DUMMYFUNCTION("""COMPUTED_VALUE"""),"กรุงเทพมหานคร")</f>
        <v>กรุงเทพมหานคร</v>
      </c>
      <c r="AC241" s="3">
        <f>IFERROR(__xludf.DUMMYFUNCTION("""COMPUTED_VALUE"""),10200.0)</f>
        <v>10200</v>
      </c>
      <c r="AD241" s="3">
        <f>IFERROR(__xludf.DUMMYFUNCTION("""COMPUTED_VALUE"""),13.74629034)</f>
        <v>13.74629034</v>
      </c>
      <c r="AE241" s="3">
        <f>IFERROR(__xludf.DUMMYFUNCTION("""COMPUTED_VALUE"""),100.5007184)</f>
        <v>100.5007184</v>
      </c>
      <c r="AF241" s="3" t="str">
        <f>IFERROR(__xludf.DUMMYFUNCTION("""COMPUTED_VALUE"""),"ดิ โอลด์ สยาม-15069")</f>
        <v>ดิ โอลด์ สยาม-15069</v>
      </c>
      <c r="AG241" s="3" t="str">
        <f>IFERROR(__xludf.DUMMYFUNCTION("""COMPUTED_VALUE"""),"กลาง")</f>
        <v>กลาง</v>
      </c>
      <c r="AH241" s="3" t="str">
        <f>IFERROR(__xludf.DUMMYFUNCTION("""COMPUTED_VALUE"""),"Vassana Teratam")</f>
        <v>Vassana Teratam</v>
      </c>
      <c r="AI241" s="3" t="str">
        <f>IFERROR(__xludf.DUMMYFUNCTION("""COMPUTED_VALUE"""),"Out of warranty")</f>
        <v>Out of warranty</v>
      </c>
      <c r="AJ241" s="3">
        <f>IFERROR(__xludf.DUMMYFUNCTION("""COMPUTED_VALUE"""),14.0)</f>
        <v>14</v>
      </c>
      <c r="AK241" s="3"/>
      <c r="AL241" s="3" t="str">
        <f>IFERROR(__xludf.DUMMYFUNCTION("""COMPUTED_VALUE"""),"foodplace.the_old_siam@bigc.co.th")</f>
        <v>foodplace.the_old_siam@bigc.co.th</v>
      </c>
    </row>
    <row r="242" ht="15.75" customHeight="1">
      <c r="A242" s="1" t="str">
        <f>IFERROR(__xludf.DUMMYFUNCTION("""COMPUTED_VALUE"""),"15070")</f>
        <v>15070</v>
      </c>
      <c r="B242" s="2">
        <f>IFERROR(__xludf.DUMMYFUNCTION("""COMPUTED_VALUE"""),15070.0)</f>
        <v>15070</v>
      </c>
      <c r="C242" s="3" t="str">
        <f>IFERROR(__xludf.DUMMYFUNCTION("""COMPUTED_VALUE"""),"มหาทุน")</f>
        <v>มหาทุน</v>
      </c>
      <c r="D242" s="3" t="str">
        <f>IFERROR(__xludf.DUMMYFUNCTION("""COMPUTED_VALUE"""),"BIGC MARKET MAHATHUN")</f>
        <v>BIGC MARKET MAHATHUN</v>
      </c>
      <c r="E242" s="1" t="str">
        <f>IFERROR(__xludf.DUMMYFUNCTION("""COMPUTED_VALUE"""),"บิ๊กซี FoodPlace")</f>
        <v>บิ๊กซี FoodPlace</v>
      </c>
      <c r="F242" s="1" t="str">
        <f>IFERROR(__xludf.DUMMYFUNCTION("""COMPUTED_VALUE"""),"02408546")</f>
        <v>02408546</v>
      </c>
      <c r="G242" s="1" t="str">
        <f>IFERROR(__xludf.DUMMYFUNCTION("""COMPUTED_VALUE"""),"นายเกษมศิษฐ์ ฮดบุญเรือง")</f>
        <v>นายเกษมศิษฐ์ ฮดบุญเรือง</v>
      </c>
      <c r="H242" s="1" t="str">
        <f>IFERROR(__xludf.DUMMYFUNCTION("""COMPUTED_VALUE"""),"02408546")</f>
        <v>02408546</v>
      </c>
      <c r="I242" s="1" t="str">
        <f>IFERROR(__xludf.DUMMYFUNCTION("""COMPUTED_VALUE"""),"นายเกษมศิษฐ์ ฮดบุญเรือง")</f>
        <v>นายเกษมศิษฐ์ ฮดบุญเรือง</v>
      </c>
      <c r="J242" s="3">
        <f>IFERROR(__xludf.DUMMYFUNCTION("""COMPUTED_VALUE"""),2408546.0)</f>
        <v>2408546</v>
      </c>
      <c r="K242" s="3" t="str">
        <f>IFERROR(__xludf.DUMMYFUNCTION("""COMPUTED_VALUE"""),"นายเกษมศิษฐ์ ฮดบุญเรือง")</f>
        <v>นายเกษมศิษฐ์ ฮดบุญเรือง</v>
      </c>
      <c r="L242" s="1" t="str">
        <f>IFERROR(__xludf.DUMMYFUNCTION("""COMPUTED_VALUE"""),"Hub02-BKK 2")</f>
        <v>Hub02-BKK 2</v>
      </c>
      <c r="M242" s="1" t="str">
        <f>IFERROR(__xludf.DUMMYFUNCTION("""COMPUTED_VALUE"""),"0988580755")</f>
        <v>0988580755</v>
      </c>
      <c r="N242" s="3">
        <f>IFERROR(__xludf.DUMMYFUNCTION("""COMPUTED_VALUE"""),15070.0)</f>
        <v>15070</v>
      </c>
      <c r="O242" s="3" t="str">
        <f>IFERROR(__xludf.DUMMYFUNCTION("""COMPUTED_VALUE"""),"มหาทุน")</f>
        <v>มหาทุน</v>
      </c>
      <c r="P242" s="4">
        <f>IFERROR(__xludf.DUMMYFUNCTION("""COMPUTED_VALUE"""),45630.0)</f>
        <v>45630</v>
      </c>
      <c r="Q242" s="3" t="str">
        <f>IFERROR(__xludf.DUMMYFUNCTION("""COMPUTED_VALUE"""),"A")</f>
        <v>A</v>
      </c>
      <c r="R242" s="3" t="str">
        <f>IFERROR(__xludf.DUMMYFUNCTION("""COMPUTED_VALUE"""),"Big Format")</f>
        <v>Big Format</v>
      </c>
      <c r="S242" s="3" t="str">
        <f>IFERROR(__xludf.DUMMYFUNCTION("""COMPUTED_VALUE"""),"FoodPlace")</f>
        <v>FoodPlace</v>
      </c>
      <c r="T242" s="3" t="str">
        <f>IFERROR(__xludf.DUMMYFUNCTION("""COMPUTED_VALUE"""),"Hub02-BKK 2")</f>
        <v>Hub02-BKK 2</v>
      </c>
      <c r="U242" s="3" t="str">
        <f>IFERROR(__xludf.DUMMYFUNCTION("""COMPUTED_VALUE"""),"Hub02-BKK 2")</f>
        <v>Hub02-BKK 2</v>
      </c>
      <c r="V242" s="3" t="str">
        <f>IFERROR(__xludf.DUMMYFUNCTION("""COMPUTED_VALUE"""),"N")</f>
        <v>N</v>
      </c>
      <c r="W242" s="3">
        <f>IFERROR(__xludf.DUMMYFUNCTION("""COMPUTED_VALUE"""),151103.0)</f>
        <v>151103</v>
      </c>
      <c r="X242" s="3" t="str">
        <f>IFERROR(__xludf.DUMMYFUNCTION("""COMPUTED_VALUE"""),"เลขที่ 888/36-39 ถนนเพลินจิต แขวงลุมพินี เขตปทุมวัน กรุงเทพมหานคร 10330")</f>
        <v>เลขที่ 888/36-39 ถนนเพลินจิต แขวงลุมพินี เขตปทุมวัน กรุงเทพมหานคร 10330</v>
      </c>
      <c r="Y242" s="3" t="str">
        <f>IFERROR(__xludf.DUMMYFUNCTION("""COMPUTED_VALUE"""),"เพลินจิต")</f>
        <v>เพลินจิต</v>
      </c>
      <c r="Z242" s="3" t="str">
        <f>IFERROR(__xludf.DUMMYFUNCTION("""COMPUTED_VALUE"""),"ลุมพินี")</f>
        <v>ลุมพินี</v>
      </c>
      <c r="AA242" s="3" t="str">
        <f>IFERROR(__xludf.DUMMYFUNCTION("""COMPUTED_VALUE"""),"ปทุมวัน")</f>
        <v>ปทุมวัน</v>
      </c>
      <c r="AB242" s="3" t="str">
        <f>IFERROR(__xludf.DUMMYFUNCTION("""COMPUTED_VALUE"""),"กรุงเทพมหานคร")</f>
        <v>กรุงเทพมหานคร</v>
      </c>
      <c r="AC242" s="3">
        <f>IFERROR(__xludf.DUMMYFUNCTION("""COMPUTED_VALUE"""),10330.0)</f>
        <v>10330</v>
      </c>
      <c r="AD242" s="3">
        <f>IFERROR(__xludf.DUMMYFUNCTION("""COMPUTED_VALUE"""),13.74164058)</f>
        <v>13.74164058</v>
      </c>
      <c r="AE242" s="3">
        <f>IFERROR(__xludf.DUMMYFUNCTION("""COMPUTED_VALUE"""),100.5490733)</f>
        <v>100.5490733</v>
      </c>
      <c r="AF242" s="3" t="str">
        <f>IFERROR(__xludf.DUMMYFUNCTION("""COMPUTED_VALUE"""),"มหาทุน-15070")</f>
        <v>มหาทุน-15070</v>
      </c>
      <c r="AG242" s="3" t="str">
        <f>IFERROR(__xludf.DUMMYFUNCTION("""COMPUTED_VALUE"""),"กลาง")</f>
        <v>กลาง</v>
      </c>
      <c r="AH242" s="3" t="str">
        <f>IFERROR(__xludf.DUMMYFUNCTION("""COMPUTED_VALUE"""),"Vassana Teratam")</f>
        <v>Vassana Teratam</v>
      </c>
      <c r="AI242" s="3" t="str">
        <f>IFERROR(__xludf.DUMMYFUNCTION("""COMPUTED_VALUE"""),"Out of warranty")</f>
        <v>Out of warranty</v>
      </c>
      <c r="AJ242" s="3">
        <f>IFERROR(__xludf.DUMMYFUNCTION("""COMPUTED_VALUE"""),14.0)</f>
        <v>14</v>
      </c>
      <c r="AK242" s="3"/>
      <c r="AL242" s="3" t="str">
        <f>IFERROR(__xludf.DUMMYFUNCTION("""COMPUTED_VALUE"""),"foodplace.mahathun@bigc.co.th")</f>
        <v>foodplace.mahathun@bigc.co.th</v>
      </c>
    </row>
    <row r="243" ht="15.75" customHeight="1">
      <c r="A243" s="1" t="str">
        <f>IFERROR(__xludf.DUMMYFUNCTION("""COMPUTED_VALUE"""),"15071")</f>
        <v>15071</v>
      </c>
      <c r="B243" s="2">
        <f>IFERROR(__xludf.DUMMYFUNCTION("""COMPUTED_VALUE"""),15071.0)</f>
        <v>15071</v>
      </c>
      <c r="C243" s="3" t="str">
        <f>IFERROR(__xludf.DUMMYFUNCTION("""COMPUTED_VALUE"""),"เดอะแจส รามอินทรา")</f>
        <v>เดอะแจส รามอินทรา</v>
      </c>
      <c r="D243" s="3" t="str">
        <f>IFERROR(__xludf.DUMMYFUNCTION("""COMPUTED_VALUE"""),"BIGC MARKET JAS RAMINTRA")</f>
        <v>BIGC MARKET JAS RAMINTRA</v>
      </c>
      <c r="E243" s="1" t="str">
        <f>IFERROR(__xludf.DUMMYFUNCTION("""COMPUTED_VALUE"""),"บิ๊กซี FoodPlace")</f>
        <v>บิ๊กซี FoodPlace</v>
      </c>
      <c r="F243" s="1" t="str">
        <f>IFERROR(__xludf.DUMMYFUNCTION("""COMPUTED_VALUE"""),"02408546")</f>
        <v>02408546</v>
      </c>
      <c r="G243" s="1" t="str">
        <f>IFERROR(__xludf.DUMMYFUNCTION("""COMPUTED_VALUE"""),"นายเกษมศิษฐ์ ฮดบุญเรือง")</f>
        <v>นายเกษมศิษฐ์ ฮดบุญเรือง</v>
      </c>
      <c r="H243" s="1" t="str">
        <f>IFERROR(__xludf.DUMMYFUNCTION("""COMPUTED_VALUE"""),"02408546")</f>
        <v>02408546</v>
      </c>
      <c r="I243" s="1" t="str">
        <f>IFERROR(__xludf.DUMMYFUNCTION("""COMPUTED_VALUE"""),"นายเกษมศิษฐ์ ฮดบุญเรือง")</f>
        <v>นายเกษมศิษฐ์ ฮดบุญเรือง</v>
      </c>
      <c r="J243" s="3">
        <f>IFERROR(__xludf.DUMMYFUNCTION("""COMPUTED_VALUE"""),2408546.0)</f>
        <v>2408546</v>
      </c>
      <c r="K243" s="3" t="str">
        <f>IFERROR(__xludf.DUMMYFUNCTION("""COMPUTED_VALUE"""),"นายเกษมศิษฐ์ ฮดบุญเรือง")</f>
        <v>นายเกษมศิษฐ์ ฮดบุญเรือง</v>
      </c>
      <c r="L243" s="1" t="str">
        <f>IFERROR(__xludf.DUMMYFUNCTION("""COMPUTED_VALUE"""),"Hub02-BKK 2")</f>
        <v>Hub02-BKK 2</v>
      </c>
      <c r="M243" s="1" t="str">
        <f>IFERROR(__xludf.DUMMYFUNCTION("""COMPUTED_VALUE"""),"0988580755")</f>
        <v>0988580755</v>
      </c>
      <c r="N243" s="3">
        <f>IFERROR(__xludf.DUMMYFUNCTION("""COMPUTED_VALUE"""),15071.0)</f>
        <v>15071</v>
      </c>
      <c r="O243" s="3" t="str">
        <f>IFERROR(__xludf.DUMMYFUNCTION("""COMPUTED_VALUE"""),"เดอะแจส รามอินทรา")</f>
        <v>เดอะแจส รามอินทรา</v>
      </c>
      <c r="P243" s="4">
        <f>IFERROR(__xludf.DUMMYFUNCTION("""COMPUTED_VALUE"""),45649.0)</f>
        <v>45649</v>
      </c>
      <c r="Q243" s="3" t="str">
        <f>IFERROR(__xludf.DUMMYFUNCTION("""COMPUTED_VALUE"""),"A")</f>
        <v>A</v>
      </c>
      <c r="R243" s="3" t="str">
        <f>IFERROR(__xludf.DUMMYFUNCTION("""COMPUTED_VALUE"""),"Big Format")</f>
        <v>Big Format</v>
      </c>
      <c r="S243" s="3" t="str">
        <f>IFERROR(__xludf.DUMMYFUNCTION("""COMPUTED_VALUE"""),"FoodPlace")</f>
        <v>FoodPlace</v>
      </c>
      <c r="T243" s="3" t="str">
        <f>IFERROR(__xludf.DUMMYFUNCTION("""COMPUTED_VALUE"""),"Hub02-BKK 2")</f>
        <v>Hub02-BKK 2</v>
      </c>
      <c r="U243" s="3" t="str">
        <f>IFERROR(__xludf.DUMMYFUNCTION("""COMPUTED_VALUE"""),"Hub02-BKK 2")</f>
        <v>Hub02-BKK 2</v>
      </c>
      <c r="V243" s="3" t="str">
        <f>IFERROR(__xludf.DUMMYFUNCTION("""COMPUTED_VALUE"""),"N")</f>
        <v>N</v>
      </c>
      <c r="W243" s="3">
        <f>IFERROR(__xludf.DUMMYFUNCTION("""COMPUTED_VALUE"""),151097.0)</f>
        <v>151097</v>
      </c>
      <c r="X243" s="3" t="str">
        <f>IFERROR(__xludf.DUMMYFUNCTION("""COMPUTED_VALUE"""),"เลขที่ 87 ห้องเลขที่ A104 ชั้น 1 ถนนลาดปลาเค้า แขวงอนุเสาวรีย์ เขตบางเขน กรุงเทพมหานคร 10220")</f>
        <v>เลขที่ 87 ห้องเลขที่ A104 ชั้น 1 ถนนลาดปลาเค้า แขวงอนุเสาวรีย์ เขตบางเขน กรุงเทพมหานคร 10220</v>
      </c>
      <c r="Y243" s="3" t="str">
        <f>IFERROR(__xludf.DUMMYFUNCTION("""COMPUTED_VALUE"""),"ลาดปลาเค้า")</f>
        <v>ลาดปลาเค้า</v>
      </c>
      <c r="Z243" s="3" t="str">
        <f>IFERROR(__xludf.DUMMYFUNCTION("""COMPUTED_VALUE"""),"อนุสาวรีย์")</f>
        <v>อนุสาวรีย์</v>
      </c>
      <c r="AA243" s="3" t="str">
        <f>IFERROR(__xludf.DUMMYFUNCTION("""COMPUTED_VALUE"""),"บางเขน")</f>
        <v>บางเขน</v>
      </c>
      <c r="AB243" s="3" t="str">
        <f>IFERROR(__xludf.DUMMYFUNCTION("""COMPUTED_VALUE"""),"กรุงเทพมหานคร")</f>
        <v>กรุงเทพมหานคร</v>
      </c>
      <c r="AC243" s="3">
        <f>IFERROR(__xludf.DUMMYFUNCTION("""COMPUTED_VALUE"""),10220.0)</f>
        <v>10220</v>
      </c>
      <c r="AD243" s="3">
        <f>IFERROR(__xludf.DUMMYFUNCTION("""COMPUTED_VALUE"""),13.86239078)</f>
        <v>13.86239078</v>
      </c>
      <c r="AE243" s="3">
        <f>IFERROR(__xludf.DUMMYFUNCTION("""COMPUTED_VALUE"""),100.612334)</f>
        <v>100.612334</v>
      </c>
      <c r="AF243" s="3" t="str">
        <f>IFERROR(__xludf.DUMMYFUNCTION("""COMPUTED_VALUE"""),"เดอะแจส รามอินทรา-15071")</f>
        <v>เดอะแจส รามอินทรา-15071</v>
      </c>
      <c r="AG243" s="3" t="str">
        <f>IFERROR(__xludf.DUMMYFUNCTION("""COMPUTED_VALUE"""),"กลาง")</f>
        <v>กลาง</v>
      </c>
      <c r="AH243" s="3" t="str">
        <f>IFERROR(__xludf.DUMMYFUNCTION("""COMPUTED_VALUE"""),"Vassana Teratam")</f>
        <v>Vassana Teratam</v>
      </c>
      <c r="AI243" s="3" t="str">
        <f>IFERROR(__xludf.DUMMYFUNCTION("""COMPUTED_VALUE"""),"Out of warranty")</f>
        <v>Out of warranty</v>
      </c>
      <c r="AJ243" s="3">
        <f>IFERROR(__xludf.DUMMYFUNCTION("""COMPUTED_VALUE"""),13.0)</f>
        <v>13</v>
      </c>
      <c r="AK243" s="3"/>
      <c r="AL243" s="3" t="str">
        <f>IFERROR(__xludf.DUMMYFUNCTION("""COMPUTED_VALUE"""),"foodplace.jas_ramintra@bigc.co.th")</f>
        <v>foodplace.jas_ramintra@bigc.co.th</v>
      </c>
    </row>
    <row r="244" ht="15.75" customHeight="1">
      <c r="A244" s="1" t="str">
        <f>IFERROR(__xludf.DUMMYFUNCTION("""COMPUTED_VALUE"""),"17001")</f>
        <v>17001</v>
      </c>
      <c r="B244" s="2">
        <f>IFERROR(__xludf.DUMMYFUNCTION("""COMPUTED_VALUE"""),17001.0)</f>
        <v>17001</v>
      </c>
      <c r="C244" s="3" t="str">
        <f>IFERROR(__xludf.DUMMYFUNCTION("""COMPUTED_VALUE"""),"บิ๊กซี ฟู้ด เซอร์วิส จำกัด (สำนักงานใหญ๋)")</f>
        <v>บิ๊กซี ฟู้ด เซอร์วิส จำกัด (สำนักงานใหญ๋)</v>
      </c>
      <c r="D244" s="3" t="str">
        <f>IFERROR(__xludf.DUMMYFUNCTION("""COMPUTED_VALUE"""),"BCFS HO")</f>
        <v>BCFS HO</v>
      </c>
      <c r="E244" s="1" t="str">
        <f>IFERROR(__xludf.DUMMYFUNCTION("""COMPUTED_VALUE"""),"บิ๊กซี Food service")</f>
        <v>บิ๊กซี Food service</v>
      </c>
      <c r="F244" s="1" t="str">
        <f>IFERROR(__xludf.DUMMYFUNCTION("""COMPUTED_VALUE"""),"313165")</f>
        <v>313165</v>
      </c>
      <c r="G244" s="1" t="str">
        <f>IFERROR(__xludf.DUMMYFUNCTION("""COMPUTED_VALUE"""),"น.ส.ลัดดา สัสดี")</f>
        <v>น.ส.ลัดดา สัสดี</v>
      </c>
      <c r="H244" s="1" t="str">
        <f>IFERROR(__xludf.DUMMYFUNCTION("""COMPUTED_VALUE"""),"313165")</f>
        <v>313165</v>
      </c>
      <c r="I244" s="1" t="str">
        <f>IFERROR(__xludf.DUMMYFUNCTION("""COMPUTED_VALUE"""),"น.ส.ลัดดา สัสดี")</f>
        <v>น.ส.ลัดดา สัสดี</v>
      </c>
      <c r="J244" s="3">
        <f>IFERROR(__xludf.DUMMYFUNCTION("""COMPUTED_VALUE"""),313165.0)</f>
        <v>313165</v>
      </c>
      <c r="K244" s="3" t="str">
        <f>IFERROR(__xludf.DUMMYFUNCTION("""COMPUTED_VALUE"""),"น.ส.ลัดดา สัสดี")</f>
        <v>น.ส.ลัดดา สัสดี</v>
      </c>
      <c r="L244" s="1" t="str">
        <f>IFERROR(__xludf.DUMMYFUNCTION("""COMPUTED_VALUE"""),"0")</f>
        <v>0</v>
      </c>
      <c r="M244" s="1" t="str">
        <f>IFERROR(__xludf.DUMMYFUNCTION("""COMPUTED_VALUE"""),"0")</f>
        <v>0</v>
      </c>
      <c r="N244" s="3">
        <f>IFERROR(__xludf.DUMMYFUNCTION("""COMPUTED_VALUE"""),17001.0)</f>
        <v>17001</v>
      </c>
      <c r="O244" s="3" t="str">
        <f>IFERROR(__xludf.DUMMYFUNCTION("""COMPUTED_VALUE"""),"บิ๊กซี ฟู้ด เซอร์วิส จำกัด (สำนักงานใหญ๋)")</f>
        <v>บิ๊กซี ฟู้ด เซอร์วิส จำกัด (สำนักงานใหญ๋)</v>
      </c>
      <c r="P244" s="4">
        <f>IFERROR(__xludf.DUMMYFUNCTION("""COMPUTED_VALUE"""),44605.0)</f>
        <v>44605</v>
      </c>
      <c r="Q244" s="3" t="str">
        <f>IFERROR(__xludf.DUMMYFUNCTION("""COMPUTED_VALUE"""),"I")</f>
        <v>I</v>
      </c>
      <c r="R244" s="3" t="str">
        <f>IFERROR(__xludf.DUMMYFUNCTION("""COMPUTED_VALUE"""),"Big Format")</f>
        <v>Big Format</v>
      </c>
      <c r="S244" s="3" t="str">
        <f>IFERROR(__xludf.DUMMYFUNCTION("""COMPUTED_VALUE"""),"BCFS")</f>
        <v>BCFS</v>
      </c>
      <c r="T244" s="3" t="str">
        <f>IFERROR(__xludf.DUMMYFUNCTION("""COMPUTED_VALUE"""),"#N/A")</f>
        <v>#N/A</v>
      </c>
      <c r="U244" s="3" t="str">
        <f>IFERROR(__xludf.DUMMYFUNCTION("""COMPUTED_VALUE"""),"#N/A")</f>
        <v>#N/A</v>
      </c>
      <c r="V244" s="3" t="str">
        <f>IFERROR(__xludf.DUMMYFUNCTION("""COMPUTED_VALUE"""),"N")</f>
        <v>N</v>
      </c>
      <c r="W244" s="3">
        <f>IFERROR(__xludf.DUMMYFUNCTION("""COMPUTED_VALUE"""),0.0)</f>
        <v>0</v>
      </c>
      <c r="X244" s="3" t="str">
        <f>IFERROR(__xludf.DUMMYFUNCTION("""COMPUTED_VALUE"""),"88/9 ซอยสมานฉันท์-บาร์โบส แขวงพระโขนง เขตคลองเตย กรุงเทพมหานคร 10110")</f>
        <v>88/9 ซอยสมานฉันท์-บาร์โบส แขวงพระโขนง เขตคลองเตย กรุงเทพมหานคร 10110</v>
      </c>
      <c r="Y244" s="3" t="str">
        <f>IFERROR(__xludf.DUMMYFUNCTION("""COMPUTED_VALUE"""),"สุขุมวิท42")</f>
        <v>สุขุมวิท42</v>
      </c>
      <c r="Z244" s="3" t="str">
        <f>IFERROR(__xludf.DUMMYFUNCTION("""COMPUTED_VALUE"""),"พระโขนง")</f>
        <v>พระโขนง</v>
      </c>
      <c r="AA244" s="3" t="str">
        <f>IFERROR(__xludf.DUMMYFUNCTION("""COMPUTED_VALUE"""),"คลองเตย")</f>
        <v>คลองเตย</v>
      </c>
      <c r="AB244" s="3" t="str">
        <f>IFERROR(__xludf.DUMMYFUNCTION("""COMPUTED_VALUE"""),"กรุงเทพมหานคร")</f>
        <v>กรุงเทพมหานคร</v>
      </c>
      <c r="AC244" s="3">
        <f>IFERROR(__xludf.DUMMYFUNCTION("""COMPUTED_VALUE"""),10110.0)</f>
        <v>10110</v>
      </c>
      <c r="AD244" s="3">
        <f>IFERROR(__xludf.DUMMYFUNCTION("""COMPUTED_VALUE"""),0.0)</f>
        <v>0</v>
      </c>
      <c r="AE244" s="3">
        <f>IFERROR(__xludf.DUMMYFUNCTION("""COMPUTED_VALUE"""),0.0)</f>
        <v>0</v>
      </c>
      <c r="AF244" s="3" t="str">
        <f>IFERROR(__xludf.DUMMYFUNCTION("""COMPUTED_VALUE"""),"บิ๊กซี ฟู้ด เซอร์วิส จำกัด (สำนักงานใหญ๋)-17001")</f>
        <v>บิ๊กซี ฟู้ด เซอร์วิส จำกัด (สำนักงานใหญ๋)-17001</v>
      </c>
      <c r="AG244" s="3" t="str">
        <f>IFERROR(__xludf.DUMMYFUNCTION("""COMPUTED_VALUE"""),"กลาง")</f>
        <v>กลาง</v>
      </c>
      <c r="AH244" s="3" t="str">
        <f>IFERROR(__xludf.DUMMYFUNCTION("""COMPUTED_VALUE"""),"#N/A")</f>
        <v>#N/A</v>
      </c>
      <c r="AI244" s="3" t="str">
        <f>IFERROR(__xludf.DUMMYFUNCTION("""COMPUTED_VALUE"""),"Out of warranty")</f>
        <v>Out of warranty</v>
      </c>
      <c r="AJ244" s="3">
        <f>IFERROR(__xludf.DUMMYFUNCTION("""COMPUTED_VALUE"""),48.0)</f>
        <v>48</v>
      </c>
      <c r="AK244" s="3"/>
      <c r="AL244" s="3" t="str">
        <f>IFERROR(__xludf.DUMMYFUNCTION("""COMPUTED_VALUE"""),"#N/A")</f>
        <v>#N/A</v>
      </c>
    </row>
    <row r="245" ht="15.75" customHeight="1">
      <c r="A245" s="1" t="str">
        <f>IFERROR(__xludf.DUMMYFUNCTION("""COMPUTED_VALUE"""),"17002")</f>
        <v>17002</v>
      </c>
      <c r="B245" s="2">
        <f>IFERROR(__xludf.DUMMYFUNCTION("""COMPUTED_VALUE"""),17002.0)</f>
        <v>17002</v>
      </c>
      <c r="C245" s="3" t="str">
        <f>IFERROR(__xludf.DUMMYFUNCTION("""COMPUTED_VALUE"""),"ปาล์มไอซ์แลนด์")</f>
        <v>ปาล์มไอซ์แลนด์</v>
      </c>
      <c r="D245" s="3" t="str">
        <f>IFERROR(__xludf.DUMMYFUNCTION("""COMPUTED_VALUE"""),"BCFS Palm Island")</f>
        <v>BCFS Palm Island</v>
      </c>
      <c r="E245" s="1" t="str">
        <f>IFERROR(__xludf.DUMMYFUNCTION("""COMPUTED_VALUE"""),"บิ๊กซี Food service")</f>
        <v>บิ๊กซี Food service</v>
      </c>
      <c r="F245" s="1" t="str">
        <f>IFERROR(__xludf.DUMMYFUNCTION("""COMPUTED_VALUE"""),"2454716")</f>
        <v>2454716</v>
      </c>
      <c r="G245" s="1" t="str">
        <f>IFERROR(__xludf.DUMMYFUNCTION("""COMPUTED_VALUE"""),"นายโฆษิต วงค์กะโซ่")</f>
        <v>นายโฆษิต วงค์กะโซ่</v>
      </c>
      <c r="H245" s="1" t="str">
        <f>IFERROR(__xludf.DUMMYFUNCTION("""COMPUTED_VALUE"""),"2454716")</f>
        <v>2454716</v>
      </c>
      <c r="I245" s="1" t="str">
        <f>IFERROR(__xludf.DUMMYFUNCTION("""COMPUTED_VALUE"""),"นายโฆษิต วงค์กะโซ่")</f>
        <v>นายโฆษิต วงค์กะโซ่</v>
      </c>
      <c r="J245" s="3">
        <f>IFERROR(__xludf.DUMMYFUNCTION("""COMPUTED_VALUE"""),2454716.0)</f>
        <v>2454716</v>
      </c>
      <c r="K245" s="3" t="str">
        <f>IFERROR(__xludf.DUMMYFUNCTION("""COMPUTED_VALUE"""),"นายโฆษิต วงค์กะโซ่")</f>
        <v>นายโฆษิต วงค์กะโซ่</v>
      </c>
      <c r="L245" s="1" t="str">
        <f>IFERROR(__xludf.DUMMYFUNCTION("""COMPUTED_VALUE"""),"Hub03-BKK 3")</f>
        <v>Hub03-BKK 3</v>
      </c>
      <c r="M245" s="1" t="str">
        <f>IFERROR(__xludf.DUMMYFUNCTION("""COMPUTED_VALUE"""),"062-434-5030")</f>
        <v>062-434-5030</v>
      </c>
      <c r="N245" s="3">
        <f>IFERROR(__xludf.DUMMYFUNCTION("""COMPUTED_VALUE"""),17002.0)</f>
        <v>17002</v>
      </c>
      <c r="O245" s="3" t="str">
        <f>IFERROR(__xludf.DUMMYFUNCTION("""COMPUTED_VALUE"""),"ปาล์มไอซ์แลนด์")</f>
        <v>ปาล์มไอซ์แลนด์</v>
      </c>
      <c r="P245" s="4">
        <f>IFERROR(__xludf.DUMMYFUNCTION("""COMPUTED_VALUE"""),43101.0)</f>
        <v>43101</v>
      </c>
      <c r="Q245" s="3" t="str">
        <f>IFERROR(__xludf.DUMMYFUNCTION("""COMPUTED_VALUE"""),"A")</f>
        <v>A</v>
      </c>
      <c r="R245" s="3" t="str">
        <f>IFERROR(__xludf.DUMMYFUNCTION("""COMPUTED_VALUE"""),"Big Format")</f>
        <v>Big Format</v>
      </c>
      <c r="S245" s="3" t="str">
        <f>IFERROR(__xludf.DUMMYFUNCTION("""COMPUTED_VALUE"""),"BCFS")</f>
        <v>BCFS</v>
      </c>
      <c r="T245" s="3" t="str">
        <f>IFERROR(__xludf.DUMMYFUNCTION("""COMPUTED_VALUE"""),"Hub03-BKK 3")</f>
        <v>Hub03-BKK 3</v>
      </c>
      <c r="U245" s="3" t="str">
        <f>IFERROR(__xludf.DUMMYFUNCTION("""COMPUTED_VALUE"""),"Hub03-BKK 3")</f>
        <v>Hub03-BKK 3</v>
      </c>
      <c r="V245" s="3" t="str">
        <f>IFERROR(__xludf.DUMMYFUNCTION("""COMPUTED_VALUE"""),"N")</f>
        <v>N</v>
      </c>
      <c r="W245" s="3">
        <f>IFERROR(__xludf.DUMMYFUNCTION("""COMPUTED_VALUE"""),116001.0)</f>
        <v>116001</v>
      </c>
      <c r="X245" s="3" t="str">
        <f>IFERROR(__xludf.DUMMYFUNCTION("""COMPUTED_VALUE"""),"1010/51 หมู่ที่ 3 ตำบล เทพารักษ์ อำเภอ เมืองสมุทรปราการ สมุทรปราการ 10270")</f>
        <v>1010/51 หมู่ที่ 3 ตำบล เทพารักษ์ อำเภอ เมืองสมุทรปราการ สมุทรปราการ 10270</v>
      </c>
      <c r="Y245" s="3"/>
      <c r="Z245" s="3" t="str">
        <f>IFERROR(__xludf.DUMMYFUNCTION("""COMPUTED_VALUE"""),"เทพารักษ์")</f>
        <v>เทพารักษ์</v>
      </c>
      <c r="AA245" s="3" t="str">
        <f>IFERROR(__xludf.DUMMYFUNCTION("""COMPUTED_VALUE"""),"เมืองสมุทรปราการ")</f>
        <v>เมืองสมุทรปราการ</v>
      </c>
      <c r="AB245" s="3" t="str">
        <f>IFERROR(__xludf.DUMMYFUNCTION("""COMPUTED_VALUE"""),"สมุทรปราการ")</f>
        <v>สมุทรปราการ</v>
      </c>
      <c r="AC245" s="3">
        <f>IFERROR(__xludf.DUMMYFUNCTION("""COMPUTED_VALUE"""),10270.0)</f>
        <v>10270</v>
      </c>
      <c r="AD245" s="3">
        <f>IFERROR(__xludf.DUMMYFUNCTION("""COMPUTED_VALUE"""),13.6434121)</f>
        <v>13.6434121</v>
      </c>
      <c r="AE245" s="3">
        <f>IFERROR(__xludf.DUMMYFUNCTION("""COMPUTED_VALUE"""),100.5948199)</f>
        <v>100.5948199</v>
      </c>
      <c r="AF245" s="3" t="str">
        <f>IFERROR(__xludf.DUMMYFUNCTION("""COMPUTED_VALUE"""),"ปาล์มไอซ์แลนด์-17002")</f>
        <v>ปาล์มไอซ์แลนด์-17002</v>
      </c>
      <c r="AG245" s="3" t="str">
        <f>IFERROR(__xludf.DUMMYFUNCTION("""COMPUTED_VALUE"""),"กลาง")</f>
        <v>กลาง</v>
      </c>
      <c r="AH245" s="3" t="str">
        <f>IFERROR(__xludf.DUMMYFUNCTION("""COMPUTED_VALUE"""),"#N/A")</f>
        <v>#N/A</v>
      </c>
      <c r="AI245" s="3" t="str">
        <f>IFERROR(__xludf.DUMMYFUNCTION("""COMPUTED_VALUE"""),"Out of warranty")</f>
        <v>Out of warranty</v>
      </c>
      <c r="AJ245" s="3">
        <f>IFERROR(__xludf.DUMMYFUNCTION("""COMPUTED_VALUE"""),97.0)</f>
        <v>97</v>
      </c>
      <c r="AK245" s="3"/>
      <c r="AL245" s="3" t="str">
        <f>IFERROR(__xludf.DUMMYFUNCTION("""COMPUTED_VALUE"""),"bcfs_sm_palm_island@foodservices.bigc.co.th")</f>
        <v>bcfs_sm_palm_island@foodservices.bigc.co.th</v>
      </c>
    </row>
    <row r="246" ht="15.75" customHeight="1">
      <c r="A246" s="1" t="str">
        <f>IFERROR(__xludf.DUMMYFUNCTION("""COMPUTED_VALUE"""),"17003")</f>
        <v>17003</v>
      </c>
      <c r="B246" s="2">
        <f>IFERROR(__xludf.DUMMYFUNCTION("""COMPUTED_VALUE"""),17003.0)</f>
        <v>17003</v>
      </c>
      <c r="C246" s="3" t="str">
        <f>IFERROR(__xludf.DUMMYFUNCTION("""COMPUTED_VALUE"""),"โชคชัย 4")</f>
        <v>โชคชัย 4</v>
      </c>
      <c r="D246" s="3" t="str">
        <f>IFERROR(__xludf.DUMMYFUNCTION("""COMPUTED_VALUE"""),"BCFS ChokChai4")</f>
        <v>BCFS ChokChai4</v>
      </c>
      <c r="E246" s="1" t="str">
        <f>IFERROR(__xludf.DUMMYFUNCTION("""COMPUTED_VALUE"""),"บิ๊กซี Food service")</f>
        <v>บิ๊กซี Food service</v>
      </c>
      <c r="F246" s="1" t="str">
        <f>IFERROR(__xludf.DUMMYFUNCTION("""COMPUTED_VALUE"""),"2454813")</f>
        <v>2454813</v>
      </c>
      <c r="G246" s="1" t="str">
        <f>IFERROR(__xludf.DUMMYFUNCTION("""COMPUTED_VALUE"""),"นายอนุรักษ์ จั่นเที่ยง")</f>
        <v>นายอนุรักษ์ จั่นเที่ยง</v>
      </c>
      <c r="H246" s="1" t="str">
        <f>IFERROR(__xludf.DUMMYFUNCTION("""COMPUTED_VALUE"""),"2454813")</f>
        <v>2454813</v>
      </c>
      <c r="I246" s="1" t="str">
        <f>IFERROR(__xludf.DUMMYFUNCTION("""COMPUTED_VALUE"""),"นายอนุรักษ์ จั่นเที่ยง")</f>
        <v>นายอนุรักษ์ จั่นเที่ยง</v>
      </c>
      <c r="J246" s="3">
        <f>IFERROR(__xludf.DUMMYFUNCTION("""COMPUTED_VALUE"""),2454813.0)</f>
        <v>2454813</v>
      </c>
      <c r="K246" s="3" t="str">
        <f>IFERROR(__xludf.DUMMYFUNCTION("""COMPUTED_VALUE"""),"นายอนุรักษ์ จั่นเที่ยง")</f>
        <v>นายอนุรักษ์ จั่นเที่ยง</v>
      </c>
      <c r="L246" s="1" t="str">
        <f>IFERROR(__xludf.DUMMYFUNCTION("""COMPUTED_VALUE"""),"Hub04-BKK 4")</f>
        <v>Hub04-BKK 4</v>
      </c>
      <c r="M246" s="1" t="str">
        <f>IFERROR(__xludf.DUMMYFUNCTION("""COMPUTED_VALUE"""),"0991964531")</f>
        <v>0991964531</v>
      </c>
      <c r="N246" s="3">
        <f>IFERROR(__xludf.DUMMYFUNCTION("""COMPUTED_VALUE"""),17003.0)</f>
        <v>17003</v>
      </c>
      <c r="O246" s="3" t="str">
        <f>IFERROR(__xludf.DUMMYFUNCTION("""COMPUTED_VALUE"""),"โชคชัย 4")</f>
        <v>โชคชัย 4</v>
      </c>
      <c r="P246" s="4">
        <f>IFERROR(__xludf.DUMMYFUNCTION("""COMPUTED_VALUE"""),44477.0)</f>
        <v>44477</v>
      </c>
      <c r="Q246" s="3" t="str">
        <f>IFERROR(__xludf.DUMMYFUNCTION("""COMPUTED_VALUE"""),"A")</f>
        <v>A</v>
      </c>
      <c r="R246" s="3" t="str">
        <f>IFERROR(__xludf.DUMMYFUNCTION("""COMPUTED_VALUE"""),"Big Format")</f>
        <v>Big Format</v>
      </c>
      <c r="S246" s="3" t="str">
        <f>IFERROR(__xludf.DUMMYFUNCTION("""COMPUTED_VALUE"""),"BCFS")</f>
        <v>BCFS</v>
      </c>
      <c r="T246" s="3" t="str">
        <f>IFERROR(__xludf.DUMMYFUNCTION("""COMPUTED_VALUE"""),"Hub04-BKK 4")</f>
        <v>Hub04-BKK 4</v>
      </c>
      <c r="U246" s="3" t="str">
        <f>IFERROR(__xludf.DUMMYFUNCTION("""COMPUTED_VALUE"""),"Hub04-BKK 4")</f>
        <v>Hub04-BKK 4</v>
      </c>
      <c r="V246" s="3" t="str">
        <f>IFERROR(__xludf.DUMMYFUNCTION("""COMPUTED_VALUE"""),"N")</f>
        <v>N</v>
      </c>
      <c r="W246" s="3">
        <f>IFERROR(__xludf.DUMMYFUNCTION("""COMPUTED_VALUE"""),116002.0)</f>
        <v>116002</v>
      </c>
      <c r="X246" s="3" t="str">
        <f>IFERROR(__xludf.DUMMYFUNCTION("""COMPUTED_VALUE"""),"อาคาร C-101 เลขที่ 139/27-28 ซอยลาดพร้าว 53 (โชคชัย4) แขวงสะพานสอง เขตวังทองหลาง กรุงเทพมหานคร 10310")</f>
        <v>อาคาร C-101 เลขที่ 139/27-28 ซอยลาดพร้าว 53 (โชคชัย4) แขวงสะพานสอง เขตวังทองหลาง กรุงเทพมหานคร 10310</v>
      </c>
      <c r="Y246" s="3" t="str">
        <f>IFERROR(__xludf.DUMMYFUNCTION("""COMPUTED_VALUE"""),"ลาดพร้าว 53")</f>
        <v>ลาดพร้าว 53</v>
      </c>
      <c r="Z246" s="3" t="str">
        <f>IFERROR(__xludf.DUMMYFUNCTION("""COMPUTED_VALUE"""),"สะพานสอง")</f>
        <v>สะพานสอง</v>
      </c>
      <c r="AA246" s="3" t="str">
        <f>IFERROR(__xludf.DUMMYFUNCTION("""COMPUTED_VALUE"""),"วังทองหลาง")</f>
        <v>วังทองหลาง</v>
      </c>
      <c r="AB246" s="3" t="str">
        <f>IFERROR(__xludf.DUMMYFUNCTION("""COMPUTED_VALUE"""),"กรุงเทพมหานคร")</f>
        <v>กรุงเทพมหานคร</v>
      </c>
      <c r="AC246" s="3">
        <f>IFERROR(__xludf.DUMMYFUNCTION("""COMPUTED_VALUE"""),10310.0)</f>
        <v>10310</v>
      </c>
      <c r="AD246" s="3">
        <f>IFERROR(__xludf.DUMMYFUNCTION("""COMPUTED_VALUE"""),13.79809571)</f>
        <v>13.79809571</v>
      </c>
      <c r="AE246" s="3">
        <f>IFERROR(__xludf.DUMMYFUNCTION("""COMPUTED_VALUE"""),100.5952084)</f>
        <v>100.5952084</v>
      </c>
      <c r="AF246" s="3" t="str">
        <f>IFERROR(__xludf.DUMMYFUNCTION("""COMPUTED_VALUE"""),"โชคชัย 4-17003")</f>
        <v>โชคชัย 4-17003</v>
      </c>
      <c r="AG246" s="3" t="str">
        <f>IFERROR(__xludf.DUMMYFUNCTION("""COMPUTED_VALUE"""),"กลาง")</f>
        <v>กลาง</v>
      </c>
      <c r="AH246" s="3" t="str">
        <f>IFERROR(__xludf.DUMMYFUNCTION("""COMPUTED_VALUE"""),"#N/A")</f>
        <v>#N/A</v>
      </c>
      <c r="AI246" s="3" t="str">
        <f>IFERROR(__xludf.DUMMYFUNCTION("""COMPUTED_VALUE"""),"Out of warranty")</f>
        <v>Out of warranty</v>
      </c>
      <c r="AJ246" s="3">
        <f>IFERROR(__xludf.DUMMYFUNCTION("""COMPUTED_VALUE"""),52.0)</f>
        <v>52</v>
      </c>
      <c r="AK246" s="3"/>
      <c r="AL246" s="3" t="str">
        <f>IFERROR(__xludf.DUMMYFUNCTION("""COMPUTED_VALUE"""),"bcfs_sm_chokchai4@foodservices.bigc.co.th")</f>
        <v>bcfs_sm_chokchai4@foodservices.bigc.co.th</v>
      </c>
    </row>
    <row r="247" ht="15.75" customHeight="1">
      <c r="A247" s="1" t="str">
        <f>IFERROR(__xludf.DUMMYFUNCTION("""COMPUTED_VALUE"""),"17004")</f>
        <v>17004</v>
      </c>
      <c r="B247" s="2">
        <f>IFERROR(__xludf.DUMMYFUNCTION("""COMPUTED_VALUE"""),17004.0)</f>
        <v>17004</v>
      </c>
      <c r="C247" s="3" t="str">
        <f>IFERROR(__xludf.DUMMYFUNCTION("""COMPUTED_VALUE"""),"ตลาดบุญเจริญ")</f>
        <v>ตลาดบุญเจริญ</v>
      </c>
      <c r="D247" s="3" t="str">
        <f>IFERROR(__xludf.DUMMYFUNCTION("""COMPUTED_VALUE"""),"BCFS TALAD BOONCHAROEN")</f>
        <v>BCFS TALAD BOONCHAROEN</v>
      </c>
      <c r="E247" s="1" t="str">
        <f>IFERROR(__xludf.DUMMYFUNCTION("""COMPUTED_VALUE"""),"บิ๊กซี Food service")</f>
        <v>บิ๊กซี Food service</v>
      </c>
      <c r="F247" s="1" t="str">
        <f>IFERROR(__xludf.DUMMYFUNCTION("""COMPUTED_VALUE"""),"2454701")</f>
        <v>2454701</v>
      </c>
      <c r="G247" s="1" t="str">
        <f>IFERROR(__xludf.DUMMYFUNCTION("""COMPUTED_VALUE"""),"นายกานต์ ไชยแสงศรี")</f>
        <v>นายกานต์ ไชยแสงศรี</v>
      </c>
      <c r="H247" s="1" t="str">
        <f>IFERROR(__xludf.DUMMYFUNCTION("""COMPUTED_VALUE"""),"2454701")</f>
        <v>2454701</v>
      </c>
      <c r="I247" s="1" t="str">
        <f>IFERROR(__xludf.DUMMYFUNCTION("""COMPUTED_VALUE"""),"นายกานต์ ไชยแสงศรี")</f>
        <v>นายกานต์ ไชยแสงศรี</v>
      </c>
      <c r="J247" s="1" t="str">
        <f>IFERROR(__xludf.DUMMYFUNCTION("""COMPUTED_VALUE"""),"2454701")</f>
        <v>2454701</v>
      </c>
      <c r="K247" s="3" t="str">
        <f>IFERROR(__xludf.DUMMYFUNCTION("""COMPUTED_VALUE"""),"นายกานต์ ไชยแสงศรี")</f>
        <v>นายกานต์ ไชยแสงศรี</v>
      </c>
      <c r="L247" s="1" t="str">
        <f>IFERROR(__xludf.DUMMYFUNCTION("""COMPUTED_VALUE"""),"Hub01-BKK 1")</f>
        <v>Hub01-BKK 1</v>
      </c>
      <c r="M247" s="1" t="str">
        <f>IFERROR(__xludf.DUMMYFUNCTION("""COMPUTED_VALUE"""),"0909090652")</f>
        <v>0909090652</v>
      </c>
      <c r="N247" s="3">
        <f>IFERROR(__xludf.DUMMYFUNCTION("""COMPUTED_VALUE"""),17004.0)</f>
        <v>17004</v>
      </c>
      <c r="O247" s="3" t="str">
        <f>IFERROR(__xludf.DUMMYFUNCTION("""COMPUTED_VALUE"""),"ตลาดบุญเจริญ")</f>
        <v>ตลาดบุญเจริญ</v>
      </c>
      <c r="P247" s="4">
        <f>IFERROR(__xludf.DUMMYFUNCTION("""COMPUTED_VALUE"""),44813.0)</f>
        <v>44813</v>
      </c>
      <c r="Q247" s="3" t="str">
        <f>IFERROR(__xludf.DUMMYFUNCTION("""COMPUTED_VALUE"""),"A")</f>
        <v>A</v>
      </c>
      <c r="R247" s="3" t="str">
        <f>IFERROR(__xludf.DUMMYFUNCTION("""COMPUTED_VALUE"""),"Big Format")</f>
        <v>Big Format</v>
      </c>
      <c r="S247" s="3" t="str">
        <f>IFERROR(__xludf.DUMMYFUNCTION("""COMPUTED_VALUE"""),"BCFS")</f>
        <v>BCFS</v>
      </c>
      <c r="T247" s="3" t="str">
        <f>IFERROR(__xludf.DUMMYFUNCTION("""COMPUTED_VALUE"""),"Hub01-BKK 1")</f>
        <v>Hub01-BKK 1</v>
      </c>
      <c r="U247" s="3" t="str">
        <f>IFERROR(__xludf.DUMMYFUNCTION("""COMPUTED_VALUE"""),"Hub01-BKK 1")</f>
        <v>Hub01-BKK 1</v>
      </c>
      <c r="V247" s="3" t="str">
        <f>IFERROR(__xludf.DUMMYFUNCTION("""COMPUTED_VALUE"""),"N")</f>
        <v>N</v>
      </c>
      <c r="W247" s="3">
        <f>IFERROR(__xludf.DUMMYFUNCTION("""COMPUTED_VALUE"""),116003.0)</f>
        <v>116003</v>
      </c>
      <c r="X247" s="3" t="str">
        <f>IFERROR(__xludf.DUMMYFUNCTION("""COMPUTED_VALUE"""),"168 หมู่5 ตำบลบ้านใหม่ อำเภอ ปากเกร็ด จังหวัดนนทบุรี 11120")</f>
        <v>168 หมู่5 ตำบลบ้านใหม่ อำเภอ ปากเกร็ด จังหวัดนนทบุรี 11120</v>
      </c>
      <c r="Y247" s="3"/>
      <c r="Z247" s="3" t="str">
        <f>IFERROR(__xludf.DUMMYFUNCTION("""COMPUTED_VALUE"""),"บ้านใหม่")</f>
        <v>บ้านใหม่</v>
      </c>
      <c r="AA247" s="3" t="str">
        <f>IFERROR(__xludf.DUMMYFUNCTION("""COMPUTED_VALUE"""),"ปากเกร็ด")</f>
        <v>ปากเกร็ด</v>
      </c>
      <c r="AB247" s="3" t="str">
        <f>IFERROR(__xludf.DUMMYFUNCTION("""COMPUTED_VALUE"""),"นนทบุรี")</f>
        <v>นนทบุรี</v>
      </c>
      <c r="AC247" s="3">
        <f>IFERROR(__xludf.DUMMYFUNCTION("""COMPUTED_VALUE"""),11120.0)</f>
        <v>11120</v>
      </c>
      <c r="AD247" s="3">
        <f>IFERROR(__xludf.DUMMYFUNCTION("""COMPUTED_VALUE"""),13.93188526)</f>
        <v>13.93188526</v>
      </c>
      <c r="AE247" s="3">
        <f>IFERROR(__xludf.DUMMYFUNCTION("""COMPUTED_VALUE"""),100.5393132)</f>
        <v>100.5393132</v>
      </c>
      <c r="AF247" s="3" t="str">
        <f>IFERROR(__xludf.DUMMYFUNCTION("""COMPUTED_VALUE"""),"ตลาดบุญเจริญ-17004")</f>
        <v>ตลาดบุญเจริญ-17004</v>
      </c>
      <c r="AG247" s="3" t="str">
        <f>IFERROR(__xludf.DUMMYFUNCTION("""COMPUTED_VALUE"""),"กลาง")</f>
        <v>กลาง</v>
      </c>
      <c r="AH247" s="3" t="str">
        <f>IFERROR(__xludf.DUMMYFUNCTION("""COMPUTED_VALUE"""),"#N/A")</f>
        <v>#N/A</v>
      </c>
      <c r="AI247" s="3" t="str">
        <f>IFERROR(__xludf.DUMMYFUNCTION("""COMPUTED_VALUE"""),"Out of warranty")</f>
        <v>Out of warranty</v>
      </c>
      <c r="AJ247" s="3">
        <f>IFERROR(__xludf.DUMMYFUNCTION("""COMPUTED_VALUE"""),41.0)</f>
        <v>41</v>
      </c>
      <c r="AK247" s="3"/>
      <c r="AL247" s="3" t="str">
        <f>IFERROR(__xludf.DUMMYFUNCTION("""COMPUTED_VALUE"""),"bcfs_sm_booncharoen@foodservices.bigc.co.th")</f>
        <v>bcfs_sm_booncharoen@foodservices.bigc.co.th</v>
      </c>
    </row>
    <row r="248" ht="15.75" customHeight="1">
      <c r="A248" s="1" t="str">
        <f>IFERROR(__xludf.DUMMYFUNCTION("""COMPUTED_VALUE"""),"17005")</f>
        <v>17005</v>
      </c>
      <c r="B248" s="2">
        <f>IFERROR(__xludf.DUMMYFUNCTION("""COMPUTED_VALUE"""),17005.0)</f>
        <v>17005</v>
      </c>
      <c r="C248" s="3" t="str">
        <f>IFERROR(__xludf.DUMMYFUNCTION("""COMPUTED_VALUE"""),"เอกชัย")</f>
        <v>เอกชัย</v>
      </c>
      <c r="D248" s="3" t="str">
        <f>IFERROR(__xludf.DUMMYFUNCTION("""COMPUTED_VALUE"""),"BCFS EKACHAI")</f>
        <v>BCFS EKACHAI</v>
      </c>
      <c r="E248" s="1" t="str">
        <f>IFERROR(__xludf.DUMMYFUNCTION("""COMPUTED_VALUE"""),"บิ๊กซี Food service")</f>
        <v>บิ๊กซี Food service</v>
      </c>
      <c r="F248" s="1" t="str">
        <f>IFERROR(__xludf.DUMMYFUNCTION("""COMPUTED_VALUE"""),"2454701")</f>
        <v>2454701</v>
      </c>
      <c r="G248" s="1" t="str">
        <f>IFERROR(__xludf.DUMMYFUNCTION("""COMPUTED_VALUE"""),"นายกานต์ ไชยแสงศรี")</f>
        <v>นายกานต์ ไชยแสงศรี</v>
      </c>
      <c r="H248" s="1" t="str">
        <f>IFERROR(__xludf.DUMMYFUNCTION("""COMPUTED_VALUE"""),"2454701")</f>
        <v>2454701</v>
      </c>
      <c r="I248" s="1" t="str">
        <f>IFERROR(__xludf.DUMMYFUNCTION("""COMPUTED_VALUE"""),"นายกานต์ ไชยแสงศรี")</f>
        <v>นายกานต์ ไชยแสงศรี</v>
      </c>
      <c r="J248" s="3">
        <f>IFERROR(__xludf.DUMMYFUNCTION("""COMPUTED_VALUE"""),2454701.0)</f>
        <v>2454701</v>
      </c>
      <c r="K248" s="3" t="str">
        <f>IFERROR(__xludf.DUMMYFUNCTION("""COMPUTED_VALUE"""),"นายกานต์ ไชยแสงศรี")</f>
        <v>นายกานต์ ไชยแสงศรี</v>
      </c>
      <c r="L248" s="1" t="str">
        <f>IFERROR(__xludf.DUMMYFUNCTION("""COMPUTED_VALUE"""),"Hub01-BKK 1")</f>
        <v>Hub01-BKK 1</v>
      </c>
      <c r="M248" s="1" t="str">
        <f>IFERROR(__xludf.DUMMYFUNCTION("""COMPUTED_VALUE"""),"0909090652")</f>
        <v>0909090652</v>
      </c>
      <c r="N248" s="3">
        <f>IFERROR(__xludf.DUMMYFUNCTION("""COMPUTED_VALUE"""),17005.0)</f>
        <v>17005</v>
      </c>
      <c r="O248" s="3" t="str">
        <f>IFERROR(__xludf.DUMMYFUNCTION("""COMPUTED_VALUE"""),"เอกชัย")</f>
        <v>เอกชัย</v>
      </c>
      <c r="P248" s="4">
        <f>IFERROR(__xludf.DUMMYFUNCTION("""COMPUTED_VALUE"""),45020.0)</f>
        <v>45020</v>
      </c>
      <c r="Q248" s="3" t="str">
        <f>IFERROR(__xludf.DUMMYFUNCTION("""COMPUTED_VALUE"""),"A")</f>
        <v>A</v>
      </c>
      <c r="R248" s="3" t="str">
        <f>IFERROR(__xludf.DUMMYFUNCTION("""COMPUTED_VALUE"""),"Big Format")</f>
        <v>Big Format</v>
      </c>
      <c r="S248" s="3" t="str">
        <f>IFERROR(__xludf.DUMMYFUNCTION("""COMPUTED_VALUE"""),"BCFS")</f>
        <v>BCFS</v>
      </c>
      <c r="T248" s="3" t="str">
        <f>IFERROR(__xludf.DUMMYFUNCTION("""COMPUTED_VALUE"""),"Hub01-BKK 1")</f>
        <v>Hub01-BKK 1</v>
      </c>
      <c r="U248" s="3" t="str">
        <f>IFERROR(__xludf.DUMMYFUNCTION("""COMPUTED_VALUE"""),"Hub01-BKK 1")</f>
        <v>Hub01-BKK 1</v>
      </c>
      <c r="V248" s="3" t="str">
        <f>IFERROR(__xludf.DUMMYFUNCTION("""COMPUTED_VALUE"""),"N")</f>
        <v>N</v>
      </c>
      <c r="W248" s="3">
        <f>IFERROR(__xludf.DUMMYFUNCTION("""COMPUTED_VALUE"""),116004.0)</f>
        <v>116004</v>
      </c>
      <c r="X248" s="3" t="str">
        <f>IFERROR(__xludf.DUMMYFUNCTION("""COMPUTED_VALUE"""),"9 21 หมู่ที่3 ถ. เอกชัย ตำบล บางน้ำจืด อำเภอเมืองสมุทรสาคร สมุทรสาคร 74000")</f>
        <v>9 21 หมู่ที่3 ถ. เอกชัย ตำบล บางน้ำจืด อำเภอเมืองสมุทรสาคร สมุทรสาคร 74000</v>
      </c>
      <c r="Y248" s="3" t="str">
        <f>IFERROR(__xludf.DUMMYFUNCTION("""COMPUTED_VALUE"""),"เอกชัย")</f>
        <v>เอกชัย</v>
      </c>
      <c r="Z248" s="3" t="str">
        <f>IFERROR(__xludf.DUMMYFUNCTION("""COMPUTED_VALUE"""),"บางน้ำจืด")</f>
        <v>บางน้ำจืด</v>
      </c>
      <c r="AA248" s="3" t="str">
        <f>IFERROR(__xludf.DUMMYFUNCTION("""COMPUTED_VALUE"""),"เมืองสมุทรปราการ")</f>
        <v>เมืองสมุทรปราการ</v>
      </c>
      <c r="AB248" s="3" t="str">
        <f>IFERROR(__xludf.DUMMYFUNCTION("""COMPUTED_VALUE"""),"สมุทรปราการ")</f>
        <v>สมุทรปราการ</v>
      </c>
      <c r="AC248" s="3">
        <f>IFERROR(__xludf.DUMMYFUNCTION("""COMPUTED_VALUE"""),74000.0)</f>
        <v>74000</v>
      </c>
      <c r="AD248" s="3">
        <f>IFERROR(__xludf.DUMMYFUNCTION("""COMPUTED_VALUE"""),13.6232283)</f>
        <v>13.6232283</v>
      </c>
      <c r="AE248" s="3">
        <f>IFERROR(__xludf.DUMMYFUNCTION("""COMPUTED_VALUE"""),100.3536083)</f>
        <v>100.3536083</v>
      </c>
      <c r="AF248" s="3" t="str">
        <f>IFERROR(__xludf.DUMMYFUNCTION("""COMPUTED_VALUE"""),"เอกชัย-17005")</f>
        <v>เอกชัย-17005</v>
      </c>
      <c r="AG248" s="3" t="str">
        <f>IFERROR(__xludf.DUMMYFUNCTION("""COMPUTED_VALUE"""),"กลาง")</f>
        <v>กลาง</v>
      </c>
      <c r="AH248" s="3" t="str">
        <f>IFERROR(__xludf.DUMMYFUNCTION("""COMPUTED_VALUE"""),"#N/A")</f>
        <v>#N/A</v>
      </c>
      <c r="AI248" s="3" t="str">
        <f>IFERROR(__xludf.DUMMYFUNCTION("""COMPUTED_VALUE"""),"Out of warranty")</f>
        <v>Out of warranty</v>
      </c>
      <c r="AJ248" s="3">
        <f>IFERROR(__xludf.DUMMYFUNCTION("""COMPUTED_VALUE"""),34.0)</f>
        <v>34</v>
      </c>
      <c r="AK248" s="3"/>
      <c r="AL248" s="3" t="str">
        <f>IFERROR(__xludf.DUMMYFUNCTION("""COMPUTED_VALUE"""),"bcfs_sm_ekachai@foodservices.bigc.co.th")</f>
        <v>bcfs_sm_ekachai@foodservices.bigc.co.th</v>
      </c>
    </row>
    <row r="249" ht="15.75" customHeight="1">
      <c r="A249" s="1" t="str">
        <f>IFERROR(__xludf.DUMMYFUNCTION("""COMPUTED_VALUE"""),"17006")</f>
        <v>17006</v>
      </c>
      <c r="B249" s="2">
        <f>IFERROR(__xludf.DUMMYFUNCTION("""COMPUTED_VALUE"""),17006.0)</f>
        <v>17006</v>
      </c>
      <c r="C249" s="3" t="str">
        <f>IFERROR(__xludf.DUMMYFUNCTION("""COMPUTED_VALUE"""),"บางนา BCFS")</f>
        <v>บางนา BCFS</v>
      </c>
      <c r="D249" s="3" t="str">
        <f>IFERROR(__xludf.DUMMYFUNCTION("""COMPUTED_VALUE"""),"BCFS BANGNA")</f>
        <v>BCFS BANGNA</v>
      </c>
      <c r="E249" s="1" t="str">
        <f>IFERROR(__xludf.DUMMYFUNCTION("""COMPUTED_VALUE"""),"บิ๊กซี Food service")</f>
        <v>บิ๊กซี Food service</v>
      </c>
      <c r="F249" s="1" t="str">
        <f>IFERROR(__xludf.DUMMYFUNCTION("""COMPUTED_VALUE"""),"13461215")</f>
        <v>13461215</v>
      </c>
      <c r="G249" s="1" t="str">
        <f>IFERROR(__xludf.DUMMYFUNCTION("""COMPUTED_VALUE"""),"นายธีรภัทร สังข์เงิน")</f>
        <v>นายธีรภัทร สังข์เงิน</v>
      </c>
      <c r="H249" s="1" t="str">
        <f>IFERROR(__xludf.DUMMYFUNCTION("""COMPUTED_VALUE"""),"13461215")</f>
        <v>13461215</v>
      </c>
      <c r="I249" s="1" t="str">
        <f>IFERROR(__xludf.DUMMYFUNCTION("""COMPUTED_VALUE"""),"นายธีรภัทร สังข์เงิน")</f>
        <v>นายธีรภัทร สังข์เงิน</v>
      </c>
      <c r="J249" s="3">
        <f>IFERROR(__xludf.DUMMYFUNCTION("""COMPUTED_VALUE"""),1.3461215E7)</f>
        <v>13461215</v>
      </c>
      <c r="K249" s="3" t="str">
        <f>IFERROR(__xludf.DUMMYFUNCTION("""COMPUTED_VALUE"""),"นายธีรภัทร สังข์เงิน")</f>
        <v>นายธีรภัทร สังข์เงิน</v>
      </c>
      <c r="L249" s="1" t="str">
        <f>IFERROR(__xludf.DUMMYFUNCTION("""COMPUTED_VALUE"""),"06 K.Teerapat")</f>
        <v>06 K.Teerapat</v>
      </c>
      <c r="M249" s="1" t="str">
        <f>IFERROR(__xludf.DUMMYFUNCTION("""COMPUTED_VALUE"""),"063-601-6803")</f>
        <v>063-601-6803</v>
      </c>
      <c r="N249" s="3">
        <f>IFERROR(__xludf.DUMMYFUNCTION("""COMPUTED_VALUE"""),17006.0)</f>
        <v>17006</v>
      </c>
      <c r="O249" s="3" t="str">
        <f>IFERROR(__xludf.DUMMYFUNCTION("""COMPUTED_VALUE"""),"บางนา BCFS")</f>
        <v>บางนา BCFS</v>
      </c>
      <c r="P249" s="4">
        <f>IFERROR(__xludf.DUMMYFUNCTION("""COMPUTED_VALUE"""),45108.0)</f>
        <v>45108</v>
      </c>
      <c r="Q249" s="3" t="str">
        <f>IFERROR(__xludf.DUMMYFUNCTION("""COMPUTED_VALUE"""),"I")</f>
        <v>I</v>
      </c>
      <c r="R249" s="3" t="str">
        <f>IFERROR(__xludf.DUMMYFUNCTION("""COMPUTED_VALUE"""),"Big Format")</f>
        <v>Big Format</v>
      </c>
      <c r="S249" s="3" t="str">
        <f>IFERROR(__xludf.DUMMYFUNCTION("""COMPUTED_VALUE"""),"BCFS")</f>
        <v>BCFS</v>
      </c>
      <c r="T249" s="3" t="str">
        <f>IFERROR(__xludf.DUMMYFUNCTION("""COMPUTED_VALUE"""),"06 K.Teerapat")</f>
        <v>06 K.Teerapat</v>
      </c>
      <c r="U249" s="3" t="str">
        <f>IFERROR(__xludf.DUMMYFUNCTION("""COMPUTED_VALUE"""),"06 K.Teerapat")</f>
        <v>06 K.Teerapat</v>
      </c>
      <c r="V249" s="3" t="str">
        <f>IFERROR(__xludf.DUMMYFUNCTION("""COMPUTED_VALUE"""),"N")</f>
        <v>N</v>
      </c>
      <c r="W249" s="3">
        <f>IFERROR(__xludf.DUMMYFUNCTION("""COMPUTED_VALUE"""),116007.0)</f>
        <v>116007</v>
      </c>
      <c r="X249" s="3" t="str">
        <f>IFERROR(__xludf.DUMMYFUNCTION("""COMPUTED_VALUE"""),"611 ถ. เทพรัตน บางนาเหนือ เขตบางนา กรุงเทพมหานคร 10260")</f>
        <v>611 ถ. เทพรัตน บางนาเหนือ เขตบางนา กรุงเทพมหานคร 10260</v>
      </c>
      <c r="Y249" s="3" t="str">
        <f>IFERROR(__xludf.DUMMYFUNCTION("""COMPUTED_VALUE"""),"เทพรัตน")</f>
        <v>เทพรัตน</v>
      </c>
      <c r="Z249" s="3" t="str">
        <f>IFERROR(__xludf.DUMMYFUNCTION("""COMPUTED_VALUE"""),"บางนาเหนือ")</f>
        <v>บางนาเหนือ</v>
      </c>
      <c r="AA249" s="3" t="str">
        <f>IFERROR(__xludf.DUMMYFUNCTION("""COMPUTED_VALUE"""),"บางนา")</f>
        <v>บางนา</v>
      </c>
      <c r="AB249" s="3" t="str">
        <f>IFERROR(__xludf.DUMMYFUNCTION("""COMPUTED_VALUE"""),"กรุงเทพมหานคร")</f>
        <v>กรุงเทพมหานคร</v>
      </c>
      <c r="AC249" s="3">
        <f>IFERROR(__xludf.DUMMYFUNCTION("""COMPUTED_VALUE"""),10260.0)</f>
        <v>10260</v>
      </c>
      <c r="AD249" s="3">
        <f>IFERROR(__xludf.DUMMYFUNCTION("""COMPUTED_VALUE"""),13.66929143)</f>
        <v>13.66929143</v>
      </c>
      <c r="AE249" s="3">
        <f>IFERROR(__xludf.DUMMYFUNCTION("""COMPUTED_VALUE"""),100.6352509)</f>
        <v>100.6352509</v>
      </c>
      <c r="AF249" s="3" t="str">
        <f>IFERROR(__xludf.DUMMYFUNCTION("""COMPUTED_VALUE"""),"บางนา BCFS-17006")</f>
        <v>บางนา BCFS-17006</v>
      </c>
      <c r="AG249" s="3" t="str">
        <f>IFERROR(__xludf.DUMMYFUNCTION("""COMPUTED_VALUE"""),"กลาง")</f>
        <v>กลาง</v>
      </c>
      <c r="AH249" s="3" t="str">
        <f>IFERROR(__xludf.DUMMYFUNCTION("""COMPUTED_VALUE"""),"#N/A")</f>
        <v>#N/A</v>
      </c>
      <c r="AI249" s="3" t="str">
        <f>IFERROR(__xludf.DUMMYFUNCTION("""COMPUTED_VALUE"""),"Out of warranty")</f>
        <v>Out of warranty</v>
      </c>
      <c r="AJ249" s="3">
        <f>IFERROR(__xludf.DUMMYFUNCTION("""COMPUTED_VALUE"""),31.0)</f>
        <v>31</v>
      </c>
      <c r="AK249" s="3"/>
      <c r="AL249" s="3" t="str">
        <f>IFERROR(__xludf.DUMMYFUNCTION("""COMPUTED_VALUE"""),"#N/A")</f>
        <v>#N/A</v>
      </c>
    </row>
    <row r="250" ht="15.75" customHeight="1">
      <c r="A250" s="1" t="str">
        <f>IFERROR(__xludf.DUMMYFUNCTION("""COMPUTED_VALUE"""),"17007")</f>
        <v>17007</v>
      </c>
      <c r="B250" s="2">
        <f>IFERROR(__xludf.DUMMYFUNCTION("""COMPUTED_VALUE"""),17007.0)</f>
        <v>17007</v>
      </c>
      <c r="C250" s="3" t="str">
        <f>IFERROR(__xludf.DUMMYFUNCTION("""COMPUTED_VALUE"""),"สนามบินน้ำ")</f>
        <v>สนามบินน้ำ</v>
      </c>
      <c r="D250" s="3" t="str">
        <f>IFERROR(__xludf.DUMMYFUNCTION("""COMPUTED_VALUE"""),"BCFS SANAM BIN NAM")</f>
        <v>BCFS SANAM BIN NAM</v>
      </c>
      <c r="E250" s="1" t="str">
        <f>IFERROR(__xludf.DUMMYFUNCTION("""COMPUTED_VALUE"""),"บิ๊กซี Food service")</f>
        <v>บิ๊กซี Food service</v>
      </c>
      <c r="F250" s="1" t="str">
        <f>IFERROR(__xludf.DUMMYFUNCTION("""COMPUTED_VALUE"""),"2454813")</f>
        <v>2454813</v>
      </c>
      <c r="G250" s="1" t="str">
        <f>IFERROR(__xludf.DUMMYFUNCTION("""COMPUTED_VALUE"""),"นายอนุรักษ์ จั่นเที่ยง")</f>
        <v>นายอนุรักษ์ จั่นเที่ยง</v>
      </c>
      <c r="H250" s="1" t="str">
        <f>IFERROR(__xludf.DUMMYFUNCTION("""COMPUTED_VALUE"""),"2454813")</f>
        <v>2454813</v>
      </c>
      <c r="I250" s="1" t="str">
        <f>IFERROR(__xludf.DUMMYFUNCTION("""COMPUTED_VALUE"""),"นายอนุรักษ์ จั่นเที่ยง")</f>
        <v>นายอนุรักษ์ จั่นเที่ยง</v>
      </c>
      <c r="J250" s="3">
        <f>IFERROR(__xludf.DUMMYFUNCTION("""COMPUTED_VALUE"""),2454813.0)</f>
        <v>2454813</v>
      </c>
      <c r="K250" s="3" t="str">
        <f>IFERROR(__xludf.DUMMYFUNCTION("""COMPUTED_VALUE"""),"นายอนุรักษ์ จั่นเที่ยง")</f>
        <v>นายอนุรักษ์ จั่นเที่ยง</v>
      </c>
      <c r="L250" s="1" t="str">
        <f>IFERROR(__xludf.DUMMYFUNCTION("""COMPUTED_VALUE"""),"Hub04-BKK 4")</f>
        <v>Hub04-BKK 4</v>
      </c>
      <c r="M250" s="1" t="str">
        <f>IFERROR(__xludf.DUMMYFUNCTION("""COMPUTED_VALUE"""),"0991964531")</f>
        <v>0991964531</v>
      </c>
      <c r="N250" s="3">
        <f>IFERROR(__xludf.DUMMYFUNCTION("""COMPUTED_VALUE"""),17007.0)</f>
        <v>17007</v>
      </c>
      <c r="O250" s="3" t="str">
        <f>IFERROR(__xludf.DUMMYFUNCTION("""COMPUTED_VALUE"""),"สนามบินน้ำ")</f>
        <v>สนามบินน้ำ</v>
      </c>
      <c r="P250" s="4">
        <f>IFERROR(__xludf.DUMMYFUNCTION("""COMPUTED_VALUE"""),45143.0)</f>
        <v>45143</v>
      </c>
      <c r="Q250" s="3" t="str">
        <f>IFERROR(__xludf.DUMMYFUNCTION("""COMPUTED_VALUE"""),"A")</f>
        <v>A</v>
      </c>
      <c r="R250" s="3" t="str">
        <f>IFERROR(__xludf.DUMMYFUNCTION("""COMPUTED_VALUE"""),"Big Format")</f>
        <v>Big Format</v>
      </c>
      <c r="S250" s="3" t="str">
        <f>IFERROR(__xludf.DUMMYFUNCTION("""COMPUTED_VALUE"""),"BCFS")</f>
        <v>BCFS</v>
      </c>
      <c r="T250" s="3" t="str">
        <f>IFERROR(__xludf.DUMMYFUNCTION("""COMPUTED_VALUE"""),"Hub04-BKK 4")</f>
        <v>Hub04-BKK 4</v>
      </c>
      <c r="U250" s="3" t="str">
        <f>IFERROR(__xludf.DUMMYFUNCTION("""COMPUTED_VALUE"""),"Hub04-BKK 4")</f>
        <v>Hub04-BKK 4</v>
      </c>
      <c r="V250" s="3" t="str">
        <f>IFERROR(__xludf.DUMMYFUNCTION("""COMPUTED_VALUE"""),"N")</f>
        <v>N</v>
      </c>
      <c r="W250" s="3">
        <f>IFERROR(__xludf.DUMMYFUNCTION("""COMPUTED_VALUE"""),116005.0)</f>
        <v>116005</v>
      </c>
      <c r="X250" s="3" t="str">
        <f>IFERROR(__xludf.DUMMYFUNCTION("""COMPUTED_VALUE"""),"79 ถนนเลี่ยงเมืองนนทบุรี ตำบลท่าทราย อำเภอเมืองนนทบุรี จังหวัดนนทบุรี 11000")</f>
        <v>79 ถนนเลี่ยงเมืองนนทบุรี ตำบลท่าทราย อำเภอเมืองนนทบุรี จังหวัดนนทบุรี 11000</v>
      </c>
      <c r="Y250" s="3" t="str">
        <f>IFERROR(__xludf.DUMMYFUNCTION("""COMPUTED_VALUE"""),"เลี่ยงเมืองนนทบุรี")</f>
        <v>เลี่ยงเมืองนนทบุรี</v>
      </c>
      <c r="Z250" s="3" t="str">
        <f>IFERROR(__xludf.DUMMYFUNCTION("""COMPUTED_VALUE"""),"ท่าทราย")</f>
        <v>ท่าทราย</v>
      </c>
      <c r="AA250" s="3" t="str">
        <f>IFERROR(__xludf.DUMMYFUNCTION("""COMPUTED_VALUE"""),"เมืองนนทบุรี")</f>
        <v>เมืองนนทบุรี</v>
      </c>
      <c r="AB250" s="3" t="str">
        <f>IFERROR(__xludf.DUMMYFUNCTION("""COMPUTED_VALUE"""),"นนทบุรี")</f>
        <v>นนทบุรี</v>
      </c>
      <c r="AC250" s="3">
        <f>IFERROR(__xludf.DUMMYFUNCTION("""COMPUTED_VALUE"""),11000.0)</f>
        <v>11000</v>
      </c>
      <c r="AD250" s="3">
        <f>IFERROR(__xludf.DUMMYFUNCTION("""COMPUTED_VALUE"""),13.88136355)</f>
        <v>13.88136355</v>
      </c>
      <c r="AE250" s="3">
        <f>IFERROR(__xludf.DUMMYFUNCTION("""COMPUTED_VALUE"""),100.4960242)</f>
        <v>100.4960242</v>
      </c>
      <c r="AF250" s="3" t="str">
        <f>IFERROR(__xludf.DUMMYFUNCTION("""COMPUTED_VALUE"""),"สนามบินน้ำ-17007")</f>
        <v>สนามบินน้ำ-17007</v>
      </c>
      <c r="AG250" s="3" t="str">
        <f>IFERROR(__xludf.DUMMYFUNCTION("""COMPUTED_VALUE"""),"กลาง")</f>
        <v>กลาง</v>
      </c>
      <c r="AH250" s="3" t="str">
        <f>IFERROR(__xludf.DUMMYFUNCTION("""COMPUTED_VALUE"""),"#N/A")</f>
        <v>#N/A</v>
      </c>
      <c r="AI250" s="3" t="str">
        <f>IFERROR(__xludf.DUMMYFUNCTION("""COMPUTED_VALUE"""),"Out of warranty")</f>
        <v>Out of warranty</v>
      </c>
      <c r="AJ250" s="3">
        <f>IFERROR(__xludf.DUMMYFUNCTION("""COMPUTED_VALUE"""),30.0)</f>
        <v>30</v>
      </c>
      <c r="AK250" s="3"/>
      <c r="AL250" s="3" t="str">
        <f>IFERROR(__xludf.DUMMYFUNCTION("""COMPUTED_VALUE"""),"bcfs_sm_sanambinnam@foodservices.bigc.co.th")</f>
        <v>bcfs_sm_sanambinnam@foodservices.bigc.co.th</v>
      </c>
    </row>
    <row r="251" ht="15.75" customHeight="1">
      <c r="A251" s="1" t="str">
        <f>IFERROR(__xludf.DUMMYFUNCTION("""COMPUTED_VALUE"""),"17008")</f>
        <v>17008</v>
      </c>
      <c r="B251" s="2">
        <f>IFERROR(__xludf.DUMMYFUNCTION("""COMPUTED_VALUE"""),17008.0)</f>
        <v>17008</v>
      </c>
      <c r="C251" s="3" t="str">
        <f>IFERROR(__xludf.DUMMYFUNCTION("""COMPUTED_VALUE"""),"เอ็มเอ็ม สาขาพัทยา 2")</f>
        <v>เอ็มเอ็ม สาขาพัทยา 2</v>
      </c>
      <c r="D251" s="3" t="str">
        <f>IFERROR(__xludf.DUMMYFUNCTION("""COMPUTED_VALUE"""),"BCFS PATAYA 2")</f>
        <v>BCFS PATAYA 2</v>
      </c>
      <c r="E251" s="1" t="str">
        <f>IFERROR(__xludf.DUMMYFUNCTION("""COMPUTED_VALUE"""),"บิ๊กซี Food service")</f>
        <v>บิ๊กซี Food service</v>
      </c>
      <c r="F251" s="1" t="str">
        <f>IFERROR(__xludf.DUMMYFUNCTION("""COMPUTED_VALUE"""),"2454780")</f>
        <v>2454780</v>
      </c>
      <c r="G251" s="1" t="str">
        <f>IFERROR(__xludf.DUMMYFUNCTION("""COMPUTED_VALUE"""),"นายดุสิต ตนะวรรณสมบัติ")</f>
        <v>นายดุสิต ตนะวรรณสมบัติ</v>
      </c>
      <c r="H251" s="1" t="str">
        <f>IFERROR(__xludf.DUMMYFUNCTION("""COMPUTED_VALUE"""),"2454780")</f>
        <v>2454780</v>
      </c>
      <c r="I251" s="1" t="str">
        <f>IFERROR(__xludf.DUMMYFUNCTION("""COMPUTED_VALUE"""),"นายดุสิต ตนะวรรณสมบัติ")</f>
        <v>นายดุสิต ตนะวรรณสมบัติ</v>
      </c>
      <c r="J251" s="3">
        <f>IFERROR(__xludf.DUMMYFUNCTION("""COMPUTED_VALUE"""),2454780.0)</f>
        <v>2454780</v>
      </c>
      <c r="K251" s="3" t="str">
        <f>IFERROR(__xludf.DUMMYFUNCTION("""COMPUTED_VALUE"""),"นายดุสิต ตนะวรรณสมบัติ")</f>
        <v>นายดุสิต ตนะวรรณสมบัติ</v>
      </c>
      <c r="L251" s="1" t="str">
        <f>IFERROR(__xludf.DUMMYFUNCTION("""COMPUTED_VALUE"""),"0")</f>
        <v>0</v>
      </c>
      <c r="M251" s="1" t="str">
        <f>IFERROR(__xludf.DUMMYFUNCTION("""COMPUTED_VALUE"""),"0")</f>
        <v>0</v>
      </c>
      <c r="N251" s="3">
        <f>IFERROR(__xludf.DUMMYFUNCTION("""COMPUTED_VALUE"""),17008.0)</f>
        <v>17008</v>
      </c>
      <c r="O251" s="3" t="str">
        <f>IFERROR(__xludf.DUMMYFUNCTION("""COMPUTED_VALUE"""),"เอ็มเอ็ม สาขาพัทยา 2")</f>
        <v>เอ็มเอ็ม สาขาพัทยา 2</v>
      </c>
      <c r="P251" s="4">
        <f>IFERROR(__xludf.DUMMYFUNCTION("""COMPUTED_VALUE"""),45427.0)</f>
        <v>45427</v>
      </c>
      <c r="Q251" s="3" t="str">
        <f>IFERROR(__xludf.DUMMYFUNCTION("""COMPUTED_VALUE"""),"I")</f>
        <v>I</v>
      </c>
      <c r="R251" s="3" t="str">
        <f>IFERROR(__xludf.DUMMYFUNCTION("""COMPUTED_VALUE"""),"Big Format")</f>
        <v>Big Format</v>
      </c>
      <c r="S251" s="3" t="str">
        <f>IFERROR(__xludf.DUMMYFUNCTION("""COMPUTED_VALUE"""),"BCFS")</f>
        <v>BCFS</v>
      </c>
      <c r="T251" s="3" t="str">
        <f>IFERROR(__xludf.DUMMYFUNCTION("""COMPUTED_VALUE"""),"#N/A")</f>
        <v>#N/A</v>
      </c>
      <c r="U251" s="3" t="str">
        <f>IFERROR(__xludf.DUMMYFUNCTION("""COMPUTED_VALUE"""),"#N/A")</f>
        <v>#N/A</v>
      </c>
      <c r="V251" s="3" t="str">
        <f>IFERROR(__xludf.DUMMYFUNCTION("""COMPUTED_VALUE"""),"N")</f>
        <v>N</v>
      </c>
      <c r="W251" s="3">
        <f>IFERROR(__xludf.DUMMYFUNCTION("""COMPUTED_VALUE"""),116008.0)</f>
        <v>116008</v>
      </c>
      <c r="X251" s="3" t="str">
        <f>IFERROR(__xludf.DUMMYFUNCTION("""COMPUTED_VALUE"""),"565/41 หมู่10 ตำบลหนองปรือ อำเภอบางละมุง จังหวัดชลบุรี 20150")</f>
        <v>565/41 หมู่10 ตำบลหนองปรือ อำเภอบางละมุง จังหวัดชลบุรี 20150</v>
      </c>
      <c r="Y251" s="3"/>
      <c r="Z251" s="3" t="str">
        <f>IFERROR(__xludf.DUMMYFUNCTION("""COMPUTED_VALUE"""),"หนองปรือ")</f>
        <v>หนองปรือ</v>
      </c>
      <c r="AA251" s="3" t="str">
        <f>IFERROR(__xludf.DUMMYFUNCTION("""COMPUTED_VALUE"""),"บางละมุง")</f>
        <v>บางละมุง</v>
      </c>
      <c r="AB251" s="3" t="str">
        <f>IFERROR(__xludf.DUMMYFUNCTION("""COMPUTED_VALUE"""),"ชลบุรี")</f>
        <v>ชลบุรี</v>
      </c>
      <c r="AC251" s="3">
        <f>IFERROR(__xludf.DUMMYFUNCTION("""COMPUTED_VALUE"""),20150.0)</f>
        <v>20150</v>
      </c>
      <c r="AD251" s="3">
        <f>IFERROR(__xludf.DUMMYFUNCTION("""COMPUTED_VALUE"""),12.94579471)</f>
        <v>12.94579471</v>
      </c>
      <c r="AE251" s="3">
        <f>IFERROR(__xludf.DUMMYFUNCTION("""COMPUTED_VALUE"""),100.8911517)</f>
        <v>100.8911517</v>
      </c>
      <c r="AF251" s="3" t="str">
        <f>IFERROR(__xludf.DUMMYFUNCTION("""COMPUTED_VALUE"""),"เอ็มเอ็ม สาขาพัทยา 2-17008")</f>
        <v>เอ็มเอ็ม สาขาพัทยา 2-17008</v>
      </c>
      <c r="AG251" s="3" t="str">
        <f>IFERROR(__xludf.DUMMYFUNCTION("""COMPUTED_VALUE"""),"ตะวันออก")</f>
        <v>ตะวันออก</v>
      </c>
      <c r="AH251" s="3" t="str">
        <f>IFERROR(__xludf.DUMMYFUNCTION("""COMPUTED_VALUE"""),"#N/A")</f>
        <v>#N/A</v>
      </c>
      <c r="AI251" s="3" t="str">
        <f>IFERROR(__xludf.DUMMYFUNCTION("""COMPUTED_VALUE"""),"Out of warranty")</f>
        <v>Out of warranty</v>
      </c>
      <c r="AJ251" s="3">
        <f>IFERROR(__xludf.DUMMYFUNCTION("""COMPUTED_VALUE"""),21.0)</f>
        <v>21</v>
      </c>
      <c r="AK251" s="3"/>
      <c r="AL251" s="3" t="str">
        <f>IFERROR(__xludf.DUMMYFUNCTION("""COMPUTED_VALUE"""),"bcfs_sm_pataya2@foodservices.bigc.co.th")</f>
        <v>bcfs_sm_pataya2@foodservices.bigc.co.th</v>
      </c>
    </row>
    <row r="252" ht="15.75" customHeight="1">
      <c r="A252" s="1" t="str">
        <f>IFERROR(__xludf.DUMMYFUNCTION("""COMPUTED_VALUE"""),"21002")</f>
        <v>21002</v>
      </c>
      <c r="B252" s="2">
        <f>IFERROR(__xludf.DUMMYFUNCTION("""COMPUTED_VALUE"""),21002.0)</f>
        <v>21002</v>
      </c>
      <c r="C252" s="3" t="str">
        <f>IFERROR(__xludf.DUMMYFUNCTION("""COMPUTED_VALUE"""),"MBC อุดมสุข")</f>
        <v>MBC อุดมสุข</v>
      </c>
      <c r="D252" s="3" t="str">
        <f>IFERROR(__xludf.DUMMYFUNCTION("""COMPUTED_VALUE"""),"BCM UDOMSUK")</f>
        <v>BCM UDOMSUK</v>
      </c>
      <c r="E252" s="1" t="str">
        <f>IFERROR(__xludf.DUMMYFUNCTION("""COMPUTED_VALUE"""),"บิ๊กซี MINI")</f>
        <v>บิ๊กซี MINI</v>
      </c>
      <c r="F252" s="1" t="str">
        <f>IFERROR(__xludf.DUMMYFUNCTION("""COMPUTED_VALUE"""),"291008")</f>
        <v>291008</v>
      </c>
      <c r="G252" s="1" t="str">
        <f>IFERROR(__xludf.DUMMYFUNCTION("""COMPUTED_VALUE"""),"น.ส.รัชดาพร อีศรัตน์")</f>
        <v>น.ส.รัชดาพร อีศรัตน์</v>
      </c>
      <c r="H252" s="1" t="str">
        <f>IFERROR(__xludf.DUMMYFUNCTION("""COMPUTED_VALUE"""),"359054")</f>
        <v>359054</v>
      </c>
      <c r="I252" s="1" t="str">
        <f>IFERROR(__xludf.DUMMYFUNCTION("""COMPUTED_VALUE"""),"น.ส.กรรณิการ์ พุทธวงค์")</f>
        <v>น.ส.กรรณิการ์ พุทธวงค์</v>
      </c>
      <c r="J252" s="3">
        <f>IFERROR(__xludf.DUMMYFUNCTION("""COMPUTED_VALUE"""),2452378.0)</f>
        <v>2452378</v>
      </c>
      <c r="K252" s="3" t="str">
        <f>IFERROR(__xludf.DUMMYFUNCTION("""COMPUTED_VALUE"""),"นายศักดิ์ดา พวงประดับ")</f>
        <v>นายศักดิ์ดา พวงประดับ</v>
      </c>
      <c r="L252" s="1" t="str">
        <f>IFERROR(__xludf.DUMMYFUNCTION("""COMPUTED_VALUE"""),"11 K.Sakda P.")</f>
        <v>11 K.Sakda P.</v>
      </c>
      <c r="M252" s="1" t="str">
        <f>IFERROR(__xludf.DUMMYFUNCTION("""COMPUTED_VALUE"""),"065-929-1279")</f>
        <v>065-929-1279</v>
      </c>
      <c r="N252" s="3">
        <f>IFERROR(__xludf.DUMMYFUNCTION("""COMPUTED_VALUE"""),21002.0)</f>
        <v>21002</v>
      </c>
      <c r="O252" s="3" t="str">
        <f>IFERROR(__xludf.DUMMYFUNCTION("""COMPUTED_VALUE"""),"MBC อุดมสุข")</f>
        <v>MBC อุดมสุข</v>
      </c>
      <c r="P252" s="4">
        <f>IFERROR(__xludf.DUMMYFUNCTION("""COMPUTED_VALUE"""),38851.0)</f>
        <v>38851</v>
      </c>
      <c r="Q252" s="3" t="str">
        <f>IFERROR(__xludf.DUMMYFUNCTION("""COMPUTED_VALUE"""),"A")</f>
        <v>A</v>
      </c>
      <c r="R252" s="3" t="str">
        <f>IFERROR(__xludf.DUMMYFUNCTION("""COMPUTED_VALUE"""),"Small Format")</f>
        <v>Small Format</v>
      </c>
      <c r="S252" s="3" t="str">
        <f>IFERROR(__xludf.DUMMYFUNCTION("""COMPUTED_VALUE"""),"BCM")</f>
        <v>BCM</v>
      </c>
      <c r="T252" s="3" t="str">
        <f>IFERROR(__xludf.DUMMYFUNCTION("""COMPUTED_VALUE"""),"#N/A")</f>
        <v>#N/A</v>
      </c>
      <c r="U252" s="3" t="str">
        <f>IFERROR(__xludf.DUMMYFUNCTION("""COMPUTED_VALUE"""),"#N/A")</f>
        <v>#N/A</v>
      </c>
      <c r="V252" s="3" t="str">
        <f>IFERROR(__xludf.DUMMYFUNCTION("""COMPUTED_VALUE"""),"N")</f>
        <v>N</v>
      </c>
      <c r="W252" s="3">
        <f>IFERROR(__xludf.DUMMYFUNCTION("""COMPUTED_VALUE"""),211001.0)</f>
        <v>211001</v>
      </c>
      <c r="X252" s="3" t="str">
        <f>IFERROR(__xludf.DUMMYFUNCTION("""COMPUTED_VALUE"""),"215/1,217 ถนนอุดมสุข แขวงบางนา เขตบางนา กรุงเทพฯ 10260")</f>
        <v>215/1,217 ถนนอุดมสุข แขวงบางนา เขตบางนา กรุงเทพฯ 10260</v>
      </c>
      <c r="Y252" s="3" t="str">
        <f>IFERROR(__xludf.DUMMYFUNCTION("""COMPUTED_VALUE"""),"ถนนอุดมสุข")</f>
        <v>ถนนอุดมสุข</v>
      </c>
      <c r="Z252" s="3" t="str">
        <f>IFERROR(__xludf.DUMMYFUNCTION("""COMPUTED_VALUE"""),"บางนา")</f>
        <v>บางนา</v>
      </c>
      <c r="AA252" s="3" t="str">
        <f>IFERROR(__xludf.DUMMYFUNCTION("""COMPUTED_VALUE"""),"บางนา")</f>
        <v>บางนา</v>
      </c>
      <c r="AB252" s="3" t="str">
        <f>IFERROR(__xludf.DUMMYFUNCTION("""COMPUTED_VALUE"""),"กรุงเทพมหานคร")</f>
        <v>กรุงเทพมหานคร</v>
      </c>
      <c r="AC252" s="3">
        <f>IFERROR(__xludf.DUMMYFUNCTION("""COMPUTED_VALUE"""),10260.0)</f>
        <v>10260</v>
      </c>
      <c r="AD252" s="3">
        <f>IFERROR(__xludf.DUMMYFUNCTION("""COMPUTED_VALUE"""),13.678967)</f>
        <v>13.678967</v>
      </c>
      <c r="AE252" s="3">
        <f>IFERROR(__xludf.DUMMYFUNCTION("""COMPUTED_VALUE"""),100.610957)</f>
        <v>100.610957</v>
      </c>
      <c r="AF252" s="3" t="str">
        <f>IFERROR(__xludf.DUMMYFUNCTION("""COMPUTED_VALUE"""),"MBC อุดมสุข-21002")</f>
        <v>MBC อุดมสุข-21002</v>
      </c>
      <c r="AG252" s="3" t="str">
        <f>IFERROR(__xludf.DUMMYFUNCTION("""COMPUTED_VALUE"""),"กลาง")</f>
        <v>กลาง</v>
      </c>
      <c r="AH252" s="3" t="str">
        <f>IFERROR(__xludf.DUMMYFUNCTION("""COMPUTED_VALUE"""),"#N/A")</f>
        <v>#N/A</v>
      </c>
      <c r="AI252" s="3" t="str">
        <f>IFERROR(__xludf.DUMMYFUNCTION("""COMPUTED_VALUE"""),"Out of warranty")</f>
        <v>Out of warranty</v>
      </c>
      <c r="AJ252" s="3">
        <f>IFERROR(__xludf.DUMMYFUNCTION("""COMPUTED_VALUE"""),237.0)</f>
        <v>237</v>
      </c>
      <c r="AK252" s="3" t="str">
        <f>IFERROR(__xludf.DUMMYFUNCTION("""COMPUTED_VALUE"""),"MMS02")</f>
        <v>MMS02</v>
      </c>
      <c r="AL252" s="3"/>
    </row>
    <row r="253" ht="15.75" customHeight="1">
      <c r="A253" s="1" t="str">
        <f>IFERROR(__xludf.DUMMYFUNCTION("""COMPUTED_VALUE"""),"21005")</f>
        <v>21005</v>
      </c>
      <c r="B253" s="2">
        <f>IFERROR(__xludf.DUMMYFUNCTION("""COMPUTED_VALUE"""),21005.0)</f>
        <v>21005</v>
      </c>
      <c r="C253" s="3" t="str">
        <f>IFERROR(__xludf.DUMMYFUNCTION("""COMPUTED_VALUE"""),"MBC ชินเขต")</f>
        <v>MBC ชินเขต</v>
      </c>
      <c r="D253" s="3" t="str">
        <f>IFERROR(__xludf.DUMMYFUNCTION("""COMPUTED_VALUE"""),"BCM CHINNAKET")</f>
        <v>BCM CHINNAKET</v>
      </c>
      <c r="E253" s="1" t="str">
        <f>IFERROR(__xludf.DUMMYFUNCTION("""COMPUTED_VALUE"""),"บิ๊กซี MINI")</f>
        <v>บิ๊กซี MINI</v>
      </c>
      <c r="F253" s="1" t="str">
        <f>IFERROR(__xludf.DUMMYFUNCTION("""COMPUTED_VALUE"""),"291008")</f>
        <v>291008</v>
      </c>
      <c r="G253" s="1" t="str">
        <f>IFERROR(__xludf.DUMMYFUNCTION("""COMPUTED_VALUE"""),"น.ส.รัชดาพร อีศรัตน์")</f>
        <v>น.ส.รัชดาพร อีศรัตน์</v>
      </c>
      <c r="H253" s="1" t="str">
        <f>IFERROR(__xludf.DUMMYFUNCTION("""COMPUTED_VALUE"""),"373540")</f>
        <v>373540</v>
      </c>
      <c r="I253" s="1" t="str">
        <f>IFERROR(__xludf.DUMMYFUNCTION("""COMPUTED_VALUE"""),"นายทศพร พึ่งพบ")</f>
        <v>นายทศพร พึ่งพบ</v>
      </c>
      <c r="J253" s="3">
        <f>IFERROR(__xludf.DUMMYFUNCTION("""COMPUTED_VALUE"""),2452378.0)</f>
        <v>2452378</v>
      </c>
      <c r="K253" s="3" t="str">
        <f>IFERROR(__xludf.DUMMYFUNCTION("""COMPUTED_VALUE"""),"นายศักดิ์ดา พวงประดับ")</f>
        <v>นายศักดิ์ดา พวงประดับ</v>
      </c>
      <c r="L253" s="1" t="str">
        <f>IFERROR(__xludf.DUMMYFUNCTION("""COMPUTED_VALUE"""),"11 K.Sakda P.")</f>
        <v>11 K.Sakda P.</v>
      </c>
      <c r="M253" s="1" t="str">
        <f>IFERROR(__xludf.DUMMYFUNCTION("""COMPUTED_VALUE"""),"065-929-1279")</f>
        <v>065-929-1279</v>
      </c>
      <c r="N253" s="3">
        <f>IFERROR(__xludf.DUMMYFUNCTION("""COMPUTED_VALUE"""),21002.0)</f>
        <v>21002</v>
      </c>
      <c r="O253" s="3" t="str">
        <f>IFERROR(__xludf.DUMMYFUNCTION("""COMPUTED_VALUE"""),"MBC อุดมสุข")</f>
        <v>MBC อุดมสุข</v>
      </c>
      <c r="P253" s="4">
        <f>IFERROR(__xludf.DUMMYFUNCTION("""COMPUTED_VALUE"""),39658.0)</f>
        <v>39658</v>
      </c>
      <c r="Q253" s="3" t="str">
        <f>IFERROR(__xludf.DUMMYFUNCTION("""COMPUTED_VALUE"""),"A")</f>
        <v>A</v>
      </c>
      <c r="R253" s="3" t="str">
        <f>IFERROR(__xludf.DUMMYFUNCTION("""COMPUTED_VALUE"""),"Small Format")</f>
        <v>Small Format</v>
      </c>
      <c r="S253" s="3" t="str">
        <f>IFERROR(__xludf.DUMMYFUNCTION("""COMPUTED_VALUE"""),"BCM")</f>
        <v>BCM</v>
      </c>
      <c r="T253" s="3" t="str">
        <f>IFERROR(__xludf.DUMMYFUNCTION("""COMPUTED_VALUE"""),"#N/A")</f>
        <v>#N/A</v>
      </c>
      <c r="U253" s="3" t="str">
        <f>IFERROR(__xludf.DUMMYFUNCTION("""COMPUTED_VALUE"""),"#N/A")</f>
        <v>#N/A</v>
      </c>
      <c r="V253" s="3" t="str">
        <f>IFERROR(__xludf.DUMMYFUNCTION("""COMPUTED_VALUE"""),"N")</f>
        <v>N</v>
      </c>
      <c r="W253" s="3">
        <f>IFERROR(__xludf.DUMMYFUNCTION("""COMPUTED_VALUE"""),211004.0)</f>
        <v>211004</v>
      </c>
      <c r="X253" s="3" t="str">
        <f>IFERROR(__xludf.DUMMYFUNCTION("""COMPUTED_VALUE"""),"31/19-20 หมู่ที่ 6 แขวงทุ่งสองห้อง เขตหลักสี่ กรุงเทพฯ 10210")</f>
        <v>31/19-20 หมู่ที่ 6 แขวงทุ่งสองห้อง เขตหลักสี่ กรุงเทพฯ 10210</v>
      </c>
      <c r="Y253" s="3"/>
      <c r="Z253" s="3" t="str">
        <f>IFERROR(__xludf.DUMMYFUNCTION("""COMPUTED_VALUE"""),"ทุ่งสองห้อง")</f>
        <v>ทุ่งสองห้อง</v>
      </c>
      <c r="AA253" s="3" t="str">
        <f>IFERROR(__xludf.DUMMYFUNCTION("""COMPUTED_VALUE"""),"หลักสี่")</f>
        <v>หลักสี่</v>
      </c>
      <c r="AB253" s="3" t="str">
        <f>IFERROR(__xludf.DUMMYFUNCTION("""COMPUTED_VALUE"""),"กรุงเทพมหานคร")</f>
        <v>กรุงเทพมหานคร</v>
      </c>
      <c r="AC253" s="3">
        <f>IFERROR(__xludf.DUMMYFUNCTION("""COMPUTED_VALUE"""),10210.0)</f>
        <v>10210</v>
      </c>
      <c r="AD253" s="3">
        <f>IFERROR(__xludf.DUMMYFUNCTION("""COMPUTED_VALUE"""),13.860484)</f>
        <v>13.860484</v>
      </c>
      <c r="AE253" s="3">
        <f>IFERROR(__xludf.DUMMYFUNCTION("""COMPUTED_VALUE"""),100.556638)</f>
        <v>100.556638</v>
      </c>
      <c r="AF253" s="3" t="str">
        <f>IFERROR(__xludf.DUMMYFUNCTION("""COMPUTED_VALUE"""),"MBC ชินเขต-21005")</f>
        <v>MBC ชินเขต-21005</v>
      </c>
      <c r="AG253" s="3" t="str">
        <f>IFERROR(__xludf.DUMMYFUNCTION("""COMPUTED_VALUE"""),"กลาง")</f>
        <v>กลาง</v>
      </c>
      <c r="AH253" s="3" t="str">
        <f>IFERROR(__xludf.DUMMYFUNCTION("""COMPUTED_VALUE"""),"#N/A")</f>
        <v>#N/A</v>
      </c>
      <c r="AI253" s="3" t="str">
        <f>IFERROR(__xludf.DUMMYFUNCTION("""COMPUTED_VALUE"""),"Out of warranty")</f>
        <v>Out of warranty</v>
      </c>
      <c r="AJ253" s="3">
        <f>IFERROR(__xludf.DUMMYFUNCTION("""COMPUTED_VALUE"""),210.0)</f>
        <v>210</v>
      </c>
      <c r="AK253" s="3" t="str">
        <f>IFERROR(__xludf.DUMMYFUNCTION("""COMPUTED_VALUE"""),"MMS01")</f>
        <v>MMS01</v>
      </c>
      <c r="AL253" s="3"/>
    </row>
    <row r="254" ht="15.75" customHeight="1">
      <c r="A254" s="1" t="str">
        <f>IFERROR(__xludf.DUMMYFUNCTION("""COMPUTED_VALUE"""),"21007")</f>
        <v>21007</v>
      </c>
      <c r="B254" s="2">
        <f>IFERROR(__xludf.DUMMYFUNCTION("""COMPUTED_VALUE"""),21007.0)</f>
        <v>21007</v>
      </c>
      <c r="C254" s="3" t="str">
        <f>IFERROR(__xludf.DUMMYFUNCTION("""COMPUTED_VALUE"""),"MBC บางพลี")</f>
        <v>MBC บางพลี</v>
      </c>
      <c r="D254" s="3" t="str">
        <f>IFERROR(__xludf.DUMMYFUNCTION("""COMPUTED_VALUE"""),"BCM BANGPLEE")</f>
        <v>BCM BANGPLEE</v>
      </c>
      <c r="E254" s="1" t="str">
        <f>IFERROR(__xludf.DUMMYFUNCTION("""COMPUTED_VALUE"""),"บิ๊กซี MINI")</f>
        <v>บิ๊กซี MINI</v>
      </c>
      <c r="F254" s="1" t="str">
        <f>IFERROR(__xludf.DUMMYFUNCTION("""COMPUTED_VALUE"""),"2083447")</f>
        <v>2083447</v>
      </c>
      <c r="G254" s="1" t="str">
        <f>IFERROR(__xludf.DUMMYFUNCTION("""COMPUTED_VALUE"""),"นายอนุกูล ศรีลัดดา")</f>
        <v>นายอนุกูล ศรีลัดดา</v>
      </c>
      <c r="H254" s="1" t="str">
        <f>IFERROR(__xludf.DUMMYFUNCTION("""COMPUTED_VALUE"""),"284752")</f>
        <v>284752</v>
      </c>
      <c r="I254" s="1" t="str">
        <f>IFERROR(__xludf.DUMMYFUNCTION("""COMPUTED_VALUE"""),"น.ส.วีรนันท์ แสงใส")</f>
        <v>น.ส.วีรนันท์ แสงใส</v>
      </c>
      <c r="J254" s="3">
        <f>IFERROR(__xludf.DUMMYFUNCTION("""COMPUTED_VALUE"""),2451655.0)</f>
        <v>2451655</v>
      </c>
      <c r="K254" s="3" t="str">
        <f>IFERROR(__xludf.DUMMYFUNCTION("""COMPUTED_VALUE"""),"นายวิษณุพงษ์ ชินบุตร")</f>
        <v>นายวิษณุพงษ์ ชินบุตร</v>
      </c>
      <c r="L254" s="1" t="str">
        <f>IFERROR(__xludf.DUMMYFUNCTION("""COMPUTED_VALUE"""),"13 K.Wisanupong Ch")</f>
        <v>13 K.Wisanupong Ch</v>
      </c>
      <c r="M254" s="1" t="str">
        <f>IFERROR(__xludf.DUMMYFUNCTION("""COMPUTED_VALUE"""),"0843374693")</f>
        <v>0843374693</v>
      </c>
      <c r="N254" s="3">
        <f>IFERROR(__xludf.DUMMYFUNCTION("""COMPUTED_VALUE"""),22729.0)</f>
        <v>22729</v>
      </c>
      <c r="O254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254" s="4">
        <f>IFERROR(__xludf.DUMMYFUNCTION("""COMPUTED_VALUE"""),40390.0)</f>
        <v>40390</v>
      </c>
      <c r="Q254" s="3" t="str">
        <f>IFERROR(__xludf.DUMMYFUNCTION("""COMPUTED_VALUE"""),"A")</f>
        <v>A</v>
      </c>
      <c r="R254" s="3" t="str">
        <f>IFERROR(__xludf.DUMMYFUNCTION("""COMPUTED_VALUE"""),"Small Format")</f>
        <v>Small Format</v>
      </c>
      <c r="S254" s="3" t="str">
        <f>IFERROR(__xludf.DUMMYFUNCTION("""COMPUTED_VALUE"""),"BCM")</f>
        <v>BCM</v>
      </c>
      <c r="T254" s="3" t="str">
        <f>IFERROR(__xludf.DUMMYFUNCTION("""COMPUTED_VALUE"""),"#N/A")</f>
        <v>#N/A</v>
      </c>
      <c r="U254" s="3" t="str">
        <f>IFERROR(__xludf.DUMMYFUNCTION("""COMPUTED_VALUE"""),"#N/A")</f>
        <v>#N/A</v>
      </c>
      <c r="V254" s="3" t="str">
        <f>IFERROR(__xludf.DUMMYFUNCTION("""COMPUTED_VALUE"""),"N")</f>
        <v>N</v>
      </c>
      <c r="W254" s="3">
        <f>IFERROR(__xludf.DUMMYFUNCTION("""COMPUTED_VALUE"""),211006.0)</f>
        <v>211006</v>
      </c>
      <c r="X254" s="3" t="str">
        <f>IFERROR(__xludf.DUMMYFUNCTION("""COMPUTED_VALUE"""),"4/575 - 577 หมู่ที่ 16 ตำบลบางเสาธง อำเภอบางเสาธง จังหวัดสมุทรปราการ 10540")</f>
        <v>4/575 - 577 หมู่ที่ 16 ตำบลบางเสาธง อำเภอบางเสาธง จังหวัดสมุทรปราการ 10540</v>
      </c>
      <c r="Y254" s="3"/>
      <c r="Z254" s="3" t="str">
        <f>IFERROR(__xludf.DUMMYFUNCTION("""COMPUTED_VALUE"""),"หมู่ที่")</f>
        <v>หมู่ที่</v>
      </c>
      <c r="AA254" s="3" t="str">
        <f>IFERROR(__xludf.DUMMYFUNCTION("""COMPUTED_VALUE"""),"บางเสาธง")</f>
        <v>บางเสาธง</v>
      </c>
      <c r="AB254" s="3" t="str">
        <f>IFERROR(__xludf.DUMMYFUNCTION("""COMPUTED_VALUE"""),"สมุทรปราการ")</f>
        <v>สมุทรปราการ</v>
      </c>
      <c r="AC254" s="3">
        <f>IFERROR(__xludf.DUMMYFUNCTION("""COMPUTED_VALUE"""),10540.0)</f>
        <v>10540</v>
      </c>
      <c r="AD254" s="3">
        <f>IFERROR(__xludf.DUMMYFUNCTION("""COMPUTED_VALUE"""),13.576998)</f>
        <v>13.576998</v>
      </c>
      <c r="AE254" s="3">
        <f>IFERROR(__xludf.DUMMYFUNCTION("""COMPUTED_VALUE"""),100.793034)</f>
        <v>100.793034</v>
      </c>
      <c r="AF254" s="3" t="str">
        <f>IFERROR(__xludf.DUMMYFUNCTION("""COMPUTED_VALUE"""),"MBC บางพลี-21007")</f>
        <v>MBC บางพลี-21007</v>
      </c>
      <c r="AG254" s="3" t="str">
        <f>IFERROR(__xludf.DUMMYFUNCTION("""COMPUTED_VALUE"""),"กลาง")</f>
        <v>กลาง</v>
      </c>
      <c r="AH254" s="3" t="str">
        <f>IFERROR(__xludf.DUMMYFUNCTION("""COMPUTED_VALUE"""),"#N/A")</f>
        <v>#N/A</v>
      </c>
      <c r="AI254" s="3" t="str">
        <f>IFERROR(__xludf.DUMMYFUNCTION("""COMPUTED_VALUE"""),"Out of warranty")</f>
        <v>Out of warranty</v>
      </c>
      <c r="AJ254" s="3">
        <f>IFERROR(__xludf.DUMMYFUNCTION("""COMPUTED_VALUE"""),186.0)</f>
        <v>186</v>
      </c>
      <c r="AK254" s="3" t="str">
        <f>IFERROR(__xludf.DUMMYFUNCTION("""COMPUTED_VALUE"""),"MMS03")</f>
        <v>MMS03</v>
      </c>
      <c r="AL254" s="3"/>
    </row>
    <row r="255" ht="15.75" customHeight="1">
      <c r="A255" s="1" t="str">
        <f>IFERROR(__xludf.DUMMYFUNCTION("""COMPUTED_VALUE"""),"21008")</f>
        <v>21008</v>
      </c>
      <c r="B255" s="2">
        <f>IFERROR(__xludf.DUMMYFUNCTION("""COMPUTED_VALUE"""),21008.0)</f>
        <v>21008</v>
      </c>
      <c r="C255" s="3" t="str">
        <f>IFERROR(__xludf.DUMMYFUNCTION("""COMPUTED_VALUE"""),"MBC แฉล้มนิมิตร")</f>
        <v>MBC แฉล้มนิมิตร</v>
      </c>
      <c r="D255" s="3" t="str">
        <f>IFERROR(__xludf.DUMMYFUNCTION("""COMPUTED_VALUE"""),"BCM CHALEMNIMIT")</f>
        <v>BCM CHALEMNIMIT</v>
      </c>
      <c r="E255" s="1" t="str">
        <f>IFERROR(__xludf.DUMMYFUNCTION("""COMPUTED_VALUE"""),"บิ๊กซี MINI")</f>
        <v>บิ๊กซี MINI</v>
      </c>
      <c r="F255" s="1" t="str">
        <f>IFERROR(__xludf.DUMMYFUNCTION("""COMPUTED_VALUE"""),"291008")</f>
        <v>291008</v>
      </c>
      <c r="G255" s="1" t="str">
        <f>IFERROR(__xludf.DUMMYFUNCTION("""COMPUTED_VALUE"""),"น.ส.รัชดาพร อีศรัตน์")</f>
        <v>น.ส.รัชดาพร อีศรัตน์</v>
      </c>
      <c r="H255" s="1" t="str">
        <f>IFERROR(__xludf.DUMMYFUNCTION("""COMPUTED_VALUE"""),"359002")</f>
        <v>359002</v>
      </c>
      <c r="I255" s="1" t="str">
        <f>IFERROR(__xludf.DUMMYFUNCTION("""COMPUTED_VALUE"""),"น.ส.นิตยา สมจิตร")</f>
        <v>น.ส.นิตยา สมจิตร</v>
      </c>
      <c r="J255" s="3">
        <f>IFERROR(__xludf.DUMMYFUNCTION("""COMPUTED_VALUE"""),3510104.0)</f>
        <v>3510104</v>
      </c>
      <c r="K255" s="3" t="str">
        <f>IFERROR(__xludf.DUMMYFUNCTION("""COMPUTED_VALUE"""),"นายวิโรจน์ อับดุลสมัด")</f>
        <v>นายวิโรจน์ อับดุลสมัด</v>
      </c>
      <c r="L255" s="1" t="str">
        <f>IFERROR(__xludf.DUMMYFUNCTION("""COMPUTED_VALUE"""),"09 K.Wirode A")</f>
        <v>09 K.Wirode A</v>
      </c>
      <c r="M255" s="1" t="str">
        <f>IFERROR(__xludf.DUMMYFUNCTION("""COMPUTED_VALUE"""),"080-235-4465")</f>
        <v>080-235-4465</v>
      </c>
      <c r="N255" s="3">
        <f>IFERROR(__xludf.DUMMYFUNCTION("""COMPUTED_VALUE"""),21324.0)</f>
        <v>21324</v>
      </c>
      <c r="O255" s="3" t="str">
        <f>IFERROR(__xludf.DUMMYFUNCTION("""COMPUTED_VALUE"""),"MBC BCP สุวินทวงศ์")</f>
        <v>MBC BCP สุวินทวงศ์</v>
      </c>
      <c r="P255" s="4">
        <f>IFERROR(__xludf.DUMMYFUNCTION("""COMPUTED_VALUE"""),40401.0)</f>
        <v>40401</v>
      </c>
      <c r="Q255" s="3" t="str">
        <f>IFERROR(__xludf.DUMMYFUNCTION("""COMPUTED_VALUE"""),"A")</f>
        <v>A</v>
      </c>
      <c r="R255" s="3" t="str">
        <f>IFERROR(__xludf.DUMMYFUNCTION("""COMPUTED_VALUE"""),"Small Format")</f>
        <v>Small Format</v>
      </c>
      <c r="S255" s="3" t="str">
        <f>IFERROR(__xludf.DUMMYFUNCTION("""COMPUTED_VALUE"""),"BCM")</f>
        <v>BCM</v>
      </c>
      <c r="T255" s="3" t="str">
        <f>IFERROR(__xludf.DUMMYFUNCTION("""COMPUTED_VALUE"""),"#N/A")</f>
        <v>#N/A</v>
      </c>
      <c r="U255" s="3" t="str">
        <f>IFERROR(__xludf.DUMMYFUNCTION("""COMPUTED_VALUE"""),"#N/A")</f>
        <v>#N/A</v>
      </c>
      <c r="V255" s="3" t="str">
        <f>IFERROR(__xludf.DUMMYFUNCTION("""COMPUTED_VALUE"""),"N")</f>
        <v>N</v>
      </c>
      <c r="W255" s="3">
        <f>IFERROR(__xludf.DUMMYFUNCTION("""COMPUTED_VALUE"""),211007.0)</f>
        <v>211007</v>
      </c>
      <c r="X255" s="3" t="str">
        <f>IFERROR(__xludf.DUMMYFUNCTION("""COMPUTED_VALUE"""),"1/1 ถนนแฉล้มนิมิตร แขวงบางโคล่ เขตบางคอแหลม กรุงเทพฯ 10120")</f>
        <v>1/1 ถนนแฉล้มนิมิตร แขวงบางโคล่ เขตบางคอแหลม กรุงเทพฯ 10120</v>
      </c>
      <c r="Y255" s="3" t="str">
        <f>IFERROR(__xludf.DUMMYFUNCTION("""COMPUTED_VALUE"""),"ถนนแฉล้มนิมิตร")</f>
        <v>ถนนแฉล้มนิมิตร</v>
      </c>
      <c r="Z255" s="3" t="str">
        <f>IFERROR(__xludf.DUMMYFUNCTION("""COMPUTED_VALUE"""),"บางโคล่")</f>
        <v>บางโคล่</v>
      </c>
      <c r="AA255" s="3" t="str">
        <f>IFERROR(__xludf.DUMMYFUNCTION("""COMPUTED_VALUE"""),"บางคอแหลม")</f>
        <v>บางคอแหลม</v>
      </c>
      <c r="AB255" s="3" t="str">
        <f>IFERROR(__xludf.DUMMYFUNCTION("""COMPUTED_VALUE"""),"กรุงเทพมหานคร")</f>
        <v>กรุงเทพมหานคร</v>
      </c>
      <c r="AC255" s="3">
        <f>IFERROR(__xludf.DUMMYFUNCTION("""COMPUTED_VALUE"""),10120.0)</f>
        <v>10120</v>
      </c>
      <c r="AD255" s="3">
        <f>IFERROR(__xludf.DUMMYFUNCTION("""COMPUTED_VALUE"""),13.693837)</f>
        <v>13.693837</v>
      </c>
      <c r="AE255" s="3">
        <f>IFERROR(__xludf.DUMMYFUNCTION("""COMPUTED_VALUE"""),100.508052)</f>
        <v>100.508052</v>
      </c>
      <c r="AF255" s="3" t="str">
        <f>IFERROR(__xludf.DUMMYFUNCTION("""COMPUTED_VALUE"""),"MBC แฉล้มนิมิตร-21008")</f>
        <v>MBC แฉล้มนิมิตร-21008</v>
      </c>
      <c r="AG255" s="3" t="str">
        <f>IFERROR(__xludf.DUMMYFUNCTION("""COMPUTED_VALUE"""),"กลาง")</f>
        <v>กลาง</v>
      </c>
      <c r="AH255" s="3" t="str">
        <f>IFERROR(__xludf.DUMMYFUNCTION("""COMPUTED_VALUE"""),"#N/A")</f>
        <v>#N/A</v>
      </c>
      <c r="AI255" s="3" t="str">
        <f>IFERROR(__xludf.DUMMYFUNCTION("""COMPUTED_VALUE"""),"Out of warranty")</f>
        <v>Out of warranty</v>
      </c>
      <c r="AJ255" s="3">
        <f>IFERROR(__xludf.DUMMYFUNCTION("""COMPUTED_VALUE"""),186.0)</f>
        <v>186</v>
      </c>
      <c r="AK255" s="3" t="str">
        <f>IFERROR(__xludf.DUMMYFUNCTION("""COMPUTED_VALUE"""),"MMS02")</f>
        <v>MMS02</v>
      </c>
      <c r="AL255" s="3"/>
    </row>
    <row r="256" ht="15.75" customHeight="1">
      <c r="A256" s="1" t="str">
        <f>IFERROR(__xludf.DUMMYFUNCTION("""COMPUTED_VALUE"""),"21009")</f>
        <v>21009</v>
      </c>
      <c r="B256" s="2">
        <f>IFERROR(__xludf.DUMMYFUNCTION("""COMPUTED_VALUE"""),21009.0)</f>
        <v>21009</v>
      </c>
      <c r="C256" s="3" t="str">
        <f>IFERROR(__xludf.DUMMYFUNCTION("""COMPUTED_VALUE"""),"MBC พัฒนาการ20")</f>
        <v>MBC พัฒนาการ20</v>
      </c>
      <c r="D256" s="3" t="str">
        <f>IFERROR(__xludf.DUMMYFUNCTION("""COMPUTED_VALUE"""),"BCM PATTANAKARN 20")</f>
        <v>BCM PATTANAKARN 20</v>
      </c>
      <c r="E256" s="1" t="str">
        <f>IFERROR(__xludf.DUMMYFUNCTION("""COMPUTED_VALUE"""),"บิ๊กซี MINI")</f>
        <v>บิ๊กซี MINI</v>
      </c>
      <c r="F256" s="1" t="str">
        <f>IFERROR(__xludf.DUMMYFUNCTION("""COMPUTED_VALUE"""),"291008")</f>
        <v>291008</v>
      </c>
      <c r="G256" s="1" t="str">
        <f>IFERROR(__xludf.DUMMYFUNCTION("""COMPUTED_VALUE"""),"น.ส.รัชดาพร อีศรัตน์")</f>
        <v>น.ส.รัชดาพร อีศรัตน์</v>
      </c>
      <c r="H256" s="1" t="str">
        <f>IFERROR(__xludf.DUMMYFUNCTION("""COMPUTED_VALUE"""),"359054")</f>
        <v>359054</v>
      </c>
      <c r="I256" s="1" t="str">
        <f>IFERROR(__xludf.DUMMYFUNCTION("""COMPUTED_VALUE"""),"น.ส.กรรณิการ์ พุทธวงค์")</f>
        <v>น.ส.กรรณิการ์ พุทธวงค์</v>
      </c>
      <c r="J256" s="3">
        <f>IFERROR(__xludf.DUMMYFUNCTION("""COMPUTED_VALUE"""),2452378.0)</f>
        <v>2452378</v>
      </c>
      <c r="K256" s="3" t="str">
        <f>IFERROR(__xludf.DUMMYFUNCTION("""COMPUTED_VALUE"""),"นายศักดิ์ดา พวงประดับ")</f>
        <v>นายศักดิ์ดา พวงประดับ</v>
      </c>
      <c r="L256" s="1" t="str">
        <f>IFERROR(__xludf.DUMMYFUNCTION("""COMPUTED_VALUE"""),"11 K.Sakda P.")</f>
        <v>11 K.Sakda P.</v>
      </c>
      <c r="M256" s="1" t="str">
        <f>IFERROR(__xludf.DUMMYFUNCTION("""COMPUTED_VALUE"""),"065-929-1279")</f>
        <v>065-929-1279</v>
      </c>
      <c r="N256" s="3">
        <f>IFERROR(__xludf.DUMMYFUNCTION("""COMPUTED_VALUE"""),21002.0)</f>
        <v>21002</v>
      </c>
      <c r="O256" s="3" t="str">
        <f>IFERROR(__xludf.DUMMYFUNCTION("""COMPUTED_VALUE"""),"MBC อุดมสุข")</f>
        <v>MBC อุดมสุข</v>
      </c>
      <c r="P256" s="4">
        <f>IFERROR(__xludf.DUMMYFUNCTION("""COMPUTED_VALUE"""),40456.0)</f>
        <v>40456</v>
      </c>
      <c r="Q256" s="3" t="str">
        <f>IFERROR(__xludf.DUMMYFUNCTION("""COMPUTED_VALUE"""),"A")</f>
        <v>A</v>
      </c>
      <c r="R256" s="3" t="str">
        <f>IFERROR(__xludf.DUMMYFUNCTION("""COMPUTED_VALUE"""),"Small Format")</f>
        <v>Small Format</v>
      </c>
      <c r="S256" s="3" t="str">
        <f>IFERROR(__xludf.DUMMYFUNCTION("""COMPUTED_VALUE"""),"BCM")</f>
        <v>BCM</v>
      </c>
      <c r="T256" s="3" t="str">
        <f>IFERROR(__xludf.DUMMYFUNCTION("""COMPUTED_VALUE"""),"#N/A")</f>
        <v>#N/A</v>
      </c>
      <c r="U256" s="3" t="str">
        <f>IFERROR(__xludf.DUMMYFUNCTION("""COMPUTED_VALUE"""),"#N/A")</f>
        <v>#N/A</v>
      </c>
      <c r="V256" s="3" t="str">
        <f>IFERROR(__xludf.DUMMYFUNCTION("""COMPUTED_VALUE"""),"N")</f>
        <v>N</v>
      </c>
      <c r="W256" s="3">
        <f>IFERROR(__xludf.DUMMYFUNCTION("""COMPUTED_VALUE"""),211008.0)</f>
        <v>211008</v>
      </c>
      <c r="X256" s="3" t="str">
        <f>IFERROR(__xludf.DUMMYFUNCTION("""COMPUTED_VALUE"""),"79/1 ซอยพัฒนาการ 20 ถนนพัฒนาการ แขวงสวนหลวง เขตสวนหลวง กรุงเทพฯ 10250")</f>
        <v>79/1 ซอยพัฒนาการ 20 ถนนพัฒนาการ แขวงสวนหลวง เขตสวนหลวง กรุงเทพฯ 10250</v>
      </c>
      <c r="Y256" s="3" t="str">
        <f>IFERROR(__xludf.DUMMYFUNCTION("""COMPUTED_VALUE"""),"ซอยพัฒนาการ")</f>
        <v>ซอยพัฒนาการ</v>
      </c>
      <c r="Z256" s="3" t="str">
        <f>IFERROR(__xludf.DUMMYFUNCTION("""COMPUTED_VALUE"""),"สวนหลวง")</f>
        <v>สวนหลวง</v>
      </c>
      <c r="AA256" s="3" t="str">
        <f>IFERROR(__xludf.DUMMYFUNCTION("""COMPUTED_VALUE"""),"สวนหลวง")</f>
        <v>สวนหลวง</v>
      </c>
      <c r="AB256" s="3" t="str">
        <f>IFERROR(__xludf.DUMMYFUNCTION("""COMPUTED_VALUE"""),"กรุงเทพมหานคร")</f>
        <v>กรุงเทพมหานคร</v>
      </c>
      <c r="AC256" s="3">
        <f>IFERROR(__xludf.DUMMYFUNCTION("""COMPUTED_VALUE"""),10250.0)</f>
        <v>10250</v>
      </c>
      <c r="AD256" s="3">
        <f>IFERROR(__xludf.DUMMYFUNCTION("""COMPUTED_VALUE"""),13.735104)</f>
        <v>13.735104</v>
      </c>
      <c r="AE256" s="3">
        <f>IFERROR(__xludf.DUMMYFUNCTION("""COMPUTED_VALUE"""),100.608053)</f>
        <v>100.608053</v>
      </c>
      <c r="AF256" s="3" t="str">
        <f>IFERROR(__xludf.DUMMYFUNCTION("""COMPUTED_VALUE"""),"MBC พัฒนาการ20-21009")</f>
        <v>MBC พัฒนาการ20-21009</v>
      </c>
      <c r="AG256" s="3" t="str">
        <f>IFERROR(__xludf.DUMMYFUNCTION("""COMPUTED_VALUE"""),"กลาง")</f>
        <v>กลาง</v>
      </c>
      <c r="AH256" s="3" t="str">
        <f>IFERROR(__xludf.DUMMYFUNCTION("""COMPUTED_VALUE"""),"#N/A")</f>
        <v>#N/A</v>
      </c>
      <c r="AI256" s="3" t="str">
        <f>IFERROR(__xludf.DUMMYFUNCTION("""COMPUTED_VALUE"""),"Out of warranty")</f>
        <v>Out of warranty</v>
      </c>
      <c r="AJ256" s="3">
        <f>IFERROR(__xludf.DUMMYFUNCTION("""COMPUTED_VALUE"""),184.0)</f>
        <v>184</v>
      </c>
      <c r="AK256" s="3" t="str">
        <f>IFERROR(__xludf.DUMMYFUNCTION("""COMPUTED_VALUE"""),"MMS03")</f>
        <v>MMS03</v>
      </c>
      <c r="AL256" s="3"/>
    </row>
    <row r="257" ht="15.75" customHeight="1">
      <c r="A257" s="1" t="str">
        <f>IFERROR(__xludf.DUMMYFUNCTION("""COMPUTED_VALUE"""),"21010")</f>
        <v>21010</v>
      </c>
      <c r="B257" s="2">
        <f>IFERROR(__xludf.DUMMYFUNCTION("""COMPUTED_VALUE"""),21010.0)</f>
        <v>21010</v>
      </c>
      <c r="C257" s="3" t="str">
        <f>IFERROR(__xludf.DUMMYFUNCTION("""COMPUTED_VALUE"""),"MBC พระปิ่น3")</f>
        <v>MBC พระปิ่น3</v>
      </c>
      <c r="D257" s="3" t="str">
        <f>IFERROR(__xludf.DUMMYFUNCTION("""COMPUTED_VALUE"""),"BCM PHRAPIN 3")</f>
        <v>BCM PHRAPIN 3</v>
      </c>
      <c r="E257" s="1" t="str">
        <f>IFERROR(__xludf.DUMMYFUNCTION("""COMPUTED_VALUE"""),"บิ๊กซี MINI")</f>
        <v>บิ๊กซี MINI</v>
      </c>
      <c r="F257" s="1" t="str">
        <f>IFERROR(__xludf.DUMMYFUNCTION("""COMPUTED_VALUE"""),"291008")</f>
        <v>291008</v>
      </c>
      <c r="G257" s="1" t="str">
        <f>IFERROR(__xludf.DUMMYFUNCTION("""COMPUTED_VALUE"""),"น.ส.รัชดาพร อีศรัตน์")</f>
        <v>น.ส.รัชดาพร อีศรัตน์</v>
      </c>
      <c r="H257" s="1" t="str">
        <f>IFERROR(__xludf.DUMMYFUNCTION("""COMPUTED_VALUE"""),"180055")</f>
        <v>180055</v>
      </c>
      <c r="I257" s="1" t="str">
        <f>IFERROR(__xludf.DUMMYFUNCTION("""COMPUTED_VALUE"""),"น.ส.สุดารัตน์ บุญล้ำ")</f>
        <v>น.ส.สุดารัตน์ บุญล้ำ</v>
      </c>
      <c r="J257" s="3">
        <f>IFERROR(__xludf.DUMMYFUNCTION("""COMPUTED_VALUE"""),296608.0)</f>
        <v>296608</v>
      </c>
      <c r="K257" s="3" t="str">
        <f>IFERROR(__xludf.DUMMYFUNCTION("""COMPUTED_VALUE"""),"นายภาคภูมิ เพ็ชรนิล")</f>
        <v>นายภาคภูมิ เพ็ชรนิล</v>
      </c>
      <c r="L257" s="1" t="str">
        <f>IFERROR(__xludf.DUMMYFUNCTION("""COMPUTED_VALUE"""),"10 K.Phakphoom P.")</f>
        <v>10 K.Phakphoom P.</v>
      </c>
      <c r="M257" s="1" t="str">
        <f>IFERROR(__xludf.DUMMYFUNCTION("""COMPUTED_VALUE"""),"063-8955329")</f>
        <v>063-8955329</v>
      </c>
      <c r="N257" s="3">
        <f>IFERROR(__xludf.DUMMYFUNCTION("""COMPUTED_VALUE"""),22584.0)</f>
        <v>22584</v>
      </c>
      <c r="O257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257" s="4">
        <f>IFERROR(__xludf.DUMMYFUNCTION("""COMPUTED_VALUE"""),40466.0)</f>
        <v>40466</v>
      </c>
      <c r="Q257" s="3" t="str">
        <f>IFERROR(__xludf.DUMMYFUNCTION("""COMPUTED_VALUE"""),"A")</f>
        <v>A</v>
      </c>
      <c r="R257" s="3" t="str">
        <f>IFERROR(__xludf.DUMMYFUNCTION("""COMPUTED_VALUE"""),"Small Format")</f>
        <v>Small Format</v>
      </c>
      <c r="S257" s="3" t="str">
        <f>IFERROR(__xludf.DUMMYFUNCTION("""COMPUTED_VALUE"""),"BCM")</f>
        <v>BCM</v>
      </c>
      <c r="T257" s="3" t="str">
        <f>IFERROR(__xludf.DUMMYFUNCTION("""COMPUTED_VALUE"""),"#N/A")</f>
        <v>#N/A</v>
      </c>
      <c r="U257" s="3" t="str">
        <f>IFERROR(__xludf.DUMMYFUNCTION("""COMPUTED_VALUE"""),"#N/A")</f>
        <v>#N/A</v>
      </c>
      <c r="V257" s="3" t="str">
        <f>IFERROR(__xludf.DUMMYFUNCTION("""COMPUTED_VALUE"""),"N")</f>
        <v>N</v>
      </c>
      <c r="W257" s="3">
        <f>IFERROR(__xludf.DUMMYFUNCTION("""COMPUTED_VALUE"""),211009.0)</f>
        <v>211009</v>
      </c>
      <c r="X257" s="3" t="str">
        <f>IFERROR(__xludf.DUMMYFUNCTION("""COMPUTED_VALUE"""),"66/13-15 หมู่ 15 ตำบลบางแม่นาง อำเภอบางใหญ่ จังหวัดนนทบุรี 11140")</f>
        <v>66/13-15 หมู่ 15 ตำบลบางแม่นาง อำเภอบางใหญ่ จังหวัดนนทบุรี 11140</v>
      </c>
      <c r="Y257" s="3"/>
      <c r="Z257" s="3" t="str">
        <f>IFERROR(__xludf.DUMMYFUNCTION("""COMPUTED_VALUE"""),"บางแม่นาง")</f>
        <v>บางแม่นาง</v>
      </c>
      <c r="AA257" s="3" t="str">
        <f>IFERROR(__xludf.DUMMYFUNCTION("""COMPUTED_VALUE"""),"บางใหญ่")</f>
        <v>บางใหญ่</v>
      </c>
      <c r="AB257" s="3" t="str">
        <f>IFERROR(__xludf.DUMMYFUNCTION("""COMPUTED_VALUE"""),"นนทบุรี")</f>
        <v>นนทบุรี</v>
      </c>
      <c r="AC257" s="3">
        <f>IFERROR(__xludf.DUMMYFUNCTION("""COMPUTED_VALUE"""),11140.0)</f>
        <v>11140</v>
      </c>
      <c r="AD257" s="3">
        <f>IFERROR(__xludf.DUMMYFUNCTION("""COMPUTED_VALUE"""),13.858646)</f>
        <v>13.858646</v>
      </c>
      <c r="AE257" s="3">
        <f>IFERROR(__xludf.DUMMYFUNCTION("""COMPUTED_VALUE"""),100.407883)</f>
        <v>100.407883</v>
      </c>
      <c r="AF257" s="3" t="str">
        <f>IFERROR(__xludf.DUMMYFUNCTION("""COMPUTED_VALUE"""),"MBC พระปิ่น3-21010")</f>
        <v>MBC พระปิ่น3-21010</v>
      </c>
      <c r="AG257" s="3" t="str">
        <f>IFERROR(__xludf.DUMMYFUNCTION("""COMPUTED_VALUE"""),"กลาง")</f>
        <v>กลาง</v>
      </c>
      <c r="AH257" s="3" t="str">
        <f>IFERROR(__xludf.DUMMYFUNCTION("""COMPUTED_VALUE"""),"#N/A")</f>
        <v>#N/A</v>
      </c>
      <c r="AI257" s="3" t="str">
        <f>IFERROR(__xludf.DUMMYFUNCTION("""COMPUTED_VALUE"""),"Out of warranty")</f>
        <v>Out of warranty</v>
      </c>
      <c r="AJ257" s="3">
        <f>IFERROR(__xludf.DUMMYFUNCTION("""COMPUTED_VALUE"""),184.0)</f>
        <v>184</v>
      </c>
      <c r="AK257" s="3" t="str">
        <f>IFERROR(__xludf.DUMMYFUNCTION("""COMPUTED_VALUE"""),"MMS04")</f>
        <v>MMS04</v>
      </c>
      <c r="AL257" s="3"/>
    </row>
    <row r="258" ht="15.75" customHeight="1">
      <c r="A258" s="1" t="str">
        <f>IFERROR(__xludf.DUMMYFUNCTION("""COMPUTED_VALUE"""),"21011")</f>
        <v>21011</v>
      </c>
      <c r="B258" s="2">
        <f>IFERROR(__xludf.DUMMYFUNCTION("""COMPUTED_VALUE"""),21011.0)</f>
        <v>21011</v>
      </c>
      <c r="C258" s="3" t="str">
        <f>IFERROR(__xludf.DUMMYFUNCTION("""COMPUTED_VALUE"""),"MBC ลาซาล 24")</f>
        <v>MBC ลาซาล 24</v>
      </c>
      <c r="D258" s="3" t="str">
        <f>IFERROR(__xludf.DUMMYFUNCTION("""COMPUTED_VALUE"""),"BCM LASALLE 24")</f>
        <v>BCM LASALLE 24</v>
      </c>
      <c r="E258" s="1" t="str">
        <f>IFERROR(__xludf.DUMMYFUNCTION("""COMPUTED_VALUE"""),"บิ๊กซี MINI")</f>
        <v>บิ๊กซี MINI</v>
      </c>
      <c r="F258" s="1" t="str">
        <f>IFERROR(__xludf.DUMMYFUNCTION("""COMPUTED_VALUE"""),"291008")</f>
        <v>291008</v>
      </c>
      <c r="G258" s="1" t="str">
        <f>IFERROR(__xludf.DUMMYFUNCTION("""COMPUTED_VALUE"""),"น.ส.รัชดาพร อีศรัตน์")</f>
        <v>น.ส.รัชดาพร อีศรัตน์</v>
      </c>
      <c r="H258" s="1" t="str">
        <f>IFERROR(__xludf.DUMMYFUNCTION("""COMPUTED_VALUE"""),"359054")</f>
        <v>359054</v>
      </c>
      <c r="I258" s="1" t="str">
        <f>IFERROR(__xludf.DUMMYFUNCTION("""COMPUTED_VALUE"""),"น.ส.กรรณิการ์ พุทธวงค์")</f>
        <v>น.ส.กรรณิการ์ พุทธวงค์</v>
      </c>
      <c r="J258" s="3">
        <f>IFERROR(__xludf.DUMMYFUNCTION("""COMPUTED_VALUE"""),2452378.0)</f>
        <v>2452378</v>
      </c>
      <c r="K258" s="3" t="str">
        <f>IFERROR(__xludf.DUMMYFUNCTION("""COMPUTED_VALUE"""),"นายศักดิ์ดา พวงประดับ")</f>
        <v>นายศักดิ์ดา พวงประดับ</v>
      </c>
      <c r="L258" s="1" t="str">
        <f>IFERROR(__xludf.DUMMYFUNCTION("""COMPUTED_VALUE"""),"11 K.Sakda P.")</f>
        <v>11 K.Sakda P.</v>
      </c>
      <c r="M258" s="1" t="str">
        <f>IFERROR(__xludf.DUMMYFUNCTION("""COMPUTED_VALUE"""),"065-929-1279")</f>
        <v>065-929-1279</v>
      </c>
      <c r="N258" s="3">
        <f>IFERROR(__xludf.DUMMYFUNCTION("""COMPUTED_VALUE"""),21002.0)</f>
        <v>21002</v>
      </c>
      <c r="O258" s="3" t="str">
        <f>IFERROR(__xludf.DUMMYFUNCTION("""COMPUTED_VALUE"""),"MBC อุดมสุข")</f>
        <v>MBC อุดมสุข</v>
      </c>
      <c r="P258" s="4">
        <f>IFERROR(__xludf.DUMMYFUNCTION("""COMPUTED_VALUE"""),40507.0)</f>
        <v>40507</v>
      </c>
      <c r="Q258" s="3" t="str">
        <f>IFERROR(__xludf.DUMMYFUNCTION("""COMPUTED_VALUE"""),"A")</f>
        <v>A</v>
      </c>
      <c r="R258" s="3" t="str">
        <f>IFERROR(__xludf.DUMMYFUNCTION("""COMPUTED_VALUE"""),"Small Format")</f>
        <v>Small Format</v>
      </c>
      <c r="S258" s="3" t="str">
        <f>IFERROR(__xludf.DUMMYFUNCTION("""COMPUTED_VALUE"""),"BCM")</f>
        <v>BCM</v>
      </c>
      <c r="T258" s="3" t="str">
        <f>IFERROR(__xludf.DUMMYFUNCTION("""COMPUTED_VALUE"""),"#N/A")</f>
        <v>#N/A</v>
      </c>
      <c r="U258" s="3" t="str">
        <f>IFERROR(__xludf.DUMMYFUNCTION("""COMPUTED_VALUE"""),"#N/A")</f>
        <v>#N/A</v>
      </c>
      <c r="V258" s="3" t="str">
        <f>IFERROR(__xludf.DUMMYFUNCTION("""COMPUTED_VALUE"""),"N")</f>
        <v>N</v>
      </c>
      <c r="W258" s="3">
        <f>IFERROR(__xludf.DUMMYFUNCTION("""COMPUTED_VALUE"""),211010.0)</f>
        <v>211010</v>
      </c>
      <c r="X258" s="3" t="str">
        <f>IFERROR(__xludf.DUMMYFUNCTION("""COMPUTED_VALUE"""),"492, 492/1-2 ถนนลาซาล แขวงบางนา เขตบางนา กรุงเทพฯ 10260")</f>
        <v>492, 492/1-2 ถนนลาซาล แขวงบางนา เขตบางนา กรุงเทพฯ 10260</v>
      </c>
      <c r="Y258" s="3" t="str">
        <f>IFERROR(__xludf.DUMMYFUNCTION("""COMPUTED_VALUE"""),"ลาซาล")</f>
        <v>ลาซาล</v>
      </c>
      <c r="Z258" s="3" t="str">
        <f>IFERROR(__xludf.DUMMYFUNCTION("""COMPUTED_VALUE"""),"บางนา")</f>
        <v>บางนา</v>
      </c>
      <c r="AA258" s="3" t="str">
        <f>IFERROR(__xludf.DUMMYFUNCTION("""COMPUTED_VALUE"""),"บางนา")</f>
        <v>บางนา</v>
      </c>
      <c r="AB258" s="3" t="str">
        <f>IFERROR(__xludf.DUMMYFUNCTION("""COMPUTED_VALUE"""),"กรุงเทพมหานคร")</f>
        <v>กรุงเทพมหานคร</v>
      </c>
      <c r="AC258" s="3">
        <f>IFERROR(__xludf.DUMMYFUNCTION("""COMPUTED_VALUE"""),10260.0)</f>
        <v>10260</v>
      </c>
      <c r="AD258" s="3">
        <f>IFERROR(__xludf.DUMMYFUNCTION("""COMPUTED_VALUE"""),13.663106)</f>
        <v>13.663106</v>
      </c>
      <c r="AE258" s="3">
        <f>IFERROR(__xludf.DUMMYFUNCTION("""COMPUTED_VALUE"""),100.615764)</f>
        <v>100.615764</v>
      </c>
      <c r="AF258" s="3" t="str">
        <f>IFERROR(__xludf.DUMMYFUNCTION("""COMPUTED_VALUE"""),"MBC ลาซาล 24-21011")</f>
        <v>MBC ลาซาล 24-21011</v>
      </c>
      <c r="AG258" s="3" t="str">
        <f>IFERROR(__xludf.DUMMYFUNCTION("""COMPUTED_VALUE"""),"กลาง")</f>
        <v>กลาง</v>
      </c>
      <c r="AH258" s="3" t="str">
        <f>IFERROR(__xludf.DUMMYFUNCTION("""COMPUTED_VALUE"""),"#N/A")</f>
        <v>#N/A</v>
      </c>
      <c r="AI258" s="3" t="str">
        <f>IFERROR(__xludf.DUMMYFUNCTION("""COMPUTED_VALUE"""),"Out of warranty")</f>
        <v>Out of warranty</v>
      </c>
      <c r="AJ258" s="3">
        <f>IFERROR(__xludf.DUMMYFUNCTION("""COMPUTED_VALUE"""),182.0)</f>
        <v>182</v>
      </c>
      <c r="AK258" s="3" t="str">
        <f>IFERROR(__xludf.DUMMYFUNCTION("""COMPUTED_VALUE"""),"MMS02")</f>
        <v>MMS02</v>
      </c>
      <c r="AL258" s="3"/>
    </row>
    <row r="259" ht="15.75" customHeight="1">
      <c r="A259" s="1" t="str">
        <f>IFERROR(__xludf.DUMMYFUNCTION("""COMPUTED_VALUE"""),"21012")</f>
        <v>21012</v>
      </c>
      <c r="B259" s="2">
        <f>IFERROR(__xludf.DUMMYFUNCTION("""COMPUTED_VALUE"""),21012.0)</f>
        <v>21012</v>
      </c>
      <c r="C259" s="3" t="str">
        <f>IFERROR(__xludf.DUMMYFUNCTION("""COMPUTED_VALUE"""),"MBC ท่าอิฐ")</f>
        <v>MBC ท่าอิฐ</v>
      </c>
      <c r="D259" s="3" t="str">
        <f>IFERROR(__xludf.DUMMYFUNCTION("""COMPUTED_VALUE"""),"BCM THA IT")</f>
        <v>BCM THA IT</v>
      </c>
      <c r="E259" s="1" t="str">
        <f>IFERROR(__xludf.DUMMYFUNCTION("""COMPUTED_VALUE"""),"บิ๊กซี MINI")</f>
        <v>บิ๊กซี MINI</v>
      </c>
      <c r="F259" s="1" t="str">
        <f>IFERROR(__xludf.DUMMYFUNCTION("""COMPUTED_VALUE"""),"291008")</f>
        <v>291008</v>
      </c>
      <c r="G259" s="1" t="str">
        <f>IFERROR(__xludf.DUMMYFUNCTION("""COMPUTED_VALUE"""),"น.ส.รัชดาพร อีศรัตน์")</f>
        <v>น.ส.รัชดาพร อีศรัตน์</v>
      </c>
      <c r="H259" s="1" t="str">
        <f>IFERROR(__xludf.DUMMYFUNCTION("""COMPUTED_VALUE"""),"034068")</f>
        <v>034068</v>
      </c>
      <c r="I259" s="1" t="str">
        <f>IFERROR(__xludf.DUMMYFUNCTION("""COMPUTED_VALUE"""),"นายสมศักดิ์ ฐานทองดี")</f>
        <v>นายสมศักดิ์ ฐานทองดี</v>
      </c>
      <c r="J259" s="3">
        <f>IFERROR(__xludf.DUMMYFUNCTION("""COMPUTED_VALUE"""),296608.0)</f>
        <v>296608</v>
      </c>
      <c r="K259" s="3" t="str">
        <f>IFERROR(__xludf.DUMMYFUNCTION("""COMPUTED_VALUE"""),"นายภาคภูมิ เพ็ชรนิล")</f>
        <v>นายภาคภูมิ เพ็ชรนิล</v>
      </c>
      <c r="L259" s="1" t="str">
        <f>IFERROR(__xludf.DUMMYFUNCTION("""COMPUTED_VALUE"""),"10 K.Phakphoom P.")</f>
        <v>10 K.Phakphoom P.</v>
      </c>
      <c r="M259" s="1" t="str">
        <f>IFERROR(__xludf.DUMMYFUNCTION("""COMPUTED_VALUE"""),"063-8955329")</f>
        <v>063-8955329</v>
      </c>
      <c r="N259" s="3">
        <f>IFERROR(__xludf.DUMMYFUNCTION("""COMPUTED_VALUE"""),22584.0)</f>
        <v>22584</v>
      </c>
      <c r="O259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259" s="4">
        <f>IFERROR(__xludf.DUMMYFUNCTION("""COMPUTED_VALUE"""),40539.0)</f>
        <v>40539</v>
      </c>
      <c r="Q259" s="3" t="str">
        <f>IFERROR(__xludf.DUMMYFUNCTION("""COMPUTED_VALUE"""),"A")</f>
        <v>A</v>
      </c>
      <c r="R259" s="3" t="str">
        <f>IFERROR(__xludf.DUMMYFUNCTION("""COMPUTED_VALUE"""),"Small Format")</f>
        <v>Small Format</v>
      </c>
      <c r="S259" s="3" t="str">
        <f>IFERROR(__xludf.DUMMYFUNCTION("""COMPUTED_VALUE"""),"BCM")</f>
        <v>BCM</v>
      </c>
      <c r="T259" s="3" t="str">
        <f>IFERROR(__xludf.DUMMYFUNCTION("""COMPUTED_VALUE"""),"#N/A")</f>
        <v>#N/A</v>
      </c>
      <c r="U259" s="3" t="str">
        <f>IFERROR(__xludf.DUMMYFUNCTION("""COMPUTED_VALUE"""),"#N/A")</f>
        <v>#N/A</v>
      </c>
      <c r="V259" s="3" t="str">
        <f>IFERROR(__xludf.DUMMYFUNCTION("""COMPUTED_VALUE"""),"N")</f>
        <v>N</v>
      </c>
      <c r="W259" s="3">
        <f>IFERROR(__xludf.DUMMYFUNCTION("""COMPUTED_VALUE"""),211011.0)</f>
        <v>211011</v>
      </c>
      <c r="X259" s="3" t="str">
        <f>IFERROR(__xludf.DUMMYFUNCTION("""COMPUTED_VALUE"""),"100/8-10 หมู่ที่ 3 ตำบลไทรม้า อำเภอเมืองนนทบุรี จังหวัดนนทบุรี 11000")</f>
        <v>100/8-10 หมู่ที่ 3 ตำบลไทรม้า อำเภอเมืองนนทบุรี จังหวัดนนทบุรี 11000</v>
      </c>
      <c r="Y259" s="3"/>
      <c r="Z259" s="3" t="str">
        <f>IFERROR(__xludf.DUMMYFUNCTION("""COMPUTED_VALUE"""),"ไทรม้า")</f>
        <v>ไทรม้า</v>
      </c>
      <c r="AA259" s="3" t="str">
        <f>IFERROR(__xludf.DUMMYFUNCTION("""COMPUTED_VALUE"""),"เมืองนนทบุรี")</f>
        <v>เมืองนนทบุรี</v>
      </c>
      <c r="AB259" s="3" t="str">
        <f>IFERROR(__xludf.DUMMYFUNCTION("""COMPUTED_VALUE"""),"นนทบุรี")</f>
        <v>นนทบุรี</v>
      </c>
      <c r="AC259" s="3">
        <f>IFERROR(__xludf.DUMMYFUNCTION("""COMPUTED_VALUE"""),11000.0)</f>
        <v>11000</v>
      </c>
      <c r="AD259" s="3">
        <f>IFERROR(__xludf.DUMMYFUNCTION("""COMPUTED_VALUE"""),13.880038)</f>
        <v>13.880038</v>
      </c>
      <c r="AE259" s="3">
        <f>IFERROR(__xludf.DUMMYFUNCTION("""COMPUTED_VALUE"""),100.45926)</f>
        <v>100.45926</v>
      </c>
      <c r="AF259" s="3" t="str">
        <f>IFERROR(__xludf.DUMMYFUNCTION("""COMPUTED_VALUE"""),"MBC ท่าอิฐ-21012")</f>
        <v>MBC ท่าอิฐ-21012</v>
      </c>
      <c r="AG259" s="3" t="str">
        <f>IFERROR(__xludf.DUMMYFUNCTION("""COMPUTED_VALUE"""),"กลาง")</f>
        <v>กลาง</v>
      </c>
      <c r="AH259" s="3" t="str">
        <f>IFERROR(__xludf.DUMMYFUNCTION("""COMPUTED_VALUE"""),"#N/A")</f>
        <v>#N/A</v>
      </c>
      <c r="AI259" s="3" t="str">
        <f>IFERROR(__xludf.DUMMYFUNCTION("""COMPUTED_VALUE"""),"Out of warranty")</f>
        <v>Out of warranty</v>
      </c>
      <c r="AJ259" s="3">
        <f>IFERROR(__xludf.DUMMYFUNCTION("""COMPUTED_VALUE"""),181.0)</f>
        <v>181</v>
      </c>
      <c r="AK259" s="3" t="str">
        <f>IFERROR(__xludf.DUMMYFUNCTION("""COMPUTED_VALUE"""),"MMS01")</f>
        <v>MMS01</v>
      </c>
      <c r="AL259" s="3"/>
    </row>
    <row r="260" ht="15.75" customHeight="1">
      <c r="A260" s="1" t="str">
        <f>IFERROR(__xludf.DUMMYFUNCTION("""COMPUTED_VALUE"""),"21013")</f>
        <v>21013</v>
      </c>
      <c r="B260" s="2">
        <f>IFERROR(__xludf.DUMMYFUNCTION("""COMPUTED_VALUE"""),21013.0)</f>
        <v>21013</v>
      </c>
      <c r="C260" s="3" t="str">
        <f>IFERROR(__xludf.DUMMYFUNCTION("""COMPUTED_VALUE"""),"MBC รังสิตคลอง2")</f>
        <v>MBC รังสิตคลอง2</v>
      </c>
      <c r="D260" s="3" t="str">
        <f>IFERROR(__xludf.DUMMYFUNCTION("""COMPUTED_VALUE"""),"BCM RANGSIT KLONG 2")</f>
        <v>BCM RANGSIT KLONG 2</v>
      </c>
      <c r="E260" s="1" t="str">
        <f>IFERROR(__xludf.DUMMYFUNCTION("""COMPUTED_VALUE"""),"บิ๊กซี MINI")</f>
        <v>บิ๊กซี MINI</v>
      </c>
      <c r="F260" s="1" t="str">
        <f>IFERROR(__xludf.DUMMYFUNCTION("""COMPUTED_VALUE"""),"2083447")</f>
        <v>2083447</v>
      </c>
      <c r="G260" s="1" t="str">
        <f>IFERROR(__xludf.DUMMYFUNCTION("""COMPUTED_VALUE"""),"นายอนุกูล ศรีลัดดา")</f>
        <v>นายอนุกูล ศรีลัดดา</v>
      </c>
      <c r="H260" s="1" t="str">
        <f>IFERROR(__xludf.DUMMYFUNCTION("""COMPUTED_VALUE"""),"373849")</f>
        <v>373849</v>
      </c>
      <c r="I260" s="1" t="str">
        <f>IFERROR(__xludf.DUMMYFUNCTION("""COMPUTED_VALUE"""),"น.ส.อรอุมา นิ่มวิศิษย์")</f>
        <v>น.ส.อรอุมา นิ่มวิศิษย์</v>
      </c>
      <c r="J260" s="3">
        <f>IFERROR(__xludf.DUMMYFUNCTION("""COMPUTED_VALUE"""),510143.0)</f>
        <v>510143</v>
      </c>
      <c r="K260" s="3" t="str">
        <f>IFERROR(__xludf.DUMMYFUNCTION("""COMPUTED_VALUE"""),"นายธีระวัฒน์ บุญสิทธิ์")</f>
        <v>นายธีระวัฒน์ บุญสิทธิ์</v>
      </c>
      <c r="L260" s="1" t="str">
        <f>IFERROR(__xludf.DUMMYFUNCTION("""COMPUTED_VALUE"""),"12 K.Theerawat B.")</f>
        <v>12 K.Theerawat B.</v>
      </c>
      <c r="M260" s="1" t="str">
        <f>IFERROR(__xludf.DUMMYFUNCTION("""COMPUTED_VALUE"""),"0655107379")</f>
        <v>0655107379</v>
      </c>
      <c r="N260" s="3">
        <f>IFERROR(__xludf.DUMMYFUNCTION("""COMPUTED_VALUE"""),21062.0)</f>
        <v>21062</v>
      </c>
      <c r="O260" s="3" t="str">
        <f>IFERROR(__xludf.DUMMYFUNCTION("""COMPUTED_VALUE"""),"MBC นิคมนวนคร")</f>
        <v>MBC นิคมนวนคร</v>
      </c>
      <c r="P260" s="4">
        <f>IFERROR(__xludf.DUMMYFUNCTION("""COMPUTED_VALUE"""),40551.0)</f>
        <v>40551</v>
      </c>
      <c r="Q260" s="3" t="str">
        <f>IFERROR(__xludf.DUMMYFUNCTION("""COMPUTED_VALUE"""),"A")</f>
        <v>A</v>
      </c>
      <c r="R260" s="3" t="str">
        <f>IFERROR(__xludf.DUMMYFUNCTION("""COMPUTED_VALUE"""),"Small Format")</f>
        <v>Small Format</v>
      </c>
      <c r="S260" s="3" t="str">
        <f>IFERROR(__xludf.DUMMYFUNCTION("""COMPUTED_VALUE"""),"BCM")</f>
        <v>BCM</v>
      </c>
      <c r="T260" s="3" t="str">
        <f>IFERROR(__xludf.DUMMYFUNCTION("""COMPUTED_VALUE"""),"#N/A")</f>
        <v>#N/A</v>
      </c>
      <c r="U260" s="3" t="str">
        <f>IFERROR(__xludf.DUMMYFUNCTION("""COMPUTED_VALUE"""),"#N/A")</f>
        <v>#N/A</v>
      </c>
      <c r="V260" s="3" t="str">
        <f>IFERROR(__xludf.DUMMYFUNCTION("""COMPUTED_VALUE"""),"N")</f>
        <v>N</v>
      </c>
      <c r="W260" s="3">
        <f>IFERROR(__xludf.DUMMYFUNCTION("""COMPUTED_VALUE"""),211012.0)</f>
        <v>211012</v>
      </c>
      <c r="X260" s="3" t="str">
        <f>IFERROR(__xludf.DUMMYFUNCTION("""COMPUTED_VALUE"""),"555/2 ถนนรังสิต-นครนายก ตำบลประชาธิปัตย์ อำเภอธัญบุรี จังหวัดปทุมธานี 12130")</f>
        <v>555/2 ถนนรังสิต-นครนายก ตำบลประชาธิปัตย์ อำเภอธัญบุรี จังหวัดปทุมธานี 12130</v>
      </c>
      <c r="Y260" s="3" t="str">
        <f>IFERROR(__xludf.DUMMYFUNCTION("""COMPUTED_VALUE"""),"ถนนรังสิต-นครนายก")</f>
        <v>ถนนรังสิต-นครนายก</v>
      </c>
      <c r="Z260" s="3" t="str">
        <f>IFERROR(__xludf.DUMMYFUNCTION("""COMPUTED_VALUE"""),"ประชาธิปัตย์")</f>
        <v>ประชาธิปัตย์</v>
      </c>
      <c r="AA260" s="3" t="str">
        <f>IFERROR(__xludf.DUMMYFUNCTION("""COMPUTED_VALUE"""),"ธัญบุรี")</f>
        <v>ธัญบุรี</v>
      </c>
      <c r="AB260" s="3" t="str">
        <f>IFERROR(__xludf.DUMMYFUNCTION("""COMPUTED_VALUE"""),"ปทุมธานี")</f>
        <v>ปทุมธานี</v>
      </c>
      <c r="AC260" s="3">
        <f>IFERROR(__xludf.DUMMYFUNCTION("""COMPUTED_VALUE"""),12130.0)</f>
        <v>12130</v>
      </c>
      <c r="AD260" s="3">
        <f>IFERROR(__xludf.DUMMYFUNCTION("""COMPUTED_VALUE"""),13.991665)</f>
        <v>13.991665</v>
      </c>
      <c r="AE260" s="3">
        <f>IFERROR(__xludf.DUMMYFUNCTION("""COMPUTED_VALUE"""),100.643603)</f>
        <v>100.643603</v>
      </c>
      <c r="AF260" s="3" t="str">
        <f>IFERROR(__xludf.DUMMYFUNCTION("""COMPUTED_VALUE"""),"MBC รังสิตคลอง2-21013")</f>
        <v>MBC รังสิตคลอง2-21013</v>
      </c>
      <c r="AG260" s="3" t="str">
        <f>IFERROR(__xludf.DUMMYFUNCTION("""COMPUTED_VALUE"""),"กลาง")</f>
        <v>กลาง</v>
      </c>
      <c r="AH260" s="3" t="str">
        <f>IFERROR(__xludf.DUMMYFUNCTION("""COMPUTED_VALUE"""),"#N/A")</f>
        <v>#N/A</v>
      </c>
      <c r="AI260" s="3" t="str">
        <f>IFERROR(__xludf.DUMMYFUNCTION("""COMPUTED_VALUE"""),"Out of warranty")</f>
        <v>Out of warranty</v>
      </c>
      <c r="AJ260" s="3">
        <f>IFERROR(__xludf.DUMMYFUNCTION("""COMPUTED_VALUE"""),181.0)</f>
        <v>181</v>
      </c>
      <c r="AK260" s="3" t="str">
        <f>IFERROR(__xludf.DUMMYFUNCTION("""COMPUTED_VALUE"""),"MMS04")</f>
        <v>MMS04</v>
      </c>
      <c r="AL260" s="3"/>
    </row>
    <row r="261" ht="15.75" customHeight="1">
      <c r="A261" s="1" t="str">
        <f>IFERROR(__xludf.DUMMYFUNCTION("""COMPUTED_VALUE"""),"21014")</f>
        <v>21014</v>
      </c>
      <c r="B261" s="2">
        <f>IFERROR(__xludf.DUMMYFUNCTION("""COMPUTED_VALUE"""),21014.0)</f>
        <v>21014</v>
      </c>
      <c r="C261" s="3" t="str">
        <f>IFERROR(__xludf.DUMMYFUNCTION("""COMPUTED_VALUE"""),"MBC หมู่บ้านสหกรณ์")</f>
        <v>MBC หมู่บ้านสหกรณ์</v>
      </c>
      <c r="D261" s="3" t="str">
        <f>IFERROR(__xludf.DUMMYFUNCTION("""COMPUTED_VALUE"""),"BCM MU BAN SAHAKORN")</f>
        <v>BCM MU BAN SAHAKORN</v>
      </c>
      <c r="E261" s="1" t="str">
        <f>IFERROR(__xludf.DUMMYFUNCTION("""COMPUTED_VALUE"""),"บิ๊กซี MINI")</f>
        <v>บิ๊กซี MINI</v>
      </c>
      <c r="F261" s="1" t="str">
        <f>IFERROR(__xludf.DUMMYFUNCTION("""COMPUTED_VALUE"""),"291008")</f>
        <v>291008</v>
      </c>
      <c r="G261" s="1" t="str">
        <f>IFERROR(__xludf.DUMMYFUNCTION("""COMPUTED_VALUE"""),"น.ส.รัชดาพร อีศรัตน์")</f>
        <v>น.ส.รัชดาพร อีศรัตน์</v>
      </c>
      <c r="H261" s="1" t="str">
        <f>IFERROR(__xludf.DUMMYFUNCTION("""COMPUTED_VALUE"""),"228242")</f>
        <v>228242</v>
      </c>
      <c r="I261" s="1" t="str">
        <f>IFERROR(__xludf.DUMMYFUNCTION("""COMPUTED_VALUE"""),"นายสมชาย เยมรัมย์")</f>
        <v>นายสมชาย เยมรัมย์</v>
      </c>
      <c r="J261" s="3">
        <f>IFERROR(__xludf.DUMMYFUNCTION("""COMPUTED_VALUE"""),3510104.0)</f>
        <v>3510104</v>
      </c>
      <c r="K261" s="3" t="str">
        <f>IFERROR(__xludf.DUMMYFUNCTION("""COMPUTED_VALUE"""),"นายวิโรจน์ อับดุลสมัด")</f>
        <v>นายวิโรจน์ อับดุลสมัด</v>
      </c>
      <c r="L261" s="1" t="str">
        <f>IFERROR(__xludf.DUMMYFUNCTION("""COMPUTED_VALUE"""),"09 K.Wirode A")</f>
        <v>09 K.Wirode A</v>
      </c>
      <c r="M261" s="1" t="str">
        <f>IFERROR(__xludf.DUMMYFUNCTION("""COMPUTED_VALUE"""),"080-235-4465")</f>
        <v>080-235-4465</v>
      </c>
      <c r="N261" s="3">
        <f>IFERROR(__xludf.DUMMYFUNCTION("""COMPUTED_VALUE"""),21324.0)</f>
        <v>21324</v>
      </c>
      <c r="O261" s="3" t="str">
        <f>IFERROR(__xludf.DUMMYFUNCTION("""COMPUTED_VALUE"""),"MBC BCP สุวินทวงศ์")</f>
        <v>MBC BCP สุวินทวงศ์</v>
      </c>
      <c r="P261" s="4">
        <f>IFERROR(__xludf.DUMMYFUNCTION("""COMPUTED_VALUE"""),40569.0)</f>
        <v>40569</v>
      </c>
      <c r="Q261" s="3" t="str">
        <f>IFERROR(__xludf.DUMMYFUNCTION("""COMPUTED_VALUE"""),"A")</f>
        <v>A</v>
      </c>
      <c r="R261" s="3" t="str">
        <f>IFERROR(__xludf.DUMMYFUNCTION("""COMPUTED_VALUE"""),"Small Format")</f>
        <v>Small Format</v>
      </c>
      <c r="S261" s="3" t="str">
        <f>IFERROR(__xludf.DUMMYFUNCTION("""COMPUTED_VALUE"""),"BCM")</f>
        <v>BCM</v>
      </c>
      <c r="T261" s="3" t="str">
        <f>IFERROR(__xludf.DUMMYFUNCTION("""COMPUTED_VALUE"""),"#N/A")</f>
        <v>#N/A</v>
      </c>
      <c r="U261" s="3" t="str">
        <f>IFERROR(__xludf.DUMMYFUNCTION("""COMPUTED_VALUE"""),"#N/A")</f>
        <v>#N/A</v>
      </c>
      <c r="V261" s="3" t="str">
        <f>IFERROR(__xludf.DUMMYFUNCTION("""COMPUTED_VALUE"""),"N")</f>
        <v>N</v>
      </c>
      <c r="W261" s="3">
        <f>IFERROR(__xludf.DUMMYFUNCTION("""COMPUTED_VALUE"""),211013.0)</f>
        <v>211013</v>
      </c>
      <c r="X261" s="3" t="str">
        <f>IFERROR(__xludf.DUMMYFUNCTION("""COMPUTED_VALUE"""),"1807-9 หมู่ที่ 4 แขวงคลองกุ่ม เขตบึงกุ่ม กรุงเทพฯ 10240")</f>
        <v>1807-9 หมู่ที่ 4 แขวงคลองกุ่ม เขตบึงกุ่ม กรุงเทพฯ 10240</v>
      </c>
      <c r="Y261" s="3"/>
      <c r="Z261" s="3" t="str">
        <f>IFERROR(__xludf.DUMMYFUNCTION("""COMPUTED_VALUE"""),"คลองกุ่ม")</f>
        <v>คลองกุ่ม</v>
      </c>
      <c r="AA261" s="3" t="str">
        <f>IFERROR(__xludf.DUMMYFUNCTION("""COMPUTED_VALUE"""),"บึงกุ่ม")</f>
        <v>บึงกุ่ม</v>
      </c>
      <c r="AB261" s="3" t="str">
        <f>IFERROR(__xludf.DUMMYFUNCTION("""COMPUTED_VALUE"""),"กรุงเทพมหานคร")</f>
        <v>กรุงเทพมหานคร</v>
      </c>
      <c r="AC261" s="3">
        <f>IFERROR(__xludf.DUMMYFUNCTION("""COMPUTED_VALUE"""),10240.0)</f>
        <v>10240</v>
      </c>
      <c r="AD261" s="3">
        <f>IFERROR(__xludf.DUMMYFUNCTION("""COMPUTED_VALUE"""),13.786414)</f>
        <v>13.786414</v>
      </c>
      <c r="AE261" s="3">
        <f>IFERROR(__xludf.DUMMYFUNCTION("""COMPUTED_VALUE"""),100.67499)</f>
        <v>100.67499</v>
      </c>
      <c r="AF261" s="3" t="str">
        <f>IFERROR(__xludf.DUMMYFUNCTION("""COMPUTED_VALUE"""),"MBC หมู่บ้านสหกรณ์-21014")</f>
        <v>MBC หมู่บ้านสหกรณ์-21014</v>
      </c>
      <c r="AG261" s="3" t="str">
        <f>IFERROR(__xludf.DUMMYFUNCTION("""COMPUTED_VALUE"""),"กลาง")</f>
        <v>กลาง</v>
      </c>
      <c r="AH261" s="3" t="str">
        <f>IFERROR(__xludf.DUMMYFUNCTION("""COMPUTED_VALUE"""),"#N/A")</f>
        <v>#N/A</v>
      </c>
      <c r="AI261" s="3" t="str">
        <f>IFERROR(__xludf.DUMMYFUNCTION("""COMPUTED_VALUE"""),"Out of warranty")</f>
        <v>Out of warranty</v>
      </c>
      <c r="AJ261" s="3">
        <f>IFERROR(__xludf.DUMMYFUNCTION("""COMPUTED_VALUE"""),180.0)</f>
        <v>180</v>
      </c>
      <c r="AK261" s="3" t="str">
        <f>IFERROR(__xludf.DUMMYFUNCTION("""COMPUTED_VALUE"""),"MMS03")</f>
        <v>MMS03</v>
      </c>
      <c r="AL261" s="3"/>
    </row>
    <row r="262" ht="15.75" customHeight="1">
      <c r="A262" s="1" t="str">
        <f>IFERROR(__xludf.DUMMYFUNCTION("""COMPUTED_VALUE"""),"21015")</f>
        <v>21015</v>
      </c>
      <c r="B262" s="2">
        <f>IFERROR(__xludf.DUMMYFUNCTION("""COMPUTED_VALUE"""),21015.0)</f>
        <v>21015</v>
      </c>
      <c r="C262" s="3" t="str">
        <f>IFERROR(__xludf.DUMMYFUNCTION("""COMPUTED_VALUE"""),"MBC ศาลายา")</f>
        <v>MBC ศาลายา</v>
      </c>
      <c r="D262" s="3" t="str">
        <f>IFERROR(__xludf.DUMMYFUNCTION("""COMPUTED_VALUE"""),"BCM SALAYA")</f>
        <v>BCM SALAYA</v>
      </c>
      <c r="E262" s="1" t="str">
        <f>IFERROR(__xludf.DUMMYFUNCTION("""COMPUTED_VALUE"""),"บิ๊กซี MINI")</f>
        <v>บิ๊กซี MINI</v>
      </c>
      <c r="F262" s="1" t="str">
        <f>IFERROR(__xludf.DUMMYFUNCTION("""COMPUTED_VALUE"""),"296229")</f>
        <v>296229</v>
      </c>
      <c r="G262" s="1" t="str">
        <f>IFERROR(__xludf.DUMMYFUNCTION("""COMPUTED_VALUE"""),"นายทนงศักดิ์ บุญมา")</f>
        <v>นายทนงศักดิ์ บุญมา</v>
      </c>
      <c r="H262" s="1" t="str">
        <f>IFERROR(__xludf.DUMMYFUNCTION("""COMPUTED_VALUE"""),"295245")</f>
        <v>295245</v>
      </c>
      <c r="I262" s="1" t="str">
        <f>IFERROR(__xludf.DUMMYFUNCTION("""COMPUTED_VALUE"""),"นายมานะ วงศ์สุโชโต")</f>
        <v>นายมานะ วงศ์สุโชโต</v>
      </c>
      <c r="J262" s="3">
        <f>IFERROR(__xludf.DUMMYFUNCTION("""COMPUTED_VALUE"""),46214.0)</f>
        <v>46214</v>
      </c>
      <c r="K262" s="3" t="str">
        <f>IFERROR(__xludf.DUMMYFUNCTION("""COMPUTED_VALUE"""),"นายศักดิ์ชัย เด็ดดอกฟ้า")</f>
        <v>นายศักดิ์ชัย เด็ดดอกฟ้า</v>
      </c>
      <c r="L262" s="1" t="str">
        <f>IFERROR(__xludf.DUMMYFUNCTION("""COMPUTED_VALUE"""),"02 K.Sakchai D")</f>
        <v>02 K.Sakchai D</v>
      </c>
      <c r="M262" s="1" t="str">
        <f>IFERROR(__xludf.DUMMYFUNCTION("""COMPUTED_VALUE"""),"065-510-7376")</f>
        <v>065-510-7376</v>
      </c>
      <c r="N262" s="3">
        <f>IFERROR(__xludf.DUMMYFUNCTION("""COMPUTED_VALUE"""),21714.0)</f>
        <v>21714</v>
      </c>
      <c r="O262" s="3" t="str">
        <f>IFERROR(__xludf.DUMMYFUNCTION("""COMPUTED_VALUE"""),"MBC เอสโซ่ วัดโบสถ์")</f>
        <v>MBC เอสโซ่ วัดโบสถ์</v>
      </c>
      <c r="P262" s="4">
        <f>IFERROR(__xludf.DUMMYFUNCTION("""COMPUTED_VALUE"""),40575.0)</f>
        <v>40575</v>
      </c>
      <c r="Q262" s="3" t="str">
        <f>IFERROR(__xludf.DUMMYFUNCTION("""COMPUTED_VALUE"""),"A")</f>
        <v>A</v>
      </c>
      <c r="R262" s="3" t="str">
        <f>IFERROR(__xludf.DUMMYFUNCTION("""COMPUTED_VALUE"""),"Small Format")</f>
        <v>Small Format</v>
      </c>
      <c r="S262" s="3" t="str">
        <f>IFERROR(__xludf.DUMMYFUNCTION("""COMPUTED_VALUE"""),"BCM")</f>
        <v>BCM</v>
      </c>
      <c r="T262" s="3" t="str">
        <f>IFERROR(__xludf.DUMMYFUNCTION("""COMPUTED_VALUE"""),"#N/A")</f>
        <v>#N/A</v>
      </c>
      <c r="U262" s="3" t="str">
        <f>IFERROR(__xludf.DUMMYFUNCTION("""COMPUTED_VALUE"""),"#N/A")</f>
        <v>#N/A</v>
      </c>
      <c r="V262" s="3" t="str">
        <f>IFERROR(__xludf.DUMMYFUNCTION("""COMPUTED_VALUE"""),"N")</f>
        <v>N</v>
      </c>
      <c r="W262" s="3">
        <f>IFERROR(__xludf.DUMMYFUNCTION("""COMPUTED_VALUE"""),211014.0)</f>
        <v>211014</v>
      </c>
      <c r="X262" s="3" t="str">
        <f>IFERROR(__xludf.DUMMYFUNCTION("""COMPUTED_VALUE"""),"88/2 หมู่ที่ 4 ตำบลศาลายา อำเภอพุทธมณฑล จังหวัดนครปฐม 73170")</f>
        <v>88/2 หมู่ที่ 4 ตำบลศาลายา อำเภอพุทธมณฑล จังหวัดนครปฐม 73170</v>
      </c>
      <c r="Y262" s="3"/>
      <c r="Z262" s="3" t="str">
        <f>IFERROR(__xludf.DUMMYFUNCTION("""COMPUTED_VALUE"""),"ศาลายา")</f>
        <v>ศาลายา</v>
      </c>
      <c r="AA262" s="3" t="str">
        <f>IFERROR(__xludf.DUMMYFUNCTION("""COMPUTED_VALUE"""),"พุทธมณฑล")</f>
        <v>พุทธมณฑล</v>
      </c>
      <c r="AB262" s="3" t="str">
        <f>IFERROR(__xludf.DUMMYFUNCTION("""COMPUTED_VALUE"""),"นครปฐม")</f>
        <v>นครปฐม</v>
      </c>
      <c r="AC262" s="3">
        <f>IFERROR(__xludf.DUMMYFUNCTION("""COMPUTED_VALUE"""),73170.0)</f>
        <v>73170</v>
      </c>
      <c r="AD262" s="3">
        <f>IFERROR(__xludf.DUMMYFUNCTION("""COMPUTED_VALUE"""),13.801725)</f>
        <v>13.801725</v>
      </c>
      <c r="AE262" s="3">
        <f>IFERROR(__xludf.DUMMYFUNCTION("""COMPUTED_VALUE"""),100.312556)</f>
        <v>100.312556</v>
      </c>
      <c r="AF262" s="3" t="str">
        <f>IFERROR(__xludf.DUMMYFUNCTION("""COMPUTED_VALUE"""),"MBC ศาลายา-21015")</f>
        <v>MBC ศาลายา-21015</v>
      </c>
      <c r="AG262" s="3" t="str">
        <f>IFERROR(__xludf.DUMMYFUNCTION("""COMPUTED_VALUE"""),"กลาง")</f>
        <v>กลาง</v>
      </c>
      <c r="AH262" s="3" t="str">
        <f>IFERROR(__xludf.DUMMYFUNCTION("""COMPUTED_VALUE"""),"#N/A")</f>
        <v>#N/A</v>
      </c>
      <c r="AI262" s="3" t="str">
        <f>IFERROR(__xludf.DUMMYFUNCTION("""COMPUTED_VALUE"""),"Out of warranty")</f>
        <v>Out of warranty</v>
      </c>
      <c r="AJ262" s="3">
        <f>IFERROR(__xludf.DUMMYFUNCTION("""COMPUTED_VALUE"""),180.0)</f>
        <v>180</v>
      </c>
      <c r="AK262" s="3" t="str">
        <f>IFERROR(__xludf.DUMMYFUNCTION("""COMPUTED_VALUE"""),"MMS05")</f>
        <v>MMS05</v>
      </c>
      <c r="AL262" s="3"/>
    </row>
    <row r="263" ht="15.75" customHeight="1">
      <c r="A263" s="1" t="str">
        <f>IFERROR(__xludf.DUMMYFUNCTION("""COMPUTED_VALUE"""),"21016")</f>
        <v>21016</v>
      </c>
      <c r="B263" s="2">
        <f>IFERROR(__xludf.DUMMYFUNCTION("""COMPUTED_VALUE"""),21016.0)</f>
        <v>21016</v>
      </c>
      <c r="C263" s="3" t="str">
        <f>IFERROR(__xludf.DUMMYFUNCTION("""COMPUTED_VALUE"""),"MBC ดอนหวาย")</f>
        <v>MBC ดอนหวาย</v>
      </c>
      <c r="D263" s="3" t="str">
        <f>IFERROR(__xludf.DUMMYFUNCTION("""COMPUTED_VALUE"""),"BCM DONWAI")</f>
        <v>BCM DONWAI</v>
      </c>
      <c r="E263" s="1" t="str">
        <f>IFERROR(__xludf.DUMMYFUNCTION("""COMPUTED_VALUE"""),"บิ๊กซี MINI")</f>
        <v>บิ๊กซี MINI</v>
      </c>
      <c r="F263" s="1" t="str">
        <f>IFERROR(__xludf.DUMMYFUNCTION("""COMPUTED_VALUE"""),"296229")</f>
        <v>296229</v>
      </c>
      <c r="G263" s="1" t="str">
        <f>IFERROR(__xludf.DUMMYFUNCTION("""COMPUTED_VALUE"""),"นายทนงศักดิ์ บุญมา")</f>
        <v>นายทนงศักดิ์ บุญมา</v>
      </c>
      <c r="H263" s="1" t="str">
        <f>IFERROR(__xludf.DUMMYFUNCTION("""COMPUTED_VALUE"""),"295245")</f>
        <v>295245</v>
      </c>
      <c r="I263" s="1" t="str">
        <f>IFERROR(__xludf.DUMMYFUNCTION("""COMPUTED_VALUE"""),"นายมานะ วงศ์สุโชโต")</f>
        <v>นายมานะ วงศ์สุโชโต</v>
      </c>
      <c r="J263" s="3">
        <f>IFERROR(__xludf.DUMMYFUNCTION("""COMPUTED_VALUE"""),46214.0)</f>
        <v>46214</v>
      </c>
      <c r="K263" s="3" t="str">
        <f>IFERROR(__xludf.DUMMYFUNCTION("""COMPUTED_VALUE"""),"นายศักดิ์ชัย เด็ดดอกฟ้า")</f>
        <v>นายศักดิ์ชัย เด็ดดอกฟ้า</v>
      </c>
      <c r="L263" s="1" t="str">
        <f>IFERROR(__xludf.DUMMYFUNCTION("""COMPUTED_VALUE"""),"02 K.Sakchai D")</f>
        <v>02 K.Sakchai D</v>
      </c>
      <c r="M263" s="1" t="str">
        <f>IFERROR(__xludf.DUMMYFUNCTION("""COMPUTED_VALUE"""),"065-510-7376")</f>
        <v>065-510-7376</v>
      </c>
      <c r="N263" s="3">
        <f>IFERROR(__xludf.DUMMYFUNCTION("""COMPUTED_VALUE"""),21714.0)</f>
        <v>21714</v>
      </c>
      <c r="O263" s="3" t="str">
        <f>IFERROR(__xludf.DUMMYFUNCTION("""COMPUTED_VALUE"""),"MBC เอสโซ่ วัดโบสถ์")</f>
        <v>MBC เอสโซ่ วัดโบสถ์</v>
      </c>
      <c r="P263" s="4">
        <f>IFERROR(__xludf.DUMMYFUNCTION("""COMPUTED_VALUE"""),40591.0)</f>
        <v>40591</v>
      </c>
      <c r="Q263" s="3" t="str">
        <f>IFERROR(__xludf.DUMMYFUNCTION("""COMPUTED_VALUE"""),"A")</f>
        <v>A</v>
      </c>
      <c r="R263" s="3" t="str">
        <f>IFERROR(__xludf.DUMMYFUNCTION("""COMPUTED_VALUE"""),"Small Format")</f>
        <v>Small Format</v>
      </c>
      <c r="S263" s="3" t="str">
        <f>IFERROR(__xludf.DUMMYFUNCTION("""COMPUTED_VALUE"""),"BCM")</f>
        <v>BCM</v>
      </c>
      <c r="T263" s="3" t="str">
        <f>IFERROR(__xludf.DUMMYFUNCTION("""COMPUTED_VALUE"""),"#N/A")</f>
        <v>#N/A</v>
      </c>
      <c r="U263" s="3" t="str">
        <f>IFERROR(__xludf.DUMMYFUNCTION("""COMPUTED_VALUE"""),"#N/A")</f>
        <v>#N/A</v>
      </c>
      <c r="V263" s="3" t="str">
        <f>IFERROR(__xludf.DUMMYFUNCTION("""COMPUTED_VALUE"""),"N")</f>
        <v>N</v>
      </c>
      <c r="W263" s="3">
        <f>IFERROR(__xludf.DUMMYFUNCTION("""COMPUTED_VALUE"""),211015.0)</f>
        <v>211015</v>
      </c>
      <c r="X263" s="3" t="str">
        <f>IFERROR(__xludf.DUMMYFUNCTION("""COMPUTED_VALUE"""),"89/21 หมู่ที่ 5 ตำบลบางกระทึก อำเภอสามพราน จังหวัดนครปฐม 73110")</f>
        <v>89/21 หมู่ที่ 5 ตำบลบางกระทึก อำเภอสามพราน จังหวัดนครปฐม 73110</v>
      </c>
      <c r="Y263" s="3"/>
      <c r="Z263" s="3" t="str">
        <f>IFERROR(__xludf.DUMMYFUNCTION("""COMPUTED_VALUE"""),"บางกระทึก")</f>
        <v>บางกระทึก</v>
      </c>
      <c r="AA263" s="3" t="str">
        <f>IFERROR(__xludf.DUMMYFUNCTION("""COMPUTED_VALUE"""),"สามพราน")</f>
        <v>สามพราน</v>
      </c>
      <c r="AB263" s="3" t="str">
        <f>IFERROR(__xludf.DUMMYFUNCTION("""COMPUTED_VALUE"""),"นครปฐม")</f>
        <v>นครปฐม</v>
      </c>
      <c r="AC263" s="3">
        <f>IFERROR(__xludf.DUMMYFUNCTION("""COMPUTED_VALUE"""),73110.0)</f>
        <v>73110</v>
      </c>
      <c r="AD263" s="3">
        <f>IFERROR(__xludf.DUMMYFUNCTION("""COMPUTED_VALUE"""),13.768815)</f>
        <v>13.768815</v>
      </c>
      <c r="AE263" s="3">
        <f>IFERROR(__xludf.DUMMYFUNCTION("""COMPUTED_VALUE"""),100.286225)</f>
        <v>100.286225</v>
      </c>
      <c r="AF263" s="3" t="str">
        <f>IFERROR(__xludf.DUMMYFUNCTION("""COMPUTED_VALUE"""),"MBC ดอนหวาย-21016")</f>
        <v>MBC ดอนหวาย-21016</v>
      </c>
      <c r="AG263" s="3" t="str">
        <f>IFERROR(__xludf.DUMMYFUNCTION("""COMPUTED_VALUE"""),"กลาง")</f>
        <v>กลาง</v>
      </c>
      <c r="AH263" s="3" t="str">
        <f>IFERROR(__xludf.DUMMYFUNCTION("""COMPUTED_VALUE"""),"#N/A")</f>
        <v>#N/A</v>
      </c>
      <c r="AI263" s="3" t="str">
        <f>IFERROR(__xludf.DUMMYFUNCTION("""COMPUTED_VALUE"""),"Out of warranty")</f>
        <v>Out of warranty</v>
      </c>
      <c r="AJ263" s="3">
        <f>IFERROR(__xludf.DUMMYFUNCTION("""COMPUTED_VALUE"""),180.0)</f>
        <v>180</v>
      </c>
      <c r="AK263" s="3" t="str">
        <f>IFERROR(__xludf.DUMMYFUNCTION("""COMPUTED_VALUE"""),"MMS05")</f>
        <v>MMS05</v>
      </c>
      <c r="AL263" s="3"/>
    </row>
    <row r="264" ht="15.75" customHeight="1">
      <c r="A264" s="1" t="str">
        <f>IFERROR(__xludf.DUMMYFUNCTION("""COMPUTED_VALUE"""),"21017")</f>
        <v>21017</v>
      </c>
      <c r="B264" s="2">
        <f>IFERROR(__xludf.DUMMYFUNCTION("""COMPUTED_VALUE"""),21017.0)</f>
        <v>21017</v>
      </c>
      <c r="C264" s="3" t="str">
        <f>IFERROR(__xludf.DUMMYFUNCTION("""COMPUTED_VALUE"""),"MBC ตลาดกรุงธน")</f>
        <v>MBC ตลาดกรุงธน</v>
      </c>
      <c r="D264" s="3" t="str">
        <f>IFERROR(__xludf.DUMMYFUNCTION("""COMPUTED_VALUE"""),"BCM TALAD KRUNGTHON")</f>
        <v>BCM TALAD KRUNGTHON</v>
      </c>
      <c r="E264" s="1" t="str">
        <f>IFERROR(__xludf.DUMMYFUNCTION("""COMPUTED_VALUE"""),"บิ๊กซี MINI")</f>
        <v>บิ๊กซี MINI</v>
      </c>
      <c r="F264" s="1" t="str">
        <f>IFERROR(__xludf.DUMMYFUNCTION("""COMPUTED_VALUE"""),"291008")</f>
        <v>291008</v>
      </c>
      <c r="G264" s="1" t="str">
        <f>IFERROR(__xludf.DUMMYFUNCTION("""COMPUTED_VALUE"""),"น.ส.รัชดาพร อีศรัตน์")</f>
        <v>น.ส.รัชดาพร อีศรัตน์</v>
      </c>
      <c r="H264" s="1" t="str">
        <f>IFERROR(__xludf.DUMMYFUNCTION("""COMPUTED_VALUE"""),"291101")</f>
        <v>291101</v>
      </c>
      <c r="I264" s="1" t="str">
        <f>IFERROR(__xludf.DUMMYFUNCTION("""COMPUTED_VALUE"""),"นายจักรพงศ์ โพธิ์ศรี")</f>
        <v>นายจักรพงศ์ โพธิ์ศรี</v>
      </c>
      <c r="J264" s="3">
        <f>IFERROR(__xludf.DUMMYFUNCTION("""COMPUTED_VALUE"""),296608.0)</f>
        <v>296608</v>
      </c>
      <c r="K264" s="3" t="str">
        <f>IFERROR(__xludf.DUMMYFUNCTION("""COMPUTED_VALUE"""),"นายภาคภูมิ เพ็ชรนิล")</f>
        <v>นายภาคภูมิ เพ็ชรนิล</v>
      </c>
      <c r="L264" s="1" t="str">
        <f>IFERROR(__xludf.DUMMYFUNCTION("""COMPUTED_VALUE"""),"10 K.Phakphoom P.")</f>
        <v>10 K.Phakphoom P.</v>
      </c>
      <c r="M264" s="1" t="str">
        <f>IFERROR(__xludf.DUMMYFUNCTION("""COMPUTED_VALUE"""),"063-8955329")</f>
        <v>063-8955329</v>
      </c>
      <c r="N264" s="3">
        <f>IFERROR(__xludf.DUMMYFUNCTION("""COMPUTED_VALUE"""),22584.0)</f>
        <v>22584</v>
      </c>
      <c r="O264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264" s="4">
        <f>IFERROR(__xludf.DUMMYFUNCTION("""COMPUTED_VALUE"""),40606.0)</f>
        <v>40606</v>
      </c>
      <c r="Q264" s="3" t="str">
        <f>IFERROR(__xludf.DUMMYFUNCTION("""COMPUTED_VALUE"""),"A")</f>
        <v>A</v>
      </c>
      <c r="R264" s="3" t="str">
        <f>IFERROR(__xludf.DUMMYFUNCTION("""COMPUTED_VALUE"""),"Small Format")</f>
        <v>Small Format</v>
      </c>
      <c r="S264" s="3" t="str">
        <f>IFERROR(__xludf.DUMMYFUNCTION("""COMPUTED_VALUE"""),"BCM")</f>
        <v>BCM</v>
      </c>
      <c r="T264" s="3" t="str">
        <f>IFERROR(__xludf.DUMMYFUNCTION("""COMPUTED_VALUE"""),"#N/A")</f>
        <v>#N/A</v>
      </c>
      <c r="U264" s="3" t="str">
        <f>IFERROR(__xludf.DUMMYFUNCTION("""COMPUTED_VALUE"""),"#N/A")</f>
        <v>#N/A</v>
      </c>
      <c r="V264" s="3" t="str">
        <f>IFERROR(__xludf.DUMMYFUNCTION("""COMPUTED_VALUE"""),"N")</f>
        <v>N</v>
      </c>
      <c r="W264" s="3">
        <f>IFERROR(__xludf.DUMMYFUNCTION("""COMPUTED_VALUE"""),211016.0)</f>
        <v>211016</v>
      </c>
      <c r="X264" s="3" t="str">
        <f>IFERROR(__xludf.DUMMYFUNCTION("""COMPUTED_VALUE"""),"110/1 ถนนราชวิถี แขวงบางยี่ขัน เขตบางพลัด กรุงเทพฯ 10700")</f>
        <v>110/1 ถนนราชวิถี แขวงบางยี่ขัน เขตบางพลัด กรุงเทพฯ 10700</v>
      </c>
      <c r="Y264" s="3" t="str">
        <f>IFERROR(__xludf.DUMMYFUNCTION("""COMPUTED_VALUE"""),"ถนนราชวิถี")</f>
        <v>ถนนราชวิถี</v>
      </c>
      <c r="Z264" s="3" t="str">
        <f>IFERROR(__xludf.DUMMYFUNCTION("""COMPUTED_VALUE"""),"บางยี่ขัน")</f>
        <v>บางยี่ขัน</v>
      </c>
      <c r="AA264" s="3" t="str">
        <f>IFERROR(__xludf.DUMMYFUNCTION("""COMPUTED_VALUE"""),"บางพลัด")</f>
        <v>บางพลัด</v>
      </c>
      <c r="AB264" s="3" t="str">
        <f>IFERROR(__xludf.DUMMYFUNCTION("""COMPUTED_VALUE"""),"กรุงเทพมหานคร")</f>
        <v>กรุงเทพมหานคร</v>
      </c>
      <c r="AC264" s="3">
        <f>IFERROR(__xludf.DUMMYFUNCTION("""COMPUTED_VALUE"""),10700.0)</f>
        <v>10700</v>
      </c>
      <c r="AD264" s="3">
        <f>IFERROR(__xludf.DUMMYFUNCTION("""COMPUTED_VALUE"""),13.783702)</f>
        <v>13.783702</v>
      </c>
      <c r="AE264" s="3">
        <f>IFERROR(__xludf.DUMMYFUNCTION("""COMPUTED_VALUE"""),100.496033)</f>
        <v>100.496033</v>
      </c>
      <c r="AF264" s="3" t="str">
        <f>IFERROR(__xludf.DUMMYFUNCTION("""COMPUTED_VALUE"""),"MBC ตลาดกรุงธน-21017")</f>
        <v>MBC ตลาดกรุงธน-21017</v>
      </c>
      <c r="AG264" s="3" t="str">
        <f>IFERROR(__xludf.DUMMYFUNCTION("""COMPUTED_VALUE"""),"กลาง")</f>
        <v>กลาง</v>
      </c>
      <c r="AH264" s="3" t="str">
        <f>IFERROR(__xludf.DUMMYFUNCTION("""COMPUTED_VALUE"""),"#N/A")</f>
        <v>#N/A</v>
      </c>
      <c r="AI264" s="3" t="str">
        <f>IFERROR(__xludf.DUMMYFUNCTION("""COMPUTED_VALUE"""),"Out of warranty")</f>
        <v>Out of warranty</v>
      </c>
      <c r="AJ264" s="3">
        <f>IFERROR(__xludf.DUMMYFUNCTION("""COMPUTED_VALUE"""),179.0)</f>
        <v>179</v>
      </c>
      <c r="AK264" s="3" t="str">
        <f>IFERROR(__xludf.DUMMYFUNCTION("""COMPUTED_VALUE"""),"MMS01")</f>
        <v>MMS01</v>
      </c>
      <c r="AL264" s="3"/>
    </row>
    <row r="265" ht="15.75" customHeight="1">
      <c r="A265" s="1" t="str">
        <f>IFERROR(__xludf.DUMMYFUNCTION("""COMPUTED_VALUE"""),"21018")</f>
        <v>21018</v>
      </c>
      <c r="B265" s="2">
        <f>IFERROR(__xludf.DUMMYFUNCTION("""COMPUTED_VALUE"""),21018.0)</f>
        <v>21018</v>
      </c>
      <c r="C265" s="3" t="str">
        <f>IFERROR(__xludf.DUMMYFUNCTION("""COMPUTED_VALUE"""),"MBC ประชาชื่น12")</f>
        <v>MBC ประชาชื่น12</v>
      </c>
      <c r="D265" s="3" t="str">
        <f>IFERROR(__xludf.DUMMYFUNCTION("""COMPUTED_VALUE"""),"BCM PRACHACHUEN 12")</f>
        <v>BCM PRACHACHUEN 12</v>
      </c>
      <c r="E265" s="1" t="str">
        <f>IFERROR(__xludf.DUMMYFUNCTION("""COMPUTED_VALUE"""),"บิ๊กซี MINI")</f>
        <v>บิ๊กซี MINI</v>
      </c>
      <c r="F265" s="1" t="str">
        <f>IFERROR(__xludf.DUMMYFUNCTION("""COMPUTED_VALUE"""),"291008")</f>
        <v>291008</v>
      </c>
      <c r="G265" s="1" t="str">
        <f>IFERROR(__xludf.DUMMYFUNCTION("""COMPUTED_VALUE"""),"น.ส.รัชดาพร อีศรัตน์")</f>
        <v>น.ส.รัชดาพร อีศรัตน์</v>
      </c>
      <c r="H265" s="1" t="str">
        <f>IFERROR(__xludf.DUMMYFUNCTION("""COMPUTED_VALUE"""),"373540")</f>
        <v>373540</v>
      </c>
      <c r="I265" s="1" t="str">
        <f>IFERROR(__xludf.DUMMYFUNCTION("""COMPUTED_VALUE"""),"นายทศพร พึ่งพบ")</f>
        <v>นายทศพร พึ่งพบ</v>
      </c>
      <c r="J265" s="3">
        <f>IFERROR(__xludf.DUMMYFUNCTION("""COMPUTED_VALUE"""),2452378.0)</f>
        <v>2452378</v>
      </c>
      <c r="K265" s="3" t="str">
        <f>IFERROR(__xludf.DUMMYFUNCTION("""COMPUTED_VALUE"""),"นายศักดิ์ดา พวงประดับ")</f>
        <v>นายศักดิ์ดา พวงประดับ</v>
      </c>
      <c r="L265" s="1" t="str">
        <f>IFERROR(__xludf.DUMMYFUNCTION("""COMPUTED_VALUE"""),"11 K.Sakda P.")</f>
        <v>11 K.Sakda P.</v>
      </c>
      <c r="M265" s="1" t="str">
        <f>IFERROR(__xludf.DUMMYFUNCTION("""COMPUTED_VALUE"""),"065-929-1279")</f>
        <v>065-929-1279</v>
      </c>
      <c r="N265" s="3">
        <f>IFERROR(__xludf.DUMMYFUNCTION("""COMPUTED_VALUE"""),21002.0)</f>
        <v>21002</v>
      </c>
      <c r="O265" s="3" t="str">
        <f>IFERROR(__xludf.DUMMYFUNCTION("""COMPUTED_VALUE"""),"MBC อุดมสุข")</f>
        <v>MBC อุดมสุข</v>
      </c>
      <c r="P265" s="4">
        <f>IFERROR(__xludf.DUMMYFUNCTION("""COMPUTED_VALUE"""),40607.0)</f>
        <v>40607</v>
      </c>
      <c r="Q265" s="3" t="str">
        <f>IFERROR(__xludf.DUMMYFUNCTION("""COMPUTED_VALUE"""),"A")</f>
        <v>A</v>
      </c>
      <c r="R265" s="3" t="str">
        <f>IFERROR(__xludf.DUMMYFUNCTION("""COMPUTED_VALUE"""),"Small Format")</f>
        <v>Small Format</v>
      </c>
      <c r="S265" s="3" t="str">
        <f>IFERROR(__xludf.DUMMYFUNCTION("""COMPUTED_VALUE"""),"BCM")</f>
        <v>BCM</v>
      </c>
      <c r="T265" s="3" t="str">
        <f>IFERROR(__xludf.DUMMYFUNCTION("""COMPUTED_VALUE"""),"#N/A")</f>
        <v>#N/A</v>
      </c>
      <c r="U265" s="3" t="str">
        <f>IFERROR(__xludf.DUMMYFUNCTION("""COMPUTED_VALUE"""),"#N/A")</f>
        <v>#N/A</v>
      </c>
      <c r="V265" s="3" t="str">
        <f>IFERROR(__xludf.DUMMYFUNCTION("""COMPUTED_VALUE"""),"N")</f>
        <v>N</v>
      </c>
      <c r="W265" s="3">
        <f>IFERROR(__xludf.DUMMYFUNCTION("""COMPUTED_VALUE"""),211061.0)</f>
        <v>211061</v>
      </c>
      <c r="X265" s="3" t="str">
        <f>IFERROR(__xludf.DUMMYFUNCTION("""COMPUTED_VALUE"""),"332 หมู่ที่ 6 แขวงทุ่งสองห้อง เขตหลักสี่ กรุงเทพฯ 10210")</f>
        <v>332 หมู่ที่ 6 แขวงทุ่งสองห้อง เขตหลักสี่ กรุงเทพฯ 10210</v>
      </c>
      <c r="Y265" s="3"/>
      <c r="Z265" s="3" t="str">
        <f>IFERROR(__xludf.DUMMYFUNCTION("""COMPUTED_VALUE"""),"ทุ่งสองห้อง")</f>
        <v>ทุ่งสองห้อง</v>
      </c>
      <c r="AA265" s="3" t="str">
        <f>IFERROR(__xludf.DUMMYFUNCTION("""COMPUTED_VALUE"""),"หลักสี่")</f>
        <v>หลักสี่</v>
      </c>
      <c r="AB265" s="3" t="str">
        <f>IFERROR(__xludf.DUMMYFUNCTION("""COMPUTED_VALUE"""),"กรุงเทพมหานคร")</f>
        <v>กรุงเทพมหานคร</v>
      </c>
      <c r="AC265" s="3">
        <f>IFERROR(__xludf.DUMMYFUNCTION("""COMPUTED_VALUE"""),10210.0)</f>
        <v>10210</v>
      </c>
      <c r="AD265" s="3">
        <f>IFERROR(__xludf.DUMMYFUNCTION("""COMPUTED_VALUE"""),13.872517)</f>
        <v>13.872517</v>
      </c>
      <c r="AE265" s="3">
        <f>IFERROR(__xludf.DUMMYFUNCTION("""COMPUTED_VALUE"""),100.550198)</f>
        <v>100.550198</v>
      </c>
      <c r="AF265" s="3" t="str">
        <f>IFERROR(__xludf.DUMMYFUNCTION("""COMPUTED_VALUE"""),"MBC ประชาชื่น12-21018")</f>
        <v>MBC ประชาชื่น12-21018</v>
      </c>
      <c r="AG265" s="3" t="str">
        <f>IFERROR(__xludf.DUMMYFUNCTION("""COMPUTED_VALUE"""),"กลาง")</f>
        <v>กลาง</v>
      </c>
      <c r="AH265" s="3" t="str">
        <f>IFERROR(__xludf.DUMMYFUNCTION("""COMPUTED_VALUE"""),"#N/A")</f>
        <v>#N/A</v>
      </c>
      <c r="AI265" s="3" t="str">
        <f>IFERROR(__xludf.DUMMYFUNCTION("""COMPUTED_VALUE"""),"Out of warranty")</f>
        <v>Out of warranty</v>
      </c>
      <c r="AJ265" s="3">
        <f>IFERROR(__xludf.DUMMYFUNCTION("""COMPUTED_VALUE"""),179.0)</f>
        <v>179</v>
      </c>
      <c r="AK265" s="3" t="str">
        <f>IFERROR(__xludf.DUMMYFUNCTION("""COMPUTED_VALUE"""),"MMS01")</f>
        <v>MMS01</v>
      </c>
      <c r="AL265" s="3"/>
    </row>
    <row r="266" ht="15.75" customHeight="1">
      <c r="A266" s="1" t="str">
        <f>IFERROR(__xludf.DUMMYFUNCTION("""COMPUTED_VALUE"""),"21019")</f>
        <v>21019</v>
      </c>
      <c r="B266" s="2">
        <f>IFERROR(__xludf.DUMMYFUNCTION("""COMPUTED_VALUE"""),21019.0)</f>
        <v>21019</v>
      </c>
      <c r="C266" s="3" t="str">
        <f>IFERROR(__xludf.DUMMYFUNCTION("""COMPUTED_VALUE"""),"MBC ทิพย์พิมาน")</f>
        <v>MBC ทิพย์พิมาน</v>
      </c>
      <c r="D266" s="3" t="str">
        <f>IFERROR(__xludf.DUMMYFUNCTION("""COMPUTED_VALUE"""),"BCM THIPPIMAN")</f>
        <v>BCM THIPPIMAN</v>
      </c>
      <c r="E266" s="1" t="str">
        <f>IFERROR(__xludf.DUMMYFUNCTION("""COMPUTED_VALUE"""),"บิ๊กซี MINI")</f>
        <v>บิ๊กซี MINI</v>
      </c>
      <c r="F266" s="1" t="str">
        <f>IFERROR(__xludf.DUMMYFUNCTION("""COMPUTED_VALUE"""),"291008")</f>
        <v>291008</v>
      </c>
      <c r="G266" s="1" t="str">
        <f>IFERROR(__xludf.DUMMYFUNCTION("""COMPUTED_VALUE"""),"น.ส.รัชดาพร อีศรัตน์")</f>
        <v>น.ส.รัชดาพร อีศรัตน์</v>
      </c>
      <c r="H266" s="1" t="str">
        <f>IFERROR(__xludf.DUMMYFUNCTION("""COMPUTED_VALUE"""),"180055")</f>
        <v>180055</v>
      </c>
      <c r="I266" s="1" t="str">
        <f>IFERROR(__xludf.DUMMYFUNCTION("""COMPUTED_VALUE"""),"น.ส.สุดารัตน์ บุญล้ำ")</f>
        <v>น.ส.สุดารัตน์ บุญล้ำ</v>
      </c>
      <c r="J266" s="3">
        <f>IFERROR(__xludf.DUMMYFUNCTION("""COMPUTED_VALUE"""),296608.0)</f>
        <v>296608</v>
      </c>
      <c r="K266" s="3" t="str">
        <f>IFERROR(__xludf.DUMMYFUNCTION("""COMPUTED_VALUE"""),"นายภาคภูมิ เพ็ชรนิล")</f>
        <v>นายภาคภูมิ เพ็ชรนิล</v>
      </c>
      <c r="L266" s="1" t="str">
        <f>IFERROR(__xludf.DUMMYFUNCTION("""COMPUTED_VALUE"""),"10 K.Phakphoom P.")</f>
        <v>10 K.Phakphoom P.</v>
      </c>
      <c r="M266" s="1" t="str">
        <f>IFERROR(__xludf.DUMMYFUNCTION("""COMPUTED_VALUE"""),"063-8955329")</f>
        <v>063-8955329</v>
      </c>
      <c r="N266" s="3">
        <f>IFERROR(__xludf.DUMMYFUNCTION("""COMPUTED_VALUE"""),22584.0)</f>
        <v>22584</v>
      </c>
      <c r="O266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266" s="4">
        <f>IFERROR(__xludf.DUMMYFUNCTION("""COMPUTED_VALUE"""),40620.0)</f>
        <v>40620</v>
      </c>
      <c r="Q266" s="3" t="str">
        <f>IFERROR(__xludf.DUMMYFUNCTION("""COMPUTED_VALUE"""),"A")</f>
        <v>A</v>
      </c>
      <c r="R266" s="3" t="str">
        <f>IFERROR(__xludf.DUMMYFUNCTION("""COMPUTED_VALUE"""),"Small Format")</f>
        <v>Small Format</v>
      </c>
      <c r="S266" s="3" t="str">
        <f>IFERROR(__xludf.DUMMYFUNCTION("""COMPUTED_VALUE"""),"BCM")</f>
        <v>BCM</v>
      </c>
      <c r="T266" s="3" t="str">
        <f>IFERROR(__xludf.DUMMYFUNCTION("""COMPUTED_VALUE"""),"#N/A")</f>
        <v>#N/A</v>
      </c>
      <c r="U266" s="3" t="str">
        <f>IFERROR(__xludf.DUMMYFUNCTION("""COMPUTED_VALUE"""),"#N/A")</f>
        <v>#N/A</v>
      </c>
      <c r="V266" s="3" t="str">
        <f>IFERROR(__xludf.DUMMYFUNCTION("""COMPUTED_VALUE"""),"N")</f>
        <v>N</v>
      </c>
      <c r="W266" s="3">
        <f>IFERROR(__xludf.DUMMYFUNCTION("""COMPUTED_VALUE"""),211017.0)</f>
        <v>211017</v>
      </c>
      <c r="X266" s="3" t="str">
        <f>IFERROR(__xludf.DUMMYFUNCTION("""COMPUTED_VALUE"""),"55/176-178 หมู่ที่ 3 ตำบลพิมลราช อำเภอบางบัวทอง จังหวัดนนทบุรี 11110")</f>
        <v>55/176-178 หมู่ที่ 3 ตำบลพิมลราช อำเภอบางบัวทอง จังหวัดนนทบุรี 11110</v>
      </c>
      <c r="Y266" s="3"/>
      <c r="Z266" s="3" t="str">
        <f>IFERROR(__xludf.DUMMYFUNCTION("""COMPUTED_VALUE"""),"พิมลราช")</f>
        <v>พิมลราช</v>
      </c>
      <c r="AA266" s="3" t="str">
        <f>IFERROR(__xludf.DUMMYFUNCTION("""COMPUTED_VALUE"""),"บางบัวทอง")</f>
        <v>บางบัวทอง</v>
      </c>
      <c r="AB266" s="3" t="str">
        <f>IFERROR(__xludf.DUMMYFUNCTION("""COMPUTED_VALUE"""),"นนทบุรี")</f>
        <v>นนทบุรี</v>
      </c>
      <c r="AC266" s="3">
        <f>IFERROR(__xludf.DUMMYFUNCTION("""COMPUTED_VALUE"""),11110.0)</f>
        <v>11110</v>
      </c>
      <c r="AD266" s="3">
        <f>IFERROR(__xludf.DUMMYFUNCTION("""COMPUTED_VALUE"""),13.916135)</f>
        <v>13.916135</v>
      </c>
      <c r="AE266" s="3">
        <f>IFERROR(__xludf.DUMMYFUNCTION("""COMPUTED_VALUE"""),100.398425)</f>
        <v>100.398425</v>
      </c>
      <c r="AF266" s="3" t="str">
        <f>IFERROR(__xludf.DUMMYFUNCTION("""COMPUTED_VALUE"""),"MBC ทิพย์พิมาน-21019")</f>
        <v>MBC ทิพย์พิมาน-21019</v>
      </c>
      <c r="AG266" s="3" t="str">
        <f>IFERROR(__xludf.DUMMYFUNCTION("""COMPUTED_VALUE"""),"กลาง")</f>
        <v>กลาง</v>
      </c>
      <c r="AH266" s="3" t="str">
        <f>IFERROR(__xludf.DUMMYFUNCTION("""COMPUTED_VALUE"""),"#N/A")</f>
        <v>#N/A</v>
      </c>
      <c r="AI266" s="3" t="str">
        <f>IFERROR(__xludf.DUMMYFUNCTION("""COMPUTED_VALUE"""),"Out of warranty")</f>
        <v>Out of warranty</v>
      </c>
      <c r="AJ266" s="3">
        <f>IFERROR(__xludf.DUMMYFUNCTION("""COMPUTED_VALUE"""),179.0)</f>
        <v>179</v>
      </c>
      <c r="AK266" s="3" t="str">
        <f>IFERROR(__xludf.DUMMYFUNCTION("""COMPUTED_VALUE"""),"MMS04")</f>
        <v>MMS04</v>
      </c>
      <c r="AL266" s="3"/>
    </row>
    <row r="267" ht="15.75" customHeight="1">
      <c r="A267" s="1" t="str">
        <f>IFERROR(__xludf.DUMMYFUNCTION("""COMPUTED_VALUE"""),"21020")</f>
        <v>21020</v>
      </c>
      <c r="B267" s="2">
        <f>IFERROR(__xludf.DUMMYFUNCTION("""COMPUTED_VALUE"""),21020.0)</f>
        <v>21020</v>
      </c>
      <c r="C267" s="3" t="str">
        <f>IFERROR(__xludf.DUMMYFUNCTION("""COMPUTED_VALUE"""),"MBC เฉลิมพระเกียรติ")</f>
        <v>MBC เฉลิมพระเกียรติ</v>
      </c>
      <c r="D267" s="3" t="str">
        <f>IFERROR(__xludf.DUMMYFUNCTION("""COMPUTED_VALUE"""),"BCM CHALERMPHAKIAT")</f>
        <v>BCM CHALERMPHAKIAT</v>
      </c>
      <c r="E267" s="1" t="str">
        <f>IFERROR(__xludf.DUMMYFUNCTION("""COMPUTED_VALUE"""),"บิ๊กซี MINI")</f>
        <v>บิ๊กซี MINI</v>
      </c>
      <c r="F267" s="1" t="str">
        <f>IFERROR(__xludf.DUMMYFUNCTION("""COMPUTED_VALUE"""),"291008")</f>
        <v>291008</v>
      </c>
      <c r="G267" s="1" t="str">
        <f>IFERROR(__xludf.DUMMYFUNCTION("""COMPUTED_VALUE"""),"น.ส.รัชดาพร อีศรัตน์")</f>
        <v>น.ส.รัชดาพร อีศรัตน์</v>
      </c>
      <c r="H267" s="1" t="str">
        <f>IFERROR(__xludf.DUMMYFUNCTION("""COMPUTED_VALUE"""),"359054")</f>
        <v>359054</v>
      </c>
      <c r="I267" s="1" t="str">
        <f>IFERROR(__xludf.DUMMYFUNCTION("""COMPUTED_VALUE"""),"น.ส.กรรณิการ์ พุทธวงค์")</f>
        <v>น.ส.กรรณิการ์ พุทธวงค์</v>
      </c>
      <c r="J267" s="3">
        <f>IFERROR(__xludf.DUMMYFUNCTION("""COMPUTED_VALUE"""),2452378.0)</f>
        <v>2452378</v>
      </c>
      <c r="K267" s="3" t="str">
        <f>IFERROR(__xludf.DUMMYFUNCTION("""COMPUTED_VALUE"""),"นายศักดิ์ดา พวงประดับ")</f>
        <v>นายศักดิ์ดา พวงประดับ</v>
      </c>
      <c r="L267" s="1" t="str">
        <f>IFERROR(__xludf.DUMMYFUNCTION("""COMPUTED_VALUE"""),"11 K.Sakda P.")</f>
        <v>11 K.Sakda P.</v>
      </c>
      <c r="M267" s="1" t="str">
        <f>IFERROR(__xludf.DUMMYFUNCTION("""COMPUTED_VALUE"""),"065-929-1279")</f>
        <v>065-929-1279</v>
      </c>
      <c r="N267" s="3">
        <f>IFERROR(__xludf.DUMMYFUNCTION("""COMPUTED_VALUE"""),21002.0)</f>
        <v>21002</v>
      </c>
      <c r="O267" s="3" t="str">
        <f>IFERROR(__xludf.DUMMYFUNCTION("""COMPUTED_VALUE"""),"MBC อุดมสุข")</f>
        <v>MBC อุดมสุข</v>
      </c>
      <c r="P267" s="4">
        <f>IFERROR(__xludf.DUMMYFUNCTION("""COMPUTED_VALUE"""),40660.0)</f>
        <v>40660</v>
      </c>
      <c r="Q267" s="3" t="str">
        <f>IFERROR(__xludf.DUMMYFUNCTION("""COMPUTED_VALUE"""),"A")</f>
        <v>A</v>
      </c>
      <c r="R267" s="3" t="str">
        <f>IFERROR(__xludf.DUMMYFUNCTION("""COMPUTED_VALUE"""),"Small Format")</f>
        <v>Small Format</v>
      </c>
      <c r="S267" s="3" t="str">
        <f>IFERROR(__xludf.DUMMYFUNCTION("""COMPUTED_VALUE"""),"BCM")</f>
        <v>BCM</v>
      </c>
      <c r="T267" s="3" t="str">
        <f>IFERROR(__xludf.DUMMYFUNCTION("""COMPUTED_VALUE"""),"#N/A")</f>
        <v>#N/A</v>
      </c>
      <c r="U267" s="3" t="str">
        <f>IFERROR(__xludf.DUMMYFUNCTION("""COMPUTED_VALUE"""),"#N/A")</f>
        <v>#N/A</v>
      </c>
      <c r="V267" s="3" t="str">
        <f>IFERROR(__xludf.DUMMYFUNCTION("""COMPUTED_VALUE"""),"N")</f>
        <v>N</v>
      </c>
      <c r="W267" s="3">
        <f>IFERROR(__xludf.DUMMYFUNCTION("""COMPUTED_VALUE"""),211018.0)</f>
        <v>211018</v>
      </c>
      <c r="X267" s="3" t="str">
        <f>IFERROR(__xludf.DUMMYFUNCTION("""COMPUTED_VALUE"""),"44 ซอยเฉลิมพระเกียรติ ร.9 ซอย 22 แขวงหนองบอน เขตประเวศ กรุงเทพฯ 10250")</f>
        <v>44 ซอยเฉลิมพระเกียรติ ร.9 ซอย 22 แขวงหนองบอน เขตประเวศ กรุงเทพฯ 10250</v>
      </c>
      <c r="Y267" s="3" t="str">
        <f>IFERROR(__xludf.DUMMYFUNCTION("""COMPUTED_VALUE"""),"ซอยเฉลิมพระเกียรติ")</f>
        <v>ซอยเฉลิมพระเกียรติ</v>
      </c>
      <c r="Z267" s="3" t="str">
        <f>IFERROR(__xludf.DUMMYFUNCTION("""COMPUTED_VALUE"""),"ร.9")</f>
        <v>ร.9</v>
      </c>
      <c r="AA267" s="3" t="str">
        <f>IFERROR(__xludf.DUMMYFUNCTION("""COMPUTED_VALUE"""),"ประเวศ")</f>
        <v>ประเวศ</v>
      </c>
      <c r="AB267" s="3" t="str">
        <f>IFERROR(__xludf.DUMMYFUNCTION("""COMPUTED_VALUE"""),"กรุงเทพมหานคร")</f>
        <v>กรุงเทพมหานคร</v>
      </c>
      <c r="AC267" s="3">
        <f>IFERROR(__xludf.DUMMYFUNCTION("""COMPUTED_VALUE"""),10250.0)</f>
        <v>10250</v>
      </c>
      <c r="AD267" s="3">
        <f>IFERROR(__xludf.DUMMYFUNCTION("""COMPUTED_VALUE"""),13.676476)</f>
        <v>13.676476</v>
      </c>
      <c r="AE267" s="3">
        <f>IFERROR(__xludf.DUMMYFUNCTION("""COMPUTED_VALUE"""),100.66365)</f>
        <v>100.66365</v>
      </c>
      <c r="AF267" s="3" t="str">
        <f>IFERROR(__xludf.DUMMYFUNCTION("""COMPUTED_VALUE"""),"MBC เฉลิมพระเกียรติ-21020")</f>
        <v>MBC เฉลิมพระเกียรติ-21020</v>
      </c>
      <c r="AG267" s="3" t="str">
        <f>IFERROR(__xludf.DUMMYFUNCTION("""COMPUTED_VALUE"""),"กลาง")</f>
        <v>กลาง</v>
      </c>
      <c r="AH267" s="3" t="str">
        <f>IFERROR(__xludf.DUMMYFUNCTION("""COMPUTED_VALUE"""),"#N/A")</f>
        <v>#N/A</v>
      </c>
      <c r="AI267" s="3" t="str">
        <f>IFERROR(__xludf.DUMMYFUNCTION("""COMPUTED_VALUE"""),"Out of warranty")</f>
        <v>Out of warranty</v>
      </c>
      <c r="AJ267" s="3">
        <f>IFERROR(__xludf.DUMMYFUNCTION("""COMPUTED_VALUE"""),177.0)</f>
        <v>177</v>
      </c>
      <c r="AK267" s="3" t="str">
        <f>IFERROR(__xludf.DUMMYFUNCTION("""COMPUTED_VALUE"""),"MMS03")</f>
        <v>MMS03</v>
      </c>
      <c r="AL267" s="3"/>
    </row>
    <row r="268" ht="15.75" customHeight="1">
      <c r="A268" s="1" t="str">
        <f>IFERROR(__xludf.DUMMYFUNCTION("""COMPUTED_VALUE"""),"21021")</f>
        <v>21021</v>
      </c>
      <c r="B268" s="2">
        <f>IFERROR(__xludf.DUMMYFUNCTION("""COMPUTED_VALUE"""),21021.0)</f>
        <v>21021</v>
      </c>
      <c r="C268" s="3" t="str">
        <f>IFERROR(__xludf.DUMMYFUNCTION("""COMPUTED_VALUE"""),"หมู่บ้านบัวทอง")</f>
        <v>หมู่บ้านบัวทอง</v>
      </c>
      <c r="D268" s="3" t="str">
        <f>IFERROR(__xludf.DUMMYFUNCTION("""COMPUTED_VALUE"""),"MBC MOO BAN BUATHONG")</f>
        <v>MBC MOO BAN BUATHONG</v>
      </c>
      <c r="E268" s="1" t="str">
        <f>IFERROR(__xludf.DUMMYFUNCTION("""COMPUTED_VALUE"""),"บิ๊กซี MINI")</f>
        <v>บิ๊กซี MINI</v>
      </c>
      <c r="F268" s="1" t="str">
        <f>IFERROR(__xludf.DUMMYFUNCTION("""COMPUTED_VALUE"""),"291008")</f>
        <v>291008</v>
      </c>
      <c r="G268" s="1" t="str">
        <f>IFERROR(__xludf.DUMMYFUNCTION("""COMPUTED_VALUE"""),"น.ส.รัชดาพร อีศรัตน์")</f>
        <v>น.ส.รัชดาพร อีศรัตน์</v>
      </c>
      <c r="H268" s="1" t="str">
        <f>IFERROR(__xludf.DUMMYFUNCTION("""COMPUTED_VALUE"""),"228392")</f>
        <v>228392</v>
      </c>
      <c r="I268" s="1" t="str">
        <f>IFERROR(__xludf.DUMMYFUNCTION("""COMPUTED_VALUE"""),"นายพงษ์ประพันธ์ อุ่นประเสริฐ")</f>
        <v>นายพงษ์ประพันธ์ อุ่นประเสริฐ</v>
      </c>
      <c r="J268" s="3">
        <f>IFERROR(__xludf.DUMMYFUNCTION("""COMPUTED_VALUE"""),3510104.0)</f>
        <v>3510104</v>
      </c>
      <c r="K268" s="3" t="str">
        <f>IFERROR(__xludf.DUMMYFUNCTION("""COMPUTED_VALUE"""),"นายวิโรจน์ อับดุลสมัด")</f>
        <v>นายวิโรจน์ อับดุลสมัด</v>
      </c>
      <c r="L268" s="1" t="str">
        <f>IFERROR(__xludf.DUMMYFUNCTION("""COMPUTED_VALUE"""),"09 K.Wirode A")</f>
        <v>09 K.Wirode A</v>
      </c>
      <c r="M268" s="1" t="str">
        <f>IFERROR(__xludf.DUMMYFUNCTION("""COMPUTED_VALUE"""),"080-235-4465")</f>
        <v>080-235-4465</v>
      </c>
      <c r="N268" s="3">
        <f>IFERROR(__xludf.DUMMYFUNCTION("""COMPUTED_VALUE"""),21324.0)</f>
        <v>21324</v>
      </c>
      <c r="O268" s="3" t="str">
        <f>IFERROR(__xludf.DUMMYFUNCTION("""COMPUTED_VALUE"""),"MBC BCP สุวินทวงศ์")</f>
        <v>MBC BCP สุวินทวงศ์</v>
      </c>
      <c r="P268" s="4">
        <f>IFERROR(__xludf.DUMMYFUNCTION("""COMPUTED_VALUE"""),40677.0)</f>
        <v>40677</v>
      </c>
      <c r="Q268" s="3" t="str">
        <f>IFERROR(__xludf.DUMMYFUNCTION("""COMPUTED_VALUE"""),"I")</f>
        <v>I</v>
      </c>
      <c r="R268" s="3" t="str">
        <f>IFERROR(__xludf.DUMMYFUNCTION("""COMPUTED_VALUE"""),"Small Format")</f>
        <v>Small Format</v>
      </c>
      <c r="S268" s="3" t="str">
        <f>IFERROR(__xludf.DUMMYFUNCTION("""COMPUTED_VALUE"""),"BCM")</f>
        <v>BCM</v>
      </c>
      <c r="T268" s="3" t="str">
        <f>IFERROR(__xludf.DUMMYFUNCTION("""COMPUTED_VALUE"""),"#N/A")</f>
        <v>#N/A</v>
      </c>
      <c r="U268" s="3" t="str">
        <f>IFERROR(__xludf.DUMMYFUNCTION("""COMPUTED_VALUE"""),"#N/A")</f>
        <v>#N/A</v>
      </c>
      <c r="V268" s="3" t="str">
        <f>IFERROR(__xludf.DUMMYFUNCTION("""COMPUTED_VALUE"""),"N")</f>
        <v>N</v>
      </c>
      <c r="W268" s="3">
        <f>IFERROR(__xludf.DUMMYFUNCTION("""COMPUTED_VALUE"""),211019.0)</f>
        <v>211019</v>
      </c>
      <c r="X268" s="3" t="str">
        <f>IFERROR(__xludf.DUMMYFUNCTION("""COMPUTED_VALUE"""),"113/17-18 หมู่ที่ 10 ตำบลบางรักพัฒนา อำเภอบางบัวทอง จังหวัดนนทบุรี 11110")</f>
        <v>113/17-18 หมู่ที่ 10 ตำบลบางรักพัฒนา อำเภอบางบัวทอง จังหวัดนนทบุรี 11110</v>
      </c>
      <c r="Y268" s="3"/>
      <c r="Z268" s="3" t="str">
        <f>IFERROR(__xludf.DUMMYFUNCTION("""COMPUTED_VALUE"""),"บางรักพัฒนา")</f>
        <v>บางรักพัฒนา</v>
      </c>
      <c r="AA268" s="3" t="str">
        <f>IFERROR(__xludf.DUMMYFUNCTION("""COMPUTED_VALUE"""),"บางบัวทอง")</f>
        <v>บางบัวทอง</v>
      </c>
      <c r="AB268" s="3" t="str">
        <f>IFERROR(__xludf.DUMMYFUNCTION("""COMPUTED_VALUE"""),"นนทบุรี")</f>
        <v>นนทบุรี</v>
      </c>
      <c r="AC268" s="3">
        <f>IFERROR(__xludf.DUMMYFUNCTION("""COMPUTED_VALUE"""),11110.0)</f>
        <v>11110</v>
      </c>
      <c r="AD268" s="3" t="str">
        <f>IFERROR(__xludf.DUMMYFUNCTION("""COMPUTED_VALUE"""),"#N/A")</f>
        <v>#N/A</v>
      </c>
      <c r="AE268" s="3" t="str">
        <f>IFERROR(__xludf.DUMMYFUNCTION("""COMPUTED_VALUE"""),"#N/A")</f>
        <v>#N/A</v>
      </c>
      <c r="AF268" s="3" t="str">
        <f>IFERROR(__xludf.DUMMYFUNCTION("""COMPUTED_VALUE"""),"หมู่บ้านบัวทอง-21021")</f>
        <v>หมู่บ้านบัวทอง-21021</v>
      </c>
      <c r="AG268" s="3" t="str">
        <f>IFERROR(__xludf.DUMMYFUNCTION("""COMPUTED_VALUE"""),"กลาง")</f>
        <v>กลาง</v>
      </c>
      <c r="AH268" s="3" t="str">
        <f>IFERROR(__xludf.DUMMYFUNCTION("""COMPUTED_VALUE"""),"#N/A")</f>
        <v>#N/A</v>
      </c>
      <c r="AI268" s="3" t="str">
        <f>IFERROR(__xludf.DUMMYFUNCTION("""COMPUTED_VALUE"""),"Out of warranty")</f>
        <v>Out of warranty</v>
      </c>
      <c r="AJ268" s="3">
        <f>IFERROR(__xludf.DUMMYFUNCTION("""COMPUTED_VALUE"""),177.0)</f>
        <v>177</v>
      </c>
      <c r="AK268" s="3"/>
      <c r="AL268" s="3"/>
    </row>
    <row r="269" ht="15.75" customHeight="1">
      <c r="A269" s="1" t="str">
        <f>IFERROR(__xludf.DUMMYFUNCTION("""COMPUTED_VALUE"""),"21022")</f>
        <v>21022</v>
      </c>
      <c r="B269" s="2">
        <f>IFERROR(__xludf.DUMMYFUNCTION("""COMPUTED_VALUE"""),21022.0)</f>
        <v>21022</v>
      </c>
      <c r="C269" s="3" t="str">
        <f>IFERROR(__xludf.DUMMYFUNCTION("""COMPUTED_VALUE"""),"MBC เสรีไทย41")</f>
        <v>MBC เสรีไทย41</v>
      </c>
      <c r="D269" s="3" t="str">
        <f>IFERROR(__xludf.DUMMYFUNCTION("""COMPUTED_VALUE"""),"BCM SERITHAI 41")</f>
        <v>BCM SERITHAI 41</v>
      </c>
      <c r="E269" s="1" t="str">
        <f>IFERROR(__xludf.DUMMYFUNCTION("""COMPUTED_VALUE"""),"บิ๊กซี MINI")</f>
        <v>บิ๊กซี MINI</v>
      </c>
      <c r="F269" s="1" t="str">
        <f>IFERROR(__xludf.DUMMYFUNCTION("""COMPUTED_VALUE"""),"291008")</f>
        <v>291008</v>
      </c>
      <c r="G269" s="1" t="str">
        <f>IFERROR(__xludf.DUMMYFUNCTION("""COMPUTED_VALUE"""),"น.ส.รัชดาพร อีศรัตน์")</f>
        <v>น.ส.รัชดาพร อีศรัตน์</v>
      </c>
      <c r="H269" s="1" t="str">
        <f>IFERROR(__xludf.DUMMYFUNCTION("""COMPUTED_VALUE"""),"228242")</f>
        <v>228242</v>
      </c>
      <c r="I269" s="1" t="str">
        <f>IFERROR(__xludf.DUMMYFUNCTION("""COMPUTED_VALUE"""),"นายสมชาย เยมรัมย์")</f>
        <v>นายสมชาย เยมรัมย์</v>
      </c>
      <c r="J269" s="3">
        <f>IFERROR(__xludf.DUMMYFUNCTION("""COMPUTED_VALUE"""),3510104.0)</f>
        <v>3510104</v>
      </c>
      <c r="K269" s="3" t="str">
        <f>IFERROR(__xludf.DUMMYFUNCTION("""COMPUTED_VALUE"""),"นายวิโรจน์ อับดุลสมัด")</f>
        <v>นายวิโรจน์ อับดุลสมัด</v>
      </c>
      <c r="L269" s="1" t="str">
        <f>IFERROR(__xludf.DUMMYFUNCTION("""COMPUTED_VALUE"""),"09 K.Wirode A")</f>
        <v>09 K.Wirode A</v>
      </c>
      <c r="M269" s="1" t="str">
        <f>IFERROR(__xludf.DUMMYFUNCTION("""COMPUTED_VALUE"""),"080-235-4465")</f>
        <v>080-235-4465</v>
      </c>
      <c r="N269" s="3">
        <f>IFERROR(__xludf.DUMMYFUNCTION("""COMPUTED_VALUE"""),21324.0)</f>
        <v>21324</v>
      </c>
      <c r="O269" s="3" t="str">
        <f>IFERROR(__xludf.DUMMYFUNCTION("""COMPUTED_VALUE"""),"MBC BCP สุวินทวงศ์")</f>
        <v>MBC BCP สุวินทวงศ์</v>
      </c>
      <c r="P269" s="4">
        <f>IFERROR(__xludf.DUMMYFUNCTION("""COMPUTED_VALUE"""),40707.0)</f>
        <v>40707</v>
      </c>
      <c r="Q269" s="3" t="str">
        <f>IFERROR(__xludf.DUMMYFUNCTION("""COMPUTED_VALUE"""),"A")</f>
        <v>A</v>
      </c>
      <c r="R269" s="3" t="str">
        <f>IFERROR(__xludf.DUMMYFUNCTION("""COMPUTED_VALUE"""),"Small Format")</f>
        <v>Small Format</v>
      </c>
      <c r="S269" s="3" t="str">
        <f>IFERROR(__xludf.DUMMYFUNCTION("""COMPUTED_VALUE"""),"BCM")</f>
        <v>BCM</v>
      </c>
      <c r="T269" s="3" t="str">
        <f>IFERROR(__xludf.DUMMYFUNCTION("""COMPUTED_VALUE"""),"#N/A")</f>
        <v>#N/A</v>
      </c>
      <c r="U269" s="3" t="str">
        <f>IFERROR(__xludf.DUMMYFUNCTION("""COMPUTED_VALUE"""),"#N/A")</f>
        <v>#N/A</v>
      </c>
      <c r="V269" s="3" t="str">
        <f>IFERROR(__xludf.DUMMYFUNCTION("""COMPUTED_VALUE"""),"N")</f>
        <v>N</v>
      </c>
      <c r="W269" s="3">
        <f>IFERROR(__xludf.DUMMYFUNCTION("""COMPUTED_VALUE"""),211020.0)</f>
        <v>211020</v>
      </c>
      <c r="X269" s="3" t="str">
        <f>IFERROR(__xludf.DUMMYFUNCTION("""COMPUTED_VALUE"""),"48/863 หมู่ที่ 4 แขวงคลองกุ่ม เขตบึงกุ่ม กรุงเทพฯ 10240")</f>
        <v>48/863 หมู่ที่ 4 แขวงคลองกุ่ม เขตบึงกุ่ม กรุงเทพฯ 10240</v>
      </c>
      <c r="Y269" s="3"/>
      <c r="Z269" s="3" t="str">
        <f>IFERROR(__xludf.DUMMYFUNCTION("""COMPUTED_VALUE"""),"คลองกุ่ม")</f>
        <v>คลองกุ่ม</v>
      </c>
      <c r="AA269" s="3" t="str">
        <f>IFERROR(__xludf.DUMMYFUNCTION("""COMPUTED_VALUE"""),"บึงกุ่ม")</f>
        <v>บึงกุ่ม</v>
      </c>
      <c r="AB269" s="3" t="str">
        <f>IFERROR(__xludf.DUMMYFUNCTION("""COMPUTED_VALUE"""),"กรุงเทพมหานคร")</f>
        <v>กรุงเทพมหานคร</v>
      </c>
      <c r="AC269" s="3">
        <f>IFERROR(__xludf.DUMMYFUNCTION("""COMPUTED_VALUE"""),10240.0)</f>
        <v>10240</v>
      </c>
      <c r="AD269" s="3">
        <f>IFERROR(__xludf.DUMMYFUNCTION("""COMPUTED_VALUE"""),13.787477)</f>
        <v>13.787477</v>
      </c>
      <c r="AE269" s="3">
        <f>IFERROR(__xludf.DUMMYFUNCTION("""COMPUTED_VALUE"""),100.67017)</f>
        <v>100.67017</v>
      </c>
      <c r="AF269" s="3" t="str">
        <f>IFERROR(__xludf.DUMMYFUNCTION("""COMPUTED_VALUE"""),"MBC เสรีไทย41-21022")</f>
        <v>MBC เสรีไทย41-21022</v>
      </c>
      <c r="AG269" s="3" t="str">
        <f>IFERROR(__xludf.DUMMYFUNCTION("""COMPUTED_VALUE"""),"กลาง")</f>
        <v>กลาง</v>
      </c>
      <c r="AH269" s="3" t="str">
        <f>IFERROR(__xludf.DUMMYFUNCTION("""COMPUTED_VALUE"""),"#N/A")</f>
        <v>#N/A</v>
      </c>
      <c r="AI269" s="3" t="str">
        <f>IFERROR(__xludf.DUMMYFUNCTION("""COMPUTED_VALUE"""),"Out of warranty")</f>
        <v>Out of warranty</v>
      </c>
      <c r="AJ269" s="3">
        <f>IFERROR(__xludf.DUMMYFUNCTION("""COMPUTED_VALUE"""),176.0)</f>
        <v>176</v>
      </c>
      <c r="AK269" s="3" t="str">
        <f>IFERROR(__xludf.DUMMYFUNCTION("""COMPUTED_VALUE"""),"MMS03")</f>
        <v>MMS03</v>
      </c>
      <c r="AL269" s="3"/>
    </row>
    <row r="270" ht="15.75" customHeight="1">
      <c r="A270" s="1" t="str">
        <f>IFERROR(__xludf.DUMMYFUNCTION("""COMPUTED_VALUE"""),"21023")</f>
        <v>21023</v>
      </c>
      <c r="B270" s="2">
        <f>IFERROR(__xludf.DUMMYFUNCTION("""COMPUTED_VALUE"""),21023.0)</f>
        <v>21023</v>
      </c>
      <c r="C270" s="3" t="str">
        <f>IFERROR(__xludf.DUMMYFUNCTION("""COMPUTED_VALUE"""),"BCM วัดหนามแดง")</f>
        <v>BCM วัดหนามแดง</v>
      </c>
      <c r="D270" s="3" t="str">
        <f>IFERROR(__xludf.DUMMYFUNCTION("""COMPUTED_VALUE"""),"BCM WAT NAMDAENG")</f>
        <v>BCM WAT NAMDAENG</v>
      </c>
      <c r="E270" s="1" t="str">
        <f>IFERROR(__xludf.DUMMYFUNCTION("""COMPUTED_VALUE"""),"บิ๊กซี MINI")</f>
        <v>บิ๊กซี MINI</v>
      </c>
      <c r="F270" s="1" t="str">
        <f>IFERROR(__xludf.DUMMYFUNCTION("""COMPUTED_VALUE"""),"291008")</f>
        <v>291008</v>
      </c>
      <c r="G270" s="1" t="str">
        <f>IFERROR(__xludf.DUMMYFUNCTION("""COMPUTED_VALUE"""),"น.ส.รัชดาพร อีศรัตน์")</f>
        <v>น.ส.รัชดาพร อีศรัตน์</v>
      </c>
      <c r="H270" s="1" t="str">
        <f>IFERROR(__xludf.DUMMYFUNCTION("""COMPUTED_VALUE"""),"291105")</f>
        <v>291105</v>
      </c>
      <c r="I270" s="1" t="str">
        <f>IFERROR(__xludf.DUMMYFUNCTION("""COMPUTED_VALUE"""),"นายสราวุฒิ พณิชยกุล")</f>
        <v>นายสราวุฒิ พณิชยกุล</v>
      </c>
      <c r="J270" s="3">
        <f>IFERROR(__xludf.DUMMYFUNCTION("""COMPUTED_VALUE"""),3510104.0)</f>
        <v>3510104</v>
      </c>
      <c r="K270" s="3" t="str">
        <f>IFERROR(__xludf.DUMMYFUNCTION("""COMPUTED_VALUE"""),"นายวิโรจน์ อับดุลสมัด")</f>
        <v>นายวิโรจน์ อับดุลสมัด</v>
      </c>
      <c r="L270" s="1" t="str">
        <f>IFERROR(__xludf.DUMMYFUNCTION("""COMPUTED_VALUE"""),"09 K.Wirode A")</f>
        <v>09 K.Wirode A</v>
      </c>
      <c r="M270" s="1" t="str">
        <f>IFERROR(__xludf.DUMMYFUNCTION("""COMPUTED_VALUE"""),"080-235-4465")</f>
        <v>080-235-4465</v>
      </c>
      <c r="N270" s="3">
        <f>IFERROR(__xludf.DUMMYFUNCTION("""COMPUTED_VALUE"""),21324.0)</f>
        <v>21324</v>
      </c>
      <c r="O270" s="3" t="str">
        <f>IFERROR(__xludf.DUMMYFUNCTION("""COMPUTED_VALUE"""),"MBC BCP สุวินทวงศ์")</f>
        <v>MBC BCP สุวินทวงศ์</v>
      </c>
      <c r="P270" s="4">
        <f>IFERROR(__xludf.DUMMYFUNCTION("""COMPUTED_VALUE"""),40723.0)</f>
        <v>40723</v>
      </c>
      <c r="Q270" s="3" t="str">
        <f>IFERROR(__xludf.DUMMYFUNCTION("""COMPUTED_VALUE"""),"I")</f>
        <v>I</v>
      </c>
      <c r="R270" s="3" t="str">
        <f>IFERROR(__xludf.DUMMYFUNCTION("""COMPUTED_VALUE"""),"Small Format")</f>
        <v>Small Format</v>
      </c>
      <c r="S270" s="3" t="str">
        <f>IFERROR(__xludf.DUMMYFUNCTION("""COMPUTED_VALUE"""),"BCM")</f>
        <v>BCM</v>
      </c>
      <c r="T270" s="3" t="str">
        <f>IFERROR(__xludf.DUMMYFUNCTION("""COMPUTED_VALUE"""),"#N/A")</f>
        <v>#N/A</v>
      </c>
      <c r="U270" s="3" t="str">
        <f>IFERROR(__xludf.DUMMYFUNCTION("""COMPUTED_VALUE"""),"#N/A")</f>
        <v>#N/A</v>
      </c>
      <c r="V270" s="3" t="str">
        <f>IFERROR(__xludf.DUMMYFUNCTION("""COMPUTED_VALUE"""),"N")</f>
        <v>N</v>
      </c>
      <c r="W270" s="3">
        <f>IFERROR(__xludf.DUMMYFUNCTION("""COMPUTED_VALUE"""),211021.0)</f>
        <v>211021</v>
      </c>
      <c r="X270" s="3" t="str">
        <f>IFERROR(__xludf.DUMMYFUNCTION("""COMPUTED_VALUE"""),"18/158-160 หมู่ที่ 2 ตำบลบางแก้ว อำเภอบางพลี จังหวัดสมุทรปราการ 10540")</f>
        <v>18/158-160 หมู่ที่ 2 ตำบลบางแก้ว อำเภอบางพลี จังหวัดสมุทรปราการ 10540</v>
      </c>
      <c r="Y270" s="3"/>
      <c r="Z270" s="3" t="str">
        <f>IFERROR(__xludf.DUMMYFUNCTION("""COMPUTED_VALUE"""),"บางแก้ว")</f>
        <v>บางแก้ว</v>
      </c>
      <c r="AA270" s="3" t="str">
        <f>IFERROR(__xludf.DUMMYFUNCTION("""COMPUTED_VALUE"""),"บางพลี")</f>
        <v>บางพลี</v>
      </c>
      <c r="AB270" s="3" t="str">
        <f>IFERROR(__xludf.DUMMYFUNCTION("""COMPUTED_VALUE"""),"สมุทรปราการ")</f>
        <v>สมุทรปราการ</v>
      </c>
      <c r="AC270" s="3">
        <f>IFERROR(__xludf.DUMMYFUNCTION("""COMPUTED_VALUE"""),10540.0)</f>
        <v>10540</v>
      </c>
      <c r="AD270" s="3">
        <f>IFERROR(__xludf.DUMMYFUNCTION("""COMPUTED_VALUE"""),13.627493)</f>
        <v>13.627493</v>
      </c>
      <c r="AE270" s="3">
        <f>IFERROR(__xludf.DUMMYFUNCTION("""COMPUTED_VALUE"""),100.637909)</f>
        <v>100.637909</v>
      </c>
      <c r="AF270" s="3" t="str">
        <f>IFERROR(__xludf.DUMMYFUNCTION("""COMPUTED_VALUE"""),"BCM วัดหนามแดง-21023")</f>
        <v>BCM วัดหนามแดง-21023</v>
      </c>
      <c r="AG270" s="3" t="str">
        <f>IFERROR(__xludf.DUMMYFUNCTION("""COMPUTED_VALUE"""),"กลาง")</f>
        <v>กลาง</v>
      </c>
      <c r="AH270" s="3" t="str">
        <f>IFERROR(__xludf.DUMMYFUNCTION("""COMPUTED_VALUE"""),"#N/A")</f>
        <v>#N/A</v>
      </c>
      <c r="AI270" s="3" t="str">
        <f>IFERROR(__xludf.DUMMYFUNCTION("""COMPUTED_VALUE"""),"Out of warranty")</f>
        <v>Out of warranty</v>
      </c>
      <c r="AJ270" s="3">
        <f>IFERROR(__xludf.DUMMYFUNCTION("""COMPUTED_VALUE"""),175.0)</f>
        <v>175</v>
      </c>
      <c r="AK270" s="3"/>
      <c r="AL270" s="3"/>
    </row>
    <row r="271" ht="15.75" customHeight="1">
      <c r="A271" s="1" t="str">
        <f>IFERROR(__xludf.DUMMYFUNCTION("""COMPUTED_VALUE"""),"21024")</f>
        <v>21024</v>
      </c>
      <c r="B271" s="2">
        <f>IFERROR(__xludf.DUMMYFUNCTION("""COMPUTED_VALUE"""),21024.0)</f>
        <v>21024</v>
      </c>
      <c r="C271" s="3" t="str">
        <f>IFERROR(__xludf.DUMMYFUNCTION("""COMPUTED_VALUE"""),"MBC เอื้ออาทรวัดกู้")</f>
        <v>MBC เอื้ออาทรวัดกู้</v>
      </c>
      <c r="D271" s="3" t="str">
        <f>IFERROR(__xludf.DUMMYFUNCTION("""COMPUTED_VALUE"""),"MBC AUARETHORN WAT GOO")</f>
        <v>MBC AUARETHORN WAT GOO</v>
      </c>
      <c r="E271" s="1" t="str">
        <f>IFERROR(__xludf.DUMMYFUNCTION("""COMPUTED_VALUE"""),"บิ๊กซี MINI")</f>
        <v>บิ๊กซี MINI</v>
      </c>
      <c r="F271" s="1" t="str">
        <f>IFERROR(__xludf.DUMMYFUNCTION("""COMPUTED_VALUE"""),"291008")</f>
        <v>291008</v>
      </c>
      <c r="G271" s="1" t="str">
        <f>IFERROR(__xludf.DUMMYFUNCTION("""COMPUTED_VALUE"""),"น.ส.รัชดาพร อีศรัตน์")</f>
        <v>น.ส.รัชดาพร อีศรัตน์</v>
      </c>
      <c r="H271" s="1" t="str">
        <f>IFERROR(__xludf.DUMMYFUNCTION("""COMPUTED_VALUE"""),"228392")</f>
        <v>228392</v>
      </c>
      <c r="I271" s="1" t="str">
        <f>IFERROR(__xludf.DUMMYFUNCTION("""COMPUTED_VALUE"""),"นายพงษ์ประพันธ์ อุ่นประเสริฐ")</f>
        <v>นายพงษ์ประพันธ์ อุ่นประเสริฐ</v>
      </c>
      <c r="J271" s="3">
        <f>IFERROR(__xludf.DUMMYFUNCTION("""COMPUTED_VALUE"""),3510104.0)</f>
        <v>3510104</v>
      </c>
      <c r="K271" s="3" t="str">
        <f>IFERROR(__xludf.DUMMYFUNCTION("""COMPUTED_VALUE"""),"นายวิโรจน์ อับดุลสมัด")</f>
        <v>นายวิโรจน์ อับดุลสมัด</v>
      </c>
      <c r="L271" s="1" t="str">
        <f>IFERROR(__xludf.DUMMYFUNCTION("""COMPUTED_VALUE"""),"09 K.Wirode A")</f>
        <v>09 K.Wirode A</v>
      </c>
      <c r="M271" s="1" t="str">
        <f>IFERROR(__xludf.DUMMYFUNCTION("""COMPUTED_VALUE"""),"080-235-4465")</f>
        <v>080-235-4465</v>
      </c>
      <c r="N271" s="3">
        <f>IFERROR(__xludf.DUMMYFUNCTION("""COMPUTED_VALUE"""),21324.0)</f>
        <v>21324</v>
      </c>
      <c r="O271" s="3" t="str">
        <f>IFERROR(__xludf.DUMMYFUNCTION("""COMPUTED_VALUE"""),"MBC BCP สุวินทวงศ์")</f>
        <v>MBC BCP สุวินทวงศ์</v>
      </c>
      <c r="P271" s="4">
        <f>IFERROR(__xludf.DUMMYFUNCTION("""COMPUTED_VALUE"""),40746.0)</f>
        <v>40746</v>
      </c>
      <c r="Q271" s="3" t="str">
        <f>IFERROR(__xludf.DUMMYFUNCTION("""COMPUTED_VALUE"""),"I")</f>
        <v>I</v>
      </c>
      <c r="R271" s="3" t="str">
        <f>IFERROR(__xludf.DUMMYFUNCTION("""COMPUTED_VALUE"""),"Small Format")</f>
        <v>Small Format</v>
      </c>
      <c r="S271" s="3" t="str">
        <f>IFERROR(__xludf.DUMMYFUNCTION("""COMPUTED_VALUE"""),"BCM")</f>
        <v>BCM</v>
      </c>
      <c r="T271" s="3" t="str">
        <f>IFERROR(__xludf.DUMMYFUNCTION("""COMPUTED_VALUE"""),"#N/A")</f>
        <v>#N/A</v>
      </c>
      <c r="U271" s="3" t="str">
        <f>IFERROR(__xludf.DUMMYFUNCTION("""COMPUTED_VALUE"""),"#N/A")</f>
        <v>#N/A</v>
      </c>
      <c r="V271" s="3" t="str">
        <f>IFERROR(__xludf.DUMMYFUNCTION("""COMPUTED_VALUE"""),"N")</f>
        <v>N</v>
      </c>
      <c r="W271" s="3">
        <f>IFERROR(__xludf.DUMMYFUNCTION("""COMPUTED_VALUE"""),0.0)</f>
        <v>0</v>
      </c>
      <c r="X271" s="3" t="str">
        <f>IFERROR(__xludf.DUMMYFUNCTION("""COMPUTED_VALUE"""),"219/38 หมู่ที่ 3 ตำบลบางพูด อำเภอปากเกร็ด จังหวัดนนทบุรี 11120")</f>
        <v>219/38 หมู่ที่ 3 ตำบลบางพูด อำเภอปากเกร็ด จังหวัดนนทบุรี 11120</v>
      </c>
      <c r="Y271" s="3"/>
      <c r="Z271" s="3" t="str">
        <f>IFERROR(__xludf.DUMMYFUNCTION("""COMPUTED_VALUE"""),"บางพูด")</f>
        <v>บางพูด</v>
      </c>
      <c r="AA271" s="3" t="str">
        <f>IFERROR(__xludf.DUMMYFUNCTION("""COMPUTED_VALUE"""),"ปากเกร็ด")</f>
        <v>ปากเกร็ด</v>
      </c>
      <c r="AB271" s="3" t="str">
        <f>IFERROR(__xludf.DUMMYFUNCTION("""COMPUTED_VALUE"""),"นนทบุรี")</f>
        <v>นนทบุรี</v>
      </c>
      <c r="AC271" s="3">
        <f>IFERROR(__xludf.DUMMYFUNCTION("""COMPUTED_VALUE"""),11120.0)</f>
        <v>11120</v>
      </c>
      <c r="AD271" s="3" t="str">
        <f>IFERROR(__xludf.DUMMYFUNCTION("""COMPUTED_VALUE"""),"#N/A")</f>
        <v>#N/A</v>
      </c>
      <c r="AE271" s="3" t="str">
        <f>IFERROR(__xludf.DUMMYFUNCTION("""COMPUTED_VALUE"""),"#N/A")</f>
        <v>#N/A</v>
      </c>
      <c r="AF271" s="3" t="str">
        <f>IFERROR(__xludf.DUMMYFUNCTION("""COMPUTED_VALUE"""),"MBC เอื้ออาทรวัดกู้-21024")</f>
        <v>MBC เอื้ออาทรวัดกู้-21024</v>
      </c>
      <c r="AG271" s="3" t="str">
        <f>IFERROR(__xludf.DUMMYFUNCTION("""COMPUTED_VALUE"""),"กลาง")</f>
        <v>กลาง</v>
      </c>
      <c r="AH271" s="3" t="str">
        <f>IFERROR(__xludf.DUMMYFUNCTION("""COMPUTED_VALUE"""),"#N/A")</f>
        <v>#N/A</v>
      </c>
      <c r="AI271" s="3" t="str">
        <f>IFERROR(__xludf.DUMMYFUNCTION("""COMPUTED_VALUE"""),"Out of warranty")</f>
        <v>Out of warranty</v>
      </c>
      <c r="AJ271" s="3">
        <f>IFERROR(__xludf.DUMMYFUNCTION("""COMPUTED_VALUE"""),174.0)</f>
        <v>174</v>
      </c>
      <c r="AK271" s="3"/>
      <c r="AL271" s="3"/>
    </row>
    <row r="272" ht="15.75" customHeight="1">
      <c r="A272" s="1" t="str">
        <f>IFERROR(__xludf.DUMMYFUNCTION("""COMPUTED_VALUE"""),"21026")</f>
        <v>21026</v>
      </c>
      <c r="B272" s="2">
        <f>IFERROR(__xludf.DUMMYFUNCTION("""COMPUTED_VALUE"""),21026.0)</f>
        <v>21026</v>
      </c>
      <c r="C272" s="3" t="str">
        <f>IFERROR(__xludf.DUMMYFUNCTION("""COMPUTED_VALUE"""),"วงแหวนเซ็นเตอร์")</f>
        <v>วงแหวนเซ็นเตอร์</v>
      </c>
      <c r="D272" s="3" t="str">
        <f>IFERROR(__xludf.DUMMYFUNCTION("""COMPUTED_VALUE"""),"MBC WONGWAN CENTER")</f>
        <v>MBC WONGWAN CENTER</v>
      </c>
      <c r="E272" s="1" t="str">
        <f>IFERROR(__xludf.DUMMYFUNCTION("""COMPUTED_VALUE"""),"บิ๊กซี MINI")</f>
        <v>บิ๊กซี MINI</v>
      </c>
      <c r="F272" s="1" t="str">
        <f>IFERROR(__xludf.DUMMYFUNCTION("""COMPUTED_VALUE"""),"291008")</f>
        <v>291008</v>
      </c>
      <c r="G272" s="1" t="str">
        <f>IFERROR(__xludf.DUMMYFUNCTION("""COMPUTED_VALUE"""),"น.ส.รัชดาพร อีศรัตน์")</f>
        <v>น.ส.รัชดาพร อีศรัตน์</v>
      </c>
      <c r="H272" s="1" t="str">
        <f>IFERROR(__xludf.DUMMYFUNCTION("""COMPUTED_VALUE"""),"034068")</f>
        <v>034068</v>
      </c>
      <c r="I272" s="1" t="str">
        <f>IFERROR(__xludf.DUMMYFUNCTION("""COMPUTED_VALUE"""),"นายสมศักดิ์ ฐานทองดี")</f>
        <v>นายสมศักดิ์ ฐานทองดี</v>
      </c>
      <c r="J272" s="3">
        <f>IFERROR(__xludf.DUMMYFUNCTION("""COMPUTED_VALUE"""),3510104.0)</f>
        <v>3510104</v>
      </c>
      <c r="K272" s="3" t="str">
        <f>IFERROR(__xludf.DUMMYFUNCTION("""COMPUTED_VALUE"""),"นายวิโรจน์ อับดุลสมัด")</f>
        <v>นายวิโรจน์ อับดุลสมัด</v>
      </c>
      <c r="L272" s="1" t="str">
        <f>IFERROR(__xludf.DUMMYFUNCTION("""COMPUTED_VALUE"""),"09 K.Wirode A")</f>
        <v>09 K.Wirode A</v>
      </c>
      <c r="M272" s="1" t="str">
        <f>IFERROR(__xludf.DUMMYFUNCTION("""COMPUTED_VALUE"""),"080-235-4465")</f>
        <v>080-235-4465</v>
      </c>
      <c r="N272" s="3">
        <f>IFERROR(__xludf.DUMMYFUNCTION("""COMPUTED_VALUE"""),21324.0)</f>
        <v>21324</v>
      </c>
      <c r="O272" s="3" t="str">
        <f>IFERROR(__xludf.DUMMYFUNCTION("""COMPUTED_VALUE"""),"MBC BCP สุวินทวงศ์")</f>
        <v>MBC BCP สุวินทวงศ์</v>
      </c>
      <c r="P272" s="4">
        <f>IFERROR(__xludf.DUMMYFUNCTION("""COMPUTED_VALUE"""),40753.0)</f>
        <v>40753</v>
      </c>
      <c r="Q272" s="3" t="str">
        <f>IFERROR(__xludf.DUMMYFUNCTION("""COMPUTED_VALUE"""),"I")</f>
        <v>I</v>
      </c>
      <c r="R272" s="3" t="str">
        <f>IFERROR(__xludf.DUMMYFUNCTION("""COMPUTED_VALUE"""),"Small Format")</f>
        <v>Small Format</v>
      </c>
      <c r="S272" s="3" t="str">
        <f>IFERROR(__xludf.DUMMYFUNCTION("""COMPUTED_VALUE"""),"BCM")</f>
        <v>BCM</v>
      </c>
      <c r="T272" s="3" t="str">
        <f>IFERROR(__xludf.DUMMYFUNCTION("""COMPUTED_VALUE"""),"#N/A")</f>
        <v>#N/A</v>
      </c>
      <c r="U272" s="3" t="str">
        <f>IFERROR(__xludf.DUMMYFUNCTION("""COMPUTED_VALUE"""),"#N/A")</f>
        <v>#N/A</v>
      </c>
      <c r="V272" s="3" t="str">
        <f>IFERROR(__xludf.DUMMYFUNCTION("""COMPUTED_VALUE"""),"N")</f>
        <v>N</v>
      </c>
      <c r="W272" s="3">
        <f>IFERROR(__xludf.DUMMYFUNCTION("""COMPUTED_VALUE"""),0.0)</f>
        <v>0</v>
      </c>
      <c r="X272" s="3" t="str">
        <f>IFERROR(__xludf.DUMMYFUNCTION("""COMPUTED_VALUE"""),"1/12 ชั้นที่ 1 ซอยกาญจนาภิเษก 005 แขวงหลักสอง เขตบางแค กรุงเทพฯ 10160")</f>
        <v>1/12 ชั้นที่ 1 ซอยกาญจนาภิเษก 005 แขวงหลักสอง เขตบางแค กรุงเทพฯ 10160</v>
      </c>
      <c r="Y272" s="3" t="str">
        <f>IFERROR(__xludf.DUMMYFUNCTION("""COMPUTED_VALUE"""),"ซอยกาญจนาภิเษก 005")</f>
        <v>ซอยกาญจนาภิเษก 005</v>
      </c>
      <c r="Z272" s="3" t="str">
        <f>IFERROR(__xludf.DUMMYFUNCTION("""COMPUTED_VALUE"""),"หลักสอง")</f>
        <v>หลักสอง</v>
      </c>
      <c r="AA272" s="3" t="str">
        <f>IFERROR(__xludf.DUMMYFUNCTION("""COMPUTED_VALUE"""),"บางแค")</f>
        <v>บางแค</v>
      </c>
      <c r="AB272" s="3" t="str">
        <f>IFERROR(__xludf.DUMMYFUNCTION("""COMPUTED_VALUE"""),"กรุงเทพมหานคร")</f>
        <v>กรุงเทพมหานคร</v>
      </c>
      <c r="AC272" s="3">
        <f>IFERROR(__xludf.DUMMYFUNCTION("""COMPUTED_VALUE"""),10160.0)</f>
        <v>10160</v>
      </c>
      <c r="AD272" s="3" t="str">
        <f>IFERROR(__xludf.DUMMYFUNCTION("""COMPUTED_VALUE"""),"#N/A")</f>
        <v>#N/A</v>
      </c>
      <c r="AE272" s="3" t="str">
        <f>IFERROR(__xludf.DUMMYFUNCTION("""COMPUTED_VALUE"""),"#N/A")</f>
        <v>#N/A</v>
      </c>
      <c r="AF272" s="3" t="str">
        <f>IFERROR(__xludf.DUMMYFUNCTION("""COMPUTED_VALUE"""),"วงแหวนเซ็นเตอร์-21026")</f>
        <v>วงแหวนเซ็นเตอร์-21026</v>
      </c>
      <c r="AG272" s="3" t="str">
        <f>IFERROR(__xludf.DUMMYFUNCTION("""COMPUTED_VALUE"""),"กลาง")</f>
        <v>กลาง</v>
      </c>
      <c r="AH272" s="3" t="str">
        <f>IFERROR(__xludf.DUMMYFUNCTION("""COMPUTED_VALUE"""),"#N/A")</f>
        <v>#N/A</v>
      </c>
      <c r="AI272" s="3" t="str">
        <f>IFERROR(__xludf.DUMMYFUNCTION("""COMPUTED_VALUE"""),"Out of warranty")</f>
        <v>Out of warranty</v>
      </c>
      <c r="AJ272" s="3">
        <f>IFERROR(__xludf.DUMMYFUNCTION("""COMPUTED_VALUE"""),174.0)</f>
        <v>174</v>
      </c>
      <c r="AK272" s="3"/>
      <c r="AL272" s="3"/>
    </row>
    <row r="273" ht="15.75" customHeight="1">
      <c r="A273" s="1" t="str">
        <f>IFERROR(__xludf.DUMMYFUNCTION("""COMPUTED_VALUE"""),"21027")</f>
        <v>21027</v>
      </c>
      <c r="B273" s="2">
        <f>IFERROR(__xludf.DUMMYFUNCTION("""COMPUTED_VALUE"""),21027.0)</f>
        <v>21027</v>
      </c>
      <c r="C273" s="3" t="str">
        <f>IFERROR(__xludf.DUMMYFUNCTION("""COMPUTED_VALUE"""),"MBC นิมิตรใหม่")</f>
        <v>MBC นิมิตรใหม่</v>
      </c>
      <c r="D273" s="3" t="str">
        <f>IFERROR(__xludf.DUMMYFUNCTION("""COMPUTED_VALUE"""),"BCM NIMITMAI")</f>
        <v>BCM NIMITMAI</v>
      </c>
      <c r="E273" s="1" t="str">
        <f>IFERROR(__xludf.DUMMYFUNCTION("""COMPUTED_VALUE"""),"บิ๊กซี MINI")</f>
        <v>บิ๊กซี MINI</v>
      </c>
      <c r="F273" s="1" t="str">
        <f>IFERROR(__xludf.DUMMYFUNCTION("""COMPUTED_VALUE"""),"291008")</f>
        <v>291008</v>
      </c>
      <c r="G273" s="1" t="str">
        <f>IFERROR(__xludf.DUMMYFUNCTION("""COMPUTED_VALUE"""),"น.ส.รัชดาพร อีศรัตน์")</f>
        <v>น.ส.รัชดาพร อีศรัตน์</v>
      </c>
      <c r="H273" s="1" t="str">
        <f>IFERROR(__xludf.DUMMYFUNCTION("""COMPUTED_VALUE"""),"228242")</f>
        <v>228242</v>
      </c>
      <c r="I273" s="1" t="str">
        <f>IFERROR(__xludf.DUMMYFUNCTION("""COMPUTED_VALUE"""),"นายสมชาย เยมรัมย์")</f>
        <v>นายสมชาย เยมรัมย์</v>
      </c>
      <c r="J273" s="3">
        <f>IFERROR(__xludf.DUMMYFUNCTION("""COMPUTED_VALUE"""),3510104.0)</f>
        <v>3510104</v>
      </c>
      <c r="K273" s="3" t="str">
        <f>IFERROR(__xludf.DUMMYFUNCTION("""COMPUTED_VALUE"""),"นายวิโรจน์ อับดุลสมัด")</f>
        <v>นายวิโรจน์ อับดุลสมัด</v>
      </c>
      <c r="L273" s="1" t="str">
        <f>IFERROR(__xludf.DUMMYFUNCTION("""COMPUTED_VALUE"""),"09 K.Wirode A")</f>
        <v>09 K.Wirode A</v>
      </c>
      <c r="M273" s="1" t="str">
        <f>IFERROR(__xludf.DUMMYFUNCTION("""COMPUTED_VALUE"""),"080-235-4465")</f>
        <v>080-235-4465</v>
      </c>
      <c r="N273" s="3">
        <f>IFERROR(__xludf.DUMMYFUNCTION("""COMPUTED_VALUE"""),21324.0)</f>
        <v>21324</v>
      </c>
      <c r="O273" s="3" t="str">
        <f>IFERROR(__xludf.DUMMYFUNCTION("""COMPUTED_VALUE"""),"MBC BCP สุวินทวงศ์")</f>
        <v>MBC BCP สุวินทวงศ์</v>
      </c>
      <c r="P273" s="4">
        <f>IFERROR(__xludf.DUMMYFUNCTION("""COMPUTED_VALUE"""),40766.0)</f>
        <v>40766</v>
      </c>
      <c r="Q273" s="3" t="str">
        <f>IFERROR(__xludf.DUMMYFUNCTION("""COMPUTED_VALUE"""),"A")</f>
        <v>A</v>
      </c>
      <c r="R273" s="3" t="str">
        <f>IFERROR(__xludf.DUMMYFUNCTION("""COMPUTED_VALUE"""),"Small Format")</f>
        <v>Small Format</v>
      </c>
      <c r="S273" s="3" t="str">
        <f>IFERROR(__xludf.DUMMYFUNCTION("""COMPUTED_VALUE"""),"BCM")</f>
        <v>BCM</v>
      </c>
      <c r="T273" s="3" t="str">
        <f>IFERROR(__xludf.DUMMYFUNCTION("""COMPUTED_VALUE"""),"#N/A")</f>
        <v>#N/A</v>
      </c>
      <c r="U273" s="3" t="str">
        <f>IFERROR(__xludf.DUMMYFUNCTION("""COMPUTED_VALUE"""),"#N/A")</f>
        <v>#N/A</v>
      </c>
      <c r="V273" s="3" t="str">
        <f>IFERROR(__xludf.DUMMYFUNCTION("""COMPUTED_VALUE"""),"N")</f>
        <v>N</v>
      </c>
      <c r="W273" s="3">
        <f>IFERROR(__xludf.DUMMYFUNCTION("""COMPUTED_VALUE"""),211025.0)</f>
        <v>211025</v>
      </c>
      <c r="X273" s="3" t="str">
        <f>IFERROR(__xludf.DUMMYFUNCTION("""COMPUTED_VALUE"""),"57/5,57/7,57/9 หมู่ 1 ซอยนิมิตรใหม่9 แขวงทรายกองดิน เขตคลองสามวา กรุงเทพฯ 10510")</f>
        <v>57/5,57/7,57/9 หมู่ 1 ซอยนิมิตรใหม่9 แขวงทรายกองดิน เขตคลองสามวา กรุงเทพฯ 10510</v>
      </c>
      <c r="Y273" s="3" t="str">
        <f>IFERROR(__xludf.DUMMYFUNCTION("""COMPUTED_VALUE"""),"ซอยนิมิตรใหม่9")</f>
        <v>ซอยนิมิตรใหม่9</v>
      </c>
      <c r="Z273" s="3" t="str">
        <f>IFERROR(__xludf.DUMMYFUNCTION("""COMPUTED_VALUE"""),"ทรายกองดิน")</f>
        <v>ทรายกองดิน</v>
      </c>
      <c r="AA273" s="3" t="str">
        <f>IFERROR(__xludf.DUMMYFUNCTION("""COMPUTED_VALUE"""),"คลองสามวา")</f>
        <v>คลองสามวา</v>
      </c>
      <c r="AB273" s="3" t="str">
        <f>IFERROR(__xludf.DUMMYFUNCTION("""COMPUTED_VALUE"""),"กรุงเทพมหานคร")</f>
        <v>กรุงเทพมหานคร</v>
      </c>
      <c r="AC273" s="3">
        <f>IFERROR(__xludf.DUMMYFUNCTION("""COMPUTED_VALUE"""),10510.0)</f>
        <v>10510</v>
      </c>
      <c r="AD273" s="3">
        <f>IFERROR(__xludf.DUMMYFUNCTION("""COMPUTED_VALUE"""),13.836997)</f>
        <v>13.836997</v>
      </c>
      <c r="AE273" s="3">
        <f>IFERROR(__xludf.DUMMYFUNCTION("""COMPUTED_VALUE"""),100.735334)</f>
        <v>100.735334</v>
      </c>
      <c r="AF273" s="3" t="str">
        <f>IFERROR(__xludf.DUMMYFUNCTION("""COMPUTED_VALUE"""),"MBC นิมิตรใหม่-21027")</f>
        <v>MBC นิมิตรใหม่-21027</v>
      </c>
      <c r="AG273" s="3" t="str">
        <f>IFERROR(__xludf.DUMMYFUNCTION("""COMPUTED_VALUE"""),"กลาง")</f>
        <v>กลาง</v>
      </c>
      <c r="AH273" s="3" t="str">
        <f>IFERROR(__xludf.DUMMYFUNCTION("""COMPUTED_VALUE"""),"#N/A")</f>
        <v>#N/A</v>
      </c>
      <c r="AI273" s="3" t="str">
        <f>IFERROR(__xludf.DUMMYFUNCTION("""COMPUTED_VALUE"""),"Out of warranty")</f>
        <v>Out of warranty</v>
      </c>
      <c r="AJ273" s="3">
        <f>IFERROR(__xludf.DUMMYFUNCTION("""COMPUTED_VALUE"""),174.0)</f>
        <v>174</v>
      </c>
      <c r="AK273" s="3" t="str">
        <f>IFERROR(__xludf.DUMMYFUNCTION("""COMPUTED_VALUE"""),"MMS01")</f>
        <v>MMS01</v>
      </c>
      <c r="AL273" s="3"/>
    </row>
    <row r="274" ht="15.75" customHeight="1">
      <c r="A274" s="1" t="str">
        <f>IFERROR(__xludf.DUMMYFUNCTION("""COMPUTED_VALUE"""),"21028")</f>
        <v>21028</v>
      </c>
      <c r="B274" s="2">
        <f>IFERROR(__xludf.DUMMYFUNCTION("""COMPUTED_VALUE"""),21028.0)</f>
        <v>21028</v>
      </c>
      <c r="C274" s="3" t="str">
        <f>IFERROR(__xludf.DUMMYFUNCTION("""COMPUTED_VALUE"""),"เมืองทองธานี")</f>
        <v>เมืองทองธานี</v>
      </c>
      <c r="D274" s="3" t="str">
        <f>IFERROR(__xludf.DUMMYFUNCTION("""COMPUTED_VALUE"""),"MBC MUANGTHONGTHANI")</f>
        <v>MBC MUANGTHONGTHANI</v>
      </c>
      <c r="E274" s="1" t="str">
        <f>IFERROR(__xludf.DUMMYFUNCTION("""COMPUTED_VALUE"""),"บิ๊กซี MINI")</f>
        <v>บิ๊กซี MINI</v>
      </c>
      <c r="F274" s="1" t="str">
        <f>IFERROR(__xludf.DUMMYFUNCTION("""COMPUTED_VALUE"""),"291008")</f>
        <v>291008</v>
      </c>
      <c r="G274" s="1" t="str">
        <f>IFERROR(__xludf.DUMMYFUNCTION("""COMPUTED_VALUE"""),"น.ส.รัชดาพร อีศรัตน์")</f>
        <v>น.ส.รัชดาพร อีศรัตน์</v>
      </c>
      <c r="H274" s="1" t="str">
        <f>IFERROR(__xludf.DUMMYFUNCTION("""COMPUTED_VALUE"""),"228392")</f>
        <v>228392</v>
      </c>
      <c r="I274" s="1" t="str">
        <f>IFERROR(__xludf.DUMMYFUNCTION("""COMPUTED_VALUE"""),"นายพงษ์ประพันธ์ อุ่นประเสริฐ")</f>
        <v>นายพงษ์ประพันธ์ อุ่นประเสริฐ</v>
      </c>
      <c r="J274" s="3">
        <f>IFERROR(__xludf.DUMMYFUNCTION("""COMPUTED_VALUE"""),3510104.0)</f>
        <v>3510104</v>
      </c>
      <c r="K274" s="3" t="str">
        <f>IFERROR(__xludf.DUMMYFUNCTION("""COMPUTED_VALUE"""),"นายวิโรจน์ อับดุลสมัด")</f>
        <v>นายวิโรจน์ อับดุลสมัด</v>
      </c>
      <c r="L274" s="1" t="str">
        <f>IFERROR(__xludf.DUMMYFUNCTION("""COMPUTED_VALUE"""),"09 K.Wirode A")</f>
        <v>09 K.Wirode A</v>
      </c>
      <c r="M274" s="1" t="str">
        <f>IFERROR(__xludf.DUMMYFUNCTION("""COMPUTED_VALUE"""),"080-235-4465")</f>
        <v>080-235-4465</v>
      </c>
      <c r="N274" s="3">
        <f>IFERROR(__xludf.DUMMYFUNCTION("""COMPUTED_VALUE"""),21324.0)</f>
        <v>21324</v>
      </c>
      <c r="O274" s="3" t="str">
        <f>IFERROR(__xludf.DUMMYFUNCTION("""COMPUTED_VALUE"""),"MBC BCP สุวินทวงศ์")</f>
        <v>MBC BCP สุวินทวงศ์</v>
      </c>
      <c r="P274" s="4">
        <f>IFERROR(__xludf.DUMMYFUNCTION("""COMPUTED_VALUE"""),40767.0)</f>
        <v>40767</v>
      </c>
      <c r="Q274" s="3" t="str">
        <f>IFERROR(__xludf.DUMMYFUNCTION("""COMPUTED_VALUE"""),"I")</f>
        <v>I</v>
      </c>
      <c r="R274" s="3" t="str">
        <f>IFERROR(__xludf.DUMMYFUNCTION("""COMPUTED_VALUE"""),"Small Format")</f>
        <v>Small Format</v>
      </c>
      <c r="S274" s="3" t="str">
        <f>IFERROR(__xludf.DUMMYFUNCTION("""COMPUTED_VALUE"""),"BCM")</f>
        <v>BCM</v>
      </c>
      <c r="T274" s="3" t="str">
        <f>IFERROR(__xludf.DUMMYFUNCTION("""COMPUTED_VALUE"""),"#N/A")</f>
        <v>#N/A</v>
      </c>
      <c r="U274" s="3" t="str">
        <f>IFERROR(__xludf.DUMMYFUNCTION("""COMPUTED_VALUE"""),"#N/A")</f>
        <v>#N/A</v>
      </c>
      <c r="V274" s="3" t="str">
        <f>IFERROR(__xludf.DUMMYFUNCTION("""COMPUTED_VALUE"""),"N")</f>
        <v>N</v>
      </c>
      <c r="W274" s="3">
        <f>IFERROR(__xludf.DUMMYFUNCTION("""COMPUTED_VALUE"""),211026.0)</f>
        <v>211026</v>
      </c>
      <c r="X274" s="3" t="str">
        <f>IFERROR(__xludf.DUMMYFUNCTION("""COMPUTED_VALUE"""),"101,101/1 ถนนป๊อบปูล่า ตำบลบ้านใหม่ อำเภอปากเกร็ด จังหวัดนนทบุรี 11120")</f>
        <v>101,101/1 ถนนป๊อบปูล่า ตำบลบ้านใหม่ อำเภอปากเกร็ด จังหวัดนนทบุรี 11120</v>
      </c>
      <c r="Y274" s="3" t="str">
        <f>IFERROR(__xludf.DUMMYFUNCTION("""COMPUTED_VALUE"""),"ถนนป๊อบปูล่า")</f>
        <v>ถนนป๊อบปูล่า</v>
      </c>
      <c r="Z274" s="3" t="str">
        <f>IFERROR(__xludf.DUMMYFUNCTION("""COMPUTED_VALUE"""),"บ้านใหม่")</f>
        <v>บ้านใหม่</v>
      </c>
      <c r="AA274" s="3" t="str">
        <f>IFERROR(__xludf.DUMMYFUNCTION("""COMPUTED_VALUE"""),"ปากเกร็ด")</f>
        <v>ปากเกร็ด</v>
      </c>
      <c r="AB274" s="3" t="str">
        <f>IFERROR(__xludf.DUMMYFUNCTION("""COMPUTED_VALUE"""),"นนทบุรี")</f>
        <v>นนทบุรี</v>
      </c>
      <c r="AC274" s="3">
        <f>IFERROR(__xludf.DUMMYFUNCTION("""COMPUTED_VALUE"""),11120.0)</f>
        <v>11120</v>
      </c>
      <c r="AD274" s="3" t="str">
        <f>IFERROR(__xludf.DUMMYFUNCTION("""COMPUTED_VALUE"""),"#N/A")</f>
        <v>#N/A</v>
      </c>
      <c r="AE274" s="3" t="str">
        <f>IFERROR(__xludf.DUMMYFUNCTION("""COMPUTED_VALUE"""),"#N/A")</f>
        <v>#N/A</v>
      </c>
      <c r="AF274" s="3" t="str">
        <f>IFERROR(__xludf.DUMMYFUNCTION("""COMPUTED_VALUE"""),"เมืองทองธานี-21028")</f>
        <v>เมืองทองธานี-21028</v>
      </c>
      <c r="AG274" s="3" t="str">
        <f>IFERROR(__xludf.DUMMYFUNCTION("""COMPUTED_VALUE"""),"กลาง")</f>
        <v>กลาง</v>
      </c>
      <c r="AH274" s="3" t="str">
        <f>IFERROR(__xludf.DUMMYFUNCTION("""COMPUTED_VALUE"""),"#N/A")</f>
        <v>#N/A</v>
      </c>
      <c r="AI274" s="3" t="str">
        <f>IFERROR(__xludf.DUMMYFUNCTION("""COMPUTED_VALUE"""),"Out of warranty")</f>
        <v>Out of warranty</v>
      </c>
      <c r="AJ274" s="3">
        <f>IFERROR(__xludf.DUMMYFUNCTION("""COMPUTED_VALUE"""),174.0)</f>
        <v>174</v>
      </c>
      <c r="AK274" s="3"/>
      <c r="AL274" s="3"/>
    </row>
    <row r="275" ht="15.75" customHeight="1">
      <c r="A275" s="1" t="str">
        <f>IFERROR(__xludf.DUMMYFUNCTION("""COMPUTED_VALUE"""),"21029")</f>
        <v>21029</v>
      </c>
      <c r="B275" s="2">
        <f>IFERROR(__xludf.DUMMYFUNCTION("""COMPUTED_VALUE"""),21029.0)</f>
        <v>21029</v>
      </c>
      <c r="C275" s="3" t="str">
        <f>IFERROR(__xludf.DUMMYFUNCTION("""COMPUTED_VALUE"""),"MBC สุขาภิบาล2")</f>
        <v>MBC สุขาภิบาล2</v>
      </c>
      <c r="D275" s="3" t="str">
        <f>IFERROR(__xludf.DUMMYFUNCTION("""COMPUTED_VALUE"""),"BCM SUKAPHIBAL 2")</f>
        <v>BCM SUKAPHIBAL 2</v>
      </c>
      <c r="E275" s="1" t="str">
        <f>IFERROR(__xludf.DUMMYFUNCTION("""COMPUTED_VALUE"""),"บิ๊กซี MINI")</f>
        <v>บิ๊กซี MINI</v>
      </c>
      <c r="F275" s="1" t="str">
        <f>IFERROR(__xludf.DUMMYFUNCTION("""COMPUTED_VALUE"""),"291008")</f>
        <v>291008</v>
      </c>
      <c r="G275" s="1" t="str">
        <f>IFERROR(__xludf.DUMMYFUNCTION("""COMPUTED_VALUE"""),"น.ส.รัชดาพร อีศรัตน์")</f>
        <v>น.ส.รัชดาพร อีศรัตน์</v>
      </c>
      <c r="H275" s="1" t="str">
        <f>IFERROR(__xludf.DUMMYFUNCTION("""COMPUTED_VALUE"""),"359054")</f>
        <v>359054</v>
      </c>
      <c r="I275" s="1" t="str">
        <f>IFERROR(__xludf.DUMMYFUNCTION("""COMPUTED_VALUE"""),"น.ส.กรรณิการ์ พุทธวงค์")</f>
        <v>น.ส.กรรณิการ์ พุทธวงค์</v>
      </c>
      <c r="J275" s="3">
        <f>IFERROR(__xludf.DUMMYFUNCTION("""COMPUTED_VALUE"""),2452378.0)</f>
        <v>2452378</v>
      </c>
      <c r="K275" s="3" t="str">
        <f>IFERROR(__xludf.DUMMYFUNCTION("""COMPUTED_VALUE"""),"นายศักดิ์ดา พวงประดับ")</f>
        <v>นายศักดิ์ดา พวงประดับ</v>
      </c>
      <c r="L275" s="1" t="str">
        <f>IFERROR(__xludf.DUMMYFUNCTION("""COMPUTED_VALUE"""),"11 K.Sakda P.")</f>
        <v>11 K.Sakda P.</v>
      </c>
      <c r="M275" s="1" t="str">
        <f>IFERROR(__xludf.DUMMYFUNCTION("""COMPUTED_VALUE"""),"065-929-1279")</f>
        <v>065-929-1279</v>
      </c>
      <c r="N275" s="3">
        <f>IFERROR(__xludf.DUMMYFUNCTION("""COMPUTED_VALUE"""),21002.0)</f>
        <v>21002</v>
      </c>
      <c r="O275" s="3" t="str">
        <f>IFERROR(__xludf.DUMMYFUNCTION("""COMPUTED_VALUE"""),"MBC อุดมสุข")</f>
        <v>MBC อุดมสุข</v>
      </c>
      <c r="P275" s="4">
        <f>IFERROR(__xludf.DUMMYFUNCTION("""COMPUTED_VALUE"""),40780.0)</f>
        <v>40780</v>
      </c>
      <c r="Q275" s="3" t="str">
        <f>IFERROR(__xludf.DUMMYFUNCTION("""COMPUTED_VALUE"""),"A")</f>
        <v>A</v>
      </c>
      <c r="R275" s="3" t="str">
        <f>IFERROR(__xludf.DUMMYFUNCTION("""COMPUTED_VALUE"""),"Small Format")</f>
        <v>Small Format</v>
      </c>
      <c r="S275" s="3" t="str">
        <f>IFERROR(__xludf.DUMMYFUNCTION("""COMPUTED_VALUE"""),"BCM")</f>
        <v>BCM</v>
      </c>
      <c r="T275" s="3" t="str">
        <f>IFERROR(__xludf.DUMMYFUNCTION("""COMPUTED_VALUE"""),"#N/A")</f>
        <v>#N/A</v>
      </c>
      <c r="U275" s="3" t="str">
        <f>IFERROR(__xludf.DUMMYFUNCTION("""COMPUTED_VALUE"""),"#N/A")</f>
        <v>#N/A</v>
      </c>
      <c r="V275" s="3" t="str">
        <f>IFERROR(__xludf.DUMMYFUNCTION("""COMPUTED_VALUE"""),"N")</f>
        <v>N</v>
      </c>
      <c r="W275" s="3">
        <f>IFERROR(__xludf.DUMMYFUNCTION("""COMPUTED_VALUE"""),211027.0)</f>
        <v>211027</v>
      </c>
      <c r="X275" s="3" t="str">
        <f>IFERROR(__xludf.DUMMYFUNCTION("""COMPUTED_VALUE"""),"69/8 ถนนสุขาภิบาล 2 แขวงประเวศ เขตประเวศ กรุงเทพฯ 10250")</f>
        <v>69/8 ถนนสุขาภิบาล 2 แขวงประเวศ เขตประเวศ กรุงเทพฯ 10250</v>
      </c>
      <c r="Y275" s="3" t="str">
        <f>IFERROR(__xludf.DUMMYFUNCTION("""COMPUTED_VALUE"""),"ถนนสุขาภิบาล")</f>
        <v>ถนนสุขาภิบาล</v>
      </c>
      <c r="Z275" s="3" t="str">
        <f>IFERROR(__xludf.DUMMYFUNCTION("""COMPUTED_VALUE"""),"ประเวศ")</f>
        <v>ประเวศ</v>
      </c>
      <c r="AA275" s="3" t="str">
        <f>IFERROR(__xludf.DUMMYFUNCTION("""COMPUTED_VALUE"""),"ประเวศ")</f>
        <v>ประเวศ</v>
      </c>
      <c r="AB275" s="3" t="str">
        <f>IFERROR(__xludf.DUMMYFUNCTION("""COMPUTED_VALUE"""),"กรุงเทพมหานคร")</f>
        <v>กรุงเทพมหานคร</v>
      </c>
      <c r="AC275" s="3">
        <f>IFERROR(__xludf.DUMMYFUNCTION("""COMPUTED_VALUE"""),10250.0)</f>
        <v>10250</v>
      </c>
      <c r="AD275" s="3">
        <f>IFERROR(__xludf.DUMMYFUNCTION("""COMPUTED_VALUE"""),13.705538)</f>
        <v>13.705538</v>
      </c>
      <c r="AE275" s="3">
        <f>IFERROR(__xludf.DUMMYFUNCTION("""COMPUTED_VALUE"""),100.706541)</f>
        <v>100.706541</v>
      </c>
      <c r="AF275" s="3" t="str">
        <f>IFERROR(__xludf.DUMMYFUNCTION("""COMPUTED_VALUE"""),"MBC สุขาภิบาล2-21029")</f>
        <v>MBC สุขาภิบาล2-21029</v>
      </c>
      <c r="AG275" s="3" t="str">
        <f>IFERROR(__xludf.DUMMYFUNCTION("""COMPUTED_VALUE"""),"กลาง")</f>
        <v>กลาง</v>
      </c>
      <c r="AH275" s="3" t="str">
        <f>IFERROR(__xludf.DUMMYFUNCTION("""COMPUTED_VALUE"""),"#N/A")</f>
        <v>#N/A</v>
      </c>
      <c r="AI275" s="3" t="str">
        <f>IFERROR(__xludf.DUMMYFUNCTION("""COMPUTED_VALUE"""),"Out of warranty")</f>
        <v>Out of warranty</v>
      </c>
      <c r="AJ275" s="3">
        <f>IFERROR(__xludf.DUMMYFUNCTION("""COMPUTED_VALUE"""),173.0)</f>
        <v>173</v>
      </c>
      <c r="AK275" s="3" t="str">
        <f>IFERROR(__xludf.DUMMYFUNCTION("""COMPUTED_VALUE"""),"MMS03")</f>
        <v>MMS03</v>
      </c>
      <c r="AL275" s="3"/>
    </row>
    <row r="276" ht="15.75" customHeight="1">
      <c r="A276" s="1" t="str">
        <f>IFERROR(__xludf.DUMMYFUNCTION("""COMPUTED_VALUE"""),"21030")</f>
        <v>21030</v>
      </c>
      <c r="B276" s="2">
        <f>IFERROR(__xludf.DUMMYFUNCTION("""COMPUTED_VALUE"""),21030.0)</f>
        <v>21030</v>
      </c>
      <c r="C276" s="3" t="str">
        <f>IFERROR(__xludf.DUMMYFUNCTION("""COMPUTED_VALUE"""),"MBC ซอยหนองใหญ่")</f>
        <v>MBC ซอยหนองใหญ่</v>
      </c>
      <c r="D276" s="3" t="str">
        <f>IFERROR(__xludf.DUMMYFUNCTION("""COMPUTED_VALUE"""),"BCM SOINONGYAI")</f>
        <v>BCM SOINONGYAI</v>
      </c>
      <c r="E276" s="1" t="str">
        <f>IFERROR(__xludf.DUMMYFUNCTION("""COMPUTED_VALUE"""),"บิ๊กซี MINI")</f>
        <v>บิ๊กซี MINI</v>
      </c>
      <c r="F276" s="1" t="str">
        <f>IFERROR(__xludf.DUMMYFUNCTION("""COMPUTED_VALUE"""),"291008")</f>
        <v>291008</v>
      </c>
      <c r="G276" s="1" t="str">
        <f>IFERROR(__xludf.DUMMYFUNCTION("""COMPUTED_VALUE"""),"น.ส.รัชดาพร อีศรัตน์")</f>
        <v>น.ส.รัชดาพร อีศรัตน์</v>
      </c>
      <c r="H276" s="1" t="str">
        <f>IFERROR(__xludf.DUMMYFUNCTION("""COMPUTED_VALUE"""),"254800")</f>
        <v>254800</v>
      </c>
      <c r="I276" s="1" t="str">
        <f>IFERROR(__xludf.DUMMYFUNCTION("""COMPUTED_VALUE"""),"น.ส.นัชมล กางกรณ์")</f>
        <v>น.ส.นัชมล กางกรณ์</v>
      </c>
      <c r="J276" s="3">
        <f>IFERROR(__xludf.DUMMYFUNCTION("""COMPUTED_VALUE"""),296608.0)</f>
        <v>296608</v>
      </c>
      <c r="K276" s="3" t="str">
        <f>IFERROR(__xludf.DUMMYFUNCTION("""COMPUTED_VALUE"""),"นายภาคภูมิ เพ็ชรนิล")</f>
        <v>นายภาคภูมิ เพ็ชรนิล</v>
      </c>
      <c r="L276" s="1" t="str">
        <f>IFERROR(__xludf.DUMMYFUNCTION("""COMPUTED_VALUE"""),"10 K.Phakphoom P.")</f>
        <v>10 K.Phakphoom P.</v>
      </c>
      <c r="M276" s="1" t="str">
        <f>IFERROR(__xludf.DUMMYFUNCTION("""COMPUTED_VALUE"""),"063-8955329")</f>
        <v>063-8955329</v>
      </c>
      <c r="N276" s="3">
        <f>IFERROR(__xludf.DUMMYFUNCTION("""COMPUTED_VALUE"""),22584.0)</f>
        <v>22584</v>
      </c>
      <c r="O276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276" s="4">
        <f>IFERROR(__xludf.DUMMYFUNCTION("""COMPUTED_VALUE"""),40782.0)</f>
        <v>40782</v>
      </c>
      <c r="Q276" s="3" t="str">
        <f>IFERROR(__xludf.DUMMYFUNCTION("""COMPUTED_VALUE"""),"A")</f>
        <v>A</v>
      </c>
      <c r="R276" s="3" t="str">
        <f>IFERROR(__xludf.DUMMYFUNCTION("""COMPUTED_VALUE"""),"Small Format")</f>
        <v>Small Format</v>
      </c>
      <c r="S276" s="3" t="str">
        <f>IFERROR(__xludf.DUMMYFUNCTION("""COMPUTED_VALUE"""),"BCM")</f>
        <v>BCM</v>
      </c>
      <c r="T276" s="3" t="str">
        <f>IFERROR(__xludf.DUMMYFUNCTION("""COMPUTED_VALUE"""),"#N/A")</f>
        <v>#N/A</v>
      </c>
      <c r="U276" s="3" t="str">
        <f>IFERROR(__xludf.DUMMYFUNCTION("""COMPUTED_VALUE"""),"#N/A")</f>
        <v>#N/A</v>
      </c>
      <c r="V276" s="3" t="str">
        <f>IFERROR(__xludf.DUMMYFUNCTION("""COMPUTED_VALUE"""),"N")</f>
        <v>N</v>
      </c>
      <c r="W276" s="3">
        <f>IFERROR(__xludf.DUMMYFUNCTION("""COMPUTED_VALUE"""),211028.0)</f>
        <v>211028</v>
      </c>
      <c r="X276" s="3" t="str">
        <f>IFERROR(__xludf.DUMMYFUNCTION("""COMPUTED_VALUE"""),"1311/1 ซอยกาญจนาภิเษก008 แขวงบางแค เขตบางแค กรุงเทพฯ 10160")</f>
        <v>1311/1 ซอยกาญจนาภิเษก008 แขวงบางแค เขตบางแค กรุงเทพฯ 10160</v>
      </c>
      <c r="Y276" s="3" t="str">
        <f>IFERROR(__xludf.DUMMYFUNCTION("""COMPUTED_VALUE"""),"ซอยกาญจนาภิเษก008")</f>
        <v>ซอยกาญจนาภิเษก008</v>
      </c>
      <c r="Z276" s="3" t="str">
        <f>IFERROR(__xludf.DUMMYFUNCTION("""COMPUTED_VALUE"""),"บางแค")</f>
        <v>บางแค</v>
      </c>
      <c r="AA276" s="3" t="str">
        <f>IFERROR(__xludf.DUMMYFUNCTION("""COMPUTED_VALUE"""),"บางแค")</f>
        <v>บางแค</v>
      </c>
      <c r="AB276" s="3" t="str">
        <f>IFERROR(__xludf.DUMMYFUNCTION("""COMPUTED_VALUE"""),"กรุงเทพมหานคร")</f>
        <v>กรุงเทพมหานคร</v>
      </c>
      <c r="AC276" s="3">
        <f>IFERROR(__xludf.DUMMYFUNCTION("""COMPUTED_VALUE"""),10160.0)</f>
        <v>10160</v>
      </c>
      <c r="AD276" s="3">
        <f>IFERROR(__xludf.DUMMYFUNCTION("""COMPUTED_VALUE"""),13.692711)</f>
        <v>13.692711</v>
      </c>
      <c r="AE276" s="3">
        <f>IFERROR(__xludf.DUMMYFUNCTION("""COMPUTED_VALUE"""),100.41478)</f>
        <v>100.41478</v>
      </c>
      <c r="AF276" s="3" t="str">
        <f>IFERROR(__xludf.DUMMYFUNCTION("""COMPUTED_VALUE"""),"MBC ซอยหนองใหญ่-21030")</f>
        <v>MBC ซอยหนองใหญ่-21030</v>
      </c>
      <c r="AG276" s="3" t="str">
        <f>IFERROR(__xludf.DUMMYFUNCTION("""COMPUTED_VALUE"""),"กลาง")</f>
        <v>กลาง</v>
      </c>
      <c r="AH276" s="3" t="str">
        <f>IFERROR(__xludf.DUMMYFUNCTION("""COMPUTED_VALUE"""),"#N/A")</f>
        <v>#N/A</v>
      </c>
      <c r="AI276" s="3" t="str">
        <f>IFERROR(__xludf.DUMMYFUNCTION("""COMPUTED_VALUE"""),"Out of warranty")</f>
        <v>Out of warranty</v>
      </c>
      <c r="AJ276" s="3">
        <f>IFERROR(__xludf.DUMMYFUNCTION("""COMPUTED_VALUE"""),173.0)</f>
        <v>173</v>
      </c>
      <c r="AK276" s="3" t="str">
        <f>IFERROR(__xludf.DUMMYFUNCTION("""COMPUTED_VALUE"""),"MMS02")</f>
        <v>MMS02</v>
      </c>
      <c r="AL276" s="3"/>
    </row>
    <row r="277" ht="15.75" customHeight="1">
      <c r="A277" s="1" t="str">
        <f>IFERROR(__xludf.DUMMYFUNCTION("""COMPUTED_VALUE"""),"21031")</f>
        <v>21031</v>
      </c>
      <c r="B277" s="2">
        <f>IFERROR(__xludf.DUMMYFUNCTION("""COMPUTED_VALUE"""),21031.0)</f>
        <v>21031</v>
      </c>
      <c r="C277" s="3" t="str">
        <f>IFERROR(__xludf.DUMMYFUNCTION("""COMPUTED_VALUE"""),"MBC ตลาดสุชาติ")</f>
        <v>MBC ตลาดสุชาติ</v>
      </c>
      <c r="D277" s="3" t="str">
        <f>IFERROR(__xludf.DUMMYFUNCTION("""COMPUTED_VALUE"""),"BCM TARAD SUCHART")</f>
        <v>BCM TARAD SUCHART</v>
      </c>
      <c r="E277" s="1" t="str">
        <f>IFERROR(__xludf.DUMMYFUNCTION("""COMPUTED_VALUE"""),"บิ๊กซี MINI")</f>
        <v>บิ๊กซี MINI</v>
      </c>
      <c r="F277" s="1" t="str">
        <f>IFERROR(__xludf.DUMMYFUNCTION("""COMPUTED_VALUE"""),"2083447")</f>
        <v>2083447</v>
      </c>
      <c r="G277" s="1" t="str">
        <f>IFERROR(__xludf.DUMMYFUNCTION("""COMPUTED_VALUE"""),"นายอนุกูล ศรีลัดดา")</f>
        <v>นายอนุกูล ศรีลัดดา</v>
      </c>
      <c r="H277" s="1" t="str">
        <f>IFERROR(__xludf.DUMMYFUNCTION("""COMPUTED_VALUE"""),"373849")</f>
        <v>373849</v>
      </c>
      <c r="I277" s="1" t="str">
        <f>IFERROR(__xludf.DUMMYFUNCTION("""COMPUTED_VALUE"""),"น.ส.อรอุมา นิ่มวิศิษย์")</f>
        <v>น.ส.อรอุมา นิ่มวิศิษย์</v>
      </c>
      <c r="J277" s="3">
        <f>IFERROR(__xludf.DUMMYFUNCTION("""COMPUTED_VALUE"""),510143.0)</f>
        <v>510143</v>
      </c>
      <c r="K277" s="3" t="str">
        <f>IFERROR(__xludf.DUMMYFUNCTION("""COMPUTED_VALUE"""),"นายธีระวัฒน์ บุญสิทธิ์")</f>
        <v>นายธีระวัฒน์ บุญสิทธิ์</v>
      </c>
      <c r="L277" s="1" t="str">
        <f>IFERROR(__xludf.DUMMYFUNCTION("""COMPUTED_VALUE"""),"12 K.Theerawat B.")</f>
        <v>12 K.Theerawat B.</v>
      </c>
      <c r="M277" s="1" t="str">
        <f>IFERROR(__xludf.DUMMYFUNCTION("""COMPUTED_VALUE"""),"0655107379")</f>
        <v>0655107379</v>
      </c>
      <c r="N277" s="3">
        <f>IFERROR(__xludf.DUMMYFUNCTION("""COMPUTED_VALUE"""),21062.0)</f>
        <v>21062</v>
      </c>
      <c r="O277" s="3" t="str">
        <f>IFERROR(__xludf.DUMMYFUNCTION("""COMPUTED_VALUE"""),"MBC นิคมนวนคร")</f>
        <v>MBC นิคมนวนคร</v>
      </c>
      <c r="P277" s="4">
        <f>IFERROR(__xludf.DUMMYFUNCTION("""COMPUTED_VALUE"""),40784.0)</f>
        <v>40784</v>
      </c>
      <c r="Q277" s="3" t="str">
        <f>IFERROR(__xludf.DUMMYFUNCTION("""COMPUTED_VALUE"""),"A")</f>
        <v>A</v>
      </c>
      <c r="R277" s="3" t="str">
        <f>IFERROR(__xludf.DUMMYFUNCTION("""COMPUTED_VALUE"""),"Small Format")</f>
        <v>Small Format</v>
      </c>
      <c r="S277" s="3" t="str">
        <f>IFERROR(__xludf.DUMMYFUNCTION("""COMPUTED_VALUE"""),"BCM")</f>
        <v>BCM</v>
      </c>
      <c r="T277" s="3" t="str">
        <f>IFERROR(__xludf.DUMMYFUNCTION("""COMPUTED_VALUE"""),"#N/A")</f>
        <v>#N/A</v>
      </c>
      <c r="U277" s="3" t="str">
        <f>IFERROR(__xludf.DUMMYFUNCTION("""COMPUTED_VALUE"""),"#N/A")</f>
        <v>#N/A</v>
      </c>
      <c r="V277" s="3" t="str">
        <f>IFERROR(__xludf.DUMMYFUNCTION("""COMPUTED_VALUE"""),"N")</f>
        <v>N</v>
      </c>
      <c r="W277" s="3">
        <f>IFERROR(__xludf.DUMMYFUNCTION("""COMPUTED_VALUE"""),211029.0)</f>
        <v>211029</v>
      </c>
      <c r="X277" s="3" t="str">
        <f>IFERROR(__xludf.DUMMYFUNCTION("""COMPUTED_VALUE"""),"109/1-4 หมู่ 1 ตำบล ลำผักกูด อำเภอ ธัญบุรี จังหวัดปทุมธานี 12110")</f>
        <v>109/1-4 หมู่ 1 ตำบล ลำผักกูด อำเภอ ธัญบุรี จังหวัดปทุมธานี 12110</v>
      </c>
      <c r="Y277" s="3"/>
      <c r="Z277" s="3" t="str">
        <f>IFERROR(__xludf.DUMMYFUNCTION("""COMPUTED_VALUE"""),"ลำผักกูด")</f>
        <v>ลำผักกูด</v>
      </c>
      <c r="AA277" s="3" t="str">
        <f>IFERROR(__xludf.DUMMYFUNCTION("""COMPUTED_VALUE"""),"ธัญบุรี")</f>
        <v>ธัญบุรี</v>
      </c>
      <c r="AB277" s="3" t="str">
        <f>IFERROR(__xludf.DUMMYFUNCTION("""COMPUTED_VALUE"""),"ปทุมธานี")</f>
        <v>ปทุมธานี</v>
      </c>
      <c r="AC277" s="3">
        <f>IFERROR(__xludf.DUMMYFUNCTION("""COMPUTED_VALUE"""),12110.0)</f>
        <v>12110</v>
      </c>
      <c r="AD277" s="3">
        <f>IFERROR(__xludf.DUMMYFUNCTION("""COMPUTED_VALUE"""),14.032762)</f>
        <v>14.032762</v>
      </c>
      <c r="AE277" s="3">
        <f>IFERROR(__xludf.DUMMYFUNCTION("""COMPUTED_VALUE"""),100.767993)</f>
        <v>100.767993</v>
      </c>
      <c r="AF277" s="3" t="str">
        <f>IFERROR(__xludf.DUMMYFUNCTION("""COMPUTED_VALUE"""),"MBC ตลาดสุชาติ-21031")</f>
        <v>MBC ตลาดสุชาติ-21031</v>
      </c>
      <c r="AG277" s="3" t="str">
        <f>IFERROR(__xludf.DUMMYFUNCTION("""COMPUTED_VALUE"""),"กลาง")</f>
        <v>กลาง</v>
      </c>
      <c r="AH277" s="3" t="str">
        <f>IFERROR(__xludf.DUMMYFUNCTION("""COMPUTED_VALUE"""),"#N/A")</f>
        <v>#N/A</v>
      </c>
      <c r="AI277" s="3" t="str">
        <f>IFERROR(__xludf.DUMMYFUNCTION("""COMPUTED_VALUE"""),"Out of warranty")</f>
        <v>Out of warranty</v>
      </c>
      <c r="AJ277" s="3">
        <f>IFERROR(__xludf.DUMMYFUNCTION("""COMPUTED_VALUE"""),173.0)</f>
        <v>173</v>
      </c>
      <c r="AK277" s="3" t="str">
        <f>IFERROR(__xludf.DUMMYFUNCTION("""COMPUTED_VALUE"""),"MMS04")</f>
        <v>MMS04</v>
      </c>
      <c r="AL277" s="3"/>
    </row>
    <row r="278" ht="15.75" customHeight="1">
      <c r="A278" s="1" t="str">
        <f>IFERROR(__xludf.DUMMYFUNCTION("""COMPUTED_VALUE"""),"21032")</f>
        <v>21032</v>
      </c>
      <c r="B278" s="2">
        <f>IFERROR(__xludf.DUMMYFUNCTION("""COMPUTED_VALUE"""),21032.0)</f>
        <v>21032</v>
      </c>
      <c r="C278" s="3" t="str">
        <f>IFERROR(__xludf.DUMMYFUNCTION("""COMPUTED_VALUE"""),"MBC ซอยเปียร์นนท์")</f>
        <v>MBC ซอยเปียร์นนท์</v>
      </c>
      <c r="D278" s="3" t="str">
        <f>IFERROR(__xludf.DUMMYFUNCTION("""COMPUTED_VALUE"""),"BCM SOIPEARNON")</f>
        <v>BCM SOIPEARNON</v>
      </c>
      <c r="E278" s="1" t="str">
        <f>IFERROR(__xludf.DUMMYFUNCTION("""COMPUTED_VALUE"""),"บิ๊กซี MINI")</f>
        <v>บิ๊กซี MINI</v>
      </c>
      <c r="F278" s="1" t="str">
        <f>IFERROR(__xludf.DUMMYFUNCTION("""COMPUTED_VALUE"""),"2083447")</f>
        <v>2083447</v>
      </c>
      <c r="G278" s="1" t="str">
        <f>IFERROR(__xludf.DUMMYFUNCTION("""COMPUTED_VALUE"""),"นายอนุกูล ศรีลัดดา")</f>
        <v>นายอนุกูล ศรีลัดดา</v>
      </c>
      <c r="H278" s="1" t="str">
        <f>IFERROR(__xludf.DUMMYFUNCTION("""COMPUTED_VALUE"""),"373849")</f>
        <v>373849</v>
      </c>
      <c r="I278" s="1" t="str">
        <f>IFERROR(__xludf.DUMMYFUNCTION("""COMPUTED_VALUE"""),"น.ส.อรอุมา นิ่มวิศิษย์")</f>
        <v>น.ส.อรอุมา นิ่มวิศิษย์</v>
      </c>
      <c r="J278" s="3">
        <f>IFERROR(__xludf.DUMMYFUNCTION("""COMPUTED_VALUE"""),2451655.0)</f>
        <v>2451655</v>
      </c>
      <c r="K278" s="3" t="str">
        <f>IFERROR(__xludf.DUMMYFUNCTION("""COMPUTED_VALUE"""),"นายวิษณุพงษ์ ชินบุตร")</f>
        <v>นายวิษณุพงษ์ ชินบุตร</v>
      </c>
      <c r="L278" s="1" t="str">
        <f>IFERROR(__xludf.DUMMYFUNCTION("""COMPUTED_VALUE"""),"13 K.Wisanupong Ch")</f>
        <v>13 K.Wisanupong Ch</v>
      </c>
      <c r="M278" s="1" t="str">
        <f>IFERROR(__xludf.DUMMYFUNCTION("""COMPUTED_VALUE"""),"0843374693")</f>
        <v>0843374693</v>
      </c>
      <c r="N278" s="3">
        <f>IFERROR(__xludf.DUMMYFUNCTION("""COMPUTED_VALUE"""),21494.0)</f>
        <v>21494</v>
      </c>
      <c r="O278" s="3" t="str">
        <f>IFERROR(__xludf.DUMMYFUNCTION("""COMPUTED_VALUE"""),"MBC บ้านกรด")</f>
        <v>MBC บ้านกรด</v>
      </c>
      <c r="P278" s="4">
        <f>IFERROR(__xludf.DUMMYFUNCTION("""COMPUTED_VALUE"""),40785.0)</f>
        <v>40785</v>
      </c>
      <c r="Q278" s="3" t="str">
        <f>IFERROR(__xludf.DUMMYFUNCTION("""COMPUTED_VALUE"""),"I")</f>
        <v>I</v>
      </c>
      <c r="R278" s="3" t="str">
        <f>IFERROR(__xludf.DUMMYFUNCTION("""COMPUTED_VALUE"""),"Small Format")</f>
        <v>Small Format</v>
      </c>
      <c r="S278" s="3" t="str">
        <f>IFERROR(__xludf.DUMMYFUNCTION("""COMPUTED_VALUE"""),"BCM")</f>
        <v>BCM</v>
      </c>
      <c r="T278" s="3" t="str">
        <f>IFERROR(__xludf.DUMMYFUNCTION("""COMPUTED_VALUE"""),"#N/A")</f>
        <v>#N/A</v>
      </c>
      <c r="U278" s="3" t="str">
        <f>IFERROR(__xludf.DUMMYFUNCTION("""COMPUTED_VALUE"""),"#N/A")</f>
        <v>#N/A</v>
      </c>
      <c r="V278" s="3" t="str">
        <f>IFERROR(__xludf.DUMMYFUNCTION("""COMPUTED_VALUE"""),"N")</f>
        <v>N</v>
      </c>
      <c r="W278" s="3">
        <f>IFERROR(__xludf.DUMMYFUNCTION("""COMPUTED_VALUE"""),211030.0)</f>
        <v>211030</v>
      </c>
      <c r="X278" s="3" t="str">
        <f>IFERROR(__xludf.DUMMYFUNCTION("""COMPUTED_VALUE"""),"98/1-3 หมู่ 3 ตำบลคูคต อำเภอลำลูกกา จังหวัดปทุมธานี 12130")</f>
        <v>98/1-3 หมู่ 3 ตำบลคูคต อำเภอลำลูกกา จังหวัดปทุมธานี 12130</v>
      </c>
      <c r="Y278" s="3"/>
      <c r="Z278" s="3" t="str">
        <f>IFERROR(__xludf.DUMMYFUNCTION("""COMPUTED_VALUE"""),"คูคต")</f>
        <v>คูคต</v>
      </c>
      <c r="AA278" s="3" t="str">
        <f>IFERROR(__xludf.DUMMYFUNCTION("""COMPUTED_VALUE"""),"ลำลูกกา")</f>
        <v>ลำลูกกา</v>
      </c>
      <c r="AB278" s="3" t="str">
        <f>IFERROR(__xludf.DUMMYFUNCTION("""COMPUTED_VALUE"""),"ปทุมธานี")</f>
        <v>ปทุมธานี</v>
      </c>
      <c r="AC278" s="3">
        <f>IFERROR(__xludf.DUMMYFUNCTION("""COMPUTED_VALUE"""),12130.0)</f>
        <v>12130</v>
      </c>
      <c r="AD278" s="3">
        <f>IFERROR(__xludf.DUMMYFUNCTION("""COMPUTED_VALUE"""),13.940607)</f>
        <v>13.940607</v>
      </c>
      <c r="AE278" s="3">
        <f>IFERROR(__xludf.DUMMYFUNCTION("""COMPUTED_VALUE"""),100.659954)</f>
        <v>100.659954</v>
      </c>
      <c r="AF278" s="3" t="str">
        <f>IFERROR(__xludf.DUMMYFUNCTION("""COMPUTED_VALUE"""),"MBC ซอยเปียร์นนท์-21032")</f>
        <v>MBC ซอยเปียร์นนท์-21032</v>
      </c>
      <c r="AG278" s="3" t="str">
        <f>IFERROR(__xludf.DUMMYFUNCTION("""COMPUTED_VALUE"""),"กลาง")</f>
        <v>กลาง</v>
      </c>
      <c r="AH278" s="3" t="str">
        <f>IFERROR(__xludf.DUMMYFUNCTION("""COMPUTED_VALUE"""),"#N/A")</f>
        <v>#N/A</v>
      </c>
      <c r="AI278" s="3" t="str">
        <f>IFERROR(__xludf.DUMMYFUNCTION("""COMPUTED_VALUE"""),"Out of warranty")</f>
        <v>Out of warranty</v>
      </c>
      <c r="AJ278" s="3">
        <f>IFERROR(__xludf.DUMMYFUNCTION("""COMPUTED_VALUE"""),173.0)</f>
        <v>173</v>
      </c>
      <c r="AK278" s="3" t="str">
        <f>IFERROR(__xludf.DUMMYFUNCTION("""COMPUTED_VALUE"""),"MMS04")</f>
        <v>MMS04</v>
      </c>
      <c r="AL278" s="3"/>
    </row>
    <row r="279" ht="15.75" customHeight="1">
      <c r="A279" s="1" t="str">
        <f>IFERROR(__xludf.DUMMYFUNCTION("""COMPUTED_VALUE"""),"21033")</f>
        <v>21033</v>
      </c>
      <c r="B279" s="2">
        <f>IFERROR(__xludf.DUMMYFUNCTION("""COMPUTED_VALUE"""),21033.0)</f>
        <v>21033</v>
      </c>
      <c r="C279" s="3" t="str">
        <f>IFERROR(__xludf.DUMMYFUNCTION("""COMPUTED_VALUE"""),"MBC รัตนโกสินทร์")</f>
        <v>MBC รัตนโกสินทร์</v>
      </c>
      <c r="D279" s="3" t="str">
        <f>IFERROR(__xludf.DUMMYFUNCTION("""COMPUTED_VALUE"""),"BCM RATTANAKOSIN")</f>
        <v>BCM RATTANAKOSIN</v>
      </c>
      <c r="E279" s="1" t="str">
        <f>IFERROR(__xludf.DUMMYFUNCTION("""COMPUTED_VALUE"""),"บิ๊กซี MINI")</f>
        <v>บิ๊กซี MINI</v>
      </c>
      <c r="F279" s="1" t="str">
        <f>IFERROR(__xludf.DUMMYFUNCTION("""COMPUTED_VALUE"""),"2083447")</f>
        <v>2083447</v>
      </c>
      <c r="G279" s="1" t="str">
        <f>IFERROR(__xludf.DUMMYFUNCTION("""COMPUTED_VALUE"""),"นายอนุกูล ศรีลัดดา")</f>
        <v>นายอนุกูล ศรีลัดดา</v>
      </c>
      <c r="H279" s="1" t="str">
        <f>IFERROR(__xludf.DUMMYFUNCTION("""COMPUTED_VALUE"""),"373849")</f>
        <v>373849</v>
      </c>
      <c r="I279" s="1" t="str">
        <f>IFERROR(__xludf.DUMMYFUNCTION("""COMPUTED_VALUE"""),"น.ส.อรอุมา นิ่มวิศิษย์")</f>
        <v>น.ส.อรอุมา นิ่มวิศิษย์</v>
      </c>
      <c r="J279" s="3">
        <f>IFERROR(__xludf.DUMMYFUNCTION("""COMPUTED_VALUE"""),510143.0)</f>
        <v>510143</v>
      </c>
      <c r="K279" s="3" t="str">
        <f>IFERROR(__xludf.DUMMYFUNCTION("""COMPUTED_VALUE"""),"นายธีระวัฒน์ บุญสิทธิ์")</f>
        <v>นายธีระวัฒน์ บุญสิทธิ์</v>
      </c>
      <c r="L279" s="1" t="str">
        <f>IFERROR(__xludf.DUMMYFUNCTION("""COMPUTED_VALUE"""),"12 K.Theerawat B.")</f>
        <v>12 K.Theerawat B.</v>
      </c>
      <c r="M279" s="1" t="str">
        <f>IFERROR(__xludf.DUMMYFUNCTION("""COMPUTED_VALUE"""),"0655107379")</f>
        <v>0655107379</v>
      </c>
      <c r="N279" s="3">
        <f>IFERROR(__xludf.DUMMYFUNCTION("""COMPUTED_VALUE"""),21062.0)</f>
        <v>21062</v>
      </c>
      <c r="O279" s="3" t="str">
        <f>IFERROR(__xludf.DUMMYFUNCTION("""COMPUTED_VALUE"""),"MBC นิคมนวนคร")</f>
        <v>MBC นิคมนวนคร</v>
      </c>
      <c r="P279" s="4">
        <f>IFERROR(__xludf.DUMMYFUNCTION("""COMPUTED_VALUE"""),40786.0)</f>
        <v>40786</v>
      </c>
      <c r="Q279" s="3" t="str">
        <f>IFERROR(__xludf.DUMMYFUNCTION("""COMPUTED_VALUE"""),"A")</f>
        <v>A</v>
      </c>
      <c r="R279" s="3" t="str">
        <f>IFERROR(__xludf.DUMMYFUNCTION("""COMPUTED_VALUE"""),"Small Format")</f>
        <v>Small Format</v>
      </c>
      <c r="S279" s="3" t="str">
        <f>IFERROR(__xludf.DUMMYFUNCTION("""COMPUTED_VALUE"""),"BCM")</f>
        <v>BCM</v>
      </c>
      <c r="T279" s="3" t="str">
        <f>IFERROR(__xludf.DUMMYFUNCTION("""COMPUTED_VALUE"""),"#N/A")</f>
        <v>#N/A</v>
      </c>
      <c r="U279" s="3" t="str">
        <f>IFERROR(__xludf.DUMMYFUNCTION("""COMPUTED_VALUE"""),"#N/A")</f>
        <v>#N/A</v>
      </c>
      <c r="V279" s="3" t="str">
        <f>IFERROR(__xludf.DUMMYFUNCTION("""COMPUTED_VALUE"""),"N")</f>
        <v>N</v>
      </c>
      <c r="W279" s="3">
        <f>IFERROR(__xludf.DUMMYFUNCTION("""COMPUTED_VALUE"""),211031.0)</f>
        <v>211031</v>
      </c>
      <c r="X279" s="3" t="str">
        <f>IFERROR(__xludf.DUMMYFUNCTION("""COMPUTED_VALUE"""),"1,3 ซอยรังสิต-ปทุมธานี12 ตำบล ประชาธิปัตย์ อำเภอ ธัญบุรี จังหวัดปทุมธานี 12130")</f>
        <v>1,3 ซอยรังสิต-ปทุมธานี12 ตำบล ประชาธิปัตย์ อำเภอ ธัญบุรี จังหวัดปทุมธานี 12130</v>
      </c>
      <c r="Y279" s="3" t="str">
        <f>IFERROR(__xludf.DUMMYFUNCTION("""COMPUTED_VALUE"""),"ซอยรังสิต-ปทุมธานี12")</f>
        <v>ซอยรังสิต-ปทุมธานี12</v>
      </c>
      <c r="Z279" s="3" t="str">
        <f>IFERROR(__xludf.DUMMYFUNCTION("""COMPUTED_VALUE"""),"ประชาธิปัตย์")</f>
        <v>ประชาธิปัตย์</v>
      </c>
      <c r="AA279" s="3" t="str">
        <f>IFERROR(__xludf.DUMMYFUNCTION("""COMPUTED_VALUE"""),"ธัญบุรี")</f>
        <v>ธัญบุรี</v>
      </c>
      <c r="AB279" s="3" t="str">
        <f>IFERROR(__xludf.DUMMYFUNCTION("""COMPUTED_VALUE"""),"ปทุมธานี")</f>
        <v>ปทุมธานี</v>
      </c>
      <c r="AC279" s="3">
        <f>IFERROR(__xludf.DUMMYFUNCTION("""COMPUTED_VALUE"""),12130.0)</f>
        <v>12130</v>
      </c>
      <c r="AD279" s="3">
        <f>IFERROR(__xludf.DUMMYFUNCTION("""COMPUTED_VALUE"""),13.987678)</f>
        <v>13.987678</v>
      </c>
      <c r="AE279" s="3">
        <f>IFERROR(__xludf.DUMMYFUNCTION("""COMPUTED_VALUE"""),100.606205)</f>
        <v>100.606205</v>
      </c>
      <c r="AF279" s="3" t="str">
        <f>IFERROR(__xludf.DUMMYFUNCTION("""COMPUTED_VALUE"""),"MBC รัตนโกสินทร์-21033")</f>
        <v>MBC รัตนโกสินทร์-21033</v>
      </c>
      <c r="AG279" s="3" t="str">
        <f>IFERROR(__xludf.DUMMYFUNCTION("""COMPUTED_VALUE"""),"กลาง")</f>
        <v>กลาง</v>
      </c>
      <c r="AH279" s="3" t="str">
        <f>IFERROR(__xludf.DUMMYFUNCTION("""COMPUTED_VALUE"""),"#N/A")</f>
        <v>#N/A</v>
      </c>
      <c r="AI279" s="3" t="str">
        <f>IFERROR(__xludf.DUMMYFUNCTION("""COMPUTED_VALUE"""),"Out of warranty")</f>
        <v>Out of warranty</v>
      </c>
      <c r="AJ279" s="3">
        <f>IFERROR(__xludf.DUMMYFUNCTION("""COMPUTED_VALUE"""),173.0)</f>
        <v>173</v>
      </c>
      <c r="AK279" s="3" t="str">
        <f>IFERROR(__xludf.DUMMYFUNCTION("""COMPUTED_VALUE"""),"MMS04")</f>
        <v>MMS04</v>
      </c>
      <c r="AL279" s="3"/>
    </row>
    <row r="280" ht="15.75" customHeight="1">
      <c r="A280" s="1" t="str">
        <f>IFERROR(__xludf.DUMMYFUNCTION("""COMPUTED_VALUE"""),"21035")</f>
        <v>21035</v>
      </c>
      <c r="B280" s="2">
        <f>IFERROR(__xludf.DUMMYFUNCTION("""COMPUTED_VALUE"""),21035.0)</f>
        <v>21035</v>
      </c>
      <c r="C280" s="3" t="str">
        <f>IFERROR(__xludf.DUMMYFUNCTION("""COMPUTED_VALUE"""),"MBC หลวงแพร่ง5")</f>
        <v>MBC หลวงแพร่ง5</v>
      </c>
      <c r="D280" s="3" t="str">
        <f>IFERROR(__xludf.DUMMYFUNCTION("""COMPUTED_VALUE"""),"BCM LUANGPANG 5")</f>
        <v>BCM LUANGPANG 5</v>
      </c>
      <c r="E280" s="1" t="str">
        <f>IFERROR(__xludf.DUMMYFUNCTION("""COMPUTED_VALUE"""),"บิ๊กซี MINI")</f>
        <v>บิ๊กซี MINI</v>
      </c>
      <c r="F280" s="1" t="str">
        <f>IFERROR(__xludf.DUMMYFUNCTION("""COMPUTED_VALUE"""),"291008")</f>
        <v>291008</v>
      </c>
      <c r="G280" s="1" t="str">
        <f>IFERROR(__xludf.DUMMYFUNCTION("""COMPUTED_VALUE"""),"น.ส.รัชดาพร อีศรัตน์")</f>
        <v>น.ส.รัชดาพร อีศรัตน์</v>
      </c>
      <c r="H280" s="1" t="str">
        <f>IFERROR(__xludf.DUMMYFUNCTION("""COMPUTED_VALUE"""),"288639")</f>
        <v>288639</v>
      </c>
      <c r="I280" s="1" t="str">
        <f>IFERROR(__xludf.DUMMYFUNCTION("""COMPUTED_VALUE"""),"น.ส.สมหญิง สีชมภู")</f>
        <v>น.ส.สมหญิง สีชมภู</v>
      </c>
      <c r="J280" s="3">
        <f>IFERROR(__xludf.DUMMYFUNCTION("""COMPUTED_VALUE"""),3510104.0)</f>
        <v>3510104</v>
      </c>
      <c r="K280" s="3" t="str">
        <f>IFERROR(__xludf.DUMMYFUNCTION("""COMPUTED_VALUE"""),"นายวิโรจน์ อับดุลสมัด")</f>
        <v>นายวิโรจน์ อับดุลสมัด</v>
      </c>
      <c r="L280" s="1" t="str">
        <f>IFERROR(__xludf.DUMMYFUNCTION("""COMPUTED_VALUE"""),"09 K.Wirode A")</f>
        <v>09 K.Wirode A</v>
      </c>
      <c r="M280" s="1" t="str">
        <f>IFERROR(__xludf.DUMMYFUNCTION("""COMPUTED_VALUE"""),"080-235-4465")</f>
        <v>080-235-4465</v>
      </c>
      <c r="N280" s="3">
        <f>IFERROR(__xludf.DUMMYFUNCTION("""COMPUTED_VALUE"""),21324.0)</f>
        <v>21324</v>
      </c>
      <c r="O280" s="3" t="str">
        <f>IFERROR(__xludf.DUMMYFUNCTION("""COMPUTED_VALUE"""),"MBC BCP สุวินทวงศ์")</f>
        <v>MBC BCP สุวินทวงศ์</v>
      </c>
      <c r="P280" s="4">
        <f>IFERROR(__xludf.DUMMYFUNCTION("""COMPUTED_VALUE"""),40803.0)</f>
        <v>40803</v>
      </c>
      <c r="Q280" s="3" t="str">
        <f>IFERROR(__xludf.DUMMYFUNCTION("""COMPUTED_VALUE"""),"A")</f>
        <v>A</v>
      </c>
      <c r="R280" s="3" t="str">
        <f>IFERROR(__xludf.DUMMYFUNCTION("""COMPUTED_VALUE"""),"Small Format")</f>
        <v>Small Format</v>
      </c>
      <c r="S280" s="3" t="str">
        <f>IFERROR(__xludf.DUMMYFUNCTION("""COMPUTED_VALUE"""),"BCM")</f>
        <v>BCM</v>
      </c>
      <c r="T280" s="3" t="str">
        <f>IFERROR(__xludf.DUMMYFUNCTION("""COMPUTED_VALUE"""),"#N/A")</f>
        <v>#N/A</v>
      </c>
      <c r="U280" s="3" t="str">
        <f>IFERROR(__xludf.DUMMYFUNCTION("""COMPUTED_VALUE"""),"#N/A")</f>
        <v>#N/A</v>
      </c>
      <c r="V280" s="3" t="str">
        <f>IFERROR(__xludf.DUMMYFUNCTION("""COMPUTED_VALUE"""),"N")</f>
        <v>N</v>
      </c>
      <c r="W280" s="3">
        <f>IFERROR(__xludf.DUMMYFUNCTION("""COMPUTED_VALUE"""),211033.0)</f>
        <v>211033</v>
      </c>
      <c r="X280" s="3" t="str">
        <f>IFERROR(__xludf.DUMMYFUNCTION("""COMPUTED_VALUE"""),"199/2 ถนนหลวงแพ่ง แขวงขุมทอง เขตลาดกระบัง กรุงเทพฯ 10520")</f>
        <v>199/2 ถนนหลวงแพ่ง แขวงขุมทอง เขตลาดกระบัง กรุงเทพฯ 10520</v>
      </c>
      <c r="Y280" s="3" t="str">
        <f>IFERROR(__xludf.DUMMYFUNCTION("""COMPUTED_VALUE"""),"ถนนหลวงแพ่ง")</f>
        <v>ถนนหลวงแพ่ง</v>
      </c>
      <c r="Z280" s="3" t="str">
        <f>IFERROR(__xludf.DUMMYFUNCTION("""COMPUTED_VALUE"""),"ขุมทอง")</f>
        <v>ขุมทอง</v>
      </c>
      <c r="AA280" s="3" t="str">
        <f>IFERROR(__xludf.DUMMYFUNCTION("""COMPUTED_VALUE"""),"ลาดกระบัง")</f>
        <v>ลาดกระบัง</v>
      </c>
      <c r="AB280" s="3" t="str">
        <f>IFERROR(__xludf.DUMMYFUNCTION("""COMPUTED_VALUE"""),"กรุงเทพมหานคร")</f>
        <v>กรุงเทพมหานคร</v>
      </c>
      <c r="AC280" s="3">
        <f>IFERROR(__xludf.DUMMYFUNCTION("""COMPUTED_VALUE"""),10520.0)</f>
        <v>10520</v>
      </c>
      <c r="AD280" s="3">
        <f>IFERROR(__xludf.DUMMYFUNCTION("""COMPUTED_VALUE"""),13.697882)</f>
        <v>13.697882</v>
      </c>
      <c r="AE280" s="3">
        <f>IFERROR(__xludf.DUMMYFUNCTION("""COMPUTED_VALUE"""),100.851624)</f>
        <v>100.851624</v>
      </c>
      <c r="AF280" s="3" t="str">
        <f>IFERROR(__xludf.DUMMYFUNCTION("""COMPUTED_VALUE"""),"MBC หลวงแพร่ง5-21035")</f>
        <v>MBC หลวงแพร่ง5-21035</v>
      </c>
      <c r="AG280" s="3" t="str">
        <f>IFERROR(__xludf.DUMMYFUNCTION("""COMPUTED_VALUE"""),"กลาง")</f>
        <v>กลาง</v>
      </c>
      <c r="AH280" s="3" t="str">
        <f>IFERROR(__xludf.DUMMYFUNCTION("""COMPUTED_VALUE"""),"#N/A")</f>
        <v>#N/A</v>
      </c>
      <c r="AI280" s="3" t="str">
        <f>IFERROR(__xludf.DUMMYFUNCTION("""COMPUTED_VALUE"""),"Out of warranty")</f>
        <v>Out of warranty</v>
      </c>
      <c r="AJ280" s="3">
        <f>IFERROR(__xludf.DUMMYFUNCTION("""COMPUTED_VALUE"""),173.0)</f>
        <v>173</v>
      </c>
      <c r="AK280" s="3" t="str">
        <f>IFERROR(__xludf.DUMMYFUNCTION("""COMPUTED_VALUE"""),"MMS03")</f>
        <v>MMS03</v>
      </c>
      <c r="AL280" s="3"/>
    </row>
    <row r="281" ht="15.75" customHeight="1">
      <c r="A281" s="1" t="str">
        <f>IFERROR(__xludf.DUMMYFUNCTION("""COMPUTED_VALUE"""),"21036")</f>
        <v>21036</v>
      </c>
      <c r="B281" s="2">
        <f>IFERROR(__xludf.DUMMYFUNCTION("""COMPUTED_VALUE"""),21036.0)</f>
        <v>21036</v>
      </c>
      <c r="C281" s="3" t="str">
        <f>IFERROR(__xludf.DUMMYFUNCTION("""COMPUTED_VALUE"""),"MBC เพชรเกษม81")</f>
        <v>MBC เพชรเกษม81</v>
      </c>
      <c r="D281" s="3" t="str">
        <f>IFERROR(__xludf.DUMMYFUNCTION("""COMPUTED_VALUE"""),"BCM PETCHKASEM 81")</f>
        <v>BCM PETCHKASEM 81</v>
      </c>
      <c r="E281" s="1" t="str">
        <f>IFERROR(__xludf.DUMMYFUNCTION("""COMPUTED_VALUE"""),"บิ๊กซี MINI")</f>
        <v>บิ๊กซี MINI</v>
      </c>
      <c r="F281" s="1" t="str">
        <f>IFERROR(__xludf.DUMMYFUNCTION("""COMPUTED_VALUE"""),"291008")</f>
        <v>291008</v>
      </c>
      <c r="G281" s="1" t="str">
        <f>IFERROR(__xludf.DUMMYFUNCTION("""COMPUTED_VALUE"""),"น.ส.รัชดาพร อีศรัตน์")</f>
        <v>น.ส.รัชดาพร อีศรัตน์</v>
      </c>
      <c r="H281" s="1" t="str">
        <f>IFERROR(__xludf.DUMMYFUNCTION("""COMPUTED_VALUE"""),"034068")</f>
        <v>034068</v>
      </c>
      <c r="I281" s="1" t="str">
        <f>IFERROR(__xludf.DUMMYFUNCTION("""COMPUTED_VALUE"""),"นายสมศักดิ์ ฐานทองดี")</f>
        <v>นายสมศักดิ์ ฐานทองดี</v>
      </c>
      <c r="J281" s="3">
        <f>IFERROR(__xludf.DUMMYFUNCTION("""COMPUTED_VALUE"""),3510104.0)</f>
        <v>3510104</v>
      </c>
      <c r="K281" s="3" t="str">
        <f>IFERROR(__xludf.DUMMYFUNCTION("""COMPUTED_VALUE"""),"นายวิโรจน์ อับดุลสมัด")</f>
        <v>นายวิโรจน์ อับดุลสมัด</v>
      </c>
      <c r="L281" s="1" t="str">
        <f>IFERROR(__xludf.DUMMYFUNCTION("""COMPUTED_VALUE"""),"09 K.Wirode A")</f>
        <v>09 K.Wirode A</v>
      </c>
      <c r="M281" s="1" t="str">
        <f>IFERROR(__xludf.DUMMYFUNCTION("""COMPUTED_VALUE"""),"080-235-4465")</f>
        <v>080-235-4465</v>
      </c>
      <c r="N281" s="3">
        <f>IFERROR(__xludf.DUMMYFUNCTION("""COMPUTED_VALUE"""),21324.0)</f>
        <v>21324</v>
      </c>
      <c r="O281" s="3" t="str">
        <f>IFERROR(__xludf.DUMMYFUNCTION("""COMPUTED_VALUE"""),"MBC BCP สุวินทวงศ์")</f>
        <v>MBC BCP สุวินทวงศ์</v>
      </c>
      <c r="P281" s="4">
        <f>IFERROR(__xludf.DUMMYFUNCTION("""COMPUTED_VALUE"""),40822.0)</f>
        <v>40822</v>
      </c>
      <c r="Q281" s="3" t="str">
        <f>IFERROR(__xludf.DUMMYFUNCTION("""COMPUTED_VALUE"""),"I")</f>
        <v>I</v>
      </c>
      <c r="R281" s="3" t="str">
        <f>IFERROR(__xludf.DUMMYFUNCTION("""COMPUTED_VALUE"""),"Small Format")</f>
        <v>Small Format</v>
      </c>
      <c r="S281" s="3" t="str">
        <f>IFERROR(__xludf.DUMMYFUNCTION("""COMPUTED_VALUE"""),"BCM")</f>
        <v>BCM</v>
      </c>
      <c r="T281" s="3" t="str">
        <f>IFERROR(__xludf.DUMMYFUNCTION("""COMPUTED_VALUE"""),"#N/A")</f>
        <v>#N/A</v>
      </c>
      <c r="U281" s="3" t="str">
        <f>IFERROR(__xludf.DUMMYFUNCTION("""COMPUTED_VALUE"""),"#N/A")</f>
        <v>#N/A</v>
      </c>
      <c r="V281" s="3" t="str">
        <f>IFERROR(__xludf.DUMMYFUNCTION("""COMPUTED_VALUE"""),"N")</f>
        <v>N</v>
      </c>
      <c r="W281" s="3">
        <f>IFERROR(__xludf.DUMMYFUNCTION("""COMPUTED_VALUE"""),211040.0)</f>
        <v>211040</v>
      </c>
      <c r="X281" s="3" t="str">
        <f>IFERROR(__xludf.DUMMYFUNCTION("""COMPUTED_VALUE"""),"150/1 ถนนมาเจริญ แขวงหนองแขม เขตหนองแขม กรุงเทพฯ 10160")</f>
        <v>150/1 ถนนมาเจริญ แขวงหนองแขม เขตหนองแขม กรุงเทพฯ 10160</v>
      </c>
      <c r="Y281" s="3" t="str">
        <f>IFERROR(__xludf.DUMMYFUNCTION("""COMPUTED_VALUE"""),"ถนนมาเจริญ")</f>
        <v>ถนนมาเจริญ</v>
      </c>
      <c r="Z281" s="3" t="str">
        <f>IFERROR(__xludf.DUMMYFUNCTION("""COMPUTED_VALUE"""),"หนองแขม")</f>
        <v>หนองแขม</v>
      </c>
      <c r="AA281" s="3" t="str">
        <f>IFERROR(__xludf.DUMMYFUNCTION("""COMPUTED_VALUE"""),"หนองแขม")</f>
        <v>หนองแขม</v>
      </c>
      <c r="AB281" s="3" t="str">
        <f>IFERROR(__xludf.DUMMYFUNCTION("""COMPUTED_VALUE"""),"กรุงเทพมหานคร")</f>
        <v>กรุงเทพมหานคร</v>
      </c>
      <c r="AC281" s="3">
        <f>IFERROR(__xludf.DUMMYFUNCTION("""COMPUTED_VALUE"""),10160.0)</f>
        <v>10160</v>
      </c>
      <c r="AD281" s="3">
        <f>IFERROR(__xludf.DUMMYFUNCTION("""COMPUTED_VALUE"""),13.67745)</f>
        <v>13.67745</v>
      </c>
      <c r="AE281" s="3">
        <f>IFERROR(__xludf.DUMMYFUNCTION("""COMPUTED_VALUE"""),100.345332)</f>
        <v>100.345332</v>
      </c>
      <c r="AF281" s="3" t="str">
        <f>IFERROR(__xludf.DUMMYFUNCTION("""COMPUTED_VALUE"""),"MBC เพชรเกษม81-21036")</f>
        <v>MBC เพชรเกษม81-21036</v>
      </c>
      <c r="AG281" s="3" t="str">
        <f>IFERROR(__xludf.DUMMYFUNCTION("""COMPUTED_VALUE"""),"กลาง")</f>
        <v>กลาง</v>
      </c>
      <c r="AH281" s="3" t="str">
        <f>IFERROR(__xludf.DUMMYFUNCTION("""COMPUTED_VALUE"""),"#N/A")</f>
        <v>#N/A</v>
      </c>
      <c r="AI281" s="3" t="str">
        <f>IFERROR(__xludf.DUMMYFUNCTION("""COMPUTED_VALUE"""),"Out of warranty")</f>
        <v>Out of warranty</v>
      </c>
      <c r="AJ281" s="3">
        <f>IFERROR(__xludf.DUMMYFUNCTION("""COMPUTED_VALUE"""),172.0)</f>
        <v>172</v>
      </c>
      <c r="AK281" s="3"/>
      <c r="AL281" s="3"/>
    </row>
    <row r="282" ht="15.75" customHeight="1">
      <c r="A282" s="1" t="str">
        <f>IFERROR(__xludf.DUMMYFUNCTION("""COMPUTED_VALUE"""),"21037")</f>
        <v>21037</v>
      </c>
      <c r="B282" s="2">
        <f>IFERROR(__xludf.DUMMYFUNCTION("""COMPUTED_VALUE"""),21037.0)</f>
        <v>21037</v>
      </c>
      <c r="C282" s="3" t="str">
        <f>IFERROR(__xludf.DUMMYFUNCTION("""COMPUTED_VALUE"""),"MBC หลวงแพ่ง1")</f>
        <v>MBC หลวงแพ่ง1</v>
      </c>
      <c r="D282" s="3" t="str">
        <f>IFERROR(__xludf.DUMMYFUNCTION("""COMPUTED_VALUE"""),"BCM LUANGPANG 1")</f>
        <v>BCM LUANGPANG 1</v>
      </c>
      <c r="E282" s="1" t="str">
        <f>IFERROR(__xludf.DUMMYFUNCTION("""COMPUTED_VALUE"""),"บิ๊กซี MINI")</f>
        <v>บิ๊กซี MINI</v>
      </c>
      <c r="F282" s="1" t="str">
        <f>IFERROR(__xludf.DUMMYFUNCTION("""COMPUTED_VALUE"""),"291008")</f>
        <v>291008</v>
      </c>
      <c r="G282" s="1" t="str">
        <f>IFERROR(__xludf.DUMMYFUNCTION("""COMPUTED_VALUE"""),"น.ส.รัชดาพร อีศรัตน์")</f>
        <v>น.ส.รัชดาพร อีศรัตน์</v>
      </c>
      <c r="H282" s="1" t="str">
        <f>IFERROR(__xludf.DUMMYFUNCTION("""COMPUTED_VALUE"""),"288639")</f>
        <v>288639</v>
      </c>
      <c r="I282" s="1" t="str">
        <f>IFERROR(__xludf.DUMMYFUNCTION("""COMPUTED_VALUE"""),"น.ส.สมหญิง สีชมภู")</f>
        <v>น.ส.สมหญิง สีชมภู</v>
      </c>
      <c r="J282" s="3">
        <f>IFERROR(__xludf.DUMMYFUNCTION("""COMPUTED_VALUE"""),3510104.0)</f>
        <v>3510104</v>
      </c>
      <c r="K282" s="3" t="str">
        <f>IFERROR(__xludf.DUMMYFUNCTION("""COMPUTED_VALUE"""),"นายวิโรจน์ อับดุลสมัด")</f>
        <v>นายวิโรจน์ อับดุลสมัด</v>
      </c>
      <c r="L282" s="1" t="str">
        <f>IFERROR(__xludf.DUMMYFUNCTION("""COMPUTED_VALUE"""),"09 K.Wirode A")</f>
        <v>09 K.Wirode A</v>
      </c>
      <c r="M282" s="1" t="str">
        <f>IFERROR(__xludf.DUMMYFUNCTION("""COMPUTED_VALUE"""),"080-235-4465")</f>
        <v>080-235-4465</v>
      </c>
      <c r="N282" s="3">
        <f>IFERROR(__xludf.DUMMYFUNCTION("""COMPUTED_VALUE"""),21324.0)</f>
        <v>21324</v>
      </c>
      <c r="O282" s="3" t="str">
        <f>IFERROR(__xludf.DUMMYFUNCTION("""COMPUTED_VALUE"""),"MBC BCP สุวินทวงศ์")</f>
        <v>MBC BCP สุวินทวงศ์</v>
      </c>
      <c r="P282" s="4">
        <f>IFERROR(__xludf.DUMMYFUNCTION("""COMPUTED_VALUE"""),40811.0)</f>
        <v>40811</v>
      </c>
      <c r="Q282" s="3" t="str">
        <f>IFERROR(__xludf.DUMMYFUNCTION("""COMPUTED_VALUE"""),"A")</f>
        <v>A</v>
      </c>
      <c r="R282" s="3" t="str">
        <f>IFERROR(__xludf.DUMMYFUNCTION("""COMPUTED_VALUE"""),"Small Format")</f>
        <v>Small Format</v>
      </c>
      <c r="S282" s="3" t="str">
        <f>IFERROR(__xludf.DUMMYFUNCTION("""COMPUTED_VALUE"""),"BCM")</f>
        <v>BCM</v>
      </c>
      <c r="T282" s="3" t="str">
        <f>IFERROR(__xludf.DUMMYFUNCTION("""COMPUTED_VALUE"""),"#N/A")</f>
        <v>#N/A</v>
      </c>
      <c r="U282" s="3" t="str">
        <f>IFERROR(__xludf.DUMMYFUNCTION("""COMPUTED_VALUE"""),"#N/A")</f>
        <v>#N/A</v>
      </c>
      <c r="V282" s="3" t="str">
        <f>IFERROR(__xludf.DUMMYFUNCTION("""COMPUTED_VALUE"""),"N")</f>
        <v>N</v>
      </c>
      <c r="W282" s="3">
        <f>IFERROR(__xludf.DUMMYFUNCTION("""COMPUTED_VALUE"""),211034.0)</f>
        <v>211034</v>
      </c>
      <c r="X282" s="3" t="str">
        <f>IFERROR(__xludf.DUMMYFUNCTION("""COMPUTED_VALUE"""),"545/12-16 ถนนหลวงแพ่ง แขวงทับยาว เขตลาดกระบัง กรุงเทพฯ 10520")</f>
        <v>545/12-16 ถนนหลวงแพ่ง แขวงทับยาว เขตลาดกระบัง กรุงเทพฯ 10520</v>
      </c>
      <c r="Y282" s="3" t="str">
        <f>IFERROR(__xludf.DUMMYFUNCTION("""COMPUTED_VALUE"""),"ถนนหลวงแพ่ง")</f>
        <v>ถนนหลวงแพ่ง</v>
      </c>
      <c r="Z282" s="3" t="str">
        <f>IFERROR(__xludf.DUMMYFUNCTION("""COMPUTED_VALUE"""),"ทับยาว")</f>
        <v>ทับยาว</v>
      </c>
      <c r="AA282" s="3" t="str">
        <f>IFERROR(__xludf.DUMMYFUNCTION("""COMPUTED_VALUE"""),"ลาดกระบัง")</f>
        <v>ลาดกระบัง</v>
      </c>
      <c r="AB282" s="3" t="str">
        <f>IFERROR(__xludf.DUMMYFUNCTION("""COMPUTED_VALUE"""),"กรุงเทพมหานคร")</f>
        <v>กรุงเทพมหานคร</v>
      </c>
      <c r="AC282" s="3">
        <f>IFERROR(__xludf.DUMMYFUNCTION("""COMPUTED_VALUE"""),10520.0)</f>
        <v>10520</v>
      </c>
      <c r="AD282" s="3">
        <f>IFERROR(__xludf.DUMMYFUNCTION("""COMPUTED_VALUE"""),13.720297)</f>
        <v>13.720297</v>
      </c>
      <c r="AE282" s="3">
        <f>IFERROR(__xludf.DUMMYFUNCTION("""COMPUTED_VALUE"""),100.795553)</f>
        <v>100.795553</v>
      </c>
      <c r="AF282" s="3" t="str">
        <f>IFERROR(__xludf.DUMMYFUNCTION("""COMPUTED_VALUE"""),"MBC หลวงแพ่ง1-21037")</f>
        <v>MBC หลวงแพ่ง1-21037</v>
      </c>
      <c r="AG282" s="3" t="str">
        <f>IFERROR(__xludf.DUMMYFUNCTION("""COMPUTED_VALUE"""),"กลาง")</f>
        <v>กลาง</v>
      </c>
      <c r="AH282" s="3" t="str">
        <f>IFERROR(__xludf.DUMMYFUNCTION("""COMPUTED_VALUE"""),"#N/A")</f>
        <v>#N/A</v>
      </c>
      <c r="AI282" s="3" t="str">
        <f>IFERROR(__xludf.DUMMYFUNCTION("""COMPUTED_VALUE"""),"Out of warranty")</f>
        <v>Out of warranty</v>
      </c>
      <c r="AJ282" s="3">
        <f>IFERROR(__xludf.DUMMYFUNCTION("""COMPUTED_VALUE"""),172.0)</f>
        <v>172</v>
      </c>
      <c r="AK282" s="3" t="str">
        <f>IFERROR(__xludf.DUMMYFUNCTION("""COMPUTED_VALUE"""),"MMS03")</f>
        <v>MMS03</v>
      </c>
      <c r="AL282" s="3"/>
    </row>
    <row r="283" ht="15.75" customHeight="1">
      <c r="A283" s="1" t="str">
        <f>IFERROR(__xludf.DUMMYFUNCTION("""COMPUTED_VALUE"""),"21039")</f>
        <v>21039</v>
      </c>
      <c r="B283" s="2">
        <f>IFERROR(__xludf.DUMMYFUNCTION("""COMPUTED_VALUE"""),21039.0)</f>
        <v>21039</v>
      </c>
      <c r="C283" s="3" t="str">
        <f>IFERROR(__xludf.DUMMYFUNCTION("""COMPUTED_VALUE"""),"MBC เพชรอารี")</f>
        <v>MBC เพชรอารี</v>
      </c>
      <c r="D283" s="3" t="str">
        <f>IFERROR(__xludf.DUMMYFUNCTION("""COMPUTED_VALUE"""),"BCM PETCHARI")</f>
        <v>BCM PETCHARI</v>
      </c>
      <c r="E283" s="1" t="str">
        <f>IFERROR(__xludf.DUMMYFUNCTION("""COMPUTED_VALUE"""),"บิ๊กซี MINI")</f>
        <v>บิ๊กซี MINI</v>
      </c>
      <c r="F283" s="1" t="str">
        <f>IFERROR(__xludf.DUMMYFUNCTION("""COMPUTED_VALUE"""),"2083447")</f>
        <v>2083447</v>
      </c>
      <c r="G283" s="1" t="str">
        <f>IFERROR(__xludf.DUMMYFUNCTION("""COMPUTED_VALUE"""),"นายอนุกูล ศรีลัดดา")</f>
        <v>นายอนุกูล ศรีลัดดา</v>
      </c>
      <c r="H283" s="1" t="str">
        <f>IFERROR(__xludf.DUMMYFUNCTION("""COMPUTED_VALUE"""),"399107")</f>
        <v>399107</v>
      </c>
      <c r="I283" s="1" t="str">
        <f>IFERROR(__xludf.DUMMYFUNCTION("""COMPUTED_VALUE"""),"นายรัชระวี กลมแป้น")</f>
        <v>นายรัชระวี กลมแป้น</v>
      </c>
      <c r="J283" s="3">
        <f>IFERROR(__xludf.DUMMYFUNCTION("""COMPUTED_VALUE"""),510143.0)</f>
        <v>510143</v>
      </c>
      <c r="K283" s="3" t="str">
        <f>IFERROR(__xludf.DUMMYFUNCTION("""COMPUTED_VALUE"""),"นายธีระวัฒน์ บุญสิทธิ์")</f>
        <v>นายธีระวัฒน์ บุญสิทธิ์</v>
      </c>
      <c r="L283" s="1" t="str">
        <f>IFERROR(__xludf.DUMMYFUNCTION("""COMPUTED_VALUE"""),"12 K.Theerawat B.")</f>
        <v>12 K.Theerawat B.</v>
      </c>
      <c r="M283" s="1" t="str">
        <f>IFERROR(__xludf.DUMMYFUNCTION("""COMPUTED_VALUE"""),"0655107379")</f>
        <v>0655107379</v>
      </c>
      <c r="N283" s="3">
        <f>IFERROR(__xludf.DUMMYFUNCTION("""COMPUTED_VALUE"""),21062.0)</f>
        <v>21062</v>
      </c>
      <c r="O283" s="3" t="str">
        <f>IFERROR(__xludf.DUMMYFUNCTION("""COMPUTED_VALUE"""),"MBC นิคมนวนคร")</f>
        <v>MBC นิคมนวนคร</v>
      </c>
      <c r="P283" s="4">
        <f>IFERROR(__xludf.DUMMYFUNCTION("""COMPUTED_VALUE"""),40815.0)</f>
        <v>40815</v>
      </c>
      <c r="Q283" s="3" t="str">
        <f>IFERROR(__xludf.DUMMYFUNCTION("""COMPUTED_VALUE"""),"A")</f>
        <v>A</v>
      </c>
      <c r="R283" s="3" t="str">
        <f>IFERROR(__xludf.DUMMYFUNCTION("""COMPUTED_VALUE"""),"Small Format")</f>
        <v>Small Format</v>
      </c>
      <c r="S283" s="3" t="str">
        <f>IFERROR(__xludf.DUMMYFUNCTION("""COMPUTED_VALUE"""),"BCM")</f>
        <v>BCM</v>
      </c>
      <c r="T283" s="3" t="str">
        <f>IFERROR(__xludf.DUMMYFUNCTION("""COMPUTED_VALUE"""),"#N/A")</f>
        <v>#N/A</v>
      </c>
      <c r="U283" s="3" t="str">
        <f>IFERROR(__xludf.DUMMYFUNCTION("""COMPUTED_VALUE"""),"#N/A")</f>
        <v>#N/A</v>
      </c>
      <c r="V283" s="3" t="str">
        <f>IFERROR(__xludf.DUMMYFUNCTION("""COMPUTED_VALUE"""),"N")</f>
        <v>N</v>
      </c>
      <c r="W283" s="3">
        <f>IFERROR(__xludf.DUMMYFUNCTION("""COMPUTED_VALUE"""),211037.0)</f>
        <v>211037</v>
      </c>
      <c r="X283" s="3" t="str">
        <f>IFERROR(__xludf.DUMMYFUNCTION("""COMPUTED_VALUE"""),"890 หมู่ 2 ตำบลแพรกษาใหม่ อำเภอเมืองสมุทรปราการ จังหวัดสมุทรปราการ 10280")</f>
        <v>890 หมู่ 2 ตำบลแพรกษาใหม่ อำเภอเมืองสมุทรปราการ จังหวัดสมุทรปราการ 10280</v>
      </c>
      <c r="Y283" s="3"/>
      <c r="Z283" s="3" t="str">
        <f>IFERROR(__xludf.DUMMYFUNCTION("""COMPUTED_VALUE"""),"แพรกษาใหม่")</f>
        <v>แพรกษาใหม่</v>
      </c>
      <c r="AA283" s="3" t="str">
        <f>IFERROR(__xludf.DUMMYFUNCTION("""COMPUTED_VALUE"""),"เมืองสมุทรปราการ")</f>
        <v>เมืองสมุทรปราการ</v>
      </c>
      <c r="AB283" s="3" t="str">
        <f>IFERROR(__xludf.DUMMYFUNCTION("""COMPUTED_VALUE"""),"สมุทรปราการ")</f>
        <v>สมุทรปราการ</v>
      </c>
      <c r="AC283" s="3">
        <f>IFERROR(__xludf.DUMMYFUNCTION("""COMPUTED_VALUE"""),10280.0)</f>
        <v>10280</v>
      </c>
      <c r="AD283" s="3">
        <f>IFERROR(__xludf.DUMMYFUNCTION("""COMPUTED_VALUE"""),13.562603)</f>
        <v>13.562603</v>
      </c>
      <c r="AE283" s="3">
        <f>IFERROR(__xludf.DUMMYFUNCTION("""COMPUTED_VALUE"""),100.689461)</f>
        <v>100.689461</v>
      </c>
      <c r="AF283" s="3" t="str">
        <f>IFERROR(__xludf.DUMMYFUNCTION("""COMPUTED_VALUE"""),"MBC เพชรอารี-21039")</f>
        <v>MBC เพชรอารี-21039</v>
      </c>
      <c r="AG283" s="3" t="str">
        <f>IFERROR(__xludf.DUMMYFUNCTION("""COMPUTED_VALUE"""),"กลาง")</f>
        <v>กลาง</v>
      </c>
      <c r="AH283" s="3" t="str">
        <f>IFERROR(__xludf.DUMMYFUNCTION("""COMPUTED_VALUE"""),"#N/A")</f>
        <v>#N/A</v>
      </c>
      <c r="AI283" s="3" t="str">
        <f>IFERROR(__xludf.DUMMYFUNCTION("""COMPUTED_VALUE"""),"Out of warranty")</f>
        <v>Out of warranty</v>
      </c>
      <c r="AJ283" s="3">
        <f>IFERROR(__xludf.DUMMYFUNCTION("""COMPUTED_VALUE"""),172.0)</f>
        <v>172</v>
      </c>
      <c r="AK283" s="3" t="str">
        <f>IFERROR(__xludf.DUMMYFUNCTION("""COMPUTED_VALUE"""),"MMS03")</f>
        <v>MMS03</v>
      </c>
      <c r="AL283" s="3"/>
    </row>
    <row r="284" ht="15.75" customHeight="1">
      <c r="A284" s="1" t="str">
        <f>IFERROR(__xludf.DUMMYFUNCTION("""COMPUTED_VALUE"""),"21040")</f>
        <v>21040</v>
      </c>
      <c r="B284" s="2">
        <f>IFERROR(__xludf.DUMMYFUNCTION("""COMPUTED_VALUE"""),21040.0)</f>
        <v>21040</v>
      </c>
      <c r="C284" s="3" t="str">
        <f>IFERROR(__xludf.DUMMYFUNCTION("""COMPUTED_VALUE"""),"MBC ตลาดบางขันธ์")</f>
        <v>MBC ตลาดบางขันธ์</v>
      </c>
      <c r="D284" s="3" t="str">
        <f>IFERROR(__xludf.DUMMYFUNCTION("""COMPUTED_VALUE"""),"BCM TARAD BANGKHAN")</f>
        <v>BCM TARAD BANGKHAN</v>
      </c>
      <c r="E284" s="1" t="str">
        <f>IFERROR(__xludf.DUMMYFUNCTION("""COMPUTED_VALUE"""),"บิ๊กซี MINI")</f>
        <v>บิ๊กซี MINI</v>
      </c>
      <c r="F284" s="1" t="str">
        <f>IFERROR(__xludf.DUMMYFUNCTION("""COMPUTED_VALUE"""),"2083447")</f>
        <v>2083447</v>
      </c>
      <c r="G284" s="1" t="str">
        <f>IFERROR(__xludf.DUMMYFUNCTION("""COMPUTED_VALUE"""),"นายอนุกูล ศรีลัดดา")</f>
        <v>นายอนุกูล ศรีลัดดา</v>
      </c>
      <c r="H284" s="1" t="str">
        <f>IFERROR(__xludf.DUMMYFUNCTION("""COMPUTED_VALUE"""),"373849")</f>
        <v>373849</v>
      </c>
      <c r="I284" s="1" t="str">
        <f>IFERROR(__xludf.DUMMYFUNCTION("""COMPUTED_VALUE"""),"น.ส.อรอุมา นิ่มวิศิษย์")</f>
        <v>น.ส.อรอุมา นิ่มวิศิษย์</v>
      </c>
      <c r="J284" s="3">
        <f>IFERROR(__xludf.DUMMYFUNCTION("""COMPUTED_VALUE"""),2451655.0)</f>
        <v>2451655</v>
      </c>
      <c r="K284" s="3" t="str">
        <f>IFERROR(__xludf.DUMMYFUNCTION("""COMPUTED_VALUE"""),"นายวิษณุพงษ์ ชินบุตร")</f>
        <v>นายวิษณุพงษ์ ชินบุตร</v>
      </c>
      <c r="L284" s="1" t="str">
        <f>IFERROR(__xludf.DUMMYFUNCTION("""COMPUTED_VALUE"""),"13 K.Wisanupong Ch")</f>
        <v>13 K.Wisanupong Ch</v>
      </c>
      <c r="M284" s="1" t="str">
        <f>IFERROR(__xludf.DUMMYFUNCTION("""COMPUTED_VALUE"""),"0843374693")</f>
        <v>0843374693</v>
      </c>
      <c r="N284" s="3">
        <f>IFERROR(__xludf.DUMMYFUNCTION("""COMPUTED_VALUE"""),21494.0)</f>
        <v>21494</v>
      </c>
      <c r="O284" s="3" t="str">
        <f>IFERROR(__xludf.DUMMYFUNCTION("""COMPUTED_VALUE"""),"MBC บ้านกรด")</f>
        <v>MBC บ้านกรด</v>
      </c>
      <c r="P284" s="4">
        <f>IFERROR(__xludf.DUMMYFUNCTION("""COMPUTED_VALUE"""),40815.0)</f>
        <v>40815</v>
      </c>
      <c r="Q284" s="3" t="str">
        <f>IFERROR(__xludf.DUMMYFUNCTION("""COMPUTED_VALUE"""),"I")</f>
        <v>I</v>
      </c>
      <c r="R284" s="3" t="str">
        <f>IFERROR(__xludf.DUMMYFUNCTION("""COMPUTED_VALUE"""),"Small Format")</f>
        <v>Small Format</v>
      </c>
      <c r="S284" s="3" t="str">
        <f>IFERROR(__xludf.DUMMYFUNCTION("""COMPUTED_VALUE"""),"BCM")</f>
        <v>BCM</v>
      </c>
      <c r="T284" s="3" t="str">
        <f>IFERROR(__xludf.DUMMYFUNCTION("""COMPUTED_VALUE"""),"#N/A")</f>
        <v>#N/A</v>
      </c>
      <c r="U284" s="3" t="str">
        <f>IFERROR(__xludf.DUMMYFUNCTION("""COMPUTED_VALUE"""),"#N/A")</f>
        <v>#N/A</v>
      </c>
      <c r="V284" s="3" t="str">
        <f>IFERROR(__xludf.DUMMYFUNCTION("""COMPUTED_VALUE"""),"N")</f>
        <v>N</v>
      </c>
      <c r="W284" s="3">
        <f>IFERROR(__xludf.DUMMYFUNCTION("""COMPUTED_VALUE"""),211036.0)</f>
        <v>211036</v>
      </c>
      <c r="X284" s="3" t="str">
        <f>IFERROR(__xludf.DUMMYFUNCTION("""COMPUTED_VALUE"""),"91/48-50 หมู่ 8 ตำบลคลองหนึ่ง อำเภอคลองหลวง จังหวัดปทุมธานี 12120")</f>
        <v>91/48-50 หมู่ 8 ตำบลคลองหนึ่ง อำเภอคลองหลวง จังหวัดปทุมธานี 12120</v>
      </c>
      <c r="Y284" s="3"/>
      <c r="Z284" s="3" t="str">
        <f>IFERROR(__xludf.DUMMYFUNCTION("""COMPUTED_VALUE"""),"คลองหนึ่ง")</f>
        <v>คลองหนึ่ง</v>
      </c>
      <c r="AA284" s="3" t="str">
        <f>IFERROR(__xludf.DUMMYFUNCTION("""COMPUTED_VALUE"""),"คลองหลวง")</f>
        <v>คลองหลวง</v>
      </c>
      <c r="AB284" s="3" t="str">
        <f>IFERROR(__xludf.DUMMYFUNCTION("""COMPUTED_VALUE"""),"ปทุมธานี")</f>
        <v>ปทุมธานี</v>
      </c>
      <c r="AC284" s="3">
        <f>IFERROR(__xludf.DUMMYFUNCTION("""COMPUTED_VALUE"""),12120.0)</f>
        <v>12120</v>
      </c>
      <c r="AD284" s="3">
        <f>IFERROR(__xludf.DUMMYFUNCTION("""COMPUTED_VALUE"""),14.066622)</f>
        <v>14.066622</v>
      </c>
      <c r="AE284" s="3">
        <f>IFERROR(__xludf.DUMMYFUNCTION("""COMPUTED_VALUE"""),100.617824)</f>
        <v>100.617824</v>
      </c>
      <c r="AF284" s="3" t="str">
        <f>IFERROR(__xludf.DUMMYFUNCTION("""COMPUTED_VALUE"""),"MBC ตลาดบางขันธ์-21040")</f>
        <v>MBC ตลาดบางขันธ์-21040</v>
      </c>
      <c r="AG284" s="3" t="str">
        <f>IFERROR(__xludf.DUMMYFUNCTION("""COMPUTED_VALUE"""),"กลาง")</f>
        <v>กลาง</v>
      </c>
      <c r="AH284" s="3" t="str">
        <f>IFERROR(__xludf.DUMMYFUNCTION("""COMPUTED_VALUE"""),"#N/A")</f>
        <v>#N/A</v>
      </c>
      <c r="AI284" s="3" t="str">
        <f>IFERROR(__xludf.DUMMYFUNCTION("""COMPUTED_VALUE"""),"Out of warranty")</f>
        <v>Out of warranty</v>
      </c>
      <c r="AJ284" s="3">
        <f>IFERROR(__xludf.DUMMYFUNCTION("""COMPUTED_VALUE"""),172.0)</f>
        <v>172</v>
      </c>
      <c r="AK284" s="3" t="str">
        <f>IFERROR(__xludf.DUMMYFUNCTION("""COMPUTED_VALUE"""),"MMS04")</f>
        <v>MMS04</v>
      </c>
      <c r="AL284" s="3"/>
    </row>
    <row r="285" ht="15.75" customHeight="1">
      <c r="A285" s="1" t="str">
        <f>IFERROR(__xludf.DUMMYFUNCTION("""COMPUTED_VALUE"""),"21041")</f>
        <v>21041</v>
      </c>
      <c r="B285" s="2">
        <f>IFERROR(__xludf.DUMMYFUNCTION("""COMPUTED_VALUE"""),21041.0)</f>
        <v>21041</v>
      </c>
      <c r="C285" s="3" t="str">
        <f>IFERROR(__xludf.DUMMYFUNCTION("""COMPUTED_VALUE"""),"ซอยคุณพระ")</f>
        <v>ซอยคุณพระ</v>
      </c>
      <c r="D285" s="3" t="str">
        <f>IFERROR(__xludf.DUMMYFUNCTION("""COMPUTED_VALUE"""),"MBC SOI KHUNPRA")</f>
        <v>MBC SOI KHUNPRA</v>
      </c>
      <c r="E285" s="1" t="str">
        <f>IFERROR(__xludf.DUMMYFUNCTION("""COMPUTED_VALUE"""),"บิ๊กซี MINI")</f>
        <v>บิ๊กซี MINI</v>
      </c>
      <c r="F285" s="1" t="str">
        <f>IFERROR(__xludf.DUMMYFUNCTION("""COMPUTED_VALUE"""),"291008")</f>
        <v>291008</v>
      </c>
      <c r="G285" s="1" t="str">
        <f>IFERROR(__xludf.DUMMYFUNCTION("""COMPUTED_VALUE"""),"น.ส.รัชดาพร อีศรัตน์")</f>
        <v>น.ส.รัชดาพร อีศรัตน์</v>
      </c>
      <c r="H285" s="1" t="str">
        <f>IFERROR(__xludf.DUMMYFUNCTION("""COMPUTED_VALUE"""),"288639")</f>
        <v>288639</v>
      </c>
      <c r="I285" s="1" t="str">
        <f>IFERROR(__xludf.DUMMYFUNCTION("""COMPUTED_VALUE"""),"น.ส.สมหญิง สีชมภู")</f>
        <v>น.ส.สมหญิง สีชมภู</v>
      </c>
      <c r="J285" s="3">
        <f>IFERROR(__xludf.DUMMYFUNCTION("""COMPUTED_VALUE"""),3510104.0)</f>
        <v>3510104</v>
      </c>
      <c r="K285" s="3" t="str">
        <f>IFERROR(__xludf.DUMMYFUNCTION("""COMPUTED_VALUE"""),"นายวิโรจน์ อับดุลสมัด")</f>
        <v>นายวิโรจน์ อับดุลสมัด</v>
      </c>
      <c r="L285" s="1" t="str">
        <f>IFERROR(__xludf.DUMMYFUNCTION("""COMPUTED_VALUE"""),"09 K.Wirode A")</f>
        <v>09 K.Wirode A</v>
      </c>
      <c r="M285" s="1" t="str">
        <f>IFERROR(__xludf.DUMMYFUNCTION("""COMPUTED_VALUE"""),"080-235-4465")</f>
        <v>080-235-4465</v>
      </c>
      <c r="N285" s="3">
        <f>IFERROR(__xludf.DUMMYFUNCTION("""COMPUTED_VALUE"""),21324.0)</f>
        <v>21324</v>
      </c>
      <c r="O285" s="3" t="str">
        <f>IFERROR(__xludf.DUMMYFUNCTION("""COMPUTED_VALUE"""),"MBC BCP สุวินทวงศ์")</f>
        <v>MBC BCP สุวินทวงศ์</v>
      </c>
      <c r="P285" s="4">
        <f>IFERROR(__xludf.DUMMYFUNCTION("""COMPUTED_VALUE"""),40816.0)</f>
        <v>40816</v>
      </c>
      <c r="Q285" s="3" t="str">
        <f>IFERROR(__xludf.DUMMYFUNCTION("""COMPUTED_VALUE"""),"I")</f>
        <v>I</v>
      </c>
      <c r="R285" s="3" t="str">
        <f>IFERROR(__xludf.DUMMYFUNCTION("""COMPUTED_VALUE"""),"Small Format")</f>
        <v>Small Format</v>
      </c>
      <c r="S285" s="3" t="str">
        <f>IFERROR(__xludf.DUMMYFUNCTION("""COMPUTED_VALUE"""),"BCM")</f>
        <v>BCM</v>
      </c>
      <c r="T285" s="3" t="str">
        <f>IFERROR(__xludf.DUMMYFUNCTION("""COMPUTED_VALUE"""),"#N/A")</f>
        <v>#N/A</v>
      </c>
      <c r="U285" s="3" t="str">
        <f>IFERROR(__xludf.DUMMYFUNCTION("""COMPUTED_VALUE"""),"#N/A")</f>
        <v>#N/A</v>
      </c>
      <c r="V285" s="3" t="str">
        <f>IFERROR(__xludf.DUMMYFUNCTION("""COMPUTED_VALUE"""),"N")</f>
        <v>N</v>
      </c>
      <c r="W285" s="3">
        <f>IFERROR(__xludf.DUMMYFUNCTION("""COMPUTED_VALUE"""),0.0)</f>
        <v>0</v>
      </c>
      <c r="X285" s="3" t="str">
        <f>IFERROR(__xludf.DUMMYFUNCTION("""COMPUTED_VALUE"""),"29/138 หมู่ 6 แขวงคลองหนึ่ง เขตคลองหลวง จังหวัดปทุมธานี 12120")</f>
        <v>29/138 หมู่ 6 แขวงคลองหนึ่ง เขตคลองหลวง จังหวัดปทุมธานี 12120</v>
      </c>
      <c r="Y285" s="3"/>
      <c r="Z285" s="3" t="str">
        <f>IFERROR(__xludf.DUMMYFUNCTION("""COMPUTED_VALUE"""),"คลองหนึ่ง")</f>
        <v>คลองหนึ่ง</v>
      </c>
      <c r="AA285" s="3" t="str">
        <f>IFERROR(__xludf.DUMMYFUNCTION("""COMPUTED_VALUE"""),"คลองหลวง")</f>
        <v>คลองหลวง</v>
      </c>
      <c r="AB285" s="3" t="str">
        <f>IFERROR(__xludf.DUMMYFUNCTION("""COMPUTED_VALUE"""),"ปทุมธานี")</f>
        <v>ปทุมธานี</v>
      </c>
      <c r="AC285" s="3">
        <f>IFERROR(__xludf.DUMMYFUNCTION("""COMPUTED_VALUE"""),12120.0)</f>
        <v>12120</v>
      </c>
      <c r="AD285" s="3" t="str">
        <f>IFERROR(__xludf.DUMMYFUNCTION("""COMPUTED_VALUE"""),"#N/A")</f>
        <v>#N/A</v>
      </c>
      <c r="AE285" s="3" t="str">
        <f>IFERROR(__xludf.DUMMYFUNCTION("""COMPUTED_VALUE"""),"#N/A")</f>
        <v>#N/A</v>
      </c>
      <c r="AF285" s="3" t="str">
        <f>IFERROR(__xludf.DUMMYFUNCTION("""COMPUTED_VALUE"""),"ซอยคุณพระ-21041")</f>
        <v>ซอยคุณพระ-21041</v>
      </c>
      <c r="AG285" s="3" t="str">
        <f>IFERROR(__xludf.DUMMYFUNCTION("""COMPUTED_VALUE"""),"กลาง")</f>
        <v>กลาง</v>
      </c>
      <c r="AH285" s="3" t="str">
        <f>IFERROR(__xludf.DUMMYFUNCTION("""COMPUTED_VALUE"""),"#N/A")</f>
        <v>#N/A</v>
      </c>
      <c r="AI285" s="3" t="str">
        <f>IFERROR(__xludf.DUMMYFUNCTION("""COMPUTED_VALUE"""),"Out of warranty")</f>
        <v>Out of warranty</v>
      </c>
      <c r="AJ285" s="3">
        <f>IFERROR(__xludf.DUMMYFUNCTION("""COMPUTED_VALUE"""),172.0)</f>
        <v>172</v>
      </c>
      <c r="AK285" s="3"/>
      <c r="AL285" s="3"/>
    </row>
    <row r="286" ht="15.75" customHeight="1">
      <c r="A286" s="1" t="str">
        <f>IFERROR(__xludf.DUMMYFUNCTION("""COMPUTED_VALUE"""),"21042")</f>
        <v>21042</v>
      </c>
      <c r="B286" s="2">
        <f>IFERROR(__xludf.DUMMYFUNCTION("""COMPUTED_VALUE"""),21042.0)</f>
        <v>21042</v>
      </c>
      <c r="C286" s="3" t="str">
        <f>IFERROR(__xludf.DUMMYFUNCTION("""COMPUTED_VALUE"""),"ซอยพูลเจริญ")</f>
        <v>ซอยพูลเจริญ</v>
      </c>
      <c r="D286" s="3" t="str">
        <f>IFERROR(__xludf.DUMMYFUNCTION("""COMPUTED_VALUE"""),"MBC SOI POONJAROEN")</f>
        <v>MBC SOI POONJAROEN</v>
      </c>
      <c r="E286" s="1" t="str">
        <f>IFERROR(__xludf.DUMMYFUNCTION("""COMPUTED_VALUE"""),"บิ๊กซี MINI")</f>
        <v>บิ๊กซี MINI</v>
      </c>
      <c r="F286" s="1" t="str">
        <f>IFERROR(__xludf.DUMMYFUNCTION("""COMPUTED_VALUE"""),"291008")</f>
        <v>291008</v>
      </c>
      <c r="G286" s="1" t="str">
        <f>IFERROR(__xludf.DUMMYFUNCTION("""COMPUTED_VALUE"""),"น.ส.รัชดาพร อีศรัตน์")</f>
        <v>น.ส.รัชดาพร อีศรัตน์</v>
      </c>
      <c r="H286" s="1" t="str">
        <f>IFERROR(__xludf.DUMMYFUNCTION("""COMPUTED_VALUE"""),"291105")</f>
        <v>291105</v>
      </c>
      <c r="I286" s="1" t="str">
        <f>IFERROR(__xludf.DUMMYFUNCTION("""COMPUTED_VALUE"""),"นายสราวุฒิ พณิชยกุล")</f>
        <v>นายสราวุฒิ พณิชยกุล</v>
      </c>
      <c r="J286" s="3">
        <f>IFERROR(__xludf.DUMMYFUNCTION("""COMPUTED_VALUE"""),3510104.0)</f>
        <v>3510104</v>
      </c>
      <c r="K286" s="3" t="str">
        <f>IFERROR(__xludf.DUMMYFUNCTION("""COMPUTED_VALUE"""),"นายวิโรจน์ อับดุลสมัด")</f>
        <v>นายวิโรจน์ อับดุลสมัด</v>
      </c>
      <c r="L286" s="1" t="str">
        <f>IFERROR(__xludf.DUMMYFUNCTION("""COMPUTED_VALUE"""),"09 K.Wirode A")</f>
        <v>09 K.Wirode A</v>
      </c>
      <c r="M286" s="1" t="str">
        <f>IFERROR(__xludf.DUMMYFUNCTION("""COMPUTED_VALUE"""),"080-235-4465")</f>
        <v>080-235-4465</v>
      </c>
      <c r="N286" s="3">
        <f>IFERROR(__xludf.DUMMYFUNCTION("""COMPUTED_VALUE"""),21324.0)</f>
        <v>21324</v>
      </c>
      <c r="O286" s="3" t="str">
        <f>IFERROR(__xludf.DUMMYFUNCTION("""COMPUTED_VALUE"""),"MBC BCP สุวินทวงศ์")</f>
        <v>MBC BCP สุวินทวงศ์</v>
      </c>
      <c r="P286" s="4">
        <f>IFERROR(__xludf.DUMMYFUNCTION("""COMPUTED_VALUE"""),40816.0)</f>
        <v>40816</v>
      </c>
      <c r="Q286" s="3" t="str">
        <f>IFERROR(__xludf.DUMMYFUNCTION("""COMPUTED_VALUE"""),"I")</f>
        <v>I</v>
      </c>
      <c r="R286" s="3" t="str">
        <f>IFERROR(__xludf.DUMMYFUNCTION("""COMPUTED_VALUE"""),"Small Format")</f>
        <v>Small Format</v>
      </c>
      <c r="S286" s="3" t="str">
        <f>IFERROR(__xludf.DUMMYFUNCTION("""COMPUTED_VALUE"""),"BCM")</f>
        <v>BCM</v>
      </c>
      <c r="T286" s="3" t="str">
        <f>IFERROR(__xludf.DUMMYFUNCTION("""COMPUTED_VALUE"""),"#N/A")</f>
        <v>#N/A</v>
      </c>
      <c r="U286" s="3" t="str">
        <f>IFERROR(__xludf.DUMMYFUNCTION("""COMPUTED_VALUE"""),"#N/A")</f>
        <v>#N/A</v>
      </c>
      <c r="V286" s="3" t="str">
        <f>IFERROR(__xludf.DUMMYFUNCTION("""COMPUTED_VALUE"""),"N")</f>
        <v>N</v>
      </c>
      <c r="W286" s="3">
        <f>IFERROR(__xludf.DUMMYFUNCTION("""COMPUTED_VALUE"""),0.0)</f>
        <v>0</v>
      </c>
      <c r="X286" s="3" t="str">
        <f>IFERROR(__xludf.DUMMYFUNCTION("""COMPUTED_VALUE"""),"41/50-41/53 ตำบลบางโฉลง อำเภอบางพลี จังหวัดสมุทรปราการ 10540")</f>
        <v>41/50-41/53 ตำบลบางโฉลง อำเภอบางพลี จังหวัดสมุทรปราการ 10540</v>
      </c>
      <c r="Y286" s="3" t="str">
        <f>IFERROR(__xludf.DUMMYFUNCTION("""COMPUTED_VALUE"""),"ตำบลบางโฉลง")</f>
        <v>ตำบลบางโฉลง</v>
      </c>
      <c r="Z286" s="3" t="str">
        <f>IFERROR(__xludf.DUMMYFUNCTION("""COMPUTED_VALUE"""),"อำเภอบางพลี")</f>
        <v>อำเภอบางพลี</v>
      </c>
      <c r="AA286" s="3" t="str">
        <f>IFERROR(__xludf.DUMMYFUNCTION("""COMPUTED_VALUE"""),"บางพลี")</f>
        <v>บางพลี</v>
      </c>
      <c r="AB286" s="3" t="str">
        <f>IFERROR(__xludf.DUMMYFUNCTION("""COMPUTED_VALUE"""),"สมุทรปราการ")</f>
        <v>สมุทรปราการ</v>
      </c>
      <c r="AC286" s="3">
        <f>IFERROR(__xludf.DUMMYFUNCTION("""COMPUTED_VALUE"""),10540.0)</f>
        <v>10540</v>
      </c>
      <c r="AD286" s="3" t="str">
        <f>IFERROR(__xludf.DUMMYFUNCTION("""COMPUTED_VALUE"""),"#N/A")</f>
        <v>#N/A</v>
      </c>
      <c r="AE286" s="3" t="str">
        <f>IFERROR(__xludf.DUMMYFUNCTION("""COMPUTED_VALUE"""),"#N/A")</f>
        <v>#N/A</v>
      </c>
      <c r="AF286" s="3" t="str">
        <f>IFERROR(__xludf.DUMMYFUNCTION("""COMPUTED_VALUE"""),"ซอยพูลเจริญ-21042")</f>
        <v>ซอยพูลเจริญ-21042</v>
      </c>
      <c r="AG286" s="3" t="str">
        <f>IFERROR(__xludf.DUMMYFUNCTION("""COMPUTED_VALUE"""),"กลาง")</f>
        <v>กลาง</v>
      </c>
      <c r="AH286" s="3" t="str">
        <f>IFERROR(__xludf.DUMMYFUNCTION("""COMPUTED_VALUE"""),"#N/A")</f>
        <v>#N/A</v>
      </c>
      <c r="AI286" s="3" t="str">
        <f>IFERROR(__xludf.DUMMYFUNCTION("""COMPUTED_VALUE"""),"Out of warranty")</f>
        <v>Out of warranty</v>
      </c>
      <c r="AJ286" s="3">
        <f>IFERROR(__xludf.DUMMYFUNCTION("""COMPUTED_VALUE"""),172.0)</f>
        <v>172</v>
      </c>
      <c r="AK286" s="3"/>
      <c r="AL286" s="3"/>
    </row>
    <row r="287" ht="15.75" customHeight="1">
      <c r="A287" s="1" t="str">
        <f>IFERROR(__xludf.DUMMYFUNCTION("""COMPUTED_VALUE"""),"21043")</f>
        <v>21043</v>
      </c>
      <c r="B287" s="2">
        <f>IFERROR(__xludf.DUMMYFUNCTION("""COMPUTED_VALUE"""),21043.0)</f>
        <v>21043</v>
      </c>
      <c r="C287" s="3" t="str">
        <f>IFERROR(__xludf.DUMMYFUNCTION("""COMPUTED_VALUE"""),"MBC ตลาดออเงิน")</f>
        <v>MBC ตลาดออเงิน</v>
      </c>
      <c r="D287" s="3" t="str">
        <f>IFERROR(__xludf.DUMMYFUNCTION("""COMPUTED_VALUE"""),"BCM TARAD ORNGEARN")</f>
        <v>BCM TARAD ORNGEARN</v>
      </c>
      <c r="E287" s="1" t="str">
        <f>IFERROR(__xludf.DUMMYFUNCTION("""COMPUTED_VALUE"""),"บิ๊กซี MINI")</f>
        <v>บิ๊กซี MINI</v>
      </c>
      <c r="F287" s="1" t="str">
        <f>IFERROR(__xludf.DUMMYFUNCTION("""COMPUTED_VALUE"""),"291008")</f>
        <v>291008</v>
      </c>
      <c r="G287" s="1" t="str">
        <f>IFERROR(__xludf.DUMMYFUNCTION("""COMPUTED_VALUE"""),"น.ส.รัชดาพร อีศรัตน์")</f>
        <v>น.ส.รัชดาพร อีศรัตน์</v>
      </c>
      <c r="H287" s="1" t="str">
        <f>IFERROR(__xludf.DUMMYFUNCTION("""COMPUTED_VALUE"""),"288639")</f>
        <v>288639</v>
      </c>
      <c r="I287" s="1" t="str">
        <f>IFERROR(__xludf.DUMMYFUNCTION("""COMPUTED_VALUE"""),"น.ส.สมหญิง สีชมภู")</f>
        <v>น.ส.สมหญิง สีชมภู</v>
      </c>
      <c r="J287" s="3">
        <f>IFERROR(__xludf.DUMMYFUNCTION("""COMPUTED_VALUE"""),3510104.0)</f>
        <v>3510104</v>
      </c>
      <c r="K287" s="3" t="str">
        <f>IFERROR(__xludf.DUMMYFUNCTION("""COMPUTED_VALUE"""),"นายวิโรจน์ อับดุลสมัด")</f>
        <v>นายวิโรจน์ อับดุลสมัด</v>
      </c>
      <c r="L287" s="1" t="str">
        <f>IFERROR(__xludf.DUMMYFUNCTION("""COMPUTED_VALUE"""),"09 K.Wirode A")</f>
        <v>09 K.Wirode A</v>
      </c>
      <c r="M287" s="1" t="str">
        <f>IFERROR(__xludf.DUMMYFUNCTION("""COMPUTED_VALUE"""),"080-235-4465")</f>
        <v>080-235-4465</v>
      </c>
      <c r="N287" s="3">
        <f>IFERROR(__xludf.DUMMYFUNCTION("""COMPUTED_VALUE"""),21324.0)</f>
        <v>21324</v>
      </c>
      <c r="O287" s="3" t="str">
        <f>IFERROR(__xludf.DUMMYFUNCTION("""COMPUTED_VALUE"""),"MBC BCP สุวินทวงศ์")</f>
        <v>MBC BCP สุวินทวงศ์</v>
      </c>
      <c r="P287" s="4">
        <f>IFERROR(__xludf.DUMMYFUNCTION("""COMPUTED_VALUE"""),40822.0)</f>
        <v>40822</v>
      </c>
      <c r="Q287" s="3" t="str">
        <f>IFERROR(__xludf.DUMMYFUNCTION("""COMPUTED_VALUE"""),"A")</f>
        <v>A</v>
      </c>
      <c r="R287" s="3" t="str">
        <f>IFERROR(__xludf.DUMMYFUNCTION("""COMPUTED_VALUE"""),"Small Format")</f>
        <v>Small Format</v>
      </c>
      <c r="S287" s="3" t="str">
        <f>IFERROR(__xludf.DUMMYFUNCTION("""COMPUTED_VALUE"""),"BCM")</f>
        <v>BCM</v>
      </c>
      <c r="T287" s="3" t="str">
        <f>IFERROR(__xludf.DUMMYFUNCTION("""COMPUTED_VALUE"""),"#N/A")</f>
        <v>#N/A</v>
      </c>
      <c r="U287" s="3" t="str">
        <f>IFERROR(__xludf.DUMMYFUNCTION("""COMPUTED_VALUE"""),"#N/A")</f>
        <v>#N/A</v>
      </c>
      <c r="V287" s="3" t="str">
        <f>IFERROR(__xludf.DUMMYFUNCTION("""COMPUTED_VALUE"""),"N")</f>
        <v>N</v>
      </c>
      <c r="W287" s="3">
        <f>IFERROR(__xludf.DUMMYFUNCTION("""COMPUTED_VALUE"""),211041.0)</f>
        <v>211041</v>
      </c>
      <c r="X287" s="3" t="str">
        <f>IFERROR(__xludf.DUMMYFUNCTION("""COMPUTED_VALUE"""),"111 หมู่ 3 แขวงออเงิน เขตสายไหม กรุงเทพฯ 10220")</f>
        <v>111 หมู่ 3 แขวงออเงิน เขตสายไหม กรุงเทพฯ 10220</v>
      </c>
      <c r="Y287" s="3"/>
      <c r="Z287" s="3" t="str">
        <f>IFERROR(__xludf.DUMMYFUNCTION("""COMPUTED_VALUE"""),"ออเงิน")</f>
        <v>ออเงิน</v>
      </c>
      <c r="AA287" s="3" t="str">
        <f>IFERROR(__xludf.DUMMYFUNCTION("""COMPUTED_VALUE"""),"สายไหม")</f>
        <v>สายไหม</v>
      </c>
      <c r="AB287" s="3" t="str">
        <f>IFERROR(__xludf.DUMMYFUNCTION("""COMPUTED_VALUE"""),"กรุงเทพมหานคร")</f>
        <v>กรุงเทพมหานคร</v>
      </c>
      <c r="AC287" s="3">
        <f>IFERROR(__xludf.DUMMYFUNCTION("""COMPUTED_VALUE"""),10220.0)</f>
        <v>10220</v>
      </c>
      <c r="AD287" s="3">
        <f>IFERROR(__xludf.DUMMYFUNCTION("""COMPUTED_VALUE"""),13.896374)</f>
        <v>13.896374</v>
      </c>
      <c r="AE287" s="3">
        <f>IFERROR(__xludf.DUMMYFUNCTION("""COMPUTED_VALUE"""),100.660552)</f>
        <v>100.660552</v>
      </c>
      <c r="AF287" s="3" t="str">
        <f>IFERROR(__xludf.DUMMYFUNCTION("""COMPUTED_VALUE"""),"MBC ตลาดออเงิน-21043")</f>
        <v>MBC ตลาดออเงิน-21043</v>
      </c>
      <c r="AG287" s="3" t="str">
        <f>IFERROR(__xludf.DUMMYFUNCTION("""COMPUTED_VALUE"""),"กลาง")</f>
        <v>กลาง</v>
      </c>
      <c r="AH287" s="3" t="str">
        <f>IFERROR(__xludf.DUMMYFUNCTION("""COMPUTED_VALUE"""),"#N/A")</f>
        <v>#N/A</v>
      </c>
      <c r="AI287" s="3" t="str">
        <f>IFERROR(__xludf.DUMMYFUNCTION("""COMPUTED_VALUE"""),"Out of warranty")</f>
        <v>Out of warranty</v>
      </c>
      <c r="AJ287" s="3">
        <f>IFERROR(__xludf.DUMMYFUNCTION("""COMPUTED_VALUE"""),172.0)</f>
        <v>172</v>
      </c>
      <c r="AK287" s="3" t="str">
        <f>IFERROR(__xludf.DUMMYFUNCTION("""COMPUTED_VALUE"""),"MMS01")</f>
        <v>MMS01</v>
      </c>
      <c r="AL287" s="3"/>
    </row>
    <row r="288" ht="15.75" customHeight="1">
      <c r="A288" s="1" t="str">
        <f>IFERROR(__xludf.DUMMYFUNCTION("""COMPUTED_VALUE"""),"21044")</f>
        <v>21044</v>
      </c>
      <c r="B288" s="2">
        <f>IFERROR(__xludf.DUMMYFUNCTION("""COMPUTED_VALUE"""),21044.0)</f>
        <v>21044</v>
      </c>
      <c r="C288" s="3" t="str">
        <f>IFERROR(__xludf.DUMMYFUNCTION("""COMPUTED_VALUE"""),"MBC ซอยพึ่งมี 17")</f>
        <v>MBC ซอยพึ่งมี 17</v>
      </c>
      <c r="D288" s="3" t="str">
        <f>IFERROR(__xludf.DUMMYFUNCTION("""COMPUTED_VALUE"""),"BCM SOI PUENGMEE 17")</f>
        <v>BCM SOI PUENGMEE 17</v>
      </c>
      <c r="E288" s="1" t="str">
        <f>IFERROR(__xludf.DUMMYFUNCTION("""COMPUTED_VALUE"""),"บิ๊กซี MINI")</f>
        <v>บิ๊กซี MINI</v>
      </c>
      <c r="F288" s="1" t="str">
        <f>IFERROR(__xludf.DUMMYFUNCTION("""COMPUTED_VALUE"""),"291008")</f>
        <v>291008</v>
      </c>
      <c r="G288" s="1" t="str">
        <f>IFERROR(__xludf.DUMMYFUNCTION("""COMPUTED_VALUE"""),"น.ส.รัชดาพร อีศรัตน์")</f>
        <v>น.ส.รัชดาพร อีศรัตน์</v>
      </c>
      <c r="H288" s="1" t="str">
        <f>IFERROR(__xludf.DUMMYFUNCTION("""COMPUTED_VALUE"""),"359054")</f>
        <v>359054</v>
      </c>
      <c r="I288" s="1" t="str">
        <f>IFERROR(__xludf.DUMMYFUNCTION("""COMPUTED_VALUE"""),"น.ส.กรรณิการ์ พุทธวงค์")</f>
        <v>น.ส.กรรณิการ์ พุทธวงค์</v>
      </c>
      <c r="J288" s="3">
        <f>IFERROR(__xludf.DUMMYFUNCTION("""COMPUTED_VALUE"""),2452378.0)</f>
        <v>2452378</v>
      </c>
      <c r="K288" s="3" t="str">
        <f>IFERROR(__xludf.DUMMYFUNCTION("""COMPUTED_VALUE"""),"นายศักดิ์ดา พวงประดับ")</f>
        <v>นายศักดิ์ดา พวงประดับ</v>
      </c>
      <c r="L288" s="1" t="str">
        <f>IFERROR(__xludf.DUMMYFUNCTION("""COMPUTED_VALUE"""),"11 K.Sakda P.")</f>
        <v>11 K.Sakda P.</v>
      </c>
      <c r="M288" s="1" t="str">
        <f>IFERROR(__xludf.DUMMYFUNCTION("""COMPUTED_VALUE"""),"065-929-1279")</f>
        <v>065-929-1279</v>
      </c>
      <c r="N288" s="3">
        <f>IFERROR(__xludf.DUMMYFUNCTION("""COMPUTED_VALUE"""),21002.0)</f>
        <v>21002</v>
      </c>
      <c r="O288" s="3" t="str">
        <f>IFERROR(__xludf.DUMMYFUNCTION("""COMPUTED_VALUE"""),"MBC อุดมสุข")</f>
        <v>MBC อุดมสุข</v>
      </c>
      <c r="P288" s="4">
        <f>IFERROR(__xludf.DUMMYFUNCTION("""COMPUTED_VALUE"""),40879.0)</f>
        <v>40879</v>
      </c>
      <c r="Q288" s="3" t="str">
        <f>IFERROR(__xludf.DUMMYFUNCTION("""COMPUTED_VALUE"""),"A")</f>
        <v>A</v>
      </c>
      <c r="R288" s="3" t="str">
        <f>IFERROR(__xludf.DUMMYFUNCTION("""COMPUTED_VALUE"""),"Small Format")</f>
        <v>Small Format</v>
      </c>
      <c r="S288" s="3" t="str">
        <f>IFERROR(__xludf.DUMMYFUNCTION("""COMPUTED_VALUE"""),"BCM")</f>
        <v>BCM</v>
      </c>
      <c r="T288" s="3" t="str">
        <f>IFERROR(__xludf.DUMMYFUNCTION("""COMPUTED_VALUE"""),"#N/A")</f>
        <v>#N/A</v>
      </c>
      <c r="U288" s="3" t="str">
        <f>IFERROR(__xludf.DUMMYFUNCTION("""COMPUTED_VALUE"""),"#N/A")</f>
        <v>#N/A</v>
      </c>
      <c r="V288" s="3" t="str">
        <f>IFERROR(__xludf.DUMMYFUNCTION("""COMPUTED_VALUE"""),"N")</f>
        <v>N</v>
      </c>
      <c r="W288" s="3">
        <f>IFERROR(__xludf.DUMMYFUNCTION("""COMPUTED_VALUE"""),211046.0)</f>
        <v>211046</v>
      </c>
      <c r="X288" s="3" t="str">
        <f>IFERROR(__xludf.DUMMYFUNCTION("""COMPUTED_VALUE"""),"415 ซอย สุขุมวิท 93 แขวงบางจาก เขตพระโขนง กรุงเทพฯ 10260")</f>
        <v>415 ซอย สุขุมวิท 93 แขวงบางจาก เขตพระโขนง กรุงเทพฯ 10260</v>
      </c>
      <c r="Y288" s="3" t="str">
        <f>IFERROR(__xludf.DUMMYFUNCTION("""COMPUTED_VALUE"""),"ซอยสุขุมวิท93")</f>
        <v>ซอยสุขุมวิท93</v>
      </c>
      <c r="Z288" s="3" t="str">
        <f>IFERROR(__xludf.DUMMYFUNCTION("""COMPUTED_VALUE"""),"สุขุมวิท")</f>
        <v>สุขุมวิท</v>
      </c>
      <c r="AA288" s="3" t="str">
        <f>IFERROR(__xludf.DUMMYFUNCTION("""COMPUTED_VALUE"""),"พระโขนง")</f>
        <v>พระโขนง</v>
      </c>
      <c r="AB288" s="3" t="str">
        <f>IFERROR(__xludf.DUMMYFUNCTION("""COMPUTED_VALUE"""),"กรุงเทพมหานคร")</f>
        <v>กรุงเทพมหานคร</v>
      </c>
      <c r="AC288" s="3">
        <f>IFERROR(__xludf.DUMMYFUNCTION("""COMPUTED_VALUE"""),10260.0)</f>
        <v>10260</v>
      </c>
      <c r="AD288" s="3">
        <f>IFERROR(__xludf.DUMMYFUNCTION("""COMPUTED_VALUE"""),13.70179)</f>
        <v>13.70179</v>
      </c>
      <c r="AE288" s="3">
        <f>IFERROR(__xludf.DUMMYFUNCTION("""COMPUTED_VALUE"""),100.616858)</f>
        <v>100.616858</v>
      </c>
      <c r="AF288" s="3" t="str">
        <f>IFERROR(__xludf.DUMMYFUNCTION("""COMPUTED_VALUE"""),"MBC ซอยพึ่งมี 17-21044")</f>
        <v>MBC ซอยพึ่งมี 17-21044</v>
      </c>
      <c r="AG288" s="3" t="str">
        <f>IFERROR(__xludf.DUMMYFUNCTION("""COMPUTED_VALUE"""),"กลาง")</f>
        <v>กลาง</v>
      </c>
      <c r="AH288" s="3" t="str">
        <f>IFERROR(__xludf.DUMMYFUNCTION("""COMPUTED_VALUE"""),"#N/A")</f>
        <v>#N/A</v>
      </c>
      <c r="AI288" s="3" t="str">
        <f>IFERROR(__xludf.DUMMYFUNCTION("""COMPUTED_VALUE"""),"Out of warranty")</f>
        <v>Out of warranty</v>
      </c>
      <c r="AJ288" s="3">
        <f>IFERROR(__xludf.DUMMYFUNCTION("""COMPUTED_VALUE"""),170.0)</f>
        <v>170</v>
      </c>
      <c r="AK288" s="3" t="str">
        <f>IFERROR(__xludf.DUMMYFUNCTION("""COMPUTED_VALUE"""),"MMS02")</f>
        <v>MMS02</v>
      </c>
      <c r="AL288" s="3"/>
    </row>
    <row r="289" ht="15.75" customHeight="1">
      <c r="A289" s="1" t="str">
        <f>IFERROR(__xludf.DUMMYFUNCTION("""COMPUTED_VALUE"""),"21045")</f>
        <v>21045</v>
      </c>
      <c r="B289" s="2">
        <f>IFERROR(__xludf.DUMMYFUNCTION("""COMPUTED_VALUE"""),21045.0)</f>
        <v>21045</v>
      </c>
      <c r="C289" s="3" t="str">
        <f>IFERROR(__xludf.DUMMYFUNCTION("""COMPUTED_VALUE"""),"MBC อ่อนนุช17")</f>
        <v>MBC อ่อนนุช17</v>
      </c>
      <c r="D289" s="3" t="str">
        <f>IFERROR(__xludf.DUMMYFUNCTION("""COMPUTED_VALUE"""),"BCM ONNUCH 17")</f>
        <v>BCM ONNUCH 17</v>
      </c>
      <c r="E289" s="1" t="str">
        <f>IFERROR(__xludf.DUMMYFUNCTION("""COMPUTED_VALUE"""),"บิ๊กซี MINI")</f>
        <v>บิ๊กซี MINI</v>
      </c>
      <c r="F289" s="1" t="str">
        <f>IFERROR(__xludf.DUMMYFUNCTION("""COMPUTED_VALUE"""),"291008")</f>
        <v>291008</v>
      </c>
      <c r="G289" s="1" t="str">
        <f>IFERROR(__xludf.DUMMYFUNCTION("""COMPUTED_VALUE"""),"น.ส.รัชดาพร อีศรัตน์")</f>
        <v>น.ส.รัชดาพร อีศรัตน์</v>
      </c>
      <c r="H289" s="1" t="str">
        <f>IFERROR(__xludf.DUMMYFUNCTION("""COMPUTED_VALUE"""),"359054")</f>
        <v>359054</v>
      </c>
      <c r="I289" s="1" t="str">
        <f>IFERROR(__xludf.DUMMYFUNCTION("""COMPUTED_VALUE"""),"น.ส.กรรณิการ์ พุทธวงค์")</f>
        <v>น.ส.กรรณิการ์ พุทธวงค์</v>
      </c>
      <c r="J289" s="3">
        <f>IFERROR(__xludf.DUMMYFUNCTION("""COMPUTED_VALUE"""),2452378.0)</f>
        <v>2452378</v>
      </c>
      <c r="K289" s="3" t="str">
        <f>IFERROR(__xludf.DUMMYFUNCTION("""COMPUTED_VALUE"""),"นายศักดิ์ดา พวงประดับ")</f>
        <v>นายศักดิ์ดา พวงประดับ</v>
      </c>
      <c r="L289" s="1" t="str">
        <f>IFERROR(__xludf.DUMMYFUNCTION("""COMPUTED_VALUE"""),"11 K.Sakda P.")</f>
        <v>11 K.Sakda P.</v>
      </c>
      <c r="M289" s="1" t="str">
        <f>IFERROR(__xludf.DUMMYFUNCTION("""COMPUTED_VALUE"""),"065-929-1279")</f>
        <v>065-929-1279</v>
      </c>
      <c r="N289" s="3">
        <f>IFERROR(__xludf.DUMMYFUNCTION("""COMPUTED_VALUE"""),21002.0)</f>
        <v>21002</v>
      </c>
      <c r="O289" s="3" t="str">
        <f>IFERROR(__xludf.DUMMYFUNCTION("""COMPUTED_VALUE"""),"MBC อุดมสุข")</f>
        <v>MBC อุดมสุข</v>
      </c>
      <c r="P289" s="4">
        <f>IFERROR(__xludf.DUMMYFUNCTION("""COMPUTED_VALUE"""),40879.0)</f>
        <v>40879</v>
      </c>
      <c r="Q289" s="3" t="str">
        <f>IFERROR(__xludf.DUMMYFUNCTION("""COMPUTED_VALUE"""),"A")</f>
        <v>A</v>
      </c>
      <c r="R289" s="3" t="str">
        <f>IFERROR(__xludf.DUMMYFUNCTION("""COMPUTED_VALUE"""),"Small Format")</f>
        <v>Small Format</v>
      </c>
      <c r="S289" s="3" t="str">
        <f>IFERROR(__xludf.DUMMYFUNCTION("""COMPUTED_VALUE"""),"BCM")</f>
        <v>BCM</v>
      </c>
      <c r="T289" s="3" t="str">
        <f>IFERROR(__xludf.DUMMYFUNCTION("""COMPUTED_VALUE"""),"#N/A")</f>
        <v>#N/A</v>
      </c>
      <c r="U289" s="3" t="str">
        <f>IFERROR(__xludf.DUMMYFUNCTION("""COMPUTED_VALUE"""),"#N/A")</f>
        <v>#N/A</v>
      </c>
      <c r="V289" s="3" t="str">
        <f>IFERROR(__xludf.DUMMYFUNCTION("""COMPUTED_VALUE"""),"N")</f>
        <v>N</v>
      </c>
      <c r="W289" s="3">
        <f>IFERROR(__xludf.DUMMYFUNCTION("""COMPUTED_VALUE"""),211045.0)</f>
        <v>211045</v>
      </c>
      <c r="X289" s="3" t="str">
        <f>IFERROR(__xludf.DUMMYFUNCTION("""COMPUTED_VALUE"""),"231 ซอยอ่อนนุช 17 แขวงสวนหลวง เขตสวนหลวง กรุงเทพฯ 10250")</f>
        <v>231 ซอยอ่อนนุช 17 แขวงสวนหลวง เขตสวนหลวง กรุงเทพฯ 10250</v>
      </c>
      <c r="Y289" s="3" t="str">
        <f>IFERROR(__xludf.DUMMYFUNCTION("""COMPUTED_VALUE"""),"ซอยอ่อนนุช")</f>
        <v>ซอยอ่อนนุช</v>
      </c>
      <c r="Z289" s="3" t="str">
        <f>IFERROR(__xludf.DUMMYFUNCTION("""COMPUTED_VALUE"""),"สวนหลวง")</f>
        <v>สวนหลวง</v>
      </c>
      <c r="AA289" s="3" t="str">
        <f>IFERROR(__xludf.DUMMYFUNCTION("""COMPUTED_VALUE"""),"สวนหลวง")</f>
        <v>สวนหลวง</v>
      </c>
      <c r="AB289" s="3" t="str">
        <f>IFERROR(__xludf.DUMMYFUNCTION("""COMPUTED_VALUE"""),"กรุงเทพมหานคร")</f>
        <v>กรุงเทพมหานคร</v>
      </c>
      <c r="AC289" s="3">
        <f>IFERROR(__xludf.DUMMYFUNCTION("""COMPUTED_VALUE"""),10250.0)</f>
        <v>10250</v>
      </c>
      <c r="AD289" s="3">
        <f>IFERROR(__xludf.DUMMYFUNCTION("""COMPUTED_VALUE"""),13.721792)</f>
        <v>13.721792</v>
      </c>
      <c r="AE289" s="3">
        <f>IFERROR(__xludf.DUMMYFUNCTION("""COMPUTED_VALUE"""),100.61439)</f>
        <v>100.61439</v>
      </c>
      <c r="AF289" s="3" t="str">
        <f>IFERROR(__xludf.DUMMYFUNCTION("""COMPUTED_VALUE"""),"MBC อ่อนนุช17-21045")</f>
        <v>MBC อ่อนนุช17-21045</v>
      </c>
      <c r="AG289" s="3" t="str">
        <f>IFERROR(__xludf.DUMMYFUNCTION("""COMPUTED_VALUE"""),"กลาง")</f>
        <v>กลาง</v>
      </c>
      <c r="AH289" s="3" t="str">
        <f>IFERROR(__xludf.DUMMYFUNCTION("""COMPUTED_VALUE"""),"#N/A")</f>
        <v>#N/A</v>
      </c>
      <c r="AI289" s="3" t="str">
        <f>IFERROR(__xludf.DUMMYFUNCTION("""COMPUTED_VALUE"""),"Out of warranty")</f>
        <v>Out of warranty</v>
      </c>
      <c r="AJ289" s="3">
        <f>IFERROR(__xludf.DUMMYFUNCTION("""COMPUTED_VALUE"""),170.0)</f>
        <v>170</v>
      </c>
      <c r="AK289" s="3" t="str">
        <f>IFERROR(__xludf.DUMMYFUNCTION("""COMPUTED_VALUE"""),"MMS03")</f>
        <v>MMS03</v>
      </c>
      <c r="AL289" s="3"/>
    </row>
    <row r="290" ht="15.75" customHeight="1">
      <c r="A290" s="1" t="str">
        <f>IFERROR(__xludf.DUMMYFUNCTION("""COMPUTED_VALUE"""),"21046")</f>
        <v>21046</v>
      </c>
      <c r="B290" s="2">
        <f>IFERROR(__xludf.DUMMYFUNCTION("""COMPUTED_VALUE"""),21046.0)</f>
        <v>21046</v>
      </c>
      <c r="C290" s="3" t="str">
        <f>IFERROR(__xludf.DUMMYFUNCTION("""COMPUTED_VALUE"""),"MBC คลองพยอม")</f>
        <v>MBC คลองพยอม</v>
      </c>
      <c r="D290" s="3" t="str">
        <f>IFERROR(__xludf.DUMMYFUNCTION("""COMPUTED_VALUE"""),"BCM KLONGPHAYOM")</f>
        <v>BCM KLONGPHAYOM</v>
      </c>
      <c r="E290" s="1" t="str">
        <f>IFERROR(__xludf.DUMMYFUNCTION("""COMPUTED_VALUE"""),"บิ๊กซี MINI")</f>
        <v>บิ๊กซี MINI</v>
      </c>
      <c r="F290" s="1" t="str">
        <f>IFERROR(__xludf.DUMMYFUNCTION("""COMPUTED_VALUE"""),"296229")</f>
        <v>296229</v>
      </c>
      <c r="G290" s="1" t="str">
        <f>IFERROR(__xludf.DUMMYFUNCTION("""COMPUTED_VALUE"""),"นายทนงศักดิ์ บุญมา")</f>
        <v>นายทนงศักดิ์ บุญมา</v>
      </c>
      <c r="H290" s="1" t="str">
        <f>IFERROR(__xludf.DUMMYFUNCTION("""COMPUTED_VALUE"""),"211363")</f>
        <v>211363</v>
      </c>
      <c r="I290" s="1" t="str">
        <f>IFERROR(__xludf.DUMMYFUNCTION("""COMPUTED_VALUE"""),"นายสามารถ บุญลับ")</f>
        <v>นายสามารถ บุญลับ</v>
      </c>
      <c r="J290" s="3">
        <f>IFERROR(__xludf.DUMMYFUNCTION("""COMPUTED_VALUE"""),46214.0)</f>
        <v>46214</v>
      </c>
      <c r="K290" s="3" t="str">
        <f>IFERROR(__xludf.DUMMYFUNCTION("""COMPUTED_VALUE"""),"นายศักดิ์ชัย เด็ดดอกฟ้า")</f>
        <v>นายศักดิ์ชัย เด็ดดอกฟ้า</v>
      </c>
      <c r="L290" s="1" t="str">
        <f>IFERROR(__xludf.DUMMYFUNCTION("""COMPUTED_VALUE"""),"02 K.Sakchai D")</f>
        <v>02 K.Sakchai D</v>
      </c>
      <c r="M290" s="1" t="str">
        <f>IFERROR(__xludf.DUMMYFUNCTION("""COMPUTED_VALUE"""),"065-510-7376")</f>
        <v>065-510-7376</v>
      </c>
      <c r="N290" s="3">
        <f>IFERROR(__xludf.DUMMYFUNCTION("""COMPUTED_VALUE"""),21714.0)</f>
        <v>21714</v>
      </c>
      <c r="O290" s="3" t="str">
        <f>IFERROR(__xludf.DUMMYFUNCTION("""COMPUTED_VALUE"""),"MBC เอสโซ่ วัดโบสถ์")</f>
        <v>MBC เอสโซ่ วัดโบสถ์</v>
      </c>
      <c r="P290" s="4">
        <f>IFERROR(__xludf.DUMMYFUNCTION("""COMPUTED_VALUE"""),40886.0)</f>
        <v>40886</v>
      </c>
      <c r="Q290" s="3" t="str">
        <f>IFERROR(__xludf.DUMMYFUNCTION("""COMPUTED_VALUE"""),"A")</f>
        <v>A</v>
      </c>
      <c r="R290" s="3" t="str">
        <f>IFERROR(__xludf.DUMMYFUNCTION("""COMPUTED_VALUE"""),"Small Format")</f>
        <v>Small Format</v>
      </c>
      <c r="S290" s="3" t="str">
        <f>IFERROR(__xludf.DUMMYFUNCTION("""COMPUTED_VALUE"""),"BCM")</f>
        <v>BCM</v>
      </c>
      <c r="T290" s="3" t="str">
        <f>IFERROR(__xludf.DUMMYFUNCTION("""COMPUTED_VALUE"""),"#N/A")</f>
        <v>#N/A</v>
      </c>
      <c r="U290" s="3" t="str">
        <f>IFERROR(__xludf.DUMMYFUNCTION("""COMPUTED_VALUE"""),"#N/A")</f>
        <v>#N/A</v>
      </c>
      <c r="V290" s="3" t="str">
        <f>IFERROR(__xludf.DUMMYFUNCTION("""COMPUTED_VALUE"""),"N")</f>
        <v>N</v>
      </c>
      <c r="W290" s="3">
        <f>IFERROR(__xludf.DUMMYFUNCTION("""COMPUTED_VALUE"""),211047.0)</f>
        <v>211047</v>
      </c>
      <c r="X290" s="3" t="str">
        <f>IFERROR(__xludf.DUMMYFUNCTION("""COMPUTED_VALUE"""),"108,147/11 หมู่ 5 ตำบลพยอม อำเภอวังน้อย จังหวัดพระนครศรีอยุธยา 13170")</f>
        <v>108,147/11 หมู่ 5 ตำบลพยอม อำเภอวังน้อย จังหวัดพระนครศรีอยุธยา 13170</v>
      </c>
      <c r="Y290" s="3"/>
      <c r="Z290" s="3" t="str">
        <f>IFERROR(__xludf.DUMMYFUNCTION("""COMPUTED_VALUE"""),"พยอม")</f>
        <v>พยอม</v>
      </c>
      <c r="AA290" s="3" t="str">
        <f>IFERROR(__xludf.DUMMYFUNCTION("""COMPUTED_VALUE"""),"วังน้อย")</f>
        <v>วังน้อย</v>
      </c>
      <c r="AB290" s="3" t="str">
        <f>IFERROR(__xludf.DUMMYFUNCTION("""COMPUTED_VALUE"""),"พระนครศรีอยุธยา")</f>
        <v>พระนครศรีอยุธยา</v>
      </c>
      <c r="AC290" s="3">
        <f>IFERROR(__xludf.DUMMYFUNCTION("""COMPUTED_VALUE"""),13170.0)</f>
        <v>13170</v>
      </c>
      <c r="AD290" s="3">
        <f>IFERROR(__xludf.DUMMYFUNCTION("""COMPUTED_VALUE"""),14.145752)</f>
        <v>14.145752</v>
      </c>
      <c r="AE290" s="3">
        <f>IFERROR(__xludf.DUMMYFUNCTION("""COMPUTED_VALUE"""),100.621995)</f>
        <v>100.621995</v>
      </c>
      <c r="AF290" s="3" t="str">
        <f>IFERROR(__xludf.DUMMYFUNCTION("""COMPUTED_VALUE"""),"MBC คลองพยอม-21046")</f>
        <v>MBC คลองพยอม-21046</v>
      </c>
      <c r="AG290" s="3" t="str">
        <f>IFERROR(__xludf.DUMMYFUNCTION("""COMPUTED_VALUE"""),"กลาง")</f>
        <v>กลาง</v>
      </c>
      <c r="AH290" s="3" t="str">
        <f>IFERROR(__xludf.DUMMYFUNCTION("""COMPUTED_VALUE"""),"#N/A")</f>
        <v>#N/A</v>
      </c>
      <c r="AI290" s="3" t="str">
        <f>IFERROR(__xludf.DUMMYFUNCTION("""COMPUTED_VALUE"""),"Out of warranty")</f>
        <v>Out of warranty</v>
      </c>
      <c r="AJ290" s="3">
        <f>IFERROR(__xludf.DUMMYFUNCTION("""COMPUTED_VALUE"""),170.0)</f>
        <v>170</v>
      </c>
      <c r="AK290" s="3" t="str">
        <f>IFERROR(__xludf.DUMMYFUNCTION("""COMPUTED_VALUE"""),"MMS04")</f>
        <v>MMS04</v>
      </c>
      <c r="AL290" s="3"/>
    </row>
    <row r="291" ht="15.75" customHeight="1">
      <c r="A291" s="1" t="str">
        <f>IFERROR(__xludf.DUMMYFUNCTION("""COMPUTED_VALUE"""),"21047")</f>
        <v>21047</v>
      </c>
      <c r="B291" s="2">
        <f>IFERROR(__xludf.DUMMYFUNCTION("""COMPUTED_VALUE"""),21047.0)</f>
        <v>21047</v>
      </c>
      <c r="C291" s="3" t="str">
        <f>IFERROR(__xludf.DUMMYFUNCTION("""COMPUTED_VALUE"""),"MBC ซอยแบริ่ง 34")</f>
        <v>MBC ซอยแบริ่ง 34</v>
      </c>
      <c r="D291" s="3" t="str">
        <f>IFERROR(__xludf.DUMMYFUNCTION("""COMPUTED_VALUE"""),"BCM SOI BEARING 34")</f>
        <v>BCM SOI BEARING 34</v>
      </c>
      <c r="E291" s="1" t="str">
        <f>IFERROR(__xludf.DUMMYFUNCTION("""COMPUTED_VALUE"""),"บิ๊กซี MINI")</f>
        <v>บิ๊กซี MINI</v>
      </c>
      <c r="F291" s="1" t="str">
        <f>IFERROR(__xludf.DUMMYFUNCTION("""COMPUTED_VALUE"""),"2083447")</f>
        <v>2083447</v>
      </c>
      <c r="G291" s="1" t="str">
        <f>IFERROR(__xludf.DUMMYFUNCTION("""COMPUTED_VALUE"""),"นายอนุกูล ศรีลัดดา")</f>
        <v>นายอนุกูล ศรีลัดดา</v>
      </c>
      <c r="H291" s="1" t="str">
        <f>IFERROR(__xludf.DUMMYFUNCTION("""COMPUTED_VALUE"""),"399107")</f>
        <v>399107</v>
      </c>
      <c r="I291" s="1" t="str">
        <f>IFERROR(__xludf.DUMMYFUNCTION("""COMPUTED_VALUE"""),"นายรัชระวี กลมแป้น")</f>
        <v>นายรัชระวี กลมแป้น</v>
      </c>
      <c r="J291" s="3">
        <f>IFERROR(__xludf.DUMMYFUNCTION("""COMPUTED_VALUE"""),510143.0)</f>
        <v>510143</v>
      </c>
      <c r="K291" s="3" t="str">
        <f>IFERROR(__xludf.DUMMYFUNCTION("""COMPUTED_VALUE"""),"นายธีระวัฒน์ บุญสิทธิ์")</f>
        <v>นายธีระวัฒน์ บุญสิทธิ์</v>
      </c>
      <c r="L291" s="1" t="str">
        <f>IFERROR(__xludf.DUMMYFUNCTION("""COMPUTED_VALUE"""),"12 K.Theerawat B.")</f>
        <v>12 K.Theerawat B.</v>
      </c>
      <c r="M291" s="1" t="str">
        <f>IFERROR(__xludf.DUMMYFUNCTION("""COMPUTED_VALUE"""),"0655107379")</f>
        <v>0655107379</v>
      </c>
      <c r="N291" s="3">
        <f>IFERROR(__xludf.DUMMYFUNCTION("""COMPUTED_VALUE"""),21062.0)</f>
        <v>21062</v>
      </c>
      <c r="O291" s="3" t="str">
        <f>IFERROR(__xludf.DUMMYFUNCTION("""COMPUTED_VALUE"""),"MBC นิคมนวนคร")</f>
        <v>MBC นิคมนวนคร</v>
      </c>
      <c r="P291" s="4">
        <f>IFERROR(__xludf.DUMMYFUNCTION("""COMPUTED_VALUE"""),40879.0)</f>
        <v>40879</v>
      </c>
      <c r="Q291" s="3" t="str">
        <f>IFERROR(__xludf.DUMMYFUNCTION("""COMPUTED_VALUE"""),"A")</f>
        <v>A</v>
      </c>
      <c r="R291" s="3" t="str">
        <f>IFERROR(__xludf.DUMMYFUNCTION("""COMPUTED_VALUE"""),"Small Format")</f>
        <v>Small Format</v>
      </c>
      <c r="S291" s="3" t="str">
        <f>IFERROR(__xludf.DUMMYFUNCTION("""COMPUTED_VALUE"""),"BCM")</f>
        <v>BCM</v>
      </c>
      <c r="T291" s="3" t="str">
        <f>IFERROR(__xludf.DUMMYFUNCTION("""COMPUTED_VALUE"""),"#N/A")</f>
        <v>#N/A</v>
      </c>
      <c r="U291" s="3" t="str">
        <f>IFERROR(__xludf.DUMMYFUNCTION("""COMPUTED_VALUE"""),"#N/A")</f>
        <v>#N/A</v>
      </c>
      <c r="V291" s="3" t="str">
        <f>IFERROR(__xludf.DUMMYFUNCTION("""COMPUTED_VALUE"""),"N")</f>
        <v>N</v>
      </c>
      <c r="W291" s="3">
        <f>IFERROR(__xludf.DUMMYFUNCTION("""COMPUTED_VALUE"""),211044.0)</f>
        <v>211044</v>
      </c>
      <c r="X291" s="3" t="str">
        <f>IFERROR(__xludf.DUMMYFUNCTION("""COMPUTED_VALUE"""),"5555 หมู่ 10 ตำบลสำโรงเหนือ อำเภอเมืองสมุทรปราการ จังหวัดสมุทรปราการ 10270")</f>
        <v>5555 หมู่ 10 ตำบลสำโรงเหนือ อำเภอเมืองสมุทรปราการ จังหวัดสมุทรปราการ 10270</v>
      </c>
      <c r="Y291" s="3"/>
      <c r="Z291" s="3" t="str">
        <f>IFERROR(__xludf.DUMMYFUNCTION("""COMPUTED_VALUE"""),"สำโรงเหนือ")</f>
        <v>สำโรงเหนือ</v>
      </c>
      <c r="AA291" s="3" t="str">
        <f>IFERROR(__xludf.DUMMYFUNCTION("""COMPUTED_VALUE"""),"เมืองสมุทรปราการ")</f>
        <v>เมืองสมุทรปราการ</v>
      </c>
      <c r="AB291" s="3" t="str">
        <f>IFERROR(__xludf.DUMMYFUNCTION("""COMPUTED_VALUE"""),"สมุทรปราการ")</f>
        <v>สมุทรปราการ</v>
      </c>
      <c r="AC291" s="3">
        <f>IFERROR(__xludf.DUMMYFUNCTION("""COMPUTED_VALUE"""),10270.0)</f>
        <v>10270</v>
      </c>
      <c r="AD291" s="3">
        <f>IFERROR(__xludf.DUMMYFUNCTION("""COMPUTED_VALUE"""),13.652638)</f>
        <v>13.652638</v>
      </c>
      <c r="AE291" s="3">
        <f>IFERROR(__xludf.DUMMYFUNCTION("""COMPUTED_VALUE"""),100.615931)</f>
        <v>100.615931</v>
      </c>
      <c r="AF291" s="3" t="str">
        <f>IFERROR(__xludf.DUMMYFUNCTION("""COMPUTED_VALUE"""),"MBC ซอยแบริ่ง 34-21047")</f>
        <v>MBC ซอยแบริ่ง 34-21047</v>
      </c>
      <c r="AG291" s="3" t="str">
        <f>IFERROR(__xludf.DUMMYFUNCTION("""COMPUTED_VALUE"""),"กลาง")</f>
        <v>กลาง</v>
      </c>
      <c r="AH291" s="3" t="str">
        <f>IFERROR(__xludf.DUMMYFUNCTION("""COMPUTED_VALUE"""),"#N/A")</f>
        <v>#N/A</v>
      </c>
      <c r="AI291" s="3" t="str">
        <f>IFERROR(__xludf.DUMMYFUNCTION("""COMPUTED_VALUE"""),"Out of warranty")</f>
        <v>Out of warranty</v>
      </c>
      <c r="AJ291" s="3">
        <f>IFERROR(__xludf.DUMMYFUNCTION("""COMPUTED_VALUE"""),170.0)</f>
        <v>170</v>
      </c>
      <c r="AK291" s="3" t="str">
        <f>IFERROR(__xludf.DUMMYFUNCTION("""COMPUTED_VALUE"""),"MMS02")</f>
        <v>MMS02</v>
      </c>
      <c r="AL291" s="3"/>
    </row>
    <row r="292" ht="15.75" customHeight="1">
      <c r="A292" s="1" t="str">
        <f>IFERROR(__xludf.DUMMYFUNCTION("""COMPUTED_VALUE"""),"21048")</f>
        <v>21048</v>
      </c>
      <c r="B292" s="2">
        <f>IFERROR(__xludf.DUMMYFUNCTION("""COMPUTED_VALUE"""),21048.0)</f>
        <v>21048</v>
      </c>
      <c r="C292" s="3" t="str">
        <f>IFERROR(__xludf.DUMMYFUNCTION("""COMPUTED_VALUE"""),"MBC ซอยศรีสมิตร")</f>
        <v>MBC ซอยศรีสมิตร</v>
      </c>
      <c r="D292" s="3" t="str">
        <f>IFERROR(__xludf.DUMMYFUNCTION("""COMPUTED_VALUE"""),"BCM SOI SRISAMITH")</f>
        <v>BCM SOI SRISAMITH</v>
      </c>
      <c r="E292" s="1" t="str">
        <f>IFERROR(__xludf.DUMMYFUNCTION("""COMPUTED_VALUE"""),"บิ๊กซี MINI")</f>
        <v>บิ๊กซี MINI</v>
      </c>
      <c r="F292" s="1" t="str">
        <f>IFERROR(__xludf.DUMMYFUNCTION("""COMPUTED_VALUE"""),"2083447")</f>
        <v>2083447</v>
      </c>
      <c r="G292" s="1" t="str">
        <f>IFERROR(__xludf.DUMMYFUNCTION("""COMPUTED_VALUE"""),"นายอนุกูล ศรีลัดดา")</f>
        <v>นายอนุกูล ศรีลัดดา</v>
      </c>
      <c r="H292" s="1" t="str">
        <f>IFERROR(__xludf.DUMMYFUNCTION("""COMPUTED_VALUE"""),"399107")</f>
        <v>399107</v>
      </c>
      <c r="I292" s="1" t="str">
        <f>IFERROR(__xludf.DUMMYFUNCTION("""COMPUTED_VALUE"""),"นายรัชระวี กลมแป้น")</f>
        <v>นายรัชระวี กลมแป้น</v>
      </c>
      <c r="J292" s="3">
        <f>IFERROR(__xludf.DUMMYFUNCTION("""COMPUTED_VALUE"""),510143.0)</f>
        <v>510143</v>
      </c>
      <c r="K292" s="3" t="str">
        <f>IFERROR(__xludf.DUMMYFUNCTION("""COMPUTED_VALUE"""),"นายธีระวัฒน์ บุญสิทธิ์")</f>
        <v>นายธีระวัฒน์ บุญสิทธิ์</v>
      </c>
      <c r="L292" s="1" t="str">
        <f>IFERROR(__xludf.DUMMYFUNCTION("""COMPUTED_VALUE"""),"12 K.Theerawat B.")</f>
        <v>12 K.Theerawat B.</v>
      </c>
      <c r="M292" s="1" t="str">
        <f>IFERROR(__xludf.DUMMYFUNCTION("""COMPUTED_VALUE"""),"0655107379")</f>
        <v>0655107379</v>
      </c>
      <c r="N292" s="3">
        <f>IFERROR(__xludf.DUMMYFUNCTION("""COMPUTED_VALUE"""),21062.0)</f>
        <v>21062</v>
      </c>
      <c r="O292" s="3" t="str">
        <f>IFERROR(__xludf.DUMMYFUNCTION("""COMPUTED_VALUE"""),"MBC นิคมนวนคร")</f>
        <v>MBC นิคมนวนคร</v>
      </c>
      <c r="P292" s="4">
        <f>IFERROR(__xludf.DUMMYFUNCTION("""COMPUTED_VALUE"""),40879.0)</f>
        <v>40879</v>
      </c>
      <c r="Q292" s="3" t="str">
        <f>IFERROR(__xludf.DUMMYFUNCTION("""COMPUTED_VALUE"""),"A")</f>
        <v>A</v>
      </c>
      <c r="R292" s="3" t="str">
        <f>IFERROR(__xludf.DUMMYFUNCTION("""COMPUTED_VALUE"""),"Small Format")</f>
        <v>Small Format</v>
      </c>
      <c r="S292" s="3" t="str">
        <f>IFERROR(__xludf.DUMMYFUNCTION("""COMPUTED_VALUE"""),"BCM")</f>
        <v>BCM</v>
      </c>
      <c r="T292" s="3" t="str">
        <f>IFERROR(__xludf.DUMMYFUNCTION("""COMPUTED_VALUE"""),"#N/A")</f>
        <v>#N/A</v>
      </c>
      <c r="U292" s="3" t="str">
        <f>IFERROR(__xludf.DUMMYFUNCTION("""COMPUTED_VALUE"""),"#N/A")</f>
        <v>#N/A</v>
      </c>
      <c r="V292" s="3" t="str">
        <f>IFERROR(__xludf.DUMMYFUNCTION("""COMPUTED_VALUE"""),"N")</f>
        <v>N</v>
      </c>
      <c r="W292" s="3">
        <f>IFERROR(__xludf.DUMMYFUNCTION("""COMPUTED_VALUE"""),211042.0)</f>
        <v>211042</v>
      </c>
      <c r="X292" s="3" t="str">
        <f>IFERROR(__xludf.DUMMYFUNCTION("""COMPUTED_VALUE"""),"2416/59-61 หมู่ 7 ตำบลเทพารักษ์ อำเภอเมืองสมุทรปราการ จังหวัดสมุทรปราการ 10270")</f>
        <v>2416/59-61 หมู่ 7 ตำบลเทพารักษ์ อำเภอเมืองสมุทรปราการ จังหวัดสมุทรปราการ 10270</v>
      </c>
      <c r="Y292" s="3"/>
      <c r="Z292" s="3" t="str">
        <f>IFERROR(__xludf.DUMMYFUNCTION("""COMPUTED_VALUE"""),"เทพารักษ์")</f>
        <v>เทพารักษ์</v>
      </c>
      <c r="AA292" s="3" t="str">
        <f>IFERROR(__xludf.DUMMYFUNCTION("""COMPUTED_VALUE"""),"เมืองสมุทรปราการ")</f>
        <v>เมืองสมุทรปราการ</v>
      </c>
      <c r="AB292" s="3" t="str">
        <f>IFERROR(__xludf.DUMMYFUNCTION("""COMPUTED_VALUE"""),"สมุทรปราการ")</f>
        <v>สมุทรปราการ</v>
      </c>
      <c r="AC292" s="3">
        <f>IFERROR(__xludf.DUMMYFUNCTION("""COMPUTED_VALUE"""),10270.0)</f>
        <v>10270</v>
      </c>
      <c r="AD292" s="3">
        <f>IFERROR(__xludf.DUMMYFUNCTION("""COMPUTED_VALUE"""),13.624675)</f>
        <v>13.624675</v>
      </c>
      <c r="AE292" s="3">
        <f>IFERROR(__xludf.DUMMYFUNCTION("""COMPUTED_VALUE"""),100.632125)</f>
        <v>100.632125</v>
      </c>
      <c r="AF292" s="3" t="str">
        <f>IFERROR(__xludf.DUMMYFUNCTION("""COMPUTED_VALUE"""),"MBC ซอยศรีสมิตร-21048")</f>
        <v>MBC ซอยศรีสมิตร-21048</v>
      </c>
      <c r="AG292" s="3" t="str">
        <f>IFERROR(__xludf.DUMMYFUNCTION("""COMPUTED_VALUE"""),"กลาง")</f>
        <v>กลาง</v>
      </c>
      <c r="AH292" s="3" t="str">
        <f>IFERROR(__xludf.DUMMYFUNCTION("""COMPUTED_VALUE"""),"#N/A")</f>
        <v>#N/A</v>
      </c>
      <c r="AI292" s="3" t="str">
        <f>IFERROR(__xludf.DUMMYFUNCTION("""COMPUTED_VALUE"""),"Out of warranty")</f>
        <v>Out of warranty</v>
      </c>
      <c r="AJ292" s="3">
        <f>IFERROR(__xludf.DUMMYFUNCTION("""COMPUTED_VALUE"""),170.0)</f>
        <v>170</v>
      </c>
      <c r="AK292" s="3" t="str">
        <f>IFERROR(__xludf.DUMMYFUNCTION("""COMPUTED_VALUE"""),"MMS02")</f>
        <v>MMS02</v>
      </c>
      <c r="AL292" s="3"/>
    </row>
    <row r="293" ht="15.75" customHeight="1">
      <c r="A293" s="1" t="str">
        <f>IFERROR(__xludf.DUMMYFUNCTION("""COMPUTED_VALUE"""),"21049")</f>
        <v>21049</v>
      </c>
      <c r="B293" s="2">
        <f>IFERROR(__xludf.DUMMYFUNCTION("""COMPUTED_VALUE"""),21049.0)</f>
        <v>21049</v>
      </c>
      <c r="C293" s="3" t="str">
        <f>IFERROR(__xludf.DUMMYFUNCTION("""COMPUTED_VALUE"""),"MBC เอื้อฯ ลาดกระบัง2")</f>
        <v>MBC เอื้อฯ ลาดกระบัง2</v>
      </c>
      <c r="D293" s="3" t="str">
        <f>IFERROR(__xludf.DUMMYFUNCTION("""COMPUTED_VALUE"""),"BCM AUE LADKRABANG 2")</f>
        <v>BCM AUE LADKRABANG 2</v>
      </c>
      <c r="E293" s="1" t="str">
        <f>IFERROR(__xludf.DUMMYFUNCTION("""COMPUTED_VALUE"""),"บิ๊กซี MINI")</f>
        <v>บิ๊กซี MINI</v>
      </c>
      <c r="F293" s="1" t="str">
        <f>IFERROR(__xludf.DUMMYFUNCTION("""COMPUTED_VALUE"""),"291008")</f>
        <v>291008</v>
      </c>
      <c r="G293" s="1" t="str">
        <f>IFERROR(__xludf.DUMMYFUNCTION("""COMPUTED_VALUE"""),"น.ส.รัชดาพร อีศรัตน์")</f>
        <v>น.ส.รัชดาพร อีศรัตน์</v>
      </c>
      <c r="H293" s="1" t="str">
        <f>IFERROR(__xludf.DUMMYFUNCTION("""COMPUTED_VALUE"""),"288639")</f>
        <v>288639</v>
      </c>
      <c r="I293" s="1" t="str">
        <f>IFERROR(__xludf.DUMMYFUNCTION("""COMPUTED_VALUE"""),"น.ส.สมหญิง สีชมภู")</f>
        <v>น.ส.สมหญิง สีชมภู</v>
      </c>
      <c r="J293" s="3">
        <f>IFERROR(__xludf.DUMMYFUNCTION("""COMPUTED_VALUE"""),3510104.0)</f>
        <v>3510104</v>
      </c>
      <c r="K293" s="3" t="str">
        <f>IFERROR(__xludf.DUMMYFUNCTION("""COMPUTED_VALUE"""),"นายวิโรจน์ อับดุลสมัด")</f>
        <v>นายวิโรจน์ อับดุลสมัด</v>
      </c>
      <c r="L293" s="1" t="str">
        <f>IFERROR(__xludf.DUMMYFUNCTION("""COMPUTED_VALUE"""),"09 K.Wirode A")</f>
        <v>09 K.Wirode A</v>
      </c>
      <c r="M293" s="1" t="str">
        <f>IFERROR(__xludf.DUMMYFUNCTION("""COMPUTED_VALUE"""),"080-235-4465")</f>
        <v>080-235-4465</v>
      </c>
      <c r="N293" s="3">
        <f>IFERROR(__xludf.DUMMYFUNCTION("""COMPUTED_VALUE"""),21324.0)</f>
        <v>21324</v>
      </c>
      <c r="O293" s="3" t="str">
        <f>IFERROR(__xludf.DUMMYFUNCTION("""COMPUTED_VALUE"""),"MBC BCP สุวินทวงศ์")</f>
        <v>MBC BCP สุวินทวงศ์</v>
      </c>
      <c r="P293" s="4">
        <f>IFERROR(__xludf.DUMMYFUNCTION("""COMPUTED_VALUE"""),40879.0)</f>
        <v>40879</v>
      </c>
      <c r="Q293" s="3" t="str">
        <f>IFERROR(__xludf.DUMMYFUNCTION("""COMPUTED_VALUE"""),"A")</f>
        <v>A</v>
      </c>
      <c r="R293" s="3" t="str">
        <f>IFERROR(__xludf.DUMMYFUNCTION("""COMPUTED_VALUE"""),"Small Format")</f>
        <v>Small Format</v>
      </c>
      <c r="S293" s="3" t="str">
        <f>IFERROR(__xludf.DUMMYFUNCTION("""COMPUTED_VALUE"""),"BCM")</f>
        <v>BCM</v>
      </c>
      <c r="T293" s="3" t="str">
        <f>IFERROR(__xludf.DUMMYFUNCTION("""COMPUTED_VALUE"""),"#N/A")</f>
        <v>#N/A</v>
      </c>
      <c r="U293" s="3" t="str">
        <f>IFERROR(__xludf.DUMMYFUNCTION("""COMPUTED_VALUE"""),"#N/A")</f>
        <v>#N/A</v>
      </c>
      <c r="V293" s="3" t="str">
        <f>IFERROR(__xludf.DUMMYFUNCTION("""COMPUTED_VALUE"""),"N")</f>
        <v>N</v>
      </c>
      <c r="W293" s="3">
        <f>IFERROR(__xludf.DUMMYFUNCTION("""COMPUTED_VALUE"""),211043.0)</f>
        <v>211043</v>
      </c>
      <c r="X293" s="3" t="str">
        <f>IFERROR(__xludf.DUMMYFUNCTION("""COMPUTED_VALUE"""),"396/2 ถนนประชาพัฒนา แขวงทับยาว เขตลาดกระบัง กรุงเทพฯ 10520")</f>
        <v>396/2 ถนนประชาพัฒนา แขวงทับยาว เขตลาดกระบัง กรุงเทพฯ 10520</v>
      </c>
      <c r="Y293" s="3" t="str">
        <f>IFERROR(__xludf.DUMMYFUNCTION("""COMPUTED_VALUE"""),"ถนนประชาพัฒนา")</f>
        <v>ถนนประชาพัฒนา</v>
      </c>
      <c r="Z293" s="3" t="str">
        <f>IFERROR(__xludf.DUMMYFUNCTION("""COMPUTED_VALUE"""),"ทับยาว")</f>
        <v>ทับยาว</v>
      </c>
      <c r="AA293" s="3" t="str">
        <f>IFERROR(__xludf.DUMMYFUNCTION("""COMPUTED_VALUE"""),"ลาดกระบัง")</f>
        <v>ลาดกระบัง</v>
      </c>
      <c r="AB293" s="3" t="str">
        <f>IFERROR(__xludf.DUMMYFUNCTION("""COMPUTED_VALUE"""),"กรุงเทพมหานคร")</f>
        <v>กรุงเทพมหานคร</v>
      </c>
      <c r="AC293" s="3">
        <f>IFERROR(__xludf.DUMMYFUNCTION("""COMPUTED_VALUE"""),10520.0)</f>
        <v>10520</v>
      </c>
      <c r="AD293" s="3">
        <f>IFERROR(__xludf.DUMMYFUNCTION("""COMPUTED_VALUE"""),13.716216)</f>
        <v>13.716216</v>
      </c>
      <c r="AE293" s="3">
        <f>IFERROR(__xludf.DUMMYFUNCTION("""COMPUTED_VALUE"""),100.817776)</f>
        <v>100.817776</v>
      </c>
      <c r="AF293" s="3" t="str">
        <f>IFERROR(__xludf.DUMMYFUNCTION("""COMPUTED_VALUE"""),"MBC เอื้อฯ ลาดกระบัง2-21049")</f>
        <v>MBC เอื้อฯ ลาดกระบัง2-21049</v>
      </c>
      <c r="AG293" s="3" t="str">
        <f>IFERROR(__xludf.DUMMYFUNCTION("""COMPUTED_VALUE"""),"กลาง")</f>
        <v>กลาง</v>
      </c>
      <c r="AH293" s="3" t="str">
        <f>IFERROR(__xludf.DUMMYFUNCTION("""COMPUTED_VALUE"""),"#N/A")</f>
        <v>#N/A</v>
      </c>
      <c r="AI293" s="3" t="str">
        <f>IFERROR(__xludf.DUMMYFUNCTION("""COMPUTED_VALUE"""),"Out of warranty")</f>
        <v>Out of warranty</v>
      </c>
      <c r="AJ293" s="3">
        <f>IFERROR(__xludf.DUMMYFUNCTION("""COMPUTED_VALUE"""),170.0)</f>
        <v>170</v>
      </c>
      <c r="AK293" s="3" t="str">
        <f>IFERROR(__xludf.DUMMYFUNCTION("""COMPUTED_VALUE"""),"MMS03")</f>
        <v>MMS03</v>
      </c>
      <c r="AL293" s="3"/>
    </row>
    <row r="294" ht="15.75" customHeight="1">
      <c r="A294" s="1" t="str">
        <f>IFERROR(__xludf.DUMMYFUNCTION("""COMPUTED_VALUE"""),"21050")</f>
        <v>21050</v>
      </c>
      <c r="B294" s="2">
        <f>IFERROR(__xludf.DUMMYFUNCTION("""COMPUTED_VALUE"""),21050.0)</f>
        <v>21050</v>
      </c>
      <c r="C294" s="3" t="str">
        <f>IFERROR(__xludf.DUMMYFUNCTION("""COMPUTED_VALUE"""),"ราษฎร์พัฒนา")</f>
        <v>ราษฎร์พัฒนา</v>
      </c>
      <c r="D294" s="3" t="str">
        <f>IFERROR(__xludf.DUMMYFUNCTION("""COMPUTED_VALUE"""),"MBC RATPATTANA")</f>
        <v>MBC RATPATTANA</v>
      </c>
      <c r="E294" s="1" t="str">
        <f>IFERROR(__xludf.DUMMYFUNCTION("""COMPUTED_VALUE"""),"บิ๊กซี MINI")</f>
        <v>บิ๊กซี MINI</v>
      </c>
      <c r="F294" s="1" t="str">
        <f>IFERROR(__xludf.DUMMYFUNCTION("""COMPUTED_VALUE"""),"291008")</f>
        <v>291008</v>
      </c>
      <c r="G294" s="1" t="str">
        <f>IFERROR(__xludf.DUMMYFUNCTION("""COMPUTED_VALUE"""),"น.ส.รัชดาพร อีศรัตน์")</f>
        <v>น.ส.รัชดาพร อีศรัตน์</v>
      </c>
      <c r="H294" s="1" t="str">
        <f>IFERROR(__xludf.DUMMYFUNCTION("""COMPUTED_VALUE"""),"034068")</f>
        <v>034068</v>
      </c>
      <c r="I294" s="1" t="str">
        <f>IFERROR(__xludf.DUMMYFUNCTION("""COMPUTED_VALUE"""),"นายสมศักดิ์ ฐานทองดี")</f>
        <v>นายสมศักดิ์ ฐานทองดี</v>
      </c>
      <c r="J294" s="3">
        <f>IFERROR(__xludf.DUMMYFUNCTION("""COMPUTED_VALUE"""),3510104.0)</f>
        <v>3510104</v>
      </c>
      <c r="K294" s="3" t="str">
        <f>IFERROR(__xludf.DUMMYFUNCTION("""COMPUTED_VALUE"""),"นายวิโรจน์ อับดุลสมัด")</f>
        <v>นายวิโรจน์ อับดุลสมัด</v>
      </c>
      <c r="L294" s="1" t="str">
        <f>IFERROR(__xludf.DUMMYFUNCTION("""COMPUTED_VALUE"""),"09 K.Wirode A")</f>
        <v>09 K.Wirode A</v>
      </c>
      <c r="M294" s="1" t="str">
        <f>IFERROR(__xludf.DUMMYFUNCTION("""COMPUTED_VALUE"""),"080-235-4465")</f>
        <v>080-235-4465</v>
      </c>
      <c r="N294" s="3">
        <f>IFERROR(__xludf.DUMMYFUNCTION("""COMPUTED_VALUE"""),21324.0)</f>
        <v>21324</v>
      </c>
      <c r="O294" s="3" t="str">
        <f>IFERROR(__xludf.DUMMYFUNCTION("""COMPUTED_VALUE"""),"MBC BCP สุวินทวงศ์")</f>
        <v>MBC BCP สุวินทวงศ์</v>
      </c>
      <c r="P294" s="4">
        <f>IFERROR(__xludf.DUMMYFUNCTION("""COMPUTED_VALUE"""),40889.0)</f>
        <v>40889</v>
      </c>
      <c r="Q294" s="3" t="str">
        <f>IFERROR(__xludf.DUMMYFUNCTION("""COMPUTED_VALUE"""),"I")</f>
        <v>I</v>
      </c>
      <c r="R294" s="3" t="str">
        <f>IFERROR(__xludf.DUMMYFUNCTION("""COMPUTED_VALUE"""),"Small Format")</f>
        <v>Small Format</v>
      </c>
      <c r="S294" s="3" t="str">
        <f>IFERROR(__xludf.DUMMYFUNCTION("""COMPUTED_VALUE"""),"BCM")</f>
        <v>BCM</v>
      </c>
      <c r="T294" s="3" t="str">
        <f>IFERROR(__xludf.DUMMYFUNCTION("""COMPUTED_VALUE"""),"#N/A")</f>
        <v>#N/A</v>
      </c>
      <c r="U294" s="3" t="str">
        <f>IFERROR(__xludf.DUMMYFUNCTION("""COMPUTED_VALUE"""),"#N/A")</f>
        <v>#N/A</v>
      </c>
      <c r="V294" s="3" t="str">
        <f>IFERROR(__xludf.DUMMYFUNCTION("""COMPUTED_VALUE"""),"N")</f>
        <v>N</v>
      </c>
      <c r="W294" s="3">
        <f>IFERROR(__xludf.DUMMYFUNCTION("""COMPUTED_VALUE"""),0.0)</f>
        <v>0</v>
      </c>
      <c r="X294" s="3" t="str">
        <f>IFERROR(__xludf.DUMMYFUNCTION("""COMPUTED_VALUE"""),"128/1 ถนนราษฎร์พัฒนา ตำบลสะพานสูง อำเภอสะพานสูง กรุงเทพฯ 10240")</f>
        <v>128/1 ถนนราษฎร์พัฒนา ตำบลสะพานสูง อำเภอสะพานสูง กรุงเทพฯ 10240</v>
      </c>
      <c r="Y294" s="3" t="str">
        <f>IFERROR(__xludf.DUMMYFUNCTION("""COMPUTED_VALUE"""),"ถนนราษฎร์พัฒนา")</f>
        <v>ถนนราษฎร์พัฒนา</v>
      </c>
      <c r="Z294" s="3" t="str">
        <f>IFERROR(__xludf.DUMMYFUNCTION("""COMPUTED_VALUE"""),"สะพานสูง")</f>
        <v>สะพานสูง</v>
      </c>
      <c r="AA294" s="3" t="str">
        <f>IFERROR(__xludf.DUMMYFUNCTION("""COMPUTED_VALUE"""),"สะพานสูง")</f>
        <v>สะพานสูง</v>
      </c>
      <c r="AB294" s="3" t="str">
        <f>IFERROR(__xludf.DUMMYFUNCTION("""COMPUTED_VALUE"""),"กรุงเทพมหานคร")</f>
        <v>กรุงเทพมหานคร</v>
      </c>
      <c r="AC294" s="3">
        <f>IFERROR(__xludf.DUMMYFUNCTION("""COMPUTED_VALUE"""),10240.0)</f>
        <v>10240</v>
      </c>
      <c r="AD294" s="3" t="str">
        <f>IFERROR(__xludf.DUMMYFUNCTION("""COMPUTED_VALUE"""),"#N/A")</f>
        <v>#N/A</v>
      </c>
      <c r="AE294" s="3" t="str">
        <f>IFERROR(__xludf.DUMMYFUNCTION("""COMPUTED_VALUE"""),"#N/A")</f>
        <v>#N/A</v>
      </c>
      <c r="AF294" s="3" t="str">
        <f>IFERROR(__xludf.DUMMYFUNCTION("""COMPUTED_VALUE"""),"ราษฎร์พัฒนา-21050")</f>
        <v>ราษฎร์พัฒนา-21050</v>
      </c>
      <c r="AG294" s="3" t="str">
        <f>IFERROR(__xludf.DUMMYFUNCTION("""COMPUTED_VALUE"""),"กลาง")</f>
        <v>กลาง</v>
      </c>
      <c r="AH294" s="3" t="str">
        <f>IFERROR(__xludf.DUMMYFUNCTION("""COMPUTED_VALUE"""),"#N/A")</f>
        <v>#N/A</v>
      </c>
      <c r="AI294" s="3" t="str">
        <f>IFERROR(__xludf.DUMMYFUNCTION("""COMPUTED_VALUE"""),"Out of warranty")</f>
        <v>Out of warranty</v>
      </c>
      <c r="AJ294" s="3">
        <f>IFERROR(__xludf.DUMMYFUNCTION("""COMPUTED_VALUE"""),170.0)</f>
        <v>170</v>
      </c>
      <c r="AK294" s="3"/>
      <c r="AL294" s="3"/>
    </row>
    <row r="295" ht="15.75" customHeight="1">
      <c r="A295" s="1" t="str">
        <f>IFERROR(__xludf.DUMMYFUNCTION("""COMPUTED_VALUE"""),"21051")</f>
        <v>21051</v>
      </c>
      <c r="B295" s="2">
        <f>IFERROR(__xludf.DUMMYFUNCTION("""COMPUTED_VALUE"""),21051.0)</f>
        <v>21051</v>
      </c>
      <c r="C295" s="3" t="str">
        <f>IFERROR(__xludf.DUMMYFUNCTION("""COMPUTED_VALUE"""),"MBC วัดนาวง")</f>
        <v>MBC วัดนาวง</v>
      </c>
      <c r="D295" s="3" t="str">
        <f>IFERROR(__xludf.DUMMYFUNCTION("""COMPUTED_VALUE"""),"BCM WAT NAWONG")</f>
        <v>BCM WAT NAWONG</v>
      </c>
      <c r="E295" s="1" t="str">
        <f>IFERROR(__xludf.DUMMYFUNCTION("""COMPUTED_VALUE"""),"บิ๊กซี MINI")</f>
        <v>บิ๊กซี MINI</v>
      </c>
      <c r="F295" s="1" t="str">
        <f>IFERROR(__xludf.DUMMYFUNCTION("""COMPUTED_VALUE"""),"291008")</f>
        <v>291008</v>
      </c>
      <c r="G295" s="1" t="str">
        <f>IFERROR(__xludf.DUMMYFUNCTION("""COMPUTED_VALUE"""),"น.ส.รัชดาพร อีศรัตน์")</f>
        <v>น.ส.รัชดาพร อีศรัตน์</v>
      </c>
      <c r="H295" s="1" t="str">
        <f>IFERROR(__xludf.DUMMYFUNCTION("""COMPUTED_VALUE"""),"373540")</f>
        <v>373540</v>
      </c>
      <c r="I295" s="1" t="str">
        <f>IFERROR(__xludf.DUMMYFUNCTION("""COMPUTED_VALUE"""),"นายทศพร พึ่งพบ")</f>
        <v>นายทศพร พึ่งพบ</v>
      </c>
      <c r="J295" s="3">
        <f>IFERROR(__xludf.DUMMYFUNCTION("""COMPUTED_VALUE"""),296728.0)</f>
        <v>296728</v>
      </c>
      <c r="K295" s="3" t="str">
        <f>IFERROR(__xludf.DUMMYFUNCTION("""COMPUTED_VALUE"""),"นายธิติ บัวทองรังสิมา")</f>
        <v>นายธิติ บัวทองรังสิมา</v>
      </c>
      <c r="L295" s="1" t="str">
        <f>IFERROR(__xludf.DUMMYFUNCTION("""COMPUTED_VALUE"""),"นายธิติ บัวทองรังสิมา")</f>
        <v>นายธิติ บัวทองรังสิมา</v>
      </c>
      <c r="M295" s="1" t="str">
        <f>IFERROR(__xludf.DUMMYFUNCTION("""COMPUTED_VALUE"""),"0920849994")</f>
        <v>0920849994</v>
      </c>
      <c r="N295" s="3">
        <f>IFERROR(__xludf.DUMMYFUNCTION("""COMPUTED_VALUE"""),21012.0)</f>
        <v>21012</v>
      </c>
      <c r="O295" s="3" t="str">
        <f>IFERROR(__xludf.DUMMYFUNCTION("""COMPUTED_VALUE"""),"MBC ท่าอิฐ")</f>
        <v>MBC ท่าอิฐ</v>
      </c>
      <c r="P295" s="4">
        <f>IFERROR(__xludf.DUMMYFUNCTION("""COMPUTED_VALUE"""),40926.0)</f>
        <v>40926</v>
      </c>
      <c r="Q295" s="3" t="str">
        <f>IFERROR(__xludf.DUMMYFUNCTION("""COMPUTED_VALUE"""),"I")</f>
        <v>I</v>
      </c>
      <c r="R295" s="3" t="str">
        <f>IFERROR(__xludf.DUMMYFUNCTION("""COMPUTED_VALUE"""),"Small Format")</f>
        <v>Small Format</v>
      </c>
      <c r="S295" s="3" t="str">
        <f>IFERROR(__xludf.DUMMYFUNCTION("""COMPUTED_VALUE"""),"BCM")</f>
        <v>BCM</v>
      </c>
      <c r="T295" s="3" t="str">
        <f>IFERROR(__xludf.DUMMYFUNCTION("""COMPUTED_VALUE"""),"#N/A")</f>
        <v>#N/A</v>
      </c>
      <c r="U295" s="3" t="str">
        <f>IFERROR(__xludf.DUMMYFUNCTION("""COMPUTED_VALUE"""),"#N/A")</f>
        <v>#N/A</v>
      </c>
      <c r="V295" s="3" t="str">
        <f>IFERROR(__xludf.DUMMYFUNCTION("""COMPUTED_VALUE"""),"N")</f>
        <v>N</v>
      </c>
      <c r="W295" s="3">
        <f>IFERROR(__xludf.DUMMYFUNCTION("""COMPUTED_VALUE"""),211049.0)</f>
        <v>211049</v>
      </c>
      <c r="X295" s="3" t="str">
        <f>IFERROR(__xludf.DUMMYFUNCTION("""COMPUTED_VALUE"""),"373/81-82 ถนนนาวงประชาพัฒนา แขวงสีกัน เขตดอนเมือง กรุงเทพฯ 10210")</f>
        <v>373/81-82 ถนนนาวงประชาพัฒนา แขวงสีกัน เขตดอนเมือง กรุงเทพฯ 10210</v>
      </c>
      <c r="Y295" s="3" t="str">
        <f>IFERROR(__xludf.DUMMYFUNCTION("""COMPUTED_VALUE"""),"ถนนนาวงประชาพัฒนา")</f>
        <v>ถนนนาวงประชาพัฒนา</v>
      </c>
      <c r="Z295" s="3" t="str">
        <f>IFERROR(__xludf.DUMMYFUNCTION("""COMPUTED_VALUE"""),"สีกัน")</f>
        <v>สีกัน</v>
      </c>
      <c r="AA295" s="3" t="str">
        <f>IFERROR(__xludf.DUMMYFUNCTION("""COMPUTED_VALUE"""),"ดอนเมือง")</f>
        <v>ดอนเมือง</v>
      </c>
      <c r="AB295" s="3" t="str">
        <f>IFERROR(__xludf.DUMMYFUNCTION("""COMPUTED_VALUE"""),"กรุงเทพมหานคร")</f>
        <v>กรุงเทพมหานคร</v>
      </c>
      <c r="AC295" s="3">
        <f>IFERROR(__xludf.DUMMYFUNCTION("""COMPUTED_VALUE"""),10210.0)</f>
        <v>10210</v>
      </c>
      <c r="AD295" s="3">
        <f>IFERROR(__xludf.DUMMYFUNCTION("""COMPUTED_VALUE"""),13.949934)</f>
        <v>13.949934</v>
      </c>
      <c r="AE295" s="3">
        <f>IFERROR(__xludf.DUMMYFUNCTION("""COMPUTED_VALUE"""),100.572412)</f>
        <v>100.572412</v>
      </c>
      <c r="AF295" s="3" t="str">
        <f>IFERROR(__xludf.DUMMYFUNCTION("""COMPUTED_VALUE"""),"MBC วัดนาวง-21051")</f>
        <v>MBC วัดนาวง-21051</v>
      </c>
      <c r="AG295" s="3" t="str">
        <f>IFERROR(__xludf.DUMMYFUNCTION("""COMPUTED_VALUE"""),"กลาง")</f>
        <v>กลาง</v>
      </c>
      <c r="AH295" s="3" t="str">
        <f>IFERROR(__xludf.DUMMYFUNCTION("""COMPUTED_VALUE"""),"#N/A")</f>
        <v>#N/A</v>
      </c>
      <c r="AI295" s="3" t="str">
        <f>IFERROR(__xludf.DUMMYFUNCTION("""COMPUTED_VALUE"""),"Out of warranty")</f>
        <v>Out of warranty</v>
      </c>
      <c r="AJ295" s="3">
        <f>IFERROR(__xludf.DUMMYFUNCTION("""COMPUTED_VALUE"""),169.0)</f>
        <v>169</v>
      </c>
      <c r="AK295" s="3"/>
      <c r="AL295" s="3"/>
    </row>
    <row r="296" ht="15.75" customHeight="1">
      <c r="A296" s="1" t="str">
        <f>IFERROR(__xludf.DUMMYFUNCTION("""COMPUTED_VALUE"""),"21052")</f>
        <v>21052</v>
      </c>
      <c r="B296" s="2">
        <f>IFERROR(__xludf.DUMMYFUNCTION("""COMPUTED_VALUE"""),21052.0)</f>
        <v>21052</v>
      </c>
      <c r="C296" s="3" t="str">
        <f>IFERROR(__xludf.DUMMYFUNCTION("""COMPUTED_VALUE"""),"MBC ซาฟารีเวิลด์")</f>
        <v>MBC ซาฟารีเวิลด์</v>
      </c>
      <c r="D296" s="3" t="str">
        <f>IFERROR(__xludf.DUMMYFUNCTION("""COMPUTED_VALUE"""),"BCM SAFARI WORLD")</f>
        <v>BCM SAFARI WORLD</v>
      </c>
      <c r="E296" s="1" t="str">
        <f>IFERROR(__xludf.DUMMYFUNCTION("""COMPUTED_VALUE"""),"บิ๊กซี MINI")</f>
        <v>บิ๊กซี MINI</v>
      </c>
      <c r="F296" s="1" t="str">
        <f>IFERROR(__xludf.DUMMYFUNCTION("""COMPUTED_VALUE"""),"291008")</f>
        <v>291008</v>
      </c>
      <c r="G296" s="1" t="str">
        <f>IFERROR(__xludf.DUMMYFUNCTION("""COMPUTED_VALUE"""),"น.ส.รัชดาพร อีศรัตน์")</f>
        <v>น.ส.รัชดาพร อีศรัตน์</v>
      </c>
      <c r="H296" s="1" t="str">
        <f>IFERROR(__xludf.DUMMYFUNCTION("""COMPUTED_VALUE"""),"288639")</f>
        <v>288639</v>
      </c>
      <c r="I296" s="1" t="str">
        <f>IFERROR(__xludf.DUMMYFUNCTION("""COMPUTED_VALUE"""),"น.ส.สมหญิง สีชมภู")</f>
        <v>น.ส.สมหญิง สีชมภู</v>
      </c>
      <c r="J296" s="3">
        <f>IFERROR(__xludf.DUMMYFUNCTION("""COMPUTED_VALUE"""),3510104.0)</f>
        <v>3510104</v>
      </c>
      <c r="K296" s="3" t="str">
        <f>IFERROR(__xludf.DUMMYFUNCTION("""COMPUTED_VALUE"""),"นายวิโรจน์ อับดุลสมัด")</f>
        <v>นายวิโรจน์ อับดุลสมัด</v>
      </c>
      <c r="L296" s="1" t="str">
        <f>IFERROR(__xludf.DUMMYFUNCTION("""COMPUTED_VALUE"""),"09 K.Wirode A")</f>
        <v>09 K.Wirode A</v>
      </c>
      <c r="M296" s="1" t="str">
        <f>IFERROR(__xludf.DUMMYFUNCTION("""COMPUTED_VALUE"""),"080-235-4465")</f>
        <v>080-235-4465</v>
      </c>
      <c r="N296" s="3">
        <f>IFERROR(__xludf.DUMMYFUNCTION("""COMPUTED_VALUE"""),21324.0)</f>
        <v>21324</v>
      </c>
      <c r="O296" s="3" t="str">
        <f>IFERROR(__xludf.DUMMYFUNCTION("""COMPUTED_VALUE"""),"MBC BCP สุวินทวงศ์")</f>
        <v>MBC BCP สุวินทวงศ์</v>
      </c>
      <c r="P296" s="4">
        <f>IFERROR(__xludf.DUMMYFUNCTION("""COMPUTED_VALUE"""),40938.0)</f>
        <v>40938</v>
      </c>
      <c r="Q296" s="3" t="str">
        <f>IFERROR(__xludf.DUMMYFUNCTION("""COMPUTED_VALUE"""),"I")</f>
        <v>I</v>
      </c>
      <c r="R296" s="3" t="str">
        <f>IFERROR(__xludf.DUMMYFUNCTION("""COMPUTED_VALUE"""),"Small Format")</f>
        <v>Small Format</v>
      </c>
      <c r="S296" s="3" t="str">
        <f>IFERROR(__xludf.DUMMYFUNCTION("""COMPUTED_VALUE"""),"BCM")</f>
        <v>BCM</v>
      </c>
      <c r="T296" s="3" t="str">
        <f>IFERROR(__xludf.DUMMYFUNCTION("""COMPUTED_VALUE"""),"#N/A")</f>
        <v>#N/A</v>
      </c>
      <c r="U296" s="3" t="str">
        <f>IFERROR(__xludf.DUMMYFUNCTION("""COMPUTED_VALUE"""),"#N/A")</f>
        <v>#N/A</v>
      </c>
      <c r="V296" s="3" t="str">
        <f>IFERROR(__xludf.DUMMYFUNCTION("""COMPUTED_VALUE"""),"N")</f>
        <v>N</v>
      </c>
      <c r="W296" s="3">
        <f>IFERROR(__xludf.DUMMYFUNCTION("""COMPUTED_VALUE"""),211050.0)</f>
        <v>211050</v>
      </c>
      <c r="X296" s="3" t="str">
        <f>IFERROR(__xludf.DUMMYFUNCTION("""COMPUTED_VALUE"""),"371 ถนนเลียบคลองสอง แขวงบางชัน เขตคลองสามวา กรุงเทพฯ 10510")</f>
        <v>371 ถนนเลียบคลองสอง แขวงบางชัน เขตคลองสามวา กรุงเทพฯ 10510</v>
      </c>
      <c r="Y296" s="3" t="str">
        <f>IFERROR(__xludf.DUMMYFUNCTION("""COMPUTED_VALUE"""),"ถนนเลียบคลองสอง")</f>
        <v>ถนนเลียบคลองสอง</v>
      </c>
      <c r="Z296" s="3" t="str">
        <f>IFERROR(__xludf.DUMMYFUNCTION("""COMPUTED_VALUE"""),"บางชัน")</f>
        <v>บางชัน</v>
      </c>
      <c r="AA296" s="3" t="str">
        <f>IFERROR(__xludf.DUMMYFUNCTION("""COMPUTED_VALUE"""),"คลองสามวา")</f>
        <v>คลองสามวา</v>
      </c>
      <c r="AB296" s="3" t="str">
        <f>IFERROR(__xludf.DUMMYFUNCTION("""COMPUTED_VALUE"""),"กรุงเทพมหานคร")</f>
        <v>กรุงเทพมหานคร</v>
      </c>
      <c r="AC296" s="3">
        <f>IFERROR(__xludf.DUMMYFUNCTION("""COMPUTED_VALUE"""),10510.0)</f>
        <v>10510</v>
      </c>
      <c r="AD296" s="3">
        <f>IFERROR(__xludf.DUMMYFUNCTION("""COMPUTED_VALUE"""),13.860976)</f>
        <v>13.860976</v>
      </c>
      <c r="AE296" s="3">
        <f>IFERROR(__xludf.DUMMYFUNCTION("""COMPUTED_VALUE"""),100.708448)</f>
        <v>100.708448</v>
      </c>
      <c r="AF296" s="3" t="str">
        <f>IFERROR(__xludf.DUMMYFUNCTION("""COMPUTED_VALUE"""),"MBC ซาฟารีเวิลด์-21052")</f>
        <v>MBC ซาฟารีเวิลด์-21052</v>
      </c>
      <c r="AG296" s="3" t="str">
        <f>IFERROR(__xludf.DUMMYFUNCTION("""COMPUTED_VALUE"""),"กลาง")</f>
        <v>กลาง</v>
      </c>
      <c r="AH296" s="3" t="str">
        <f>IFERROR(__xludf.DUMMYFUNCTION("""COMPUTED_VALUE"""),"#N/A")</f>
        <v>#N/A</v>
      </c>
      <c r="AI296" s="3" t="str">
        <f>IFERROR(__xludf.DUMMYFUNCTION("""COMPUTED_VALUE"""),"Out of warranty")</f>
        <v>Out of warranty</v>
      </c>
      <c r="AJ296" s="3">
        <f>IFERROR(__xludf.DUMMYFUNCTION("""COMPUTED_VALUE"""),168.0)</f>
        <v>168</v>
      </c>
      <c r="AK296" s="3"/>
      <c r="AL296" s="3"/>
    </row>
    <row r="297" ht="15.75" customHeight="1">
      <c r="A297" s="1" t="str">
        <f>IFERROR(__xludf.DUMMYFUNCTION("""COMPUTED_VALUE"""),"21053")</f>
        <v>21053</v>
      </c>
      <c r="B297" s="2">
        <f>IFERROR(__xludf.DUMMYFUNCTION("""COMPUTED_VALUE"""),21053.0)</f>
        <v>21053</v>
      </c>
      <c r="C297" s="3" t="str">
        <f>IFERROR(__xludf.DUMMYFUNCTION("""COMPUTED_VALUE"""),"MBC แหลมฟ้าผ่า")</f>
        <v>MBC แหลมฟ้าผ่า</v>
      </c>
      <c r="D297" s="3" t="str">
        <f>IFERROR(__xludf.DUMMYFUNCTION("""COMPUTED_VALUE"""),"BCM LAEMFAPA")</f>
        <v>BCM LAEMFAPA</v>
      </c>
      <c r="E297" s="1" t="str">
        <f>IFERROR(__xludf.DUMMYFUNCTION("""COMPUTED_VALUE"""),"บิ๊กซี MINI")</f>
        <v>บิ๊กซี MINI</v>
      </c>
      <c r="F297" s="1" t="str">
        <f>IFERROR(__xludf.DUMMYFUNCTION("""COMPUTED_VALUE"""),"2083447")</f>
        <v>2083447</v>
      </c>
      <c r="G297" s="1" t="str">
        <f>IFERROR(__xludf.DUMMYFUNCTION("""COMPUTED_VALUE"""),"นายอนุกูล ศรีลัดดา")</f>
        <v>นายอนุกูล ศรีลัดดา</v>
      </c>
      <c r="H297" s="1" t="str">
        <f>IFERROR(__xludf.DUMMYFUNCTION("""COMPUTED_VALUE"""),"379037")</f>
        <v>379037</v>
      </c>
      <c r="I297" s="1" t="str">
        <f>IFERROR(__xludf.DUMMYFUNCTION("""COMPUTED_VALUE"""),"นางแก้วใจ แก้วกาญจน์")</f>
        <v>นางแก้วใจ แก้วกาญจน์</v>
      </c>
      <c r="J297" s="3">
        <f>IFERROR(__xludf.DUMMYFUNCTION("""COMPUTED_VALUE"""),2451655.0)</f>
        <v>2451655</v>
      </c>
      <c r="K297" s="3" t="str">
        <f>IFERROR(__xludf.DUMMYFUNCTION("""COMPUTED_VALUE"""),"นายวิษณุพงษ์ ชินบุตร")</f>
        <v>นายวิษณุพงษ์ ชินบุตร</v>
      </c>
      <c r="L297" s="1" t="str">
        <f>IFERROR(__xludf.DUMMYFUNCTION("""COMPUTED_VALUE"""),"13 K.Wisanupong Ch")</f>
        <v>13 K.Wisanupong Ch</v>
      </c>
      <c r="M297" s="1" t="str">
        <f>IFERROR(__xludf.DUMMYFUNCTION("""COMPUTED_VALUE"""),"0843374693")</f>
        <v>0843374693</v>
      </c>
      <c r="N297" s="3">
        <f>IFERROR(__xludf.DUMMYFUNCTION("""COMPUTED_VALUE"""),22729.0)</f>
        <v>22729</v>
      </c>
      <c r="O297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297" s="4">
        <f>IFERROR(__xludf.DUMMYFUNCTION("""COMPUTED_VALUE"""),40938.0)</f>
        <v>40938</v>
      </c>
      <c r="Q297" s="3" t="str">
        <f>IFERROR(__xludf.DUMMYFUNCTION("""COMPUTED_VALUE"""),"A")</f>
        <v>A</v>
      </c>
      <c r="R297" s="3" t="str">
        <f>IFERROR(__xludf.DUMMYFUNCTION("""COMPUTED_VALUE"""),"Small Format")</f>
        <v>Small Format</v>
      </c>
      <c r="S297" s="3" t="str">
        <f>IFERROR(__xludf.DUMMYFUNCTION("""COMPUTED_VALUE"""),"BCM")</f>
        <v>BCM</v>
      </c>
      <c r="T297" s="3" t="str">
        <f>IFERROR(__xludf.DUMMYFUNCTION("""COMPUTED_VALUE"""),"#N/A")</f>
        <v>#N/A</v>
      </c>
      <c r="U297" s="3" t="str">
        <f>IFERROR(__xludf.DUMMYFUNCTION("""COMPUTED_VALUE"""),"#N/A")</f>
        <v>#N/A</v>
      </c>
      <c r="V297" s="3" t="str">
        <f>IFERROR(__xludf.DUMMYFUNCTION("""COMPUTED_VALUE"""),"N")</f>
        <v>N</v>
      </c>
      <c r="W297" s="3">
        <f>IFERROR(__xludf.DUMMYFUNCTION("""COMPUTED_VALUE"""),211055.0)</f>
        <v>211055</v>
      </c>
      <c r="X297" s="3" t="str">
        <f>IFERROR(__xludf.DUMMYFUNCTION("""COMPUTED_VALUE"""),"181/4 หมู่ 1 ตำบลแหลมฟ้าผ่า อำเภอพระสมุทรเจดีย์ จังหวัดสมุทรปราการ 10290")</f>
        <v>181/4 หมู่ 1 ตำบลแหลมฟ้าผ่า อำเภอพระสมุทรเจดีย์ จังหวัดสมุทรปราการ 10290</v>
      </c>
      <c r="Y297" s="3"/>
      <c r="Z297" s="3" t="str">
        <f>IFERROR(__xludf.DUMMYFUNCTION("""COMPUTED_VALUE"""),"แหลมฟ้าผ่า")</f>
        <v>แหลมฟ้าผ่า</v>
      </c>
      <c r="AA297" s="3" t="str">
        <f>IFERROR(__xludf.DUMMYFUNCTION("""COMPUTED_VALUE"""),"พระสมุทรเจดีย์")</f>
        <v>พระสมุทรเจดีย์</v>
      </c>
      <c r="AB297" s="3" t="str">
        <f>IFERROR(__xludf.DUMMYFUNCTION("""COMPUTED_VALUE"""),"สมุทรปราการ")</f>
        <v>สมุทรปราการ</v>
      </c>
      <c r="AC297" s="3">
        <f>IFERROR(__xludf.DUMMYFUNCTION("""COMPUTED_VALUE"""),10290.0)</f>
        <v>10290</v>
      </c>
      <c r="AD297" s="3">
        <f>IFERROR(__xludf.DUMMYFUNCTION("""COMPUTED_VALUE"""),13.577144)</f>
        <v>13.577144</v>
      </c>
      <c r="AE297" s="3">
        <f>IFERROR(__xludf.DUMMYFUNCTION("""COMPUTED_VALUE"""),100.574607)</f>
        <v>100.574607</v>
      </c>
      <c r="AF297" s="3" t="str">
        <f>IFERROR(__xludf.DUMMYFUNCTION("""COMPUTED_VALUE"""),"MBC แหลมฟ้าผ่า-21053")</f>
        <v>MBC แหลมฟ้าผ่า-21053</v>
      </c>
      <c r="AG297" s="3" t="str">
        <f>IFERROR(__xludf.DUMMYFUNCTION("""COMPUTED_VALUE"""),"กลาง")</f>
        <v>กลาง</v>
      </c>
      <c r="AH297" s="3" t="str">
        <f>IFERROR(__xludf.DUMMYFUNCTION("""COMPUTED_VALUE"""),"#N/A")</f>
        <v>#N/A</v>
      </c>
      <c r="AI297" s="3" t="str">
        <f>IFERROR(__xludf.DUMMYFUNCTION("""COMPUTED_VALUE"""),"Out of warranty")</f>
        <v>Out of warranty</v>
      </c>
      <c r="AJ297" s="3">
        <f>IFERROR(__xludf.DUMMYFUNCTION("""COMPUTED_VALUE"""),168.0)</f>
        <v>168</v>
      </c>
      <c r="AK297" s="3" t="str">
        <f>IFERROR(__xludf.DUMMYFUNCTION("""COMPUTED_VALUE"""),"MMS02")</f>
        <v>MMS02</v>
      </c>
      <c r="AL297" s="3"/>
    </row>
    <row r="298" ht="15.75" customHeight="1">
      <c r="A298" s="1" t="str">
        <f>IFERROR(__xludf.DUMMYFUNCTION("""COMPUTED_VALUE"""),"21054")</f>
        <v>21054</v>
      </c>
      <c r="B298" s="2">
        <f>IFERROR(__xludf.DUMMYFUNCTION("""COMPUTED_VALUE"""),21054.0)</f>
        <v>21054</v>
      </c>
      <c r="C298" s="3" t="str">
        <f>IFERROR(__xludf.DUMMYFUNCTION("""COMPUTED_VALUE"""),"นานาเจริญ")</f>
        <v>นานาเจริญ</v>
      </c>
      <c r="D298" s="3" t="str">
        <f>IFERROR(__xludf.DUMMYFUNCTION("""COMPUTED_VALUE"""),"MBC NANA CHAROEN")</f>
        <v>MBC NANA CHAROEN</v>
      </c>
      <c r="E298" s="1" t="str">
        <f>IFERROR(__xludf.DUMMYFUNCTION("""COMPUTED_VALUE"""),"บิ๊กซี MINI")</f>
        <v>บิ๊กซี MINI</v>
      </c>
      <c r="F298" s="1" t="str">
        <f>IFERROR(__xludf.DUMMYFUNCTION("""COMPUTED_VALUE"""),"291008")</f>
        <v>291008</v>
      </c>
      <c r="G298" s="1" t="str">
        <f>IFERROR(__xludf.DUMMYFUNCTION("""COMPUTED_VALUE"""),"น.ส.รัชดาพร อีศรัตน์")</f>
        <v>น.ส.รัชดาพร อีศรัตน์</v>
      </c>
      <c r="H298" s="1" t="str">
        <f>IFERROR(__xludf.DUMMYFUNCTION("""COMPUTED_VALUE"""),"288639")</f>
        <v>288639</v>
      </c>
      <c r="I298" s="1" t="str">
        <f>IFERROR(__xludf.DUMMYFUNCTION("""COMPUTED_VALUE"""),"น.ส.สมหญิง สีชมภู")</f>
        <v>น.ส.สมหญิง สีชมภู</v>
      </c>
      <c r="J298" s="3">
        <f>IFERROR(__xludf.DUMMYFUNCTION("""COMPUTED_VALUE"""),3510104.0)</f>
        <v>3510104</v>
      </c>
      <c r="K298" s="3" t="str">
        <f>IFERROR(__xludf.DUMMYFUNCTION("""COMPUTED_VALUE"""),"นายวิโรจน์ อับดุลสมัด")</f>
        <v>นายวิโรจน์ อับดุลสมัด</v>
      </c>
      <c r="L298" s="1" t="str">
        <f>IFERROR(__xludf.DUMMYFUNCTION("""COMPUTED_VALUE"""),"09 K.Wirode A")</f>
        <v>09 K.Wirode A</v>
      </c>
      <c r="M298" s="1" t="str">
        <f>IFERROR(__xludf.DUMMYFUNCTION("""COMPUTED_VALUE"""),"080-235-4465")</f>
        <v>080-235-4465</v>
      </c>
      <c r="N298" s="3">
        <f>IFERROR(__xludf.DUMMYFUNCTION("""COMPUTED_VALUE"""),21324.0)</f>
        <v>21324</v>
      </c>
      <c r="O298" s="3" t="str">
        <f>IFERROR(__xludf.DUMMYFUNCTION("""COMPUTED_VALUE"""),"MBC BCP สุวินทวงศ์")</f>
        <v>MBC BCP สุวินทวงศ์</v>
      </c>
      <c r="P298" s="4">
        <f>IFERROR(__xludf.DUMMYFUNCTION("""COMPUTED_VALUE"""),40939.0)</f>
        <v>40939</v>
      </c>
      <c r="Q298" s="3" t="str">
        <f>IFERROR(__xludf.DUMMYFUNCTION("""COMPUTED_VALUE"""),"I")</f>
        <v>I</v>
      </c>
      <c r="R298" s="3" t="str">
        <f>IFERROR(__xludf.DUMMYFUNCTION("""COMPUTED_VALUE"""),"Small Format")</f>
        <v>Small Format</v>
      </c>
      <c r="S298" s="3" t="str">
        <f>IFERROR(__xludf.DUMMYFUNCTION("""COMPUTED_VALUE"""),"BCM")</f>
        <v>BCM</v>
      </c>
      <c r="T298" s="3" t="str">
        <f>IFERROR(__xludf.DUMMYFUNCTION("""COMPUTED_VALUE"""),"#N/A")</f>
        <v>#N/A</v>
      </c>
      <c r="U298" s="3" t="str">
        <f>IFERROR(__xludf.DUMMYFUNCTION("""COMPUTED_VALUE"""),"#N/A")</f>
        <v>#N/A</v>
      </c>
      <c r="V298" s="3" t="str">
        <f>IFERROR(__xludf.DUMMYFUNCTION("""COMPUTED_VALUE"""),"N")</f>
        <v>N</v>
      </c>
      <c r="W298" s="3">
        <f>IFERROR(__xludf.DUMMYFUNCTION("""COMPUTED_VALUE"""),0.0)</f>
        <v>0</v>
      </c>
      <c r="X298" s="3" t="str">
        <f>IFERROR(__xludf.DUMMYFUNCTION("""COMPUTED_VALUE"""),"23/6 หมู่ 6 ตำบลคูคต อำเภอลำลูกกา จังหวัดปทุมธานี 12130")</f>
        <v>23/6 หมู่ 6 ตำบลคูคต อำเภอลำลูกกา จังหวัดปทุมธานี 12130</v>
      </c>
      <c r="Y298" s="3"/>
      <c r="Z298" s="3" t="str">
        <f>IFERROR(__xludf.DUMMYFUNCTION("""COMPUTED_VALUE"""),"คูคต")</f>
        <v>คูคต</v>
      </c>
      <c r="AA298" s="3" t="str">
        <f>IFERROR(__xludf.DUMMYFUNCTION("""COMPUTED_VALUE"""),"ลำลูกกา")</f>
        <v>ลำลูกกา</v>
      </c>
      <c r="AB298" s="3" t="str">
        <f>IFERROR(__xludf.DUMMYFUNCTION("""COMPUTED_VALUE"""),"ปทุมธานี")</f>
        <v>ปทุมธานี</v>
      </c>
      <c r="AC298" s="3">
        <f>IFERROR(__xludf.DUMMYFUNCTION("""COMPUTED_VALUE"""),12130.0)</f>
        <v>12130</v>
      </c>
      <c r="AD298" s="3" t="str">
        <f>IFERROR(__xludf.DUMMYFUNCTION("""COMPUTED_VALUE"""),"#N/A")</f>
        <v>#N/A</v>
      </c>
      <c r="AE298" s="3" t="str">
        <f>IFERROR(__xludf.DUMMYFUNCTION("""COMPUTED_VALUE"""),"#N/A")</f>
        <v>#N/A</v>
      </c>
      <c r="AF298" s="3" t="str">
        <f>IFERROR(__xludf.DUMMYFUNCTION("""COMPUTED_VALUE"""),"นานาเจริญ-21054")</f>
        <v>นานาเจริญ-21054</v>
      </c>
      <c r="AG298" s="3" t="str">
        <f>IFERROR(__xludf.DUMMYFUNCTION("""COMPUTED_VALUE"""),"กลาง")</f>
        <v>กลาง</v>
      </c>
      <c r="AH298" s="3" t="str">
        <f>IFERROR(__xludf.DUMMYFUNCTION("""COMPUTED_VALUE"""),"#N/A")</f>
        <v>#N/A</v>
      </c>
      <c r="AI298" s="3" t="str">
        <f>IFERROR(__xludf.DUMMYFUNCTION("""COMPUTED_VALUE"""),"Out of warranty")</f>
        <v>Out of warranty</v>
      </c>
      <c r="AJ298" s="3">
        <f>IFERROR(__xludf.DUMMYFUNCTION("""COMPUTED_VALUE"""),168.0)</f>
        <v>168</v>
      </c>
      <c r="AK298" s="3"/>
      <c r="AL298" s="3"/>
    </row>
    <row r="299" ht="15.75" customHeight="1">
      <c r="A299" s="1" t="str">
        <f>IFERROR(__xludf.DUMMYFUNCTION("""COMPUTED_VALUE"""),"21055")</f>
        <v>21055</v>
      </c>
      <c r="B299" s="2">
        <f>IFERROR(__xludf.DUMMYFUNCTION("""COMPUTED_VALUE"""),21055.0)</f>
        <v>21055</v>
      </c>
      <c r="C299" s="3" t="str">
        <f>IFERROR(__xludf.DUMMYFUNCTION("""COMPUTED_VALUE"""),"MBC โรงไฟฟ้าบางปะกง")</f>
        <v>MBC โรงไฟฟ้าบางปะกง</v>
      </c>
      <c r="D299" s="3" t="str">
        <f>IFERROR(__xludf.DUMMYFUNCTION("""COMPUTED_VALUE"""),"BCM RONGFAIFA BANGPAKONG")</f>
        <v>BCM RONGFAIFA BANGPAKONG</v>
      </c>
      <c r="E299" s="1" t="str">
        <f>IFERROR(__xludf.DUMMYFUNCTION("""COMPUTED_VALUE"""),"บิ๊กซี MINI")</f>
        <v>บิ๊กซี MINI</v>
      </c>
      <c r="F299" s="1" t="str">
        <f>IFERROR(__xludf.DUMMYFUNCTION("""COMPUTED_VALUE"""),"2083447")</f>
        <v>2083447</v>
      </c>
      <c r="G299" s="1" t="str">
        <f>IFERROR(__xludf.DUMMYFUNCTION("""COMPUTED_VALUE"""),"นายอนุกูล ศรีลัดดา")</f>
        <v>นายอนุกูล ศรีลัดดา</v>
      </c>
      <c r="H299" s="1" t="str">
        <f>IFERROR(__xludf.DUMMYFUNCTION("""COMPUTED_VALUE"""),"254957")</f>
        <v>254957</v>
      </c>
      <c r="I299" s="1" t="str">
        <f>IFERROR(__xludf.DUMMYFUNCTION("""COMPUTED_VALUE"""),"น.ส.ศิริพร รุ่งธัญญา")</f>
        <v>น.ส.ศิริพร รุ่งธัญญา</v>
      </c>
      <c r="J299" s="3">
        <f>IFERROR(__xludf.DUMMYFUNCTION("""COMPUTED_VALUE"""),510143.0)</f>
        <v>510143</v>
      </c>
      <c r="K299" s="3" t="str">
        <f>IFERROR(__xludf.DUMMYFUNCTION("""COMPUTED_VALUE"""),"นายธีระวัฒน์ บุญสิทธิ์")</f>
        <v>นายธีระวัฒน์ บุญสิทธิ์</v>
      </c>
      <c r="L299" s="3" t="str">
        <f>IFERROR(__xludf.DUMMYFUNCTION("""COMPUTED_VALUE"""),"12 K.Theerawat B.")</f>
        <v>12 K.Theerawat B.</v>
      </c>
      <c r="M299" s="1" t="str">
        <f>IFERROR(__xludf.DUMMYFUNCTION("""COMPUTED_VALUE"""),"0655107379")</f>
        <v>0655107379</v>
      </c>
      <c r="N299" s="3">
        <f>IFERROR(__xludf.DUMMYFUNCTION("""COMPUTED_VALUE"""),21062.0)</f>
        <v>21062</v>
      </c>
      <c r="O299" s="3" t="str">
        <f>IFERROR(__xludf.DUMMYFUNCTION("""COMPUTED_VALUE"""),"MBC นิคมนวนคร")</f>
        <v>MBC นิคมนวนคร</v>
      </c>
      <c r="P299" s="4">
        <f>IFERROR(__xludf.DUMMYFUNCTION("""COMPUTED_VALUE"""),40939.0)</f>
        <v>40939</v>
      </c>
      <c r="Q299" s="3" t="str">
        <f>IFERROR(__xludf.DUMMYFUNCTION("""COMPUTED_VALUE"""),"A")</f>
        <v>A</v>
      </c>
      <c r="R299" s="3" t="str">
        <f>IFERROR(__xludf.DUMMYFUNCTION("""COMPUTED_VALUE"""),"Small Format")</f>
        <v>Small Format</v>
      </c>
      <c r="S299" s="3" t="str">
        <f>IFERROR(__xludf.DUMMYFUNCTION("""COMPUTED_VALUE"""),"BCM")</f>
        <v>BCM</v>
      </c>
      <c r="T299" s="3" t="str">
        <f>IFERROR(__xludf.DUMMYFUNCTION("""COMPUTED_VALUE"""),"#N/A")</f>
        <v>#N/A</v>
      </c>
      <c r="U299" s="3" t="str">
        <f>IFERROR(__xludf.DUMMYFUNCTION("""COMPUTED_VALUE"""),"#N/A")</f>
        <v>#N/A</v>
      </c>
      <c r="V299" s="3" t="str">
        <f>IFERROR(__xludf.DUMMYFUNCTION("""COMPUTED_VALUE"""),"N")</f>
        <v>N</v>
      </c>
      <c r="W299" s="3">
        <f>IFERROR(__xludf.DUMMYFUNCTION("""COMPUTED_VALUE"""),211051.0)</f>
        <v>211051</v>
      </c>
      <c r="X299" s="3" t="str">
        <f>IFERROR(__xludf.DUMMYFUNCTION("""COMPUTED_VALUE"""),"7/13 หมู่ 6 ตำบลท่าข้าม อำเภอบางปะกง จังหวัดฉะเชิงเทรา 24130")</f>
        <v>7/13 หมู่ 6 ตำบลท่าข้าม อำเภอบางปะกง จังหวัดฉะเชิงเทรา 24130</v>
      </c>
      <c r="Y299" s="3"/>
      <c r="Z299" s="3" t="str">
        <f>IFERROR(__xludf.DUMMYFUNCTION("""COMPUTED_VALUE"""),"ท่าข้าม")</f>
        <v>ท่าข้าม</v>
      </c>
      <c r="AA299" s="3" t="str">
        <f>IFERROR(__xludf.DUMMYFUNCTION("""COMPUTED_VALUE"""),"บางปะกง")</f>
        <v>บางปะกง</v>
      </c>
      <c r="AB299" s="3" t="str">
        <f>IFERROR(__xludf.DUMMYFUNCTION("""COMPUTED_VALUE"""),"ฉะเชิงเทรา")</f>
        <v>ฉะเชิงเทรา</v>
      </c>
      <c r="AC299" s="3">
        <f>IFERROR(__xludf.DUMMYFUNCTION("""COMPUTED_VALUE"""),24130.0)</f>
        <v>24130</v>
      </c>
      <c r="AD299" s="3">
        <f>IFERROR(__xludf.DUMMYFUNCTION("""COMPUTED_VALUE"""),13.490484)</f>
        <v>13.490484</v>
      </c>
      <c r="AE299" s="3">
        <f>IFERROR(__xludf.DUMMYFUNCTION("""COMPUTED_VALUE"""),101.023447)</f>
        <v>101.023447</v>
      </c>
      <c r="AF299" s="3" t="str">
        <f>IFERROR(__xludf.DUMMYFUNCTION("""COMPUTED_VALUE"""),"MBC โรงไฟฟ้าบางปะกง-21055")</f>
        <v>MBC โรงไฟฟ้าบางปะกง-21055</v>
      </c>
      <c r="AG299" s="3" t="str">
        <f>IFERROR(__xludf.DUMMYFUNCTION("""COMPUTED_VALUE"""),"ตะวันออก")</f>
        <v>ตะวันออก</v>
      </c>
      <c r="AH299" s="3" t="str">
        <f>IFERROR(__xludf.DUMMYFUNCTION("""COMPUTED_VALUE"""),"#N/A")</f>
        <v>#N/A</v>
      </c>
      <c r="AI299" s="3" t="str">
        <f>IFERROR(__xludf.DUMMYFUNCTION("""COMPUTED_VALUE"""),"Out of warranty")</f>
        <v>Out of warranty</v>
      </c>
      <c r="AJ299" s="3">
        <f>IFERROR(__xludf.DUMMYFUNCTION("""COMPUTED_VALUE"""),168.0)</f>
        <v>168</v>
      </c>
      <c r="AK299" s="3" t="str">
        <f>IFERROR(__xludf.DUMMYFUNCTION("""COMPUTED_VALUE"""),"MMS07")</f>
        <v>MMS07</v>
      </c>
      <c r="AL299" s="3"/>
    </row>
    <row r="300" ht="15.75" customHeight="1">
      <c r="A300" s="1" t="str">
        <f>IFERROR(__xludf.DUMMYFUNCTION("""COMPUTED_VALUE"""),"21056")</f>
        <v>21056</v>
      </c>
      <c r="B300" s="2">
        <f>IFERROR(__xludf.DUMMYFUNCTION("""COMPUTED_VALUE"""),21056.0)</f>
        <v>21056</v>
      </c>
      <c r="C300" s="3" t="str">
        <f>IFERROR(__xludf.DUMMYFUNCTION("""COMPUTED_VALUE"""),"MBC เอื้ออาทรคลอง1")</f>
        <v>MBC เอื้ออาทรคลอง1</v>
      </c>
      <c r="D300" s="3" t="str">
        <f>IFERROR(__xludf.DUMMYFUNCTION("""COMPUTED_VALUE"""),"BCM AUARETHORN KLONG1")</f>
        <v>BCM AUARETHORN KLONG1</v>
      </c>
      <c r="E300" s="1" t="str">
        <f>IFERROR(__xludf.DUMMYFUNCTION("""COMPUTED_VALUE"""),"บิ๊กซี MINI")</f>
        <v>บิ๊กซี MINI</v>
      </c>
      <c r="F300" s="1" t="str">
        <f>IFERROR(__xludf.DUMMYFUNCTION("""COMPUTED_VALUE"""),"2083447")</f>
        <v>2083447</v>
      </c>
      <c r="G300" s="1" t="str">
        <f>IFERROR(__xludf.DUMMYFUNCTION("""COMPUTED_VALUE"""),"นายอนุกูล ศรีลัดดา")</f>
        <v>นายอนุกูล ศรีลัดดา</v>
      </c>
      <c r="H300" s="1" t="str">
        <f>IFERROR(__xludf.DUMMYFUNCTION("""COMPUTED_VALUE"""),"373849")</f>
        <v>373849</v>
      </c>
      <c r="I300" s="1" t="str">
        <f>IFERROR(__xludf.DUMMYFUNCTION("""COMPUTED_VALUE"""),"น.ส.อรอุมา นิ่มวิศิษย์")</f>
        <v>น.ส.อรอุมา นิ่มวิศิษย์</v>
      </c>
      <c r="J300" s="3">
        <f>IFERROR(__xludf.DUMMYFUNCTION("""COMPUTED_VALUE"""),510143.0)</f>
        <v>510143</v>
      </c>
      <c r="K300" s="3" t="str">
        <f>IFERROR(__xludf.DUMMYFUNCTION("""COMPUTED_VALUE"""),"นายธีระวัฒน์ บุญสิทธิ์")</f>
        <v>นายธีระวัฒน์ บุญสิทธิ์</v>
      </c>
      <c r="L300" s="1" t="str">
        <f>IFERROR(__xludf.DUMMYFUNCTION("""COMPUTED_VALUE"""),"12 K.Theerawat B.")</f>
        <v>12 K.Theerawat B.</v>
      </c>
      <c r="M300" s="1" t="str">
        <f>IFERROR(__xludf.DUMMYFUNCTION("""COMPUTED_VALUE"""),"0655107379")</f>
        <v>0655107379</v>
      </c>
      <c r="N300" s="3">
        <f>IFERROR(__xludf.DUMMYFUNCTION("""COMPUTED_VALUE"""),21062.0)</f>
        <v>21062</v>
      </c>
      <c r="O300" s="3" t="str">
        <f>IFERROR(__xludf.DUMMYFUNCTION("""COMPUTED_VALUE"""),"MBC นิคมนวนคร")</f>
        <v>MBC นิคมนวนคร</v>
      </c>
      <c r="P300" s="4">
        <f>IFERROR(__xludf.DUMMYFUNCTION("""COMPUTED_VALUE"""),40946.0)</f>
        <v>40946</v>
      </c>
      <c r="Q300" s="3" t="str">
        <f>IFERROR(__xludf.DUMMYFUNCTION("""COMPUTED_VALUE"""),"A")</f>
        <v>A</v>
      </c>
      <c r="R300" s="3" t="str">
        <f>IFERROR(__xludf.DUMMYFUNCTION("""COMPUTED_VALUE"""),"Small Format")</f>
        <v>Small Format</v>
      </c>
      <c r="S300" s="3" t="str">
        <f>IFERROR(__xludf.DUMMYFUNCTION("""COMPUTED_VALUE"""),"BCM")</f>
        <v>BCM</v>
      </c>
      <c r="T300" s="3" t="str">
        <f>IFERROR(__xludf.DUMMYFUNCTION("""COMPUTED_VALUE"""),"#N/A")</f>
        <v>#N/A</v>
      </c>
      <c r="U300" s="3" t="str">
        <f>IFERROR(__xludf.DUMMYFUNCTION("""COMPUTED_VALUE"""),"#N/A")</f>
        <v>#N/A</v>
      </c>
      <c r="V300" s="3" t="str">
        <f>IFERROR(__xludf.DUMMYFUNCTION("""COMPUTED_VALUE"""),"N")</f>
        <v>N</v>
      </c>
      <c r="W300" s="3">
        <f>IFERROR(__xludf.DUMMYFUNCTION("""COMPUTED_VALUE"""),211053.0)</f>
        <v>211053</v>
      </c>
      <c r="X300" s="3" t="str">
        <f>IFERROR(__xludf.DUMMYFUNCTION("""COMPUTED_VALUE"""),"53 ถนนรังสิต-คูคต ตำบลประชาธิปัตย์ อำเภอธัญบุรี จังหวัดปทุมธานี 12130")</f>
        <v>53 ถนนรังสิต-คูคต ตำบลประชาธิปัตย์ อำเภอธัญบุรี จังหวัดปทุมธานี 12130</v>
      </c>
      <c r="Y300" s="3" t="str">
        <f>IFERROR(__xludf.DUMMYFUNCTION("""COMPUTED_VALUE"""),"ถนนรังสิต-คูคต")</f>
        <v>ถนนรังสิต-คูคต</v>
      </c>
      <c r="Z300" s="3" t="str">
        <f>IFERROR(__xludf.DUMMYFUNCTION("""COMPUTED_VALUE"""),"ประชาธิปัตย์")</f>
        <v>ประชาธิปัตย์</v>
      </c>
      <c r="AA300" s="3" t="str">
        <f>IFERROR(__xludf.DUMMYFUNCTION("""COMPUTED_VALUE"""),"ธัญบุรี")</f>
        <v>ธัญบุรี</v>
      </c>
      <c r="AB300" s="3" t="str">
        <f>IFERROR(__xludf.DUMMYFUNCTION("""COMPUTED_VALUE"""),"ปทุมธานี")</f>
        <v>ปทุมธานี</v>
      </c>
      <c r="AC300" s="3">
        <f>IFERROR(__xludf.DUMMYFUNCTION("""COMPUTED_VALUE"""),12130.0)</f>
        <v>12130</v>
      </c>
      <c r="AD300" s="3">
        <f>IFERROR(__xludf.DUMMYFUNCTION("""COMPUTED_VALUE"""),13.971229)</f>
        <v>13.971229</v>
      </c>
      <c r="AE300" s="3">
        <f>IFERROR(__xludf.DUMMYFUNCTION("""COMPUTED_VALUE"""),100.62756)</f>
        <v>100.62756</v>
      </c>
      <c r="AF300" s="3" t="str">
        <f>IFERROR(__xludf.DUMMYFUNCTION("""COMPUTED_VALUE"""),"MBC เอื้ออาทรคลอง1-21056")</f>
        <v>MBC เอื้ออาทรคลอง1-21056</v>
      </c>
      <c r="AG300" s="3" t="str">
        <f>IFERROR(__xludf.DUMMYFUNCTION("""COMPUTED_VALUE"""),"กลาง")</f>
        <v>กลาง</v>
      </c>
      <c r="AH300" s="3" t="str">
        <f>IFERROR(__xludf.DUMMYFUNCTION("""COMPUTED_VALUE"""),"#N/A")</f>
        <v>#N/A</v>
      </c>
      <c r="AI300" s="3" t="str">
        <f>IFERROR(__xludf.DUMMYFUNCTION("""COMPUTED_VALUE"""),"Out of warranty")</f>
        <v>Out of warranty</v>
      </c>
      <c r="AJ300" s="3">
        <f>IFERROR(__xludf.DUMMYFUNCTION("""COMPUTED_VALUE"""),168.0)</f>
        <v>168</v>
      </c>
      <c r="AK300" s="3" t="str">
        <f>IFERROR(__xludf.DUMMYFUNCTION("""COMPUTED_VALUE"""),"MMS04")</f>
        <v>MMS04</v>
      </c>
      <c r="AL300" s="3"/>
    </row>
    <row r="301" ht="15.75" customHeight="1">
      <c r="A301" s="1" t="str">
        <f>IFERROR(__xludf.DUMMYFUNCTION("""COMPUTED_VALUE"""),"21057")</f>
        <v>21057</v>
      </c>
      <c r="B301" s="2">
        <f>IFERROR(__xludf.DUMMYFUNCTION("""COMPUTED_VALUE"""),21057.0)</f>
        <v>21057</v>
      </c>
      <c r="C301" s="3" t="str">
        <f>IFERROR(__xludf.DUMMYFUNCTION("""COMPUTED_VALUE"""),"MBC วัชรพล")</f>
        <v>MBC วัชรพล</v>
      </c>
      <c r="D301" s="3" t="str">
        <f>IFERROR(__xludf.DUMMYFUNCTION("""COMPUTED_VALUE"""),"BCM WATCHARAPOL")</f>
        <v>BCM WATCHARAPOL</v>
      </c>
      <c r="E301" s="1" t="str">
        <f>IFERROR(__xludf.DUMMYFUNCTION("""COMPUTED_VALUE"""),"บิ๊กซี MINI")</f>
        <v>บิ๊กซี MINI</v>
      </c>
      <c r="F301" s="1" t="str">
        <f>IFERROR(__xludf.DUMMYFUNCTION("""COMPUTED_VALUE"""),"291008")</f>
        <v>291008</v>
      </c>
      <c r="G301" s="1" t="str">
        <f>IFERROR(__xludf.DUMMYFUNCTION("""COMPUTED_VALUE"""),"น.ส.รัชดาพร อีศรัตน์")</f>
        <v>น.ส.รัชดาพร อีศรัตน์</v>
      </c>
      <c r="H301" s="1" t="str">
        <f>IFERROR(__xludf.DUMMYFUNCTION("""COMPUTED_VALUE"""),"288639")</f>
        <v>288639</v>
      </c>
      <c r="I301" s="1" t="str">
        <f>IFERROR(__xludf.DUMMYFUNCTION("""COMPUTED_VALUE"""),"น.ส.สมหญิง สีชมภู")</f>
        <v>น.ส.สมหญิง สีชมภู</v>
      </c>
      <c r="J301" s="3">
        <f>IFERROR(__xludf.DUMMYFUNCTION("""COMPUTED_VALUE"""),3510104.0)</f>
        <v>3510104</v>
      </c>
      <c r="K301" s="3" t="str">
        <f>IFERROR(__xludf.DUMMYFUNCTION("""COMPUTED_VALUE"""),"นายวิโรจน์ อับดุลสมัด")</f>
        <v>นายวิโรจน์ อับดุลสมัด</v>
      </c>
      <c r="L301" s="1" t="str">
        <f>IFERROR(__xludf.DUMMYFUNCTION("""COMPUTED_VALUE"""),"09 K.Wirode A")</f>
        <v>09 K.Wirode A</v>
      </c>
      <c r="M301" s="1" t="str">
        <f>IFERROR(__xludf.DUMMYFUNCTION("""COMPUTED_VALUE"""),"080-235-4465")</f>
        <v>080-235-4465</v>
      </c>
      <c r="N301" s="3">
        <f>IFERROR(__xludf.DUMMYFUNCTION("""COMPUTED_VALUE"""),21324.0)</f>
        <v>21324</v>
      </c>
      <c r="O301" s="3" t="str">
        <f>IFERROR(__xludf.DUMMYFUNCTION("""COMPUTED_VALUE"""),"MBC BCP สุวินทวงศ์")</f>
        <v>MBC BCP สุวินทวงศ์</v>
      </c>
      <c r="P301" s="4">
        <f>IFERROR(__xludf.DUMMYFUNCTION("""COMPUTED_VALUE"""),40962.0)</f>
        <v>40962</v>
      </c>
      <c r="Q301" s="3" t="str">
        <f>IFERROR(__xludf.DUMMYFUNCTION("""COMPUTED_VALUE"""),"A")</f>
        <v>A</v>
      </c>
      <c r="R301" s="3" t="str">
        <f>IFERROR(__xludf.DUMMYFUNCTION("""COMPUTED_VALUE"""),"Small Format")</f>
        <v>Small Format</v>
      </c>
      <c r="S301" s="3" t="str">
        <f>IFERROR(__xludf.DUMMYFUNCTION("""COMPUTED_VALUE"""),"BCM")</f>
        <v>BCM</v>
      </c>
      <c r="T301" s="3" t="str">
        <f>IFERROR(__xludf.DUMMYFUNCTION("""COMPUTED_VALUE"""),"#N/A")</f>
        <v>#N/A</v>
      </c>
      <c r="U301" s="3" t="str">
        <f>IFERROR(__xludf.DUMMYFUNCTION("""COMPUTED_VALUE"""),"#N/A")</f>
        <v>#N/A</v>
      </c>
      <c r="V301" s="3" t="str">
        <f>IFERROR(__xludf.DUMMYFUNCTION("""COMPUTED_VALUE"""),"N")</f>
        <v>N</v>
      </c>
      <c r="W301" s="3">
        <f>IFERROR(__xludf.DUMMYFUNCTION("""COMPUTED_VALUE"""),211054.0)</f>
        <v>211054</v>
      </c>
      <c r="X301" s="3" t="str">
        <f>IFERROR(__xludf.DUMMYFUNCTION("""COMPUTED_VALUE"""),"16/4 ถนนวัชรพล แขวงคลองถนน เขตสายไหม กรุงเทพฯ 10220")</f>
        <v>16/4 ถนนวัชรพล แขวงคลองถนน เขตสายไหม กรุงเทพฯ 10220</v>
      </c>
      <c r="Y301" s="3" t="str">
        <f>IFERROR(__xludf.DUMMYFUNCTION("""COMPUTED_VALUE"""),"ถนนวัชรพล")</f>
        <v>ถนนวัชรพล</v>
      </c>
      <c r="Z301" s="3" t="str">
        <f>IFERROR(__xludf.DUMMYFUNCTION("""COMPUTED_VALUE"""),"คลองถนน")</f>
        <v>คลองถนน</v>
      </c>
      <c r="AA301" s="3" t="str">
        <f>IFERROR(__xludf.DUMMYFUNCTION("""COMPUTED_VALUE"""),"สายไหม")</f>
        <v>สายไหม</v>
      </c>
      <c r="AB301" s="3" t="str">
        <f>IFERROR(__xludf.DUMMYFUNCTION("""COMPUTED_VALUE"""),"กรุงเทพมหานคร")</f>
        <v>กรุงเทพมหานคร</v>
      </c>
      <c r="AC301" s="3">
        <f>IFERROR(__xludf.DUMMYFUNCTION("""COMPUTED_VALUE"""),10220.0)</f>
        <v>10220</v>
      </c>
      <c r="AD301" s="3">
        <f>IFERROR(__xludf.DUMMYFUNCTION("""COMPUTED_VALUE"""),13.894767)</f>
        <v>13.894767</v>
      </c>
      <c r="AE301" s="3">
        <f>IFERROR(__xludf.DUMMYFUNCTION("""COMPUTED_VALUE"""),100.638384)</f>
        <v>100.638384</v>
      </c>
      <c r="AF301" s="3" t="str">
        <f>IFERROR(__xludf.DUMMYFUNCTION("""COMPUTED_VALUE"""),"MBC วัชรพล-21057")</f>
        <v>MBC วัชรพล-21057</v>
      </c>
      <c r="AG301" s="3" t="str">
        <f>IFERROR(__xludf.DUMMYFUNCTION("""COMPUTED_VALUE"""),"กลาง")</f>
        <v>กลาง</v>
      </c>
      <c r="AH301" s="3" t="str">
        <f>IFERROR(__xludf.DUMMYFUNCTION("""COMPUTED_VALUE"""),"#N/A")</f>
        <v>#N/A</v>
      </c>
      <c r="AI301" s="3" t="str">
        <f>IFERROR(__xludf.DUMMYFUNCTION("""COMPUTED_VALUE"""),"Out of warranty")</f>
        <v>Out of warranty</v>
      </c>
      <c r="AJ301" s="3">
        <f>IFERROR(__xludf.DUMMYFUNCTION("""COMPUTED_VALUE"""),167.0)</f>
        <v>167</v>
      </c>
      <c r="AK301" s="3" t="str">
        <f>IFERROR(__xludf.DUMMYFUNCTION("""COMPUTED_VALUE"""),"MMS01")</f>
        <v>MMS01</v>
      </c>
      <c r="AL301" s="3"/>
    </row>
    <row r="302" ht="15.75" customHeight="1">
      <c r="A302" s="1" t="str">
        <f>IFERROR(__xludf.DUMMYFUNCTION("""COMPUTED_VALUE"""),"21058")</f>
        <v>21058</v>
      </c>
      <c r="B302" s="2">
        <f>IFERROR(__xludf.DUMMYFUNCTION("""COMPUTED_VALUE"""),21058.0)</f>
        <v>21058</v>
      </c>
      <c r="C302" s="3" t="str">
        <f>IFERROR(__xludf.DUMMYFUNCTION("""COMPUTED_VALUE"""),"MBC หมู่บ้านซื่อตรง")</f>
        <v>MBC หมู่บ้านซื่อตรง</v>
      </c>
      <c r="D302" s="3" t="str">
        <f>IFERROR(__xludf.DUMMYFUNCTION("""COMPUTED_VALUE"""),"BCM MOOBANSUETRONG")</f>
        <v>BCM MOOBANSUETRONG</v>
      </c>
      <c r="E302" s="1" t="str">
        <f>IFERROR(__xludf.DUMMYFUNCTION("""COMPUTED_VALUE"""),"บิ๊กซี MINI")</f>
        <v>บิ๊กซี MINI</v>
      </c>
      <c r="F302" s="1" t="str">
        <f>IFERROR(__xludf.DUMMYFUNCTION("""COMPUTED_VALUE"""),"291008")</f>
        <v>291008</v>
      </c>
      <c r="G302" s="1" t="str">
        <f>IFERROR(__xludf.DUMMYFUNCTION("""COMPUTED_VALUE"""),"น.ส.รัชดาพร อีศรัตน์")</f>
        <v>น.ส.รัชดาพร อีศรัตน์</v>
      </c>
      <c r="H302" s="1" t="str">
        <f>IFERROR(__xludf.DUMMYFUNCTION("""COMPUTED_VALUE"""),"288639")</f>
        <v>288639</v>
      </c>
      <c r="I302" s="1" t="str">
        <f>IFERROR(__xludf.DUMMYFUNCTION("""COMPUTED_VALUE"""),"น.ส.สมหญิง สีชมภู")</f>
        <v>น.ส.สมหญิง สีชมภู</v>
      </c>
      <c r="J302" s="3">
        <f>IFERROR(__xludf.DUMMYFUNCTION("""COMPUTED_VALUE"""),3510104.0)</f>
        <v>3510104</v>
      </c>
      <c r="K302" s="3" t="str">
        <f>IFERROR(__xludf.DUMMYFUNCTION("""COMPUTED_VALUE"""),"นายวิโรจน์ อับดุลสมัด")</f>
        <v>นายวิโรจน์ อับดุลสมัด</v>
      </c>
      <c r="L302" s="1" t="str">
        <f>IFERROR(__xludf.DUMMYFUNCTION("""COMPUTED_VALUE"""),"09 K.Wirode A")</f>
        <v>09 K.Wirode A</v>
      </c>
      <c r="M302" s="1" t="str">
        <f>IFERROR(__xludf.DUMMYFUNCTION("""COMPUTED_VALUE"""),"080-235-4465")</f>
        <v>080-235-4465</v>
      </c>
      <c r="N302" s="3">
        <f>IFERROR(__xludf.DUMMYFUNCTION("""COMPUTED_VALUE"""),21324.0)</f>
        <v>21324</v>
      </c>
      <c r="O302" s="3" t="str">
        <f>IFERROR(__xludf.DUMMYFUNCTION("""COMPUTED_VALUE"""),"MBC BCP สุวินทวงศ์")</f>
        <v>MBC BCP สุวินทวงศ์</v>
      </c>
      <c r="P302" s="4">
        <f>IFERROR(__xludf.DUMMYFUNCTION("""COMPUTED_VALUE"""),40967.0)</f>
        <v>40967</v>
      </c>
      <c r="Q302" s="3" t="str">
        <f>IFERROR(__xludf.DUMMYFUNCTION("""COMPUTED_VALUE"""),"A")</f>
        <v>A</v>
      </c>
      <c r="R302" s="3" t="str">
        <f>IFERROR(__xludf.DUMMYFUNCTION("""COMPUTED_VALUE"""),"Small Format")</f>
        <v>Small Format</v>
      </c>
      <c r="S302" s="3" t="str">
        <f>IFERROR(__xludf.DUMMYFUNCTION("""COMPUTED_VALUE"""),"BCM")</f>
        <v>BCM</v>
      </c>
      <c r="T302" s="3" t="str">
        <f>IFERROR(__xludf.DUMMYFUNCTION("""COMPUTED_VALUE"""),"#N/A")</f>
        <v>#N/A</v>
      </c>
      <c r="U302" s="3" t="str">
        <f>IFERROR(__xludf.DUMMYFUNCTION("""COMPUTED_VALUE"""),"#N/A")</f>
        <v>#N/A</v>
      </c>
      <c r="V302" s="3" t="str">
        <f>IFERROR(__xludf.DUMMYFUNCTION("""COMPUTED_VALUE"""),"N")</f>
        <v>N</v>
      </c>
      <c r="W302" s="3">
        <f>IFERROR(__xludf.DUMMYFUNCTION("""COMPUTED_VALUE"""),211056.0)</f>
        <v>211056</v>
      </c>
      <c r="X302" s="3" t="str">
        <f>IFERROR(__xludf.DUMMYFUNCTION("""COMPUTED_VALUE"""),"52/5 หมู่ 11 ตำบลลาดสวาย อำเภอลำลูกกา จังหวัดปทุมธานี 12150")</f>
        <v>52/5 หมู่ 11 ตำบลลาดสวาย อำเภอลำลูกกา จังหวัดปทุมธานี 12150</v>
      </c>
      <c r="Y302" s="3"/>
      <c r="Z302" s="3" t="str">
        <f>IFERROR(__xludf.DUMMYFUNCTION("""COMPUTED_VALUE"""),"ลาดสวาย")</f>
        <v>ลาดสวาย</v>
      </c>
      <c r="AA302" s="3" t="str">
        <f>IFERROR(__xludf.DUMMYFUNCTION("""COMPUTED_VALUE"""),"ลำลูกกา")</f>
        <v>ลำลูกกา</v>
      </c>
      <c r="AB302" s="3" t="str">
        <f>IFERROR(__xludf.DUMMYFUNCTION("""COMPUTED_VALUE"""),"ปทุมธานี")</f>
        <v>ปทุมธานี</v>
      </c>
      <c r="AC302" s="3">
        <f>IFERROR(__xludf.DUMMYFUNCTION("""COMPUTED_VALUE"""),12150.0)</f>
        <v>12150</v>
      </c>
      <c r="AD302" s="3">
        <f>IFERROR(__xludf.DUMMYFUNCTION("""COMPUTED_VALUE"""),13.921717)</f>
        <v>13.921717</v>
      </c>
      <c r="AE302" s="3">
        <f>IFERROR(__xludf.DUMMYFUNCTION("""COMPUTED_VALUE"""),100.69029)</f>
        <v>100.69029</v>
      </c>
      <c r="AF302" s="3" t="str">
        <f>IFERROR(__xludf.DUMMYFUNCTION("""COMPUTED_VALUE"""),"MBC หมู่บ้านซื่อตรง-21058")</f>
        <v>MBC หมู่บ้านซื่อตรง-21058</v>
      </c>
      <c r="AG302" s="3" t="str">
        <f>IFERROR(__xludf.DUMMYFUNCTION("""COMPUTED_VALUE"""),"กลาง")</f>
        <v>กลาง</v>
      </c>
      <c r="AH302" s="3" t="str">
        <f>IFERROR(__xludf.DUMMYFUNCTION("""COMPUTED_VALUE"""),"#N/A")</f>
        <v>#N/A</v>
      </c>
      <c r="AI302" s="3" t="str">
        <f>IFERROR(__xludf.DUMMYFUNCTION("""COMPUTED_VALUE"""),"Out of warranty")</f>
        <v>Out of warranty</v>
      </c>
      <c r="AJ302" s="3">
        <f>IFERROR(__xludf.DUMMYFUNCTION("""COMPUTED_VALUE"""),167.0)</f>
        <v>167</v>
      </c>
      <c r="AK302" s="3" t="str">
        <f>IFERROR(__xludf.DUMMYFUNCTION("""COMPUTED_VALUE"""),"MMS01")</f>
        <v>MMS01</v>
      </c>
      <c r="AL302" s="3"/>
    </row>
    <row r="303" ht="15.75" customHeight="1">
      <c r="A303" s="1" t="str">
        <f>IFERROR(__xludf.DUMMYFUNCTION("""COMPUTED_VALUE"""),"21059")</f>
        <v>21059</v>
      </c>
      <c r="B303" s="2">
        <f>IFERROR(__xludf.DUMMYFUNCTION("""COMPUTED_VALUE"""),21059.0)</f>
        <v>21059</v>
      </c>
      <c r="C303" s="3" t="str">
        <f>IFERROR(__xludf.DUMMYFUNCTION("""COMPUTED_VALUE"""),"MBC เอื้ออาทรบางเขน")</f>
        <v>MBC เอื้ออาทรบางเขน</v>
      </c>
      <c r="D303" s="3" t="str">
        <f>IFERROR(__xludf.DUMMYFUNCTION("""COMPUTED_VALUE"""),"BCM AUARETHORN BANGKHEN")</f>
        <v>BCM AUARETHORN BANGKHEN</v>
      </c>
      <c r="E303" s="1" t="str">
        <f>IFERROR(__xludf.DUMMYFUNCTION("""COMPUTED_VALUE"""),"บิ๊กซี MINI")</f>
        <v>บิ๊กซี MINI</v>
      </c>
      <c r="F303" s="1" t="str">
        <f>IFERROR(__xludf.DUMMYFUNCTION("""COMPUTED_VALUE"""),"291008")</f>
        <v>291008</v>
      </c>
      <c r="G303" s="1" t="str">
        <f>IFERROR(__xludf.DUMMYFUNCTION("""COMPUTED_VALUE"""),"น.ส.รัชดาพร อีศรัตน์")</f>
        <v>น.ส.รัชดาพร อีศรัตน์</v>
      </c>
      <c r="H303" s="1" t="str">
        <f>IFERROR(__xludf.DUMMYFUNCTION("""COMPUTED_VALUE"""),"288639")</f>
        <v>288639</v>
      </c>
      <c r="I303" s="1" t="str">
        <f>IFERROR(__xludf.DUMMYFUNCTION("""COMPUTED_VALUE"""),"น.ส.สมหญิง สีชมภู")</f>
        <v>น.ส.สมหญิง สีชมภู</v>
      </c>
      <c r="J303" s="3">
        <f>IFERROR(__xludf.DUMMYFUNCTION("""COMPUTED_VALUE"""),3510104.0)</f>
        <v>3510104</v>
      </c>
      <c r="K303" s="3" t="str">
        <f>IFERROR(__xludf.DUMMYFUNCTION("""COMPUTED_VALUE"""),"นายวิโรจน์ อับดุลสมัด")</f>
        <v>นายวิโรจน์ อับดุลสมัด</v>
      </c>
      <c r="L303" s="1" t="str">
        <f>IFERROR(__xludf.DUMMYFUNCTION("""COMPUTED_VALUE"""),"09 K.Wirode A")</f>
        <v>09 K.Wirode A</v>
      </c>
      <c r="M303" s="1" t="str">
        <f>IFERROR(__xludf.DUMMYFUNCTION("""COMPUTED_VALUE"""),"080-235-4465")</f>
        <v>080-235-4465</v>
      </c>
      <c r="N303" s="3">
        <f>IFERROR(__xludf.DUMMYFUNCTION("""COMPUTED_VALUE"""),21324.0)</f>
        <v>21324</v>
      </c>
      <c r="O303" s="3" t="str">
        <f>IFERROR(__xludf.DUMMYFUNCTION("""COMPUTED_VALUE"""),"MBC BCP สุวินทวงศ์")</f>
        <v>MBC BCP สุวินทวงศ์</v>
      </c>
      <c r="P303" s="4">
        <f>IFERROR(__xludf.DUMMYFUNCTION("""COMPUTED_VALUE"""),40981.0)</f>
        <v>40981</v>
      </c>
      <c r="Q303" s="3" t="str">
        <f>IFERROR(__xludf.DUMMYFUNCTION("""COMPUTED_VALUE"""),"A")</f>
        <v>A</v>
      </c>
      <c r="R303" s="3" t="str">
        <f>IFERROR(__xludf.DUMMYFUNCTION("""COMPUTED_VALUE"""),"Small Format")</f>
        <v>Small Format</v>
      </c>
      <c r="S303" s="3" t="str">
        <f>IFERROR(__xludf.DUMMYFUNCTION("""COMPUTED_VALUE"""),"BCM")</f>
        <v>BCM</v>
      </c>
      <c r="T303" s="3" t="str">
        <f>IFERROR(__xludf.DUMMYFUNCTION("""COMPUTED_VALUE"""),"#N/A")</f>
        <v>#N/A</v>
      </c>
      <c r="U303" s="3" t="str">
        <f>IFERROR(__xludf.DUMMYFUNCTION("""COMPUTED_VALUE"""),"#N/A")</f>
        <v>#N/A</v>
      </c>
      <c r="V303" s="3" t="str">
        <f>IFERROR(__xludf.DUMMYFUNCTION("""COMPUTED_VALUE"""),"N")</f>
        <v>N</v>
      </c>
      <c r="W303" s="3">
        <f>IFERROR(__xludf.DUMMYFUNCTION("""COMPUTED_VALUE"""),211057.0)</f>
        <v>211057</v>
      </c>
      <c r="X303" s="3" t="str">
        <f>IFERROR(__xludf.DUMMYFUNCTION("""COMPUTED_VALUE"""),"560/18 ถนนเพิ่มสิน แขวงคลองถนน เขตสายไหม กรุงเทพฯ 10220")</f>
        <v>560/18 ถนนเพิ่มสิน แขวงคลองถนน เขตสายไหม กรุงเทพฯ 10220</v>
      </c>
      <c r="Y303" s="3" t="str">
        <f>IFERROR(__xludf.DUMMYFUNCTION("""COMPUTED_VALUE"""),"ถนนเพิ่มสิน")</f>
        <v>ถนนเพิ่มสิน</v>
      </c>
      <c r="Z303" s="3" t="str">
        <f>IFERROR(__xludf.DUMMYFUNCTION("""COMPUTED_VALUE"""),"คลองถนน")</f>
        <v>คลองถนน</v>
      </c>
      <c r="AA303" s="3" t="str">
        <f>IFERROR(__xludf.DUMMYFUNCTION("""COMPUTED_VALUE"""),"สายไหม")</f>
        <v>สายไหม</v>
      </c>
      <c r="AB303" s="3" t="str">
        <f>IFERROR(__xludf.DUMMYFUNCTION("""COMPUTED_VALUE"""),"กรุงเทพมหานคร")</f>
        <v>กรุงเทพมหานคร</v>
      </c>
      <c r="AC303" s="3">
        <f>IFERROR(__xludf.DUMMYFUNCTION("""COMPUTED_VALUE"""),10220.0)</f>
        <v>10220</v>
      </c>
      <c r="AD303" s="3">
        <f>IFERROR(__xludf.DUMMYFUNCTION("""COMPUTED_VALUE"""),13.89936)</f>
        <v>13.89936</v>
      </c>
      <c r="AE303" s="3">
        <f>IFERROR(__xludf.DUMMYFUNCTION("""COMPUTED_VALUE"""),100.630967)</f>
        <v>100.630967</v>
      </c>
      <c r="AF303" s="3" t="str">
        <f>IFERROR(__xludf.DUMMYFUNCTION("""COMPUTED_VALUE"""),"MBC เอื้ออาทรบางเขน-21059")</f>
        <v>MBC เอื้ออาทรบางเขน-21059</v>
      </c>
      <c r="AG303" s="3" t="str">
        <f>IFERROR(__xludf.DUMMYFUNCTION("""COMPUTED_VALUE"""),"กลาง")</f>
        <v>กลาง</v>
      </c>
      <c r="AH303" s="3" t="str">
        <f>IFERROR(__xludf.DUMMYFUNCTION("""COMPUTED_VALUE"""),"#N/A")</f>
        <v>#N/A</v>
      </c>
      <c r="AI303" s="3" t="str">
        <f>IFERROR(__xludf.DUMMYFUNCTION("""COMPUTED_VALUE"""),"Out of warranty")</f>
        <v>Out of warranty</v>
      </c>
      <c r="AJ303" s="3">
        <f>IFERROR(__xludf.DUMMYFUNCTION("""COMPUTED_VALUE"""),167.0)</f>
        <v>167</v>
      </c>
      <c r="AK303" s="3" t="str">
        <f>IFERROR(__xludf.DUMMYFUNCTION("""COMPUTED_VALUE"""),"MMS01")</f>
        <v>MMS01</v>
      </c>
      <c r="AL303" s="3"/>
    </row>
    <row r="304" ht="15.75" customHeight="1">
      <c r="A304" s="1" t="str">
        <f>IFERROR(__xludf.DUMMYFUNCTION("""COMPUTED_VALUE"""),"21060")</f>
        <v>21060</v>
      </c>
      <c r="B304" s="2">
        <f>IFERROR(__xludf.DUMMYFUNCTION("""COMPUTED_VALUE"""),21060.0)</f>
        <v>21060</v>
      </c>
      <c r="C304" s="3" t="str">
        <f>IFERROR(__xludf.DUMMYFUNCTION("""COMPUTED_VALUE"""),"เคหะคลองหลวง")</f>
        <v>เคหะคลองหลวง</v>
      </c>
      <c r="D304" s="3" t="str">
        <f>IFERROR(__xludf.DUMMYFUNCTION("""COMPUTED_VALUE"""),"MBC KEHA KLONGLUANG")</f>
        <v>MBC KEHA KLONGLUANG</v>
      </c>
      <c r="E304" s="1" t="str">
        <f>IFERROR(__xludf.DUMMYFUNCTION("""COMPUTED_VALUE"""),"บิ๊กซี MINI")</f>
        <v>บิ๊กซี MINI</v>
      </c>
      <c r="F304" s="1" t="str">
        <f>IFERROR(__xludf.DUMMYFUNCTION("""COMPUTED_VALUE"""),"291008")</f>
        <v>291008</v>
      </c>
      <c r="G304" s="1" t="str">
        <f>IFERROR(__xludf.DUMMYFUNCTION("""COMPUTED_VALUE"""),"น.ส.รัชดาพร อีศรัตน์")</f>
        <v>น.ส.รัชดาพร อีศรัตน์</v>
      </c>
      <c r="H304" s="1" t="str">
        <f>IFERROR(__xludf.DUMMYFUNCTION("""COMPUTED_VALUE"""),"288639")</f>
        <v>288639</v>
      </c>
      <c r="I304" s="1" t="str">
        <f>IFERROR(__xludf.DUMMYFUNCTION("""COMPUTED_VALUE"""),"น.ส.สมหญิง สีชมภู")</f>
        <v>น.ส.สมหญิง สีชมภู</v>
      </c>
      <c r="J304" s="3">
        <f>IFERROR(__xludf.DUMMYFUNCTION("""COMPUTED_VALUE"""),3510104.0)</f>
        <v>3510104</v>
      </c>
      <c r="K304" s="3" t="str">
        <f>IFERROR(__xludf.DUMMYFUNCTION("""COMPUTED_VALUE"""),"นายวิโรจน์ อับดุลสมัด")</f>
        <v>นายวิโรจน์ อับดุลสมัด</v>
      </c>
      <c r="L304" s="1" t="str">
        <f>IFERROR(__xludf.DUMMYFUNCTION("""COMPUTED_VALUE"""),"09 K.Wirode A")</f>
        <v>09 K.Wirode A</v>
      </c>
      <c r="M304" s="1" t="str">
        <f>IFERROR(__xludf.DUMMYFUNCTION("""COMPUTED_VALUE"""),"080-235-4465")</f>
        <v>080-235-4465</v>
      </c>
      <c r="N304" s="3">
        <f>IFERROR(__xludf.DUMMYFUNCTION("""COMPUTED_VALUE"""),21324.0)</f>
        <v>21324</v>
      </c>
      <c r="O304" s="3" t="str">
        <f>IFERROR(__xludf.DUMMYFUNCTION("""COMPUTED_VALUE"""),"MBC BCP สุวินทวงศ์")</f>
        <v>MBC BCP สุวินทวงศ์</v>
      </c>
      <c r="P304" s="4">
        <f>IFERROR(__xludf.DUMMYFUNCTION("""COMPUTED_VALUE"""),40993.0)</f>
        <v>40993</v>
      </c>
      <c r="Q304" s="3" t="str">
        <f>IFERROR(__xludf.DUMMYFUNCTION("""COMPUTED_VALUE"""),"I")</f>
        <v>I</v>
      </c>
      <c r="R304" s="3" t="str">
        <f>IFERROR(__xludf.DUMMYFUNCTION("""COMPUTED_VALUE"""),"Small Format")</f>
        <v>Small Format</v>
      </c>
      <c r="S304" s="3" t="str">
        <f>IFERROR(__xludf.DUMMYFUNCTION("""COMPUTED_VALUE"""),"BCM")</f>
        <v>BCM</v>
      </c>
      <c r="T304" s="3" t="str">
        <f>IFERROR(__xludf.DUMMYFUNCTION("""COMPUTED_VALUE"""),"#N/A")</f>
        <v>#N/A</v>
      </c>
      <c r="U304" s="3" t="str">
        <f>IFERROR(__xludf.DUMMYFUNCTION("""COMPUTED_VALUE"""),"#N/A")</f>
        <v>#N/A</v>
      </c>
      <c r="V304" s="3" t="str">
        <f>IFERROR(__xludf.DUMMYFUNCTION("""COMPUTED_VALUE"""),"N")</f>
        <v>N</v>
      </c>
      <c r="W304" s="3">
        <f>IFERROR(__xludf.DUMMYFUNCTION("""COMPUTED_VALUE"""),0.0)</f>
        <v>0</v>
      </c>
      <c r="X304" s="3" t="str">
        <f>IFERROR(__xludf.DUMMYFUNCTION("""COMPUTED_VALUE"""),"55/46-48 หมู่ 14 ตำบลคลองหนึ่ง อำเภอคลองหลวง จังหวัดปทุมธานี 12120")</f>
        <v>55/46-48 หมู่ 14 ตำบลคลองหนึ่ง อำเภอคลองหลวง จังหวัดปทุมธานี 12120</v>
      </c>
      <c r="Y304" s="3"/>
      <c r="Z304" s="3" t="str">
        <f>IFERROR(__xludf.DUMMYFUNCTION("""COMPUTED_VALUE"""),"คลองหนึ่ง")</f>
        <v>คลองหนึ่ง</v>
      </c>
      <c r="AA304" s="3" t="str">
        <f>IFERROR(__xludf.DUMMYFUNCTION("""COMPUTED_VALUE"""),"คลองหลวง")</f>
        <v>คลองหลวง</v>
      </c>
      <c r="AB304" s="3" t="str">
        <f>IFERROR(__xludf.DUMMYFUNCTION("""COMPUTED_VALUE"""),"ปทุมธานี")</f>
        <v>ปทุมธานี</v>
      </c>
      <c r="AC304" s="3">
        <f>IFERROR(__xludf.DUMMYFUNCTION("""COMPUTED_VALUE"""),12120.0)</f>
        <v>12120</v>
      </c>
      <c r="AD304" s="3" t="str">
        <f>IFERROR(__xludf.DUMMYFUNCTION("""COMPUTED_VALUE"""),"#N/A")</f>
        <v>#N/A</v>
      </c>
      <c r="AE304" s="3" t="str">
        <f>IFERROR(__xludf.DUMMYFUNCTION("""COMPUTED_VALUE"""),"#N/A")</f>
        <v>#N/A</v>
      </c>
      <c r="AF304" s="3" t="str">
        <f>IFERROR(__xludf.DUMMYFUNCTION("""COMPUTED_VALUE"""),"เคหะคลองหลวง-21060")</f>
        <v>เคหะคลองหลวง-21060</v>
      </c>
      <c r="AG304" s="3" t="str">
        <f>IFERROR(__xludf.DUMMYFUNCTION("""COMPUTED_VALUE"""),"กลาง")</f>
        <v>กลาง</v>
      </c>
      <c r="AH304" s="3" t="str">
        <f>IFERROR(__xludf.DUMMYFUNCTION("""COMPUTED_VALUE"""),"#N/A")</f>
        <v>#N/A</v>
      </c>
      <c r="AI304" s="3" t="str">
        <f>IFERROR(__xludf.DUMMYFUNCTION("""COMPUTED_VALUE"""),"Out of warranty")</f>
        <v>Out of warranty</v>
      </c>
      <c r="AJ304" s="3">
        <f>IFERROR(__xludf.DUMMYFUNCTION("""COMPUTED_VALUE"""),166.0)</f>
        <v>166</v>
      </c>
      <c r="AK304" s="3"/>
      <c r="AL304" s="3"/>
    </row>
    <row r="305" ht="15.75" customHeight="1">
      <c r="A305" s="1" t="str">
        <f>IFERROR(__xludf.DUMMYFUNCTION("""COMPUTED_VALUE"""),"21061")</f>
        <v>21061</v>
      </c>
      <c r="B305" s="2">
        <f>IFERROR(__xludf.DUMMYFUNCTION("""COMPUTED_VALUE"""),21061.0)</f>
        <v>21061</v>
      </c>
      <c r="C305" s="3" t="str">
        <f>IFERROR(__xludf.DUMMYFUNCTION("""COMPUTED_VALUE"""),"MBC ดอนขุนวัง")</f>
        <v>MBC ดอนขุนวัง</v>
      </c>
      <c r="D305" s="3" t="str">
        <f>IFERROR(__xludf.DUMMYFUNCTION("""COMPUTED_VALUE"""),"BCM DONKHUNWANG")</f>
        <v>BCM DONKHUNWANG</v>
      </c>
      <c r="E305" s="1" t="str">
        <f>IFERROR(__xludf.DUMMYFUNCTION("""COMPUTED_VALUE"""),"บิ๊กซี MINI")</f>
        <v>บิ๊กซี MINI</v>
      </c>
      <c r="F305" s="1" t="str">
        <f>IFERROR(__xludf.DUMMYFUNCTION("""COMPUTED_VALUE"""),"221716")</f>
        <v>221716</v>
      </c>
      <c r="G305" s="1" t="str">
        <f>IFERROR(__xludf.DUMMYFUNCTION("""COMPUTED_VALUE"""),"น.ส.เบญจพร โพธิสาร")</f>
        <v>น.ส.เบญจพร โพธิสาร</v>
      </c>
      <c r="H305" s="1" t="str">
        <f>IFERROR(__xludf.DUMMYFUNCTION("""COMPUTED_VALUE"""),"034605")</f>
        <v>034605</v>
      </c>
      <c r="I305" s="1" t="str">
        <f>IFERROR(__xludf.DUMMYFUNCTION("""COMPUTED_VALUE"""),"นายธรรมรัตน์ สุขเจริญ")</f>
        <v>นายธรรมรัตน์ สุขเจริญ</v>
      </c>
      <c r="J305" s="3">
        <f>IFERROR(__xludf.DUMMYFUNCTION("""COMPUTED_VALUE"""),1.3461215E7)</f>
        <v>13461215</v>
      </c>
      <c r="K305" s="3" t="str">
        <f>IFERROR(__xludf.DUMMYFUNCTION("""COMPUTED_VALUE"""),"นายธีรภัทร สังข์เงิน")</f>
        <v>นายธีรภัทร สังข์เงิน</v>
      </c>
      <c r="L305" s="1" t="str">
        <f>IFERROR(__xludf.DUMMYFUNCTION("""COMPUTED_VALUE"""),"06 K.Teerapat")</f>
        <v>06 K.Teerapat</v>
      </c>
      <c r="M305" s="1" t="str">
        <f>IFERROR(__xludf.DUMMYFUNCTION("""COMPUTED_VALUE"""),"063-601-6803")</f>
        <v>063-601-6803</v>
      </c>
      <c r="N305" s="3">
        <f>IFERROR(__xludf.DUMMYFUNCTION("""COMPUTED_VALUE"""),22115.0)</f>
        <v>22115</v>
      </c>
      <c r="O305" s="3" t="str">
        <f>IFERROR(__xludf.DUMMYFUNCTION("""COMPUTED_VALUE"""),"MBC เลี่ยงหนองมน ชลบุรี")</f>
        <v>MBC เลี่ยงหนองมน ชลบุรี</v>
      </c>
      <c r="P305" s="4">
        <f>IFERROR(__xludf.DUMMYFUNCTION("""COMPUTED_VALUE"""),41009.0)</f>
        <v>41009</v>
      </c>
      <c r="Q305" s="3" t="str">
        <f>IFERROR(__xludf.DUMMYFUNCTION("""COMPUTED_VALUE"""),"A")</f>
        <v>A</v>
      </c>
      <c r="R305" s="3" t="str">
        <f>IFERROR(__xludf.DUMMYFUNCTION("""COMPUTED_VALUE"""),"Small Format")</f>
        <v>Small Format</v>
      </c>
      <c r="S305" s="3" t="str">
        <f>IFERROR(__xludf.DUMMYFUNCTION("""COMPUTED_VALUE"""),"BCM")</f>
        <v>BCM</v>
      </c>
      <c r="T305" s="3" t="str">
        <f>IFERROR(__xludf.DUMMYFUNCTION("""COMPUTED_VALUE"""),"#N/A")</f>
        <v>#N/A</v>
      </c>
      <c r="U305" s="3" t="str">
        <f>IFERROR(__xludf.DUMMYFUNCTION("""COMPUTED_VALUE"""),"#N/A")</f>
        <v>#N/A</v>
      </c>
      <c r="V305" s="3" t="str">
        <f>IFERROR(__xludf.DUMMYFUNCTION("""COMPUTED_VALUE"""),"N")</f>
        <v>N</v>
      </c>
      <c r="W305" s="3">
        <f>IFERROR(__xludf.DUMMYFUNCTION("""COMPUTED_VALUE"""),211062.0)</f>
        <v>211062</v>
      </c>
      <c r="X305" s="3" t="str">
        <f>IFERROR(__xludf.DUMMYFUNCTION("""COMPUTED_VALUE"""),"47/106-108 หมู่ 6 ตำบลดอนหัวฬ่อ อำเภอเมืองชลบุรี จังหวัดชลบุรี 20000")</f>
        <v>47/106-108 หมู่ 6 ตำบลดอนหัวฬ่อ อำเภอเมืองชลบุรี จังหวัดชลบุรี 20000</v>
      </c>
      <c r="Y305" s="3"/>
      <c r="Z305" s="3" t="str">
        <f>IFERROR(__xludf.DUMMYFUNCTION("""COMPUTED_VALUE"""),"ดอนหัวฬ่อ")</f>
        <v>ดอนหัวฬ่อ</v>
      </c>
      <c r="AA305" s="3" t="str">
        <f>IFERROR(__xludf.DUMMYFUNCTION("""COMPUTED_VALUE"""),"เมือง")</f>
        <v>เมือง</v>
      </c>
      <c r="AB305" s="3" t="str">
        <f>IFERROR(__xludf.DUMMYFUNCTION("""COMPUTED_VALUE"""),"ชลบุรี")</f>
        <v>ชลบุรี</v>
      </c>
      <c r="AC305" s="3">
        <f>IFERROR(__xludf.DUMMYFUNCTION("""COMPUTED_VALUE"""),20000.0)</f>
        <v>20000</v>
      </c>
      <c r="AD305" s="3">
        <f>IFERROR(__xludf.DUMMYFUNCTION("""COMPUTED_VALUE"""),13.427457)</f>
        <v>13.427457</v>
      </c>
      <c r="AE305" s="3">
        <f>IFERROR(__xludf.DUMMYFUNCTION("""COMPUTED_VALUE"""),101.038888)</f>
        <v>101.038888</v>
      </c>
      <c r="AF305" s="3" t="str">
        <f>IFERROR(__xludf.DUMMYFUNCTION("""COMPUTED_VALUE"""),"MBC ดอนขุนวัง-21061")</f>
        <v>MBC ดอนขุนวัง-21061</v>
      </c>
      <c r="AG305" s="3" t="str">
        <f>IFERROR(__xludf.DUMMYFUNCTION("""COMPUTED_VALUE"""),"ตะวันออก")</f>
        <v>ตะวันออก</v>
      </c>
      <c r="AH305" s="3" t="str">
        <f>IFERROR(__xludf.DUMMYFUNCTION("""COMPUTED_VALUE"""),"#N/A")</f>
        <v>#N/A</v>
      </c>
      <c r="AI305" s="3" t="str">
        <f>IFERROR(__xludf.DUMMYFUNCTION("""COMPUTED_VALUE"""),"Out of warranty")</f>
        <v>Out of warranty</v>
      </c>
      <c r="AJ305" s="3">
        <f>IFERROR(__xludf.DUMMYFUNCTION("""COMPUTED_VALUE"""),166.0)</f>
        <v>166</v>
      </c>
      <c r="AK305" s="3" t="str">
        <f>IFERROR(__xludf.DUMMYFUNCTION("""COMPUTED_VALUE"""),"MMS06")</f>
        <v>MMS06</v>
      </c>
      <c r="AL305" s="3"/>
    </row>
    <row r="306" ht="15.75" customHeight="1">
      <c r="A306" s="1" t="str">
        <f>IFERROR(__xludf.DUMMYFUNCTION("""COMPUTED_VALUE"""),"21062")</f>
        <v>21062</v>
      </c>
      <c r="B306" s="2">
        <f>IFERROR(__xludf.DUMMYFUNCTION("""COMPUTED_VALUE"""),21062.0)</f>
        <v>21062</v>
      </c>
      <c r="C306" s="3" t="str">
        <f>IFERROR(__xludf.DUMMYFUNCTION("""COMPUTED_VALUE"""),"MBC นิคมนวนคร")</f>
        <v>MBC นิคมนวนคร</v>
      </c>
      <c r="D306" s="3" t="str">
        <f>IFERROR(__xludf.DUMMYFUNCTION("""COMPUTED_VALUE"""),"BCM NIKOM NAVANAKORN")</f>
        <v>BCM NIKOM NAVANAKORN</v>
      </c>
      <c r="E306" s="1" t="str">
        <f>IFERROR(__xludf.DUMMYFUNCTION("""COMPUTED_VALUE"""),"บิ๊กซี MINI")</f>
        <v>บิ๊กซี MINI</v>
      </c>
      <c r="F306" s="1" t="str">
        <f>IFERROR(__xludf.DUMMYFUNCTION("""COMPUTED_VALUE"""),"2083447")</f>
        <v>2083447</v>
      </c>
      <c r="G306" s="1" t="str">
        <f>IFERROR(__xludf.DUMMYFUNCTION("""COMPUTED_VALUE"""),"นายอนุกูล ศรีลัดดา")</f>
        <v>นายอนุกูล ศรีลัดดา</v>
      </c>
      <c r="H306" s="1" t="str">
        <f>IFERROR(__xludf.DUMMYFUNCTION("""COMPUTED_VALUE"""),"373849")</f>
        <v>373849</v>
      </c>
      <c r="I306" s="1" t="str">
        <f>IFERROR(__xludf.DUMMYFUNCTION("""COMPUTED_VALUE"""),"น.ส.อรอุมา นิ่มวิศิษย์")</f>
        <v>น.ส.อรอุมา นิ่มวิศิษย์</v>
      </c>
      <c r="J306" s="3">
        <f>IFERROR(__xludf.DUMMYFUNCTION("""COMPUTED_VALUE"""),510143.0)</f>
        <v>510143</v>
      </c>
      <c r="K306" s="3" t="str">
        <f>IFERROR(__xludf.DUMMYFUNCTION("""COMPUTED_VALUE"""),"นายธีระวัฒน์ บุญสิทธิ์")</f>
        <v>นายธีระวัฒน์ บุญสิทธิ์</v>
      </c>
      <c r="L306" s="1" t="str">
        <f>IFERROR(__xludf.DUMMYFUNCTION("""COMPUTED_VALUE"""),"12 K.Theerawat B.")</f>
        <v>12 K.Theerawat B.</v>
      </c>
      <c r="M306" s="1" t="str">
        <f>IFERROR(__xludf.DUMMYFUNCTION("""COMPUTED_VALUE"""),"0655107379")</f>
        <v>0655107379</v>
      </c>
      <c r="N306" s="3">
        <f>IFERROR(__xludf.DUMMYFUNCTION("""COMPUTED_VALUE"""),21062.0)</f>
        <v>21062</v>
      </c>
      <c r="O306" s="3" t="str">
        <f>IFERROR(__xludf.DUMMYFUNCTION("""COMPUTED_VALUE"""),"MBC นิคมนวนคร")</f>
        <v>MBC นิคมนวนคร</v>
      </c>
      <c r="P306" s="4">
        <f>IFERROR(__xludf.DUMMYFUNCTION("""COMPUTED_VALUE"""),40999.0)</f>
        <v>40999</v>
      </c>
      <c r="Q306" s="3" t="str">
        <f>IFERROR(__xludf.DUMMYFUNCTION("""COMPUTED_VALUE"""),"A")</f>
        <v>A</v>
      </c>
      <c r="R306" s="3" t="str">
        <f>IFERROR(__xludf.DUMMYFUNCTION("""COMPUTED_VALUE"""),"Small Format")</f>
        <v>Small Format</v>
      </c>
      <c r="S306" s="3" t="str">
        <f>IFERROR(__xludf.DUMMYFUNCTION("""COMPUTED_VALUE"""),"BCM")</f>
        <v>BCM</v>
      </c>
      <c r="T306" s="3" t="str">
        <f>IFERROR(__xludf.DUMMYFUNCTION("""COMPUTED_VALUE"""),"#N/A")</f>
        <v>#N/A</v>
      </c>
      <c r="U306" s="3" t="str">
        <f>IFERROR(__xludf.DUMMYFUNCTION("""COMPUTED_VALUE"""),"#N/A")</f>
        <v>#N/A</v>
      </c>
      <c r="V306" s="3" t="str">
        <f>IFERROR(__xludf.DUMMYFUNCTION("""COMPUTED_VALUE"""),"N")</f>
        <v>N</v>
      </c>
      <c r="W306" s="3">
        <f>IFERROR(__xludf.DUMMYFUNCTION("""COMPUTED_VALUE"""),211059.0)</f>
        <v>211059</v>
      </c>
      <c r="X306" s="3" t="str">
        <f>IFERROR(__xludf.DUMMYFUNCTION("""COMPUTED_VALUE"""),"10/74 หมู่ 19 ถนนไทยธานี ตำบลคลองหนึ่ง อำเภอคลองหลวง จังหวัดปทุมธานี 12120")</f>
        <v>10/74 หมู่ 19 ถนนไทยธานี ตำบลคลองหนึ่ง อำเภอคลองหลวง จังหวัดปทุมธานี 12120</v>
      </c>
      <c r="Y306" s="3"/>
      <c r="Z306" s="3" t="str">
        <f>IFERROR(__xludf.DUMMYFUNCTION("""COMPUTED_VALUE"""),"คลองหนึ่ง")</f>
        <v>คลองหนึ่ง</v>
      </c>
      <c r="AA306" s="3" t="str">
        <f>IFERROR(__xludf.DUMMYFUNCTION("""COMPUTED_VALUE"""),"คลองหลวง")</f>
        <v>คลองหลวง</v>
      </c>
      <c r="AB306" s="3" t="str">
        <f>IFERROR(__xludf.DUMMYFUNCTION("""COMPUTED_VALUE"""),"ปทุมธานี")</f>
        <v>ปทุมธานี</v>
      </c>
      <c r="AC306" s="3">
        <f>IFERROR(__xludf.DUMMYFUNCTION("""COMPUTED_VALUE"""),12120.0)</f>
        <v>12120</v>
      </c>
      <c r="AD306" s="3">
        <f>IFERROR(__xludf.DUMMYFUNCTION("""COMPUTED_VALUE"""),14.113665)</f>
        <v>14.113665</v>
      </c>
      <c r="AE306" s="3">
        <f>IFERROR(__xludf.DUMMYFUNCTION("""COMPUTED_VALUE"""),100.598649)</f>
        <v>100.598649</v>
      </c>
      <c r="AF306" s="3" t="str">
        <f>IFERROR(__xludf.DUMMYFUNCTION("""COMPUTED_VALUE"""),"MBC นิคมนวนคร-21062")</f>
        <v>MBC นิคมนวนคร-21062</v>
      </c>
      <c r="AG306" s="3" t="str">
        <f>IFERROR(__xludf.DUMMYFUNCTION("""COMPUTED_VALUE"""),"กลาง")</f>
        <v>กลาง</v>
      </c>
      <c r="AH306" s="3" t="str">
        <f>IFERROR(__xludf.DUMMYFUNCTION("""COMPUTED_VALUE"""),"#N/A")</f>
        <v>#N/A</v>
      </c>
      <c r="AI306" s="3" t="str">
        <f>IFERROR(__xludf.DUMMYFUNCTION("""COMPUTED_VALUE"""),"Out of warranty")</f>
        <v>Out of warranty</v>
      </c>
      <c r="AJ306" s="3">
        <f>IFERROR(__xludf.DUMMYFUNCTION("""COMPUTED_VALUE"""),166.0)</f>
        <v>166</v>
      </c>
      <c r="AK306" s="3" t="str">
        <f>IFERROR(__xludf.DUMMYFUNCTION("""COMPUTED_VALUE"""),"MMS04")</f>
        <v>MMS04</v>
      </c>
      <c r="AL306" s="3"/>
    </row>
    <row r="307" ht="15.75" customHeight="1">
      <c r="A307" s="1" t="str">
        <f>IFERROR(__xludf.DUMMYFUNCTION("""COMPUTED_VALUE"""),"21063")</f>
        <v>21063</v>
      </c>
      <c r="B307" s="2">
        <f>IFERROR(__xludf.DUMMYFUNCTION("""COMPUTED_VALUE"""),21063.0)</f>
        <v>21063</v>
      </c>
      <c r="C307" s="3" t="str">
        <f>IFERROR(__xludf.DUMMYFUNCTION("""COMPUTED_VALUE"""),"BCM ตลาดลองมาซิเออ")</f>
        <v>BCM ตลาดลองมาซิเออ</v>
      </c>
      <c r="D307" s="3" t="str">
        <f>IFERROR(__xludf.DUMMYFUNCTION("""COMPUTED_VALUE"""),"BCM TALAD LONGMARCIER")</f>
        <v>BCM TALAD LONGMARCIER</v>
      </c>
      <c r="E307" s="1" t="str">
        <f>IFERROR(__xludf.DUMMYFUNCTION("""COMPUTED_VALUE"""),"บิ๊กซี MINI")</f>
        <v>บิ๊กซี MINI</v>
      </c>
      <c r="F307" s="1" t="str">
        <f>IFERROR(__xludf.DUMMYFUNCTION("""COMPUTED_VALUE"""),"2083447")</f>
        <v>2083447</v>
      </c>
      <c r="G307" s="1" t="str">
        <f>IFERROR(__xludf.DUMMYFUNCTION("""COMPUTED_VALUE"""),"นายอนุกูล ศรีลัดดา")</f>
        <v>นายอนุกูล ศรีลัดดา</v>
      </c>
      <c r="H307" s="1" t="str">
        <f>IFERROR(__xludf.DUMMYFUNCTION("""COMPUTED_VALUE"""),"284752")</f>
        <v>284752</v>
      </c>
      <c r="I307" s="1" t="str">
        <f>IFERROR(__xludf.DUMMYFUNCTION("""COMPUTED_VALUE"""),"น.ส.วีรนันท์ แสงใส")</f>
        <v>น.ส.วีรนันท์ แสงใส</v>
      </c>
      <c r="J307" s="3">
        <f>IFERROR(__xludf.DUMMYFUNCTION("""COMPUTED_VALUE"""),2451655.0)</f>
        <v>2451655</v>
      </c>
      <c r="K307" s="3" t="str">
        <f>IFERROR(__xludf.DUMMYFUNCTION("""COMPUTED_VALUE"""),"นายวิษณุพงษ์ ชินบุตร")</f>
        <v>นายวิษณุพงษ์ ชินบุตร</v>
      </c>
      <c r="L307" s="1" t="str">
        <f>IFERROR(__xludf.DUMMYFUNCTION("""COMPUTED_VALUE"""),"13 K.Wisanupong Ch")</f>
        <v>13 K.Wisanupong Ch</v>
      </c>
      <c r="M307" s="1" t="str">
        <f>IFERROR(__xludf.DUMMYFUNCTION("""COMPUTED_VALUE"""),"0843374693")</f>
        <v>0843374693</v>
      </c>
      <c r="N307" s="3">
        <f>IFERROR(__xludf.DUMMYFUNCTION("""COMPUTED_VALUE"""),22729.0)</f>
        <v>22729</v>
      </c>
      <c r="O307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307" s="4">
        <f>IFERROR(__xludf.DUMMYFUNCTION("""COMPUTED_VALUE"""),45016.0)</f>
        <v>45016</v>
      </c>
      <c r="Q307" s="3" t="str">
        <f>IFERROR(__xludf.DUMMYFUNCTION("""COMPUTED_VALUE"""),"A")</f>
        <v>A</v>
      </c>
      <c r="R307" s="3" t="str">
        <f>IFERROR(__xludf.DUMMYFUNCTION("""COMPUTED_VALUE"""),"Small Format")</f>
        <v>Small Format</v>
      </c>
      <c r="S307" s="3" t="str">
        <f>IFERROR(__xludf.DUMMYFUNCTION("""COMPUTED_VALUE"""),"BCM")</f>
        <v>BCM</v>
      </c>
      <c r="T307" s="3" t="str">
        <f>IFERROR(__xludf.DUMMYFUNCTION("""COMPUTED_VALUE"""),"#N/A")</f>
        <v>#N/A</v>
      </c>
      <c r="U307" s="3" t="str">
        <f>IFERROR(__xludf.DUMMYFUNCTION("""COMPUTED_VALUE"""),"#N/A")</f>
        <v>#N/A</v>
      </c>
      <c r="V307" s="3" t="str">
        <f>IFERROR(__xludf.DUMMYFUNCTION("""COMPUTED_VALUE"""),"N")</f>
        <v>N</v>
      </c>
      <c r="W307" s="3">
        <f>IFERROR(__xludf.DUMMYFUNCTION("""COMPUTED_VALUE"""),211060.0)</f>
        <v>211060</v>
      </c>
      <c r="X307" s="3" t="str">
        <f>IFERROR(__xludf.DUMMYFUNCTION("""COMPUTED_VALUE"""),"88/99 หมู่ 7 ตำบลบางโฉลง อำเภอบางพลี จังหวัดสมุทรปราการ 10540")</f>
        <v>88/99 หมู่ 7 ตำบลบางโฉลง อำเภอบางพลี จังหวัดสมุทรปราการ 10540</v>
      </c>
      <c r="Y307" s="3"/>
      <c r="Z307" s="3" t="str">
        <f>IFERROR(__xludf.DUMMYFUNCTION("""COMPUTED_VALUE"""),"บางโฉลง")</f>
        <v>บางโฉลง</v>
      </c>
      <c r="AA307" s="3" t="str">
        <f>IFERROR(__xludf.DUMMYFUNCTION("""COMPUTED_VALUE"""),"บางพลี")</f>
        <v>บางพลี</v>
      </c>
      <c r="AB307" s="3" t="str">
        <f>IFERROR(__xludf.DUMMYFUNCTION("""COMPUTED_VALUE"""),"สมุทรปราการ")</f>
        <v>สมุทรปราการ</v>
      </c>
      <c r="AC307" s="3">
        <f>IFERROR(__xludf.DUMMYFUNCTION("""COMPUTED_VALUE"""),10540.0)</f>
        <v>10540</v>
      </c>
      <c r="AD307" s="3">
        <f>IFERROR(__xludf.DUMMYFUNCTION("""COMPUTED_VALUE"""),13.623877)</f>
        <v>13.623877</v>
      </c>
      <c r="AE307" s="3">
        <f>IFERROR(__xludf.DUMMYFUNCTION("""COMPUTED_VALUE"""),100.764444)</f>
        <v>100.764444</v>
      </c>
      <c r="AF307" s="3" t="str">
        <f>IFERROR(__xludf.DUMMYFUNCTION("""COMPUTED_VALUE"""),"BCM ตลาดลองมาซิเออ-21063")</f>
        <v>BCM ตลาดลองมาซิเออ-21063</v>
      </c>
      <c r="AG307" s="3" t="str">
        <f>IFERROR(__xludf.DUMMYFUNCTION("""COMPUTED_VALUE"""),"กลาง")</f>
        <v>กลาง</v>
      </c>
      <c r="AH307" s="3" t="str">
        <f>IFERROR(__xludf.DUMMYFUNCTION("""COMPUTED_VALUE"""),"#N/A")</f>
        <v>#N/A</v>
      </c>
      <c r="AI307" s="3" t="str">
        <f>IFERROR(__xludf.DUMMYFUNCTION("""COMPUTED_VALUE"""),"Out of warranty")</f>
        <v>Out of warranty</v>
      </c>
      <c r="AJ307" s="3">
        <f>IFERROR(__xludf.DUMMYFUNCTION("""COMPUTED_VALUE"""),34.0)</f>
        <v>34</v>
      </c>
      <c r="AK307" s="3" t="str">
        <f>IFERROR(__xludf.DUMMYFUNCTION("""COMPUTED_VALUE"""),"MMS03")</f>
        <v>MMS03</v>
      </c>
      <c r="AL307" s="3"/>
    </row>
    <row r="308" ht="15.75" customHeight="1">
      <c r="A308" s="1" t="str">
        <f>IFERROR(__xludf.DUMMYFUNCTION("""COMPUTED_VALUE"""),"21064")</f>
        <v>21064</v>
      </c>
      <c r="B308" s="2">
        <f>IFERROR(__xludf.DUMMYFUNCTION("""COMPUTED_VALUE"""),21064.0)</f>
        <v>21064</v>
      </c>
      <c r="C308" s="3" t="str">
        <f>IFERROR(__xludf.DUMMYFUNCTION("""COMPUTED_VALUE"""),"MBC โรงพยาบาลเปาโล")</f>
        <v>MBC โรงพยาบาลเปาโล</v>
      </c>
      <c r="D308" s="3" t="str">
        <f>IFERROR(__xludf.DUMMYFUNCTION("""COMPUTED_VALUE"""),"BCM RONGPAYABAN PAOLO")</f>
        <v>BCM RONGPAYABAN PAOLO</v>
      </c>
      <c r="E308" s="1" t="str">
        <f>IFERROR(__xludf.DUMMYFUNCTION("""COMPUTED_VALUE"""),"บิ๊กซี MINI")</f>
        <v>บิ๊กซี MINI</v>
      </c>
      <c r="F308" s="1" t="str">
        <f>IFERROR(__xludf.DUMMYFUNCTION("""COMPUTED_VALUE"""),"2083447")</f>
        <v>2083447</v>
      </c>
      <c r="G308" s="1" t="str">
        <f>IFERROR(__xludf.DUMMYFUNCTION("""COMPUTED_VALUE"""),"นายอนุกูล ศรีลัดดา")</f>
        <v>นายอนุกูล ศรีลัดดา</v>
      </c>
      <c r="H308" s="1" t="str">
        <f>IFERROR(__xludf.DUMMYFUNCTION("""COMPUTED_VALUE"""),"399107")</f>
        <v>399107</v>
      </c>
      <c r="I308" s="1" t="str">
        <f>IFERROR(__xludf.DUMMYFUNCTION("""COMPUTED_VALUE"""),"นายรัชระวี กลมแป้น")</f>
        <v>นายรัชระวี กลมแป้น</v>
      </c>
      <c r="J308" s="3">
        <f>IFERROR(__xludf.DUMMYFUNCTION("""COMPUTED_VALUE"""),510143.0)</f>
        <v>510143</v>
      </c>
      <c r="K308" s="3" t="str">
        <f>IFERROR(__xludf.DUMMYFUNCTION("""COMPUTED_VALUE"""),"นายธีระวัฒน์ บุญสิทธิ์")</f>
        <v>นายธีระวัฒน์ บุญสิทธิ์</v>
      </c>
      <c r="L308" s="1" t="str">
        <f>IFERROR(__xludf.DUMMYFUNCTION("""COMPUTED_VALUE"""),"12 K.Theerawat B.")</f>
        <v>12 K.Theerawat B.</v>
      </c>
      <c r="M308" s="1" t="str">
        <f>IFERROR(__xludf.DUMMYFUNCTION("""COMPUTED_VALUE"""),"0655107379")</f>
        <v>0655107379</v>
      </c>
      <c r="N308" s="3">
        <f>IFERROR(__xludf.DUMMYFUNCTION("""COMPUTED_VALUE"""),21062.0)</f>
        <v>21062</v>
      </c>
      <c r="O308" s="3" t="str">
        <f>IFERROR(__xludf.DUMMYFUNCTION("""COMPUTED_VALUE"""),"MBC นิคมนวนคร")</f>
        <v>MBC นิคมนวนคร</v>
      </c>
      <c r="P308" s="4">
        <f>IFERROR(__xludf.DUMMYFUNCTION("""COMPUTED_VALUE"""),41016.0)</f>
        <v>41016</v>
      </c>
      <c r="Q308" s="3" t="str">
        <f>IFERROR(__xludf.DUMMYFUNCTION("""COMPUTED_VALUE"""),"A")</f>
        <v>A</v>
      </c>
      <c r="R308" s="3" t="str">
        <f>IFERROR(__xludf.DUMMYFUNCTION("""COMPUTED_VALUE"""),"Small Format")</f>
        <v>Small Format</v>
      </c>
      <c r="S308" s="3" t="str">
        <f>IFERROR(__xludf.DUMMYFUNCTION("""COMPUTED_VALUE"""),"BCM")</f>
        <v>BCM</v>
      </c>
      <c r="T308" s="3" t="str">
        <f>IFERROR(__xludf.DUMMYFUNCTION("""COMPUTED_VALUE"""),"#N/A")</f>
        <v>#N/A</v>
      </c>
      <c r="U308" s="3" t="str">
        <f>IFERROR(__xludf.DUMMYFUNCTION("""COMPUTED_VALUE"""),"#N/A")</f>
        <v>#N/A</v>
      </c>
      <c r="V308" s="3" t="str">
        <f>IFERROR(__xludf.DUMMYFUNCTION("""COMPUTED_VALUE"""),"N")</f>
        <v>N</v>
      </c>
      <c r="W308" s="3">
        <f>IFERROR(__xludf.DUMMYFUNCTION("""COMPUTED_VALUE"""),211063.0)</f>
        <v>211063</v>
      </c>
      <c r="X308" s="3" t="str">
        <f>IFERROR(__xludf.DUMMYFUNCTION("""COMPUTED_VALUE"""),"227/20 หมู่ 5 ตำบลบางเมือง อำเภอเมืองสมุทรปราการ จังหวัดสมุทรปราการ 10270")</f>
        <v>227/20 หมู่ 5 ตำบลบางเมือง อำเภอเมืองสมุทรปราการ จังหวัดสมุทรปราการ 10270</v>
      </c>
      <c r="Y308" s="3"/>
      <c r="Z308" s="3" t="str">
        <f>IFERROR(__xludf.DUMMYFUNCTION("""COMPUTED_VALUE"""),"บางเมือง")</f>
        <v>บางเมือง</v>
      </c>
      <c r="AA308" s="3" t="str">
        <f>IFERROR(__xludf.DUMMYFUNCTION("""COMPUTED_VALUE"""),"เมืองสมุทรปราการ")</f>
        <v>เมืองสมุทรปราการ</v>
      </c>
      <c r="AB308" s="3" t="str">
        <f>IFERROR(__xludf.DUMMYFUNCTION("""COMPUTED_VALUE"""),"สมุทรปราการ")</f>
        <v>สมุทรปราการ</v>
      </c>
      <c r="AC308" s="3">
        <f>IFERROR(__xludf.DUMMYFUNCTION("""COMPUTED_VALUE"""),10270.0)</f>
        <v>10270</v>
      </c>
      <c r="AD308" s="3">
        <f>IFERROR(__xludf.DUMMYFUNCTION("""COMPUTED_VALUE"""),13.598919)</f>
        <v>13.598919</v>
      </c>
      <c r="AE308" s="3">
        <f>IFERROR(__xludf.DUMMYFUNCTION("""COMPUTED_VALUE"""),100.612884)</f>
        <v>100.612884</v>
      </c>
      <c r="AF308" s="3" t="str">
        <f>IFERROR(__xludf.DUMMYFUNCTION("""COMPUTED_VALUE"""),"MBC โรงพยาบาลเปาโล-21064")</f>
        <v>MBC โรงพยาบาลเปาโล-21064</v>
      </c>
      <c r="AG308" s="3" t="str">
        <f>IFERROR(__xludf.DUMMYFUNCTION("""COMPUTED_VALUE"""),"กลาง")</f>
        <v>กลาง</v>
      </c>
      <c r="AH308" s="3" t="str">
        <f>IFERROR(__xludf.DUMMYFUNCTION("""COMPUTED_VALUE"""),"#N/A")</f>
        <v>#N/A</v>
      </c>
      <c r="AI308" s="3" t="str">
        <f>IFERROR(__xludf.DUMMYFUNCTION("""COMPUTED_VALUE"""),"Out of warranty")</f>
        <v>Out of warranty</v>
      </c>
      <c r="AJ308" s="3">
        <f>IFERROR(__xludf.DUMMYFUNCTION("""COMPUTED_VALUE"""),166.0)</f>
        <v>166</v>
      </c>
      <c r="AK308" s="3" t="str">
        <f>IFERROR(__xludf.DUMMYFUNCTION("""COMPUTED_VALUE"""),"MMS02")</f>
        <v>MMS02</v>
      </c>
      <c r="AL308" s="3"/>
    </row>
    <row r="309" ht="15.75" customHeight="1">
      <c r="A309" s="1" t="str">
        <f>IFERROR(__xludf.DUMMYFUNCTION("""COMPUTED_VALUE"""),"21065")</f>
        <v>21065</v>
      </c>
      <c r="B309" s="2">
        <f>IFERROR(__xludf.DUMMYFUNCTION("""COMPUTED_VALUE"""),21065.0)</f>
        <v>21065</v>
      </c>
      <c r="C309" s="3" t="str">
        <f>IFERROR(__xludf.DUMMYFUNCTION("""COMPUTED_VALUE"""),"MBC เคหะธานี 4")</f>
        <v>MBC เคหะธานี 4</v>
      </c>
      <c r="D309" s="3" t="str">
        <f>IFERROR(__xludf.DUMMYFUNCTION("""COMPUTED_VALUE"""),"BCM KEHA THANI 4")</f>
        <v>BCM KEHA THANI 4</v>
      </c>
      <c r="E309" s="1" t="str">
        <f>IFERROR(__xludf.DUMMYFUNCTION("""COMPUTED_VALUE"""),"บิ๊กซี MINI")</f>
        <v>บิ๊กซี MINI</v>
      </c>
      <c r="F309" s="1" t="str">
        <f>IFERROR(__xludf.DUMMYFUNCTION("""COMPUTED_VALUE"""),"291008")</f>
        <v>291008</v>
      </c>
      <c r="G309" s="1" t="str">
        <f>IFERROR(__xludf.DUMMYFUNCTION("""COMPUTED_VALUE"""),"น.ส.รัชดาพร อีศรัตน์")</f>
        <v>น.ส.รัชดาพร อีศรัตน์</v>
      </c>
      <c r="H309" s="1" t="str">
        <f>IFERROR(__xludf.DUMMYFUNCTION("""COMPUTED_VALUE"""),"228242")</f>
        <v>228242</v>
      </c>
      <c r="I309" s="1" t="str">
        <f>IFERROR(__xludf.DUMMYFUNCTION("""COMPUTED_VALUE"""),"นายสมชาย เยมรัมย์")</f>
        <v>นายสมชาย เยมรัมย์</v>
      </c>
      <c r="J309" s="3">
        <f>IFERROR(__xludf.DUMMYFUNCTION("""COMPUTED_VALUE"""),3510104.0)</f>
        <v>3510104</v>
      </c>
      <c r="K309" s="3" t="str">
        <f>IFERROR(__xludf.DUMMYFUNCTION("""COMPUTED_VALUE"""),"นายวิโรจน์ อับดุลสมัด")</f>
        <v>นายวิโรจน์ อับดุลสมัด</v>
      </c>
      <c r="L309" s="1" t="str">
        <f>IFERROR(__xludf.DUMMYFUNCTION("""COMPUTED_VALUE"""),"09 K.Wirode A")</f>
        <v>09 K.Wirode A</v>
      </c>
      <c r="M309" s="1" t="str">
        <f>IFERROR(__xludf.DUMMYFUNCTION("""COMPUTED_VALUE"""),"080-235-4465")</f>
        <v>080-235-4465</v>
      </c>
      <c r="N309" s="3">
        <f>IFERROR(__xludf.DUMMYFUNCTION("""COMPUTED_VALUE"""),21324.0)</f>
        <v>21324</v>
      </c>
      <c r="O309" s="3" t="str">
        <f>IFERROR(__xludf.DUMMYFUNCTION("""COMPUTED_VALUE"""),"MBC BCP สุวินทวงศ์")</f>
        <v>MBC BCP สุวินทวงศ์</v>
      </c>
      <c r="P309" s="4">
        <f>IFERROR(__xludf.DUMMYFUNCTION("""COMPUTED_VALUE"""),41020.0)</f>
        <v>41020</v>
      </c>
      <c r="Q309" s="3" t="str">
        <f>IFERROR(__xludf.DUMMYFUNCTION("""COMPUTED_VALUE"""),"A")</f>
        <v>A</v>
      </c>
      <c r="R309" s="3" t="str">
        <f>IFERROR(__xludf.DUMMYFUNCTION("""COMPUTED_VALUE"""),"Small Format")</f>
        <v>Small Format</v>
      </c>
      <c r="S309" s="3" t="str">
        <f>IFERROR(__xludf.DUMMYFUNCTION("""COMPUTED_VALUE"""),"BCM")</f>
        <v>BCM</v>
      </c>
      <c r="T309" s="3" t="str">
        <f>IFERROR(__xludf.DUMMYFUNCTION("""COMPUTED_VALUE"""),"#N/A")</f>
        <v>#N/A</v>
      </c>
      <c r="U309" s="3" t="str">
        <f>IFERROR(__xludf.DUMMYFUNCTION("""COMPUTED_VALUE"""),"#N/A")</f>
        <v>#N/A</v>
      </c>
      <c r="V309" s="3" t="str">
        <f>IFERROR(__xludf.DUMMYFUNCTION("""COMPUTED_VALUE"""),"N")</f>
        <v>N</v>
      </c>
      <c r="W309" s="3">
        <f>IFERROR(__xludf.DUMMYFUNCTION("""COMPUTED_VALUE"""),211065.0)</f>
        <v>211065</v>
      </c>
      <c r="X309" s="3" t="str">
        <f>IFERROR(__xludf.DUMMYFUNCTION("""COMPUTED_VALUE"""),"197/2 ถนนราษฎร์พัฒนา แขวงสะพานสูง เขตสะพานสูง กรุงเทพฯ 10240")</f>
        <v>197/2 ถนนราษฎร์พัฒนา แขวงสะพานสูง เขตสะพานสูง กรุงเทพฯ 10240</v>
      </c>
      <c r="Y309" s="3" t="str">
        <f>IFERROR(__xludf.DUMMYFUNCTION("""COMPUTED_VALUE"""),"ถนนราษฎร์พัฒนา")</f>
        <v>ถนนราษฎร์พัฒนา</v>
      </c>
      <c r="Z309" s="3" t="str">
        <f>IFERROR(__xludf.DUMMYFUNCTION("""COMPUTED_VALUE"""),"สะพานสูง")</f>
        <v>สะพานสูง</v>
      </c>
      <c r="AA309" s="3" t="str">
        <f>IFERROR(__xludf.DUMMYFUNCTION("""COMPUTED_VALUE"""),"สะพานสูง")</f>
        <v>สะพานสูง</v>
      </c>
      <c r="AB309" s="3" t="str">
        <f>IFERROR(__xludf.DUMMYFUNCTION("""COMPUTED_VALUE"""),"กรุงเทพมหานคร")</f>
        <v>กรุงเทพมหานคร</v>
      </c>
      <c r="AC309" s="3">
        <f>IFERROR(__xludf.DUMMYFUNCTION("""COMPUTED_VALUE"""),10240.0)</f>
        <v>10240</v>
      </c>
      <c r="AD309" s="3">
        <f>IFERROR(__xludf.DUMMYFUNCTION("""COMPUTED_VALUE"""),13.785185)</f>
        <v>13.785185</v>
      </c>
      <c r="AE309" s="3">
        <f>IFERROR(__xludf.DUMMYFUNCTION("""COMPUTED_VALUE"""),100.705548)</f>
        <v>100.705548</v>
      </c>
      <c r="AF309" s="3" t="str">
        <f>IFERROR(__xludf.DUMMYFUNCTION("""COMPUTED_VALUE"""),"MBC เคหะธานี 4-21065")</f>
        <v>MBC เคหะธานี 4-21065</v>
      </c>
      <c r="AG309" s="3" t="str">
        <f>IFERROR(__xludf.DUMMYFUNCTION("""COMPUTED_VALUE"""),"กลาง")</f>
        <v>กลาง</v>
      </c>
      <c r="AH309" s="3" t="str">
        <f>IFERROR(__xludf.DUMMYFUNCTION("""COMPUTED_VALUE"""),"#N/A")</f>
        <v>#N/A</v>
      </c>
      <c r="AI309" s="3" t="str">
        <f>IFERROR(__xludf.DUMMYFUNCTION("""COMPUTED_VALUE"""),"Out of warranty")</f>
        <v>Out of warranty</v>
      </c>
      <c r="AJ309" s="3">
        <f>IFERROR(__xludf.DUMMYFUNCTION("""COMPUTED_VALUE"""),165.0)</f>
        <v>165</v>
      </c>
      <c r="AK309" s="3" t="str">
        <f>IFERROR(__xludf.DUMMYFUNCTION("""COMPUTED_VALUE"""),"MMS03")</f>
        <v>MMS03</v>
      </c>
      <c r="AL309" s="3"/>
    </row>
    <row r="310" ht="15.75" customHeight="1">
      <c r="A310" s="1" t="str">
        <f>IFERROR(__xludf.DUMMYFUNCTION("""COMPUTED_VALUE"""),"21066")</f>
        <v>21066</v>
      </c>
      <c r="B310" s="2">
        <f>IFERROR(__xludf.DUMMYFUNCTION("""COMPUTED_VALUE"""),21066.0)</f>
        <v>21066</v>
      </c>
      <c r="C310" s="3" t="str">
        <f>IFERROR(__xludf.DUMMYFUNCTION("""COMPUTED_VALUE"""),"เคหะสมุทรปราการ")</f>
        <v>เคหะสมุทรปราการ</v>
      </c>
      <c r="D310" s="3" t="str">
        <f>IFERROR(__xludf.DUMMYFUNCTION("""COMPUTED_VALUE"""),"MBC KEHA SAMUTPRAKARN")</f>
        <v>MBC KEHA SAMUTPRAKARN</v>
      </c>
      <c r="E310" s="1" t="str">
        <f>IFERROR(__xludf.DUMMYFUNCTION("""COMPUTED_VALUE"""),"บิ๊กซี MINI")</f>
        <v>บิ๊กซี MINI</v>
      </c>
      <c r="F310" s="1" t="str">
        <f>IFERROR(__xludf.DUMMYFUNCTION("""COMPUTED_VALUE"""),"291008")</f>
        <v>291008</v>
      </c>
      <c r="G310" s="1" t="str">
        <f>IFERROR(__xludf.DUMMYFUNCTION("""COMPUTED_VALUE"""),"น.ส.รัชดาพร อีศรัตน์")</f>
        <v>น.ส.รัชดาพร อีศรัตน์</v>
      </c>
      <c r="H310" s="1" t="str">
        <f>IFERROR(__xludf.DUMMYFUNCTION("""COMPUTED_VALUE"""),"291105")</f>
        <v>291105</v>
      </c>
      <c r="I310" s="1" t="str">
        <f>IFERROR(__xludf.DUMMYFUNCTION("""COMPUTED_VALUE"""),"นายสราวุฒิ พณิชยกุล")</f>
        <v>นายสราวุฒิ พณิชยกุล</v>
      </c>
      <c r="J310" s="3">
        <f>IFERROR(__xludf.DUMMYFUNCTION("""COMPUTED_VALUE"""),3510104.0)</f>
        <v>3510104</v>
      </c>
      <c r="K310" s="3" t="str">
        <f>IFERROR(__xludf.DUMMYFUNCTION("""COMPUTED_VALUE"""),"นายวิโรจน์ อับดุลสมัด")</f>
        <v>นายวิโรจน์ อับดุลสมัด</v>
      </c>
      <c r="L310" s="1" t="str">
        <f>IFERROR(__xludf.DUMMYFUNCTION("""COMPUTED_VALUE"""),"09 K.Wirode A")</f>
        <v>09 K.Wirode A</v>
      </c>
      <c r="M310" s="1" t="str">
        <f>IFERROR(__xludf.DUMMYFUNCTION("""COMPUTED_VALUE"""),"080-235-4465")</f>
        <v>080-235-4465</v>
      </c>
      <c r="N310" s="3">
        <f>IFERROR(__xludf.DUMMYFUNCTION("""COMPUTED_VALUE"""),21324.0)</f>
        <v>21324</v>
      </c>
      <c r="O310" s="3" t="str">
        <f>IFERROR(__xludf.DUMMYFUNCTION("""COMPUTED_VALUE"""),"MBC BCP สุวินทวงศ์")</f>
        <v>MBC BCP สุวินทวงศ์</v>
      </c>
      <c r="P310" s="4">
        <f>IFERROR(__xludf.DUMMYFUNCTION("""COMPUTED_VALUE"""),41018.0)</f>
        <v>41018</v>
      </c>
      <c r="Q310" s="3" t="str">
        <f>IFERROR(__xludf.DUMMYFUNCTION("""COMPUTED_VALUE"""),"I")</f>
        <v>I</v>
      </c>
      <c r="R310" s="3" t="str">
        <f>IFERROR(__xludf.DUMMYFUNCTION("""COMPUTED_VALUE"""),"Small Format")</f>
        <v>Small Format</v>
      </c>
      <c r="S310" s="3" t="str">
        <f>IFERROR(__xludf.DUMMYFUNCTION("""COMPUTED_VALUE"""),"BCM")</f>
        <v>BCM</v>
      </c>
      <c r="T310" s="3" t="str">
        <f>IFERROR(__xludf.DUMMYFUNCTION("""COMPUTED_VALUE"""),"#N/A")</f>
        <v>#N/A</v>
      </c>
      <c r="U310" s="3" t="str">
        <f>IFERROR(__xludf.DUMMYFUNCTION("""COMPUTED_VALUE"""),"#N/A")</f>
        <v>#N/A</v>
      </c>
      <c r="V310" s="3" t="str">
        <f>IFERROR(__xludf.DUMMYFUNCTION("""COMPUTED_VALUE"""),"N")</f>
        <v>N</v>
      </c>
      <c r="W310" s="3">
        <f>IFERROR(__xludf.DUMMYFUNCTION("""COMPUTED_VALUE"""),0.0)</f>
        <v>0</v>
      </c>
      <c r="X310" s="3" t="str">
        <f>IFERROR(__xludf.DUMMYFUNCTION("""COMPUTED_VALUE"""),"1614/857 หมู่ 6 ตำบลท้ายบ้านใหม่ อำเภอเมืองสมุทรปราการ จังหวัดสมุทรปราการ 10280")</f>
        <v>1614/857 หมู่ 6 ตำบลท้ายบ้านใหม่ อำเภอเมืองสมุทรปราการ จังหวัดสมุทรปราการ 10280</v>
      </c>
      <c r="Y310" s="3"/>
      <c r="Z310" s="3" t="str">
        <f>IFERROR(__xludf.DUMMYFUNCTION("""COMPUTED_VALUE"""),"ท้ายบ้านใหม่")</f>
        <v>ท้ายบ้านใหม่</v>
      </c>
      <c r="AA310" s="3" t="str">
        <f>IFERROR(__xludf.DUMMYFUNCTION("""COMPUTED_VALUE"""),"เมืองสมุทรปราการ")</f>
        <v>เมืองสมุทรปราการ</v>
      </c>
      <c r="AB310" s="3" t="str">
        <f>IFERROR(__xludf.DUMMYFUNCTION("""COMPUTED_VALUE"""),"สมุทรปราการ")</f>
        <v>สมุทรปราการ</v>
      </c>
      <c r="AC310" s="3">
        <f>IFERROR(__xludf.DUMMYFUNCTION("""COMPUTED_VALUE"""),10280.0)</f>
        <v>10280</v>
      </c>
      <c r="AD310" s="3" t="str">
        <f>IFERROR(__xludf.DUMMYFUNCTION("""COMPUTED_VALUE"""),"#N/A")</f>
        <v>#N/A</v>
      </c>
      <c r="AE310" s="3" t="str">
        <f>IFERROR(__xludf.DUMMYFUNCTION("""COMPUTED_VALUE"""),"#N/A")</f>
        <v>#N/A</v>
      </c>
      <c r="AF310" s="3" t="str">
        <f>IFERROR(__xludf.DUMMYFUNCTION("""COMPUTED_VALUE"""),"เคหะสมุทรปราการ-21066")</f>
        <v>เคหะสมุทรปราการ-21066</v>
      </c>
      <c r="AG310" s="3" t="str">
        <f>IFERROR(__xludf.DUMMYFUNCTION("""COMPUTED_VALUE"""),"กลาง")</f>
        <v>กลาง</v>
      </c>
      <c r="AH310" s="3" t="str">
        <f>IFERROR(__xludf.DUMMYFUNCTION("""COMPUTED_VALUE"""),"#N/A")</f>
        <v>#N/A</v>
      </c>
      <c r="AI310" s="3" t="str">
        <f>IFERROR(__xludf.DUMMYFUNCTION("""COMPUTED_VALUE"""),"Out of warranty")</f>
        <v>Out of warranty</v>
      </c>
      <c r="AJ310" s="3">
        <f>IFERROR(__xludf.DUMMYFUNCTION("""COMPUTED_VALUE"""),166.0)</f>
        <v>166</v>
      </c>
      <c r="AK310" s="3"/>
      <c r="AL310" s="3"/>
    </row>
    <row r="311" ht="15.75" customHeight="1">
      <c r="A311" s="1" t="str">
        <f>IFERROR(__xludf.DUMMYFUNCTION("""COMPUTED_VALUE"""),"21067")</f>
        <v>21067</v>
      </c>
      <c r="B311" s="2">
        <f>IFERROR(__xludf.DUMMYFUNCTION("""COMPUTED_VALUE"""),21067.0)</f>
        <v>21067</v>
      </c>
      <c r="C311" s="3" t="str">
        <f>IFERROR(__xludf.DUMMYFUNCTION("""COMPUTED_VALUE"""),"MBC ตลาดนำไทย")</f>
        <v>MBC ตลาดนำไทย</v>
      </c>
      <c r="D311" s="3" t="str">
        <f>IFERROR(__xludf.DUMMYFUNCTION("""COMPUTED_VALUE"""),"BCM TARAD NUMTHAI")</f>
        <v>BCM TARAD NUMTHAI</v>
      </c>
      <c r="E311" s="1" t="str">
        <f>IFERROR(__xludf.DUMMYFUNCTION("""COMPUTED_VALUE"""),"บิ๊กซี MINI")</f>
        <v>บิ๊กซี MINI</v>
      </c>
      <c r="F311" s="1" t="str">
        <f>IFERROR(__xludf.DUMMYFUNCTION("""COMPUTED_VALUE"""),"2083447")</f>
        <v>2083447</v>
      </c>
      <c r="G311" s="1" t="str">
        <f>IFERROR(__xludf.DUMMYFUNCTION("""COMPUTED_VALUE"""),"นายอนุกูล ศรีลัดดา")</f>
        <v>นายอนุกูล ศรีลัดดา</v>
      </c>
      <c r="H311" s="1" t="str">
        <f>IFERROR(__xludf.DUMMYFUNCTION("""COMPUTED_VALUE"""),"284752")</f>
        <v>284752</v>
      </c>
      <c r="I311" s="1" t="str">
        <f>IFERROR(__xludf.DUMMYFUNCTION("""COMPUTED_VALUE"""),"น.ส.วีรนันท์ แสงใส")</f>
        <v>น.ส.วีรนันท์ แสงใส</v>
      </c>
      <c r="J311" s="3">
        <f>IFERROR(__xludf.DUMMYFUNCTION("""COMPUTED_VALUE"""),2451655.0)</f>
        <v>2451655</v>
      </c>
      <c r="K311" s="3" t="str">
        <f>IFERROR(__xludf.DUMMYFUNCTION("""COMPUTED_VALUE"""),"นายวิษณุพงษ์ ชินบุตร")</f>
        <v>นายวิษณุพงษ์ ชินบุตร</v>
      </c>
      <c r="L311" s="1" t="str">
        <f>IFERROR(__xludf.DUMMYFUNCTION("""COMPUTED_VALUE"""),"13 K.Wisanupong Ch")</f>
        <v>13 K.Wisanupong Ch</v>
      </c>
      <c r="M311" s="1" t="str">
        <f>IFERROR(__xludf.DUMMYFUNCTION("""COMPUTED_VALUE"""),"0843374693")</f>
        <v>0843374693</v>
      </c>
      <c r="N311" s="3">
        <f>IFERROR(__xludf.DUMMYFUNCTION("""COMPUTED_VALUE"""),22729.0)</f>
        <v>22729</v>
      </c>
      <c r="O311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311" s="4">
        <f>IFERROR(__xludf.DUMMYFUNCTION("""COMPUTED_VALUE"""),41023.0)</f>
        <v>41023</v>
      </c>
      <c r="Q311" s="3" t="str">
        <f>IFERROR(__xludf.DUMMYFUNCTION("""COMPUTED_VALUE"""),"A")</f>
        <v>A</v>
      </c>
      <c r="R311" s="3" t="str">
        <f>IFERROR(__xludf.DUMMYFUNCTION("""COMPUTED_VALUE"""),"Small Format")</f>
        <v>Small Format</v>
      </c>
      <c r="S311" s="3" t="str">
        <f>IFERROR(__xludf.DUMMYFUNCTION("""COMPUTED_VALUE"""),"BCM")</f>
        <v>BCM</v>
      </c>
      <c r="T311" s="3" t="str">
        <f>IFERROR(__xludf.DUMMYFUNCTION("""COMPUTED_VALUE"""),"#N/A")</f>
        <v>#N/A</v>
      </c>
      <c r="U311" s="3" t="str">
        <f>IFERROR(__xludf.DUMMYFUNCTION("""COMPUTED_VALUE"""),"#N/A")</f>
        <v>#N/A</v>
      </c>
      <c r="V311" s="3" t="str">
        <f>IFERROR(__xludf.DUMMYFUNCTION("""COMPUTED_VALUE"""),"N")</f>
        <v>N</v>
      </c>
      <c r="W311" s="3">
        <f>IFERROR(__xludf.DUMMYFUNCTION("""COMPUTED_VALUE"""),211066.0)</f>
        <v>211066</v>
      </c>
      <c r="X311" s="3" t="str">
        <f>IFERROR(__xludf.DUMMYFUNCTION("""COMPUTED_VALUE"""),"99/25 หมู่ 5 ตำบลบางพลีน้อย อำเภอบางบ่อ จังหวัดสมุทรปราการ 10560")</f>
        <v>99/25 หมู่ 5 ตำบลบางพลีน้อย อำเภอบางบ่อ จังหวัดสมุทรปราการ 10560</v>
      </c>
      <c r="Y311" s="3"/>
      <c r="Z311" s="3" t="str">
        <f>IFERROR(__xludf.DUMMYFUNCTION("""COMPUTED_VALUE"""),"บางพลีน้อย")</f>
        <v>บางพลีน้อย</v>
      </c>
      <c r="AA311" s="3" t="str">
        <f>IFERROR(__xludf.DUMMYFUNCTION("""COMPUTED_VALUE"""),"บางบ่อ")</f>
        <v>บางบ่อ</v>
      </c>
      <c r="AB311" s="3" t="str">
        <f>IFERROR(__xludf.DUMMYFUNCTION("""COMPUTED_VALUE"""),"สมุทรปราการ")</f>
        <v>สมุทรปราการ</v>
      </c>
      <c r="AC311" s="3">
        <f>IFERROR(__xludf.DUMMYFUNCTION("""COMPUTED_VALUE"""),10560.0)</f>
        <v>10560</v>
      </c>
      <c r="AD311" s="3">
        <f>IFERROR(__xludf.DUMMYFUNCTION("""COMPUTED_VALUE"""),13.573891)</f>
        <v>13.573891</v>
      </c>
      <c r="AE311" s="3">
        <f>IFERROR(__xludf.DUMMYFUNCTION("""COMPUTED_VALUE"""),100.906545)</f>
        <v>100.906545</v>
      </c>
      <c r="AF311" s="3" t="str">
        <f>IFERROR(__xludf.DUMMYFUNCTION("""COMPUTED_VALUE"""),"MBC ตลาดนำไทย-21067")</f>
        <v>MBC ตลาดนำไทย-21067</v>
      </c>
      <c r="AG311" s="3" t="str">
        <f>IFERROR(__xludf.DUMMYFUNCTION("""COMPUTED_VALUE"""),"กลาง")</f>
        <v>กลาง</v>
      </c>
      <c r="AH311" s="3" t="str">
        <f>IFERROR(__xludf.DUMMYFUNCTION("""COMPUTED_VALUE"""),"#N/A")</f>
        <v>#N/A</v>
      </c>
      <c r="AI311" s="3" t="str">
        <f>IFERROR(__xludf.DUMMYFUNCTION("""COMPUTED_VALUE"""),"Out of warranty")</f>
        <v>Out of warranty</v>
      </c>
      <c r="AJ311" s="3">
        <f>IFERROR(__xludf.DUMMYFUNCTION("""COMPUTED_VALUE"""),165.0)</f>
        <v>165</v>
      </c>
      <c r="AK311" s="3" t="str">
        <f>IFERROR(__xludf.DUMMYFUNCTION("""COMPUTED_VALUE"""),"MMS03")</f>
        <v>MMS03</v>
      </c>
      <c r="AL311" s="3"/>
    </row>
    <row r="312" ht="15.75" customHeight="1">
      <c r="A312" s="1" t="str">
        <f>IFERROR(__xludf.DUMMYFUNCTION("""COMPUTED_VALUE"""),"21068")</f>
        <v>21068</v>
      </c>
      <c r="B312" s="2">
        <f>IFERROR(__xludf.DUMMYFUNCTION("""COMPUTED_VALUE"""),21068.0)</f>
        <v>21068</v>
      </c>
      <c r="C312" s="3" t="str">
        <f>IFERROR(__xludf.DUMMYFUNCTION("""COMPUTED_VALUE"""),"MBC เคหะรามอินทรา")</f>
        <v>MBC เคหะรามอินทรา</v>
      </c>
      <c r="D312" s="3" t="str">
        <f>IFERROR(__xludf.DUMMYFUNCTION("""COMPUTED_VALUE"""),"BCM KEHA RAMINTRA")</f>
        <v>BCM KEHA RAMINTRA</v>
      </c>
      <c r="E312" s="1" t="str">
        <f>IFERROR(__xludf.DUMMYFUNCTION("""COMPUTED_VALUE"""),"บิ๊กซี MINI")</f>
        <v>บิ๊กซี MINI</v>
      </c>
      <c r="F312" s="1" t="str">
        <f>IFERROR(__xludf.DUMMYFUNCTION("""COMPUTED_VALUE"""),"291008")</f>
        <v>291008</v>
      </c>
      <c r="G312" s="1" t="str">
        <f>IFERROR(__xludf.DUMMYFUNCTION("""COMPUTED_VALUE"""),"น.ส.รัชดาพร อีศรัตน์")</f>
        <v>น.ส.รัชดาพร อีศรัตน์</v>
      </c>
      <c r="H312" s="1" t="str">
        <f>IFERROR(__xludf.DUMMYFUNCTION("""COMPUTED_VALUE"""),"288639")</f>
        <v>288639</v>
      </c>
      <c r="I312" s="1" t="str">
        <f>IFERROR(__xludf.DUMMYFUNCTION("""COMPUTED_VALUE"""),"น.ส.สมหญิง สีชมภู")</f>
        <v>น.ส.สมหญิง สีชมภู</v>
      </c>
      <c r="J312" s="3">
        <f>IFERROR(__xludf.DUMMYFUNCTION("""COMPUTED_VALUE"""),3510104.0)</f>
        <v>3510104</v>
      </c>
      <c r="K312" s="3" t="str">
        <f>IFERROR(__xludf.DUMMYFUNCTION("""COMPUTED_VALUE"""),"นายวิโรจน์ อับดุลสมัด")</f>
        <v>นายวิโรจน์ อับดุลสมัด</v>
      </c>
      <c r="L312" s="1" t="str">
        <f>IFERROR(__xludf.DUMMYFUNCTION("""COMPUTED_VALUE"""),"09 K.Wirode A")</f>
        <v>09 K.Wirode A</v>
      </c>
      <c r="M312" s="1" t="str">
        <f>IFERROR(__xludf.DUMMYFUNCTION("""COMPUTED_VALUE"""),"080-235-4465")</f>
        <v>080-235-4465</v>
      </c>
      <c r="N312" s="3">
        <f>IFERROR(__xludf.DUMMYFUNCTION("""COMPUTED_VALUE"""),21324.0)</f>
        <v>21324</v>
      </c>
      <c r="O312" s="3" t="str">
        <f>IFERROR(__xludf.DUMMYFUNCTION("""COMPUTED_VALUE"""),"MBC BCP สุวินทวงศ์")</f>
        <v>MBC BCP สุวินทวงศ์</v>
      </c>
      <c r="P312" s="4">
        <f>IFERROR(__xludf.DUMMYFUNCTION("""COMPUTED_VALUE"""),41029.0)</f>
        <v>41029</v>
      </c>
      <c r="Q312" s="3" t="str">
        <f>IFERROR(__xludf.DUMMYFUNCTION("""COMPUTED_VALUE"""),"A")</f>
        <v>A</v>
      </c>
      <c r="R312" s="3" t="str">
        <f>IFERROR(__xludf.DUMMYFUNCTION("""COMPUTED_VALUE"""),"Small Format")</f>
        <v>Small Format</v>
      </c>
      <c r="S312" s="3" t="str">
        <f>IFERROR(__xludf.DUMMYFUNCTION("""COMPUTED_VALUE"""),"BCM")</f>
        <v>BCM</v>
      </c>
      <c r="T312" s="3" t="str">
        <f>IFERROR(__xludf.DUMMYFUNCTION("""COMPUTED_VALUE"""),"#N/A")</f>
        <v>#N/A</v>
      </c>
      <c r="U312" s="3" t="str">
        <f>IFERROR(__xludf.DUMMYFUNCTION("""COMPUTED_VALUE"""),"#N/A")</f>
        <v>#N/A</v>
      </c>
      <c r="V312" s="3" t="str">
        <f>IFERROR(__xludf.DUMMYFUNCTION("""COMPUTED_VALUE"""),"N")</f>
        <v>N</v>
      </c>
      <c r="W312" s="3">
        <f>IFERROR(__xludf.DUMMYFUNCTION("""COMPUTED_VALUE"""),211067.0)</f>
        <v>211067</v>
      </c>
      <c r="X312" s="3" t="str">
        <f>IFERROR(__xludf.DUMMYFUNCTION("""COMPUTED_VALUE"""),"307 ถนนสุเหร่าคลองหนึ่ง แขวงบางชัน เขตคลองสามวา กรุงเทพฯ 10510")</f>
        <v>307 ถนนสุเหร่าคลองหนึ่ง แขวงบางชัน เขตคลองสามวา กรุงเทพฯ 10510</v>
      </c>
      <c r="Y312" s="3" t="str">
        <f>IFERROR(__xludf.DUMMYFUNCTION("""COMPUTED_VALUE"""),"ถนนสุเหร่าคลองหนึ่ง")</f>
        <v>ถนนสุเหร่าคลองหนึ่ง</v>
      </c>
      <c r="Z312" s="3" t="str">
        <f>IFERROR(__xludf.DUMMYFUNCTION("""COMPUTED_VALUE"""),"บางชัน")</f>
        <v>บางชัน</v>
      </c>
      <c r="AA312" s="3" t="str">
        <f>IFERROR(__xludf.DUMMYFUNCTION("""COMPUTED_VALUE"""),"คลองสามวา")</f>
        <v>คลองสามวา</v>
      </c>
      <c r="AB312" s="3" t="str">
        <f>IFERROR(__xludf.DUMMYFUNCTION("""COMPUTED_VALUE"""),"กรุงเทพมหานคร")</f>
        <v>กรุงเทพมหานคร</v>
      </c>
      <c r="AC312" s="3">
        <f>IFERROR(__xludf.DUMMYFUNCTION("""COMPUTED_VALUE"""),10510.0)</f>
        <v>10510</v>
      </c>
      <c r="AD312" s="3">
        <f>IFERROR(__xludf.DUMMYFUNCTION("""COMPUTED_VALUE"""),13.841966)</f>
        <v>13.841966</v>
      </c>
      <c r="AE312" s="3">
        <f>IFERROR(__xludf.DUMMYFUNCTION("""COMPUTED_VALUE"""),100.704738)</f>
        <v>100.704738</v>
      </c>
      <c r="AF312" s="3" t="str">
        <f>IFERROR(__xludf.DUMMYFUNCTION("""COMPUTED_VALUE"""),"MBC เคหะรามอินทรา-21068")</f>
        <v>MBC เคหะรามอินทรา-21068</v>
      </c>
      <c r="AG312" s="3" t="str">
        <f>IFERROR(__xludf.DUMMYFUNCTION("""COMPUTED_VALUE"""),"กลาง")</f>
        <v>กลาง</v>
      </c>
      <c r="AH312" s="3" t="str">
        <f>IFERROR(__xludf.DUMMYFUNCTION("""COMPUTED_VALUE"""),"#N/A")</f>
        <v>#N/A</v>
      </c>
      <c r="AI312" s="3" t="str">
        <f>IFERROR(__xludf.DUMMYFUNCTION("""COMPUTED_VALUE"""),"Out of warranty")</f>
        <v>Out of warranty</v>
      </c>
      <c r="AJ312" s="3">
        <f>IFERROR(__xludf.DUMMYFUNCTION("""COMPUTED_VALUE"""),165.0)</f>
        <v>165</v>
      </c>
      <c r="AK312" s="3" t="str">
        <f>IFERROR(__xludf.DUMMYFUNCTION("""COMPUTED_VALUE"""),"MMS01")</f>
        <v>MMS01</v>
      </c>
      <c r="AL312" s="3"/>
    </row>
    <row r="313" ht="15.75" customHeight="1">
      <c r="A313" s="1" t="str">
        <f>IFERROR(__xludf.DUMMYFUNCTION("""COMPUTED_VALUE"""),"21069")</f>
        <v>21069</v>
      </c>
      <c r="B313" s="2">
        <f>IFERROR(__xludf.DUMMYFUNCTION("""COMPUTED_VALUE"""),21069.0)</f>
        <v>21069</v>
      </c>
      <c r="C313" s="3" t="str">
        <f>IFERROR(__xludf.DUMMYFUNCTION("""COMPUTED_VALUE"""),"MBC เพชรสยาม3")</f>
        <v>MBC เพชรสยาม3</v>
      </c>
      <c r="D313" s="3" t="str">
        <f>IFERROR(__xludf.DUMMYFUNCTION("""COMPUTED_VALUE"""),"BCM PETCHSIAM 3")</f>
        <v>BCM PETCHSIAM 3</v>
      </c>
      <c r="E313" s="1" t="str">
        <f>IFERROR(__xludf.DUMMYFUNCTION("""COMPUTED_VALUE"""),"บิ๊กซี MINI")</f>
        <v>บิ๊กซี MINI</v>
      </c>
      <c r="F313" s="1" t="str">
        <f>IFERROR(__xludf.DUMMYFUNCTION("""COMPUTED_VALUE"""),"291008")</f>
        <v>291008</v>
      </c>
      <c r="G313" s="1" t="str">
        <f>IFERROR(__xludf.DUMMYFUNCTION("""COMPUTED_VALUE"""),"น.ส.รัชดาพร อีศรัตน์")</f>
        <v>น.ส.รัชดาพร อีศรัตน์</v>
      </c>
      <c r="H313" s="1" t="str">
        <f>IFERROR(__xludf.DUMMYFUNCTION("""COMPUTED_VALUE"""),"291101")</f>
        <v>291101</v>
      </c>
      <c r="I313" s="1" t="str">
        <f>IFERROR(__xludf.DUMMYFUNCTION("""COMPUTED_VALUE"""),"นายจักรพงศ์ โพธิ์ศรี")</f>
        <v>นายจักรพงศ์ โพธิ์ศรี</v>
      </c>
      <c r="J313" s="3">
        <f>IFERROR(__xludf.DUMMYFUNCTION("""COMPUTED_VALUE"""),296608.0)</f>
        <v>296608</v>
      </c>
      <c r="K313" s="3" t="str">
        <f>IFERROR(__xludf.DUMMYFUNCTION("""COMPUTED_VALUE"""),"นายภาคภูมิ เพ็ชรนิล")</f>
        <v>นายภาคภูมิ เพ็ชรนิล</v>
      </c>
      <c r="L313" s="1" t="str">
        <f>IFERROR(__xludf.DUMMYFUNCTION("""COMPUTED_VALUE"""),"10 K.Phakphoom P.")</f>
        <v>10 K.Phakphoom P.</v>
      </c>
      <c r="M313" s="1" t="str">
        <f>IFERROR(__xludf.DUMMYFUNCTION("""COMPUTED_VALUE"""),"063-8955329")</f>
        <v>063-8955329</v>
      </c>
      <c r="N313" s="3">
        <f>IFERROR(__xludf.DUMMYFUNCTION("""COMPUTED_VALUE"""),22584.0)</f>
        <v>22584</v>
      </c>
      <c r="O313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313" s="4">
        <f>IFERROR(__xludf.DUMMYFUNCTION("""COMPUTED_VALUE"""),41052.0)</f>
        <v>41052</v>
      </c>
      <c r="Q313" s="3" t="str">
        <f>IFERROR(__xludf.DUMMYFUNCTION("""COMPUTED_VALUE"""),"A")</f>
        <v>A</v>
      </c>
      <c r="R313" s="3" t="str">
        <f>IFERROR(__xludf.DUMMYFUNCTION("""COMPUTED_VALUE"""),"Small Format")</f>
        <v>Small Format</v>
      </c>
      <c r="S313" s="3" t="str">
        <f>IFERROR(__xludf.DUMMYFUNCTION("""COMPUTED_VALUE"""),"BCM")</f>
        <v>BCM</v>
      </c>
      <c r="T313" s="3" t="str">
        <f>IFERROR(__xludf.DUMMYFUNCTION("""COMPUTED_VALUE"""),"#N/A")</f>
        <v>#N/A</v>
      </c>
      <c r="U313" s="3" t="str">
        <f>IFERROR(__xludf.DUMMYFUNCTION("""COMPUTED_VALUE"""),"#N/A")</f>
        <v>#N/A</v>
      </c>
      <c r="V313" s="3" t="str">
        <f>IFERROR(__xludf.DUMMYFUNCTION("""COMPUTED_VALUE"""),"N")</f>
        <v>N</v>
      </c>
      <c r="W313" s="3">
        <f>IFERROR(__xludf.DUMMYFUNCTION("""COMPUTED_VALUE"""),211068.0)</f>
        <v>211068</v>
      </c>
      <c r="X313" s="3" t="str">
        <f>IFERROR(__xludf.DUMMYFUNCTION("""COMPUTED_VALUE"""),"122/5 ถนนบางบอน 3 แขวงหลักสอง เขตบางแค กรุงเทพฯ 10160")</f>
        <v>122/5 ถนนบางบอน 3 แขวงหลักสอง เขตบางแค กรุงเทพฯ 10160</v>
      </c>
      <c r="Y313" s="3" t="str">
        <f>IFERROR(__xludf.DUMMYFUNCTION("""COMPUTED_VALUE"""),"ถนนบางบอน")</f>
        <v>ถนนบางบอน</v>
      </c>
      <c r="Z313" s="3" t="str">
        <f>IFERROR(__xludf.DUMMYFUNCTION("""COMPUTED_VALUE"""),"หลักสอง")</f>
        <v>หลักสอง</v>
      </c>
      <c r="AA313" s="3" t="str">
        <f>IFERROR(__xludf.DUMMYFUNCTION("""COMPUTED_VALUE"""),"บางแค")</f>
        <v>บางแค</v>
      </c>
      <c r="AB313" s="3" t="str">
        <f>IFERROR(__xludf.DUMMYFUNCTION("""COMPUTED_VALUE"""),"กรุงเทพมหานคร")</f>
        <v>กรุงเทพมหานคร</v>
      </c>
      <c r="AC313" s="3">
        <f>IFERROR(__xludf.DUMMYFUNCTION("""COMPUTED_VALUE"""),10160.0)</f>
        <v>10160</v>
      </c>
      <c r="AD313" s="3">
        <f>IFERROR(__xludf.DUMMYFUNCTION("""COMPUTED_VALUE"""),13.677284)</f>
        <v>13.677284</v>
      </c>
      <c r="AE313" s="3">
        <f>IFERROR(__xludf.DUMMYFUNCTION("""COMPUTED_VALUE"""),100.384831)</f>
        <v>100.384831</v>
      </c>
      <c r="AF313" s="3" t="str">
        <f>IFERROR(__xludf.DUMMYFUNCTION("""COMPUTED_VALUE"""),"MBC เพชรสยาม3-21069")</f>
        <v>MBC เพชรสยาม3-21069</v>
      </c>
      <c r="AG313" s="3" t="str">
        <f>IFERROR(__xludf.DUMMYFUNCTION("""COMPUTED_VALUE"""),"กลาง")</f>
        <v>กลาง</v>
      </c>
      <c r="AH313" s="3" t="str">
        <f>IFERROR(__xludf.DUMMYFUNCTION("""COMPUTED_VALUE"""),"#N/A")</f>
        <v>#N/A</v>
      </c>
      <c r="AI313" s="3" t="str">
        <f>IFERROR(__xludf.DUMMYFUNCTION("""COMPUTED_VALUE"""),"Out of warranty")</f>
        <v>Out of warranty</v>
      </c>
      <c r="AJ313" s="3">
        <f>IFERROR(__xludf.DUMMYFUNCTION("""COMPUTED_VALUE"""),164.0)</f>
        <v>164</v>
      </c>
      <c r="AK313" s="3" t="str">
        <f>IFERROR(__xludf.DUMMYFUNCTION("""COMPUTED_VALUE"""),"MMS02")</f>
        <v>MMS02</v>
      </c>
      <c r="AL313" s="3"/>
    </row>
    <row r="314" ht="15.75" customHeight="1">
      <c r="A314" s="1" t="str">
        <f>IFERROR(__xludf.DUMMYFUNCTION("""COMPUTED_VALUE"""),"21070")</f>
        <v>21070</v>
      </c>
      <c r="B314" s="2">
        <f>IFERROR(__xludf.DUMMYFUNCTION("""COMPUTED_VALUE"""),21070.0)</f>
        <v>21070</v>
      </c>
      <c r="C314" s="3" t="str">
        <f>IFERROR(__xludf.DUMMYFUNCTION("""COMPUTED_VALUE"""),"บ้านสวนเลขที่ 5")</f>
        <v>บ้านสวนเลขที่ 5</v>
      </c>
      <c r="D314" s="3" t="str">
        <f>IFERROR(__xludf.DUMMYFUNCTION("""COMPUTED_VALUE"""),"MBC BANSUAN LAKTEE 5")</f>
        <v>MBC BANSUAN LAKTEE 5</v>
      </c>
      <c r="E314" s="1" t="str">
        <f>IFERROR(__xludf.DUMMYFUNCTION("""COMPUTED_VALUE"""),"บิ๊กซี MINI")</f>
        <v>บิ๊กซี MINI</v>
      </c>
      <c r="F314" s="1" t="str">
        <f>IFERROR(__xludf.DUMMYFUNCTION("""COMPUTED_VALUE"""),"250760")</f>
        <v>250760</v>
      </c>
      <c r="G314" s="1" t="str">
        <f>IFERROR(__xludf.DUMMYFUNCTION("""COMPUTED_VALUE"""),"นายประทวน สาราบรรณ์")</f>
        <v>นายประทวน สาราบรรณ์</v>
      </c>
      <c r="H314" s="1" t="str">
        <f>IFERROR(__xludf.DUMMYFUNCTION("""COMPUTED_VALUE"""),"284752")</f>
        <v>284752</v>
      </c>
      <c r="I314" s="1" t="str">
        <f>IFERROR(__xludf.DUMMYFUNCTION("""COMPUTED_VALUE"""),"น.ส.วีรนันท์ แสงใส")</f>
        <v>น.ส.วีรนันท์ แสงใส</v>
      </c>
      <c r="J314" s="3">
        <f>IFERROR(__xludf.DUMMYFUNCTION("""COMPUTED_VALUE"""),295541.0)</f>
        <v>295541</v>
      </c>
      <c r="K314" s="3" t="str">
        <f>IFERROR(__xludf.DUMMYFUNCTION("""COMPUTED_VALUE"""),"นายรพิพล ศรีมาตย์")</f>
        <v>นายรพิพล ศรีมาตย์</v>
      </c>
      <c r="L314" s="1" t="str">
        <f>IFERROR(__xludf.DUMMYFUNCTION("""COMPUTED_VALUE"""),"นายรพิพล ศรีมาตย์")</f>
        <v>นายรพิพล ศรีมาตย์</v>
      </c>
      <c r="M314" s="1" t="str">
        <f>IFERROR(__xludf.DUMMYFUNCTION("""COMPUTED_VALUE"""),"0613966115")</f>
        <v>0613966115</v>
      </c>
      <c r="N314" s="3">
        <f>IFERROR(__xludf.DUMMYFUNCTION("""COMPUTED_VALUE"""),21175.0)</f>
        <v>21175</v>
      </c>
      <c r="O314" s="3" t="str">
        <f>IFERROR(__xludf.DUMMYFUNCTION("""COMPUTED_VALUE"""),"MBC BCP กิ่งแก้ว")</f>
        <v>MBC BCP กิ่งแก้ว</v>
      </c>
      <c r="P314" s="4">
        <f>IFERROR(__xludf.DUMMYFUNCTION("""COMPUTED_VALUE"""),41067.0)</f>
        <v>41067</v>
      </c>
      <c r="Q314" s="3" t="str">
        <f>IFERROR(__xludf.DUMMYFUNCTION("""COMPUTED_VALUE"""),"I")</f>
        <v>I</v>
      </c>
      <c r="R314" s="3" t="str">
        <f>IFERROR(__xludf.DUMMYFUNCTION("""COMPUTED_VALUE"""),"Small Format")</f>
        <v>Small Format</v>
      </c>
      <c r="S314" s="3" t="str">
        <f>IFERROR(__xludf.DUMMYFUNCTION("""COMPUTED_VALUE"""),"BCM")</f>
        <v>BCM</v>
      </c>
      <c r="T314" s="3" t="str">
        <f>IFERROR(__xludf.DUMMYFUNCTION("""COMPUTED_VALUE"""),"#N/A")</f>
        <v>#N/A</v>
      </c>
      <c r="U314" s="3" t="str">
        <f>IFERROR(__xludf.DUMMYFUNCTION("""COMPUTED_VALUE"""),"#N/A")</f>
        <v>#N/A</v>
      </c>
      <c r="V314" s="3" t="str">
        <f>IFERROR(__xludf.DUMMYFUNCTION("""COMPUTED_VALUE"""),"N")</f>
        <v>N</v>
      </c>
      <c r="W314" s="3">
        <f>IFERROR(__xludf.DUMMYFUNCTION("""COMPUTED_VALUE"""),0.0)</f>
        <v>0</v>
      </c>
      <c r="X314" s="3" t="str">
        <f>IFERROR(__xludf.DUMMYFUNCTION("""COMPUTED_VALUE"""),"5/1279-81 หมู่ 7 ตำบลท่าทราย อำเภอเมืองสมุทรสาคร จังหวัดสมุทรสาคร 74000")</f>
        <v>5/1279-81 หมู่ 7 ตำบลท่าทราย อำเภอเมืองสมุทรสาคร จังหวัดสมุทรสาคร 74000</v>
      </c>
      <c r="Y314" s="3"/>
      <c r="Z314" s="3" t="str">
        <f>IFERROR(__xludf.DUMMYFUNCTION("""COMPUTED_VALUE"""),"ท่าทราย")</f>
        <v>ท่าทราย</v>
      </c>
      <c r="AA314" s="3" t="str">
        <f>IFERROR(__xludf.DUMMYFUNCTION("""COMPUTED_VALUE"""),"เมือง")</f>
        <v>เมือง</v>
      </c>
      <c r="AB314" s="3" t="str">
        <f>IFERROR(__xludf.DUMMYFUNCTION("""COMPUTED_VALUE"""),"สมุทรสาคร")</f>
        <v>สมุทรสาคร</v>
      </c>
      <c r="AC314" s="3">
        <f>IFERROR(__xludf.DUMMYFUNCTION("""COMPUTED_VALUE"""),74000.0)</f>
        <v>74000</v>
      </c>
      <c r="AD314" s="3" t="str">
        <f>IFERROR(__xludf.DUMMYFUNCTION("""COMPUTED_VALUE"""),"#N/A")</f>
        <v>#N/A</v>
      </c>
      <c r="AE314" s="3" t="str">
        <f>IFERROR(__xludf.DUMMYFUNCTION("""COMPUTED_VALUE"""),"#N/A")</f>
        <v>#N/A</v>
      </c>
      <c r="AF314" s="3" t="str">
        <f>IFERROR(__xludf.DUMMYFUNCTION("""COMPUTED_VALUE"""),"บ้านสวนเลขที่ 5-21070")</f>
        <v>บ้านสวนเลขที่ 5-21070</v>
      </c>
      <c r="AG314" s="3" t="str">
        <f>IFERROR(__xludf.DUMMYFUNCTION("""COMPUTED_VALUE"""),"กลาง")</f>
        <v>กลาง</v>
      </c>
      <c r="AH314" s="3" t="str">
        <f>IFERROR(__xludf.DUMMYFUNCTION("""COMPUTED_VALUE"""),"#N/A")</f>
        <v>#N/A</v>
      </c>
      <c r="AI314" s="3" t="str">
        <f>IFERROR(__xludf.DUMMYFUNCTION("""COMPUTED_VALUE"""),"Out of warranty")</f>
        <v>Out of warranty</v>
      </c>
      <c r="AJ314" s="3">
        <f>IFERROR(__xludf.DUMMYFUNCTION("""COMPUTED_VALUE"""),164.0)</f>
        <v>164</v>
      </c>
      <c r="AK314" s="3"/>
      <c r="AL314" s="3"/>
    </row>
    <row r="315" ht="15.75" customHeight="1">
      <c r="A315" s="1" t="str">
        <f>IFERROR(__xludf.DUMMYFUNCTION("""COMPUTED_VALUE"""),"21071")</f>
        <v>21071</v>
      </c>
      <c r="B315" s="2">
        <f>IFERROR(__xludf.DUMMYFUNCTION("""COMPUTED_VALUE"""),21071.0)</f>
        <v>21071</v>
      </c>
      <c r="C315" s="3" t="str">
        <f>IFERROR(__xludf.DUMMYFUNCTION("""COMPUTED_VALUE"""),"MBC วังหิน")</f>
        <v>MBC วังหิน</v>
      </c>
      <c r="D315" s="3" t="str">
        <f>IFERROR(__xludf.DUMMYFUNCTION("""COMPUTED_VALUE"""),"BCM WANGHIN")</f>
        <v>BCM WANGHIN</v>
      </c>
      <c r="E315" s="1" t="str">
        <f>IFERROR(__xludf.DUMMYFUNCTION("""COMPUTED_VALUE"""),"บิ๊กซี MINI")</f>
        <v>บิ๊กซี MINI</v>
      </c>
      <c r="F315" s="1" t="str">
        <f>IFERROR(__xludf.DUMMYFUNCTION("""COMPUTED_VALUE"""),"291008")</f>
        <v>291008</v>
      </c>
      <c r="G315" s="1" t="str">
        <f>IFERROR(__xludf.DUMMYFUNCTION("""COMPUTED_VALUE"""),"น.ส.รัชดาพร อีศรัตน์")</f>
        <v>น.ส.รัชดาพร อีศรัตน์</v>
      </c>
      <c r="H315" s="1" t="str">
        <f>IFERROR(__xludf.DUMMYFUNCTION("""COMPUTED_VALUE"""),"359002")</f>
        <v>359002</v>
      </c>
      <c r="I315" s="1" t="str">
        <f>IFERROR(__xludf.DUMMYFUNCTION("""COMPUTED_VALUE"""),"น.ส.นิตยา สมจิตร")</f>
        <v>น.ส.นิตยา สมจิตร</v>
      </c>
      <c r="J315" s="3">
        <f>IFERROR(__xludf.DUMMYFUNCTION("""COMPUTED_VALUE"""),3510104.0)</f>
        <v>3510104</v>
      </c>
      <c r="K315" s="3" t="str">
        <f>IFERROR(__xludf.DUMMYFUNCTION("""COMPUTED_VALUE"""),"นายวิโรจน์ อับดุลสมัด")</f>
        <v>นายวิโรจน์ อับดุลสมัด</v>
      </c>
      <c r="L315" s="1" t="str">
        <f>IFERROR(__xludf.DUMMYFUNCTION("""COMPUTED_VALUE"""),"09 K.Wirode A")</f>
        <v>09 K.Wirode A</v>
      </c>
      <c r="M315" s="1" t="str">
        <f>IFERROR(__xludf.DUMMYFUNCTION("""COMPUTED_VALUE"""),"080-235-4465")</f>
        <v>080-235-4465</v>
      </c>
      <c r="N315" s="3">
        <f>IFERROR(__xludf.DUMMYFUNCTION("""COMPUTED_VALUE"""),21324.0)</f>
        <v>21324</v>
      </c>
      <c r="O315" s="3" t="str">
        <f>IFERROR(__xludf.DUMMYFUNCTION("""COMPUTED_VALUE"""),"MBC BCP สุวินทวงศ์")</f>
        <v>MBC BCP สุวินทวงศ์</v>
      </c>
      <c r="P315" s="4">
        <f>IFERROR(__xludf.DUMMYFUNCTION("""COMPUTED_VALUE"""),41069.0)</f>
        <v>41069</v>
      </c>
      <c r="Q315" s="3" t="str">
        <f>IFERROR(__xludf.DUMMYFUNCTION("""COMPUTED_VALUE"""),"A")</f>
        <v>A</v>
      </c>
      <c r="R315" s="3" t="str">
        <f>IFERROR(__xludf.DUMMYFUNCTION("""COMPUTED_VALUE"""),"Small Format")</f>
        <v>Small Format</v>
      </c>
      <c r="S315" s="3" t="str">
        <f>IFERROR(__xludf.DUMMYFUNCTION("""COMPUTED_VALUE"""),"BCM")</f>
        <v>BCM</v>
      </c>
      <c r="T315" s="3" t="str">
        <f>IFERROR(__xludf.DUMMYFUNCTION("""COMPUTED_VALUE"""),"#N/A")</f>
        <v>#N/A</v>
      </c>
      <c r="U315" s="3" t="str">
        <f>IFERROR(__xludf.DUMMYFUNCTION("""COMPUTED_VALUE"""),"#N/A")</f>
        <v>#N/A</v>
      </c>
      <c r="V315" s="3" t="str">
        <f>IFERROR(__xludf.DUMMYFUNCTION("""COMPUTED_VALUE"""),"N")</f>
        <v>N</v>
      </c>
      <c r="W315" s="3">
        <f>IFERROR(__xludf.DUMMYFUNCTION("""COMPUTED_VALUE"""),211070.0)</f>
        <v>211070</v>
      </c>
      <c r="X315" s="3" t="str">
        <f>IFERROR(__xludf.DUMMYFUNCTION("""COMPUTED_VALUE"""),"12/8 หมุ่ 11 แขวงลาดพร้าว เขตลาดพร้าว กรุงเทพฯ 10230")</f>
        <v>12/8 หมุ่ 11 แขวงลาดพร้าว เขตลาดพร้าว กรุงเทพฯ 10230</v>
      </c>
      <c r="Y315" s="3"/>
      <c r="Z315" s="3" t="str">
        <f>IFERROR(__xludf.DUMMYFUNCTION("""COMPUTED_VALUE"""),"ลาดพร้าว")</f>
        <v>ลาดพร้าว</v>
      </c>
      <c r="AA315" s="3" t="str">
        <f>IFERROR(__xludf.DUMMYFUNCTION("""COMPUTED_VALUE"""),"ลาดพร้าว")</f>
        <v>ลาดพร้าว</v>
      </c>
      <c r="AB315" s="3" t="str">
        <f>IFERROR(__xludf.DUMMYFUNCTION("""COMPUTED_VALUE"""),"กรุงเทพมหานคร")</f>
        <v>กรุงเทพมหานคร</v>
      </c>
      <c r="AC315" s="3">
        <f>IFERROR(__xludf.DUMMYFUNCTION("""COMPUTED_VALUE"""),10230.0)</f>
        <v>10230</v>
      </c>
      <c r="AD315" s="3">
        <f>IFERROR(__xludf.DUMMYFUNCTION("""COMPUTED_VALUE"""),13.831202)</f>
        <v>13.831202</v>
      </c>
      <c r="AE315" s="3">
        <f>IFERROR(__xludf.DUMMYFUNCTION("""COMPUTED_VALUE"""),100.591649)</f>
        <v>100.591649</v>
      </c>
      <c r="AF315" s="3" t="str">
        <f>IFERROR(__xludf.DUMMYFUNCTION("""COMPUTED_VALUE"""),"MBC วังหิน-21071")</f>
        <v>MBC วังหิน-21071</v>
      </c>
      <c r="AG315" s="3" t="str">
        <f>IFERROR(__xludf.DUMMYFUNCTION("""COMPUTED_VALUE"""),"กลาง")</f>
        <v>กลาง</v>
      </c>
      <c r="AH315" s="3" t="str">
        <f>IFERROR(__xludf.DUMMYFUNCTION("""COMPUTED_VALUE"""),"#N/A")</f>
        <v>#N/A</v>
      </c>
      <c r="AI315" s="3" t="str">
        <f>IFERROR(__xludf.DUMMYFUNCTION("""COMPUTED_VALUE"""),"Out of warranty")</f>
        <v>Out of warranty</v>
      </c>
      <c r="AJ315" s="3">
        <f>IFERROR(__xludf.DUMMYFUNCTION("""COMPUTED_VALUE"""),164.0)</f>
        <v>164</v>
      </c>
      <c r="AK315" s="3" t="str">
        <f>IFERROR(__xludf.DUMMYFUNCTION("""COMPUTED_VALUE"""),"MMS01")</f>
        <v>MMS01</v>
      </c>
      <c r="AL315" s="3"/>
    </row>
    <row r="316" ht="15.75" customHeight="1">
      <c r="A316" s="1" t="str">
        <f>IFERROR(__xludf.DUMMYFUNCTION("""COMPUTED_VALUE"""),"21072")</f>
        <v>21072</v>
      </c>
      <c r="B316" s="2">
        <f>IFERROR(__xludf.DUMMYFUNCTION("""COMPUTED_VALUE"""),21072.0)</f>
        <v>21072</v>
      </c>
      <c r="C316" s="3" t="str">
        <f>IFERROR(__xludf.DUMMYFUNCTION("""COMPUTED_VALUE"""),"MBC สุคนธสวัสดิ์")</f>
        <v>MBC สุคนธสวัสดิ์</v>
      </c>
      <c r="D316" s="3" t="str">
        <f>IFERROR(__xludf.DUMMYFUNCTION("""COMPUTED_VALUE"""),"BCM SUKONTASAWAT")</f>
        <v>BCM SUKONTASAWAT</v>
      </c>
      <c r="E316" s="1" t="str">
        <f>IFERROR(__xludf.DUMMYFUNCTION("""COMPUTED_VALUE"""),"บิ๊กซี MINI")</f>
        <v>บิ๊กซี MINI</v>
      </c>
      <c r="F316" s="1" t="str">
        <f>IFERROR(__xludf.DUMMYFUNCTION("""COMPUTED_VALUE"""),"291008")</f>
        <v>291008</v>
      </c>
      <c r="G316" s="1" t="str">
        <f>IFERROR(__xludf.DUMMYFUNCTION("""COMPUTED_VALUE"""),"น.ส.รัชดาพร อีศรัตน์")</f>
        <v>น.ส.รัชดาพร อีศรัตน์</v>
      </c>
      <c r="H316" s="1" t="str">
        <f>IFERROR(__xludf.DUMMYFUNCTION("""COMPUTED_VALUE"""),"373540")</f>
        <v>373540</v>
      </c>
      <c r="I316" s="1" t="str">
        <f>IFERROR(__xludf.DUMMYFUNCTION("""COMPUTED_VALUE"""),"นายทศพร พึ่งพบ")</f>
        <v>นายทศพร พึ่งพบ</v>
      </c>
      <c r="J316" s="3">
        <f>IFERROR(__xludf.DUMMYFUNCTION("""COMPUTED_VALUE"""),2452378.0)</f>
        <v>2452378</v>
      </c>
      <c r="K316" s="3" t="str">
        <f>IFERROR(__xludf.DUMMYFUNCTION("""COMPUTED_VALUE"""),"นายศักดิ์ดา พวงประดับ")</f>
        <v>นายศักดิ์ดา พวงประดับ</v>
      </c>
      <c r="L316" s="1" t="str">
        <f>IFERROR(__xludf.DUMMYFUNCTION("""COMPUTED_VALUE"""),"11 K.Sakda P.")</f>
        <v>11 K.Sakda P.</v>
      </c>
      <c r="M316" s="1" t="str">
        <f>IFERROR(__xludf.DUMMYFUNCTION("""COMPUTED_VALUE"""),"065-929-1279")</f>
        <v>065-929-1279</v>
      </c>
      <c r="N316" s="3">
        <f>IFERROR(__xludf.DUMMYFUNCTION("""COMPUTED_VALUE"""),21002.0)</f>
        <v>21002</v>
      </c>
      <c r="O316" s="3" t="str">
        <f>IFERROR(__xludf.DUMMYFUNCTION("""COMPUTED_VALUE"""),"MBC อุดมสุข")</f>
        <v>MBC อุดมสุข</v>
      </c>
      <c r="P316" s="4">
        <f>IFERROR(__xludf.DUMMYFUNCTION("""COMPUTED_VALUE"""),41080.0)</f>
        <v>41080</v>
      </c>
      <c r="Q316" s="3" t="str">
        <f>IFERROR(__xludf.DUMMYFUNCTION("""COMPUTED_VALUE"""),"A")</f>
        <v>A</v>
      </c>
      <c r="R316" s="3" t="str">
        <f>IFERROR(__xludf.DUMMYFUNCTION("""COMPUTED_VALUE"""),"Small Format")</f>
        <v>Small Format</v>
      </c>
      <c r="S316" s="3" t="str">
        <f>IFERROR(__xludf.DUMMYFUNCTION("""COMPUTED_VALUE"""),"BCM")</f>
        <v>BCM</v>
      </c>
      <c r="T316" s="3" t="str">
        <f>IFERROR(__xludf.DUMMYFUNCTION("""COMPUTED_VALUE"""),"#N/A")</f>
        <v>#N/A</v>
      </c>
      <c r="U316" s="3" t="str">
        <f>IFERROR(__xludf.DUMMYFUNCTION("""COMPUTED_VALUE"""),"#N/A")</f>
        <v>#N/A</v>
      </c>
      <c r="V316" s="3" t="str">
        <f>IFERROR(__xludf.DUMMYFUNCTION("""COMPUTED_VALUE"""),"N")</f>
        <v>N</v>
      </c>
      <c r="W316" s="3">
        <f>IFERROR(__xludf.DUMMYFUNCTION("""COMPUTED_VALUE"""),211071.0)</f>
        <v>211071</v>
      </c>
      <c r="X316" s="3" t="str">
        <f>IFERROR(__xludf.DUMMYFUNCTION("""COMPUTED_VALUE"""),"3 ถนนสุคนธสวัสดิ์ แขวงลาดพร้าว เขตลาดพร้าว กรุงเทพฯ 10230")</f>
        <v>3 ถนนสุคนธสวัสดิ์ แขวงลาดพร้าว เขตลาดพร้าว กรุงเทพฯ 10230</v>
      </c>
      <c r="Y316" s="3" t="str">
        <f>IFERROR(__xludf.DUMMYFUNCTION("""COMPUTED_VALUE"""),"ถนนสุคนธสวัสดิ์")</f>
        <v>ถนนสุคนธสวัสดิ์</v>
      </c>
      <c r="Z316" s="3" t="str">
        <f>IFERROR(__xludf.DUMMYFUNCTION("""COMPUTED_VALUE"""),"ลาดพร้าว")</f>
        <v>ลาดพร้าว</v>
      </c>
      <c r="AA316" s="3" t="str">
        <f>IFERROR(__xludf.DUMMYFUNCTION("""COMPUTED_VALUE"""),"ลาดพร้าว")</f>
        <v>ลาดพร้าว</v>
      </c>
      <c r="AB316" s="3" t="str">
        <f>IFERROR(__xludf.DUMMYFUNCTION("""COMPUTED_VALUE"""),"กรุงเทพมหานคร")</f>
        <v>กรุงเทพมหานคร</v>
      </c>
      <c r="AC316" s="3">
        <f>IFERROR(__xludf.DUMMYFUNCTION("""COMPUTED_VALUE"""),10230.0)</f>
        <v>10230</v>
      </c>
      <c r="AD316" s="3">
        <f>IFERROR(__xludf.DUMMYFUNCTION("""COMPUTED_VALUE"""),13.821708)</f>
        <v>13.821708</v>
      </c>
      <c r="AE316" s="3">
        <f>IFERROR(__xludf.DUMMYFUNCTION("""COMPUTED_VALUE"""),100.60878)</f>
        <v>100.60878</v>
      </c>
      <c r="AF316" s="3" t="str">
        <f>IFERROR(__xludf.DUMMYFUNCTION("""COMPUTED_VALUE"""),"MBC สุคนธสวัสดิ์-21072")</f>
        <v>MBC สุคนธสวัสดิ์-21072</v>
      </c>
      <c r="AG316" s="3" t="str">
        <f>IFERROR(__xludf.DUMMYFUNCTION("""COMPUTED_VALUE"""),"กลาง")</f>
        <v>กลาง</v>
      </c>
      <c r="AH316" s="3" t="str">
        <f>IFERROR(__xludf.DUMMYFUNCTION("""COMPUTED_VALUE"""),"#N/A")</f>
        <v>#N/A</v>
      </c>
      <c r="AI316" s="3" t="str">
        <f>IFERROR(__xludf.DUMMYFUNCTION("""COMPUTED_VALUE"""),"Out of warranty")</f>
        <v>Out of warranty</v>
      </c>
      <c r="AJ316" s="3">
        <f>IFERROR(__xludf.DUMMYFUNCTION("""COMPUTED_VALUE"""),164.0)</f>
        <v>164</v>
      </c>
      <c r="AK316" s="3" t="str">
        <f>IFERROR(__xludf.DUMMYFUNCTION("""COMPUTED_VALUE"""),"MMS01")</f>
        <v>MMS01</v>
      </c>
      <c r="AL316" s="3"/>
    </row>
    <row r="317" ht="15.75" customHeight="1">
      <c r="A317" s="1" t="str">
        <f>IFERROR(__xludf.DUMMYFUNCTION("""COMPUTED_VALUE"""),"21073")</f>
        <v>21073</v>
      </c>
      <c r="B317" s="2">
        <f>IFERROR(__xludf.DUMMYFUNCTION("""COMPUTED_VALUE"""),21073.0)</f>
        <v>21073</v>
      </c>
      <c r="C317" s="3" t="str">
        <f>IFERROR(__xludf.DUMMYFUNCTION("""COMPUTED_VALUE"""),"MBC BCP สุขาภิฯ1(2)")</f>
        <v>MBC BCP สุขาภิฯ1(2)</v>
      </c>
      <c r="D317" s="3" t="str">
        <f>IFERROR(__xludf.DUMMYFUNCTION("""COMPUTED_VALUE"""),"BCM BCP SUKHAPIBAL1-2")</f>
        <v>BCM BCP SUKHAPIBAL1-2</v>
      </c>
      <c r="E317" s="1" t="str">
        <f>IFERROR(__xludf.DUMMYFUNCTION("""COMPUTED_VALUE"""),"บิ๊กซี MINI")</f>
        <v>บิ๊กซี MINI</v>
      </c>
      <c r="F317" s="1" t="str">
        <f>IFERROR(__xludf.DUMMYFUNCTION("""COMPUTED_VALUE"""),"291008")</f>
        <v>291008</v>
      </c>
      <c r="G317" s="1" t="str">
        <f>IFERROR(__xludf.DUMMYFUNCTION("""COMPUTED_VALUE"""),"น.ส.รัชดาพร อีศรัตน์")</f>
        <v>น.ส.รัชดาพร อีศรัตน์</v>
      </c>
      <c r="H317" s="1" t="str">
        <f>IFERROR(__xludf.DUMMYFUNCTION("""COMPUTED_VALUE"""),"228242")</f>
        <v>228242</v>
      </c>
      <c r="I317" s="1" t="str">
        <f>IFERROR(__xludf.DUMMYFUNCTION("""COMPUTED_VALUE"""),"นายสมชาย เยมรัมย์")</f>
        <v>นายสมชาย เยมรัมย์</v>
      </c>
      <c r="J317" s="3">
        <f>IFERROR(__xludf.DUMMYFUNCTION("""COMPUTED_VALUE"""),3510104.0)</f>
        <v>3510104</v>
      </c>
      <c r="K317" s="3" t="str">
        <f>IFERROR(__xludf.DUMMYFUNCTION("""COMPUTED_VALUE"""),"นายวิโรจน์ อับดุลสมัด")</f>
        <v>นายวิโรจน์ อับดุลสมัด</v>
      </c>
      <c r="L317" s="1" t="str">
        <f>IFERROR(__xludf.DUMMYFUNCTION("""COMPUTED_VALUE"""),"09 K.Wirode A")</f>
        <v>09 K.Wirode A</v>
      </c>
      <c r="M317" s="1" t="str">
        <f>IFERROR(__xludf.DUMMYFUNCTION("""COMPUTED_VALUE"""),"080-235-4465")</f>
        <v>080-235-4465</v>
      </c>
      <c r="N317" s="3">
        <f>IFERROR(__xludf.DUMMYFUNCTION("""COMPUTED_VALUE"""),21324.0)</f>
        <v>21324</v>
      </c>
      <c r="O317" s="3" t="str">
        <f>IFERROR(__xludf.DUMMYFUNCTION("""COMPUTED_VALUE"""),"MBC BCP สุวินทวงศ์")</f>
        <v>MBC BCP สุวินทวงศ์</v>
      </c>
      <c r="P317" s="4">
        <f>IFERROR(__xludf.DUMMYFUNCTION("""COMPUTED_VALUE"""),41082.0)</f>
        <v>41082</v>
      </c>
      <c r="Q317" s="3" t="str">
        <f>IFERROR(__xludf.DUMMYFUNCTION("""COMPUTED_VALUE"""),"A")</f>
        <v>A</v>
      </c>
      <c r="R317" s="3" t="str">
        <f>IFERROR(__xludf.DUMMYFUNCTION("""COMPUTED_VALUE"""),"Small Format")</f>
        <v>Small Format</v>
      </c>
      <c r="S317" s="3" t="str">
        <f>IFERROR(__xludf.DUMMYFUNCTION("""COMPUTED_VALUE"""),"BCM")</f>
        <v>BCM</v>
      </c>
      <c r="T317" s="3" t="str">
        <f>IFERROR(__xludf.DUMMYFUNCTION("""COMPUTED_VALUE"""),"#N/A")</f>
        <v>#N/A</v>
      </c>
      <c r="U317" s="3" t="str">
        <f>IFERROR(__xludf.DUMMYFUNCTION("""COMPUTED_VALUE"""),"#N/A")</f>
        <v>#N/A</v>
      </c>
      <c r="V317" s="3" t="str">
        <f>IFERROR(__xludf.DUMMYFUNCTION("""COMPUTED_VALUE"""),"N")</f>
        <v>N</v>
      </c>
      <c r="W317" s="3">
        <f>IFERROR(__xludf.DUMMYFUNCTION("""COMPUTED_VALUE"""),361002.0)</f>
        <v>361002</v>
      </c>
      <c r="X317" s="3" t="str">
        <f>IFERROR(__xludf.DUMMYFUNCTION("""COMPUTED_VALUE"""),"661/1 ถนนนวมินทร์ แขวงนวมินทร์ เขตบึงกุ่ม กรุงเทพฯ 10230")</f>
        <v>661/1 ถนนนวมินทร์ แขวงนวมินทร์ เขตบึงกุ่ม กรุงเทพฯ 10230</v>
      </c>
      <c r="Y317" s="3" t="str">
        <f>IFERROR(__xludf.DUMMYFUNCTION("""COMPUTED_VALUE"""),"ถนนนวมินทร์")</f>
        <v>ถนนนวมินทร์</v>
      </c>
      <c r="Z317" s="3" t="str">
        <f>IFERROR(__xludf.DUMMYFUNCTION("""COMPUTED_VALUE"""),"นวมินทร์")</f>
        <v>นวมินทร์</v>
      </c>
      <c r="AA317" s="3" t="str">
        <f>IFERROR(__xludf.DUMMYFUNCTION("""COMPUTED_VALUE"""),"บึงกุ่ม")</f>
        <v>บึงกุ่ม</v>
      </c>
      <c r="AB317" s="3" t="str">
        <f>IFERROR(__xludf.DUMMYFUNCTION("""COMPUTED_VALUE"""),"กรุงเทพมหานคร")</f>
        <v>กรุงเทพมหานคร</v>
      </c>
      <c r="AC317" s="3">
        <f>IFERROR(__xludf.DUMMYFUNCTION("""COMPUTED_VALUE"""),10230.0)</f>
        <v>10230</v>
      </c>
      <c r="AD317" s="3">
        <f>IFERROR(__xludf.DUMMYFUNCTION("""COMPUTED_VALUE"""),13.793494)</f>
        <v>13.793494</v>
      </c>
      <c r="AE317" s="3">
        <f>IFERROR(__xludf.DUMMYFUNCTION("""COMPUTED_VALUE"""),100.651693)</f>
        <v>100.651693</v>
      </c>
      <c r="AF317" s="3" t="str">
        <f>IFERROR(__xludf.DUMMYFUNCTION("""COMPUTED_VALUE"""),"MBC BCP สุขาภิฯ1(2)-21073")</f>
        <v>MBC BCP สุขาภิฯ1(2)-21073</v>
      </c>
      <c r="AG317" s="3" t="str">
        <f>IFERROR(__xludf.DUMMYFUNCTION("""COMPUTED_VALUE"""),"กลาง")</f>
        <v>กลาง</v>
      </c>
      <c r="AH317" s="3" t="str">
        <f>IFERROR(__xludf.DUMMYFUNCTION("""COMPUTED_VALUE"""),"#N/A")</f>
        <v>#N/A</v>
      </c>
      <c r="AI317" s="3" t="str">
        <f>IFERROR(__xludf.DUMMYFUNCTION("""COMPUTED_VALUE"""),"Out of warranty")</f>
        <v>Out of warranty</v>
      </c>
      <c r="AJ317" s="3">
        <f>IFERROR(__xludf.DUMMYFUNCTION("""COMPUTED_VALUE"""),163.0)</f>
        <v>163</v>
      </c>
      <c r="AK317" s="3" t="str">
        <f>IFERROR(__xludf.DUMMYFUNCTION("""COMPUTED_VALUE"""),"MMS03")</f>
        <v>MMS03</v>
      </c>
      <c r="AL317" s="3"/>
    </row>
    <row r="318" ht="15.75" customHeight="1">
      <c r="A318" s="1" t="str">
        <f>IFERROR(__xludf.DUMMYFUNCTION("""COMPUTED_VALUE"""),"21074")</f>
        <v>21074</v>
      </c>
      <c r="B318" s="2">
        <f>IFERROR(__xludf.DUMMYFUNCTION("""COMPUTED_VALUE"""),21074.0)</f>
        <v>21074</v>
      </c>
      <c r="C318" s="3" t="str">
        <f>IFERROR(__xludf.DUMMYFUNCTION("""COMPUTED_VALUE"""),"MBC BCP เจริญกรุงฯ")</f>
        <v>MBC BCP เจริญกรุงฯ</v>
      </c>
      <c r="D318" s="3" t="str">
        <f>IFERROR(__xludf.DUMMYFUNCTION("""COMPUTED_VALUE"""),"BCM BCP CHAROENKRUNG")</f>
        <v>BCM BCP CHAROENKRUNG</v>
      </c>
      <c r="E318" s="1" t="str">
        <f>IFERROR(__xludf.DUMMYFUNCTION("""COMPUTED_VALUE"""),"บิ๊กซี MINI")</f>
        <v>บิ๊กซี MINI</v>
      </c>
      <c r="F318" s="1" t="str">
        <f>IFERROR(__xludf.DUMMYFUNCTION("""COMPUTED_VALUE"""),"291008")</f>
        <v>291008</v>
      </c>
      <c r="G318" s="1" t="str">
        <f>IFERROR(__xludf.DUMMYFUNCTION("""COMPUTED_VALUE"""),"น.ส.รัชดาพร อีศรัตน์")</f>
        <v>น.ส.รัชดาพร อีศรัตน์</v>
      </c>
      <c r="H318" s="1" t="str">
        <f>IFERROR(__xludf.DUMMYFUNCTION("""COMPUTED_VALUE"""),"359002")</f>
        <v>359002</v>
      </c>
      <c r="I318" s="1" t="str">
        <f>IFERROR(__xludf.DUMMYFUNCTION("""COMPUTED_VALUE"""),"น.ส.นิตยา สมจิตร")</f>
        <v>น.ส.นิตยา สมจิตร</v>
      </c>
      <c r="J318" s="3">
        <f>IFERROR(__xludf.DUMMYFUNCTION("""COMPUTED_VALUE"""),296728.0)</f>
        <v>296728</v>
      </c>
      <c r="K318" s="3" t="str">
        <f>IFERROR(__xludf.DUMMYFUNCTION("""COMPUTED_VALUE"""),"นายธิติ บัวทองรังสิมา")</f>
        <v>นายธิติ บัวทองรังสิมา</v>
      </c>
      <c r="L318" s="1" t="str">
        <f>IFERROR(__xludf.DUMMYFUNCTION("""COMPUTED_VALUE"""),"นายธิติ บัวทองรังสิมา")</f>
        <v>นายธิติ บัวทองรังสิมา</v>
      </c>
      <c r="M318" s="1" t="str">
        <f>IFERROR(__xludf.DUMMYFUNCTION("""COMPUTED_VALUE"""),"0920849994")</f>
        <v>0920849994</v>
      </c>
      <c r="N318" s="3">
        <f>IFERROR(__xludf.DUMMYFUNCTION("""COMPUTED_VALUE"""),21012.0)</f>
        <v>21012</v>
      </c>
      <c r="O318" s="3" t="str">
        <f>IFERROR(__xludf.DUMMYFUNCTION("""COMPUTED_VALUE"""),"MBC ท่าอิฐ")</f>
        <v>MBC ท่าอิฐ</v>
      </c>
      <c r="P318" s="4">
        <f>IFERROR(__xludf.DUMMYFUNCTION("""COMPUTED_VALUE"""),41082.0)</f>
        <v>41082</v>
      </c>
      <c r="Q318" s="3" t="str">
        <f>IFERROR(__xludf.DUMMYFUNCTION("""COMPUTED_VALUE"""),"I")</f>
        <v>I</v>
      </c>
      <c r="R318" s="3" t="str">
        <f>IFERROR(__xludf.DUMMYFUNCTION("""COMPUTED_VALUE"""),"Small Format")</f>
        <v>Small Format</v>
      </c>
      <c r="S318" s="3" t="str">
        <f>IFERROR(__xludf.DUMMYFUNCTION("""COMPUTED_VALUE"""),"BCM")</f>
        <v>BCM</v>
      </c>
      <c r="T318" s="3" t="str">
        <f>IFERROR(__xludf.DUMMYFUNCTION("""COMPUTED_VALUE"""),"#N/A")</f>
        <v>#N/A</v>
      </c>
      <c r="U318" s="3" t="str">
        <f>IFERROR(__xludf.DUMMYFUNCTION("""COMPUTED_VALUE"""),"#N/A")</f>
        <v>#N/A</v>
      </c>
      <c r="V318" s="3" t="str">
        <f>IFERROR(__xludf.DUMMYFUNCTION("""COMPUTED_VALUE"""),"N")</f>
        <v>N</v>
      </c>
      <c r="W318" s="3">
        <f>IFERROR(__xludf.DUMMYFUNCTION("""COMPUTED_VALUE"""),361001.0)</f>
        <v>361001</v>
      </c>
      <c r="X318" s="3" t="str">
        <f>IFERROR(__xludf.DUMMYFUNCTION("""COMPUTED_VALUE"""),"3609/9 ซอยนอกเขต แขวงบางโคล่ เขตบางคอแหลม กรุงเทพฯ 10120")</f>
        <v>3609/9 ซอยนอกเขต แขวงบางโคล่ เขตบางคอแหลม กรุงเทพฯ 10120</v>
      </c>
      <c r="Y318" s="3" t="str">
        <f>IFERROR(__xludf.DUMMYFUNCTION("""COMPUTED_VALUE"""),"ซอยนอกเขต")</f>
        <v>ซอยนอกเขต</v>
      </c>
      <c r="Z318" s="3" t="str">
        <f>IFERROR(__xludf.DUMMYFUNCTION("""COMPUTED_VALUE"""),"บางโคล่")</f>
        <v>บางโคล่</v>
      </c>
      <c r="AA318" s="3" t="str">
        <f>IFERROR(__xludf.DUMMYFUNCTION("""COMPUTED_VALUE"""),"บางคอแหลม")</f>
        <v>บางคอแหลม</v>
      </c>
      <c r="AB318" s="3" t="str">
        <f>IFERROR(__xludf.DUMMYFUNCTION("""COMPUTED_VALUE"""),"กรุงเทพมหานคร")</f>
        <v>กรุงเทพมหานคร</v>
      </c>
      <c r="AC318" s="3">
        <f>IFERROR(__xludf.DUMMYFUNCTION("""COMPUTED_VALUE"""),10120.0)</f>
        <v>10120</v>
      </c>
      <c r="AD318" s="3">
        <f>IFERROR(__xludf.DUMMYFUNCTION("""COMPUTED_VALUE"""),13.701361)</f>
        <v>13.701361</v>
      </c>
      <c r="AE318" s="3">
        <f>IFERROR(__xludf.DUMMYFUNCTION("""COMPUTED_VALUE"""),100.515418)</f>
        <v>100.515418</v>
      </c>
      <c r="AF318" s="3" t="str">
        <f>IFERROR(__xludf.DUMMYFUNCTION("""COMPUTED_VALUE"""),"MBC BCP เจริญกรุงฯ-21074")</f>
        <v>MBC BCP เจริญกรุงฯ-21074</v>
      </c>
      <c r="AG318" s="3" t="str">
        <f>IFERROR(__xludf.DUMMYFUNCTION("""COMPUTED_VALUE"""),"กลาง")</f>
        <v>กลาง</v>
      </c>
      <c r="AH318" s="3" t="str">
        <f>IFERROR(__xludf.DUMMYFUNCTION("""COMPUTED_VALUE"""),"#N/A")</f>
        <v>#N/A</v>
      </c>
      <c r="AI318" s="3" t="str">
        <f>IFERROR(__xludf.DUMMYFUNCTION("""COMPUTED_VALUE"""),"Out of warranty")</f>
        <v>Out of warranty</v>
      </c>
      <c r="AJ318" s="3">
        <f>IFERROR(__xludf.DUMMYFUNCTION("""COMPUTED_VALUE"""),163.0)</f>
        <v>163</v>
      </c>
      <c r="AK318" s="3" t="str">
        <f>IFERROR(__xludf.DUMMYFUNCTION("""COMPUTED_VALUE"""),"MMS02")</f>
        <v>MMS02</v>
      </c>
      <c r="AL318" s="3"/>
    </row>
    <row r="319" ht="15.75" customHeight="1">
      <c r="A319" s="1" t="str">
        <f>IFERROR(__xludf.DUMMYFUNCTION("""COMPUTED_VALUE"""),"21075")</f>
        <v>21075</v>
      </c>
      <c r="B319" s="2">
        <f>IFERROR(__xludf.DUMMYFUNCTION("""COMPUTED_VALUE"""),21075.0)</f>
        <v>21075</v>
      </c>
      <c r="C319" s="3" t="str">
        <f>IFERROR(__xludf.DUMMYFUNCTION("""COMPUTED_VALUE"""),"MBC วัดวงหิน")</f>
        <v>MBC วัดวงหิน</v>
      </c>
      <c r="D319" s="3" t="str">
        <f>IFERROR(__xludf.DUMMYFUNCTION("""COMPUTED_VALUE"""),"BCM WAT WANGHIN")</f>
        <v>BCM WAT WANGHIN</v>
      </c>
      <c r="E319" s="1" t="str">
        <f>IFERROR(__xludf.DUMMYFUNCTION("""COMPUTED_VALUE"""),"บิ๊กซี MINI")</f>
        <v>บิ๊กซี MINI</v>
      </c>
      <c r="F319" s="1" t="str">
        <f>IFERROR(__xludf.DUMMYFUNCTION("""COMPUTED_VALUE"""),"221716")</f>
        <v>221716</v>
      </c>
      <c r="G319" s="1" t="str">
        <f>IFERROR(__xludf.DUMMYFUNCTION("""COMPUTED_VALUE"""),"น.ส.เบญจพร โพธิสาร")</f>
        <v>น.ส.เบญจพร โพธิสาร</v>
      </c>
      <c r="H319" s="1" t="str">
        <f>IFERROR(__xludf.DUMMYFUNCTION("""COMPUTED_VALUE"""),"476018")</f>
        <v>476018</v>
      </c>
      <c r="I319" s="1" t="str">
        <f>IFERROR(__xludf.DUMMYFUNCTION("""COMPUTED_VALUE"""),"นายศราวุฒิ ชูพันดุง")</f>
        <v>นายศราวุฒิ ชูพันดุง</v>
      </c>
      <c r="J319" s="3">
        <f>IFERROR(__xludf.DUMMYFUNCTION("""COMPUTED_VALUE"""),1.3461215E7)</f>
        <v>13461215</v>
      </c>
      <c r="K319" s="3" t="str">
        <f>IFERROR(__xludf.DUMMYFUNCTION("""COMPUTED_VALUE"""),"นายธีรภัทร สังข์เงิน")</f>
        <v>นายธีรภัทร สังข์เงิน</v>
      </c>
      <c r="L319" s="1" t="str">
        <f>IFERROR(__xludf.DUMMYFUNCTION("""COMPUTED_VALUE"""),"06 K.Teerapat")</f>
        <v>06 K.Teerapat</v>
      </c>
      <c r="M319" s="1" t="str">
        <f>IFERROR(__xludf.DUMMYFUNCTION("""COMPUTED_VALUE"""),"063-601-6803")</f>
        <v>063-601-6803</v>
      </c>
      <c r="N319" s="3">
        <f>IFERROR(__xludf.DUMMYFUNCTION("""COMPUTED_VALUE"""),22115.0)</f>
        <v>22115</v>
      </c>
      <c r="O319" s="3" t="str">
        <f>IFERROR(__xludf.DUMMYFUNCTION("""COMPUTED_VALUE"""),"MBC เลี่ยงหนองมน ชลบุรี")</f>
        <v>MBC เลี่ยงหนองมน ชลบุรี</v>
      </c>
      <c r="P319" s="4">
        <f>IFERROR(__xludf.DUMMYFUNCTION("""COMPUTED_VALUE"""),41152.0)</f>
        <v>41152</v>
      </c>
      <c r="Q319" s="3" t="str">
        <f>IFERROR(__xludf.DUMMYFUNCTION("""COMPUTED_VALUE"""),"A")</f>
        <v>A</v>
      </c>
      <c r="R319" s="3" t="str">
        <f>IFERROR(__xludf.DUMMYFUNCTION("""COMPUTED_VALUE"""),"Small Format")</f>
        <v>Small Format</v>
      </c>
      <c r="S319" s="3" t="str">
        <f>IFERROR(__xludf.DUMMYFUNCTION("""COMPUTED_VALUE"""),"BCM")</f>
        <v>BCM</v>
      </c>
      <c r="T319" s="3" t="str">
        <f>IFERROR(__xludf.DUMMYFUNCTION("""COMPUTED_VALUE"""),"#N/A")</f>
        <v>#N/A</v>
      </c>
      <c r="U319" s="3" t="str">
        <f>IFERROR(__xludf.DUMMYFUNCTION("""COMPUTED_VALUE"""),"#N/A")</f>
        <v>#N/A</v>
      </c>
      <c r="V319" s="3" t="str">
        <f>IFERROR(__xludf.DUMMYFUNCTION("""COMPUTED_VALUE"""),"N")</f>
        <v>N</v>
      </c>
      <c r="W319" s="3">
        <f>IFERROR(__xludf.DUMMYFUNCTION("""COMPUTED_VALUE"""),211083.0)</f>
        <v>211083</v>
      </c>
      <c r="X319" s="3" t="str">
        <f>IFERROR(__xludf.DUMMYFUNCTION("""COMPUTED_VALUE"""),"24/155 หมุ่ 1 ตำบลสุรศักดิ์ อำเภอศรีราชา จังหวัดชลบุรี 20110")</f>
        <v>24/155 หมุ่ 1 ตำบลสุรศักดิ์ อำเภอศรีราชา จังหวัดชลบุรี 20110</v>
      </c>
      <c r="Y319" s="3"/>
      <c r="Z319" s="3" t="str">
        <f>IFERROR(__xludf.DUMMYFUNCTION("""COMPUTED_VALUE"""),"สุรศักดิ์")</f>
        <v>สุรศักดิ์</v>
      </c>
      <c r="AA319" s="3" t="str">
        <f>IFERROR(__xludf.DUMMYFUNCTION("""COMPUTED_VALUE"""),"ศรีราชา")</f>
        <v>ศรีราชา</v>
      </c>
      <c r="AB319" s="3" t="str">
        <f>IFERROR(__xludf.DUMMYFUNCTION("""COMPUTED_VALUE"""),"ชลบุรี")</f>
        <v>ชลบุรี</v>
      </c>
      <c r="AC319" s="3">
        <f>IFERROR(__xludf.DUMMYFUNCTION("""COMPUTED_VALUE"""),20110.0)</f>
        <v>20110</v>
      </c>
      <c r="AD319" s="3">
        <f>IFERROR(__xludf.DUMMYFUNCTION("""COMPUTED_VALUE"""),13.171961)</f>
        <v>13.171961</v>
      </c>
      <c r="AE319" s="3">
        <f>IFERROR(__xludf.DUMMYFUNCTION("""COMPUTED_VALUE"""),100.93602)</f>
        <v>100.93602</v>
      </c>
      <c r="AF319" s="3" t="str">
        <f>IFERROR(__xludf.DUMMYFUNCTION("""COMPUTED_VALUE"""),"MBC วัดวงหิน-21075")</f>
        <v>MBC วัดวงหิน-21075</v>
      </c>
      <c r="AG319" s="3" t="str">
        <f>IFERROR(__xludf.DUMMYFUNCTION("""COMPUTED_VALUE"""),"ตะวันออก")</f>
        <v>ตะวันออก</v>
      </c>
      <c r="AH319" s="3" t="str">
        <f>IFERROR(__xludf.DUMMYFUNCTION("""COMPUTED_VALUE"""),"#N/A")</f>
        <v>#N/A</v>
      </c>
      <c r="AI319" s="3" t="str">
        <f>IFERROR(__xludf.DUMMYFUNCTION("""COMPUTED_VALUE"""),"Out of warranty")</f>
        <v>Out of warranty</v>
      </c>
      <c r="AJ319" s="3">
        <f>IFERROR(__xludf.DUMMYFUNCTION("""COMPUTED_VALUE"""),161.0)</f>
        <v>161</v>
      </c>
      <c r="AK319" s="3" t="str">
        <f>IFERROR(__xludf.DUMMYFUNCTION("""COMPUTED_VALUE"""),"MMS06")</f>
        <v>MMS06</v>
      </c>
      <c r="AL319" s="3"/>
    </row>
    <row r="320" ht="15.75" customHeight="1">
      <c r="A320" s="1" t="str">
        <f>IFERROR(__xludf.DUMMYFUNCTION("""COMPUTED_VALUE"""),"21076")</f>
        <v>21076</v>
      </c>
      <c r="B320" s="2">
        <f>IFERROR(__xludf.DUMMYFUNCTION("""COMPUTED_VALUE"""),21076.0)</f>
        <v>21076</v>
      </c>
      <c r="C320" s="3" t="str">
        <f>IFERROR(__xludf.DUMMYFUNCTION("""COMPUTED_VALUE"""),"มบ.นักกีฬา")</f>
        <v>มบ.นักกีฬา</v>
      </c>
      <c r="D320" s="3" t="str">
        <f>IFERROR(__xludf.DUMMYFUNCTION("""COMPUTED_VALUE"""),"MBC MOOBANNAKKEELA")</f>
        <v>MBC MOOBANNAKKEELA</v>
      </c>
      <c r="E320" s="1" t="str">
        <f>IFERROR(__xludf.DUMMYFUNCTION("""COMPUTED_VALUE"""),"บิ๊กซี MINI")</f>
        <v>บิ๊กซี MINI</v>
      </c>
      <c r="F320" s="1" t="str">
        <f>IFERROR(__xludf.DUMMYFUNCTION("""COMPUTED_VALUE"""),"291008")</f>
        <v>291008</v>
      </c>
      <c r="G320" s="1" t="str">
        <f>IFERROR(__xludf.DUMMYFUNCTION("""COMPUTED_VALUE"""),"น.ส.รัชดาพร อีศรัตน์")</f>
        <v>น.ส.รัชดาพร อีศรัตน์</v>
      </c>
      <c r="H320" s="1" t="str">
        <f>IFERROR(__xludf.DUMMYFUNCTION("""COMPUTED_VALUE"""),"034068")</f>
        <v>034068</v>
      </c>
      <c r="I320" s="1" t="str">
        <f>IFERROR(__xludf.DUMMYFUNCTION("""COMPUTED_VALUE"""),"นายสมศักดิ์ ฐานทองดี")</f>
        <v>นายสมศักดิ์ ฐานทองดี</v>
      </c>
      <c r="J320" s="3">
        <f>IFERROR(__xludf.DUMMYFUNCTION("""COMPUTED_VALUE"""),3510104.0)</f>
        <v>3510104</v>
      </c>
      <c r="K320" s="3" t="str">
        <f>IFERROR(__xludf.DUMMYFUNCTION("""COMPUTED_VALUE"""),"นายวิโรจน์ อับดุลสมัด")</f>
        <v>นายวิโรจน์ อับดุลสมัด</v>
      </c>
      <c r="L320" s="1" t="str">
        <f>IFERROR(__xludf.DUMMYFUNCTION("""COMPUTED_VALUE"""),"09 K.Wirode A")</f>
        <v>09 K.Wirode A</v>
      </c>
      <c r="M320" s="1" t="str">
        <f>IFERROR(__xludf.DUMMYFUNCTION("""COMPUTED_VALUE"""),"080-235-4465")</f>
        <v>080-235-4465</v>
      </c>
      <c r="N320" s="3">
        <f>IFERROR(__xludf.DUMMYFUNCTION("""COMPUTED_VALUE"""),21324.0)</f>
        <v>21324</v>
      </c>
      <c r="O320" s="3" t="str">
        <f>IFERROR(__xludf.DUMMYFUNCTION("""COMPUTED_VALUE"""),"MBC BCP สุวินทวงศ์")</f>
        <v>MBC BCP สุวินทวงศ์</v>
      </c>
      <c r="P320" s="4">
        <f>IFERROR(__xludf.DUMMYFUNCTION("""COMPUTED_VALUE"""),41087.0)</f>
        <v>41087</v>
      </c>
      <c r="Q320" s="3" t="str">
        <f>IFERROR(__xludf.DUMMYFUNCTION("""COMPUTED_VALUE"""),"I")</f>
        <v>I</v>
      </c>
      <c r="R320" s="3" t="str">
        <f>IFERROR(__xludf.DUMMYFUNCTION("""COMPUTED_VALUE"""),"Small Format")</f>
        <v>Small Format</v>
      </c>
      <c r="S320" s="3" t="str">
        <f>IFERROR(__xludf.DUMMYFUNCTION("""COMPUTED_VALUE"""),"BCM")</f>
        <v>BCM</v>
      </c>
      <c r="T320" s="3" t="str">
        <f>IFERROR(__xludf.DUMMYFUNCTION("""COMPUTED_VALUE"""),"#N/A")</f>
        <v>#N/A</v>
      </c>
      <c r="U320" s="3" t="str">
        <f>IFERROR(__xludf.DUMMYFUNCTION("""COMPUTED_VALUE"""),"#N/A")</f>
        <v>#N/A</v>
      </c>
      <c r="V320" s="3" t="str">
        <f>IFERROR(__xludf.DUMMYFUNCTION("""COMPUTED_VALUE"""),"N")</f>
        <v>N</v>
      </c>
      <c r="W320" s="3">
        <f>IFERROR(__xludf.DUMMYFUNCTION("""COMPUTED_VALUE"""),0.0)</f>
        <v>0</v>
      </c>
      <c r="X320" s="3" t="str">
        <f>IFERROR(__xludf.DUMMYFUNCTION("""COMPUTED_VALUE"""),"32,34,36 ถนนนักกีฬาแหลมทอง แขวงสะพานสูง เขตสะพานสูง กรุงเทพฯ 10240")</f>
        <v>32,34,36 ถนนนักกีฬาแหลมทอง แขวงสะพานสูง เขตสะพานสูง กรุงเทพฯ 10240</v>
      </c>
      <c r="Y320" s="3" t="str">
        <f>IFERROR(__xludf.DUMMYFUNCTION("""COMPUTED_VALUE"""),"ถนนนักกีฬาแหลมทอง")</f>
        <v>ถนนนักกีฬาแหลมทอง</v>
      </c>
      <c r="Z320" s="3" t="str">
        <f>IFERROR(__xludf.DUMMYFUNCTION("""COMPUTED_VALUE"""),"สะพานสูง")</f>
        <v>สะพานสูง</v>
      </c>
      <c r="AA320" s="3" t="str">
        <f>IFERROR(__xludf.DUMMYFUNCTION("""COMPUTED_VALUE"""),"สะพานสูง")</f>
        <v>สะพานสูง</v>
      </c>
      <c r="AB320" s="3" t="str">
        <f>IFERROR(__xludf.DUMMYFUNCTION("""COMPUTED_VALUE"""),"กรุงเทพมหานคร")</f>
        <v>กรุงเทพมหานคร</v>
      </c>
      <c r="AC320" s="3">
        <f>IFERROR(__xludf.DUMMYFUNCTION("""COMPUTED_VALUE"""),10240.0)</f>
        <v>10240</v>
      </c>
      <c r="AD320" s="3" t="str">
        <f>IFERROR(__xludf.DUMMYFUNCTION("""COMPUTED_VALUE"""),"#N/A")</f>
        <v>#N/A</v>
      </c>
      <c r="AE320" s="3" t="str">
        <f>IFERROR(__xludf.DUMMYFUNCTION("""COMPUTED_VALUE"""),"#N/A")</f>
        <v>#N/A</v>
      </c>
      <c r="AF320" s="3" t="str">
        <f>IFERROR(__xludf.DUMMYFUNCTION("""COMPUTED_VALUE"""),"มบ.นักกีฬา-21076")</f>
        <v>มบ.นักกีฬา-21076</v>
      </c>
      <c r="AG320" s="3" t="str">
        <f>IFERROR(__xludf.DUMMYFUNCTION("""COMPUTED_VALUE"""),"กลาง")</f>
        <v>กลาง</v>
      </c>
      <c r="AH320" s="3" t="str">
        <f>IFERROR(__xludf.DUMMYFUNCTION("""COMPUTED_VALUE"""),"#N/A")</f>
        <v>#N/A</v>
      </c>
      <c r="AI320" s="3" t="str">
        <f>IFERROR(__xludf.DUMMYFUNCTION("""COMPUTED_VALUE"""),"Out of warranty")</f>
        <v>Out of warranty</v>
      </c>
      <c r="AJ320" s="3">
        <f>IFERROR(__xludf.DUMMYFUNCTION("""COMPUTED_VALUE"""),163.0)</f>
        <v>163</v>
      </c>
      <c r="AK320" s="3"/>
      <c r="AL320" s="3"/>
    </row>
    <row r="321" ht="15.75" customHeight="1">
      <c r="A321" s="1" t="str">
        <f>IFERROR(__xludf.DUMMYFUNCTION("""COMPUTED_VALUE"""),"21077")</f>
        <v>21077</v>
      </c>
      <c r="B321" s="2">
        <f>IFERROR(__xludf.DUMMYFUNCTION("""COMPUTED_VALUE"""),21077.0)</f>
        <v>21077</v>
      </c>
      <c r="C321" s="3" t="str">
        <f>IFERROR(__xludf.DUMMYFUNCTION("""COMPUTED_VALUE"""),"MBC พหลโยธิน52")</f>
        <v>MBC พหลโยธิน52</v>
      </c>
      <c r="D321" s="3" t="str">
        <f>IFERROR(__xludf.DUMMYFUNCTION("""COMPUTED_VALUE"""),"BCM PHAHOLYOTHIN52")</f>
        <v>BCM PHAHOLYOTHIN52</v>
      </c>
      <c r="E321" s="1" t="str">
        <f>IFERROR(__xludf.DUMMYFUNCTION("""COMPUTED_VALUE"""),"บิ๊กซี MINI")</f>
        <v>บิ๊กซี MINI</v>
      </c>
      <c r="F321" s="1" t="str">
        <f>IFERROR(__xludf.DUMMYFUNCTION("""COMPUTED_VALUE"""),"291008")</f>
        <v>291008</v>
      </c>
      <c r="G321" s="1" t="str">
        <f>IFERROR(__xludf.DUMMYFUNCTION("""COMPUTED_VALUE"""),"น.ส.รัชดาพร อีศรัตน์")</f>
        <v>น.ส.รัชดาพร อีศรัตน์</v>
      </c>
      <c r="H321" s="1" t="str">
        <f>IFERROR(__xludf.DUMMYFUNCTION("""COMPUTED_VALUE"""),"373540")</f>
        <v>373540</v>
      </c>
      <c r="I321" s="1" t="str">
        <f>IFERROR(__xludf.DUMMYFUNCTION("""COMPUTED_VALUE"""),"นายทศพร พึ่งพบ")</f>
        <v>นายทศพร พึ่งพบ</v>
      </c>
      <c r="J321" s="3">
        <f>IFERROR(__xludf.DUMMYFUNCTION("""COMPUTED_VALUE"""),2452378.0)</f>
        <v>2452378</v>
      </c>
      <c r="K321" s="3" t="str">
        <f>IFERROR(__xludf.DUMMYFUNCTION("""COMPUTED_VALUE"""),"นายศักดิ์ดา พวงประดับ")</f>
        <v>นายศักดิ์ดา พวงประดับ</v>
      </c>
      <c r="L321" s="1" t="str">
        <f>IFERROR(__xludf.DUMMYFUNCTION("""COMPUTED_VALUE"""),"11 K.Sakda P.")</f>
        <v>11 K.Sakda P.</v>
      </c>
      <c r="M321" s="1" t="str">
        <f>IFERROR(__xludf.DUMMYFUNCTION("""COMPUTED_VALUE"""),"065-929-1279")</f>
        <v>065-929-1279</v>
      </c>
      <c r="N321" s="3">
        <f>IFERROR(__xludf.DUMMYFUNCTION("""COMPUTED_VALUE"""),21002.0)</f>
        <v>21002</v>
      </c>
      <c r="O321" s="3" t="str">
        <f>IFERROR(__xludf.DUMMYFUNCTION("""COMPUTED_VALUE"""),"MBC อุดมสุข")</f>
        <v>MBC อุดมสุข</v>
      </c>
      <c r="P321" s="4">
        <f>IFERROR(__xludf.DUMMYFUNCTION("""COMPUTED_VALUE"""),41093.0)</f>
        <v>41093</v>
      </c>
      <c r="Q321" s="3" t="str">
        <f>IFERROR(__xludf.DUMMYFUNCTION("""COMPUTED_VALUE"""),"A")</f>
        <v>A</v>
      </c>
      <c r="R321" s="3" t="str">
        <f>IFERROR(__xludf.DUMMYFUNCTION("""COMPUTED_VALUE"""),"Small Format")</f>
        <v>Small Format</v>
      </c>
      <c r="S321" s="3" t="str">
        <f>IFERROR(__xludf.DUMMYFUNCTION("""COMPUTED_VALUE"""),"BCM")</f>
        <v>BCM</v>
      </c>
      <c r="T321" s="3" t="str">
        <f>IFERROR(__xludf.DUMMYFUNCTION("""COMPUTED_VALUE"""),"#N/A")</f>
        <v>#N/A</v>
      </c>
      <c r="U321" s="3" t="str">
        <f>IFERROR(__xludf.DUMMYFUNCTION("""COMPUTED_VALUE"""),"#N/A")</f>
        <v>#N/A</v>
      </c>
      <c r="V321" s="3" t="str">
        <f>IFERROR(__xludf.DUMMYFUNCTION("""COMPUTED_VALUE"""),"N")</f>
        <v>N</v>
      </c>
      <c r="W321" s="3">
        <f>IFERROR(__xludf.DUMMYFUNCTION("""COMPUTED_VALUE"""),211073.0)</f>
        <v>211073</v>
      </c>
      <c r="X321" s="3" t="str">
        <f>IFERROR(__xludf.DUMMYFUNCTION("""COMPUTED_VALUE"""),"497/1,497/3 ซอย พหลโยธิน52 แขวงคลองถนน เขตสายไหม กรุงเทพฯ 10220")</f>
        <v>497/1,497/3 ซอย พหลโยธิน52 แขวงคลองถนน เขตสายไหม กรุงเทพฯ 10220</v>
      </c>
      <c r="Y321" s="3" t="str">
        <f>IFERROR(__xludf.DUMMYFUNCTION("""COMPUTED_VALUE"""),"ซอยพหลโยธิน52")</f>
        <v>ซอยพหลโยธิน52</v>
      </c>
      <c r="Z321" s="3" t="str">
        <f>IFERROR(__xludf.DUMMYFUNCTION("""COMPUTED_VALUE"""),"พหลโยธิน52")</f>
        <v>พหลโยธิน52</v>
      </c>
      <c r="AA321" s="3" t="str">
        <f>IFERROR(__xludf.DUMMYFUNCTION("""COMPUTED_VALUE"""),"สายไหม")</f>
        <v>สายไหม</v>
      </c>
      <c r="AB321" s="3" t="str">
        <f>IFERROR(__xludf.DUMMYFUNCTION("""COMPUTED_VALUE"""),"กรุงเทพมหานคร")</f>
        <v>กรุงเทพมหานคร</v>
      </c>
      <c r="AC321" s="3">
        <f>IFERROR(__xludf.DUMMYFUNCTION("""COMPUTED_VALUE"""),10220.0)</f>
        <v>10220</v>
      </c>
      <c r="AD321" s="3">
        <f>IFERROR(__xludf.DUMMYFUNCTION("""COMPUTED_VALUE"""),13.893611)</f>
        <v>13.893611</v>
      </c>
      <c r="AE321" s="3">
        <f>IFERROR(__xludf.DUMMYFUNCTION("""COMPUTED_VALUE"""),100.615638)</f>
        <v>100.615638</v>
      </c>
      <c r="AF321" s="3" t="str">
        <f>IFERROR(__xludf.DUMMYFUNCTION("""COMPUTED_VALUE"""),"MBC พหลโยธิน52-21077")</f>
        <v>MBC พหลโยธิน52-21077</v>
      </c>
      <c r="AG321" s="3" t="str">
        <f>IFERROR(__xludf.DUMMYFUNCTION("""COMPUTED_VALUE"""),"กลาง")</f>
        <v>กลาง</v>
      </c>
      <c r="AH321" s="3" t="str">
        <f>IFERROR(__xludf.DUMMYFUNCTION("""COMPUTED_VALUE"""),"#N/A")</f>
        <v>#N/A</v>
      </c>
      <c r="AI321" s="3" t="str">
        <f>IFERROR(__xludf.DUMMYFUNCTION("""COMPUTED_VALUE"""),"Out of warranty")</f>
        <v>Out of warranty</v>
      </c>
      <c r="AJ321" s="3">
        <f>IFERROR(__xludf.DUMMYFUNCTION("""COMPUTED_VALUE"""),163.0)</f>
        <v>163</v>
      </c>
      <c r="AK321" s="3" t="str">
        <f>IFERROR(__xludf.DUMMYFUNCTION("""COMPUTED_VALUE"""),"MMS01")</f>
        <v>MMS01</v>
      </c>
      <c r="AL321" s="3"/>
    </row>
    <row r="322" ht="15.75" customHeight="1">
      <c r="A322" s="1" t="str">
        <f>IFERROR(__xludf.DUMMYFUNCTION("""COMPUTED_VALUE"""),"21078")</f>
        <v>21078</v>
      </c>
      <c r="B322" s="2">
        <f>IFERROR(__xludf.DUMMYFUNCTION("""COMPUTED_VALUE"""),21078.0)</f>
        <v>21078</v>
      </c>
      <c r="C322" s="3" t="str">
        <f>IFERROR(__xludf.DUMMYFUNCTION("""COMPUTED_VALUE"""),"MBC BCP พัฒนาการ")</f>
        <v>MBC BCP พัฒนาการ</v>
      </c>
      <c r="D322" s="3" t="str">
        <f>IFERROR(__xludf.DUMMYFUNCTION("""COMPUTED_VALUE"""),"BCM BCP PATTANAKARN")</f>
        <v>BCM BCP PATTANAKARN</v>
      </c>
      <c r="E322" s="1" t="str">
        <f>IFERROR(__xludf.DUMMYFUNCTION("""COMPUTED_VALUE"""),"บิ๊กซี MINI")</f>
        <v>บิ๊กซี MINI</v>
      </c>
      <c r="F322" s="1" t="str">
        <f>IFERROR(__xludf.DUMMYFUNCTION("""COMPUTED_VALUE"""),"291008")</f>
        <v>291008</v>
      </c>
      <c r="G322" s="1" t="str">
        <f>IFERROR(__xludf.DUMMYFUNCTION("""COMPUTED_VALUE"""),"น.ส.รัชดาพร อีศรัตน์")</f>
        <v>น.ส.รัชดาพร อีศรัตน์</v>
      </c>
      <c r="H322" s="1" t="str">
        <f>IFERROR(__xludf.DUMMYFUNCTION("""COMPUTED_VALUE"""),"468773")</f>
        <v>468773</v>
      </c>
      <c r="I322" s="1" t="str">
        <f>IFERROR(__xludf.DUMMYFUNCTION("""COMPUTED_VALUE"""),"น.ส.พรพรรณ แซ่แต้")</f>
        <v>น.ส.พรพรรณ แซ่แต้</v>
      </c>
      <c r="J322" s="3">
        <f>IFERROR(__xludf.DUMMYFUNCTION("""COMPUTED_VALUE"""),2452378.0)</f>
        <v>2452378</v>
      </c>
      <c r="K322" s="3" t="str">
        <f>IFERROR(__xludf.DUMMYFUNCTION("""COMPUTED_VALUE"""),"นายศักดิ์ดา พวงประดับ")</f>
        <v>นายศักดิ์ดา พวงประดับ</v>
      </c>
      <c r="L322" s="3" t="str">
        <f>IFERROR(__xludf.DUMMYFUNCTION("""COMPUTED_VALUE"""),"11 K.Sakda P.")</f>
        <v>11 K.Sakda P.</v>
      </c>
      <c r="M322" s="1" t="str">
        <f>IFERROR(__xludf.DUMMYFUNCTION("""COMPUTED_VALUE"""),"065-929-1279")</f>
        <v>065-929-1279</v>
      </c>
      <c r="N322" s="3">
        <f>IFERROR(__xludf.DUMMYFUNCTION("""COMPUTED_VALUE"""),21002.0)</f>
        <v>21002</v>
      </c>
      <c r="O322" s="3" t="str">
        <f>IFERROR(__xludf.DUMMYFUNCTION("""COMPUTED_VALUE"""),"MBC อุดมสุข")</f>
        <v>MBC อุดมสุข</v>
      </c>
      <c r="P322" s="4">
        <f>IFERROR(__xludf.DUMMYFUNCTION("""COMPUTED_VALUE"""),41105.0)</f>
        <v>41105</v>
      </c>
      <c r="Q322" s="3" t="str">
        <f>IFERROR(__xludf.DUMMYFUNCTION("""COMPUTED_VALUE"""),"A")</f>
        <v>A</v>
      </c>
      <c r="R322" s="3" t="str">
        <f>IFERROR(__xludf.DUMMYFUNCTION("""COMPUTED_VALUE"""),"Small Format")</f>
        <v>Small Format</v>
      </c>
      <c r="S322" s="3" t="str">
        <f>IFERROR(__xludf.DUMMYFUNCTION("""COMPUTED_VALUE"""),"BCM")</f>
        <v>BCM</v>
      </c>
      <c r="T322" s="3" t="str">
        <f>IFERROR(__xludf.DUMMYFUNCTION("""COMPUTED_VALUE"""),"#N/A")</f>
        <v>#N/A</v>
      </c>
      <c r="U322" s="3" t="str">
        <f>IFERROR(__xludf.DUMMYFUNCTION("""COMPUTED_VALUE"""),"#N/A")</f>
        <v>#N/A</v>
      </c>
      <c r="V322" s="3" t="str">
        <f>IFERROR(__xludf.DUMMYFUNCTION("""COMPUTED_VALUE"""),"N")</f>
        <v>N</v>
      </c>
      <c r="W322" s="3">
        <f>IFERROR(__xludf.DUMMYFUNCTION("""COMPUTED_VALUE"""),361003.0)</f>
        <v>361003</v>
      </c>
      <c r="X322" s="3" t="str">
        <f>IFERROR(__xludf.DUMMYFUNCTION("""COMPUTED_VALUE"""),"1348 ถนน พัฒนาการ แขวง สวนหลวง เขต สวนหลวง กรุงเทพฯ 10250")</f>
        <v>1348 ถนน พัฒนาการ แขวง สวนหลวง เขต สวนหลวง กรุงเทพฯ 10250</v>
      </c>
      <c r="Y322" s="3" t="str">
        <f>IFERROR(__xludf.DUMMYFUNCTION("""COMPUTED_VALUE"""),"ถนน")</f>
        <v>ถนน</v>
      </c>
      <c r="Z322" s="3" t="str">
        <f>IFERROR(__xludf.DUMMYFUNCTION("""COMPUTED_VALUE"""),"พัฒนาการ")</f>
        <v>พัฒนาการ</v>
      </c>
      <c r="AA322" s="3" t="str">
        <f>IFERROR(__xludf.DUMMYFUNCTION("""COMPUTED_VALUE"""),"สวนหลวง")</f>
        <v>สวนหลวง</v>
      </c>
      <c r="AB322" s="3" t="str">
        <f>IFERROR(__xludf.DUMMYFUNCTION("""COMPUTED_VALUE"""),"กรุงเทพมหานคร")</f>
        <v>กรุงเทพมหานคร</v>
      </c>
      <c r="AC322" s="3">
        <f>IFERROR(__xludf.DUMMYFUNCTION("""COMPUTED_VALUE"""),10250.0)</f>
        <v>10250</v>
      </c>
      <c r="AD322" s="3">
        <f>IFERROR(__xludf.DUMMYFUNCTION("""COMPUTED_VALUE"""),13.736634)</f>
        <v>13.736634</v>
      </c>
      <c r="AE322" s="3">
        <f>IFERROR(__xludf.DUMMYFUNCTION("""COMPUTED_VALUE"""),100.623157)</f>
        <v>100.623157</v>
      </c>
      <c r="AF322" s="3" t="str">
        <f>IFERROR(__xludf.DUMMYFUNCTION("""COMPUTED_VALUE"""),"MBC BCP พัฒนาการ-21078")</f>
        <v>MBC BCP พัฒนาการ-21078</v>
      </c>
      <c r="AG322" s="3" t="str">
        <f>IFERROR(__xludf.DUMMYFUNCTION("""COMPUTED_VALUE"""),"กลาง")</f>
        <v>กลาง</v>
      </c>
      <c r="AH322" s="3" t="str">
        <f>IFERROR(__xludf.DUMMYFUNCTION("""COMPUTED_VALUE"""),"#N/A")</f>
        <v>#N/A</v>
      </c>
      <c r="AI322" s="3" t="str">
        <f>IFERROR(__xludf.DUMMYFUNCTION("""COMPUTED_VALUE"""),"Out of warranty")</f>
        <v>Out of warranty</v>
      </c>
      <c r="AJ322" s="3">
        <f>IFERROR(__xludf.DUMMYFUNCTION("""COMPUTED_VALUE"""),163.0)</f>
        <v>163</v>
      </c>
      <c r="AK322" s="3" t="str">
        <f>IFERROR(__xludf.DUMMYFUNCTION("""COMPUTED_VALUE"""),"MMS03")</f>
        <v>MMS03</v>
      </c>
      <c r="AL322" s="3"/>
    </row>
    <row r="323" ht="15.75" customHeight="1">
      <c r="A323" s="1" t="str">
        <f>IFERROR(__xludf.DUMMYFUNCTION("""COMPUTED_VALUE"""),"21079")</f>
        <v>21079</v>
      </c>
      <c r="B323" s="2">
        <f>IFERROR(__xludf.DUMMYFUNCTION("""COMPUTED_VALUE"""),21079.0)</f>
        <v>21079</v>
      </c>
      <c r="C323" s="3" t="str">
        <f>IFERROR(__xludf.DUMMYFUNCTION("""COMPUTED_VALUE"""),"MBC BCP พระราม3(3)")</f>
        <v>MBC BCP พระราม3(3)</v>
      </c>
      <c r="D323" s="3" t="str">
        <f>IFERROR(__xludf.DUMMYFUNCTION("""COMPUTED_VALUE"""),"BCM BCP RAMA3(3)")</f>
        <v>BCM BCP RAMA3(3)</v>
      </c>
      <c r="E323" s="1" t="str">
        <f>IFERROR(__xludf.DUMMYFUNCTION("""COMPUTED_VALUE"""),"บิ๊กซี MINI")</f>
        <v>บิ๊กซี MINI</v>
      </c>
      <c r="F323" s="1" t="str">
        <f>IFERROR(__xludf.DUMMYFUNCTION("""COMPUTED_VALUE"""),"291008")</f>
        <v>291008</v>
      </c>
      <c r="G323" s="1" t="str">
        <f>IFERROR(__xludf.DUMMYFUNCTION("""COMPUTED_VALUE"""),"น.ส.รัชดาพร อีศรัตน์")</f>
        <v>น.ส.รัชดาพร อีศรัตน์</v>
      </c>
      <c r="H323" s="1" t="str">
        <f>IFERROR(__xludf.DUMMYFUNCTION("""COMPUTED_VALUE"""),"359002")</f>
        <v>359002</v>
      </c>
      <c r="I323" s="1" t="str">
        <f>IFERROR(__xludf.DUMMYFUNCTION("""COMPUTED_VALUE"""),"น.ส.นิตยา สมจิตร")</f>
        <v>น.ส.นิตยา สมจิตร</v>
      </c>
      <c r="J323" s="3">
        <f>IFERROR(__xludf.DUMMYFUNCTION("""COMPUTED_VALUE"""),3510104.0)</f>
        <v>3510104</v>
      </c>
      <c r="K323" s="3" t="str">
        <f>IFERROR(__xludf.DUMMYFUNCTION("""COMPUTED_VALUE"""),"นายวิโรจน์ อับดุลสมัด")</f>
        <v>นายวิโรจน์ อับดุลสมัด</v>
      </c>
      <c r="L323" s="1" t="str">
        <f>IFERROR(__xludf.DUMMYFUNCTION("""COMPUTED_VALUE"""),"09 K.Wirode A")</f>
        <v>09 K.Wirode A</v>
      </c>
      <c r="M323" s="1" t="str">
        <f>IFERROR(__xludf.DUMMYFUNCTION("""COMPUTED_VALUE"""),"080-235-4465")</f>
        <v>080-235-4465</v>
      </c>
      <c r="N323" s="3">
        <f>IFERROR(__xludf.DUMMYFUNCTION("""COMPUTED_VALUE"""),21324.0)</f>
        <v>21324</v>
      </c>
      <c r="O323" s="3" t="str">
        <f>IFERROR(__xludf.DUMMYFUNCTION("""COMPUTED_VALUE"""),"MBC BCP สุวินทวงศ์")</f>
        <v>MBC BCP สุวินทวงศ์</v>
      </c>
      <c r="P323" s="4">
        <f>IFERROR(__xludf.DUMMYFUNCTION("""COMPUTED_VALUE"""),41105.0)</f>
        <v>41105</v>
      </c>
      <c r="Q323" s="3" t="str">
        <f>IFERROR(__xludf.DUMMYFUNCTION("""COMPUTED_VALUE"""),"A")</f>
        <v>A</v>
      </c>
      <c r="R323" s="3" t="str">
        <f>IFERROR(__xludf.DUMMYFUNCTION("""COMPUTED_VALUE"""),"Small Format")</f>
        <v>Small Format</v>
      </c>
      <c r="S323" s="3" t="str">
        <f>IFERROR(__xludf.DUMMYFUNCTION("""COMPUTED_VALUE"""),"BCM")</f>
        <v>BCM</v>
      </c>
      <c r="T323" s="3" t="str">
        <f>IFERROR(__xludf.DUMMYFUNCTION("""COMPUTED_VALUE"""),"#N/A")</f>
        <v>#N/A</v>
      </c>
      <c r="U323" s="3" t="str">
        <f>IFERROR(__xludf.DUMMYFUNCTION("""COMPUTED_VALUE"""),"#N/A")</f>
        <v>#N/A</v>
      </c>
      <c r="V323" s="3" t="str">
        <f>IFERROR(__xludf.DUMMYFUNCTION("""COMPUTED_VALUE"""),"N")</f>
        <v>N</v>
      </c>
      <c r="W323" s="3">
        <f>IFERROR(__xludf.DUMMYFUNCTION("""COMPUTED_VALUE"""),361004.0)</f>
        <v>361004</v>
      </c>
      <c r="X323" s="3" t="str">
        <f>IFERROR(__xludf.DUMMYFUNCTION("""COMPUTED_VALUE"""),"493/1 ถนน พระรามที่3 แขวง บางโคล่ เขต บางคอแหลม กรุงเทพฯ 10120")</f>
        <v>493/1 ถนน พระรามที่3 แขวง บางโคล่ เขต บางคอแหลม กรุงเทพฯ 10120</v>
      </c>
      <c r="Y323" s="3" t="str">
        <f>IFERROR(__xludf.DUMMYFUNCTION("""COMPUTED_VALUE"""),"ถนน")</f>
        <v>ถนน</v>
      </c>
      <c r="Z323" s="3" t="str">
        <f>IFERROR(__xludf.DUMMYFUNCTION("""COMPUTED_VALUE"""),"พระรามที่3")</f>
        <v>พระรามที่3</v>
      </c>
      <c r="AA323" s="3" t="str">
        <f>IFERROR(__xludf.DUMMYFUNCTION("""COMPUTED_VALUE"""),"บางคอแหลม")</f>
        <v>บางคอแหลม</v>
      </c>
      <c r="AB323" s="3" t="str">
        <f>IFERROR(__xludf.DUMMYFUNCTION("""COMPUTED_VALUE"""),"กรุงเทพมหานคร")</f>
        <v>กรุงเทพมหานคร</v>
      </c>
      <c r="AC323" s="3">
        <f>IFERROR(__xludf.DUMMYFUNCTION("""COMPUTED_VALUE"""),10120.0)</f>
        <v>10120</v>
      </c>
      <c r="AD323" s="3">
        <f>IFERROR(__xludf.DUMMYFUNCTION("""COMPUTED_VALUE"""),13.688271)</f>
        <v>13.688271</v>
      </c>
      <c r="AE323" s="3">
        <f>IFERROR(__xludf.DUMMYFUNCTION("""COMPUTED_VALUE"""),100.517268)</f>
        <v>100.517268</v>
      </c>
      <c r="AF323" s="3" t="str">
        <f>IFERROR(__xludf.DUMMYFUNCTION("""COMPUTED_VALUE"""),"MBC BCP พระราม3(3)-21079")</f>
        <v>MBC BCP พระราม3(3)-21079</v>
      </c>
      <c r="AG323" s="3" t="str">
        <f>IFERROR(__xludf.DUMMYFUNCTION("""COMPUTED_VALUE"""),"กลาง")</f>
        <v>กลาง</v>
      </c>
      <c r="AH323" s="3" t="str">
        <f>IFERROR(__xludf.DUMMYFUNCTION("""COMPUTED_VALUE"""),"#N/A")</f>
        <v>#N/A</v>
      </c>
      <c r="AI323" s="3" t="str">
        <f>IFERROR(__xludf.DUMMYFUNCTION("""COMPUTED_VALUE"""),"Out of warranty")</f>
        <v>Out of warranty</v>
      </c>
      <c r="AJ323" s="3">
        <f>IFERROR(__xludf.DUMMYFUNCTION("""COMPUTED_VALUE"""),163.0)</f>
        <v>163</v>
      </c>
      <c r="AK323" s="3" t="str">
        <f>IFERROR(__xludf.DUMMYFUNCTION("""COMPUTED_VALUE"""),"MMS02")</f>
        <v>MMS02</v>
      </c>
      <c r="AL323" s="3"/>
    </row>
    <row r="324" ht="15.75" customHeight="1">
      <c r="A324" s="1" t="str">
        <f>IFERROR(__xludf.DUMMYFUNCTION("""COMPUTED_VALUE"""),"21080")</f>
        <v>21080</v>
      </c>
      <c r="B324" s="2">
        <f>IFERROR(__xludf.DUMMYFUNCTION("""COMPUTED_VALUE"""),21080.0)</f>
        <v>21080</v>
      </c>
      <c r="C324" s="3" t="str">
        <f>IFERROR(__xludf.DUMMYFUNCTION("""COMPUTED_VALUE"""),"MBC หมู่บ้านมณีแก้ว")</f>
        <v>MBC หมู่บ้านมณีแก้ว</v>
      </c>
      <c r="D324" s="3" t="str">
        <f>IFERROR(__xludf.DUMMYFUNCTION("""COMPUTED_VALUE"""),"BCM MOOBANMANEEKAEW")</f>
        <v>BCM MOOBANMANEEKAEW</v>
      </c>
      <c r="E324" s="1" t="str">
        <f>IFERROR(__xludf.DUMMYFUNCTION("""COMPUTED_VALUE"""),"บิ๊กซี MINI")</f>
        <v>บิ๊กซี MINI</v>
      </c>
      <c r="F324" s="1" t="str">
        <f>IFERROR(__xludf.DUMMYFUNCTION("""COMPUTED_VALUE"""),"221716")</f>
        <v>221716</v>
      </c>
      <c r="G324" s="1" t="str">
        <f>IFERROR(__xludf.DUMMYFUNCTION("""COMPUTED_VALUE"""),"น.ส.เบญจพร โพธิสาร")</f>
        <v>น.ส.เบญจพร โพธิสาร</v>
      </c>
      <c r="H324" s="1" t="str">
        <f>IFERROR(__xludf.DUMMYFUNCTION("""COMPUTED_VALUE"""),"476018")</f>
        <v>476018</v>
      </c>
      <c r="I324" s="1" t="str">
        <f>IFERROR(__xludf.DUMMYFUNCTION("""COMPUTED_VALUE"""),"นายศราวุฒิ ชูพันดุง")</f>
        <v>นายศราวุฒิ ชูพันดุง</v>
      </c>
      <c r="J324" s="3">
        <f>IFERROR(__xludf.DUMMYFUNCTION("""COMPUTED_VALUE"""),1.3461215E7)</f>
        <v>13461215</v>
      </c>
      <c r="K324" s="3" t="str">
        <f>IFERROR(__xludf.DUMMYFUNCTION("""COMPUTED_VALUE"""),"นายธีรภัทร สังข์เงิน")</f>
        <v>นายธีรภัทร สังข์เงิน</v>
      </c>
      <c r="L324" s="1" t="str">
        <f>IFERROR(__xludf.DUMMYFUNCTION("""COMPUTED_VALUE"""),"06 K.Teerapat")</f>
        <v>06 K.Teerapat</v>
      </c>
      <c r="M324" s="1" t="str">
        <f>IFERROR(__xludf.DUMMYFUNCTION("""COMPUTED_VALUE"""),"063-601-6803")</f>
        <v>063-601-6803</v>
      </c>
      <c r="N324" s="3">
        <f>IFERROR(__xludf.DUMMYFUNCTION("""COMPUTED_VALUE"""),22115.0)</f>
        <v>22115</v>
      </c>
      <c r="O324" s="3" t="str">
        <f>IFERROR(__xludf.DUMMYFUNCTION("""COMPUTED_VALUE"""),"MBC เลี่ยงหนองมน ชลบุรี")</f>
        <v>MBC เลี่ยงหนองมน ชลบุรี</v>
      </c>
      <c r="P324" s="4">
        <f>IFERROR(__xludf.DUMMYFUNCTION("""COMPUTED_VALUE"""),41112.0)</f>
        <v>41112</v>
      </c>
      <c r="Q324" s="3" t="str">
        <f>IFERROR(__xludf.DUMMYFUNCTION("""COMPUTED_VALUE"""),"A")</f>
        <v>A</v>
      </c>
      <c r="R324" s="3" t="str">
        <f>IFERROR(__xludf.DUMMYFUNCTION("""COMPUTED_VALUE"""),"Small Format")</f>
        <v>Small Format</v>
      </c>
      <c r="S324" s="3" t="str">
        <f>IFERROR(__xludf.DUMMYFUNCTION("""COMPUTED_VALUE"""),"BCM")</f>
        <v>BCM</v>
      </c>
      <c r="T324" s="3" t="str">
        <f>IFERROR(__xludf.DUMMYFUNCTION("""COMPUTED_VALUE"""),"#N/A")</f>
        <v>#N/A</v>
      </c>
      <c r="U324" s="3" t="str">
        <f>IFERROR(__xludf.DUMMYFUNCTION("""COMPUTED_VALUE"""),"#N/A")</f>
        <v>#N/A</v>
      </c>
      <c r="V324" s="3" t="str">
        <f>IFERROR(__xludf.DUMMYFUNCTION("""COMPUTED_VALUE"""),"N")</f>
        <v>N</v>
      </c>
      <c r="W324" s="3">
        <f>IFERROR(__xludf.DUMMYFUNCTION("""COMPUTED_VALUE"""),211075.0)</f>
        <v>211075</v>
      </c>
      <c r="X324" s="3" t="str">
        <f>IFERROR(__xludf.DUMMYFUNCTION("""COMPUTED_VALUE"""),"132 หมู่ 1 ตำบลเหมือง อำเภอเมืองชลบุรี จังหวัดชลบุรี 20130")</f>
        <v>132 หมู่ 1 ตำบลเหมือง อำเภอเมืองชลบุรี จังหวัดชลบุรี 20130</v>
      </c>
      <c r="Y324" s="3"/>
      <c r="Z324" s="3" t="str">
        <f>IFERROR(__xludf.DUMMYFUNCTION("""COMPUTED_VALUE"""),"เหมือง")</f>
        <v>เหมือง</v>
      </c>
      <c r="AA324" s="3" t="str">
        <f>IFERROR(__xludf.DUMMYFUNCTION("""COMPUTED_VALUE"""),"เมือง")</f>
        <v>เมือง</v>
      </c>
      <c r="AB324" s="3" t="str">
        <f>IFERROR(__xludf.DUMMYFUNCTION("""COMPUTED_VALUE"""),"ชลบุรี")</f>
        <v>ชลบุรี</v>
      </c>
      <c r="AC324" s="3">
        <f>IFERROR(__xludf.DUMMYFUNCTION("""COMPUTED_VALUE"""),20130.0)</f>
        <v>20130</v>
      </c>
      <c r="AD324" s="3">
        <f>IFERROR(__xludf.DUMMYFUNCTION("""COMPUTED_VALUE"""),13.277498)</f>
        <v>13.277498</v>
      </c>
      <c r="AE324" s="3">
        <f>IFERROR(__xludf.DUMMYFUNCTION("""COMPUTED_VALUE"""),100.956732)</f>
        <v>100.956732</v>
      </c>
      <c r="AF324" s="3" t="str">
        <f>IFERROR(__xludf.DUMMYFUNCTION("""COMPUTED_VALUE"""),"MBC หมู่บ้านมณีแก้ว-21080")</f>
        <v>MBC หมู่บ้านมณีแก้ว-21080</v>
      </c>
      <c r="AG324" s="3" t="str">
        <f>IFERROR(__xludf.DUMMYFUNCTION("""COMPUTED_VALUE"""),"ตะวันออก")</f>
        <v>ตะวันออก</v>
      </c>
      <c r="AH324" s="3" t="str">
        <f>IFERROR(__xludf.DUMMYFUNCTION("""COMPUTED_VALUE"""),"#N/A")</f>
        <v>#N/A</v>
      </c>
      <c r="AI324" s="3" t="str">
        <f>IFERROR(__xludf.DUMMYFUNCTION("""COMPUTED_VALUE"""),"Out of warranty")</f>
        <v>Out of warranty</v>
      </c>
      <c r="AJ324" s="3">
        <f>IFERROR(__xludf.DUMMYFUNCTION("""COMPUTED_VALUE"""),162.0)</f>
        <v>162</v>
      </c>
      <c r="AK324" s="3" t="str">
        <f>IFERROR(__xludf.DUMMYFUNCTION("""COMPUTED_VALUE"""),"MMS06")</f>
        <v>MMS06</v>
      </c>
      <c r="AL324" s="3"/>
    </row>
    <row r="325" ht="15.75" customHeight="1">
      <c r="A325" s="1" t="str">
        <f>IFERROR(__xludf.DUMMYFUNCTION("""COMPUTED_VALUE"""),"21081")</f>
        <v>21081</v>
      </c>
      <c r="B325" s="2">
        <f>IFERROR(__xludf.DUMMYFUNCTION("""COMPUTED_VALUE"""),21081.0)</f>
        <v>21081</v>
      </c>
      <c r="C325" s="3" t="str">
        <f>IFERROR(__xludf.DUMMYFUNCTION("""COMPUTED_VALUE"""),"MBC เกษตรรวมใจ")</f>
        <v>MBC เกษตรรวมใจ</v>
      </c>
      <c r="D325" s="3" t="str">
        <f>IFERROR(__xludf.DUMMYFUNCTION("""COMPUTED_VALUE"""),"BCM KASET RUAMJAI")</f>
        <v>BCM KASET RUAMJAI</v>
      </c>
      <c r="E325" s="1" t="str">
        <f>IFERROR(__xludf.DUMMYFUNCTION("""COMPUTED_VALUE"""),"บิ๊กซี MINI")</f>
        <v>บิ๊กซี MINI</v>
      </c>
      <c r="F325" s="1" t="str">
        <f>IFERROR(__xludf.DUMMYFUNCTION("""COMPUTED_VALUE"""),"221716")</f>
        <v>221716</v>
      </c>
      <c r="G325" s="1" t="str">
        <f>IFERROR(__xludf.DUMMYFUNCTION("""COMPUTED_VALUE"""),"น.ส.เบญจพร โพธิสาร")</f>
        <v>น.ส.เบญจพร โพธิสาร</v>
      </c>
      <c r="H325" s="1" t="str">
        <f>IFERROR(__xludf.DUMMYFUNCTION("""COMPUTED_VALUE"""),"291061")</f>
        <v>291061</v>
      </c>
      <c r="I325" s="1" t="str">
        <f>IFERROR(__xludf.DUMMYFUNCTION("""COMPUTED_VALUE"""),"นายสมศักดิ์ เสียงก้อง")</f>
        <v>นายสมศักดิ์ เสียงก้อง</v>
      </c>
      <c r="J325" s="3">
        <f>IFERROR(__xludf.DUMMYFUNCTION("""COMPUTED_VALUE"""),296942.0)</f>
        <v>296942</v>
      </c>
      <c r="K325" s="3" t="str">
        <f>IFERROR(__xludf.DUMMYFUNCTION("""COMPUTED_VALUE"""),"นายปิยะ รักษากิจ")</f>
        <v>นายปิยะ รักษากิจ</v>
      </c>
      <c r="L325" s="1" t="str">
        <f>IFERROR(__xludf.DUMMYFUNCTION("""COMPUTED_VALUE"""),"07 K.Piya R.")</f>
        <v>07 K.Piya R.</v>
      </c>
      <c r="M325" s="1" t="str">
        <f>IFERROR(__xludf.DUMMYFUNCTION("""COMPUTED_VALUE"""),"097-919-5476")</f>
        <v>097-919-5476</v>
      </c>
      <c r="N325" s="3">
        <f>IFERROR(__xludf.DUMMYFUNCTION("""COMPUTED_VALUE"""),21332.0)</f>
        <v>21332</v>
      </c>
      <c r="O325" s="3" t="str">
        <f>IFERROR(__xludf.DUMMYFUNCTION("""COMPUTED_VALUE"""),"MBC BCP อ่อนนุช 17/1")</f>
        <v>MBC BCP อ่อนนุช 17/1</v>
      </c>
      <c r="P325" s="4">
        <f>IFERROR(__xludf.DUMMYFUNCTION("""COMPUTED_VALUE"""),41112.0)</f>
        <v>41112</v>
      </c>
      <c r="Q325" s="3" t="str">
        <f>IFERROR(__xludf.DUMMYFUNCTION("""COMPUTED_VALUE"""),"A")</f>
        <v>A</v>
      </c>
      <c r="R325" s="3" t="str">
        <f>IFERROR(__xludf.DUMMYFUNCTION("""COMPUTED_VALUE"""),"Small Format")</f>
        <v>Small Format</v>
      </c>
      <c r="S325" s="3" t="str">
        <f>IFERROR(__xludf.DUMMYFUNCTION("""COMPUTED_VALUE"""),"BCM")</f>
        <v>BCM</v>
      </c>
      <c r="T325" s="3" t="str">
        <f>IFERROR(__xludf.DUMMYFUNCTION("""COMPUTED_VALUE"""),"#N/A")</f>
        <v>#N/A</v>
      </c>
      <c r="U325" s="3" t="str">
        <f>IFERROR(__xludf.DUMMYFUNCTION("""COMPUTED_VALUE"""),"#N/A")</f>
        <v>#N/A</v>
      </c>
      <c r="V325" s="3" t="str">
        <f>IFERROR(__xludf.DUMMYFUNCTION("""COMPUTED_VALUE"""),"N")</f>
        <v>N</v>
      </c>
      <c r="W325" s="3">
        <f>IFERROR(__xludf.DUMMYFUNCTION("""COMPUTED_VALUE"""),211074.0)</f>
        <v>211074</v>
      </c>
      <c r="X325" s="3" t="str">
        <f>IFERROR(__xludf.DUMMYFUNCTION("""COMPUTED_VALUE"""),"888/30 หมู่ 2 ตำบลทุ่งสุขลา อำเภอศรีราชา จังหวัดชลบุรี 20230")</f>
        <v>888/30 หมู่ 2 ตำบลทุ่งสุขลา อำเภอศรีราชา จังหวัดชลบุรี 20230</v>
      </c>
      <c r="Y325" s="3"/>
      <c r="Z325" s="3" t="str">
        <f>IFERROR(__xludf.DUMMYFUNCTION("""COMPUTED_VALUE"""),"ทุ่งสุขลา")</f>
        <v>ทุ่งสุขลา</v>
      </c>
      <c r="AA325" s="3" t="str">
        <f>IFERROR(__xludf.DUMMYFUNCTION("""COMPUTED_VALUE"""),"ศรีราชา")</f>
        <v>ศรีราชา</v>
      </c>
      <c r="AB325" s="3" t="str">
        <f>IFERROR(__xludf.DUMMYFUNCTION("""COMPUTED_VALUE"""),"ชลบุรี")</f>
        <v>ชลบุรี</v>
      </c>
      <c r="AC325" s="3">
        <f>IFERROR(__xludf.DUMMYFUNCTION("""COMPUTED_VALUE"""),20230.0)</f>
        <v>20230</v>
      </c>
      <c r="AD325" s="3">
        <f>IFERROR(__xludf.DUMMYFUNCTION("""COMPUTED_VALUE"""),13.105687)</f>
        <v>13.105687</v>
      </c>
      <c r="AE325" s="3">
        <f>IFERROR(__xludf.DUMMYFUNCTION("""COMPUTED_VALUE"""),100.907921)</f>
        <v>100.907921</v>
      </c>
      <c r="AF325" s="3" t="str">
        <f>IFERROR(__xludf.DUMMYFUNCTION("""COMPUTED_VALUE"""),"MBC เกษตรรวมใจ-21081")</f>
        <v>MBC เกษตรรวมใจ-21081</v>
      </c>
      <c r="AG325" s="3" t="str">
        <f>IFERROR(__xludf.DUMMYFUNCTION("""COMPUTED_VALUE"""),"ตะวันออก")</f>
        <v>ตะวันออก</v>
      </c>
      <c r="AH325" s="3" t="str">
        <f>IFERROR(__xludf.DUMMYFUNCTION("""COMPUTED_VALUE"""),"#N/A")</f>
        <v>#N/A</v>
      </c>
      <c r="AI325" s="3" t="str">
        <f>IFERROR(__xludf.DUMMYFUNCTION("""COMPUTED_VALUE"""),"Out of warranty")</f>
        <v>Out of warranty</v>
      </c>
      <c r="AJ325" s="3">
        <f>IFERROR(__xludf.DUMMYFUNCTION("""COMPUTED_VALUE"""),162.0)</f>
        <v>162</v>
      </c>
      <c r="AK325" s="3" t="str">
        <f>IFERROR(__xludf.DUMMYFUNCTION("""COMPUTED_VALUE"""),"MMS06")</f>
        <v>MMS06</v>
      </c>
      <c r="AL325" s="3"/>
    </row>
    <row r="326" ht="15.75" customHeight="1">
      <c r="A326" s="1" t="str">
        <f>IFERROR(__xludf.DUMMYFUNCTION("""COMPUTED_VALUE"""),"21082")</f>
        <v>21082</v>
      </c>
      <c r="B326" s="2">
        <f>IFERROR(__xludf.DUMMYFUNCTION("""COMPUTED_VALUE"""),21082.0)</f>
        <v>21082</v>
      </c>
      <c r="C326" s="3" t="str">
        <f>IFERROR(__xludf.DUMMYFUNCTION("""COMPUTED_VALUE"""),"ลาดพร้าว101(2)")</f>
        <v>ลาดพร้าว101(2)</v>
      </c>
      <c r="D326" s="3" t="str">
        <f>IFERROR(__xludf.DUMMYFUNCTION("""COMPUTED_VALUE"""),"MBC LADPRAO101(2)")</f>
        <v>MBC LADPRAO101(2)</v>
      </c>
      <c r="E326" s="1" t="str">
        <f>IFERROR(__xludf.DUMMYFUNCTION("""COMPUTED_VALUE"""),"บิ๊กซี MINI")</f>
        <v>บิ๊กซี MINI</v>
      </c>
      <c r="F326" s="1" t="str">
        <f>IFERROR(__xludf.DUMMYFUNCTION("""COMPUTED_VALUE"""),"291008")</f>
        <v>291008</v>
      </c>
      <c r="G326" s="1" t="str">
        <f>IFERROR(__xludf.DUMMYFUNCTION("""COMPUTED_VALUE"""),"น.ส.รัชดาพร อีศรัตน์")</f>
        <v>น.ส.รัชดาพร อีศรัตน์</v>
      </c>
      <c r="H326" s="1" t="str">
        <f>IFERROR(__xludf.DUMMYFUNCTION("""COMPUTED_VALUE"""),"034068")</f>
        <v>034068</v>
      </c>
      <c r="I326" s="1" t="str">
        <f>IFERROR(__xludf.DUMMYFUNCTION("""COMPUTED_VALUE"""),"นายสมศักดิ์ ฐานทองดี")</f>
        <v>นายสมศักดิ์ ฐานทองดี</v>
      </c>
      <c r="J326" s="3">
        <f>IFERROR(__xludf.DUMMYFUNCTION("""COMPUTED_VALUE"""),3510104.0)</f>
        <v>3510104</v>
      </c>
      <c r="K326" s="3" t="str">
        <f>IFERROR(__xludf.DUMMYFUNCTION("""COMPUTED_VALUE"""),"นายวิโรจน์ อับดุลสมัด")</f>
        <v>นายวิโรจน์ อับดุลสมัด</v>
      </c>
      <c r="L326" s="1" t="str">
        <f>IFERROR(__xludf.DUMMYFUNCTION("""COMPUTED_VALUE"""),"09 K.Wirode A")</f>
        <v>09 K.Wirode A</v>
      </c>
      <c r="M326" s="1" t="str">
        <f>IFERROR(__xludf.DUMMYFUNCTION("""COMPUTED_VALUE"""),"080-235-4465")</f>
        <v>080-235-4465</v>
      </c>
      <c r="N326" s="3">
        <f>IFERROR(__xludf.DUMMYFUNCTION("""COMPUTED_VALUE"""),21324.0)</f>
        <v>21324</v>
      </c>
      <c r="O326" s="3" t="str">
        <f>IFERROR(__xludf.DUMMYFUNCTION("""COMPUTED_VALUE"""),"MBC BCP สุวินทวงศ์")</f>
        <v>MBC BCP สุวินทวงศ์</v>
      </c>
      <c r="P326" s="4">
        <f>IFERROR(__xludf.DUMMYFUNCTION("""COMPUTED_VALUE"""),41121.0)</f>
        <v>41121</v>
      </c>
      <c r="Q326" s="3" t="str">
        <f>IFERROR(__xludf.DUMMYFUNCTION("""COMPUTED_VALUE"""),"I")</f>
        <v>I</v>
      </c>
      <c r="R326" s="3" t="str">
        <f>IFERROR(__xludf.DUMMYFUNCTION("""COMPUTED_VALUE"""),"Small Format")</f>
        <v>Small Format</v>
      </c>
      <c r="S326" s="3" t="str">
        <f>IFERROR(__xludf.DUMMYFUNCTION("""COMPUTED_VALUE"""),"BCM")</f>
        <v>BCM</v>
      </c>
      <c r="T326" s="3" t="str">
        <f>IFERROR(__xludf.DUMMYFUNCTION("""COMPUTED_VALUE"""),"#N/A")</f>
        <v>#N/A</v>
      </c>
      <c r="U326" s="3" t="str">
        <f>IFERROR(__xludf.DUMMYFUNCTION("""COMPUTED_VALUE"""),"#N/A")</f>
        <v>#N/A</v>
      </c>
      <c r="V326" s="3" t="str">
        <f>IFERROR(__xludf.DUMMYFUNCTION("""COMPUTED_VALUE"""),"N")</f>
        <v>N</v>
      </c>
      <c r="W326" s="3">
        <f>IFERROR(__xludf.DUMMYFUNCTION("""COMPUTED_VALUE"""),0.0)</f>
        <v>0</v>
      </c>
      <c r="X326" s="3" t="str">
        <f>IFERROR(__xludf.DUMMYFUNCTION("""COMPUTED_VALUE"""),"3,5,7 ซอยลาดพร้าว101 แขวงวังทองหลาง เขตวังทองหลาง กรุงเทพฯ 10310")</f>
        <v>3,5,7 ซอยลาดพร้าว101 แขวงวังทองหลาง เขตวังทองหลาง กรุงเทพฯ 10310</v>
      </c>
      <c r="Y326" s="3" t="str">
        <f>IFERROR(__xludf.DUMMYFUNCTION("""COMPUTED_VALUE"""),"ซอยลาดพร้าว101")</f>
        <v>ซอยลาดพร้าว101</v>
      </c>
      <c r="Z326" s="3" t="str">
        <f>IFERROR(__xludf.DUMMYFUNCTION("""COMPUTED_VALUE"""),"วังทองหลาง")</f>
        <v>วังทองหลาง</v>
      </c>
      <c r="AA326" s="3" t="str">
        <f>IFERROR(__xludf.DUMMYFUNCTION("""COMPUTED_VALUE"""),"วังทองหลาง")</f>
        <v>วังทองหลาง</v>
      </c>
      <c r="AB326" s="3" t="str">
        <f>IFERROR(__xludf.DUMMYFUNCTION("""COMPUTED_VALUE"""),"กรุงเทพมหานคร")</f>
        <v>กรุงเทพมหานคร</v>
      </c>
      <c r="AC326" s="3">
        <f>IFERROR(__xludf.DUMMYFUNCTION("""COMPUTED_VALUE"""),10310.0)</f>
        <v>10310</v>
      </c>
      <c r="AD326" s="3" t="str">
        <f>IFERROR(__xludf.DUMMYFUNCTION("""COMPUTED_VALUE"""),"#N/A")</f>
        <v>#N/A</v>
      </c>
      <c r="AE326" s="3" t="str">
        <f>IFERROR(__xludf.DUMMYFUNCTION("""COMPUTED_VALUE"""),"#N/A")</f>
        <v>#N/A</v>
      </c>
      <c r="AF326" s="3" t="str">
        <f>IFERROR(__xludf.DUMMYFUNCTION("""COMPUTED_VALUE"""),"ลาดพร้าว101(2)-21082")</f>
        <v>ลาดพร้าว101(2)-21082</v>
      </c>
      <c r="AG326" s="3" t="str">
        <f>IFERROR(__xludf.DUMMYFUNCTION("""COMPUTED_VALUE"""),"กลาง")</f>
        <v>กลาง</v>
      </c>
      <c r="AH326" s="3" t="str">
        <f>IFERROR(__xludf.DUMMYFUNCTION("""COMPUTED_VALUE"""),"#N/A")</f>
        <v>#N/A</v>
      </c>
      <c r="AI326" s="3" t="str">
        <f>IFERROR(__xludf.DUMMYFUNCTION("""COMPUTED_VALUE"""),"Out of warranty")</f>
        <v>Out of warranty</v>
      </c>
      <c r="AJ326" s="3">
        <f>IFERROR(__xludf.DUMMYFUNCTION("""COMPUTED_VALUE"""),162.0)</f>
        <v>162</v>
      </c>
      <c r="AK326" s="3"/>
      <c r="AL326" s="3"/>
    </row>
    <row r="327" ht="15.75" customHeight="1">
      <c r="A327" s="1" t="str">
        <f>IFERROR(__xludf.DUMMYFUNCTION("""COMPUTED_VALUE"""),"21083")</f>
        <v>21083</v>
      </c>
      <c r="B327" s="2">
        <f>IFERROR(__xludf.DUMMYFUNCTION("""COMPUTED_VALUE"""),21083.0)</f>
        <v>21083</v>
      </c>
      <c r="C327" s="3" t="str">
        <f>IFERROR(__xludf.DUMMYFUNCTION("""COMPUTED_VALUE"""),"MBC นิคมบางปู")</f>
        <v>MBC นิคมบางปู</v>
      </c>
      <c r="D327" s="3" t="str">
        <f>IFERROR(__xludf.DUMMYFUNCTION("""COMPUTED_VALUE"""),"BCM NIKOMBANGPOO")</f>
        <v>BCM NIKOMBANGPOO</v>
      </c>
      <c r="E327" s="1" t="str">
        <f>IFERROR(__xludf.DUMMYFUNCTION("""COMPUTED_VALUE"""),"บิ๊กซี MINI")</f>
        <v>บิ๊กซี MINI</v>
      </c>
      <c r="F327" s="1" t="str">
        <f>IFERROR(__xludf.DUMMYFUNCTION("""COMPUTED_VALUE"""),"2083447")</f>
        <v>2083447</v>
      </c>
      <c r="G327" s="1" t="str">
        <f>IFERROR(__xludf.DUMMYFUNCTION("""COMPUTED_VALUE"""),"นายอนุกูล ศรีลัดดา")</f>
        <v>นายอนุกูล ศรีลัดดา</v>
      </c>
      <c r="H327" s="1" t="str">
        <f>IFERROR(__xludf.DUMMYFUNCTION("""COMPUTED_VALUE"""),"399107")</f>
        <v>399107</v>
      </c>
      <c r="I327" s="1" t="str">
        <f>IFERROR(__xludf.DUMMYFUNCTION("""COMPUTED_VALUE"""),"นายรัชระวี กลมแป้น")</f>
        <v>นายรัชระวี กลมแป้น</v>
      </c>
      <c r="J327" s="3">
        <f>IFERROR(__xludf.DUMMYFUNCTION("""COMPUTED_VALUE"""),510143.0)</f>
        <v>510143</v>
      </c>
      <c r="K327" s="3" t="str">
        <f>IFERROR(__xludf.DUMMYFUNCTION("""COMPUTED_VALUE"""),"นายธีระวัฒน์ บุญสิทธิ์")</f>
        <v>นายธีระวัฒน์ บุญสิทธิ์</v>
      </c>
      <c r="L327" s="1" t="str">
        <f>IFERROR(__xludf.DUMMYFUNCTION("""COMPUTED_VALUE"""),"12 K.Theerawat B.")</f>
        <v>12 K.Theerawat B.</v>
      </c>
      <c r="M327" s="1" t="str">
        <f>IFERROR(__xludf.DUMMYFUNCTION("""COMPUTED_VALUE"""),"0655107379")</f>
        <v>0655107379</v>
      </c>
      <c r="N327" s="3">
        <f>IFERROR(__xludf.DUMMYFUNCTION("""COMPUTED_VALUE"""),21062.0)</f>
        <v>21062</v>
      </c>
      <c r="O327" s="3" t="str">
        <f>IFERROR(__xludf.DUMMYFUNCTION("""COMPUTED_VALUE"""),"MBC นิคมนวนคร")</f>
        <v>MBC นิคมนวนคร</v>
      </c>
      <c r="P327" s="4">
        <f>IFERROR(__xludf.DUMMYFUNCTION("""COMPUTED_VALUE"""),41114.0)</f>
        <v>41114</v>
      </c>
      <c r="Q327" s="3" t="str">
        <f>IFERROR(__xludf.DUMMYFUNCTION("""COMPUTED_VALUE"""),"A")</f>
        <v>A</v>
      </c>
      <c r="R327" s="3" t="str">
        <f>IFERROR(__xludf.DUMMYFUNCTION("""COMPUTED_VALUE"""),"Small Format")</f>
        <v>Small Format</v>
      </c>
      <c r="S327" s="3" t="str">
        <f>IFERROR(__xludf.DUMMYFUNCTION("""COMPUTED_VALUE"""),"BCM")</f>
        <v>BCM</v>
      </c>
      <c r="T327" s="3" t="str">
        <f>IFERROR(__xludf.DUMMYFUNCTION("""COMPUTED_VALUE"""),"#N/A")</f>
        <v>#N/A</v>
      </c>
      <c r="U327" s="3" t="str">
        <f>IFERROR(__xludf.DUMMYFUNCTION("""COMPUTED_VALUE"""),"#N/A")</f>
        <v>#N/A</v>
      </c>
      <c r="V327" s="3" t="str">
        <f>IFERROR(__xludf.DUMMYFUNCTION("""COMPUTED_VALUE"""),"N")</f>
        <v>N</v>
      </c>
      <c r="W327" s="3">
        <f>IFERROR(__xludf.DUMMYFUNCTION("""COMPUTED_VALUE"""),211076.0)</f>
        <v>211076</v>
      </c>
      <c r="X327" s="3" t="str">
        <f>IFERROR(__xludf.DUMMYFUNCTION("""COMPUTED_VALUE"""),"548/3 หมู่ 6 ตำบลแพรกษา อำเภอเมืองสมุทรปราการ จังหวัดสมุทรปราการ 10280")</f>
        <v>548/3 หมู่ 6 ตำบลแพรกษา อำเภอเมืองสมุทรปราการ จังหวัดสมุทรปราการ 10280</v>
      </c>
      <c r="Y327" s="3"/>
      <c r="Z327" s="3" t="str">
        <f>IFERROR(__xludf.DUMMYFUNCTION("""COMPUTED_VALUE"""),"แพรกษา")</f>
        <v>แพรกษา</v>
      </c>
      <c r="AA327" s="3" t="str">
        <f>IFERROR(__xludf.DUMMYFUNCTION("""COMPUTED_VALUE"""),"เมืองสมุทรปราการ")</f>
        <v>เมืองสมุทรปราการ</v>
      </c>
      <c r="AB327" s="3" t="str">
        <f>IFERROR(__xludf.DUMMYFUNCTION("""COMPUTED_VALUE"""),"สมุทรปราการ")</f>
        <v>สมุทรปราการ</v>
      </c>
      <c r="AC327" s="3">
        <f>IFERROR(__xludf.DUMMYFUNCTION("""COMPUTED_VALUE"""),10280.0)</f>
        <v>10280</v>
      </c>
      <c r="AD327" s="3">
        <f>IFERROR(__xludf.DUMMYFUNCTION("""COMPUTED_VALUE"""),13.560541)</f>
        <v>13.560541</v>
      </c>
      <c r="AE327" s="3">
        <f>IFERROR(__xludf.DUMMYFUNCTION("""COMPUTED_VALUE"""),100.672077)</f>
        <v>100.672077</v>
      </c>
      <c r="AF327" s="3" t="str">
        <f>IFERROR(__xludf.DUMMYFUNCTION("""COMPUTED_VALUE"""),"MBC นิคมบางปู-21083")</f>
        <v>MBC นิคมบางปู-21083</v>
      </c>
      <c r="AG327" s="3" t="str">
        <f>IFERROR(__xludf.DUMMYFUNCTION("""COMPUTED_VALUE"""),"กลาง")</f>
        <v>กลาง</v>
      </c>
      <c r="AH327" s="3" t="str">
        <f>IFERROR(__xludf.DUMMYFUNCTION("""COMPUTED_VALUE"""),"#N/A")</f>
        <v>#N/A</v>
      </c>
      <c r="AI327" s="3" t="str">
        <f>IFERROR(__xludf.DUMMYFUNCTION("""COMPUTED_VALUE"""),"Out of warranty")</f>
        <v>Out of warranty</v>
      </c>
      <c r="AJ327" s="3">
        <f>IFERROR(__xludf.DUMMYFUNCTION("""COMPUTED_VALUE"""),162.0)</f>
        <v>162</v>
      </c>
      <c r="AK327" s="3" t="str">
        <f>IFERROR(__xludf.DUMMYFUNCTION("""COMPUTED_VALUE"""),"MMS03")</f>
        <v>MMS03</v>
      </c>
      <c r="AL327" s="3"/>
    </row>
    <row r="328" ht="15.75" customHeight="1">
      <c r="A328" s="1" t="str">
        <f>IFERROR(__xludf.DUMMYFUNCTION("""COMPUTED_VALUE"""),"21084")</f>
        <v>21084</v>
      </c>
      <c r="B328" s="2">
        <f>IFERROR(__xludf.DUMMYFUNCTION("""COMPUTED_VALUE"""),21084.0)</f>
        <v>21084</v>
      </c>
      <c r="C328" s="3" t="str">
        <f>IFERROR(__xludf.DUMMYFUNCTION("""COMPUTED_VALUE"""),"หมู่บ้านพฤกษชาติ")</f>
        <v>หมู่บ้านพฤกษชาติ</v>
      </c>
      <c r="D328" s="3" t="str">
        <f>IFERROR(__xludf.DUMMYFUNCTION("""COMPUTED_VALUE"""),"MBC MOOBANPRUEKSACHART")</f>
        <v>MBC MOOBANPRUEKSACHART</v>
      </c>
      <c r="E328" s="1" t="str">
        <f>IFERROR(__xludf.DUMMYFUNCTION("""COMPUTED_VALUE"""),"บิ๊กซี MINI")</f>
        <v>บิ๊กซี MINI</v>
      </c>
      <c r="F328" s="1" t="str">
        <f>IFERROR(__xludf.DUMMYFUNCTION("""COMPUTED_VALUE"""),"291008")</f>
        <v>291008</v>
      </c>
      <c r="G328" s="1" t="str">
        <f>IFERROR(__xludf.DUMMYFUNCTION("""COMPUTED_VALUE"""),"น.ส.รัชดาพร อีศรัตน์")</f>
        <v>น.ส.รัชดาพร อีศรัตน์</v>
      </c>
      <c r="H328" s="1" t="str">
        <f>IFERROR(__xludf.DUMMYFUNCTION("""COMPUTED_VALUE"""),"034068")</f>
        <v>034068</v>
      </c>
      <c r="I328" s="1" t="str">
        <f>IFERROR(__xludf.DUMMYFUNCTION("""COMPUTED_VALUE"""),"นายสมศักดิ์ ฐานทองดี")</f>
        <v>นายสมศักดิ์ ฐานทองดี</v>
      </c>
      <c r="J328" s="3">
        <f>IFERROR(__xludf.DUMMYFUNCTION("""COMPUTED_VALUE"""),3510104.0)</f>
        <v>3510104</v>
      </c>
      <c r="K328" s="3" t="str">
        <f>IFERROR(__xludf.DUMMYFUNCTION("""COMPUTED_VALUE"""),"นายวิโรจน์ อับดุลสมัด")</f>
        <v>นายวิโรจน์ อับดุลสมัด</v>
      </c>
      <c r="L328" s="1" t="str">
        <f>IFERROR(__xludf.DUMMYFUNCTION("""COMPUTED_VALUE"""),"09 K.Wirode A")</f>
        <v>09 K.Wirode A</v>
      </c>
      <c r="M328" s="1" t="str">
        <f>IFERROR(__xludf.DUMMYFUNCTION("""COMPUTED_VALUE"""),"080-235-4465")</f>
        <v>080-235-4465</v>
      </c>
      <c r="N328" s="3">
        <f>IFERROR(__xludf.DUMMYFUNCTION("""COMPUTED_VALUE"""),21324.0)</f>
        <v>21324</v>
      </c>
      <c r="O328" s="3" t="str">
        <f>IFERROR(__xludf.DUMMYFUNCTION("""COMPUTED_VALUE"""),"MBC BCP สุวินทวงศ์")</f>
        <v>MBC BCP สุวินทวงศ์</v>
      </c>
      <c r="P328" s="4">
        <f>IFERROR(__xludf.DUMMYFUNCTION("""COMPUTED_VALUE"""),41149.0)</f>
        <v>41149</v>
      </c>
      <c r="Q328" s="3" t="str">
        <f>IFERROR(__xludf.DUMMYFUNCTION("""COMPUTED_VALUE"""),"I")</f>
        <v>I</v>
      </c>
      <c r="R328" s="3" t="str">
        <f>IFERROR(__xludf.DUMMYFUNCTION("""COMPUTED_VALUE"""),"Small Format")</f>
        <v>Small Format</v>
      </c>
      <c r="S328" s="3" t="str">
        <f>IFERROR(__xludf.DUMMYFUNCTION("""COMPUTED_VALUE"""),"BCM")</f>
        <v>BCM</v>
      </c>
      <c r="T328" s="3" t="str">
        <f>IFERROR(__xludf.DUMMYFUNCTION("""COMPUTED_VALUE"""),"#N/A")</f>
        <v>#N/A</v>
      </c>
      <c r="U328" s="3" t="str">
        <f>IFERROR(__xludf.DUMMYFUNCTION("""COMPUTED_VALUE"""),"#N/A")</f>
        <v>#N/A</v>
      </c>
      <c r="V328" s="3" t="str">
        <f>IFERROR(__xludf.DUMMYFUNCTION("""COMPUTED_VALUE"""),"N")</f>
        <v>N</v>
      </c>
      <c r="W328" s="3">
        <f>IFERROR(__xludf.DUMMYFUNCTION("""COMPUTED_VALUE"""),0.0)</f>
        <v>0</v>
      </c>
      <c r="X328" s="3" t="str">
        <f>IFERROR(__xludf.DUMMYFUNCTION("""COMPUTED_VALUE"""),"1 ซอยรามคำแหง118 แขวงสะพานสูง เขตสะพานสูง กรุงเทพฯ 10240")</f>
        <v>1 ซอยรามคำแหง118 แขวงสะพานสูง เขตสะพานสูง กรุงเทพฯ 10240</v>
      </c>
      <c r="Y328" s="3" t="str">
        <f>IFERROR(__xludf.DUMMYFUNCTION("""COMPUTED_VALUE"""),"ซอยรามคำแหง118")</f>
        <v>ซอยรามคำแหง118</v>
      </c>
      <c r="Z328" s="3" t="str">
        <f>IFERROR(__xludf.DUMMYFUNCTION("""COMPUTED_VALUE"""),"สะพานสูง")</f>
        <v>สะพานสูง</v>
      </c>
      <c r="AA328" s="3" t="str">
        <f>IFERROR(__xludf.DUMMYFUNCTION("""COMPUTED_VALUE"""),"สะพานสูง")</f>
        <v>สะพานสูง</v>
      </c>
      <c r="AB328" s="3" t="str">
        <f>IFERROR(__xludf.DUMMYFUNCTION("""COMPUTED_VALUE"""),"กรุงเทพมหานคร")</f>
        <v>กรุงเทพมหานคร</v>
      </c>
      <c r="AC328" s="3">
        <f>IFERROR(__xludf.DUMMYFUNCTION("""COMPUTED_VALUE"""),10240.0)</f>
        <v>10240</v>
      </c>
      <c r="AD328" s="3" t="str">
        <f>IFERROR(__xludf.DUMMYFUNCTION("""COMPUTED_VALUE"""),"#N/A")</f>
        <v>#N/A</v>
      </c>
      <c r="AE328" s="3" t="str">
        <f>IFERROR(__xludf.DUMMYFUNCTION("""COMPUTED_VALUE"""),"#N/A")</f>
        <v>#N/A</v>
      </c>
      <c r="AF328" s="3" t="str">
        <f>IFERROR(__xludf.DUMMYFUNCTION("""COMPUTED_VALUE"""),"หมู่บ้านพฤกษชาติ-21084")</f>
        <v>หมู่บ้านพฤกษชาติ-21084</v>
      </c>
      <c r="AG328" s="3" t="str">
        <f>IFERROR(__xludf.DUMMYFUNCTION("""COMPUTED_VALUE"""),"กลาง")</f>
        <v>กลาง</v>
      </c>
      <c r="AH328" s="3" t="str">
        <f>IFERROR(__xludf.DUMMYFUNCTION("""COMPUTED_VALUE"""),"#N/A")</f>
        <v>#N/A</v>
      </c>
      <c r="AI328" s="3" t="str">
        <f>IFERROR(__xludf.DUMMYFUNCTION("""COMPUTED_VALUE"""),"Out of warranty")</f>
        <v>Out of warranty</v>
      </c>
      <c r="AJ328" s="3">
        <f>IFERROR(__xludf.DUMMYFUNCTION("""COMPUTED_VALUE"""),161.0)</f>
        <v>161</v>
      </c>
      <c r="AK328" s="3"/>
      <c r="AL328" s="3"/>
    </row>
    <row r="329" ht="15.75" customHeight="1">
      <c r="A329" s="1" t="str">
        <f>IFERROR(__xludf.DUMMYFUNCTION("""COMPUTED_VALUE"""),"21085")</f>
        <v>21085</v>
      </c>
      <c r="B329" s="2">
        <f>IFERROR(__xludf.DUMMYFUNCTION("""COMPUTED_VALUE"""),21085.0)</f>
        <v>21085</v>
      </c>
      <c r="C329" s="3" t="str">
        <f>IFERROR(__xludf.DUMMYFUNCTION("""COMPUTED_VALUE"""),"MBC ลาดพร้าว107")</f>
        <v>MBC ลาดพร้าว107</v>
      </c>
      <c r="D329" s="3" t="str">
        <f>IFERROR(__xludf.DUMMYFUNCTION("""COMPUTED_VALUE"""),"BCM LADPRAO107")</f>
        <v>BCM LADPRAO107</v>
      </c>
      <c r="E329" s="1" t="str">
        <f>IFERROR(__xludf.DUMMYFUNCTION("""COMPUTED_VALUE"""),"บิ๊กซี MINI")</f>
        <v>บิ๊กซี MINI</v>
      </c>
      <c r="F329" s="1" t="str">
        <f>IFERROR(__xludf.DUMMYFUNCTION("""COMPUTED_VALUE"""),"291008")</f>
        <v>291008</v>
      </c>
      <c r="G329" s="1" t="str">
        <f>IFERROR(__xludf.DUMMYFUNCTION("""COMPUTED_VALUE"""),"น.ส.รัชดาพร อีศรัตน์")</f>
        <v>น.ส.รัชดาพร อีศรัตน์</v>
      </c>
      <c r="H329" s="1" t="str">
        <f>IFERROR(__xludf.DUMMYFUNCTION("""COMPUTED_VALUE"""),"228242")</f>
        <v>228242</v>
      </c>
      <c r="I329" s="1" t="str">
        <f>IFERROR(__xludf.DUMMYFUNCTION("""COMPUTED_VALUE"""),"นายสมชาย เยมรัมย์")</f>
        <v>นายสมชาย เยมรัมย์</v>
      </c>
      <c r="J329" s="3">
        <f>IFERROR(__xludf.DUMMYFUNCTION("""COMPUTED_VALUE"""),3510104.0)</f>
        <v>3510104</v>
      </c>
      <c r="K329" s="3" t="str">
        <f>IFERROR(__xludf.DUMMYFUNCTION("""COMPUTED_VALUE"""),"นายวิโรจน์ อับดุลสมัด")</f>
        <v>นายวิโรจน์ อับดุลสมัด</v>
      </c>
      <c r="L329" s="1" t="str">
        <f>IFERROR(__xludf.DUMMYFUNCTION("""COMPUTED_VALUE"""),"09 K.Wirode A")</f>
        <v>09 K.Wirode A</v>
      </c>
      <c r="M329" s="1" t="str">
        <f>IFERROR(__xludf.DUMMYFUNCTION("""COMPUTED_VALUE"""),"080-235-4465")</f>
        <v>080-235-4465</v>
      </c>
      <c r="N329" s="3">
        <f>IFERROR(__xludf.DUMMYFUNCTION("""COMPUTED_VALUE"""),21324.0)</f>
        <v>21324</v>
      </c>
      <c r="O329" s="3" t="str">
        <f>IFERROR(__xludf.DUMMYFUNCTION("""COMPUTED_VALUE"""),"MBC BCP สุวินทวงศ์")</f>
        <v>MBC BCP สุวินทวงศ์</v>
      </c>
      <c r="P329" s="4">
        <f>IFERROR(__xludf.DUMMYFUNCTION("""COMPUTED_VALUE"""),41142.0)</f>
        <v>41142</v>
      </c>
      <c r="Q329" s="3" t="str">
        <f>IFERROR(__xludf.DUMMYFUNCTION("""COMPUTED_VALUE"""),"A")</f>
        <v>A</v>
      </c>
      <c r="R329" s="3" t="str">
        <f>IFERROR(__xludf.DUMMYFUNCTION("""COMPUTED_VALUE"""),"Small Format")</f>
        <v>Small Format</v>
      </c>
      <c r="S329" s="3" t="str">
        <f>IFERROR(__xludf.DUMMYFUNCTION("""COMPUTED_VALUE"""),"BCM")</f>
        <v>BCM</v>
      </c>
      <c r="T329" s="3" t="str">
        <f>IFERROR(__xludf.DUMMYFUNCTION("""COMPUTED_VALUE"""),"#N/A")</f>
        <v>#N/A</v>
      </c>
      <c r="U329" s="3" t="str">
        <f>IFERROR(__xludf.DUMMYFUNCTION("""COMPUTED_VALUE"""),"#N/A")</f>
        <v>#N/A</v>
      </c>
      <c r="V329" s="3" t="str">
        <f>IFERROR(__xludf.DUMMYFUNCTION("""COMPUTED_VALUE"""),"N")</f>
        <v>N</v>
      </c>
      <c r="W329" s="3">
        <f>IFERROR(__xludf.DUMMYFUNCTION("""COMPUTED_VALUE"""),211079.0)</f>
        <v>211079</v>
      </c>
      <c r="X329" s="3" t="str">
        <f>IFERROR(__xludf.DUMMYFUNCTION("""COMPUTED_VALUE"""),"334/11-13 ซอยลาดพร้าว107(ดีสมโชค) แขวงคลองจั่น เขตบางกะปิ กรุงเทพฯ 10240")</f>
        <v>334/11-13 ซอยลาดพร้าว107(ดีสมโชค) แขวงคลองจั่น เขตบางกะปิ กรุงเทพฯ 10240</v>
      </c>
      <c r="Y329" s="3" t="str">
        <f>IFERROR(__xludf.DUMMYFUNCTION("""COMPUTED_VALUE"""),"ซอยลาดพร้าว107(ดีสมโชค)")</f>
        <v>ซอยลาดพร้าว107(ดีสมโชค)</v>
      </c>
      <c r="Z329" s="3" t="str">
        <f>IFERROR(__xludf.DUMMYFUNCTION("""COMPUTED_VALUE"""),"คลองจั่น")</f>
        <v>คลองจั่น</v>
      </c>
      <c r="AA329" s="3" t="str">
        <f>IFERROR(__xludf.DUMMYFUNCTION("""COMPUTED_VALUE"""),"บางกะปิ")</f>
        <v>บางกะปิ</v>
      </c>
      <c r="AB329" s="3" t="str">
        <f>IFERROR(__xludf.DUMMYFUNCTION("""COMPUTED_VALUE"""),"กรุงเทพมหานคร")</f>
        <v>กรุงเทพมหานคร</v>
      </c>
      <c r="AC329" s="3">
        <f>IFERROR(__xludf.DUMMYFUNCTION("""COMPUTED_VALUE"""),10240.0)</f>
        <v>10240</v>
      </c>
      <c r="AD329" s="3">
        <f>IFERROR(__xludf.DUMMYFUNCTION("""COMPUTED_VALUE"""),13.780996)</f>
        <v>13.780996</v>
      </c>
      <c r="AE329" s="3">
        <f>IFERROR(__xludf.DUMMYFUNCTION("""COMPUTED_VALUE"""),100.637321)</f>
        <v>100.637321</v>
      </c>
      <c r="AF329" s="3" t="str">
        <f>IFERROR(__xludf.DUMMYFUNCTION("""COMPUTED_VALUE"""),"MBC ลาดพร้าว107-21085")</f>
        <v>MBC ลาดพร้าว107-21085</v>
      </c>
      <c r="AG329" s="3" t="str">
        <f>IFERROR(__xludf.DUMMYFUNCTION("""COMPUTED_VALUE"""),"กลาง")</f>
        <v>กลาง</v>
      </c>
      <c r="AH329" s="3" t="str">
        <f>IFERROR(__xludf.DUMMYFUNCTION("""COMPUTED_VALUE"""),"#N/A")</f>
        <v>#N/A</v>
      </c>
      <c r="AI329" s="3" t="str">
        <f>IFERROR(__xludf.DUMMYFUNCTION("""COMPUTED_VALUE"""),"Out of warranty")</f>
        <v>Out of warranty</v>
      </c>
      <c r="AJ329" s="3">
        <f>IFERROR(__xludf.DUMMYFUNCTION("""COMPUTED_VALUE"""),161.0)</f>
        <v>161</v>
      </c>
      <c r="AK329" s="3" t="str">
        <f>IFERROR(__xludf.DUMMYFUNCTION("""COMPUTED_VALUE"""),"MMS03")</f>
        <v>MMS03</v>
      </c>
      <c r="AL329" s="3"/>
    </row>
    <row r="330" ht="15.75" customHeight="1">
      <c r="A330" s="1" t="str">
        <f>IFERROR(__xludf.DUMMYFUNCTION("""COMPUTED_VALUE"""),"21086")</f>
        <v>21086</v>
      </c>
      <c r="B330" s="2">
        <f>IFERROR(__xludf.DUMMYFUNCTION("""COMPUTED_VALUE"""),21086.0)</f>
        <v>21086</v>
      </c>
      <c r="C330" s="3" t="str">
        <f>IFERROR(__xludf.DUMMYFUNCTION("""COMPUTED_VALUE"""),"MBC แฟมิลี่แลนด์")</f>
        <v>MBC แฟมิลี่แลนด์</v>
      </c>
      <c r="D330" s="3" t="str">
        <f>IFERROR(__xludf.DUMMYFUNCTION("""COMPUTED_VALUE"""),"BCM FAMILY LAND")</f>
        <v>BCM FAMILY LAND</v>
      </c>
      <c r="E330" s="1" t="str">
        <f>IFERROR(__xludf.DUMMYFUNCTION("""COMPUTED_VALUE"""),"บิ๊กซี MINI")</f>
        <v>บิ๊กซี MINI</v>
      </c>
      <c r="F330" s="1" t="str">
        <f>IFERROR(__xludf.DUMMYFUNCTION("""COMPUTED_VALUE"""),"221716")</f>
        <v>221716</v>
      </c>
      <c r="G330" s="1" t="str">
        <f>IFERROR(__xludf.DUMMYFUNCTION("""COMPUTED_VALUE"""),"น.ส.เบญจพร โพธิสาร")</f>
        <v>น.ส.เบญจพร โพธิสาร</v>
      </c>
      <c r="H330" s="1" t="str">
        <f>IFERROR(__xludf.DUMMYFUNCTION("""COMPUTED_VALUE"""),"034605")</f>
        <v>034605</v>
      </c>
      <c r="I330" s="1" t="str">
        <f>IFERROR(__xludf.DUMMYFUNCTION("""COMPUTED_VALUE"""),"นายธรรมรัตน์ สุขเจริญ")</f>
        <v>นายธรรมรัตน์ สุขเจริญ</v>
      </c>
      <c r="J330" s="3">
        <f>IFERROR(__xludf.DUMMYFUNCTION("""COMPUTED_VALUE"""),1.3461215E7)</f>
        <v>13461215</v>
      </c>
      <c r="K330" s="3" t="str">
        <f>IFERROR(__xludf.DUMMYFUNCTION("""COMPUTED_VALUE"""),"นายธีรภัทร สังข์เงิน")</f>
        <v>นายธีรภัทร สังข์เงิน</v>
      </c>
      <c r="L330" s="1" t="str">
        <f>IFERROR(__xludf.DUMMYFUNCTION("""COMPUTED_VALUE"""),"06 K.Teerapat")</f>
        <v>06 K.Teerapat</v>
      </c>
      <c r="M330" s="1" t="str">
        <f>IFERROR(__xludf.DUMMYFUNCTION("""COMPUTED_VALUE"""),"063-601-6803")</f>
        <v>063-601-6803</v>
      </c>
      <c r="N330" s="3">
        <f>IFERROR(__xludf.DUMMYFUNCTION("""COMPUTED_VALUE"""),22115.0)</f>
        <v>22115</v>
      </c>
      <c r="O330" s="3" t="str">
        <f>IFERROR(__xludf.DUMMYFUNCTION("""COMPUTED_VALUE"""),"MBC เลี่ยงหนองมน ชลบุรี")</f>
        <v>MBC เลี่ยงหนองมน ชลบุรี</v>
      </c>
      <c r="P330" s="4">
        <f>IFERROR(__xludf.DUMMYFUNCTION("""COMPUTED_VALUE"""),41139.0)</f>
        <v>41139</v>
      </c>
      <c r="Q330" s="3" t="str">
        <f>IFERROR(__xludf.DUMMYFUNCTION("""COMPUTED_VALUE"""),"A")</f>
        <v>A</v>
      </c>
      <c r="R330" s="3" t="str">
        <f>IFERROR(__xludf.DUMMYFUNCTION("""COMPUTED_VALUE"""),"Small Format")</f>
        <v>Small Format</v>
      </c>
      <c r="S330" s="3" t="str">
        <f>IFERROR(__xludf.DUMMYFUNCTION("""COMPUTED_VALUE"""),"BCM")</f>
        <v>BCM</v>
      </c>
      <c r="T330" s="3" t="str">
        <f>IFERROR(__xludf.DUMMYFUNCTION("""COMPUTED_VALUE"""),"#N/A")</f>
        <v>#N/A</v>
      </c>
      <c r="U330" s="3" t="str">
        <f>IFERROR(__xludf.DUMMYFUNCTION("""COMPUTED_VALUE"""),"#N/A")</f>
        <v>#N/A</v>
      </c>
      <c r="V330" s="3" t="str">
        <f>IFERROR(__xludf.DUMMYFUNCTION("""COMPUTED_VALUE"""),"N")</f>
        <v>N</v>
      </c>
      <c r="W330" s="3">
        <f>IFERROR(__xludf.DUMMYFUNCTION("""COMPUTED_VALUE"""),211078.0)</f>
        <v>211078</v>
      </c>
      <c r="X330" s="3" t="str">
        <f>IFERROR(__xludf.DUMMYFUNCTION("""COMPUTED_VALUE"""),"9/102 หมู่ 12 ตำบลนาป่า อำเภอเมืองชลบุรี จังหวัดชลบุรี 20000")</f>
        <v>9/102 หมู่ 12 ตำบลนาป่า อำเภอเมืองชลบุรี จังหวัดชลบุรี 20000</v>
      </c>
      <c r="Y330" s="3"/>
      <c r="Z330" s="3" t="str">
        <f>IFERROR(__xludf.DUMMYFUNCTION("""COMPUTED_VALUE"""),"นาป่า")</f>
        <v>นาป่า</v>
      </c>
      <c r="AA330" s="3" t="str">
        <f>IFERROR(__xludf.DUMMYFUNCTION("""COMPUTED_VALUE"""),"เมือง")</f>
        <v>เมือง</v>
      </c>
      <c r="AB330" s="3" t="str">
        <f>IFERROR(__xludf.DUMMYFUNCTION("""COMPUTED_VALUE"""),"ชลบุรี")</f>
        <v>ชลบุรี</v>
      </c>
      <c r="AC330" s="3">
        <f>IFERROR(__xludf.DUMMYFUNCTION("""COMPUTED_VALUE"""),20000.0)</f>
        <v>20000</v>
      </c>
      <c r="AD330" s="3">
        <f>IFERROR(__xludf.DUMMYFUNCTION("""COMPUTED_VALUE"""),13.407028)</f>
        <v>13.407028</v>
      </c>
      <c r="AE330" s="3">
        <f>IFERROR(__xludf.DUMMYFUNCTION("""COMPUTED_VALUE"""),101.028512)</f>
        <v>101.028512</v>
      </c>
      <c r="AF330" s="3" t="str">
        <f>IFERROR(__xludf.DUMMYFUNCTION("""COMPUTED_VALUE"""),"MBC แฟมิลี่แลนด์-21086")</f>
        <v>MBC แฟมิลี่แลนด์-21086</v>
      </c>
      <c r="AG330" s="3" t="str">
        <f>IFERROR(__xludf.DUMMYFUNCTION("""COMPUTED_VALUE"""),"ตะวันออก")</f>
        <v>ตะวันออก</v>
      </c>
      <c r="AH330" s="3" t="str">
        <f>IFERROR(__xludf.DUMMYFUNCTION("""COMPUTED_VALUE"""),"#N/A")</f>
        <v>#N/A</v>
      </c>
      <c r="AI330" s="3" t="str">
        <f>IFERROR(__xludf.DUMMYFUNCTION("""COMPUTED_VALUE"""),"Out of warranty")</f>
        <v>Out of warranty</v>
      </c>
      <c r="AJ330" s="3">
        <f>IFERROR(__xludf.DUMMYFUNCTION("""COMPUTED_VALUE"""),162.0)</f>
        <v>162</v>
      </c>
      <c r="AK330" s="3" t="str">
        <f>IFERROR(__xludf.DUMMYFUNCTION("""COMPUTED_VALUE"""),"MMS06")</f>
        <v>MMS06</v>
      </c>
      <c r="AL330" s="3"/>
    </row>
    <row r="331" ht="15.75" customHeight="1">
      <c r="A331" s="1" t="str">
        <f>IFERROR(__xludf.DUMMYFUNCTION("""COMPUTED_VALUE"""),"21087")</f>
        <v>21087</v>
      </c>
      <c r="B331" s="2">
        <f>IFERROR(__xludf.DUMMYFUNCTION("""COMPUTED_VALUE"""),21087.0)</f>
        <v>21087</v>
      </c>
      <c r="C331" s="3" t="str">
        <f>IFERROR(__xludf.DUMMYFUNCTION("""COMPUTED_VALUE"""),"MBC บางกระดี่")</f>
        <v>MBC บางกระดี่</v>
      </c>
      <c r="D331" s="3" t="str">
        <f>IFERROR(__xludf.DUMMYFUNCTION("""COMPUTED_VALUE"""),"BCM BANGKRADEE")</f>
        <v>BCM BANGKRADEE</v>
      </c>
      <c r="E331" s="1" t="str">
        <f>IFERROR(__xludf.DUMMYFUNCTION("""COMPUTED_VALUE"""),"บิ๊กซี MINI")</f>
        <v>บิ๊กซี MINI</v>
      </c>
      <c r="F331" s="1" t="str">
        <f>IFERROR(__xludf.DUMMYFUNCTION("""COMPUTED_VALUE"""),"291008")</f>
        <v>291008</v>
      </c>
      <c r="G331" s="1" t="str">
        <f>IFERROR(__xludf.DUMMYFUNCTION("""COMPUTED_VALUE"""),"น.ส.รัชดาพร อีศรัตน์")</f>
        <v>น.ส.รัชดาพร อีศรัตน์</v>
      </c>
      <c r="H331" s="1" t="str">
        <f>IFERROR(__xludf.DUMMYFUNCTION("""COMPUTED_VALUE"""),"254800")</f>
        <v>254800</v>
      </c>
      <c r="I331" s="1" t="str">
        <f>IFERROR(__xludf.DUMMYFUNCTION("""COMPUTED_VALUE"""),"น.ส.นัชมล กางกรณ์")</f>
        <v>น.ส.นัชมล กางกรณ์</v>
      </c>
      <c r="J331" s="3">
        <f>IFERROR(__xludf.DUMMYFUNCTION("""COMPUTED_VALUE"""),296608.0)</f>
        <v>296608</v>
      </c>
      <c r="K331" s="3" t="str">
        <f>IFERROR(__xludf.DUMMYFUNCTION("""COMPUTED_VALUE"""),"นายภาคภูมิ เพ็ชรนิล")</f>
        <v>นายภาคภูมิ เพ็ชรนิล</v>
      </c>
      <c r="L331" s="1" t="str">
        <f>IFERROR(__xludf.DUMMYFUNCTION("""COMPUTED_VALUE"""),"10 K.Phakphoom P.")</f>
        <v>10 K.Phakphoom P.</v>
      </c>
      <c r="M331" s="1" t="str">
        <f>IFERROR(__xludf.DUMMYFUNCTION("""COMPUTED_VALUE"""),"063-8955329")</f>
        <v>063-8955329</v>
      </c>
      <c r="N331" s="3">
        <f>IFERROR(__xludf.DUMMYFUNCTION("""COMPUTED_VALUE"""),22584.0)</f>
        <v>22584</v>
      </c>
      <c r="O331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331" s="4">
        <f>IFERROR(__xludf.DUMMYFUNCTION("""COMPUTED_VALUE"""),41150.0)</f>
        <v>41150</v>
      </c>
      <c r="Q331" s="3" t="str">
        <f>IFERROR(__xludf.DUMMYFUNCTION("""COMPUTED_VALUE"""),"A")</f>
        <v>A</v>
      </c>
      <c r="R331" s="3" t="str">
        <f>IFERROR(__xludf.DUMMYFUNCTION("""COMPUTED_VALUE"""),"Small Format")</f>
        <v>Small Format</v>
      </c>
      <c r="S331" s="3" t="str">
        <f>IFERROR(__xludf.DUMMYFUNCTION("""COMPUTED_VALUE"""),"BCM")</f>
        <v>BCM</v>
      </c>
      <c r="T331" s="3" t="str">
        <f>IFERROR(__xludf.DUMMYFUNCTION("""COMPUTED_VALUE"""),"#N/A")</f>
        <v>#N/A</v>
      </c>
      <c r="U331" s="3" t="str">
        <f>IFERROR(__xludf.DUMMYFUNCTION("""COMPUTED_VALUE"""),"#N/A")</f>
        <v>#N/A</v>
      </c>
      <c r="V331" s="3" t="str">
        <f>IFERROR(__xludf.DUMMYFUNCTION("""COMPUTED_VALUE"""),"N")</f>
        <v>N</v>
      </c>
      <c r="W331" s="3">
        <f>IFERROR(__xludf.DUMMYFUNCTION("""COMPUTED_VALUE"""),211082.0)</f>
        <v>211082</v>
      </c>
      <c r="X331" s="3" t="str">
        <f>IFERROR(__xludf.DUMMYFUNCTION("""COMPUTED_VALUE"""),"49 ถนนบางกระดี่ แขวงแสมดำ เขตบางขุนเทียน กรุงเทพฯ 10150")</f>
        <v>49 ถนนบางกระดี่ แขวงแสมดำ เขตบางขุนเทียน กรุงเทพฯ 10150</v>
      </c>
      <c r="Y331" s="3" t="str">
        <f>IFERROR(__xludf.DUMMYFUNCTION("""COMPUTED_VALUE"""),"ถนนบางกระดี่")</f>
        <v>ถนนบางกระดี่</v>
      </c>
      <c r="Z331" s="3" t="str">
        <f>IFERROR(__xludf.DUMMYFUNCTION("""COMPUTED_VALUE"""),"แสมดำ")</f>
        <v>แสมดำ</v>
      </c>
      <c r="AA331" s="3" t="str">
        <f>IFERROR(__xludf.DUMMYFUNCTION("""COMPUTED_VALUE"""),"บางขุนเทียน")</f>
        <v>บางขุนเทียน</v>
      </c>
      <c r="AB331" s="3" t="str">
        <f>IFERROR(__xludf.DUMMYFUNCTION("""COMPUTED_VALUE"""),"กรุงเทพมหานคร")</f>
        <v>กรุงเทพมหานคร</v>
      </c>
      <c r="AC331" s="3">
        <f>IFERROR(__xludf.DUMMYFUNCTION("""COMPUTED_VALUE"""),10150.0)</f>
        <v>10150</v>
      </c>
      <c r="AD331" s="3">
        <f>IFERROR(__xludf.DUMMYFUNCTION("""COMPUTED_VALUE"""),13.629477)</f>
        <v>13.629477</v>
      </c>
      <c r="AE331" s="3">
        <f>IFERROR(__xludf.DUMMYFUNCTION("""COMPUTED_VALUE"""),100.40019)</f>
        <v>100.40019</v>
      </c>
      <c r="AF331" s="3" t="str">
        <f>IFERROR(__xludf.DUMMYFUNCTION("""COMPUTED_VALUE"""),"MBC บางกระดี่-21087")</f>
        <v>MBC บางกระดี่-21087</v>
      </c>
      <c r="AG331" s="3" t="str">
        <f>IFERROR(__xludf.DUMMYFUNCTION("""COMPUTED_VALUE"""),"กลาง")</f>
        <v>กลาง</v>
      </c>
      <c r="AH331" s="3" t="str">
        <f>IFERROR(__xludf.DUMMYFUNCTION("""COMPUTED_VALUE"""),"#N/A")</f>
        <v>#N/A</v>
      </c>
      <c r="AI331" s="3" t="str">
        <f>IFERROR(__xludf.DUMMYFUNCTION("""COMPUTED_VALUE"""),"Out of warranty")</f>
        <v>Out of warranty</v>
      </c>
      <c r="AJ331" s="3">
        <f>IFERROR(__xludf.DUMMYFUNCTION("""COMPUTED_VALUE"""),161.0)</f>
        <v>161</v>
      </c>
      <c r="AK331" s="3" t="str">
        <f>IFERROR(__xludf.DUMMYFUNCTION("""COMPUTED_VALUE"""),"MMS05")</f>
        <v>MMS05</v>
      </c>
      <c r="AL331" s="3"/>
    </row>
    <row r="332" ht="15.75" customHeight="1">
      <c r="A332" s="1" t="str">
        <f>IFERROR(__xludf.DUMMYFUNCTION("""COMPUTED_VALUE"""),"21088")</f>
        <v>21088</v>
      </c>
      <c r="B332" s="2">
        <f>IFERROR(__xludf.DUMMYFUNCTION("""COMPUTED_VALUE"""),21088.0)</f>
        <v>21088</v>
      </c>
      <c r="C332" s="3" t="str">
        <f>IFERROR(__xludf.DUMMYFUNCTION("""COMPUTED_VALUE"""),"MBC เสือใหญ่อุทิศ")</f>
        <v>MBC เสือใหญ่อุทิศ</v>
      </c>
      <c r="D332" s="3" t="str">
        <f>IFERROR(__xludf.DUMMYFUNCTION("""COMPUTED_VALUE"""),"BCM SUAYAIUTIS")</f>
        <v>BCM SUAYAIUTIS</v>
      </c>
      <c r="E332" s="1" t="str">
        <f>IFERROR(__xludf.DUMMYFUNCTION("""COMPUTED_VALUE"""),"บิ๊กซี MINI")</f>
        <v>บิ๊กซี MINI</v>
      </c>
      <c r="F332" s="1" t="str">
        <f>IFERROR(__xludf.DUMMYFUNCTION("""COMPUTED_VALUE"""),"291008")</f>
        <v>291008</v>
      </c>
      <c r="G332" s="1" t="str">
        <f>IFERROR(__xludf.DUMMYFUNCTION("""COMPUTED_VALUE"""),"น.ส.รัชดาพร อีศรัตน์")</f>
        <v>น.ส.รัชดาพร อีศรัตน์</v>
      </c>
      <c r="H332" s="1" t="str">
        <f>IFERROR(__xludf.DUMMYFUNCTION("""COMPUTED_VALUE"""),"359002")</f>
        <v>359002</v>
      </c>
      <c r="I332" s="1" t="str">
        <f>IFERROR(__xludf.DUMMYFUNCTION("""COMPUTED_VALUE"""),"น.ส.นิตยา สมจิตร")</f>
        <v>น.ส.นิตยา สมจิตร</v>
      </c>
      <c r="J332" s="3">
        <f>IFERROR(__xludf.DUMMYFUNCTION("""COMPUTED_VALUE"""),3510104.0)</f>
        <v>3510104</v>
      </c>
      <c r="K332" s="3" t="str">
        <f>IFERROR(__xludf.DUMMYFUNCTION("""COMPUTED_VALUE"""),"นายวิโรจน์ อับดุลสมัด")</f>
        <v>นายวิโรจน์ อับดุลสมัด</v>
      </c>
      <c r="L332" s="1" t="str">
        <f>IFERROR(__xludf.DUMMYFUNCTION("""COMPUTED_VALUE"""),"09 K.Wirode A")</f>
        <v>09 K.Wirode A</v>
      </c>
      <c r="M332" s="1" t="str">
        <f>IFERROR(__xludf.DUMMYFUNCTION("""COMPUTED_VALUE"""),"080-235-4465")</f>
        <v>080-235-4465</v>
      </c>
      <c r="N332" s="3">
        <f>IFERROR(__xludf.DUMMYFUNCTION("""COMPUTED_VALUE"""),21324.0)</f>
        <v>21324</v>
      </c>
      <c r="O332" s="3" t="str">
        <f>IFERROR(__xludf.DUMMYFUNCTION("""COMPUTED_VALUE"""),"MBC BCP สุวินทวงศ์")</f>
        <v>MBC BCP สุวินทวงศ์</v>
      </c>
      <c r="P332" s="4">
        <f>IFERROR(__xludf.DUMMYFUNCTION("""COMPUTED_VALUE"""),41162.0)</f>
        <v>41162</v>
      </c>
      <c r="Q332" s="3" t="str">
        <f>IFERROR(__xludf.DUMMYFUNCTION("""COMPUTED_VALUE"""),"A")</f>
        <v>A</v>
      </c>
      <c r="R332" s="3" t="str">
        <f>IFERROR(__xludf.DUMMYFUNCTION("""COMPUTED_VALUE"""),"Small Format")</f>
        <v>Small Format</v>
      </c>
      <c r="S332" s="3" t="str">
        <f>IFERROR(__xludf.DUMMYFUNCTION("""COMPUTED_VALUE"""),"BCM")</f>
        <v>BCM</v>
      </c>
      <c r="T332" s="3" t="str">
        <f>IFERROR(__xludf.DUMMYFUNCTION("""COMPUTED_VALUE"""),"#N/A")</f>
        <v>#N/A</v>
      </c>
      <c r="U332" s="3" t="str">
        <f>IFERROR(__xludf.DUMMYFUNCTION("""COMPUTED_VALUE"""),"#N/A")</f>
        <v>#N/A</v>
      </c>
      <c r="V332" s="3" t="str">
        <f>IFERROR(__xludf.DUMMYFUNCTION("""COMPUTED_VALUE"""),"N")</f>
        <v>N</v>
      </c>
      <c r="W332" s="3">
        <f>IFERROR(__xludf.DUMMYFUNCTION("""COMPUTED_VALUE"""),211084.0)</f>
        <v>211084</v>
      </c>
      <c r="X332" s="3" t="str">
        <f>IFERROR(__xludf.DUMMYFUNCTION("""COMPUTED_VALUE"""),"15/276 ซอยเสือใหญ่อุทิศ แขวงจันทรเกษม เขตจตุจักร กรุงเทพฯ 10900")</f>
        <v>15/276 ซอยเสือใหญ่อุทิศ แขวงจันทรเกษม เขตจตุจักร กรุงเทพฯ 10900</v>
      </c>
      <c r="Y332" s="3" t="str">
        <f>IFERROR(__xludf.DUMMYFUNCTION("""COMPUTED_VALUE"""),"ซอยเสือใหญ่อุทิศ")</f>
        <v>ซอยเสือใหญ่อุทิศ</v>
      </c>
      <c r="Z332" s="3" t="str">
        <f>IFERROR(__xludf.DUMMYFUNCTION("""COMPUTED_VALUE"""),"จันทรเกษม")</f>
        <v>จันทรเกษม</v>
      </c>
      <c r="AA332" s="3" t="str">
        <f>IFERROR(__xludf.DUMMYFUNCTION("""COMPUTED_VALUE"""),"จตุจักร")</f>
        <v>จตุจักร</v>
      </c>
      <c r="AB332" s="3" t="str">
        <f>IFERROR(__xludf.DUMMYFUNCTION("""COMPUTED_VALUE"""),"กรุงเทพมหานคร")</f>
        <v>กรุงเทพมหานคร</v>
      </c>
      <c r="AC332" s="3">
        <f>IFERROR(__xludf.DUMMYFUNCTION("""COMPUTED_VALUE"""),10900.0)</f>
        <v>10900</v>
      </c>
      <c r="AD332" s="3">
        <f>IFERROR(__xludf.DUMMYFUNCTION("""COMPUTED_VALUE"""),13.821521)</f>
        <v>13.821521</v>
      </c>
      <c r="AE332" s="3">
        <f>IFERROR(__xludf.DUMMYFUNCTION("""COMPUTED_VALUE"""),100.581888)</f>
        <v>100.581888</v>
      </c>
      <c r="AF332" s="3" t="str">
        <f>IFERROR(__xludf.DUMMYFUNCTION("""COMPUTED_VALUE"""),"MBC เสือใหญ่อุทิศ-21088")</f>
        <v>MBC เสือใหญ่อุทิศ-21088</v>
      </c>
      <c r="AG332" s="3" t="str">
        <f>IFERROR(__xludf.DUMMYFUNCTION("""COMPUTED_VALUE"""),"กลาง")</f>
        <v>กลาง</v>
      </c>
      <c r="AH332" s="3" t="str">
        <f>IFERROR(__xludf.DUMMYFUNCTION("""COMPUTED_VALUE"""),"#N/A")</f>
        <v>#N/A</v>
      </c>
      <c r="AI332" s="3" t="str">
        <f>IFERROR(__xludf.DUMMYFUNCTION("""COMPUTED_VALUE"""),"Out of warranty")</f>
        <v>Out of warranty</v>
      </c>
      <c r="AJ332" s="3">
        <f>IFERROR(__xludf.DUMMYFUNCTION("""COMPUTED_VALUE"""),161.0)</f>
        <v>161</v>
      </c>
      <c r="AK332" s="3" t="str">
        <f>IFERROR(__xludf.DUMMYFUNCTION("""COMPUTED_VALUE"""),"MMS01")</f>
        <v>MMS01</v>
      </c>
      <c r="AL332" s="3"/>
    </row>
    <row r="333" ht="15.75" customHeight="1">
      <c r="A333" s="1" t="str">
        <f>IFERROR(__xludf.DUMMYFUNCTION("""COMPUTED_VALUE"""),"21089")</f>
        <v>21089</v>
      </c>
      <c r="B333" s="2">
        <f>IFERROR(__xludf.DUMMYFUNCTION("""COMPUTED_VALUE"""),21089.0)</f>
        <v>21089</v>
      </c>
      <c r="C333" s="3" t="str">
        <f>IFERROR(__xludf.DUMMYFUNCTION("""COMPUTED_VALUE"""),"MBC ตลาดพิมลราช")</f>
        <v>MBC ตลาดพิมลราช</v>
      </c>
      <c r="D333" s="3" t="str">
        <f>IFERROR(__xludf.DUMMYFUNCTION("""COMPUTED_VALUE"""),"BCM TARAD PIMOLRAT")</f>
        <v>BCM TARAD PIMOLRAT</v>
      </c>
      <c r="E333" s="1" t="str">
        <f>IFERROR(__xludf.DUMMYFUNCTION("""COMPUTED_VALUE"""),"บิ๊กซี MINI")</f>
        <v>บิ๊กซี MINI</v>
      </c>
      <c r="F333" s="1" t="str">
        <f>IFERROR(__xludf.DUMMYFUNCTION("""COMPUTED_VALUE"""),"291008")</f>
        <v>291008</v>
      </c>
      <c r="G333" s="1" t="str">
        <f>IFERROR(__xludf.DUMMYFUNCTION("""COMPUTED_VALUE"""),"น.ส.รัชดาพร อีศรัตน์")</f>
        <v>น.ส.รัชดาพร อีศรัตน์</v>
      </c>
      <c r="H333" s="1" t="str">
        <f>IFERROR(__xludf.DUMMYFUNCTION("""COMPUTED_VALUE"""),"359054")</f>
        <v>359054</v>
      </c>
      <c r="I333" s="1" t="str">
        <f>IFERROR(__xludf.DUMMYFUNCTION("""COMPUTED_VALUE"""),"น.ส.กรรณิการ์ พุทธวงค์")</f>
        <v>น.ส.กรรณิการ์ พุทธวงค์</v>
      </c>
      <c r="J333" s="3">
        <f>IFERROR(__xludf.DUMMYFUNCTION("""COMPUTED_VALUE"""),296728.0)</f>
        <v>296728</v>
      </c>
      <c r="K333" s="3" t="str">
        <f>IFERROR(__xludf.DUMMYFUNCTION("""COMPUTED_VALUE"""),"นายธิติ บัวทองรังสิมา")</f>
        <v>นายธิติ บัวทองรังสิมา</v>
      </c>
      <c r="L333" s="1" t="str">
        <f>IFERROR(__xludf.DUMMYFUNCTION("""COMPUTED_VALUE"""),"นายธิติ บัวทองรังสิมา")</f>
        <v>นายธิติ บัวทองรังสิมา</v>
      </c>
      <c r="M333" s="1" t="str">
        <f>IFERROR(__xludf.DUMMYFUNCTION("""COMPUTED_VALUE"""),"0920849994")</f>
        <v>0920849994</v>
      </c>
      <c r="N333" s="3">
        <f>IFERROR(__xludf.DUMMYFUNCTION("""COMPUTED_VALUE"""),21012.0)</f>
        <v>21012</v>
      </c>
      <c r="O333" s="3" t="str">
        <f>IFERROR(__xludf.DUMMYFUNCTION("""COMPUTED_VALUE"""),"MBC ท่าอิฐ")</f>
        <v>MBC ท่าอิฐ</v>
      </c>
      <c r="P333" s="4">
        <f>IFERROR(__xludf.DUMMYFUNCTION("""COMPUTED_VALUE"""),41145.0)</f>
        <v>41145</v>
      </c>
      <c r="Q333" s="3" t="str">
        <f>IFERROR(__xludf.DUMMYFUNCTION("""COMPUTED_VALUE"""),"I")</f>
        <v>I</v>
      </c>
      <c r="R333" s="3" t="str">
        <f>IFERROR(__xludf.DUMMYFUNCTION("""COMPUTED_VALUE"""),"Small Format")</f>
        <v>Small Format</v>
      </c>
      <c r="S333" s="3" t="str">
        <f>IFERROR(__xludf.DUMMYFUNCTION("""COMPUTED_VALUE"""),"BCM")</f>
        <v>BCM</v>
      </c>
      <c r="T333" s="3" t="str">
        <f>IFERROR(__xludf.DUMMYFUNCTION("""COMPUTED_VALUE"""),"#N/A")</f>
        <v>#N/A</v>
      </c>
      <c r="U333" s="3" t="str">
        <f>IFERROR(__xludf.DUMMYFUNCTION("""COMPUTED_VALUE"""),"#N/A")</f>
        <v>#N/A</v>
      </c>
      <c r="V333" s="3" t="str">
        <f>IFERROR(__xludf.DUMMYFUNCTION("""COMPUTED_VALUE"""),"N")</f>
        <v>N</v>
      </c>
      <c r="W333" s="3">
        <f>IFERROR(__xludf.DUMMYFUNCTION("""COMPUTED_VALUE"""),211080.0)</f>
        <v>211080</v>
      </c>
      <c r="X333" s="3" t="str">
        <f>IFERROR(__xludf.DUMMYFUNCTION("""COMPUTED_VALUE"""),"163/21 หมู่ 1 ตำบลพิมลราช อำเภอบางบัวทอง จังหวัดนนทบุรี 11110")</f>
        <v>163/21 หมู่ 1 ตำบลพิมลราช อำเภอบางบัวทอง จังหวัดนนทบุรี 11110</v>
      </c>
      <c r="Y333" s="3"/>
      <c r="Z333" s="3" t="str">
        <f>IFERROR(__xludf.DUMMYFUNCTION("""COMPUTED_VALUE"""),"พิมลราช")</f>
        <v>พิมลราช</v>
      </c>
      <c r="AA333" s="3" t="str">
        <f>IFERROR(__xludf.DUMMYFUNCTION("""COMPUTED_VALUE"""),"บางบัวทอง")</f>
        <v>บางบัวทอง</v>
      </c>
      <c r="AB333" s="3" t="str">
        <f>IFERROR(__xludf.DUMMYFUNCTION("""COMPUTED_VALUE"""),"นนทบุรี")</f>
        <v>นนทบุรี</v>
      </c>
      <c r="AC333" s="3">
        <f>IFERROR(__xludf.DUMMYFUNCTION("""COMPUTED_VALUE"""),11110.0)</f>
        <v>11110</v>
      </c>
      <c r="AD333" s="3">
        <f>IFERROR(__xludf.DUMMYFUNCTION("""COMPUTED_VALUE"""),13.911595)</f>
        <v>13.911595</v>
      </c>
      <c r="AE333" s="3">
        <f>IFERROR(__xludf.DUMMYFUNCTION("""COMPUTED_VALUE"""),100.429972)</f>
        <v>100.429972</v>
      </c>
      <c r="AF333" s="3" t="str">
        <f>IFERROR(__xludf.DUMMYFUNCTION("""COMPUTED_VALUE"""),"MBC ตลาดพิมลราช-21089")</f>
        <v>MBC ตลาดพิมลราช-21089</v>
      </c>
      <c r="AG333" s="3" t="str">
        <f>IFERROR(__xludf.DUMMYFUNCTION("""COMPUTED_VALUE"""),"กลาง")</f>
        <v>กลาง</v>
      </c>
      <c r="AH333" s="3" t="str">
        <f>IFERROR(__xludf.DUMMYFUNCTION("""COMPUTED_VALUE"""),"#N/A")</f>
        <v>#N/A</v>
      </c>
      <c r="AI333" s="3" t="str">
        <f>IFERROR(__xludf.DUMMYFUNCTION("""COMPUTED_VALUE"""),"Out of warranty")</f>
        <v>Out of warranty</v>
      </c>
      <c r="AJ333" s="3">
        <f>IFERROR(__xludf.DUMMYFUNCTION("""COMPUTED_VALUE"""),161.0)</f>
        <v>161</v>
      </c>
      <c r="AK333" s="3" t="str">
        <f>IFERROR(__xludf.DUMMYFUNCTION("""COMPUTED_VALUE"""),"MMS04")</f>
        <v>MMS04</v>
      </c>
      <c r="AL333" s="3"/>
    </row>
    <row r="334" ht="15.75" customHeight="1">
      <c r="A334" s="1" t="str">
        <f>IFERROR(__xludf.DUMMYFUNCTION("""COMPUTED_VALUE"""),"21090")</f>
        <v>21090</v>
      </c>
      <c r="B334" s="2">
        <f>IFERROR(__xludf.DUMMYFUNCTION("""COMPUTED_VALUE"""),21090.0)</f>
        <v>21090</v>
      </c>
      <c r="C334" s="3" t="str">
        <f>IFERROR(__xludf.DUMMYFUNCTION("""COMPUTED_VALUE"""),"MBC โชคชัย4")</f>
        <v>MBC โชคชัย4</v>
      </c>
      <c r="D334" s="3" t="str">
        <f>IFERROR(__xludf.DUMMYFUNCTION("""COMPUTED_VALUE"""),"BCM CHOKCHAI4 SOI31")</f>
        <v>BCM CHOKCHAI4 SOI31</v>
      </c>
      <c r="E334" s="1" t="str">
        <f>IFERROR(__xludf.DUMMYFUNCTION("""COMPUTED_VALUE"""),"บิ๊กซี MINI")</f>
        <v>บิ๊กซี MINI</v>
      </c>
      <c r="F334" s="1" t="str">
        <f>IFERROR(__xludf.DUMMYFUNCTION("""COMPUTED_VALUE"""),"291008")</f>
        <v>291008</v>
      </c>
      <c r="G334" s="1" t="str">
        <f>IFERROR(__xludf.DUMMYFUNCTION("""COMPUTED_VALUE"""),"น.ส.รัชดาพร อีศรัตน์")</f>
        <v>น.ส.รัชดาพร อีศรัตน์</v>
      </c>
      <c r="H334" s="1" t="str">
        <f>IFERROR(__xludf.DUMMYFUNCTION("""COMPUTED_VALUE"""),"468773")</f>
        <v>468773</v>
      </c>
      <c r="I334" s="1" t="str">
        <f>IFERROR(__xludf.DUMMYFUNCTION("""COMPUTED_VALUE"""),"น.ส.พรพรรณ แซ่แต้")</f>
        <v>น.ส.พรพรรณ แซ่แต้</v>
      </c>
      <c r="J334" s="3">
        <f>IFERROR(__xludf.DUMMYFUNCTION("""COMPUTED_VALUE"""),2452378.0)</f>
        <v>2452378</v>
      </c>
      <c r="K334" s="3" t="str">
        <f>IFERROR(__xludf.DUMMYFUNCTION("""COMPUTED_VALUE"""),"นายศักดิ์ดา พวงประดับ")</f>
        <v>นายศักดิ์ดา พวงประดับ</v>
      </c>
      <c r="L334" s="1" t="str">
        <f>IFERROR(__xludf.DUMMYFUNCTION("""COMPUTED_VALUE"""),"11 K.Sakda P.")</f>
        <v>11 K.Sakda P.</v>
      </c>
      <c r="M334" s="1" t="str">
        <f>IFERROR(__xludf.DUMMYFUNCTION("""COMPUTED_VALUE"""),"065-929-1279")</f>
        <v>065-929-1279</v>
      </c>
      <c r="N334" s="3">
        <f>IFERROR(__xludf.DUMMYFUNCTION("""COMPUTED_VALUE"""),21002.0)</f>
        <v>21002</v>
      </c>
      <c r="O334" s="3" t="str">
        <f>IFERROR(__xludf.DUMMYFUNCTION("""COMPUTED_VALUE"""),"MBC อุดมสุข")</f>
        <v>MBC อุดมสุข</v>
      </c>
      <c r="P334" s="4">
        <f>IFERROR(__xludf.DUMMYFUNCTION("""COMPUTED_VALUE"""),41170.0)</f>
        <v>41170</v>
      </c>
      <c r="Q334" s="3" t="str">
        <f>IFERROR(__xludf.DUMMYFUNCTION("""COMPUTED_VALUE"""),"A")</f>
        <v>A</v>
      </c>
      <c r="R334" s="3" t="str">
        <f>IFERROR(__xludf.DUMMYFUNCTION("""COMPUTED_VALUE"""),"Small Format")</f>
        <v>Small Format</v>
      </c>
      <c r="S334" s="3" t="str">
        <f>IFERROR(__xludf.DUMMYFUNCTION("""COMPUTED_VALUE"""),"BCM")</f>
        <v>BCM</v>
      </c>
      <c r="T334" s="3" t="str">
        <f>IFERROR(__xludf.DUMMYFUNCTION("""COMPUTED_VALUE"""),"#N/A")</f>
        <v>#N/A</v>
      </c>
      <c r="U334" s="3" t="str">
        <f>IFERROR(__xludf.DUMMYFUNCTION("""COMPUTED_VALUE"""),"#N/A")</f>
        <v>#N/A</v>
      </c>
      <c r="V334" s="3" t="str">
        <f>IFERROR(__xludf.DUMMYFUNCTION("""COMPUTED_VALUE"""),"N")</f>
        <v>N</v>
      </c>
      <c r="W334" s="3">
        <f>IFERROR(__xludf.DUMMYFUNCTION("""COMPUTED_VALUE"""),211085.0)</f>
        <v>211085</v>
      </c>
      <c r="X334" s="3" t="str">
        <f>IFERROR(__xludf.DUMMYFUNCTION("""COMPUTED_VALUE"""),"189,191,193 ถนนโชคชัย4 แขวงลาดพร้าว เขตลาดพร้าว กรุงเทพฯ 10230")</f>
        <v>189,191,193 ถนนโชคชัย4 แขวงลาดพร้าว เขตลาดพร้าว กรุงเทพฯ 10230</v>
      </c>
      <c r="Y334" s="3" t="str">
        <f>IFERROR(__xludf.DUMMYFUNCTION("""COMPUTED_VALUE"""),"ถนนโชคชัย4")</f>
        <v>ถนนโชคชัย4</v>
      </c>
      <c r="Z334" s="3" t="str">
        <f>IFERROR(__xludf.DUMMYFUNCTION("""COMPUTED_VALUE"""),"ลาดพร้าว")</f>
        <v>ลาดพร้าว</v>
      </c>
      <c r="AA334" s="3" t="str">
        <f>IFERROR(__xludf.DUMMYFUNCTION("""COMPUTED_VALUE"""),"ลาดพร้าว")</f>
        <v>ลาดพร้าว</v>
      </c>
      <c r="AB334" s="3" t="str">
        <f>IFERROR(__xludf.DUMMYFUNCTION("""COMPUTED_VALUE"""),"กรุงเทพมหานคร")</f>
        <v>กรุงเทพมหานคร</v>
      </c>
      <c r="AC334" s="3">
        <f>IFERROR(__xludf.DUMMYFUNCTION("""COMPUTED_VALUE"""),10230.0)</f>
        <v>10230</v>
      </c>
      <c r="AD334" s="3">
        <f>IFERROR(__xludf.DUMMYFUNCTION("""COMPUTED_VALUE"""),13.80719)</f>
        <v>13.80719</v>
      </c>
      <c r="AE334" s="3">
        <f>IFERROR(__xludf.DUMMYFUNCTION("""COMPUTED_VALUE"""),100.596573)</f>
        <v>100.596573</v>
      </c>
      <c r="AF334" s="3" t="str">
        <f>IFERROR(__xludf.DUMMYFUNCTION("""COMPUTED_VALUE"""),"MBC โชคชัย4-21090")</f>
        <v>MBC โชคชัย4-21090</v>
      </c>
      <c r="AG334" s="3" t="str">
        <f>IFERROR(__xludf.DUMMYFUNCTION("""COMPUTED_VALUE"""),"กลาง")</f>
        <v>กลาง</v>
      </c>
      <c r="AH334" s="3" t="str">
        <f>IFERROR(__xludf.DUMMYFUNCTION("""COMPUTED_VALUE"""),"#N/A")</f>
        <v>#N/A</v>
      </c>
      <c r="AI334" s="3" t="str">
        <f>IFERROR(__xludf.DUMMYFUNCTION("""COMPUTED_VALUE"""),"Out of warranty")</f>
        <v>Out of warranty</v>
      </c>
      <c r="AJ334" s="3">
        <f>IFERROR(__xludf.DUMMYFUNCTION("""COMPUTED_VALUE"""),161.0)</f>
        <v>161</v>
      </c>
      <c r="AK334" s="3" t="str">
        <f>IFERROR(__xludf.DUMMYFUNCTION("""COMPUTED_VALUE"""),"MMS01")</f>
        <v>MMS01</v>
      </c>
      <c r="AL334" s="3"/>
    </row>
    <row r="335" ht="15.75" customHeight="1">
      <c r="A335" s="1" t="str">
        <f>IFERROR(__xludf.DUMMYFUNCTION("""COMPUTED_VALUE"""),"21091")</f>
        <v>21091</v>
      </c>
      <c r="B335" s="2">
        <f>IFERROR(__xludf.DUMMYFUNCTION("""COMPUTED_VALUE"""),21091.0)</f>
        <v>21091</v>
      </c>
      <c r="C335" s="3" t="str">
        <f>IFERROR(__xludf.DUMMYFUNCTION("""COMPUTED_VALUE"""),"MBC บางทราย")</f>
        <v>MBC บางทราย</v>
      </c>
      <c r="D335" s="3" t="str">
        <f>IFERROR(__xludf.DUMMYFUNCTION("""COMPUTED_VALUE"""),"BCM BANGSAI")</f>
        <v>BCM BANGSAI</v>
      </c>
      <c r="E335" s="1" t="str">
        <f>IFERROR(__xludf.DUMMYFUNCTION("""COMPUTED_VALUE"""),"บิ๊กซี MINI")</f>
        <v>บิ๊กซี MINI</v>
      </c>
      <c r="F335" s="1" t="str">
        <f>IFERROR(__xludf.DUMMYFUNCTION("""COMPUTED_VALUE"""),"221716")</f>
        <v>221716</v>
      </c>
      <c r="G335" s="1" t="str">
        <f>IFERROR(__xludf.DUMMYFUNCTION("""COMPUTED_VALUE"""),"น.ส.เบญจพร โพธิสาร")</f>
        <v>น.ส.เบญจพร โพธิสาร</v>
      </c>
      <c r="H335" s="1" t="str">
        <f>IFERROR(__xludf.DUMMYFUNCTION("""COMPUTED_VALUE"""),"034605")</f>
        <v>034605</v>
      </c>
      <c r="I335" s="1" t="str">
        <f>IFERROR(__xludf.DUMMYFUNCTION("""COMPUTED_VALUE"""),"นายธรรมรัตน์ สุขเจริญ")</f>
        <v>นายธรรมรัตน์ สุขเจริญ</v>
      </c>
      <c r="J335" s="3">
        <f>IFERROR(__xludf.DUMMYFUNCTION("""COMPUTED_VALUE"""),1.3461215E7)</f>
        <v>13461215</v>
      </c>
      <c r="K335" s="3" t="str">
        <f>IFERROR(__xludf.DUMMYFUNCTION("""COMPUTED_VALUE"""),"นายธีรภัทร สังข์เงิน")</f>
        <v>นายธีรภัทร สังข์เงิน</v>
      </c>
      <c r="L335" s="1" t="str">
        <f>IFERROR(__xludf.DUMMYFUNCTION("""COMPUTED_VALUE"""),"06 K.Teerapat")</f>
        <v>06 K.Teerapat</v>
      </c>
      <c r="M335" s="1" t="str">
        <f>IFERROR(__xludf.DUMMYFUNCTION("""COMPUTED_VALUE"""),"063-601-6803")</f>
        <v>063-601-6803</v>
      </c>
      <c r="N335" s="3">
        <f>IFERROR(__xludf.DUMMYFUNCTION("""COMPUTED_VALUE"""),22115.0)</f>
        <v>22115</v>
      </c>
      <c r="O335" s="3" t="str">
        <f>IFERROR(__xludf.DUMMYFUNCTION("""COMPUTED_VALUE"""),"MBC เลี่ยงหนองมน ชลบุรี")</f>
        <v>MBC เลี่ยงหนองมน ชลบุรี</v>
      </c>
      <c r="P335" s="4">
        <f>IFERROR(__xludf.DUMMYFUNCTION("""COMPUTED_VALUE"""),41187.0)</f>
        <v>41187</v>
      </c>
      <c r="Q335" s="3" t="str">
        <f>IFERROR(__xludf.DUMMYFUNCTION("""COMPUTED_VALUE"""),"A")</f>
        <v>A</v>
      </c>
      <c r="R335" s="3" t="str">
        <f>IFERROR(__xludf.DUMMYFUNCTION("""COMPUTED_VALUE"""),"Small Format")</f>
        <v>Small Format</v>
      </c>
      <c r="S335" s="3" t="str">
        <f>IFERROR(__xludf.DUMMYFUNCTION("""COMPUTED_VALUE"""),"BCM")</f>
        <v>BCM</v>
      </c>
      <c r="T335" s="3" t="str">
        <f>IFERROR(__xludf.DUMMYFUNCTION("""COMPUTED_VALUE"""),"#N/A")</f>
        <v>#N/A</v>
      </c>
      <c r="U335" s="3" t="str">
        <f>IFERROR(__xludf.DUMMYFUNCTION("""COMPUTED_VALUE"""),"#N/A")</f>
        <v>#N/A</v>
      </c>
      <c r="V335" s="3" t="str">
        <f>IFERROR(__xludf.DUMMYFUNCTION("""COMPUTED_VALUE"""),"N")</f>
        <v>N</v>
      </c>
      <c r="W335" s="3">
        <f>IFERROR(__xludf.DUMMYFUNCTION("""COMPUTED_VALUE"""),211086.0)</f>
        <v>211086</v>
      </c>
      <c r="X335" s="3" t="str">
        <f>IFERROR(__xludf.DUMMYFUNCTION("""COMPUTED_VALUE"""),"90/2 หมู่ 4 ตำบลบางทราย อำเภอเมืองชลบุรี จังหวัดชลบุรี 20000")</f>
        <v>90/2 หมู่ 4 ตำบลบางทราย อำเภอเมืองชลบุรี จังหวัดชลบุรี 20000</v>
      </c>
      <c r="Y335" s="3"/>
      <c r="Z335" s="3" t="str">
        <f>IFERROR(__xludf.DUMMYFUNCTION("""COMPUTED_VALUE"""),"บางทราย")</f>
        <v>บางทราย</v>
      </c>
      <c r="AA335" s="3" t="str">
        <f>IFERROR(__xludf.DUMMYFUNCTION("""COMPUTED_VALUE"""),"เมือง")</f>
        <v>เมือง</v>
      </c>
      <c r="AB335" s="3" t="str">
        <f>IFERROR(__xludf.DUMMYFUNCTION("""COMPUTED_VALUE"""),"ชลบุรี")</f>
        <v>ชลบุรี</v>
      </c>
      <c r="AC335" s="3">
        <f>IFERROR(__xludf.DUMMYFUNCTION("""COMPUTED_VALUE"""),20000.0)</f>
        <v>20000</v>
      </c>
      <c r="AD335" s="3">
        <f>IFERROR(__xludf.DUMMYFUNCTION("""COMPUTED_VALUE"""),13.383456)</f>
        <v>13.383456</v>
      </c>
      <c r="AE335" s="3">
        <f>IFERROR(__xludf.DUMMYFUNCTION("""COMPUTED_VALUE"""),100.987674)</f>
        <v>100.987674</v>
      </c>
      <c r="AF335" s="3" t="str">
        <f>IFERROR(__xludf.DUMMYFUNCTION("""COMPUTED_VALUE"""),"MBC บางทราย-21091")</f>
        <v>MBC บางทราย-21091</v>
      </c>
      <c r="AG335" s="3" t="str">
        <f>IFERROR(__xludf.DUMMYFUNCTION("""COMPUTED_VALUE"""),"ตะวันออก")</f>
        <v>ตะวันออก</v>
      </c>
      <c r="AH335" s="3" t="str">
        <f>IFERROR(__xludf.DUMMYFUNCTION("""COMPUTED_VALUE"""),"#N/A")</f>
        <v>#N/A</v>
      </c>
      <c r="AI335" s="3" t="str">
        <f>IFERROR(__xludf.DUMMYFUNCTION("""COMPUTED_VALUE"""),"Out of warranty")</f>
        <v>Out of warranty</v>
      </c>
      <c r="AJ335" s="3">
        <f>IFERROR(__xludf.DUMMYFUNCTION("""COMPUTED_VALUE"""),160.0)</f>
        <v>160</v>
      </c>
      <c r="AK335" s="3" t="str">
        <f>IFERROR(__xludf.DUMMYFUNCTION("""COMPUTED_VALUE"""),"MMS06")</f>
        <v>MMS06</v>
      </c>
      <c r="AL335" s="3"/>
    </row>
    <row r="336" ht="15.75" customHeight="1">
      <c r="A336" s="1" t="str">
        <f>IFERROR(__xludf.DUMMYFUNCTION("""COMPUTED_VALUE"""),"21092")</f>
        <v>21092</v>
      </c>
      <c r="B336" s="2">
        <f>IFERROR(__xludf.DUMMYFUNCTION("""COMPUTED_VALUE"""),21092.0)</f>
        <v>21092</v>
      </c>
      <c r="C336" s="3" t="str">
        <f>IFERROR(__xludf.DUMMYFUNCTION("""COMPUTED_VALUE"""),"MBC เอื้อฯ รามอินทรา")</f>
        <v>MBC เอื้อฯ รามอินทรา</v>
      </c>
      <c r="D336" s="3" t="str">
        <f>IFERROR(__xludf.DUMMYFUNCTION("""COMPUTED_VALUE"""),"BCM AUE RAMINTRA")</f>
        <v>BCM AUE RAMINTRA</v>
      </c>
      <c r="E336" s="1" t="str">
        <f>IFERROR(__xludf.DUMMYFUNCTION("""COMPUTED_VALUE"""),"บิ๊กซี MINI")</f>
        <v>บิ๊กซี MINI</v>
      </c>
      <c r="F336" s="1" t="str">
        <f>IFERROR(__xludf.DUMMYFUNCTION("""COMPUTED_VALUE"""),"291008")</f>
        <v>291008</v>
      </c>
      <c r="G336" s="1" t="str">
        <f>IFERROR(__xludf.DUMMYFUNCTION("""COMPUTED_VALUE"""),"น.ส.รัชดาพร อีศรัตน์")</f>
        <v>น.ส.รัชดาพร อีศรัตน์</v>
      </c>
      <c r="H336" s="1" t="str">
        <f>IFERROR(__xludf.DUMMYFUNCTION("""COMPUTED_VALUE"""),"288639")</f>
        <v>288639</v>
      </c>
      <c r="I336" s="1" t="str">
        <f>IFERROR(__xludf.DUMMYFUNCTION("""COMPUTED_VALUE"""),"น.ส.สมหญิง สีชมภู")</f>
        <v>น.ส.สมหญิง สีชมภู</v>
      </c>
      <c r="J336" s="3">
        <f>IFERROR(__xludf.DUMMYFUNCTION("""COMPUTED_VALUE"""),3510104.0)</f>
        <v>3510104</v>
      </c>
      <c r="K336" s="3" t="str">
        <f>IFERROR(__xludf.DUMMYFUNCTION("""COMPUTED_VALUE"""),"นายวิโรจน์ อับดุลสมัด")</f>
        <v>นายวิโรจน์ อับดุลสมัด</v>
      </c>
      <c r="L336" s="1" t="str">
        <f>IFERROR(__xludf.DUMMYFUNCTION("""COMPUTED_VALUE"""),"09 K.Wirode A")</f>
        <v>09 K.Wirode A</v>
      </c>
      <c r="M336" s="1" t="str">
        <f>IFERROR(__xludf.DUMMYFUNCTION("""COMPUTED_VALUE"""),"080-235-4465")</f>
        <v>080-235-4465</v>
      </c>
      <c r="N336" s="3">
        <f>IFERROR(__xludf.DUMMYFUNCTION("""COMPUTED_VALUE"""),21324.0)</f>
        <v>21324</v>
      </c>
      <c r="O336" s="3" t="str">
        <f>IFERROR(__xludf.DUMMYFUNCTION("""COMPUTED_VALUE"""),"MBC BCP สุวินทวงศ์")</f>
        <v>MBC BCP สุวินทวงศ์</v>
      </c>
      <c r="P336" s="4">
        <f>IFERROR(__xludf.DUMMYFUNCTION("""COMPUTED_VALUE"""),41192.0)</f>
        <v>41192</v>
      </c>
      <c r="Q336" s="3" t="str">
        <f>IFERROR(__xludf.DUMMYFUNCTION("""COMPUTED_VALUE"""),"A")</f>
        <v>A</v>
      </c>
      <c r="R336" s="3" t="str">
        <f>IFERROR(__xludf.DUMMYFUNCTION("""COMPUTED_VALUE"""),"Small Format")</f>
        <v>Small Format</v>
      </c>
      <c r="S336" s="3" t="str">
        <f>IFERROR(__xludf.DUMMYFUNCTION("""COMPUTED_VALUE"""),"BCM")</f>
        <v>BCM</v>
      </c>
      <c r="T336" s="3" t="str">
        <f>IFERROR(__xludf.DUMMYFUNCTION("""COMPUTED_VALUE"""),"#N/A")</f>
        <v>#N/A</v>
      </c>
      <c r="U336" s="3" t="str">
        <f>IFERROR(__xludf.DUMMYFUNCTION("""COMPUTED_VALUE"""),"#N/A")</f>
        <v>#N/A</v>
      </c>
      <c r="V336" s="3" t="str">
        <f>IFERROR(__xludf.DUMMYFUNCTION("""COMPUTED_VALUE"""),"N")</f>
        <v>N</v>
      </c>
      <c r="W336" s="3">
        <f>IFERROR(__xludf.DUMMYFUNCTION("""COMPUTED_VALUE"""),211087.0)</f>
        <v>211087</v>
      </c>
      <c r="X336" s="3" t="str">
        <f>IFERROR(__xludf.DUMMYFUNCTION("""COMPUTED_VALUE"""),"18/99-101 ซอยคู้บอน27 แยก35 แขวงท่าแร้ง เขตบางเขน กรุงเทพฯ 10220")</f>
        <v>18/99-101 ซอยคู้บอน27 แยก35 แขวงท่าแร้ง เขตบางเขน กรุงเทพฯ 10220</v>
      </c>
      <c r="Y336" s="3" t="str">
        <f>IFERROR(__xludf.DUMMYFUNCTION("""COMPUTED_VALUE"""),"ซอยคู้บอน27")</f>
        <v>ซอยคู้บอน27</v>
      </c>
      <c r="Z336" s="3" t="str">
        <f>IFERROR(__xludf.DUMMYFUNCTION("""COMPUTED_VALUE"""),"แยก35")</f>
        <v>แยก35</v>
      </c>
      <c r="AA336" s="3" t="str">
        <f>IFERROR(__xludf.DUMMYFUNCTION("""COMPUTED_VALUE"""),"บางเขน")</f>
        <v>บางเขน</v>
      </c>
      <c r="AB336" s="3" t="str">
        <f>IFERROR(__xludf.DUMMYFUNCTION("""COMPUTED_VALUE"""),"กรุงเทพมหานคร")</f>
        <v>กรุงเทพมหานคร</v>
      </c>
      <c r="AC336" s="3">
        <f>IFERROR(__xludf.DUMMYFUNCTION("""COMPUTED_VALUE"""),10220.0)</f>
        <v>10220</v>
      </c>
      <c r="AD336" s="3">
        <f>IFERROR(__xludf.DUMMYFUNCTION("""COMPUTED_VALUE"""),13.869843)</f>
        <v>13.869843</v>
      </c>
      <c r="AE336" s="3">
        <f>IFERROR(__xludf.DUMMYFUNCTION("""COMPUTED_VALUE"""),100.667992)</f>
        <v>100.667992</v>
      </c>
      <c r="AF336" s="3" t="str">
        <f>IFERROR(__xludf.DUMMYFUNCTION("""COMPUTED_VALUE"""),"MBC เอื้อฯ รามอินทรา-21092")</f>
        <v>MBC เอื้อฯ รามอินทรา-21092</v>
      </c>
      <c r="AG336" s="3" t="str">
        <f>IFERROR(__xludf.DUMMYFUNCTION("""COMPUTED_VALUE"""),"กลาง")</f>
        <v>กลาง</v>
      </c>
      <c r="AH336" s="3" t="str">
        <f>IFERROR(__xludf.DUMMYFUNCTION("""COMPUTED_VALUE"""),"#N/A")</f>
        <v>#N/A</v>
      </c>
      <c r="AI336" s="3" t="str">
        <f>IFERROR(__xludf.DUMMYFUNCTION("""COMPUTED_VALUE"""),"Out of warranty")</f>
        <v>Out of warranty</v>
      </c>
      <c r="AJ336" s="3">
        <f>IFERROR(__xludf.DUMMYFUNCTION("""COMPUTED_VALUE"""),160.0)</f>
        <v>160</v>
      </c>
      <c r="AK336" s="3" t="str">
        <f>IFERROR(__xludf.DUMMYFUNCTION("""COMPUTED_VALUE"""),"MMS01")</f>
        <v>MMS01</v>
      </c>
      <c r="AL336" s="3"/>
    </row>
    <row r="337" ht="15.75" customHeight="1">
      <c r="A337" s="1" t="str">
        <f>IFERROR(__xludf.DUMMYFUNCTION("""COMPUTED_VALUE"""),"21093")</f>
        <v>21093</v>
      </c>
      <c r="B337" s="2">
        <f>IFERROR(__xludf.DUMMYFUNCTION("""COMPUTED_VALUE"""),21093.0)</f>
        <v>21093</v>
      </c>
      <c r="C337" s="3" t="str">
        <f>IFERROR(__xludf.DUMMYFUNCTION("""COMPUTED_VALUE"""),"MBC แยกมาบโป่ง")</f>
        <v>MBC แยกมาบโป่ง</v>
      </c>
      <c r="D337" s="3" t="str">
        <f>IFERROR(__xludf.DUMMYFUNCTION("""COMPUTED_VALUE"""),"BCM YAEKMAPPONG")</f>
        <v>BCM YAEKMAPPONG</v>
      </c>
      <c r="E337" s="1" t="str">
        <f>IFERROR(__xludf.DUMMYFUNCTION("""COMPUTED_VALUE"""),"บิ๊กซี MINI")</f>
        <v>บิ๊กซี MINI</v>
      </c>
      <c r="F337" s="1" t="str">
        <f>IFERROR(__xludf.DUMMYFUNCTION("""COMPUTED_VALUE"""),"221716")</f>
        <v>221716</v>
      </c>
      <c r="G337" s="1" t="str">
        <f>IFERROR(__xludf.DUMMYFUNCTION("""COMPUTED_VALUE"""),"น.ส.เบญจพร โพธิสาร")</f>
        <v>น.ส.เบญจพร โพธิสาร</v>
      </c>
      <c r="H337" s="1" t="str">
        <f>IFERROR(__xludf.DUMMYFUNCTION("""COMPUTED_VALUE"""),"2452265")</f>
        <v>2452265</v>
      </c>
      <c r="I337" s="1" t="str">
        <f>IFERROR(__xludf.DUMMYFUNCTION("""COMPUTED_VALUE"""),"นายพิทยา จันทร์ประเทศ")</f>
        <v>นายพิทยา จันทร์ประเทศ</v>
      </c>
      <c r="J337" s="3">
        <f>IFERROR(__xludf.DUMMYFUNCTION("""COMPUTED_VALUE"""),296942.0)</f>
        <v>296942</v>
      </c>
      <c r="K337" s="3" t="str">
        <f>IFERROR(__xludf.DUMMYFUNCTION("""COMPUTED_VALUE"""),"นายปิยะ รักษากิจ")</f>
        <v>นายปิยะ รักษากิจ</v>
      </c>
      <c r="L337" s="3" t="str">
        <f>IFERROR(__xludf.DUMMYFUNCTION("""COMPUTED_VALUE"""),"07 K.Piya R.")</f>
        <v>07 K.Piya R.</v>
      </c>
      <c r="M337" s="1" t="str">
        <f>IFERROR(__xludf.DUMMYFUNCTION("""COMPUTED_VALUE"""),"097-919-5476")</f>
        <v>097-919-5476</v>
      </c>
      <c r="N337" s="3">
        <f>IFERROR(__xludf.DUMMYFUNCTION("""COMPUTED_VALUE"""),21332.0)</f>
        <v>21332</v>
      </c>
      <c r="O337" s="3" t="str">
        <f>IFERROR(__xludf.DUMMYFUNCTION("""COMPUTED_VALUE"""),"MBC BCP อ่อนนุช 17/1")</f>
        <v>MBC BCP อ่อนนุช 17/1</v>
      </c>
      <c r="P337" s="4">
        <f>IFERROR(__xludf.DUMMYFUNCTION("""COMPUTED_VALUE"""),41193.0)</f>
        <v>41193</v>
      </c>
      <c r="Q337" s="3" t="str">
        <f>IFERROR(__xludf.DUMMYFUNCTION("""COMPUTED_VALUE"""),"A")</f>
        <v>A</v>
      </c>
      <c r="R337" s="3" t="str">
        <f>IFERROR(__xludf.DUMMYFUNCTION("""COMPUTED_VALUE"""),"Small Format")</f>
        <v>Small Format</v>
      </c>
      <c r="S337" s="3" t="str">
        <f>IFERROR(__xludf.DUMMYFUNCTION("""COMPUTED_VALUE"""),"BCM")</f>
        <v>BCM</v>
      </c>
      <c r="T337" s="3" t="str">
        <f>IFERROR(__xludf.DUMMYFUNCTION("""COMPUTED_VALUE"""),"#N/A")</f>
        <v>#N/A</v>
      </c>
      <c r="U337" s="3" t="str">
        <f>IFERROR(__xludf.DUMMYFUNCTION("""COMPUTED_VALUE"""),"#N/A")</f>
        <v>#N/A</v>
      </c>
      <c r="V337" s="3" t="str">
        <f>IFERROR(__xludf.DUMMYFUNCTION("""COMPUTED_VALUE"""),"N")</f>
        <v>N</v>
      </c>
      <c r="W337" s="3">
        <f>IFERROR(__xludf.DUMMYFUNCTION("""COMPUTED_VALUE"""),211088.0)</f>
        <v>211088</v>
      </c>
      <c r="X337" s="3" t="str">
        <f>IFERROR(__xludf.DUMMYFUNCTION("""COMPUTED_VALUE"""),"55/2 หมู่ 6 ตำบลมาบโป่ง อำเภอพานทอง จังหวัดชลบุรี 20160")</f>
        <v>55/2 หมู่ 6 ตำบลมาบโป่ง อำเภอพานทอง จังหวัดชลบุรี 20160</v>
      </c>
      <c r="Y337" s="3"/>
      <c r="Z337" s="3" t="str">
        <f>IFERROR(__xludf.DUMMYFUNCTION("""COMPUTED_VALUE"""),"มาบโป่ง")</f>
        <v>มาบโป่ง</v>
      </c>
      <c r="AA337" s="3" t="str">
        <f>IFERROR(__xludf.DUMMYFUNCTION("""COMPUTED_VALUE"""),"พานทอง")</f>
        <v>พานทอง</v>
      </c>
      <c r="AB337" s="3" t="str">
        <f>IFERROR(__xludf.DUMMYFUNCTION("""COMPUTED_VALUE"""),"ชลบุรี")</f>
        <v>ชลบุรี</v>
      </c>
      <c r="AC337" s="3">
        <f>IFERROR(__xludf.DUMMYFUNCTION("""COMPUTED_VALUE"""),20160.0)</f>
        <v>20160</v>
      </c>
      <c r="AD337" s="3">
        <f>IFERROR(__xludf.DUMMYFUNCTION("""COMPUTED_VALUE"""),13.424535)</f>
        <v>13.424535</v>
      </c>
      <c r="AE337" s="3">
        <f>IFERROR(__xludf.DUMMYFUNCTION("""COMPUTED_VALUE"""),101.11017)</f>
        <v>101.11017</v>
      </c>
      <c r="AF337" s="3" t="str">
        <f>IFERROR(__xludf.DUMMYFUNCTION("""COMPUTED_VALUE"""),"MBC แยกมาบโป่ง-21093")</f>
        <v>MBC แยกมาบโป่ง-21093</v>
      </c>
      <c r="AG337" s="3" t="str">
        <f>IFERROR(__xludf.DUMMYFUNCTION("""COMPUTED_VALUE"""),"ตะวันออก")</f>
        <v>ตะวันออก</v>
      </c>
      <c r="AH337" s="3" t="str">
        <f>IFERROR(__xludf.DUMMYFUNCTION("""COMPUTED_VALUE"""),"#N/A")</f>
        <v>#N/A</v>
      </c>
      <c r="AI337" s="3" t="str">
        <f>IFERROR(__xludf.DUMMYFUNCTION("""COMPUTED_VALUE"""),"Out of warranty")</f>
        <v>Out of warranty</v>
      </c>
      <c r="AJ337" s="3">
        <f>IFERROR(__xludf.DUMMYFUNCTION("""COMPUTED_VALUE"""),160.0)</f>
        <v>160</v>
      </c>
      <c r="AK337" s="3" t="str">
        <f>IFERROR(__xludf.DUMMYFUNCTION("""COMPUTED_VALUE"""),"MMS07")</f>
        <v>MMS07</v>
      </c>
      <c r="AL337" s="3"/>
    </row>
    <row r="338" ht="15.75" customHeight="1">
      <c r="A338" s="1" t="str">
        <f>IFERROR(__xludf.DUMMYFUNCTION("""COMPUTED_VALUE"""),"21094")</f>
        <v>21094</v>
      </c>
      <c r="B338" s="2">
        <f>IFERROR(__xludf.DUMMYFUNCTION("""COMPUTED_VALUE"""),21094.0)</f>
        <v>21094</v>
      </c>
      <c r="C338" s="3" t="str">
        <f>IFERROR(__xludf.DUMMYFUNCTION("""COMPUTED_VALUE"""),"MBC หมู่บ้านศรีเพชร")</f>
        <v>MBC หมู่บ้านศรีเพชร</v>
      </c>
      <c r="D338" s="3" t="str">
        <f>IFERROR(__xludf.DUMMYFUNCTION("""COMPUTED_VALUE"""),"BCM MOOBANSRIPETCH")</f>
        <v>BCM MOOBANSRIPETCH</v>
      </c>
      <c r="E338" s="1" t="str">
        <f>IFERROR(__xludf.DUMMYFUNCTION("""COMPUTED_VALUE"""),"บิ๊กซี MINI")</f>
        <v>บิ๊กซี MINI</v>
      </c>
      <c r="F338" s="1" t="str">
        <f>IFERROR(__xludf.DUMMYFUNCTION("""COMPUTED_VALUE"""),"291008")</f>
        <v>291008</v>
      </c>
      <c r="G338" s="1" t="str">
        <f>IFERROR(__xludf.DUMMYFUNCTION("""COMPUTED_VALUE"""),"น.ส.รัชดาพร อีศรัตน์")</f>
        <v>น.ส.รัชดาพร อีศรัตน์</v>
      </c>
      <c r="H338" s="1" t="str">
        <f>IFERROR(__xludf.DUMMYFUNCTION("""COMPUTED_VALUE"""),"250921")</f>
        <v>250921</v>
      </c>
      <c r="I338" s="1" t="str">
        <f>IFERROR(__xludf.DUMMYFUNCTION("""COMPUTED_VALUE"""),"นายปรัชญาวัต ถิระสังวร")</f>
        <v>นายปรัชญาวัต ถิระสังวร</v>
      </c>
      <c r="J338" s="3">
        <f>IFERROR(__xludf.DUMMYFUNCTION("""COMPUTED_VALUE"""),2452378.0)</f>
        <v>2452378</v>
      </c>
      <c r="K338" s="3" t="str">
        <f>IFERROR(__xludf.DUMMYFUNCTION("""COMPUTED_VALUE"""),"นายศักดิ์ดา พวงประดับ")</f>
        <v>นายศักดิ์ดา พวงประดับ</v>
      </c>
      <c r="L338" s="1" t="str">
        <f>IFERROR(__xludf.DUMMYFUNCTION("""COMPUTED_VALUE"""),"11 K.Sakda P.")</f>
        <v>11 K.Sakda P.</v>
      </c>
      <c r="M338" s="1" t="str">
        <f>IFERROR(__xludf.DUMMYFUNCTION("""COMPUTED_VALUE"""),"065-929-1279")</f>
        <v>065-929-1279</v>
      </c>
      <c r="N338" s="3">
        <f>IFERROR(__xludf.DUMMYFUNCTION("""COMPUTED_VALUE"""),21002.0)</f>
        <v>21002</v>
      </c>
      <c r="O338" s="3" t="str">
        <f>IFERROR(__xludf.DUMMYFUNCTION("""COMPUTED_VALUE"""),"MBC อุดมสุข")</f>
        <v>MBC อุดมสุข</v>
      </c>
      <c r="P338" s="4">
        <f>IFERROR(__xludf.DUMMYFUNCTION("""COMPUTED_VALUE"""),41201.0)</f>
        <v>41201</v>
      </c>
      <c r="Q338" s="3" t="str">
        <f>IFERROR(__xludf.DUMMYFUNCTION("""COMPUTED_VALUE"""),"A")</f>
        <v>A</v>
      </c>
      <c r="R338" s="3" t="str">
        <f>IFERROR(__xludf.DUMMYFUNCTION("""COMPUTED_VALUE"""),"Small Format")</f>
        <v>Small Format</v>
      </c>
      <c r="S338" s="3" t="str">
        <f>IFERROR(__xludf.DUMMYFUNCTION("""COMPUTED_VALUE"""),"BCM")</f>
        <v>BCM</v>
      </c>
      <c r="T338" s="3" t="str">
        <f>IFERROR(__xludf.DUMMYFUNCTION("""COMPUTED_VALUE"""),"#N/A")</f>
        <v>#N/A</v>
      </c>
      <c r="U338" s="3" t="str">
        <f>IFERROR(__xludf.DUMMYFUNCTION("""COMPUTED_VALUE"""),"#N/A")</f>
        <v>#N/A</v>
      </c>
      <c r="V338" s="3" t="str">
        <f>IFERROR(__xludf.DUMMYFUNCTION("""COMPUTED_VALUE"""),"N")</f>
        <v>N</v>
      </c>
      <c r="W338" s="3">
        <f>IFERROR(__xludf.DUMMYFUNCTION("""COMPUTED_VALUE"""),211090.0)</f>
        <v>211090</v>
      </c>
      <c r="X338" s="3" t="str">
        <f>IFERROR(__xludf.DUMMYFUNCTION("""COMPUTED_VALUE"""),"1015/7-9 หมู่ 7 ซอยเพชรเกษม106 แขวงหนองค้างพลู เขตหนองแขม กรุงเทพฯ 10160")</f>
        <v>1015/7-9 หมู่ 7 ซอยเพชรเกษม106 แขวงหนองค้างพลู เขตหนองแขม กรุงเทพฯ 10160</v>
      </c>
      <c r="Y338" s="3" t="str">
        <f>IFERROR(__xludf.DUMMYFUNCTION("""COMPUTED_VALUE"""),"ซอยเพชรเกษม106")</f>
        <v>ซอยเพชรเกษม106</v>
      </c>
      <c r="Z338" s="3" t="str">
        <f>IFERROR(__xludf.DUMMYFUNCTION("""COMPUTED_VALUE"""),"หนองค้างพลู")</f>
        <v>หนองค้างพลู</v>
      </c>
      <c r="AA338" s="3" t="str">
        <f>IFERROR(__xludf.DUMMYFUNCTION("""COMPUTED_VALUE"""),"หนองแขม")</f>
        <v>หนองแขม</v>
      </c>
      <c r="AB338" s="3" t="str">
        <f>IFERROR(__xludf.DUMMYFUNCTION("""COMPUTED_VALUE"""),"กรุงเทพมหานคร")</f>
        <v>กรุงเทพมหานคร</v>
      </c>
      <c r="AC338" s="3">
        <f>IFERROR(__xludf.DUMMYFUNCTION("""COMPUTED_VALUE"""),10160.0)</f>
        <v>10160</v>
      </c>
      <c r="AD338" s="3">
        <f>IFERROR(__xludf.DUMMYFUNCTION("""COMPUTED_VALUE"""),13.710353)</f>
        <v>13.710353</v>
      </c>
      <c r="AE338" s="3">
        <f>IFERROR(__xludf.DUMMYFUNCTION("""COMPUTED_VALUE"""),100.354692)</f>
        <v>100.354692</v>
      </c>
      <c r="AF338" s="3" t="str">
        <f>IFERROR(__xludf.DUMMYFUNCTION("""COMPUTED_VALUE"""),"MBC หมู่บ้านศรีเพชร-21094")</f>
        <v>MBC หมู่บ้านศรีเพชร-21094</v>
      </c>
      <c r="AG338" s="3" t="str">
        <f>IFERROR(__xludf.DUMMYFUNCTION("""COMPUTED_VALUE"""),"กลาง")</f>
        <v>กลาง</v>
      </c>
      <c r="AH338" s="3" t="str">
        <f>IFERROR(__xludf.DUMMYFUNCTION("""COMPUTED_VALUE"""),"#N/A")</f>
        <v>#N/A</v>
      </c>
      <c r="AI338" s="3" t="str">
        <f>IFERROR(__xludf.DUMMYFUNCTION("""COMPUTED_VALUE"""),"Out of warranty")</f>
        <v>Out of warranty</v>
      </c>
      <c r="AJ338" s="3">
        <f>IFERROR(__xludf.DUMMYFUNCTION("""COMPUTED_VALUE"""),160.0)</f>
        <v>160</v>
      </c>
      <c r="AK338" s="3" t="str">
        <f>IFERROR(__xludf.DUMMYFUNCTION("""COMPUTED_VALUE"""),"MMS05")</f>
        <v>MMS05</v>
      </c>
      <c r="AL338" s="3"/>
    </row>
    <row r="339" ht="15.75" customHeight="1">
      <c r="A339" s="1" t="str">
        <f>IFERROR(__xludf.DUMMYFUNCTION("""COMPUTED_VALUE"""),"21095")</f>
        <v>21095</v>
      </c>
      <c r="B339" s="2">
        <f>IFERROR(__xludf.DUMMYFUNCTION("""COMPUTED_VALUE"""),21095.0)</f>
        <v>21095</v>
      </c>
      <c r="C339" s="3" t="str">
        <f>IFERROR(__xludf.DUMMYFUNCTION("""COMPUTED_VALUE"""),"MBC หมู่บ้านพระปิ่น5")</f>
        <v>MBC หมู่บ้านพระปิ่น5</v>
      </c>
      <c r="D339" s="3" t="str">
        <f>IFERROR(__xludf.DUMMYFUNCTION("""COMPUTED_VALUE"""),"BCM MOOBANPRAPIN5")</f>
        <v>BCM MOOBANPRAPIN5</v>
      </c>
      <c r="E339" s="1" t="str">
        <f>IFERROR(__xludf.DUMMYFUNCTION("""COMPUTED_VALUE"""),"บิ๊กซี MINI")</f>
        <v>บิ๊กซี MINI</v>
      </c>
      <c r="F339" s="1" t="str">
        <f>IFERROR(__xludf.DUMMYFUNCTION("""COMPUTED_VALUE"""),"291008")</f>
        <v>291008</v>
      </c>
      <c r="G339" s="1" t="str">
        <f>IFERROR(__xludf.DUMMYFUNCTION("""COMPUTED_VALUE"""),"น.ส.รัชดาพร อีศรัตน์")</f>
        <v>น.ส.รัชดาพร อีศรัตน์</v>
      </c>
      <c r="H339" s="1" t="str">
        <f>IFERROR(__xludf.DUMMYFUNCTION("""COMPUTED_VALUE"""),"250921")</f>
        <v>250921</v>
      </c>
      <c r="I339" s="1" t="str">
        <f>IFERROR(__xludf.DUMMYFUNCTION("""COMPUTED_VALUE"""),"นายปรัชญาวัต ถิระสังวร")</f>
        <v>นายปรัชญาวัต ถิระสังวร</v>
      </c>
      <c r="J339" s="3">
        <f>IFERROR(__xludf.DUMMYFUNCTION("""COMPUTED_VALUE"""),2452378.0)</f>
        <v>2452378</v>
      </c>
      <c r="K339" s="3" t="str">
        <f>IFERROR(__xludf.DUMMYFUNCTION("""COMPUTED_VALUE"""),"นายศักดิ์ดา พวงประดับ")</f>
        <v>นายศักดิ์ดา พวงประดับ</v>
      </c>
      <c r="L339" s="1" t="str">
        <f>IFERROR(__xludf.DUMMYFUNCTION("""COMPUTED_VALUE"""),"11 K.Sakda P.")</f>
        <v>11 K.Sakda P.</v>
      </c>
      <c r="M339" s="1" t="str">
        <f>IFERROR(__xludf.DUMMYFUNCTION("""COMPUTED_VALUE"""),"065-929-1279")</f>
        <v>065-929-1279</v>
      </c>
      <c r="N339" s="3">
        <f>IFERROR(__xludf.DUMMYFUNCTION("""COMPUTED_VALUE"""),21002.0)</f>
        <v>21002</v>
      </c>
      <c r="O339" s="3" t="str">
        <f>IFERROR(__xludf.DUMMYFUNCTION("""COMPUTED_VALUE"""),"MBC อุดมสุข")</f>
        <v>MBC อุดมสุข</v>
      </c>
      <c r="P339" s="4">
        <f>IFERROR(__xludf.DUMMYFUNCTION("""COMPUTED_VALUE"""),41201.0)</f>
        <v>41201</v>
      </c>
      <c r="Q339" s="3" t="str">
        <f>IFERROR(__xludf.DUMMYFUNCTION("""COMPUTED_VALUE"""),"A")</f>
        <v>A</v>
      </c>
      <c r="R339" s="3" t="str">
        <f>IFERROR(__xludf.DUMMYFUNCTION("""COMPUTED_VALUE"""),"Small Format")</f>
        <v>Small Format</v>
      </c>
      <c r="S339" s="3" t="str">
        <f>IFERROR(__xludf.DUMMYFUNCTION("""COMPUTED_VALUE"""),"BCM")</f>
        <v>BCM</v>
      </c>
      <c r="T339" s="3" t="str">
        <f>IFERROR(__xludf.DUMMYFUNCTION("""COMPUTED_VALUE"""),"#N/A")</f>
        <v>#N/A</v>
      </c>
      <c r="U339" s="3" t="str">
        <f>IFERROR(__xludf.DUMMYFUNCTION("""COMPUTED_VALUE"""),"#N/A")</f>
        <v>#N/A</v>
      </c>
      <c r="V339" s="3" t="str">
        <f>IFERROR(__xludf.DUMMYFUNCTION("""COMPUTED_VALUE"""),"N")</f>
        <v>N</v>
      </c>
      <c r="W339" s="3">
        <f>IFERROR(__xludf.DUMMYFUNCTION("""COMPUTED_VALUE"""),211089.0)</f>
        <v>211089</v>
      </c>
      <c r="X339" s="3" t="str">
        <f>IFERROR(__xludf.DUMMYFUNCTION("""COMPUTED_VALUE"""),"889,891 ซอยเอกชัย109 แขวงบางบอน เขตบางบอน กรุงเทพฯ 10150")</f>
        <v>889,891 ซอยเอกชัย109 แขวงบางบอน เขตบางบอน กรุงเทพฯ 10150</v>
      </c>
      <c r="Y339" s="3" t="str">
        <f>IFERROR(__xludf.DUMMYFUNCTION("""COMPUTED_VALUE"""),"ซอยเอกชัย109")</f>
        <v>ซอยเอกชัย109</v>
      </c>
      <c r="Z339" s="3" t="str">
        <f>IFERROR(__xludf.DUMMYFUNCTION("""COMPUTED_VALUE"""),"บางบอน")</f>
        <v>บางบอน</v>
      </c>
      <c r="AA339" s="3" t="str">
        <f>IFERROR(__xludf.DUMMYFUNCTION("""COMPUTED_VALUE"""),"บางบอน")</f>
        <v>บางบอน</v>
      </c>
      <c r="AB339" s="3" t="str">
        <f>IFERROR(__xludf.DUMMYFUNCTION("""COMPUTED_VALUE"""),"กรุงเทพมหานคร")</f>
        <v>กรุงเทพมหานคร</v>
      </c>
      <c r="AC339" s="3">
        <f>IFERROR(__xludf.DUMMYFUNCTION("""COMPUTED_VALUE"""),10150.0)</f>
        <v>10150</v>
      </c>
      <c r="AD339" s="3">
        <f>IFERROR(__xludf.DUMMYFUNCTION("""COMPUTED_VALUE"""),13.643633)</f>
        <v>13.643633</v>
      </c>
      <c r="AE339" s="3">
        <f>IFERROR(__xludf.DUMMYFUNCTION("""COMPUTED_VALUE"""),100.390161)</f>
        <v>100.390161</v>
      </c>
      <c r="AF339" s="3" t="str">
        <f>IFERROR(__xludf.DUMMYFUNCTION("""COMPUTED_VALUE"""),"MBC หมู่บ้านพระปิ่น5-21095")</f>
        <v>MBC หมู่บ้านพระปิ่น5-21095</v>
      </c>
      <c r="AG339" s="3" t="str">
        <f>IFERROR(__xludf.DUMMYFUNCTION("""COMPUTED_VALUE"""),"กลาง")</f>
        <v>กลาง</v>
      </c>
      <c r="AH339" s="3" t="str">
        <f>IFERROR(__xludf.DUMMYFUNCTION("""COMPUTED_VALUE"""),"#N/A")</f>
        <v>#N/A</v>
      </c>
      <c r="AI339" s="3" t="str">
        <f>IFERROR(__xludf.DUMMYFUNCTION("""COMPUTED_VALUE"""),"Out of warranty")</f>
        <v>Out of warranty</v>
      </c>
      <c r="AJ339" s="3">
        <f>IFERROR(__xludf.DUMMYFUNCTION("""COMPUTED_VALUE"""),160.0)</f>
        <v>160</v>
      </c>
      <c r="AK339" s="3" t="str">
        <f>IFERROR(__xludf.DUMMYFUNCTION("""COMPUTED_VALUE"""),"MMS05")</f>
        <v>MMS05</v>
      </c>
      <c r="AL339" s="3"/>
    </row>
    <row r="340" ht="15.75" customHeight="1">
      <c r="A340" s="1" t="str">
        <f>IFERROR(__xludf.DUMMYFUNCTION("""COMPUTED_VALUE"""),"21096")</f>
        <v>21096</v>
      </c>
      <c r="B340" s="2">
        <f>IFERROR(__xludf.DUMMYFUNCTION("""COMPUTED_VALUE"""),21096.0)</f>
        <v>21096</v>
      </c>
      <c r="C340" s="3" t="str">
        <f>IFERROR(__xludf.DUMMYFUNCTION("""COMPUTED_VALUE"""),"MBC ตลาดสี่ขวา")</f>
        <v>MBC ตลาดสี่ขวา</v>
      </c>
      <c r="D340" s="3" t="str">
        <f>IFERROR(__xludf.DUMMYFUNCTION("""COMPUTED_VALUE"""),"BCM TARAD SIKHWA")</f>
        <v>BCM TARAD SIKHWA</v>
      </c>
      <c r="E340" s="1" t="str">
        <f>IFERROR(__xludf.DUMMYFUNCTION("""COMPUTED_VALUE"""),"บิ๊กซี MINI")</f>
        <v>บิ๊กซี MINI</v>
      </c>
      <c r="F340" s="1" t="str">
        <f>IFERROR(__xludf.DUMMYFUNCTION("""COMPUTED_VALUE"""),"296229")</f>
        <v>296229</v>
      </c>
      <c r="G340" s="1" t="str">
        <f>IFERROR(__xludf.DUMMYFUNCTION("""COMPUTED_VALUE"""),"นายทนงศักดิ์ บุญมา")</f>
        <v>นายทนงศักดิ์ บุญมา</v>
      </c>
      <c r="H340" s="1" t="str">
        <f>IFERROR(__xludf.DUMMYFUNCTION("""COMPUTED_VALUE"""),"211363")</f>
        <v>211363</v>
      </c>
      <c r="I340" s="1" t="str">
        <f>IFERROR(__xludf.DUMMYFUNCTION("""COMPUTED_VALUE"""),"นายสามารถ บุญลับ")</f>
        <v>นายสามารถ บุญลับ</v>
      </c>
      <c r="J340" s="3">
        <f>IFERROR(__xludf.DUMMYFUNCTION("""COMPUTED_VALUE"""),46214.0)</f>
        <v>46214</v>
      </c>
      <c r="K340" s="3" t="str">
        <f>IFERROR(__xludf.DUMMYFUNCTION("""COMPUTED_VALUE"""),"นายศักดิ์ชัย เด็ดดอกฟ้า")</f>
        <v>นายศักดิ์ชัย เด็ดดอกฟ้า</v>
      </c>
      <c r="L340" s="1" t="str">
        <f>IFERROR(__xludf.DUMMYFUNCTION("""COMPUTED_VALUE"""),"02 K.Sakchai D")</f>
        <v>02 K.Sakchai D</v>
      </c>
      <c r="M340" s="1" t="str">
        <f>IFERROR(__xludf.DUMMYFUNCTION("""COMPUTED_VALUE"""),"065-510-7376")</f>
        <v>065-510-7376</v>
      </c>
      <c r="N340" s="3">
        <f>IFERROR(__xludf.DUMMYFUNCTION("""COMPUTED_VALUE"""),21714.0)</f>
        <v>21714</v>
      </c>
      <c r="O340" s="3" t="str">
        <f>IFERROR(__xludf.DUMMYFUNCTION("""COMPUTED_VALUE"""),"MBC เอสโซ่ วัดโบสถ์")</f>
        <v>MBC เอสโซ่ วัดโบสถ์</v>
      </c>
      <c r="P340" s="4">
        <f>IFERROR(__xludf.DUMMYFUNCTION("""COMPUTED_VALUE"""),41202.0)</f>
        <v>41202</v>
      </c>
      <c r="Q340" s="3" t="str">
        <f>IFERROR(__xludf.DUMMYFUNCTION("""COMPUTED_VALUE"""),"A")</f>
        <v>A</v>
      </c>
      <c r="R340" s="3" t="str">
        <f>IFERROR(__xludf.DUMMYFUNCTION("""COMPUTED_VALUE"""),"Small Format")</f>
        <v>Small Format</v>
      </c>
      <c r="S340" s="3" t="str">
        <f>IFERROR(__xludf.DUMMYFUNCTION("""COMPUTED_VALUE"""),"BCM")</f>
        <v>BCM</v>
      </c>
      <c r="T340" s="3" t="str">
        <f>IFERROR(__xludf.DUMMYFUNCTION("""COMPUTED_VALUE"""),"#N/A")</f>
        <v>#N/A</v>
      </c>
      <c r="U340" s="3" t="str">
        <f>IFERROR(__xludf.DUMMYFUNCTION("""COMPUTED_VALUE"""),"#N/A")</f>
        <v>#N/A</v>
      </c>
      <c r="V340" s="3" t="str">
        <f>IFERROR(__xludf.DUMMYFUNCTION("""COMPUTED_VALUE"""),"N")</f>
        <v>N</v>
      </c>
      <c r="W340" s="3">
        <f>IFERROR(__xludf.DUMMYFUNCTION("""COMPUTED_VALUE"""),211091.0)</f>
        <v>211091</v>
      </c>
      <c r="X340" s="3" t="str">
        <f>IFERROR(__xludf.DUMMYFUNCTION("""COMPUTED_VALUE"""),"268/3-5 หมู่ 7 ตำบลลำตาเสา อำเภอวังน้อย จังหวัดพระนครศรีอยุธยา 13170")</f>
        <v>268/3-5 หมู่ 7 ตำบลลำตาเสา อำเภอวังน้อย จังหวัดพระนครศรีอยุธยา 13170</v>
      </c>
      <c r="Y340" s="3"/>
      <c r="Z340" s="3" t="str">
        <f>IFERROR(__xludf.DUMMYFUNCTION("""COMPUTED_VALUE"""),"ลำตาเสา")</f>
        <v>ลำตาเสา</v>
      </c>
      <c r="AA340" s="3" t="str">
        <f>IFERROR(__xludf.DUMMYFUNCTION("""COMPUTED_VALUE"""),"วังน้อย")</f>
        <v>วังน้อย</v>
      </c>
      <c r="AB340" s="3" t="str">
        <f>IFERROR(__xludf.DUMMYFUNCTION("""COMPUTED_VALUE"""),"พระนครศรีอยุธยา")</f>
        <v>พระนครศรีอยุธยา</v>
      </c>
      <c r="AC340" s="3">
        <f>IFERROR(__xludf.DUMMYFUNCTION("""COMPUTED_VALUE"""),13170.0)</f>
        <v>13170</v>
      </c>
      <c r="AD340" s="3">
        <f>IFERROR(__xludf.DUMMYFUNCTION("""COMPUTED_VALUE"""),14.274781)</f>
        <v>14.274781</v>
      </c>
      <c r="AE340" s="3">
        <f>IFERROR(__xludf.DUMMYFUNCTION("""COMPUTED_VALUE"""),100.683214)</f>
        <v>100.683214</v>
      </c>
      <c r="AF340" s="3" t="str">
        <f>IFERROR(__xludf.DUMMYFUNCTION("""COMPUTED_VALUE"""),"MBC ตลาดสี่ขวา-21096")</f>
        <v>MBC ตลาดสี่ขวา-21096</v>
      </c>
      <c r="AG340" s="3" t="str">
        <f>IFERROR(__xludf.DUMMYFUNCTION("""COMPUTED_VALUE"""),"กลาง")</f>
        <v>กลาง</v>
      </c>
      <c r="AH340" s="3" t="str">
        <f>IFERROR(__xludf.DUMMYFUNCTION("""COMPUTED_VALUE"""),"#N/A")</f>
        <v>#N/A</v>
      </c>
      <c r="AI340" s="3" t="str">
        <f>IFERROR(__xludf.DUMMYFUNCTION("""COMPUTED_VALUE"""),"Out of warranty")</f>
        <v>Out of warranty</v>
      </c>
      <c r="AJ340" s="3">
        <f>IFERROR(__xludf.DUMMYFUNCTION("""COMPUTED_VALUE"""),160.0)</f>
        <v>160</v>
      </c>
      <c r="AK340" s="3" t="str">
        <f>IFERROR(__xludf.DUMMYFUNCTION("""COMPUTED_VALUE"""),"MMS04")</f>
        <v>MMS04</v>
      </c>
      <c r="AL340" s="3"/>
    </row>
    <row r="341" ht="15.75" customHeight="1">
      <c r="A341" s="1" t="str">
        <f>IFERROR(__xludf.DUMMYFUNCTION("""COMPUTED_VALUE"""),"21097")</f>
        <v>21097</v>
      </c>
      <c r="B341" s="2">
        <f>IFERROR(__xludf.DUMMYFUNCTION("""COMPUTED_VALUE"""),21097.0)</f>
        <v>21097</v>
      </c>
      <c r="C341" s="3" t="str">
        <f>IFERROR(__xludf.DUMMYFUNCTION("""COMPUTED_VALUE"""),"ถนนสำเร็จพัฒนา")</f>
        <v>ถนนสำเร็จพัฒนา</v>
      </c>
      <c r="D341" s="3" t="str">
        <f>IFERROR(__xludf.DUMMYFUNCTION("""COMPUTED_VALUE"""),"MBC THANON SAMREJ PATTANA")</f>
        <v>MBC THANON SAMREJ PATTANA</v>
      </c>
      <c r="E341" s="1" t="str">
        <f>IFERROR(__xludf.DUMMYFUNCTION("""COMPUTED_VALUE"""),"บิ๊กซี MINI")</f>
        <v>บิ๊กซี MINI</v>
      </c>
      <c r="F341" s="1" t="str">
        <f>IFERROR(__xludf.DUMMYFUNCTION("""COMPUTED_VALUE"""),"291008")</f>
        <v>291008</v>
      </c>
      <c r="G341" s="1" t="str">
        <f>IFERROR(__xludf.DUMMYFUNCTION("""COMPUTED_VALUE"""),"น.ส.รัชดาพร อีศรัตน์")</f>
        <v>น.ส.รัชดาพร อีศรัตน์</v>
      </c>
      <c r="H341" s="1" t="str">
        <f>IFERROR(__xludf.DUMMYFUNCTION("""COMPUTED_VALUE"""),"228392")</f>
        <v>228392</v>
      </c>
      <c r="I341" s="1" t="str">
        <f>IFERROR(__xludf.DUMMYFUNCTION("""COMPUTED_VALUE"""),"นายพงษ์ประพันธ์ อุ่นประเสริฐ")</f>
        <v>นายพงษ์ประพันธ์ อุ่นประเสริฐ</v>
      </c>
      <c r="J341" s="3">
        <f>IFERROR(__xludf.DUMMYFUNCTION("""COMPUTED_VALUE"""),3510104.0)</f>
        <v>3510104</v>
      </c>
      <c r="K341" s="3" t="str">
        <f>IFERROR(__xludf.DUMMYFUNCTION("""COMPUTED_VALUE"""),"นายวิโรจน์ อับดุลสมัด")</f>
        <v>นายวิโรจน์ อับดุลสมัด</v>
      </c>
      <c r="L341" s="1" t="str">
        <f>IFERROR(__xludf.DUMMYFUNCTION("""COMPUTED_VALUE"""),"09 K.Wirode A")</f>
        <v>09 K.Wirode A</v>
      </c>
      <c r="M341" s="1" t="str">
        <f>IFERROR(__xludf.DUMMYFUNCTION("""COMPUTED_VALUE"""),"080-235-4465")</f>
        <v>080-235-4465</v>
      </c>
      <c r="N341" s="3">
        <f>IFERROR(__xludf.DUMMYFUNCTION("""COMPUTED_VALUE"""),21324.0)</f>
        <v>21324</v>
      </c>
      <c r="O341" s="3" t="str">
        <f>IFERROR(__xludf.DUMMYFUNCTION("""COMPUTED_VALUE"""),"MBC BCP สุวินทวงศ์")</f>
        <v>MBC BCP สุวินทวงศ์</v>
      </c>
      <c r="P341" s="4">
        <f>IFERROR(__xludf.DUMMYFUNCTION("""COMPUTED_VALUE"""),41212.0)</f>
        <v>41212</v>
      </c>
      <c r="Q341" s="3" t="str">
        <f>IFERROR(__xludf.DUMMYFUNCTION("""COMPUTED_VALUE"""),"I")</f>
        <v>I</v>
      </c>
      <c r="R341" s="3" t="str">
        <f>IFERROR(__xludf.DUMMYFUNCTION("""COMPUTED_VALUE"""),"Small Format")</f>
        <v>Small Format</v>
      </c>
      <c r="S341" s="3" t="str">
        <f>IFERROR(__xludf.DUMMYFUNCTION("""COMPUTED_VALUE"""),"BCM")</f>
        <v>BCM</v>
      </c>
      <c r="T341" s="3" t="str">
        <f>IFERROR(__xludf.DUMMYFUNCTION("""COMPUTED_VALUE"""),"#N/A")</f>
        <v>#N/A</v>
      </c>
      <c r="U341" s="3" t="str">
        <f>IFERROR(__xludf.DUMMYFUNCTION("""COMPUTED_VALUE"""),"#N/A")</f>
        <v>#N/A</v>
      </c>
      <c r="V341" s="3" t="str">
        <f>IFERROR(__xludf.DUMMYFUNCTION("""COMPUTED_VALUE"""),"N")</f>
        <v>N</v>
      </c>
      <c r="W341" s="3">
        <f>IFERROR(__xludf.DUMMYFUNCTION("""COMPUTED_VALUE"""),0.0)</f>
        <v>0</v>
      </c>
      <c r="X341" s="3" t="str">
        <f>IFERROR(__xludf.DUMMYFUNCTION("""COMPUTED_VALUE"""),"90/3-5 หมู่ 3 ตำบลปลายบาง อำเภอบางกรวย จังหวัดนนทบุรี 11130")</f>
        <v>90/3-5 หมู่ 3 ตำบลปลายบาง อำเภอบางกรวย จังหวัดนนทบุรี 11130</v>
      </c>
      <c r="Y341" s="3"/>
      <c r="Z341" s="3" t="str">
        <f>IFERROR(__xludf.DUMMYFUNCTION("""COMPUTED_VALUE"""),"ปลายบาง")</f>
        <v>ปลายบาง</v>
      </c>
      <c r="AA341" s="3" t="str">
        <f>IFERROR(__xludf.DUMMYFUNCTION("""COMPUTED_VALUE"""),"บางกรวย")</f>
        <v>บางกรวย</v>
      </c>
      <c r="AB341" s="3" t="str">
        <f>IFERROR(__xludf.DUMMYFUNCTION("""COMPUTED_VALUE"""),"นนทบุรี")</f>
        <v>นนทบุรี</v>
      </c>
      <c r="AC341" s="3">
        <f>IFERROR(__xludf.DUMMYFUNCTION("""COMPUTED_VALUE"""),11130.0)</f>
        <v>11130</v>
      </c>
      <c r="AD341" s="3" t="str">
        <f>IFERROR(__xludf.DUMMYFUNCTION("""COMPUTED_VALUE"""),"#N/A")</f>
        <v>#N/A</v>
      </c>
      <c r="AE341" s="3" t="str">
        <f>IFERROR(__xludf.DUMMYFUNCTION("""COMPUTED_VALUE"""),"#N/A")</f>
        <v>#N/A</v>
      </c>
      <c r="AF341" s="3" t="str">
        <f>IFERROR(__xludf.DUMMYFUNCTION("""COMPUTED_VALUE"""),"ถนนสำเร็จพัฒนา-21097")</f>
        <v>ถนนสำเร็จพัฒนา-21097</v>
      </c>
      <c r="AG341" s="3" t="str">
        <f>IFERROR(__xludf.DUMMYFUNCTION("""COMPUTED_VALUE"""),"กลาง")</f>
        <v>กลาง</v>
      </c>
      <c r="AH341" s="3" t="str">
        <f>IFERROR(__xludf.DUMMYFUNCTION("""COMPUTED_VALUE"""),"#N/A")</f>
        <v>#N/A</v>
      </c>
      <c r="AI341" s="3" t="str">
        <f>IFERROR(__xludf.DUMMYFUNCTION("""COMPUTED_VALUE"""),"Out of warranty")</f>
        <v>Out of warranty</v>
      </c>
      <c r="AJ341" s="3">
        <f>IFERROR(__xludf.DUMMYFUNCTION("""COMPUTED_VALUE"""),159.0)</f>
        <v>159</v>
      </c>
      <c r="AK341" s="3"/>
      <c r="AL341" s="3"/>
    </row>
    <row r="342" ht="15.75" customHeight="1">
      <c r="A342" s="1" t="str">
        <f>IFERROR(__xludf.DUMMYFUNCTION("""COMPUTED_VALUE"""),"21098")</f>
        <v>21098</v>
      </c>
      <c r="B342" s="2">
        <f>IFERROR(__xludf.DUMMYFUNCTION("""COMPUTED_VALUE"""),21098.0)</f>
        <v>21098</v>
      </c>
      <c r="C342" s="3" t="str">
        <f>IFERROR(__xludf.DUMMYFUNCTION("""COMPUTED_VALUE"""),"MBC ซอยเอกชัย 99/1")</f>
        <v>MBC ซอยเอกชัย 99/1</v>
      </c>
      <c r="D342" s="3" t="str">
        <f>IFERROR(__xludf.DUMMYFUNCTION("""COMPUTED_VALUE"""),"BCM SOI EKACHAI99/1")</f>
        <v>BCM SOI EKACHAI99/1</v>
      </c>
      <c r="E342" s="1" t="str">
        <f>IFERROR(__xludf.DUMMYFUNCTION("""COMPUTED_VALUE"""),"บิ๊กซี MINI")</f>
        <v>บิ๊กซี MINI</v>
      </c>
      <c r="F342" s="1" t="str">
        <f>IFERROR(__xludf.DUMMYFUNCTION("""COMPUTED_VALUE"""),"291008")</f>
        <v>291008</v>
      </c>
      <c r="G342" s="1" t="str">
        <f>IFERROR(__xludf.DUMMYFUNCTION("""COMPUTED_VALUE"""),"น.ส.รัชดาพร อีศรัตน์")</f>
        <v>น.ส.รัชดาพร อีศรัตน์</v>
      </c>
      <c r="H342" s="1" t="str">
        <f>IFERROR(__xludf.DUMMYFUNCTION("""COMPUTED_VALUE"""),"250921")</f>
        <v>250921</v>
      </c>
      <c r="I342" s="1" t="str">
        <f>IFERROR(__xludf.DUMMYFUNCTION("""COMPUTED_VALUE"""),"นายปรัชญาวัต ถิระสังวร")</f>
        <v>นายปรัชญาวัต ถิระสังวร</v>
      </c>
      <c r="J342" s="3">
        <f>IFERROR(__xludf.DUMMYFUNCTION("""COMPUTED_VALUE"""),296728.0)</f>
        <v>296728</v>
      </c>
      <c r="K342" s="3" t="str">
        <f>IFERROR(__xludf.DUMMYFUNCTION("""COMPUTED_VALUE"""),"นายธิติ บัวทองรังสิมา")</f>
        <v>นายธิติ บัวทองรังสิมา</v>
      </c>
      <c r="L342" s="1" t="str">
        <f>IFERROR(__xludf.DUMMYFUNCTION("""COMPUTED_VALUE"""),"นายธิติ บัวทองรังสิมา")</f>
        <v>นายธิติ บัวทองรังสิมา</v>
      </c>
      <c r="M342" s="1" t="str">
        <f>IFERROR(__xludf.DUMMYFUNCTION("""COMPUTED_VALUE"""),"0920849994")</f>
        <v>0920849994</v>
      </c>
      <c r="N342" s="3">
        <f>IFERROR(__xludf.DUMMYFUNCTION("""COMPUTED_VALUE"""),21012.0)</f>
        <v>21012</v>
      </c>
      <c r="O342" s="3" t="str">
        <f>IFERROR(__xludf.DUMMYFUNCTION("""COMPUTED_VALUE"""),"MBC ท่าอิฐ")</f>
        <v>MBC ท่าอิฐ</v>
      </c>
      <c r="P342" s="4">
        <f>IFERROR(__xludf.DUMMYFUNCTION("""COMPUTED_VALUE"""),41233.0)</f>
        <v>41233</v>
      </c>
      <c r="Q342" s="3" t="str">
        <f>IFERROR(__xludf.DUMMYFUNCTION("""COMPUTED_VALUE"""),"I")</f>
        <v>I</v>
      </c>
      <c r="R342" s="3" t="str">
        <f>IFERROR(__xludf.DUMMYFUNCTION("""COMPUTED_VALUE"""),"Small Format")</f>
        <v>Small Format</v>
      </c>
      <c r="S342" s="3" t="str">
        <f>IFERROR(__xludf.DUMMYFUNCTION("""COMPUTED_VALUE"""),"BCM")</f>
        <v>BCM</v>
      </c>
      <c r="T342" s="3" t="str">
        <f>IFERROR(__xludf.DUMMYFUNCTION("""COMPUTED_VALUE"""),"#N/A")</f>
        <v>#N/A</v>
      </c>
      <c r="U342" s="3" t="str">
        <f>IFERROR(__xludf.DUMMYFUNCTION("""COMPUTED_VALUE"""),"#N/A")</f>
        <v>#N/A</v>
      </c>
      <c r="V342" s="3" t="str">
        <f>IFERROR(__xludf.DUMMYFUNCTION("""COMPUTED_VALUE"""),"N")</f>
        <v>N</v>
      </c>
      <c r="W342" s="3">
        <f>IFERROR(__xludf.DUMMYFUNCTION("""COMPUTED_VALUE"""),211095.0)</f>
        <v>211095</v>
      </c>
      <c r="X342" s="3" t="str">
        <f>IFERROR(__xludf.DUMMYFUNCTION("""COMPUTED_VALUE"""),"1117/1 ถนนเอกชัย แขวงบางบอน เขตบางบอน กรุงเทพฯ 10150")</f>
        <v>1117/1 ถนนเอกชัย แขวงบางบอน เขตบางบอน กรุงเทพฯ 10150</v>
      </c>
      <c r="Y342" s="3" t="str">
        <f>IFERROR(__xludf.DUMMYFUNCTION("""COMPUTED_VALUE"""),"ถนนเอกชัย")</f>
        <v>ถนนเอกชัย</v>
      </c>
      <c r="Z342" s="3" t="str">
        <f>IFERROR(__xludf.DUMMYFUNCTION("""COMPUTED_VALUE"""),"บางบอน")</f>
        <v>บางบอน</v>
      </c>
      <c r="AA342" s="3" t="str">
        <f>IFERROR(__xludf.DUMMYFUNCTION("""COMPUTED_VALUE"""),"บางบอน")</f>
        <v>บางบอน</v>
      </c>
      <c r="AB342" s="3" t="str">
        <f>IFERROR(__xludf.DUMMYFUNCTION("""COMPUTED_VALUE"""),"กรุงเทพมหานคร")</f>
        <v>กรุงเทพมหานคร</v>
      </c>
      <c r="AC342" s="3">
        <f>IFERROR(__xludf.DUMMYFUNCTION("""COMPUTED_VALUE"""),10150.0)</f>
        <v>10150</v>
      </c>
      <c r="AD342" s="3">
        <f>IFERROR(__xludf.DUMMYFUNCTION("""COMPUTED_VALUE"""),13.658143)</f>
        <v>13.658143</v>
      </c>
      <c r="AE342" s="3">
        <f>IFERROR(__xludf.DUMMYFUNCTION("""COMPUTED_VALUE"""),100.39744)</f>
        <v>100.39744</v>
      </c>
      <c r="AF342" s="3" t="str">
        <f>IFERROR(__xludf.DUMMYFUNCTION("""COMPUTED_VALUE"""),"MBC ซอยเอกชัย 99/1-21098")</f>
        <v>MBC ซอยเอกชัย 99/1-21098</v>
      </c>
      <c r="AG342" s="3" t="str">
        <f>IFERROR(__xludf.DUMMYFUNCTION("""COMPUTED_VALUE"""),"กลาง")</f>
        <v>กลาง</v>
      </c>
      <c r="AH342" s="3" t="str">
        <f>IFERROR(__xludf.DUMMYFUNCTION("""COMPUTED_VALUE"""),"#N/A")</f>
        <v>#N/A</v>
      </c>
      <c r="AI342" s="3" t="str">
        <f>IFERROR(__xludf.DUMMYFUNCTION("""COMPUTED_VALUE"""),"Out of warranty")</f>
        <v>Out of warranty</v>
      </c>
      <c r="AJ342" s="3">
        <f>IFERROR(__xludf.DUMMYFUNCTION("""COMPUTED_VALUE"""),159.0)</f>
        <v>159</v>
      </c>
      <c r="AK342" s="3" t="str">
        <f>IFERROR(__xludf.DUMMYFUNCTION("""COMPUTED_VALUE"""),"MMS05")</f>
        <v>MMS05</v>
      </c>
      <c r="AL342" s="3"/>
    </row>
    <row r="343" ht="15.75" customHeight="1">
      <c r="A343" s="1" t="str">
        <f>IFERROR(__xludf.DUMMYFUNCTION("""COMPUTED_VALUE"""),"21100")</f>
        <v>21100</v>
      </c>
      <c r="B343" s="2">
        <f>IFERROR(__xludf.DUMMYFUNCTION("""COMPUTED_VALUE"""),21100.0)</f>
        <v>21100</v>
      </c>
      <c r="C343" s="3" t="str">
        <f>IFERROR(__xludf.DUMMYFUNCTION("""COMPUTED_VALUE"""),"MBC พหลโยธิน 54")</f>
        <v>MBC พหลโยธิน 54</v>
      </c>
      <c r="D343" s="3" t="str">
        <f>IFERROR(__xludf.DUMMYFUNCTION("""COMPUTED_VALUE"""),"BCM PHAHOLYOTHIN54")</f>
        <v>BCM PHAHOLYOTHIN54</v>
      </c>
      <c r="E343" s="1" t="str">
        <f>IFERROR(__xludf.DUMMYFUNCTION("""COMPUTED_VALUE"""),"บิ๊กซี MINI")</f>
        <v>บิ๊กซี MINI</v>
      </c>
      <c r="F343" s="1" t="str">
        <f>IFERROR(__xludf.DUMMYFUNCTION("""COMPUTED_VALUE"""),"291008")</f>
        <v>291008</v>
      </c>
      <c r="G343" s="1" t="str">
        <f>IFERROR(__xludf.DUMMYFUNCTION("""COMPUTED_VALUE"""),"น.ส.รัชดาพร อีศรัตน์")</f>
        <v>น.ส.รัชดาพร อีศรัตน์</v>
      </c>
      <c r="H343" s="1" t="str">
        <f>IFERROR(__xludf.DUMMYFUNCTION("""COMPUTED_VALUE"""),"373540")</f>
        <v>373540</v>
      </c>
      <c r="I343" s="1" t="str">
        <f>IFERROR(__xludf.DUMMYFUNCTION("""COMPUTED_VALUE"""),"นายทศพร พึ่งพบ")</f>
        <v>นายทศพร พึ่งพบ</v>
      </c>
      <c r="J343" s="3">
        <f>IFERROR(__xludf.DUMMYFUNCTION("""COMPUTED_VALUE"""),2452378.0)</f>
        <v>2452378</v>
      </c>
      <c r="K343" s="3" t="str">
        <f>IFERROR(__xludf.DUMMYFUNCTION("""COMPUTED_VALUE"""),"นายศักดิ์ดา พวงประดับ")</f>
        <v>นายศักดิ์ดา พวงประดับ</v>
      </c>
      <c r="L343" s="1" t="str">
        <f>IFERROR(__xludf.DUMMYFUNCTION("""COMPUTED_VALUE"""),"11 K.Sakda P.")</f>
        <v>11 K.Sakda P.</v>
      </c>
      <c r="M343" s="1" t="str">
        <f>IFERROR(__xludf.DUMMYFUNCTION("""COMPUTED_VALUE"""),"065-929-1279")</f>
        <v>065-929-1279</v>
      </c>
      <c r="N343" s="3">
        <f>IFERROR(__xludf.DUMMYFUNCTION("""COMPUTED_VALUE"""),21002.0)</f>
        <v>21002</v>
      </c>
      <c r="O343" s="3" t="str">
        <f>IFERROR(__xludf.DUMMYFUNCTION("""COMPUTED_VALUE"""),"MBC อุดมสุข")</f>
        <v>MBC อุดมสุข</v>
      </c>
      <c r="P343" s="4">
        <f>IFERROR(__xludf.DUMMYFUNCTION("""COMPUTED_VALUE"""),41218.0)</f>
        <v>41218</v>
      </c>
      <c r="Q343" s="3" t="str">
        <f>IFERROR(__xludf.DUMMYFUNCTION("""COMPUTED_VALUE"""),"A")</f>
        <v>A</v>
      </c>
      <c r="R343" s="3" t="str">
        <f>IFERROR(__xludf.DUMMYFUNCTION("""COMPUTED_VALUE"""),"Small Format")</f>
        <v>Small Format</v>
      </c>
      <c r="S343" s="3" t="str">
        <f>IFERROR(__xludf.DUMMYFUNCTION("""COMPUTED_VALUE"""),"BCM")</f>
        <v>BCM</v>
      </c>
      <c r="T343" s="3" t="str">
        <f>IFERROR(__xludf.DUMMYFUNCTION("""COMPUTED_VALUE"""),"#N/A")</f>
        <v>#N/A</v>
      </c>
      <c r="U343" s="3" t="str">
        <f>IFERROR(__xludf.DUMMYFUNCTION("""COMPUTED_VALUE"""),"#N/A")</f>
        <v>#N/A</v>
      </c>
      <c r="V343" s="3" t="str">
        <f>IFERROR(__xludf.DUMMYFUNCTION("""COMPUTED_VALUE"""),"N")</f>
        <v>N</v>
      </c>
      <c r="W343" s="3">
        <f>IFERROR(__xludf.DUMMYFUNCTION("""COMPUTED_VALUE"""),211093.0)</f>
        <v>211093</v>
      </c>
      <c r="X343" s="3" t="str">
        <f>IFERROR(__xludf.DUMMYFUNCTION("""COMPUTED_VALUE"""),"33/15 ซอยพหลโยธิน 54/1แยก4(วัดเกาะ) แขวงคลองถนน เขตสายไหม กรุงเทพฯ 10220")</f>
        <v>33/15 ซอยพหลโยธิน 54/1แยก4(วัดเกาะ) แขวงคลองถนน เขตสายไหม กรุงเทพฯ 10220</v>
      </c>
      <c r="Y343" s="3" t="str">
        <f>IFERROR(__xludf.DUMMYFUNCTION("""COMPUTED_VALUE"""),"ซอยพหลโยธิน")</f>
        <v>ซอยพหลโยธิน</v>
      </c>
      <c r="Z343" s="3" t="str">
        <f>IFERROR(__xludf.DUMMYFUNCTION("""COMPUTED_VALUE"""),"คลองถนน")</f>
        <v>คลองถนน</v>
      </c>
      <c r="AA343" s="3" t="str">
        <f>IFERROR(__xludf.DUMMYFUNCTION("""COMPUTED_VALUE"""),"สายไหม")</f>
        <v>สายไหม</v>
      </c>
      <c r="AB343" s="3" t="str">
        <f>IFERROR(__xludf.DUMMYFUNCTION("""COMPUTED_VALUE"""),"กรุงเทพมหานคร")</f>
        <v>กรุงเทพมหานคร</v>
      </c>
      <c r="AC343" s="3">
        <f>IFERROR(__xludf.DUMMYFUNCTION("""COMPUTED_VALUE"""),10220.0)</f>
        <v>10220</v>
      </c>
      <c r="AD343" s="3">
        <f>IFERROR(__xludf.DUMMYFUNCTION("""COMPUTED_VALUE"""),13.906617)</f>
        <v>13.906617</v>
      </c>
      <c r="AE343" s="3">
        <f>IFERROR(__xludf.DUMMYFUNCTION("""COMPUTED_VALUE"""),100.628901)</f>
        <v>100.628901</v>
      </c>
      <c r="AF343" s="3" t="str">
        <f>IFERROR(__xludf.DUMMYFUNCTION("""COMPUTED_VALUE"""),"MBC พหลโยธิน 54-21100")</f>
        <v>MBC พหลโยธิน 54-21100</v>
      </c>
      <c r="AG343" s="3" t="str">
        <f>IFERROR(__xludf.DUMMYFUNCTION("""COMPUTED_VALUE"""),"กลาง")</f>
        <v>กลาง</v>
      </c>
      <c r="AH343" s="3" t="str">
        <f>IFERROR(__xludf.DUMMYFUNCTION("""COMPUTED_VALUE"""),"#N/A")</f>
        <v>#N/A</v>
      </c>
      <c r="AI343" s="3" t="str">
        <f>IFERROR(__xludf.DUMMYFUNCTION("""COMPUTED_VALUE"""),"Out of warranty")</f>
        <v>Out of warranty</v>
      </c>
      <c r="AJ343" s="3">
        <f>IFERROR(__xludf.DUMMYFUNCTION("""COMPUTED_VALUE"""),159.0)</f>
        <v>159</v>
      </c>
      <c r="AK343" s="3" t="str">
        <f>IFERROR(__xludf.DUMMYFUNCTION("""COMPUTED_VALUE"""),"MMS01")</f>
        <v>MMS01</v>
      </c>
      <c r="AL343" s="3"/>
    </row>
    <row r="344" ht="15.75" customHeight="1">
      <c r="A344" s="1" t="str">
        <f>IFERROR(__xludf.DUMMYFUNCTION("""COMPUTED_VALUE"""),"21101")</f>
        <v>21101</v>
      </c>
      <c r="B344" s="2">
        <f>IFERROR(__xludf.DUMMYFUNCTION("""COMPUTED_VALUE"""),21101.0)</f>
        <v>21101</v>
      </c>
      <c r="C344" s="3" t="str">
        <f>IFERROR(__xludf.DUMMYFUNCTION("""COMPUTED_VALUE"""),"MBC ตลาดวังน้อย")</f>
        <v>MBC ตลาดวังน้อย</v>
      </c>
      <c r="D344" s="3" t="str">
        <f>IFERROR(__xludf.DUMMYFUNCTION("""COMPUTED_VALUE"""),"BCM TARAD WANGNOI")</f>
        <v>BCM TARAD WANGNOI</v>
      </c>
      <c r="E344" s="1" t="str">
        <f>IFERROR(__xludf.DUMMYFUNCTION("""COMPUTED_VALUE"""),"บิ๊กซี MINI")</f>
        <v>บิ๊กซี MINI</v>
      </c>
      <c r="F344" s="1" t="str">
        <f>IFERROR(__xludf.DUMMYFUNCTION("""COMPUTED_VALUE"""),"296229")</f>
        <v>296229</v>
      </c>
      <c r="G344" s="1" t="str">
        <f>IFERROR(__xludf.DUMMYFUNCTION("""COMPUTED_VALUE"""),"นายทนงศักดิ์ บุญมา")</f>
        <v>นายทนงศักดิ์ บุญมา</v>
      </c>
      <c r="H344" s="1" t="str">
        <f>IFERROR(__xludf.DUMMYFUNCTION("""COMPUTED_VALUE"""),"211363")</f>
        <v>211363</v>
      </c>
      <c r="I344" s="1" t="str">
        <f>IFERROR(__xludf.DUMMYFUNCTION("""COMPUTED_VALUE"""),"นายสามารถ บุญลับ")</f>
        <v>นายสามารถ บุญลับ</v>
      </c>
      <c r="J344" s="3">
        <f>IFERROR(__xludf.DUMMYFUNCTION("""COMPUTED_VALUE"""),46214.0)</f>
        <v>46214</v>
      </c>
      <c r="K344" s="3" t="str">
        <f>IFERROR(__xludf.DUMMYFUNCTION("""COMPUTED_VALUE"""),"นายศักดิ์ชัย เด็ดดอกฟ้า")</f>
        <v>นายศักดิ์ชัย เด็ดดอกฟ้า</v>
      </c>
      <c r="L344" s="1" t="str">
        <f>IFERROR(__xludf.DUMMYFUNCTION("""COMPUTED_VALUE"""),"02 K.Sakchai D")</f>
        <v>02 K.Sakchai D</v>
      </c>
      <c r="M344" s="1" t="str">
        <f>IFERROR(__xludf.DUMMYFUNCTION("""COMPUTED_VALUE"""),"065-510-7376")</f>
        <v>065-510-7376</v>
      </c>
      <c r="N344" s="3">
        <f>IFERROR(__xludf.DUMMYFUNCTION("""COMPUTED_VALUE"""),21714.0)</f>
        <v>21714</v>
      </c>
      <c r="O344" s="3" t="str">
        <f>IFERROR(__xludf.DUMMYFUNCTION("""COMPUTED_VALUE"""),"MBC เอสโซ่ วัดโบสถ์")</f>
        <v>MBC เอสโซ่ วัดโบสถ์</v>
      </c>
      <c r="P344" s="4">
        <f>IFERROR(__xludf.DUMMYFUNCTION("""COMPUTED_VALUE"""),41233.0)</f>
        <v>41233</v>
      </c>
      <c r="Q344" s="3" t="str">
        <f>IFERROR(__xludf.DUMMYFUNCTION("""COMPUTED_VALUE"""),"A")</f>
        <v>A</v>
      </c>
      <c r="R344" s="3" t="str">
        <f>IFERROR(__xludf.DUMMYFUNCTION("""COMPUTED_VALUE"""),"Small Format")</f>
        <v>Small Format</v>
      </c>
      <c r="S344" s="3" t="str">
        <f>IFERROR(__xludf.DUMMYFUNCTION("""COMPUTED_VALUE"""),"BCM")</f>
        <v>BCM</v>
      </c>
      <c r="T344" s="3" t="str">
        <f>IFERROR(__xludf.DUMMYFUNCTION("""COMPUTED_VALUE"""),"#N/A")</f>
        <v>#N/A</v>
      </c>
      <c r="U344" s="3" t="str">
        <f>IFERROR(__xludf.DUMMYFUNCTION("""COMPUTED_VALUE"""),"#N/A")</f>
        <v>#N/A</v>
      </c>
      <c r="V344" s="3" t="str">
        <f>IFERROR(__xludf.DUMMYFUNCTION("""COMPUTED_VALUE"""),"N")</f>
        <v>N</v>
      </c>
      <c r="W344" s="3">
        <f>IFERROR(__xludf.DUMMYFUNCTION("""COMPUTED_VALUE"""),211096.0)</f>
        <v>211096</v>
      </c>
      <c r="X344" s="3" t="str">
        <f>IFERROR(__xludf.DUMMYFUNCTION("""COMPUTED_VALUE"""),"14 หมู่ 7 ตรอกอาคารพาณิชย์ ตำบลลำไทร อำเภอวังน้อย จังหวัดพระนครศรีอยุธยา 13170")</f>
        <v>14 หมู่ 7 ตรอกอาคารพาณิชย์ ตำบลลำไทร อำเภอวังน้อย จังหวัดพระนครศรีอยุธยา 13170</v>
      </c>
      <c r="Y344" s="3"/>
      <c r="Z344" s="3" t="str">
        <f>IFERROR(__xludf.DUMMYFUNCTION("""COMPUTED_VALUE"""),"ลำไทร")</f>
        <v>ลำไทร</v>
      </c>
      <c r="AA344" s="3" t="str">
        <f>IFERROR(__xludf.DUMMYFUNCTION("""COMPUTED_VALUE"""),"วังน้อย")</f>
        <v>วังน้อย</v>
      </c>
      <c r="AB344" s="3" t="str">
        <f>IFERROR(__xludf.DUMMYFUNCTION("""COMPUTED_VALUE"""),"พระนครศรีอยุธยา")</f>
        <v>พระนครศรีอยุธยา</v>
      </c>
      <c r="AC344" s="3">
        <f>IFERROR(__xludf.DUMMYFUNCTION("""COMPUTED_VALUE"""),13170.0)</f>
        <v>13170</v>
      </c>
      <c r="AD344" s="3">
        <f>IFERROR(__xludf.DUMMYFUNCTION("""COMPUTED_VALUE"""),14.23198)</f>
        <v>14.23198</v>
      </c>
      <c r="AE344" s="3">
        <f>IFERROR(__xludf.DUMMYFUNCTION("""COMPUTED_VALUE"""),100.718061)</f>
        <v>100.718061</v>
      </c>
      <c r="AF344" s="3" t="str">
        <f>IFERROR(__xludf.DUMMYFUNCTION("""COMPUTED_VALUE"""),"MBC ตลาดวังน้อย-21101")</f>
        <v>MBC ตลาดวังน้อย-21101</v>
      </c>
      <c r="AG344" s="3" t="str">
        <f>IFERROR(__xludf.DUMMYFUNCTION("""COMPUTED_VALUE"""),"กลาง")</f>
        <v>กลาง</v>
      </c>
      <c r="AH344" s="3" t="str">
        <f>IFERROR(__xludf.DUMMYFUNCTION("""COMPUTED_VALUE"""),"#N/A")</f>
        <v>#N/A</v>
      </c>
      <c r="AI344" s="3" t="str">
        <f>IFERROR(__xludf.DUMMYFUNCTION("""COMPUTED_VALUE"""),"Out of warranty")</f>
        <v>Out of warranty</v>
      </c>
      <c r="AJ344" s="3">
        <f>IFERROR(__xludf.DUMMYFUNCTION("""COMPUTED_VALUE"""),159.0)</f>
        <v>159</v>
      </c>
      <c r="AK344" s="3" t="str">
        <f>IFERROR(__xludf.DUMMYFUNCTION("""COMPUTED_VALUE"""),"MMS04")</f>
        <v>MMS04</v>
      </c>
      <c r="AL344" s="3"/>
    </row>
    <row r="345" ht="15.75" customHeight="1">
      <c r="A345" s="1" t="str">
        <f>IFERROR(__xludf.DUMMYFUNCTION("""COMPUTED_VALUE"""),"21102")</f>
        <v>21102</v>
      </c>
      <c r="B345" s="2">
        <f>IFERROR(__xludf.DUMMYFUNCTION("""COMPUTED_VALUE"""),21102.0)</f>
        <v>21102</v>
      </c>
      <c r="C345" s="3" t="str">
        <f>IFERROR(__xludf.DUMMYFUNCTION("""COMPUTED_VALUE"""),"MBC ท่าเรือ")</f>
        <v>MBC ท่าเรือ</v>
      </c>
      <c r="D345" s="3" t="str">
        <f>IFERROR(__xludf.DUMMYFUNCTION("""COMPUTED_VALUE"""),"BCM THARUE")</f>
        <v>BCM THARUE</v>
      </c>
      <c r="E345" s="1" t="str">
        <f>IFERROR(__xludf.DUMMYFUNCTION("""COMPUTED_VALUE"""),"บิ๊กซี MINI")</f>
        <v>บิ๊กซี MINI</v>
      </c>
      <c r="F345" s="1" t="str">
        <f>IFERROR(__xludf.DUMMYFUNCTION("""COMPUTED_VALUE"""),"296229")</f>
        <v>296229</v>
      </c>
      <c r="G345" s="1" t="str">
        <f>IFERROR(__xludf.DUMMYFUNCTION("""COMPUTED_VALUE"""),"นายทนงศักดิ์ บุญมา")</f>
        <v>นายทนงศักดิ์ บุญมา</v>
      </c>
      <c r="H345" s="1" t="str">
        <f>IFERROR(__xludf.DUMMYFUNCTION("""COMPUTED_VALUE"""),"318233")</f>
        <v>318233</v>
      </c>
      <c r="I345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345" s="3">
        <f>IFERROR(__xludf.DUMMYFUNCTION("""COMPUTED_VALUE"""),46214.0)</f>
        <v>46214</v>
      </c>
      <c r="K345" s="3" t="str">
        <f>IFERROR(__xludf.DUMMYFUNCTION("""COMPUTED_VALUE"""),"นายศักดิ์ชัย เด็ดดอกฟ้า")</f>
        <v>นายศักดิ์ชัย เด็ดดอกฟ้า</v>
      </c>
      <c r="L345" s="1" t="str">
        <f>IFERROR(__xludf.DUMMYFUNCTION("""COMPUTED_VALUE"""),"02 K.Sakchai D")</f>
        <v>02 K.Sakchai D</v>
      </c>
      <c r="M345" s="1" t="str">
        <f>IFERROR(__xludf.DUMMYFUNCTION("""COMPUTED_VALUE"""),"065-510-7376")</f>
        <v>065-510-7376</v>
      </c>
      <c r="N345" s="3">
        <f>IFERROR(__xludf.DUMMYFUNCTION("""COMPUTED_VALUE"""),21714.0)</f>
        <v>21714</v>
      </c>
      <c r="O345" s="3" t="str">
        <f>IFERROR(__xludf.DUMMYFUNCTION("""COMPUTED_VALUE"""),"MBC เอสโซ่ วัดโบสถ์")</f>
        <v>MBC เอสโซ่ วัดโบสถ์</v>
      </c>
      <c r="P345" s="4">
        <f>IFERROR(__xludf.DUMMYFUNCTION("""COMPUTED_VALUE"""),41234.0)</f>
        <v>41234</v>
      </c>
      <c r="Q345" s="3" t="str">
        <f>IFERROR(__xludf.DUMMYFUNCTION("""COMPUTED_VALUE"""),"I")</f>
        <v>I</v>
      </c>
      <c r="R345" s="3" t="str">
        <f>IFERROR(__xludf.DUMMYFUNCTION("""COMPUTED_VALUE"""),"Small Format")</f>
        <v>Small Format</v>
      </c>
      <c r="S345" s="3" t="str">
        <f>IFERROR(__xludf.DUMMYFUNCTION("""COMPUTED_VALUE"""),"BCM")</f>
        <v>BCM</v>
      </c>
      <c r="T345" s="3" t="str">
        <f>IFERROR(__xludf.DUMMYFUNCTION("""COMPUTED_VALUE"""),"#N/A")</f>
        <v>#N/A</v>
      </c>
      <c r="U345" s="3" t="str">
        <f>IFERROR(__xludf.DUMMYFUNCTION("""COMPUTED_VALUE"""),"#N/A")</f>
        <v>#N/A</v>
      </c>
      <c r="V345" s="3" t="str">
        <f>IFERROR(__xludf.DUMMYFUNCTION("""COMPUTED_VALUE"""),"N")</f>
        <v>N</v>
      </c>
      <c r="W345" s="3">
        <f>IFERROR(__xludf.DUMMYFUNCTION("""COMPUTED_VALUE"""),211097.0)</f>
        <v>211097</v>
      </c>
      <c r="X345" s="3" t="str">
        <f>IFERROR(__xludf.DUMMYFUNCTION("""COMPUTED_VALUE"""),"1/14 ถนนท่าเรือ-พระพุทธบาท ตำบลท่าเรือ อำเภอท่าเรือ จังหวัดพระนครศรีอยุธยา 13130")</f>
        <v>1/14 ถนนท่าเรือ-พระพุทธบาท ตำบลท่าเรือ อำเภอท่าเรือ จังหวัดพระนครศรีอยุธยา 13130</v>
      </c>
      <c r="Y345" s="3" t="str">
        <f>IFERROR(__xludf.DUMMYFUNCTION("""COMPUTED_VALUE"""),"ถนนท่าเรือ-พระพุทธบาท")</f>
        <v>ถนนท่าเรือ-พระพุทธบาท</v>
      </c>
      <c r="Z345" s="3" t="str">
        <f>IFERROR(__xludf.DUMMYFUNCTION("""COMPUTED_VALUE"""),"ท่าเรือ")</f>
        <v>ท่าเรือ</v>
      </c>
      <c r="AA345" s="3" t="str">
        <f>IFERROR(__xludf.DUMMYFUNCTION("""COMPUTED_VALUE"""),"ท่าเรือ")</f>
        <v>ท่าเรือ</v>
      </c>
      <c r="AB345" s="3" t="str">
        <f>IFERROR(__xludf.DUMMYFUNCTION("""COMPUTED_VALUE"""),"พระนครศรีอยุธยา")</f>
        <v>พระนครศรีอยุธยา</v>
      </c>
      <c r="AC345" s="3">
        <f>IFERROR(__xludf.DUMMYFUNCTION("""COMPUTED_VALUE"""),13130.0)</f>
        <v>13130</v>
      </c>
      <c r="AD345" s="3">
        <f>IFERROR(__xludf.DUMMYFUNCTION("""COMPUTED_VALUE"""),14.566542)</f>
        <v>14.566542</v>
      </c>
      <c r="AE345" s="3">
        <f>IFERROR(__xludf.DUMMYFUNCTION("""COMPUTED_VALUE"""),100.725969)</f>
        <v>100.725969</v>
      </c>
      <c r="AF345" s="3" t="str">
        <f>IFERROR(__xludf.DUMMYFUNCTION("""COMPUTED_VALUE"""),"MBC ท่าเรือ-21102")</f>
        <v>MBC ท่าเรือ-21102</v>
      </c>
      <c r="AG345" s="3" t="str">
        <f>IFERROR(__xludf.DUMMYFUNCTION("""COMPUTED_VALUE"""),"กลาง")</f>
        <v>กลาง</v>
      </c>
      <c r="AH345" s="3" t="str">
        <f>IFERROR(__xludf.DUMMYFUNCTION("""COMPUTED_VALUE"""),"#N/A")</f>
        <v>#N/A</v>
      </c>
      <c r="AI345" s="3" t="str">
        <f>IFERROR(__xludf.DUMMYFUNCTION("""COMPUTED_VALUE"""),"Out of warranty")</f>
        <v>Out of warranty</v>
      </c>
      <c r="AJ345" s="3">
        <f>IFERROR(__xludf.DUMMYFUNCTION("""COMPUTED_VALUE"""),158.0)</f>
        <v>158</v>
      </c>
      <c r="AK345" s="3" t="str">
        <f>IFERROR(__xludf.DUMMYFUNCTION("""COMPUTED_VALUE"""),"MMS09")</f>
        <v>MMS09</v>
      </c>
      <c r="AL345" s="3"/>
    </row>
    <row r="346" ht="15.75" customHeight="1">
      <c r="A346" s="1" t="str">
        <f>IFERROR(__xludf.DUMMYFUNCTION("""COMPUTED_VALUE"""),"21103")</f>
        <v>21103</v>
      </c>
      <c r="B346" s="2">
        <f>IFERROR(__xludf.DUMMYFUNCTION("""COMPUTED_VALUE"""),21103.0)</f>
        <v>21103</v>
      </c>
      <c r="C346" s="3" t="str">
        <f>IFERROR(__xludf.DUMMYFUNCTION("""COMPUTED_VALUE"""),"MBC สยามคันทรีคลับ")</f>
        <v>MBC สยามคันทรีคลับ</v>
      </c>
      <c r="D346" s="3" t="str">
        <f>IFERROR(__xludf.DUMMYFUNCTION("""COMPUTED_VALUE"""),"BCM SIAM COUNTRY CLUB")</f>
        <v>BCM SIAM COUNTRY CLUB</v>
      </c>
      <c r="E346" s="1" t="str">
        <f>IFERROR(__xludf.DUMMYFUNCTION("""COMPUTED_VALUE"""),"บิ๊กซี MINI")</f>
        <v>บิ๊กซี MINI</v>
      </c>
      <c r="F346" s="1" t="str">
        <f>IFERROR(__xludf.DUMMYFUNCTION("""COMPUTED_VALUE"""),"221716")</f>
        <v>221716</v>
      </c>
      <c r="G346" s="1" t="str">
        <f>IFERROR(__xludf.DUMMYFUNCTION("""COMPUTED_VALUE"""),"น.ส.เบญจพร โพธิสาร")</f>
        <v>น.ส.เบญจพร โพธิสาร</v>
      </c>
      <c r="H346" s="1" t="str">
        <f>IFERROR(__xludf.DUMMYFUNCTION("""COMPUTED_VALUE"""),"291061")</f>
        <v>291061</v>
      </c>
      <c r="I346" s="1" t="str">
        <f>IFERROR(__xludf.DUMMYFUNCTION("""COMPUTED_VALUE"""),"นายสมศักดิ์ เสียงก้อง")</f>
        <v>นายสมศักดิ์ เสียงก้อง</v>
      </c>
      <c r="J346" s="3">
        <f>IFERROR(__xludf.DUMMYFUNCTION("""COMPUTED_VALUE"""),296942.0)</f>
        <v>296942</v>
      </c>
      <c r="K346" s="3" t="str">
        <f>IFERROR(__xludf.DUMMYFUNCTION("""COMPUTED_VALUE"""),"นายปิยะ รักษากิจ")</f>
        <v>นายปิยะ รักษากิจ</v>
      </c>
      <c r="L346" s="3" t="str">
        <f>IFERROR(__xludf.DUMMYFUNCTION("""COMPUTED_VALUE"""),"07 K.Piya R.")</f>
        <v>07 K.Piya R.</v>
      </c>
      <c r="M346" s="1" t="str">
        <f>IFERROR(__xludf.DUMMYFUNCTION("""COMPUTED_VALUE"""),"097-919-5476")</f>
        <v>097-919-5476</v>
      </c>
      <c r="N346" s="3">
        <f>IFERROR(__xludf.DUMMYFUNCTION("""COMPUTED_VALUE"""),21332.0)</f>
        <v>21332</v>
      </c>
      <c r="O346" s="3" t="str">
        <f>IFERROR(__xludf.DUMMYFUNCTION("""COMPUTED_VALUE"""),"MBC BCP อ่อนนุช 17/1")</f>
        <v>MBC BCP อ่อนนุช 17/1</v>
      </c>
      <c r="P346" s="4">
        <f>IFERROR(__xludf.DUMMYFUNCTION("""COMPUTED_VALUE"""),41243.0)</f>
        <v>41243</v>
      </c>
      <c r="Q346" s="3" t="str">
        <f>IFERROR(__xludf.DUMMYFUNCTION("""COMPUTED_VALUE"""),"A")</f>
        <v>A</v>
      </c>
      <c r="R346" s="3" t="str">
        <f>IFERROR(__xludf.DUMMYFUNCTION("""COMPUTED_VALUE"""),"Small Format")</f>
        <v>Small Format</v>
      </c>
      <c r="S346" s="3" t="str">
        <f>IFERROR(__xludf.DUMMYFUNCTION("""COMPUTED_VALUE"""),"BCM")</f>
        <v>BCM</v>
      </c>
      <c r="T346" s="3" t="str">
        <f>IFERROR(__xludf.DUMMYFUNCTION("""COMPUTED_VALUE"""),"#N/A")</f>
        <v>#N/A</v>
      </c>
      <c r="U346" s="3" t="str">
        <f>IFERROR(__xludf.DUMMYFUNCTION("""COMPUTED_VALUE"""),"#N/A")</f>
        <v>#N/A</v>
      </c>
      <c r="V346" s="3" t="str">
        <f>IFERROR(__xludf.DUMMYFUNCTION("""COMPUTED_VALUE"""),"N")</f>
        <v>N</v>
      </c>
      <c r="W346" s="3">
        <f>IFERROR(__xludf.DUMMYFUNCTION("""COMPUTED_VALUE"""),211098.0)</f>
        <v>211098</v>
      </c>
      <c r="X346" s="3" t="str">
        <f>IFERROR(__xludf.DUMMYFUNCTION("""COMPUTED_VALUE"""),"244/163 หมู่ 6 ตำบลหนองปรือ อำเภอบางละมุง จังหวัดชลบุรี 20150")</f>
        <v>244/163 หมู่ 6 ตำบลหนองปรือ อำเภอบางละมุง จังหวัดชลบุรี 20150</v>
      </c>
      <c r="Y346" s="3"/>
      <c r="Z346" s="3" t="str">
        <f>IFERROR(__xludf.DUMMYFUNCTION("""COMPUTED_VALUE"""),"หนองปรือ")</f>
        <v>หนองปรือ</v>
      </c>
      <c r="AA346" s="3" t="str">
        <f>IFERROR(__xludf.DUMMYFUNCTION("""COMPUTED_VALUE"""),"บางละมุง")</f>
        <v>บางละมุง</v>
      </c>
      <c r="AB346" s="3" t="str">
        <f>IFERROR(__xludf.DUMMYFUNCTION("""COMPUTED_VALUE"""),"ชลบุรี")</f>
        <v>ชลบุรี</v>
      </c>
      <c r="AC346" s="3">
        <f>IFERROR(__xludf.DUMMYFUNCTION("""COMPUTED_VALUE"""),20150.0)</f>
        <v>20150</v>
      </c>
      <c r="AD346" s="3">
        <f>IFERROR(__xludf.DUMMYFUNCTION("""COMPUTED_VALUE"""),12.940542)</f>
        <v>12.940542</v>
      </c>
      <c r="AE346" s="3">
        <f>IFERROR(__xludf.DUMMYFUNCTION("""COMPUTED_VALUE"""),100.920398)</f>
        <v>100.920398</v>
      </c>
      <c r="AF346" s="3" t="str">
        <f>IFERROR(__xludf.DUMMYFUNCTION("""COMPUTED_VALUE"""),"MBC สยามคันทรีคลับ-21103")</f>
        <v>MBC สยามคันทรีคลับ-21103</v>
      </c>
      <c r="AG346" s="3" t="str">
        <f>IFERROR(__xludf.DUMMYFUNCTION("""COMPUTED_VALUE"""),"ตะวันออก")</f>
        <v>ตะวันออก</v>
      </c>
      <c r="AH346" s="3" t="str">
        <f>IFERROR(__xludf.DUMMYFUNCTION("""COMPUTED_VALUE"""),"#N/A")</f>
        <v>#N/A</v>
      </c>
      <c r="AI346" s="3" t="str">
        <f>IFERROR(__xludf.DUMMYFUNCTION("""COMPUTED_VALUE"""),"Out of warranty")</f>
        <v>Out of warranty</v>
      </c>
      <c r="AJ346" s="3">
        <f>IFERROR(__xludf.DUMMYFUNCTION("""COMPUTED_VALUE"""),158.0)</f>
        <v>158</v>
      </c>
      <c r="AK346" s="3" t="str">
        <f>IFERROR(__xludf.DUMMYFUNCTION("""COMPUTED_VALUE"""),"MMS06")</f>
        <v>MMS06</v>
      </c>
      <c r="AL346" s="3"/>
    </row>
    <row r="347" ht="15.75" customHeight="1">
      <c r="A347" s="1" t="str">
        <f>IFERROR(__xludf.DUMMYFUNCTION("""COMPUTED_VALUE"""),"21104")</f>
        <v>21104</v>
      </c>
      <c r="B347" s="2">
        <f>IFERROR(__xludf.DUMMYFUNCTION("""COMPUTED_VALUE"""),21104.0)</f>
        <v>21104</v>
      </c>
      <c r="C347" s="3" t="str">
        <f>IFERROR(__xludf.DUMMYFUNCTION("""COMPUTED_VALUE"""),"MBC ลาดพร้าว 80")</f>
        <v>MBC ลาดพร้าว 80</v>
      </c>
      <c r="D347" s="3" t="str">
        <f>IFERROR(__xludf.DUMMYFUNCTION("""COMPUTED_VALUE"""),"BCM LADPRAO80")</f>
        <v>BCM LADPRAO80</v>
      </c>
      <c r="E347" s="1" t="str">
        <f>IFERROR(__xludf.DUMMYFUNCTION("""COMPUTED_VALUE"""),"บิ๊กซี MINI")</f>
        <v>บิ๊กซี MINI</v>
      </c>
      <c r="F347" s="1" t="str">
        <f>IFERROR(__xludf.DUMMYFUNCTION("""COMPUTED_VALUE"""),"291008")</f>
        <v>291008</v>
      </c>
      <c r="G347" s="1" t="str">
        <f>IFERROR(__xludf.DUMMYFUNCTION("""COMPUTED_VALUE"""),"น.ส.รัชดาพร อีศรัตน์")</f>
        <v>น.ส.รัชดาพร อีศรัตน์</v>
      </c>
      <c r="H347" s="1" t="str">
        <f>IFERROR(__xludf.DUMMYFUNCTION("""COMPUTED_VALUE"""),"468773")</f>
        <v>468773</v>
      </c>
      <c r="I347" s="1" t="str">
        <f>IFERROR(__xludf.DUMMYFUNCTION("""COMPUTED_VALUE"""),"น.ส.พรพรรณ แซ่แต้")</f>
        <v>น.ส.พรพรรณ แซ่แต้</v>
      </c>
      <c r="J347" s="3">
        <f>IFERROR(__xludf.DUMMYFUNCTION("""COMPUTED_VALUE"""),2452378.0)</f>
        <v>2452378</v>
      </c>
      <c r="K347" s="3" t="str">
        <f>IFERROR(__xludf.DUMMYFUNCTION("""COMPUTED_VALUE"""),"นายศักดิ์ดา พวงประดับ")</f>
        <v>นายศักดิ์ดา พวงประดับ</v>
      </c>
      <c r="L347" s="1" t="str">
        <f>IFERROR(__xludf.DUMMYFUNCTION("""COMPUTED_VALUE"""),"11 K.Sakda P.")</f>
        <v>11 K.Sakda P.</v>
      </c>
      <c r="M347" s="1" t="str">
        <f>IFERROR(__xludf.DUMMYFUNCTION("""COMPUTED_VALUE"""),"065-929-1279")</f>
        <v>065-929-1279</v>
      </c>
      <c r="N347" s="3">
        <f>IFERROR(__xludf.DUMMYFUNCTION("""COMPUTED_VALUE"""),21002.0)</f>
        <v>21002</v>
      </c>
      <c r="O347" s="3" t="str">
        <f>IFERROR(__xludf.DUMMYFUNCTION("""COMPUTED_VALUE"""),"MBC อุดมสุข")</f>
        <v>MBC อุดมสุข</v>
      </c>
      <c r="P347" s="4">
        <f>IFERROR(__xludf.DUMMYFUNCTION("""COMPUTED_VALUE"""),41246.0)</f>
        <v>41246</v>
      </c>
      <c r="Q347" s="3" t="str">
        <f>IFERROR(__xludf.DUMMYFUNCTION("""COMPUTED_VALUE"""),"A")</f>
        <v>A</v>
      </c>
      <c r="R347" s="3" t="str">
        <f>IFERROR(__xludf.DUMMYFUNCTION("""COMPUTED_VALUE"""),"Small Format")</f>
        <v>Small Format</v>
      </c>
      <c r="S347" s="3" t="str">
        <f>IFERROR(__xludf.DUMMYFUNCTION("""COMPUTED_VALUE"""),"BCM")</f>
        <v>BCM</v>
      </c>
      <c r="T347" s="3" t="str">
        <f>IFERROR(__xludf.DUMMYFUNCTION("""COMPUTED_VALUE"""),"#N/A")</f>
        <v>#N/A</v>
      </c>
      <c r="U347" s="3" t="str">
        <f>IFERROR(__xludf.DUMMYFUNCTION("""COMPUTED_VALUE"""),"#N/A")</f>
        <v>#N/A</v>
      </c>
      <c r="V347" s="3" t="str">
        <f>IFERROR(__xludf.DUMMYFUNCTION("""COMPUTED_VALUE"""),"N")</f>
        <v>N</v>
      </c>
      <c r="W347" s="3">
        <f>IFERROR(__xludf.DUMMYFUNCTION("""COMPUTED_VALUE"""),211099.0)</f>
        <v>211099</v>
      </c>
      <c r="X347" s="3" t="str">
        <f>IFERROR(__xludf.DUMMYFUNCTION("""COMPUTED_VALUE"""),"39/1-3 ซอยลาดพร้าว80 แยก22 แขวงวังทองหลาง เขตวังทองหลาง กรุงเทพฯ 10310")</f>
        <v>39/1-3 ซอยลาดพร้าว80 แยก22 แขวงวังทองหลาง เขตวังทองหลาง กรุงเทพฯ 10310</v>
      </c>
      <c r="Y347" s="3" t="str">
        <f>IFERROR(__xludf.DUMMYFUNCTION("""COMPUTED_VALUE"""),"ซอยลาดพร้าว80")</f>
        <v>ซอยลาดพร้าว80</v>
      </c>
      <c r="Z347" s="3" t="str">
        <f>IFERROR(__xludf.DUMMYFUNCTION("""COMPUTED_VALUE"""),"แยก22")</f>
        <v>แยก22</v>
      </c>
      <c r="AA347" s="3" t="str">
        <f>IFERROR(__xludf.DUMMYFUNCTION("""COMPUTED_VALUE"""),"วังทองหลาง")</f>
        <v>วังทองหลาง</v>
      </c>
      <c r="AB347" s="3" t="str">
        <f>IFERROR(__xludf.DUMMYFUNCTION("""COMPUTED_VALUE"""),"กรุงเทพมหานคร")</f>
        <v>กรุงเทพมหานคร</v>
      </c>
      <c r="AC347" s="3">
        <f>IFERROR(__xludf.DUMMYFUNCTION("""COMPUTED_VALUE"""),10310.0)</f>
        <v>10310</v>
      </c>
      <c r="AD347" s="3">
        <f>IFERROR(__xludf.DUMMYFUNCTION("""COMPUTED_VALUE"""),13.78259)</f>
        <v>13.78259</v>
      </c>
      <c r="AE347" s="3">
        <f>IFERROR(__xludf.DUMMYFUNCTION("""COMPUTED_VALUE"""),100.600664)</f>
        <v>100.600664</v>
      </c>
      <c r="AF347" s="3" t="str">
        <f>IFERROR(__xludf.DUMMYFUNCTION("""COMPUTED_VALUE"""),"MBC ลาดพร้าว 80-21104")</f>
        <v>MBC ลาดพร้าว 80-21104</v>
      </c>
      <c r="AG347" s="3" t="str">
        <f>IFERROR(__xludf.DUMMYFUNCTION("""COMPUTED_VALUE"""),"กลาง")</f>
        <v>กลาง</v>
      </c>
      <c r="AH347" s="3" t="str">
        <f>IFERROR(__xludf.DUMMYFUNCTION("""COMPUTED_VALUE"""),"#N/A")</f>
        <v>#N/A</v>
      </c>
      <c r="AI347" s="3" t="str">
        <f>IFERROR(__xludf.DUMMYFUNCTION("""COMPUTED_VALUE"""),"Out of warranty")</f>
        <v>Out of warranty</v>
      </c>
      <c r="AJ347" s="3">
        <f>IFERROR(__xludf.DUMMYFUNCTION("""COMPUTED_VALUE"""),158.0)</f>
        <v>158</v>
      </c>
      <c r="AK347" s="3" t="str">
        <f>IFERROR(__xludf.DUMMYFUNCTION("""COMPUTED_VALUE"""),"MMS03")</f>
        <v>MMS03</v>
      </c>
      <c r="AL347" s="3"/>
    </row>
    <row r="348" ht="15.75" customHeight="1">
      <c r="A348" s="1" t="str">
        <f>IFERROR(__xludf.DUMMYFUNCTION("""COMPUTED_VALUE"""),"21105")</f>
        <v>21105</v>
      </c>
      <c r="B348" s="2">
        <f>IFERROR(__xludf.DUMMYFUNCTION("""COMPUTED_VALUE"""),21105.0)</f>
        <v>21105</v>
      </c>
      <c r="C348" s="3" t="str">
        <f>IFERROR(__xludf.DUMMYFUNCTION("""COMPUTED_VALUE"""),"MBC ประชาอุทิศ 90")</f>
        <v>MBC ประชาอุทิศ 90</v>
      </c>
      <c r="D348" s="3" t="str">
        <f>IFERROR(__xludf.DUMMYFUNCTION("""COMPUTED_VALUE"""),"BCM PRACHAUTHIT90")</f>
        <v>BCM PRACHAUTHIT90</v>
      </c>
      <c r="E348" s="1" t="str">
        <f>IFERROR(__xludf.DUMMYFUNCTION("""COMPUTED_VALUE"""),"บิ๊กซี MINI")</f>
        <v>บิ๊กซี MINI</v>
      </c>
      <c r="F348" s="1" t="str">
        <f>IFERROR(__xludf.DUMMYFUNCTION("""COMPUTED_VALUE"""),"2083447")</f>
        <v>2083447</v>
      </c>
      <c r="G348" s="1" t="str">
        <f>IFERROR(__xludf.DUMMYFUNCTION("""COMPUTED_VALUE"""),"นายอนุกูล ศรีลัดดา")</f>
        <v>นายอนุกูล ศรีลัดดา</v>
      </c>
      <c r="H348" s="1" t="str">
        <f>IFERROR(__xludf.DUMMYFUNCTION("""COMPUTED_VALUE"""),"379037")</f>
        <v>379037</v>
      </c>
      <c r="I348" s="1" t="str">
        <f>IFERROR(__xludf.DUMMYFUNCTION("""COMPUTED_VALUE"""),"นางแก้วใจ แก้วกาญจน์")</f>
        <v>นางแก้วใจ แก้วกาญจน์</v>
      </c>
      <c r="J348" s="3">
        <f>IFERROR(__xludf.DUMMYFUNCTION("""COMPUTED_VALUE"""),2451655.0)</f>
        <v>2451655</v>
      </c>
      <c r="K348" s="3" t="str">
        <f>IFERROR(__xludf.DUMMYFUNCTION("""COMPUTED_VALUE"""),"นายวิษณุพงษ์ ชินบุตร")</f>
        <v>นายวิษณุพงษ์ ชินบุตร</v>
      </c>
      <c r="L348" s="1" t="str">
        <f>IFERROR(__xludf.DUMMYFUNCTION("""COMPUTED_VALUE"""),"13 K.Wisanupong Ch")</f>
        <v>13 K.Wisanupong Ch</v>
      </c>
      <c r="M348" s="1" t="str">
        <f>IFERROR(__xludf.DUMMYFUNCTION("""COMPUTED_VALUE"""),"0843374693")</f>
        <v>0843374693</v>
      </c>
      <c r="N348" s="3">
        <f>IFERROR(__xludf.DUMMYFUNCTION("""COMPUTED_VALUE"""),21494.0)</f>
        <v>21494</v>
      </c>
      <c r="O348" s="3" t="str">
        <f>IFERROR(__xludf.DUMMYFUNCTION("""COMPUTED_VALUE"""),"MBC บ้านกรด")</f>
        <v>MBC บ้านกรด</v>
      </c>
      <c r="P348" s="4">
        <f>IFERROR(__xludf.DUMMYFUNCTION("""COMPUTED_VALUE"""),41246.0)</f>
        <v>41246</v>
      </c>
      <c r="Q348" s="3" t="str">
        <f>IFERROR(__xludf.DUMMYFUNCTION("""COMPUTED_VALUE"""),"I")</f>
        <v>I</v>
      </c>
      <c r="R348" s="3" t="str">
        <f>IFERROR(__xludf.DUMMYFUNCTION("""COMPUTED_VALUE"""),"Small Format")</f>
        <v>Small Format</v>
      </c>
      <c r="S348" s="3" t="str">
        <f>IFERROR(__xludf.DUMMYFUNCTION("""COMPUTED_VALUE"""),"BCM")</f>
        <v>BCM</v>
      </c>
      <c r="T348" s="3" t="str">
        <f>IFERROR(__xludf.DUMMYFUNCTION("""COMPUTED_VALUE"""),"#N/A")</f>
        <v>#N/A</v>
      </c>
      <c r="U348" s="3" t="str">
        <f>IFERROR(__xludf.DUMMYFUNCTION("""COMPUTED_VALUE"""),"#N/A")</f>
        <v>#N/A</v>
      </c>
      <c r="V348" s="3" t="str">
        <f>IFERROR(__xludf.DUMMYFUNCTION("""COMPUTED_VALUE"""),"N")</f>
        <v>N</v>
      </c>
      <c r="W348" s="3">
        <f>IFERROR(__xludf.DUMMYFUNCTION("""COMPUTED_VALUE"""),211100.0)</f>
        <v>211100</v>
      </c>
      <c r="X348" s="3" t="str">
        <f>IFERROR(__xludf.DUMMYFUNCTION("""COMPUTED_VALUE"""),"463 หมู่ 2 ซอยประชาอุทิศ90 ตำบลบ้านคลองสวน อำเภอพระสมุทรเจดีย์ จังหวัดสมุทรปราการ 10290")</f>
        <v>463 หมู่ 2 ซอยประชาอุทิศ90 ตำบลบ้านคลองสวน อำเภอพระสมุทรเจดีย์ จังหวัดสมุทรปราการ 10290</v>
      </c>
      <c r="Y348" s="3"/>
      <c r="Z348" s="3" t="str">
        <f>IFERROR(__xludf.DUMMYFUNCTION("""COMPUTED_VALUE"""),"คลองสวน")</f>
        <v>คลองสวน</v>
      </c>
      <c r="AA348" s="3" t="str">
        <f>IFERROR(__xludf.DUMMYFUNCTION("""COMPUTED_VALUE"""),"พระสมุทรเจดีย์")</f>
        <v>พระสมุทรเจดีย์</v>
      </c>
      <c r="AB348" s="3" t="str">
        <f>IFERROR(__xludf.DUMMYFUNCTION("""COMPUTED_VALUE"""),"สมุทรปราการ")</f>
        <v>สมุทรปราการ</v>
      </c>
      <c r="AC348" s="3">
        <f>IFERROR(__xludf.DUMMYFUNCTION("""COMPUTED_VALUE"""),10290.0)</f>
        <v>10290</v>
      </c>
      <c r="AD348" s="3">
        <f>IFERROR(__xludf.DUMMYFUNCTION("""COMPUTED_VALUE"""),13.589023)</f>
        <v>13.589023</v>
      </c>
      <c r="AE348" s="3">
        <f>IFERROR(__xludf.DUMMYFUNCTION("""COMPUTED_VALUE"""),100.499924)</f>
        <v>100.499924</v>
      </c>
      <c r="AF348" s="3" t="str">
        <f>IFERROR(__xludf.DUMMYFUNCTION("""COMPUTED_VALUE"""),"MBC ประชาอุทิศ 90-21105")</f>
        <v>MBC ประชาอุทิศ 90-21105</v>
      </c>
      <c r="AG348" s="3" t="str">
        <f>IFERROR(__xludf.DUMMYFUNCTION("""COMPUTED_VALUE"""),"กลาง")</f>
        <v>กลาง</v>
      </c>
      <c r="AH348" s="3" t="str">
        <f>IFERROR(__xludf.DUMMYFUNCTION("""COMPUTED_VALUE"""),"#N/A")</f>
        <v>#N/A</v>
      </c>
      <c r="AI348" s="3" t="str">
        <f>IFERROR(__xludf.DUMMYFUNCTION("""COMPUTED_VALUE"""),"Out of warranty")</f>
        <v>Out of warranty</v>
      </c>
      <c r="AJ348" s="3">
        <f>IFERROR(__xludf.DUMMYFUNCTION("""COMPUTED_VALUE"""),158.0)</f>
        <v>158</v>
      </c>
      <c r="AK348" s="3" t="str">
        <f>IFERROR(__xludf.DUMMYFUNCTION("""COMPUTED_VALUE"""),"MMS02")</f>
        <v>MMS02</v>
      </c>
      <c r="AL348" s="3"/>
    </row>
    <row r="349" ht="15.75" customHeight="1">
      <c r="A349" s="1" t="str">
        <f>IFERROR(__xludf.DUMMYFUNCTION("""COMPUTED_VALUE"""),"21106")</f>
        <v>21106</v>
      </c>
      <c r="B349" s="2">
        <f>IFERROR(__xludf.DUMMYFUNCTION("""COMPUTED_VALUE"""),21106.0)</f>
        <v>21106</v>
      </c>
      <c r="C349" s="3" t="str">
        <f>IFERROR(__xludf.DUMMYFUNCTION("""COMPUTED_VALUE"""),"BCPพหลโยธิน38")</f>
        <v>BCPพหลโยธิน38</v>
      </c>
      <c r="D349" s="3" t="str">
        <f>IFERROR(__xludf.DUMMYFUNCTION("""COMPUTED_VALUE"""),"MBC BCP PHAHOLYOTHIN38")</f>
        <v>MBC BCP PHAHOLYOTHIN38</v>
      </c>
      <c r="E349" s="1" t="str">
        <f>IFERROR(__xludf.DUMMYFUNCTION("""COMPUTED_VALUE"""),"บิ๊กซี MINI")</f>
        <v>บิ๊กซี MINI</v>
      </c>
      <c r="F349" s="1" t="str">
        <f>IFERROR(__xludf.DUMMYFUNCTION("""COMPUTED_VALUE"""),"291008")</f>
        <v>291008</v>
      </c>
      <c r="G349" s="1" t="str">
        <f>IFERROR(__xludf.DUMMYFUNCTION("""COMPUTED_VALUE"""),"น.ส.รัชดาพร อีศรัตน์")</f>
        <v>น.ส.รัชดาพร อีศรัตน์</v>
      </c>
      <c r="H349" s="1" t="str">
        <f>IFERROR(__xludf.DUMMYFUNCTION("""COMPUTED_VALUE"""),"288639")</f>
        <v>288639</v>
      </c>
      <c r="I349" s="1" t="str">
        <f>IFERROR(__xludf.DUMMYFUNCTION("""COMPUTED_VALUE"""),"น.ส.สมหญิง สีชมภู")</f>
        <v>น.ส.สมหญิง สีชมภู</v>
      </c>
      <c r="J349" s="3">
        <f>IFERROR(__xludf.DUMMYFUNCTION("""COMPUTED_VALUE"""),3510104.0)</f>
        <v>3510104</v>
      </c>
      <c r="K349" s="3" t="str">
        <f>IFERROR(__xludf.DUMMYFUNCTION("""COMPUTED_VALUE"""),"นายวิโรจน์ อับดุลสมัด")</f>
        <v>นายวิโรจน์ อับดุลสมัด</v>
      </c>
      <c r="L349" s="1" t="str">
        <f>IFERROR(__xludf.DUMMYFUNCTION("""COMPUTED_VALUE"""),"09 K.Wirode A")</f>
        <v>09 K.Wirode A</v>
      </c>
      <c r="M349" s="1" t="str">
        <f>IFERROR(__xludf.DUMMYFUNCTION("""COMPUTED_VALUE"""),"080-235-4465")</f>
        <v>080-235-4465</v>
      </c>
      <c r="N349" s="3">
        <f>IFERROR(__xludf.DUMMYFUNCTION("""COMPUTED_VALUE"""),21324.0)</f>
        <v>21324</v>
      </c>
      <c r="O349" s="3" t="str">
        <f>IFERROR(__xludf.DUMMYFUNCTION("""COMPUTED_VALUE"""),"MBC BCP สุวินทวงศ์")</f>
        <v>MBC BCP สุวินทวงศ์</v>
      </c>
      <c r="P349" s="4">
        <f>IFERROR(__xludf.DUMMYFUNCTION("""COMPUTED_VALUE"""),41249.0)</f>
        <v>41249</v>
      </c>
      <c r="Q349" s="3" t="str">
        <f>IFERROR(__xludf.DUMMYFUNCTION("""COMPUTED_VALUE"""),"I")</f>
        <v>I</v>
      </c>
      <c r="R349" s="3" t="str">
        <f>IFERROR(__xludf.DUMMYFUNCTION("""COMPUTED_VALUE"""),"Small Format")</f>
        <v>Small Format</v>
      </c>
      <c r="S349" s="3" t="str">
        <f>IFERROR(__xludf.DUMMYFUNCTION("""COMPUTED_VALUE"""),"BCM")</f>
        <v>BCM</v>
      </c>
      <c r="T349" s="3" t="str">
        <f>IFERROR(__xludf.DUMMYFUNCTION("""COMPUTED_VALUE"""),"#N/A")</f>
        <v>#N/A</v>
      </c>
      <c r="U349" s="3" t="str">
        <f>IFERROR(__xludf.DUMMYFUNCTION("""COMPUTED_VALUE"""),"#N/A")</f>
        <v>#N/A</v>
      </c>
      <c r="V349" s="3" t="str">
        <f>IFERROR(__xludf.DUMMYFUNCTION("""COMPUTED_VALUE"""),"N")</f>
        <v>N</v>
      </c>
      <c r="W349" s="3">
        <f>IFERROR(__xludf.DUMMYFUNCTION("""COMPUTED_VALUE"""),0.0)</f>
        <v>0</v>
      </c>
      <c r="X349" s="3" t="str">
        <f>IFERROR(__xludf.DUMMYFUNCTION("""COMPUTED_VALUE"""),"54/4 หมู่ 6 ตำบลคลองหนึ่ง อำเภอคลองหลวง จังหวัดปทุมธานี 12120")</f>
        <v>54/4 หมู่ 6 ตำบลคลองหนึ่ง อำเภอคลองหลวง จังหวัดปทุมธานี 12120</v>
      </c>
      <c r="Y349" s="3"/>
      <c r="Z349" s="3" t="str">
        <f>IFERROR(__xludf.DUMMYFUNCTION("""COMPUTED_VALUE"""),"คลองหนึ่ง")</f>
        <v>คลองหนึ่ง</v>
      </c>
      <c r="AA349" s="3" t="str">
        <f>IFERROR(__xludf.DUMMYFUNCTION("""COMPUTED_VALUE"""),"คลองหลวง")</f>
        <v>คลองหลวง</v>
      </c>
      <c r="AB349" s="3" t="str">
        <f>IFERROR(__xludf.DUMMYFUNCTION("""COMPUTED_VALUE"""),"ปทุมธานี")</f>
        <v>ปทุมธานี</v>
      </c>
      <c r="AC349" s="3">
        <f>IFERROR(__xludf.DUMMYFUNCTION("""COMPUTED_VALUE"""),12120.0)</f>
        <v>12120</v>
      </c>
      <c r="AD349" s="3" t="str">
        <f>IFERROR(__xludf.DUMMYFUNCTION("""COMPUTED_VALUE"""),"#N/A")</f>
        <v>#N/A</v>
      </c>
      <c r="AE349" s="3" t="str">
        <f>IFERROR(__xludf.DUMMYFUNCTION("""COMPUTED_VALUE"""),"#N/A")</f>
        <v>#N/A</v>
      </c>
      <c r="AF349" s="3" t="str">
        <f>IFERROR(__xludf.DUMMYFUNCTION("""COMPUTED_VALUE"""),"BCPพหลโยธิน38-21106")</f>
        <v>BCPพหลโยธิน38-21106</v>
      </c>
      <c r="AG349" s="3" t="str">
        <f>IFERROR(__xludf.DUMMYFUNCTION("""COMPUTED_VALUE"""),"กลาง")</f>
        <v>กลาง</v>
      </c>
      <c r="AH349" s="3" t="str">
        <f>IFERROR(__xludf.DUMMYFUNCTION("""COMPUTED_VALUE"""),"#N/A")</f>
        <v>#N/A</v>
      </c>
      <c r="AI349" s="3" t="str">
        <f>IFERROR(__xludf.DUMMYFUNCTION("""COMPUTED_VALUE"""),"Out of warranty")</f>
        <v>Out of warranty</v>
      </c>
      <c r="AJ349" s="3">
        <f>IFERROR(__xludf.DUMMYFUNCTION("""COMPUTED_VALUE"""),158.0)</f>
        <v>158</v>
      </c>
      <c r="AK349" s="3"/>
      <c r="AL349" s="3"/>
    </row>
    <row r="350" ht="15.75" customHeight="1">
      <c r="A350" s="1" t="str">
        <f>IFERROR(__xludf.DUMMYFUNCTION("""COMPUTED_VALUE"""),"21107")</f>
        <v>21107</v>
      </c>
      <c r="B350" s="2">
        <f>IFERROR(__xludf.DUMMYFUNCTION("""COMPUTED_VALUE"""),21107.0)</f>
        <v>21107</v>
      </c>
      <c r="C350" s="3" t="str">
        <f>IFERROR(__xludf.DUMMYFUNCTION("""COMPUTED_VALUE"""),"MBC BCP สุขุมวิท99")</f>
        <v>MBC BCP สุขุมวิท99</v>
      </c>
      <c r="D350" s="3" t="str">
        <f>IFERROR(__xludf.DUMMYFUNCTION("""COMPUTED_VALUE"""),"MBC BCP SUKHUMVIT99")</f>
        <v>MBC BCP SUKHUMVIT99</v>
      </c>
      <c r="E350" s="1" t="str">
        <f>IFERROR(__xludf.DUMMYFUNCTION("""COMPUTED_VALUE"""),"บิ๊กซี MINI")</f>
        <v>บิ๊กซี MINI</v>
      </c>
      <c r="F350" s="1" t="str">
        <f>IFERROR(__xludf.DUMMYFUNCTION("""COMPUTED_VALUE"""),"291008")</f>
        <v>291008</v>
      </c>
      <c r="G350" s="1" t="str">
        <f>IFERROR(__xludf.DUMMYFUNCTION("""COMPUTED_VALUE"""),"น.ส.รัชดาพร อีศรัตน์")</f>
        <v>น.ส.รัชดาพร อีศรัตน์</v>
      </c>
      <c r="H350" s="1" t="str">
        <f>IFERROR(__xludf.DUMMYFUNCTION("""COMPUTED_VALUE"""),"034068")</f>
        <v>034068</v>
      </c>
      <c r="I350" s="1" t="str">
        <f>IFERROR(__xludf.DUMMYFUNCTION("""COMPUTED_VALUE"""),"นายสมศักดิ์ ฐานทองดี")</f>
        <v>นายสมศักดิ์ ฐานทองดี</v>
      </c>
      <c r="J350" s="3">
        <f>IFERROR(__xludf.DUMMYFUNCTION("""COMPUTED_VALUE"""),3510104.0)</f>
        <v>3510104</v>
      </c>
      <c r="K350" s="3" t="str">
        <f>IFERROR(__xludf.DUMMYFUNCTION("""COMPUTED_VALUE"""),"นายวิโรจน์ อับดุลสมัด")</f>
        <v>นายวิโรจน์ อับดุลสมัด</v>
      </c>
      <c r="L350" s="1" t="str">
        <f>IFERROR(__xludf.DUMMYFUNCTION("""COMPUTED_VALUE"""),"09 K.Wirode A")</f>
        <v>09 K.Wirode A</v>
      </c>
      <c r="M350" s="1" t="str">
        <f>IFERROR(__xludf.DUMMYFUNCTION("""COMPUTED_VALUE"""),"080-235-4465")</f>
        <v>080-235-4465</v>
      </c>
      <c r="N350" s="3">
        <f>IFERROR(__xludf.DUMMYFUNCTION("""COMPUTED_VALUE"""),21324.0)</f>
        <v>21324</v>
      </c>
      <c r="O350" s="3" t="str">
        <f>IFERROR(__xludf.DUMMYFUNCTION("""COMPUTED_VALUE"""),"MBC BCP สุวินทวงศ์")</f>
        <v>MBC BCP สุวินทวงศ์</v>
      </c>
      <c r="P350" s="4">
        <f>IFERROR(__xludf.DUMMYFUNCTION("""COMPUTED_VALUE"""),41249.0)</f>
        <v>41249</v>
      </c>
      <c r="Q350" s="3" t="str">
        <f>IFERROR(__xludf.DUMMYFUNCTION("""COMPUTED_VALUE"""),"I")</f>
        <v>I</v>
      </c>
      <c r="R350" s="3" t="str">
        <f>IFERROR(__xludf.DUMMYFUNCTION("""COMPUTED_VALUE"""),"Small Format")</f>
        <v>Small Format</v>
      </c>
      <c r="S350" s="3" t="str">
        <f>IFERROR(__xludf.DUMMYFUNCTION("""COMPUTED_VALUE"""),"BCM")</f>
        <v>BCM</v>
      </c>
      <c r="T350" s="3" t="str">
        <f>IFERROR(__xludf.DUMMYFUNCTION("""COMPUTED_VALUE"""),"#N/A")</f>
        <v>#N/A</v>
      </c>
      <c r="U350" s="3" t="str">
        <f>IFERROR(__xludf.DUMMYFUNCTION("""COMPUTED_VALUE"""),"#N/A")</f>
        <v>#N/A</v>
      </c>
      <c r="V350" s="3" t="str">
        <f>IFERROR(__xludf.DUMMYFUNCTION("""COMPUTED_VALUE"""),"N")</f>
        <v>N</v>
      </c>
      <c r="W350" s="3">
        <f>IFERROR(__xludf.DUMMYFUNCTION("""COMPUTED_VALUE"""),361006.0)</f>
        <v>361006</v>
      </c>
      <c r="X350" s="3" t="str">
        <f>IFERROR(__xludf.DUMMYFUNCTION("""COMPUTED_VALUE"""),"2999/1 ถนนสุขุมวิท แขวงบางจาก เขตพระโขนง กรุงเทพฯ 10260")</f>
        <v>2999/1 ถนนสุขุมวิท แขวงบางจาก เขตพระโขนง กรุงเทพฯ 10260</v>
      </c>
      <c r="Y350" s="3" t="str">
        <f>IFERROR(__xludf.DUMMYFUNCTION("""COMPUTED_VALUE"""),"ถนนสุขุมวิท")</f>
        <v>ถนนสุขุมวิท</v>
      </c>
      <c r="Z350" s="3" t="str">
        <f>IFERROR(__xludf.DUMMYFUNCTION("""COMPUTED_VALUE"""),"บางจาก")</f>
        <v>บางจาก</v>
      </c>
      <c r="AA350" s="3" t="str">
        <f>IFERROR(__xludf.DUMMYFUNCTION("""COMPUTED_VALUE"""),"พระโขนง")</f>
        <v>พระโขนง</v>
      </c>
      <c r="AB350" s="3" t="str">
        <f>IFERROR(__xludf.DUMMYFUNCTION("""COMPUTED_VALUE"""),"กรุงเทพมหานคร")</f>
        <v>กรุงเทพมหานคร</v>
      </c>
      <c r="AC350" s="3">
        <f>IFERROR(__xludf.DUMMYFUNCTION("""COMPUTED_VALUE"""),10260.0)</f>
        <v>10260</v>
      </c>
      <c r="AD350" s="3">
        <f>IFERROR(__xludf.DUMMYFUNCTION("""COMPUTED_VALUE"""),13.692946)</f>
        <v>13.692946</v>
      </c>
      <c r="AE350" s="3">
        <f>IFERROR(__xludf.DUMMYFUNCTION("""COMPUTED_VALUE"""),100.607573)</f>
        <v>100.607573</v>
      </c>
      <c r="AF350" s="3" t="str">
        <f>IFERROR(__xludf.DUMMYFUNCTION("""COMPUTED_VALUE"""),"MBC BCP สุขุมวิท99-21107")</f>
        <v>MBC BCP สุขุมวิท99-21107</v>
      </c>
      <c r="AG350" s="3" t="str">
        <f>IFERROR(__xludf.DUMMYFUNCTION("""COMPUTED_VALUE"""),"กลาง")</f>
        <v>กลาง</v>
      </c>
      <c r="AH350" s="3" t="str">
        <f>IFERROR(__xludf.DUMMYFUNCTION("""COMPUTED_VALUE"""),"#N/A")</f>
        <v>#N/A</v>
      </c>
      <c r="AI350" s="3" t="str">
        <f>IFERROR(__xludf.DUMMYFUNCTION("""COMPUTED_VALUE"""),"Out of warranty")</f>
        <v>Out of warranty</v>
      </c>
      <c r="AJ350" s="3">
        <f>IFERROR(__xludf.DUMMYFUNCTION("""COMPUTED_VALUE"""),158.0)</f>
        <v>158</v>
      </c>
      <c r="AK350" s="3"/>
      <c r="AL350" s="3"/>
    </row>
    <row r="351" ht="15.75" customHeight="1">
      <c r="A351" s="1" t="str">
        <f>IFERROR(__xludf.DUMMYFUNCTION("""COMPUTED_VALUE"""),"21108")</f>
        <v>21108</v>
      </c>
      <c r="B351" s="2">
        <f>IFERROR(__xludf.DUMMYFUNCTION("""COMPUTED_VALUE"""),21108.0)</f>
        <v>21108</v>
      </c>
      <c r="C351" s="3" t="str">
        <f>IFERROR(__xludf.DUMMYFUNCTION("""COMPUTED_VALUE"""),"MBC เอื้อฯสุวรรณภูมิ")</f>
        <v>MBC เอื้อฯสุวรรณภูมิ</v>
      </c>
      <c r="D351" s="3" t="str">
        <f>IFERROR(__xludf.DUMMYFUNCTION("""COMPUTED_VALUE"""),"BCM AUE SUVARNABHUMI")</f>
        <v>BCM AUE SUVARNABHUMI</v>
      </c>
      <c r="E351" s="1" t="str">
        <f>IFERROR(__xludf.DUMMYFUNCTION("""COMPUTED_VALUE"""),"บิ๊กซี MINI")</f>
        <v>บิ๊กซี MINI</v>
      </c>
      <c r="F351" s="1" t="str">
        <f>IFERROR(__xludf.DUMMYFUNCTION("""COMPUTED_VALUE"""),"2083447")</f>
        <v>2083447</v>
      </c>
      <c r="G351" s="1" t="str">
        <f>IFERROR(__xludf.DUMMYFUNCTION("""COMPUTED_VALUE"""),"นายอนุกูล ศรีลัดดา")</f>
        <v>นายอนุกูล ศรีลัดดา</v>
      </c>
      <c r="H351" s="1" t="str">
        <f>IFERROR(__xludf.DUMMYFUNCTION("""COMPUTED_VALUE"""),"284752")</f>
        <v>284752</v>
      </c>
      <c r="I351" s="1" t="str">
        <f>IFERROR(__xludf.DUMMYFUNCTION("""COMPUTED_VALUE"""),"น.ส.วีรนันท์ แสงใส")</f>
        <v>น.ส.วีรนันท์ แสงใส</v>
      </c>
      <c r="J351" s="3">
        <f>IFERROR(__xludf.DUMMYFUNCTION("""COMPUTED_VALUE"""),2451655.0)</f>
        <v>2451655</v>
      </c>
      <c r="K351" s="3" t="str">
        <f>IFERROR(__xludf.DUMMYFUNCTION("""COMPUTED_VALUE"""),"นายวิษณุพงษ์ ชินบุตร")</f>
        <v>นายวิษณุพงษ์ ชินบุตร</v>
      </c>
      <c r="L351" s="1" t="str">
        <f>IFERROR(__xludf.DUMMYFUNCTION("""COMPUTED_VALUE"""),"13 K.Wisanupong Ch")</f>
        <v>13 K.Wisanupong Ch</v>
      </c>
      <c r="M351" s="1" t="str">
        <f>IFERROR(__xludf.DUMMYFUNCTION("""COMPUTED_VALUE"""),"0843374693")</f>
        <v>0843374693</v>
      </c>
      <c r="N351" s="3">
        <f>IFERROR(__xludf.DUMMYFUNCTION("""COMPUTED_VALUE"""),22729.0)</f>
        <v>22729</v>
      </c>
      <c r="O351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351" s="4">
        <f>IFERROR(__xludf.DUMMYFUNCTION("""COMPUTED_VALUE"""),41250.0)</f>
        <v>41250</v>
      </c>
      <c r="Q351" s="3" t="str">
        <f>IFERROR(__xludf.DUMMYFUNCTION("""COMPUTED_VALUE"""),"A")</f>
        <v>A</v>
      </c>
      <c r="R351" s="3" t="str">
        <f>IFERROR(__xludf.DUMMYFUNCTION("""COMPUTED_VALUE"""),"Small Format")</f>
        <v>Small Format</v>
      </c>
      <c r="S351" s="3" t="str">
        <f>IFERROR(__xludf.DUMMYFUNCTION("""COMPUTED_VALUE"""),"BCM")</f>
        <v>BCM</v>
      </c>
      <c r="T351" s="3" t="str">
        <f>IFERROR(__xludf.DUMMYFUNCTION("""COMPUTED_VALUE"""),"#N/A")</f>
        <v>#N/A</v>
      </c>
      <c r="U351" s="3" t="str">
        <f>IFERROR(__xludf.DUMMYFUNCTION("""COMPUTED_VALUE"""),"#N/A")</f>
        <v>#N/A</v>
      </c>
      <c r="V351" s="3" t="str">
        <f>IFERROR(__xludf.DUMMYFUNCTION("""COMPUTED_VALUE"""),"N")</f>
        <v>N</v>
      </c>
      <c r="W351" s="3">
        <f>IFERROR(__xludf.DUMMYFUNCTION("""COMPUTED_VALUE"""),211102.0)</f>
        <v>211102</v>
      </c>
      <c r="X351" s="3" t="str">
        <f>IFERROR(__xludf.DUMMYFUNCTION("""COMPUTED_VALUE"""),"20/29 หมู่ 7 ตำบลบางโฉลง อำเภอบางพลี จังหวัดสมุทรปราการ 10540")</f>
        <v>20/29 หมู่ 7 ตำบลบางโฉลง อำเภอบางพลี จังหวัดสมุทรปราการ 10540</v>
      </c>
      <c r="Y351" s="3"/>
      <c r="Z351" s="3" t="str">
        <f>IFERROR(__xludf.DUMMYFUNCTION("""COMPUTED_VALUE"""),"บางโฉลง")</f>
        <v>บางโฉลง</v>
      </c>
      <c r="AA351" s="3" t="str">
        <f>IFERROR(__xludf.DUMMYFUNCTION("""COMPUTED_VALUE"""),"บางพลี")</f>
        <v>บางพลี</v>
      </c>
      <c r="AB351" s="3" t="str">
        <f>IFERROR(__xludf.DUMMYFUNCTION("""COMPUTED_VALUE"""),"สมุทรปราการ")</f>
        <v>สมุทรปราการ</v>
      </c>
      <c r="AC351" s="3">
        <f>IFERROR(__xludf.DUMMYFUNCTION("""COMPUTED_VALUE"""),10540.0)</f>
        <v>10540</v>
      </c>
      <c r="AD351" s="3">
        <f>IFERROR(__xludf.DUMMYFUNCTION("""COMPUTED_VALUE"""),13.628949)</f>
        <v>13.628949</v>
      </c>
      <c r="AE351" s="3">
        <f>IFERROR(__xludf.DUMMYFUNCTION("""COMPUTED_VALUE"""),100.756538)</f>
        <v>100.756538</v>
      </c>
      <c r="AF351" s="3" t="str">
        <f>IFERROR(__xludf.DUMMYFUNCTION("""COMPUTED_VALUE"""),"MBC เอื้อฯสุวรรณภูมิ-21108")</f>
        <v>MBC เอื้อฯสุวรรณภูมิ-21108</v>
      </c>
      <c r="AG351" s="3" t="str">
        <f>IFERROR(__xludf.DUMMYFUNCTION("""COMPUTED_VALUE"""),"กลาง")</f>
        <v>กลาง</v>
      </c>
      <c r="AH351" s="3" t="str">
        <f>IFERROR(__xludf.DUMMYFUNCTION("""COMPUTED_VALUE"""),"#N/A")</f>
        <v>#N/A</v>
      </c>
      <c r="AI351" s="3" t="str">
        <f>IFERROR(__xludf.DUMMYFUNCTION("""COMPUTED_VALUE"""),"Out of warranty")</f>
        <v>Out of warranty</v>
      </c>
      <c r="AJ351" s="3">
        <f>IFERROR(__xludf.DUMMYFUNCTION("""COMPUTED_VALUE"""),158.0)</f>
        <v>158</v>
      </c>
      <c r="AK351" s="3" t="str">
        <f>IFERROR(__xludf.DUMMYFUNCTION("""COMPUTED_VALUE"""),"MMS03")</f>
        <v>MMS03</v>
      </c>
      <c r="AL351" s="3"/>
    </row>
    <row r="352" ht="15.75" customHeight="1">
      <c r="A352" s="1" t="str">
        <f>IFERROR(__xludf.DUMMYFUNCTION("""COMPUTED_VALUE"""),"21109")</f>
        <v>21109</v>
      </c>
      <c r="B352" s="2">
        <f>IFERROR(__xludf.DUMMYFUNCTION("""COMPUTED_VALUE"""),21109.0)</f>
        <v>21109</v>
      </c>
      <c r="C352" s="3" t="str">
        <f>IFERROR(__xludf.DUMMYFUNCTION("""COMPUTED_VALUE"""),"ภาชี")</f>
        <v>ภาชี</v>
      </c>
      <c r="D352" s="3" t="str">
        <f>IFERROR(__xludf.DUMMYFUNCTION("""COMPUTED_VALUE"""),"MBC PACHI")</f>
        <v>MBC PACHI</v>
      </c>
      <c r="E352" s="1" t="str">
        <f>IFERROR(__xludf.DUMMYFUNCTION("""COMPUTED_VALUE"""),"บิ๊กซี MINI")</f>
        <v>บิ๊กซี MINI</v>
      </c>
      <c r="F352" s="1" t="str">
        <f>IFERROR(__xludf.DUMMYFUNCTION("""COMPUTED_VALUE"""),"296229")</f>
        <v>296229</v>
      </c>
      <c r="G352" s="1" t="str">
        <f>IFERROR(__xludf.DUMMYFUNCTION("""COMPUTED_VALUE"""),"นายทนงศักดิ์ บุญมา")</f>
        <v>นายทนงศักดิ์ บุญมา</v>
      </c>
      <c r="H352" s="1" t="str">
        <f>IFERROR(__xludf.DUMMYFUNCTION("""COMPUTED_VALUE"""),"180089")</f>
        <v>180089</v>
      </c>
      <c r="I352" s="1" t="str">
        <f>IFERROR(__xludf.DUMMYFUNCTION("""COMPUTED_VALUE"""),"นายยุทธนา ลิ่มตระกูล")</f>
        <v>นายยุทธนา ลิ่มตระกูล</v>
      </c>
      <c r="J352" s="3">
        <f>IFERROR(__xludf.DUMMYFUNCTION("""COMPUTED_VALUE"""),46214.0)</f>
        <v>46214</v>
      </c>
      <c r="K352" s="3" t="str">
        <f>IFERROR(__xludf.DUMMYFUNCTION("""COMPUTED_VALUE"""),"นายศักดิ์ชัย เด็ดดอกฟ้า")</f>
        <v>นายศักดิ์ชัย เด็ดดอกฟ้า</v>
      </c>
      <c r="L352" s="1" t="str">
        <f>IFERROR(__xludf.DUMMYFUNCTION("""COMPUTED_VALUE"""),"02 K.Sakchai D")</f>
        <v>02 K.Sakchai D</v>
      </c>
      <c r="M352" s="1" t="str">
        <f>IFERROR(__xludf.DUMMYFUNCTION("""COMPUTED_VALUE"""),"065-510-7376")</f>
        <v>065-510-7376</v>
      </c>
      <c r="N352" s="3">
        <f>IFERROR(__xludf.DUMMYFUNCTION("""COMPUTED_VALUE"""),21441.0)</f>
        <v>21441</v>
      </c>
      <c r="O352" s="3" t="str">
        <f>IFERROR(__xludf.DUMMYFUNCTION("""COMPUTED_VALUE"""),"MBC บ้านกร่าง พิษณุโลก")</f>
        <v>MBC บ้านกร่าง พิษณุโลก</v>
      </c>
      <c r="P352" s="4">
        <f>IFERROR(__xludf.DUMMYFUNCTION("""COMPUTED_VALUE"""),41250.0)</f>
        <v>41250</v>
      </c>
      <c r="Q352" s="3" t="str">
        <f>IFERROR(__xludf.DUMMYFUNCTION("""COMPUTED_VALUE"""),"I")</f>
        <v>I</v>
      </c>
      <c r="R352" s="3" t="str">
        <f>IFERROR(__xludf.DUMMYFUNCTION("""COMPUTED_VALUE"""),"Small Format")</f>
        <v>Small Format</v>
      </c>
      <c r="S352" s="3" t="str">
        <f>IFERROR(__xludf.DUMMYFUNCTION("""COMPUTED_VALUE"""),"BCM")</f>
        <v>BCM</v>
      </c>
      <c r="T352" s="3" t="str">
        <f>IFERROR(__xludf.DUMMYFUNCTION("""COMPUTED_VALUE"""),"#N/A")</f>
        <v>#N/A</v>
      </c>
      <c r="U352" s="3" t="str">
        <f>IFERROR(__xludf.DUMMYFUNCTION("""COMPUTED_VALUE"""),"#N/A")</f>
        <v>#N/A</v>
      </c>
      <c r="V352" s="3" t="str">
        <f>IFERROR(__xludf.DUMMYFUNCTION("""COMPUTED_VALUE"""),"N")</f>
        <v>N</v>
      </c>
      <c r="W352" s="3">
        <f>IFERROR(__xludf.DUMMYFUNCTION("""COMPUTED_VALUE"""),0.0)</f>
        <v>0</v>
      </c>
      <c r="X352" s="3" t="str">
        <f>IFERROR(__xludf.DUMMYFUNCTION("""COMPUTED_VALUE"""),"160/9,160/11 หมู่ 5 ตำบลภาชี อำเภอภาชี จังหวัดพระนครศรีอยุธยา 13140")</f>
        <v>160/9,160/11 หมู่ 5 ตำบลภาชี อำเภอภาชี จังหวัดพระนครศรีอยุธยา 13140</v>
      </c>
      <c r="Y352" s="3"/>
      <c r="Z352" s="3" t="str">
        <f>IFERROR(__xludf.DUMMYFUNCTION("""COMPUTED_VALUE"""),"ภาชี")</f>
        <v>ภาชี</v>
      </c>
      <c r="AA352" s="3" t="str">
        <f>IFERROR(__xludf.DUMMYFUNCTION("""COMPUTED_VALUE"""),"ภาชี")</f>
        <v>ภาชี</v>
      </c>
      <c r="AB352" s="3" t="str">
        <f>IFERROR(__xludf.DUMMYFUNCTION("""COMPUTED_VALUE"""),"พระนครศรีอยุธยา")</f>
        <v>พระนครศรีอยุธยา</v>
      </c>
      <c r="AC352" s="3">
        <f>IFERROR(__xludf.DUMMYFUNCTION("""COMPUTED_VALUE"""),13140.0)</f>
        <v>13140</v>
      </c>
      <c r="AD352" s="3" t="str">
        <f>IFERROR(__xludf.DUMMYFUNCTION("""COMPUTED_VALUE"""),"#N/A")</f>
        <v>#N/A</v>
      </c>
      <c r="AE352" s="3" t="str">
        <f>IFERROR(__xludf.DUMMYFUNCTION("""COMPUTED_VALUE"""),"#N/A")</f>
        <v>#N/A</v>
      </c>
      <c r="AF352" s="3" t="str">
        <f>IFERROR(__xludf.DUMMYFUNCTION("""COMPUTED_VALUE"""),"ภาชี-21109")</f>
        <v>ภาชี-21109</v>
      </c>
      <c r="AG352" s="3" t="str">
        <f>IFERROR(__xludf.DUMMYFUNCTION("""COMPUTED_VALUE"""),"กลาง")</f>
        <v>กลาง</v>
      </c>
      <c r="AH352" s="3" t="str">
        <f>IFERROR(__xludf.DUMMYFUNCTION("""COMPUTED_VALUE"""),"#N/A")</f>
        <v>#N/A</v>
      </c>
      <c r="AI352" s="3" t="str">
        <f>IFERROR(__xludf.DUMMYFUNCTION("""COMPUTED_VALUE"""),"Out of warranty")</f>
        <v>Out of warranty</v>
      </c>
      <c r="AJ352" s="3">
        <f>IFERROR(__xludf.DUMMYFUNCTION("""COMPUTED_VALUE"""),158.0)</f>
        <v>158</v>
      </c>
      <c r="AK352" s="3"/>
      <c r="AL352" s="3"/>
    </row>
    <row r="353" ht="15.75" customHeight="1">
      <c r="A353" s="1" t="str">
        <f>IFERROR(__xludf.DUMMYFUNCTION("""COMPUTED_VALUE"""),"21110")</f>
        <v>21110</v>
      </c>
      <c r="B353" s="2">
        <f>IFERROR(__xludf.DUMMYFUNCTION("""COMPUTED_VALUE"""),21110.0)</f>
        <v>21110</v>
      </c>
      <c r="C353" s="3" t="str">
        <f>IFERROR(__xludf.DUMMYFUNCTION("""COMPUTED_VALUE"""),"MBC เก้ากิโล")</f>
        <v>MBC เก้ากิโล</v>
      </c>
      <c r="D353" s="3" t="str">
        <f>IFERROR(__xludf.DUMMYFUNCTION("""COMPUTED_VALUE"""),"BCM KAOKILO")</f>
        <v>BCM KAOKILO</v>
      </c>
      <c r="E353" s="1" t="str">
        <f>IFERROR(__xludf.DUMMYFUNCTION("""COMPUTED_VALUE"""),"บิ๊กซี MINI")</f>
        <v>บิ๊กซี MINI</v>
      </c>
      <c r="F353" s="1" t="str">
        <f>IFERROR(__xludf.DUMMYFUNCTION("""COMPUTED_VALUE"""),"221716")</f>
        <v>221716</v>
      </c>
      <c r="G353" s="1" t="str">
        <f>IFERROR(__xludf.DUMMYFUNCTION("""COMPUTED_VALUE"""),"น.ส.เบญจพร โพธิสาร")</f>
        <v>น.ส.เบญจพร โพธิสาร</v>
      </c>
      <c r="H353" s="1" t="str">
        <f>IFERROR(__xludf.DUMMYFUNCTION("""COMPUTED_VALUE"""),"476018")</f>
        <v>476018</v>
      </c>
      <c r="I353" s="1" t="str">
        <f>IFERROR(__xludf.DUMMYFUNCTION("""COMPUTED_VALUE"""),"นายศราวุฒิ ชูพันดุง")</f>
        <v>นายศราวุฒิ ชูพันดุง</v>
      </c>
      <c r="J353" s="3">
        <f>IFERROR(__xludf.DUMMYFUNCTION("""COMPUTED_VALUE"""),1.3461215E7)</f>
        <v>13461215</v>
      </c>
      <c r="K353" s="3" t="str">
        <f>IFERROR(__xludf.DUMMYFUNCTION("""COMPUTED_VALUE"""),"นายธีรภัทร สังข์เงิน")</f>
        <v>นายธีรภัทร สังข์เงิน</v>
      </c>
      <c r="L353" s="1" t="str">
        <f>IFERROR(__xludf.DUMMYFUNCTION("""COMPUTED_VALUE"""),"06 K.Teerapat")</f>
        <v>06 K.Teerapat</v>
      </c>
      <c r="M353" s="1" t="str">
        <f>IFERROR(__xludf.DUMMYFUNCTION("""COMPUTED_VALUE"""),"063-601-6803")</f>
        <v>063-601-6803</v>
      </c>
      <c r="N353" s="3">
        <f>IFERROR(__xludf.DUMMYFUNCTION("""COMPUTED_VALUE"""),22115.0)</f>
        <v>22115</v>
      </c>
      <c r="O353" s="3" t="str">
        <f>IFERROR(__xludf.DUMMYFUNCTION("""COMPUTED_VALUE"""),"MBC เลี่ยงหนองมน ชลบุรี")</f>
        <v>MBC เลี่ยงหนองมน ชลบุรี</v>
      </c>
      <c r="P353" s="4">
        <f>IFERROR(__xludf.DUMMYFUNCTION("""COMPUTED_VALUE"""),41254.0)</f>
        <v>41254</v>
      </c>
      <c r="Q353" s="3" t="str">
        <f>IFERROR(__xludf.DUMMYFUNCTION("""COMPUTED_VALUE"""),"A")</f>
        <v>A</v>
      </c>
      <c r="R353" s="3" t="str">
        <f>IFERROR(__xludf.DUMMYFUNCTION("""COMPUTED_VALUE"""),"Small Format")</f>
        <v>Small Format</v>
      </c>
      <c r="S353" s="3" t="str">
        <f>IFERROR(__xludf.DUMMYFUNCTION("""COMPUTED_VALUE"""),"BCM")</f>
        <v>BCM</v>
      </c>
      <c r="T353" s="3" t="str">
        <f>IFERROR(__xludf.DUMMYFUNCTION("""COMPUTED_VALUE"""),"#N/A")</f>
        <v>#N/A</v>
      </c>
      <c r="U353" s="3" t="str">
        <f>IFERROR(__xludf.DUMMYFUNCTION("""COMPUTED_VALUE"""),"#N/A")</f>
        <v>#N/A</v>
      </c>
      <c r="V353" s="3" t="str">
        <f>IFERROR(__xludf.DUMMYFUNCTION("""COMPUTED_VALUE"""),"N")</f>
        <v>N</v>
      </c>
      <c r="W353" s="3">
        <f>IFERROR(__xludf.DUMMYFUNCTION("""COMPUTED_VALUE"""),211106.0)</f>
        <v>211106</v>
      </c>
      <c r="X353" s="3" t="str">
        <f>IFERROR(__xludf.DUMMYFUNCTION("""COMPUTED_VALUE"""),"41/121 หมู่ 3 ตำบลสุรศักดิ์ อำเภอศรีราชา จังหวัดชลบุรี 20110")</f>
        <v>41/121 หมู่ 3 ตำบลสุรศักดิ์ อำเภอศรีราชา จังหวัดชลบุรี 20110</v>
      </c>
      <c r="Y353" s="3"/>
      <c r="Z353" s="3" t="str">
        <f>IFERROR(__xludf.DUMMYFUNCTION("""COMPUTED_VALUE"""),"สุรศักดิ์")</f>
        <v>สุรศักดิ์</v>
      </c>
      <c r="AA353" s="3" t="str">
        <f>IFERROR(__xludf.DUMMYFUNCTION("""COMPUTED_VALUE"""),"ศรีราชา")</f>
        <v>ศรีราชา</v>
      </c>
      <c r="AB353" s="3" t="str">
        <f>IFERROR(__xludf.DUMMYFUNCTION("""COMPUTED_VALUE"""),"ชลบุรี")</f>
        <v>ชลบุรี</v>
      </c>
      <c r="AC353" s="3">
        <f>IFERROR(__xludf.DUMMYFUNCTION("""COMPUTED_VALUE"""),20110.0)</f>
        <v>20110</v>
      </c>
      <c r="AD353" s="3">
        <f>IFERROR(__xludf.DUMMYFUNCTION("""COMPUTED_VALUE"""),13.157542)</f>
        <v>13.157542</v>
      </c>
      <c r="AE353" s="3">
        <f>IFERROR(__xludf.DUMMYFUNCTION("""COMPUTED_VALUE"""),100.93176)</f>
        <v>100.93176</v>
      </c>
      <c r="AF353" s="3" t="str">
        <f>IFERROR(__xludf.DUMMYFUNCTION("""COMPUTED_VALUE"""),"MBC เก้ากิโล-21110")</f>
        <v>MBC เก้ากิโล-21110</v>
      </c>
      <c r="AG353" s="3" t="str">
        <f>IFERROR(__xludf.DUMMYFUNCTION("""COMPUTED_VALUE"""),"ตะวันออก")</f>
        <v>ตะวันออก</v>
      </c>
      <c r="AH353" s="3" t="str">
        <f>IFERROR(__xludf.DUMMYFUNCTION("""COMPUTED_VALUE"""),"#N/A")</f>
        <v>#N/A</v>
      </c>
      <c r="AI353" s="3" t="str">
        <f>IFERROR(__xludf.DUMMYFUNCTION("""COMPUTED_VALUE"""),"Out of warranty")</f>
        <v>Out of warranty</v>
      </c>
      <c r="AJ353" s="3">
        <f>IFERROR(__xludf.DUMMYFUNCTION("""COMPUTED_VALUE"""),158.0)</f>
        <v>158</v>
      </c>
      <c r="AK353" s="3" t="str">
        <f>IFERROR(__xludf.DUMMYFUNCTION("""COMPUTED_VALUE"""),"MMS06")</f>
        <v>MMS06</v>
      </c>
      <c r="AL353" s="3"/>
    </row>
    <row r="354" ht="15.75" customHeight="1">
      <c r="A354" s="1" t="str">
        <f>IFERROR(__xludf.DUMMYFUNCTION("""COMPUTED_VALUE"""),"21111")</f>
        <v>21111</v>
      </c>
      <c r="B354" s="2">
        <f>IFERROR(__xludf.DUMMYFUNCTION("""COMPUTED_VALUE"""),21111.0)</f>
        <v>21111</v>
      </c>
      <c r="C354" s="3" t="str">
        <f>IFERROR(__xludf.DUMMYFUNCTION("""COMPUTED_VALUE"""),"แยกสามทหาร")</f>
        <v>แยกสามทหาร</v>
      </c>
      <c r="D354" s="3" t="str">
        <f>IFERROR(__xludf.DUMMYFUNCTION("""COMPUTED_VALUE"""),"MBC YAEKSAMTHAHAN")</f>
        <v>MBC YAEKSAMTHAHAN</v>
      </c>
      <c r="E354" s="1" t="str">
        <f>IFERROR(__xludf.DUMMYFUNCTION("""COMPUTED_VALUE"""),"บิ๊กซี MINI")</f>
        <v>บิ๊กซี MINI</v>
      </c>
      <c r="F354" s="1" t="str">
        <f>IFERROR(__xludf.DUMMYFUNCTION("""COMPUTED_VALUE"""),"250760")</f>
        <v>250760</v>
      </c>
      <c r="G354" s="1" t="str">
        <f>IFERROR(__xludf.DUMMYFUNCTION("""COMPUTED_VALUE"""),"นายประทวน สาราบรรณ์")</f>
        <v>นายประทวน สาราบรรณ์</v>
      </c>
      <c r="H354" s="1" t="str">
        <f>IFERROR(__xludf.DUMMYFUNCTION("""COMPUTED_VALUE"""),"002773")</f>
        <v>002773</v>
      </c>
      <c r="I354" s="1" t="str">
        <f>IFERROR(__xludf.DUMMYFUNCTION("""COMPUTED_VALUE"""),"น.ส.มลิวัลย์ บุญเต็ม")</f>
        <v>น.ส.มลิวัลย์ บุญเต็ม</v>
      </c>
      <c r="J354" s="3">
        <f>IFERROR(__xludf.DUMMYFUNCTION("""COMPUTED_VALUE"""),295541.0)</f>
        <v>295541</v>
      </c>
      <c r="K354" s="3" t="str">
        <f>IFERROR(__xludf.DUMMYFUNCTION("""COMPUTED_VALUE"""),"นายรพิพล ศรีมาตย์")</f>
        <v>นายรพิพล ศรีมาตย์</v>
      </c>
      <c r="L354" s="1" t="str">
        <f>IFERROR(__xludf.DUMMYFUNCTION("""COMPUTED_VALUE"""),"นายรพิพล ศรีมาตย์")</f>
        <v>นายรพิพล ศรีมาตย์</v>
      </c>
      <c r="M354" s="1" t="str">
        <f>IFERROR(__xludf.DUMMYFUNCTION("""COMPUTED_VALUE"""),"0613966115")</f>
        <v>0613966115</v>
      </c>
      <c r="N354" s="3">
        <f>IFERROR(__xludf.DUMMYFUNCTION("""COMPUTED_VALUE"""),21175.0)</f>
        <v>21175</v>
      </c>
      <c r="O354" s="3" t="str">
        <f>IFERROR(__xludf.DUMMYFUNCTION("""COMPUTED_VALUE"""),"MBC BCP กิ่งแก้ว")</f>
        <v>MBC BCP กิ่งแก้ว</v>
      </c>
      <c r="P354" s="4">
        <f>IFERROR(__xludf.DUMMYFUNCTION("""COMPUTED_VALUE"""),41251.0)</f>
        <v>41251</v>
      </c>
      <c r="Q354" s="3" t="str">
        <f>IFERROR(__xludf.DUMMYFUNCTION("""COMPUTED_VALUE"""),"I")</f>
        <v>I</v>
      </c>
      <c r="R354" s="3" t="str">
        <f>IFERROR(__xludf.DUMMYFUNCTION("""COMPUTED_VALUE"""),"Small Format")</f>
        <v>Small Format</v>
      </c>
      <c r="S354" s="3" t="str">
        <f>IFERROR(__xludf.DUMMYFUNCTION("""COMPUTED_VALUE"""),"BCM")</f>
        <v>BCM</v>
      </c>
      <c r="T354" s="3" t="str">
        <f>IFERROR(__xludf.DUMMYFUNCTION("""COMPUTED_VALUE"""),"#N/A")</f>
        <v>#N/A</v>
      </c>
      <c r="U354" s="3" t="str">
        <f>IFERROR(__xludf.DUMMYFUNCTION("""COMPUTED_VALUE"""),"#N/A")</f>
        <v>#N/A</v>
      </c>
      <c r="V354" s="3" t="str">
        <f>IFERROR(__xludf.DUMMYFUNCTION("""COMPUTED_VALUE"""),"N")</f>
        <v>N</v>
      </c>
      <c r="W354" s="3">
        <f>IFERROR(__xludf.DUMMYFUNCTION("""COMPUTED_VALUE"""),0.0)</f>
        <v>0</v>
      </c>
      <c r="X354" s="3" t="str">
        <f>IFERROR(__xludf.DUMMYFUNCTION("""COMPUTED_VALUE"""),"409/4 หมู่ 8 ตำบลเมืองเก่า อำเภอกบินทร์บุรี จังหวัดปราจีนบุรี 25240")</f>
        <v>409/4 หมู่ 8 ตำบลเมืองเก่า อำเภอกบินทร์บุรี จังหวัดปราจีนบุรี 25240</v>
      </c>
      <c r="Y354" s="3"/>
      <c r="Z354" s="3" t="str">
        <f>IFERROR(__xludf.DUMMYFUNCTION("""COMPUTED_VALUE"""),"เมืองเก่า")</f>
        <v>เมืองเก่า</v>
      </c>
      <c r="AA354" s="3" t="str">
        <f>IFERROR(__xludf.DUMMYFUNCTION("""COMPUTED_VALUE"""),"กบินทร์บุรี")</f>
        <v>กบินทร์บุรี</v>
      </c>
      <c r="AB354" s="3" t="str">
        <f>IFERROR(__xludf.DUMMYFUNCTION("""COMPUTED_VALUE"""),"ปราจีนบุรี")</f>
        <v>ปราจีนบุรี</v>
      </c>
      <c r="AC354" s="3">
        <f>IFERROR(__xludf.DUMMYFUNCTION("""COMPUTED_VALUE"""),25240.0)</f>
        <v>25240</v>
      </c>
      <c r="AD354" s="3" t="str">
        <f>IFERROR(__xludf.DUMMYFUNCTION("""COMPUTED_VALUE"""),"#N/A")</f>
        <v>#N/A</v>
      </c>
      <c r="AE354" s="3" t="str">
        <f>IFERROR(__xludf.DUMMYFUNCTION("""COMPUTED_VALUE"""),"#N/A")</f>
        <v>#N/A</v>
      </c>
      <c r="AF354" s="3" t="str">
        <f>IFERROR(__xludf.DUMMYFUNCTION("""COMPUTED_VALUE"""),"แยกสามทหาร-21111")</f>
        <v>แยกสามทหาร-21111</v>
      </c>
      <c r="AG354" s="3" t="str">
        <f>IFERROR(__xludf.DUMMYFUNCTION("""COMPUTED_VALUE"""),"ตะวันออก")</f>
        <v>ตะวันออก</v>
      </c>
      <c r="AH354" s="3" t="str">
        <f>IFERROR(__xludf.DUMMYFUNCTION("""COMPUTED_VALUE"""),"#N/A")</f>
        <v>#N/A</v>
      </c>
      <c r="AI354" s="3" t="str">
        <f>IFERROR(__xludf.DUMMYFUNCTION("""COMPUTED_VALUE"""),"Out of warranty")</f>
        <v>Out of warranty</v>
      </c>
      <c r="AJ354" s="3">
        <f>IFERROR(__xludf.DUMMYFUNCTION("""COMPUTED_VALUE"""),158.0)</f>
        <v>158</v>
      </c>
      <c r="AK354" s="3"/>
      <c r="AL354" s="3"/>
    </row>
    <row r="355" ht="15.75" customHeight="1">
      <c r="A355" s="1" t="str">
        <f>IFERROR(__xludf.DUMMYFUNCTION("""COMPUTED_VALUE"""),"21112")</f>
        <v>21112</v>
      </c>
      <c r="B355" s="2">
        <f>IFERROR(__xludf.DUMMYFUNCTION("""COMPUTED_VALUE"""),21112.0)</f>
        <v>21112</v>
      </c>
      <c r="C355" s="3" t="str">
        <f>IFERROR(__xludf.DUMMYFUNCTION("""COMPUTED_VALUE"""),"MBC BCP ประดิษฐ์ฯ")</f>
        <v>MBC BCP ประดิษฐ์ฯ</v>
      </c>
      <c r="D355" s="3" t="str">
        <f>IFERROR(__xludf.DUMMYFUNCTION("""COMPUTED_VALUE"""),"BCM BCP PRADIT")</f>
        <v>BCM BCP PRADIT</v>
      </c>
      <c r="E355" s="1" t="str">
        <f>IFERROR(__xludf.DUMMYFUNCTION("""COMPUTED_VALUE"""),"บิ๊กซี MINI")</f>
        <v>บิ๊กซี MINI</v>
      </c>
      <c r="F355" s="1" t="str">
        <f>IFERROR(__xludf.DUMMYFUNCTION("""COMPUTED_VALUE"""),"291008")</f>
        <v>291008</v>
      </c>
      <c r="G355" s="1" t="str">
        <f>IFERROR(__xludf.DUMMYFUNCTION("""COMPUTED_VALUE"""),"น.ส.รัชดาพร อีศรัตน์")</f>
        <v>น.ส.รัชดาพร อีศรัตน์</v>
      </c>
      <c r="H355" s="1" t="str">
        <f>IFERROR(__xludf.DUMMYFUNCTION("""COMPUTED_VALUE"""),"468773")</f>
        <v>468773</v>
      </c>
      <c r="I355" s="1" t="str">
        <f>IFERROR(__xludf.DUMMYFUNCTION("""COMPUTED_VALUE"""),"น.ส.พรพรรณ แซ่แต้")</f>
        <v>น.ส.พรพรรณ แซ่แต้</v>
      </c>
      <c r="J355" s="3">
        <f>IFERROR(__xludf.DUMMYFUNCTION("""COMPUTED_VALUE"""),2452378.0)</f>
        <v>2452378</v>
      </c>
      <c r="K355" s="3" t="str">
        <f>IFERROR(__xludf.DUMMYFUNCTION("""COMPUTED_VALUE"""),"นายศักดิ์ดา พวงประดับ")</f>
        <v>นายศักดิ์ดา พวงประดับ</v>
      </c>
      <c r="L355" s="1" t="str">
        <f>IFERROR(__xludf.DUMMYFUNCTION("""COMPUTED_VALUE"""),"11 K.Sakda P.")</f>
        <v>11 K.Sakda P.</v>
      </c>
      <c r="M355" s="1" t="str">
        <f>IFERROR(__xludf.DUMMYFUNCTION("""COMPUTED_VALUE"""),"065-929-1279")</f>
        <v>065-929-1279</v>
      </c>
      <c r="N355" s="3">
        <f>IFERROR(__xludf.DUMMYFUNCTION("""COMPUTED_VALUE"""),21002.0)</f>
        <v>21002</v>
      </c>
      <c r="O355" s="3" t="str">
        <f>IFERROR(__xludf.DUMMYFUNCTION("""COMPUTED_VALUE"""),"MBC อุดมสุข")</f>
        <v>MBC อุดมสุข</v>
      </c>
      <c r="P355" s="4">
        <f>IFERROR(__xludf.DUMMYFUNCTION("""COMPUTED_VALUE"""),41257.0)</f>
        <v>41257</v>
      </c>
      <c r="Q355" s="3" t="str">
        <f>IFERROR(__xludf.DUMMYFUNCTION("""COMPUTED_VALUE"""),"A")</f>
        <v>A</v>
      </c>
      <c r="R355" s="3" t="str">
        <f>IFERROR(__xludf.DUMMYFUNCTION("""COMPUTED_VALUE"""),"Small Format")</f>
        <v>Small Format</v>
      </c>
      <c r="S355" s="3" t="str">
        <f>IFERROR(__xludf.DUMMYFUNCTION("""COMPUTED_VALUE"""),"BCM")</f>
        <v>BCM</v>
      </c>
      <c r="T355" s="3" t="str">
        <f>IFERROR(__xludf.DUMMYFUNCTION("""COMPUTED_VALUE"""),"#N/A")</f>
        <v>#N/A</v>
      </c>
      <c r="U355" s="3" t="str">
        <f>IFERROR(__xludf.DUMMYFUNCTION("""COMPUTED_VALUE"""),"#N/A")</f>
        <v>#N/A</v>
      </c>
      <c r="V355" s="3" t="str">
        <f>IFERROR(__xludf.DUMMYFUNCTION("""COMPUTED_VALUE"""),"N")</f>
        <v>N</v>
      </c>
      <c r="W355" s="3">
        <f>IFERROR(__xludf.DUMMYFUNCTION("""COMPUTED_VALUE"""),361007.0)</f>
        <v>361007</v>
      </c>
      <c r="X355" s="3" t="str">
        <f>IFERROR(__xludf.DUMMYFUNCTION("""COMPUTED_VALUE"""),"182 ถนนประดิษฐ์มนูธรรม แขวงวังทองหลาง เขตวังทองหลาง กรุงเทพฯ 10310")</f>
        <v>182 ถนนประดิษฐ์มนูธรรม แขวงวังทองหลาง เขตวังทองหลาง กรุงเทพฯ 10310</v>
      </c>
      <c r="Y355" s="3" t="str">
        <f>IFERROR(__xludf.DUMMYFUNCTION("""COMPUTED_VALUE"""),"ถนนประดิษฐ์มนูธรรม")</f>
        <v>ถนนประดิษฐ์มนูธรรม</v>
      </c>
      <c r="Z355" s="3" t="str">
        <f>IFERROR(__xludf.DUMMYFUNCTION("""COMPUTED_VALUE"""),"วังทองหลาง")</f>
        <v>วังทองหลาง</v>
      </c>
      <c r="AA355" s="3" t="str">
        <f>IFERROR(__xludf.DUMMYFUNCTION("""COMPUTED_VALUE"""),"วังทองหลาง")</f>
        <v>วังทองหลาง</v>
      </c>
      <c r="AB355" s="3" t="str">
        <f>IFERROR(__xludf.DUMMYFUNCTION("""COMPUTED_VALUE"""),"กรุงเทพมหานคร")</f>
        <v>กรุงเทพมหานคร</v>
      </c>
      <c r="AC355" s="3">
        <f>IFERROR(__xludf.DUMMYFUNCTION("""COMPUTED_VALUE"""),10310.0)</f>
        <v>10310</v>
      </c>
      <c r="AD355" s="3">
        <f>IFERROR(__xludf.DUMMYFUNCTION("""COMPUTED_VALUE"""),13.764031)</f>
        <v>13.764031</v>
      </c>
      <c r="AE355" s="3">
        <f>IFERROR(__xludf.DUMMYFUNCTION("""COMPUTED_VALUE"""),100.600357)</f>
        <v>100.600357</v>
      </c>
      <c r="AF355" s="3" t="str">
        <f>IFERROR(__xludf.DUMMYFUNCTION("""COMPUTED_VALUE"""),"MBC BCP ประดิษฐ์ฯ-21112")</f>
        <v>MBC BCP ประดิษฐ์ฯ-21112</v>
      </c>
      <c r="AG355" s="3" t="str">
        <f>IFERROR(__xludf.DUMMYFUNCTION("""COMPUTED_VALUE"""),"กลาง")</f>
        <v>กลาง</v>
      </c>
      <c r="AH355" s="3" t="str">
        <f>IFERROR(__xludf.DUMMYFUNCTION("""COMPUTED_VALUE"""),"#N/A")</f>
        <v>#N/A</v>
      </c>
      <c r="AI355" s="3" t="str">
        <f>IFERROR(__xludf.DUMMYFUNCTION("""COMPUTED_VALUE"""),"Out of warranty")</f>
        <v>Out of warranty</v>
      </c>
      <c r="AJ355" s="3">
        <f>IFERROR(__xludf.DUMMYFUNCTION("""COMPUTED_VALUE"""),158.0)</f>
        <v>158</v>
      </c>
      <c r="AK355" s="3" t="str">
        <f>IFERROR(__xludf.DUMMYFUNCTION("""COMPUTED_VALUE"""),"MMS03")</f>
        <v>MMS03</v>
      </c>
      <c r="AL355" s="3"/>
    </row>
    <row r="356" ht="15.75" customHeight="1">
      <c r="A356" s="1" t="str">
        <f>IFERROR(__xludf.DUMMYFUNCTION("""COMPUTED_VALUE"""),"21113")</f>
        <v>21113</v>
      </c>
      <c r="B356" s="2">
        <f>IFERROR(__xludf.DUMMYFUNCTION("""COMPUTED_VALUE"""),21113.0)</f>
        <v>21113</v>
      </c>
      <c r="C356" s="3" t="str">
        <f>IFERROR(__xludf.DUMMYFUNCTION("""COMPUTED_VALUE"""),"MBC แฟมิลี่ทาวน์")</f>
        <v>MBC แฟมิลี่ทาวน์</v>
      </c>
      <c r="D356" s="3" t="str">
        <f>IFERROR(__xludf.DUMMYFUNCTION("""COMPUTED_VALUE"""),"BCM FAMILY TOWN")</f>
        <v>BCM FAMILY TOWN</v>
      </c>
      <c r="E356" s="1" t="str">
        <f>IFERROR(__xludf.DUMMYFUNCTION("""COMPUTED_VALUE"""),"บิ๊กซี MINI")</f>
        <v>บิ๊กซี MINI</v>
      </c>
      <c r="F356" s="1" t="str">
        <f>IFERROR(__xludf.DUMMYFUNCTION("""COMPUTED_VALUE"""),"221716")</f>
        <v>221716</v>
      </c>
      <c r="G356" s="1" t="str">
        <f>IFERROR(__xludf.DUMMYFUNCTION("""COMPUTED_VALUE"""),"น.ส.เบญจพร โพธิสาร")</f>
        <v>น.ส.เบญจพร โพธิสาร</v>
      </c>
      <c r="H356" s="1" t="str">
        <f>IFERROR(__xludf.DUMMYFUNCTION("""COMPUTED_VALUE"""),"034605")</f>
        <v>034605</v>
      </c>
      <c r="I356" s="1" t="str">
        <f>IFERROR(__xludf.DUMMYFUNCTION("""COMPUTED_VALUE"""),"นายธรรมรัตน์ สุขเจริญ")</f>
        <v>นายธรรมรัตน์ สุขเจริญ</v>
      </c>
      <c r="J356" s="3">
        <f>IFERROR(__xludf.DUMMYFUNCTION("""COMPUTED_VALUE"""),1.3461215E7)</f>
        <v>13461215</v>
      </c>
      <c r="K356" s="3" t="str">
        <f>IFERROR(__xludf.DUMMYFUNCTION("""COMPUTED_VALUE"""),"นายธีรภัทร สังข์เงิน")</f>
        <v>นายธีรภัทร สังข์เงิน</v>
      </c>
      <c r="L356" s="1" t="str">
        <f>IFERROR(__xludf.DUMMYFUNCTION("""COMPUTED_VALUE"""),"06 K.Teerapat")</f>
        <v>06 K.Teerapat</v>
      </c>
      <c r="M356" s="1" t="str">
        <f>IFERROR(__xludf.DUMMYFUNCTION("""COMPUTED_VALUE"""),"063-601-6803")</f>
        <v>063-601-6803</v>
      </c>
      <c r="N356" s="3">
        <f>IFERROR(__xludf.DUMMYFUNCTION("""COMPUTED_VALUE"""),22115.0)</f>
        <v>22115</v>
      </c>
      <c r="O356" s="3" t="str">
        <f>IFERROR(__xludf.DUMMYFUNCTION("""COMPUTED_VALUE"""),"MBC เลี่ยงหนองมน ชลบุรี")</f>
        <v>MBC เลี่ยงหนองมน ชลบุรี</v>
      </c>
      <c r="P356" s="4">
        <f>IFERROR(__xludf.DUMMYFUNCTION("""COMPUTED_VALUE"""),41253.0)</f>
        <v>41253</v>
      </c>
      <c r="Q356" s="3" t="str">
        <f>IFERROR(__xludf.DUMMYFUNCTION("""COMPUTED_VALUE"""),"A")</f>
        <v>A</v>
      </c>
      <c r="R356" s="3" t="str">
        <f>IFERROR(__xludf.DUMMYFUNCTION("""COMPUTED_VALUE"""),"Small Format")</f>
        <v>Small Format</v>
      </c>
      <c r="S356" s="3" t="str">
        <f>IFERROR(__xludf.DUMMYFUNCTION("""COMPUTED_VALUE"""),"BCM")</f>
        <v>BCM</v>
      </c>
      <c r="T356" s="3" t="str">
        <f>IFERROR(__xludf.DUMMYFUNCTION("""COMPUTED_VALUE"""),"#N/A")</f>
        <v>#N/A</v>
      </c>
      <c r="U356" s="3" t="str">
        <f>IFERROR(__xludf.DUMMYFUNCTION("""COMPUTED_VALUE"""),"#N/A")</f>
        <v>#N/A</v>
      </c>
      <c r="V356" s="3" t="str">
        <f>IFERROR(__xludf.DUMMYFUNCTION("""COMPUTED_VALUE"""),"N")</f>
        <v>N</v>
      </c>
      <c r="W356" s="3">
        <f>IFERROR(__xludf.DUMMYFUNCTION("""COMPUTED_VALUE"""),211104.0)</f>
        <v>211104</v>
      </c>
      <c r="X356" s="3" t="str">
        <f>IFERROR(__xludf.DUMMYFUNCTION("""COMPUTED_VALUE"""),"89/1 หมู่ 1 ตำบลนาป่า อำเภอเมืองชลบุรี จังหวัดชลบุรี 20000")</f>
        <v>89/1 หมู่ 1 ตำบลนาป่า อำเภอเมืองชลบุรี จังหวัดชลบุรี 20000</v>
      </c>
      <c r="Y356" s="3"/>
      <c r="Z356" s="3" t="str">
        <f>IFERROR(__xludf.DUMMYFUNCTION("""COMPUTED_VALUE"""),"นาป่า")</f>
        <v>นาป่า</v>
      </c>
      <c r="AA356" s="3" t="str">
        <f>IFERROR(__xludf.DUMMYFUNCTION("""COMPUTED_VALUE"""),"เมือง")</f>
        <v>เมือง</v>
      </c>
      <c r="AB356" s="3" t="str">
        <f>IFERROR(__xludf.DUMMYFUNCTION("""COMPUTED_VALUE"""),"ชลบุรี")</f>
        <v>ชลบุรี</v>
      </c>
      <c r="AC356" s="3">
        <f>IFERROR(__xludf.DUMMYFUNCTION("""COMPUTED_VALUE"""),20000.0)</f>
        <v>20000</v>
      </c>
      <c r="AD356" s="3">
        <f>IFERROR(__xludf.DUMMYFUNCTION("""COMPUTED_VALUE"""),13.394901)</f>
        <v>13.394901</v>
      </c>
      <c r="AE356" s="3">
        <f>IFERROR(__xludf.DUMMYFUNCTION("""COMPUTED_VALUE"""),101.03218)</f>
        <v>101.03218</v>
      </c>
      <c r="AF356" s="3" t="str">
        <f>IFERROR(__xludf.DUMMYFUNCTION("""COMPUTED_VALUE"""),"MBC แฟมิลี่ทาวน์-21113")</f>
        <v>MBC แฟมิลี่ทาวน์-21113</v>
      </c>
      <c r="AG356" s="3" t="str">
        <f>IFERROR(__xludf.DUMMYFUNCTION("""COMPUTED_VALUE"""),"ตะวันออก")</f>
        <v>ตะวันออก</v>
      </c>
      <c r="AH356" s="3" t="str">
        <f>IFERROR(__xludf.DUMMYFUNCTION("""COMPUTED_VALUE"""),"#N/A")</f>
        <v>#N/A</v>
      </c>
      <c r="AI356" s="3" t="str">
        <f>IFERROR(__xludf.DUMMYFUNCTION("""COMPUTED_VALUE"""),"Out of warranty")</f>
        <v>Out of warranty</v>
      </c>
      <c r="AJ356" s="3">
        <f>IFERROR(__xludf.DUMMYFUNCTION("""COMPUTED_VALUE"""),158.0)</f>
        <v>158</v>
      </c>
      <c r="AK356" s="3" t="str">
        <f>IFERROR(__xludf.DUMMYFUNCTION("""COMPUTED_VALUE"""),"MMS06")</f>
        <v>MMS06</v>
      </c>
      <c r="AL356" s="3"/>
    </row>
    <row r="357" ht="15.75" customHeight="1">
      <c r="A357" s="1" t="str">
        <f>IFERROR(__xludf.DUMMYFUNCTION("""COMPUTED_VALUE"""),"21114")</f>
        <v>21114</v>
      </c>
      <c r="B357" s="2">
        <f>IFERROR(__xludf.DUMMYFUNCTION("""COMPUTED_VALUE"""),21114.0)</f>
        <v>21114</v>
      </c>
      <c r="C357" s="3" t="str">
        <f>IFERROR(__xludf.DUMMYFUNCTION("""COMPUTED_VALUE"""),"MBC เอื้อฯเศรษฐกิจ3")</f>
        <v>MBC เอื้อฯเศรษฐกิจ3</v>
      </c>
      <c r="D357" s="3" t="str">
        <f>IFERROR(__xludf.DUMMYFUNCTION("""COMPUTED_VALUE"""),"BCM AUE SATETAKIT3")</f>
        <v>BCM AUE SATETAKIT3</v>
      </c>
      <c r="E357" s="1" t="str">
        <f>IFERROR(__xludf.DUMMYFUNCTION("""COMPUTED_VALUE"""),"บิ๊กซี MINI")</f>
        <v>บิ๊กซี MINI</v>
      </c>
      <c r="F357" s="1" t="str">
        <f>IFERROR(__xludf.DUMMYFUNCTION("""COMPUTED_VALUE"""),"2083447")</f>
        <v>2083447</v>
      </c>
      <c r="G357" s="1" t="str">
        <f>IFERROR(__xludf.DUMMYFUNCTION("""COMPUTED_VALUE"""),"นายอนุกูล ศรีลัดดา")</f>
        <v>นายอนุกูล ศรีลัดดา</v>
      </c>
      <c r="H357" s="1" t="str">
        <f>IFERROR(__xludf.DUMMYFUNCTION("""COMPUTED_VALUE"""),"2455053")</f>
        <v>2455053</v>
      </c>
      <c r="I357" s="1" t="str">
        <f>IFERROR(__xludf.DUMMYFUNCTION("""COMPUTED_VALUE"""),"นายพันธมิตร โพธิ")</f>
        <v>นายพันธมิตร โพธิ</v>
      </c>
      <c r="J357" s="3">
        <f>IFERROR(__xludf.DUMMYFUNCTION("""COMPUTED_VALUE"""),2451655.0)</f>
        <v>2451655</v>
      </c>
      <c r="K357" s="3" t="str">
        <f>IFERROR(__xludf.DUMMYFUNCTION("""COMPUTED_VALUE"""),"นายวิษณุพงษ์ ชินบุตร")</f>
        <v>นายวิษณุพงษ์ ชินบุตร</v>
      </c>
      <c r="L357" s="1" t="str">
        <f>IFERROR(__xludf.DUMMYFUNCTION("""COMPUTED_VALUE"""),"13 K.Wisanupong Ch")</f>
        <v>13 K.Wisanupong Ch</v>
      </c>
      <c r="M357" s="1" t="str">
        <f>IFERROR(__xludf.DUMMYFUNCTION("""COMPUTED_VALUE"""),"0843374693")</f>
        <v>0843374693</v>
      </c>
      <c r="N357" s="3">
        <f>IFERROR(__xludf.DUMMYFUNCTION("""COMPUTED_VALUE"""),22729.0)</f>
        <v>22729</v>
      </c>
      <c r="O357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357" s="4">
        <f>IFERROR(__xludf.DUMMYFUNCTION("""COMPUTED_VALUE"""),41254.0)</f>
        <v>41254</v>
      </c>
      <c r="Q357" s="3" t="str">
        <f>IFERROR(__xludf.DUMMYFUNCTION("""COMPUTED_VALUE"""),"A")</f>
        <v>A</v>
      </c>
      <c r="R357" s="3" t="str">
        <f>IFERROR(__xludf.DUMMYFUNCTION("""COMPUTED_VALUE"""),"Small Format")</f>
        <v>Small Format</v>
      </c>
      <c r="S357" s="3" t="str">
        <f>IFERROR(__xludf.DUMMYFUNCTION("""COMPUTED_VALUE"""),"BCM")</f>
        <v>BCM</v>
      </c>
      <c r="T357" s="3" t="str">
        <f>IFERROR(__xludf.DUMMYFUNCTION("""COMPUTED_VALUE"""),"#N/A")</f>
        <v>#N/A</v>
      </c>
      <c r="U357" s="3" t="str">
        <f>IFERROR(__xludf.DUMMYFUNCTION("""COMPUTED_VALUE"""),"#N/A")</f>
        <v>#N/A</v>
      </c>
      <c r="V357" s="3" t="str">
        <f>IFERROR(__xludf.DUMMYFUNCTION("""COMPUTED_VALUE"""),"N")</f>
        <v>N</v>
      </c>
      <c r="W357" s="3">
        <f>IFERROR(__xludf.DUMMYFUNCTION("""COMPUTED_VALUE"""),211105.0)</f>
        <v>211105</v>
      </c>
      <c r="X357" s="3" t="str">
        <f>IFERROR(__xludf.DUMMYFUNCTION("""COMPUTED_VALUE"""),"22/36-38 หมู่ 4 ตำบลนาดี อำเภอเมืองสมุทรสาคร จังหวัดสมุทรสาคร 74000")</f>
        <v>22/36-38 หมู่ 4 ตำบลนาดี อำเภอเมืองสมุทรสาคร จังหวัดสมุทรสาคร 74000</v>
      </c>
      <c r="Y357" s="3"/>
      <c r="Z357" s="3" t="str">
        <f>IFERROR(__xludf.DUMMYFUNCTION("""COMPUTED_VALUE"""),"นาดี")</f>
        <v>นาดี</v>
      </c>
      <c r="AA357" s="3" t="str">
        <f>IFERROR(__xludf.DUMMYFUNCTION("""COMPUTED_VALUE"""),"เมือง")</f>
        <v>เมือง</v>
      </c>
      <c r="AB357" s="3" t="str">
        <f>IFERROR(__xludf.DUMMYFUNCTION("""COMPUTED_VALUE"""),"สมุทรสาคร")</f>
        <v>สมุทรสาคร</v>
      </c>
      <c r="AC357" s="3">
        <f>IFERROR(__xludf.DUMMYFUNCTION("""COMPUTED_VALUE"""),74000.0)</f>
        <v>74000</v>
      </c>
      <c r="AD357" s="3">
        <f>IFERROR(__xludf.DUMMYFUNCTION("""COMPUTED_VALUE"""),13.577582)</f>
        <v>13.577582</v>
      </c>
      <c r="AE357" s="3">
        <f>IFERROR(__xludf.DUMMYFUNCTION("""COMPUTED_VALUE"""),100.283715)</f>
        <v>100.283715</v>
      </c>
      <c r="AF357" s="3" t="str">
        <f>IFERROR(__xludf.DUMMYFUNCTION("""COMPUTED_VALUE"""),"MBC เอื้อฯเศรษฐกิจ3-21114")</f>
        <v>MBC เอื้อฯเศรษฐกิจ3-21114</v>
      </c>
      <c r="AG357" s="3" t="str">
        <f>IFERROR(__xludf.DUMMYFUNCTION("""COMPUTED_VALUE"""),"กลาง")</f>
        <v>กลาง</v>
      </c>
      <c r="AH357" s="3" t="str">
        <f>IFERROR(__xludf.DUMMYFUNCTION("""COMPUTED_VALUE"""),"#N/A")</f>
        <v>#N/A</v>
      </c>
      <c r="AI357" s="3" t="str">
        <f>IFERROR(__xludf.DUMMYFUNCTION("""COMPUTED_VALUE"""),"Out of warranty")</f>
        <v>Out of warranty</v>
      </c>
      <c r="AJ357" s="3">
        <f>IFERROR(__xludf.DUMMYFUNCTION("""COMPUTED_VALUE"""),158.0)</f>
        <v>158</v>
      </c>
      <c r="AK357" s="3" t="str">
        <f>IFERROR(__xludf.DUMMYFUNCTION("""COMPUTED_VALUE"""),"MMS05")</f>
        <v>MMS05</v>
      </c>
      <c r="AL357" s="3"/>
    </row>
    <row r="358" ht="15.75" customHeight="1">
      <c r="A358" s="1" t="str">
        <f>IFERROR(__xludf.DUMMYFUNCTION("""COMPUTED_VALUE"""),"21115")</f>
        <v>21115</v>
      </c>
      <c r="B358" s="2">
        <f>IFERROR(__xludf.DUMMYFUNCTION("""COMPUTED_VALUE"""),21115.0)</f>
        <v>21115</v>
      </c>
      <c r="C358" s="3" t="str">
        <f>IFERROR(__xludf.DUMMYFUNCTION("""COMPUTED_VALUE"""),"MBC ตลาดพงษ์เอี่ยม")</f>
        <v>MBC ตลาดพงษ์เอี่ยม</v>
      </c>
      <c r="D358" s="3" t="str">
        <f>IFERROR(__xludf.DUMMYFUNCTION("""COMPUTED_VALUE"""),"BCM TARAD PONGIAM")</f>
        <v>BCM TARAD PONGIAM</v>
      </c>
      <c r="E358" s="1" t="str">
        <f>IFERROR(__xludf.DUMMYFUNCTION("""COMPUTED_VALUE"""),"บิ๊กซี MINI")</f>
        <v>บิ๊กซี MINI</v>
      </c>
      <c r="F358" s="1" t="str">
        <f>IFERROR(__xludf.DUMMYFUNCTION("""COMPUTED_VALUE"""),"2083447")</f>
        <v>2083447</v>
      </c>
      <c r="G358" s="1" t="str">
        <f>IFERROR(__xludf.DUMMYFUNCTION("""COMPUTED_VALUE"""),"นายอนุกูล ศรีลัดดา")</f>
        <v>นายอนุกูล ศรีลัดดา</v>
      </c>
      <c r="H358" s="1" t="str">
        <f>IFERROR(__xludf.DUMMYFUNCTION("""COMPUTED_VALUE"""),"284752")</f>
        <v>284752</v>
      </c>
      <c r="I358" s="1" t="str">
        <f>IFERROR(__xludf.DUMMYFUNCTION("""COMPUTED_VALUE"""),"น.ส.วีรนันท์ แสงใส")</f>
        <v>น.ส.วีรนันท์ แสงใส</v>
      </c>
      <c r="J358" s="3">
        <f>IFERROR(__xludf.DUMMYFUNCTION("""COMPUTED_VALUE"""),2451655.0)</f>
        <v>2451655</v>
      </c>
      <c r="K358" s="3" t="str">
        <f>IFERROR(__xludf.DUMMYFUNCTION("""COMPUTED_VALUE"""),"นายวิษณุพงษ์ ชินบุตร")</f>
        <v>นายวิษณุพงษ์ ชินบุตร</v>
      </c>
      <c r="L358" s="1" t="str">
        <f>IFERROR(__xludf.DUMMYFUNCTION("""COMPUTED_VALUE"""),"13 K.Wisanupong Ch")</f>
        <v>13 K.Wisanupong Ch</v>
      </c>
      <c r="M358" s="1" t="str">
        <f>IFERROR(__xludf.DUMMYFUNCTION("""COMPUTED_VALUE"""),"0843374693")</f>
        <v>0843374693</v>
      </c>
      <c r="N358" s="3">
        <f>IFERROR(__xludf.DUMMYFUNCTION("""COMPUTED_VALUE"""),22729.0)</f>
        <v>22729</v>
      </c>
      <c r="O358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358" s="4">
        <f>IFERROR(__xludf.DUMMYFUNCTION("""COMPUTED_VALUE"""),41255.0)</f>
        <v>41255</v>
      </c>
      <c r="Q358" s="3" t="str">
        <f>IFERROR(__xludf.DUMMYFUNCTION("""COMPUTED_VALUE"""),"A")</f>
        <v>A</v>
      </c>
      <c r="R358" s="3" t="str">
        <f>IFERROR(__xludf.DUMMYFUNCTION("""COMPUTED_VALUE"""),"Small Format")</f>
        <v>Small Format</v>
      </c>
      <c r="S358" s="3" t="str">
        <f>IFERROR(__xludf.DUMMYFUNCTION("""COMPUTED_VALUE"""),"BCM")</f>
        <v>BCM</v>
      </c>
      <c r="T358" s="3" t="str">
        <f>IFERROR(__xludf.DUMMYFUNCTION("""COMPUTED_VALUE"""),"#N/A")</f>
        <v>#N/A</v>
      </c>
      <c r="U358" s="3" t="str">
        <f>IFERROR(__xludf.DUMMYFUNCTION("""COMPUTED_VALUE"""),"#N/A")</f>
        <v>#N/A</v>
      </c>
      <c r="V358" s="3" t="str">
        <f>IFERROR(__xludf.DUMMYFUNCTION("""COMPUTED_VALUE"""),"N")</f>
        <v>N</v>
      </c>
      <c r="W358" s="3">
        <f>IFERROR(__xludf.DUMMYFUNCTION("""COMPUTED_VALUE"""),211107.0)</f>
        <v>211107</v>
      </c>
      <c r="X358" s="3" t="str">
        <f>IFERROR(__xludf.DUMMYFUNCTION("""COMPUTED_VALUE"""),"1/3 หมู่ 6 ตำบลบางโฉลง อำเภอบางพลี จังหวัดสมุทรปราการ 10540")</f>
        <v>1/3 หมู่ 6 ตำบลบางโฉลง อำเภอบางพลี จังหวัดสมุทรปราการ 10540</v>
      </c>
      <c r="Y358" s="3"/>
      <c r="Z358" s="3" t="str">
        <f>IFERROR(__xludf.DUMMYFUNCTION("""COMPUTED_VALUE"""),"บางโฉลง")</f>
        <v>บางโฉลง</v>
      </c>
      <c r="AA358" s="3" t="str">
        <f>IFERROR(__xludf.DUMMYFUNCTION("""COMPUTED_VALUE"""),"บางพลี")</f>
        <v>บางพลี</v>
      </c>
      <c r="AB358" s="3" t="str">
        <f>IFERROR(__xludf.DUMMYFUNCTION("""COMPUTED_VALUE"""),"สมุทรปราการ")</f>
        <v>สมุทรปราการ</v>
      </c>
      <c r="AC358" s="3">
        <f>IFERROR(__xludf.DUMMYFUNCTION("""COMPUTED_VALUE"""),10540.0)</f>
        <v>10540</v>
      </c>
      <c r="AD358" s="3">
        <f>IFERROR(__xludf.DUMMYFUNCTION("""COMPUTED_VALUE"""),13.61821)</f>
        <v>13.61821</v>
      </c>
      <c r="AE358" s="3">
        <f>IFERROR(__xludf.DUMMYFUNCTION("""COMPUTED_VALUE"""),100.742866)</f>
        <v>100.742866</v>
      </c>
      <c r="AF358" s="3" t="str">
        <f>IFERROR(__xludf.DUMMYFUNCTION("""COMPUTED_VALUE"""),"MBC ตลาดพงษ์เอี่ยม-21115")</f>
        <v>MBC ตลาดพงษ์เอี่ยม-21115</v>
      </c>
      <c r="AG358" s="3" t="str">
        <f>IFERROR(__xludf.DUMMYFUNCTION("""COMPUTED_VALUE"""),"กลาง")</f>
        <v>กลาง</v>
      </c>
      <c r="AH358" s="3" t="str">
        <f>IFERROR(__xludf.DUMMYFUNCTION("""COMPUTED_VALUE"""),"#N/A")</f>
        <v>#N/A</v>
      </c>
      <c r="AI358" s="3" t="str">
        <f>IFERROR(__xludf.DUMMYFUNCTION("""COMPUTED_VALUE"""),"Out of warranty")</f>
        <v>Out of warranty</v>
      </c>
      <c r="AJ358" s="3">
        <f>IFERROR(__xludf.DUMMYFUNCTION("""COMPUTED_VALUE"""),158.0)</f>
        <v>158</v>
      </c>
      <c r="AK358" s="3" t="str">
        <f>IFERROR(__xludf.DUMMYFUNCTION("""COMPUTED_VALUE"""),"MMS03")</f>
        <v>MMS03</v>
      </c>
      <c r="AL358" s="3"/>
    </row>
    <row r="359" ht="15.75" customHeight="1">
      <c r="A359" s="1" t="str">
        <f>IFERROR(__xludf.DUMMYFUNCTION("""COMPUTED_VALUE"""),"21116")</f>
        <v>21116</v>
      </c>
      <c r="B359" s="2">
        <f>IFERROR(__xludf.DUMMYFUNCTION("""COMPUTED_VALUE"""),21116.0)</f>
        <v>21116</v>
      </c>
      <c r="C359" s="3" t="str">
        <f>IFERROR(__xludf.DUMMYFUNCTION("""COMPUTED_VALUE"""),"MBC ตลาดศิริพนม")</f>
        <v>MBC ตลาดศิริพนม</v>
      </c>
      <c r="D359" s="3" t="str">
        <f>IFERROR(__xludf.DUMMYFUNCTION("""COMPUTED_VALUE"""),"BCM TARAD SIRIPANOM")</f>
        <v>BCM TARAD SIRIPANOM</v>
      </c>
      <c r="E359" s="1" t="str">
        <f>IFERROR(__xludf.DUMMYFUNCTION("""COMPUTED_VALUE"""),"บิ๊กซี MINI")</f>
        <v>บิ๊กซี MINI</v>
      </c>
      <c r="F359" s="1" t="str">
        <f>IFERROR(__xludf.DUMMYFUNCTION("""COMPUTED_VALUE"""),"2083447")</f>
        <v>2083447</v>
      </c>
      <c r="G359" s="1" t="str">
        <f>IFERROR(__xludf.DUMMYFUNCTION("""COMPUTED_VALUE"""),"นายอนุกูล ศรีลัดดา")</f>
        <v>นายอนุกูล ศรีลัดดา</v>
      </c>
      <c r="H359" s="1" t="str">
        <f>IFERROR(__xludf.DUMMYFUNCTION("""COMPUTED_VALUE"""),"254957")</f>
        <v>254957</v>
      </c>
      <c r="I359" s="1" t="str">
        <f>IFERROR(__xludf.DUMMYFUNCTION("""COMPUTED_VALUE"""),"น.ส.ศิริพร รุ่งธัญญา")</f>
        <v>น.ส.ศิริพร รุ่งธัญญา</v>
      </c>
      <c r="J359" s="3">
        <f>IFERROR(__xludf.DUMMYFUNCTION("""COMPUTED_VALUE"""),510143.0)</f>
        <v>510143</v>
      </c>
      <c r="K359" s="3" t="str">
        <f>IFERROR(__xludf.DUMMYFUNCTION("""COMPUTED_VALUE"""),"นายธีระวัฒน์ บุญสิทธิ์")</f>
        <v>นายธีระวัฒน์ บุญสิทธิ์</v>
      </c>
      <c r="L359" s="1" t="str">
        <f>IFERROR(__xludf.DUMMYFUNCTION("""COMPUTED_VALUE"""),"12 K.Theerawat B.")</f>
        <v>12 K.Theerawat B.</v>
      </c>
      <c r="M359" s="1" t="str">
        <f>IFERROR(__xludf.DUMMYFUNCTION("""COMPUTED_VALUE"""),"0655107379")</f>
        <v>0655107379</v>
      </c>
      <c r="N359" s="3">
        <f>IFERROR(__xludf.DUMMYFUNCTION("""COMPUTED_VALUE"""),21062.0)</f>
        <v>21062</v>
      </c>
      <c r="O359" s="3" t="str">
        <f>IFERROR(__xludf.DUMMYFUNCTION("""COMPUTED_VALUE"""),"MBC นิคมนวนคร")</f>
        <v>MBC นิคมนวนคร</v>
      </c>
      <c r="P359" s="4">
        <f>IFERROR(__xludf.DUMMYFUNCTION("""COMPUTED_VALUE"""),41257.0)</f>
        <v>41257</v>
      </c>
      <c r="Q359" s="3" t="str">
        <f>IFERROR(__xludf.DUMMYFUNCTION("""COMPUTED_VALUE"""),"A")</f>
        <v>A</v>
      </c>
      <c r="R359" s="3" t="str">
        <f>IFERROR(__xludf.DUMMYFUNCTION("""COMPUTED_VALUE"""),"Small Format")</f>
        <v>Small Format</v>
      </c>
      <c r="S359" s="3" t="str">
        <f>IFERROR(__xludf.DUMMYFUNCTION("""COMPUTED_VALUE"""),"BCM")</f>
        <v>BCM</v>
      </c>
      <c r="T359" s="3" t="str">
        <f>IFERROR(__xludf.DUMMYFUNCTION("""COMPUTED_VALUE"""),"#N/A")</f>
        <v>#N/A</v>
      </c>
      <c r="U359" s="3" t="str">
        <f>IFERROR(__xludf.DUMMYFUNCTION("""COMPUTED_VALUE"""),"#N/A")</f>
        <v>#N/A</v>
      </c>
      <c r="V359" s="3" t="str">
        <f>IFERROR(__xludf.DUMMYFUNCTION("""COMPUTED_VALUE"""),"N")</f>
        <v>N</v>
      </c>
      <c r="W359" s="3">
        <f>IFERROR(__xludf.DUMMYFUNCTION("""COMPUTED_VALUE"""),211108.0)</f>
        <v>211108</v>
      </c>
      <c r="X359" s="3" t="str">
        <f>IFERROR(__xludf.DUMMYFUNCTION("""COMPUTED_VALUE"""),"1249/2 หมู่ 1 ตำบลพนมสารคาม อำเภอพนมสารคาม จังหวัดฉะเชิงเทรา 24120")</f>
        <v>1249/2 หมู่ 1 ตำบลพนมสารคาม อำเภอพนมสารคาม จังหวัดฉะเชิงเทรา 24120</v>
      </c>
      <c r="Y359" s="3"/>
      <c r="Z359" s="3" t="str">
        <f>IFERROR(__xludf.DUMMYFUNCTION("""COMPUTED_VALUE"""),"พนมสารคาม")</f>
        <v>พนมสารคาม</v>
      </c>
      <c r="AA359" s="3" t="str">
        <f>IFERROR(__xludf.DUMMYFUNCTION("""COMPUTED_VALUE"""),"พนมสารคาม")</f>
        <v>พนมสารคาม</v>
      </c>
      <c r="AB359" s="3" t="str">
        <f>IFERROR(__xludf.DUMMYFUNCTION("""COMPUTED_VALUE"""),"ฉะเชิงเทรา")</f>
        <v>ฉะเชิงเทรา</v>
      </c>
      <c r="AC359" s="3">
        <f>IFERROR(__xludf.DUMMYFUNCTION("""COMPUTED_VALUE"""),24120.0)</f>
        <v>24120</v>
      </c>
      <c r="AD359" s="3">
        <f>IFERROR(__xludf.DUMMYFUNCTION("""COMPUTED_VALUE"""),13.749684)</f>
        <v>13.749684</v>
      </c>
      <c r="AE359" s="3">
        <f>IFERROR(__xludf.DUMMYFUNCTION("""COMPUTED_VALUE"""),101.358707)</f>
        <v>101.358707</v>
      </c>
      <c r="AF359" s="3" t="str">
        <f>IFERROR(__xludf.DUMMYFUNCTION("""COMPUTED_VALUE"""),"MBC ตลาดศิริพนม-21116")</f>
        <v>MBC ตลาดศิริพนม-21116</v>
      </c>
      <c r="AG359" s="3" t="str">
        <f>IFERROR(__xludf.DUMMYFUNCTION("""COMPUTED_VALUE"""),"ตะวันออก")</f>
        <v>ตะวันออก</v>
      </c>
      <c r="AH359" s="3" t="str">
        <f>IFERROR(__xludf.DUMMYFUNCTION("""COMPUTED_VALUE"""),"#N/A")</f>
        <v>#N/A</v>
      </c>
      <c r="AI359" s="3" t="str">
        <f>IFERROR(__xludf.DUMMYFUNCTION("""COMPUTED_VALUE"""),"Out of warranty")</f>
        <v>Out of warranty</v>
      </c>
      <c r="AJ359" s="3">
        <f>IFERROR(__xludf.DUMMYFUNCTION("""COMPUTED_VALUE"""),158.0)</f>
        <v>158</v>
      </c>
      <c r="AK359" s="3" t="str">
        <f>IFERROR(__xludf.DUMMYFUNCTION("""COMPUTED_VALUE"""),"MMS07")</f>
        <v>MMS07</v>
      </c>
      <c r="AL359" s="3"/>
    </row>
    <row r="360" ht="15.75" customHeight="1">
      <c r="A360" s="1" t="str">
        <f>IFERROR(__xludf.DUMMYFUNCTION("""COMPUTED_VALUE"""),"21117")</f>
        <v>21117</v>
      </c>
      <c r="B360" s="2">
        <f>IFERROR(__xludf.DUMMYFUNCTION("""COMPUTED_VALUE"""),21117.0)</f>
        <v>21117</v>
      </c>
      <c r="C360" s="3" t="str">
        <f>IFERROR(__xludf.DUMMYFUNCTION("""COMPUTED_VALUE"""),"MBC อ่างศิลา")</f>
        <v>MBC อ่างศิลา</v>
      </c>
      <c r="D360" s="3" t="str">
        <f>IFERROR(__xludf.DUMMYFUNCTION("""COMPUTED_VALUE"""),"BCM ANGSILA")</f>
        <v>BCM ANGSILA</v>
      </c>
      <c r="E360" s="1" t="str">
        <f>IFERROR(__xludf.DUMMYFUNCTION("""COMPUTED_VALUE"""),"บิ๊กซี MINI")</f>
        <v>บิ๊กซี MINI</v>
      </c>
      <c r="F360" s="1" t="str">
        <f>IFERROR(__xludf.DUMMYFUNCTION("""COMPUTED_VALUE"""),"221716")</f>
        <v>221716</v>
      </c>
      <c r="G360" s="1" t="str">
        <f>IFERROR(__xludf.DUMMYFUNCTION("""COMPUTED_VALUE"""),"น.ส.เบญจพร โพธิสาร")</f>
        <v>น.ส.เบญจพร โพธิสาร</v>
      </c>
      <c r="H360" s="1" t="str">
        <f>IFERROR(__xludf.DUMMYFUNCTION("""COMPUTED_VALUE"""),"034605")</f>
        <v>034605</v>
      </c>
      <c r="I360" s="1" t="str">
        <f>IFERROR(__xludf.DUMMYFUNCTION("""COMPUTED_VALUE"""),"นายธรรมรัตน์ สุขเจริญ")</f>
        <v>นายธรรมรัตน์ สุขเจริญ</v>
      </c>
      <c r="J360" s="3">
        <f>IFERROR(__xludf.DUMMYFUNCTION("""COMPUTED_VALUE"""),1.3461215E7)</f>
        <v>13461215</v>
      </c>
      <c r="K360" s="3" t="str">
        <f>IFERROR(__xludf.DUMMYFUNCTION("""COMPUTED_VALUE"""),"นายธีรภัทร สังข์เงิน")</f>
        <v>นายธีรภัทร สังข์เงิน</v>
      </c>
      <c r="L360" s="1" t="str">
        <f>IFERROR(__xludf.DUMMYFUNCTION("""COMPUTED_VALUE"""),"06 K.Teerapat")</f>
        <v>06 K.Teerapat</v>
      </c>
      <c r="M360" s="1" t="str">
        <f>IFERROR(__xludf.DUMMYFUNCTION("""COMPUTED_VALUE"""),"063-601-6803")</f>
        <v>063-601-6803</v>
      </c>
      <c r="N360" s="3">
        <f>IFERROR(__xludf.DUMMYFUNCTION("""COMPUTED_VALUE"""),22115.0)</f>
        <v>22115</v>
      </c>
      <c r="O360" s="3" t="str">
        <f>IFERROR(__xludf.DUMMYFUNCTION("""COMPUTED_VALUE"""),"MBC เลี่ยงหนองมน ชลบุรี")</f>
        <v>MBC เลี่ยงหนองมน ชลบุรี</v>
      </c>
      <c r="P360" s="4">
        <f>IFERROR(__xludf.DUMMYFUNCTION("""COMPUTED_VALUE"""),41260.0)</f>
        <v>41260</v>
      </c>
      <c r="Q360" s="3" t="str">
        <f>IFERROR(__xludf.DUMMYFUNCTION("""COMPUTED_VALUE"""),"A")</f>
        <v>A</v>
      </c>
      <c r="R360" s="3" t="str">
        <f>IFERROR(__xludf.DUMMYFUNCTION("""COMPUTED_VALUE"""),"Small Format")</f>
        <v>Small Format</v>
      </c>
      <c r="S360" s="3" t="str">
        <f>IFERROR(__xludf.DUMMYFUNCTION("""COMPUTED_VALUE"""),"BCM")</f>
        <v>BCM</v>
      </c>
      <c r="T360" s="3" t="str">
        <f>IFERROR(__xludf.DUMMYFUNCTION("""COMPUTED_VALUE"""),"#N/A")</f>
        <v>#N/A</v>
      </c>
      <c r="U360" s="3" t="str">
        <f>IFERROR(__xludf.DUMMYFUNCTION("""COMPUTED_VALUE"""),"#N/A")</f>
        <v>#N/A</v>
      </c>
      <c r="V360" s="3" t="str">
        <f>IFERROR(__xludf.DUMMYFUNCTION("""COMPUTED_VALUE"""),"N")</f>
        <v>N</v>
      </c>
      <c r="W360" s="3">
        <f>IFERROR(__xludf.DUMMYFUNCTION("""COMPUTED_VALUE"""),211109.0)</f>
        <v>211109</v>
      </c>
      <c r="X360" s="3" t="str">
        <f>IFERROR(__xludf.DUMMYFUNCTION("""COMPUTED_VALUE"""),"23/11-13 หมู่ 3 ตำบลเสม็ด อำเภอเมืองชลบุรี จังหวัดชลบุรี 20000")</f>
        <v>23/11-13 หมู่ 3 ตำบลเสม็ด อำเภอเมืองชลบุรี จังหวัดชลบุรี 20000</v>
      </c>
      <c r="Y360" s="3"/>
      <c r="Z360" s="3" t="str">
        <f>IFERROR(__xludf.DUMMYFUNCTION("""COMPUTED_VALUE"""),"เสม็ด")</f>
        <v>เสม็ด</v>
      </c>
      <c r="AA360" s="3" t="str">
        <f>IFERROR(__xludf.DUMMYFUNCTION("""COMPUTED_VALUE"""),"เมือง")</f>
        <v>เมือง</v>
      </c>
      <c r="AB360" s="3" t="str">
        <f>IFERROR(__xludf.DUMMYFUNCTION("""COMPUTED_VALUE"""),"ชลบุรี")</f>
        <v>ชลบุรี</v>
      </c>
      <c r="AC360" s="3">
        <f>IFERROR(__xludf.DUMMYFUNCTION("""COMPUTED_VALUE"""),20000.0)</f>
        <v>20000</v>
      </c>
      <c r="AD360" s="3">
        <f>IFERROR(__xludf.DUMMYFUNCTION("""COMPUTED_VALUE"""),13.319492)</f>
        <v>13.319492</v>
      </c>
      <c r="AE360" s="3">
        <f>IFERROR(__xludf.DUMMYFUNCTION("""COMPUTED_VALUE"""),100.947563)</f>
        <v>100.947563</v>
      </c>
      <c r="AF360" s="3" t="str">
        <f>IFERROR(__xludf.DUMMYFUNCTION("""COMPUTED_VALUE"""),"MBC อ่างศิลา-21117")</f>
        <v>MBC อ่างศิลา-21117</v>
      </c>
      <c r="AG360" s="3" t="str">
        <f>IFERROR(__xludf.DUMMYFUNCTION("""COMPUTED_VALUE"""),"ตะวันออก")</f>
        <v>ตะวันออก</v>
      </c>
      <c r="AH360" s="3" t="str">
        <f>IFERROR(__xludf.DUMMYFUNCTION("""COMPUTED_VALUE"""),"#N/A")</f>
        <v>#N/A</v>
      </c>
      <c r="AI360" s="3" t="str">
        <f>IFERROR(__xludf.DUMMYFUNCTION("""COMPUTED_VALUE"""),"Out of warranty")</f>
        <v>Out of warranty</v>
      </c>
      <c r="AJ360" s="3">
        <f>IFERROR(__xludf.DUMMYFUNCTION("""COMPUTED_VALUE"""),158.0)</f>
        <v>158</v>
      </c>
      <c r="AK360" s="3" t="str">
        <f>IFERROR(__xludf.DUMMYFUNCTION("""COMPUTED_VALUE"""),"MMS06")</f>
        <v>MMS06</v>
      </c>
      <c r="AL360" s="3"/>
    </row>
    <row r="361" ht="15.75" customHeight="1">
      <c r="A361" s="1" t="str">
        <f>IFERROR(__xludf.DUMMYFUNCTION("""COMPUTED_VALUE"""),"21118")</f>
        <v>21118</v>
      </c>
      <c r="B361" s="2">
        <f>IFERROR(__xludf.DUMMYFUNCTION("""COMPUTED_VALUE"""),21118.0)</f>
        <v>21118</v>
      </c>
      <c r="C361" s="3" t="str">
        <f>IFERROR(__xludf.DUMMYFUNCTION("""COMPUTED_VALUE"""),"MBC ตลาดใหม่นาเกลือ")</f>
        <v>MBC ตลาดใหม่นาเกลือ</v>
      </c>
      <c r="D361" s="3" t="str">
        <f>IFERROR(__xludf.DUMMYFUNCTION("""COMPUTED_VALUE"""),"BCM TARADMAI NAKLUA")</f>
        <v>BCM TARADMAI NAKLUA</v>
      </c>
      <c r="E361" s="1" t="str">
        <f>IFERROR(__xludf.DUMMYFUNCTION("""COMPUTED_VALUE"""),"บิ๊กซี MINI")</f>
        <v>บิ๊กซี MINI</v>
      </c>
      <c r="F361" s="1" t="str">
        <f>IFERROR(__xludf.DUMMYFUNCTION("""COMPUTED_VALUE"""),"221716")</f>
        <v>221716</v>
      </c>
      <c r="G361" s="1" t="str">
        <f>IFERROR(__xludf.DUMMYFUNCTION("""COMPUTED_VALUE"""),"น.ส.เบญจพร โพธิสาร")</f>
        <v>น.ส.เบญจพร โพธิสาร</v>
      </c>
      <c r="H361" s="1" t="str">
        <f>IFERROR(__xludf.DUMMYFUNCTION("""COMPUTED_VALUE"""),"291061")</f>
        <v>291061</v>
      </c>
      <c r="I361" s="1" t="str">
        <f>IFERROR(__xludf.DUMMYFUNCTION("""COMPUTED_VALUE"""),"นายสมศักดิ์ เสียงก้อง")</f>
        <v>นายสมศักดิ์ เสียงก้อง</v>
      </c>
      <c r="J361" s="3">
        <f>IFERROR(__xludf.DUMMYFUNCTION("""COMPUTED_VALUE"""),296942.0)</f>
        <v>296942</v>
      </c>
      <c r="K361" s="3" t="str">
        <f>IFERROR(__xludf.DUMMYFUNCTION("""COMPUTED_VALUE"""),"นายปิยะ รักษากิจ")</f>
        <v>นายปิยะ รักษากิจ</v>
      </c>
      <c r="L361" s="1" t="str">
        <f>IFERROR(__xludf.DUMMYFUNCTION("""COMPUTED_VALUE"""),"07 K.Piya R.")</f>
        <v>07 K.Piya R.</v>
      </c>
      <c r="M361" s="1" t="str">
        <f>IFERROR(__xludf.DUMMYFUNCTION("""COMPUTED_VALUE"""),"097-919-5476")</f>
        <v>097-919-5476</v>
      </c>
      <c r="N361" s="3">
        <f>IFERROR(__xludf.DUMMYFUNCTION("""COMPUTED_VALUE"""),21332.0)</f>
        <v>21332</v>
      </c>
      <c r="O361" s="3" t="str">
        <f>IFERROR(__xludf.DUMMYFUNCTION("""COMPUTED_VALUE"""),"MBC BCP อ่อนนุช 17/1")</f>
        <v>MBC BCP อ่อนนุช 17/1</v>
      </c>
      <c r="P361" s="4">
        <f>IFERROR(__xludf.DUMMYFUNCTION("""COMPUTED_VALUE"""),41260.0)</f>
        <v>41260</v>
      </c>
      <c r="Q361" s="3" t="str">
        <f>IFERROR(__xludf.DUMMYFUNCTION("""COMPUTED_VALUE"""),"A")</f>
        <v>A</v>
      </c>
      <c r="R361" s="3" t="str">
        <f>IFERROR(__xludf.DUMMYFUNCTION("""COMPUTED_VALUE"""),"Small Format")</f>
        <v>Small Format</v>
      </c>
      <c r="S361" s="3" t="str">
        <f>IFERROR(__xludf.DUMMYFUNCTION("""COMPUTED_VALUE"""),"BCM")</f>
        <v>BCM</v>
      </c>
      <c r="T361" s="3" t="str">
        <f>IFERROR(__xludf.DUMMYFUNCTION("""COMPUTED_VALUE"""),"#N/A")</f>
        <v>#N/A</v>
      </c>
      <c r="U361" s="3" t="str">
        <f>IFERROR(__xludf.DUMMYFUNCTION("""COMPUTED_VALUE"""),"#N/A")</f>
        <v>#N/A</v>
      </c>
      <c r="V361" s="3" t="str">
        <f>IFERROR(__xludf.DUMMYFUNCTION("""COMPUTED_VALUE"""),"N")</f>
        <v>N</v>
      </c>
      <c r="W361" s="3">
        <f>IFERROR(__xludf.DUMMYFUNCTION("""COMPUTED_VALUE"""),211110.0)</f>
        <v>211110</v>
      </c>
      <c r="X361" s="3" t="str">
        <f>IFERROR(__xludf.DUMMYFUNCTION("""COMPUTED_VALUE"""),"298/130-132 หมู่ 5 ตำบลนาเกลือ อำเภอบางละมุง จังหวัดชลบุรี 20150")</f>
        <v>298/130-132 หมู่ 5 ตำบลนาเกลือ อำเภอบางละมุง จังหวัดชลบุรี 20150</v>
      </c>
      <c r="Y361" s="3"/>
      <c r="Z361" s="3" t="str">
        <f>IFERROR(__xludf.DUMMYFUNCTION("""COMPUTED_VALUE"""),"นาเกลือ")</f>
        <v>นาเกลือ</v>
      </c>
      <c r="AA361" s="3" t="str">
        <f>IFERROR(__xludf.DUMMYFUNCTION("""COMPUTED_VALUE"""),"บางละมุง")</f>
        <v>บางละมุง</v>
      </c>
      <c r="AB361" s="3" t="str">
        <f>IFERROR(__xludf.DUMMYFUNCTION("""COMPUTED_VALUE"""),"ชลบุรี")</f>
        <v>ชลบุรี</v>
      </c>
      <c r="AC361" s="3">
        <f>IFERROR(__xludf.DUMMYFUNCTION("""COMPUTED_VALUE"""),20150.0)</f>
        <v>20150</v>
      </c>
      <c r="AD361" s="3">
        <f>IFERROR(__xludf.DUMMYFUNCTION("""COMPUTED_VALUE"""),12.970032)</f>
        <v>12.970032</v>
      </c>
      <c r="AE361" s="3">
        <f>IFERROR(__xludf.DUMMYFUNCTION("""COMPUTED_VALUE"""),100.907197)</f>
        <v>100.907197</v>
      </c>
      <c r="AF361" s="3" t="str">
        <f>IFERROR(__xludf.DUMMYFUNCTION("""COMPUTED_VALUE"""),"MBC ตลาดใหม่นาเกลือ-21118")</f>
        <v>MBC ตลาดใหม่นาเกลือ-21118</v>
      </c>
      <c r="AG361" s="3" t="str">
        <f>IFERROR(__xludf.DUMMYFUNCTION("""COMPUTED_VALUE"""),"ตะวันออก")</f>
        <v>ตะวันออก</v>
      </c>
      <c r="AH361" s="3" t="str">
        <f>IFERROR(__xludf.DUMMYFUNCTION("""COMPUTED_VALUE"""),"#N/A")</f>
        <v>#N/A</v>
      </c>
      <c r="AI361" s="3" t="str">
        <f>IFERROR(__xludf.DUMMYFUNCTION("""COMPUTED_VALUE"""),"Out of warranty")</f>
        <v>Out of warranty</v>
      </c>
      <c r="AJ361" s="3">
        <f>IFERROR(__xludf.DUMMYFUNCTION("""COMPUTED_VALUE"""),158.0)</f>
        <v>158</v>
      </c>
      <c r="AK361" s="3" t="str">
        <f>IFERROR(__xludf.DUMMYFUNCTION("""COMPUTED_VALUE"""),"MMS06")</f>
        <v>MMS06</v>
      </c>
      <c r="AL361" s="3"/>
    </row>
    <row r="362" ht="15.75" customHeight="1">
      <c r="A362" s="1" t="str">
        <f>IFERROR(__xludf.DUMMYFUNCTION("""COMPUTED_VALUE"""),"21119")</f>
        <v>21119</v>
      </c>
      <c r="B362" s="2">
        <f>IFERROR(__xludf.DUMMYFUNCTION("""COMPUTED_VALUE"""),21119.0)</f>
        <v>21119</v>
      </c>
      <c r="C362" s="3" t="str">
        <f>IFERROR(__xludf.DUMMYFUNCTION("""COMPUTED_VALUE"""),"MBC ซอยโพธิแก้ว")</f>
        <v>MBC ซอยโพธิแก้ว</v>
      </c>
      <c r="D362" s="3" t="str">
        <f>IFERROR(__xludf.DUMMYFUNCTION("""COMPUTED_VALUE"""),"BCM SOI PHOKAEW")</f>
        <v>BCM SOI PHOKAEW</v>
      </c>
      <c r="E362" s="1" t="str">
        <f>IFERROR(__xludf.DUMMYFUNCTION("""COMPUTED_VALUE"""),"บิ๊กซี MINI")</f>
        <v>บิ๊กซี MINI</v>
      </c>
      <c r="F362" s="1" t="str">
        <f>IFERROR(__xludf.DUMMYFUNCTION("""COMPUTED_VALUE"""),"291008")</f>
        <v>291008</v>
      </c>
      <c r="G362" s="1" t="str">
        <f>IFERROR(__xludf.DUMMYFUNCTION("""COMPUTED_VALUE"""),"น.ส.รัชดาพร อีศรัตน์")</f>
        <v>น.ส.รัชดาพร อีศรัตน์</v>
      </c>
      <c r="H362" s="1" t="str">
        <f>IFERROR(__xludf.DUMMYFUNCTION("""COMPUTED_VALUE"""),"228242")</f>
        <v>228242</v>
      </c>
      <c r="I362" s="1" t="str">
        <f>IFERROR(__xludf.DUMMYFUNCTION("""COMPUTED_VALUE"""),"นายสมชาย เยมรัมย์")</f>
        <v>นายสมชาย เยมรัมย์</v>
      </c>
      <c r="J362" s="3">
        <f>IFERROR(__xludf.DUMMYFUNCTION("""COMPUTED_VALUE"""),296728.0)</f>
        <v>296728</v>
      </c>
      <c r="K362" s="3" t="str">
        <f>IFERROR(__xludf.DUMMYFUNCTION("""COMPUTED_VALUE"""),"นายธิติ บัวทองรังสิมา")</f>
        <v>นายธิติ บัวทองรังสิมา</v>
      </c>
      <c r="L362" s="1" t="str">
        <f>IFERROR(__xludf.DUMMYFUNCTION("""COMPUTED_VALUE"""),"นายธิติ บัวทองรังสิมา")</f>
        <v>นายธิติ บัวทองรังสิมา</v>
      </c>
      <c r="M362" s="1" t="str">
        <f>IFERROR(__xludf.DUMMYFUNCTION("""COMPUTED_VALUE"""),"0920849994")</f>
        <v>0920849994</v>
      </c>
      <c r="N362" s="3">
        <f>IFERROR(__xludf.DUMMYFUNCTION("""COMPUTED_VALUE"""),21012.0)</f>
        <v>21012</v>
      </c>
      <c r="O362" s="3" t="str">
        <f>IFERROR(__xludf.DUMMYFUNCTION("""COMPUTED_VALUE"""),"MBC ท่าอิฐ")</f>
        <v>MBC ท่าอิฐ</v>
      </c>
      <c r="P362" s="4">
        <f>IFERROR(__xludf.DUMMYFUNCTION("""COMPUTED_VALUE"""),41263.0)</f>
        <v>41263</v>
      </c>
      <c r="Q362" s="3" t="str">
        <f>IFERROR(__xludf.DUMMYFUNCTION("""COMPUTED_VALUE"""),"I")</f>
        <v>I</v>
      </c>
      <c r="R362" s="3" t="str">
        <f>IFERROR(__xludf.DUMMYFUNCTION("""COMPUTED_VALUE"""),"Small Format")</f>
        <v>Small Format</v>
      </c>
      <c r="S362" s="3" t="str">
        <f>IFERROR(__xludf.DUMMYFUNCTION("""COMPUTED_VALUE"""),"BCM")</f>
        <v>BCM</v>
      </c>
      <c r="T362" s="3" t="str">
        <f>IFERROR(__xludf.DUMMYFUNCTION("""COMPUTED_VALUE"""),"#N/A")</f>
        <v>#N/A</v>
      </c>
      <c r="U362" s="3" t="str">
        <f>IFERROR(__xludf.DUMMYFUNCTION("""COMPUTED_VALUE"""),"#N/A")</f>
        <v>#N/A</v>
      </c>
      <c r="V362" s="3" t="str">
        <f>IFERROR(__xludf.DUMMYFUNCTION("""COMPUTED_VALUE"""),"N")</f>
        <v>N</v>
      </c>
      <c r="W362" s="3">
        <f>IFERROR(__xludf.DUMMYFUNCTION("""COMPUTED_VALUE"""),211111.0)</f>
        <v>211111</v>
      </c>
      <c r="X362" s="3" t="str">
        <f>IFERROR(__xludf.DUMMYFUNCTION("""COMPUTED_VALUE"""),"34 ถนนโพธิ์แก้ว แขวงคลองจั่น เขตบางกะปิ กรุงเทพฯ 10240")</f>
        <v>34 ถนนโพธิ์แก้ว แขวงคลองจั่น เขตบางกะปิ กรุงเทพฯ 10240</v>
      </c>
      <c r="Y362" s="3" t="str">
        <f>IFERROR(__xludf.DUMMYFUNCTION("""COMPUTED_VALUE"""),"ถนนโพธิ์แก้ว")</f>
        <v>ถนนโพธิ์แก้ว</v>
      </c>
      <c r="Z362" s="3" t="str">
        <f>IFERROR(__xludf.DUMMYFUNCTION("""COMPUTED_VALUE"""),"คลองจั่น")</f>
        <v>คลองจั่น</v>
      </c>
      <c r="AA362" s="3" t="str">
        <f>IFERROR(__xludf.DUMMYFUNCTION("""COMPUTED_VALUE"""),"บางกะปิ")</f>
        <v>บางกะปิ</v>
      </c>
      <c r="AB362" s="3" t="str">
        <f>IFERROR(__xludf.DUMMYFUNCTION("""COMPUTED_VALUE"""),"กรุงเทพมหานคร")</f>
        <v>กรุงเทพมหานคร</v>
      </c>
      <c r="AC362" s="3">
        <f>IFERROR(__xludf.DUMMYFUNCTION("""COMPUTED_VALUE"""),10240.0)</f>
        <v>10240</v>
      </c>
      <c r="AD362" s="3">
        <f>IFERROR(__xludf.DUMMYFUNCTION("""COMPUTED_VALUE"""),13.797657)</f>
        <v>13.797657</v>
      </c>
      <c r="AE362" s="3">
        <f>IFERROR(__xludf.DUMMYFUNCTION("""COMPUTED_VALUE"""),100.63014)</f>
        <v>100.63014</v>
      </c>
      <c r="AF362" s="3" t="str">
        <f>IFERROR(__xludf.DUMMYFUNCTION("""COMPUTED_VALUE"""),"MBC ซอยโพธิแก้ว-21119")</f>
        <v>MBC ซอยโพธิแก้ว-21119</v>
      </c>
      <c r="AG362" s="3" t="str">
        <f>IFERROR(__xludf.DUMMYFUNCTION("""COMPUTED_VALUE"""),"กลาง")</f>
        <v>กลาง</v>
      </c>
      <c r="AH362" s="3" t="str">
        <f>IFERROR(__xludf.DUMMYFUNCTION("""COMPUTED_VALUE"""),"#N/A")</f>
        <v>#N/A</v>
      </c>
      <c r="AI362" s="3" t="str">
        <f>IFERROR(__xludf.DUMMYFUNCTION("""COMPUTED_VALUE"""),"Out of warranty")</f>
        <v>Out of warranty</v>
      </c>
      <c r="AJ362" s="3">
        <f>IFERROR(__xludf.DUMMYFUNCTION("""COMPUTED_VALUE"""),158.0)</f>
        <v>158</v>
      </c>
      <c r="AK362" s="3" t="str">
        <f>IFERROR(__xludf.DUMMYFUNCTION("""COMPUTED_VALUE"""),"MMS01")</f>
        <v>MMS01</v>
      </c>
      <c r="AL362" s="3"/>
    </row>
    <row r="363" ht="15.75" customHeight="1">
      <c r="A363" s="1" t="str">
        <f>IFERROR(__xludf.DUMMYFUNCTION("""COMPUTED_VALUE"""),"21120")</f>
        <v>21120</v>
      </c>
      <c r="B363" s="2">
        <f>IFERROR(__xludf.DUMMYFUNCTION("""COMPUTED_VALUE"""),21120.0)</f>
        <v>21120</v>
      </c>
      <c r="C363" s="3" t="str">
        <f>IFERROR(__xludf.DUMMYFUNCTION("""COMPUTED_VALUE"""),"MBC เนินพลับหวาน")</f>
        <v>MBC เนินพลับหวาน</v>
      </c>
      <c r="D363" s="3" t="str">
        <f>IFERROR(__xludf.DUMMYFUNCTION("""COMPUTED_VALUE"""),"BCM NERNPLABWAN")</f>
        <v>BCM NERNPLABWAN</v>
      </c>
      <c r="E363" s="1" t="str">
        <f>IFERROR(__xludf.DUMMYFUNCTION("""COMPUTED_VALUE"""),"บิ๊กซี MINI")</f>
        <v>บิ๊กซี MINI</v>
      </c>
      <c r="F363" s="1" t="str">
        <f>IFERROR(__xludf.DUMMYFUNCTION("""COMPUTED_VALUE"""),"221716")</f>
        <v>221716</v>
      </c>
      <c r="G363" s="1" t="str">
        <f>IFERROR(__xludf.DUMMYFUNCTION("""COMPUTED_VALUE"""),"น.ส.เบญจพร โพธิสาร")</f>
        <v>น.ส.เบญจพร โพธิสาร</v>
      </c>
      <c r="H363" s="1" t="str">
        <f>IFERROR(__xludf.DUMMYFUNCTION("""COMPUTED_VALUE"""),"313065")</f>
        <v>313065</v>
      </c>
      <c r="I363" s="1" t="str">
        <f>IFERROR(__xludf.DUMMYFUNCTION("""COMPUTED_VALUE"""),"นายจิรายุทธ กันทา")</f>
        <v>นายจิรายุทธ กันทา</v>
      </c>
      <c r="J363" s="3">
        <f>IFERROR(__xludf.DUMMYFUNCTION("""COMPUTED_VALUE"""),3510104.0)</f>
        <v>3510104</v>
      </c>
      <c r="K363" s="3" t="str">
        <f>IFERROR(__xludf.DUMMYFUNCTION("""COMPUTED_VALUE"""),"นายวิโรจน์ อับดุลสมัด")</f>
        <v>นายวิโรจน์ อับดุลสมัด</v>
      </c>
      <c r="L363" s="1" t="str">
        <f>IFERROR(__xludf.DUMMYFUNCTION("""COMPUTED_VALUE"""),"09 K.Wirode A")</f>
        <v>09 K.Wirode A</v>
      </c>
      <c r="M363" s="1" t="str">
        <f>IFERROR(__xludf.DUMMYFUNCTION("""COMPUTED_VALUE"""),"080-235-4465")</f>
        <v>080-235-4465</v>
      </c>
      <c r="N363" s="3">
        <f>IFERROR(__xludf.DUMMYFUNCTION("""COMPUTED_VALUE"""),21324.0)</f>
        <v>21324</v>
      </c>
      <c r="O363" s="3" t="str">
        <f>IFERROR(__xludf.DUMMYFUNCTION("""COMPUTED_VALUE"""),"MBC BCP สุวินทวงศ์")</f>
        <v>MBC BCP สุวินทวงศ์</v>
      </c>
      <c r="P363" s="4">
        <f>IFERROR(__xludf.DUMMYFUNCTION("""COMPUTED_VALUE"""),41267.0)</f>
        <v>41267</v>
      </c>
      <c r="Q363" s="3" t="str">
        <f>IFERROR(__xludf.DUMMYFUNCTION("""COMPUTED_VALUE"""),"I")</f>
        <v>I</v>
      </c>
      <c r="R363" s="3" t="str">
        <f>IFERROR(__xludf.DUMMYFUNCTION("""COMPUTED_VALUE"""),"Small Format")</f>
        <v>Small Format</v>
      </c>
      <c r="S363" s="3" t="str">
        <f>IFERROR(__xludf.DUMMYFUNCTION("""COMPUTED_VALUE"""),"BCM")</f>
        <v>BCM</v>
      </c>
      <c r="T363" s="3" t="str">
        <f>IFERROR(__xludf.DUMMYFUNCTION("""COMPUTED_VALUE"""),"#N/A")</f>
        <v>#N/A</v>
      </c>
      <c r="U363" s="3" t="str">
        <f>IFERROR(__xludf.DUMMYFUNCTION("""COMPUTED_VALUE"""),"#N/A")</f>
        <v>#N/A</v>
      </c>
      <c r="V363" s="3" t="str">
        <f>IFERROR(__xludf.DUMMYFUNCTION("""COMPUTED_VALUE"""),"N")</f>
        <v>N</v>
      </c>
      <c r="W363" s="3">
        <f>IFERROR(__xludf.DUMMYFUNCTION("""COMPUTED_VALUE"""),211112.0)</f>
        <v>211112</v>
      </c>
      <c r="X363" s="3" t="str">
        <f>IFERROR(__xludf.DUMMYFUNCTION("""COMPUTED_VALUE"""),"21/179 หมู่ 5 ตำบลหนองปรือ อำเภอบางละมุง จังหวัดชลบุรี 20150")</f>
        <v>21/179 หมู่ 5 ตำบลหนองปรือ อำเภอบางละมุง จังหวัดชลบุรี 20150</v>
      </c>
      <c r="Y363" s="3"/>
      <c r="Z363" s="3" t="str">
        <f>IFERROR(__xludf.DUMMYFUNCTION("""COMPUTED_VALUE"""),"หนองปรือ")</f>
        <v>หนองปรือ</v>
      </c>
      <c r="AA363" s="3" t="str">
        <f>IFERROR(__xludf.DUMMYFUNCTION("""COMPUTED_VALUE"""),"บางละมุง")</f>
        <v>บางละมุง</v>
      </c>
      <c r="AB363" s="3" t="str">
        <f>IFERROR(__xludf.DUMMYFUNCTION("""COMPUTED_VALUE"""),"ชลบุรี")</f>
        <v>ชลบุรี</v>
      </c>
      <c r="AC363" s="3">
        <f>IFERROR(__xludf.DUMMYFUNCTION("""COMPUTED_VALUE"""),20150.0)</f>
        <v>20150</v>
      </c>
      <c r="AD363" s="3">
        <f>IFERROR(__xludf.DUMMYFUNCTION("""COMPUTED_VALUE"""),12.93139)</f>
        <v>12.93139</v>
      </c>
      <c r="AE363" s="3">
        <f>IFERROR(__xludf.DUMMYFUNCTION("""COMPUTED_VALUE"""),100.907849)</f>
        <v>100.907849</v>
      </c>
      <c r="AF363" s="3" t="str">
        <f>IFERROR(__xludf.DUMMYFUNCTION("""COMPUTED_VALUE"""),"MBC เนินพลับหวาน-21120")</f>
        <v>MBC เนินพลับหวาน-21120</v>
      </c>
      <c r="AG363" s="3" t="str">
        <f>IFERROR(__xludf.DUMMYFUNCTION("""COMPUTED_VALUE"""),"ตะวันออก")</f>
        <v>ตะวันออก</v>
      </c>
      <c r="AH363" s="3" t="str">
        <f>IFERROR(__xludf.DUMMYFUNCTION("""COMPUTED_VALUE"""),"#N/A")</f>
        <v>#N/A</v>
      </c>
      <c r="AI363" s="3" t="str">
        <f>IFERROR(__xludf.DUMMYFUNCTION("""COMPUTED_VALUE"""),"Out of warranty")</f>
        <v>Out of warranty</v>
      </c>
      <c r="AJ363" s="3">
        <f>IFERROR(__xludf.DUMMYFUNCTION("""COMPUTED_VALUE"""),157.0)</f>
        <v>157</v>
      </c>
      <c r="AK363" s="3" t="str">
        <f>IFERROR(__xludf.DUMMYFUNCTION("""COMPUTED_VALUE"""),"MMS06")</f>
        <v>MMS06</v>
      </c>
      <c r="AL363" s="3"/>
    </row>
    <row r="364" ht="15.75" customHeight="1">
      <c r="A364" s="1" t="str">
        <f>IFERROR(__xludf.DUMMYFUNCTION("""COMPUTED_VALUE"""),"21121")</f>
        <v>21121</v>
      </c>
      <c r="B364" s="2">
        <f>IFERROR(__xludf.DUMMYFUNCTION("""COMPUTED_VALUE"""),21121.0)</f>
        <v>21121</v>
      </c>
      <c r="C364" s="3" t="str">
        <f>IFERROR(__xludf.DUMMYFUNCTION("""COMPUTED_VALUE"""),"ตะเคียนเตี้ย")</f>
        <v>ตะเคียนเตี้ย</v>
      </c>
      <c r="D364" s="3" t="str">
        <f>IFERROR(__xludf.DUMMYFUNCTION("""COMPUTED_VALUE"""),"MBC TAKEANTAE")</f>
        <v>MBC TAKEANTAE</v>
      </c>
      <c r="E364" s="1" t="str">
        <f>IFERROR(__xludf.DUMMYFUNCTION("""COMPUTED_VALUE"""),"บิ๊กซี MINI")</f>
        <v>บิ๊กซี MINI</v>
      </c>
      <c r="F364" s="1" t="str">
        <f>IFERROR(__xludf.DUMMYFUNCTION("""COMPUTED_VALUE"""),"250760")</f>
        <v>250760</v>
      </c>
      <c r="G364" s="1" t="str">
        <f>IFERROR(__xludf.DUMMYFUNCTION("""COMPUTED_VALUE"""),"นายประทวน สาราบรรณ์")</f>
        <v>นายประทวน สาราบรรณ์</v>
      </c>
      <c r="H364" s="1" t="str">
        <f>IFERROR(__xludf.DUMMYFUNCTION("""COMPUTED_VALUE"""),"034605")</f>
        <v>034605</v>
      </c>
      <c r="I364" s="1" t="str">
        <f>IFERROR(__xludf.DUMMYFUNCTION("""COMPUTED_VALUE"""),"นายธรรมรัตน์ สุขเจริญ")</f>
        <v>นายธรรมรัตน์ สุขเจริญ</v>
      </c>
      <c r="J364" s="3">
        <f>IFERROR(__xludf.DUMMYFUNCTION("""COMPUTED_VALUE"""),295541.0)</f>
        <v>295541</v>
      </c>
      <c r="K364" s="3" t="str">
        <f>IFERROR(__xludf.DUMMYFUNCTION("""COMPUTED_VALUE"""),"นายรพิพล ศรีมาตย์")</f>
        <v>นายรพิพล ศรีมาตย์</v>
      </c>
      <c r="L364" s="1" t="str">
        <f>IFERROR(__xludf.DUMMYFUNCTION("""COMPUTED_VALUE"""),"นายรพิพล ศรีมาตย์")</f>
        <v>นายรพิพล ศรีมาตย์</v>
      </c>
      <c r="M364" s="1" t="str">
        <f>IFERROR(__xludf.DUMMYFUNCTION("""COMPUTED_VALUE"""),"0613966115")</f>
        <v>0613966115</v>
      </c>
      <c r="N364" s="3">
        <f>IFERROR(__xludf.DUMMYFUNCTION("""COMPUTED_VALUE"""),21175.0)</f>
        <v>21175</v>
      </c>
      <c r="O364" s="3" t="str">
        <f>IFERROR(__xludf.DUMMYFUNCTION("""COMPUTED_VALUE"""),"MBC BCP กิ่งแก้ว")</f>
        <v>MBC BCP กิ่งแก้ว</v>
      </c>
      <c r="P364" s="4">
        <f>IFERROR(__xludf.DUMMYFUNCTION("""COMPUTED_VALUE"""),41268.0)</f>
        <v>41268</v>
      </c>
      <c r="Q364" s="3" t="str">
        <f>IFERROR(__xludf.DUMMYFUNCTION("""COMPUTED_VALUE"""),"I")</f>
        <v>I</v>
      </c>
      <c r="R364" s="3" t="str">
        <f>IFERROR(__xludf.DUMMYFUNCTION("""COMPUTED_VALUE"""),"Small Format")</f>
        <v>Small Format</v>
      </c>
      <c r="S364" s="3" t="str">
        <f>IFERROR(__xludf.DUMMYFUNCTION("""COMPUTED_VALUE"""),"BCM")</f>
        <v>BCM</v>
      </c>
      <c r="T364" s="3" t="str">
        <f>IFERROR(__xludf.DUMMYFUNCTION("""COMPUTED_VALUE"""),"#N/A")</f>
        <v>#N/A</v>
      </c>
      <c r="U364" s="3" t="str">
        <f>IFERROR(__xludf.DUMMYFUNCTION("""COMPUTED_VALUE"""),"#N/A")</f>
        <v>#N/A</v>
      </c>
      <c r="V364" s="3" t="str">
        <f>IFERROR(__xludf.DUMMYFUNCTION("""COMPUTED_VALUE"""),"N")</f>
        <v>N</v>
      </c>
      <c r="W364" s="3">
        <f>IFERROR(__xludf.DUMMYFUNCTION("""COMPUTED_VALUE"""),0.0)</f>
        <v>0</v>
      </c>
      <c r="X364" s="3" t="str">
        <f>IFERROR(__xludf.DUMMYFUNCTION("""COMPUTED_VALUE"""),"115/1-2 หมู่ 2 ตำบลตะเคียนเตี้ย อำเภอบางละมุง จังหวัดชลบุรี 20150")</f>
        <v>115/1-2 หมู่ 2 ตำบลตะเคียนเตี้ย อำเภอบางละมุง จังหวัดชลบุรี 20150</v>
      </c>
      <c r="Y364" s="3"/>
      <c r="Z364" s="3" t="str">
        <f>IFERROR(__xludf.DUMMYFUNCTION("""COMPUTED_VALUE"""),"ตะเคียนเตี้ย")</f>
        <v>ตะเคียนเตี้ย</v>
      </c>
      <c r="AA364" s="3" t="str">
        <f>IFERROR(__xludf.DUMMYFUNCTION("""COMPUTED_VALUE"""),"บางละมุง")</f>
        <v>บางละมุง</v>
      </c>
      <c r="AB364" s="3" t="str">
        <f>IFERROR(__xludf.DUMMYFUNCTION("""COMPUTED_VALUE"""),"ชลบุรี")</f>
        <v>ชลบุรี</v>
      </c>
      <c r="AC364" s="3">
        <f>IFERROR(__xludf.DUMMYFUNCTION("""COMPUTED_VALUE"""),20150.0)</f>
        <v>20150</v>
      </c>
      <c r="AD364" s="3" t="str">
        <f>IFERROR(__xludf.DUMMYFUNCTION("""COMPUTED_VALUE"""),"#N/A")</f>
        <v>#N/A</v>
      </c>
      <c r="AE364" s="3" t="str">
        <f>IFERROR(__xludf.DUMMYFUNCTION("""COMPUTED_VALUE"""),"#N/A")</f>
        <v>#N/A</v>
      </c>
      <c r="AF364" s="3" t="str">
        <f>IFERROR(__xludf.DUMMYFUNCTION("""COMPUTED_VALUE"""),"ตะเคียนเตี้ย-21121")</f>
        <v>ตะเคียนเตี้ย-21121</v>
      </c>
      <c r="AG364" s="3" t="str">
        <f>IFERROR(__xludf.DUMMYFUNCTION("""COMPUTED_VALUE"""),"ตะวันออก")</f>
        <v>ตะวันออก</v>
      </c>
      <c r="AH364" s="3" t="str">
        <f>IFERROR(__xludf.DUMMYFUNCTION("""COMPUTED_VALUE"""),"#N/A")</f>
        <v>#N/A</v>
      </c>
      <c r="AI364" s="3" t="str">
        <f>IFERROR(__xludf.DUMMYFUNCTION("""COMPUTED_VALUE"""),"Out of warranty")</f>
        <v>Out of warranty</v>
      </c>
      <c r="AJ364" s="3">
        <f>IFERROR(__xludf.DUMMYFUNCTION("""COMPUTED_VALUE"""),157.0)</f>
        <v>157</v>
      </c>
      <c r="AK364" s="3"/>
      <c r="AL364" s="3"/>
    </row>
    <row r="365" ht="15.75" customHeight="1">
      <c r="A365" s="1" t="str">
        <f>IFERROR(__xludf.DUMMYFUNCTION("""COMPUTED_VALUE"""),"21123")</f>
        <v>21123</v>
      </c>
      <c r="B365" s="2">
        <f>IFERROR(__xludf.DUMMYFUNCTION("""COMPUTED_VALUE"""),21123.0)</f>
        <v>21123</v>
      </c>
      <c r="C365" s="3" t="str">
        <f>IFERROR(__xludf.DUMMYFUNCTION("""COMPUTED_VALUE"""),"MBC หทัยราษฎร์25")</f>
        <v>MBC หทัยราษฎร์25</v>
      </c>
      <c r="D365" s="3" t="str">
        <f>IFERROR(__xludf.DUMMYFUNCTION("""COMPUTED_VALUE"""),"BCM HATAIRAT25")</f>
        <v>BCM HATAIRAT25</v>
      </c>
      <c r="E365" s="1" t="str">
        <f>IFERROR(__xludf.DUMMYFUNCTION("""COMPUTED_VALUE"""),"บิ๊กซี MINI")</f>
        <v>บิ๊กซี MINI</v>
      </c>
      <c r="F365" s="1" t="str">
        <f>IFERROR(__xludf.DUMMYFUNCTION("""COMPUTED_VALUE"""),"291008")</f>
        <v>291008</v>
      </c>
      <c r="G365" s="1" t="str">
        <f>IFERROR(__xludf.DUMMYFUNCTION("""COMPUTED_VALUE"""),"น.ส.รัชดาพร อีศรัตน์")</f>
        <v>น.ส.รัชดาพร อีศรัตน์</v>
      </c>
      <c r="H365" s="1" t="str">
        <f>IFERROR(__xludf.DUMMYFUNCTION("""COMPUTED_VALUE"""),"228242")</f>
        <v>228242</v>
      </c>
      <c r="I365" s="1" t="str">
        <f>IFERROR(__xludf.DUMMYFUNCTION("""COMPUTED_VALUE"""),"นายสมชาย เยมรัมย์")</f>
        <v>นายสมชาย เยมรัมย์</v>
      </c>
      <c r="J365" s="3">
        <f>IFERROR(__xludf.DUMMYFUNCTION("""COMPUTED_VALUE"""),3510104.0)</f>
        <v>3510104</v>
      </c>
      <c r="K365" s="3" t="str">
        <f>IFERROR(__xludf.DUMMYFUNCTION("""COMPUTED_VALUE"""),"นายวิโรจน์ อับดุลสมัด")</f>
        <v>นายวิโรจน์ อับดุลสมัด</v>
      </c>
      <c r="L365" s="1" t="str">
        <f>IFERROR(__xludf.DUMMYFUNCTION("""COMPUTED_VALUE"""),"09 K.Wirode A")</f>
        <v>09 K.Wirode A</v>
      </c>
      <c r="M365" s="1" t="str">
        <f>IFERROR(__xludf.DUMMYFUNCTION("""COMPUTED_VALUE"""),"080-235-4465")</f>
        <v>080-235-4465</v>
      </c>
      <c r="N365" s="3">
        <f>IFERROR(__xludf.DUMMYFUNCTION("""COMPUTED_VALUE"""),21324.0)</f>
        <v>21324</v>
      </c>
      <c r="O365" s="3" t="str">
        <f>IFERROR(__xludf.DUMMYFUNCTION("""COMPUTED_VALUE"""),"MBC BCP สุวินทวงศ์")</f>
        <v>MBC BCP สุวินทวงศ์</v>
      </c>
      <c r="P365" s="4">
        <f>IFERROR(__xludf.DUMMYFUNCTION("""COMPUTED_VALUE"""),41270.0)</f>
        <v>41270</v>
      </c>
      <c r="Q365" s="3" t="str">
        <f>IFERROR(__xludf.DUMMYFUNCTION("""COMPUTED_VALUE"""),"A")</f>
        <v>A</v>
      </c>
      <c r="R365" s="3" t="str">
        <f>IFERROR(__xludf.DUMMYFUNCTION("""COMPUTED_VALUE"""),"Small Format")</f>
        <v>Small Format</v>
      </c>
      <c r="S365" s="3" t="str">
        <f>IFERROR(__xludf.DUMMYFUNCTION("""COMPUTED_VALUE"""),"BCM")</f>
        <v>BCM</v>
      </c>
      <c r="T365" s="3" t="str">
        <f>IFERROR(__xludf.DUMMYFUNCTION("""COMPUTED_VALUE"""),"#N/A")</f>
        <v>#N/A</v>
      </c>
      <c r="U365" s="3" t="str">
        <f>IFERROR(__xludf.DUMMYFUNCTION("""COMPUTED_VALUE"""),"#N/A")</f>
        <v>#N/A</v>
      </c>
      <c r="V365" s="3" t="str">
        <f>IFERROR(__xludf.DUMMYFUNCTION("""COMPUTED_VALUE"""),"N")</f>
        <v>N</v>
      </c>
      <c r="W365" s="3">
        <f>IFERROR(__xludf.DUMMYFUNCTION("""COMPUTED_VALUE"""),211115.0)</f>
        <v>211115</v>
      </c>
      <c r="X365" s="3" t="str">
        <f>IFERROR(__xludf.DUMMYFUNCTION("""COMPUTED_VALUE"""),"133/3-5 ถนนหทัยราษฎร์ แขวงมีนบุรี เขตมีนบุรี กรุงเทพฯ 10510")</f>
        <v>133/3-5 ถนนหทัยราษฎร์ แขวงมีนบุรี เขตมีนบุรี กรุงเทพฯ 10510</v>
      </c>
      <c r="Y365" s="3" t="str">
        <f>IFERROR(__xludf.DUMMYFUNCTION("""COMPUTED_VALUE"""),"ถนนหทัยราษฎร์")</f>
        <v>ถนนหทัยราษฎร์</v>
      </c>
      <c r="Z365" s="3" t="str">
        <f>IFERROR(__xludf.DUMMYFUNCTION("""COMPUTED_VALUE"""),"มีนบุรี")</f>
        <v>มีนบุรี</v>
      </c>
      <c r="AA365" s="3" t="str">
        <f>IFERROR(__xludf.DUMMYFUNCTION("""COMPUTED_VALUE"""),"มีนบุรี")</f>
        <v>มีนบุรี</v>
      </c>
      <c r="AB365" s="3" t="str">
        <f>IFERROR(__xludf.DUMMYFUNCTION("""COMPUTED_VALUE"""),"กรุงเทพมหานคร")</f>
        <v>กรุงเทพมหานคร</v>
      </c>
      <c r="AC365" s="3">
        <f>IFERROR(__xludf.DUMMYFUNCTION("""COMPUTED_VALUE"""),10510.0)</f>
        <v>10510</v>
      </c>
      <c r="AD365" s="3">
        <f>IFERROR(__xludf.DUMMYFUNCTION("""COMPUTED_VALUE"""),13.829683)</f>
        <v>13.829683</v>
      </c>
      <c r="AE365" s="3">
        <f>IFERROR(__xludf.DUMMYFUNCTION("""COMPUTED_VALUE"""),100.719958)</f>
        <v>100.719958</v>
      </c>
      <c r="AF365" s="3" t="str">
        <f>IFERROR(__xludf.DUMMYFUNCTION("""COMPUTED_VALUE"""),"MBC หทัยราษฎร์25-21123")</f>
        <v>MBC หทัยราษฎร์25-21123</v>
      </c>
      <c r="AG365" s="3" t="str">
        <f>IFERROR(__xludf.DUMMYFUNCTION("""COMPUTED_VALUE"""),"กลาง")</f>
        <v>กลาง</v>
      </c>
      <c r="AH365" s="3" t="str">
        <f>IFERROR(__xludf.DUMMYFUNCTION("""COMPUTED_VALUE"""),"#N/A")</f>
        <v>#N/A</v>
      </c>
      <c r="AI365" s="3" t="str">
        <f>IFERROR(__xludf.DUMMYFUNCTION("""COMPUTED_VALUE"""),"Out of warranty")</f>
        <v>Out of warranty</v>
      </c>
      <c r="AJ365" s="3">
        <f>IFERROR(__xludf.DUMMYFUNCTION("""COMPUTED_VALUE"""),157.0)</f>
        <v>157</v>
      </c>
      <c r="AK365" s="3" t="str">
        <f>IFERROR(__xludf.DUMMYFUNCTION("""COMPUTED_VALUE"""),"MMS01")</f>
        <v>MMS01</v>
      </c>
      <c r="AL365" s="3"/>
    </row>
    <row r="366" ht="15.75" customHeight="1">
      <c r="A366" s="1" t="str">
        <f>IFERROR(__xludf.DUMMYFUNCTION("""COMPUTED_VALUE"""),"21124")</f>
        <v>21124</v>
      </c>
      <c r="B366" s="2">
        <f>IFERROR(__xludf.DUMMYFUNCTION("""COMPUTED_VALUE"""),21124.0)</f>
        <v>21124</v>
      </c>
      <c r="C366" s="3" t="str">
        <f>IFERROR(__xludf.DUMMYFUNCTION("""COMPUTED_VALUE"""),"MBC ซอยเฉลิมฯ65")</f>
        <v>MBC ซอยเฉลิมฯ65</v>
      </c>
      <c r="D366" s="3" t="str">
        <f>IFERROR(__xludf.DUMMYFUNCTION("""COMPUTED_VALUE"""),"BCM SOI CHALERM65")</f>
        <v>BCM SOI CHALERM65</v>
      </c>
      <c r="E366" s="1" t="str">
        <f>IFERROR(__xludf.DUMMYFUNCTION("""COMPUTED_VALUE"""),"บิ๊กซี MINI")</f>
        <v>บิ๊กซี MINI</v>
      </c>
      <c r="F366" s="1" t="str">
        <f>IFERROR(__xludf.DUMMYFUNCTION("""COMPUTED_VALUE"""),"291008")</f>
        <v>291008</v>
      </c>
      <c r="G366" s="1" t="str">
        <f>IFERROR(__xludf.DUMMYFUNCTION("""COMPUTED_VALUE"""),"น.ส.รัชดาพร อีศรัตน์")</f>
        <v>น.ส.รัชดาพร อีศรัตน์</v>
      </c>
      <c r="H366" s="1" t="str">
        <f>IFERROR(__xludf.DUMMYFUNCTION("""COMPUTED_VALUE"""),"359054")</f>
        <v>359054</v>
      </c>
      <c r="I366" s="1" t="str">
        <f>IFERROR(__xludf.DUMMYFUNCTION("""COMPUTED_VALUE"""),"น.ส.กรรณิการ์ พุทธวงค์")</f>
        <v>น.ส.กรรณิการ์ พุทธวงค์</v>
      </c>
      <c r="J366" s="3">
        <f>IFERROR(__xludf.DUMMYFUNCTION("""COMPUTED_VALUE"""),2452378.0)</f>
        <v>2452378</v>
      </c>
      <c r="K366" s="3" t="str">
        <f>IFERROR(__xludf.DUMMYFUNCTION("""COMPUTED_VALUE"""),"นายศักดิ์ดา พวงประดับ")</f>
        <v>นายศักดิ์ดา พวงประดับ</v>
      </c>
      <c r="L366" s="3" t="str">
        <f>IFERROR(__xludf.DUMMYFUNCTION("""COMPUTED_VALUE"""),"11 K.Sakda P.")</f>
        <v>11 K.Sakda P.</v>
      </c>
      <c r="M366" s="1" t="str">
        <f>IFERROR(__xludf.DUMMYFUNCTION("""COMPUTED_VALUE"""),"065-929-1279")</f>
        <v>065-929-1279</v>
      </c>
      <c r="N366" s="3">
        <f>IFERROR(__xludf.DUMMYFUNCTION("""COMPUTED_VALUE"""),21002.0)</f>
        <v>21002</v>
      </c>
      <c r="O366" s="3" t="str">
        <f>IFERROR(__xludf.DUMMYFUNCTION("""COMPUTED_VALUE"""),"MBC อุดมสุข")</f>
        <v>MBC อุดมสุข</v>
      </c>
      <c r="P366" s="4">
        <f>IFERROR(__xludf.DUMMYFUNCTION("""COMPUTED_VALUE"""),41271.0)</f>
        <v>41271</v>
      </c>
      <c r="Q366" s="3" t="str">
        <f>IFERROR(__xludf.DUMMYFUNCTION("""COMPUTED_VALUE"""),"A")</f>
        <v>A</v>
      </c>
      <c r="R366" s="3" t="str">
        <f>IFERROR(__xludf.DUMMYFUNCTION("""COMPUTED_VALUE"""),"Small Format")</f>
        <v>Small Format</v>
      </c>
      <c r="S366" s="3" t="str">
        <f>IFERROR(__xludf.DUMMYFUNCTION("""COMPUTED_VALUE"""),"BCM")</f>
        <v>BCM</v>
      </c>
      <c r="T366" s="3" t="str">
        <f>IFERROR(__xludf.DUMMYFUNCTION("""COMPUTED_VALUE"""),"#N/A")</f>
        <v>#N/A</v>
      </c>
      <c r="U366" s="3" t="str">
        <f>IFERROR(__xludf.DUMMYFUNCTION("""COMPUTED_VALUE"""),"#N/A")</f>
        <v>#N/A</v>
      </c>
      <c r="V366" s="3" t="str">
        <f>IFERROR(__xludf.DUMMYFUNCTION("""COMPUTED_VALUE"""),"N")</f>
        <v>N</v>
      </c>
      <c r="W366" s="3">
        <f>IFERROR(__xludf.DUMMYFUNCTION("""COMPUTED_VALUE"""),211117.0)</f>
        <v>211117</v>
      </c>
      <c r="X366" s="3" t="str">
        <f>IFERROR(__xludf.DUMMYFUNCTION("""COMPUTED_VALUE"""),"95/5 ถนนเฉลิมพระเกียรติ ร.9 แขวงดอกไม้ เขตประเวศ กรุงเทพฯ 10250")</f>
        <v>95/5 ถนนเฉลิมพระเกียรติ ร.9 แขวงดอกไม้ เขตประเวศ กรุงเทพฯ 10250</v>
      </c>
      <c r="Y366" s="3" t="str">
        <f>IFERROR(__xludf.DUMMYFUNCTION("""COMPUTED_VALUE"""),"ถนนเฉลิมพระเกียรติ ร.9")</f>
        <v>ถนนเฉลิมพระเกียรติ ร.9</v>
      </c>
      <c r="Z366" s="3" t="str">
        <f>IFERROR(__xludf.DUMMYFUNCTION("""COMPUTED_VALUE"""),"ดอกไม้")</f>
        <v>ดอกไม้</v>
      </c>
      <c r="AA366" s="3" t="str">
        <f>IFERROR(__xludf.DUMMYFUNCTION("""COMPUTED_VALUE"""),"ประเวศ")</f>
        <v>ประเวศ</v>
      </c>
      <c r="AB366" s="3" t="str">
        <f>IFERROR(__xludf.DUMMYFUNCTION("""COMPUTED_VALUE"""),"กรุงเทพมหานคร")</f>
        <v>กรุงเทพมหานคร</v>
      </c>
      <c r="AC366" s="3">
        <f>IFERROR(__xludf.DUMMYFUNCTION("""COMPUTED_VALUE"""),10250.0)</f>
        <v>10250</v>
      </c>
      <c r="AD366" s="3">
        <f>IFERROR(__xludf.DUMMYFUNCTION("""COMPUTED_VALUE"""),13.700404)</f>
        <v>13.700404</v>
      </c>
      <c r="AE366" s="3">
        <f>IFERROR(__xludf.DUMMYFUNCTION("""COMPUTED_VALUE"""),100.683922)</f>
        <v>100.683922</v>
      </c>
      <c r="AF366" s="3" t="str">
        <f>IFERROR(__xludf.DUMMYFUNCTION("""COMPUTED_VALUE"""),"MBC ซอยเฉลิมฯ65-21124")</f>
        <v>MBC ซอยเฉลิมฯ65-21124</v>
      </c>
      <c r="AG366" s="3" t="str">
        <f>IFERROR(__xludf.DUMMYFUNCTION("""COMPUTED_VALUE"""),"กลาง")</f>
        <v>กลาง</v>
      </c>
      <c r="AH366" s="3" t="str">
        <f>IFERROR(__xludf.DUMMYFUNCTION("""COMPUTED_VALUE"""),"#N/A")</f>
        <v>#N/A</v>
      </c>
      <c r="AI366" s="3" t="str">
        <f>IFERROR(__xludf.DUMMYFUNCTION("""COMPUTED_VALUE"""),"Out of warranty")</f>
        <v>Out of warranty</v>
      </c>
      <c r="AJ366" s="3">
        <f>IFERROR(__xludf.DUMMYFUNCTION("""COMPUTED_VALUE"""),157.0)</f>
        <v>157</v>
      </c>
      <c r="AK366" s="3" t="str">
        <f>IFERROR(__xludf.DUMMYFUNCTION("""COMPUTED_VALUE"""),"MMS03")</f>
        <v>MMS03</v>
      </c>
      <c r="AL366" s="3"/>
    </row>
    <row r="367" ht="15.75" customHeight="1">
      <c r="A367" s="1" t="str">
        <f>IFERROR(__xludf.DUMMYFUNCTION("""COMPUTED_VALUE"""),"21125")</f>
        <v>21125</v>
      </c>
      <c r="B367" s="2">
        <f>IFERROR(__xludf.DUMMYFUNCTION("""COMPUTED_VALUE"""),21125.0)</f>
        <v>21125</v>
      </c>
      <c r="C367" s="3" t="str">
        <f>IFERROR(__xludf.DUMMYFUNCTION("""COMPUTED_VALUE"""),"ป่าโมก")</f>
        <v>ป่าโมก</v>
      </c>
      <c r="D367" s="3" t="str">
        <f>IFERROR(__xludf.DUMMYFUNCTION("""COMPUTED_VALUE"""),"MBC PAMOK")</f>
        <v>MBC PAMOK</v>
      </c>
      <c r="E367" s="1" t="str">
        <f>IFERROR(__xludf.DUMMYFUNCTION("""COMPUTED_VALUE"""),"บิ๊กซี MINI")</f>
        <v>บิ๊กซี MINI</v>
      </c>
      <c r="F367" s="1" t="str">
        <f>IFERROR(__xludf.DUMMYFUNCTION("""COMPUTED_VALUE"""),"296229")</f>
        <v>296229</v>
      </c>
      <c r="G367" s="1" t="str">
        <f>IFERROR(__xludf.DUMMYFUNCTION("""COMPUTED_VALUE"""),"นายทนงศักดิ์ บุญมา")</f>
        <v>นายทนงศักดิ์ บุญมา</v>
      </c>
      <c r="H367" s="1" t="str">
        <f>IFERROR(__xludf.DUMMYFUNCTION("""COMPUTED_VALUE"""),"313033")</f>
        <v>313033</v>
      </c>
      <c r="I367" s="1" t="str">
        <f>IFERROR(__xludf.DUMMYFUNCTION("""COMPUTED_VALUE"""),"นายวันชัย ตรีโอสถ")</f>
        <v>นายวันชัย ตรีโอสถ</v>
      </c>
      <c r="J367" s="3">
        <f>IFERROR(__xludf.DUMMYFUNCTION("""COMPUTED_VALUE"""),46214.0)</f>
        <v>46214</v>
      </c>
      <c r="K367" s="3" t="str">
        <f>IFERROR(__xludf.DUMMYFUNCTION("""COMPUTED_VALUE"""),"นายศักดิ์ชัย เด็ดดอกฟ้า")</f>
        <v>นายศักดิ์ชัย เด็ดดอกฟ้า</v>
      </c>
      <c r="L367" s="1" t="str">
        <f>IFERROR(__xludf.DUMMYFUNCTION("""COMPUTED_VALUE"""),"02 K.Sakchai D")</f>
        <v>02 K.Sakchai D</v>
      </c>
      <c r="M367" s="1" t="str">
        <f>IFERROR(__xludf.DUMMYFUNCTION("""COMPUTED_VALUE"""),"065-510-7376")</f>
        <v>065-510-7376</v>
      </c>
      <c r="N367" s="3">
        <f>IFERROR(__xludf.DUMMYFUNCTION("""COMPUTED_VALUE"""),21441.0)</f>
        <v>21441</v>
      </c>
      <c r="O367" s="3" t="str">
        <f>IFERROR(__xludf.DUMMYFUNCTION("""COMPUTED_VALUE"""),"MBC บ้านกร่าง พิษณุโลก")</f>
        <v>MBC บ้านกร่าง พิษณุโลก</v>
      </c>
      <c r="P367" s="4">
        <f>IFERROR(__xludf.DUMMYFUNCTION("""COMPUTED_VALUE"""),41271.0)</f>
        <v>41271</v>
      </c>
      <c r="Q367" s="3" t="str">
        <f>IFERROR(__xludf.DUMMYFUNCTION("""COMPUTED_VALUE"""),"I")</f>
        <v>I</v>
      </c>
      <c r="R367" s="3" t="str">
        <f>IFERROR(__xludf.DUMMYFUNCTION("""COMPUTED_VALUE"""),"Small Format")</f>
        <v>Small Format</v>
      </c>
      <c r="S367" s="3" t="str">
        <f>IFERROR(__xludf.DUMMYFUNCTION("""COMPUTED_VALUE"""),"BCM")</f>
        <v>BCM</v>
      </c>
      <c r="T367" s="3" t="str">
        <f>IFERROR(__xludf.DUMMYFUNCTION("""COMPUTED_VALUE"""),"#N/A")</f>
        <v>#N/A</v>
      </c>
      <c r="U367" s="3" t="str">
        <f>IFERROR(__xludf.DUMMYFUNCTION("""COMPUTED_VALUE"""),"#N/A")</f>
        <v>#N/A</v>
      </c>
      <c r="V367" s="3" t="str">
        <f>IFERROR(__xludf.DUMMYFUNCTION("""COMPUTED_VALUE"""),"N")</f>
        <v>N</v>
      </c>
      <c r="W367" s="3">
        <f>IFERROR(__xludf.DUMMYFUNCTION("""COMPUTED_VALUE"""),0.0)</f>
        <v>0</v>
      </c>
      <c r="X367" s="3" t="str">
        <f>IFERROR(__xludf.DUMMYFUNCTION("""COMPUTED_VALUE"""),"985/ข หมู่ 2 ตำบลป่าโมก อำเภอป่าโมก จังหวัดอ่างทอง 14130")</f>
        <v>985/ข หมู่ 2 ตำบลป่าโมก อำเภอป่าโมก จังหวัดอ่างทอง 14130</v>
      </c>
      <c r="Y367" s="3"/>
      <c r="Z367" s="3" t="str">
        <f>IFERROR(__xludf.DUMMYFUNCTION("""COMPUTED_VALUE"""),"ป่าโมก")</f>
        <v>ป่าโมก</v>
      </c>
      <c r="AA367" s="3" t="str">
        <f>IFERROR(__xludf.DUMMYFUNCTION("""COMPUTED_VALUE"""),"ป่าโมก")</f>
        <v>ป่าโมก</v>
      </c>
      <c r="AB367" s="3" t="str">
        <f>IFERROR(__xludf.DUMMYFUNCTION("""COMPUTED_VALUE"""),"อ่างทอง")</f>
        <v>อ่างทอง</v>
      </c>
      <c r="AC367" s="3">
        <f>IFERROR(__xludf.DUMMYFUNCTION("""COMPUTED_VALUE"""),14130.0)</f>
        <v>14130</v>
      </c>
      <c r="AD367" s="3" t="str">
        <f>IFERROR(__xludf.DUMMYFUNCTION("""COMPUTED_VALUE"""),"#N/A")</f>
        <v>#N/A</v>
      </c>
      <c r="AE367" s="3" t="str">
        <f>IFERROR(__xludf.DUMMYFUNCTION("""COMPUTED_VALUE"""),"#N/A")</f>
        <v>#N/A</v>
      </c>
      <c r="AF367" s="3" t="str">
        <f>IFERROR(__xludf.DUMMYFUNCTION("""COMPUTED_VALUE"""),"ป่าโมก-21125")</f>
        <v>ป่าโมก-21125</v>
      </c>
      <c r="AG367" s="3" t="str">
        <f>IFERROR(__xludf.DUMMYFUNCTION("""COMPUTED_VALUE"""),"กลาง")</f>
        <v>กลาง</v>
      </c>
      <c r="AH367" s="3" t="str">
        <f>IFERROR(__xludf.DUMMYFUNCTION("""COMPUTED_VALUE"""),"#N/A")</f>
        <v>#N/A</v>
      </c>
      <c r="AI367" s="3" t="str">
        <f>IFERROR(__xludf.DUMMYFUNCTION("""COMPUTED_VALUE"""),"Out of warranty")</f>
        <v>Out of warranty</v>
      </c>
      <c r="AJ367" s="3">
        <f>IFERROR(__xludf.DUMMYFUNCTION("""COMPUTED_VALUE"""),157.0)</f>
        <v>157</v>
      </c>
      <c r="AK367" s="3"/>
      <c r="AL367" s="3"/>
    </row>
    <row r="368" ht="15.75" customHeight="1">
      <c r="A368" s="1" t="str">
        <f>IFERROR(__xludf.DUMMYFUNCTION("""COMPUTED_VALUE"""),"21126")</f>
        <v>21126</v>
      </c>
      <c r="B368" s="2">
        <f>IFERROR(__xludf.DUMMYFUNCTION("""COMPUTED_VALUE"""),21126.0)</f>
        <v>21126</v>
      </c>
      <c r="C368" s="3" t="str">
        <f>IFERROR(__xludf.DUMMYFUNCTION("""COMPUTED_VALUE"""),"MBC เพชรบ้านสวน")</f>
        <v>MBC เพชรบ้านสวน</v>
      </c>
      <c r="D368" s="3" t="str">
        <f>IFERROR(__xludf.DUMMYFUNCTION("""COMPUTED_VALUE"""),"BCM PETCHBANSUAN")</f>
        <v>BCM PETCHBANSUAN</v>
      </c>
      <c r="E368" s="1" t="str">
        <f>IFERROR(__xludf.DUMMYFUNCTION("""COMPUTED_VALUE"""),"บิ๊กซี MINI")</f>
        <v>บิ๊กซี MINI</v>
      </c>
      <c r="F368" s="1" t="str">
        <f>IFERROR(__xludf.DUMMYFUNCTION("""COMPUTED_VALUE"""),"221716")</f>
        <v>221716</v>
      </c>
      <c r="G368" s="1" t="str">
        <f>IFERROR(__xludf.DUMMYFUNCTION("""COMPUTED_VALUE"""),"น.ส.เบญจพร โพธิสาร")</f>
        <v>น.ส.เบญจพร โพธิสาร</v>
      </c>
      <c r="H368" s="1" t="str">
        <f>IFERROR(__xludf.DUMMYFUNCTION("""COMPUTED_VALUE"""),"034605")</f>
        <v>034605</v>
      </c>
      <c r="I368" s="1" t="str">
        <f>IFERROR(__xludf.DUMMYFUNCTION("""COMPUTED_VALUE"""),"นายธรรมรัตน์ สุขเจริญ")</f>
        <v>นายธรรมรัตน์ สุขเจริญ</v>
      </c>
      <c r="J368" s="3">
        <f>IFERROR(__xludf.DUMMYFUNCTION("""COMPUTED_VALUE"""),1.3461215E7)</f>
        <v>13461215</v>
      </c>
      <c r="K368" s="3" t="str">
        <f>IFERROR(__xludf.DUMMYFUNCTION("""COMPUTED_VALUE"""),"นายธีรภัทร สังข์เงิน")</f>
        <v>นายธีรภัทร สังข์เงิน</v>
      </c>
      <c r="L368" s="1" t="str">
        <f>IFERROR(__xludf.DUMMYFUNCTION("""COMPUTED_VALUE"""),"06 K.Teerapat")</f>
        <v>06 K.Teerapat</v>
      </c>
      <c r="M368" s="1" t="str">
        <f>IFERROR(__xludf.DUMMYFUNCTION("""COMPUTED_VALUE"""),"063-601-6803")</f>
        <v>063-601-6803</v>
      </c>
      <c r="N368" s="3">
        <f>IFERROR(__xludf.DUMMYFUNCTION("""COMPUTED_VALUE"""),22115.0)</f>
        <v>22115</v>
      </c>
      <c r="O368" s="3" t="str">
        <f>IFERROR(__xludf.DUMMYFUNCTION("""COMPUTED_VALUE"""),"MBC เลี่ยงหนองมน ชลบุรี")</f>
        <v>MBC เลี่ยงหนองมน ชลบุรี</v>
      </c>
      <c r="P368" s="4">
        <f>IFERROR(__xludf.DUMMYFUNCTION("""COMPUTED_VALUE"""),41270.0)</f>
        <v>41270</v>
      </c>
      <c r="Q368" s="3" t="str">
        <f>IFERROR(__xludf.DUMMYFUNCTION("""COMPUTED_VALUE"""),"A")</f>
        <v>A</v>
      </c>
      <c r="R368" s="3" t="str">
        <f>IFERROR(__xludf.DUMMYFUNCTION("""COMPUTED_VALUE"""),"Small Format")</f>
        <v>Small Format</v>
      </c>
      <c r="S368" s="3" t="str">
        <f>IFERROR(__xludf.DUMMYFUNCTION("""COMPUTED_VALUE"""),"BCM")</f>
        <v>BCM</v>
      </c>
      <c r="T368" s="3" t="str">
        <f>IFERROR(__xludf.DUMMYFUNCTION("""COMPUTED_VALUE"""),"#N/A")</f>
        <v>#N/A</v>
      </c>
      <c r="U368" s="3" t="str">
        <f>IFERROR(__xludf.DUMMYFUNCTION("""COMPUTED_VALUE"""),"#N/A")</f>
        <v>#N/A</v>
      </c>
      <c r="V368" s="3" t="str">
        <f>IFERROR(__xludf.DUMMYFUNCTION("""COMPUTED_VALUE"""),"N")</f>
        <v>N</v>
      </c>
      <c r="W368" s="3">
        <f>IFERROR(__xludf.DUMMYFUNCTION("""COMPUTED_VALUE"""),211116.0)</f>
        <v>211116</v>
      </c>
      <c r="X368" s="3" t="str">
        <f>IFERROR(__xludf.DUMMYFUNCTION("""COMPUTED_VALUE"""),"22/185 หมู่ 2 ตำบลบ้านสวน อำเภอเมืองชลบุรี จังหวัดชลบุรี 20000")</f>
        <v>22/185 หมู่ 2 ตำบลบ้านสวน อำเภอเมืองชลบุรี จังหวัดชลบุรี 20000</v>
      </c>
      <c r="Y368" s="3"/>
      <c r="Z368" s="3" t="str">
        <f>IFERROR(__xludf.DUMMYFUNCTION("""COMPUTED_VALUE"""),"บ้านสวน")</f>
        <v>บ้านสวน</v>
      </c>
      <c r="AA368" s="3" t="str">
        <f>IFERROR(__xludf.DUMMYFUNCTION("""COMPUTED_VALUE"""),"เมือง")</f>
        <v>เมือง</v>
      </c>
      <c r="AB368" s="3" t="str">
        <f>IFERROR(__xludf.DUMMYFUNCTION("""COMPUTED_VALUE"""),"ชลบุรี")</f>
        <v>ชลบุรี</v>
      </c>
      <c r="AC368" s="3">
        <f>IFERROR(__xludf.DUMMYFUNCTION("""COMPUTED_VALUE"""),20000.0)</f>
        <v>20000</v>
      </c>
      <c r="AD368" s="3">
        <f>IFERROR(__xludf.DUMMYFUNCTION("""COMPUTED_VALUE"""),13.34841)</f>
        <v>13.34841</v>
      </c>
      <c r="AE368" s="3">
        <f>IFERROR(__xludf.DUMMYFUNCTION("""COMPUTED_VALUE"""),100.993878)</f>
        <v>100.993878</v>
      </c>
      <c r="AF368" s="3" t="str">
        <f>IFERROR(__xludf.DUMMYFUNCTION("""COMPUTED_VALUE"""),"MBC เพชรบ้านสวน-21126")</f>
        <v>MBC เพชรบ้านสวน-21126</v>
      </c>
      <c r="AG368" s="3" t="str">
        <f>IFERROR(__xludf.DUMMYFUNCTION("""COMPUTED_VALUE"""),"ตะวันออก")</f>
        <v>ตะวันออก</v>
      </c>
      <c r="AH368" s="3" t="str">
        <f>IFERROR(__xludf.DUMMYFUNCTION("""COMPUTED_VALUE"""),"#N/A")</f>
        <v>#N/A</v>
      </c>
      <c r="AI368" s="3" t="str">
        <f>IFERROR(__xludf.DUMMYFUNCTION("""COMPUTED_VALUE"""),"Out of warranty")</f>
        <v>Out of warranty</v>
      </c>
      <c r="AJ368" s="3">
        <f>IFERROR(__xludf.DUMMYFUNCTION("""COMPUTED_VALUE"""),157.0)</f>
        <v>157</v>
      </c>
      <c r="AK368" s="3" t="str">
        <f>IFERROR(__xludf.DUMMYFUNCTION("""COMPUTED_VALUE"""),"MMS06")</f>
        <v>MMS06</v>
      </c>
      <c r="AL368" s="3"/>
    </row>
    <row r="369" ht="15.75" customHeight="1">
      <c r="A369" s="1" t="str">
        <f>IFERROR(__xludf.DUMMYFUNCTION("""COMPUTED_VALUE"""),"21127")</f>
        <v>21127</v>
      </c>
      <c r="B369" s="2">
        <f>IFERROR(__xludf.DUMMYFUNCTION("""COMPUTED_VALUE"""),21127.0)</f>
        <v>21127</v>
      </c>
      <c r="C369" s="3" t="str">
        <f>IFERROR(__xludf.DUMMYFUNCTION("""COMPUTED_VALUE"""),"MBC คานหาม")</f>
        <v>MBC คานหาม</v>
      </c>
      <c r="D369" s="3" t="str">
        <f>IFERROR(__xludf.DUMMYFUNCTION("""COMPUTED_VALUE"""),"BCM KANHAM")</f>
        <v>BCM KANHAM</v>
      </c>
      <c r="E369" s="1" t="str">
        <f>IFERROR(__xludf.DUMMYFUNCTION("""COMPUTED_VALUE"""),"บิ๊กซี MINI")</f>
        <v>บิ๊กซี MINI</v>
      </c>
      <c r="F369" s="1" t="str">
        <f>IFERROR(__xludf.DUMMYFUNCTION("""COMPUTED_VALUE"""),"296229")</f>
        <v>296229</v>
      </c>
      <c r="G369" s="1" t="str">
        <f>IFERROR(__xludf.DUMMYFUNCTION("""COMPUTED_VALUE"""),"นายทนงศักดิ์ บุญมา")</f>
        <v>นายทนงศักดิ์ บุญมา</v>
      </c>
      <c r="H369" s="1" t="str">
        <f>IFERROR(__xludf.DUMMYFUNCTION("""COMPUTED_VALUE"""),"211363")</f>
        <v>211363</v>
      </c>
      <c r="I369" s="1" t="str">
        <f>IFERROR(__xludf.DUMMYFUNCTION("""COMPUTED_VALUE"""),"นายสามารถ บุญลับ")</f>
        <v>นายสามารถ บุญลับ</v>
      </c>
      <c r="J369" s="3">
        <f>IFERROR(__xludf.DUMMYFUNCTION("""COMPUTED_VALUE"""),46214.0)</f>
        <v>46214</v>
      </c>
      <c r="K369" s="3" t="str">
        <f>IFERROR(__xludf.DUMMYFUNCTION("""COMPUTED_VALUE"""),"นายศักดิ์ชัย เด็ดดอกฟ้า")</f>
        <v>นายศักดิ์ชัย เด็ดดอกฟ้า</v>
      </c>
      <c r="L369" s="1" t="str">
        <f>IFERROR(__xludf.DUMMYFUNCTION("""COMPUTED_VALUE"""),"02 K.Sakchai D")</f>
        <v>02 K.Sakchai D</v>
      </c>
      <c r="M369" s="1" t="str">
        <f>IFERROR(__xludf.DUMMYFUNCTION("""COMPUTED_VALUE"""),"065-510-7376")</f>
        <v>065-510-7376</v>
      </c>
      <c r="N369" s="3">
        <f>IFERROR(__xludf.DUMMYFUNCTION("""COMPUTED_VALUE"""),21714.0)</f>
        <v>21714</v>
      </c>
      <c r="O369" s="3" t="str">
        <f>IFERROR(__xludf.DUMMYFUNCTION("""COMPUTED_VALUE"""),"MBC เอสโซ่ วัดโบสถ์")</f>
        <v>MBC เอสโซ่ วัดโบสถ์</v>
      </c>
      <c r="P369" s="4">
        <f>IFERROR(__xludf.DUMMYFUNCTION("""COMPUTED_VALUE"""),41295.0)</f>
        <v>41295</v>
      </c>
      <c r="Q369" s="3" t="str">
        <f>IFERROR(__xludf.DUMMYFUNCTION("""COMPUTED_VALUE"""),"A")</f>
        <v>A</v>
      </c>
      <c r="R369" s="3" t="str">
        <f>IFERROR(__xludf.DUMMYFUNCTION("""COMPUTED_VALUE"""),"Small Format")</f>
        <v>Small Format</v>
      </c>
      <c r="S369" s="3" t="str">
        <f>IFERROR(__xludf.DUMMYFUNCTION("""COMPUTED_VALUE"""),"BCM")</f>
        <v>BCM</v>
      </c>
      <c r="T369" s="3" t="str">
        <f>IFERROR(__xludf.DUMMYFUNCTION("""COMPUTED_VALUE"""),"#N/A")</f>
        <v>#N/A</v>
      </c>
      <c r="U369" s="3" t="str">
        <f>IFERROR(__xludf.DUMMYFUNCTION("""COMPUTED_VALUE"""),"#N/A")</f>
        <v>#N/A</v>
      </c>
      <c r="V369" s="3" t="str">
        <f>IFERROR(__xludf.DUMMYFUNCTION("""COMPUTED_VALUE"""),"N")</f>
        <v>N</v>
      </c>
      <c r="W369" s="3">
        <f>IFERROR(__xludf.DUMMYFUNCTION("""COMPUTED_VALUE"""),211119.0)</f>
        <v>211119</v>
      </c>
      <c r="X369" s="3" t="str">
        <f>IFERROR(__xludf.DUMMYFUNCTION("""COMPUTED_VALUE"""),"7/51,7/80 หมู่ 4 ตำบลคานหาม อำเภออุทัย จังหวัดพระนครศรีอยุธยา 13210")</f>
        <v>7/51,7/80 หมู่ 4 ตำบลคานหาม อำเภออุทัย จังหวัดพระนครศรีอยุธยา 13210</v>
      </c>
      <c r="Y369" s="3"/>
      <c r="Z369" s="3" t="str">
        <f>IFERROR(__xludf.DUMMYFUNCTION("""COMPUTED_VALUE"""),"คานหาม")</f>
        <v>คานหาม</v>
      </c>
      <c r="AA369" s="3" t="str">
        <f>IFERROR(__xludf.DUMMYFUNCTION("""COMPUTED_VALUE"""),"อุทัย")</f>
        <v>อุทัย</v>
      </c>
      <c r="AB369" s="3" t="str">
        <f>IFERROR(__xludf.DUMMYFUNCTION("""COMPUTED_VALUE"""),"พระนครศรีอยุธยา")</f>
        <v>พระนครศรีอยุธยา</v>
      </c>
      <c r="AC369" s="3">
        <f>IFERROR(__xludf.DUMMYFUNCTION("""COMPUTED_VALUE"""),13210.0)</f>
        <v>13210</v>
      </c>
      <c r="AD369" s="3">
        <f>IFERROR(__xludf.DUMMYFUNCTION("""COMPUTED_VALUE"""),14.331066)</f>
        <v>14.331066</v>
      </c>
      <c r="AE369" s="3">
        <f>IFERROR(__xludf.DUMMYFUNCTION("""COMPUTED_VALUE"""),100.623762)</f>
        <v>100.623762</v>
      </c>
      <c r="AF369" s="3" t="str">
        <f>IFERROR(__xludf.DUMMYFUNCTION("""COMPUTED_VALUE"""),"MBC คานหาม-21127")</f>
        <v>MBC คานหาม-21127</v>
      </c>
      <c r="AG369" s="3" t="str">
        <f>IFERROR(__xludf.DUMMYFUNCTION("""COMPUTED_VALUE"""),"กลาง")</f>
        <v>กลาง</v>
      </c>
      <c r="AH369" s="3" t="str">
        <f>IFERROR(__xludf.DUMMYFUNCTION("""COMPUTED_VALUE"""),"#N/A")</f>
        <v>#N/A</v>
      </c>
      <c r="AI369" s="3" t="str">
        <f>IFERROR(__xludf.DUMMYFUNCTION("""COMPUTED_VALUE"""),"Out of warranty")</f>
        <v>Out of warranty</v>
      </c>
      <c r="AJ369" s="3">
        <f>IFERROR(__xludf.DUMMYFUNCTION("""COMPUTED_VALUE"""),156.0)</f>
        <v>156</v>
      </c>
      <c r="AK369" s="3" t="str">
        <f>IFERROR(__xludf.DUMMYFUNCTION("""COMPUTED_VALUE"""),"MMS04")</f>
        <v>MMS04</v>
      </c>
      <c r="AL369" s="3"/>
    </row>
    <row r="370" ht="15.75" customHeight="1">
      <c r="A370" s="1" t="str">
        <f>IFERROR(__xludf.DUMMYFUNCTION("""COMPUTED_VALUE"""),"21128")</f>
        <v>21128</v>
      </c>
      <c r="B370" s="2">
        <f>IFERROR(__xludf.DUMMYFUNCTION("""COMPUTED_VALUE"""),21128.0)</f>
        <v>21128</v>
      </c>
      <c r="C370" s="3" t="str">
        <f>IFERROR(__xludf.DUMMYFUNCTION("""COMPUTED_VALUE"""),"MBC เสนา")</f>
        <v>MBC เสนา</v>
      </c>
      <c r="D370" s="3" t="str">
        <f>IFERROR(__xludf.DUMMYFUNCTION("""COMPUTED_VALUE"""),"BCM SENA")</f>
        <v>BCM SENA</v>
      </c>
      <c r="E370" s="1" t="str">
        <f>IFERROR(__xludf.DUMMYFUNCTION("""COMPUTED_VALUE"""),"บิ๊กซี MINI")</f>
        <v>บิ๊กซี MINI</v>
      </c>
      <c r="F370" s="1" t="str">
        <f>IFERROR(__xludf.DUMMYFUNCTION("""COMPUTED_VALUE"""),"296229")</f>
        <v>296229</v>
      </c>
      <c r="G370" s="1" t="str">
        <f>IFERROR(__xludf.DUMMYFUNCTION("""COMPUTED_VALUE"""),"นายทนงศักดิ์ บุญมา")</f>
        <v>นายทนงศักดิ์ บุญมา</v>
      </c>
      <c r="H370" s="1" t="str">
        <f>IFERROR(__xludf.DUMMYFUNCTION("""COMPUTED_VALUE"""),"211363")</f>
        <v>211363</v>
      </c>
      <c r="I370" s="1" t="str">
        <f>IFERROR(__xludf.DUMMYFUNCTION("""COMPUTED_VALUE"""),"นายสามารถ บุญลับ")</f>
        <v>นายสามารถ บุญลับ</v>
      </c>
      <c r="J370" s="3">
        <f>IFERROR(__xludf.DUMMYFUNCTION("""COMPUTED_VALUE"""),46214.0)</f>
        <v>46214</v>
      </c>
      <c r="K370" s="3" t="str">
        <f>IFERROR(__xludf.DUMMYFUNCTION("""COMPUTED_VALUE"""),"นายศักดิ์ชัย เด็ดดอกฟ้า")</f>
        <v>นายศักดิ์ชัย เด็ดดอกฟ้า</v>
      </c>
      <c r="L370" s="1" t="str">
        <f>IFERROR(__xludf.DUMMYFUNCTION("""COMPUTED_VALUE"""),"02 K.Sakchai D")</f>
        <v>02 K.Sakchai D</v>
      </c>
      <c r="M370" s="1" t="str">
        <f>IFERROR(__xludf.DUMMYFUNCTION("""COMPUTED_VALUE"""),"065-510-7376")</f>
        <v>065-510-7376</v>
      </c>
      <c r="N370" s="3">
        <f>IFERROR(__xludf.DUMMYFUNCTION("""COMPUTED_VALUE"""),21714.0)</f>
        <v>21714</v>
      </c>
      <c r="O370" s="3" t="str">
        <f>IFERROR(__xludf.DUMMYFUNCTION("""COMPUTED_VALUE"""),"MBC เอสโซ่ วัดโบสถ์")</f>
        <v>MBC เอสโซ่ วัดโบสถ์</v>
      </c>
      <c r="P370" s="4">
        <f>IFERROR(__xludf.DUMMYFUNCTION("""COMPUTED_VALUE"""),41304.0)</f>
        <v>41304</v>
      </c>
      <c r="Q370" s="3" t="str">
        <f>IFERROR(__xludf.DUMMYFUNCTION("""COMPUTED_VALUE"""),"A")</f>
        <v>A</v>
      </c>
      <c r="R370" s="3" t="str">
        <f>IFERROR(__xludf.DUMMYFUNCTION("""COMPUTED_VALUE"""),"Small Format")</f>
        <v>Small Format</v>
      </c>
      <c r="S370" s="3" t="str">
        <f>IFERROR(__xludf.DUMMYFUNCTION("""COMPUTED_VALUE"""),"BCM")</f>
        <v>BCM</v>
      </c>
      <c r="T370" s="3" t="str">
        <f>IFERROR(__xludf.DUMMYFUNCTION("""COMPUTED_VALUE"""),"#N/A")</f>
        <v>#N/A</v>
      </c>
      <c r="U370" s="3" t="str">
        <f>IFERROR(__xludf.DUMMYFUNCTION("""COMPUTED_VALUE"""),"#N/A")</f>
        <v>#N/A</v>
      </c>
      <c r="V370" s="3" t="str">
        <f>IFERROR(__xludf.DUMMYFUNCTION("""COMPUTED_VALUE"""),"N")</f>
        <v>N</v>
      </c>
      <c r="W370" s="3">
        <f>IFERROR(__xludf.DUMMYFUNCTION("""COMPUTED_VALUE"""),211125.0)</f>
        <v>211125</v>
      </c>
      <c r="X370" s="3" t="str">
        <f>IFERROR(__xludf.DUMMYFUNCTION("""COMPUTED_VALUE"""),"310/2/3 ถนนวิไลเสนา(ก) ตำบลเสนา อำเภอเสนา จังหวัดพระนครศรีอยุธยา 13110")</f>
        <v>310/2/3 ถนนวิไลเสนา(ก) ตำบลเสนา อำเภอเสนา จังหวัดพระนครศรีอยุธยา 13110</v>
      </c>
      <c r="Y370" s="3" t="str">
        <f>IFERROR(__xludf.DUMMYFUNCTION("""COMPUTED_VALUE"""),"ถนนวิไลเสนา(ก)")</f>
        <v>ถนนวิไลเสนา(ก)</v>
      </c>
      <c r="Z370" s="3" t="str">
        <f>IFERROR(__xludf.DUMMYFUNCTION("""COMPUTED_VALUE"""),"เสนา")</f>
        <v>เสนา</v>
      </c>
      <c r="AA370" s="3" t="str">
        <f>IFERROR(__xludf.DUMMYFUNCTION("""COMPUTED_VALUE"""),"เสนา")</f>
        <v>เสนา</v>
      </c>
      <c r="AB370" s="3" t="str">
        <f>IFERROR(__xludf.DUMMYFUNCTION("""COMPUTED_VALUE"""),"พระนครศรีอยุธยา")</f>
        <v>พระนครศรีอยุธยา</v>
      </c>
      <c r="AC370" s="3">
        <f>IFERROR(__xludf.DUMMYFUNCTION("""COMPUTED_VALUE"""),13110.0)</f>
        <v>13110</v>
      </c>
      <c r="AD370" s="3">
        <f>IFERROR(__xludf.DUMMYFUNCTION("""COMPUTED_VALUE"""),14.325313)</f>
        <v>14.325313</v>
      </c>
      <c r="AE370" s="3">
        <f>IFERROR(__xludf.DUMMYFUNCTION("""COMPUTED_VALUE"""),100.402135)</f>
        <v>100.402135</v>
      </c>
      <c r="AF370" s="3" t="str">
        <f>IFERROR(__xludf.DUMMYFUNCTION("""COMPUTED_VALUE"""),"MBC เสนา-21128")</f>
        <v>MBC เสนา-21128</v>
      </c>
      <c r="AG370" s="3" t="str">
        <f>IFERROR(__xludf.DUMMYFUNCTION("""COMPUTED_VALUE"""),"กลาง")</f>
        <v>กลาง</v>
      </c>
      <c r="AH370" s="3" t="str">
        <f>IFERROR(__xludf.DUMMYFUNCTION("""COMPUTED_VALUE"""),"#N/A")</f>
        <v>#N/A</v>
      </c>
      <c r="AI370" s="3" t="str">
        <f>IFERROR(__xludf.DUMMYFUNCTION("""COMPUTED_VALUE"""),"Out of warranty")</f>
        <v>Out of warranty</v>
      </c>
      <c r="AJ370" s="3">
        <f>IFERROR(__xludf.DUMMYFUNCTION("""COMPUTED_VALUE"""),156.0)</f>
        <v>156</v>
      </c>
      <c r="AK370" s="3" t="str">
        <f>IFERROR(__xludf.DUMMYFUNCTION("""COMPUTED_VALUE"""),"MMS09")</f>
        <v>MMS09</v>
      </c>
      <c r="AL370" s="3"/>
    </row>
    <row r="371" ht="15.75" customHeight="1">
      <c r="A371" s="1" t="str">
        <f>IFERROR(__xludf.DUMMYFUNCTION("""COMPUTED_VALUE"""),"21129")</f>
        <v>21129</v>
      </c>
      <c r="B371" s="2">
        <f>IFERROR(__xludf.DUMMYFUNCTION("""COMPUTED_VALUE"""),21129.0)</f>
        <v>21129</v>
      </c>
      <c r="C371" s="3" t="str">
        <f>IFERROR(__xludf.DUMMYFUNCTION("""COMPUTED_VALUE"""),"MBC เดอะทรี")</f>
        <v>MBC เดอะทรี</v>
      </c>
      <c r="D371" s="3" t="str">
        <f>IFERROR(__xludf.DUMMYFUNCTION("""COMPUTED_VALUE"""),"BCM THE TREE")</f>
        <v>BCM THE TREE</v>
      </c>
      <c r="E371" s="1" t="str">
        <f>IFERROR(__xludf.DUMMYFUNCTION("""COMPUTED_VALUE"""),"บิ๊กซี MINI")</f>
        <v>บิ๊กซี MINI</v>
      </c>
      <c r="F371" s="1" t="str">
        <f>IFERROR(__xludf.DUMMYFUNCTION("""COMPUTED_VALUE"""),"2083447")</f>
        <v>2083447</v>
      </c>
      <c r="G371" s="1" t="str">
        <f>IFERROR(__xludf.DUMMYFUNCTION("""COMPUTED_VALUE"""),"นายอนุกูล ศรีลัดดา")</f>
        <v>นายอนุกูล ศรีลัดดา</v>
      </c>
      <c r="H371" s="1" t="str">
        <f>IFERROR(__xludf.DUMMYFUNCTION("""COMPUTED_VALUE"""),"373849")</f>
        <v>373849</v>
      </c>
      <c r="I371" s="1" t="str">
        <f>IFERROR(__xludf.DUMMYFUNCTION("""COMPUTED_VALUE"""),"น.ส.อรอุมา นิ่มวิศิษย์")</f>
        <v>น.ส.อรอุมา นิ่มวิศิษย์</v>
      </c>
      <c r="J371" s="3">
        <f>IFERROR(__xludf.DUMMYFUNCTION("""COMPUTED_VALUE"""),2451655.0)</f>
        <v>2451655</v>
      </c>
      <c r="K371" s="3" t="str">
        <f>IFERROR(__xludf.DUMMYFUNCTION("""COMPUTED_VALUE"""),"นายวิษณุพงษ์ ชินบุตร")</f>
        <v>นายวิษณุพงษ์ ชินบุตร</v>
      </c>
      <c r="L371" s="1" t="str">
        <f>IFERROR(__xludf.DUMMYFUNCTION("""COMPUTED_VALUE"""),"13 K.Wisanupong Ch")</f>
        <v>13 K.Wisanupong Ch</v>
      </c>
      <c r="M371" s="1" t="str">
        <f>IFERROR(__xludf.DUMMYFUNCTION("""COMPUTED_VALUE"""),"0843374693")</f>
        <v>0843374693</v>
      </c>
      <c r="N371" s="3">
        <f>IFERROR(__xludf.DUMMYFUNCTION("""COMPUTED_VALUE"""),21013.0)</f>
        <v>21013</v>
      </c>
      <c r="O371" s="3" t="str">
        <f>IFERROR(__xludf.DUMMYFUNCTION("""COMPUTED_VALUE"""),"MBC รังสิตคลอง2")</f>
        <v>MBC รังสิตคลอง2</v>
      </c>
      <c r="P371" s="4">
        <f>IFERROR(__xludf.DUMMYFUNCTION("""COMPUTED_VALUE"""),41333.0)</f>
        <v>41333</v>
      </c>
      <c r="Q371" s="3" t="str">
        <f>IFERROR(__xludf.DUMMYFUNCTION("""COMPUTED_VALUE"""),"I")</f>
        <v>I</v>
      </c>
      <c r="R371" s="3" t="str">
        <f>IFERROR(__xludf.DUMMYFUNCTION("""COMPUTED_VALUE"""),"Small Format")</f>
        <v>Small Format</v>
      </c>
      <c r="S371" s="3" t="str">
        <f>IFERROR(__xludf.DUMMYFUNCTION("""COMPUTED_VALUE"""),"BCM")</f>
        <v>BCM</v>
      </c>
      <c r="T371" s="3" t="str">
        <f>IFERROR(__xludf.DUMMYFUNCTION("""COMPUTED_VALUE"""),"#N/A")</f>
        <v>#N/A</v>
      </c>
      <c r="U371" s="3" t="str">
        <f>IFERROR(__xludf.DUMMYFUNCTION("""COMPUTED_VALUE"""),"#N/A")</f>
        <v>#N/A</v>
      </c>
      <c r="V371" s="3" t="str">
        <f>IFERROR(__xludf.DUMMYFUNCTION("""COMPUTED_VALUE"""),"N")</f>
        <v>N</v>
      </c>
      <c r="W371" s="3">
        <f>IFERROR(__xludf.DUMMYFUNCTION("""COMPUTED_VALUE"""),211137.0)</f>
        <v>211137</v>
      </c>
      <c r="X371" s="3" t="str">
        <f>IFERROR(__xludf.DUMMYFUNCTION("""COMPUTED_VALUE"""),"99/99 หมู่ 7 ตำบลบางคูวัด อำเภอเมืองปทุมธานี จังหวัดปทุมธานี 12000")</f>
        <v>99/99 หมู่ 7 ตำบลบางคูวัด อำเภอเมืองปทุมธานี จังหวัดปทุมธานี 12000</v>
      </c>
      <c r="Y371" s="3"/>
      <c r="Z371" s="3" t="str">
        <f>IFERROR(__xludf.DUMMYFUNCTION("""COMPUTED_VALUE"""),"บางคูวัด")</f>
        <v>บางคูวัด</v>
      </c>
      <c r="AA371" s="3" t="str">
        <f>IFERROR(__xludf.DUMMYFUNCTION("""COMPUTED_VALUE"""),"เมือง")</f>
        <v>เมือง</v>
      </c>
      <c r="AB371" s="3" t="str">
        <f>IFERROR(__xludf.DUMMYFUNCTION("""COMPUTED_VALUE"""),"ปทุมธานี")</f>
        <v>ปทุมธานี</v>
      </c>
      <c r="AC371" s="3">
        <f>IFERROR(__xludf.DUMMYFUNCTION("""COMPUTED_VALUE"""),12000.0)</f>
        <v>12000</v>
      </c>
      <c r="AD371" s="3">
        <f>IFERROR(__xludf.DUMMYFUNCTION("""COMPUTED_VALUE"""),13.961931)</f>
        <v>13.961931</v>
      </c>
      <c r="AE371" s="3">
        <f>IFERROR(__xludf.DUMMYFUNCTION("""COMPUTED_VALUE"""),100.513741)</f>
        <v>100.513741</v>
      </c>
      <c r="AF371" s="3" t="str">
        <f>IFERROR(__xludf.DUMMYFUNCTION("""COMPUTED_VALUE"""),"MBC เดอะทรี-21129")</f>
        <v>MBC เดอะทรี-21129</v>
      </c>
      <c r="AG371" s="3" t="str">
        <f>IFERROR(__xludf.DUMMYFUNCTION("""COMPUTED_VALUE"""),"กลาง")</f>
        <v>กลาง</v>
      </c>
      <c r="AH371" s="3" t="str">
        <f>IFERROR(__xludf.DUMMYFUNCTION("""COMPUTED_VALUE"""),"#N/A")</f>
        <v>#N/A</v>
      </c>
      <c r="AI371" s="3" t="str">
        <f>IFERROR(__xludf.DUMMYFUNCTION("""COMPUTED_VALUE"""),"Out of warranty")</f>
        <v>Out of warranty</v>
      </c>
      <c r="AJ371" s="3">
        <f>IFERROR(__xludf.DUMMYFUNCTION("""COMPUTED_VALUE"""),155.0)</f>
        <v>155</v>
      </c>
      <c r="AK371" s="3" t="str">
        <f>IFERROR(__xludf.DUMMYFUNCTION("""COMPUTED_VALUE"""),"MMS04")</f>
        <v>MMS04</v>
      </c>
      <c r="AL371" s="3"/>
    </row>
    <row r="372" ht="15.75" customHeight="1">
      <c r="A372" s="1" t="str">
        <f>IFERROR(__xludf.DUMMYFUNCTION("""COMPUTED_VALUE"""),"21130")</f>
        <v>21130</v>
      </c>
      <c r="B372" s="2">
        <f>IFERROR(__xludf.DUMMYFUNCTION("""COMPUTED_VALUE"""),21130.0)</f>
        <v>21130</v>
      </c>
      <c r="C372" s="3" t="str">
        <f>IFERROR(__xludf.DUMMYFUNCTION("""COMPUTED_VALUE"""),"MBC ศรีมหาโพธิ")</f>
        <v>MBC ศรีมหาโพธิ</v>
      </c>
      <c r="D372" s="3" t="str">
        <f>IFERROR(__xludf.DUMMYFUNCTION("""COMPUTED_VALUE"""),"BCM SRIMAHAPHOT")</f>
        <v>BCM SRIMAHAPHOT</v>
      </c>
      <c r="E372" s="1" t="str">
        <f>IFERROR(__xludf.DUMMYFUNCTION("""COMPUTED_VALUE"""),"บิ๊กซี MINI")</f>
        <v>บิ๊กซี MINI</v>
      </c>
      <c r="F372" s="1" t="str">
        <f>IFERROR(__xludf.DUMMYFUNCTION("""COMPUTED_VALUE"""),"2083447")</f>
        <v>2083447</v>
      </c>
      <c r="G372" s="1" t="str">
        <f>IFERROR(__xludf.DUMMYFUNCTION("""COMPUTED_VALUE"""),"นายอนุกูล ศรีลัดดา")</f>
        <v>นายอนุกูล ศรีลัดดา</v>
      </c>
      <c r="H372" s="1" t="str">
        <f>IFERROR(__xludf.DUMMYFUNCTION("""COMPUTED_VALUE"""),"259808")</f>
        <v>259808</v>
      </c>
      <c r="I372" s="1" t="str">
        <f>IFERROR(__xludf.DUMMYFUNCTION("""COMPUTED_VALUE"""),"น.ส.สกุลรัตน์ พิกุลแก้ว")</f>
        <v>น.ส.สกุลรัตน์ พิกุลแก้ว</v>
      </c>
      <c r="J372" s="3">
        <f>IFERROR(__xludf.DUMMYFUNCTION("""COMPUTED_VALUE"""),510143.0)</f>
        <v>510143</v>
      </c>
      <c r="K372" s="3" t="str">
        <f>IFERROR(__xludf.DUMMYFUNCTION("""COMPUTED_VALUE"""),"นายธีระวัฒน์ บุญสิทธิ์")</f>
        <v>นายธีระวัฒน์ บุญสิทธิ์</v>
      </c>
      <c r="L372" s="1" t="str">
        <f>IFERROR(__xludf.DUMMYFUNCTION("""COMPUTED_VALUE"""),"12 K.Theerawat B.")</f>
        <v>12 K.Theerawat B.</v>
      </c>
      <c r="M372" s="1" t="str">
        <f>IFERROR(__xludf.DUMMYFUNCTION("""COMPUTED_VALUE"""),"0655107379")</f>
        <v>0655107379</v>
      </c>
      <c r="N372" s="3">
        <f>IFERROR(__xludf.DUMMYFUNCTION("""COMPUTED_VALUE"""),21062.0)</f>
        <v>21062</v>
      </c>
      <c r="O372" s="3" t="str">
        <f>IFERROR(__xludf.DUMMYFUNCTION("""COMPUTED_VALUE"""),"MBC นิคมนวนคร")</f>
        <v>MBC นิคมนวนคร</v>
      </c>
      <c r="P372" s="4">
        <f>IFERROR(__xludf.DUMMYFUNCTION("""COMPUTED_VALUE"""),41302.0)</f>
        <v>41302</v>
      </c>
      <c r="Q372" s="3" t="str">
        <f>IFERROR(__xludf.DUMMYFUNCTION("""COMPUTED_VALUE"""),"A")</f>
        <v>A</v>
      </c>
      <c r="R372" s="3" t="str">
        <f>IFERROR(__xludf.DUMMYFUNCTION("""COMPUTED_VALUE"""),"Small Format")</f>
        <v>Small Format</v>
      </c>
      <c r="S372" s="3" t="str">
        <f>IFERROR(__xludf.DUMMYFUNCTION("""COMPUTED_VALUE"""),"BCM")</f>
        <v>BCM</v>
      </c>
      <c r="T372" s="3" t="str">
        <f>IFERROR(__xludf.DUMMYFUNCTION("""COMPUTED_VALUE"""),"#N/A")</f>
        <v>#N/A</v>
      </c>
      <c r="U372" s="3" t="str">
        <f>IFERROR(__xludf.DUMMYFUNCTION("""COMPUTED_VALUE"""),"#N/A")</f>
        <v>#N/A</v>
      </c>
      <c r="V372" s="3" t="str">
        <f>IFERROR(__xludf.DUMMYFUNCTION("""COMPUTED_VALUE"""),"N")</f>
        <v>N</v>
      </c>
      <c r="W372" s="3">
        <f>IFERROR(__xludf.DUMMYFUNCTION("""COMPUTED_VALUE"""),211121.0)</f>
        <v>211121</v>
      </c>
      <c r="X372" s="3" t="str">
        <f>IFERROR(__xludf.DUMMYFUNCTION("""COMPUTED_VALUE"""),"218/4 หมู่ 4 ตำบลศรีมหาโพธิ อำเภอศรีมหาโพธิ จังหวัดปราจีนบุรี 25140")</f>
        <v>218/4 หมู่ 4 ตำบลศรีมหาโพธิ อำเภอศรีมหาโพธิ จังหวัดปราจีนบุรี 25140</v>
      </c>
      <c r="Y372" s="3"/>
      <c r="Z372" s="3" t="str">
        <f>IFERROR(__xludf.DUMMYFUNCTION("""COMPUTED_VALUE"""),"ศรีมหาโพธิ")</f>
        <v>ศรีมหาโพธิ</v>
      </c>
      <c r="AA372" s="3" t="str">
        <f>IFERROR(__xludf.DUMMYFUNCTION("""COMPUTED_VALUE"""),"ศรีมหาโพธิ")</f>
        <v>ศรีมหาโพธิ</v>
      </c>
      <c r="AB372" s="3" t="str">
        <f>IFERROR(__xludf.DUMMYFUNCTION("""COMPUTED_VALUE"""),"ปราจีนบุรี")</f>
        <v>ปราจีนบุรี</v>
      </c>
      <c r="AC372" s="3">
        <f>IFERROR(__xludf.DUMMYFUNCTION("""COMPUTED_VALUE"""),25140.0)</f>
        <v>25140</v>
      </c>
      <c r="AD372" s="3">
        <f>IFERROR(__xludf.DUMMYFUNCTION("""COMPUTED_VALUE"""),13.966949)</f>
        <v>13.966949</v>
      </c>
      <c r="AE372" s="3">
        <f>IFERROR(__xludf.DUMMYFUNCTION("""COMPUTED_VALUE"""),101.514162)</f>
        <v>101.514162</v>
      </c>
      <c r="AF372" s="3" t="str">
        <f>IFERROR(__xludf.DUMMYFUNCTION("""COMPUTED_VALUE"""),"MBC ศรีมหาโพธิ-21130")</f>
        <v>MBC ศรีมหาโพธิ-21130</v>
      </c>
      <c r="AG372" s="3" t="str">
        <f>IFERROR(__xludf.DUMMYFUNCTION("""COMPUTED_VALUE"""),"ตะวันออก")</f>
        <v>ตะวันออก</v>
      </c>
      <c r="AH372" s="3" t="str">
        <f>IFERROR(__xludf.DUMMYFUNCTION("""COMPUTED_VALUE"""),"#N/A")</f>
        <v>#N/A</v>
      </c>
      <c r="AI372" s="3" t="str">
        <f>IFERROR(__xludf.DUMMYFUNCTION("""COMPUTED_VALUE"""),"Out of warranty")</f>
        <v>Out of warranty</v>
      </c>
      <c r="AJ372" s="3">
        <f>IFERROR(__xludf.DUMMYFUNCTION("""COMPUTED_VALUE"""),156.0)</f>
        <v>156</v>
      </c>
      <c r="AK372" s="3" t="str">
        <f>IFERROR(__xludf.DUMMYFUNCTION("""COMPUTED_VALUE"""),"MMS08")</f>
        <v>MMS08</v>
      </c>
      <c r="AL372" s="3"/>
    </row>
    <row r="373" ht="15.75" customHeight="1">
      <c r="A373" s="1" t="str">
        <f>IFERROR(__xludf.DUMMYFUNCTION("""COMPUTED_VALUE"""),"21131")</f>
        <v>21131</v>
      </c>
      <c r="B373" s="2">
        <f>IFERROR(__xludf.DUMMYFUNCTION("""COMPUTED_VALUE"""),21131.0)</f>
        <v>21131</v>
      </c>
      <c r="C373" s="3" t="str">
        <f>IFERROR(__xludf.DUMMYFUNCTION("""COMPUTED_VALUE"""),"MBC วิภาวดี 64")</f>
        <v>MBC วิภาวดี 64</v>
      </c>
      <c r="D373" s="3" t="str">
        <f>IFERROR(__xludf.DUMMYFUNCTION("""COMPUTED_VALUE"""),"BCM VIPAVADEE 64")</f>
        <v>BCM VIPAVADEE 64</v>
      </c>
      <c r="E373" s="1" t="str">
        <f>IFERROR(__xludf.DUMMYFUNCTION("""COMPUTED_VALUE"""),"บิ๊กซี MINI")</f>
        <v>บิ๊กซี MINI</v>
      </c>
      <c r="F373" s="1" t="str">
        <f>IFERROR(__xludf.DUMMYFUNCTION("""COMPUTED_VALUE"""),"291008")</f>
        <v>291008</v>
      </c>
      <c r="G373" s="1" t="str">
        <f>IFERROR(__xludf.DUMMYFUNCTION("""COMPUTED_VALUE"""),"น.ส.รัชดาพร อีศรัตน์")</f>
        <v>น.ส.รัชดาพร อีศรัตน์</v>
      </c>
      <c r="H373" s="1" t="str">
        <f>IFERROR(__xludf.DUMMYFUNCTION("""COMPUTED_VALUE"""),"373540")</f>
        <v>373540</v>
      </c>
      <c r="I373" s="1" t="str">
        <f>IFERROR(__xludf.DUMMYFUNCTION("""COMPUTED_VALUE"""),"นายทศพร พึ่งพบ")</f>
        <v>นายทศพร พึ่งพบ</v>
      </c>
      <c r="J373" s="3">
        <f>IFERROR(__xludf.DUMMYFUNCTION("""COMPUTED_VALUE"""),2452378.0)</f>
        <v>2452378</v>
      </c>
      <c r="K373" s="3" t="str">
        <f>IFERROR(__xludf.DUMMYFUNCTION("""COMPUTED_VALUE"""),"นายศักดิ์ดา พวงประดับ")</f>
        <v>นายศักดิ์ดา พวงประดับ</v>
      </c>
      <c r="L373" s="1" t="str">
        <f>IFERROR(__xludf.DUMMYFUNCTION("""COMPUTED_VALUE"""),"11 K.Sakda P.")</f>
        <v>11 K.Sakda P.</v>
      </c>
      <c r="M373" s="1" t="str">
        <f>IFERROR(__xludf.DUMMYFUNCTION("""COMPUTED_VALUE"""),"065-929-1279")</f>
        <v>065-929-1279</v>
      </c>
      <c r="N373" s="3">
        <f>IFERROR(__xludf.DUMMYFUNCTION("""COMPUTED_VALUE"""),21002.0)</f>
        <v>21002</v>
      </c>
      <c r="O373" s="3" t="str">
        <f>IFERROR(__xludf.DUMMYFUNCTION("""COMPUTED_VALUE"""),"MBC อุดมสุข")</f>
        <v>MBC อุดมสุข</v>
      </c>
      <c r="P373" s="4">
        <f>IFERROR(__xludf.DUMMYFUNCTION("""COMPUTED_VALUE"""),41302.0)</f>
        <v>41302</v>
      </c>
      <c r="Q373" s="3" t="str">
        <f>IFERROR(__xludf.DUMMYFUNCTION("""COMPUTED_VALUE"""),"A")</f>
        <v>A</v>
      </c>
      <c r="R373" s="3" t="str">
        <f>IFERROR(__xludf.DUMMYFUNCTION("""COMPUTED_VALUE"""),"Small Format")</f>
        <v>Small Format</v>
      </c>
      <c r="S373" s="3" t="str">
        <f>IFERROR(__xludf.DUMMYFUNCTION("""COMPUTED_VALUE"""),"BCM")</f>
        <v>BCM</v>
      </c>
      <c r="T373" s="3" t="str">
        <f>IFERROR(__xludf.DUMMYFUNCTION("""COMPUTED_VALUE"""),"#N/A")</f>
        <v>#N/A</v>
      </c>
      <c r="U373" s="3" t="str">
        <f>IFERROR(__xludf.DUMMYFUNCTION("""COMPUTED_VALUE"""),"#N/A")</f>
        <v>#N/A</v>
      </c>
      <c r="V373" s="3" t="str">
        <f>IFERROR(__xludf.DUMMYFUNCTION("""COMPUTED_VALUE"""),"N")</f>
        <v>N</v>
      </c>
      <c r="W373" s="3">
        <f>IFERROR(__xludf.DUMMYFUNCTION("""COMPUTED_VALUE"""),211122.0)</f>
        <v>211122</v>
      </c>
      <c r="X373" s="3" t="str">
        <f>IFERROR(__xludf.DUMMYFUNCTION("""COMPUTED_VALUE"""),"201/119-120 ซอยวิภาวดีรังสิต 64 (มหานคร) แขวงตลาดบางเขน เขตหลักสี่ กรุงเทพฯ 10210")</f>
        <v>201/119-120 ซอยวิภาวดีรังสิต 64 (มหานคร) แขวงตลาดบางเขน เขตหลักสี่ กรุงเทพฯ 10210</v>
      </c>
      <c r="Y373" s="3" t="str">
        <f>IFERROR(__xludf.DUMMYFUNCTION("""COMPUTED_VALUE"""),"ซอยวิภาวดีรังสิต")</f>
        <v>ซอยวิภาวดีรังสิต</v>
      </c>
      <c r="Z373" s="3" t="str">
        <f>IFERROR(__xludf.DUMMYFUNCTION("""COMPUTED_VALUE"""),"ตลาดบางเขน")</f>
        <v>ตลาดบางเขน</v>
      </c>
      <c r="AA373" s="3" t="str">
        <f>IFERROR(__xludf.DUMMYFUNCTION("""COMPUTED_VALUE"""),"หลักสี่")</f>
        <v>หลักสี่</v>
      </c>
      <c r="AB373" s="3" t="str">
        <f>IFERROR(__xludf.DUMMYFUNCTION("""COMPUTED_VALUE"""),"กรุงเทพมหานคร")</f>
        <v>กรุงเทพมหานคร</v>
      </c>
      <c r="AC373" s="3">
        <f>IFERROR(__xludf.DUMMYFUNCTION("""COMPUTED_VALUE"""),10210.0)</f>
        <v>10210</v>
      </c>
      <c r="AD373" s="3">
        <f>IFERROR(__xludf.DUMMYFUNCTION("""COMPUTED_VALUE"""),13.874168)</f>
        <v>13.874168</v>
      </c>
      <c r="AE373" s="3">
        <f>IFERROR(__xludf.DUMMYFUNCTION("""COMPUTED_VALUE"""),100.579968)</f>
        <v>100.579968</v>
      </c>
      <c r="AF373" s="3" t="str">
        <f>IFERROR(__xludf.DUMMYFUNCTION("""COMPUTED_VALUE"""),"MBC วิภาวดี 64-21131")</f>
        <v>MBC วิภาวดี 64-21131</v>
      </c>
      <c r="AG373" s="3" t="str">
        <f>IFERROR(__xludf.DUMMYFUNCTION("""COMPUTED_VALUE"""),"กลาง")</f>
        <v>กลาง</v>
      </c>
      <c r="AH373" s="3" t="str">
        <f>IFERROR(__xludf.DUMMYFUNCTION("""COMPUTED_VALUE"""),"#N/A")</f>
        <v>#N/A</v>
      </c>
      <c r="AI373" s="3" t="str">
        <f>IFERROR(__xludf.DUMMYFUNCTION("""COMPUTED_VALUE"""),"Out of warranty")</f>
        <v>Out of warranty</v>
      </c>
      <c r="AJ373" s="3">
        <f>IFERROR(__xludf.DUMMYFUNCTION("""COMPUTED_VALUE"""),156.0)</f>
        <v>156</v>
      </c>
      <c r="AK373" s="3" t="str">
        <f>IFERROR(__xludf.DUMMYFUNCTION("""COMPUTED_VALUE"""),"MMS01")</f>
        <v>MMS01</v>
      </c>
      <c r="AL373" s="3"/>
    </row>
    <row r="374" ht="15.75" customHeight="1">
      <c r="A374" s="1" t="str">
        <f>IFERROR(__xludf.DUMMYFUNCTION("""COMPUTED_VALUE"""),"21133")</f>
        <v>21133</v>
      </c>
      <c r="B374" s="2">
        <f>IFERROR(__xludf.DUMMYFUNCTION("""COMPUTED_VALUE"""),21133.0)</f>
        <v>21133</v>
      </c>
      <c r="C374" s="3" t="str">
        <f>IFERROR(__xludf.DUMMYFUNCTION("""COMPUTED_VALUE"""),"MBC ซอยอุดมเดช")</f>
        <v>MBC ซอยอุดมเดช</v>
      </c>
      <c r="D374" s="3" t="str">
        <f>IFERROR(__xludf.DUMMYFUNCTION("""COMPUTED_VALUE"""),"BCM SOI UDOMDATE")</f>
        <v>BCM SOI UDOMDATE</v>
      </c>
      <c r="E374" s="1" t="str">
        <f>IFERROR(__xludf.DUMMYFUNCTION("""COMPUTED_VALUE"""),"บิ๊กซี MINI")</f>
        <v>บิ๊กซี MINI</v>
      </c>
      <c r="F374" s="1" t="str">
        <f>IFERROR(__xludf.DUMMYFUNCTION("""COMPUTED_VALUE"""),"2083447")</f>
        <v>2083447</v>
      </c>
      <c r="G374" s="1" t="str">
        <f>IFERROR(__xludf.DUMMYFUNCTION("""COMPUTED_VALUE"""),"นายอนุกูล ศรีลัดดา")</f>
        <v>นายอนุกูล ศรีลัดดา</v>
      </c>
      <c r="H374" s="1" t="str">
        <f>IFERROR(__xludf.DUMMYFUNCTION("""COMPUTED_VALUE"""),"379037")</f>
        <v>379037</v>
      </c>
      <c r="I374" s="1" t="str">
        <f>IFERROR(__xludf.DUMMYFUNCTION("""COMPUTED_VALUE"""),"นางแก้วใจ แก้วกาญจน์")</f>
        <v>นางแก้วใจ แก้วกาญจน์</v>
      </c>
      <c r="J374" s="3">
        <f>IFERROR(__xludf.DUMMYFUNCTION("""COMPUTED_VALUE"""),2451655.0)</f>
        <v>2451655</v>
      </c>
      <c r="K374" s="3" t="str">
        <f>IFERROR(__xludf.DUMMYFUNCTION("""COMPUTED_VALUE"""),"นายวิษณุพงษ์ ชินบุตร")</f>
        <v>นายวิษณุพงษ์ ชินบุตร</v>
      </c>
      <c r="L374" s="1" t="str">
        <f>IFERROR(__xludf.DUMMYFUNCTION("""COMPUTED_VALUE"""),"13 K.Wisanupong Ch")</f>
        <v>13 K.Wisanupong Ch</v>
      </c>
      <c r="M374" s="1" t="str">
        <f>IFERROR(__xludf.DUMMYFUNCTION("""COMPUTED_VALUE"""),"0843374693")</f>
        <v>0843374693</v>
      </c>
      <c r="N374" s="3">
        <f>IFERROR(__xludf.DUMMYFUNCTION("""COMPUTED_VALUE"""),21494.0)</f>
        <v>21494</v>
      </c>
      <c r="O374" s="3" t="str">
        <f>IFERROR(__xludf.DUMMYFUNCTION("""COMPUTED_VALUE"""),"MBC บ้านกรด")</f>
        <v>MBC บ้านกรด</v>
      </c>
      <c r="P374" s="4">
        <f>IFERROR(__xludf.DUMMYFUNCTION("""COMPUTED_VALUE"""),41301.0)</f>
        <v>41301</v>
      </c>
      <c r="Q374" s="3" t="str">
        <f>IFERROR(__xludf.DUMMYFUNCTION("""COMPUTED_VALUE"""),"I")</f>
        <v>I</v>
      </c>
      <c r="R374" s="3" t="str">
        <f>IFERROR(__xludf.DUMMYFUNCTION("""COMPUTED_VALUE"""),"Small Format")</f>
        <v>Small Format</v>
      </c>
      <c r="S374" s="3" t="str">
        <f>IFERROR(__xludf.DUMMYFUNCTION("""COMPUTED_VALUE"""),"BCM")</f>
        <v>BCM</v>
      </c>
      <c r="T374" s="3" t="str">
        <f>IFERROR(__xludf.DUMMYFUNCTION("""COMPUTED_VALUE"""),"#N/A")</f>
        <v>#N/A</v>
      </c>
      <c r="U374" s="3" t="str">
        <f>IFERROR(__xludf.DUMMYFUNCTION("""COMPUTED_VALUE"""),"#N/A")</f>
        <v>#N/A</v>
      </c>
      <c r="V374" s="3" t="str">
        <f>IFERROR(__xludf.DUMMYFUNCTION("""COMPUTED_VALUE"""),"N")</f>
        <v>N</v>
      </c>
      <c r="W374" s="3">
        <f>IFERROR(__xludf.DUMMYFUNCTION("""COMPUTED_VALUE"""),211120.0)</f>
        <v>211120</v>
      </c>
      <c r="X374" s="3" t="str">
        <f>IFERROR(__xludf.DUMMYFUNCTION("""COMPUTED_VALUE"""),"102/550 หมู่ 3 ตำบลบางเมืองใหม่ อำเภอเมืองสมุทรปราการ จังหวัดสมุทรปราการ 10270")</f>
        <v>102/550 หมู่ 3 ตำบลบางเมืองใหม่ อำเภอเมืองสมุทรปราการ จังหวัดสมุทรปราการ 10270</v>
      </c>
      <c r="Y374" s="3"/>
      <c r="Z374" s="3" t="str">
        <f>IFERROR(__xludf.DUMMYFUNCTION("""COMPUTED_VALUE"""),"บางเมืองใหม่")</f>
        <v>บางเมืองใหม่</v>
      </c>
      <c r="AA374" s="3" t="str">
        <f>IFERROR(__xludf.DUMMYFUNCTION("""COMPUTED_VALUE"""),"เมืองสมุทรปราการ")</f>
        <v>เมืองสมุทรปราการ</v>
      </c>
      <c r="AB374" s="3" t="str">
        <f>IFERROR(__xludf.DUMMYFUNCTION("""COMPUTED_VALUE"""),"สมุทรปราการ")</f>
        <v>สมุทรปราการ</v>
      </c>
      <c r="AC374" s="3">
        <f>IFERROR(__xludf.DUMMYFUNCTION("""COMPUTED_VALUE"""),10270.0)</f>
        <v>10270</v>
      </c>
      <c r="AD374" s="3">
        <f>IFERROR(__xludf.DUMMYFUNCTION("""COMPUTED_VALUE"""),13.623799)</f>
        <v>13.623799</v>
      </c>
      <c r="AE374" s="3">
        <f>IFERROR(__xludf.DUMMYFUNCTION("""COMPUTED_VALUE"""),100.596782)</f>
        <v>100.596782</v>
      </c>
      <c r="AF374" s="3" t="str">
        <f>IFERROR(__xludf.DUMMYFUNCTION("""COMPUTED_VALUE"""),"MBC ซอยอุดมเดช-21133")</f>
        <v>MBC ซอยอุดมเดช-21133</v>
      </c>
      <c r="AG374" s="3" t="str">
        <f>IFERROR(__xludf.DUMMYFUNCTION("""COMPUTED_VALUE"""),"กลาง")</f>
        <v>กลาง</v>
      </c>
      <c r="AH374" s="3" t="str">
        <f>IFERROR(__xludf.DUMMYFUNCTION("""COMPUTED_VALUE"""),"#N/A")</f>
        <v>#N/A</v>
      </c>
      <c r="AI374" s="3" t="str">
        <f>IFERROR(__xludf.DUMMYFUNCTION("""COMPUTED_VALUE"""),"Out of warranty")</f>
        <v>Out of warranty</v>
      </c>
      <c r="AJ374" s="3">
        <f>IFERROR(__xludf.DUMMYFUNCTION("""COMPUTED_VALUE"""),156.0)</f>
        <v>156</v>
      </c>
      <c r="AK374" s="3" t="str">
        <f>IFERROR(__xludf.DUMMYFUNCTION("""COMPUTED_VALUE"""),"MMS02")</f>
        <v>MMS02</v>
      </c>
      <c r="AL374" s="3"/>
    </row>
    <row r="375" ht="15.75" customHeight="1">
      <c r="A375" s="1" t="str">
        <f>IFERROR(__xludf.DUMMYFUNCTION("""COMPUTED_VALUE"""),"21134")</f>
        <v>21134</v>
      </c>
      <c r="B375" s="2">
        <f>IFERROR(__xludf.DUMMYFUNCTION("""COMPUTED_VALUE"""),21134.0)</f>
        <v>21134</v>
      </c>
      <c r="C375" s="3" t="str">
        <f>IFERROR(__xludf.DUMMYFUNCTION("""COMPUTED_VALUE"""),"หนองคล้าใหม")</f>
        <v>หนองคล้าใหม</v>
      </c>
      <c r="D375" s="3" t="str">
        <f>IFERROR(__xludf.DUMMYFUNCTION("""COMPUTED_VALUE"""),"MBC NONGKLAMAI")</f>
        <v>MBC NONGKLAMAI</v>
      </c>
      <c r="E375" s="1" t="str">
        <f>IFERROR(__xludf.DUMMYFUNCTION("""COMPUTED_VALUE"""),"บิ๊กซี MINI")</f>
        <v>บิ๊กซี MINI</v>
      </c>
      <c r="F375" s="1" t="str">
        <f>IFERROR(__xludf.DUMMYFUNCTION("""COMPUTED_VALUE"""),"250760")</f>
        <v>250760</v>
      </c>
      <c r="G375" s="1" t="str">
        <f>IFERROR(__xludf.DUMMYFUNCTION("""COMPUTED_VALUE"""),"นายประทวน สาราบรรณ์")</f>
        <v>นายประทวน สาราบรรณ์</v>
      </c>
      <c r="H375" s="1" t="str">
        <f>IFERROR(__xludf.DUMMYFUNCTION("""COMPUTED_VALUE"""),"034605")</f>
        <v>034605</v>
      </c>
      <c r="I375" s="1" t="str">
        <f>IFERROR(__xludf.DUMMYFUNCTION("""COMPUTED_VALUE"""),"นายธรรมรัตน์ สุขเจริญ")</f>
        <v>นายธรรมรัตน์ สุขเจริญ</v>
      </c>
      <c r="J375" s="3">
        <f>IFERROR(__xludf.DUMMYFUNCTION("""COMPUTED_VALUE"""),295541.0)</f>
        <v>295541</v>
      </c>
      <c r="K375" s="3" t="str">
        <f>IFERROR(__xludf.DUMMYFUNCTION("""COMPUTED_VALUE"""),"นายรพิพล ศรีมาตย์")</f>
        <v>นายรพิพล ศรีมาตย์</v>
      </c>
      <c r="L375" s="1" t="str">
        <f>IFERROR(__xludf.DUMMYFUNCTION("""COMPUTED_VALUE"""),"นายรพิพล ศรีมาตย์")</f>
        <v>นายรพิพล ศรีมาตย์</v>
      </c>
      <c r="M375" s="1" t="str">
        <f>IFERROR(__xludf.DUMMYFUNCTION("""COMPUTED_VALUE"""),"0613966115")</f>
        <v>0613966115</v>
      </c>
      <c r="N375" s="3">
        <f>IFERROR(__xludf.DUMMYFUNCTION("""COMPUTED_VALUE"""),21175.0)</f>
        <v>21175</v>
      </c>
      <c r="O375" s="3" t="str">
        <f>IFERROR(__xludf.DUMMYFUNCTION("""COMPUTED_VALUE"""),"MBC BCP กิ่งแก้ว")</f>
        <v>MBC BCP กิ่งแก้ว</v>
      </c>
      <c r="P375" s="4">
        <f>IFERROR(__xludf.DUMMYFUNCTION("""COMPUTED_VALUE"""),41318.0)</f>
        <v>41318</v>
      </c>
      <c r="Q375" s="3" t="str">
        <f>IFERROR(__xludf.DUMMYFUNCTION("""COMPUTED_VALUE"""),"I")</f>
        <v>I</v>
      </c>
      <c r="R375" s="3" t="str">
        <f>IFERROR(__xludf.DUMMYFUNCTION("""COMPUTED_VALUE"""),"Small Format")</f>
        <v>Small Format</v>
      </c>
      <c r="S375" s="3" t="str">
        <f>IFERROR(__xludf.DUMMYFUNCTION("""COMPUTED_VALUE"""),"BCM")</f>
        <v>BCM</v>
      </c>
      <c r="T375" s="3" t="str">
        <f>IFERROR(__xludf.DUMMYFUNCTION("""COMPUTED_VALUE"""),"#N/A")</f>
        <v>#N/A</v>
      </c>
      <c r="U375" s="3" t="str">
        <f>IFERROR(__xludf.DUMMYFUNCTION("""COMPUTED_VALUE"""),"#N/A")</f>
        <v>#N/A</v>
      </c>
      <c r="V375" s="3" t="str">
        <f>IFERROR(__xludf.DUMMYFUNCTION("""COMPUTED_VALUE"""),"N")</f>
        <v>N</v>
      </c>
      <c r="W375" s="3">
        <f>IFERROR(__xludf.DUMMYFUNCTION("""COMPUTED_VALUE"""),0.0)</f>
        <v>0</v>
      </c>
      <c r="X375" s="3" t="str">
        <f>IFERROR(__xludf.DUMMYFUNCTION("""COMPUTED_VALUE"""),"69/20 หมู่ 1 ตำบลบึง อำเภอศรีราชา จังหวัดชลบุรี 20230")</f>
        <v>69/20 หมู่ 1 ตำบลบึง อำเภอศรีราชา จังหวัดชลบุรี 20230</v>
      </c>
      <c r="Y375" s="3"/>
      <c r="Z375" s="3" t="str">
        <f>IFERROR(__xludf.DUMMYFUNCTION("""COMPUTED_VALUE"""),"บึง")</f>
        <v>บึง</v>
      </c>
      <c r="AA375" s="3" t="str">
        <f>IFERROR(__xludf.DUMMYFUNCTION("""COMPUTED_VALUE"""),"ศรีราชา")</f>
        <v>ศรีราชา</v>
      </c>
      <c r="AB375" s="3" t="str">
        <f>IFERROR(__xludf.DUMMYFUNCTION("""COMPUTED_VALUE"""),"ชลบุรี")</f>
        <v>ชลบุรี</v>
      </c>
      <c r="AC375" s="3">
        <f>IFERROR(__xludf.DUMMYFUNCTION("""COMPUTED_VALUE"""),20230.0)</f>
        <v>20230</v>
      </c>
      <c r="AD375" s="3" t="str">
        <f>IFERROR(__xludf.DUMMYFUNCTION("""COMPUTED_VALUE"""),"#N/A")</f>
        <v>#N/A</v>
      </c>
      <c r="AE375" s="3" t="str">
        <f>IFERROR(__xludf.DUMMYFUNCTION("""COMPUTED_VALUE"""),"#N/A")</f>
        <v>#N/A</v>
      </c>
      <c r="AF375" s="3" t="str">
        <f>IFERROR(__xludf.DUMMYFUNCTION("""COMPUTED_VALUE"""),"หนองคล้าใหม-21134")</f>
        <v>หนองคล้าใหม-21134</v>
      </c>
      <c r="AG375" s="3" t="str">
        <f>IFERROR(__xludf.DUMMYFUNCTION("""COMPUTED_VALUE"""),"ตะวันออก")</f>
        <v>ตะวันออก</v>
      </c>
      <c r="AH375" s="3" t="str">
        <f>IFERROR(__xludf.DUMMYFUNCTION("""COMPUTED_VALUE"""),"#N/A")</f>
        <v>#N/A</v>
      </c>
      <c r="AI375" s="3" t="str">
        <f>IFERROR(__xludf.DUMMYFUNCTION("""COMPUTED_VALUE"""),"Out of warranty")</f>
        <v>Out of warranty</v>
      </c>
      <c r="AJ375" s="3">
        <f>IFERROR(__xludf.DUMMYFUNCTION("""COMPUTED_VALUE"""),156.0)</f>
        <v>156</v>
      </c>
      <c r="AK375" s="3"/>
      <c r="AL375" s="3"/>
    </row>
    <row r="376" ht="15.75" customHeight="1">
      <c r="A376" s="1" t="str">
        <f>IFERROR(__xludf.DUMMYFUNCTION("""COMPUTED_VALUE"""),"21135")</f>
        <v>21135</v>
      </c>
      <c r="B376" s="2">
        <f>IFERROR(__xludf.DUMMYFUNCTION("""COMPUTED_VALUE"""),21135.0)</f>
        <v>21135</v>
      </c>
      <c r="C376" s="3" t="str">
        <f>IFERROR(__xludf.DUMMYFUNCTION("""COMPUTED_VALUE"""),"MBC ตลาดแพนเวย์")</f>
        <v>MBC ตลาดแพนเวย์</v>
      </c>
      <c r="D376" s="3" t="str">
        <f>IFERROR(__xludf.DUMMYFUNCTION("""COMPUTED_VALUE"""),"BCM TARAD PANWAY")</f>
        <v>BCM TARAD PANWAY</v>
      </c>
      <c r="E376" s="1" t="str">
        <f>IFERROR(__xludf.DUMMYFUNCTION("""COMPUTED_VALUE"""),"บิ๊กซี MINI")</f>
        <v>บิ๊กซี MINI</v>
      </c>
      <c r="F376" s="1" t="str">
        <f>IFERROR(__xludf.DUMMYFUNCTION("""COMPUTED_VALUE"""),"2083447")</f>
        <v>2083447</v>
      </c>
      <c r="G376" s="1" t="str">
        <f>IFERROR(__xludf.DUMMYFUNCTION("""COMPUTED_VALUE"""),"นายอนุกูล ศรีลัดดา")</f>
        <v>นายอนุกูล ศรีลัดดา</v>
      </c>
      <c r="H376" s="1" t="str">
        <f>IFERROR(__xludf.DUMMYFUNCTION("""COMPUTED_VALUE"""),"259808")</f>
        <v>259808</v>
      </c>
      <c r="I376" s="1" t="str">
        <f>IFERROR(__xludf.DUMMYFUNCTION("""COMPUTED_VALUE"""),"น.ส.สกุลรัตน์ พิกุลแก้ว")</f>
        <v>น.ส.สกุลรัตน์ พิกุลแก้ว</v>
      </c>
      <c r="J376" s="3">
        <f>IFERROR(__xludf.DUMMYFUNCTION("""COMPUTED_VALUE"""),510143.0)</f>
        <v>510143</v>
      </c>
      <c r="K376" s="3" t="str">
        <f>IFERROR(__xludf.DUMMYFUNCTION("""COMPUTED_VALUE"""),"นายธีระวัฒน์ บุญสิทธิ์")</f>
        <v>นายธีระวัฒน์ บุญสิทธิ์</v>
      </c>
      <c r="L376" s="1" t="str">
        <f>IFERROR(__xludf.DUMMYFUNCTION("""COMPUTED_VALUE"""),"12 K.Theerawat B.")</f>
        <v>12 K.Theerawat B.</v>
      </c>
      <c r="M376" s="1" t="str">
        <f>IFERROR(__xludf.DUMMYFUNCTION("""COMPUTED_VALUE"""),"0655107379")</f>
        <v>0655107379</v>
      </c>
      <c r="N376" s="3">
        <f>IFERROR(__xludf.DUMMYFUNCTION("""COMPUTED_VALUE"""),21062.0)</f>
        <v>21062</v>
      </c>
      <c r="O376" s="3" t="str">
        <f>IFERROR(__xludf.DUMMYFUNCTION("""COMPUTED_VALUE"""),"MBC นิคมนวนคร")</f>
        <v>MBC นิคมนวนคร</v>
      </c>
      <c r="P376" s="4">
        <f>IFERROR(__xludf.DUMMYFUNCTION("""COMPUTED_VALUE"""),41305.0)</f>
        <v>41305</v>
      </c>
      <c r="Q376" s="3" t="str">
        <f>IFERROR(__xludf.DUMMYFUNCTION("""COMPUTED_VALUE"""),"A")</f>
        <v>A</v>
      </c>
      <c r="R376" s="3" t="str">
        <f>IFERROR(__xludf.DUMMYFUNCTION("""COMPUTED_VALUE"""),"Small Format")</f>
        <v>Small Format</v>
      </c>
      <c r="S376" s="3" t="str">
        <f>IFERROR(__xludf.DUMMYFUNCTION("""COMPUTED_VALUE"""),"BCM")</f>
        <v>BCM</v>
      </c>
      <c r="T376" s="3" t="str">
        <f>IFERROR(__xludf.DUMMYFUNCTION("""COMPUTED_VALUE"""),"#N/A")</f>
        <v>#N/A</v>
      </c>
      <c r="U376" s="3" t="str">
        <f>IFERROR(__xludf.DUMMYFUNCTION("""COMPUTED_VALUE"""),"#N/A")</f>
        <v>#N/A</v>
      </c>
      <c r="V376" s="3" t="str">
        <f>IFERROR(__xludf.DUMMYFUNCTION("""COMPUTED_VALUE"""),"N")</f>
        <v>N</v>
      </c>
      <c r="W376" s="3">
        <f>IFERROR(__xludf.DUMMYFUNCTION("""COMPUTED_VALUE"""),211128.0)</f>
        <v>211128</v>
      </c>
      <c r="X376" s="3" t="str">
        <f>IFERROR(__xludf.DUMMYFUNCTION("""COMPUTED_VALUE"""),"384 หมู่ 5 ตำบลนนทรี อำเภอกบินทร์บุรี จังหวัดปราจีนบุรี 25110")</f>
        <v>384 หมู่ 5 ตำบลนนทรี อำเภอกบินทร์บุรี จังหวัดปราจีนบุรี 25110</v>
      </c>
      <c r="Y376" s="3"/>
      <c r="Z376" s="3" t="str">
        <f>IFERROR(__xludf.DUMMYFUNCTION("""COMPUTED_VALUE"""),"นนทรี")</f>
        <v>นนทรี</v>
      </c>
      <c r="AA376" s="3" t="str">
        <f>IFERROR(__xludf.DUMMYFUNCTION("""COMPUTED_VALUE"""),"กบินทร์บุรี")</f>
        <v>กบินทร์บุรี</v>
      </c>
      <c r="AB376" s="3" t="str">
        <f>IFERROR(__xludf.DUMMYFUNCTION("""COMPUTED_VALUE"""),"ปราจีนบุรี")</f>
        <v>ปราจีนบุรี</v>
      </c>
      <c r="AC376" s="3">
        <f>IFERROR(__xludf.DUMMYFUNCTION("""COMPUTED_VALUE"""),25110.0)</f>
        <v>25110</v>
      </c>
      <c r="AD376" s="3">
        <f>IFERROR(__xludf.DUMMYFUNCTION("""COMPUTED_VALUE"""),14.0108253)</f>
        <v>14.0108253</v>
      </c>
      <c r="AE376" s="3">
        <f>IFERROR(__xludf.DUMMYFUNCTION("""COMPUTED_VALUE"""),101.69998)</f>
        <v>101.69998</v>
      </c>
      <c r="AF376" s="3" t="str">
        <f>IFERROR(__xludf.DUMMYFUNCTION("""COMPUTED_VALUE"""),"MBC ตลาดแพนเวย์-21135")</f>
        <v>MBC ตลาดแพนเวย์-21135</v>
      </c>
      <c r="AG376" s="3" t="str">
        <f>IFERROR(__xludf.DUMMYFUNCTION("""COMPUTED_VALUE"""),"ตะวันออก")</f>
        <v>ตะวันออก</v>
      </c>
      <c r="AH376" s="3" t="str">
        <f>IFERROR(__xludf.DUMMYFUNCTION("""COMPUTED_VALUE"""),"#N/A")</f>
        <v>#N/A</v>
      </c>
      <c r="AI376" s="3" t="str">
        <f>IFERROR(__xludf.DUMMYFUNCTION("""COMPUTED_VALUE"""),"Out of warranty")</f>
        <v>Out of warranty</v>
      </c>
      <c r="AJ376" s="3">
        <f>IFERROR(__xludf.DUMMYFUNCTION("""COMPUTED_VALUE"""),156.0)</f>
        <v>156</v>
      </c>
      <c r="AK376" s="3" t="str">
        <f>IFERROR(__xludf.DUMMYFUNCTION("""COMPUTED_VALUE"""),"MMS08")</f>
        <v>MMS08</v>
      </c>
      <c r="AL376" s="3"/>
    </row>
    <row r="377" ht="15.75" customHeight="1">
      <c r="A377" s="1" t="str">
        <f>IFERROR(__xludf.DUMMYFUNCTION("""COMPUTED_VALUE"""),"21136")</f>
        <v>21136</v>
      </c>
      <c r="B377" s="2">
        <f>IFERROR(__xludf.DUMMYFUNCTION("""COMPUTED_VALUE"""),21136.0)</f>
        <v>21136</v>
      </c>
      <c r="C377" s="3" t="str">
        <f>IFERROR(__xludf.DUMMYFUNCTION("""COMPUTED_VALUE"""),"MBC ตลาดเกษตรพัฒนา")</f>
        <v>MBC ตลาดเกษตรพัฒนา</v>
      </c>
      <c r="D377" s="3" t="str">
        <f>IFERROR(__xludf.DUMMYFUNCTION("""COMPUTED_VALUE"""),"BCM TARAD KASETPHATTANA")</f>
        <v>BCM TARAD KASETPHATTANA</v>
      </c>
      <c r="E377" s="1" t="str">
        <f>IFERROR(__xludf.DUMMYFUNCTION("""COMPUTED_VALUE"""),"บิ๊กซี MINI")</f>
        <v>บิ๊กซี MINI</v>
      </c>
      <c r="F377" s="1" t="str">
        <f>IFERROR(__xludf.DUMMYFUNCTION("""COMPUTED_VALUE"""),"296229")</f>
        <v>296229</v>
      </c>
      <c r="G377" s="1" t="str">
        <f>IFERROR(__xludf.DUMMYFUNCTION("""COMPUTED_VALUE"""),"นายทนงศักดิ์ บุญมา")</f>
        <v>นายทนงศักดิ์ บุญมา</v>
      </c>
      <c r="H377" s="1" t="str">
        <f>IFERROR(__xludf.DUMMYFUNCTION("""COMPUTED_VALUE"""),"291082")</f>
        <v>291082</v>
      </c>
      <c r="I377" s="1" t="str">
        <f>IFERROR(__xludf.DUMMYFUNCTION("""COMPUTED_VALUE"""),"น.ส.วจี กันเกตุ")</f>
        <v>น.ส.วจี กันเกตุ</v>
      </c>
      <c r="J377" s="3">
        <f>IFERROR(__xludf.DUMMYFUNCTION("""COMPUTED_VALUE"""),46214.0)</f>
        <v>46214</v>
      </c>
      <c r="K377" s="3" t="str">
        <f>IFERROR(__xludf.DUMMYFUNCTION("""COMPUTED_VALUE"""),"นายศักดิ์ชัย เด็ดดอกฟ้า")</f>
        <v>นายศักดิ์ชัย เด็ดดอกฟ้า</v>
      </c>
      <c r="L377" s="1" t="str">
        <f>IFERROR(__xludf.DUMMYFUNCTION("""COMPUTED_VALUE"""),"02 K.Sakchai D")</f>
        <v>02 K.Sakchai D</v>
      </c>
      <c r="M377" s="1" t="str">
        <f>IFERROR(__xludf.DUMMYFUNCTION("""COMPUTED_VALUE"""),"065-510-7376")</f>
        <v>065-510-7376</v>
      </c>
      <c r="N377" s="3">
        <f>IFERROR(__xludf.DUMMYFUNCTION("""COMPUTED_VALUE"""),21714.0)</f>
        <v>21714</v>
      </c>
      <c r="O377" s="3" t="str">
        <f>IFERROR(__xludf.DUMMYFUNCTION("""COMPUTED_VALUE"""),"MBC เอสโซ่ วัดโบสถ์")</f>
        <v>MBC เอสโซ่ วัดโบสถ์</v>
      </c>
      <c r="P377" s="4">
        <f>IFERROR(__xludf.DUMMYFUNCTION("""COMPUTED_VALUE"""),41305.0)</f>
        <v>41305</v>
      </c>
      <c r="Q377" s="3" t="str">
        <f>IFERROR(__xludf.DUMMYFUNCTION("""COMPUTED_VALUE"""),"A")</f>
        <v>A</v>
      </c>
      <c r="R377" s="3" t="str">
        <f>IFERROR(__xludf.DUMMYFUNCTION("""COMPUTED_VALUE"""),"Small Format")</f>
        <v>Small Format</v>
      </c>
      <c r="S377" s="3" t="str">
        <f>IFERROR(__xludf.DUMMYFUNCTION("""COMPUTED_VALUE"""),"BCM")</f>
        <v>BCM</v>
      </c>
      <c r="T377" s="3" t="str">
        <f>IFERROR(__xludf.DUMMYFUNCTION("""COMPUTED_VALUE"""),"#N/A")</f>
        <v>#N/A</v>
      </c>
      <c r="U377" s="3" t="str">
        <f>IFERROR(__xludf.DUMMYFUNCTION("""COMPUTED_VALUE"""),"#N/A")</f>
        <v>#N/A</v>
      </c>
      <c r="V377" s="3" t="str">
        <f>IFERROR(__xludf.DUMMYFUNCTION("""COMPUTED_VALUE"""),"N")</f>
        <v>N</v>
      </c>
      <c r="W377" s="3">
        <f>IFERROR(__xludf.DUMMYFUNCTION("""COMPUTED_VALUE"""),211127.0)</f>
        <v>211127</v>
      </c>
      <c r="X377" s="3" t="str">
        <f>IFERROR(__xludf.DUMMYFUNCTION("""COMPUTED_VALUE"""),"160/14-15 หมู่ 1 ตำบลดีลัง อำเภอพัฒนานิคม จังหวัดลพบุรี 15220")</f>
        <v>160/14-15 หมู่ 1 ตำบลดีลัง อำเภอพัฒนานิคม จังหวัดลพบุรี 15220</v>
      </c>
      <c r="Y377" s="3"/>
      <c r="Z377" s="3" t="str">
        <f>IFERROR(__xludf.DUMMYFUNCTION("""COMPUTED_VALUE"""),"ดีลัง")</f>
        <v>ดีลัง</v>
      </c>
      <c r="AA377" s="3" t="str">
        <f>IFERROR(__xludf.DUMMYFUNCTION("""COMPUTED_VALUE"""),"พัฒนานิคม")</f>
        <v>พัฒนานิคม</v>
      </c>
      <c r="AB377" s="3" t="str">
        <f>IFERROR(__xludf.DUMMYFUNCTION("""COMPUTED_VALUE"""),"ลพบุรี")</f>
        <v>ลพบุรี</v>
      </c>
      <c r="AC377" s="3">
        <f>IFERROR(__xludf.DUMMYFUNCTION("""COMPUTED_VALUE"""),15220.0)</f>
        <v>15220</v>
      </c>
      <c r="AD377" s="3">
        <f>IFERROR(__xludf.DUMMYFUNCTION("""COMPUTED_VALUE"""),14.846576)</f>
        <v>14.846576</v>
      </c>
      <c r="AE377" s="3">
        <f>IFERROR(__xludf.DUMMYFUNCTION("""COMPUTED_VALUE"""),100.912489)</f>
        <v>100.912489</v>
      </c>
      <c r="AF377" s="3" t="str">
        <f>IFERROR(__xludf.DUMMYFUNCTION("""COMPUTED_VALUE"""),"MBC ตลาดเกษตรพัฒนา-21136")</f>
        <v>MBC ตลาดเกษตรพัฒนา-21136</v>
      </c>
      <c r="AG377" s="3" t="str">
        <f>IFERROR(__xludf.DUMMYFUNCTION("""COMPUTED_VALUE"""),"กลาง")</f>
        <v>กลาง</v>
      </c>
      <c r="AH377" s="3" t="str">
        <f>IFERROR(__xludf.DUMMYFUNCTION("""COMPUTED_VALUE"""),"#N/A")</f>
        <v>#N/A</v>
      </c>
      <c r="AI377" s="3" t="str">
        <f>IFERROR(__xludf.DUMMYFUNCTION("""COMPUTED_VALUE"""),"Out of warranty")</f>
        <v>Out of warranty</v>
      </c>
      <c r="AJ377" s="3">
        <f>IFERROR(__xludf.DUMMYFUNCTION("""COMPUTED_VALUE"""),156.0)</f>
        <v>156</v>
      </c>
      <c r="AK377" s="3" t="str">
        <f>IFERROR(__xludf.DUMMYFUNCTION("""COMPUTED_VALUE"""),"MMS09")</f>
        <v>MMS09</v>
      </c>
      <c r="AL377" s="3"/>
    </row>
    <row r="378" ht="15.75" customHeight="1">
      <c r="A378" s="1" t="str">
        <f>IFERROR(__xludf.DUMMYFUNCTION("""COMPUTED_VALUE"""),"21137")</f>
        <v>21137</v>
      </c>
      <c r="B378" s="2">
        <f>IFERROR(__xludf.DUMMYFUNCTION("""COMPUTED_VALUE"""),21137.0)</f>
        <v>21137</v>
      </c>
      <c r="C378" s="3" t="str">
        <f>IFERROR(__xludf.DUMMYFUNCTION("""COMPUTED_VALUE"""),"MBC บ้านฟ้ารังสิต")</f>
        <v>MBC บ้านฟ้ารังสิต</v>
      </c>
      <c r="D378" s="3" t="str">
        <f>IFERROR(__xludf.DUMMYFUNCTION("""COMPUTED_VALUE"""),"BCM BANFHA RANGSIT")</f>
        <v>BCM BANFHA RANGSIT</v>
      </c>
      <c r="E378" s="1" t="str">
        <f>IFERROR(__xludf.DUMMYFUNCTION("""COMPUTED_VALUE"""),"บิ๊กซี MINI")</f>
        <v>บิ๊กซี MINI</v>
      </c>
      <c r="F378" s="1" t="str">
        <f>IFERROR(__xludf.DUMMYFUNCTION("""COMPUTED_VALUE"""),"2083447")</f>
        <v>2083447</v>
      </c>
      <c r="G378" s="1" t="str">
        <f>IFERROR(__xludf.DUMMYFUNCTION("""COMPUTED_VALUE"""),"นายอนุกูล ศรีลัดดา")</f>
        <v>นายอนุกูล ศรีลัดดา</v>
      </c>
      <c r="H378" s="1" t="str">
        <f>IFERROR(__xludf.DUMMYFUNCTION("""COMPUTED_VALUE"""),"373849")</f>
        <v>373849</v>
      </c>
      <c r="I378" s="1" t="str">
        <f>IFERROR(__xludf.DUMMYFUNCTION("""COMPUTED_VALUE"""),"น.ส.อรอุมา นิ่มวิศิษย์")</f>
        <v>น.ส.อรอุมา นิ่มวิศิษย์</v>
      </c>
      <c r="J378" s="3">
        <f>IFERROR(__xludf.DUMMYFUNCTION("""COMPUTED_VALUE"""),510143.0)</f>
        <v>510143</v>
      </c>
      <c r="K378" s="3" t="str">
        <f>IFERROR(__xludf.DUMMYFUNCTION("""COMPUTED_VALUE"""),"นายธีระวัฒน์ บุญสิทธิ์")</f>
        <v>นายธีระวัฒน์ บุญสิทธิ์</v>
      </c>
      <c r="L378" s="1" t="str">
        <f>IFERROR(__xludf.DUMMYFUNCTION("""COMPUTED_VALUE"""),"12 K.Theerawat B.")</f>
        <v>12 K.Theerawat B.</v>
      </c>
      <c r="M378" s="1" t="str">
        <f>IFERROR(__xludf.DUMMYFUNCTION("""COMPUTED_VALUE"""),"0655107379")</f>
        <v>0655107379</v>
      </c>
      <c r="N378" s="3">
        <f>IFERROR(__xludf.DUMMYFUNCTION("""COMPUTED_VALUE"""),21062.0)</f>
        <v>21062</v>
      </c>
      <c r="O378" s="3" t="str">
        <f>IFERROR(__xludf.DUMMYFUNCTION("""COMPUTED_VALUE"""),"MBC นิคมนวนคร")</f>
        <v>MBC นิคมนวนคร</v>
      </c>
      <c r="P378" s="4">
        <f>IFERROR(__xludf.DUMMYFUNCTION("""COMPUTED_VALUE"""),41304.0)</f>
        <v>41304</v>
      </c>
      <c r="Q378" s="3" t="str">
        <f>IFERROR(__xludf.DUMMYFUNCTION("""COMPUTED_VALUE"""),"A")</f>
        <v>A</v>
      </c>
      <c r="R378" s="3" t="str">
        <f>IFERROR(__xludf.DUMMYFUNCTION("""COMPUTED_VALUE"""),"Small Format")</f>
        <v>Small Format</v>
      </c>
      <c r="S378" s="3" t="str">
        <f>IFERROR(__xludf.DUMMYFUNCTION("""COMPUTED_VALUE"""),"BCM")</f>
        <v>BCM</v>
      </c>
      <c r="T378" s="3" t="str">
        <f>IFERROR(__xludf.DUMMYFUNCTION("""COMPUTED_VALUE"""),"#N/A")</f>
        <v>#N/A</v>
      </c>
      <c r="U378" s="3" t="str">
        <f>IFERROR(__xludf.DUMMYFUNCTION("""COMPUTED_VALUE"""),"#N/A")</f>
        <v>#N/A</v>
      </c>
      <c r="V378" s="3" t="str">
        <f>IFERROR(__xludf.DUMMYFUNCTION("""COMPUTED_VALUE"""),"N")</f>
        <v>N</v>
      </c>
      <c r="W378" s="3">
        <f>IFERROR(__xludf.DUMMYFUNCTION("""COMPUTED_VALUE"""),211124.0)</f>
        <v>211124</v>
      </c>
      <c r="X378" s="3" t="str">
        <f>IFERROR(__xludf.DUMMYFUNCTION("""COMPUTED_VALUE"""),"67/19 หมู่ 3 ตำบลบึงยี่โถ อำเภอธัญบุรี จังหวัดปทุมธานี 12130")</f>
        <v>67/19 หมู่ 3 ตำบลบึงยี่โถ อำเภอธัญบุรี จังหวัดปทุมธานี 12130</v>
      </c>
      <c r="Y378" s="3"/>
      <c r="Z378" s="3" t="str">
        <f>IFERROR(__xludf.DUMMYFUNCTION("""COMPUTED_VALUE"""),"บึงยี่โถ")</f>
        <v>บึงยี่โถ</v>
      </c>
      <c r="AA378" s="3" t="str">
        <f>IFERROR(__xludf.DUMMYFUNCTION("""COMPUTED_VALUE"""),"ธัญบุรี")</f>
        <v>ธัญบุรี</v>
      </c>
      <c r="AB378" s="3" t="str">
        <f>IFERROR(__xludf.DUMMYFUNCTION("""COMPUTED_VALUE"""),"ปทุมธานี")</f>
        <v>ปทุมธานี</v>
      </c>
      <c r="AC378" s="3">
        <f>IFERROR(__xludf.DUMMYFUNCTION("""COMPUTED_VALUE"""),12130.0)</f>
        <v>12130</v>
      </c>
      <c r="AD378" s="3">
        <f>IFERROR(__xludf.DUMMYFUNCTION("""COMPUTED_VALUE"""),14.002117)</f>
        <v>14.002117</v>
      </c>
      <c r="AE378" s="3">
        <f>IFERROR(__xludf.DUMMYFUNCTION("""COMPUTED_VALUE"""),100.6942)</f>
        <v>100.6942</v>
      </c>
      <c r="AF378" s="3" t="str">
        <f>IFERROR(__xludf.DUMMYFUNCTION("""COMPUTED_VALUE"""),"MBC บ้านฟ้ารังสิต-21137")</f>
        <v>MBC บ้านฟ้ารังสิต-21137</v>
      </c>
      <c r="AG378" s="3" t="str">
        <f>IFERROR(__xludf.DUMMYFUNCTION("""COMPUTED_VALUE"""),"กลาง")</f>
        <v>กลาง</v>
      </c>
      <c r="AH378" s="3" t="str">
        <f>IFERROR(__xludf.DUMMYFUNCTION("""COMPUTED_VALUE"""),"#N/A")</f>
        <v>#N/A</v>
      </c>
      <c r="AI378" s="3" t="str">
        <f>IFERROR(__xludf.DUMMYFUNCTION("""COMPUTED_VALUE"""),"Out of warranty")</f>
        <v>Out of warranty</v>
      </c>
      <c r="AJ378" s="3">
        <f>IFERROR(__xludf.DUMMYFUNCTION("""COMPUTED_VALUE"""),156.0)</f>
        <v>156</v>
      </c>
      <c r="AK378" s="3" t="str">
        <f>IFERROR(__xludf.DUMMYFUNCTION("""COMPUTED_VALUE"""),"MMS04")</f>
        <v>MMS04</v>
      </c>
      <c r="AL378" s="3"/>
    </row>
    <row r="379" ht="15.75" customHeight="1">
      <c r="A379" s="1" t="str">
        <f>IFERROR(__xludf.DUMMYFUNCTION("""COMPUTED_VALUE"""),"21138")</f>
        <v>21138</v>
      </c>
      <c r="B379" s="2">
        <f>IFERROR(__xludf.DUMMYFUNCTION("""COMPUTED_VALUE"""),21138.0)</f>
        <v>21138</v>
      </c>
      <c r="C379" s="3" t="str">
        <f>IFERROR(__xludf.DUMMYFUNCTION("""COMPUTED_VALUE"""),"ตลาดอุดมกิตต์ 2")</f>
        <v>ตลาดอุดมกิตต์ 2</v>
      </c>
      <c r="D379" s="3" t="str">
        <f>IFERROR(__xludf.DUMMYFUNCTION("""COMPUTED_VALUE"""),"MBC TARAD UDOMKIT 2")</f>
        <v>MBC TARAD UDOMKIT 2</v>
      </c>
      <c r="E379" s="1" t="str">
        <f>IFERROR(__xludf.DUMMYFUNCTION("""COMPUTED_VALUE"""),"บิ๊กซี MINI")</f>
        <v>บิ๊กซี MINI</v>
      </c>
      <c r="F379" s="1" t="str">
        <f>IFERROR(__xludf.DUMMYFUNCTION("""COMPUTED_VALUE"""),"250760")</f>
        <v>250760</v>
      </c>
      <c r="G379" s="1" t="str">
        <f>IFERROR(__xludf.DUMMYFUNCTION("""COMPUTED_VALUE"""),"นายประทวน สาราบรรณ์")</f>
        <v>นายประทวน สาราบรรณ์</v>
      </c>
      <c r="H379" s="1" t="str">
        <f>IFERROR(__xludf.DUMMYFUNCTION("""COMPUTED_VALUE"""),"034605")</f>
        <v>034605</v>
      </c>
      <c r="I379" s="1" t="str">
        <f>IFERROR(__xludf.DUMMYFUNCTION("""COMPUTED_VALUE"""),"นายธรรมรัตน์ สุขเจริญ")</f>
        <v>นายธรรมรัตน์ สุขเจริญ</v>
      </c>
      <c r="J379" s="3">
        <f>IFERROR(__xludf.DUMMYFUNCTION("""COMPUTED_VALUE"""),295541.0)</f>
        <v>295541</v>
      </c>
      <c r="K379" s="3" t="str">
        <f>IFERROR(__xludf.DUMMYFUNCTION("""COMPUTED_VALUE"""),"นายรพิพล ศรีมาตย์")</f>
        <v>นายรพิพล ศรีมาตย์</v>
      </c>
      <c r="L379" s="1" t="str">
        <f>IFERROR(__xludf.DUMMYFUNCTION("""COMPUTED_VALUE"""),"นายรพิพล ศรีมาตย์")</f>
        <v>นายรพิพล ศรีมาตย์</v>
      </c>
      <c r="M379" s="1" t="str">
        <f>IFERROR(__xludf.DUMMYFUNCTION("""COMPUTED_VALUE"""),"0613966115")</f>
        <v>0613966115</v>
      </c>
      <c r="N379" s="3">
        <f>IFERROR(__xludf.DUMMYFUNCTION("""COMPUTED_VALUE"""),21175.0)</f>
        <v>21175</v>
      </c>
      <c r="O379" s="3" t="str">
        <f>IFERROR(__xludf.DUMMYFUNCTION("""COMPUTED_VALUE"""),"MBC BCP กิ่งแก้ว")</f>
        <v>MBC BCP กิ่งแก้ว</v>
      </c>
      <c r="P379" s="4">
        <f>IFERROR(__xludf.DUMMYFUNCTION("""COMPUTED_VALUE"""),41390.0)</f>
        <v>41390</v>
      </c>
      <c r="Q379" s="3" t="str">
        <f>IFERROR(__xludf.DUMMYFUNCTION("""COMPUTED_VALUE"""),"I")</f>
        <v>I</v>
      </c>
      <c r="R379" s="3" t="str">
        <f>IFERROR(__xludf.DUMMYFUNCTION("""COMPUTED_VALUE"""),"Small Format")</f>
        <v>Small Format</v>
      </c>
      <c r="S379" s="3" t="str">
        <f>IFERROR(__xludf.DUMMYFUNCTION("""COMPUTED_VALUE"""),"BCM")</f>
        <v>BCM</v>
      </c>
      <c r="T379" s="3" t="str">
        <f>IFERROR(__xludf.DUMMYFUNCTION("""COMPUTED_VALUE"""),"#N/A")</f>
        <v>#N/A</v>
      </c>
      <c r="U379" s="3" t="str">
        <f>IFERROR(__xludf.DUMMYFUNCTION("""COMPUTED_VALUE"""),"#N/A")</f>
        <v>#N/A</v>
      </c>
      <c r="V379" s="3" t="str">
        <f>IFERROR(__xludf.DUMMYFUNCTION("""COMPUTED_VALUE"""),"N")</f>
        <v>N</v>
      </c>
      <c r="W379" s="3">
        <f>IFERROR(__xludf.DUMMYFUNCTION("""COMPUTED_VALUE"""),0.0)</f>
        <v>0</v>
      </c>
      <c r="X379" s="3" t="str">
        <f>IFERROR(__xludf.DUMMYFUNCTION("""COMPUTED_VALUE"""),"259/67 หมู่ 11 ตำบลหนองขาม อำเภอศรีราชา จังหวัดชลบุรี 20110")</f>
        <v>259/67 หมู่ 11 ตำบลหนองขาม อำเภอศรีราชา จังหวัดชลบุรี 20110</v>
      </c>
      <c r="Y379" s="3"/>
      <c r="Z379" s="3" t="str">
        <f>IFERROR(__xludf.DUMMYFUNCTION("""COMPUTED_VALUE"""),"หนองขาม")</f>
        <v>หนองขาม</v>
      </c>
      <c r="AA379" s="3" t="str">
        <f>IFERROR(__xludf.DUMMYFUNCTION("""COMPUTED_VALUE"""),"ศรีราชา")</f>
        <v>ศรีราชา</v>
      </c>
      <c r="AB379" s="3" t="str">
        <f>IFERROR(__xludf.DUMMYFUNCTION("""COMPUTED_VALUE"""),"ชลบุรี")</f>
        <v>ชลบุรี</v>
      </c>
      <c r="AC379" s="3">
        <f>IFERROR(__xludf.DUMMYFUNCTION("""COMPUTED_VALUE"""),20110.0)</f>
        <v>20110</v>
      </c>
      <c r="AD379" s="3" t="str">
        <f>IFERROR(__xludf.DUMMYFUNCTION("""COMPUTED_VALUE"""),"#N/A")</f>
        <v>#N/A</v>
      </c>
      <c r="AE379" s="3" t="str">
        <f>IFERROR(__xludf.DUMMYFUNCTION("""COMPUTED_VALUE"""),"#N/A")</f>
        <v>#N/A</v>
      </c>
      <c r="AF379" s="3" t="str">
        <f>IFERROR(__xludf.DUMMYFUNCTION("""COMPUTED_VALUE"""),"ตลาดอุดมกิตต์ 2-21138")</f>
        <v>ตลาดอุดมกิตต์ 2-21138</v>
      </c>
      <c r="AG379" s="3" t="str">
        <f>IFERROR(__xludf.DUMMYFUNCTION("""COMPUTED_VALUE"""),"ตะวันออก")</f>
        <v>ตะวันออก</v>
      </c>
      <c r="AH379" s="3" t="str">
        <f>IFERROR(__xludf.DUMMYFUNCTION("""COMPUTED_VALUE"""),"#N/A")</f>
        <v>#N/A</v>
      </c>
      <c r="AI379" s="3" t="str">
        <f>IFERROR(__xludf.DUMMYFUNCTION("""COMPUTED_VALUE"""),"Out of warranty")</f>
        <v>Out of warranty</v>
      </c>
      <c r="AJ379" s="3">
        <f>IFERROR(__xludf.DUMMYFUNCTION("""COMPUTED_VALUE"""),153.0)</f>
        <v>153</v>
      </c>
      <c r="AK379" s="3"/>
      <c r="AL379" s="3"/>
    </row>
    <row r="380" ht="15.75" customHeight="1">
      <c r="A380" s="1" t="str">
        <f>IFERROR(__xludf.DUMMYFUNCTION("""COMPUTED_VALUE"""),"21139")</f>
        <v>21139</v>
      </c>
      <c r="B380" s="2">
        <f>IFERROR(__xludf.DUMMYFUNCTION("""COMPUTED_VALUE"""),21139.0)</f>
        <v>21139</v>
      </c>
      <c r="C380" s="3" t="str">
        <f>IFERROR(__xludf.DUMMYFUNCTION("""COMPUTED_VALUE"""),"MBC พุทธสาคร")</f>
        <v>MBC พุทธสาคร</v>
      </c>
      <c r="D380" s="3" t="str">
        <f>IFERROR(__xludf.DUMMYFUNCTION("""COMPUTED_VALUE"""),"BCM PHUTTHASAKORN")</f>
        <v>BCM PHUTTHASAKORN</v>
      </c>
      <c r="E380" s="1" t="str">
        <f>IFERROR(__xludf.DUMMYFUNCTION("""COMPUTED_VALUE"""),"บิ๊กซี MINI")</f>
        <v>บิ๊กซี MINI</v>
      </c>
      <c r="F380" s="1" t="str">
        <f>IFERROR(__xludf.DUMMYFUNCTION("""COMPUTED_VALUE"""),"2083447")</f>
        <v>2083447</v>
      </c>
      <c r="G380" s="1" t="str">
        <f>IFERROR(__xludf.DUMMYFUNCTION("""COMPUTED_VALUE"""),"นายอนุกูล ศรีลัดดา")</f>
        <v>นายอนุกูล ศรีลัดดา</v>
      </c>
      <c r="H380" s="1" t="str">
        <f>IFERROR(__xludf.DUMMYFUNCTION("""COMPUTED_VALUE"""),"2455053")</f>
        <v>2455053</v>
      </c>
      <c r="I380" s="1" t="str">
        <f>IFERROR(__xludf.DUMMYFUNCTION("""COMPUTED_VALUE"""),"นายพันธมิตร โพธิ")</f>
        <v>นายพันธมิตร โพธิ</v>
      </c>
      <c r="J380" s="3">
        <f>IFERROR(__xludf.DUMMYFUNCTION("""COMPUTED_VALUE"""),2451655.0)</f>
        <v>2451655</v>
      </c>
      <c r="K380" s="3" t="str">
        <f>IFERROR(__xludf.DUMMYFUNCTION("""COMPUTED_VALUE"""),"นายวิษณุพงษ์ ชินบุตร")</f>
        <v>นายวิษณุพงษ์ ชินบุตร</v>
      </c>
      <c r="L380" s="1" t="str">
        <f>IFERROR(__xludf.DUMMYFUNCTION("""COMPUTED_VALUE"""),"13 K.Wisanupong Ch")</f>
        <v>13 K.Wisanupong Ch</v>
      </c>
      <c r="M380" s="1" t="str">
        <f>IFERROR(__xludf.DUMMYFUNCTION("""COMPUTED_VALUE"""),"0843374693")</f>
        <v>0843374693</v>
      </c>
      <c r="N380" s="3">
        <f>IFERROR(__xludf.DUMMYFUNCTION("""COMPUTED_VALUE"""),22729.0)</f>
        <v>22729</v>
      </c>
      <c r="O380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380" s="4">
        <f>IFERROR(__xludf.DUMMYFUNCTION("""COMPUTED_VALUE"""),41320.0)</f>
        <v>41320</v>
      </c>
      <c r="Q380" s="3" t="str">
        <f>IFERROR(__xludf.DUMMYFUNCTION("""COMPUTED_VALUE"""),"A")</f>
        <v>A</v>
      </c>
      <c r="R380" s="3" t="str">
        <f>IFERROR(__xludf.DUMMYFUNCTION("""COMPUTED_VALUE"""),"Small Format")</f>
        <v>Small Format</v>
      </c>
      <c r="S380" s="3" t="str">
        <f>IFERROR(__xludf.DUMMYFUNCTION("""COMPUTED_VALUE"""),"BCM")</f>
        <v>BCM</v>
      </c>
      <c r="T380" s="3" t="str">
        <f>IFERROR(__xludf.DUMMYFUNCTION("""COMPUTED_VALUE"""),"#N/A")</f>
        <v>#N/A</v>
      </c>
      <c r="U380" s="3" t="str">
        <f>IFERROR(__xludf.DUMMYFUNCTION("""COMPUTED_VALUE"""),"#N/A")</f>
        <v>#N/A</v>
      </c>
      <c r="V380" s="3" t="str">
        <f>IFERROR(__xludf.DUMMYFUNCTION("""COMPUTED_VALUE"""),"N")</f>
        <v>N</v>
      </c>
      <c r="W380" s="3">
        <f>IFERROR(__xludf.DUMMYFUNCTION("""COMPUTED_VALUE"""),211130.0)</f>
        <v>211130</v>
      </c>
      <c r="X380" s="3" t="str">
        <f>IFERROR(__xludf.DUMMYFUNCTION("""COMPUTED_VALUE"""),"111/23 หมู่ 5 ตำบลแคราย อำเภอกระทุ่มแบน จังหวัดสมุทรสาคร 74110")</f>
        <v>111/23 หมู่ 5 ตำบลแคราย อำเภอกระทุ่มแบน จังหวัดสมุทรสาคร 74110</v>
      </c>
      <c r="Y380" s="3"/>
      <c r="Z380" s="3" t="str">
        <f>IFERROR(__xludf.DUMMYFUNCTION("""COMPUTED_VALUE"""),"แคราย")</f>
        <v>แคราย</v>
      </c>
      <c r="AA380" s="3" t="str">
        <f>IFERROR(__xludf.DUMMYFUNCTION("""COMPUTED_VALUE"""),"กระทุ่มแบน")</f>
        <v>กระทุ่มแบน</v>
      </c>
      <c r="AB380" s="3" t="str">
        <f>IFERROR(__xludf.DUMMYFUNCTION("""COMPUTED_VALUE"""),"สมุทรสาคร")</f>
        <v>สมุทรสาคร</v>
      </c>
      <c r="AC380" s="3">
        <f>IFERROR(__xludf.DUMMYFUNCTION("""COMPUTED_VALUE"""),74110.0)</f>
        <v>74110</v>
      </c>
      <c r="AD380" s="3">
        <f>IFERROR(__xludf.DUMMYFUNCTION("""COMPUTED_VALUE"""),13.64668)</f>
        <v>13.64668</v>
      </c>
      <c r="AE380" s="3">
        <f>IFERROR(__xludf.DUMMYFUNCTION("""COMPUTED_VALUE"""),100.313372)</f>
        <v>100.313372</v>
      </c>
      <c r="AF380" s="3" t="str">
        <f>IFERROR(__xludf.DUMMYFUNCTION("""COMPUTED_VALUE"""),"MBC พุทธสาคร-21139")</f>
        <v>MBC พุทธสาคร-21139</v>
      </c>
      <c r="AG380" s="3" t="str">
        <f>IFERROR(__xludf.DUMMYFUNCTION("""COMPUTED_VALUE"""),"กลาง")</f>
        <v>กลาง</v>
      </c>
      <c r="AH380" s="3" t="str">
        <f>IFERROR(__xludf.DUMMYFUNCTION("""COMPUTED_VALUE"""),"#N/A")</f>
        <v>#N/A</v>
      </c>
      <c r="AI380" s="3" t="str">
        <f>IFERROR(__xludf.DUMMYFUNCTION("""COMPUTED_VALUE"""),"Out of warranty")</f>
        <v>Out of warranty</v>
      </c>
      <c r="AJ380" s="3">
        <f>IFERROR(__xludf.DUMMYFUNCTION("""COMPUTED_VALUE"""),156.0)</f>
        <v>156</v>
      </c>
      <c r="AK380" s="3" t="str">
        <f>IFERROR(__xludf.DUMMYFUNCTION("""COMPUTED_VALUE"""),"MMS05")</f>
        <v>MMS05</v>
      </c>
      <c r="AL380" s="3"/>
    </row>
    <row r="381" ht="15.75" customHeight="1">
      <c r="A381" s="1" t="str">
        <f>IFERROR(__xludf.DUMMYFUNCTION("""COMPUTED_VALUE"""),"21140")</f>
        <v>21140</v>
      </c>
      <c r="B381" s="2">
        <f>IFERROR(__xludf.DUMMYFUNCTION("""COMPUTED_VALUE"""),21140.0)</f>
        <v>21140</v>
      </c>
      <c r="C381" s="3" t="str">
        <f>IFERROR(__xludf.DUMMYFUNCTION("""COMPUTED_VALUE"""),"MBC BCP บรมฯ กม.15")</f>
        <v>MBC BCP บรมฯ กม.15</v>
      </c>
      <c r="D381" s="3" t="str">
        <f>IFERROR(__xludf.DUMMYFUNCTION("""COMPUTED_VALUE"""),"BCM BCP BOROM KORMOR 15")</f>
        <v>BCM BCP BOROM KORMOR 15</v>
      </c>
      <c r="E381" s="1" t="str">
        <f>IFERROR(__xludf.DUMMYFUNCTION("""COMPUTED_VALUE"""),"บิ๊กซี MINI")</f>
        <v>บิ๊กซี MINI</v>
      </c>
      <c r="F381" s="1" t="str">
        <f>IFERROR(__xludf.DUMMYFUNCTION("""COMPUTED_VALUE"""),"291008")</f>
        <v>291008</v>
      </c>
      <c r="G381" s="1" t="str">
        <f>IFERROR(__xludf.DUMMYFUNCTION("""COMPUTED_VALUE"""),"น.ส.รัชดาพร อีศรัตน์")</f>
        <v>น.ส.รัชดาพร อีศรัตน์</v>
      </c>
      <c r="H381" s="1" t="str">
        <f>IFERROR(__xludf.DUMMYFUNCTION("""COMPUTED_VALUE"""),"291101")</f>
        <v>291101</v>
      </c>
      <c r="I381" s="1" t="str">
        <f>IFERROR(__xludf.DUMMYFUNCTION("""COMPUTED_VALUE"""),"นายจักรพงศ์ โพธิ์ศรี")</f>
        <v>นายจักรพงศ์ โพธิ์ศรี</v>
      </c>
      <c r="J381" s="3">
        <f>IFERROR(__xludf.DUMMYFUNCTION("""COMPUTED_VALUE"""),296608.0)</f>
        <v>296608</v>
      </c>
      <c r="K381" s="3" t="str">
        <f>IFERROR(__xludf.DUMMYFUNCTION("""COMPUTED_VALUE"""),"นายภาคภูมิ เพ็ชรนิล")</f>
        <v>นายภาคภูมิ เพ็ชรนิล</v>
      </c>
      <c r="L381" s="1" t="str">
        <f>IFERROR(__xludf.DUMMYFUNCTION("""COMPUTED_VALUE"""),"10 K.Phakphoom P.")</f>
        <v>10 K.Phakphoom P.</v>
      </c>
      <c r="M381" s="1" t="str">
        <f>IFERROR(__xludf.DUMMYFUNCTION("""COMPUTED_VALUE"""),"063-8955329")</f>
        <v>063-8955329</v>
      </c>
      <c r="N381" s="3">
        <f>IFERROR(__xludf.DUMMYFUNCTION("""COMPUTED_VALUE"""),22584.0)</f>
        <v>22584</v>
      </c>
      <c r="O381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381" s="4">
        <f>IFERROR(__xludf.DUMMYFUNCTION("""COMPUTED_VALUE"""),41320.0)</f>
        <v>41320</v>
      </c>
      <c r="Q381" s="3" t="str">
        <f>IFERROR(__xludf.DUMMYFUNCTION("""COMPUTED_VALUE"""),"A")</f>
        <v>A</v>
      </c>
      <c r="R381" s="3" t="str">
        <f>IFERROR(__xludf.DUMMYFUNCTION("""COMPUTED_VALUE"""),"Small Format")</f>
        <v>Small Format</v>
      </c>
      <c r="S381" s="3" t="str">
        <f>IFERROR(__xludf.DUMMYFUNCTION("""COMPUTED_VALUE"""),"BCM")</f>
        <v>BCM</v>
      </c>
      <c r="T381" s="3" t="str">
        <f>IFERROR(__xludf.DUMMYFUNCTION("""COMPUTED_VALUE"""),"#N/A")</f>
        <v>#N/A</v>
      </c>
      <c r="U381" s="3" t="str">
        <f>IFERROR(__xludf.DUMMYFUNCTION("""COMPUTED_VALUE"""),"#N/A")</f>
        <v>#N/A</v>
      </c>
      <c r="V381" s="3" t="str">
        <f>IFERROR(__xludf.DUMMYFUNCTION("""COMPUTED_VALUE"""),"N")</f>
        <v>N</v>
      </c>
      <c r="W381" s="3">
        <f>IFERROR(__xludf.DUMMYFUNCTION("""COMPUTED_VALUE"""),361008.0)</f>
        <v>361008</v>
      </c>
      <c r="X381" s="3" t="str">
        <f>IFERROR(__xludf.DUMMYFUNCTION("""COMPUTED_VALUE"""),"68/24 หมู่ 12 แขวงศาลาธรรมสพน์ เขตทวีวัฒนา กรุงเทพฯ 10170")</f>
        <v>68/24 หมู่ 12 แขวงศาลาธรรมสพน์ เขตทวีวัฒนา กรุงเทพฯ 10170</v>
      </c>
      <c r="Y381" s="3"/>
      <c r="Z381" s="3" t="str">
        <f>IFERROR(__xludf.DUMMYFUNCTION("""COMPUTED_VALUE"""),"ศาลาธรรมสพน์")</f>
        <v>ศาลาธรรมสพน์</v>
      </c>
      <c r="AA381" s="3" t="str">
        <f>IFERROR(__xludf.DUMMYFUNCTION("""COMPUTED_VALUE"""),"ทวีวัฒนา")</f>
        <v>ทวีวัฒนา</v>
      </c>
      <c r="AB381" s="3" t="str">
        <f>IFERROR(__xludf.DUMMYFUNCTION("""COMPUTED_VALUE"""),"กรุงเทพมหานคร")</f>
        <v>กรุงเทพมหานคร</v>
      </c>
      <c r="AC381" s="3">
        <f>IFERROR(__xludf.DUMMYFUNCTION("""COMPUTED_VALUE"""),10170.0)</f>
        <v>10170</v>
      </c>
      <c r="AD381" s="3">
        <f>IFERROR(__xludf.DUMMYFUNCTION("""COMPUTED_VALUE"""),13.787813)</f>
        <v>13.787813</v>
      </c>
      <c r="AE381" s="3">
        <f>IFERROR(__xludf.DUMMYFUNCTION("""COMPUTED_VALUE"""),100.356612)</f>
        <v>100.356612</v>
      </c>
      <c r="AF381" s="3" t="str">
        <f>IFERROR(__xludf.DUMMYFUNCTION("""COMPUTED_VALUE"""),"MBC BCP บรมฯ กม.15-21140")</f>
        <v>MBC BCP บรมฯ กม.15-21140</v>
      </c>
      <c r="AG381" s="3" t="str">
        <f>IFERROR(__xludf.DUMMYFUNCTION("""COMPUTED_VALUE"""),"กลาง")</f>
        <v>กลาง</v>
      </c>
      <c r="AH381" s="3" t="str">
        <f>IFERROR(__xludf.DUMMYFUNCTION("""COMPUTED_VALUE"""),"#N/A")</f>
        <v>#N/A</v>
      </c>
      <c r="AI381" s="3" t="str">
        <f>IFERROR(__xludf.DUMMYFUNCTION("""COMPUTED_VALUE"""),"Out of warranty")</f>
        <v>Out of warranty</v>
      </c>
      <c r="AJ381" s="3">
        <f>IFERROR(__xludf.DUMMYFUNCTION("""COMPUTED_VALUE"""),156.0)</f>
        <v>156</v>
      </c>
      <c r="AK381" s="3" t="str">
        <f>IFERROR(__xludf.DUMMYFUNCTION("""COMPUTED_VALUE"""),"MMS05")</f>
        <v>MMS05</v>
      </c>
      <c r="AL381" s="3"/>
    </row>
    <row r="382" ht="15.75" customHeight="1">
      <c r="A382" s="1" t="str">
        <f>IFERROR(__xludf.DUMMYFUNCTION("""COMPUTED_VALUE"""),"21141")</f>
        <v>21141</v>
      </c>
      <c r="B382" s="2">
        <f>IFERROR(__xludf.DUMMYFUNCTION("""COMPUTED_VALUE"""),21141.0)</f>
        <v>21141</v>
      </c>
      <c r="C382" s="3" t="str">
        <f>IFERROR(__xludf.DUMMYFUNCTION("""COMPUTED_VALUE"""),"MBC แยกนิคมเกตเวย์")</f>
        <v>MBC แยกนิคมเกตเวย์</v>
      </c>
      <c r="D382" s="3" t="str">
        <f>IFERROR(__xludf.DUMMYFUNCTION("""COMPUTED_VALUE"""),"BCM YEAK NIKOM GATEWAY")</f>
        <v>BCM YEAK NIKOM GATEWAY</v>
      </c>
      <c r="E382" s="1" t="str">
        <f>IFERROR(__xludf.DUMMYFUNCTION("""COMPUTED_VALUE"""),"บิ๊กซี MINI")</f>
        <v>บิ๊กซี MINI</v>
      </c>
      <c r="F382" s="1" t="str">
        <f>IFERROR(__xludf.DUMMYFUNCTION("""COMPUTED_VALUE"""),"2083447")</f>
        <v>2083447</v>
      </c>
      <c r="G382" s="1" t="str">
        <f>IFERROR(__xludf.DUMMYFUNCTION("""COMPUTED_VALUE"""),"นายอนุกูล ศรีลัดดา")</f>
        <v>นายอนุกูล ศรีลัดดา</v>
      </c>
      <c r="H382" s="1" t="str">
        <f>IFERROR(__xludf.DUMMYFUNCTION("""COMPUTED_VALUE"""),"254957")</f>
        <v>254957</v>
      </c>
      <c r="I382" s="1" t="str">
        <f>IFERROR(__xludf.DUMMYFUNCTION("""COMPUTED_VALUE"""),"น.ส.ศิริพร รุ่งธัญญา")</f>
        <v>น.ส.ศิริพร รุ่งธัญญา</v>
      </c>
      <c r="J382" s="3">
        <f>IFERROR(__xludf.DUMMYFUNCTION("""COMPUTED_VALUE"""),510143.0)</f>
        <v>510143</v>
      </c>
      <c r="K382" s="3" t="str">
        <f>IFERROR(__xludf.DUMMYFUNCTION("""COMPUTED_VALUE"""),"นายธีระวัฒน์ บุญสิทธิ์")</f>
        <v>นายธีระวัฒน์ บุญสิทธิ์</v>
      </c>
      <c r="L382" s="1" t="str">
        <f>IFERROR(__xludf.DUMMYFUNCTION("""COMPUTED_VALUE"""),"12 K.Theerawat B.")</f>
        <v>12 K.Theerawat B.</v>
      </c>
      <c r="M382" s="1" t="str">
        <f>IFERROR(__xludf.DUMMYFUNCTION("""COMPUTED_VALUE"""),"0655107379")</f>
        <v>0655107379</v>
      </c>
      <c r="N382" s="3">
        <f>IFERROR(__xludf.DUMMYFUNCTION("""COMPUTED_VALUE"""),21062.0)</f>
        <v>21062</v>
      </c>
      <c r="O382" s="3" t="str">
        <f>IFERROR(__xludf.DUMMYFUNCTION("""COMPUTED_VALUE"""),"MBC นิคมนวนคร")</f>
        <v>MBC นิคมนวนคร</v>
      </c>
      <c r="P382" s="4">
        <f>IFERROR(__xludf.DUMMYFUNCTION("""COMPUTED_VALUE"""),41327.0)</f>
        <v>41327</v>
      </c>
      <c r="Q382" s="3" t="str">
        <f>IFERROR(__xludf.DUMMYFUNCTION("""COMPUTED_VALUE"""),"A")</f>
        <v>A</v>
      </c>
      <c r="R382" s="3" t="str">
        <f>IFERROR(__xludf.DUMMYFUNCTION("""COMPUTED_VALUE"""),"Small Format")</f>
        <v>Small Format</v>
      </c>
      <c r="S382" s="3" t="str">
        <f>IFERROR(__xludf.DUMMYFUNCTION("""COMPUTED_VALUE"""),"BCM")</f>
        <v>BCM</v>
      </c>
      <c r="T382" s="3" t="str">
        <f>IFERROR(__xludf.DUMMYFUNCTION("""COMPUTED_VALUE"""),"#N/A")</f>
        <v>#N/A</v>
      </c>
      <c r="U382" s="3" t="str">
        <f>IFERROR(__xludf.DUMMYFUNCTION("""COMPUTED_VALUE"""),"#N/A")</f>
        <v>#N/A</v>
      </c>
      <c r="V382" s="3" t="str">
        <f>IFERROR(__xludf.DUMMYFUNCTION("""COMPUTED_VALUE"""),"N")</f>
        <v>N</v>
      </c>
      <c r="W382" s="3">
        <f>IFERROR(__xludf.DUMMYFUNCTION("""COMPUTED_VALUE"""),211131.0)</f>
        <v>211131</v>
      </c>
      <c r="X382" s="3" t="str">
        <f>IFERROR(__xludf.DUMMYFUNCTION("""COMPUTED_VALUE"""),"821 หมู่ 9 ตำบลหัวสำโรง อำเภอแปลงยาว จังหวัดฉะเชิงเทรา 24190")</f>
        <v>821 หมู่ 9 ตำบลหัวสำโรง อำเภอแปลงยาว จังหวัดฉะเชิงเทรา 24190</v>
      </c>
      <c r="Y382" s="3"/>
      <c r="Z382" s="3" t="str">
        <f>IFERROR(__xludf.DUMMYFUNCTION("""COMPUTED_VALUE"""),"หัวสำโรง")</f>
        <v>หัวสำโรง</v>
      </c>
      <c r="AA382" s="3" t="str">
        <f>IFERROR(__xludf.DUMMYFUNCTION("""COMPUTED_VALUE"""),"แปลงยาว")</f>
        <v>แปลงยาว</v>
      </c>
      <c r="AB382" s="3" t="str">
        <f>IFERROR(__xludf.DUMMYFUNCTION("""COMPUTED_VALUE"""),"ฉะเชิงเทรา")</f>
        <v>ฉะเชิงเทรา</v>
      </c>
      <c r="AC382" s="3">
        <f>IFERROR(__xludf.DUMMYFUNCTION("""COMPUTED_VALUE"""),24190.0)</f>
        <v>24190</v>
      </c>
      <c r="AD382" s="3">
        <f>IFERROR(__xludf.DUMMYFUNCTION("""COMPUTED_VALUE"""),13.6179549)</f>
        <v>13.6179549</v>
      </c>
      <c r="AE382" s="3">
        <f>IFERROR(__xludf.DUMMYFUNCTION("""COMPUTED_VALUE"""),101.3113361)</f>
        <v>101.3113361</v>
      </c>
      <c r="AF382" s="3" t="str">
        <f>IFERROR(__xludf.DUMMYFUNCTION("""COMPUTED_VALUE"""),"MBC แยกนิคมเกตเวย์-21141")</f>
        <v>MBC แยกนิคมเกตเวย์-21141</v>
      </c>
      <c r="AG382" s="3" t="str">
        <f>IFERROR(__xludf.DUMMYFUNCTION("""COMPUTED_VALUE"""),"ตะวันออก")</f>
        <v>ตะวันออก</v>
      </c>
      <c r="AH382" s="3" t="str">
        <f>IFERROR(__xludf.DUMMYFUNCTION("""COMPUTED_VALUE"""),"#N/A")</f>
        <v>#N/A</v>
      </c>
      <c r="AI382" s="3" t="str">
        <f>IFERROR(__xludf.DUMMYFUNCTION("""COMPUTED_VALUE"""),"Out of warranty")</f>
        <v>Out of warranty</v>
      </c>
      <c r="AJ382" s="3">
        <f>IFERROR(__xludf.DUMMYFUNCTION("""COMPUTED_VALUE"""),155.0)</f>
        <v>155</v>
      </c>
      <c r="AK382" s="3" t="str">
        <f>IFERROR(__xludf.DUMMYFUNCTION("""COMPUTED_VALUE"""),"MMS07")</f>
        <v>MMS07</v>
      </c>
      <c r="AL382" s="3"/>
    </row>
    <row r="383" ht="15.75" customHeight="1">
      <c r="A383" s="1" t="str">
        <f>IFERROR(__xludf.DUMMYFUNCTION("""COMPUTED_VALUE"""),"21142")</f>
        <v>21142</v>
      </c>
      <c r="B383" s="2">
        <f>IFERROR(__xludf.DUMMYFUNCTION("""COMPUTED_VALUE"""),21142.0)</f>
        <v>21142</v>
      </c>
      <c r="C383" s="3" t="str">
        <f>IFERROR(__xludf.DUMMYFUNCTION("""COMPUTED_VALUE"""),"MBC อินทราวาส")</f>
        <v>MBC อินทราวาส</v>
      </c>
      <c r="D383" s="3" t="str">
        <f>IFERROR(__xludf.DUMMYFUNCTION("""COMPUTED_VALUE"""),"BCM INTRAWAT")</f>
        <v>BCM INTRAWAT</v>
      </c>
      <c r="E383" s="1" t="str">
        <f>IFERROR(__xludf.DUMMYFUNCTION("""COMPUTED_VALUE"""),"บิ๊กซี MINI")</f>
        <v>บิ๊กซี MINI</v>
      </c>
      <c r="F383" s="1" t="str">
        <f>IFERROR(__xludf.DUMMYFUNCTION("""COMPUTED_VALUE"""),"291008")</f>
        <v>291008</v>
      </c>
      <c r="G383" s="1" t="str">
        <f>IFERROR(__xludf.DUMMYFUNCTION("""COMPUTED_VALUE"""),"น.ส.รัชดาพร อีศรัตน์")</f>
        <v>น.ส.รัชดาพร อีศรัตน์</v>
      </c>
      <c r="H383" s="1" t="str">
        <f>IFERROR(__xludf.DUMMYFUNCTION("""COMPUTED_VALUE"""),"291101")</f>
        <v>291101</v>
      </c>
      <c r="I383" s="1" t="str">
        <f>IFERROR(__xludf.DUMMYFUNCTION("""COMPUTED_VALUE"""),"นายจักรพงศ์ โพธิ์ศรี")</f>
        <v>นายจักรพงศ์ โพธิ์ศรี</v>
      </c>
      <c r="J383" s="3">
        <f>IFERROR(__xludf.DUMMYFUNCTION("""COMPUTED_VALUE"""),296608.0)</f>
        <v>296608</v>
      </c>
      <c r="K383" s="3" t="str">
        <f>IFERROR(__xludf.DUMMYFUNCTION("""COMPUTED_VALUE"""),"นายภาคภูมิ เพ็ชรนิล")</f>
        <v>นายภาคภูมิ เพ็ชรนิล</v>
      </c>
      <c r="L383" s="1" t="str">
        <f>IFERROR(__xludf.DUMMYFUNCTION("""COMPUTED_VALUE"""),"10 K.Phakphoom P.")</f>
        <v>10 K.Phakphoom P.</v>
      </c>
      <c r="M383" s="1" t="str">
        <f>IFERROR(__xludf.DUMMYFUNCTION("""COMPUTED_VALUE"""),"063-8955329")</f>
        <v>063-8955329</v>
      </c>
      <c r="N383" s="3">
        <f>IFERROR(__xludf.DUMMYFUNCTION("""COMPUTED_VALUE"""),22584.0)</f>
        <v>22584</v>
      </c>
      <c r="O383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383" s="4">
        <f>IFERROR(__xludf.DUMMYFUNCTION("""COMPUTED_VALUE"""),41333.0)</f>
        <v>41333</v>
      </c>
      <c r="Q383" s="3" t="str">
        <f>IFERROR(__xludf.DUMMYFUNCTION("""COMPUTED_VALUE"""),"A")</f>
        <v>A</v>
      </c>
      <c r="R383" s="3" t="str">
        <f>IFERROR(__xludf.DUMMYFUNCTION("""COMPUTED_VALUE"""),"Small Format")</f>
        <v>Small Format</v>
      </c>
      <c r="S383" s="3" t="str">
        <f>IFERROR(__xludf.DUMMYFUNCTION("""COMPUTED_VALUE"""),"BCM")</f>
        <v>BCM</v>
      </c>
      <c r="T383" s="3" t="str">
        <f>IFERROR(__xludf.DUMMYFUNCTION("""COMPUTED_VALUE"""),"#N/A")</f>
        <v>#N/A</v>
      </c>
      <c r="U383" s="3" t="str">
        <f>IFERROR(__xludf.DUMMYFUNCTION("""COMPUTED_VALUE"""),"#N/A")</f>
        <v>#N/A</v>
      </c>
      <c r="V383" s="3" t="str">
        <f>IFERROR(__xludf.DUMMYFUNCTION("""COMPUTED_VALUE"""),"N")</f>
        <v>N</v>
      </c>
      <c r="W383" s="3">
        <f>IFERROR(__xludf.DUMMYFUNCTION("""COMPUTED_VALUE"""),211133.0)</f>
        <v>211133</v>
      </c>
      <c r="X383" s="3" t="str">
        <f>IFERROR(__xludf.DUMMYFUNCTION("""COMPUTED_VALUE"""),"4 ถนนพุทธมณฑลสาย 1 แขวงบางระมาด เขตตลิ่งชัน กรุงเทพฯ 10170")</f>
        <v>4 ถนนพุทธมณฑลสาย 1 แขวงบางระมาด เขตตลิ่งชัน กรุงเทพฯ 10170</v>
      </c>
      <c r="Y383" s="3" t="str">
        <f>IFERROR(__xludf.DUMMYFUNCTION("""COMPUTED_VALUE"""),"ถนนพุทธมณฑลสาย")</f>
        <v>ถนนพุทธมณฑลสาย</v>
      </c>
      <c r="Z383" s="3" t="str">
        <f>IFERROR(__xludf.DUMMYFUNCTION("""COMPUTED_VALUE"""),"บางระมาด")</f>
        <v>บางระมาด</v>
      </c>
      <c r="AA383" s="3" t="str">
        <f>IFERROR(__xludf.DUMMYFUNCTION("""COMPUTED_VALUE"""),"ตลิ่งชัน")</f>
        <v>ตลิ่งชัน</v>
      </c>
      <c r="AB383" s="3" t="str">
        <f>IFERROR(__xludf.DUMMYFUNCTION("""COMPUTED_VALUE"""),"กรุงเทพมหานคร")</f>
        <v>กรุงเทพมหานคร</v>
      </c>
      <c r="AC383" s="3">
        <f>IFERROR(__xludf.DUMMYFUNCTION("""COMPUTED_VALUE"""),10170.0)</f>
        <v>10170</v>
      </c>
      <c r="AD383" s="3">
        <f>IFERROR(__xludf.DUMMYFUNCTION("""COMPUTED_VALUE"""),13.758727)</f>
        <v>13.758727</v>
      </c>
      <c r="AE383" s="3">
        <f>IFERROR(__xludf.DUMMYFUNCTION("""COMPUTED_VALUE"""),100.427224)</f>
        <v>100.427224</v>
      </c>
      <c r="AF383" s="3" t="str">
        <f>IFERROR(__xludf.DUMMYFUNCTION("""COMPUTED_VALUE"""),"MBC อินทราวาส-21142")</f>
        <v>MBC อินทราวาส-21142</v>
      </c>
      <c r="AG383" s="3" t="str">
        <f>IFERROR(__xludf.DUMMYFUNCTION("""COMPUTED_VALUE"""),"กลาง")</f>
        <v>กลาง</v>
      </c>
      <c r="AH383" s="3" t="str">
        <f>IFERROR(__xludf.DUMMYFUNCTION("""COMPUTED_VALUE"""),"#N/A")</f>
        <v>#N/A</v>
      </c>
      <c r="AI383" s="3" t="str">
        <f>IFERROR(__xludf.DUMMYFUNCTION("""COMPUTED_VALUE"""),"Out of warranty")</f>
        <v>Out of warranty</v>
      </c>
      <c r="AJ383" s="3">
        <f>IFERROR(__xludf.DUMMYFUNCTION("""COMPUTED_VALUE"""),155.0)</f>
        <v>155</v>
      </c>
      <c r="AK383" s="3" t="str">
        <f>IFERROR(__xludf.DUMMYFUNCTION("""COMPUTED_VALUE"""),"MMS02")</f>
        <v>MMS02</v>
      </c>
      <c r="AL383" s="3"/>
    </row>
    <row r="384" ht="15.75" customHeight="1">
      <c r="A384" s="1" t="str">
        <f>IFERROR(__xludf.DUMMYFUNCTION("""COMPUTED_VALUE"""),"21143")</f>
        <v>21143</v>
      </c>
      <c r="B384" s="2">
        <f>IFERROR(__xludf.DUMMYFUNCTION("""COMPUTED_VALUE"""),21143.0)</f>
        <v>21143</v>
      </c>
      <c r="C384" s="3" t="str">
        <f>IFERROR(__xludf.DUMMYFUNCTION("""COMPUTED_VALUE"""),"MBC เคหะสระบุรี")</f>
        <v>MBC เคหะสระบุรี</v>
      </c>
      <c r="D384" s="3" t="str">
        <f>IFERROR(__xludf.DUMMYFUNCTION("""COMPUTED_VALUE"""),"BCM KEHA SARABURI")</f>
        <v>BCM KEHA SARABURI</v>
      </c>
      <c r="E384" s="1" t="str">
        <f>IFERROR(__xludf.DUMMYFUNCTION("""COMPUTED_VALUE"""),"บิ๊กซี MINI")</f>
        <v>บิ๊กซี MINI</v>
      </c>
      <c r="F384" s="1" t="str">
        <f>IFERROR(__xludf.DUMMYFUNCTION("""COMPUTED_VALUE"""),"296229")</f>
        <v>296229</v>
      </c>
      <c r="G384" s="1" t="str">
        <f>IFERROR(__xludf.DUMMYFUNCTION("""COMPUTED_VALUE"""),"นายทนงศักดิ์ บุญมา")</f>
        <v>นายทนงศักดิ์ บุญมา</v>
      </c>
      <c r="H384" s="1" t="str">
        <f>IFERROR(__xludf.DUMMYFUNCTION("""COMPUTED_VALUE"""),"291082")</f>
        <v>291082</v>
      </c>
      <c r="I384" s="1" t="str">
        <f>IFERROR(__xludf.DUMMYFUNCTION("""COMPUTED_VALUE"""),"น.ส.วจี กันเกตุ")</f>
        <v>น.ส.วจี กันเกตุ</v>
      </c>
      <c r="J384" s="3">
        <f>IFERROR(__xludf.DUMMYFUNCTION("""COMPUTED_VALUE"""),46214.0)</f>
        <v>46214</v>
      </c>
      <c r="K384" s="3" t="str">
        <f>IFERROR(__xludf.DUMMYFUNCTION("""COMPUTED_VALUE"""),"นายศักดิ์ชัย เด็ดดอกฟ้า")</f>
        <v>นายศักดิ์ชัย เด็ดดอกฟ้า</v>
      </c>
      <c r="L384" s="1" t="str">
        <f>IFERROR(__xludf.DUMMYFUNCTION("""COMPUTED_VALUE"""),"02 K.Sakchai D")</f>
        <v>02 K.Sakchai D</v>
      </c>
      <c r="M384" s="1" t="str">
        <f>IFERROR(__xludf.DUMMYFUNCTION("""COMPUTED_VALUE"""),"065-510-7376")</f>
        <v>065-510-7376</v>
      </c>
      <c r="N384" s="3">
        <f>IFERROR(__xludf.DUMMYFUNCTION("""COMPUTED_VALUE"""),21714.0)</f>
        <v>21714</v>
      </c>
      <c r="O384" s="3" t="str">
        <f>IFERROR(__xludf.DUMMYFUNCTION("""COMPUTED_VALUE"""),"MBC เอสโซ่ วัดโบสถ์")</f>
        <v>MBC เอสโซ่ วัดโบสถ์</v>
      </c>
      <c r="P384" s="4">
        <f>IFERROR(__xludf.DUMMYFUNCTION("""COMPUTED_VALUE"""),41333.0)</f>
        <v>41333</v>
      </c>
      <c r="Q384" s="3" t="str">
        <f>IFERROR(__xludf.DUMMYFUNCTION("""COMPUTED_VALUE"""),"A")</f>
        <v>A</v>
      </c>
      <c r="R384" s="3" t="str">
        <f>IFERROR(__xludf.DUMMYFUNCTION("""COMPUTED_VALUE"""),"Small Format")</f>
        <v>Small Format</v>
      </c>
      <c r="S384" s="3" t="str">
        <f>IFERROR(__xludf.DUMMYFUNCTION("""COMPUTED_VALUE"""),"BCM")</f>
        <v>BCM</v>
      </c>
      <c r="T384" s="3" t="str">
        <f>IFERROR(__xludf.DUMMYFUNCTION("""COMPUTED_VALUE"""),"#N/A")</f>
        <v>#N/A</v>
      </c>
      <c r="U384" s="3" t="str">
        <f>IFERROR(__xludf.DUMMYFUNCTION("""COMPUTED_VALUE"""),"#N/A")</f>
        <v>#N/A</v>
      </c>
      <c r="V384" s="3" t="str">
        <f>IFERROR(__xludf.DUMMYFUNCTION("""COMPUTED_VALUE"""),"N")</f>
        <v>N</v>
      </c>
      <c r="W384" s="3">
        <f>IFERROR(__xludf.DUMMYFUNCTION("""COMPUTED_VALUE"""),211134.0)</f>
        <v>211134</v>
      </c>
      <c r="X384" s="3" t="str">
        <f>IFERROR(__xludf.DUMMYFUNCTION("""COMPUTED_VALUE"""),"789/632 ถนนพหลโยธิน ตำบลปากเพรียว อำเภอเมืองสระบุรี จังหวัดสระบุรี 18000")</f>
        <v>789/632 ถนนพหลโยธิน ตำบลปากเพรียว อำเภอเมืองสระบุรี จังหวัดสระบุรี 18000</v>
      </c>
      <c r="Y384" s="3" t="str">
        <f>IFERROR(__xludf.DUMMYFUNCTION("""COMPUTED_VALUE"""),"ถนนพหลโยธิน")</f>
        <v>ถนนพหลโยธิน</v>
      </c>
      <c r="Z384" s="3" t="str">
        <f>IFERROR(__xludf.DUMMYFUNCTION("""COMPUTED_VALUE"""),"ปากเพรียว")</f>
        <v>ปากเพรียว</v>
      </c>
      <c r="AA384" s="3" t="str">
        <f>IFERROR(__xludf.DUMMYFUNCTION("""COMPUTED_VALUE"""),"เมือง")</f>
        <v>เมือง</v>
      </c>
      <c r="AB384" s="3" t="str">
        <f>IFERROR(__xludf.DUMMYFUNCTION("""COMPUTED_VALUE"""),"สระบุรี")</f>
        <v>สระบุรี</v>
      </c>
      <c r="AC384" s="3">
        <f>IFERROR(__xludf.DUMMYFUNCTION("""COMPUTED_VALUE"""),18000.0)</f>
        <v>18000</v>
      </c>
      <c r="AD384" s="3">
        <f>IFERROR(__xludf.DUMMYFUNCTION("""COMPUTED_VALUE"""),14.546055)</f>
        <v>14.546055</v>
      </c>
      <c r="AE384" s="3">
        <f>IFERROR(__xludf.DUMMYFUNCTION("""COMPUTED_VALUE"""),100.908348)</f>
        <v>100.908348</v>
      </c>
      <c r="AF384" s="3" t="str">
        <f>IFERROR(__xludf.DUMMYFUNCTION("""COMPUTED_VALUE"""),"MBC เคหะสระบุรี-21143")</f>
        <v>MBC เคหะสระบุรี-21143</v>
      </c>
      <c r="AG384" s="3" t="str">
        <f>IFERROR(__xludf.DUMMYFUNCTION("""COMPUTED_VALUE"""),"กลาง")</f>
        <v>กลาง</v>
      </c>
      <c r="AH384" s="3" t="str">
        <f>IFERROR(__xludf.DUMMYFUNCTION("""COMPUTED_VALUE"""),"#N/A")</f>
        <v>#N/A</v>
      </c>
      <c r="AI384" s="3" t="str">
        <f>IFERROR(__xludf.DUMMYFUNCTION("""COMPUTED_VALUE"""),"Out of warranty")</f>
        <v>Out of warranty</v>
      </c>
      <c r="AJ384" s="3">
        <f>IFERROR(__xludf.DUMMYFUNCTION("""COMPUTED_VALUE"""),155.0)</f>
        <v>155</v>
      </c>
      <c r="AK384" s="3" t="str">
        <f>IFERROR(__xludf.DUMMYFUNCTION("""COMPUTED_VALUE"""),"MMS09")</f>
        <v>MMS09</v>
      </c>
      <c r="AL384" s="3"/>
    </row>
    <row r="385" ht="15.75" customHeight="1">
      <c r="A385" s="1" t="str">
        <f>IFERROR(__xludf.DUMMYFUNCTION("""COMPUTED_VALUE"""),"21144")</f>
        <v>21144</v>
      </c>
      <c r="B385" s="2">
        <f>IFERROR(__xludf.DUMMYFUNCTION("""COMPUTED_VALUE"""),21144.0)</f>
        <v>21144</v>
      </c>
      <c r="C385" s="3" t="str">
        <f>IFERROR(__xludf.DUMMYFUNCTION("""COMPUTED_VALUE"""),"MBC ตลาดอุดมสุข")</f>
        <v>MBC ตลาดอุดมสุข</v>
      </c>
      <c r="D385" s="3" t="str">
        <f>IFERROR(__xludf.DUMMYFUNCTION("""COMPUTED_VALUE"""),"BCM TARAD UDOMSUK")</f>
        <v>BCM TARAD UDOMSUK</v>
      </c>
      <c r="E385" s="1" t="str">
        <f>IFERROR(__xludf.DUMMYFUNCTION("""COMPUTED_VALUE"""),"บิ๊กซี MINI")</f>
        <v>บิ๊กซี MINI</v>
      </c>
      <c r="F385" s="1" t="str">
        <f>IFERROR(__xludf.DUMMYFUNCTION("""COMPUTED_VALUE"""),"2083447")</f>
        <v>2083447</v>
      </c>
      <c r="G385" s="1" t="str">
        <f>IFERROR(__xludf.DUMMYFUNCTION("""COMPUTED_VALUE"""),"นายอนุกูล ศรีลัดดา")</f>
        <v>นายอนุกูล ศรีลัดดา</v>
      </c>
      <c r="H385" s="1" t="str">
        <f>IFERROR(__xludf.DUMMYFUNCTION("""COMPUTED_VALUE"""),"259808")</f>
        <v>259808</v>
      </c>
      <c r="I385" s="1" t="str">
        <f>IFERROR(__xludf.DUMMYFUNCTION("""COMPUTED_VALUE"""),"น.ส.สกุลรัตน์ พิกุลแก้ว")</f>
        <v>น.ส.สกุลรัตน์ พิกุลแก้ว</v>
      </c>
      <c r="J385" s="3">
        <f>IFERROR(__xludf.DUMMYFUNCTION("""COMPUTED_VALUE"""),510143.0)</f>
        <v>510143</v>
      </c>
      <c r="K385" s="3" t="str">
        <f>IFERROR(__xludf.DUMMYFUNCTION("""COMPUTED_VALUE"""),"นายธีระวัฒน์ บุญสิทธิ์")</f>
        <v>นายธีระวัฒน์ บุญสิทธิ์</v>
      </c>
      <c r="L385" s="1" t="str">
        <f>IFERROR(__xludf.DUMMYFUNCTION("""COMPUTED_VALUE"""),"12 K.Theerawat B.")</f>
        <v>12 K.Theerawat B.</v>
      </c>
      <c r="M385" s="1" t="str">
        <f>IFERROR(__xludf.DUMMYFUNCTION("""COMPUTED_VALUE"""),"0655107379")</f>
        <v>0655107379</v>
      </c>
      <c r="N385" s="3">
        <f>IFERROR(__xludf.DUMMYFUNCTION("""COMPUTED_VALUE"""),21062.0)</f>
        <v>21062</v>
      </c>
      <c r="O385" s="3" t="str">
        <f>IFERROR(__xludf.DUMMYFUNCTION("""COMPUTED_VALUE"""),"MBC นิคมนวนคร")</f>
        <v>MBC นิคมนวนคร</v>
      </c>
      <c r="P385" s="4">
        <f>IFERROR(__xludf.DUMMYFUNCTION("""COMPUTED_VALUE"""),41333.0)</f>
        <v>41333</v>
      </c>
      <c r="Q385" s="3" t="str">
        <f>IFERROR(__xludf.DUMMYFUNCTION("""COMPUTED_VALUE"""),"A")</f>
        <v>A</v>
      </c>
      <c r="R385" s="3" t="str">
        <f>IFERROR(__xludf.DUMMYFUNCTION("""COMPUTED_VALUE"""),"Small Format")</f>
        <v>Small Format</v>
      </c>
      <c r="S385" s="3" t="str">
        <f>IFERROR(__xludf.DUMMYFUNCTION("""COMPUTED_VALUE"""),"BCM")</f>
        <v>BCM</v>
      </c>
      <c r="T385" s="3" t="str">
        <f>IFERROR(__xludf.DUMMYFUNCTION("""COMPUTED_VALUE"""),"#N/A")</f>
        <v>#N/A</v>
      </c>
      <c r="U385" s="3" t="str">
        <f>IFERROR(__xludf.DUMMYFUNCTION("""COMPUTED_VALUE"""),"#N/A")</f>
        <v>#N/A</v>
      </c>
      <c r="V385" s="3" t="str">
        <f>IFERROR(__xludf.DUMMYFUNCTION("""COMPUTED_VALUE"""),"N")</f>
        <v>N</v>
      </c>
      <c r="W385" s="3">
        <f>IFERROR(__xludf.DUMMYFUNCTION("""COMPUTED_VALUE"""),211136.0)</f>
        <v>211136</v>
      </c>
      <c r="X385" s="3" t="str">
        <f>IFERROR(__xludf.DUMMYFUNCTION("""COMPUTED_VALUE"""),"379/203-205 หมู่ 10 ตำบลหนองกี่ อำเภอกบินทร์บุรี จังหวัดปราจีนบุรี 25110")</f>
        <v>379/203-205 หมู่ 10 ตำบลหนองกี่ อำเภอกบินทร์บุรี จังหวัดปราจีนบุรี 25110</v>
      </c>
      <c r="Y385" s="3"/>
      <c r="Z385" s="3" t="str">
        <f>IFERROR(__xludf.DUMMYFUNCTION("""COMPUTED_VALUE"""),"หนองกี่")</f>
        <v>หนองกี่</v>
      </c>
      <c r="AA385" s="3" t="str">
        <f>IFERROR(__xludf.DUMMYFUNCTION("""COMPUTED_VALUE"""),"กบินทร์บุรี")</f>
        <v>กบินทร์บุรี</v>
      </c>
      <c r="AB385" s="3" t="str">
        <f>IFERROR(__xludf.DUMMYFUNCTION("""COMPUTED_VALUE"""),"ปราจีนบุรี")</f>
        <v>ปราจีนบุรี</v>
      </c>
      <c r="AC385" s="3">
        <f>IFERROR(__xludf.DUMMYFUNCTION("""COMPUTED_VALUE"""),25110.0)</f>
        <v>25110</v>
      </c>
      <c r="AD385" s="3">
        <f>IFERROR(__xludf.DUMMYFUNCTION("""COMPUTED_VALUE"""),14.064944)</f>
        <v>14.064944</v>
      </c>
      <c r="AE385" s="3">
        <f>IFERROR(__xludf.DUMMYFUNCTION("""COMPUTED_VALUE"""),101.805214)</f>
        <v>101.805214</v>
      </c>
      <c r="AF385" s="3" t="str">
        <f>IFERROR(__xludf.DUMMYFUNCTION("""COMPUTED_VALUE"""),"MBC ตลาดอุดมสุข-21144")</f>
        <v>MBC ตลาดอุดมสุข-21144</v>
      </c>
      <c r="AG385" s="3" t="str">
        <f>IFERROR(__xludf.DUMMYFUNCTION("""COMPUTED_VALUE"""),"ตะวันออก")</f>
        <v>ตะวันออก</v>
      </c>
      <c r="AH385" s="3" t="str">
        <f>IFERROR(__xludf.DUMMYFUNCTION("""COMPUTED_VALUE"""),"#N/A")</f>
        <v>#N/A</v>
      </c>
      <c r="AI385" s="3" t="str">
        <f>IFERROR(__xludf.DUMMYFUNCTION("""COMPUTED_VALUE"""),"Out of warranty")</f>
        <v>Out of warranty</v>
      </c>
      <c r="AJ385" s="3">
        <f>IFERROR(__xludf.DUMMYFUNCTION("""COMPUTED_VALUE"""),155.0)</f>
        <v>155</v>
      </c>
      <c r="AK385" s="3" t="str">
        <f>IFERROR(__xludf.DUMMYFUNCTION("""COMPUTED_VALUE"""),"MMS08")</f>
        <v>MMS08</v>
      </c>
      <c r="AL385" s="3"/>
    </row>
    <row r="386" ht="15.75" customHeight="1">
      <c r="A386" s="1" t="str">
        <f>IFERROR(__xludf.DUMMYFUNCTION("""COMPUTED_VALUE"""),"21145")</f>
        <v>21145</v>
      </c>
      <c r="B386" s="2">
        <f>IFERROR(__xludf.DUMMYFUNCTION("""COMPUTED_VALUE"""),21145.0)</f>
        <v>21145</v>
      </c>
      <c r="C386" s="3" t="str">
        <f>IFERROR(__xludf.DUMMYFUNCTION("""COMPUTED_VALUE"""),"MBC ตลาดโรงสี")</f>
        <v>MBC ตลาดโรงสี</v>
      </c>
      <c r="D386" s="3" t="str">
        <f>IFERROR(__xludf.DUMMYFUNCTION("""COMPUTED_VALUE"""),"BCM TARAD RONGSI")</f>
        <v>BCM TARAD RONGSI</v>
      </c>
      <c r="E386" s="1" t="str">
        <f>IFERROR(__xludf.DUMMYFUNCTION("""COMPUTED_VALUE"""),"บิ๊กซี MINI")</f>
        <v>บิ๊กซี MINI</v>
      </c>
      <c r="F386" s="1" t="str">
        <f>IFERROR(__xludf.DUMMYFUNCTION("""COMPUTED_VALUE"""),"2083447")</f>
        <v>2083447</v>
      </c>
      <c r="G386" s="1" t="str">
        <f>IFERROR(__xludf.DUMMYFUNCTION("""COMPUTED_VALUE"""),"นายอนุกูล ศรีลัดดา")</f>
        <v>นายอนุกูล ศรีลัดดา</v>
      </c>
      <c r="H386" s="1" t="str">
        <f>IFERROR(__xludf.DUMMYFUNCTION("""COMPUTED_VALUE"""),"254957")</f>
        <v>254957</v>
      </c>
      <c r="I386" s="1" t="str">
        <f>IFERROR(__xludf.DUMMYFUNCTION("""COMPUTED_VALUE"""),"น.ส.ศิริพร รุ่งธัญญา")</f>
        <v>น.ส.ศิริพร รุ่งธัญญา</v>
      </c>
      <c r="J386" s="3">
        <f>IFERROR(__xludf.DUMMYFUNCTION("""COMPUTED_VALUE"""),2451655.0)</f>
        <v>2451655</v>
      </c>
      <c r="K386" s="3" t="str">
        <f>IFERROR(__xludf.DUMMYFUNCTION("""COMPUTED_VALUE"""),"นายวิษณุพงษ์ ชินบุตร")</f>
        <v>นายวิษณุพงษ์ ชินบุตร</v>
      </c>
      <c r="L386" s="1" t="str">
        <f>IFERROR(__xludf.DUMMYFUNCTION("""COMPUTED_VALUE"""),"13 K.Wisanupong Ch")</f>
        <v>13 K.Wisanupong Ch</v>
      </c>
      <c r="M386" s="1" t="str">
        <f>IFERROR(__xludf.DUMMYFUNCTION("""COMPUTED_VALUE"""),"0843374693")</f>
        <v>0843374693</v>
      </c>
      <c r="N386" s="3">
        <f>IFERROR(__xludf.DUMMYFUNCTION("""COMPUTED_VALUE"""),21013.0)</f>
        <v>21013</v>
      </c>
      <c r="O386" s="3" t="str">
        <f>IFERROR(__xludf.DUMMYFUNCTION("""COMPUTED_VALUE"""),"MBC รังสิตคลอง2")</f>
        <v>MBC รังสิตคลอง2</v>
      </c>
      <c r="P386" s="4">
        <f>IFERROR(__xludf.DUMMYFUNCTION("""COMPUTED_VALUE"""),41331.0)</f>
        <v>41331</v>
      </c>
      <c r="Q386" s="3" t="str">
        <f>IFERROR(__xludf.DUMMYFUNCTION("""COMPUTED_VALUE"""),"I")</f>
        <v>I</v>
      </c>
      <c r="R386" s="3" t="str">
        <f>IFERROR(__xludf.DUMMYFUNCTION("""COMPUTED_VALUE"""),"Small Format")</f>
        <v>Small Format</v>
      </c>
      <c r="S386" s="3" t="str">
        <f>IFERROR(__xludf.DUMMYFUNCTION("""COMPUTED_VALUE"""),"BCM")</f>
        <v>BCM</v>
      </c>
      <c r="T386" s="3" t="str">
        <f>IFERROR(__xludf.DUMMYFUNCTION("""COMPUTED_VALUE"""),"#N/A")</f>
        <v>#N/A</v>
      </c>
      <c r="U386" s="3" t="str">
        <f>IFERROR(__xludf.DUMMYFUNCTION("""COMPUTED_VALUE"""),"#N/A")</f>
        <v>#N/A</v>
      </c>
      <c r="V386" s="3" t="str">
        <f>IFERROR(__xludf.DUMMYFUNCTION("""COMPUTED_VALUE"""),"N")</f>
        <v>N</v>
      </c>
      <c r="W386" s="3">
        <f>IFERROR(__xludf.DUMMYFUNCTION("""COMPUTED_VALUE"""),211132.0)</f>
        <v>211132</v>
      </c>
      <c r="X386" s="3" t="str">
        <f>IFERROR(__xludf.DUMMYFUNCTION("""COMPUTED_VALUE"""),"83/3 หมู่ 2 ตำบลบางสมัคร อำเภอบางปะกง จังหวัดฉะเชิงเทรา 24180")</f>
        <v>83/3 หมู่ 2 ตำบลบางสมัคร อำเภอบางปะกง จังหวัดฉะเชิงเทรา 24180</v>
      </c>
      <c r="Y386" s="3"/>
      <c r="Z386" s="3" t="str">
        <f>IFERROR(__xludf.DUMMYFUNCTION("""COMPUTED_VALUE"""),"บางสมัคร")</f>
        <v>บางสมัคร</v>
      </c>
      <c r="AA386" s="3" t="str">
        <f>IFERROR(__xludf.DUMMYFUNCTION("""COMPUTED_VALUE"""),"บางปะกง")</f>
        <v>บางปะกง</v>
      </c>
      <c r="AB386" s="3" t="str">
        <f>IFERROR(__xludf.DUMMYFUNCTION("""COMPUTED_VALUE"""),"ฉะเชิงเทรา")</f>
        <v>ฉะเชิงเทรา</v>
      </c>
      <c r="AC386" s="3">
        <f>IFERROR(__xludf.DUMMYFUNCTION("""COMPUTED_VALUE"""),24180.0)</f>
        <v>24180</v>
      </c>
      <c r="AD386" s="3">
        <f>IFERROR(__xludf.DUMMYFUNCTION("""COMPUTED_VALUE"""),13.540619)</f>
        <v>13.540619</v>
      </c>
      <c r="AE386" s="3">
        <f>IFERROR(__xludf.DUMMYFUNCTION("""COMPUTED_VALUE"""),100.961348)</f>
        <v>100.961348</v>
      </c>
      <c r="AF386" s="3" t="str">
        <f>IFERROR(__xludf.DUMMYFUNCTION("""COMPUTED_VALUE"""),"MBC ตลาดโรงสี-21145")</f>
        <v>MBC ตลาดโรงสี-21145</v>
      </c>
      <c r="AG386" s="3" t="str">
        <f>IFERROR(__xludf.DUMMYFUNCTION("""COMPUTED_VALUE"""),"ตะวันออก")</f>
        <v>ตะวันออก</v>
      </c>
      <c r="AH386" s="3" t="str">
        <f>IFERROR(__xludf.DUMMYFUNCTION("""COMPUTED_VALUE"""),"#N/A")</f>
        <v>#N/A</v>
      </c>
      <c r="AI386" s="3" t="str">
        <f>IFERROR(__xludf.DUMMYFUNCTION("""COMPUTED_VALUE"""),"Out of warranty")</f>
        <v>Out of warranty</v>
      </c>
      <c r="AJ386" s="3">
        <f>IFERROR(__xludf.DUMMYFUNCTION("""COMPUTED_VALUE"""),155.0)</f>
        <v>155</v>
      </c>
      <c r="AK386" s="3" t="str">
        <f>IFERROR(__xludf.DUMMYFUNCTION("""COMPUTED_VALUE"""),"MMS03")</f>
        <v>MMS03</v>
      </c>
      <c r="AL386" s="3"/>
    </row>
    <row r="387" ht="15.75" customHeight="1">
      <c r="A387" s="1" t="str">
        <f>IFERROR(__xludf.DUMMYFUNCTION("""COMPUTED_VALUE"""),"21146")</f>
        <v>21146</v>
      </c>
      <c r="B387" s="2">
        <f>IFERROR(__xludf.DUMMYFUNCTION("""COMPUTED_VALUE"""),21146.0)</f>
        <v>21146</v>
      </c>
      <c r="C387" s="3" t="str">
        <f>IFERROR(__xludf.DUMMYFUNCTION("""COMPUTED_VALUE"""),"ซอยอยู่วิทยา")</f>
        <v>ซอยอยู่วิทยา</v>
      </c>
      <c r="D387" s="3" t="str">
        <f>IFERROR(__xludf.DUMMYFUNCTION("""COMPUTED_VALUE"""),"MBC SOI YUWITTHAYA")</f>
        <v>MBC SOI YUWITTHAYA</v>
      </c>
      <c r="E387" s="1" t="str">
        <f>IFERROR(__xludf.DUMMYFUNCTION("""COMPUTED_VALUE"""),"บิ๊กซี MINI")</f>
        <v>บิ๊กซี MINI</v>
      </c>
      <c r="F387" s="1" t="str">
        <f>IFERROR(__xludf.DUMMYFUNCTION("""COMPUTED_VALUE"""),"291008")</f>
        <v>291008</v>
      </c>
      <c r="G387" s="1" t="str">
        <f>IFERROR(__xludf.DUMMYFUNCTION("""COMPUTED_VALUE"""),"น.ส.รัชดาพร อีศรัตน์")</f>
        <v>น.ส.รัชดาพร อีศรัตน์</v>
      </c>
      <c r="H387" s="1" t="str">
        <f>IFERROR(__xludf.DUMMYFUNCTION("""COMPUTED_VALUE"""),"034068")</f>
        <v>034068</v>
      </c>
      <c r="I387" s="1" t="str">
        <f>IFERROR(__xludf.DUMMYFUNCTION("""COMPUTED_VALUE"""),"นายสมศักดิ์ ฐานทองดี")</f>
        <v>นายสมศักดิ์ ฐานทองดี</v>
      </c>
      <c r="J387" s="3">
        <f>IFERROR(__xludf.DUMMYFUNCTION("""COMPUTED_VALUE"""),3510104.0)</f>
        <v>3510104</v>
      </c>
      <c r="K387" s="3" t="str">
        <f>IFERROR(__xludf.DUMMYFUNCTION("""COMPUTED_VALUE"""),"นายวิโรจน์ อับดุลสมัด")</f>
        <v>นายวิโรจน์ อับดุลสมัด</v>
      </c>
      <c r="L387" s="1" t="str">
        <f>IFERROR(__xludf.DUMMYFUNCTION("""COMPUTED_VALUE"""),"09 K.Wirode A")</f>
        <v>09 K.Wirode A</v>
      </c>
      <c r="M387" s="1" t="str">
        <f>IFERROR(__xludf.DUMMYFUNCTION("""COMPUTED_VALUE"""),"080-235-4465")</f>
        <v>080-235-4465</v>
      </c>
      <c r="N387" s="3">
        <f>IFERROR(__xludf.DUMMYFUNCTION("""COMPUTED_VALUE"""),21324.0)</f>
        <v>21324</v>
      </c>
      <c r="O387" s="3" t="str">
        <f>IFERROR(__xludf.DUMMYFUNCTION("""COMPUTED_VALUE"""),"MBC BCP สุวินทวงศ์")</f>
        <v>MBC BCP สุวินทวงศ์</v>
      </c>
      <c r="P387" s="4">
        <f>IFERROR(__xludf.DUMMYFUNCTION("""COMPUTED_VALUE"""),41333.0)</f>
        <v>41333</v>
      </c>
      <c r="Q387" s="3" t="str">
        <f>IFERROR(__xludf.DUMMYFUNCTION("""COMPUTED_VALUE"""),"I")</f>
        <v>I</v>
      </c>
      <c r="R387" s="3" t="str">
        <f>IFERROR(__xludf.DUMMYFUNCTION("""COMPUTED_VALUE"""),"Small Format")</f>
        <v>Small Format</v>
      </c>
      <c r="S387" s="3" t="str">
        <f>IFERROR(__xludf.DUMMYFUNCTION("""COMPUTED_VALUE"""),"BCM")</f>
        <v>BCM</v>
      </c>
      <c r="T387" s="3" t="str">
        <f>IFERROR(__xludf.DUMMYFUNCTION("""COMPUTED_VALUE"""),"#N/A")</f>
        <v>#N/A</v>
      </c>
      <c r="U387" s="3" t="str">
        <f>IFERROR(__xludf.DUMMYFUNCTION("""COMPUTED_VALUE"""),"#N/A")</f>
        <v>#N/A</v>
      </c>
      <c r="V387" s="3" t="str">
        <f>IFERROR(__xludf.DUMMYFUNCTION("""COMPUTED_VALUE"""),"N")</f>
        <v>N</v>
      </c>
      <c r="W387" s="3">
        <f>IFERROR(__xludf.DUMMYFUNCTION("""COMPUTED_VALUE"""),0.0)</f>
        <v>0</v>
      </c>
      <c r="X387" s="3" t="str">
        <f>IFERROR(__xludf.DUMMYFUNCTION("""COMPUTED_VALUE"""),"216 ถนนอยู่วิทยา แขวงกระทุ่มราย เขตหนองจอก กรุงเทพฯ 10530")</f>
        <v>216 ถนนอยู่วิทยา แขวงกระทุ่มราย เขตหนองจอก กรุงเทพฯ 10530</v>
      </c>
      <c r="Y387" s="3" t="str">
        <f>IFERROR(__xludf.DUMMYFUNCTION("""COMPUTED_VALUE"""),"ถนนอยู่วิทยา")</f>
        <v>ถนนอยู่วิทยา</v>
      </c>
      <c r="Z387" s="3" t="str">
        <f>IFERROR(__xludf.DUMMYFUNCTION("""COMPUTED_VALUE"""),"กระทุ่มราย")</f>
        <v>กระทุ่มราย</v>
      </c>
      <c r="AA387" s="3" t="str">
        <f>IFERROR(__xludf.DUMMYFUNCTION("""COMPUTED_VALUE"""),"หนองจอก")</f>
        <v>หนองจอก</v>
      </c>
      <c r="AB387" s="3" t="str">
        <f>IFERROR(__xludf.DUMMYFUNCTION("""COMPUTED_VALUE"""),"กรุงเทพมหานคร")</f>
        <v>กรุงเทพมหานคร</v>
      </c>
      <c r="AC387" s="3">
        <f>IFERROR(__xludf.DUMMYFUNCTION("""COMPUTED_VALUE"""),10530.0)</f>
        <v>10530</v>
      </c>
      <c r="AD387" s="3" t="str">
        <f>IFERROR(__xludf.DUMMYFUNCTION("""COMPUTED_VALUE"""),"#N/A")</f>
        <v>#N/A</v>
      </c>
      <c r="AE387" s="3" t="str">
        <f>IFERROR(__xludf.DUMMYFUNCTION("""COMPUTED_VALUE"""),"#N/A")</f>
        <v>#N/A</v>
      </c>
      <c r="AF387" s="3" t="str">
        <f>IFERROR(__xludf.DUMMYFUNCTION("""COMPUTED_VALUE"""),"ซอยอยู่วิทยา-21146")</f>
        <v>ซอยอยู่วิทยา-21146</v>
      </c>
      <c r="AG387" s="3" t="str">
        <f>IFERROR(__xludf.DUMMYFUNCTION("""COMPUTED_VALUE"""),"กลาง")</f>
        <v>กลาง</v>
      </c>
      <c r="AH387" s="3" t="str">
        <f>IFERROR(__xludf.DUMMYFUNCTION("""COMPUTED_VALUE"""),"#N/A")</f>
        <v>#N/A</v>
      </c>
      <c r="AI387" s="3" t="str">
        <f>IFERROR(__xludf.DUMMYFUNCTION("""COMPUTED_VALUE"""),"Out of warranty")</f>
        <v>Out of warranty</v>
      </c>
      <c r="AJ387" s="3">
        <f>IFERROR(__xludf.DUMMYFUNCTION("""COMPUTED_VALUE"""),155.0)</f>
        <v>155</v>
      </c>
      <c r="AK387" s="3"/>
      <c r="AL387" s="3"/>
    </row>
    <row r="388" ht="15.75" customHeight="1">
      <c r="A388" s="1" t="str">
        <f>IFERROR(__xludf.DUMMYFUNCTION("""COMPUTED_VALUE"""),"21147")</f>
        <v>21147</v>
      </c>
      <c r="B388" s="2">
        <f>IFERROR(__xludf.DUMMYFUNCTION("""COMPUTED_VALUE"""),21147.0)</f>
        <v>21147</v>
      </c>
      <c r="C388" s="3" t="str">
        <f>IFERROR(__xludf.DUMMYFUNCTION("""COMPUTED_VALUE"""),"MBC BCP บางละมุง")</f>
        <v>MBC BCP บางละมุง</v>
      </c>
      <c r="D388" s="3" t="str">
        <f>IFERROR(__xludf.DUMMYFUNCTION("""COMPUTED_VALUE"""),"BCM BCP BANGLAMUNG")</f>
        <v>BCM BCP BANGLAMUNG</v>
      </c>
      <c r="E388" s="1" t="str">
        <f>IFERROR(__xludf.DUMMYFUNCTION("""COMPUTED_VALUE"""),"บิ๊กซี MINI")</f>
        <v>บิ๊กซี MINI</v>
      </c>
      <c r="F388" s="1" t="str">
        <f>IFERROR(__xludf.DUMMYFUNCTION("""COMPUTED_VALUE"""),"221716")</f>
        <v>221716</v>
      </c>
      <c r="G388" s="1" t="str">
        <f>IFERROR(__xludf.DUMMYFUNCTION("""COMPUTED_VALUE"""),"น.ส.เบญจพร โพธิสาร")</f>
        <v>น.ส.เบญจพร โพธิสาร</v>
      </c>
      <c r="H388" s="1" t="str">
        <f>IFERROR(__xludf.DUMMYFUNCTION("""COMPUTED_VALUE"""),"291061")</f>
        <v>291061</v>
      </c>
      <c r="I388" s="1" t="str">
        <f>IFERROR(__xludf.DUMMYFUNCTION("""COMPUTED_VALUE"""),"นายสมศักดิ์ เสียงก้อง")</f>
        <v>นายสมศักดิ์ เสียงก้อง</v>
      </c>
      <c r="J388" s="3">
        <f>IFERROR(__xludf.DUMMYFUNCTION("""COMPUTED_VALUE"""),296942.0)</f>
        <v>296942</v>
      </c>
      <c r="K388" s="3" t="str">
        <f>IFERROR(__xludf.DUMMYFUNCTION("""COMPUTED_VALUE"""),"นายปิยะ รักษากิจ")</f>
        <v>นายปิยะ รักษากิจ</v>
      </c>
      <c r="L388" s="1" t="str">
        <f>IFERROR(__xludf.DUMMYFUNCTION("""COMPUTED_VALUE"""),"07 K.Piya R.")</f>
        <v>07 K.Piya R.</v>
      </c>
      <c r="M388" s="1" t="str">
        <f>IFERROR(__xludf.DUMMYFUNCTION("""COMPUTED_VALUE"""),"097-919-5476")</f>
        <v>097-919-5476</v>
      </c>
      <c r="N388" s="3">
        <f>IFERROR(__xludf.DUMMYFUNCTION("""COMPUTED_VALUE"""),21332.0)</f>
        <v>21332</v>
      </c>
      <c r="O388" s="3" t="str">
        <f>IFERROR(__xludf.DUMMYFUNCTION("""COMPUTED_VALUE"""),"MBC BCP อ่อนนุช 17/1")</f>
        <v>MBC BCP อ่อนนุช 17/1</v>
      </c>
      <c r="P388" s="4">
        <f>IFERROR(__xludf.DUMMYFUNCTION("""COMPUTED_VALUE"""),41349.0)</f>
        <v>41349</v>
      </c>
      <c r="Q388" s="3" t="str">
        <f>IFERROR(__xludf.DUMMYFUNCTION("""COMPUTED_VALUE"""),"A")</f>
        <v>A</v>
      </c>
      <c r="R388" s="3" t="str">
        <f>IFERROR(__xludf.DUMMYFUNCTION("""COMPUTED_VALUE"""),"Small Format")</f>
        <v>Small Format</v>
      </c>
      <c r="S388" s="3" t="str">
        <f>IFERROR(__xludf.DUMMYFUNCTION("""COMPUTED_VALUE"""),"BCM")</f>
        <v>BCM</v>
      </c>
      <c r="T388" s="3" t="str">
        <f>IFERROR(__xludf.DUMMYFUNCTION("""COMPUTED_VALUE"""),"#N/A")</f>
        <v>#N/A</v>
      </c>
      <c r="U388" s="3" t="str">
        <f>IFERROR(__xludf.DUMMYFUNCTION("""COMPUTED_VALUE"""),"#N/A")</f>
        <v>#N/A</v>
      </c>
      <c r="V388" s="3" t="str">
        <f>IFERROR(__xludf.DUMMYFUNCTION("""COMPUTED_VALUE"""),"N")</f>
        <v>N</v>
      </c>
      <c r="W388" s="3">
        <f>IFERROR(__xludf.DUMMYFUNCTION("""COMPUTED_VALUE"""),361009.0)</f>
        <v>361009</v>
      </c>
      <c r="X388" s="3" t="str">
        <f>IFERROR(__xludf.DUMMYFUNCTION("""COMPUTED_VALUE"""),"182/24 หมู่ 2 ตำบลบางละมุง อำเภอบางละมุง จังหวัดชลบุรี 20150")</f>
        <v>182/24 หมู่ 2 ตำบลบางละมุง อำเภอบางละมุง จังหวัดชลบุรี 20150</v>
      </c>
      <c r="Y388" s="3"/>
      <c r="Z388" s="3" t="str">
        <f>IFERROR(__xludf.DUMMYFUNCTION("""COMPUTED_VALUE"""),"บางละมุง")</f>
        <v>บางละมุง</v>
      </c>
      <c r="AA388" s="3" t="str">
        <f>IFERROR(__xludf.DUMMYFUNCTION("""COMPUTED_VALUE"""),"บางละมุง")</f>
        <v>บางละมุง</v>
      </c>
      <c r="AB388" s="3" t="str">
        <f>IFERROR(__xludf.DUMMYFUNCTION("""COMPUTED_VALUE"""),"ชลบุรี")</f>
        <v>ชลบุรี</v>
      </c>
      <c r="AC388" s="3">
        <f>IFERROR(__xludf.DUMMYFUNCTION("""COMPUTED_VALUE"""),20150.0)</f>
        <v>20150</v>
      </c>
      <c r="AD388" s="3">
        <f>IFERROR(__xludf.DUMMYFUNCTION("""COMPUTED_VALUE"""),13.012837)</f>
        <v>13.012837</v>
      </c>
      <c r="AE388" s="3">
        <f>IFERROR(__xludf.DUMMYFUNCTION("""COMPUTED_VALUE"""),100.930556)</f>
        <v>100.930556</v>
      </c>
      <c r="AF388" s="3" t="str">
        <f>IFERROR(__xludf.DUMMYFUNCTION("""COMPUTED_VALUE"""),"MBC BCP บางละมุง-21147")</f>
        <v>MBC BCP บางละมุง-21147</v>
      </c>
      <c r="AG388" s="3" t="str">
        <f>IFERROR(__xludf.DUMMYFUNCTION("""COMPUTED_VALUE"""),"ตะวันออก")</f>
        <v>ตะวันออก</v>
      </c>
      <c r="AH388" s="3" t="str">
        <f>IFERROR(__xludf.DUMMYFUNCTION("""COMPUTED_VALUE"""),"#N/A")</f>
        <v>#N/A</v>
      </c>
      <c r="AI388" s="3" t="str">
        <f>IFERROR(__xludf.DUMMYFUNCTION("""COMPUTED_VALUE"""),"Out of warranty")</f>
        <v>Out of warranty</v>
      </c>
      <c r="AJ388" s="3">
        <f>IFERROR(__xludf.DUMMYFUNCTION("""COMPUTED_VALUE"""),155.0)</f>
        <v>155</v>
      </c>
      <c r="AK388" s="3" t="str">
        <f>IFERROR(__xludf.DUMMYFUNCTION("""COMPUTED_VALUE"""),"MMS06")</f>
        <v>MMS06</v>
      </c>
      <c r="AL388" s="3"/>
    </row>
    <row r="389" ht="15.75" customHeight="1">
      <c r="A389" s="1" t="str">
        <f>IFERROR(__xludf.DUMMYFUNCTION("""COMPUTED_VALUE"""),"21148")</f>
        <v>21148</v>
      </c>
      <c r="B389" s="2">
        <f>IFERROR(__xludf.DUMMYFUNCTION("""COMPUTED_VALUE"""),21148.0)</f>
        <v>21148</v>
      </c>
      <c r="C389" s="3" t="str">
        <f>IFERROR(__xludf.DUMMYFUNCTION("""COMPUTED_VALUE"""),"BCP เคหะบางพลี")</f>
        <v>BCP เคหะบางพลี</v>
      </c>
      <c r="D389" s="3" t="str">
        <f>IFERROR(__xludf.DUMMYFUNCTION("""COMPUTED_VALUE"""),"MBC BCP KEHABANGPLEE")</f>
        <v>MBC BCP KEHABANGPLEE</v>
      </c>
      <c r="E389" s="1" t="str">
        <f>IFERROR(__xludf.DUMMYFUNCTION("""COMPUTED_VALUE"""),"บิ๊กซี MINI")</f>
        <v>บิ๊กซี MINI</v>
      </c>
      <c r="F389" s="1" t="str">
        <f>IFERROR(__xludf.DUMMYFUNCTION("""COMPUTED_VALUE"""),"291008")</f>
        <v>291008</v>
      </c>
      <c r="G389" s="1" t="str">
        <f>IFERROR(__xludf.DUMMYFUNCTION("""COMPUTED_VALUE"""),"น.ส.รัชดาพร อีศรัตน์")</f>
        <v>น.ส.รัชดาพร อีศรัตน์</v>
      </c>
      <c r="H389" s="1" t="str">
        <f>IFERROR(__xludf.DUMMYFUNCTION("""COMPUTED_VALUE"""),"291105")</f>
        <v>291105</v>
      </c>
      <c r="I389" s="1" t="str">
        <f>IFERROR(__xludf.DUMMYFUNCTION("""COMPUTED_VALUE"""),"นายสราวุฒิ พณิชยกุล")</f>
        <v>นายสราวุฒิ พณิชยกุล</v>
      </c>
      <c r="J389" s="3">
        <f>IFERROR(__xludf.DUMMYFUNCTION("""COMPUTED_VALUE"""),3510104.0)</f>
        <v>3510104</v>
      </c>
      <c r="K389" s="3" t="str">
        <f>IFERROR(__xludf.DUMMYFUNCTION("""COMPUTED_VALUE"""),"นายวิโรจน์ อับดุลสมัด")</f>
        <v>นายวิโรจน์ อับดุลสมัด</v>
      </c>
      <c r="L389" s="1" t="str">
        <f>IFERROR(__xludf.DUMMYFUNCTION("""COMPUTED_VALUE"""),"09 K.Wirode A")</f>
        <v>09 K.Wirode A</v>
      </c>
      <c r="M389" s="1" t="str">
        <f>IFERROR(__xludf.DUMMYFUNCTION("""COMPUTED_VALUE"""),"080-235-4465")</f>
        <v>080-235-4465</v>
      </c>
      <c r="N389" s="3">
        <f>IFERROR(__xludf.DUMMYFUNCTION("""COMPUTED_VALUE"""),21324.0)</f>
        <v>21324</v>
      </c>
      <c r="O389" s="3" t="str">
        <f>IFERROR(__xludf.DUMMYFUNCTION("""COMPUTED_VALUE"""),"MBC BCP สุวินทวงศ์")</f>
        <v>MBC BCP สุวินทวงศ์</v>
      </c>
      <c r="P389" s="4">
        <f>IFERROR(__xludf.DUMMYFUNCTION("""COMPUTED_VALUE"""),41349.0)</f>
        <v>41349</v>
      </c>
      <c r="Q389" s="3" t="str">
        <f>IFERROR(__xludf.DUMMYFUNCTION("""COMPUTED_VALUE"""),"I")</f>
        <v>I</v>
      </c>
      <c r="R389" s="3" t="str">
        <f>IFERROR(__xludf.DUMMYFUNCTION("""COMPUTED_VALUE"""),"Small Format")</f>
        <v>Small Format</v>
      </c>
      <c r="S389" s="3" t="str">
        <f>IFERROR(__xludf.DUMMYFUNCTION("""COMPUTED_VALUE"""),"BCM")</f>
        <v>BCM</v>
      </c>
      <c r="T389" s="3" t="str">
        <f>IFERROR(__xludf.DUMMYFUNCTION("""COMPUTED_VALUE"""),"#N/A")</f>
        <v>#N/A</v>
      </c>
      <c r="U389" s="3" t="str">
        <f>IFERROR(__xludf.DUMMYFUNCTION("""COMPUTED_VALUE"""),"#N/A")</f>
        <v>#N/A</v>
      </c>
      <c r="V389" s="3" t="str">
        <f>IFERROR(__xludf.DUMMYFUNCTION("""COMPUTED_VALUE"""),"N")</f>
        <v>N</v>
      </c>
      <c r="W389" s="3">
        <f>IFERROR(__xludf.DUMMYFUNCTION("""COMPUTED_VALUE"""),0.0)</f>
        <v>0</v>
      </c>
      <c r="X389" s="3" t="str">
        <f>IFERROR(__xludf.DUMMYFUNCTION("""COMPUTED_VALUE"""),"98/4 หมู่ 1 ตำบลบางเสาธง อำเภอบางเสาธง จังหวัดสมุทรปราการ 10540")</f>
        <v>98/4 หมู่ 1 ตำบลบางเสาธง อำเภอบางเสาธง จังหวัดสมุทรปราการ 10540</v>
      </c>
      <c r="Y389" s="3"/>
      <c r="Z389" s="3" t="str">
        <f>IFERROR(__xludf.DUMMYFUNCTION("""COMPUTED_VALUE"""),"บางเสาธง")</f>
        <v>บางเสาธง</v>
      </c>
      <c r="AA389" s="3" t="str">
        <f>IFERROR(__xludf.DUMMYFUNCTION("""COMPUTED_VALUE"""),"บางเสาธง")</f>
        <v>บางเสาธง</v>
      </c>
      <c r="AB389" s="3" t="str">
        <f>IFERROR(__xludf.DUMMYFUNCTION("""COMPUTED_VALUE"""),"สมุทรปราการ")</f>
        <v>สมุทรปราการ</v>
      </c>
      <c r="AC389" s="3">
        <f>IFERROR(__xludf.DUMMYFUNCTION("""COMPUTED_VALUE"""),10540.0)</f>
        <v>10540</v>
      </c>
      <c r="AD389" s="3" t="str">
        <f>IFERROR(__xludf.DUMMYFUNCTION("""COMPUTED_VALUE"""),"#N/A")</f>
        <v>#N/A</v>
      </c>
      <c r="AE389" s="3" t="str">
        <f>IFERROR(__xludf.DUMMYFUNCTION("""COMPUTED_VALUE"""),"#N/A")</f>
        <v>#N/A</v>
      </c>
      <c r="AF389" s="3" t="str">
        <f>IFERROR(__xludf.DUMMYFUNCTION("""COMPUTED_VALUE"""),"BCP เคหะบางพลี-21148")</f>
        <v>BCP เคหะบางพลี-21148</v>
      </c>
      <c r="AG389" s="3" t="str">
        <f>IFERROR(__xludf.DUMMYFUNCTION("""COMPUTED_VALUE"""),"กลาง")</f>
        <v>กลาง</v>
      </c>
      <c r="AH389" s="3" t="str">
        <f>IFERROR(__xludf.DUMMYFUNCTION("""COMPUTED_VALUE"""),"#N/A")</f>
        <v>#N/A</v>
      </c>
      <c r="AI389" s="3" t="str">
        <f>IFERROR(__xludf.DUMMYFUNCTION("""COMPUTED_VALUE"""),"Out of warranty")</f>
        <v>Out of warranty</v>
      </c>
      <c r="AJ389" s="3">
        <f>IFERROR(__xludf.DUMMYFUNCTION("""COMPUTED_VALUE"""),155.0)</f>
        <v>155</v>
      </c>
      <c r="AK389" s="3"/>
      <c r="AL389" s="3"/>
    </row>
    <row r="390" ht="15.75" customHeight="1">
      <c r="A390" s="1" t="str">
        <f>IFERROR(__xludf.DUMMYFUNCTION("""COMPUTED_VALUE"""),"21149")</f>
        <v>21149</v>
      </c>
      <c r="B390" s="2">
        <f>IFERROR(__xludf.DUMMYFUNCTION("""COMPUTED_VALUE"""),21149.0)</f>
        <v>21149</v>
      </c>
      <c r="C390" s="3" t="str">
        <f>IFERROR(__xludf.DUMMYFUNCTION("""COMPUTED_VALUE"""),"MBC ตลาดคุณตาพลอย")</f>
        <v>MBC ตลาดคุณตาพลอย</v>
      </c>
      <c r="D390" s="3" t="str">
        <f>IFERROR(__xludf.DUMMYFUNCTION("""COMPUTED_VALUE"""),"BCM TARAD KHUNTAPLOY")</f>
        <v>BCM TARAD KHUNTAPLOY</v>
      </c>
      <c r="E390" s="1" t="str">
        <f>IFERROR(__xludf.DUMMYFUNCTION("""COMPUTED_VALUE"""),"บิ๊กซี MINI")</f>
        <v>บิ๊กซี MINI</v>
      </c>
      <c r="F390" s="1" t="str">
        <f>IFERROR(__xludf.DUMMYFUNCTION("""COMPUTED_VALUE"""),"291008")</f>
        <v>291008</v>
      </c>
      <c r="G390" s="1" t="str">
        <f>IFERROR(__xludf.DUMMYFUNCTION("""COMPUTED_VALUE"""),"น.ส.รัชดาพร อีศรัตน์")</f>
        <v>น.ส.รัชดาพร อีศรัตน์</v>
      </c>
      <c r="H390" s="1" t="str">
        <f>IFERROR(__xludf.DUMMYFUNCTION("""COMPUTED_VALUE"""),"291101")</f>
        <v>291101</v>
      </c>
      <c r="I390" s="1" t="str">
        <f>IFERROR(__xludf.DUMMYFUNCTION("""COMPUTED_VALUE"""),"นายจักรพงศ์ โพธิ์ศรี")</f>
        <v>นายจักรพงศ์ โพธิ์ศรี</v>
      </c>
      <c r="J390" s="3">
        <f>IFERROR(__xludf.DUMMYFUNCTION("""COMPUTED_VALUE"""),296608.0)</f>
        <v>296608</v>
      </c>
      <c r="K390" s="3" t="str">
        <f>IFERROR(__xludf.DUMMYFUNCTION("""COMPUTED_VALUE"""),"นายภาคภูมิ เพ็ชรนิล")</f>
        <v>นายภาคภูมิ เพ็ชรนิล</v>
      </c>
      <c r="L390" s="1" t="str">
        <f>IFERROR(__xludf.DUMMYFUNCTION("""COMPUTED_VALUE"""),"10 K.Phakphoom P.")</f>
        <v>10 K.Phakphoom P.</v>
      </c>
      <c r="M390" s="1" t="str">
        <f>IFERROR(__xludf.DUMMYFUNCTION("""COMPUTED_VALUE"""),"063-8955329")</f>
        <v>063-8955329</v>
      </c>
      <c r="N390" s="3">
        <f>IFERROR(__xludf.DUMMYFUNCTION("""COMPUTED_VALUE"""),22584.0)</f>
        <v>22584</v>
      </c>
      <c r="O390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390" s="4">
        <f>IFERROR(__xludf.DUMMYFUNCTION("""COMPUTED_VALUE"""),41351.0)</f>
        <v>41351</v>
      </c>
      <c r="Q390" s="3" t="str">
        <f>IFERROR(__xludf.DUMMYFUNCTION("""COMPUTED_VALUE"""),"A")</f>
        <v>A</v>
      </c>
      <c r="R390" s="3" t="str">
        <f>IFERROR(__xludf.DUMMYFUNCTION("""COMPUTED_VALUE"""),"Small Format")</f>
        <v>Small Format</v>
      </c>
      <c r="S390" s="3" t="str">
        <f>IFERROR(__xludf.DUMMYFUNCTION("""COMPUTED_VALUE"""),"BCM")</f>
        <v>BCM</v>
      </c>
      <c r="T390" s="3" t="str">
        <f>IFERROR(__xludf.DUMMYFUNCTION("""COMPUTED_VALUE"""),"#N/A")</f>
        <v>#N/A</v>
      </c>
      <c r="U390" s="3" t="str">
        <f>IFERROR(__xludf.DUMMYFUNCTION("""COMPUTED_VALUE"""),"#N/A")</f>
        <v>#N/A</v>
      </c>
      <c r="V390" s="3" t="str">
        <f>IFERROR(__xludf.DUMMYFUNCTION("""COMPUTED_VALUE"""),"N")</f>
        <v>N</v>
      </c>
      <c r="W390" s="3">
        <f>IFERROR(__xludf.DUMMYFUNCTION("""COMPUTED_VALUE"""),211139.0)</f>
        <v>211139</v>
      </c>
      <c r="X390" s="3" t="str">
        <f>IFERROR(__xludf.DUMMYFUNCTION("""COMPUTED_VALUE"""),"287/2 ถนนเลียบคลองภาษีเจริญฝั่งเหนือ แขวงหนองแขม เขตหนองแขม กรุงเทพฯ 10160")</f>
        <v>287/2 ถนนเลียบคลองภาษีเจริญฝั่งเหนือ แขวงหนองแขม เขตหนองแขม กรุงเทพฯ 10160</v>
      </c>
      <c r="Y390" s="3" t="str">
        <f>IFERROR(__xludf.DUMMYFUNCTION("""COMPUTED_VALUE"""),"ถนนเลียบคลองภาษีเจริญฝั่งเหนือ")</f>
        <v>ถนนเลียบคลองภาษีเจริญฝั่งเหนือ</v>
      </c>
      <c r="Z390" s="3" t="str">
        <f>IFERROR(__xludf.DUMMYFUNCTION("""COMPUTED_VALUE"""),"หนองแขม")</f>
        <v>หนองแขม</v>
      </c>
      <c r="AA390" s="3" t="str">
        <f>IFERROR(__xludf.DUMMYFUNCTION("""COMPUTED_VALUE"""),"หนองแขม")</f>
        <v>หนองแขม</v>
      </c>
      <c r="AB390" s="3" t="str">
        <f>IFERROR(__xludf.DUMMYFUNCTION("""COMPUTED_VALUE"""),"กรุงเทพมหานคร")</f>
        <v>กรุงเทพมหานคร</v>
      </c>
      <c r="AC390" s="3">
        <f>IFERROR(__xludf.DUMMYFUNCTION("""COMPUTED_VALUE"""),10160.0)</f>
        <v>10160</v>
      </c>
      <c r="AD390" s="3">
        <f>IFERROR(__xludf.DUMMYFUNCTION("""COMPUTED_VALUE"""),13.683872)</f>
        <v>13.683872</v>
      </c>
      <c r="AE390" s="3">
        <f>IFERROR(__xludf.DUMMYFUNCTION("""COMPUTED_VALUE"""),100.353345)</f>
        <v>100.353345</v>
      </c>
      <c r="AF390" s="3" t="str">
        <f>IFERROR(__xludf.DUMMYFUNCTION("""COMPUTED_VALUE"""),"MBC ตลาดคุณตาพลอย-21149")</f>
        <v>MBC ตลาดคุณตาพลอย-21149</v>
      </c>
      <c r="AG390" s="3" t="str">
        <f>IFERROR(__xludf.DUMMYFUNCTION("""COMPUTED_VALUE"""),"กลาง")</f>
        <v>กลาง</v>
      </c>
      <c r="AH390" s="3" t="str">
        <f>IFERROR(__xludf.DUMMYFUNCTION("""COMPUTED_VALUE"""),"#N/A")</f>
        <v>#N/A</v>
      </c>
      <c r="AI390" s="3" t="str">
        <f>IFERROR(__xludf.DUMMYFUNCTION("""COMPUTED_VALUE"""),"Out of warranty")</f>
        <v>Out of warranty</v>
      </c>
      <c r="AJ390" s="3">
        <f>IFERROR(__xludf.DUMMYFUNCTION("""COMPUTED_VALUE"""),155.0)</f>
        <v>155</v>
      </c>
      <c r="AK390" s="3" t="str">
        <f>IFERROR(__xludf.DUMMYFUNCTION("""COMPUTED_VALUE"""),"MMS02")</f>
        <v>MMS02</v>
      </c>
      <c r="AL390" s="3"/>
    </row>
    <row r="391" ht="15.75" customHeight="1">
      <c r="A391" s="1" t="str">
        <f>IFERROR(__xludf.DUMMYFUNCTION("""COMPUTED_VALUE"""),"21150")</f>
        <v>21150</v>
      </c>
      <c r="B391" s="2">
        <f>IFERROR(__xludf.DUMMYFUNCTION("""COMPUTED_VALUE"""),21150.0)</f>
        <v>21150</v>
      </c>
      <c r="C391" s="3" t="str">
        <f>IFERROR(__xludf.DUMMYFUNCTION("""COMPUTED_VALUE"""),"MBC วัดไทรม้า")</f>
        <v>MBC วัดไทรม้า</v>
      </c>
      <c r="D391" s="3" t="str">
        <f>IFERROR(__xludf.DUMMYFUNCTION("""COMPUTED_VALUE"""),"BCM WAT SAIMA")</f>
        <v>BCM WAT SAIMA</v>
      </c>
      <c r="E391" s="1" t="str">
        <f>IFERROR(__xludf.DUMMYFUNCTION("""COMPUTED_VALUE"""),"บิ๊กซี MINI")</f>
        <v>บิ๊กซี MINI</v>
      </c>
      <c r="F391" s="1" t="str">
        <f>IFERROR(__xludf.DUMMYFUNCTION("""COMPUTED_VALUE"""),"291008")</f>
        <v>291008</v>
      </c>
      <c r="G391" s="1" t="str">
        <f>IFERROR(__xludf.DUMMYFUNCTION("""COMPUTED_VALUE"""),"น.ส.รัชดาพร อีศรัตน์")</f>
        <v>น.ส.รัชดาพร อีศรัตน์</v>
      </c>
      <c r="H391" s="1" t="str">
        <f>IFERROR(__xludf.DUMMYFUNCTION("""COMPUTED_VALUE"""),"034068")</f>
        <v>034068</v>
      </c>
      <c r="I391" s="1" t="str">
        <f>IFERROR(__xludf.DUMMYFUNCTION("""COMPUTED_VALUE"""),"นายสมศักดิ์ ฐานทองดี")</f>
        <v>นายสมศักดิ์ ฐานทองดี</v>
      </c>
      <c r="J391" s="3">
        <f>IFERROR(__xludf.DUMMYFUNCTION("""COMPUTED_VALUE"""),296608.0)</f>
        <v>296608</v>
      </c>
      <c r="K391" s="3" t="str">
        <f>IFERROR(__xludf.DUMMYFUNCTION("""COMPUTED_VALUE"""),"นายภาคภูมิ เพ็ชรนิล")</f>
        <v>นายภาคภูมิ เพ็ชรนิล</v>
      </c>
      <c r="L391" s="1" t="str">
        <f>IFERROR(__xludf.DUMMYFUNCTION("""COMPUTED_VALUE"""),"10 K.Phakphoom P.")</f>
        <v>10 K.Phakphoom P.</v>
      </c>
      <c r="M391" s="1" t="str">
        <f>IFERROR(__xludf.DUMMYFUNCTION("""COMPUTED_VALUE"""),"063-8955329")</f>
        <v>063-8955329</v>
      </c>
      <c r="N391" s="3">
        <f>IFERROR(__xludf.DUMMYFUNCTION("""COMPUTED_VALUE"""),22584.0)</f>
        <v>22584</v>
      </c>
      <c r="O391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391" s="4">
        <f>IFERROR(__xludf.DUMMYFUNCTION("""COMPUTED_VALUE"""),41354.0)</f>
        <v>41354</v>
      </c>
      <c r="Q391" s="3" t="str">
        <f>IFERROR(__xludf.DUMMYFUNCTION("""COMPUTED_VALUE"""),"A")</f>
        <v>A</v>
      </c>
      <c r="R391" s="3" t="str">
        <f>IFERROR(__xludf.DUMMYFUNCTION("""COMPUTED_VALUE"""),"Small Format")</f>
        <v>Small Format</v>
      </c>
      <c r="S391" s="3" t="str">
        <f>IFERROR(__xludf.DUMMYFUNCTION("""COMPUTED_VALUE"""),"BCM")</f>
        <v>BCM</v>
      </c>
      <c r="T391" s="3" t="str">
        <f>IFERROR(__xludf.DUMMYFUNCTION("""COMPUTED_VALUE"""),"#N/A")</f>
        <v>#N/A</v>
      </c>
      <c r="U391" s="3" t="str">
        <f>IFERROR(__xludf.DUMMYFUNCTION("""COMPUTED_VALUE"""),"#N/A")</f>
        <v>#N/A</v>
      </c>
      <c r="V391" s="3" t="str">
        <f>IFERROR(__xludf.DUMMYFUNCTION("""COMPUTED_VALUE"""),"N")</f>
        <v>N</v>
      </c>
      <c r="W391" s="3">
        <f>IFERROR(__xludf.DUMMYFUNCTION("""COMPUTED_VALUE"""),211141.0)</f>
        <v>211141</v>
      </c>
      <c r="X391" s="3" t="str">
        <f>IFERROR(__xludf.DUMMYFUNCTION("""COMPUTED_VALUE"""),"73/6หมู่3ซอยบางรักน้อย-ไทรม้า ถนนรัตนาธิเบศร์ ตำบลบางรักน้อย อำเภอเมืองนนทบุรี จังหวัดนนทบุรี 11000")</f>
        <v>73/6หมู่3ซอยบางรักน้อย-ไทรม้า ถนนรัตนาธิเบศร์ ตำบลบางรักน้อย อำเภอเมืองนนทบุรี จังหวัดนนทบุรี 11000</v>
      </c>
      <c r="Y391" s="3" t="str">
        <f>IFERROR(__xludf.DUMMYFUNCTION("""COMPUTED_VALUE"""),"ถนนรัตนาธิเบศร์")</f>
        <v>ถนนรัตนาธิเบศร์</v>
      </c>
      <c r="Z391" s="3" t="str">
        <f>IFERROR(__xludf.DUMMYFUNCTION("""COMPUTED_VALUE"""),"บางรักน้อย")</f>
        <v>บางรักน้อย</v>
      </c>
      <c r="AA391" s="3" t="str">
        <f>IFERROR(__xludf.DUMMYFUNCTION("""COMPUTED_VALUE"""),"เมืองนนทบุรี")</f>
        <v>เมืองนนทบุรี</v>
      </c>
      <c r="AB391" s="3" t="str">
        <f>IFERROR(__xludf.DUMMYFUNCTION("""COMPUTED_VALUE"""),"นนทบุรี")</f>
        <v>นนทบุรี</v>
      </c>
      <c r="AC391" s="3">
        <f>IFERROR(__xludf.DUMMYFUNCTION("""COMPUTED_VALUE"""),11000.0)</f>
        <v>11000</v>
      </c>
      <c r="AD391" s="3">
        <f>IFERROR(__xludf.DUMMYFUNCTION("""COMPUTED_VALUE"""),13.870038)</f>
        <v>13.870038</v>
      </c>
      <c r="AE391" s="3">
        <f>IFERROR(__xludf.DUMMYFUNCTION("""COMPUTED_VALUE"""),100.462221)</f>
        <v>100.462221</v>
      </c>
      <c r="AF391" s="3" t="str">
        <f>IFERROR(__xludf.DUMMYFUNCTION("""COMPUTED_VALUE"""),"MBC วัดไทรม้า-21150")</f>
        <v>MBC วัดไทรม้า-21150</v>
      </c>
      <c r="AG391" s="3" t="str">
        <f>IFERROR(__xludf.DUMMYFUNCTION("""COMPUTED_VALUE"""),"กลาง")</f>
        <v>กลาง</v>
      </c>
      <c r="AH391" s="3" t="str">
        <f>IFERROR(__xludf.DUMMYFUNCTION("""COMPUTED_VALUE"""),"#N/A")</f>
        <v>#N/A</v>
      </c>
      <c r="AI391" s="3" t="str">
        <f>IFERROR(__xludf.DUMMYFUNCTION("""COMPUTED_VALUE"""),"Out of warranty")</f>
        <v>Out of warranty</v>
      </c>
      <c r="AJ391" s="3">
        <f>IFERROR(__xludf.DUMMYFUNCTION("""COMPUTED_VALUE"""),154.0)</f>
        <v>154</v>
      </c>
      <c r="AK391" s="3" t="str">
        <f>IFERROR(__xludf.DUMMYFUNCTION("""COMPUTED_VALUE"""),"MMS01")</f>
        <v>MMS01</v>
      </c>
      <c r="AL391" s="3"/>
    </row>
    <row r="392" ht="15.75" customHeight="1">
      <c r="A392" s="1" t="str">
        <f>IFERROR(__xludf.DUMMYFUNCTION("""COMPUTED_VALUE"""),"21151")</f>
        <v>21151</v>
      </c>
      <c r="B392" s="2">
        <f>IFERROR(__xludf.DUMMYFUNCTION("""COMPUTED_VALUE"""),21151.0)</f>
        <v>21151</v>
      </c>
      <c r="C392" s="3" t="str">
        <f>IFERROR(__xludf.DUMMYFUNCTION("""COMPUTED_VALUE"""),"MBC ถนนชัยพรวิถี")</f>
        <v>MBC ถนนชัยพรวิถี</v>
      </c>
      <c r="D392" s="3" t="str">
        <f>IFERROR(__xludf.DUMMYFUNCTION("""COMPUTED_VALUE"""),"BCM THANON CHAIYAPORNVITEE")</f>
        <v>BCM THANON CHAIYAPORNVITEE</v>
      </c>
      <c r="E392" s="1" t="str">
        <f>IFERROR(__xludf.DUMMYFUNCTION("""COMPUTED_VALUE"""),"บิ๊กซี MINI")</f>
        <v>บิ๊กซี MINI</v>
      </c>
      <c r="F392" s="1" t="str">
        <f>IFERROR(__xludf.DUMMYFUNCTION("""COMPUTED_VALUE"""),"221716")</f>
        <v>221716</v>
      </c>
      <c r="G392" s="1" t="str">
        <f>IFERROR(__xludf.DUMMYFUNCTION("""COMPUTED_VALUE"""),"น.ส.เบญจพร โพธิสาร")</f>
        <v>น.ส.เบญจพร โพธิสาร</v>
      </c>
      <c r="H392" s="1" t="str">
        <f>IFERROR(__xludf.DUMMYFUNCTION("""COMPUTED_VALUE"""),"291061")</f>
        <v>291061</v>
      </c>
      <c r="I392" s="1" t="str">
        <f>IFERROR(__xludf.DUMMYFUNCTION("""COMPUTED_VALUE"""),"นายสมศักดิ์ เสียงก้อง")</f>
        <v>นายสมศักดิ์ เสียงก้อง</v>
      </c>
      <c r="J392" s="3">
        <f>IFERROR(__xludf.DUMMYFUNCTION("""COMPUTED_VALUE"""),296942.0)</f>
        <v>296942</v>
      </c>
      <c r="K392" s="3" t="str">
        <f>IFERROR(__xludf.DUMMYFUNCTION("""COMPUTED_VALUE"""),"นายปิยะ รักษากิจ")</f>
        <v>นายปิยะ รักษากิจ</v>
      </c>
      <c r="L392" s="1" t="str">
        <f>IFERROR(__xludf.DUMMYFUNCTION("""COMPUTED_VALUE"""),"07 K.Piya R.")</f>
        <v>07 K.Piya R.</v>
      </c>
      <c r="M392" s="1" t="str">
        <f>IFERROR(__xludf.DUMMYFUNCTION("""COMPUTED_VALUE"""),"097-919-5476")</f>
        <v>097-919-5476</v>
      </c>
      <c r="N392" s="3">
        <f>IFERROR(__xludf.DUMMYFUNCTION("""COMPUTED_VALUE"""),21332.0)</f>
        <v>21332</v>
      </c>
      <c r="O392" s="3" t="str">
        <f>IFERROR(__xludf.DUMMYFUNCTION("""COMPUTED_VALUE"""),"MBC BCP อ่อนนุช 17/1")</f>
        <v>MBC BCP อ่อนนุช 17/1</v>
      </c>
      <c r="P392" s="4">
        <f>IFERROR(__xludf.DUMMYFUNCTION("""COMPUTED_VALUE"""),41355.0)</f>
        <v>41355</v>
      </c>
      <c r="Q392" s="3" t="str">
        <f>IFERROR(__xludf.DUMMYFUNCTION("""COMPUTED_VALUE"""),"A")</f>
        <v>A</v>
      </c>
      <c r="R392" s="3" t="str">
        <f>IFERROR(__xludf.DUMMYFUNCTION("""COMPUTED_VALUE"""),"Small Format")</f>
        <v>Small Format</v>
      </c>
      <c r="S392" s="3" t="str">
        <f>IFERROR(__xludf.DUMMYFUNCTION("""COMPUTED_VALUE"""),"BCM")</f>
        <v>BCM</v>
      </c>
      <c r="T392" s="3" t="str">
        <f>IFERROR(__xludf.DUMMYFUNCTION("""COMPUTED_VALUE"""),"#N/A")</f>
        <v>#N/A</v>
      </c>
      <c r="U392" s="3" t="str">
        <f>IFERROR(__xludf.DUMMYFUNCTION("""COMPUTED_VALUE"""),"#N/A")</f>
        <v>#N/A</v>
      </c>
      <c r="V392" s="3" t="str">
        <f>IFERROR(__xludf.DUMMYFUNCTION("""COMPUTED_VALUE"""),"N")</f>
        <v>N</v>
      </c>
      <c r="W392" s="3">
        <f>IFERROR(__xludf.DUMMYFUNCTION("""COMPUTED_VALUE"""),211142.0)</f>
        <v>211142</v>
      </c>
      <c r="X392" s="3" t="str">
        <f>IFERROR(__xludf.DUMMYFUNCTION("""COMPUTED_VALUE"""),"54/1 หมู่ 11 ตำบลหนองปรือ อำเภอบางละมุง จังหวัดชลบุรี 20150")</f>
        <v>54/1 หมู่ 11 ตำบลหนองปรือ อำเภอบางละมุง จังหวัดชลบุรี 20150</v>
      </c>
      <c r="Y392" s="3"/>
      <c r="Z392" s="3" t="str">
        <f>IFERROR(__xludf.DUMMYFUNCTION("""COMPUTED_VALUE"""),"หนองปรือ")</f>
        <v>หนองปรือ</v>
      </c>
      <c r="AA392" s="3" t="str">
        <f>IFERROR(__xludf.DUMMYFUNCTION("""COMPUTED_VALUE"""),"บางละมุง")</f>
        <v>บางละมุง</v>
      </c>
      <c r="AB392" s="3" t="str">
        <f>IFERROR(__xludf.DUMMYFUNCTION("""COMPUTED_VALUE"""),"ชลบุรี")</f>
        <v>ชลบุรี</v>
      </c>
      <c r="AC392" s="3">
        <f>IFERROR(__xludf.DUMMYFUNCTION("""COMPUTED_VALUE"""),20150.0)</f>
        <v>20150</v>
      </c>
      <c r="AD392" s="3">
        <f>IFERROR(__xludf.DUMMYFUNCTION("""COMPUTED_VALUE"""),12.962018)</f>
        <v>12.962018</v>
      </c>
      <c r="AE392" s="3">
        <f>IFERROR(__xludf.DUMMYFUNCTION("""COMPUTED_VALUE"""),100.921492)</f>
        <v>100.921492</v>
      </c>
      <c r="AF392" s="3" t="str">
        <f>IFERROR(__xludf.DUMMYFUNCTION("""COMPUTED_VALUE"""),"MBC ถนนชัยพรวิถี-21151")</f>
        <v>MBC ถนนชัยพรวิถี-21151</v>
      </c>
      <c r="AG392" s="3" t="str">
        <f>IFERROR(__xludf.DUMMYFUNCTION("""COMPUTED_VALUE"""),"ตะวันออก")</f>
        <v>ตะวันออก</v>
      </c>
      <c r="AH392" s="3" t="str">
        <f>IFERROR(__xludf.DUMMYFUNCTION("""COMPUTED_VALUE"""),"#N/A")</f>
        <v>#N/A</v>
      </c>
      <c r="AI392" s="3" t="str">
        <f>IFERROR(__xludf.DUMMYFUNCTION("""COMPUTED_VALUE"""),"Out of warranty")</f>
        <v>Out of warranty</v>
      </c>
      <c r="AJ392" s="3">
        <f>IFERROR(__xludf.DUMMYFUNCTION("""COMPUTED_VALUE"""),154.0)</f>
        <v>154</v>
      </c>
      <c r="AK392" s="3" t="str">
        <f>IFERROR(__xludf.DUMMYFUNCTION("""COMPUTED_VALUE"""),"MMS06")</f>
        <v>MMS06</v>
      </c>
      <c r="AL392" s="3"/>
    </row>
    <row r="393" ht="15.75" customHeight="1">
      <c r="A393" s="1" t="str">
        <f>IFERROR(__xludf.DUMMYFUNCTION("""COMPUTED_VALUE"""),"21152")</f>
        <v>21152</v>
      </c>
      <c r="B393" s="2">
        <f>IFERROR(__xludf.DUMMYFUNCTION("""COMPUTED_VALUE"""),21152.0)</f>
        <v>21152</v>
      </c>
      <c r="C393" s="3" t="str">
        <f>IFERROR(__xludf.DUMMYFUNCTION("""COMPUTED_VALUE"""),"เคหะคลองจั่น")</f>
        <v>เคหะคลองจั่น</v>
      </c>
      <c r="D393" s="3" t="str">
        <f>IFERROR(__xludf.DUMMYFUNCTION("""COMPUTED_VALUE"""),"MBC KEHA KLONGCHAN")</f>
        <v>MBC KEHA KLONGCHAN</v>
      </c>
      <c r="E393" s="1" t="str">
        <f>IFERROR(__xludf.DUMMYFUNCTION("""COMPUTED_VALUE"""),"บิ๊กซี MINI")</f>
        <v>บิ๊กซี MINI</v>
      </c>
      <c r="F393" s="1" t="str">
        <f>IFERROR(__xludf.DUMMYFUNCTION("""COMPUTED_VALUE"""),"291008")</f>
        <v>291008</v>
      </c>
      <c r="G393" s="1" t="str">
        <f>IFERROR(__xludf.DUMMYFUNCTION("""COMPUTED_VALUE"""),"น.ส.รัชดาพร อีศรัตน์")</f>
        <v>น.ส.รัชดาพร อีศรัตน์</v>
      </c>
      <c r="H393" s="1" t="str">
        <f>IFERROR(__xludf.DUMMYFUNCTION("""COMPUTED_VALUE"""),"034068")</f>
        <v>034068</v>
      </c>
      <c r="I393" s="1" t="str">
        <f>IFERROR(__xludf.DUMMYFUNCTION("""COMPUTED_VALUE"""),"นายสมศักดิ์ ฐานทองดี")</f>
        <v>นายสมศักดิ์ ฐานทองดี</v>
      </c>
      <c r="J393" s="3">
        <f>IFERROR(__xludf.DUMMYFUNCTION("""COMPUTED_VALUE"""),3510104.0)</f>
        <v>3510104</v>
      </c>
      <c r="K393" s="3" t="str">
        <f>IFERROR(__xludf.DUMMYFUNCTION("""COMPUTED_VALUE"""),"นายวิโรจน์ อับดุลสมัด")</f>
        <v>นายวิโรจน์ อับดุลสมัด</v>
      </c>
      <c r="L393" s="1" t="str">
        <f>IFERROR(__xludf.DUMMYFUNCTION("""COMPUTED_VALUE"""),"09 K.Wirode A")</f>
        <v>09 K.Wirode A</v>
      </c>
      <c r="M393" s="1" t="str">
        <f>IFERROR(__xludf.DUMMYFUNCTION("""COMPUTED_VALUE"""),"080-235-4465")</f>
        <v>080-235-4465</v>
      </c>
      <c r="N393" s="3">
        <f>IFERROR(__xludf.DUMMYFUNCTION("""COMPUTED_VALUE"""),21324.0)</f>
        <v>21324</v>
      </c>
      <c r="O393" s="3" t="str">
        <f>IFERROR(__xludf.DUMMYFUNCTION("""COMPUTED_VALUE"""),"MBC BCP สุวินทวงศ์")</f>
        <v>MBC BCP สุวินทวงศ์</v>
      </c>
      <c r="P393" s="4">
        <f>IFERROR(__xludf.DUMMYFUNCTION("""COMPUTED_VALUE"""),41357.0)</f>
        <v>41357</v>
      </c>
      <c r="Q393" s="3" t="str">
        <f>IFERROR(__xludf.DUMMYFUNCTION("""COMPUTED_VALUE"""),"I")</f>
        <v>I</v>
      </c>
      <c r="R393" s="3" t="str">
        <f>IFERROR(__xludf.DUMMYFUNCTION("""COMPUTED_VALUE"""),"Small Format")</f>
        <v>Small Format</v>
      </c>
      <c r="S393" s="3" t="str">
        <f>IFERROR(__xludf.DUMMYFUNCTION("""COMPUTED_VALUE"""),"BCM")</f>
        <v>BCM</v>
      </c>
      <c r="T393" s="3" t="str">
        <f>IFERROR(__xludf.DUMMYFUNCTION("""COMPUTED_VALUE"""),"#N/A")</f>
        <v>#N/A</v>
      </c>
      <c r="U393" s="3" t="str">
        <f>IFERROR(__xludf.DUMMYFUNCTION("""COMPUTED_VALUE"""),"#N/A")</f>
        <v>#N/A</v>
      </c>
      <c r="V393" s="3" t="str">
        <f>IFERROR(__xludf.DUMMYFUNCTION("""COMPUTED_VALUE"""),"N")</f>
        <v>N</v>
      </c>
      <c r="W393" s="3">
        <f>IFERROR(__xludf.DUMMYFUNCTION("""COMPUTED_VALUE"""),0.0)</f>
        <v>0</v>
      </c>
      <c r="X393" s="3" t="str">
        <f>IFERROR(__xludf.DUMMYFUNCTION("""COMPUTED_VALUE"""),"1 ซอย 59 (การเคหะฯ) แขวงคลองจั่น เขตบางกะปิ กรุงเทพฯ 10240")</f>
        <v>1 ซอย 59 (การเคหะฯ) แขวงคลองจั่น เขตบางกะปิ กรุงเทพฯ 10240</v>
      </c>
      <c r="Y393" s="3" t="str">
        <f>IFERROR(__xludf.DUMMYFUNCTION("""COMPUTED_VALUE"""),"ซอย 59 (การเคหะฯ)")</f>
        <v>ซอย 59 (การเคหะฯ)</v>
      </c>
      <c r="Z393" s="3" t="str">
        <f>IFERROR(__xludf.DUMMYFUNCTION("""COMPUTED_VALUE"""),"คลองจั่น")</f>
        <v>คลองจั่น</v>
      </c>
      <c r="AA393" s="3" t="str">
        <f>IFERROR(__xludf.DUMMYFUNCTION("""COMPUTED_VALUE"""),"บางกะปิ")</f>
        <v>บางกะปิ</v>
      </c>
      <c r="AB393" s="3" t="str">
        <f>IFERROR(__xludf.DUMMYFUNCTION("""COMPUTED_VALUE"""),"กรุงเทพมหานคร")</f>
        <v>กรุงเทพมหานคร</v>
      </c>
      <c r="AC393" s="3">
        <f>IFERROR(__xludf.DUMMYFUNCTION("""COMPUTED_VALUE"""),10240.0)</f>
        <v>10240</v>
      </c>
      <c r="AD393" s="3" t="str">
        <f>IFERROR(__xludf.DUMMYFUNCTION("""COMPUTED_VALUE"""),"#N/A")</f>
        <v>#N/A</v>
      </c>
      <c r="AE393" s="3" t="str">
        <f>IFERROR(__xludf.DUMMYFUNCTION("""COMPUTED_VALUE"""),"#N/A")</f>
        <v>#N/A</v>
      </c>
      <c r="AF393" s="3" t="str">
        <f>IFERROR(__xludf.DUMMYFUNCTION("""COMPUTED_VALUE"""),"เคหะคลองจั่น-21152")</f>
        <v>เคหะคลองจั่น-21152</v>
      </c>
      <c r="AG393" s="3" t="str">
        <f>IFERROR(__xludf.DUMMYFUNCTION("""COMPUTED_VALUE"""),"กลาง")</f>
        <v>กลาง</v>
      </c>
      <c r="AH393" s="3" t="str">
        <f>IFERROR(__xludf.DUMMYFUNCTION("""COMPUTED_VALUE"""),"#N/A")</f>
        <v>#N/A</v>
      </c>
      <c r="AI393" s="3" t="str">
        <f>IFERROR(__xludf.DUMMYFUNCTION("""COMPUTED_VALUE"""),"Out of warranty")</f>
        <v>Out of warranty</v>
      </c>
      <c r="AJ393" s="3">
        <f>IFERROR(__xludf.DUMMYFUNCTION("""COMPUTED_VALUE"""),154.0)</f>
        <v>154</v>
      </c>
      <c r="AK393" s="3"/>
      <c r="AL393" s="3"/>
    </row>
    <row r="394" ht="15.75" customHeight="1">
      <c r="A394" s="1" t="str">
        <f>IFERROR(__xludf.DUMMYFUNCTION("""COMPUTED_VALUE"""),"21153")</f>
        <v>21153</v>
      </c>
      <c r="B394" s="2">
        <f>IFERROR(__xludf.DUMMYFUNCTION("""COMPUTED_VALUE"""),21153.0)</f>
        <v>21153</v>
      </c>
      <c r="C394" s="3" t="str">
        <f>IFERROR(__xludf.DUMMYFUNCTION("""COMPUTED_VALUE"""),"ตลาดลาดหลุมแก้ว")</f>
        <v>ตลาดลาดหลุมแก้ว</v>
      </c>
      <c r="D394" s="3" t="str">
        <f>IFERROR(__xludf.DUMMYFUNCTION("""COMPUTED_VALUE"""),"MBC TARAD LADLUMKAEW")</f>
        <v>MBC TARAD LADLUMKAEW</v>
      </c>
      <c r="E394" s="1" t="str">
        <f>IFERROR(__xludf.DUMMYFUNCTION("""COMPUTED_VALUE"""),"บิ๊กซี MINI")</f>
        <v>บิ๊กซี MINI</v>
      </c>
      <c r="F394" s="1" t="str">
        <f>IFERROR(__xludf.DUMMYFUNCTION("""COMPUTED_VALUE"""),"291008")</f>
        <v>291008</v>
      </c>
      <c r="G394" s="1" t="str">
        <f>IFERROR(__xludf.DUMMYFUNCTION("""COMPUTED_VALUE"""),"น.ส.รัชดาพร อีศรัตน์")</f>
        <v>น.ส.รัชดาพร อีศรัตน์</v>
      </c>
      <c r="H394" s="1" t="str">
        <f>IFERROR(__xludf.DUMMYFUNCTION("""COMPUTED_VALUE"""),"288639")</f>
        <v>288639</v>
      </c>
      <c r="I394" s="1" t="str">
        <f>IFERROR(__xludf.DUMMYFUNCTION("""COMPUTED_VALUE"""),"น.ส.สมหญิง สีชมภู")</f>
        <v>น.ส.สมหญิง สีชมภู</v>
      </c>
      <c r="J394" s="3">
        <f>IFERROR(__xludf.DUMMYFUNCTION("""COMPUTED_VALUE"""),3510104.0)</f>
        <v>3510104</v>
      </c>
      <c r="K394" s="3" t="str">
        <f>IFERROR(__xludf.DUMMYFUNCTION("""COMPUTED_VALUE"""),"นายวิโรจน์ อับดุลสมัด")</f>
        <v>นายวิโรจน์ อับดุลสมัด</v>
      </c>
      <c r="L394" s="1" t="str">
        <f>IFERROR(__xludf.DUMMYFUNCTION("""COMPUTED_VALUE"""),"09 K.Wirode A")</f>
        <v>09 K.Wirode A</v>
      </c>
      <c r="M394" s="1" t="str">
        <f>IFERROR(__xludf.DUMMYFUNCTION("""COMPUTED_VALUE"""),"080-235-4465")</f>
        <v>080-235-4465</v>
      </c>
      <c r="N394" s="3">
        <f>IFERROR(__xludf.DUMMYFUNCTION("""COMPUTED_VALUE"""),21324.0)</f>
        <v>21324</v>
      </c>
      <c r="O394" s="3" t="str">
        <f>IFERROR(__xludf.DUMMYFUNCTION("""COMPUTED_VALUE"""),"MBC BCP สุวินทวงศ์")</f>
        <v>MBC BCP สุวินทวงศ์</v>
      </c>
      <c r="P394" s="4">
        <f>IFERROR(__xludf.DUMMYFUNCTION("""COMPUTED_VALUE"""),41358.0)</f>
        <v>41358</v>
      </c>
      <c r="Q394" s="3" t="str">
        <f>IFERROR(__xludf.DUMMYFUNCTION("""COMPUTED_VALUE"""),"I")</f>
        <v>I</v>
      </c>
      <c r="R394" s="3" t="str">
        <f>IFERROR(__xludf.DUMMYFUNCTION("""COMPUTED_VALUE"""),"Small Format")</f>
        <v>Small Format</v>
      </c>
      <c r="S394" s="3" t="str">
        <f>IFERROR(__xludf.DUMMYFUNCTION("""COMPUTED_VALUE"""),"BCM")</f>
        <v>BCM</v>
      </c>
      <c r="T394" s="3" t="str">
        <f>IFERROR(__xludf.DUMMYFUNCTION("""COMPUTED_VALUE"""),"#N/A")</f>
        <v>#N/A</v>
      </c>
      <c r="U394" s="3" t="str">
        <f>IFERROR(__xludf.DUMMYFUNCTION("""COMPUTED_VALUE"""),"#N/A")</f>
        <v>#N/A</v>
      </c>
      <c r="V394" s="3" t="str">
        <f>IFERROR(__xludf.DUMMYFUNCTION("""COMPUTED_VALUE"""),"N")</f>
        <v>N</v>
      </c>
      <c r="W394" s="3">
        <f>IFERROR(__xludf.DUMMYFUNCTION("""COMPUTED_VALUE"""),0.0)</f>
        <v>0</v>
      </c>
      <c r="X394" s="3" t="str">
        <f>IFERROR(__xludf.DUMMYFUNCTION("""COMPUTED_VALUE"""),"2/19 หมู่ 4 ตำบลระแหง อำเภอลาดหลุมแก้ว จังหวัดปทุมธานี 12140")</f>
        <v>2/19 หมู่ 4 ตำบลระแหง อำเภอลาดหลุมแก้ว จังหวัดปทุมธานี 12140</v>
      </c>
      <c r="Y394" s="3"/>
      <c r="Z394" s="3" t="str">
        <f>IFERROR(__xludf.DUMMYFUNCTION("""COMPUTED_VALUE"""),"ระแหง")</f>
        <v>ระแหง</v>
      </c>
      <c r="AA394" s="3" t="str">
        <f>IFERROR(__xludf.DUMMYFUNCTION("""COMPUTED_VALUE"""),"ลาดหลุมแก้ว")</f>
        <v>ลาดหลุมแก้ว</v>
      </c>
      <c r="AB394" s="3" t="str">
        <f>IFERROR(__xludf.DUMMYFUNCTION("""COMPUTED_VALUE"""),"ปทุมธานี")</f>
        <v>ปทุมธานี</v>
      </c>
      <c r="AC394" s="3">
        <f>IFERROR(__xludf.DUMMYFUNCTION("""COMPUTED_VALUE"""),12140.0)</f>
        <v>12140</v>
      </c>
      <c r="AD394" s="3" t="str">
        <f>IFERROR(__xludf.DUMMYFUNCTION("""COMPUTED_VALUE"""),"#N/A")</f>
        <v>#N/A</v>
      </c>
      <c r="AE394" s="3" t="str">
        <f>IFERROR(__xludf.DUMMYFUNCTION("""COMPUTED_VALUE"""),"#N/A")</f>
        <v>#N/A</v>
      </c>
      <c r="AF394" s="3" t="str">
        <f>IFERROR(__xludf.DUMMYFUNCTION("""COMPUTED_VALUE"""),"ตลาดลาดหลุมแก้ว-21153")</f>
        <v>ตลาดลาดหลุมแก้ว-21153</v>
      </c>
      <c r="AG394" s="3" t="str">
        <f>IFERROR(__xludf.DUMMYFUNCTION("""COMPUTED_VALUE"""),"กลาง")</f>
        <v>กลาง</v>
      </c>
      <c r="AH394" s="3" t="str">
        <f>IFERROR(__xludf.DUMMYFUNCTION("""COMPUTED_VALUE"""),"#N/A")</f>
        <v>#N/A</v>
      </c>
      <c r="AI394" s="3" t="str">
        <f>IFERROR(__xludf.DUMMYFUNCTION("""COMPUTED_VALUE"""),"Out of warranty")</f>
        <v>Out of warranty</v>
      </c>
      <c r="AJ394" s="3">
        <f>IFERROR(__xludf.DUMMYFUNCTION("""COMPUTED_VALUE"""),154.0)</f>
        <v>154</v>
      </c>
      <c r="AK394" s="3"/>
      <c r="AL394" s="3"/>
    </row>
    <row r="395" ht="15.75" customHeight="1">
      <c r="A395" s="1" t="str">
        <f>IFERROR(__xludf.DUMMYFUNCTION("""COMPUTED_VALUE"""),"21155")</f>
        <v>21155</v>
      </c>
      <c r="B395" s="2">
        <f>IFERROR(__xludf.DUMMYFUNCTION("""COMPUTED_VALUE"""),21155.0)</f>
        <v>21155</v>
      </c>
      <c r="C395" s="3" t="str">
        <f>IFERROR(__xludf.DUMMYFUNCTION("""COMPUTED_VALUE"""),"MBC ตลาดจอมพล")</f>
        <v>MBC ตลาดจอมพล</v>
      </c>
      <c r="D395" s="3" t="str">
        <f>IFERROR(__xludf.DUMMYFUNCTION("""COMPUTED_VALUE"""),"BCM TARAD CHOMPHON")</f>
        <v>BCM TARAD CHOMPHON</v>
      </c>
      <c r="E395" s="1" t="str">
        <f>IFERROR(__xludf.DUMMYFUNCTION("""COMPUTED_VALUE"""),"บิ๊กซี MINI")</f>
        <v>บิ๊กซี MINI</v>
      </c>
      <c r="F395" s="1" t="str">
        <f>IFERROR(__xludf.DUMMYFUNCTION("""COMPUTED_VALUE"""),"296229")</f>
        <v>296229</v>
      </c>
      <c r="G395" s="1" t="str">
        <f>IFERROR(__xludf.DUMMYFUNCTION("""COMPUTED_VALUE"""),"นายทนงศักดิ์ บุญมา")</f>
        <v>นายทนงศักดิ์ บุญมา</v>
      </c>
      <c r="H395" s="1" t="str">
        <f>IFERROR(__xludf.DUMMYFUNCTION("""COMPUTED_VALUE"""),"211363")</f>
        <v>211363</v>
      </c>
      <c r="I395" s="1" t="str">
        <f>IFERROR(__xludf.DUMMYFUNCTION("""COMPUTED_VALUE"""),"นายสามารถ บุญลับ")</f>
        <v>นายสามารถ บุญลับ</v>
      </c>
      <c r="J395" s="3">
        <f>IFERROR(__xludf.DUMMYFUNCTION("""COMPUTED_VALUE"""),46214.0)</f>
        <v>46214</v>
      </c>
      <c r="K395" s="3" t="str">
        <f>IFERROR(__xludf.DUMMYFUNCTION("""COMPUTED_VALUE"""),"นายศักดิ์ชัย เด็ดดอกฟ้า")</f>
        <v>นายศักดิ์ชัย เด็ดดอกฟ้า</v>
      </c>
      <c r="L395" s="1" t="str">
        <f>IFERROR(__xludf.DUMMYFUNCTION("""COMPUTED_VALUE"""),"02 K.Sakchai D")</f>
        <v>02 K.Sakchai D</v>
      </c>
      <c r="M395" s="1" t="str">
        <f>IFERROR(__xludf.DUMMYFUNCTION("""COMPUTED_VALUE"""),"065-510-7376")</f>
        <v>065-510-7376</v>
      </c>
      <c r="N395" s="3">
        <f>IFERROR(__xludf.DUMMYFUNCTION("""COMPUTED_VALUE"""),21714.0)</f>
        <v>21714</v>
      </c>
      <c r="O395" s="3" t="str">
        <f>IFERROR(__xludf.DUMMYFUNCTION("""COMPUTED_VALUE"""),"MBC เอสโซ่ วัดโบสถ์")</f>
        <v>MBC เอสโซ่ วัดโบสถ์</v>
      </c>
      <c r="P395" s="4">
        <f>IFERROR(__xludf.DUMMYFUNCTION("""COMPUTED_VALUE"""),41352.0)</f>
        <v>41352</v>
      </c>
      <c r="Q395" s="3" t="str">
        <f>IFERROR(__xludf.DUMMYFUNCTION("""COMPUTED_VALUE"""),"A")</f>
        <v>A</v>
      </c>
      <c r="R395" s="3" t="str">
        <f>IFERROR(__xludf.DUMMYFUNCTION("""COMPUTED_VALUE"""),"Small Format")</f>
        <v>Small Format</v>
      </c>
      <c r="S395" s="3" t="str">
        <f>IFERROR(__xludf.DUMMYFUNCTION("""COMPUTED_VALUE"""),"BCM")</f>
        <v>BCM</v>
      </c>
      <c r="T395" s="3" t="str">
        <f>IFERROR(__xludf.DUMMYFUNCTION("""COMPUTED_VALUE"""),"#N/A")</f>
        <v>#N/A</v>
      </c>
      <c r="U395" s="3" t="str">
        <f>IFERROR(__xludf.DUMMYFUNCTION("""COMPUTED_VALUE"""),"#N/A")</f>
        <v>#N/A</v>
      </c>
      <c r="V395" s="3" t="str">
        <f>IFERROR(__xludf.DUMMYFUNCTION("""COMPUTED_VALUE"""),"N")</f>
        <v>N</v>
      </c>
      <c r="W395" s="3">
        <f>IFERROR(__xludf.DUMMYFUNCTION("""COMPUTED_VALUE"""),211140.0)</f>
        <v>211140</v>
      </c>
      <c r="X395" s="3" t="str">
        <f>IFERROR(__xludf.DUMMYFUNCTION("""COMPUTED_VALUE"""),"140 หมู่ 4 ตำบลคุ้งลาน อำเภอบางปะอิน จังหวัดพระนครศรีอยุธยา 13160")</f>
        <v>140 หมู่ 4 ตำบลคุ้งลาน อำเภอบางปะอิน จังหวัดพระนครศรีอยุธยา 13160</v>
      </c>
      <c r="Y395" s="3"/>
      <c r="Z395" s="3" t="str">
        <f>IFERROR(__xludf.DUMMYFUNCTION("""COMPUTED_VALUE"""),"คุ้งลาน")</f>
        <v>คุ้งลาน</v>
      </c>
      <c r="AA395" s="3" t="str">
        <f>IFERROR(__xludf.DUMMYFUNCTION("""COMPUTED_VALUE"""),"บางปะอิน")</f>
        <v>บางปะอิน</v>
      </c>
      <c r="AB395" s="3" t="str">
        <f>IFERROR(__xludf.DUMMYFUNCTION("""COMPUTED_VALUE"""),"พระนครศรีอยุธยา")</f>
        <v>พระนครศรีอยุธยา</v>
      </c>
      <c r="AC395" s="3">
        <f>IFERROR(__xludf.DUMMYFUNCTION("""COMPUTED_VALUE"""),13160.0)</f>
        <v>13160</v>
      </c>
      <c r="AD395" s="3">
        <f>IFERROR(__xludf.DUMMYFUNCTION("""COMPUTED_VALUE"""),14.301522)</f>
        <v>14.301522</v>
      </c>
      <c r="AE395" s="3">
        <f>IFERROR(__xludf.DUMMYFUNCTION("""COMPUTED_VALUE"""),100.633561)</f>
        <v>100.633561</v>
      </c>
      <c r="AF395" s="3" t="str">
        <f>IFERROR(__xludf.DUMMYFUNCTION("""COMPUTED_VALUE"""),"MBC ตลาดจอมพล-21155")</f>
        <v>MBC ตลาดจอมพล-21155</v>
      </c>
      <c r="AG395" s="3" t="str">
        <f>IFERROR(__xludf.DUMMYFUNCTION("""COMPUTED_VALUE"""),"กลาง")</f>
        <v>กลาง</v>
      </c>
      <c r="AH395" s="3" t="str">
        <f>IFERROR(__xludf.DUMMYFUNCTION("""COMPUTED_VALUE"""),"#N/A")</f>
        <v>#N/A</v>
      </c>
      <c r="AI395" s="3" t="str">
        <f>IFERROR(__xludf.DUMMYFUNCTION("""COMPUTED_VALUE"""),"Out of warranty")</f>
        <v>Out of warranty</v>
      </c>
      <c r="AJ395" s="3">
        <f>IFERROR(__xludf.DUMMYFUNCTION("""COMPUTED_VALUE"""),155.0)</f>
        <v>155</v>
      </c>
      <c r="AK395" s="3" t="str">
        <f>IFERROR(__xludf.DUMMYFUNCTION("""COMPUTED_VALUE"""),"MMS04")</f>
        <v>MMS04</v>
      </c>
      <c r="AL395" s="3"/>
    </row>
    <row r="396" ht="15.75" customHeight="1">
      <c r="A396" s="1" t="str">
        <f>IFERROR(__xludf.DUMMYFUNCTION("""COMPUTED_VALUE"""),"21156")</f>
        <v>21156</v>
      </c>
      <c r="B396" s="2">
        <f>IFERROR(__xludf.DUMMYFUNCTION("""COMPUTED_VALUE"""),21156.0)</f>
        <v>21156</v>
      </c>
      <c r="C396" s="3" t="str">
        <f>IFERROR(__xludf.DUMMYFUNCTION("""COMPUTED_VALUE"""),"MBC ตลาดโคกกระถิน")</f>
        <v>MBC ตลาดโคกกระถิน</v>
      </c>
      <c r="D396" s="3" t="str">
        <f>IFERROR(__xludf.DUMMYFUNCTION("""COMPUTED_VALUE"""),"BCM TARAD KOKRATIN")</f>
        <v>BCM TARAD KOKRATIN</v>
      </c>
      <c r="E396" s="1" t="str">
        <f>IFERROR(__xludf.DUMMYFUNCTION("""COMPUTED_VALUE"""),"บิ๊กซี MINI")</f>
        <v>บิ๊กซี MINI</v>
      </c>
      <c r="F396" s="1" t="str">
        <f>IFERROR(__xludf.DUMMYFUNCTION("""COMPUTED_VALUE"""),"296229")</f>
        <v>296229</v>
      </c>
      <c r="G396" s="1" t="str">
        <f>IFERROR(__xludf.DUMMYFUNCTION("""COMPUTED_VALUE"""),"นายทนงศักดิ์ บุญมา")</f>
        <v>นายทนงศักดิ์ บุญมา</v>
      </c>
      <c r="H396" s="1" t="str">
        <f>IFERROR(__xludf.DUMMYFUNCTION("""COMPUTED_VALUE"""),"180089")</f>
        <v>180089</v>
      </c>
      <c r="I396" s="1" t="str">
        <f>IFERROR(__xludf.DUMMYFUNCTION("""COMPUTED_VALUE"""),"นายยุทธนา ลิ่มตระกูล")</f>
        <v>นายยุทธนา ลิ่มตระกูล</v>
      </c>
      <c r="J396" s="3">
        <f>IFERROR(__xludf.DUMMYFUNCTION("""COMPUTED_VALUE"""),46214.0)</f>
        <v>46214</v>
      </c>
      <c r="K396" s="3" t="str">
        <f>IFERROR(__xludf.DUMMYFUNCTION("""COMPUTED_VALUE"""),"นายศักดิ์ชัย เด็ดดอกฟ้า")</f>
        <v>นายศักดิ์ชัย เด็ดดอกฟ้า</v>
      </c>
      <c r="L396" s="1" t="str">
        <f>IFERROR(__xludf.DUMMYFUNCTION("""COMPUTED_VALUE"""),"02 K.Sakchai D")</f>
        <v>02 K.Sakchai D</v>
      </c>
      <c r="M396" s="1" t="str">
        <f>IFERROR(__xludf.DUMMYFUNCTION("""COMPUTED_VALUE"""),"065-510-7376")</f>
        <v>065-510-7376</v>
      </c>
      <c r="N396" s="3">
        <f>IFERROR(__xludf.DUMMYFUNCTION("""COMPUTED_VALUE"""),21714.0)</f>
        <v>21714</v>
      </c>
      <c r="O396" s="3" t="str">
        <f>IFERROR(__xludf.DUMMYFUNCTION("""COMPUTED_VALUE"""),"MBC เอสโซ่ วัดโบสถ์")</f>
        <v>MBC เอสโซ่ วัดโบสถ์</v>
      </c>
      <c r="P396" s="4">
        <f>IFERROR(__xludf.DUMMYFUNCTION("""COMPUTED_VALUE"""),41364.0)</f>
        <v>41364</v>
      </c>
      <c r="Q396" s="3" t="str">
        <f>IFERROR(__xludf.DUMMYFUNCTION("""COMPUTED_VALUE"""),"I")</f>
        <v>I</v>
      </c>
      <c r="R396" s="3" t="str">
        <f>IFERROR(__xludf.DUMMYFUNCTION("""COMPUTED_VALUE"""),"Small Format")</f>
        <v>Small Format</v>
      </c>
      <c r="S396" s="3" t="str">
        <f>IFERROR(__xludf.DUMMYFUNCTION("""COMPUTED_VALUE"""),"BCM")</f>
        <v>BCM</v>
      </c>
      <c r="T396" s="3" t="str">
        <f>IFERROR(__xludf.DUMMYFUNCTION("""COMPUTED_VALUE"""),"#N/A")</f>
        <v>#N/A</v>
      </c>
      <c r="U396" s="3" t="str">
        <f>IFERROR(__xludf.DUMMYFUNCTION("""COMPUTED_VALUE"""),"#N/A")</f>
        <v>#N/A</v>
      </c>
      <c r="V396" s="3" t="str">
        <f>IFERROR(__xludf.DUMMYFUNCTION("""COMPUTED_VALUE"""),"N")</f>
        <v>N</v>
      </c>
      <c r="W396" s="3">
        <f>IFERROR(__xludf.DUMMYFUNCTION("""COMPUTED_VALUE"""),211147.0)</f>
        <v>211147</v>
      </c>
      <c r="X396" s="3" t="str">
        <f>IFERROR(__xludf.DUMMYFUNCTION("""COMPUTED_VALUE"""),"51/4 หมู่ 8 ตำบลห้วยขมิ้น อำเภอหนองแค จังหวัดสระบุรี 18230")</f>
        <v>51/4 หมู่ 8 ตำบลห้วยขมิ้น อำเภอหนองแค จังหวัดสระบุรี 18230</v>
      </c>
      <c r="Y396" s="3"/>
      <c r="Z396" s="3" t="str">
        <f>IFERROR(__xludf.DUMMYFUNCTION("""COMPUTED_VALUE"""),"ห้วยขมิ้น")</f>
        <v>ห้วยขมิ้น</v>
      </c>
      <c r="AA396" s="3" t="str">
        <f>IFERROR(__xludf.DUMMYFUNCTION("""COMPUTED_VALUE"""),"หนองแค")</f>
        <v>หนองแค</v>
      </c>
      <c r="AB396" s="3" t="str">
        <f>IFERROR(__xludf.DUMMYFUNCTION("""COMPUTED_VALUE"""),"สระบุรี")</f>
        <v>สระบุรี</v>
      </c>
      <c r="AC396" s="3">
        <f>IFERROR(__xludf.DUMMYFUNCTION("""COMPUTED_VALUE"""),18230.0)</f>
        <v>18230</v>
      </c>
      <c r="AD396" s="3">
        <f>IFERROR(__xludf.DUMMYFUNCTION("""COMPUTED_VALUE"""),14.406703)</f>
        <v>14.406703</v>
      </c>
      <c r="AE396" s="3">
        <f>IFERROR(__xludf.DUMMYFUNCTION("""COMPUTED_VALUE"""),100.87913)</f>
        <v>100.87913</v>
      </c>
      <c r="AF396" s="3" t="str">
        <f>IFERROR(__xludf.DUMMYFUNCTION("""COMPUTED_VALUE"""),"MBC ตลาดโคกกระถิน-21156")</f>
        <v>MBC ตลาดโคกกระถิน-21156</v>
      </c>
      <c r="AG396" s="3" t="str">
        <f>IFERROR(__xludf.DUMMYFUNCTION("""COMPUTED_VALUE"""),"กลาง")</f>
        <v>กลาง</v>
      </c>
      <c r="AH396" s="3" t="str">
        <f>IFERROR(__xludf.DUMMYFUNCTION("""COMPUTED_VALUE"""),"#N/A")</f>
        <v>#N/A</v>
      </c>
      <c r="AI396" s="3" t="str">
        <f>IFERROR(__xludf.DUMMYFUNCTION("""COMPUTED_VALUE"""),"Out of warranty")</f>
        <v>Out of warranty</v>
      </c>
      <c r="AJ396" s="3">
        <f>IFERROR(__xludf.DUMMYFUNCTION("""COMPUTED_VALUE"""),154.0)</f>
        <v>154</v>
      </c>
      <c r="AK396" s="3" t="str">
        <f>IFERROR(__xludf.DUMMYFUNCTION("""COMPUTED_VALUE"""),"MMS09")</f>
        <v>MMS09</v>
      </c>
      <c r="AL396" s="3"/>
    </row>
    <row r="397" ht="15.75" customHeight="1">
      <c r="A397" s="1" t="str">
        <f>IFERROR(__xludf.DUMMYFUNCTION("""COMPUTED_VALUE"""),"21157")</f>
        <v>21157</v>
      </c>
      <c r="B397" s="2">
        <f>IFERROR(__xludf.DUMMYFUNCTION("""COMPUTED_VALUE"""),21157.0)</f>
        <v>21157</v>
      </c>
      <c r="C397" s="3" t="str">
        <f>IFERROR(__xludf.DUMMYFUNCTION("""COMPUTED_VALUE"""),"MBC ฉลองกรุง 53")</f>
        <v>MBC ฉลองกรุง 53</v>
      </c>
      <c r="D397" s="3" t="str">
        <f>IFERROR(__xludf.DUMMYFUNCTION("""COMPUTED_VALUE"""),"BCM CHALONGKRUNG 53")</f>
        <v>BCM CHALONGKRUNG 53</v>
      </c>
      <c r="E397" s="1" t="str">
        <f>IFERROR(__xludf.DUMMYFUNCTION("""COMPUTED_VALUE"""),"บิ๊กซี MINI")</f>
        <v>บิ๊กซี MINI</v>
      </c>
      <c r="F397" s="1" t="str">
        <f>IFERROR(__xludf.DUMMYFUNCTION("""COMPUTED_VALUE"""),"291008")</f>
        <v>291008</v>
      </c>
      <c r="G397" s="1" t="str">
        <f>IFERROR(__xludf.DUMMYFUNCTION("""COMPUTED_VALUE"""),"น.ส.รัชดาพร อีศรัตน์")</f>
        <v>น.ส.รัชดาพร อีศรัตน์</v>
      </c>
      <c r="H397" s="1" t="str">
        <f>IFERROR(__xludf.DUMMYFUNCTION("""COMPUTED_VALUE"""),"359054")</f>
        <v>359054</v>
      </c>
      <c r="I397" s="1" t="str">
        <f>IFERROR(__xludf.DUMMYFUNCTION("""COMPUTED_VALUE"""),"น.ส.กรรณิการ์ พุทธวงค์")</f>
        <v>น.ส.กรรณิการ์ พุทธวงค์</v>
      </c>
      <c r="J397" s="3">
        <f>IFERROR(__xludf.DUMMYFUNCTION("""COMPUTED_VALUE"""),2452378.0)</f>
        <v>2452378</v>
      </c>
      <c r="K397" s="3" t="str">
        <f>IFERROR(__xludf.DUMMYFUNCTION("""COMPUTED_VALUE"""),"นายศักดิ์ดา พวงประดับ")</f>
        <v>นายศักดิ์ดา พวงประดับ</v>
      </c>
      <c r="L397" s="1" t="str">
        <f>IFERROR(__xludf.DUMMYFUNCTION("""COMPUTED_VALUE"""),"11 K.Sakda P.")</f>
        <v>11 K.Sakda P.</v>
      </c>
      <c r="M397" s="1" t="str">
        <f>IFERROR(__xludf.DUMMYFUNCTION("""COMPUTED_VALUE"""),"065-929-1279")</f>
        <v>065-929-1279</v>
      </c>
      <c r="N397" s="3">
        <f>IFERROR(__xludf.DUMMYFUNCTION("""COMPUTED_VALUE"""),21002.0)</f>
        <v>21002</v>
      </c>
      <c r="O397" s="3" t="str">
        <f>IFERROR(__xludf.DUMMYFUNCTION("""COMPUTED_VALUE"""),"MBC อุดมสุข")</f>
        <v>MBC อุดมสุข</v>
      </c>
      <c r="P397" s="4">
        <f>IFERROR(__xludf.DUMMYFUNCTION("""COMPUTED_VALUE"""),41361.0)</f>
        <v>41361</v>
      </c>
      <c r="Q397" s="3" t="str">
        <f>IFERROR(__xludf.DUMMYFUNCTION("""COMPUTED_VALUE"""),"A")</f>
        <v>A</v>
      </c>
      <c r="R397" s="3" t="str">
        <f>IFERROR(__xludf.DUMMYFUNCTION("""COMPUTED_VALUE"""),"Small Format")</f>
        <v>Small Format</v>
      </c>
      <c r="S397" s="3" t="str">
        <f>IFERROR(__xludf.DUMMYFUNCTION("""COMPUTED_VALUE"""),"BCM")</f>
        <v>BCM</v>
      </c>
      <c r="T397" s="3" t="str">
        <f>IFERROR(__xludf.DUMMYFUNCTION("""COMPUTED_VALUE"""),"#N/A")</f>
        <v>#N/A</v>
      </c>
      <c r="U397" s="3" t="str">
        <f>IFERROR(__xludf.DUMMYFUNCTION("""COMPUTED_VALUE"""),"#N/A")</f>
        <v>#N/A</v>
      </c>
      <c r="V397" s="3" t="str">
        <f>IFERROR(__xludf.DUMMYFUNCTION("""COMPUTED_VALUE"""),"N")</f>
        <v>N</v>
      </c>
      <c r="W397" s="3">
        <f>IFERROR(__xludf.DUMMYFUNCTION("""COMPUTED_VALUE"""),211145.0)</f>
        <v>211145</v>
      </c>
      <c r="X397" s="3" t="str">
        <f>IFERROR(__xludf.DUMMYFUNCTION("""COMPUTED_VALUE"""),"217 ถนนเลียบคลองลำกอไผ่ แขวงลำปลาทิว เขตลาดกระบัง กรุงเทพฯ 10520")</f>
        <v>217 ถนนเลียบคลองลำกอไผ่ แขวงลำปลาทิว เขตลาดกระบัง กรุงเทพฯ 10520</v>
      </c>
      <c r="Y397" s="3" t="str">
        <f>IFERROR(__xludf.DUMMYFUNCTION("""COMPUTED_VALUE"""),"ถนนเลียบคลองลำกอไผ่")</f>
        <v>ถนนเลียบคลองลำกอไผ่</v>
      </c>
      <c r="Z397" s="3" t="str">
        <f>IFERROR(__xludf.DUMMYFUNCTION("""COMPUTED_VALUE"""),"ลำปลาทิว")</f>
        <v>ลำปลาทิว</v>
      </c>
      <c r="AA397" s="3" t="str">
        <f>IFERROR(__xludf.DUMMYFUNCTION("""COMPUTED_VALUE"""),"ลาดกระบัง")</f>
        <v>ลาดกระบัง</v>
      </c>
      <c r="AB397" s="3" t="str">
        <f>IFERROR(__xludf.DUMMYFUNCTION("""COMPUTED_VALUE"""),"กรุงเทพมหานคร")</f>
        <v>กรุงเทพมหานคร</v>
      </c>
      <c r="AC397" s="3">
        <f>IFERROR(__xludf.DUMMYFUNCTION("""COMPUTED_VALUE"""),10520.0)</f>
        <v>10520</v>
      </c>
      <c r="AD397" s="3">
        <f>IFERROR(__xludf.DUMMYFUNCTION("""COMPUTED_VALUE"""),13.779402)</f>
        <v>13.779402</v>
      </c>
      <c r="AE397" s="3">
        <f>IFERROR(__xludf.DUMMYFUNCTION("""COMPUTED_VALUE"""),100.796489)</f>
        <v>100.796489</v>
      </c>
      <c r="AF397" s="3" t="str">
        <f>IFERROR(__xludf.DUMMYFUNCTION("""COMPUTED_VALUE"""),"MBC ฉลองกรุง 53-21157")</f>
        <v>MBC ฉลองกรุง 53-21157</v>
      </c>
      <c r="AG397" s="3" t="str">
        <f>IFERROR(__xludf.DUMMYFUNCTION("""COMPUTED_VALUE"""),"กลาง")</f>
        <v>กลาง</v>
      </c>
      <c r="AH397" s="3" t="str">
        <f>IFERROR(__xludf.DUMMYFUNCTION("""COMPUTED_VALUE"""),"#N/A")</f>
        <v>#N/A</v>
      </c>
      <c r="AI397" s="3" t="str">
        <f>IFERROR(__xludf.DUMMYFUNCTION("""COMPUTED_VALUE"""),"Out of warranty")</f>
        <v>Out of warranty</v>
      </c>
      <c r="AJ397" s="3">
        <f>IFERROR(__xludf.DUMMYFUNCTION("""COMPUTED_VALUE"""),154.0)</f>
        <v>154</v>
      </c>
      <c r="AK397" s="3" t="str">
        <f>IFERROR(__xludf.DUMMYFUNCTION("""COMPUTED_VALUE"""),"MMS03")</f>
        <v>MMS03</v>
      </c>
      <c r="AL397" s="3"/>
    </row>
    <row r="398" ht="15.75" customHeight="1">
      <c r="A398" s="1" t="str">
        <f>IFERROR(__xludf.DUMMYFUNCTION("""COMPUTED_VALUE"""),"21158")</f>
        <v>21158</v>
      </c>
      <c r="B398" s="2">
        <f>IFERROR(__xludf.DUMMYFUNCTION("""COMPUTED_VALUE"""),21158.0)</f>
        <v>21158</v>
      </c>
      <c r="C398" s="3" t="str">
        <f>IFERROR(__xludf.DUMMYFUNCTION("""COMPUTED_VALUE"""),"MBC ตลาดลานทราย")</f>
        <v>MBC ตลาดลานทราย</v>
      </c>
      <c r="D398" s="3" t="str">
        <f>IFERROR(__xludf.DUMMYFUNCTION("""COMPUTED_VALUE"""),"BCM TARAD LANSAI")</f>
        <v>BCM TARAD LANSAI</v>
      </c>
      <c r="E398" s="1" t="str">
        <f>IFERROR(__xludf.DUMMYFUNCTION("""COMPUTED_VALUE"""),"บิ๊กซี MINI")</f>
        <v>บิ๊กซี MINI</v>
      </c>
      <c r="F398" s="1" t="str">
        <f>IFERROR(__xludf.DUMMYFUNCTION("""COMPUTED_VALUE"""),"2083447")</f>
        <v>2083447</v>
      </c>
      <c r="G398" s="1" t="str">
        <f>IFERROR(__xludf.DUMMYFUNCTION("""COMPUTED_VALUE"""),"นายอนุกูล ศรีลัดดา")</f>
        <v>นายอนุกูล ศรีลัดดา</v>
      </c>
      <c r="H398" s="1" t="str">
        <f>IFERROR(__xludf.DUMMYFUNCTION("""COMPUTED_VALUE"""),"379037")</f>
        <v>379037</v>
      </c>
      <c r="I398" s="1" t="str">
        <f>IFERROR(__xludf.DUMMYFUNCTION("""COMPUTED_VALUE"""),"นางแก้วใจ แก้วกาญจน์")</f>
        <v>นางแก้วใจ แก้วกาญจน์</v>
      </c>
      <c r="J398" s="3">
        <f>IFERROR(__xludf.DUMMYFUNCTION("""COMPUTED_VALUE"""),2451655.0)</f>
        <v>2451655</v>
      </c>
      <c r="K398" s="3" t="str">
        <f>IFERROR(__xludf.DUMMYFUNCTION("""COMPUTED_VALUE"""),"นายวิษณุพงษ์ ชินบุตร")</f>
        <v>นายวิษณุพงษ์ ชินบุตร</v>
      </c>
      <c r="L398" s="1" t="str">
        <f>IFERROR(__xludf.DUMMYFUNCTION("""COMPUTED_VALUE"""),"13 K.Wisanupong Ch")</f>
        <v>13 K.Wisanupong Ch</v>
      </c>
      <c r="M398" s="1" t="str">
        <f>IFERROR(__xludf.DUMMYFUNCTION("""COMPUTED_VALUE"""),"0843374693")</f>
        <v>0843374693</v>
      </c>
      <c r="N398" s="3">
        <f>IFERROR(__xludf.DUMMYFUNCTION("""COMPUTED_VALUE"""),22729.0)</f>
        <v>22729</v>
      </c>
      <c r="O398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398" s="4">
        <f>IFERROR(__xludf.DUMMYFUNCTION("""COMPUTED_VALUE"""),41362.0)</f>
        <v>41362</v>
      </c>
      <c r="Q398" s="3" t="str">
        <f>IFERROR(__xludf.DUMMYFUNCTION("""COMPUTED_VALUE"""),"A")</f>
        <v>A</v>
      </c>
      <c r="R398" s="3" t="str">
        <f>IFERROR(__xludf.DUMMYFUNCTION("""COMPUTED_VALUE"""),"Small Format")</f>
        <v>Small Format</v>
      </c>
      <c r="S398" s="3" t="str">
        <f>IFERROR(__xludf.DUMMYFUNCTION("""COMPUTED_VALUE"""),"BCM")</f>
        <v>BCM</v>
      </c>
      <c r="T398" s="3" t="str">
        <f>IFERROR(__xludf.DUMMYFUNCTION("""COMPUTED_VALUE"""),"#N/A")</f>
        <v>#N/A</v>
      </c>
      <c r="U398" s="3" t="str">
        <f>IFERROR(__xludf.DUMMYFUNCTION("""COMPUTED_VALUE"""),"#N/A")</f>
        <v>#N/A</v>
      </c>
      <c r="V398" s="3" t="str">
        <f>IFERROR(__xludf.DUMMYFUNCTION("""COMPUTED_VALUE"""),"N")</f>
        <v>N</v>
      </c>
      <c r="W398" s="3">
        <f>IFERROR(__xludf.DUMMYFUNCTION("""COMPUTED_VALUE"""),211146.0)</f>
        <v>211146</v>
      </c>
      <c r="X398" s="3" t="str">
        <f>IFERROR(__xludf.DUMMYFUNCTION("""COMPUTED_VALUE"""),"129/15 หมู่ 7 ตำบลบางจาก อำเภอพระประแดง จังหวัดสมุทรปราการ 10130")</f>
        <v>129/15 หมู่ 7 ตำบลบางจาก อำเภอพระประแดง จังหวัดสมุทรปราการ 10130</v>
      </c>
      <c r="Y398" s="3"/>
      <c r="Z398" s="3" t="str">
        <f>IFERROR(__xludf.DUMMYFUNCTION("""COMPUTED_VALUE"""),"บางจาก")</f>
        <v>บางจาก</v>
      </c>
      <c r="AA398" s="3" t="str">
        <f>IFERROR(__xludf.DUMMYFUNCTION("""COMPUTED_VALUE"""),"พระประแดง")</f>
        <v>พระประแดง</v>
      </c>
      <c r="AB398" s="3" t="str">
        <f>IFERROR(__xludf.DUMMYFUNCTION("""COMPUTED_VALUE"""),"สมุทรปราการ")</f>
        <v>สมุทรปราการ</v>
      </c>
      <c r="AC398" s="3">
        <f>IFERROR(__xludf.DUMMYFUNCTION("""COMPUTED_VALUE"""),10130.0)</f>
        <v>10130</v>
      </c>
      <c r="AD398" s="3">
        <f>IFERROR(__xludf.DUMMYFUNCTION("""COMPUTED_VALUE"""),13.615958)</f>
        <v>13.615958</v>
      </c>
      <c r="AE398" s="3">
        <f>IFERROR(__xludf.DUMMYFUNCTION("""COMPUTED_VALUE"""),100.532967)</f>
        <v>100.532967</v>
      </c>
      <c r="AF398" s="3" t="str">
        <f>IFERROR(__xludf.DUMMYFUNCTION("""COMPUTED_VALUE"""),"MBC ตลาดลานทราย-21158")</f>
        <v>MBC ตลาดลานทราย-21158</v>
      </c>
      <c r="AG398" s="3" t="str">
        <f>IFERROR(__xludf.DUMMYFUNCTION("""COMPUTED_VALUE"""),"กลาง")</f>
        <v>กลาง</v>
      </c>
      <c r="AH398" s="3" t="str">
        <f>IFERROR(__xludf.DUMMYFUNCTION("""COMPUTED_VALUE"""),"#N/A")</f>
        <v>#N/A</v>
      </c>
      <c r="AI398" s="3" t="str">
        <f>IFERROR(__xludf.DUMMYFUNCTION("""COMPUTED_VALUE"""),"Out of warranty")</f>
        <v>Out of warranty</v>
      </c>
      <c r="AJ398" s="3">
        <f>IFERROR(__xludf.DUMMYFUNCTION("""COMPUTED_VALUE"""),154.0)</f>
        <v>154</v>
      </c>
      <c r="AK398" s="3" t="str">
        <f>IFERROR(__xludf.DUMMYFUNCTION("""COMPUTED_VALUE"""),"MMS02")</f>
        <v>MMS02</v>
      </c>
      <c r="AL398" s="3"/>
    </row>
    <row r="399" ht="15.75" customHeight="1">
      <c r="A399" s="1" t="str">
        <f>IFERROR(__xludf.DUMMYFUNCTION("""COMPUTED_VALUE"""),"21159")</f>
        <v>21159</v>
      </c>
      <c r="B399" s="2">
        <f>IFERROR(__xludf.DUMMYFUNCTION("""COMPUTED_VALUE"""),21159.0)</f>
        <v>21159</v>
      </c>
      <c r="C399" s="3" t="str">
        <f>IFERROR(__xludf.DUMMYFUNCTION("""COMPUTED_VALUE"""),"BCM ตำบลลาดใหญ่")</f>
        <v>BCM ตำบลลาดใหญ่</v>
      </c>
      <c r="D399" s="3" t="str">
        <f>IFERROR(__xludf.DUMMYFUNCTION("""COMPUTED_VALUE"""),"BCM TAMBONLADYAI")</f>
        <v>BCM TAMBONLADYAI</v>
      </c>
      <c r="E399" s="1" t="str">
        <f>IFERROR(__xludf.DUMMYFUNCTION("""COMPUTED_VALUE"""),"บิ๊กซี MINI")</f>
        <v>บิ๊กซี MINI</v>
      </c>
      <c r="F399" s="1" t="str">
        <f>IFERROR(__xludf.DUMMYFUNCTION("""COMPUTED_VALUE"""),"250760")</f>
        <v>250760</v>
      </c>
      <c r="G399" s="1" t="str">
        <f>IFERROR(__xludf.DUMMYFUNCTION("""COMPUTED_VALUE"""),"นายประทวน สาราบรรณ์")</f>
        <v>นายประทวน สาราบรรณ์</v>
      </c>
      <c r="H399" s="1" t="str">
        <f>IFERROR(__xludf.DUMMYFUNCTION("""COMPUTED_VALUE"""),"391191")</f>
        <v>391191</v>
      </c>
      <c r="I399" s="1" t="str">
        <f>IFERROR(__xludf.DUMMYFUNCTION("""COMPUTED_VALUE"""),"นายวสันต์ สรงพรมทิพย์")</f>
        <v>นายวสันต์ สรงพรมทิพย์</v>
      </c>
      <c r="J399" s="3">
        <f>IFERROR(__xludf.DUMMYFUNCTION("""COMPUTED_VALUE"""),295541.0)</f>
        <v>295541</v>
      </c>
      <c r="K399" s="3" t="str">
        <f>IFERROR(__xludf.DUMMYFUNCTION("""COMPUTED_VALUE"""),"นายรพิพล ศรีมาตย์")</f>
        <v>นายรพิพล ศรีมาตย์</v>
      </c>
      <c r="L399" s="1" t="str">
        <f>IFERROR(__xludf.DUMMYFUNCTION("""COMPUTED_VALUE"""),"นายรพิพล ศรีมาตย์")</f>
        <v>นายรพิพล ศรีมาตย์</v>
      </c>
      <c r="M399" s="1" t="str">
        <f>IFERROR(__xludf.DUMMYFUNCTION("""COMPUTED_VALUE"""),"0613966115")</f>
        <v>0613966115</v>
      </c>
      <c r="N399" s="3">
        <f>IFERROR(__xludf.DUMMYFUNCTION("""COMPUTED_VALUE"""),21175.0)</f>
        <v>21175</v>
      </c>
      <c r="O399" s="3" t="str">
        <f>IFERROR(__xludf.DUMMYFUNCTION("""COMPUTED_VALUE"""),"MBC BCP กิ่งแก้ว")</f>
        <v>MBC BCP กิ่งแก้ว</v>
      </c>
      <c r="P399" s="4">
        <f>IFERROR(__xludf.DUMMYFUNCTION("""COMPUTED_VALUE"""),41386.0)</f>
        <v>41386</v>
      </c>
      <c r="Q399" s="3" t="str">
        <f>IFERROR(__xludf.DUMMYFUNCTION("""COMPUTED_VALUE"""),"I")</f>
        <v>I</v>
      </c>
      <c r="R399" s="3" t="str">
        <f>IFERROR(__xludf.DUMMYFUNCTION("""COMPUTED_VALUE"""),"Small Format")</f>
        <v>Small Format</v>
      </c>
      <c r="S399" s="3" t="str">
        <f>IFERROR(__xludf.DUMMYFUNCTION("""COMPUTED_VALUE"""),"BCM")</f>
        <v>BCM</v>
      </c>
      <c r="T399" s="3" t="str">
        <f>IFERROR(__xludf.DUMMYFUNCTION("""COMPUTED_VALUE"""),"#N/A")</f>
        <v>#N/A</v>
      </c>
      <c r="U399" s="3" t="str">
        <f>IFERROR(__xludf.DUMMYFUNCTION("""COMPUTED_VALUE"""),"#N/A")</f>
        <v>#N/A</v>
      </c>
      <c r="V399" s="3" t="str">
        <f>IFERROR(__xludf.DUMMYFUNCTION("""COMPUTED_VALUE"""),"N")</f>
        <v>N</v>
      </c>
      <c r="W399" s="3">
        <f>IFERROR(__xludf.DUMMYFUNCTION("""COMPUTED_VALUE"""),211148.0)</f>
        <v>211148</v>
      </c>
      <c r="X399" s="3" t="str">
        <f>IFERROR(__xludf.DUMMYFUNCTION("""COMPUTED_VALUE"""),"90/47 หมู่ 3 ตำบลลาดใหญ่ อำเภอเมืองสมุทรสงคราม จังหวัดสมุทรสงคราม 75000")</f>
        <v>90/47 หมู่ 3 ตำบลลาดใหญ่ อำเภอเมืองสมุทรสงคราม จังหวัดสมุทรสงคราม 75000</v>
      </c>
      <c r="Y399" s="3"/>
      <c r="Z399" s="3" t="str">
        <f>IFERROR(__xludf.DUMMYFUNCTION("""COMPUTED_VALUE"""),"ลาดใหญ่")</f>
        <v>ลาดใหญ่</v>
      </c>
      <c r="AA399" s="3" t="str">
        <f>IFERROR(__xludf.DUMMYFUNCTION("""COMPUTED_VALUE"""),"เมือง")</f>
        <v>เมือง</v>
      </c>
      <c r="AB399" s="3" t="str">
        <f>IFERROR(__xludf.DUMMYFUNCTION("""COMPUTED_VALUE"""),"สมุทรสงคราม")</f>
        <v>สมุทรสงคราม</v>
      </c>
      <c r="AC399" s="3">
        <f>IFERROR(__xludf.DUMMYFUNCTION("""COMPUTED_VALUE"""),75000.0)</f>
        <v>75000</v>
      </c>
      <c r="AD399" s="3">
        <f>IFERROR(__xludf.DUMMYFUNCTION("""COMPUTED_VALUE"""),13.430154)</f>
        <v>13.430154</v>
      </c>
      <c r="AE399" s="3">
        <f>IFERROR(__xludf.DUMMYFUNCTION("""COMPUTED_VALUE"""),100.021738)</f>
        <v>100.021738</v>
      </c>
      <c r="AF399" s="3" t="str">
        <f>IFERROR(__xludf.DUMMYFUNCTION("""COMPUTED_VALUE"""),"BCM ตำบลลาดใหญ่-21159")</f>
        <v>BCM ตำบลลาดใหญ่-21159</v>
      </c>
      <c r="AG399" s="3" t="str">
        <f>IFERROR(__xludf.DUMMYFUNCTION("""COMPUTED_VALUE"""),"กลาง")</f>
        <v>กลาง</v>
      </c>
      <c r="AH399" s="3" t="str">
        <f>IFERROR(__xludf.DUMMYFUNCTION("""COMPUTED_VALUE"""),"#N/A")</f>
        <v>#N/A</v>
      </c>
      <c r="AI399" s="3" t="str">
        <f>IFERROR(__xludf.DUMMYFUNCTION("""COMPUTED_VALUE"""),"Out of warranty")</f>
        <v>Out of warranty</v>
      </c>
      <c r="AJ399" s="3">
        <f>IFERROR(__xludf.DUMMYFUNCTION("""COMPUTED_VALUE"""),153.0)</f>
        <v>153</v>
      </c>
      <c r="AK399" s="3"/>
      <c r="AL399" s="3"/>
    </row>
    <row r="400" ht="15.75" customHeight="1">
      <c r="A400" s="1" t="str">
        <f>IFERROR(__xludf.DUMMYFUNCTION("""COMPUTED_VALUE"""),"21160")</f>
        <v>21160</v>
      </c>
      <c r="B400" s="2">
        <f>IFERROR(__xludf.DUMMYFUNCTION("""COMPUTED_VALUE"""),21160.0)</f>
        <v>21160</v>
      </c>
      <c r="C400" s="3" t="str">
        <f>IFERROR(__xludf.DUMMYFUNCTION("""COMPUTED_VALUE"""),"MBC วัดบัวโรย")</f>
        <v>MBC วัดบัวโรย</v>
      </c>
      <c r="D400" s="3" t="str">
        <f>IFERROR(__xludf.DUMMYFUNCTION("""COMPUTED_VALUE"""),"BCM WATBUAROEY")</f>
        <v>BCM WATBUAROEY</v>
      </c>
      <c r="E400" s="1" t="str">
        <f>IFERROR(__xludf.DUMMYFUNCTION("""COMPUTED_VALUE"""),"บิ๊กซี MINI")</f>
        <v>บิ๊กซี MINI</v>
      </c>
      <c r="F400" s="1" t="str">
        <f>IFERROR(__xludf.DUMMYFUNCTION("""COMPUTED_VALUE"""),"2083447")</f>
        <v>2083447</v>
      </c>
      <c r="G400" s="1" t="str">
        <f>IFERROR(__xludf.DUMMYFUNCTION("""COMPUTED_VALUE"""),"นายอนุกูล ศรีลัดดา")</f>
        <v>นายอนุกูล ศรีลัดดา</v>
      </c>
      <c r="H400" s="1" t="str">
        <f>IFERROR(__xludf.DUMMYFUNCTION("""COMPUTED_VALUE"""),"284752")</f>
        <v>284752</v>
      </c>
      <c r="I400" s="1" t="str">
        <f>IFERROR(__xludf.DUMMYFUNCTION("""COMPUTED_VALUE"""),"น.ส.วีรนันท์ แสงใส")</f>
        <v>น.ส.วีรนันท์ แสงใส</v>
      </c>
      <c r="J400" s="3">
        <f>IFERROR(__xludf.DUMMYFUNCTION("""COMPUTED_VALUE"""),2451655.0)</f>
        <v>2451655</v>
      </c>
      <c r="K400" s="3" t="str">
        <f>IFERROR(__xludf.DUMMYFUNCTION("""COMPUTED_VALUE"""),"นายวิษณุพงษ์ ชินบุตร")</f>
        <v>นายวิษณุพงษ์ ชินบุตร</v>
      </c>
      <c r="L400" s="1" t="str">
        <f>IFERROR(__xludf.DUMMYFUNCTION("""COMPUTED_VALUE"""),"13 K.Wisanupong Ch")</f>
        <v>13 K.Wisanupong Ch</v>
      </c>
      <c r="M400" s="1" t="str">
        <f>IFERROR(__xludf.DUMMYFUNCTION("""COMPUTED_VALUE"""),"0843374693")</f>
        <v>0843374693</v>
      </c>
      <c r="N400" s="3">
        <f>IFERROR(__xludf.DUMMYFUNCTION("""COMPUTED_VALUE"""),22729.0)</f>
        <v>22729</v>
      </c>
      <c r="O400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400" s="4">
        <f>IFERROR(__xludf.DUMMYFUNCTION("""COMPUTED_VALUE"""),41386.0)</f>
        <v>41386</v>
      </c>
      <c r="Q400" s="3" t="str">
        <f>IFERROR(__xludf.DUMMYFUNCTION("""COMPUTED_VALUE"""),"A")</f>
        <v>A</v>
      </c>
      <c r="R400" s="3" t="str">
        <f>IFERROR(__xludf.DUMMYFUNCTION("""COMPUTED_VALUE"""),"Small Format")</f>
        <v>Small Format</v>
      </c>
      <c r="S400" s="3" t="str">
        <f>IFERROR(__xludf.DUMMYFUNCTION("""COMPUTED_VALUE"""),"BCM")</f>
        <v>BCM</v>
      </c>
      <c r="T400" s="3" t="str">
        <f>IFERROR(__xludf.DUMMYFUNCTION("""COMPUTED_VALUE"""),"#N/A")</f>
        <v>#N/A</v>
      </c>
      <c r="U400" s="3" t="str">
        <f>IFERROR(__xludf.DUMMYFUNCTION("""COMPUTED_VALUE"""),"#N/A")</f>
        <v>#N/A</v>
      </c>
      <c r="V400" s="3" t="str">
        <f>IFERROR(__xludf.DUMMYFUNCTION("""COMPUTED_VALUE"""),"N")</f>
        <v>N</v>
      </c>
      <c r="W400" s="3">
        <f>IFERROR(__xludf.DUMMYFUNCTION("""COMPUTED_VALUE"""),211149.0)</f>
        <v>211149</v>
      </c>
      <c r="X400" s="3" t="str">
        <f>IFERROR(__xludf.DUMMYFUNCTION("""COMPUTED_VALUE"""),"55/36-38 หมู่ 3 ตำบลบางเสาธง อำเภอบางเสาธง จังหวัดสมุทรปราการ 10540")</f>
        <v>55/36-38 หมู่ 3 ตำบลบางเสาธง อำเภอบางเสาธง จังหวัดสมุทรปราการ 10540</v>
      </c>
      <c r="Y400" s="3"/>
      <c r="Z400" s="3" t="str">
        <f>IFERROR(__xludf.DUMMYFUNCTION("""COMPUTED_VALUE"""),"บางเสาธง")</f>
        <v>บางเสาธง</v>
      </c>
      <c r="AA400" s="3" t="str">
        <f>IFERROR(__xludf.DUMMYFUNCTION("""COMPUTED_VALUE"""),"บางเสาธง")</f>
        <v>บางเสาธง</v>
      </c>
      <c r="AB400" s="3" t="str">
        <f>IFERROR(__xludf.DUMMYFUNCTION("""COMPUTED_VALUE"""),"สมุทรปราการ")</f>
        <v>สมุทรปราการ</v>
      </c>
      <c r="AC400" s="3">
        <f>IFERROR(__xludf.DUMMYFUNCTION("""COMPUTED_VALUE"""),10540.0)</f>
        <v>10540</v>
      </c>
      <c r="AD400" s="3">
        <f>IFERROR(__xludf.DUMMYFUNCTION("""COMPUTED_VALUE"""),13.616313)</f>
        <v>13.616313</v>
      </c>
      <c r="AE400" s="3">
        <f>IFERROR(__xludf.DUMMYFUNCTION("""COMPUTED_VALUE"""),100.805225)</f>
        <v>100.805225</v>
      </c>
      <c r="AF400" s="3" t="str">
        <f>IFERROR(__xludf.DUMMYFUNCTION("""COMPUTED_VALUE"""),"MBC วัดบัวโรย-21160")</f>
        <v>MBC วัดบัวโรย-21160</v>
      </c>
      <c r="AG400" s="3" t="str">
        <f>IFERROR(__xludf.DUMMYFUNCTION("""COMPUTED_VALUE"""),"กลาง")</f>
        <v>กลาง</v>
      </c>
      <c r="AH400" s="3" t="str">
        <f>IFERROR(__xludf.DUMMYFUNCTION("""COMPUTED_VALUE"""),"#N/A")</f>
        <v>#N/A</v>
      </c>
      <c r="AI400" s="3" t="str">
        <f>IFERROR(__xludf.DUMMYFUNCTION("""COMPUTED_VALUE"""),"Out of warranty")</f>
        <v>Out of warranty</v>
      </c>
      <c r="AJ400" s="3">
        <f>IFERROR(__xludf.DUMMYFUNCTION("""COMPUTED_VALUE"""),153.0)</f>
        <v>153</v>
      </c>
      <c r="AK400" s="3" t="str">
        <f>IFERROR(__xludf.DUMMYFUNCTION("""COMPUTED_VALUE"""),"MMS03")</f>
        <v>MMS03</v>
      </c>
      <c r="AL400" s="3"/>
    </row>
    <row r="401" ht="15.75" customHeight="1">
      <c r="A401" s="1" t="str">
        <f>IFERROR(__xludf.DUMMYFUNCTION("""COMPUTED_VALUE"""),"21161")</f>
        <v>21161</v>
      </c>
      <c r="B401" s="2">
        <f>IFERROR(__xludf.DUMMYFUNCTION("""COMPUTED_VALUE"""),21161.0)</f>
        <v>21161</v>
      </c>
      <c r="C401" s="3" t="str">
        <f>IFERROR(__xludf.DUMMYFUNCTION("""COMPUTED_VALUE"""),"มบ.สินธิวาธานี")</f>
        <v>มบ.สินธิวาธานี</v>
      </c>
      <c r="D401" s="3" t="str">
        <f>IFERROR(__xludf.DUMMYFUNCTION("""COMPUTED_VALUE"""),"MBC MORBOR SINTHIWATHANEE")</f>
        <v>MBC MORBOR SINTHIWATHANEE</v>
      </c>
      <c r="E401" s="1" t="str">
        <f>IFERROR(__xludf.DUMMYFUNCTION("""COMPUTED_VALUE"""),"บิ๊กซี MINI")</f>
        <v>บิ๊กซี MINI</v>
      </c>
      <c r="F401" s="1" t="str">
        <f>IFERROR(__xludf.DUMMYFUNCTION("""COMPUTED_VALUE"""),"296229")</f>
        <v>296229</v>
      </c>
      <c r="G401" s="1" t="str">
        <f>IFERROR(__xludf.DUMMYFUNCTION("""COMPUTED_VALUE"""),"นายทนงศักดิ์ บุญมา")</f>
        <v>นายทนงศักดิ์ บุญมา</v>
      </c>
      <c r="H401" s="1" t="str">
        <f>IFERROR(__xludf.DUMMYFUNCTION("""COMPUTED_VALUE"""),"180089")</f>
        <v>180089</v>
      </c>
      <c r="I401" s="1" t="str">
        <f>IFERROR(__xludf.DUMMYFUNCTION("""COMPUTED_VALUE"""),"นายยุทธนา ลิ่มตระกูล")</f>
        <v>นายยุทธนา ลิ่มตระกูล</v>
      </c>
      <c r="J401" s="3">
        <f>IFERROR(__xludf.DUMMYFUNCTION("""COMPUTED_VALUE"""),46214.0)</f>
        <v>46214</v>
      </c>
      <c r="K401" s="3" t="str">
        <f>IFERROR(__xludf.DUMMYFUNCTION("""COMPUTED_VALUE"""),"นายศักดิ์ชัย เด็ดดอกฟ้า")</f>
        <v>นายศักดิ์ชัย เด็ดดอกฟ้า</v>
      </c>
      <c r="L401" s="1" t="str">
        <f>IFERROR(__xludf.DUMMYFUNCTION("""COMPUTED_VALUE"""),"02 K.Sakchai D")</f>
        <v>02 K.Sakchai D</v>
      </c>
      <c r="M401" s="1" t="str">
        <f>IFERROR(__xludf.DUMMYFUNCTION("""COMPUTED_VALUE"""),"065-510-7376")</f>
        <v>065-510-7376</v>
      </c>
      <c r="N401" s="3">
        <f>IFERROR(__xludf.DUMMYFUNCTION("""COMPUTED_VALUE"""),21441.0)</f>
        <v>21441</v>
      </c>
      <c r="O401" s="3" t="str">
        <f>IFERROR(__xludf.DUMMYFUNCTION("""COMPUTED_VALUE"""),"MBC บ้านกร่าง พิษณุโลก")</f>
        <v>MBC บ้านกร่าง พิษณุโลก</v>
      </c>
      <c r="P401" s="4">
        <f>IFERROR(__xludf.DUMMYFUNCTION("""COMPUTED_VALUE"""),41388.0)</f>
        <v>41388</v>
      </c>
      <c r="Q401" s="3" t="str">
        <f>IFERROR(__xludf.DUMMYFUNCTION("""COMPUTED_VALUE"""),"I")</f>
        <v>I</v>
      </c>
      <c r="R401" s="3" t="str">
        <f>IFERROR(__xludf.DUMMYFUNCTION("""COMPUTED_VALUE"""),"Small Format")</f>
        <v>Small Format</v>
      </c>
      <c r="S401" s="3" t="str">
        <f>IFERROR(__xludf.DUMMYFUNCTION("""COMPUTED_VALUE"""),"BCM")</f>
        <v>BCM</v>
      </c>
      <c r="T401" s="3" t="str">
        <f>IFERROR(__xludf.DUMMYFUNCTION("""COMPUTED_VALUE"""),"#N/A")</f>
        <v>#N/A</v>
      </c>
      <c r="U401" s="3" t="str">
        <f>IFERROR(__xludf.DUMMYFUNCTION("""COMPUTED_VALUE"""),"#N/A")</f>
        <v>#N/A</v>
      </c>
      <c r="V401" s="3" t="str">
        <f>IFERROR(__xludf.DUMMYFUNCTION("""COMPUTED_VALUE"""),"N")</f>
        <v>N</v>
      </c>
      <c r="W401" s="3">
        <f>IFERROR(__xludf.DUMMYFUNCTION("""COMPUTED_VALUE"""),0.0)</f>
        <v>0</v>
      </c>
      <c r="X401" s="3" t="str">
        <f>IFERROR(__xludf.DUMMYFUNCTION("""COMPUTED_VALUE"""),"125/94-96 หมู่ 2 ตำบลสามเรือน อำเภอบางปะอิน จังหวัดพระนครศรีอยุธยา 13160")</f>
        <v>125/94-96 หมู่ 2 ตำบลสามเรือน อำเภอบางปะอิน จังหวัดพระนครศรีอยุธยา 13160</v>
      </c>
      <c r="Y401" s="3"/>
      <c r="Z401" s="3" t="str">
        <f>IFERROR(__xludf.DUMMYFUNCTION("""COMPUTED_VALUE"""),"สามเรือน")</f>
        <v>สามเรือน</v>
      </c>
      <c r="AA401" s="3" t="str">
        <f>IFERROR(__xludf.DUMMYFUNCTION("""COMPUTED_VALUE"""),"บางปะอิน")</f>
        <v>บางปะอิน</v>
      </c>
      <c r="AB401" s="3" t="str">
        <f>IFERROR(__xludf.DUMMYFUNCTION("""COMPUTED_VALUE"""),"พระนครศรีอยุธยา")</f>
        <v>พระนครศรีอยุธยา</v>
      </c>
      <c r="AC401" s="3">
        <f>IFERROR(__xludf.DUMMYFUNCTION("""COMPUTED_VALUE"""),13160.0)</f>
        <v>13160</v>
      </c>
      <c r="AD401" s="3" t="str">
        <f>IFERROR(__xludf.DUMMYFUNCTION("""COMPUTED_VALUE"""),"#N/A")</f>
        <v>#N/A</v>
      </c>
      <c r="AE401" s="3" t="str">
        <f>IFERROR(__xludf.DUMMYFUNCTION("""COMPUTED_VALUE"""),"#N/A")</f>
        <v>#N/A</v>
      </c>
      <c r="AF401" s="3" t="str">
        <f>IFERROR(__xludf.DUMMYFUNCTION("""COMPUTED_VALUE"""),"มบ.สินธิวาธานี-21161")</f>
        <v>มบ.สินธิวาธานี-21161</v>
      </c>
      <c r="AG401" s="3" t="str">
        <f>IFERROR(__xludf.DUMMYFUNCTION("""COMPUTED_VALUE"""),"กลาง")</f>
        <v>กลาง</v>
      </c>
      <c r="AH401" s="3" t="str">
        <f>IFERROR(__xludf.DUMMYFUNCTION("""COMPUTED_VALUE"""),"#N/A")</f>
        <v>#N/A</v>
      </c>
      <c r="AI401" s="3" t="str">
        <f>IFERROR(__xludf.DUMMYFUNCTION("""COMPUTED_VALUE"""),"Out of warranty")</f>
        <v>Out of warranty</v>
      </c>
      <c r="AJ401" s="3">
        <f>IFERROR(__xludf.DUMMYFUNCTION("""COMPUTED_VALUE"""),153.0)</f>
        <v>153</v>
      </c>
      <c r="AK401" s="3"/>
      <c r="AL401" s="3"/>
    </row>
    <row r="402" ht="15.75" customHeight="1">
      <c r="A402" s="1" t="str">
        <f>IFERROR(__xludf.DUMMYFUNCTION("""COMPUTED_VALUE"""),"21162")</f>
        <v>21162</v>
      </c>
      <c r="B402" s="2">
        <f>IFERROR(__xludf.DUMMYFUNCTION("""COMPUTED_VALUE"""),21162.0)</f>
        <v>21162</v>
      </c>
      <c r="C402" s="3" t="str">
        <f>IFERROR(__xludf.DUMMYFUNCTION("""COMPUTED_VALUE"""),"MBC ตลาดคลอง16")</f>
        <v>MBC ตลาดคลอง16</v>
      </c>
      <c r="D402" s="3" t="str">
        <f>IFERROR(__xludf.DUMMYFUNCTION("""COMPUTED_VALUE"""),"BCM TALAD KLONG 16")</f>
        <v>BCM TALAD KLONG 16</v>
      </c>
      <c r="E402" s="1" t="str">
        <f>IFERROR(__xludf.DUMMYFUNCTION("""COMPUTED_VALUE"""),"บิ๊กซี MINI")</f>
        <v>บิ๊กซี MINI</v>
      </c>
      <c r="F402" s="1" t="str">
        <f>IFERROR(__xludf.DUMMYFUNCTION("""COMPUTED_VALUE"""),"2083447")</f>
        <v>2083447</v>
      </c>
      <c r="G402" s="1" t="str">
        <f>IFERROR(__xludf.DUMMYFUNCTION("""COMPUTED_VALUE"""),"นายอนุกูล ศรีลัดดา")</f>
        <v>นายอนุกูล ศรีลัดดา</v>
      </c>
      <c r="H402" s="1" t="str">
        <f>IFERROR(__xludf.DUMMYFUNCTION("""COMPUTED_VALUE"""),"254957")</f>
        <v>254957</v>
      </c>
      <c r="I402" s="1" t="str">
        <f>IFERROR(__xludf.DUMMYFUNCTION("""COMPUTED_VALUE"""),"น.ส.ศิริพร รุ่งธัญญา")</f>
        <v>น.ส.ศิริพร รุ่งธัญญา</v>
      </c>
      <c r="J402" s="3">
        <f>IFERROR(__xludf.DUMMYFUNCTION("""COMPUTED_VALUE"""),510143.0)</f>
        <v>510143</v>
      </c>
      <c r="K402" s="3" t="str">
        <f>IFERROR(__xludf.DUMMYFUNCTION("""COMPUTED_VALUE"""),"นายธีระวัฒน์ บุญสิทธิ์")</f>
        <v>นายธีระวัฒน์ บุญสิทธิ์</v>
      </c>
      <c r="L402" s="1" t="str">
        <f>IFERROR(__xludf.DUMMYFUNCTION("""COMPUTED_VALUE"""),"12 K.Theerawat B.")</f>
        <v>12 K.Theerawat B.</v>
      </c>
      <c r="M402" s="1" t="str">
        <f>IFERROR(__xludf.DUMMYFUNCTION("""COMPUTED_VALUE"""),"0655107379")</f>
        <v>0655107379</v>
      </c>
      <c r="N402" s="3">
        <f>IFERROR(__xludf.DUMMYFUNCTION("""COMPUTED_VALUE"""),21062.0)</f>
        <v>21062</v>
      </c>
      <c r="O402" s="3" t="str">
        <f>IFERROR(__xludf.DUMMYFUNCTION("""COMPUTED_VALUE"""),"MBC นิคมนวนคร")</f>
        <v>MBC นิคมนวนคร</v>
      </c>
      <c r="P402" s="4">
        <f>IFERROR(__xludf.DUMMYFUNCTION("""COMPUTED_VALUE"""),41390.0)</f>
        <v>41390</v>
      </c>
      <c r="Q402" s="3" t="str">
        <f>IFERROR(__xludf.DUMMYFUNCTION("""COMPUTED_VALUE"""),"A")</f>
        <v>A</v>
      </c>
      <c r="R402" s="3" t="str">
        <f>IFERROR(__xludf.DUMMYFUNCTION("""COMPUTED_VALUE"""),"Small Format")</f>
        <v>Small Format</v>
      </c>
      <c r="S402" s="3" t="str">
        <f>IFERROR(__xludf.DUMMYFUNCTION("""COMPUTED_VALUE"""),"BCM")</f>
        <v>BCM</v>
      </c>
      <c r="T402" s="3" t="str">
        <f>IFERROR(__xludf.DUMMYFUNCTION("""COMPUTED_VALUE"""),"#N/A")</f>
        <v>#N/A</v>
      </c>
      <c r="U402" s="3" t="str">
        <f>IFERROR(__xludf.DUMMYFUNCTION("""COMPUTED_VALUE"""),"#N/A")</f>
        <v>#N/A</v>
      </c>
      <c r="V402" s="3" t="str">
        <f>IFERROR(__xludf.DUMMYFUNCTION("""COMPUTED_VALUE"""),"N")</f>
        <v>N</v>
      </c>
      <c r="W402" s="3">
        <f>IFERROR(__xludf.DUMMYFUNCTION("""COMPUTED_VALUE"""),211152.0)</f>
        <v>211152</v>
      </c>
      <c r="X402" s="3" t="str">
        <f>IFERROR(__xludf.DUMMYFUNCTION("""COMPUTED_VALUE"""),"18/203-204 หมู่ 18 ถนนเทศบาล ตำบลดอนฉิมพลี อำเภอบางน้ำเปรี้ยว จังหวัดฉะเชิงเทรา 24170")</f>
        <v>18/203-204 หมู่ 18 ถนนเทศบาล ตำบลดอนฉิมพลี อำเภอบางน้ำเปรี้ยว จังหวัดฉะเชิงเทรา 24170</v>
      </c>
      <c r="Y402" s="3"/>
      <c r="Z402" s="3" t="str">
        <f>IFERROR(__xludf.DUMMYFUNCTION("""COMPUTED_VALUE"""),"ดอนฉิมพลี")</f>
        <v>ดอนฉิมพลี</v>
      </c>
      <c r="AA402" s="3" t="str">
        <f>IFERROR(__xludf.DUMMYFUNCTION("""COMPUTED_VALUE"""),"บางน้ำเปรี้ยว")</f>
        <v>บางน้ำเปรี้ยว</v>
      </c>
      <c r="AB402" s="3" t="str">
        <f>IFERROR(__xludf.DUMMYFUNCTION("""COMPUTED_VALUE"""),"ฉะเชิงเทรา")</f>
        <v>ฉะเชิงเทรา</v>
      </c>
      <c r="AC402" s="3">
        <f>IFERROR(__xludf.DUMMYFUNCTION("""COMPUTED_VALUE"""),24170.0)</f>
        <v>24170</v>
      </c>
      <c r="AD402" s="3">
        <f>IFERROR(__xludf.DUMMYFUNCTION("""COMPUTED_VALUE"""),13.966575)</f>
        <v>13.966575</v>
      </c>
      <c r="AE402" s="3">
        <f>IFERROR(__xludf.DUMMYFUNCTION("""COMPUTED_VALUE"""),100.963279)</f>
        <v>100.963279</v>
      </c>
      <c r="AF402" s="3" t="str">
        <f>IFERROR(__xludf.DUMMYFUNCTION("""COMPUTED_VALUE"""),"MBC ตลาดคลอง16-21162")</f>
        <v>MBC ตลาดคลอง16-21162</v>
      </c>
      <c r="AG402" s="3" t="str">
        <f>IFERROR(__xludf.DUMMYFUNCTION("""COMPUTED_VALUE"""),"ตะวันออก")</f>
        <v>ตะวันออก</v>
      </c>
      <c r="AH402" s="3" t="str">
        <f>IFERROR(__xludf.DUMMYFUNCTION("""COMPUTED_VALUE"""),"#N/A")</f>
        <v>#N/A</v>
      </c>
      <c r="AI402" s="3" t="str">
        <f>IFERROR(__xludf.DUMMYFUNCTION("""COMPUTED_VALUE"""),"Out of warranty")</f>
        <v>Out of warranty</v>
      </c>
      <c r="AJ402" s="3">
        <f>IFERROR(__xludf.DUMMYFUNCTION("""COMPUTED_VALUE"""),153.0)</f>
        <v>153</v>
      </c>
      <c r="AK402" s="3" t="str">
        <f>IFERROR(__xludf.DUMMYFUNCTION("""COMPUTED_VALUE"""),"MMS04")</f>
        <v>MMS04</v>
      </c>
      <c r="AL402" s="3"/>
    </row>
    <row r="403" ht="15.75" customHeight="1">
      <c r="A403" s="1" t="str">
        <f>IFERROR(__xludf.DUMMYFUNCTION("""COMPUTED_VALUE"""),"21163")</f>
        <v>21163</v>
      </c>
      <c r="B403" s="2">
        <f>IFERROR(__xludf.DUMMYFUNCTION("""COMPUTED_VALUE"""),21163.0)</f>
        <v>21163</v>
      </c>
      <c r="C403" s="3" t="str">
        <f>IFERROR(__xludf.DUMMYFUNCTION("""COMPUTED_VALUE"""),"MBC นาพร้าว")</f>
        <v>MBC นาพร้าว</v>
      </c>
      <c r="D403" s="3" t="str">
        <f>IFERROR(__xludf.DUMMYFUNCTION("""COMPUTED_VALUE"""),"BCM NAPRAO")</f>
        <v>BCM NAPRAO</v>
      </c>
      <c r="E403" s="1" t="str">
        <f>IFERROR(__xludf.DUMMYFUNCTION("""COMPUTED_VALUE"""),"บิ๊กซี MINI")</f>
        <v>บิ๊กซี MINI</v>
      </c>
      <c r="F403" s="1" t="str">
        <f>IFERROR(__xludf.DUMMYFUNCTION("""COMPUTED_VALUE"""),"221716")</f>
        <v>221716</v>
      </c>
      <c r="G403" s="1" t="str">
        <f>IFERROR(__xludf.DUMMYFUNCTION("""COMPUTED_VALUE"""),"น.ส.เบญจพร โพธิสาร")</f>
        <v>น.ส.เบญจพร โพธิสาร</v>
      </c>
      <c r="H403" s="1" t="str">
        <f>IFERROR(__xludf.DUMMYFUNCTION("""COMPUTED_VALUE"""),"376139")</f>
        <v>376139</v>
      </c>
      <c r="I403" s="1" t="str">
        <f>IFERROR(__xludf.DUMMYFUNCTION("""COMPUTED_VALUE"""),"นายอนุชา อำไพ")</f>
        <v>นายอนุชา อำไพ</v>
      </c>
      <c r="J403" s="3">
        <f>IFERROR(__xludf.DUMMYFUNCTION("""COMPUTED_VALUE"""),296942.0)</f>
        <v>296942</v>
      </c>
      <c r="K403" s="3" t="str">
        <f>IFERROR(__xludf.DUMMYFUNCTION("""COMPUTED_VALUE"""),"นายปิยะ รักษากิจ")</f>
        <v>นายปิยะ รักษากิจ</v>
      </c>
      <c r="L403" s="1" t="str">
        <f>IFERROR(__xludf.DUMMYFUNCTION("""COMPUTED_VALUE"""),"07 K.Piya R.")</f>
        <v>07 K.Piya R.</v>
      </c>
      <c r="M403" s="1" t="str">
        <f>IFERROR(__xludf.DUMMYFUNCTION("""COMPUTED_VALUE"""),"097-919-5476")</f>
        <v>097-919-5476</v>
      </c>
      <c r="N403" s="3">
        <f>IFERROR(__xludf.DUMMYFUNCTION("""COMPUTED_VALUE"""),21332.0)</f>
        <v>21332</v>
      </c>
      <c r="O403" s="3" t="str">
        <f>IFERROR(__xludf.DUMMYFUNCTION("""COMPUTED_VALUE"""),"MBC BCP อ่อนนุช 17/1")</f>
        <v>MBC BCP อ่อนนุช 17/1</v>
      </c>
      <c r="P403" s="4">
        <f>IFERROR(__xludf.DUMMYFUNCTION("""COMPUTED_VALUE"""),41390.0)</f>
        <v>41390</v>
      </c>
      <c r="Q403" s="3" t="str">
        <f>IFERROR(__xludf.DUMMYFUNCTION("""COMPUTED_VALUE"""),"A")</f>
        <v>A</v>
      </c>
      <c r="R403" s="3" t="str">
        <f>IFERROR(__xludf.DUMMYFUNCTION("""COMPUTED_VALUE"""),"Small Format")</f>
        <v>Small Format</v>
      </c>
      <c r="S403" s="3" t="str">
        <f>IFERROR(__xludf.DUMMYFUNCTION("""COMPUTED_VALUE"""),"BCM")</f>
        <v>BCM</v>
      </c>
      <c r="T403" s="3" t="str">
        <f>IFERROR(__xludf.DUMMYFUNCTION("""COMPUTED_VALUE"""),"#N/A")</f>
        <v>#N/A</v>
      </c>
      <c r="U403" s="3" t="str">
        <f>IFERROR(__xludf.DUMMYFUNCTION("""COMPUTED_VALUE"""),"#N/A")</f>
        <v>#N/A</v>
      </c>
      <c r="V403" s="3" t="str">
        <f>IFERROR(__xludf.DUMMYFUNCTION("""COMPUTED_VALUE"""),"N")</f>
        <v>N</v>
      </c>
      <c r="W403" s="3">
        <f>IFERROR(__xludf.DUMMYFUNCTION("""COMPUTED_VALUE"""),211151.0)</f>
        <v>211151</v>
      </c>
      <c r="X403" s="3" t="str">
        <f>IFERROR(__xludf.DUMMYFUNCTION("""COMPUTED_VALUE"""),"188/3 หมู่ 5 ตำบลสุรศักดิ์ อำเภอศรีราชา จังหวัดชลบุรี 20110")</f>
        <v>188/3 หมู่ 5 ตำบลสุรศักดิ์ อำเภอศรีราชา จังหวัดชลบุรี 20110</v>
      </c>
      <c r="Y403" s="3"/>
      <c r="Z403" s="3" t="str">
        <f>IFERROR(__xludf.DUMMYFUNCTION("""COMPUTED_VALUE"""),"สุรศักดิ์")</f>
        <v>สุรศักดิ์</v>
      </c>
      <c r="AA403" s="3" t="str">
        <f>IFERROR(__xludf.DUMMYFUNCTION("""COMPUTED_VALUE"""),"ศรีราชา")</f>
        <v>ศรีราชา</v>
      </c>
      <c r="AB403" s="3" t="str">
        <f>IFERROR(__xludf.DUMMYFUNCTION("""COMPUTED_VALUE"""),"ชลบุรี")</f>
        <v>ชลบุรี</v>
      </c>
      <c r="AC403" s="3">
        <f>IFERROR(__xludf.DUMMYFUNCTION("""COMPUTED_VALUE"""),20110.0)</f>
        <v>20110</v>
      </c>
      <c r="AD403" s="3">
        <f>IFERROR(__xludf.DUMMYFUNCTION("""COMPUTED_VALUE"""),13.156361)</f>
        <v>13.156361</v>
      </c>
      <c r="AE403" s="3">
        <f>IFERROR(__xludf.DUMMYFUNCTION("""COMPUTED_VALUE"""),100.970146)</f>
        <v>100.970146</v>
      </c>
      <c r="AF403" s="3" t="str">
        <f>IFERROR(__xludf.DUMMYFUNCTION("""COMPUTED_VALUE"""),"MBC นาพร้าว-21163")</f>
        <v>MBC นาพร้าว-21163</v>
      </c>
      <c r="AG403" s="3" t="str">
        <f>IFERROR(__xludf.DUMMYFUNCTION("""COMPUTED_VALUE"""),"ตะวันออก")</f>
        <v>ตะวันออก</v>
      </c>
      <c r="AH403" s="3" t="str">
        <f>IFERROR(__xludf.DUMMYFUNCTION("""COMPUTED_VALUE"""),"#N/A")</f>
        <v>#N/A</v>
      </c>
      <c r="AI403" s="3" t="str">
        <f>IFERROR(__xludf.DUMMYFUNCTION("""COMPUTED_VALUE"""),"Out of warranty")</f>
        <v>Out of warranty</v>
      </c>
      <c r="AJ403" s="3">
        <f>IFERROR(__xludf.DUMMYFUNCTION("""COMPUTED_VALUE"""),153.0)</f>
        <v>153</v>
      </c>
      <c r="AK403" s="3" t="str">
        <f>IFERROR(__xludf.DUMMYFUNCTION("""COMPUTED_VALUE"""),"MMS06")</f>
        <v>MMS06</v>
      </c>
      <c r="AL403" s="3"/>
    </row>
    <row r="404" ht="15.75" customHeight="1">
      <c r="A404" s="1" t="str">
        <f>IFERROR(__xludf.DUMMYFUNCTION("""COMPUTED_VALUE"""),"21165")</f>
        <v>21165</v>
      </c>
      <c r="B404" s="2">
        <f>IFERROR(__xludf.DUMMYFUNCTION("""COMPUTED_VALUE"""),21165.0)</f>
        <v>21165</v>
      </c>
      <c r="C404" s="3" t="str">
        <f>IFERROR(__xludf.DUMMYFUNCTION("""COMPUTED_VALUE"""),"MBC แสนภูดาษ")</f>
        <v>MBC แสนภูดาษ</v>
      </c>
      <c r="D404" s="3" t="str">
        <f>IFERROR(__xludf.DUMMYFUNCTION("""COMPUTED_VALUE"""),"BCM SAENPHUDAT")</f>
        <v>BCM SAENPHUDAT</v>
      </c>
      <c r="E404" s="1" t="str">
        <f>IFERROR(__xludf.DUMMYFUNCTION("""COMPUTED_VALUE"""),"บิ๊กซี MINI")</f>
        <v>บิ๊กซี MINI</v>
      </c>
      <c r="F404" s="1" t="str">
        <f>IFERROR(__xludf.DUMMYFUNCTION("""COMPUTED_VALUE"""),"2083447")</f>
        <v>2083447</v>
      </c>
      <c r="G404" s="1" t="str">
        <f>IFERROR(__xludf.DUMMYFUNCTION("""COMPUTED_VALUE"""),"นายอนุกูล ศรีลัดดา")</f>
        <v>นายอนุกูล ศรีลัดดา</v>
      </c>
      <c r="H404" s="1" t="str">
        <f>IFERROR(__xludf.DUMMYFUNCTION("""COMPUTED_VALUE"""),"254957")</f>
        <v>254957</v>
      </c>
      <c r="I404" s="1" t="str">
        <f>IFERROR(__xludf.DUMMYFUNCTION("""COMPUTED_VALUE"""),"น.ส.ศิริพร รุ่งธัญญา")</f>
        <v>น.ส.ศิริพร รุ่งธัญญา</v>
      </c>
      <c r="J404" s="3">
        <f>IFERROR(__xludf.DUMMYFUNCTION("""COMPUTED_VALUE"""),2451655.0)</f>
        <v>2451655</v>
      </c>
      <c r="K404" s="3" t="str">
        <f>IFERROR(__xludf.DUMMYFUNCTION("""COMPUTED_VALUE"""),"นายวิษณุพงษ์ ชินบุตร")</f>
        <v>นายวิษณุพงษ์ ชินบุตร</v>
      </c>
      <c r="L404" s="1" t="str">
        <f>IFERROR(__xludf.DUMMYFUNCTION("""COMPUTED_VALUE"""),"13 K.Wisanupong Ch")</f>
        <v>13 K.Wisanupong Ch</v>
      </c>
      <c r="M404" s="1" t="str">
        <f>IFERROR(__xludf.DUMMYFUNCTION("""COMPUTED_VALUE"""),"0843374693")</f>
        <v>0843374693</v>
      </c>
      <c r="N404" s="3">
        <f>IFERROR(__xludf.DUMMYFUNCTION("""COMPUTED_VALUE"""),21013.0)</f>
        <v>21013</v>
      </c>
      <c r="O404" s="3" t="str">
        <f>IFERROR(__xludf.DUMMYFUNCTION("""COMPUTED_VALUE"""),"MBC รังสิตคลอง2")</f>
        <v>MBC รังสิตคลอง2</v>
      </c>
      <c r="P404" s="4">
        <f>IFERROR(__xludf.DUMMYFUNCTION("""COMPUTED_VALUE"""),41407.0)</f>
        <v>41407</v>
      </c>
      <c r="Q404" s="3" t="str">
        <f>IFERROR(__xludf.DUMMYFUNCTION("""COMPUTED_VALUE"""),"I")</f>
        <v>I</v>
      </c>
      <c r="R404" s="3" t="str">
        <f>IFERROR(__xludf.DUMMYFUNCTION("""COMPUTED_VALUE"""),"Small Format")</f>
        <v>Small Format</v>
      </c>
      <c r="S404" s="3" t="str">
        <f>IFERROR(__xludf.DUMMYFUNCTION("""COMPUTED_VALUE"""),"BCM")</f>
        <v>BCM</v>
      </c>
      <c r="T404" s="3" t="str">
        <f>IFERROR(__xludf.DUMMYFUNCTION("""COMPUTED_VALUE"""),"#N/A")</f>
        <v>#N/A</v>
      </c>
      <c r="U404" s="3" t="str">
        <f>IFERROR(__xludf.DUMMYFUNCTION("""COMPUTED_VALUE"""),"#N/A")</f>
        <v>#N/A</v>
      </c>
      <c r="V404" s="3" t="str">
        <f>IFERROR(__xludf.DUMMYFUNCTION("""COMPUTED_VALUE"""),"N")</f>
        <v>N</v>
      </c>
      <c r="W404" s="3">
        <f>IFERROR(__xludf.DUMMYFUNCTION("""COMPUTED_VALUE"""),211154.0)</f>
        <v>211154</v>
      </c>
      <c r="X404" s="3" t="str">
        <f>IFERROR(__xludf.DUMMYFUNCTION("""COMPUTED_VALUE"""),"33/2 หมู่ 3 ตำบลแสนภูดาษ อำเภอบ้านโพธิ์ จังหวัดฉะเชิงเทรา 24140")</f>
        <v>33/2 หมู่ 3 ตำบลแสนภูดาษ อำเภอบ้านโพธิ์ จังหวัดฉะเชิงเทรา 24140</v>
      </c>
      <c r="Y404" s="3"/>
      <c r="Z404" s="3" t="str">
        <f>IFERROR(__xludf.DUMMYFUNCTION("""COMPUTED_VALUE"""),"แสนภูดาษ")</f>
        <v>แสนภูดาษ</v>
      </c>
      <c r="AA404" s="3" t="str">
        <f>IFERROR(__xludf.DUMMYFUNCTION("""COMPUTED_VALUE"""),"บ้านโพธิ์")</f>
        <v>บ้านโพธิ์</v>
      </c>
      <c r="AB404" s="3" t="str">
        <f>IFERROR(__xludf.DUMMYFUNCTION("""COMPUTED_VALUE"""),"ฉะเชิงเทรา")</f>
        <v>ฉะเชิงเทรา</v>
      </c>
      <c r="AC404" s="3">
        <f>IFERROR(__xludf.DUMMYFUNCTION("""COMPUTED_VALUE"""),24140.0)</f>
        <v>24140</v>
      </c>
      <c r="AD404" s="3">
        <f>IFERROR(__xludf.DUMMYFUNCTION("""COMPUTED_VALUE"""),13.584799)</f>
        <v>13.584799</v>
      </c>
      <c r="AE404" s="3">
        <f>IFERROR(__xludf.DUMMYFUNCTION("""COMPUTED_VALUE"""),101.010186)</f>
        <v>101.010186</v>
      </c>
      <c r="AF404" s="3" t="str">
        <f>IFERROR(__xludf.DUMMYFUNCTION("""COMPUTED_VALUE"""),"MBC แสนภูดาษ-21165")</f>
        <v>MBC แสนภูดาษ-21165</v>
      </c>
      <c r="AG404" s="3" t="str">
        <f>IFERROR(__xludf.DUMMYFUNCTION("""COMPUTED_VALUE"""),"ตะวันออก")</f>
        <v>ตะวันออก</v>
      </c>
      <c r="AH404" s="3" t="str">
        <f>IFERROR(__xludf.DUMMYFUNCTION("""COMPUTED_VALUE"""),"#N/A")</f>
        <v>#N/A</v>
      </c>
      <c r="AI404" s="3" t="str">
        <f>IFERROR(__xludf.DUMMYFUNCTION("""COMPUTED_VALUE"""),"Out of warranty")</f>
        <v>Out of warranty</v>
      </c>
      <c r="AJ404" s="3">
        <f>IFERROR(__xludf.DUMMYFUNCTION("""COMPUTED_VALUE"""),153.0)</f>
        <v>153</v>
      </c>
      <c r="AK404" s="3" t="str">
        <f>IFERROR(__xludf.DUMMYFUNCTION("""COMPUTED_VALUE"""),"MMS07")</f>
        <v>MMS07</v>
      </c>
      <c r="AL404" s="3"/>
    </row>
    <row r="405" ht="15.75" customHeight="1">
      <c r="A405" s="1" t="str">
        <f>IFERROR(__xludf.DUMMYFUNCTION("""COMPUTED_VALUE"""),"21166")</f>
        <v>21166</v>
      </c>
      <c r="B405" s="2">
        <f>IFERROR(__xludf.DUMMYFUNCTION("""COMPUTED_VALUE"""),21166.0)</f>
        <v>21166</v>
      </c>
      <c r="C405" s="3" t="str">
        <f>IFERROR(__xludf.DUMMYFUNCTION("""COMPUTED_VALUE"""),"MBC BCP เพชรเกษม กม61")</f>
        <v>MBC BCP เพชรเกษม กม61</v>
      </c>
      <c r="D405" s="3" t="str">
        <f>IFERROR(__xludf.DUMMYFUNCTION("""COMPUTED_VALUE"""),"BCM BCP PETKASEM KM61")</f>
        <v>BCM BCP PETKASEM KM61</v>
      </c>
      <c r="E405" s="1" t="str">
        <f>IFERROR(__xludf.DUMMYFUNCTION("""COMPUTED_VALUE"""),"บิ๊กซี MINI")</f>
        <v>บิ๊กซี MINI</v>
      </c>
      <c r="F405" s="1" t="str">
        <f>IFERROR(__xludf.DUMMYFUNCTION("""COMPUTED_VALUE"""),"296229")</f>
        <v>296229</v>
      </c>
      <c r="G405" s="1" t="str">
        <f>IFERROR(__xludf.DUMMYFUNCTION("""COMPUTED_VALUE"""),"นายทนงศักดิ์ บุญมา")</f>
        <v>นายทนงศักดิ์ บุญมา</v>
      </c>
      <c r="H405" s="1" t="str">
        <f>IFERROR(__xludf.DUMMYFUNCTION("""COMPUTED_VALUE"""),"295245")</f>
        <v>295245</v>
      </c>
      <c r="I405" s="1" t="str">
        <f>IFERROR(__xludf.DUMMYFUNCTION("""COMPUTED_VALUE"""),"นายมานะ วงศ์สุโชโต")</f>
        <v>นายมานะ วงศ์สุโชโต</v>
      </c>
      <c r="J405" s="3">
        <f>IFERROR(__xludf.DUMMYFUNCTION("""COMPUTED_VALUE"""),46214.0)</f>
        <v>46214</v>
      </c>
      <c r="K405" s="3" t="str">
        <f>IFERROR(__xludf.DUMMYFUNCTION("""COMPUTED_VALUE"""),"นายศักดิ์ชัย เด็ดดอกฟ้า")</f>
        <v>นายศักดิ์ชัย เด็ดดอกฟ้า</v>
      </c>
      <c r="L405" s="1" t="str">
        <f>IFERROR(__xludf.DUMMYFUNCTION("""COMPUTED_VALUE"""),"02 K.Sakchai D")</f>
        <v>02 K.Sakchai D</v>
      </c>
      <c r="M405" s="1" t="str">
        <f>IFERROR(__xludf.DUMMYFUNCTION("""COMPUTED_VALUE"""),"065-510-7376")</f>
        <v>065-510-7376</v>
      </c>
      <c r="N405" s="3">
        <f>IFERROR(__xludf.DUMMYFUNCTION("""COMPUTED_VALUE"""),21714.0)</f>
        <v>21714</v>
      </c>
      <c r="O405" s="3" t="str">
        <f>IFERROR(__xludf.DUMMYFUNCTION("""COMPUTED_VALUE"""),"MBC เอสโซ่ วัดโบสถ์")</f>
        <v>MBC เอสโซ่ วัดโบสถ์</v>
      </c>
      <c r="P405" s="4">
        <f>IFERROR(__xludf.DUMMYFUNCTION("""COMPUTED_VALUE"""),41409.0)</f>
        <v>41409</v>
      </c>
      <c r="Q405" s="3" t="str">
        <f>IFERROR(__xludf.DUMMYFUNCTION("""COMPUTED_VALUE"""),"I")</f>
        <v>I</v>
      </c>
      <c r="R405" s="3" t="str">
        <f>IFERROR(__xludf.DUMMYFUNCTION("""COMPUTED_VALUE"""),"Small Format")</f>
        <v>Small Format</v>
      </c>
      <c r="S405" s="3" t="str">
        <f>IFERROR(__xludf.DUMMYFUNCTION("""COMPUTED_VALUE"""),"BCM")</f>
        <v>BCM</v>
      </c>
      <c r="T405" s="3" t="str">
        <f>IFERROR(__xludf.DUMMYFUNCTION("""COMPUTED_VALUE"""),"#N/A")</f>
        <v>#N/A</v>
      </c>
      <c r="U405" s="3" t="str">
        <f>IFERROR(__xludf.DUMMYFUNCTION("""COMPUTED_VALUE"""),"#N/A")</f>
        <v>#N/A</v>
      </c>
      <c r="V405" s="3" t="str">
        <f>IFERROR(__xludf.DUMMYFUNCTION("""COMPUTED_VALUE"""),"N")</f>
        <v>N</v>
      </c>
      <c r="W405" s="3">
        <f>IFERROR(__xludf.DUMMYFUNCTION("""COMPUTED_VALUE"""),361012.0)</f>
        <v>361012</v>
      </c>
      <c r="X405" s="3" t="str">
        <f>IFERROR(__xludf.DUMMYFUNCTION("""COMPUTED_VALUE"""),"272/3 หมู่ 2 ตำบลลำพยา อำเภอเมืองนครปฐม จังหวัดนครปฐม 73000")</f>
        <v>272/3 หมู่ 2 ตำบลลำพยา อำเภอเมืองนครปฐม จังหวัดนครปฐม 73000</v>
      </c>
      <c r="Y405" s="3"/>
      <c r="Z405" s="3" t="str">
        <f>IFERROR(__xludf.DUMMYFUNCTION("""COMPUTED_VALUE"""),"ลำพยา")</f>
        <v>ลำพยา</v>
      </c>
      <c r="AA405" s="3" t="str">
        <f>IFERROR(__xludf.DUMMYFUNCTION("""COMPUTED_VALUE"""),"เมือง")</f>
        <v>เมือง</v>
      </c>
      <c r="AB405" s="3" t="str">
        <f>IFERROR(__xludf.DUMMYFUNCTION("""COMPUTED_VALUE"""),"นครปฐม")</f>
        <v>นครปฐม</v>
      </c>
      <c r="AC405" s="3">
        <f>IFERROR(__xludf.DUMMYFUNCTION("""COMPUTED_VALUE"""),73000.0)</f>
        <v>73000</v>
      </c>
      <c r="AD405" s="3">
        <f>IFERROR(__xludf.DUMMYFUNCTION("""COMPUTED_VALUE"""),13.804544)</f>
        <v>13.804544</v>
      </c>
      <c r="AE405" s="3">
        <f>IFERROR(__xludf.DUMMYFUNCTION("""COMPUTED_VALUE"""),100.023574)</f>
        <v>100.023574</v>
      </c>
      <c r="AF405" s="3" t="str">
        <f>IFERROR(__xludf.DUMMYFUNCTION("""COMPUTED_VALUE"""),"MBC BCP เพชรเกษม กม61-21166")</f>
        <v>MBC BCP เพชรเกษม กม61-21166</v>
      </c>
      <c r="AG405" s="3" t="str">
        <f>IFERROR(__xludf.DUMMYFUNCTION("""COMPUTED_VALUE"""),"กลาง")</f>
        <v>กลาง</v>
      </c>
      <c r="AH405" s="3" t="str">
        <f>IFERROR(__xludf.DUMMYFUNCTION("""COMPUTED_VALUE"""),"#N/A")</f>
        <v>#N/A</v>
      </c>
      <c r="AI405" s="3" t="str">
        <f>IFERROR(__xludf.DUMMYFUNCTION("""COMPUTED_VALUE"""),"Out of warranty")</f>
        <v>Out of warranty</v>
      </c>
      <c r="AJ405" s="3">
        <f>IFERROR(__xludf.DUMMYFUNCTION("""COMPUTED_VALUE"""),153.0)</f>
        <v>153</v>
      </c>
      <c r="AK405" s="3" t="str">
        <f>IFERROR(__xludf.DUMMYFUNCTION("""COMPUTED_VALUE"""),"MMS05")</f>
        <v>MMS05</v>
      </c>
      <c r="AL405" s="3"/>
    </row>
    <row r="406" ht="15.75" customHeight="1">
      <c r="A406" s="1" t="str">
        <f>IFERROR(__xludf.DUMMYFUNCTION("""COMPUTED_VALUE"""),"21167")</f>
        <v>21167</v>
      </c>
      <c r="B406" s="2">
        <f>IFERROR(__xludf.DUMMYFUNCTION("""COMPUTED_VALUE"""),21167.0)</f>
        <v>21167</v>
      </c>
      <c r="C406" s="3" t="str">
        <f>IFERROR(__xludf.DUMMYFUNCTION("""COMPUTED_VALUE"""),"MBC BCP พัฒนาการ27")</f>
        <v>MBC BCP พัฒนาการ27</v>
      </c>
      <c r="D406" s="3" t="str">
        <f>IFERROR(__xludf.DUMMYFUNCTION("""COMPUTED_VALUE"""),"BCM BCP PATTANAKARN 27")</f>
        <v>BCM BCP PATTANAKARN 27</v>
      </c>
      <c r="E406" s="1" t="str">
        <f>IFERROR(__xludf.DUMMYFUNCTION("""COMPUTED_VALUE"""),"บิ๊กซี MINI")</f>
        <v>บิ๊กซี MINI</v>
      </c>
      <c r="F406" s="1" t="str">
        <f>IFERROR(__xludf.DUMMYFUNCTION("""COMPUTED_VALUE"""),"291008")</f>
        <v>291008</v>
      </c>
      <c r="G406" s="1" t="str">
        <f>IFERROR(__xludf.DUMMYFUNCTION("""COMPUTED_VALUE"""),"น.ส.รัชดาพร อีศรัตน์")</f>
        <v>น.ส.รัชดาพร อีศรัตน์</v>
      </c>
      <c r="H406" s="1" t="str">
        <f>IFERROR(__xludf.DUMMYFUNCTION("""COMPUTED_VALUE"""),"034068")</f>
        <v>034068</v>
      </c>
      <c r="I406" s="1" t="str">
        <f>IFERROR(__xludf.DUMMYFUNCTION("""COMPUTED_VALUE"""),"นายสมศักดิ์ ฐานทองดี")</f>
        <v>นายสมศักดิ์ ฐานทองดี</v>
      </c>
      <c r="J406" s="3">
        <f>IFERROR(__xludf.DUMMYFUNCTION("""COMPUTED_VALUE"""),296728.0)</f>
        <v>296728</v>
      </c>
      <c r="K406" s="3" t="str">
        <f>IFERROR(__xludf.DUMMYFUNCTION("""COMPUTED_VALUE"""),"นายธิติ บัวทองรังสิมา")</f>
        <v>นายธิติ บัวทองรังสิมา</v>
      </c>
      <c r="L406" s="1" t="str">
        <f>IFERROR(__xludf.DUMMYFUNCTION("""COMPUTED_VALUE"""),"นายธิติ บัวทองรังสิมา")</f>
        <v>นายธิติ บัวทองรังสิมา</v>
      </c>
      <c r="M406" s="1" t="str">
        <f>IFERROR(__xludf.DUMMYFUNCTION("""COMPUTED_VALUE"""),"0920849994")</f>
        <v>0920849994</v>
      </c>
      <c r="N406" s="3">
        <f>IFERROR(__xludf.DUMMYFUNCTION("""COMPUTED_VALUE"""),21012.0)</f>
        <v>21012</v>
      </c>
      <c r="O406" s="3" t="str">
        <f>IFERROR(__xludf.DUMMYFUNCTION("""COMPUTED_VALUE"""),"MBC ท่าอิฐ")</f>
        <v>MBC ท่าอิฐ</v>
      </c>
      <c r="P406" s="4">
        <f>IFERROR(__xludf.DUMMYFUNCTION("""COMPUTED_VALUE"""),41409.0)</f>
        <v>41409</v>
      </c>
      <c r="Q406" s="3" t="str">
        <f>IFERROR(__xludf.DUMMYFUNCTION("""COMPUTED_VALUE"""),"I")</f>
        <v>I</v>
      </c>
      <c r="R406" s="3" t="str">
        <f>IFERROR(__xludf.DUMMYFUNCTION("""COMPUTED_VALUE"""),"Small Format")</f>
        <v>Small Format</v>
      </c>
      <c r="S406" s="3" t="str">
        <f>IFERROR(__xludf.DUMMYFUNCTION("""COMPUTED_VALUE"""),"BCM")</f>
        <v>BCM</v>
      </c>
      <c r="T406" s="3" t="str">
        <f>IFERROR(__xludf.DUMMYFUNCTION("""COMPUTED_VALUE"""),"#N/A")</f>
        <v>#N/A</v>
      </c>
      <c r="U406" s="3" t="str">
        <f>IFERROR(__xludf.DUMMYFUNCTION("""COMPUTED_VALUE"""),"#N/A")</f>
        <v>#N/A</v>
      </c>
      <c r="V406" s="3" t="str">
        <f>IFERROR(__xludf.DUMMYFUNCTION("""COMPUTED_VALUE"""),"N")</f>
        <v>N</v>
      </c>
      <c r="W406" s="3">
        <f>IFERROR(__xludf.DUMMYFUNCTION("""COMPUTED_VALUE"""),361011.0)</f>
        <v>361011</v>
      </c>
      <c r="X406" s="3" t="str">
        <f>IFERROR(__xludf.DUMMYFUNCTION("""COMPUTED_VALUE"""),"1405 ถนนพัฒนาการ แขวงสวนหลวง เขตสวนหลวง กรุงเทพฯ 10250")</f>
        <v>1405 ถนนพัฒนาการ แขวงสวนหลวง เขตสวนหลวง กรุงเทพฯ 10250</v>
      </c>
      <c r="Y406" s="3" t="str">
        <f>IFERROR(__xludf.DUMMYFUNCTION("""COMPUTED_VALUE"""),"ถนนพัฒนาการ")</f>
        <v>ถนนพัฒนาการ</v>
      </c>
      <c r="Z406" s="3" t="str">
        <f>IFERROR(__xludf.DUMMYFUNCTION("""COMPUTED_VALUE"""),"สวนหลวง")</f>
        <v>สวนหลวง</v>
      </c>
      <c r="AA406" s="3" t="str">
        <f>IFERROR(__xludf.DUMMYFUNCTION("""COMPUTED_VALUE"""),"สวนหลวง")</f>
        <v>สวนหลวง</v>
      </c>
      <c r="AB406" s="3" t="str">
        <f>IFERROR(__xludf.DUMMYFUNCTION("""COMPUTED_VALUE"""),"กรุงเทพมหานคร")</f>
        <v>กรุงเทพมหานคร</v>
      </c>
      <c r="AC406" s="3">
        <f>IFERROR(__xludf.DUMMYFUNCTION("""COMPUTED_VALUE"""),10250.0)</f>
        <v>10250</v>
      </c>
      <c r="AD406" s="3">
        <f>IFERROR(__xludf.DUMMYFUNCTION("""COMPUTED_VALUE"""),13.736853)</f>
        <v>13.736853</v>
      </c>
      <c r="AE406" s="3">
        <f>IFERROR(__xludf.DUMMYFUNCTION("""COMPUTED_VALUE"""),100.617902)</f>
        <v>100.617902</v>
      </c>
      <c r="AF406" s="3" t="str">
        <f>IFERROR(__xludf.DUMMYFUNCTION("""COMPUTED_VALUE"""),"MBC BCP พัฒนาการ27-21167")</f>
        <v>MBC BCP พัฒนาการ27-21167</v>
      </c>
      <c r="AG406" s="3" t="str">
        <f>IFERROR(__xludf.DUMMYFUNCTION("""COMPUTED_VALUE"""),"กลาง")</f>
        <v>กลาง</v>
      </c>
      <c r="AH406" s="3" t="str">
        <f>IFERROR(__xludf.DUMMYFUNCTION("""COMPUTED_VALUE"""),"#N/A")</f>
        <v>#N/A</v>
      </c>
      <c r="AI406" s="3" t="str">
        <f>IFERROR(__xludf.DUMMYFUNCTION("""COMPUTED_VALUE"""),"Out of warranty")</f>
        <v>Out of warranty</v>
      </c>
      <c r="AJ406" s="3">
        <f>IFERROR(__xludf.DUMMYFUNCTION("""COMPUTED_VALUE"""),153.0)</f>
        <v>153</v>
      </c>
      <c r="AK406" s="3" t="str">
        <f>IFERROR(__xludf.DUMMYFUNCTION("""COMPUTED_VALUE"""),"MMS03")</f>
        <v>MMS03</v>
      </c>
      <c r="AL406" s="3"/>
    </row>
    <row r="407" ht="15.75" customHeight="1">
      <c r="A407" s="1" t="str">
        <f>IFERROR(__xludf.DUMMYFUNCTION("""COMPUTED_VALUE"""),"21168")</f>
        <v>21168</v>
      </c>
      <c r="B407" s="2">
        <f>IFERROR(__xludf.DUMMYFUNCTION("""COMPUTED_VALUE"""),21168.0)</f>
        <v>21168</v>
      </c>
      <c r="C407" s="3" t="str">
        <f>IFERROR(__xludf.DUMMYFUNCTION("""COMPUTED_VALUE"""),"เขาตาโล")</f>
        <v>เขาตาโล</v>
      </c>
      <c r="D407" s="3" t="str">
        <f>IFERROR(__xludf.DUMMYFUNCTION("""COMPUTED_VALUE"""),"MBC KAOTALO")</f>
        <v>MBC KAOTALO</v>
      </c>
      <c r="E407" s="1" t="str">
        <f>IFERROR(__xludf.DUMMYFUNCTION("""COMPUTED_VALUE"""),"บิ๊กซี MINI")</f>
        <v>บิ๊กซี MINI</v>
      </c>
      <c r="F407" s="1" t="str">
        <f>IFERROR(__xludf.DUMMYFUNCTION("""COMPUTED_VALUE"""),"250760")</f>
        <v>250760</v>
      </c>
      <c r="G407" s="1" t="str">
        <f>IFERROR(__xludf.DUMMYFUNCTION("""COMPUTED_VALUE"""),"นายประทวน สาราบรรณ์")</f>
        <v>นายประทวน สาราบรรณ์</v>
      </c>
      <c r="H407" s="1" t="str">
        <f>IFERROR(__xludf.DUMMYFUNCTION("""COMPUTED_VALUE"""),"034605")</f>
        <v>034605</v>
      </c>
      <c r="I407" s="1" t="str">
        <f>IFERROR(__xludf.DUMMYFUNCTION("""COMPUTED_VALUE"""),"นายธรรมรัตน์ สุขเจริญ")</f>
        <v>นายธรรมรัตน์ สุขเจริญ</v>
      </c>
      <c r="J407" s="3">
        <f>IFERROR(__xludf.DUMMYFUNCTION("""COMPUTED_VALUE"""),295541.0)</f>
        <v>295541</v>
      </c>
      <c r="K407" s="3" t="str">
        <f>IFERROR(__xludf.DUMMYFUNCTION("""COMPUTED_VALUE"""),"นายรพิพล ศรีมาตย์")</f>
        <v>นายรพิพล ศรีมาตย์</v>
      </c>
      <c r="L407" s="1" t="str">
        <f>IFERROR(__xludf.DUMMYFUNCTION("""COMPUTED_VALUE"""),"นายรพิพล ศรีมาตย์")</f>
        <v>นายรพิพล ศรีมาตย์</v>
      </c>
      <c r="M407" s="1" t="str">
        <f>IFERROR(__xludf.DUMMYFUNCTION("""COMPUTED_VALUE"""),"0613966115")</f>
        <v>0613966115</v>
      </c>
      <c r="N407" s="3">
        <f>IFERROR(__xludf.DUMMYFUNCTION("""COMPUTED_VALUE"""),21175.0)</f>
        <v>21175</v>
      </c>
      <c r="O407" s="3" t="str">
        <f>IFERROR(__xludf.DUMMYFUNCTION("""COMPUTED_VALUE"""),"MBC BCP กิ่งแก้ว")</f>
        <v>MBC BCP กิ่งแก้ว</v>
      </c>
      <c r="P407" s="4">
        <f>IFERROR(__xludf.DUMMYFUNCTION("""COMPUTED_VALUE"""),41415.0)</f>
        <v>41415</v>
      </c>
      <c r="Q407" s="3" t="str">
        <f>IFERROR(__xludf.DUMMYFUNCTION("""COMPUTED_VALUE"""),"I")</f>
        <v>I</v>
      </c>
      <c r="R407" s="3" t="str">
        <f>IFERROR(__xludf.DUMMYFUNCTION("""COMPUTED_VALUE"""),"Small Format")</f>
        <v>Small Format</v>
      </c>
      <c r="S407" s="3" t="str">
        <f>IFERROR(__xludf.DUMMYFUNCTION("""COMPUTED_VALUE"""),"BCM")</f>
        <v>BCM</v>
      </c>
      <c r="T407" s="3" t="str">
        <f>IFERROR(__xludf.DUMMYFUNCTION("""COMPUTED_VALUE"""),"#N/A")</f>
        <v>#N/A</v>
      </c>
      <c r="U407" s="3" t="str">
        <f>IFERROR(__xludf.DUMMYFUNCTION("""COMPUTED_VALUE"""),"#N/A")</f>
        <v>#N/A</v>
      </c>
      <c r="V407" s="3" t="str">
        <f>IFERROR(__xludf.DUMMYFUNCTION("""COMPUTED_VALUE"""),"N")</f>
        <v>N</v>
      </c>
      <c r="W407" s="3">
        <f>IFERROR(__xludf.DUMMYFUNCTION("""COMPUTED_VALUE"""),0.0)</f>
        <v>0</v>
      </c>
      <c r="X407" s="3" t="str">
        <f>IFERROR(__xludf.DUMMYFUNCTION("""COMPUTED_VALUE"""),"99/1069 หมู่ 10 ตำบลหนองปรือ อำเภอบางละมุง จังหวัดชลบุรี 20150")</f>
        <v>99/1069 หมู่ 10 ตำบลหนองปรือ อำเภอบางละมุง จังหวัดชลบุรี 20150</v>
      </c>
      <c r="Y407" s="3"/>
      <c r="Z407" s="3" t="str">
        <f>IFERROR(__xludf.DUMMYFUNCTION("""COMPUTED_VALUE"""),"หนองปรือ")</f>
        <v>หนองปรือ</v>
      </c>
      <c r="AA407" s="3" t="str">
        <f>IFERROR(__xludf.DUMMYFUNCTION("""COMPUTED_VALUE"""),"บางละมุง")</f>
        <v>บางละมุง</v>
      </c>
      <c r="AB407" s="3" t="str">
        <f>IFERROR(__xludf.DUMMYFUNCTION("""COMPUTED_VALUE"""),"ชลบุรี")</f>
        <v>ชลบุรี</v>
      </c>
      <c r="AC407" s="3">
        <f>IFERROR(__xludf.DUMMYFUNCTION("""COMPUTED_VALUE"""),20150.0)</f>
        <v>20150</v>
      </c>
      <c r="AD407" s="3" t="str">
        <f>IFERROR(__xludf.DUMMYFUNCTION("""COMPUTED_VALUE"""),"#N/A")</f>
        <v>#N/A</v>
      </c>
      <c r="AE407" s="3" t="str">
        <f>IFERROR(__xludf.DUMMYFUNCTION("""COMPUTED_VALUE"""),"#N/A")</f>
        <v>#N/A</v>
      </c>
      <c r="AF407" s="3" t="str">
        <f>IFERROR(__xludf.DUMMYFUNCTION("""COMPUTED_VALUE"""),"เขาตาโล-21168")</f>
        <v>เขาตาโล-21168</v>
      </c>
      <c r="AG407" s="3" t="str">
        <f>IFERROR(__xludf.DUMMYFUNCTION("""COMPUTED_VALUE"""),"ตะวันออก")</f>
        <v>ตะวันออก</v>
      </c>
      <c r="AH407" s="3" t="str">
        <f>IFERROR(__xludf.DUMMYFUNCTION("""COMPUTED_VALUE"""),"#N/A")</f>
        <v>#N/A</v>
      </c>
      <c r="AI407" s="3" t="str">
        <f>IFERROR(__xludf.DUMMYFUNCTION("""COMPUTED_VALUE"""),"Out of warranty")</f>
        <v>Out of warranty</v>
      </c>
      <c r="AJ407" s="3">
        <f>IFERROR(__xludf.DUMMYFUNCTION("""COMPUTED_VALUE"""),152.0)</f>
        <v>152</v>
      </c>
      <c r="AK407" s="3"/>
      <c r="AL407" s="3"/>
    </row>
    <row r="408" ht="15.75" customHeight="1">
      <c r="A408" s="1" t="str">
        <f>IFERROR(__xludf.DUMMYFUNCTION("""COMPUTED_VALUE"""),"21169")</f>
        <v>21169</v>
      </c>
      <c r="B408" s="2">
        <f>IFERROR(__xludf.DUMMYFUNCTION("""COMPUTED_VALUE"""),21169.0)</f>
        <v>21169</v>
      </c>
      <c r="C408" s="3" t="str">
        <f>IFERROR(__xludf.DUMMYFUNCTION("""COMPUTED_VALUE"""),"MBC ตลาดวัดลาดหอย")</f>
        <v>MBC ตลาดวัดลาดหอย</v>
      </c>
      <c r="D408" s="3" t="str">
        <f>IFERROR(__xludf.DUMMYFUNCTION("""COMPUTED_VALUE"""),"BCM TARAD WATLADHOY")</f>
        <v>BCM TARAD WATLADHOY</v>
      </c>
      <c r="E408" s="1" t="str">
        <f>IFERROR(__xludf.DUMMYFUNCTION("""COMPUTED_VALUE"""),"บิ๊กซี MINI")</f>
        <v>บิ๊กซี MINI</v>
      </c>
      <c r="F408" s="1" t="str">
        <f>IFERROR(__xludf.DUMMYFUNCTION("""COMPUTED_VALUE"""),"296229")</f>
        <v>296229</v>
      </c>
      <c r="G408" s="1" t="str">
        <f>IFERROR(__xludf.DUMMYFUNCTION("""COMPUTED_VALUE"""),"นายทนงศักดิ์ บุญมา")</f>
        <v>นายทนงศักดิ์ บุญมา</v>
      </c>
      <c r="H408" s="1" t="str">
        <f>IFERROR(__xludf.DUMMYFUNCTION("""COMPUTED_VALUE"""),"318186")</f>
        <v>318186</v>
      </c>
      <c r="I408" s="1" t="str">
        <f>IFERROR(__xludf.DUMMYFUNCTION("""COMPUTED_VALUE"""),"น.ส.พนมวัลย์ เรืองรัตน์")</f>
        <v>น.ส.พนมวัลย์ เรืองรัตน์</v>
      </c>
      <c r="J408" s="3">
        <f>IFERROR(__xludf.DUMMYFUNCTION("""COMPUTED_VALUE"""),46214.0)</f>
        <v>46214</v>
      </c>
      <c r="K408" s="3" t="str">
        <f>IFERROR(__xludf.DUMMYFUNCTION("""COMPUTED_VALUE"""),"นายศักดิ์ชัย เด็ดดอกฟ้า")</f>
        <v>นายศักดิ์ชัย เด็ดดอกฟ้า</v>
      </c>
      <c r="L408" s="1" t="str">
        <f>IFERROR(__xludf.DUMMYFUNCTION("""COMPUTED_VALUE"""),"02 K.Sakchai D")</f>
        <v>02 K.Sakchai D</v>
      </c>
      <c r="M408" s="1" t="str">
        <f>IFERROR(__xludf.DUMMYFUNCTION("""COMPUTED_VALUE"""),"065-510-7376")</f>
        <v>065-510-7376</v>
      </c>
      <c r="N408" s="3">
        <f>IFERROR(__xludf.DUMMYFUNCTION("""COMPUTED_VALUE"""),21714.0)</f>
        <v>21714</v>
      </c>
      <c r="O408" s="3" t="str">
        <f>IFERROR(__xludf.DUMMYFUNCTION("""COMPUTED_VALUE"""),"MBC เอสโซ่ วัดโบสถ์")</f>
        <v>MBC เอสโซ่ วัดโบสถ์</v>
      </c>
      <c r="P408" s="4">
        <f>IFERROR(__xludf.DUMMYFUNCTION("""COMPUTED_VALUE"""),41417.0)</f>
        <v>41417</v>
      </c>
      <c r="Q408" s="3" t="str">
        <f>IFERROR(__xludf.DUMMYFUNCTION("""COMPUTED_VALUE"""),"I")</f>
        <v>I</v>
      </c>
      <c r="R408" s="3" t="str">
        <f>IFERROR(__xludf.DUMMYFUNCTION("""COMPUTED_VALUE"""),"Small Format")</f>
        <v>Small Format</v>
      </c>
      <c r="S408" s="3" t="str">
        <f>IFERROR(__xludf.DUMMYFUNCTION("""COMPUTED_VALUE"""),"BCM")</f>
        <v>BCM</v>
      </c>
      <c r="T408" s="3" t="str">
        <f>IFERROR(__xludf.DUMMYFUNCTION("""COMPUTED_VALUE"""),"#N/A")</f>
        <v>#N/A</v>
      </c>
      <c r="U408" s="3" t="str">
        <f>IFERROR(__xludf.DUMMYFUNCTION("""COMPUTED_VALUE"""),"#N/A")</f>
        <v>#N/A</v>
      </c>
      <c r="V408" s="3" t="str">
        <f>IFERROR(__xludf.DUMMYFUNCTION("""COMPUTED_VALUE"""),"N")</f>
        <v>N</v>
      </c>
      <c r="W408" s="3">
        <f>IFERROR(__xludf.DUMMYFUNCTION("""COMPUTED_VALUE"""),211156.0)</f>
        <v>211156</v>
      </c>
      <c r="X408" s="3" t="str">
        <f>IFERROR(__xludf.DUMMYFUNCTION("""COMPUTED_VALUE"""),"269/2 หมู่ 5 ตำบลโคกคราม อำเภอบางปลาม้า จังหวัดสุพรรณบุรี 72150")</f>
        <v>269/2 หมู่ 5 ตำบลโคกคราม อำเภอบางปลาม้า จังหวัดสุพรรณบุรี 72150</v>
      </c>
      <c r="Y408" s="3"/>
      <c r="Z408" s="3" t="str">
        <f>IFERROR(__xludf.DUMMYFUNCTION("""COMPUTED_VALUE"""),"โคกคราม")</f>
        <v>โคกคราม</v>
      </c>
      <c r="AA408" s="3" t="str">
        <f>IFERROR(__xludf.DUMMYFUNCTION("""COMPUTED_VALUE"""),"บางปลาม้า")</f>
        <v>บางปลาม้า</v>
      </c>
      <c r="AB408" s="3" t="str">
        <f>IFERROR(__xludf.DUMMYFUNCTION("""COMPUTED_VALUE"""),"สุพรรณบุรี")</f>
        <v>สุพรรณบุรี</v>
      </c>
      <c r="AC408" s="3">
        <f>IFERROR(__xludf.DUMMYFUNCTION("""COMPUTED_VALUE"""),72150.0)</f>
        <v>72150</v>
      </c>
      <c r="AD408" s="3">
        <f>IFERROR(__xludf.DUMMYFUNCTION("""COMPUTED_VALUE"""),14.402552)</f>
        <v>14.402552</v>
      </c>
      <c r="AE408" s="3">
        <f>IFERROR(__xludf.DUMMYFUNCTION("""COMPUTED_VALUE"""),100.161942)</f>
        <v>100.161942</v>
      </c>
      <c r="AF408" s="3" t="str">
        <f>IFERROR(__xludf.DUMMYFUNCTION("""COMPUTED_VALUE"""),"MBC ตลาดวัดลาดหอย-21169")</f>
        <v>MBC ตลาดวัดลาดหอย-21169</v>
      </c>
      <c r="AG408" s="3" t="str">
        <f>IFERROR(__xludf.DUMMYFUNCTION("""COMPUTED_VALUE"""),"กลาง")</f>
        <v>กลาง</v>
      </c>
      <c r="AH408" s="3" t="str">
        <f>IFERROR(__xludf.DUMMYFUNCTION("""COMPUTED_VALUE"""),"#N/A")</f>
        <v>#N/A</v>
      </c>
      <c r="AI408" s="3" t="str">
        <f>IFERROR(__xludf.DUMMYFUNCTION("""COMPUTED_VALUE"""),"Out of warranty")</f>
        <v>Out of warranty</v>
      </c>
      <c r="AJ408" s="3">
        <f>IFERROR(__xludf.DUMMYFUNCTION("""COMPUTED_VALUE"""),152.0)</f>
        <v>152</v>
      </c>
      <c r="AK408" s="3" t="str">
        <f>IFERROR(__xludf.DUMMYFUNCTION("""COMPUTED_VALUE"""),"MMS09")</f>
        <v>MMS09</v>
      </c>
      <c r="AL408" s="3"/>
    </row>
    <row r="409" ht="15.75" customHeight="1">
      <c r="A409" s="1" t="str">
        <f>IFERROR(__xludf.DUMMYFUNCTION("""COMPUTED_VALUE"""),"21170")</f>
        <v>21170</v>
      </c>
      <c r="B409" s="2">
        <f>IFERROR(__xludf.DUMMYFUNCTION("""COMPUTED_VALUE"""),21170.0)</f>
        <v>21170</v>
      </c>
      <c r="C409" s="3" t="str">
        <f>IFERROR(__xludf.DUMMYFUNCTION("""COMPUTED_VALUE"""),"MBC ชุมชนบ้านอ้อย")</f>
        <v>MBC ชุมชนบ้านอ้อย</v>
      </c>
      <c r="D409" s="3" t="str">
        <f>IFERROR(__xludf.DUMMYFUNCTION("""COMPUTED_VALUE"""),"BCM CHUMCHON BANAOY")</f>
        <v>BCM CHUMCHON BANAOY</v>
      </c>
      <c r="E409" s="1" t="str">
        <f>IFERROR(__xludf.DUMMYFUNCTION("""COMPUTED_VALUE"""),"บิ๊กซี MINI")</f>
        <v>บิ๊กซี MINI</v>
      </c>
      <c r="F409" s="1" t="str">
        <f>IFERROR(__xludf.DUMMYFUNCTION("""COMPUTED_VALUE"""),"296229")</f>
        <v>296229</v>
      </c>
      <c r="G409" s="1" t="str">
        <f>IFERROR(__xludf.DUMMYFUNCTION("""COMPUTED_VALUE"""),"นายทนงศักดิ์ บุญมา")</f>
        <v>นายทนงศักดิ์ บุญมา</v>
      </c>
      <c r="H409" s="1" t="str">
        <f>IFERROR(__xludf.DUMMYFUNCTION("""COMPUTED_VALUE"""),"318233")</f>
        <v>318233</v>
      </c>
      <c r="I409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409" s="3">
        <f>IFERROR(__xludf.DUMMYFUNCTION("""COMPUTED_VALUE"""),46214.0)</f>
        <v>46214</v>
      </c>
      <c r="K409" s="3" t="str">
        <f>IFERROR(__xludf.DUMMYFUNCTION("""COMPUTED_VALUE"""),"นายศักดิ์ชัย เด็ดดอกฟ้า")</f>
        <v>นายศักดิ์ชัย เด็ดดอกฟ้า</v>
      </c>
      <c r="L409" s="1" t="str">
        <f>IFERROR(__xludf.DUMMYFUNCTION("""COMPUTED_VALUE"""),"02 K.Sakchai D")</f>
        <v>02 K.Sakchai D</v>
      </c>
      <c r="M409" s="1" t="str">
        <f>IFERROR(__xludf.DUMMYFUNCTION("""COMPUTED_VALUE"""),"065-510-7376")</f>
        <v>065-510-7376</v>
      </c>
      <c r="N409" s="3">
        <f>IFERROR(__xludf.DUMMYFUNCTION("""COMPUTED_VALUE"""),21714.0)</f>
        <v>21714</v>
      </c>
      <c r="O409" s="3" t="str">
        <f>IFERROR(__xludf.DUMMYFUNCTION("""COMPUTED_VALUE"""),"MBC เอสโซ่ วัดโบสถ์")</f>
        <v>MBC เอสโซ่ วัดโบสถ์</v>
      </c>
      <c r="P409" s="4">
        <f>IFERROR(__xludf.DUMMYFUNCTION("""COMPUTED_VALUE"""),41464.0)</f>
        <v>41464</v>
      </c>
      <c r="Q409" s="3" t="str">
        <f>IFERROR(__xludf.DUMMYFUNCTION("""COMPUTED_VALUE"""),"A")</f>
        <v>A</v>
      </c>
      <c r="R409" s="3" t="str">
        <f>IFERROR(__xludf.DUMMYFUNCTION("""COMPUTED_VALUE"""),"Small Format")</f>
        <v>Small Format</v>
      </c>
      <c r="S409" s="3" t="str">
        <f>IFERROR(__xludf.DUMMYFUNCTION("""COMPUTED_VALUE"""),"BCM")</f>
        <v>BCM</v>
      </c>
      <c r="T409" s="3" t="str">
        <f>IFERROR(__xludf.DUMMYFUNCTION("""COMPUTED_VALUE"""),"#N/A")</f>
        <v>#N/A</v>
      </c>
      <c r="U409" s="3" t="str">
        <f>IFERROR(__xludf.DUMMYFUNCTION("""COMPUTED_VALUE"""),"#N/A")</f>
        <v>#N/A</v>
      </c>
      <c r="V409" s="3" t="str">
        <f>IFERROR(__xludf.DUMMYFUNCTION("""COMPUTED_VALUE"""),"N")</f>
        <v>N</v>
      </c>
      <c r="W409" s="3">
        <f>IFERROR(__xludf.DUMMYFUNCTION("""COMPUTED_VALUE"""),211165.0)</f>
        <v>211165</v>
      </c>
      <c r="X409" s="3" t="str">
        <f>IFERROR(__xludf.DUMMYFUNCTION("""COMPUTED_VALUE"""),"661/22 ถนนพิชัยรณรงค์สงคราม ตำบลปากเพรียว อำเภอเมืองสระบุรี จังหวัดสระบุรี 18000")</f>
        <v>661/22 ถนนพิชัยรณรงค์สงคราม ตำบลปากเพรียว อำเภอเมืองสระบุรี จังหวัดสระบุรี 18000</v>
      </c>
      <c r="Y409" s="3" t="str">
        <f>IFERROR(__xludf.DUMMYFUNCTION("""COMPUTED_VALUE"""),"ถนนพิชัยรณรงค์สงคราม")</f>
        <v>ถนนพิชัยรณรงค์สงคราม</v>
      </c>
      <c r="Z409" s="3" t="str">
        <f>IFERROR(__xludf.DUMMYFUNCTION("""COMPUTED_VALUE"""),"ปากเพรียว")</f>
        <v>ปากเพรียว</v>
      </c>
      <c r="AA409" s="3" t="str">
        <f>IFERROR(__xludf.DUMMYFUNCTION("""COMPUTED_VALUE"""),"เมือง")</f>
        <v>เมือง</v>
      </c>
      <c r="AB409" s="3" t="str">
        <f>IFERROR(__xludf.DUMMYFUNCTION("""COMPUTED_VALUE"""),"สระบุรี")</f>
        <v>สระบุรี</v>
      </c>
      <c r="AC409" s="3">
        <f>IFERROR(__xludf.DUMMYFUNCTION("""COMPUTED_VALUE"""),18000.0)</f>
        <v>18000</v>
      </c>
      <c r="AD409" s="3">
        <f>IFERROR(__xludf.DUMMYFUNCTION("""COMPUTED_VALUE"""),14.535299)</f>
        <v>14.535299</v>
      </c>
      <c r="AE409" s="3">
        <f>IFERROR(__xludf.DUMMYFUNCTION("""COMPUTED_VALUE"""),100.895066)</f>
        <v>100.895066</v>
      </c>
      <c r="AF409" s="3" t="str">
        <f>IFERROR(__xludf.DUMMYFUNCTION("""COMPUTED_VALUE"""),"MBC ชุมชนบ้านอ้อย-21170")</f>
        <v>MBC ชุมชนบ้านอ้อย-21170</v>
      </c>
      <c r="AG409" s="3" t="str">
        <f>IFERROR(__xludf.DUMMYFUNCTION("""COMPUTED_VALUE"""),"กลาง")</f>
        <v>กลาง</v>
      </c>
      <c r="AH409" s="3" t="str">
        <f>IFERROR(__xludf.DUMMYFUNCTION("""COMPUTED_VALUE"""),"#N/A")</f>
        <v>#N/A</v>
      </c>
      <c r="AI409" s="3" t="str">
        <f>IFERROR(__xludf.DUMMYFUNCTION("""COMPUTED_VALUE"""),"Out of warranty")</f>
        <v>Out of warranty</v>
      </c>
      <c r="AJ409" s="3">
        <f>IFERROR(__xludf.DUMMYFUNCTION("""COMPUTED_VALUE"""),151.0)</f>
        <v>151</v>
      </c>
      <c r="AK409" s="3" t="str">
        <f>IFERROR(__xludf.DUMMYFUNCTION("""COMPUTED_VALUE"""),"MMS09")</f>
        <v>MMS09</v>
      </c>
      <c r="AL409" s="3"/>
    </row>
    <row r="410" ht="15.75" customHeight="1">
      <c r="A410" s="1" t="str">
        <f>IFERROR(__xludf.DUMMYFUNCTION("""COMPUTED_VALUE"""),"21171")</f>
        <v>21171</v>
      </c>
      <c r="B410" s="2">
        <f>IFERROR(__xludf.DUMMYFUNCTION("""COMPUTED_VALUE"""),21171.0)</f>
        <v>21171</v>
      </c>
      <c r="C410" s="3" t="str">
        <f>IFERROR(__xludf.DUMMYFUNCTION("""COMPUTED_VALUE"""),"MBC บ้านอำเภอ")</f>
        <v>MBC บ้านอำเภอ</v>
      </c>
      <c r="D410" s="3" t="str">
        <f>IFERROR(__xludf.DUMMYFUNCTION("""COMPUTED_VALUE"""),"BCM BANAMPHUR")</f>
        <v>BCM BANAMPHUR</v>
      </c>
      <c r="E410" s="1" t="str">
        <f>IFERROR(__xludf.DUMMYFUNCTION("""COMPUTED_VALUE"""),"บิ๊กซี MINI")</f>
        <v>บิ๊กซี MINI</v>
      </c>
      <c r="F410" s="1" t="str">
        <f>IFERROR(__xludf.DUMMYFUNCTION("""COMPUTED_VALUE"""),"221716")</f>
        <v>221716</v>
      </c>
      <c r="G410" s="1" t="str">
        <f>IFERROR(__xludf.DUMMYFUNCTION("""COMPUTED_VALUE"""),"น.ส.เบญจพร โพธิสาร")</f>
        <v>น.ส.เบญจพร โพธิสาร</v>
      </c>
      <c r="H410" s="1" t="str">
        <f>IFERROR(__xludf.DUMMYFUNCTION("""COMPUTED_VALUE"""),"313065")</f>
        <v>313065</v>
      </c>
      <c r="I410" s="1" t="str">
        <f>IFERROR(__xludf.DUMMYFUNCTION("""COMPUTED_VALUE"""),"นายจิรายุทธ กันทา")</f>
        <v>นายจิรายุทธ กันทา</v>
      </c>
      <c r="J410" s="3">
        <f>IFERROR(__xludf.DUMMYFUNCTION("""COMPUTED_VALUE"""),1.3461215E7)</f>
        <v>13461215</v>
      </c>
      <c r="K410" s="3" t="str">
        <f>IFERROR(__xludf.DUMMYFUNCTION("""COMPUTED_VALUE"""),"นายธีรภัทร สังข์เงิน")</f>
        <v>นายธีรภัทร สังข์เงิน</v>
      </c>
      <c r="L410" s="3" t="str">
        <f>IFERROR(__xludf.DUMMYFUNCTION("""COMPUTED_VALUE"""),"06 K.Teerapat")</f>
        <v>06 K.Teerapat</v>
      </c>
      <c r="M410" s="1" t="str">
        <f>IFERROR(__xludf.DUMMYFUNCTION("""COMPUTED_VALUE"""),"063-601-6803")</f>
        <v>063-601-6803</v>
      </c>
      <c r="N410" s="3">
        <f>IFERROR(__xludf.DUMMYFUNCTION("""COMPUTED_VALUE"""),22115.0)</f>
        <v>22115</v>
      </c>
      <c r="O410" s="3" t="str">
        <f>IFERROR(__xludf.DUMMYFUNCTION("""COMPUTED_VALUE"""),"MBC เลี่ยงหนองมน ชลบุรี")</f>
        <v>MBC เลี่ยงหนองมน ชลบุรี</v>
      </c>
      <c r="P410" s="4">
        <f>IFERROR(__xludf.DUMMYFUNCTION("""COMPUTED_VALUE"""),41417.0)</f>
        <v>41417</v>
      </c>
      <c r="Q410" s="3" t="str">
        <f>IFERROR(__xludf.DUMMYFUNCTION("""COMPUTED_VALUE"""),"A")</f>
        <v>A</v>
      </c>
      <c r="R410" s="3" t="str">
        <f>IFERROR(__xludf.DUMMYFUNCTION("""COMPUTED_VALUE"""),"Small Format")</f>
        <v>Small Format</v>
      </c>
      <c r="S410" s="3" t="str">
        <f>IFERROR(__xludf.DUMMYFUNCTION("""COMPUTED_VALUE"""),"BCM")</f>
        <v>BCM</v>
      </c>
      <c r="T410" s="3" t="str">
        <f>IFERROR(__xludf.DUMMYFUNCTION("""COMPUTED_VALUE"""),"#N/A")</f>
        <v>#N/A</v>
      </c>
      <c r="U410" s="3" t="str">
        <f>IFERROR(__xludf.DUMMYFUNCTION("""COMPUTED_VALUE"""),"#N/A")</f>
        <v>#N/A</v>
      </c>
      <c r="V410" s="3" t="str">
        <f>IFERROR(__xludf.DUMMYFUNCTION("""COMPUTED_VALUE"""),"N")</f>
        <v>N</v>
      </c>
      <c r="W410" s="3">
        <f>IFERROR(__xludf.DUMMYFUNCTION("""COMPUTED_VALUE"""),211157.0)</f>
        <v>211157</v>
      </c>
      <c r="X410" s="3" t="str">
        <f>IFERROR(__xludf.DUMMYFUNCTION("""COMPUTED_VALUE"""),"31/1 หมู่ 3 ตำบลนาจอมเทียน อำเภอสัตหีบ จังหวัดชลบุรี 20250")</f>
        <v>31/1 หมู่ 3 ตำบลนาจอมเทียน อำเภอสัตหีบ จังหวัดชลบุรี 20250</v>
      </c>
      <c r="Y410" s="3"/>
      <c r="Z410" s="3" t="str">
        <f>IFERROR(__xludf.DUMMYFUNCTION("""COMPUTED_VALUE"""),"นาจอมเทียน")</f>
        <v>นาจอมเทียน</v>
      </c>
      <c r="AA410" s="3" t="str">
        <f>IFERROR(__xludf.DUMMYFUNCTION("""COMPUTED_VALUE"""),"สัตหีบ")</f>
        <v>สัตหีบ</v>
      </c>
      <c r="AB410" s="3" t="str">
        <f>IFERROR(__xludf.DUMMYFUNCTION("""COMPUTED_VALUE"""),"ชลบุรี")</f>
        <v>ชลบุรี</v>
      </c>
      <c r="AC410" s="3">
        <f>IFERROR(__xludf.DUMMYFUNCTION("""COMPUTED_VALUE"""),20250.0)</f>
        <v>20250</v>
      </c>
      <c r="AD410" s="3">
        <f>IFERROR(__xludf.DUMMYFUNCTION("""COMPUTED_VALUE"""),12.813873)</f>
        <v>12.813873</v>
      </c>
      <c r="AE410" s="3">
        <f>IFERROR(__xludf.DUMMYFUNCTION("""COMPUTED_VALUE"""),100.916428)</f>
        <v>100.916428</v>
      </c>
      <c r="AF410" s="3" t="str">
        <f>IFERROR(__xludf.DUMMYFUNCTION("""COMPUTED_VALUE"""),"MBC บ้านอำเภอ-21171")</f>
        <v>MBC บ้านอำเภอ-21171</v>
      </c>
      <c r="AG410" s="3" t="str">
        <f>IFERROR(__xludf.DUMMYFUNCTION("""COMPUTED_VALUE"""),"ตะวันออก")</f>
        <v>ตะวันออก</v>
      </c>
      <c r="AH410" s="3" t="str">
        <f>IFERROR(__xludf.DUMMYFUNCTION("""COMPUTED_VALUE"""),"#N/A")</f>
        <v>#N/A</v>
      </c>
      <c r="AI410" s="3" t="str">
        <f>IFERROR(__xludf.DUMMYFUNCTION("""COMPUTED_VALUE"""),"Out of warranty")</f>
        <v>Out of warranty</v>
      </c>
      <c r="AJ410" s="3">
        <f>IFERROR(__xludf.DUMMYFUNCTION("""COMPUTED_VALUE"""),152.0)</f>
        <v>152</v>
      </c>
      <c r="AK410" s="3" t="str">
        <f>IFERROR(__xludf.DUMMYFUNCTION("""COMPUTED_VALUE"""),"MMS08")</f>
        <v>MMS08</v>
      </c>
      <c r="AL410" s="3"/>
    </row>
    <row r="411" ht="15.75" customHeight="1">
      <c r="A411" s="1" t="str">
        <f>IFERROR(__xludf.DUMMYFUNCTION("""COMPUTED_VALUE"""),"21172")</f>
        <v>21172</v>
      </c>
      <c r="B411" s="2">
        <f>IFERROR(__xludf.DUMMYFUNCTION("""COMPUTED_VALUE"""),21172.0)</f>
        <v>21172</v>
      </c>
      <c r="C411" s="3" t="str">
        <f>IFERROR(__xludf.DUMMYFUNCTION("""COMPUTED_VALUE"""),"MBC BCP บางนา กม.27")</f>
        <v>MBC BCP บางนา กม.27</v>
      </c>
      <c r="D411" s="3" t="str">
        <f>IFERROR(__xludf.DUMMYFUNCTION("""COMPUTED_VALUE"""),"BCM BCP BANGNA KM.27")</f>
        <v>BCM BCP BANGNA KM.27</v>
      </c>
      <c r="E411" s="1" t="str">
        <f>IFERROR(__xludf.DUMMYFUNCTION("""COMPUTED_VALUE"""),"บิ๊กซี MINI")</f>
        <v>บิ๊กซี MINI</v>
      </c>
      <c r="F411" s="1" t="str">
        <f>IFERROR(__xludf.DUMMYFUNCTION("""COMPUTED_VALUE"""),"2083447")</f>
        <v>2083447</v>
      </c>
      <c r="G411" s="1" t="str">
        <f>IFERROR(__xludf.DUMMYFUNCTION("""COMPUTED_VALUE"""),"นายอนุกูล ศรีลัดดา")</f>
        <v>นายอนุกูล ศรีลัดดา</v>
      </c>
      <c r="H411" s="1" t="str">
        <f>IFERROR(__xludf.DUMMYFUNCTION("""COMPUTED_VALUE"""),"284752")</f>
        <v>284752</v>
      </c>
      <c r="I411" s="1" t="str">
        <f>IFERROR(__xludf.DUMMYFUNCTION("""COMPUTED_VALUE"""),"น.ส.วีรนันท์ แสงใส")</f>
        <v>น.ส.วีรนันท์ แสงใส</v>
      </c>
      <c r="J411" s="3">
        <f>IFERROR(__xludf.DUMMYFUNCTION("""COMPUTED_VALUE"""),2451655.0)</f>
        <v>2451655</v>
      </c>
      <c r="K411" s="3" t="str">
        <f>IFERROR(__xludf.DUMMYFUNCTION("""COMPUTED_VALUE"""),"นายวิษณุพงษ์ ชินบุตร")</f>
        <v>นายวิษณุพงษ์ ชินบุตร</v>
      </c>
      <c r="L411" s="1" t="str">
        <f>IFERROR(__xludf.DUMMYFUNCTION("""COMPUTED_VALUE"""),"13 K.Wisanupong Ch")</f>
        <v>13 K.Wisanupong Ch</v>
      </c>
      <c r="M411" s="1" t="str">
        <f>IFERROR(__xludf.DUMMYFUNCTION("""COMPUTED_VALUE"""),"0843374693")</f>
        <v>0843374693</v>
      </c>
      <c r="N411" s="3">
        <f>IFERROR(__xludf.DUMMYFUNCTION("""COMPUTED_VALUE"""),21494.0)</f>
        <v>21494</v>
      </c>
      <c r="O411" s="3" t="str">
        <f>IFERROR(__xludf.DUMMYFUNCTION("""COMPUTED_VALUE"""),"MBC บ้านกรด")</f>
        <v>MBC บ้านกรด</v>
      </c>
      <c r="P411" s="4">
        <f>IFERROR(__xludf.DUMMYFUNCTION("""COMPUTED_VALUE"""),41442.0)</f>
        <v>41442</v>
      </c>
      <c r="Q411" s="3" t="str">
        <f>IFERROR(__xludf.DUMMYFUNCTION("""COMPUTED_VALUE"""),"I")</f>
        <v>I</v>
      </c>
      <c r="R411" s="3" t="str">
        <f>IFERROR(__xludf.DUMMYFUNCTION("""COMPUTED_VALUE"""),"Small Format")</f>
        <v>Small Format</v>
      </c>
      <c r="S411" s="3" t="str">
        <f>IFERROR(__xludf.DUMMYFUNCTION("""COMPUTED_VALUE"""),"BCM")</f>
        <v>BCM</v>
      </c>
      <c r="T411" s="3" t="str">
        <f>IFERROR(__xludf.DUMMYFUNCTION("""COMPUTED_VALUE"""),"#N/A")</f>
        <v>#N/A</v>
      </c>
      <c r="U411" s="3" t="str">
        <f>IFERROR(__xludf.DUMMYFUNCTION("""COMPUTED_VALUE"""),"#N/A")</f>
        <v>#N/A</v>
      </c>
      <c r="V411" s="3" t="str">
        <f>IFERROR(__xludf.DUMMYFUNCTION("""COMPUTED_VALUE"""),"N")</f>
        <v>N</v>
      </c>
      <c r="W411" s="3">
        <f>IFERROR(__xludf.DUMMYFUNCTION("""COMPUTED_VALUE"""),361013.0)</f>
        <v>361013</v>
      </c>
      <c r="X411" s="3" t="str">
        <f>IFERROR(__xludf.DUMMYFUNCTION("""COMPUTED_VALUE"""),"399/2 หมู่ 1 ตำบลบางบ่อ อำเภอบางบ่อ จังหวัดสมุทรปราการ 10560")</f>
        <v>399/2 หมู่ 1 ตำบลบางบ่อ อำเภอบางบ่อ จังหวัดสมุทรปราการ 10560</v>
      </c>
      <c r="Y411" s="3"/>
      <c r="Z411" s="3" t="str">
        <f>IFERROR(__xludf.DUMMYFUNCTION("""COMPUTED_VALUE"""),"บางบ่อ")</f>
        <v>บางบ่อ</v>
      </c>
      <c r="AA411" s="3" t="str">
        <f>IFERROR(__xludf.DUMMYFUNCTION("""COMPUTED_VALUE"""),"บางบ่อ")</f>
        <v>บางบ่อ</v>
      </c>
      <c r="AB411" s="3" t="str">
        <f>IFERROR(__xludf.DUMMYFUNCTION("""COMPUTED_VALUE"""),"สมุทรปราการ")</f>
        <v>สมุทรปราการ</v>
      </c>
      <c r="AC411" s="3">
        <f>IFERROR(__xludf.DUMMYFUNCTION("""COMPUTED_VALUE"""),10560.0)</f>
        <v>10560</v>
      </c>
      <c r="AD411" s="3">
        <f>IFERROR(__xludf.DUMMYFUNCTION("""COMPUTED_VALUE"""),13.588136)</f>
        <v>13.588136</v>
      </c>
      <c r="AE411" s="3">
        <f>IFERROR(__xludf.DUMMYFUNCTION("""COMPUTED_VALUE"""),100.839619)</f>
        <v>100.839619</v>
      </c>
      <c r="AF411" s="3" t="str">
        <f>IFERROR(__xludf.DUMMYFUNCTION("""COMPUTED_VALUE"""),"MBC BCP บางนา กม.27-21172")</f>
        <v>MBC BCP บางนา กม.27-21172</v>
      </c>
      <c r="AG411" s="3" t="str">
        <f>IFERROR(__xludf.DUMMYFUNCTION("""COMPUTED_VALUE"""),"กลาง")</f>
        <v>กลาง</v>
      </c>
      <c r="AH411" s="3" t="str">
        <f>IFERROR(__xludf.DUMMYFUNCTION("""COMPUTED_VALUE"""),"#N/A")</f>
        <v>#N/A</v>
      </c>
      <c r="AI411" s="3" t="str">
        <f>IFERROR(__xludf.DUMMYFUNCTION("""COMPUTED_VALUE"""),"Out of warranty")</f>
        <v>Out of warranty</v>
      </c>
      <c r="AJ411" s="3">
        <f>IFERROR(__xludf.DUMMYFUNCTION("""COMPUTED_VALUE"""),152.0)</f>
        <v>152</v>
      </c>
      <c r="AK411" s="3" t="str">
        <f>IFERROR(__xludf.DUMMYFUNCTION("""COMPUTED_VALUE"""),"MMS03")</f>
        <v>MMS03</v>
      </c>
      <c r="AL411" s="3"/>
    </row>
    <row r="412" ht="15.75" customHeight="1">
      <c r="A412" s="1" t="str">
        <f>IFERROR(__xludf.DUMMYFUNCTION("""COMPUTED_VALUE"""),"21173")</f>
        <v>21173</v>
      </c>
      <c r="B412" s="2">
        <f>IFERROR(__xludf.DUMMYFUNCTION("""COMPUTED_VALUE"""),21173.0)</f>
        <v>21173</v>
      </c>
      <c r="C412" s="3" t="str">
        <f>IFERROR(__xludf.DUMMYFUNCTION("""COMPUTED_VALUE"""),"MBC ม.ภูมิใจนิเวศน์")</f>
        <v>MBC ม.ภูมิใจนิเวศน์</v>
      </c>
      <c r="D412" s="3" t="str">
        <f>IFERROR(__xludf.DUMMYFUNCTION("""COMPUTED_VALUE"""),"BCM M.POOMJAINIWET")</f>
        <v>BCM M.POOMJAINIWET</v>
      </c>
      <c r="E412" s="1" t="str">
        <f>IFERROR(__xludf.DUMMYFUNCTION("""COMPUTED_VALUE"""),"บิ๊กซี MINI")</f>
        <v>บิ๊กซี MINI</v>
      </c>
      <c r="F412" s="1" t="str">
        <f>IFERROR(__xludf.DUMMYFUNCTION("""COMPUTED_VALUE"""),"2083447")</f>
        <v>2083447</v>
      </c>
      <c r="G412" s="1" t="str">
        <f>IFERROR(__xludf.DUMMYFUNCTION("""COMPUTED_VALUE"""),"นายอนุกูล ศรีลัดดา")</f>
        <v>นายอนุกูล ศรีลัดดา</v>
      </c>
      <c r="H412" s="1" t="str">
        <f>IFERROR(__xludf.DUMMYFUNCTION("""COMPUTED_VALUE"""),"379037")</f>
        <v>379037</v>
      </c>
      <c r="I412" s="1" t="str">
        <f>IFERROR(__xludf.DUMMYFUNCTION("""COMPUTED_VALUE"""),"นางแก้วใจ แก้วกาญจน์")</f>
        <v>นางแก้วใจ แก้วกาญจน์</v>
      </c>
      <c r="J412" s="3">
        <f>IFERROR(__xludf.DUMMYFUNCTION("""COMPUTED_VALUE"""),2451655.0)</f>
        <v>2451655</v>
      </c>
      <c r="K412" s="3" t="str">
        <f>IFERROR(__xludf.DUMMYFUNCTION("""COMPUTED_VALUE"""),"นายวิษณุพงษ์ ชินบุตร")</f>
        <v>นายวิษณุพงษ์ ชินบุตร</v>
      </c>
      <c r="L412" s="1" t="str">
        <f>IFERROR(__xludf.DUMMYFUNCTION("""COMPUTED_VALUE"""),"13 K.Wisanupong Ch")</f>
        <v>13 K.Wisanupong Ch</v>
      </c>
      <c r="M412" s="1" t="str">
        <f>IFERROR(__xludf.DUMMYFUNCTION("""COMPUTED_VALUE"""),"0843374693")</f>
        <v>0843374693</v>
      </c>
      <c r="N412" s="3">
        <f>IFERROR(__xludf.DUMMYFUNCTION("""COMPUTED_VALUE"""),22729.0)</f>
        <v>22729</v>
      </c>
      <c r="O412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412" s="4">
        <f>IFERROR(__xludf.DUMMYFUNCTION("""COMPUTED_VALUE"""),41443.0)</f>
        <v>41443</v>
      </c>
      <c r="Q412" s="3" t="str">
        <f>IFERROR(__xludf.DUMMYFUNCTION("""COMPUTED_VALUE"""),"A")</f>
        <v>A</v>
      </c>
      <c r="R412" s="3" t="str">
        <f>IFERROR(__xludf.DUMMYFUNCTION("""COMPUTED_VALUE"""),"Small Format")</f>
        <v>Small Format</v>
      </c>
      <c r="S412" s="3" t="str">
        <f>IFERROR(__xludf.DUMMYFUNCTION("""COMPUTED_VALUE"""),"BCM")</f>
        <v>BCM</v>
      </c>
      <c r="T412" s="3" t="str">
        <f>IFERROR(__xludf.DUMMYFUNCTION("""COMPUTED_VALUE"""),"#N/A")</f>
        <v>#N/A</v>
      </c>
      <c r="U412" s="3" t="str">
        <f>IFERROR(__xludf.DUMMYFUNCTION("""COMPUTED_VALUE"""),"#N/A")</f>
        <v>#N/A</v>
      </c>
      <c r="V412" s="3" t="str">
        <f>IFERROR(__xludf.DUMMYFUNCTION("""COMPUTED_VALUE"""),"N")</f>
        <v>N</v>
      </c>
      <c r="W412" s="3">
        <f>IFERROR(__xludf.DUMMYFUNCTION("""COMPUTED_VALUE"""),211158.0)</f>
        <v>211158</v>
      </c>
      <c r="X412" s="3" t="str">
        <f>IFERROR(__xludf.DUMMYFUNCTION("""COMPUTED_VALUE"""),"40/1 หมู่ 5 ตำบลในคลองบางปลากด อำเภอพระสมุทรเจดีย์ จังหวัดสมุทรปราการ 10290")</f>
        <v>40/1 หมู่ 5 ตำบลในคลองบางปลากด อำเภอพระสมุทรเจดีย์ จังหวัดสมุทรปราการ 10290</v>
      </c>
      <c r="Y412" s="3"/>
      <c r="Z412" s="3" t="str">
        <f>IFERROR(__xludf.DUMMYFUNCTION("""COMPUTED_VALUE"""),"ในคลองบางปลากด")</f>
        <v>ในคลองบางปลากด</v>
      </c>
      <c r="AA412" s="3" t="str">
        <f>IFERROR(__xludf.DUMMYFUNCTION("""COMPUTED_VALUE"""),"พระสมุทรเจดีย์")</f>
        <v>พระสมุทรเจดีย์</v>
      </c>
      <c r="AB412" s="3" t="str">
        <f>IFERROR(__xludf.DUMMYFUNCTION("""COMPUTED_VALUE"""),"สมุทรปราการ")</f>
        <v>สมุทรปราการ</v>
      </c>
      <c r="AC412" s="3">
        <f>IFERROR(__xludf.DUMMYFUNCTION("""COMPUTED_VALUE"""),10290.0)</f>
        <v>10290</v>
      </c>
      <c r="AD412" s="3">
        <f>IFERROR(__xludf.DUMMYFUNCTION("""COMPUTED_VALUE"""),13.584695)</f>
        <v>13.584695</v>
      </c>
      <c r="AE412" s="3">
        <f>IFERROR(__xludf.DUMMYFUNCTION("""COMPUTED_VALUE"""),100.55418)</f>
        <v>100.55418</v>
      </c>
      <c r="AF412" s="3" t="str">
        <f>IFERROR(__xludf.DUMMYFUNCTION("""COMPUTED_VALUE"""),"MBC ม.ภูมิใจนิเวศน์-21173")</f>
        <v>MBC ม.ภูมิใจนิเวศน์-21173</v>
      </c>
      <c r="AG412" s="3" t="str">
        <f>IFERROR(__xludf.DUMMYFUNCTION("""COMPUTED_VALUE"""),"กลาง")</f>
        <v>กลาง</v>
      </c>
      <c r="AH412" s="3" t="str">
        <f>IFERROR(__xludf.DUMMYFUNCTION("""COMPUTED_VALUE"""),"#N/A")</f>
        <v>#N/A</v>
      </c>
      <c r="AI412" s="3" t="str">
        <f>IFERROR(__xludf.DUMMYFUNCTION("""COMPUTED_VALUE"""),"Out of warranty")</f>
        <v>Out of warranty</v>
      </c>
      <c r="AJ412" s="3">
        <f>IFERROR(__xludf.DUMMYFUNCTION("""COMPUTED_VALUE"""),152.0)</f>
        <v>152</v>
      </c>
      <c r="AK412" s="3" t="str">
        <f>IFERROR(__xludf.DUMMYFUNCTION("""COMPUTED_VALUE"""),"MMS02")</f>
        <v>MMS02</v>
      </c>
      <c r="AL412" s="3"/>
    </row>
    <row r="413" ht="15.75" customHeight="1">
      <c r="A413" s="1" t="str">
        <f>IFERROR(__xludf.DUMMYFUNCTION("""COMPUTED_VALUE"""),"21174")</f>
        <v>21174</v>
      </c>
      <c r="B413" s="2">
        <f>IFERROR(__xludf.DUMMYFUNCTION("""COMPUTED_VALUE"""),21174.0)</f>
        <v>21174</v>
      </c>
      <c r="C413" s="3" t="str">
        <f>IFERROR(__xludf.DUMMYFUNCTION("""COMPUTED_VALUE"""),"MBC BCPเทพารักษ์กม9")</f>
        <v>MBC BCPเทพารักษ์กม9</v>
      </c>
      <c r="D413" s="3" t="str">
        <f>IFERROR(__xludf.DUMMYFUNCTION("""COMPUTED_VALUE"""),"BCM BCP THEPARAK KM.9")</f>
        <v>BCM BCP THEPARAK KM.9</v>
      </c>
      <c r="E413" s="1" t="str">
        <f>IFERROR(__xludf.DUMMYFUNCTION("""COMPUTED_VALUE"""),"บิ๊กซี MINI")</f>
        <v>บิ๊กซี MINI</v>
      </c>
      <c r="F413" s="1" t="str">
        <f>IFERROR(__xludf.DUMMYFUNCTION("""COMPUTED_VALUE"""),"2083447")</f>
        <v>2083447</v>
      </c>
      <c r="G413" s="1" t="str">
        <f>IFERROR(__xludf.DUMMYFUNCTION("""COMPUTED_VALUE"""),"นายอนุกูล ศรีลัดดา")</f>
        <v>นายอนุกูล ศรีลัดดา</v>
      </c>
      <c r="H413" s="1" t="str">
        <f>IFERROR(__xludf.DUMMYFUNCTION("""COMPUTED_VALUE"""),"284752")</f>
        <v>284752</v>
      </c>
      <c r="I413" s="1" t="str">
        <f>IFERROR(__xludf.DUMMYFUNCTION("""COMPUTED_VALUE"""),"น.ส.วีรนันท์ แสงใส")</f>
        <v>น.ส.วีรนันท์ แสงใส</v>
      </c>
      <c r="J413" s="3">
        <f>IFERROR(__xludf.DUMMYFUNCTION("""COMPUTED_VALUE"""),2451655.0)</f>
        <v>2451655</v>
      </c>
      <c r="K413" s="3" t="str">
        <f>IFERROR(__xludf.DUMMYFUNCTION("""COMPUTED_VALUE"""),"นายวิษณุพงษ์ ชินบุตร")</f>
        <v>นายวิษณุพงษ์ ชินบุตร</v>
      </c>
      <c r="L413" s="1" t="str">
        <f>IFERROR(__xludf.DUMMYFUNCTION("""COMPUTED_VALUE"""),"13 K.Wisanupong Ch")</f>
        <v>13 K.Wisanupong Ch</v>
      </c>
      <c r="M413" s="1" t="str">
        <f>IFERROR(__xludf.DUMMYFUNCTION("""COMPUTED_VALUE"""),"0843374693")</f>
        <v>0843374693</v>
      </c>
      <c r="N413" s="3">
        <f>IFERROR(__xludf.DUMMYFUNCTION("""COMPUTED_VALUE"""),21494.0)</f>
        <v>21494</v>
      </c>
      <c r="O413" s="3" t="str">
        <f>IFERROR(__xludf.DUMMYFUNCTION("""COMPUTED_VALUE"""),"MBC บ้านกรด")</f>
        <v>MBC บ้านกรด</v>
      </c>
      <c r="P413" s="4">
        <f>IFERROR(__xludf.DUMMYFUNCTION("""COMPUTED_VALUE"""),41444.0)</f>
        <v>41444</v>
      </c>
      <c r="Q413" s="3" t="str">
        <f>IFERROR(__xludf.DUMMYFUNCTION("""COMPUTED_VALUE"""),"I")</f>
        <v>I</v>
      </c>
      <c r="R413" s="3" t="str">
        <f>IFERROR(__xludf.DUMMYFUNCTION("""COMPUTED_VALUE"""),"Small Format")</f>
        <v>Small Format</v>
      </c>
      <c r="S413" s="3" t="str">
        <f>IFERROR(__xludf.DUMMYFUNCTION("""COMPUTED_VALUE"""),"BCM")</f>
        <v>BCM</v>
      </c>
      <c r="T413" s="3" t="str">
        <f>IFERROR(__xludf.DUMMYFUNCTION("""COMPUTED_VALUE"""),"#N/A")</f>
        <v>#N/A</v>
      </c>
      <c r="U413" s="3" t="str">
        <f>IFERROR(__xludf.DUMMYFUNCTION("""COMPUTED_VALUE"""),"#N/A")</f>
        <v>#N/A</v>
      </c>
      <c r="V413" s="3" t="str">
        <f>IFERROR(__xludf.DUMMYFUNCTION("""COMPUTED_VALUE"""),"N")</f>
        <v>N</v>
      </c>
      <c r="W413" s="3">
        <f>IFERROR(__xludf.DUMMYFUNCTION("""COMPUTED_VALUE"""),361015.0)</f>
        <v>361015</v>
      </c>
      <c r="X413" s="3" t="str">
        <f>IFERROR(__xludf.DUMMYFUNCTION("""COMPUTED_VALUE"""),"6/3 หมู่ 3 ตำบลบางพลีใหญ่ อำเภอบางพลี จังหวัดสมุทรปราการ 10540")</f>
        <v>6/3 หมู่ 3 ตำบลบางพลีใหญ่ อำเภอบางพลี จังหวัดสมุทรปราการ 10540</v>
      </c>
      <c r="Y413" s="3"/>
      <c r="Z413" s="3" t="str">
        <f>IFERROR(__xludf.DUMMYFUNCTION("""COMPUTED_VALUE"""),"บางพลีใหญ่")</f>
        <v>บางพลีใหญ่</v>
      </c>
      <c r="AA413" s="3" t="str">
        <f>IFERROR(__xludf.DUMMYFUNCTION("""COMPUTED_VALUE"""),"บางพลี")</f>
        <v>บางพลี</v>
      </c>
      <c r="AB413" s="3" t="str">
        <f>IFERROR(__xludf.DUMMYFUNCTION("""COMPUTED_VALUE"""),"สมุทรปราการ")</f>
        <v>สมุทรปราการ</v>
      </c>
      <c r="AC413" s="3">
        <f>IFERROR(__xludf.DUMMYFUNCTION("""COMPUTED_VALUE"""),10540.0)</f>
        <v>10540</v>
      </c>
      <c r="AD413" s="3">
        <f>IFERROR(__xludf.DUMMYFUNCTION("""COMPUTED_VALUE"""),13.611068)</f>
        <v>13.611068</v>
      </c>
      <c r="AE413" s="3">
        <f>IFERROR(__xludf.DUMMYFUNCTION("""COMPUTED_VALUE"""),100.670577)</f>
        <v>100.670577</v>
      </c>
      <c r="AF413" s="3" t="str">
        <f>IFERROR(__xludf.DUMMYFUNCTION("""COMPUTED_VALUE"""),"MBC BCPเทพารักษ์กม9-21174")</f>
        <v>MBC BCPเทพารักษ์กม9-21174</v>
      </c>
      <c r="AG413" s="3" t="str">
        <f>IFERROR(__xludf.DUMMYFUNCTION("""COMPUTED_VALUE"""),"กลาง")</f>
        <v>กลาง</v>
      </c>
      <c r="AH413" s="3" t="str">
        <f>IFERROR(__xludf.DUMMYFUNCTION("""COMPUTED_VALUE"""),"#N/A")</f>
        <v>#N/A</v>
      </c>
      <c r="AI413" s="3" t="str">
        <f>IFERROR(__xludf.DUMMYFUNCTION("""COMPUTED_VALUE"""),"Out of warranty")</f>
        <v>Out of warranty</v>
      </c>
      <c r="AJ413" s="3">
        <f>IFERROR(__xludf.DUMMYFUNCTION("""COMPUTED_VALUE"""),152.0)</f>
        <v>152</v>
      </c>
      <c r="AK413" s="3" t="str">
        <f>IFERROR(__xludf.DUMMYFUNCTION("""COMPUTED_VALUE"""),"MMS03")</f>
        <v>MMS03</v>
      </c>
      <c r="AL413" s="3"/>
    </row>
    <row r="414" ht="15.75" customHeight="1">
      <c r="A414" s="1" t="str">
        <f>IFERROR(__xludf.DUMMYFUNCTION("""COMPUTED_VALUE"""),"21175")</f>
        <v>21175</v>
      </c>
      <c r="B414" s="2">
        <f>IFERROR(__xludf.DUMMYFUNCTION("""COMPUTED_VALUE"""),21175.0)</f>
        <v>21175</v>
      </c>
      <c r="C414" s="3" t="str">
        <f>IFERROR(__xludf.DUMMYFUNCTION("""COMPUTED_VALUE"""),"MBC BCP กิ่งแก้ว")</f>
        <v>MBC BCP กิ่งแก้ว</v>
      </c>
      <c r="D414" s="3" t="str">
        <f>IFERROR(__xludf.DUMMYFUNCTION("""COMPUTED_VALUE"""),"BCM BCP KINGKAEW")</f>
        <v>BCM BCP KINGKAEW</v>
      </c>
      <c r="E414" s="1" t="str">
        <f>IFERROR(__xludf.DUMMYFUNCTION("""COMPUTED_VALUE"""),"บิ๊กซี MINI")</f>
        <v>บิ๊กซี MINI</v>
      </c>
      <c r="F414" s="1" t="str">
        <f>IFERROR(__xludf.DUMMYFUNCTION("""COMPUTED_VALUE"""),"2083447")</f>
        <v>2083447</v>
      </c>
      <c r="G414" s="1" t="str">
        <f>IFERROR(__xludf.DUMMYFUNCTION("""COMPUTED_VALUE"""),"นายอนุกูล ศรีลัดดา")</f>
        <v>นายอนุกูล ศรีลัดดา</v>
      </c>
      <c r="H414" s="1" t="str">
        <f>IFERROR(__xludf.DUMMYFUNCTION("""COMPUTED_VALUE"""),"284752")</f>
        <v>284752</v>
      </c>
      <c r="I414" s="1" t="str">
        <f>IFERROR(__xludf.DUMMYFUNCTION("""COMPUTED_VALUE"""),"น.ส.วีรนันท์ แสงใส")</f>
        <v>น.ส.วีรนันท์ แสงใส</v>
      </c>
      <c r="J414" s="3">
        <f>IFERROR(__xludf.DUMMYFUNCTION("""COMPUTED_VALUE"""),2451655.0)</f>
        <v>2451655</v>
      </c>
      <c r="K414" s="3" t="str">
        <f>IFERROR(__xludf.DUMMYFUNCTION("""COMPUTED_VALUE"""),"นายวิษณุพงษ์ ชินบุตร")</f>
        <v>นายวิษณุพงษ์ ชินบุตร</v>
      </c>
      <c r="L414" s="1" t="str">
        <f>IFERROR(__xludf.DUMMYFUNCTION("""COMPUTED_VALUE"""),"13 K.Wisanupong Ch")</f>
        <v>13 K.Wisanupong Ch</v>
      </c>
      <c r="M414" s="1" t="str">
        <f>IFERROR(__xludf.DUMMYFUNCTION("""COMPUTED_VALUE"""),"0843374693")</f>
        <v>0843374693</v>
      </c>
      <c r="N414" s="3">
        <f>IFERROR(__xludf.DUMMYFUNCTION("""COMPUTED_VALUE"""),21013.0)</f>
        <v>21013</v>
      </c>
      <c r="O414" s="3" t="str">
        <f>IFERROR(__xludf.DUMMYFUNCTION("""COMPUTED_VALUE"""),"MBC รังสิตคลอง2")</f>
        <v>MBC รังสิตคลอง2</v>
      </c>
      <c r="P414" s="4">
        <f>IFERROR(__xludf.DUMMYFUNCTION("""COMPUTED_VALUE"""),41444.0)</f>
        <v>41444</v>
      </c>
      <c r="Q414" s="3" t="str">
        <f>IFERROR(__xludf.DUMMYFUNCTION("""COMPUTED_VALUE"""),"I")</f>
        <v>I</v>
      </c>
      <c r="R414" s="3" t="str">
        <f>IFERROR(__xludf.DUMMYFUNCTION("""COMPUTED_VALUE"""),"Small Format")</f>
        <v>Small Format</v>
      </c>
      <c r="S414" s="3" t="str">
        <f>IFERROR(__xludf.DUMMYFUNCTION("""COMPUTED_VALUE"""),"BCM")</f>
        <v>BCM</v>
      </c>
      <c r="T414" s="3" t="str">
        <f>IFERROR(__xludf.DUMMYFUNCTION("""COMPUTED_VALUE"""),"#N/A")</f>
        <v>#N/A</v>
      </c>
      <c r="U414" s="3" t="str">
        <f>IFERROR(__xludf.DUMMYFUNCTION("""COMPUTED_VALUE"""),"#N/A")</f>
        <v>#N/A</v>
      </c>
      <c r="V414" s="3" t="str">
        <f>IFERROR(__xludf.DUMMYFUNCTION("""COMPUTED_VALUE"""),"N")</f>
        <v>N</v>
      </c>
      <c r="W414" s="3">
        <f>IFERROR(__xludf.DUMMYFUNCTION("""COMPUTED_VALUE"""),361014.0)</f>
        <v>361014</v>
      </c>
      <c r="X414" s="3" t="str">
        <f>IFERROR(__xludf.DUMMYFUNCTION("""COMPUTED_VALUE"""),"23/17 หมู่ 7 ตำบลราชาเทวะ อำเภอบางพลี จังหวัดสมุทรปราการ 10540")</f>
        <v>23/17 หมู่ 7 ตำบลราชาเทวะ อำเภอบางพลี จังหวัดสมุทรปราการ 10540</v>
      </c>
      <c r="Y414" s="3"/>
      <c r="Z414" s="3" t="str">
        <f>IFERROR(__xludf.DUMMYFUNCTION("""COMPUTED_VALUE"""),"ราชาเทวะ")</f>
        <v>ราชาเทวะ</v>
      </c>
      <c r="AA414" s="3" t="str">
        <f>IFERROR(__xludf.DUMMYFUNCTION("""COMPUTED_VALUE"""),"บางพลี")</f>
        <v>บางพลี</v>
      </c>
      <c r="AB414" s="3" t="str">
        <f>IFERROR(__xludf.DUMMYFUNCTION("""COMPUTED_VALUE"""),"สมุทรปราการ")</f>
        <v>สมุทรปราการ</v>
      </c>
      <c r="AC414" s="3">
        <f>IFERROR(__xludf.DUMMYFUNCTION("""COMPUTED_VALUE"""),10540.0)</f>
        <v>10540</v>
      </c>
      <c r="AD414" s="3">
        <f>IFERROR(__xludf.DUMMYFUNCTION("""COMPUTED_VALUE"""),13.704042)</f>
        <v>13.704042</v>
      </c>
      <c r="AE414" s="3">
        <f>IFERROR(__xludf.DUMMYFUNCTION("""COMPUTED_VALUE"""),100.735497)</f>
        <v>100.735497</v>
      </c>
      <c r="AF414" s="3" t="str">
        <f>IFERROR(__xludf.DUMMYFUNCTION("""COMPUTED_VALUE"""),"MBC BCP กิ่งแก้ว-21175")</f>
        <v>MBC BCP กิ่งแก้ว-21175</v>
      </c>
      <c r="AG414" s="3" t="str">
        <f>IFERROR(__xludf.DUMMYFUNCTION("""COMPUTED_VALUE"""),"กลาง")</f>
        <v>กลาง</v>
      </c>
      <c r="AH414" s="3" t="str">
        <f>IFERROR(__xludf.DUMMYFUNCTION("""COMPUTED_VALUE"""),"#N/A")</f>
        <v>#N/A</v>
      </c>
      <c r="AI414" s="3" t="str">
        <f>IFERROR(__xludf.DUMMYFUNCTION("""COMPUTED_VALUE"""),"Out of warranty")</f>
        <v>Out of warranty</v>
      </c>
      <c r="AJ414" s="3">
        <f>IFERROR(__xludf.DUMMYFUNCTION("""COMPUTED_VALUE"""),152.0)</f>
        <v>152</v>
      </c>
      <c r="AK414" s="3" t="str">
        <f>IFERROR(__xludf.DUMMYFUNCTION("""COMPUTED_VALUE"""),"MMS03")</f>
        <v>MMS03</v>
      </c>
      <c r="AL414" s="3"/>
    </row>
    <row r="415" ht="15.75" customHeight="1">
      <c r="A415" s="1" t="str">
        <f>IFERROR(__xludf.DUMMYFUNCTION("""COMPUTED_VALUE"""),"21176")</f>
        <v>21176</v>
      </c>
      <c r="B415" s="2">
        <f>IFERROR(__xludf.DUMMYFUNCTION("""COMPUTED_VALUE"""),21176.0)</f>
        <v>21176</v>
      </c>
      <c r="C415" s="3" t="str">
        <f>IFERROR(__xludf.DUMMYFUNCTION("""COMPUTED_VALUE"""),"MBC BCP ซอยมหาดไทย")</f>
        <v>MBC BCP ซอยมหาดไทย</v>
      </c>
      <c r="D415" s="3" t="str">
        <f>IFERROR(__xludf.DUMMYFUNCTION("""COMPUTED_VALUE"""),"MBC BCP SOI MAHATTHAI")</f>
        <v>MBC BCP SOI MAHATTHAI</v>
      </c>
      <c r="E415" s="1" t="str">
        <f>IFERROR(__xludf.DUMMYFUNCTION("""COMPUTED_VALUE"""),"บิ๊กซี MINI")</f>
        <v>บิ๊กซี MINI</v>
      </c>
      <c r="F415" s="1" t="str">
        <f>IFERROR(__xludf.DUMMYFUNCTION("""COMPUTED_VALUE"""),"291008")</f>
        <v>291008</v>
      </c>
      <c r="G415" s="1" t="str">
        <f>IFERROR(__xludf.DUMMYFUNCTION("""COMPUTED_VALUE"""),"น.ส.รัชดาพร อีศรัตน์")</f>
        <v>น.ส.รัชดาพร อีศรัตน์</v>
      </c>
      <c r="H415" s="1" t="str">
        <f>IFERROR(__xludf.DUMMYFUNCTION("""COMPUTED_VALUE"""),"034068")</f>
        <v>034068</v>
      </c>
      <c r="I415" s="1" t="str">
        <f>IFERROR(__xludf.DUMMYFUNCTION("""COMPUTED_VALUE"""),"นายสมศักดิ์ ฐานทองดี")</f>
        <v>นายสมศักดิ์ ฐานทองดี</v>
      </c>
      <c r="J415" s="3">
        <f>IFERROR(__xludf.DUMMYFUNCTION("""COMPUTED_VALUE"""),3510104.0)</f>
        <v>3510104</v>
      </c>
      <c r="K415" s="3" t="str">
        <f>IFERROR(__xludf.DUMMYFUNCTION("""COMPUTED_VALUE"""),"นายวิโรจน์ อับดุลสมัด")</f>
        <v>นายวิโรจน์ อับดุลสมัด</v>
      </c>
      <c r="L415" s="1" t="str">
        <f>IFERROR(__xludf.DUMMYFUNCTION("""COMPUTED_VALUE"""),"09 K.Wirode A")</f>
        <v>09 K.Wirode A</v>
      </c>
      <c r="M415" s="1" t="str">
        <f>IFERROR(__xludf.DUMMYFUNCTION("""COMPUTED_VALUE"""),"080-235-4465")</f>
        <v>080-235-4465</v>
      </c>
      <c r="N415" s="3">
        <f>IFERROR(__xludf.DUMMYFUNCTION("""COMPUTED_VALUE"""),21324.0)</f>
        <v>21324</v>
      </c>
      <c r="O415" s="3" t="str">
        <f>IFERROR(__xludf.DUMMYFUNCTION("""COMPUTED_VALUE"""),"MBC BCP สุวินทวงศ์")</f>
        <v>MBC BCP สุวินทวงศ์</v>
      </c>
      <c r="P415" s="4">
        <f>IFERROR(__xludf.DUMMYFUNCTION("""COMPUTED_VALUE"""),41455.0)</f>
        <v>41455</v>
      </c>
      <c r="Q415" s="3" t="str">
        <f>IFERROR(__xludf.DUMMYFUNCTION("""COMPUTED_VALUE"""),"I")</f>
        <v>I</v>
      </c>
      <c r="R415" s="3" t="str">
        <f>IFERROR(__xludf.DUMMYFUNCTION("""COMPUTED_VALUE"""),"Small Format")</f>
        <v>Small Format</v>
      </c>
      <c r="S415" s="3" t="str">
        <f>IFERROR(__xludf.DUMMYFUNCTION("""COMPUTED_VALUE"""),"BCM")</f>
        <v>BCM</v>
      </c>
      <c r="T415" s="3" t="str">
        <f>IFERROR(__xludf.DUMMYFUNCTION("""COMPUTED_VALUE"""),"#N/A")</f>
        <v>#N/A</v>
      </c>
      <c r="U415" s="3" t="str">
        <f>IFERROR(__xludf.DUMMYFUNCTION("""COMPUTED_VALUE"""),"#N/A")</f>
        <v>#N/A</v>
      </c>
      <c r="V415" s="3" t="str">
        <f>IFERROR(__xludf.DUMMYFUNCTION("""COMPUTED_VALUE"""),"N")</f>
        <v>N</v>
      </c>
      <c r="W415" s="3">
        <f>IFERROR(__xludf.DUMMYFUNCTION("""COMPUTED_VALUE"""),0.0)</f>
        <v>0</v>
      </c>
      <c r="X415" s="3" t="str">
        <f>IFERROR(__xludf.DUMMYFUNCTION("""COMPUTED_VALUE"""),"282/2 ซอย ลาดพร้าว122(มหาดไทย1) แขวงพลับพลา เขตวังทองหลาง กรุงเทพฯ 10310")</f>
        <v>282/2 ซอย ลาดพร้าว122(มหาดไทย1) แขวงพลับพลา เขตวังทองหลาง กรุงเทพฯ 10310</v>
      </c>
      <c r="Y415" s="3" t="str">
        <f>IFERROR(__xludf.DUMMYFUNCTION("""COMPUTED_VALUE"""),"ซอย ลาดพร้าว122(มหาดไทย1)")</f>
        <v>ซอย ลาดพร้าว122(มหาดไทย1)</v>
      </c>
      <c r="Z415" s="3" t="str">
        <f>IFERROR(__xludf.DUMMYFUNCTION("""COMPUTED_VALUE"""),"ลาดพร้าว122(มหาดไทย1)")</f>
        <v>ลาดพร้าว122(มหาดไทย1)</v>
      </c>
      <c r="AA415" s="3" t="str">
        <f>IFERROR(__xludf.DUMMYFUNCTION("""COMPUTED_VALUE"""),"วังทองหลาง")</f>
        <v>วังทองหลาง</v>
      </c>
      <c r="AB415" s="3" t="str">
        <f>IFERROR(__xludf.DUMMYFUNCTION("""COMPUTED_VALUE"""),"กรุงเทพมหานคร")</f>
        <v>กรุงเทพมหานคร</v>
      </c>
      <c r="AC415" s="3">
        <f>IFERROR(__xludf.DUMMYFUNCTION("""COMPUTED_VALUE"""),10310.0)</f>
        <v>10310</v>
      </c>
      <c r="AD415" s="3" t="str">
        <f>IFERROR(__xludf.DUMMYFUNCTION("""COMPUTED_VALUE"""),"#N/A")</f>
        <v>#N/A</v>
      </c>
      <c r="AE415" s="3" t="str">
        <f>IFERROR(__xludf.DUMMYFUNCTION("""COMPUTED_VALUE"""),"#N/A")</f>
        <v>#N/A</v>
      </c>
      <c r="AF415" s="3" t="str">
        <f>IFERROR(__xludf.DUMMYFUNCTION("""COMPUTED_VALUE"""),"MBC BCP ซอยมหาดไทย-21176")</f>
        <v>MBC BCP ซอยมหาดไทย-21176</v>
      </c>
      <c r="AG415" s="3" t="str">
        <f>IFERROR(__xludf.DUMMYFUNCTION("""COMPUTED_VALUE"""),"กลาง")</f>
        <v>กลาง</v>
      </c>
      <c r="AH415" s="3" t="str">
        <f>IFERROR(__xludf.DUMMYFUNCTION("""COMPUTED_VALUE"""),"#N/A")</f>
        <v>#N/A</v>
      </c>
      <c r="AI415" s="3" t="str">
        <f>IFERROR(__xludf.DUMMYFUNCTION("""COMPUTED_VALUE"""),"Out of warranty")</f>
        <v>Out of warranty</v>
      </c>
      <c r="AJ415" s="3">
        <f>IFERROR(__xludf.DUMMYFUNCTION("""COMPUTED_VALUE"""),151.0)</f>
        <v>151</v>
      </c>
      <c r="AK415" s="3"/>
      <c r="AL415" s="3"/>
    </row>
    <row r="416" ht="15.75" customHeight="1">
      <c r="A416" s="1" t="str">
        <f>IFERROR(__xludf.DUMMYFUNCTION("""COMPUTED_VALUE"""),"21177")</f>
        <v>21177</v>
      </c>
      <c r="B416" s="2">
        <f>IFERROR(__xludf.DUMMYFUNCTION("""COMPUTED_VALUE"""),21177.0)</f>
        <v>21177</v>
      </c>
      <c r="C416" s="3" t="str">
        <f>IFERROR(__xludf.DUMMYFUNCTION("""COMPUTED_VALUE"""),"MBC BCPพระราม2 กม50")</f>
        <v>MBC BCPพระราม2 กม50</v>
      </c>
      <c r="D416" s="3" t="str">
        <f>IFERROR(__xludf.DUMMYFUNCTION("""COMPUTED_VALUE"""),"BCM BCP RAMA2 KM50")</f>
        <v>BCM BCP RAMA2 KM50</v>
      </c>
      <c r="E416" s="1" t="str">
        <f>IFERROR(__xludf.DUMMYFUNCTION("""COMPUTED_VALUE"""),"บิ๊กซี MINI")</f>
        <v>บิ๊กซี MINI</v>
      </c>
      <c r="F416" s="1" t="str">
        <f>IFERROR(__xludf.DUMMYFUNCTION("""COMPUTED_VALUE"""),"250760")</f>
        <v>250760</v>
      </c>
      <c r="G416" s="1" t="str">
        <f>IFERROR(__xludf.DUMMYFUNCTION("""COMPUTED_VALUE"""),"นายประทวน สาราบรรณ์")</f>
        <v>นายประทวน สาราบรรณ์</v>
      </c>
      <c r="H416" s="1" t="str">
        <f>IFERROR(__xludf.DUMMYFUNCTION("""COMPUTED_VALUE"""),"284752")</f>
        <v>284752</v>
      </c>
      <c r="I416" s="1" t="str">
        <f>IFERROR(__xludf.DUMMYFUNCTION("""COMPUTED_VALUE"""),"น.ส.วีรนันท์ แสงใส")</f>
        <v>น.ส.วีรนันท์ แสงใส</v>
      </c>
      <c r="J416" s="3">
        <f>IFERROR(__xludf.DUMMYFUNCTION("""COMPUTED_VALUE"""),295541.0)</f>
        <v>295541</v>
      </c>
      <c r="K416" s="3" t="str">
        <f>IFERROR(__xludf.DUMMYFUNCTION("""COMPUTED_VALUE"""),"นายรพิพล ศรีมาตย์")</f>
        <v>นายรพิพล ศรีมาตย์</v>
      </c>
      <c r="L416" s="1" t="str">
        <f>IFERROR(__xludf.DUMMYFUNCTION("""COMPUTED_VALUE"""),"นายรพิพล ศรีมาตย์")</f>
        <v>นายรพิพล ศรีมาตย์</v>
      </c>
      <c r="M416" s="1" t="str">
        <f>IFERROR(__xludf.DUMMYFUNCTION("""COMPUTED_VALUE"""),"0613966115")</f>
        <v>0613966115</v>
      </c>
      <c r="N416" s="3">
        <f>IFERROR(__xludf.DUMMYFUNCTION("""COMPUTED_VALUE"""),21175.0)</f>
        <v>21175</v>
      </c>
      <c r="O416" s="3" t="str">
        <f>IFERROR(__xludf.DUMMYFUNCTION("""COMPUTED_VALUE"""),"MBC BCP กิ่งแก้ว")</f>
        <v>MBC BCP กิ่งแก้ว</v>
      </c>
      <c r="P416" s="4">
        <f>IFERROR(__xludf.DUMMYFUNCTION("""COMPUTED_VALUE"""),41445.0)</f>
        <v>41445</v>
      </c>
      <c r="Q416" s="3" t="str">
        <f>IFERROR(__xludf.DUMMYFUNCTION("""COMPUTED_VALUE"""),"I")</f>
        <v>I</v>
      </c>
      <c r="R416" s="3" t="str">
        <f>IFERROR(__xludf.DUMMYFUNCTION("""COMPUTED_VALUE"""),"Small Format")</f>
        <v>Small Format</v>
      </c>
      <c r="S416" s="3" t="str">
        <f>IFERROR(__xludf.DUMMYFUNCTION("""COMPUTED_VALUE"""),"BCM")</f>
        <v>BCM</v>
      </c>
      <c r="T416" s="3" t="str">
        <f>IFERROR(__xludf.DUMMYFUNCTION("""COMPUTED_VALUE"""),"#N/A")</f>
        <v>#N/A</v>
      </c>
      <c r="U416" s="3" t="str">
        <f>IFERROR(__xludf.DUMMYFUNCTION("""COMPUTED_VALUE"""),"#N/A")</f>
        <v>#N/A</v>
      </c>
      <c r="V416" s="3" t="str">
        <f>IFERROR(__xludf.DUMMYFUNCTION("""COMPUTED_VALUE"""),"N")</f>
        <v>N</v>
      </c>
      <c r="W416" s="3">
        <f>IFERROR(__xludf.DUMMYFUNCTION("""COMPUTED_VALUE"""),361017.0)</f>
        <v>361017</v>
      </c>
      <c r="X416" s="3" t="str">
        <f>IFERROR(__xludf.DUMMYFUNCTION("""COMPUTED_VALUE"""),"99/5 หมู่ 2 ตำบลนาโคก อำเภอเมืองสมุทรสาคร จังหวัดสมุทรสาคร 74000")</f>
        <v>99/5 หมู่ 2 ตำบลนาโคก อำเภอเมืองสมุทรสาคร จังหวัดสมุทรสาคร 74000</v>
      </c>
      <c r="Y416" s="3"/>
      <c r="Z416" s="3" t="str">
        <f>IFERROR(__xludf.DUMMYFUNCTION("""COMPUTED_VALUE"""),"นาโคก")</f>
        <v>นาโคก</v>
      </c>
      <c r="AA416" s="3" t="str">
        <f>IFERROR(__xludf.DUMMYFUNCTION("""COMPUTED_VALUE"""),"เมือง")</f>
        <v>เมือง</v>
      </c>
      <c r="AB416" s="3" t="str">
        <f>IFERROR(__xludf.DUMMYFUNCTION("""COMPUTED_VALUE"""),"สมุทรสาคร")</f>
        <v>สมุทรสาคร</v>
      </c>
      <c r="AC416" s="3">
        <f>IFERROR(__xludf.DUMMYFUNCTION("""COMPUTED_VALUE"""),74000.0)</f>
        <v>74000</v>
      </c>
      <c r="AD416" s="3">
        <f>IFERROR(__xludf.DUMMYFUNCTION("""COMPUTED_VALUE"""),13.467135)</f>
        <v>13.467135</v>
      </c>
      <c r="AE416" s="3">
        <f>IFERROR(__xludf.DUMMYFUNCTION("""COMPUTED_VALUE"""),100.104674)</f>
        <v>100.104674</v>
      </c>
      <c r="AF416" s="3" t="str">
        <f>IFERROR(__xludf.DUMMYFUNCTION("""COMPUTED_VALUE"""),"MBC BCPพระราม2 กม50-21177")</f>
        <v>MBC BCPพระราม2 กม50-21177</v>
      </c>
      <c r="AG416" s="3" t="str">
        <f>IFERROR(__xludf.DUMMYFUNCTION("""COMPUTED_VALUE"""),"กลาง")</f>
        <v>กลาง</v>
      </c>
      <c r="AH416" s="3" t="str">
        <f>IFERROR(__xludf.DUMMYFUNCTION("""COMPUTED_VALUE"""),"#N/A")</f>
        <v>#N/A</v>
      </c>
      <c r="AI416" s="3" t="str">
        <f>IFERROR(__xludf.DUMMYFUNCTION("""COMPUTED_VALUE"""),"Out of warranty")</f>
        <v>Out of warranty</v>
      </c>
      <c r="AJ416" s="3">
        <f>IFERROR(__xludf.DUMMYFUNCTION("""COMPUTED_VALUE"""),152.0)</f>
        <v>152</v>
      </c>
      <c r="AK416" s="3"/>
      <c r="AL416" s="3"/>
    </row>
    <row r="417" ht="15.75" customHeight="1">
      <c r="A417" s="1" t="str">
        <f>IFERROR(__xludf.DUMMYFUNCTION("""COMPUTED_VALUE"""),"21178")</f>
        <v>21178</v>
      </c>
      <c r="B417" s="2">
        <f>IFERROR(__xludf.DUMMYFUNCTION("""COMPUTED_VALUE"""),21178.0)</f>
        <v>21178</v>
      </c>
      <c r="C417" s="3" t="str">
        <f>IFERROR(__xludf.DUMMYFUNCTION("""COMPUTED_VALUE"""),"MBC BCPเพชรเกษมกม47")</f>
        <v>MBC BCPเพชรเกษมกม47</v>
      </c>
      <c r="D417" s="3" t="str">
        <f>IFERROR(__xludf.DUMMYFUNCTION("""COMPUTED_VALUE"""),"BCM BCP PETKASEM KM47")</f>
        <v>BCM BCP PETKASEM KM47</v>
      </c>
      <c r="E417" s="1" t="str">
        <f>IFERROR(__xludf.DUMMYFUNCTION("""COMPUTED_VALUE"""),"บิ๊กซี MINI")</f>
        <v>บิ๊กซี MINI</v>
      </c>
      <c r="F417" s="1" t="str">
        <f>IFERROR(__xludf.DUMMYFUNCTION("""COMPUTED_VALUE"""),"296229")</f>
        <v>296229</v>
      </c>
      <c r="G417" s="1" t="str">
        <f>IFERROR(__xludf.DUMMYFUNCTION("""COMPUTED_VALUE"""),"นายทนงศักดิ์ บุญมา")</f>
        <v>นายทนงศักดิ์ บุญมา</v>
      </c>
      <c r="H417" s="1" t="str">
        <f>IFERROR(__xludf.DUMMYFUNCTION("""COMPUTED_VALUE"""),"295245")</f>
        <v>295245</v>
      </c>
      <c r="I417" s="1" t="str">
        <f>IFERROR(__xludf.DUMMYFUNCTION("""COMPUTED_VALUE"""),"นายมานะ วงศ์สุโชโต")</f>
        <v>นายมานะ วงศ์สุโชโต</v>
      </c>
      <c r="J417" s="3">
        <f>IFERROR(__xludf.DUMMYFUNCTION("""COMPUTED_VALUE"""),46214.0)</f>
        <v>46214</v>
      </c>
      <c r="K417" s="3" t="str">
        <f>IFERROR(__xludf.DUMMYFUNCTION("""COMPUTED_VALUE"""),"นายศักดิ์ชัย เด็ดดอกฟ้า")</f>
        <v>นายศักดิ์ชัย เด็ดดอกฟ้า</v>
      </c>
      <c r="L417" s="1" t="str">
        <f>IFERROR(__xludf.DUMMYFUNCTION("""COMPUTED_VALUE"""),"02 K.Sakchai D")</f>
        <v>02 K.Sakchai D</v>
      </c>
      <c r="M417" s="1" t="str">
        <f>IFERROR(__xludf.DUMMYFUNCTION("""COMPUTED_VALUE"""),"065-510-7376")</f>
        <v>065-510-7376</v>
      </c>
      <c r="N417" s="3">
        <f>IFERROR(__xludf.DUMMYFUNCTION("""COMPUTED_VALUE"""),21714.0)</f>
        <v>21714</v>
      </c>
      <c r="O417" s="3" t="str">
        <f>IFERROR(__xludf.DUMMYFUNCTION("""COMPUTED_VALUE"""),"MBC เอสโซ่ วัดโบสถ์")</f>
        <v>MBC เอสโซ่ วัดโบสถ์</v>
      </c>
      <c r="P417" s="4">
        <f>IFERROR(__xludf.DUMMYFUNCTION("""COMPUTED_VALUE"""),41445.0)</f>
        <v>41445</v>
      </c>
      <c r="Q417" s="3" t="str">
        <f>IFERROR(__xludf.DUMMYFUNCTION("""COMPUTED_VALUE"""),"I")</f>
        <v>I</v>
      </c>
      <c r="R417" s="3" t="str">
        <f>IFERROR(__xludf.DUMMYFUNCTION("""COMPUTED_VALUE"""),"Small Format")</f>
        <v>Small Format</v>
      </c>
      <c r="S417" s="3" t="str">
        <f>IFERROR(__xludf.DUMMYFUNCTION("""COMPUTED_VALUE"""),"BCM")</f>
        <v>BCM</v>
      </c>
      <c r="T417" s="3" t="str">
        <f>IFERROR(__xludf.DUMMYFUNCTION("""COMPUTED_VALUE"""),"#N/A")</f>
        <v>#N/A</v>
      </c>
      <c r="U417" s="3" t="str">
        <f>IFERROR(__xludf.DUMMYFUNCTION("""COMPUTED_VALUE"""),"#N/A")</f>
        <v>#N/A</v>
      </c>
      <c r="V417" s="3" t="str">
        <f>IFERROR(__xludf.DUMMYFUNCTION("""COMPUTED_VALUE"""),"N")</f>
        <v>N</v>
      </c>
      <c r="W417" s="3">
        <f>IFERROR(__xludf.DUMMYFUNCTION("""COMPUTED_VALUE"""),361016.0)</f>
        <v>361016</v>
      </c>
      <c r="X417" s="3" t="str">
        <f>IFERROR(__xludf.DUMMYFUNCTION("""COMPUTED_VALUE"""),"97/1 หมู่ 3 ตำบลศรีษะทอง อำเภอนครชัยศรี จังหวัดนครปฐม 73120")</f>
        <v>97/1 หมู่ 3 ตำบลศรีษะทอง อำเภอนครชัยศรี จังหวัดนครปฐม 73120</v>
      </c>
      <c r="Y417" s="3"/>
      <c r="Z417" s="3" t="str">
        <f>IFERROR(__xludf.DUMMYFUNCTION("""COMPUTED_VALUE"""),"ศรีษะทอง")</f>
        <v>ศรีษะทอง</v>
      </c>
      <c r="AA417" s="3" t="str">
        <f>IFERROR(__xludf.DUMMYFUNCTION("""COMPUTED_VALUE"""),"นครชัยศรี")</f>
        <v>นครชัยศรี</v>
      </c>
      <c r="AB417" s="3" t="str">
        <f>IFERROR(__xludf.DUMMYFUNCTION("""COMPUTED_VALUE"""),"นครปฐม")</f>
        <v>นครปฐม</v>
      </c>
      <c r="AC417" s="3">
        <f>IFERROR(__xludf.DUMMYFUNCTION("""COMPUTED_VALUE"""),73120.0)</f>
        <v>73120</v>
      </c>
      <c r="AD417" s="3">
        <f>IFERROR(__xludf.DUMMYFUNCTION("""COMPUTED_VALUE"""),13.809284)</f>
        <v>13.809284</v>
      </c>
      <c r="AE417" s="3">
        <f>IFERROR(__xludf.DUMMYFUNCTION("""COMPUTED_VALUE"""),100.141901)</f>
        <v>100.141901</v>
      </c>
      <c r="AF417" s="3" t="str">
        <f>IFERROR(__xludf.DUMMYFUNCTION("""COMPUTED_VALUE"""),"MBC BCPเพชรเกษมกม47-21178")</f>
        <v>MBC BCPเพชรเกษมกม47-21178</v>
      </c>
      <c r="AG417" s="3" t="str">
        <f>IFERROR(__xludf.DUMMYFUNCTION("""COMPUTED_VALUE"""),"กลาง")</f>
        <v>กลาง</v>
      </c>
      <c r="AH417" s="3" t="str">
        <f>IFERROR(__xludf.DUMMYFUNCTION("""COMPUTED_VALUE"""),"#N/A")</f>
        <v>#N/A</v>
      </c>
      <c r="AI417" s="3" t="str">
        <f>IFERROR(__xludf.DUMMYFUNCTION("""COMPUTED_VALUE"""),"Out of warranty")</f>
        <v>Out of warranty</v>
      </c>
      <c r="AJ417" s="3">
        <f>IFERROR(__xludf.DUMMYFUNCTION("""COMPUTED_VALUE"""),152.0)</f>
        <v>152</v>
      </c>
      <c r="AK417" s="3" t="str">
        <f>IFERROR(__xludf.DUMMYFUNCTION("""COMPUTED_VALUE"""),"MMS05")</f>
        <v>MMS05</v>
      </c>
      <c r="AL417" s="3"/>
    </row>
    <row r="418" ht="15.75" customHeight="1">
      <c r="A418" s="1" t="str">
        <f>IFERROR(__xludf.DUMMYFUNCTION("""COMPUTED_VALUE"""),"21179")</f>
        <v>21179</v>
      </c>
      <c r="B418" s="2">
        <f>IFERROR(__xludf.DUMMYFUNCTION("""COMPUTED_VALUE"""),21179.0)</f>
        <v>21179</v>
      </c>
      <c r="C418" s="3" t="str">
        <f>IFERROR(__xludf.DUMMYFUNCTION("""COMPUTED_VALUE"""),"MBC สามแยกเจดีย์")</f>
        <v>MBC สามแยกเจดีย์</v>
      </c>
      <c r="D418" s="3" t="str">
        <f>IFERROR(__xludf.DUMMYFUNCTION("""COMPUTED_VALUE"""),"BCM SAMYAEKCHEDI")</f>
        <v>BCM SAMYAEKCHEDI</v>
      </c>
      <c r="E418" s="1" t="str">
        <f>IFERROR(__xludf.DUMMYFUNCTION("""COMPUTED_VALUE"""),"บิ๊กซี MINI")</f>
        <v>บิ๊กซี MINI</v>
      </c>
      <c r="F418" s="1" t="str">
        <f>IFERROR(__xludf.DUMMYFUNCTION("""COMPUTED_VALUE"""),"2083447")</f>
        <v>2083447</v>
      </c>
      <c r="G418" s="1" t="str">
        <f>IFERROR(__xludf.DUMMYFUNCTION("""COMPUTED_VALUE"""),"นายอนุกูล ศรีลัดดา")</f>
        <v>นายอนุกูล ศรีลัดดา</v>
      </c>
      <c r="H418" s="1" t="str">
        <f>IFERROR(__xludf.DUMMYFUNCTION("""COMPUTED_VALUE"""),"379037")</f>
        <v>379037</v>
      </c>
      <c r="I418" s="1" t="str">
        <f>IFERROR(__xludf.DUMMYFUNCTION("""COMPUTED_VALUE"""),"นางแก้วใจ แก้วกาญจน์")</f>
        <v>นางแก้วใจ แก้วกาญจน์</v>
      </c>
      <c r="J418" s="3">
        <f>IFERROR(__xludf.DUMMYFUNCTION("""COMPUTED_VALUE"""),2451655.0)</f>
        <v>2451655</v>
      </c>
      <c r="K418" s="3" t="str">
        <f>IFERROR(__xludf.DUMMYFUNCTION("""COMPUTED_VALUE"""),"นายวิษณุพงษ์ ชินบุตร")</f>
        <v>นายวิษณุพงษ์ ชินบุตร</v>
      </c>
      <c r="L418" s="1" t="str">
        <f>IFERROR(__xludf.DUMMYFUNCTION("""COMPUTED_VALUE"""),"13 K.Wisanupong Ch")</f>
        <v>13 K.Wisanupong Ch</v>
      </c>
      <c r="M418" s="1" t="str">
        <f>IFERROR(__xludf.DUMMYFUNCTION("""COMPUTED_VALUE"""),"0843374693")</f>
        <v>0843374693</v>
      </c>
      <c r="N418" s="3">
        <f>IFERROR(__xludf.DUMMYFUNCTION("""COMPUTED_VALUE"""),22729.0)</f>
        <v>22729</v>
      </c>
      <c r="O418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418" s="4">
        <f>IFERROR(__xludf.DUMMYFUNCTION("""COMPUTED_VALUE"""),41446.0)</f>
        <v>41446</v>
      </c>
      <c r="Q418" s="3" t="str">
        <f>IFERROR(__xludf.DUMMYFUNCTION("""COMPUTED_VALUE"""),"A")</f>
        <v>A</v>
      </c>
      <c r="R418" s="3" t="str">
        <f>IFERROR(__xludf.DUMMYFUNCTION("""COMPUTED_VALUE"""),"Small Format")</f>
        <v>Small Format</v>
      </c>
      <c r="S418" s="3" t="str">
        <f>IFERROR(__xludf.DUMMYFUNCTION("""COMPUTED_VALUE"""),"BCM")</f>
        <v>BCM</v>
      </c>
      <c r="T418" s="3" t="str">
        <f>IFERROR(__xludf.DUMMYFUNCTION("""COMPUTED_VALUE"""),"#N/A")</f>
        <v>#N/A</v>
      </c>
      <c r="U418" s="3" t="str">
        <f>IFERROR(__xludf.DUMMYFUNCTION("""COMPUTED_VALUE"""),"#N/A")</f>
        <v>#N/A</v>
      </c>
      <c r="V418" s="3" t="str">
        <f>IFERROR(__xludf.DUMMYFUNCTION("""COMPUTED_VALUE"""),"N")</f>
        <v>N</v>
      </c>
      <c r="W418" s="3">
        <f>IFERROR(__xludf.DUMMYFUNCTION("""COMPUTED_VALUE"""),211159.0)</f>
        <v>211159</v>
      </c>
      <c r="X418" s="3" t="str">
        <f>IFERROR(__xludf.DUMMYFUNCTION("""COMPUTED_VALUE"""),"135 หมู่ 3 ตำบลปากคลองบางปลากด อำเภอพระสมุทรเจดีย์ จังหวัดสมุทรปราการ 10290")</f>
        <v>135 หมู่ 3 ตำบลปากคลองบางปลากด อำเภอพระสมุทรเจดีย์ จังหวัดสมุทรปราการ 10290</v>
      </c>
      <c r="Y418" s="3"/>
      <c r="Z418" s="3" t="str">
        <f>IFERROR(__xludf.DUMMYFUNCTION("""COMPUTED_VALUE"""),"ปากคลองบางปลากด")</f>
        <v>ปากคลองบางปลากด</v>
      </c>
      <c r="AA418" s="3" t="str">
        <f>IFERROR(__xludf.DUMMYFUNCTION("""COMPUTED_VALUE"""),"พระสมุทรเจดีย์")</f>
        <v>พระสมุทรเจดีย์</v>
      </c>
      <c r="AB418" s="3" t="str">
        <f>IFERROR(__xludf.DUMMYFUNCTION("""COMPUTED_VALUE"""),"สมุทรปราการ")</f>
        <v>สมุทรปราการ</v>
      </c>
      <c r="AC418" s="3">
        <f>IFERROR(__xludf.DUMMYFUNCTION("""COMPUTED_VALUE"""),10290.0)</f>
        <v>10290</v>
      </c>
      <c r="AD418" s="3">
        <f>IFERROR(__xludf.DUMMYFUNCTION("""COMPUTED_VALUE"""),13.595259)</f>
        <v>13.595259</v>
      </c>
      <c r="AE418" s="3">
        <f>IFERROR(__xludf.DUMMYFUNCTION("""COMPUTED_VALUE"""),100.580025)</f>
        <v>100.580025</v>
      </c>
      <c r="AF418" s="3" t="str">
        <f>IFERROR(__xludf.DUMMYFUNCTION("""COMPUTED_VALUE"""),"MBC สามแยกเจดีย์-21179")</f>
        <v>MBC สามแยกเจดีย์-21179</v>
      </c>
      <c r="AG418" s="3" t="str">
        <f>IFERROR(__xludf.DUMMYFUNCTION("""COMPUTED_VALUE"""),"กลาง")</f>
        <v>กลาง</v>
      </c>
      <c r="AH418" s="3" t="str">
        <f>IFERROR(__xludf.DUMMYFUNCTION("""COMPUTED_VALUE"""),"#N/A")</f>
        <v>#N/A</v>
      </c>
      <c r="AI418" s="3" t="str">
        <f>IFERROR(__xludf.DUMMYFUNCTION("""COMPUTED_VALUE"""),"Out of warranty")</f>
        <v>Out of warranty</v>
      </c>
      <c r="AJ418" s="3">
        <f>IFERROR(__xludf.DUMMYFUNCTION("""COMPUTED_VALUE"""),151.0)</f>
        <v>151</v>
      </c>
      <c r="AK418" s="3" t="str">
        <f>IFERROR(__xludf.DUMMYFUNCTION("""COMPUTED_VALUE"""),"MMS02")</f>
        <v>MMS02</v>
      </c>
      <c r="AL418" s="3"/>
    </row>
    <row r="419" ht="15.75" customHeight="1">
      <c r="A419" s="1" t="str">
        <f>IFERROR(__xludf.DUMMYFUNCTION("""COMPUTED_VALUE"""),"21180")</f>
        <v>21180</v>
      </c>
      <c r="B419" s="2">
        <f>IFERROR(__xludf.DUMMYFUNCTION("""COMPUTED_VALUE"""),21180.0)</f>
        <v>21180</v>
      </c>
      <c r="C419" s="3" t="str">
        <f>IFERROR(__xludf.DUMMYFUNCTION("""COMPUTED_VALUE"""),"MBC ม.วิเศษสุขนคร")</f>
        <v>MBC ม.วิเศษสุขนคร</v>
      </c>
      <c r="D419" s="3" t="str">
        <f>IFERROR(__xludf.DUMMYFUNCTION("""COMPUTED_VALUE"""),"BCM M.WISETSUKNAKORN")</f>
        <v>BCM M.WISETSUKNAKORN</v>
      </c>
      <c r="E419" s="1" t="str">
        <f>IFERROR(__xludf.DUMMYFUNCTION("""COMPUTED_VALUE"""),"บิ๊กซี MINI")</f>
        <v>บิ๊กซี MINI</v>
      </c>
      <c r="F419" s="1" t="str">
        <f>IFERROR(__xludf.DUMMYFUNCTION("""COMPUTED_VALUE"""),"2083447")</f>
        <v>2083447</v>
      </c>
      <c r="G419" s="1" t="str">
        <f>IFERROR(__xludf.DUMMYFUNCTION("""COMPUTED_VALUE"""),"นายอนุกูล ศรีลัดดา")</f>
        <v>นายอนุกูล ศรีลัดดา</v>
      </c>
      <c r="H419" s="1" t="str">
        <f>IFERROR(__xludf.DUMMYFUNCTION("""COMPUTED_VALUE"""),"379037")</f>
        <v>379037</v>
      </c>
      <c r="I419" s="1" t="str">
        <f>IFERROR(__xludf.DUMMYFUNCTION("""COMPUTED_VALUE"""),"นางแก้วใจ แก้วกาญจน์")</f>
        <v>นางแก้วใจ แก้วกาญจน์</v>
      </c>
      <c r="J419" s="3">
        <f>IFERROR(__xludf.DUMMYFUNCTION("""COMPUTED_VALUE"""),2451655.0)</f>
        <v>2451655</v>
      </c>
      <c r="K419" s="3" t="str">
        <f>IFERROR(__xludf.DUMMYFUNCTION("""COMPUTED_VALUE"""),"นายวิษณุพงษ์ ชินบุตร")</f>
        <v>นายวิษณุพงษ์ ชินบุตร</v>
      </c>
      <c r="L419" s="1" t="str">
        <f>IFERROR(__xludf.DUMMYFUNCTION("""COMPUTED_VALUE"""),"13 K.Wisanupong Ch")</f>
        <v>13 K.Wisanupong Ch</v>
      </c>
      <c r="M419" s="1" t="str">
        <f>IFERROR(__xludf.DUMMYFUNCTION("""COMPUTED_VALUE"""),"0843374693")</f>
        <v>0843374693</v>
      </c>
      <c r="N419" s="3">
        <f>IFERROR(__xludf.DUMMYFUNCTION("""COMPUTED_VALUE"""),22729.0)</f>
        <v>22729</v>
      </c>
      <c r="O419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419" s="4">
        <f>IFERROR(__xludf.DUMMYFUNCTION("""COMPUTED_VALUE"""),41447.0)</f>
        <v>41447</v>
      </c>
      <c r="Q419" s="3" t="str">
        <f>IFERROR(__xludf.DUMMYFUNCTION("""COMPUTED_VALUE"""),"A")</f>
        <v>A</v>
      </c>
      <c r="R419" s="3" t="str">
        <f>IFERROR(__xludf.DUMMYFUNCTION("""COMPUTED_VALUE"""),"Small Format")</f>
        <v>Small Format</v>
      </c>
      <c r="S419" s="3" t="str">
        <f>IFERROR(__xludf.DUMMYFUNCTION("""COMPUTED_VALUE"""),"BCM")</f>
        <v>BCM</v>
      </c>
      <c r="T419" s="3" t="str">
        <f>IFERROR(__xludf.DUMMYFUNCTION("""COMPUTED_VALUE"""),"#N/A")</f>
        <v>#N/A</v>
      </c>
      <c r="U419" s="3" t="str">
        <f>IFERROR(__xludf.DUMMYFUNCTION("""COMPUTED_VALUE"""),"#N/A")</f>
        <v>#N/A</v>
      </c>
      <c r="V419" s="3" t="str">
        <f>IFERROR(__xludf.DUMMYFUNCTION("""COMPUTED_VALUE"""),"N")</f>
        <v>N</v>
      </c>
      <c r="W419" s="3">
        <f>IFERROR(__xludf.DUMMYFUNCTION("""COMPUTED_VALUE"""),211160.0)</f>
        <v>211160</v>
      </c>
      <c r="X419" s="3" t="str">
        <f>IFERROR(__xludf.DUMMYFUNCTION("""COMPUTED_VALUE"""),"49/4-5 หมู่ 15 ตำบลบางครุ อำเภอพระประแดง จังหวัดสมุทรปราการ 10130")</f>
        <v>49/4-5 หมู่ 15 ตำบลบางครุ อำเภอพระประแดง จังหวัดสมุทรปราการ 10130</v>
      </c>
      <c r="Y419" s="3"/>
      <c r="Z419" s="3" t="str">
        <f>IFERROR(__xludf.DUMMYFUNCTION("""COMPUTED_VALUE"""),"บางครุ")</f>
        <v>บางครุ</v>
      </c>
      <c r="AA419" s="3" t="str">
        <f>IFERROR(__xludf.DUMMYFUNCTION("""COMPUTED_VALUE"""),"พระประแดง")</f>
        <v>พระประแดง</v>
      </c>
      <c r="AB419" s="3" t="str">
        <f>IFERROR(__xludf.DUMMYFUNCTION("""COMPUTED_VALUE"""),"สมุทรปราการ")</f>
        <v>สมุทรปราการ</v>
      </c>
      <c r="AC419" s="3">
        <f>IFERROR(__xludf.DUMMYFUNCTION("""COMPUTED_VALUE"""),10130.0)</f>
        <v>10130</v>
      </c>
      <c r="AD419" s="3">
        <f>IFERROR(__xludf.DUMMYFUNCTION("""COMPUTED_VALUE"""),13.639648)</f>
        <v>13.639648</v>
      </c>
      <c r="AE419" s="3">
        <f>IFERROR(__xludf.DUMMYFUNCTION("""COMPUTED_VALUE"""),100.516941)</f>
        <v>100.516941</v>
      </c>
      <c r="AF419" s="3" t="str">
        <f>IFERROR(__xludf.DUMMYFUNCTION("""COMPUTED_VALUE"""),"MBC ม.วิเศษสุขนคร-21180")</f>
        <v>MBC ม.วิเศษสุขนคร-21180</v>
      </c>
      <c r="AG419" s="3" t="str">
        <f>IFERROR(__xludf.DUMMYFUNCTION("""COMPUTED_VALUE"""),"กลาง")</f>
        <v>กลาง</v>
      </c>
      <c r="AH419" s="3" t="str">
        <f>IFERROR(__xludf.DUMMYFUNCTION("""COMPUTED_VALUE"""),"#N/A")</f>
        <v>#N/A</v>
      </c>
      <c r="AI419" s="3" t="str">
        <f>IFERROR(__xludf.DUMMYFUNCTION("""COMPUTED_VALUE"""),"Out of warranty")</f>
        <v>Out of warranty</v>
      </c>
      <c r="AJ419" s="3">
        <f>IFERROR(__xludf.DUMMYFUNCTION("""COMPUTED_VALUE"""),151.0)</f>
        <v>151</v>
      </c>
      <c r="AK419" s="3" t="str">
        <f>IFERROR(__xludf.DUMMYFUNCTION("""COMPUTED_VALUE"""),"MMS02")</f>
        <v>MMS02</v>
      </c>
      <c r="AL419" s="3"/>
    </row>
    <row r="420" ht="15.75" customHeight="1">
      <c r="A420" s="1" t="str">
        <f>IFERROR(__xludf.DUMMYFUNCTION("""COMPUTED_VALUE"""),"21181")</f>
        <v>21181</v>
      </c>
      <c r="B420" s="2">
        <f>IFERROR(__xludf.DUMMYFUNCTION("""COMPUTED_VALUE"""),21181.0)</f>
        <v>21181</v>
      </c>
      <c r="C420" s="3" t="str">
        <f>IFERROR(__xludf.DUMMYFUNCTION("""COMPUTED_VALUE"""),"MBC BCP เอเชีย กม62")</f>
        <v>MBC BCP เอเชีย กม62</v>
      </c>
      <c r="D420" s="3" t="str">
        <f>IFERROR(__xludf.DUMMYFUNCTION("""COMPUTED_VALUE"""),"BCM BCP ASIA KM62")</f>
        <v>BCM BCP ASIA KM62</v>
      </c>
      <c r="E420" s="1" t="str">
        <f>IFERROR(__xludf.DUMMYFUNCTION("""COMPUTED_VALUE"""),"บิ๊กซี MINI")</f>
        <v>บิ๊กซี MINI</v>
      </c>
      <c r="F420" s="1" t="str">
        <f>IFERROR(__xludf.DUMMYFUNCTION("""COMPUTED_VALUE"""),"296229")</f>
        <v>296229</v>
      </c>
      <c r="G420" s="1" t="str">
        <f>IFERROR(__xludf.DUMMYFUNCTION("""COMPUTED_VALUE"""),"นายทนงศักดิ์ บุญมา")</f>
        <v>นายทนงศักดิ์ บุญมา</v>
      </c>
      <c r="H420" s="1" t="str">
        <f>IFERROR(__xludf.DUMMYFUNCTION("""COMPUTED_VALUE"""),"211363")</f>
        <v>211363</v>
      </c>
      <c r="I420" s="1" t="str">
        <f>IFERROR(__xludf.DUMMYFUNCTION("""COMPUTED_VALUE"""),"นายสามารถ บุญลับ")</f>
        <v>นายสามารถ บุญลับ</v>
      </c>
      <c r="J420" s="3">
        <f>IFERROR(__xludf.DUMMYFUNCTION("""COMPUTED_VALUE"""),46214.0)</f>
        <v>46214</v>
      </c>
      <c r="K420" s="3" t="str">
        <f>IFERROR(__xludf.DUMMYFUNCTION("""COMPUTED_VALUE"""),"นายศักดิ์ชัย เด็ดดอกฟ้า")</f>
        <v>นายศักดิ์ชัย เด็ดดอกฟ้า</v>
      </c>
      <c r="L420" s="1" t="str">
        <f>IFERROR(__xludf.DUMMYFUNCTION("""COMPUTED_VALUE"""),"02 K.Sakchai D")</f>
        <v>02 K.Sakchai D</v>
      </c>
      <c r="M420" s="1" t="str">
        <f>IFERROR(__xludf.DUMMYFUNCTION("""COMPUTED_VALUE"""),"065-510-7376")</f>
        <v>065-510-7376</v>
      </c>
      <c r="N420" s="3">
        <f>IFERROR(__xludf.DUMMYFUNCTION("""COMPUTED_VALUE"""),21714.0)</f>
        <v>21714</v>
      </c>
      <c r="O420" s="3" t="str">
        <f>IFERROR(__xludf.DUMMYFUNCTION("""COMPUTED_VALUE"""),"MBC เอสโซ่ วัดโบสถ์")</f>
        <v>MBC เอสโซ่ วัดโบสถ์</v>
      </c>
      <c r="P420" s="4">
        <f>IFERROR(__xludf.DUMMYFUNCTION("""COMPUTED_VALUE"""),41447.0)</f>
        <v>41447</v>
      </c>
      <c r="Q420" s="3" t="str">
        <f>IFERROR(__xludf.DUMMYFUNCTION("""COMPUTED_VALUE"""),"A")</f>
        <v>A</v>
      </c>
      <c r="R420" s="3" t="str">
        <f>IFERROR(__xludf.DUMMYFUNCTION("""COMPUTED_VALUE"""),"Small Format")</f>
        <v>Small Format</v>
      </c>
      <c r="S420" s="3" t="str">
        <f>IFERROR(__xludf.DUMMYFUNCTION("""COMPUTED_VALUE"""),"BCM")</f>
        <v>BCM</v>
      </c>
      <c r="T420" s="3" t="str">
        <f>IFERROR(__xludf.DUMMYFUNCTION("""COMPUTED_VALUE"""),"#N/A")</f>
        <v>#N/A</v>
      </c>
      <c r="U420" s="3" t="str">
        <f>IFERROR(__xludf.DUMMYFUNCTION("""COMPUTED_VALUE"""),"#N/A")</f>
        <v>#N/A</v>
      </c>
      <c r="V420" s="3" t="str">
        <f>IFERROR(__xludf.DUMMYFUNCTION("""COMPUTED_VALUE"""),"N")</f>
        <v>N</v>
      </c>
      <c r="W420" s="3">
        <f>IFERROR(__xludf.DUMMYFUNCTION("""COMPUTED_VALUE"""),361018.0)</f>
        <v>361018</v>
      </c>
      <c r="X420" s="3" t="str">
        <f>IFERROR(__xludf.DUMMYFUNCTION("""COMPUTED_VALUE"""),"59/1 หมู่ 3 ตำบลบ้านหว้า อำเภอบางปะอิน จังหวัดพระนครศรีอยุธยา 13160")</f>
        <v>59/1 หมู่ 3 ตำบลบ้านหว้า อำเภอบางปะอิน จังหวัดพระนครศรีอยุธยา 13160</v>
      </c>
      <c r="Y420" s="3"/>
      <c r="Z420" s="3" t="str">
        <f>IFERROR(__xludf.DUMMYFUNCTION("""COMPUTED_VALUE"""),"บ้านหว้า")</f>
        <v>บ้านหว้า</v>
      </c>
      <c r="AA420" s="3" t="str">
        <f>IFERROR(__xludf.DUMMYFUNCTION("""COMPUTED_VALUE"""),"บางปะอิน")</f>
        <v>บางปะอิน</v>
      </c>
      <c r="AB420" s="3" t="str">
        <f>IFERROR(__xludf.DUMMYFUNCTION("""COMPUTED_VALUE"""),"พระนครศรีอยุธยา")</f>
        <v>พระนครศรีอยุธยา</v>
      </c>
      <c r="AC420" s="3">
        <f>IFERROR(__xludf.DUMMYFUNCTION("""COMPUTED_VALUE"""),13160.0)</f>
        <v>13160</v>
      </c>
      <c r="AD420" s="3">
        <f>IFERROR(__xludf.DUMMYFUNCTION("""COMPUTED_VALUE"""),14.265361)</f>
        <v>14.265361</v>
      </c>
      <c r="AE420" s="3">
        <f>IFERROR(__xludf.DUMMYFUNCTION("""COMPUTED_VALUE"""),100.612682)</f>
        <v>100.612682</v>
      </c>
      <c r="AF420" s="3" t="str">
        <f>IFERROR(__xludf.DUMMYFUNCTION("""COMPUTED_VALUE"""),"MBC BCP เอเชีย กม62-21181")</f>
        <v>MBC BCP เอเชีย กม62-21181</v>
      </c>
      <c r="AG420" s="3" t="str">
        <f>IFERROR(__xludf.DUMMYFUNCTION("""COMPUTED_VALUE"""),"กลาง")</f>
        <v>กลาง</v>
      </c>
      <c r="AH420" s="3" t="str">
        <f>IFERROR(__xludf.DUMMYFUNCTION("""COMPUTED_VALUE"""),"#N/A")</f>
        <v>#N/A</v>
      </c>
      <c r="AI420" s="3" t="str">
        <f>IFERROR(__xludf.DUMMYFUNCTION("""COMPUTED_VALUE"""),"Out of warranty")</f>
        <v>Out of warranty</v>
      </c>
      <c r="AJ420" s="3">
        <f>IFERROR(__xludf.DUMMYFUNCTION("""COMPUTED_VALUE"""),151.0)</f>
        <v>151</v>
      </c>
      <c r="AK420" s="3" t="str">
        <f>IFERROR(__xludf.DUMMYFUNCTION("""COMPUTED_VALUE"""),"MMS04")</f>
        <v>MMS04</v>
      </c>
      <c r="AL420" s="3"/>
    </row>
    <row r="421" ht="15.75" customHeight="1">
      <c r="A421" s="1" t="str">
        <f>IFERROR(__xludf.DUMMYFUNCTION("""COMPUTED_VALUE"""),"21182")</f>
        <v>21182</v>
      </c>
      <c r="B421" s="2">
        <f>IFERROR(__xludf.DUMMYFUNCTION("""COMPUTED_VALUE"""),21182.0)</f>
        <v>21182</v>
      </c>
      <c r="C421" s="3" t="str">
        <f>IFERROR(__xludf.DUMMYFUNCTION("""COMPUTED_VALUE"""),"MBC ถนนท้ายบ้าน")</f>
        <v>MBC ถนนท้ายบ้าน</v>
      </c>
      <c r="D421" s="3" t="str">
        <f>IFERROR(__xludf.DUMMYFUNCTION("""COMPUTED_VALUE"""),"BCM TANONTAIBAN")</f>
        <v>BCM TANONTAIBAN</v>
      </c>
      <c r="E421" s="1" t="str">
        <f>IFERROR(__xludf.DUMMYFUNCTION("""COMPUTED_VALUE"""),"บิ๊กซี MINI")</f>
        <v>บิ๊กซี MINI</v>
      </c>
      <c r="F421" s="1" t="str">
        <f>IFERROR(__xludf.DUMMYFUNCTION("""COMPUTED_VALUE"""),"2083447")</f>
        <v>2083447</v>
      </c>
      <c r="G421" s="1" t="str">
        <f>IFERROR(__xludf.DUMMYFUNCTION("""COMPUTED_VALUE"""),"นายอนุกูล ศรีลัดดา")</f>
        <v>นายอนุกูล ศรีลัดดา</v>
      </c>
      <c r="H421" s="1" t="str">
        <f>IFERROR(__xludf.DUMMYFUNCTION("""COMPUTED_VALUE"""),"399107")</f>
        <v>399107</v>
      </c>
      <c r="I421" s="1" t="str">
        <f>IFERROR(__xludf.DUMMYFUNCTION("""COMPUTED_VALUE"""),"นายรัชระวี กลมแป้น")</f>
        <v>นายรัชระวี กลมแป้น</v>
      </c>
      <c r="J421" s="3">
        <f>IFERROR(__xludf.DUMMYFUNCTION("""COMPUTED_VALUE"""),510143.0)</f>
        <v>510143</v>
      </c>
      <c r="K421" s="3" t="str">
        <f>IFERROR(__xludf.DUMMYFUNCTION("""COMPUTED_VALUE"""),"นายธีระวัฒน์ บุญสิทธิ์")</f>
        <v>นายธีระวัฒน์ บุญสิทธิ์</v>
      </c>
      <c r="L421" s="1" t="str">
        <f>IFERROR(__xludf.DUMMYFUNCTION("""COMPUTED_VALUE"""),"12 K.Theerawat B.")</f>
        <v>12 K.Theerawat B.</v>
      </c>
      <c r="M421" s="1" t="str">
        <f>IFERROR(__xludf.DUMMYFUNCTION("""COMPUTED_VALUE"""),"0655107379")</f>
        <v>0655107379</v>
      </c>
      <c r="N421" s="3">
        <f>IFERROR(__xludf.DUMMYFUNCTION("""COMPUTED_VALUE"""),21062.0)</f>
        <v>21062</v>
      </c>
      <c r="O421" s="3" t="str">
        <f>IFERROR(__xludf.DUMMYFUNCTION("""COMPUTED_VALUE"""),"MBC นิคมนวนคร")</f>
        <v>MBC นิคมนวนคร</v>
      </c>
      <c r="P421" s="4">
        <f>IFERROR(__xludf.DUMMYFUNCTION("""COMPUTED_VALUE"""),41449.0)</f>
        <v>41449</v>
      </c>
      <c r="Q421" s="3" t="str">
        <f>IFERROR(__xludf.DUMMYFUNCTION("""COMPUTED_VALUE"""),"A")</f>
        <v>A</v>
      </c>
      <c r="R421" s="3" t="str">
        <f>IFERROR(__xludf.DUMMYFUNCTION("""COMPUTED_VALUE"""),"Small Format")</f>
        <v>Small Format</v>
      </c>
      <c r="S421" s="3" t="str">
        <f>IFERROR(__xludf.DUMMYFUNCTION("""COMPUTED_VALUE"""),"BCM")</f>
        <v>BCM</v>
      </c>
      <c r="T421" s="3" t="str">
        <f>IFERROR(__xludf.DUMMYFUNCTION("""COMPUTED_VALUE"""),"#N/A")</f>
        <v>#N/A</v>
      </c>
      <c r="U421" s="3" t="str">
        <f>IFERROR(__xludf.DUMMYFUNCTION("""COMPUTED_VALUE"""),"#N/A")</f>
        <v>#N/A</v>
      </c>
      <c r="V421" s="3" t="str">
        <f>IFERROR(__xludf.DUMMYFUNCTION("""COMPUTED_VALUE"""),"N")</f>
        <v>N</v>
      </c>
      <c r="W421" s="3">
        <f>IFERROR(__xludf.DUMMYFUNCTION("""COMPUTED_VALUE"""),211162.0)</f>
        <v>211162</v>
      </c>
      <c r="X421" s="3" t="str">
        <f>IFERROR(__xludf.DUMMYFUNCTION("""COMPUTED_VALUE"""),"240 หมู่ 7 ตำบลท้ายบ้าน อำเภอเมืองสมุทรปราการ จังหวัดสมุทรปราการ 10280")</f>
        <v>240 หมู่ 7 ตำบลท้ายบ้าน อำเภอเมืองสมุทรปราการ จังหวัดสมุทรปราการ 10280</v>
      </c>
      <c r="Y421" s="3"/>
      <c r="Z421" s="3" t="str">
        <f>IFERROR(__xludf.DUMMYFUNCTION("""COMPUTED_VALUE"""),"ท้ายบ้าน")</f>
        <v>ท้ายบ้าน</v>
      </c>
      <c r="AA421" s="3" t="str">
        <f>IFERROR(__xludf.DUMMYFUNCTION("""COMPUTED_VALUE"""),"เมืองสมุทรปราการ")</f>
        <v>เมืองสมุทรปราการ</v>
      </c>
      <c r="AB421" s="3" t="str">
        <f>IFERROR(__xludf.DUMMYFUNCTION("""COMPUTED_VALUE"""),"สมุทรปราการ")</f>
        <v>สมุทรปราการ</v>
      </c>
      <c r="AC421" s="3">
        <f>IFERROR(__xludf.DUMMYFUNCTION("""COMPUTED_VALUE"""),10280.0)</f>
        <v>10280</v>
      </c>
      <c r="AD421" s="3">
        <f>IFERROR(__xludf.DUMMYFUNCTION("""COMPUTED_VALUE"""),13.572232)</f>
        <v>13.572232</v>
      </c>
      <c r="AE421" s="3">
        <f>IFERROR(__xludf.DUMMYFUNCTION("""COMPUTED_VALUE"""),100.591741)</f>
        <v>100.591741</v>
      </c>
      <c r="AF421" s="3" t="str">
        <f>IFERROR(__xludf.DUMMYFUNCTION("""COMPUTED_VALUE"""),"MBC ถนนท้ายบ้าน-21182")</f>
        <v>MBC ถนนท้ายบ้าน-21182</v>
      </c>
      <c r="AG421" s="3" t="str">
        <f>IFERROR(__xludf.DUMMYFUNCTION("""COMPUTED_VALUE"""),"กลาง")</f>
        <v>กลาง</v>
      </c>
      <c r="AH421" s="3" t="str">
        <f>IFERROR(__xludf.DUMMYFUNCTION("""COMPUTED_VALUE"""),"#N/A")</f>
        <v>#N/A</v>
      </c>
      <c r="AI421" s="3" t="str">
        <f>IFERROR(__xludf.DUMMYFUNCTION("""COMPUTED_VALUE"""),"Out of warranty")</f>
        <v>Out of warranty</v>
      </c>
      <c r="AJ421" s="3">
        <f>IFERROR(__xludf.DUMMYFUNCTION("""COMPUTED_VALUE"""),151.0)</f>
        <v>151</v>
      </c>
      <c r="AK421" s="3" t="str">
        <f>IFERROR(__xludf.DUMMYFUNCTION("""COMPUTED_VALUE"""),"MMS02")</f>
        <v>MMS02</v>
      </c>
      <c r="AL421" s="3"/>
    </row>
    <row r="422" ht="15.75" customHeight="1">
      <c r="A422" s="1" t="str">
        <f>IFERROR(__xludf.DUMMYFUNCTION("""COMPUTED_VALUE"""),"21183")</f>
        <v>21183</v>
      </c>
      <c r="B422" s="2">
        <f>IFERROR(__xludf.DUMMYFUNCTION("""COMPUTED_VALUE"""),21183.0)</f>
        <v>21183</v>
      </c>
      <c r="C422" s="3" t="str">
        <f>IFERROR(__xludf.DUMMYFUNCTION("""COMPUTED_VALUE"""),"MBC ถนนปราจีนตคาม")</f>
        <v>MBC ถนนปราจีนตคาม</v>
      </c>
      <c r="D422" s="3" t="str">
        <f>IFERROR(__xludf.DUMMYFUNCTION("""COMPUTED_VALUE"""),"BCM TANON PRACHINTAKAM")</f>
        <v>BCM TANON PRACHINTAKAM</v>
      </c>
      <c r="E422" s="1" t="str">
        <f>IFERROR(__xludf.DUMMYFUNCTION("""COMPUTED_VALUE"""),"บิ๊กซี MINI")</f>
        <v>บิ๊กซี MINI</v>
      </c>
      <c r="F422" s="1" t="str">
        <f>IFERROR(__xludf.DUMMYFUNCTION("""COMPUTED_VALUE"""),"2083447")</f>
        <v>2083447</v>
      </c>
      <c r="G422" s="1" t="str">
        <f>IFERROR(__xludf.DUMMYFUNCTION("""COMPUTED_VALUE"""),"นายอนุกูล ศรีลัดดา")</f>
        <v>นายอนุกูล ศรีลัดดา</v>
      </c>
      <c r="H422" s="1" t="str">
        <f>IFERROR(__xludf.DUMMYFUNCTION("""COMPUTED_VALUE"""),"259808")</f>
        <v>259808</v>
      </c>
      <c r="I422" s="1" t="str">
        <f>IFERROR(__xludf.DUMMYFUNCTION("""COMPUTED_VALUE"""),"น.ส.สกุลรัตน์ พิกุลแก้ว")</f>
        <v>น.ส.สกุลรัตน์ พิกุลแก้ว</v>
      </c>
      <c r="J422" s="3">
        <f>IFERROR(__xludf.DUMMYFUNCTION("""COMPUTED_VALUE"""),510143.0)</f>
        <v>510143</v>
      </c>
      <c r="K422" s="3" t="str">
        <f>IFERROR(__xludf.DUMMYFUNCTION("""COMPUTED_VALUE"""),"นายธีระวัฒน์ บุญสิทธิ์")</f>
        <v>นายธีระวัฒน์ บุญสิทธิ์</v>
      </c>
      <c r="L422" s="1" t="str">
        <f>IFERROR(__xludf.DUMMYFUNCTION("""COMPUTED_VALUE"""),"12 K.Theerawat B.")</f>
        <v>12 K.Theerawat B.</v>
      </c>
      <c r="M422" s="1" t="str">
        <f>IFERROR(__xludf.DUMMYFUNCTION("""COMPUTED_VALUE"""),"0655107379")</f>
        <v>0655107379</v>
      </c>
      <c r="N422" s="3">
        <f>IFERROR(__xludf.DUMMYFUNCTION("""COMPUTED_VALUE"""),21062.0)</f>
        <v>21062</v>
      </c>
      <c r="O422" s="3" t="str">
        <f>IFERROR(__xludf.DUMMYFUNCTION("""COMPUTED_VALUE"""),"MBC นิคมนวนคร")</f>
        <v>MBC นิคมนวนคร</v>
      </c>
      <c r="P422" s="4">
        <f>IFERROR(__xludf.DUMMYFUNCTION("""COMPUTED_VALUE"""),41453.0)</f>
        <v>41453</v>
      </c>
      <c r="Q422" s="3" t="str">
        <f>IFERROR(__xludf.DUMMYFUNCTION("""COMPUTED_VALUE"""),"A")</f>
        <v>A</v>
      </c>
      <c r="R422" s="3" t="str">
        <f>IFERROR(__xludf.DUMMYFUNCTION("""COMPUTED_VALUE"""),"Small Format")</f>
        <v>Small Format</v>
      </c>
      <c r="S422" s="3" t="str">
        <f>IFERROR(__xludf.DUMMYFUNCTION("""COMPUTED_VALUE"""),"BCM")</f>
        <v>BCM</v>
      </c>
      <c r="T422" s="3" t="str">
        <f>IFERROR(__xludf.DUMMYFUNCTION("""COMPUTED_VALUE"""),"#N/A")</f>
        <v>#N/A</v>
      </c>
      <c r="U422" s="3" t="str">
        <f>IFERROR(__xludf.DUMMYFUNCTION("""COMPUTED_VALUE"""),"#N/A")</f>
        <v>#N/A</v>
      </c>
      <c r="V422" s="3" t="str">
        <f>IFERROR(__xludf.DUMMYFUNCTION("""COMPUTED_VALUE"""),"N")</f>
        <v>N</v>
      </c>
      <c r="W422" s="3">
        <f>IFERROR(__xludf.DUMMYFUNCTION("""COMPUTED_VALUE"""),211164.0)</f>
        <v>211164</v>
      </c>
      <c r="X422" s="3" t="str">
        <f>IFERROR(__xludf.DUMMYFUNCTION("""COMPUTED_VALUE"""),"66/1 ถนนปราจีนตคาม ตำบลหน้าเมือง อำเภอเมืองปราจีนบุรี จังหวัดปราจีนบุรี 25000")</f>
        <v>66/1 ถนนปราจีนตคาม ตำบลหน้าเมือง อำเภอเมืองปราจีนบุรี จังหวัดปราจีนบุรี 25000</v>
      </c>
      <c r="Y422" s="3" t="str">
        <f>IFERROR(__xludf.DUMMYFUNCTION("""COMPUTED_VALUE"""),"ถนนปราจีนตคาม")</f>
        <v>ถนนปราจีนตคาม</v>
      </c>
      <c r="Z422" s="3" t="str">
        <f>IFERROR(__xludf.DUMMYFUNCTION("""COMPUTED_VALUE"""),"หน้าเมือง")</f>
        <v>หน้าเมือง</v>
      </c>
      <c r="AA422" s="3" t="str">
        <f>IFERROR(__xludf.DUMMYFUNCTION("""COMPUTED_VALUE"""),"เมือง")</f>
        <v>เมือง</v>
      </c>
      <c r="AB422" s="3" t="str">
        <f>IFERROR(__xludf.DUMMYFUNCTION("""COMPUTED_VALUE"""),"ปราจีนบุรี")</f>
        <v>ปราจีนบุรี</v>
      </c>
      <c r="AC422" s="3">
        <f>IFERROR(__xludf.DUMMYFUNCTION("""COMPUTED_VALUE"""),25000.0)</f>
        <v>25000</v>
      </c>
      <c r="AD422" s="3">
        <f>IFERROR(__xludf.DUMMYFUNCTION("""COMPUTED_VALUE"""),14.055265)</f>
        <v>14.055265</v>
      </c>
      <c r="AE422" s="3">
        <f>IFERROR(__xludf.DUMMYFUNCTION("""COMPUTED_VALUE"""),101.377789)</f>
        <v>101.377789</v>
      </c>
      <c r="AF422" s="3" t="str">
        <f>IFERROR(__xludf.DUMMYFUNCTION("""COMPUTED_VALUE"""),"MBC ถนนปราจีนตคาม-21183")</f>
        <v>MBC ถนนปราจีนตคาม-21183</v>
      </c>
      <c r="AG422" s="3" t="str">
        <f>IFERROR(__xludf.DUMMYFUNCTION("""COMPUTED_VALUE"""),"ตะวันออก")</f>
        <v>ตะวันออก</v>
      </c>
      <c r="AH422" s="3" t="str">
        <f>IFERROR(__xludf.DUMMYFUNCTION("""COMPUTED_VALUE"""),"#N/A")</f>
        <v>#N/A</v>
      </c>
      <c r="AI422" s="3" t="str">
        <f>IFERROR(__xludf.DUMMYFUNCTION("""COMPUTED_VALUE"""),"Out of warranty")</f>
        <v>Out of warranty</v>
      </c>
      <c r="AJ422" s="3">
        <f>IFERROR(__xludf.DUMMYFUNCTION("""COMPUTED_VALUE"""),151.0)</f>
        <v>151</v>
      </c>
      <c r="AK422" s="3" t="str">
        <f>IFERROR(__xludf.DUMMYFUNCTION("""COMPUTED_VALUE"""),"MMS08")</f>
        <v>MMS08</v>
      </c>
      <c r="AL422" s="3"/>
    </row>
    <row r="423" ht="15.75" customHeight="1">
      <c r="A423" s="1" t="str">
        <f>IFERROR(__xludf.DUMMYFUNCTION("""COMPUTED_VALUE"""),"21184")</f>
        <v>21184</v>
      </c>
      <c r="B423" s="2">
        <f>IFERROR(__xludf.DUMMYFUNCTION("""COMPUTED_VALUE"""),21184.0)</f>
        <v>21184</v>
      </c>
      <c r="C423" s="3" t="str">
        <f>IFERROR(__xludf.DUMMYFUNCTION("""COMPUTED_VALUE"""),"MBC ตลาดกบินทร์บุรี")</f>
        <v>MBC ตลาดกบินทร์บุรี</v>
      </c>
      <c r="D423" s="3" t="str">
        <f>IFERROR(__xludf.DUMMYFUNCTION("""COMPUTED_VALUE"""),"BCM TARAD KABINBURI")</f>
        <v>BCM TARAD KABINBURI</v>
      </c>
      <c r="E423" s="1" t="str">
        <f>IFERROR(__xludf.DUMMYFUNCTION("""COMPUTED_VALUE"""),"บิ๊กซี MINI")</f>
        <v>บิ๊กซี MINI</v>
      </c>
      <c r="F423" s="1" t="str">
        <f>IFERROR(__xludf.DUMMYFUNCTION("""COMPUTED_VALUE"""),"2083447")</f>
        <v>2083447</v>
      </c>
      <c r="G423" s="1" t="str">
        <f>IFERROR(__xludf.DUMMYFUNCTION("""COMPUTED_VALUE"""),"นายอนุกูล ศรีลัดดา")</f>
        <v>นายอนุกูล ศรีลัดดา</v>
      </c>
      <c r="H423" s="1" t="str">
        <f>IFERROR(__xludf.DUMMYFUNCTION("""COMPUTED_VALUE"""),"259808")</f>
        <v>259808</v>
      </c>
      <c r="I423" s="1" t="str">
        <f>IFERROR(__xludf.DUMMYFUNCTION("""COMPUTED_VALUE"""),"น.ส.สกุลรัตน์ พิกุลแก้ว")</f>
        <v>น.ส.สกุลรัตน์ พิกุลแก้ว</v>
      </c>
      <c r="J423" s="3">
        <f>IFERROR(__xludf.DUMMYFUNCTION("""COMPUTED_VALUE"""),510143.0)</f>
        <v>510143</v>
      </c>
      <c r="K423" s="3" t="str">
        <f>IFERROR(__xludf.DUMMYFUNCTION("""COMPUTED_VALUE"""),"นายธีระวัฒน์ บุญสิทธิ์")</f>
        <v>นายธีระวัฒน์ บุญสิทธิ์</v>
      </c>
      <c r="L423" s="1" t="str">
        <f>IFERROR(__xludf.DUMMYFUNCTION("""COMPUTED_VALUE"""),"12 K.Theerawat B.")</f>
        <v>12 K.Theerawat B.</v>
      </c>
      <c r="M423" s="1" t="str">
        <f>IFERROR(__xludf.DUMMYFUNCTION("""COMPUTED_VALUE"""),"0655107379")</f>
        <v>0655107379</v>
      </c>
      <c r="N423" s="3">
        <f>IFERROR(__xludf.DUMMYFUNCTION("""COMPUTED_VALUE"""),21062.0)</f>
        <v>21062</v>
      </c>
      <c r="O423" s="3" t="str">
        <f>IFERROR(__xludf.DUMMYFUNCTION("""COMPUTED_VALUE"""),"MBC นิคมนวนคร")</f>
        <v>MBC นิคมนวนคร</v>
      </c>
      <c r="P423" s="4">
        <f>IFERROR(__xludf.DUMMYFUNCTION("""COMPUTED_VALUE"""),41449.0)</f>
        <v>41449</v>
      </c>
      <c r="Q423" s="3" t="str">
        <f>IFERROR(__xludf.DUMMYFUNCTION("""COMPUTED_VALUE"""),"A")</f>
        <v>A</v>
      </c>
      <c r="R423" s="3" t="str">
        <f>IFERROR(__xludf.DUMMYFUNCTION("""COMPUTED_VALUE"""),"Small Format")</f>
        <v>Small Format</v>
      </c>
      <c r="S423" s="3" t="str">
        <f>IFERROR(__xludf.DUMMYFUNCTION("""COMPUTED_VALUE"""),"BCM")</f>
        <v>BCM</v>
      </c>
      <c r="T423" s="3" t="str">
        <f>IFERROR(__xludf.DUMMYFUNCTION("""COMPUTED_VALUE"""),"#N/A")</f>
        <v>#N/A</v>
      </c>
      <c r="U423" s="3" t="str">
        <f>IFERROR(__xludf.DUMMYFUNCTION("""COMPUTED_VALUE"""),"#N/A")</f>
        <v>#N/A</v>
      </c>
      <c r="V423" s="3" t="str">
        <f>IFERROR(__xludf.DUMMYFUNCTION("""COMPUTED_VALUE"""),"N")</f>
        <v>N</v>
      </c>
      <c r="W423" s="3">
        <f>IFERROR(__xludf.DUMMYFUNCTION("""COMPUTED_VALUE"""),211161.0)</f>
        <v>211161</v>
      </c>
      <c r="X423" s="3" t="str">
        <f>IFERROR(__xludf.DUMMYFUNCTION("""COMPUTED_VALUE"""),"234,236,238,240 ถนนเจ้าสำอางค์ ตำบลกบินทร์ อำเภอกบินทร์บุรี จังหวัดปราจีนบุรี 25110")</f>
        <v>234,236,238,240 ถนนเจ้าสำอางค์ ตำบลกบินทร์ อำเภอกบินทร์บุรี จังหวัดปราจีนบุรี 25110</v>
      </c>
      <c r="Y423" s="3" t="str">
        <f>IFERROR(__xludf.DUMMYFUNCTION("""COMPUTED_VALUE"""),"ถนนเจ้าสำอางค์")</f>
        <v>ถนนเจ้าสำอางค์</v>
      </c>
      <c r="Z423" s="3" t="str">
        <f>IFERROR(__xludf.DUMMYFUNCTION("""COMPUTED_VALUE"""),"กบินทร์")</f>
        <v>กบินทร์</v>
      </c>
      <c r="AA423" s="3" t="str">
        <f>IFERROR(__xludf.DUMMYFUNCTION("""COMPUTED_VALUE"""),"กบินทร์บุรี")</f>
        <v>กบินทร์บุรี</v>
      </c>
      <c r="AB423" s="3" t="str">
        <f>IFERROR(__xludf.DUMMYFUNCTION("""COMPUTED_VALUE"""),"ปราจีนบุรี")</f>
        <v>ปราจีนบุรี</v>
      </c>
      <c r="AC423" s="3">
        <f>IFERROR(__xludf.DUMMYFUNCTION("""COMPUTED_VALUE"""),25110.0)</f>
        <v>25110</v>
      </c>
      <c r="AD423" s="3">
        <f>IFERROR(__xludf.DUMMYFUNCTION("""COMPUTED_VALUE"""),13.991192)</f>
        <v>13.991192</v>
      </c>
      <c r="AE423" s="3">
        <f>IFERROR(__xludf.DUMMYFUNCTION("""COMPUTED_VALUE"""),101.721153)</f>
        <v>101.721153</v>
      </c>
      <c r="AF423" s="3" t="str">
        <f>IFERROR(__xludf.DUMMYFUNCTION("""COMPUTED_VALUE"""),"MBC ตลาดกบินทร์บุรี-21184")</f>
        <v>MBC ตลาดกบินทร์บุรี-21184</v>
      </c>
      <c r="AG423" s="3" t="str">
        <f>IFERROR(__xludf.DUMMYFUNCTION("""COMPUTED_VALUE"""),"ตะวันออก")</f>
        <v>ตะวันออก</v>
      </c>
      <c r="AH423" s="3" t="str">
        <f>IFERROR(__xludf.DUMMYFUNCTION("""COMPUTED_VALUE"""),"#N/A")</f>
        <v>#N/A</v>
      </c>
      <c r="AI423" s="3" t="str">
        <f>IFERROR(__xludf.DUMMYFUNCTION("""COMPUTED_VALUE"""),"Out of warranty")</f>
        <v>Out of warranty</v>
      </c>
      <c r="AJ423" s="3">
        <f>IFERROR(__xludf.DUMMYFUNCTION("""COMPUTED_VALUE"""),151.0)</f>
        <v>151</v>
      </c>
      <c r="AK423" s="3" t="str">
        <f>IFERROR(__xludf.DUMMYFUNCTION("""COMPUTED_VALUE"""),"MMS08")</f>
        <v>MMS08</v>
      </c>
      <c r="AL423" s="3"/>
    </row>
    <row r="424" ht="15.75" customHeight="1">
      <c r="A424" s="1" t="str">
        <f>IFERROR(__xludf.DUMMYFUNCTION("""COMPUTED_VALUE"""),"21185")</f>
        <v>21185</v>
      </c>
      <c r="B424" s="2">
        <f>IFERROR(__xludf.DUMMYFUNCTION("""COMPUTED_VALUE"""),21185.0)</f>
        <v>21185</v>
      </c>
      <c r="C424" s="3" t="str">
        <f>IFERROR(__xludf.DUMMYFUNCTION("""COMPUTED_VALUE"""),"MBC ตลาดตำหรุ")</f>
        <v>MBC ตลาดตำหรุ</v>
      </c>
      <c r="D424" s="3" t="str">
        <f>IFERROR(__xludf.DUMMYFUNCTION("""COMPUTED_VALUE"""),"BCM TARAD TUMRU")</f>
        <v>BCM TARAD TUMRU</v>
      </c>
      <c r="E424" s="1" t="str">
        <f>IFERROR(__xludf.DUMMYFUNCTION("""COMPUTED_VALUE"""),"บิ๊กซี MINI")</f>
        <v>บิ๊กซี MINI</v>
      </c>
      <c r="F424" s="1" t="str">
        <f>IFERROR(__xludf.DUMMYFUNCTION("""COMPUTED_VALUE"""),"2083447")</f>
        <v>2083447</v>
      </c>
      <c r="G424" s="1" t="str">
        <f>IFERROR(__xludf.DUMMYFUNCTION("""COMPUTED_VALUE"""),"นายอนุกูล ศรีลัดดา")</f>
        <v>นายอนุกูล ศรีลัดดา</v>
      </c>
      <c r="H424" s="1" t="str">
        <f>IFERROR(__xludf.DUMMYFUNCTION("""COMPUTED_VALUE"""),"399107")</f>
        <v>399107</v>
      </c>
      <c r="I424" s="1" t="str">
        <f>IFERROR(__xludf.DUMMYFUNCTION("""COMPUTED_VALUE"""),"นายรัชระวี กลมแป้น")</f>
        <v>นายรัชระวี กลมแป้น</v>
      </c>
      <c r="J424" s="3">
        <f>IFERROR(__xludf.DUMMYFUNCTION("""COMPUTED_VALUE"""),510143.0)</f>
        <v>510143</v>
      </c>
      <c r="K424" s="3" t="str">
        <f>IFERROR(__xludf.DUMMYFUNCTION("""COMPUTED_VALUE"""),"นายธีระวัฒน์ บุญสิทธิ์")</f>
        <v>นายธีระวัฒน์ บุญสิทธิ์</v>
      </c>
      <c r="L424" s="1" t="str">
        <f>IFERROR(__xludf.DUMMYFUNCTION("""COMPUTED_VALUE"""),"12 K.Theerawat B.")</f>
        <v>12 K.Theerawat B.</v>
      </c>
      <c r="M424" s="1" t="str">
        <f>IFERROR(__xludf.DUMMYFUNCTION("""COMPUTED_VALUE"""),"0655107379")</f>
        <v>0655107379</v>
      </c>
      <c r="N424" s="3">
        <f>IFERROR(__xludf.DUMMYFUNCTION("""COMPUTED_VALUE"""),21062.0)</f>
        <v>21062</v>
      </c>
      <c r="O424" s="3" t="str">
        <f>IFERROR(__xludf.DUMMYFUNCTION("""COMPUTED_VALUE"""),"MBC นิคมนวนคร")</f>
        <v>MBC นิคมนวนคร</v>
      </c>
      <c r="P424" s="4">
        <f>IFERROR(__xludf.DUMMYFUNCTION("""COMPUTED_VALUE"""),41450.0)</f>
        <v>41450</v>
      </c>
      <c r="Q424" s="3" t="str">
        <f>IFERROR(__xludf.DUMMYFUNCTION("""COMPUTED_VALUE"""),"A")</f>
        <v>A</v>
      </c>
      <c r="R424" s="3" t="str">
        <f>IFERROR(__xludf.DUMMYFUNCTION("""COMPUTED_VALUE"""),"Small Format")</f>
        <v>Small Format</v>
      </c>
      <c r="S424" s="3" t="str">
        <f>IFERROR(__xludf.DUMMYFUNCTION("""COMPUTED_VALUE"""),"BCM")</f>
        <v>BCM</v>
      </c>
      <c r="T424" s="3" t="str">
        <f>IFERROR(__xludf.DUMMYFUNCTION("""COMPUTED_VALUE"""),"#N/A")</f>
        <v>#N/A</v>
      </c>
      <c r="U424" s="3" t="str">
        <f>IFERROR(__xludf.DUMMYFUNCTION("""COMPUTED_VALUE"""),"#N/A")</f>
        <v>#N/A</v>
      </c>
      <c r="V424" s="3" t="str">
        <f>IFERROR(__xludf.DUMMYFUNCTION("""COMPUTED_VALUE"""),"N")</f>
        <v>N</v>
      </c>
      <c r="W424" s="3">
        <f>IFERROR(__xludf.DUMMYFUNCTION("""COMPUTED_VALUE"""),211163.0)</f>
        <v>211163</v>
      </c>
      <c r="X424" s="3" t="str">
        <f>IFERROR(__xludf.DUMMYFUNCTION("""COMPUTED_VALUE"""),"954 หมู่ 8 ตำบลบางปูใหม่ อำเภอเมืองสมุทรปราการ จังหวัดสมุทรปราการ 10280")</f>
        <v>954 หมู่ 8 ตำบลบางปูใหม่ อำเภอเมืองสมุทรปราการ จังหวัดสมุทรปราการ 10280</v>
      </c>
      <c r="Y424" s="3"/>
      <c r="Z424" s="3" t="str">
        <f>IFERROR(__xludf.DUMMYFUNCTION("""COMPUTED_VALUE"""),"บางปูใหม่")</f>
        <v>บางปูใหม่</v>
      </c>
      <c r="AA424" s="3" t="str">
        <f>IFERROR(__xludf.DUMMYFUNCTION("""COMPUTED_VALUE"""),"เมืองสมุทรปราการ")</f>
        <v>เมืองสมุทรปราการ</v>
      </c>
      <c r="AB424" s="3" t="str">
        <f>IFERROR(__xludf.DUMMYFUNCTION("""COMPUTED_VALUE"""),"สมุทรปราการ")</f>
        <v>สมุทรปราการ</v>
      </c>
      <c r="AC424" s="3">
        <f>IFERROR(__xludf.DUMMYFUNCTION("""COMPUTED_VALUE"""),10280.0)</f>
        <v>10280</v>
      </c>
      <c r="AD424" s="3">
        <f>IFERROR(__xludf.DUMMYFUNCTION("""COMPUTED_VALUE"""),13.516941)</f>
        <v>13.516941</v>
      </c>
      <c r="AE424" s="3">
        <f>IFERROR(__xludf.DUMMYFUNCTION("""COMPUTED_VALUE"""),100.680233)</f>
        <v>100.680233</v>
      </c>
      <c r="AF424" s="3" t="str">
        <f>IFERROR(__xludf.DUMMYFUNCTION("""COMPUTED_VALUE"""),"MBC ตลาดตำหรุ-21185")</f>
        <v>MBC ตลาดตำหรุ-21185</v>
      </c>
      <c r="AG424" s="3" t="str">
        <f>IFERROR(__xludf.DUMMYFUNCTION("""COMPUTED_VALUE"""),"กลาง")</f>
        <v>กลาง</v>
      </c>
      <c r="AH424" s="3" t="str">
        <f>IFERROR(__xludf.DUMMYFUNCTION("""COMPUTED_VALUE"""),"#N/A")</f>
        <v>#N/A</v>
      </c>
      <c r="AI424" s="3" t="str">
        <f>IFERROR(__xludf.DUMMYFUNCTION("""COMPUTED_VALUE"""),"Out of warranty")</f>
        <v>Out of warranty</v>
      </c>
      <c r="AJ424" s="3">
        <f>IFERROR(__xludf.DUMMYFUNCTION("""COMPUTED_VALUE"""),151.0)</f>
        <v>151</v>
      </c>
      <c r="AK424" s="3" t="str">
        <f>IFERROR(__xludf.DUMMYFUNCTION("""COMPUTED_VALUE"""),"MMS03")</f>
        <v>MMS03</v>
      </c>
      <c r="AL424" s="3"/>
    </row>
    <row r="425" ht="15.75" customHeight="1">
      <c r="A425" s="1" t="str">
        <f>IFERROR(__xludf.DUMMYFUNCTION("""COMPUTED_VALUE"""),"21186")</f>
        <v>21186</v>
      </c>
      <c r="B425" s="2">
        <f>IFERROR(__xludf.DUMMYFUNCTION("""COMPUTED_VALUE"""),21186.0)</f>
        <v>21186</v>
      </c>
      <c r="C425" s="3" t="str">
        <f>IFERROR(__xludf.DUMMYFUNCTION("""COMPUTED_VALUE"""),"MBC BCPบัวทองบางพูน")</f>
        <v>MBC BCPบัวทองบางพูน</v>
      </c>
      <c r="D425" s="3" t="str">
        <f>IFERROR(__xludf.DUMMYFUNCTION("""COMPUTED_VALUE"""),"BCM BCP BUATONGBANGPOON")</f>
        <v>BCM BCP BUATONGBANGPOON</v>
      </c>
      <c r="E425" s="1" t="str">
        <f>IFERROR(__xludf.DUMMYFUNCTION("""COMPUTED_VALUE"""),"บิ๊กซี MINI")</f>
        <v>บิ๊กซี MINI</v>
      </c>
      <c r="F425" s="1" t="str">
        <f>IFERROR(__xludf.DUMMYFUNCTION("""COMPUTED_VALUE"""),"2083447")</f>
        <v>2083447</v>
      </c>
      <c r="G425" s="1" t="str">
        <f>IFERROR(__xludf.DUMMYFUNCTION("""COMPUTED_VALUE"""),"นายอนุกูล ศรีลัดดา")</f>
        <v>นายอนุกูล ศรีลัดดา</v>
      </c>
      <c r="H425" s="1" t="str">
        <f>IFERROR(__xludf.DUMMYFUNCTION("""COMPUTED_VALUE"""),"373849")</f>
        <v>373849</v>
      </c>
      <c r="I425" s="1" t="str">
        <f>IFERROR(__xludf.DUMMYFUNCTION("""COMPUTED_VALUE"""),"น.ส.อรอุมา นิ่มวิศิษย์")</f>
        <v>น.ส.อรอุมา นิ่มวิศิษย์</v>
      </c>
      <c r="J425" s="3">
        <f>IFERROR(__xludf.DUMMYFUNCTION("""COMPUTED_VALUE"""),2451655.0)</f>
        <v>2451655</v>
      </c>
      <c r="K425" s="3" t="str">
        <f>IFERROR(__xludf.DUMMYFUNCTION("""COMPUTED_VALUE"""),"นายวิษณุพงษ์ ชินบุตร")</f>
        <v>นายวิษณุพงษ์ ชินบุตร</v>
      </c>
      <c r="L425" s="1" t="str">
        <f>IFERROR(__xludf.DUMMYFUNCTION("""COMPUTED_VALUE"""),"13 K.Wisanupong Ch")</f>
        <v>13 K.Wisanupong Ch</v>
      </c>
      <c r="M425" s="1" t="str">
        <f>IFERROR(__xludf.DUMMYFUNCTION("""COMPUTED_VALUE"""),"0843374693")</f>
        <v>0843374693</v>
      </c>
      <c r="N425" s="3">
        <f>IFERROR(__xludf.DUMMYFUNCTION("""COMPUTED_VALUE"""),21013.0)</f>
        <v>21013</v>
      </c>
      <c r="O425" s="3" t="str">
        <f>IFERROR(__xludf.DUMMYFUNCTION("""COMPUTED_VALUE"""),"MBC รังสิตคลอง2")</f>
        <v>MBC รังสิตคลอง2</v>
      </c>
      <c r="P425" s="4">
        <f>IFERROR(__xludf.DUMMYFUNCTION("""COMPUTED_VALUE"""),41451.0)</f>
        <v>41451</v>
      </c>
      <c r="Q425" s="3" t="str">
        <f>IFERROR(__xludf.DUMMYFUNCTION("""COMPUTED_VALUE"""),"I")</f>
        <v>I</v>
      </c>
      <c r="R425" s="3" t="str">
        <f>IFERROR(__xludf.DUMMYFUNCTION("""COMPUTED_VALUE"""),"Small Format")</f>
        <v>Small Format</v>
      </c>
      <c r="S425" s="3" t="str">
        <f>IFERROR(__xludf.DUMMYFUNCTION("""COMPUTED_VALUE"""),"BCM")</f>
        <v>BCM</v>
      </c>
      <c r="T425" s="3" t="str">
        <f>IFERROR(__xludf.DUMMYFUNCTION("""COMPUTED_VALUE"""),"#N/A")</f>
        <v>#N/A</v>
      </c>
      <c r="U425" s="3" t="str">
        <f>IFERROR(__xludf.DUMMYFUNCTION("""COMPUTED_VALUE"""),"#N/A")</f>
        <v>#N/A</v>
      </c>
      <c r="V425" s="3" t="str">
        <f>IFERROR(__xludf.DUMMYFUNCTION("""COMPUTED_VALUE"""),"N")</f>
        <v>N</v>
      </c>
      <c r="W425" s="3">
        <f>IFERROR(__xludf.DUMMYFUNCTION("""COMPUTED_VALUE"""),361019.0)</f>
        <v>361019</v>
      </c>
      <c r="X425" s="3" t="str">
        <f>IFERROR(__xludf.DUMMYFUNCTION("""COMPUTED_VALUE"""),"77/2 หมู่ 5 ตำบลบางพูน อำเภอเมืองปทุมธานี จังหวัดปทุมธานี 12000")</f>
        <v>77/2 หมู่ 5 ตำบลบางพูน อำเภอเมืองปทุมธานี จังหวัดปทุมธานี 12000</v>
      </c>
      <c r="Y425" s="3"/>
      <c r="Z425" s="3" t="str">
        <f>IFERROR(__xludf.DUMMYFUNCTION("""COMPUTED_VALUE"""),"บางพูน")</f>
        <v>บางพูน</v>
      </c>
      <c r="AA425" s="3" t="str">
        <f>IFERROR(__xludf.DUMMYFUNCTION("""COMPUTED_VALUE"""),"เมือง")</f>
        <v>เมือง</v>
      </c>
      <c r="AB425" s="3" t="str">
        <f>IFERROR(__xludf.DUMMYFUNCTION("""COMPUTED_VALUE"""),"ปทุมธานี")</f>
        <v>ปทุมธานี</v>
      </c>
      <c r="AC425" s="3">
        <f>IFERROR(__xludf.DUMMYFUNCTION("""COMPUTED_VALUE"""),12000.0)</f>
        <v>12000</v>
      </c>
      <c r="AD425" s="3">
        <f>IFERROR(__xludf.DUMMYFUNCTION("""COMPUTED_VALUE"""),13.975013)</f>
        <v>13.975013</v>
      </c>
      <c r="AE425" s="3">
        <f>IFERROR(__xludf.DUMMYFUNCTION("""COMPUTED_VALUE"""),100.576733)</f>
        <v>100.576733</v>
      </c>
      <c r="AF425" s="3" t="str">
        <f>IFERROR(__xludf.DUMMYFUNCTION("""COMPUTED_VALUE"""),"MBC BCPบัวทองบางพูน-21186")</f>
        <v>MBC BCPบัวทองบางพูน-21186</v>
      </c>
      <c r="AG425" s="3" t="str">
        <f>IFERROR(__xludf.DUMMYFUNCTION("""COMPUTED_VALUE"""),"กลาง")</f>
        <v>กลาง</v>
      </c>
      <c r="AH425" s="3" t="str">
        <f>IFERROR(__xludf.DUMMYFUNCTION("""COMPUTED_VALUE"""),"#N/A")</f>
        <v>#N/A</v>
      </c>
      <c r="AI425" s="3" t="str">
        <f>IFERROR(__xludf.DUMMYFUNCTION("""COMPUTED_VALUE"""),"Out of warranty")</f>
        <v>Out of warranty</v>
      </c>
      <c r="AJ425" s="3">
        <f>IFERROR(__xludf.DUMMYFUNCTION("""COMPUTED_VALUE"""),151.0)</f>
        <v>151</v>
      </c>
      <c r="AK425" s="3" t="str">
        <f>IFERROR(__xludf.DUMMYFUNCTION("""COMPUTED_VALUE"""),"MMS04")</f>
        <v>MMS04</v>
      </c>
      <c r="AL425" s="3"/>
    </row>
    <row r="426" ht="15.75" customHeight="1">
      <c r="A426" s="1" t="str">
        <f>IFERROR(__xludf.DUMMYFUNCTION("""COMPUTED_VALUE"""),"21187")</f>
        <v>21187</v>
      </c>
      <c r="B426" s="2">
        <f>IFERROR(__xludf.DUMMYFUNCTION("""COMPUTED_VALUE"""),21187.0)</f>
        <v>21187</v>
      </c>
      <c r="C426" s="3" t="str">
        <f>IFERROR(__xludf.DUMMYFUNCTION("""COMPUTED_VALUE"""),"MBC BCP พิบูลสงคราม")</f>
        <v>MBC BCP พิบูลสงคราม</v>
      </c>
      <c r="D426" s="3" t="str">
        <f>IFERROR(__xludf.DUMMYFUNCTION("""COMPUTED_VALUE"""),"MBC BCP PIBOONSONGKRAM")</f>
        <v>MBC BCP PIBOONSONGKRAM</v>
      </c>
      <c r="E426" s="1" t="str">
        <f>IFERROR(__xludf.DUMMYFUNCTION("""COMPUTED_VALUE"""),"บิ๊กซี MINI")</f>
        <v>บิ๊กซี MINI</v>
      </c>
      <c r="F426" s="1" t="str">
        <f>IFERROR(__xludf.DUMMYFUNCTION("""COMPUTED_VALUE"""),"291008")</f>
        <v>291008</v>
      </c>
      <c r="G426" s="1" t="str">
        <f>IFERROR(__xludf.DUMMYFUNCTION("""COMPUTED_VALUE"""),"น.ส.รัชดาพร อีศรัตน์")</f>
        <v>น.ส.รัชดาพร อีศรัตน์</v>
      </c>
      <c r="H426" s="1" t="str">
        <f>IFERROR(__xludf.DUMMYFUNCTION("""COMPUTED_VALUE"""),"228392")</f>
        <v>228392</v>
      </c>
      <c r="I426" s="1" t="str">
        <f>IFERROR(__xludf.DUMMYFUNCTION("""COMPUTED_VALUE"""),"นายพงษ์ประพันธ์ อุ่นประเสริฐ")</f>
        <v>นายพงษ์ประพันธ์ อุ่นประเสริฐ</v>
      </c>
      <c r="J426" s="3">
        <f>IFERROR(__xludf.DUMMYFUNCTION("""COMPUTED_VALUE"""),3510104.0)</f>
        <v>3510104</v>
      </c>
      <c r="K426" s="3" t="str">
        <f>IFERROR(__xludf.DUMMYFUNCTION("""COMPUTED_VALUE"""),"นายวิโรจน์ อับดุลสมัด")</f>
        <v>นายวิโรจน์ อับดุลสมัด</v>
      </c>
      <c r="L426" s="1" t="str">
        <f>IFERROR(__xludf.DUMMYFUNCTION("""COMPUTED_VALUE"""),"09 K.Wirode A")</f>
        <v>09 K.Wirode A</v>
      </c>
      <c r="M426" s="1" t="str">
        <f>IFERROR(__xludf.DUMMYFUNCTION("""COMPUTED_VALUE"""),"080-235-4465")</f>
        <v>080-235-4465</v>
      </c>
      <c r="N426" s="3">
        <f>IFERROR(__xludf.DUMMYFUNCTION("""COMPUTED_VALUE"""),21324.0)</f>
        <v>21324</v>
      </c>
      <c r="O426" s="3" t="str">
        <f>IFERROR(__xludf.DUMMYFUNCTION("""COMPUTED_VALUE"""),"MBC BCP สุวินทวงศ์")</f>
        <v>MBC BCP สุวินทวงศ์</v>
      </c>
      <c r="P426" s="4">
        <f>IFERROR(__xludf.DUMMYFUNCTION("""COMPUTED_VALUE"""),41451.0)</f>
        <v>41451</v>
      </c>
      <c r="Q426" s="3" t="str">
        <f>IFERROR(__xludf.DUMMYFUNCTION("""COMPUTED_VALUE"""),"I")</f>
        <v>I</v>
      </c>
      <c r="R426" s="3" t="str">
        <f>IFERROR(__xludf.DUMMYFUNCTION("""COMPUTED_VALUE"""),"Small Format")</f>
        <v>Small Format</v>
      </c>
      <c r="S426" s="3" t="str">
        <f>IFERROR(__xludf.DUMMYFUNCTION("""COMPUTED_VALUE"""),"BCM")</f>
        <v>BCM</v>
      </c>
      <c r="T426" s="3" t="str">
        <f>IFERROR(__xludf.DUMMYFUNCTION("""COMPUTED_VALUE"""),"#N/A")</f>
        <v>#N/A</v>
      </c>
      <c r="U426" s="3" t="str">
        <f>IFERROR(__xludf.DUMMYFUNCTION("""COMPUTED_VALUE"""),"#N/A")</f>
        <v>#N/A</v>
      </c>
      <c r="V426" s="3" t="str">
        <f>IFERROR(__xludf.DUMMYFUNCTION("""COMPUTED_VALUE"""),"N")</f>
        <v>N</v>
      </c>
      <c r="W426" s="3">
        <f>IFERROR(__xludf.DUMMYFUNCTION("""COMPUTED_VALUE"""),0.0)</f>
        <v>0</v>
      </c>
      <c r="X426" s="3" t="str">
        <f>IFERROR(__xludf.DUMMYFUNCTION("""COMPUTED_VALUE"""),"5/26 หมู่ 6 ตำบลสวนใหญ่ อำเภอเมืองนนทบุรี จังหวัดนนทบุรี 11000")</f>
        <v>5/26 หมู่ 6 ตำบลสวนใหญ่ อำเภอเมืองนนทบุรี จังหวัดนนทบุรี 11000</v>
      </c>
      <c r="Y426" s="3"/>
      <c r="Z426" s="3" t="str">
        <f>IFERROR(__xludf.DUMMYFUNCTION("""COMPUTED_VALUE"""),"สวนใหญ่")</f>
        <v>สวนใหญ่</v>
      </c>
      <c r="AA426" s="3" t="str">
        <f>IFERROR(__xludf.DUMMYFUNCTION("""COMPUTED_VALUE"""),"เมืองนนทบุรี")</f>
        <v>เมืองนนทบุรี</v>
      </c>
      <c r="AB426" s="3" t="str">
        <f>IFERROR(__xludf.DUMMYFUNCTION("""COMPUTED_VALUE"""),"นนทบุรี")</f>
        <v>นนทบุรี</v>
      </c>
      <c r="AC426" s="3">
        <f>IFERROR(__xludf.DUMMYFUNCTION("""COMPUTED_VALUE"""),11000.0)</f>
        <v>11000</v>
      </c>
      <c r="AD426" s="3" t="str">
        <f>IFERROR(__xludf.DUMMYFUNCTION("""COMPUTED_VALUE"""),"#N/A")</f>
        <v>#N/A</v>
      </c>
      <c r="AE426" s="3" t="str">
        <f>IFERROR(__xludf.DUMMYFUNCTION("""COMPUTED_VALUE"""),"#N/A")</f>
        <v>#N/A</v>
      </c>
      <c r="AF426" s="3" t="str">
        <f>IFERROR(__xludf.DUMMYFUNCTION("""COMPUTED_VALUE"""),"MBC BCP พิบูลสงคราม-21187")</f>
        <v>MBC BCP พิบูลสงคราม-21187</v>
      </c>
      <c r="AG426" s="3" t="str">
        <f>IFERROR(__xludf.DUMMYFUNCTION("""COMPUTED_VALUE"""),"กลาง")</f>
        <v>กลาง</v>
      </c>
      <c r="AH426" s="3" t="str">
        <f>IFERROR(__xludf.DUMMYFUNCTION("""COMPUTED_VALUE"""),"#N/A")</f>
        <v>#N/A</v>
      </c>
      <c r="AI426" s="3" t="str">
        <f>IFERROR(__xludf.DUMMYFUNCTION("""COMPUTED_VALUE"""),"Out of warranty")</f>
        <v>Out of warranty</v>
      </c>
      <c r="AJ426" s="3">
        <f>IFERROR(__xludf.DUMMYFUNCTION("""COMPUTED_VALUE"""),151.0)</f>
        <v>151</v>
      </c>
      <c r="AK426" s="3"/>
      <c r="AL426" s="3"/>
    </row>
    <row r="427" ht="15.75" customHeight="1">
      <c r="A427" s="1" t="str">
        <f>IFERROR(__xludf.DUMMYFUNCTION("""COMPUTED_VALUE"""),"21188")</f>
        <v>21188</v>
      </c>
      <c r="B427" s="2">
        <f>IFERROR(__xludf.DUMMYFUNCTION("""COMPUTED_VALUE"""),21188.0)</f>
        <v>21188</v>
      </c>
      <c r="C427" s="3" t="str">
        <f>IFERROR(__xludf.DUMMYFUNCTION("""COMPUTED_VALUE"""),"MBC BCP เฉลิมฯ 7")</f>
        <v>MBC BCP เฉลิมฯ 7</v>
      </c>
      <c r="D427" s="3" t="str">
        <f>IFERROR(__xludf.DUMMYFUNCTION("""COMPUTED_VALUE"""),"BCM BCP CHALERM 7")</f>
        <v>BCM BCP CHALERM 7</v>
      </c>
      <c r="E427" s="1" t="str">
        <f>IFERROR(__xludf.DUMMYFUNCTION("""COMPUTED_VALUE"""),"บิ๊กซี MINI")</f>
        <v>บิ๊กซี MINI</v>
      </c>
      <c r="F427" s="1" t="str">
        <f>IFERROR(__xludf.DUMMYFUNCTION("""COMPUTED_VALUE"""),"291008")</f>
        <v>291008</v>
      </c>
      <c r="G427" s="1" t="str">
        <f>IFERROR(__xludf.DUMMYFUNCTION("""COMPUTED_VALUE"""),"น.ส.รัชดาพร อีศรัตน์")</f>
        <v>น.ส.รัชดาพร อีศรัตน์</v>
      </c>
      <c r="H427" s="1" t="str">
        <f>IFERROR(__xludf.DUMMYFUNCTION("""COMPUTED_VALUE"""),"034068")</f>
        <v>034068</v>
      </c>
      <c r="I427" s="1" t="str">
        <f>IFERROR(__xludf.DUMMYFUNCTION("""COMPUTED_VALUE"""),"นายสมศักดิ์ ฐานทองดี")</f>
        <v>นายสมศักดิ์ ฐานทองดี</v>
      </c>
      <c r="J427" s="3">
        <f>IFERROR(__xludf.DUMMYFUNCTION("""COMPUTED_VALUE"""),296728.0)</f>
        <v>296728</v>
      </c>
      <c r="K427" s="3" t="str">
        <f>IFERROR(__xludf.DUMMYFUNCTION("""COMPUTED_VALUE"""),"นายธิติ บัวทองรังสิมา")</f>
        <v>นายธิติ บัวทองรังสิมา</v>
      </c>
      <c r="L427" s="1" t="str">
        <f>IFERROR(__xludf.DUMMYFUNCTION("""COMPUTED_VALUE"""),"นายธิติ บัวทองรังสิมา")</f>
        <v>นายธิติ บัวทองรังสิมา</v>
      </c>
      <c r="M427" s="1" t="str">
        <f>IFERROR(__xludf.DUMMYFUNCTION("""COMPUTED_VALUE"""),"0920849994")</f>
        <v>0920849994</v>
      </c>
      <c r="N427" s="3">
        <f>IFERROR(__xludf.DUMMYFUNCTION("""COMPUTED_VALUE"""),21012.0)</f>
        <v>21012</v>
      </c>
      <c r="O427" s="3" t="str">
        <f>IFERROR(__xludf.DUMMYFUNCTION("""COMPUTED_VALUE"""),"MBC ท่าอิฐ")</f>
        <v>MBC ท่าอิฐ</v>
      </c>
      <c r="P427" s="4">
        <f>IFERROR(__xludf.DUMMYFUNCTION("""COMPUTED_VALUE"""),41453.0)</f>
        <v>41453</v>
      </c>
      <c r="Q427" s="3" t="str">
        <f>IFERROR(__xludf.DUMMYFUNCTION("""COMPUTED_VALUE"""),"I")</f>
        <v>I</v>
      </c>
      <c r="R427" s="3" t="str">
        <f>IFERROR(__xludf.DUMMYFUNCTION("""COMPUTED_VALUE"""),"Small Format")</f>
        <v>Small Format</v>
      </c>
      <c r="S427" s="3" t="str">
        <f>IFERROR(__xludf.DUMMYFUNCTION("""COMPUTED_VALUE"""),"BCM")</f>
        <v>BCM</v>
      </c>
      <c r="T427" s="3" t="str">
        <f>IFERROR(__xludf.DUMMYFUNCTION("""COMPUTED_VALUE"""),"#N/A")</f>
        <v>#N/A</v>
      </c>
      <c r="U427" s="3" t="str">
        <f>IFERROR(__xludf.DUMMYFUNCTION("""COMPUTED_VALUE"""),"#N/A")</f>
        <v>#N/A</v>
      </c>
      <c r="V427" s="3" t="str">
        <f>IFERROR(__xludf.DUMMYFUNCTION("""COMPUTED_VALUE"""),"N")</f>
        <v>N</v>
      </c>
      <c r="W427" s="3">
        <f>IFERROR(__xludf.DUMMYFUNCTION("""COMPUTED_VALUE"""),361021.0)</f>
        <v>361021</v>
      </c>
      <c r="X427" s="3" t="str">
        <f>IFERROR(__xludf.DUMMYFUNCTION("""COMPUTED_VALUE"""),"53 ถนนเฉลิมพระเกียรติ ร.9 แขวงหนองบอน เขตประเวศ กรุงเทพมหานคร 10250")</f>
        <v>53 ถนนเฉลิมพระเกียรติ ร.9 แขวงหนองบอน เขตประเวศ กรุงเทพมหานคร 10250</v>
      </c>
      <c r="Y427" s="3" t="str">
        <f>IFERROR(__xludf.DUMMYFUNCTION("""COMPUTED_VALUE"""),"ถนนเฉลิมพระเกียรติ")</f>
        <v>ถนนเฉลิมพระเกียรติ</v>
      </c>
      <c r="Z427" s="3" t="str">
        <f>IFERROR(__xludf.DUMMYFUNCTION("""COMPUTED_VALUE"""),"หนองบอน")</f>
        <v>หนองบอน</v>
      </c>
      <c r="AA427" s="3" t="str">
        <f>IFERROR(__xludf.DUMMYFUNCTION("""COMPUTED_VALUE"""),"ประเวศ")</f>
        <v>ประเวศ</v>
      </c>
      <c r="AB427" s="3" t="str">
        <f>IFERROR(__xludf.DUMMYFUNCTION("""COMPUTED_VALUE"""),"กรุงเทพมหานคร")</f>
        <v>กรุงเทพมหานคร</v>
      </c>
      <c r="AC427" s="3">
        <f>IFERROR(__xludf.DUMMYFUNCTION("""COMPUTED_VALUE"""),10250.0)</f>
        <v>10250</v>
      </c>
      <c r="AD427" s="3">
        <f>IFERROR(__xludf.DUMMYFUNCTION("""COMPUTED_VALUE"""),13.677972)</f>
        <v>13.677972</v>
      </c>
      <c r="AE427" s="3">
        <f>IFERROR(__xludf.DUMMYFUNCTION("""COMPUTED_VALUE"""),100.650405)</f>
        <v>100.650405</v>
      </c>
      <c r="AF427" s="3" t="str">
        <f>IFERROR(__xludf.DUMMYFUNCTION("""COMPUTED_VALUE"""),"MBC BCP เฉลิมฯ 7-21188")</f>
        <v>MBC BCP เฉลิมฯ 7-21188</v>
      </c>
      <c r="AG427" s="3" t="str">
        <f>IFERROR(__xludf.DUMMYFUNCTION("""COMPUTED_VALUE"""),"กลาง")</f>
        <v>กลาง</v>
      </c>
      <c r="AH427" s="3" t="str">
        <f>IFERROR(__xludf.DUMMYFUNCTION("""COMPUTED_VALUE"""),"#N/A")</f>
        <v>#N/A</v>
      </c>
      <c r="AI427" s="3" t="str">
        <f>IFERROR(__xludf.DUMMYFUNCTION("""COMPUTED_VALUE"""),"Out of warranty")</f>
        <v>Out of warranty</v>
      </c>
      <c r="AJ427" s="3">
        <f>IFERROR(__xludf.DUMMYFUNCTION("""COMPUTED_VALUE"""),151.0)</f>
        <v>151</v>
      </c>
      <c r="AK427" s="3" t="str">
        <f>IFERROR(__xludf.DUMMYFUNCTION("""COMPUTED_VALUE"""),"MMS03")</f>
        <v>MMS03</v>
      </c>
      <c r="AL427" s="3"/>
    </row>
    <row r="428" ht="15.75" customHeight="1">
      <c r="A428" s="1" t="str">
        <f>IFERROR(__xludf.DUMMYFUNCTION("""COMPUTED_VALUE"""),"21189")</f>
        <v>21189</v>
      </c>
      <c r="B428" s="2">
        <f>IFERROR(__xludf.DUMMYFUNCTION("""COMPUTED_VALUE"""),21189.0)</f>
        <v>21189</v>
      </c>
      <c r="C428" s="3" t="str">
        <f>IFERROR(__xludf.DUMMYFUNCTION("""COMPUTED_VALUE"""),"MBC BCPเพชรฯกม61ออก")</f>
        <v>MBC BCPเพชรฯกม61ออก</v>
      </c>
      <c r="D428" s="3" t="str">
        <f>IFERROR(__xludf.DUMMYFUNCTION("""COMPUTED_VALUE"""),"BCM BCP PET KM61 AOK")</f>
        <v>BCM BCP PET KM61 AOK</v>
      </c>
      <c r="E428" s="1" t="str">
        <f>IFERROR(__xludf.DUMMYFUNCTION("""COMPUTED_VALUE"""),"บิ๊กซี MINI")</f>
        <v>บิ๊กซี MINI</v>
      </c>
      <c r="F428" s="1" t="str">
        <f>IFERROR(__xludf.DUMMYFUNCTION("""COMPUTED_VALUE"""),"296229")</f>
        <v>296229</v>
      </c>
      <c r="G428" s="1" t="str">
        <f>IFERROR(__xludf.DUMMYFUNCTION("""COMPUTED_VALUE"""),"นายทนงศักดิ์ บุญมา")</f>
        <v>นายทนงศักดิ์ บุญมา</v>
      </c>
      <c r="H428" s="1" t="str">
        <f>IFERROR(__xludf.DUMMYFUNCTION("""COMPUTED_VALUE"""),"295245")</f>
        <v>295245</v>
      </c>
      <c r="I428" s="1" t="str">
        <f>IFERROR(__xludf.DUMMYFUNCTION("""COMPUTED_VALUE"""),"นายมานะ วงศ์สุโชโต")</f>
        <v>นายมานะ วงศ์สุโชโต</v>
      </c>
      <c r="J428" s="3">
        <f>IFERROR(__xludf.DUMMYFUNCTION("""COMPUTED_VALUE"""),46214.0)</f>
        <v>46214</v>
      </c>
      <c r="K428" s="3" t="str">
        <f>IFERROR(__xludf.DUMMYFUNCTION("""COMPUTED_VALUE"""),"นายศักดิ์ชัย เด็ดดอกฟ้า")</f>
        <v>นายศักดิ์ชัย เด็ดดอกฟ้า</v>
      </c>
      <c r="L428" s="1" t="str">
        <f>IFERROR(__xludf.DUMMYFUNCTION("""COMPUTED_VALUE"""),"02 K.Sakchai D")</f>
        <v>02 K.Sakchai D</v>
      </c>
      <c r="M428" s="1" t="str">
        <f>IFERROR(__xludf.DUMMYFUNCTION("""COMPUTED_VALUE"""),"065-510-7376")</f>
        <v>065-510-7376</v>
      </c>
      <c r="N428" s="3">
        <f>IFERROR(__xludf.DUMMYFUNCTION("""COMPUTED_VALUE"""),21714.0)</f>
        <v>21714</v>
      </c>
      <c r="O428" s="3" t="str">
        <f>IFERROR(__xludf.DUMMYFUNCTION("""COMPUTED_VALUE"""),"MBC เอสโซ่ วัดโบสถ์")</f>
        <v>MBC เอสโซ่ วัดโบสถ์</v>
      </c>
      <c r="P428" s="4">
        <f>IFERROR(__xludf.DUMMYFUNCTION("""COMPUTED_VALUE"""),41453.0)</f>
        <v>41453</v>
      </c>
      <c r="Q428" s="3" t="str">
        <f>IFERROR(__xludf.DUMMYFUNCTION("""COMPUTED_VALUE"""),"I")</f>
        <v>I</v>
      </c>
      <c r="R428" s="3" t="str">
        <f>IFERROR(__xludf.DUMMYFUNCTION("""COMPUTED_VALUE"""),"Small Format")</f>
        <v>Small Format</v>
      </c>
      <c r="S428" s="3" t="str">
        <f>IFERROR(__xludf.DUMMYFUNCTION("""COMPUTED_VALUE"""),"BCM")</f>
        <v>BCM</v>
      </c>
      <c r="T428" s="3" t="str">
        <f>IFERROR(__xludf.DUMMYFUNCTION("""COMPUTED_VALUE"""),"#N/A")</f>
        <v>#N/A</v>
      </c>
      <c r="U428" s="3" t="str">
        <f>IFERROR(__xludf.DUMMYFUNCTION("""COMPUTED_VALUE"""),"#N/A")</f>
        <v>#N/A</v>
      </c>
      <c r="V428" s="3" t="str">
        <f>IFERROR(__xludf.DUMMYFUNCTION("""COMPUTED_VALUE"""),"N")</f>
        <v>N</v>
      </c>
      <c r="W428" s="3">
        <f>IFERROR(__xludf.DUMMYFUNCTION("""COMPUTED_VALUE"""),361022.0)</f>
        <v>361022</v>
      </c>
      <c r="X428" s="3" t="str">
        <f>IFERROR(__xludf.DUMMYFUNCTION("""COMPUTED_VALUE"""),"199/6 หมู่ 9 ตำบลลำพยา อำเภอเมืองนครปฐม จังหวัดนครปฐม 73000")</f>
        <v>199/6 หมู่ 9 ตำบลลำพยา อำเภอเมืองนครปฐม จังหวัดนครปฐม 73000</v>
      </c>
      <c r="Y428" s="3"/>
      <c r="Z428" s="3" t="str">
        <f>IFERROR(__xludf.DUMMYFUNCTION("""COMPUTED_VALUE"""),"ลำพยา")</f>
        <v>ลำพยา</v>
      </c>
      <c r="AA428" s="3" t="str">
        <f>IFERROR(__xludf.DUMMYFUNCTION("""COMPUTED_VALUE"""),"เมือง")</f>
        <v>เมือง</v>
      </c>
      <c r="AB428" s="3" t="str">
        <f>IFERROR(__xludf.DUMMYFUNCTION("""COMPUTED_VALUE"""),"นครปฐม")</f>
        <v>นครปฐม</v>
      </c>
      <c r="AC428" s="3">
        <f>IFERROR(__xludf.DUMMYFUNCTION("""COMPUTED_VALUE"""),73000.0)</f>
        <v>73000</v>
      </c>
      <c r="AD428" s="3">
        <f>IFERROR(__xludf.DUMMYFUNCTION("""COMPUTED_VALUE"""),13.803575)</f>
        <v>13.803575</v>
      </c>
      <c r="AE428" s="3">
        <f>IFERROR(__xludf.DUMMYFUNCTION("""COMPUTED_VALUE"""),100.023047)</f>
        <v>100.023047</v>
      </c>
      <c r="AF428" s="3" t="str">
        <f>IFERROR(__xludf.DUMMYFUNCTION("""COMPUTED_VALUE"""),"MBC BCPเพชรฯกม61ออก-21189")</f>
        <v>MBC BCPเพชรฯกม61ออก-21189</v>
      </c>
      <c r="AG428" s="3" t="str">
        <f>IFERROR(__xludf.DUMMYFUNCTION("""COMPUTED_VALUE"""),"กลาง")</f>
        <v>กลาง</v>
      </c>
      <c r="AH428" s="3" t="str">
        <f>IFERROR(__xludf.DUMMYFUNCTION("""COMPUTED_VALUE"""),"#N/A")</f>
        <v>#N/A</v>
      </c>
      <c r="AI428" s="3" t="str">
        <f>IFERROR(__xludf.DUMMYFUNCTION("""COMPUTED_VALUE"""),"Out of warranty")</f>
        <v>Out of warranty</v>
      </c>
      <c r="AJ428" s="3">
        <f>IFERROR(__xludf.DUMMYFUNCTION("""COMPUTED_VALUE"""),151.0)</f>
        <v>151</v>
      </c>
      <c r="AK428" s="3" t="str">
        <f>IFERROR(__xludf.DUMMYFUNCTION("""COMPUTED_VALUE"""),"MMS05")</f>
        <v>MMS05</v>
      </c>
      <c r="AL428" s="3"/>
    </row>
    <row r="429" ht="15.75" customHeight="1">
      <c r="A429" s="1" t="str">
        <f>IFERROR(__xludf.DUMMYFUNCTION("""COMPUTED_VALUE"""),"21190")</f>
        <v>21190</v>
      </c>
      <c r="B429" s="2">
        <f>IFERROR(__xludf.DUMMYFUNCTION("""COMPUTED_VALUE"""),21190.0)</f>
        <v>21190</v>
      </c>
      <c r="C429" s="3" t="str">
        <f>IFERROR(__xludf.DUMMYFUNCTION("""COMPUTED_VALUE"""),"MBC BCP ประดิษฐ์ฯ 2")</f>
        <v>MBC BCP ประดิษฐ์ฯ 2</v>
      </c>
      <c r="D429" s="3" t="str">
        <f>IFERROR(__xludf.DUMMYFUNCTION("""COMPUTED_VALUE"""),"MBC BCP PRADIT 2")</f>
        <v>MBC BCP PRADIT 2</v>
      </c>
      <c r="E429" s="1" t="str">
        <f>IFERROR(__xludf.DUMMYFUNCTION("""COMPUTED_VALUE"""),"บิ๊กซี MINI")</f>
        <v>บิ๊กซี MINI</v>
      </c>
      <c r="F429" s="1" t="str">
        <f>IFERROR(__xludf.DUMMYFUNCTION("""COMPUTED_VALUE"""),"291008")</f>
        <v>291008</v>
      </c>
      <c r="G429" s="1" t="str">
        <f>IFERROR(__xludf.DUMMYFUNCTION("""COMPUTED_VALUE"""),"น.ส.รัชดาพร อีศรัตน์")</f>
        <v>น.ส.รัชดาพร อีศรัตน์</v>
      </c>
      <c r="H429" s="1" t="str">
        <f>IFERROR(__xludf.DUMMYFUNCTION("""COMPUTED_VALUE"""),"034068")</f>
        <v>034068</v>
      </c>
      <c r="I429" s="1" t="str">
        <f>IFERROR(__xludf.DUMMYFUNCTION("""COMPUTED_VALUE"""),"นายสมศักดิ์ ฐานทองดี")</f>
        <v>นายสมศักดิ์ ฐานทองดี</v>
      </c>
      <c r="J429" s="3">
        <f>IFERROR(__xludf.DUMMYFUNCTION("""COMPUTED_VALUE"""),3510104.0)</f>
        <v>3510104</v>
      </c>
      <c r="K429" s="3" t="str">
        <f>IFERROR(__xludf.DUMMYFUNCTION("""COMPUTED_VALUE"""),"นายวิโรจน์ อับดุลสมัด")</f>
        <v>นายวิโรจน์ อับดุลสมัด</v>
      </c>
      <c r="L429" s="1" t="str">
        <f>IFERROR(__xludf.DUMMYFUNCTION("""COMPUTED_VALUE"""),"09 K.Wirode A")</f>
        <v>09 K.Wirode A</v>
      </c>
      <c r="M429" s="1" t="str">
        <f>IFERROR(__xludf.DUMMYFUNCTION("""COMPUTED_VALUE"""),"080-235-4465")</f>
        <v>080-235-4465</v>
      </c>
      <c r="N429" s="3">
        <f>IFERROR(__xludf.DUMMYFUNCTION("""COMPUTED_VALUE"""),21324.0)</f>
        <v>21324</v>
      </c>
      <c r="O429" s="3" t="str">
        <f>IFERROR(__xludf.DUMMYFUNCTION("""COMPUTED_VALUE"""),"MBC BCP สุวินทวงศ์")</f>
        <v>MBC BCP สุวินทวงศ์</v>
      </c>
      <c r="P429" s="4">
        <f>IFERROR(__xludf.DUMMYFUNCTION("""COMPUTED_VALUE"""),41454.0)</f>
        <v>41454</v>
      </c>
      <c r="Q429" s="3" t="str">
        <f>IFERROR(__xludf.DUMMYFUNCTION("""COMPUTED_VALUE"""),"I")</f>
        <v>I</v>
      </c>
      <c r="R429" s="3" t="str">
        <f>IFERROR(__xludf.DUMMYFUNCTION("""COMPUTED_VALUE"""),"Small Format")</f>
        <v>Small Format</v>
      </c>
      <c r="S429" s="3" t="str">
        <f>IFERROR(__xludf.DUMMYFUNCTION("""COMPUTED_VALUE"""),"BCM")</f>
        <v>BCM</v>
      </c>
      <c r="T429" s="3" t="str">
        <f>IFERROR(__xludf.DUMMYFUNCTION("""COMPUTED_VALUE"""),"#N/A")</f>
        <v>#N/A</v>
      </c>
      <c r="U429" s="3" t="str">
        <f>IFERROR(__xludf.DUMMYFUNCTION("""COMPUTED_VALUE"""),"#N/A")</f>
        <v>#N/A</v>
      </c>
      <c r="V429" s="3" t="str">
        <f>IFERROR(__xludf.DUMMYFUNCTION("""COMPUTED_VALUE"""),"N")</f>
        <v>N</v>
      </c>
      <c r="W429" s="3">
        <f>IFERROR(__xludf.DUMMYFUNCTION("""COMPUTED_VALUE"""),0.0)</f>
        <v>0</v>
      </c>
      <c r="X429" s="3" t="str">
        <f>IFERROR(__xludf.DUMMYFUNCTION("""COMPUTED_VALUE"""),"28 ซอยโยธินพัฒนา แขวงคลองจั่น เขตบางกะปิ กรุงเทพมหานคร 10240")</f>
        <v>28 ซอยโยธินพัฒนา แขวงคลองจั่น เขตบางกะปิ กรุงเทพมหานคร 10240</v>
      </c>
      <c r="Y429" s="3" t="str">
        <f>IFERROR(__xludf.DUMMYFUNCTION("""COMPUTED_VALUE"""),"ซอยโยธินพัฒนา")</f>
        <v>ซอยโยธินพัฒนา</v>
      </c>
      <c r="Z429" s="3" t="str">
        <f>IFERROR(__xludf.DUMMYFUNCTION("""COMPUTED_VALUE"""),"คลองจั่น")</f>
        <v>คลองจั่น</v>
      </c>
      <c r="AA429" s="3" t="str">
        <f>IFERROR(__xludf.DUMMYFUNCTION("""COMPUTED_VALUE"""),"บางกะปิ")</f>
        <v>บางกะปิ</v>
      </c>
      <c r="AB429" s="3" t="str">
        <f>IFERROR(__xludf.DUMMYFUNCTION("""COMPUTED_VALUE"""),"กรุงเทพมหานคร")</f>
        <v>กรุงเทพมหานคร</v>
      </c>
      <c r="AC429" s="3">
        <f>IFERROR(__xludf.DUMMYFUNCTION("""COMPUTED_VALUE"""),10240.0)</f>
        <v>10240</v>
      </c>
      <c r="AD429" s="3" t="str">
        <f>IFERROR(__xludf.DUMMYFUNCTION("""COMPUTED_VALUE"""),"#N/A")</f>
        <v>#N/A</v>
      </c>
      <c r="AE429" s="3" t="str">
        <f>IFERROR(__xludf.DUMMYFUNCTION("""COMPUTED_VALUE"""),"#N/A")</f>
        <v>#N/A</v>
      </c>
      <c r="AF429" s="3" t="str">
        <f>IFERROR(__xludf.DUMMYFUNCTION("""COMPUTED_VALUE"""),"MBC BCP ประดิษฐ์ฯ 2-21190")</f>
        <v>MBC BCP ประดิษฐ์ฯ 2-21190</v>
      </c>
      <c r="AG429" s="3" t="str">
        <f>IFERROR(__xludf.DUMMYFUNCTION("""COMPUTED_VALUE"""),"กลาง")</f>
        <v>กลาง</v>
      </c>
      <c r="AH429" s="3" t="str">
        <f>IFERROR(__xludf.DUMMYFUNCTION("""COMPUTED_VALUE"""),"#N/A")</f>
        <v>#N/A</v>
      </c>
      <c r="AI429" s="3" t="str">
        <f>IFERROR(__xludf.DUMMYFUNCTION("""COMPUTED_VALUE"""),"Out of warranty")</f>
        <v>Out of warranty</v>
      </c>
      <c r="AJ429" s="3">
        <f>IFERROR(__xludf.DUMMYFUNCTION("""COMPUTED_VALUE"""),151.0)</f>
        <v>151</v>
      </c>
      <c r="AK429" s="3"/>
      <c r="AL429" s="3"/>
    </row>
    <row r="430" ht="15.75" customHeight="1">
      <c r="A430" s="1" t="str">
        <f>IFERROR(__xludf.DUMMYFUNCTION("""COMPUTED_VALUE"""),"21191")</f>
        <v>21191</v>
      </c>
      <c r="B430" s="2">
        <f>IFERROR(__xludf.DUMMYFUNCTION("""COMPUTED_VALUE"""),21191.0)</f>
        <v>21191</v>
      </c>
      <c r="C430" s="3" t="str">
        <f>IFERROR(__xludf.DUMMYFUNCTION("""COMPUTED_VALUE"""),"MBC BCP ประดิษฐ์ฯ 3")</f>
        <v>MBC BCP ประดิษฐ์ฯ 3</v>
      </c>
      <c r="D430" s="3" t="str">
        <f>IFERROR(__xludf.DUMMYFUNCTION("""COMPUTED_VALUE"""),"BCM BCP PRADIT 3")</f>
        <v>BCM BCP PRADIT 3</v>
      </c>
      <c r="E430" s="1" t="str">
        <f>IFERROR(__xludf.DUMMYFUNCTION("""COMPUTED_VALUE"""),"บิ๊กซี MINI")</f>
        <v>บิ๊กซี MINI</v>
      </c>
      <c r="F430" s="1" t="str">
        <f>IFERROR(__xludf.DUMMYFUNCTION("""COMPUTED_VALUE"""),"291008")</f>
        <v>291008</v>
      </c>
      <c r="G430" s="1" t="str">
        <f>IFERROR(__xludf.DUMMYFUNCTION("""COMPUTED_VALUE"""),"น.ส.รัชดาพร อีศรัตน์")</f>
        <v>น.ส.รัชดาพร อีศรัตน์</v>
      </c>
      <c r="H430" s="1" t="str">
        <f>IFERROR(__xludf.DUMMYFUNCTION("""COMPUTED_VALUE"""),"288639")</f>
        <v>288639</v>
      </c>
      <c r="I430" s="1" t="str">
        <f>IFERROR(__xludf.DUMMYFUNCTION("""COMPUTED_VALUE"""),"น.ส.สมหญิง สีชมภู")</f>
        <v>น.ส.สมหญิง สีชมภู</v>
      </c>
      <c r="J430" s="3">
        <f>IFERROR(__xludf.DUMMYFUNCTION("""COMPUTED_VALUE"""),296728.0)</f>
        <v>296728</v>
      </c>
      <c r="K430" s="3" t="str">
        <f>IFERROR(__xludf.DUMMYFUNCTION("""COMPUTED_VALUE"""),"นายธิติ บัวทองรังสิมา")</f>
        <v>นายธิติ บัวทองรังสิมา</v>
      </c>
      <c r="L430" s="1" t="str">
        <f>IFERROR(__xludf.DUMMYFUNCTION("""COMPUTED_VALUE"""),"นายธิติ บัวทองรังสิมา")</f>
        <v>นายธิติ บัวทองรังสิมา</v>
      </c>
      <c r="M430" s="1" t="str">
        <f>IFERROR(__xludf.DUMMYFUNCTION("""COMPUTED_VALUE"""),"0920849994")</f>
        <v>0920849994</v>
      </c>
      <c r="N430" s="3">
        <f>IFERROR(__xludf.DUMMYFUNCTION("""COMPUTED_VALUE"""),21012.0)</f>
        <v>21012</v>
      </c>
      <c r="O430" s="3" t="str">
        <f>IFERROR(__xludf.DUMMYFUNCTION("""COMPUTED_VALUE"""),"MBC ท่าอิฐ")</f>
        <v>MBC ท่าอิฐ</v>
      </c>
      <c r="P430" s="4">
        <f>IFERROR(__xludf.DUMMYFUNCTION("""COMPUTED_VALUE"""),41454.0)</f>
        <v>41454</v>
      </c>
      <c r="Q430" s="3" t="str">
        <f>IFERROR(__xludf.DUMMYFUNCTION("""COMPUTED_VALUE"""),"I")</f>
        <v>I</v>
      </c>
      <c r="R430" s="3" t="str">
        <f>IFERROR(__xludf.DUMMYFUNCTION("""COMPUTED_VALUE"""),"Small Format")</f>
        <v>Small Format</v>
      </c>
      <c r="S430" s="3" t="str">
        <f>IFERROR(__xludf.DUMMYFUNCTION("""COMPUTED_VALUE"""),"BCM")</f>
        <v>BCM</v>
      </c>
      <c r="T430" s="3" t="str">
        <f>IFERROR(__xludf.DUMMYFUNCTION("""COMPUTED_VALUE"""),"#N/A")</f>
        <v>#N/A</v>
      </c>
      <c r="U430" s="3" t="str">
        <f>IFERROR(__xludf.DUMMYFUNCTION("""COMPUTED_VALUE"""),"#N/A")</f>
        <v>#N/A</v>
      </c>
      <c r="V430" s="3" t="str">
        <f>IFERROR(__xludf.DUMMYFUNCTION("""COMPUTED_VALUE"""),"N")</f>
        <v>N</v>
      </c>
      <c r="W430" s="3">
        <f>IFERROR(__xludf.DUMMYFUNCTION("""COMPUTED_VALUE"""),361024.0)</f>
        <v>361024</v>
      </c>
      <c r="X430" s="3" t="str">
        <f>IFERROR(__xludf.DUMMYFUNCTION("""COMPUTED_VALUE"""),"569 ถนนประดิษฐ์มนูธรรม แขวงลาดพร้าว เขตลาดพร้าว กรุงเทพมหานคร 10230")</f>
        <v>569 ถนนประดิษฐ์มนูธรรม แขวงลาดพร้าว เขตลาดพร้าว กรุงเทพมหานคร 10230</v>
      </c>
      <c r="Y430" s="3" t="str">
        <f>IFERROR(__xludf.DUMMYFUNCTION("""COMPUTED_VALUE"""),"ถนนประดิษฐ์มนูธรรม")</f>
        <v>ถนนประดิษฐ์มนูธรรม</v>
      </c>
      <c r="Z430" s="3" t="str">
        <f>IFERROR(__xludf.DUMMYFUNCTION("""COMPUTED_VALUE"""),"ลาดพร้าว")</f>
        <v>ลาดพร้าว</v>
      </c>
      <c r="AA430" s="3" t="str">
        <f>IFERROR(__xludf.DUMMYFUNCTION("""COMPUTED_VALUE"""),"ลาดพร้าว")</f>
        <v>ลาดพร้าว</v>
      </c>
      <c r="AB430" s="3" t="str">
        <f>IFERROR(__xludf.DUMMYFUNCTION("""COMPUTED_VALUE"""),"กรุงเทพมหานคร")</f>
        <v>กรุงเทพมหานคร</v>
      </c>
      <c r="AC430" s="3">
        <f>IFERROR(__xludf.DUMMYFUNCTION("""COMPUTED_VALUE"""),10230.0)</f>
        <v>10230</v>
      </c>
      <c r="AD430" s="3">
        <f>IFERROR(__xludf.DUMMYFUNCTION("""COMPUTED_VALUE"""),13.83533)</f>
        <v>13.83533</v>
      </c>
      <c r="AE430" s="3">
        <f>IFERROR(__xludf.DUMMYFUNCTION("""COMPUTED_VALUE"""),100.6312)</f>
        <v>100.6312</v>
      </c>
      <c r="AF430" s="3" t="str">
        <f>IFERROR(__xludf.DUMMYFUNCTION("""COMPUTED_VALUE"""),"MBC BCP ประดิษฐ์ฯ 3-21191")</f>
        <v>MBC BCP ประดิษฐ์ฯ 3-21191</v>
      </c>
      <c r="AG430" s="3" t="str">
        <f>IFERROR(__xludf.DUMMYFUNCTION("""COMPUTED_VALUE"""),"กลาง")</f>
        <v>กลาง</v>
      </c>
      <c r="AH430" s="3" t="str">
        <f>IFERROR(__xludf.DUMMYFUNCTION("""COMPUTED_VALUE"""),"#N/A")</f>
        <v>#N/A</v>
      </c>
      <c r="AI430" s="3" t="str">
        <f>IFERROR(__xludf.DUMMYFUNCTION("""COMPUTED_VALUE"""),"Out of warranty")</f>
        <v>Out of warranty</v>
      </c>
      <c r="AJ430" s="3">
        <f>IFERROR(__xludf.DUMMYFUNCTION("""COMPUTED_VALUE"""),151.0)</f>
        <v>151</v>
      </c>
      <c r="AK430" s="3" t="str">
        <f>IFERROR(__xludf.DUMMYFUNCTION("""COMPUTED_VALUE"""),"MMS01")</f>
        <v>MMS01</v>
      </c>
      <c r="AL430" s="3"/>
    </row>
    <row r="431" ht="15.75" customHeight="1">
      <c r="A431" s="1" t="str">
        <f>IFERROR(__xludf.DUMMYFUNCTION("""COMPUTED_VALUE"""),"21192")</f>
        <v>21192</v>
      </c>
      <c r="B431" s="2">
        <f>IFERROR(__xludf.DUMMYFUNCTION("""COMPUTED_VALUE"""),21192.0)</f>
        <v>21192</v>
      </c>
      <c r="C431" s="3" t="str">
        <f>IFERROR(__xludf.DUMMYFUNCTION("""COMPUTED_VALUE"""),"MBC BCP รามอินฯกม14")</f>
        <v>MBC BCP รามอินฯกม14</v>
      </c>
      <c r="D431" s="3" t="str">
        <f>IFERROR(__xludf.DUMMYFUNCTION("""COMPUTED_VALUE"""),"BCM BCP RAMIN KM14")</f>
        <v>BCM BCP RAMIN KM14</v>
      </c>
      <c r="E431" s="1" t="str">
        <f>IFERROR(__xludf.DUMMYFUNCTION("""COMPUTED_VALUE"""),"บิ๊กซี MINI")</f>
        <v>บิ๊กซี MINI</v>
      </c>
      <c r="F431" s="1" t="str">
        <f>IFERROR(__xludf.DUMMYFUNCTION("""COMPUTED_VALUE"""),"291008")</f>
        <v>291008</v>
      </c>
      <c r="G431" s="1" t="str">
        <f>IFERROR(__xludf.DUMMYFUNCTION("""COMPUTED_VALUE"""),"น.ส.รัชดาพร อีศรัตน์")</f>
        <v>น.ส.รัชดาพร อีศรัตน์</v>
      </c>
      <c r="H431" s="1" t="str">
        <f>IFERROR(__xludf.DUMMYFUNCTION("""COMPUTED_VALUE"""),"228242")</f>
        <v>228242</v>
      </c>
      <c r="I431" s="1" t="str">
        <f>IFERROR(__xludf.DUMMYFUNCTION("""COMPUTED_VALUE"""),"นายสมชาย เยมรัมย์")</f>
        <v>นายสมชาย เยมรัมย์</v>
      </c>
      <c r="J431" s="3">
        <f>IFERROR(__xludf.DUMMYFUNCTION("""COMPUTED_VALUE"""),296728.0)</f>
        <v>296728</v>
      </c>
      <c r="K431" s="3" t="str">
        <f>IFERROR(__xludf.DUMMYFUNCTION("""COMPUTED_VALUE"""),"นายธิติ บัวทองรังสิมา")</f>
        <v>นายธิติ บัวทองรังสิมา</v>
      </c>
      <c r="L431" s="3" t="str">
        <f>IFERROR(__xludf.DUMMYFUNCTION("""COMPUTED_VALUE"""),"นายธิติ บัวทองรังสิมา")</f>
        <v>นายธิติ บัวทองรังสิมา</v>
      </c>
      <c r="M431" s="1" t="str">
        <f>IFERROR(__xludf.DUMMYFUNCTION("""COMPUTED_VALUE"""),"0920849994")</f>
        <v>0920849994</v>
      </c>
      <c r="N431" s="3">
        <f>IFERROR(__xludf.DUMMYFUNCTION("""COMPUTED_VALUE"""),21012.0)</f>
        <v>21012</v>
      </c>
      <c r="O431" s="3" t="str">
        <f>IFERROR(__xludf.DUMMYFUNCTION("""COMPUTED_VALUE"""),"MBC ท่าอิฐ")</f>
        <v>MBC ท่าอิฐ</v>
      </c>
      <c r="P431" s="4">
        <f>IFERROR(__xludf.DUMMYFUNCTION("""COMPUTED_VALUE"""),41454.0)</f>
        <v>41454</v>
      </c>
      <c r="Q431" s="3" t="str">
        <f>IFERROR(__xludf.DUMMYFUNCTION("""COMPUTED_VALUE"""),"I")</f>
        <v>I</v>
      </c>
      <c r="R431" s="3" t="str">
        <f>IFERROR(__xludf.DUMMYFUNCTION("""COMPUTED_VALUE"""),"Small Format")</f>
        <v>Small Format</v>
      </c>
      <c r="S431" s="3" t="str">
        <f>IFERROR(__xludf.DUMMYFUNCTION("""COMPUTED_VALUE"""),"BCM")</f>
        <v>BCM</v>
      </c>
      <c r="T431" s="3" t="str">
        <f>IFERROR(__xludf.DUMMYFUNCTION("""COMPUTED_VALUE"""),"#N/A")</f>
        <v>#N/A</v>
      </c>
      <c r="U431" s="3" t="str">
        <f>IFERROR(__xludf.DUMMYFUNCTION("""COMPUTED_VALUE"""),"#N/A")</f>
        <v>#N/A</v>
      </c>
      <c r="V431" s="3" t="str">
        <f>IFERROR(__xludf.DUMMYFUNCTION("""COMPUTED_VALUE"""),"N")</f>
        <v>N</v>
      </c>
      <c r="W431" s="3">
        <f>IFERROR(__xludf.DUMMYFUNCTION("""COMPUTED_VALUE"""),361025.0)</f>
        <v>361025</v>
      </c>
      <c r="X431" s="3" t="str">
        <f>IFERROR(__xludf.DUMMYFUNCTION("""COMPUTED_VALUE"""),"50 ถนนรามอินทรา แขวงมีนบุรี เขตมีนบุรี กรุงเทพมหานคร 10510")</f>
        <v>50 ถนนรามอินทรา แขวงมีนบุรี เขตมีนบุรี กรุงเทพมหานคร 10510</v>
      </c>
      <c r="Y431" s="3" t="str">
        <f>IFERROR(__xludf.DUMMYFUNCTION("""COMPUTED_VALUE"""),"ถนนรามอินทรา")</f>
        <v>ถนนรามอินทรา</v>
      </c>
      <c r="Z431" s="3" t="str">
        <f>IFERROR(__xludf.DUMMYFUNCTION("""COMPUTED_VALUE"""),"มีนบุรี")</f>
        <v>มีนบุรี</v>
      </c>
      <c r="AA431" s="3" t="str">
        <f>IFERROR(__xludf.DUMMYFUNCTION("""COMPUTED_VALUE"""),"มีนบุรี")</f>
        <v>มีนบุรี</v>
      </c>
      <c r="AB431" s="3" t="str">
        <f>IFERROR(__xludf.DUMMYFUNCTION("""COMPUTED_VALUE"""),"กรุงเทพมหานคร")</f>
        <v>กรุงเทพมหานคร</v>
      </c>
      <c r="AC431" s="3">
        <f>IFERROR(__xludf.DUMMYFUNCTION("""COMPUTED_VALUE"""),10510.0)</f>
        <v>10510</v>
      </c>
      <c r="AD431" s="3">
        <f>IFERROR(__xludf.DUMMYFUNCTION("""COMPUTED_VALUE"""),13.812316)</f>
        <v>13.812316</v>
      </c>
      <c r="AE431" s="3">
        <f>IFERROR(__xludf.DUMMYFUNCTION("""COMPUTED_VALUE"""),100.704898)</f>
        <v>100.704898</v>
      </c>
      <c r="AF431" s="3" t="str">
        <f>IFERROR(__xludf.DUMMYFUNCTION("""COMPUTED_VALUE"""),"MBC BCP รามอินฯกม14-21192")</f>
        <v>MBC BCP รามอินฯกม14-21192</v>
      </c>
      <c r="AG431" s="3" t="str">
        <f>IFERROR(__xludf.DUMMYFUNCTION("""COMPUTED_VALUE"""),"กลาง")</f>
        <v>กลาง</v>
      </c>
      <c r="AH431" s="3" t="str">
        <f>IFERROR(__xludf.DUMMYFUNCTION("""COMPUTED_VALUE"""),"#N/A")</f>
        <v>#N/A</v>
      </c>
      <c r="AI431" s="3" t="str">
        <f>IFERROR(__xludf.DUMMYFUNCTION("""COMPUTED_VALUE"""),"Out of warranty")</f>
        <v>Out of warranty</v>
      </c>
      <c r="AJ431" s="3">
        <f>IFERROR(__xludf.DUMMYFUNCTION("""COMPUTED_VALUE"""),151.0)</f>
        <v>151</v>
      </c>
      <c r="AK431" s="3" t="str">
        <f>IFERROR(__xludf.DUMMYFUNCTION("""COMPUTED_VALUE"""),"MMS01")</f>
        <v>MMS01</v>
      </c>
      <c r="AL431" s="3"/>
    </row>
    <row r="432" ht="15.75" customHeight="1">
      <c r="A432" s="1" t="str">
        <f>IFERROR(__xludf.DUMMYFUNCTION("""COMPUTED_VALUE"""),"21193")</f>
        <v>21193</v>
      </c>
      <c r="B432" s="2">
        <f>IFERROR(__xludf.DUMMYFUNCTION("""COMPUTED_VALUE"""),21193.0)</f>
        <v>21193</v>
      </c>
      <c r="C432" s="3" t="str">
        <f>IFERROR(__xludf.DUMMYFUNCTION("""COMPUTED_VALUE"""),"MBC BCP บางนา กม13")</f>
        <v>MBC BCP บางนา กม13</v>
      </c>
      <c r="D432" s="3" t="str">
        <f>IFERROR(__xludf.DUMMYFUNCTION("""COMPUTED_VALUE"""),"BCM BCP BANGNA KM13")</f>
        <v>BCM BCP BANGNA KM13</v>
      </c>
      <c r="E432" s="1" t="str">
        <f>IFERROR(__xludf.DUMMYFUNCTION("""COMPUTED_VALUE"""),"บิ๊กซี MINI")</f>
        <v>บิ๊กซี MINI</v>
      </c>
      <c r="F432" s="1" t="str">
        <f>IFERROR(__xludf.DUMMYFUNCTION("""COMPUTED_VALUE"""),"2083447")</f>
        <v>2083447</v>
      </c>
      <c r="G432" s="1" t="str">
        <f>IFERROR(__xludf.DUMMYFUNCTION("""COMPUTED_VALUE"""),"นายอนุกูล ศรีลัดดา")</f>
        <v>นายอนุกูล ศรีลัดดา</v>
      </c>
      <c r="H432" s="1" t="str">
        <f>IFERROR(__xludf.DUMMYFUNCTION("""COMPUTED_VALUE"""),"284752")</f>
        <v>284752</v>
      </c>
      <c r="I432" s="1" t="str">
        <f>IFERROR(__xludf.DUMMYFUNCTION("""COMPUTED_VALUE"""),"น.ส.วีรนันท์ แสงใส")</f>
        <v>น.ส.วีรนันท์ แสงใส</v>
      </c>
      <c r="J432" s="3">
        <f>IFERROR(__xludf.DUMMYFUNCTION("""COMPUTED_VALUE"""),2451655.0)</f>
        <v>2451655</v>
      </c>
      <c r="K432" s="3" t="str">
        <f>IFERROR(__xludf.DUMMYFUNCTION("""COMPUTED_VALUE"""),"นายวิษณุพงษ์ ชินบุตร")</f>
        <v>นายวิษณุพงษ์ ชินบุตร</v>
      </c>
      <c r="L432" s="1" t="str">
        <f>IFERROR(__xludf.DUMMYFUNCTION("""COMPUTED_VALUE"""),"13 K.Wisanupong Ch")</f>
        <v>13 K.Wisanupong Ch</v>
      </c>
      <c r="M432" s="1" t="str">
        <f>IFERROR(__xludf.DUMMYFUNCTION("""COMPUTED_VALUE"""),"0843374693")</f>
        <v>0843374693</v>
      </c>
      <c r="N432" s="3">
        <f>IFERROR(__xludf.DUMMYFUNCTION("""COMPUTED_VALUE"""),21013.0)</f>
        <v>21013</v>
      </c>
      <c r="O432" s="3" t="str">
        <f>IFERROR(__xludf.DUMMYFUNCTION("""COMPUTED_VALUE"""),"MBC รังสิตคลอง2")</f>
        <v>MBC รังสิตคลอง2</v>
      </c>
      <c r="P432" s="4">
        <f>IFERROR(__xludf.DUMMYFUNCTION("""COMPUTED_VALUE"""),41455.0)</f>
        <v>41455</v>
      </c>
      <c r="Q432" s="3" t="str">
        <f>IFERROR(__xludf.DUMMYFUNCTION("""COMPUTED_VALUE"""),"I")</f>
        <v>I</v>
      </c>
      <c r="R432" s="3" t="str">
        <f>IFERROR(__xludf.DUMMYFUNCTION("""COMPUTED_VALUE"""),"Small Format")</f>
        <v>Small Format</v>
      </c>
      <c r="S432" s="3" t="str">
        <f>IFERROR(__xludf.DUMMYFUNCTION("""COMPUTED_VALUE"""),"BCM")</f>
        <v>BCM</v>
      </c>
      <c r="T432" s="3" t="str">
        <f>IFERROR(__xludf.DUMMYFUNCTION("""COMPUTED_VALUE"""),"#N/A")</f>
        <v>#N/A</v>
      </c>
      <c r="U432" s="3" t="str">
        <f>IFERROR(__xludf.DUMMYFUNCTION("""COMPUTED_VALUE"""),"#N/A")</f>
        <v>#N/A</v>
      </c>
      <c r="V432" s="3" t="str">
        <f>IFERROR(__xludf.DUMMYFUNCTION("""COMPUTED_VALUE"""),"N")</f>
        <v>N</v>
      </c>
      <c r="W432" s="3">
        <f>IFERROR(__xludf.DUMMYFUNCTION("""COMPUTED_VALUE"""),361027.0)</f>
        <v>361027</v>
      </c>
      <c r="X432" s="3" t="str">
        <f>IFERROR(__xludf.DUMMYFUNCTION("""COMPUTED_VALUE"""),"60/11 หมู่ 1 ตำบลราชาเทวะ อำเภอบางพลี จังหวัดสมุทรปราการ 10540")</f>
        <v>60/11 หมู่ 1 ตำบลราชาเทวะ อำเภอบางพลี จังหวัดสมุทรปราการ 10540</v>
      </c>
      <c r="Y432" s="3"/>
      <c r="Z432" s="3" t="str">
        <f>IFERROR(__xludf.DUMMYFUNCTION("""COMPUTED_VALUE"""),"ราชาเทวะ")</f>
        <v>ราชาเทวะ</v>
      </c>
      <c r="AA432" s="3" t="str">
        <f>IFERROR(__xludf.DUMMYFUNCTION("""COMPUTED_VALUE"""),"บางพลี")</f>
        <v>บางพลี</v>
      </c>
      <c r="AB432" s="3" t="str">
        <f>IFERROR(__xludf.DUMMYFUNCTION("""COMPUTED_VALUE"""),"สมุทรปราการ")</f>
        <v>สมุทรปราการ</v>
      </c>
      <c r="AC432" s="3">
        <f>IFERROR(__xludf.DUMMYFUNCTION("""COMPUTED_VALUE"""),10540.0)</f>
        <v>10540</v>
      </c>
      <c r="AD432" s="3">
        <f>IFERROR(__xludf.DUMMYFUNCTION("""COMPUTED_VALUE"""),13.631995)</f>
        <v>13.631995</v>
      </c>
      <c r="AE432" s="3">
        <f>IFERROR(__xludf.DUMMYFUNCTION("""COMPUTED_VALUE"""),100.716367)</f>
        <v>100.716367</v>
      </c>
      <c r="AF432" s="3" t="str">
        <f>IFERROR(__xludf.DUMMYFUNCTION("""COMPUTED_VALUE"""),"MBC BCP บางนา กม13-21193")</f>
        <v>MBC BCP บางนา กม13-21193</v>
      </c>
      <c r="AG432" s="3" t="str">
        <f>IFERROR(__xludf.DUMMYFUNCTION("""COMPUTED_VALUE"""),"กลาง")</f>
        <v>กลาง</v>
      </c>
      <c r="AH432" s="3" t="str">
        <f>IFERROR(__xludf.DUMMYFUNCTION("""COMPUTED_VALUE"""),"#N/A")</f>
        <v>#N/A</v>
      </c>
      <c r="AI432" s="3" t="str">
        <f>IFERROR(__xludf.DUMMYFUNCTION("""COMPUTED_VALUE"""),"Out of warranty")</f>
        <v>Out of warranty</v>
      </c>
      <c r="AJ432" s="3">
        <f>IFERROR(__xludf.DUMMYFUNCTION("""COMPUTED_VALUE"""),151.0)</f>
        <v>151</v>
      </c>
      <c r="AK432" s="3" t="str">
        <f>IFERROR(__xludf.DUMMYFUNCTION("""COMPUTED_VALUE"""),"MMS03")</f>
        <v>MMS03</v>
      </c>
      <c r="AL432" s="3"/>
    </row>
    <row r="433" ht="15.75" customHeight="1">
      <c r="A433" s="1" t="str">
        <f>IFERROR(__xludf.DUMMYFUNCTION("""COMPUTED_VALUE"""),"21194")</f>
        <v>21194</v>
      </c>
      <c r="B433" s="2">
        <f>IFERROR(__xludf.DUMMYFUNCTION("""COMPUTED_VALUE"""),21194.0)</f>
        <v>21194</v>
      </c>
      <c r="C433" s="3" t="str">
        <f>IFERROR(__xludf.DUMMYFUNCTION("""COMPUTED_VALUE"""),"MBC BCP เพชรพระราม")</f>
        <v>MBC BCP เพชรพระราม</v>
      </c>
      <c r="D433" s="3" t="str">
        <f>IFERROR(__xludf.DUMMYFUNCTION("""COMPUTED_VALUE"""),"BCM BCP PETPHRARAMA")</f>
        <v>BCM BCP PETPHRARAMA</v>
      </c>
      <c r="E433" s="1" t="str">
        <f>IFERROR(__xludf.DUMMYFUNCTION("""COMPUTED_VALUE"""),"บิ๊กซี MINI")</f>
        <v>บิ๊กซี MINI</v>
      </c>
      <c r="F433" s="1" t="str">
        <f>IFERROR(__xludf.DUMMYFUNCTION("""COMPUTED_VALUE"""),"291008")</f>
        <v>291008</v>
      </c>
      <c r="G433" s="1" t="str">
        <f>IFERROR(__xludf.DUMMYFUNCTION("""COMPUTED_VALUE"""),"น.ส.รัชดาพร อีศรัตน์")</f>
        <v>น.ส.รัชดาพร อีศรัตน์</v>
      </c>
      <c r="H433" s="1" t="str">
        <f>IFERROR(__xludf.DUMMYFUNCTION("""COMPUTED_VALUE"""),"468773")</f>
        <v>468773</v>
      </c>
      <c r="I433" s="1" t="str">
        <f>IFERROR(__xludf.DUMMYFUNCTION("""COMPUTED_VALUE"""),"น.ส.พรพรรณ แซ่แต้")</f>
        <v>น.ส.พรพรรณ แซ่แต้</v>
      </c>
      <c r="J433" s="3">
        <f>IFERROR(__xludf.DUMMYFUNCTION("""COMPUTED_VALUE"""),2452378.0)</f>
        <v>2452378</v>
      </c>
      <c r="K433" s="3" t="str">
        <f>IFERROR(__xludf.DUMMYFUNCTION("""COMPUTED_VALUE"""),"นายศักดิ์ดา พวงประดับ")</f>
        <v>นายศักดิ์ดา พวงประดับ</v>
      </c>
      <c r="L433" s="1" t="str">
        <f>IFERROR(__xludf.DUMMYFUNCTION("""COMPUTED_VALUE"""),"11 K.Sakda P.")</f>
        <v>11 K.Sakda P.</v>
      </c>
      <c r="M433" s="1" t="str">
        <f>IFERROR(__xludf.DUMMYFUNCTION("""COMPUTED_VALUE"""),"065-929-1279")</f>
        <v>065-929-1279</v>
      </c>
      <c r="N433" s="3">
        <f>IFERROR(__xludf.DUMMYFUNCTION("""COMPUTED_VALUE"""),21002.0)</f>
        <v>21002</v>
      </c>
      <c r="O433" s="3" t="str">
        <f>IFERROR(__xludf.DUMMYFUNCTION("""COMPUTED_VALUE"""),"MBC อุดมสุข")</f>
        <v>MBC อุดมสุข</v>
      </c>
      <c r="P433" s="4">
        <f>IFERROR(__xludf.DUMMYFUNCTION("""COMPUTED_VALUE"""),41455.0)</f>
        <v>41455</v>
      </c>
      <c r="Q433" s="3" t="str">
        <f>IFERROR(__xludf.DUMMYFUNCTION("""COMPUTED_VALUE"""),"A")</f>
        <v>A</v>
      </c>
      <c r="R433" s="3" t="str">
        <f>IFERROR(__xludf.DUMMYFUNCTION("""COMPUTED_VALUE"""),"Small Format")</f>
        <v>Small Format</v>
      </c>
      <c r="S433" s="3" t="str">
        <f>IFERROR(__xludf.DUMMYFUNCTION("""COMPUTED_VALUE"""),"BCM")</f>
        <v>BCM</v>
      </c>
      <c r="T433" s="3" t="str">
        <f>IFERROR(__xludf.DUMMYFUNCTION("""COMPUTED_VALUE"""),"#N/A")</f>
        <v>#N/A</v>
      </c>
      <c r="U433" s="3" t="str">
        <f>IFERROR(__xludf.DUMMYFUNCTION("""COMPUTED_VALUE"""),"#N/A")</f>
        <v>#N/A</v>
      </c>
      <c r="V433" s="3" t="str">
        <f>IFERROR(__xludf.DUMMYFUNCTION("""COMPUTED_VALUE"""),"N")</f>
        <v>N</v>
      </c>
      <c r="W433" s="3">
        <f>IFERROR(__xludf.DUMMYFUNCTION("""COMPUTED_VALUE"""),361029.0)</f>
        <v>361029</v>
      </c>
      <c r="X433" s="3" t="str">
        <f>IFERROR(__xludf.DUMMYFUNCTION("""COMPUTED_VALUE"""),"25/21 ถนนริมคลองแสนแสบ แขวงบางกะปิ เขตห้วยขวาง กรุงเทพมหานคร 10310")</f>
        <v>25/21 ถนนริมคลองแสนแสบ แขวงบางกะปิ เขตห้วยขวาง กรุงเทพมหานคร 10310</v>
      </c>
      <c r="Y433" s="3" t="str">
        <f>IFERROR(__xludf.DUMMYFUNCTION("""COMPUTED_VALUE"""),"ถนนริมคลองแสนแสบ")</f>
        <v>ถนนริมคลองแสนแสบ</v>
      </c>
      <c r="Z433" s="3" t="str">
        <f>IFERROR(__xludf.DUMMYFUNCTION("""COMPUTED_VALUE"""),"บางกะปิ")</f>
        <v>บางกะปิ</v>
      </c>
      <c r="AA433" s="3" t="str">
        <f>IFERROR(__xludf.DUMMYFUNCTION("""COMPUTED_VALUE"""),"ห้วยขวาง")</f>
        <v>ห้วยขวาง</v>
      </c>
      <c r="AB433" s="3" t="str">
        <f>IFERROR(__xludf.DUMMYFUNCTION("""COMPUTED_VALUE"""),"กรุงเทพมหานคร")</f>
        <v>กรุงเทพมหานคร</v>
      </c>
      <c r="AC433" s="3">
        <f>IFERROR(__xludf.DUMMYFUNCTION("""COMPUTED_VALUE"""),10310.0)</f>
        <v>10310</v>
      </c>
      <c r="AD433" s="3">
        <f>IFERROR(__xludf.DUMMYFUNCTION("""COMPUTED_VALUE"""),13.747128)</f>
        <v>13.747128</v>
      </c>
      <c r="AE433" s="3">
        <f>IFERROR(__xludf.DUMMYFUNCTION("""COMPUTED_VALUE"""),100.598072)</f>
        <v>100.598072</v>
      </c>
      <c r="AF433" s="3" t="str">
        <f>IFERROR(__xludf.DUMMYFUNCTION("""COMPUTED_VALUE"""),"MBC BCP เพชรพระราม-21194")</f>
        <v>MBC BCP เพชรพระราม-21194</v>
      </c>
      <c r="AG433" s="3" t="str">
        <f>IFERROR(__xludf.DUMMYFUNCTION("""COMPUTED_VALUE"""),"กลาง")</f>
        <v>กลาง</v>
      </c>
      <c r="AH433" s="3" t="str">
        <f>IFERROR(__xludf.DUMMYFUNCTION("""COMPUTED_VALUE"""),"#N/A")</f>
        <v>#N/A</v>
      </c>
      <c r="AI433" s="3" t="str">
        <f>IFERROR(__xludf.DUMMYFUNCTION("""COMPUTED_VALUE"""),"Out of warranty")</f>
        <v>Out of warranty</v>
      </c>
      <c r="AJ433" s="3">
        <f>IFERROR(__xludf.DUMMYFUNCTION("""COMPUTED_VALUE"""),151.0)</f>
        <v>151</v>
      </c>
      <c r="AK433" s="3" t="str">
        <f>IFERROR(__xludf.DUMMYFUNCTION("""COMPUTED_VALUE"""),"MMS03")</f>
        <v>MMS03</v>
      </c>
      <c r="AL433" s="3"/>
    </row>
    <row r="434" ht="15.75" customHeight="1">
      <c r="A434" s="1" t="str">
        <f>IFERROR(__xludf.DUMMYFUNCTION("""COMPUTED_VALUE"""),"21195")</f>
        <v>21195</v>
      </c>
      <c r="B434" s="2">
        <f>IFERROR(__xludf.DUMMYFUNCTION("""COMPUTED_VALUE"""),21195.0)</f>
        <v>21195</v>
      </c>
      <c r="C434" s="3" t="str">
        <f>IFERROR(__xludf.DUMMYFUNCTION("""COMPUTED_VALUE"""),"MBC BCP บรมฯ กม.23")</f>
        <v>MBC BCP บรมฯ กม.23</v>
      </c>
      <c r="D434" s="3" t="str">
        <f>IFERROR(__xludf.DUMMYFUNCTION("""COMPUTED_VALUE"""),"BCM BCP BOROM KM23")</f>
        <v>BCM BCP BOROM KM23</v>
      </c>
      <c r="E434" s="1" t="str">
        <f>IFERROR(__xludf.DUMMYFUNCTION("""COMPUTED_VALUE"""),"บิ๊กซี MINI")</f>
        <v>บิ๊กซี MINI</v>
      </c>
      <c r="F434" s="1" t="str">
        <f>IFERROR(__xludf.DUMMYFUNCTION("""COMPUTED_VALUE"""),"296229")</f>
        <v>296229</v>
      </c>
      <c r="G434" s="1" t="str">
        <f>IFERROR(__xludf.DUMMYFUNCTION("""COMPUTED_VALUE"""),"นายทนงศักดิ์ บุญมา")</f>
        <v>นายทนงศักดิ์ บุญมา</v>
      </c>
      <c r="H434" s="1" t="str">
        <f>IFERROR(__xludf.DUMMYFUNCTION("""COMPUTED_VALUE"""),"295245")</f>
        <v>295245</v>
      </c>
      <c r="I434" s="1" t="str">
        <f>IFERROR(__xludf.DUMMYFUNCTION("""COMPUTED_VALUE"""),"นายมานะ วงศ์สุโชโต")</f>
        <v>นายมานะ วงศ์สุโชโต</v>
      </c>
      <c r="J434" s="3">
        <f>IFERROR(__xludf.DUMMYFUNCTION("""COMPUTED_VALUE"""),46214.0)</f>
        <v>46214</v>
      </c>
      <c r="K434" s="3" t="str">
        <f>IFERROR(__xludf.DUMMYFUNCTION("""COMPUTED_VALUE"""),"นายศักดิ์ชัย เด็ดดอกฟ้า")</f>
        <v>นายศักดิ์ชัย เด็ดดอกฟ้า</v>
      </c>
      <c r="L434" s="3" t="str">
        <f>IFERROR(__xludf.DUMMYFUNCTION("""COMPUTED_VALUE"""),"02 K.Sakchai D")</f>
        <v>02 K.Sakchai D</v>
      </c>
      <c r="M434" s="1" t="str">
        <f>IFERROR(__xludf.DUMMYFUNCTION("""COMPUTED_VALUE"""),"065-510-7376")</f>
        <v>065-510-7376</v>
      </c>
      <c r="N434" s="3">
        <f>IFERROR(__xludf.DUMMYFUNCTION("""COMPUTED_VALUE"""),21714.0)</f>
        <v>21714</v>
      </c>
      <c r="O434" s="3" t="str">
        <f>IFERROR(__xludf.DUMMYFUNCTION("""COMPUTED_VALUE"""),"MBC เอสโซ่ วัดโบสถ์")</f>
        <v>MBC เอสโซ่ วัดโบสถ์</v>
      </c>
      <c r="P434" s="4">
        <f>IFERROR(__xludf.DUMMYFUNCTION("""COMPUTED_VALUE"""),41455.0)</f>
        <v>41455</v>
      </c>
      <c r="Q434" s="3" t="str">
        <f>IFERROR(__xludf.DUMMYFUNCTION("""COMPUTED_VALUE"""),"I")</f>
        <v>I</v>
      </c>
      <c r="R434" s="3" t="str">
        <f>IFERROR(__xludf.DUMMYFUNCTION("""COMPUTED_VALUE"""),"Small Format")</f>
        <v>Small Format</v>
      </c>
      <c r="S434" s="3" t="str">
        <f>IFERROR(__xludf.DUMMYFUNCTION("""COMPUTED_VALUE"""),"BCM")</f>
        <v>BCM</v>
      </c>
      <c r="T434" s="3" t="str">
        <f>IFERROR(__xludf.DUMMYFUNCTION("""COMPUTED_VALUE"""),"#N/A")</f>
        <v>#N/A</v>
      </c>
      <c r="U434" s="3" t="str">
        <f>IFERROR(__xludf.DUMMYFUNCTION("""COMPUTED_VALUE"""),"#N/A")</f>
        <v>#N/A</v>
      </c>
      <c r="V434" s="3" t="str">
        <f>IFERROR(__xludf.DUMMYFUNCTION("""COMPUTED_VALUE"""),"N")</f>
        <v>N</v>
      </c>
      <c r="W434" s="3">
        <f>IFERROR(__xludf.DUMMYFUNCTION("""COMPUTED_VALUE"""),361028.0)</f>
        <v>361028</v>
      </c>
      <c r="X434" s="3" t="str">
        <f>IFERROR(__xludf.DUMMYFUNCTION("""COMPUTED_VALUE"""),"38/14 หมู่ 2 ตำบลบางเตย อำเภอสามพราน จังหวัดนครปฐม 73210")</f>
        <v>38/14 หมู่ 2 ตำบลบางเตย อำเภอสามพราน จังหวัดนครปฐม 73210</v>
      </c>
      <c r="Y434" s="3"/>
      <c r="Z434" s="3" t="str">
        <f>IFERROR(__xludf.DUMMYFUNCTION("""COMPUTED_VALUE"""),"บางเตย")</f>
        <v>บางเตย</v>
      </c>
      <c r="AA434" s="3" t="str">
        <f>IFERROR(__xludf.DUMMYFUNCTION("""COMPUTED_VALUE"""),"สามพราน")</f>
        <v>สามพราน</v>
      </c>
      <c r="AB434" s="3" t="str">
        <f>IFERROR(__xludf.DUMMYFUNCTION("""COMPUTED_VALUE"""),"นครปฐม")</f>
        <v>นครปฐม</v>
      </c>
      <c r="AC434" s="3">
        <f>IFERROR(__xludf.DUMMYFUNCTION("""COMPUTED_VALUE"""),73210.0)</f>
        <v>73210</v>
      </c>
      <c r="AD434" s="3">
        <f>IFERROR(__xludf.DUMMYFUNCTION("""COMPUTED_VALUE"""),13.786612)</f>
        <v>13.786612</v>
      </c>
      <c r="AE434" s="3">
        <f>IFERROR(__xludf.DUMMYFUNCTION("""COMPUTED_VALUE"""),100.28318)</f>
        <v>100.28318</v>
      </c>
      <c r="AF434" s="3" t="str">
        <f>IFERROR(__xludf.DUMMYFUNCTION("""COMPUTED_VALUE"""),"MBC BCP บรมฯ กม.23-21195")</f>
        <v>MBC BCP บรมฯ กม.23-21195</v>
      </c>
      <c r="AG434" s="3" t="str">
        <f>IFERROR(__xludf.DUMMYFUNCTION("""COMPUTED_VALUE"""),"กลาง")</f>
        <v>กลาง</v>
      </c>
      <c r="AH434" s="3" t="str">
        <f>IFERROR(__xludf.DUMMYFUNCTION("""COMPUTED_VALUE"""),"#N/A")</f>
        <v>#N/A</v>
      </c>
      <c r="AI434" s="3" t="str">
        <f>IFERROR(__xludf.DUMMYFUNCTION("""COMPUTED_VALUE"""),"Out of warranty")</f>
        <v>Out of warranty</v>
      </c>
      <c r="AJ434" s="3">
        <f>IFERROR(__xludf.DUMMYFUNCTION("""COMPUTED_VALUE"""),151.0)</f>
        <v>151</v>
      </c>
      <c r="AK434" s="3" t="str">
        <f>IFERROR(__xludf.DUMMYFUNCTION("""COMPUTED_VALUE"""),"MMS05")</f>
        <v>MMS05</v>
      </c>
      <c r="AL434" s="3"/>
    </row>
    <row r="435" ht="15.75" customHeight="1">
      <c r="A435" s="1" t="str">
        <f>IFERROR(__xludf.DUMMYFUNCTION("""COMPUTED_VALUE"""),"21196")</f>
        <v>21196</v>
      </c>
      <c r="B435" s="2">
        <f>IFERROR(__xludf.DUMMYFUNCTION("""COMPUTED_VALUE"""),21196.0)</f>
        <v>21196</v>
      </c>
      <c r="C435" s="3" t="str">
        <f>IFERROR(__xludf.DUMMYFUNCTION("""COMPUTED_VALUE"""),"MBC ตลาดหมอนนาง")</f>
        <v>MBC ตลาดหมอนนาง</v>
      </c>
      <c r="D435" s="3" t="str">
        <f>IFERROR(__xludf.DUMMYFUNCTION("""COMPUTED_VALUE"""),"BCM TARAD MHONNANG")</f>
        <v>BCM TARAD MHONNANG</v>
      </c>
      <c r="E435" s="1" t="str">
        <f>IFERROR(__xludf.DUMMYFUNCTION("""COMPUTED_VALUE"""),"บิ๊กซี MINI")</f>
        <v>บิ๊กซี MINI</v>
      </c>
      <c r="F435" s="1" t="str">
        <f>IFERROR(__xludf.DUMMYFUNCTION("""COMPUTED_VALUE"""),"221716")</f>
        <v>221716</v>
      </c>
      <c r="G435" s="1" t="str">
        <f>IFERROR(__xludf.DUMMYFUNCTION("""COMPUTED_VALUE"""),"น.ส.เบญจพร โพธิสาร")</f>
        <v>น.ส.เบญจพร โพธิสาร</v>
      </c>
      <c r="H435" s="1" t="str">
        <f>IFERROR(__xludf.DUMMYFUNCTION("""COMPUTED_VALUE"""),"2452265")</f>
        <v>2452265</v>
      </c>
      <c r="I435" s="1" t="str">
        <f>IFERROR(__xludf.DUMMYFUNCTION("""COMPUTED_VALUE"""),"นายพิทยา จันทร์ประเทศ")</f>
        <v>นายพิทยา จันทร์ประเทศ</v>
      </c>
      <c r="J435" s="3">
        <f>IFERROR(__xludf.DUMMYFUNCTION("""COMPUTED_VALUE"""),296942.0)</f>
        <v>296942</v>
      </c>
      <c r="K435" s="3" t="str">
        <f>IFERROR(__xludf.DUMMYFUNCTION("""COMPUTED_VALUE"""),"นายปิยะ รักษากิจ")</f>
        <v>นายปิยะ รักษากิจ</v>
      </c>
      <c r="L435" s="3" t="str">
        <f>IFERROR(__xludf.DUMMYFUNCTION("""COMPUTED_VALUE"""),"07 K.Piya R.")</f>
        <v>07 K.Piya R.</v>
      </c>
      <c r="M435" s="1" t="str">
        <f>IFERROR(__xludf.DUMMYFUNCTION("""COMPUTED_VALUE"""),"097-919-5476")</f>
        <v>097-919-5476</v>
      </c>
      <c r="N435" s="3">
        <f>IFERROR(__xludf.DUMMYFUNCTION("""COMPUTED_VALUE"""),21332.0)</f>
        <v>21332</v>
      </c>
      <c r="O435" s="3" t="str">
        <f>IFERROR(__xludf.DUMMYFUNCTION("""COMPUTED_VALUE"""),"MBC BCP อ่อนนุช 17/1")</f>
        <v>MBC BCP อ่อนนุช 17/1</v>
      </c>
      <c r="P435" s="4">
        <f>IFERROR(__xludf.DUMMYFUNCTION("""COMPUTED_VALUE"""),41479.0)</f>
        <v>41479</v>
      </c>
      <c r="Q435" s="3" t="str">
        <f>IFERROR(__xludf.DUMMYFUNCTION("""COMPUTED_VALUE"""),"A")</f>
        <v>A</v>
      </c>
      <c r="R435" s="3" t="str">
        <f>IFERROR(__xludf.DUMMYFUNCTION("""COMPUTED_VALUE"""),"Small Format")</f>
        <v>Small Format</v>
      </c>
      <c r="S435" s="3" t="str">
        <f>IFERROR(__xludf.DUMMYFUNCTION("""COMPUTED_VALUE"""),"BCM")</f>
        <v>BCM</v>
      </c>
      <c r="T435" s="3" t="str">
        <f>IFERROR(__xludf.DUMMYFUNCTION("""COMPUTED_VALUE"""),"#N/A")</f>
        <v>#N/A</v>
      </c>
      <c r="U435" s="3" t="str">
        <f>IFERROR(__xludf.DUMMYFUNCTION("""COMPUTED_VALUE"""),"#N/A")</f>
        <v>#N/A</v>
      </c>
      <c r="V435" s="3" t="str">
        <f>IFERROR(__xludf.DUMMYFUNCTION("""COMPUTED_VALUE"""),"N")</f>
        <v>N</v>
      </c>
      <c r="W435" s="3">
        <f>IFERROR(__xludf.DUMMYFUNCTION("""COMPUTED_VALUE"""),211166.0)</f>
        <v>211166</v>
      </c>
      <c r="X435" s="3" t="str">
        <f>IFERROR(__xludf.DUMMYFUNCTION("""COMPUTED_VALUE"""),"11/1 หมู่ 3 ตำบลหมอนนาง อำเภอพนัสนิคม จังหวัดชลบุรี 20140")</f>
        <v>11/1 หมู่ 3 ตำบลหมอนนาง อำเภอพนัสนิคม จังหวัดชลบุรี 20140</v>
      </c>
      <c r="Y435" s="3"/>
      <c r="Z435" s="3" t="str">
        <f>IFERROR(__xludf.DUMMYFUNCTION("""COMPUTED_VALUE"""),"หมอนนาง")</f>
        <v>หมอนนาง</v>
      </c>
      <c r="AA435" s="3" t="str">
        <f>IFERROR(__xludf.DUMMYFUNCTION("""COMPUTED_VALUE"""),"พนัสนิคม")</f>
        <v>พนัสนิคม</v>
      </c>
      <c r="AB435" s="3" t="str">
        <f>IFERROR(__xludf.DUMMYFUNCTION("""COMPUTED_VALUE"""),"ชลบุรี")</f>
        <v>ชลบุรี</v>
      </c>
      <c r="AC435" s="3">
        <f>IFERROR(__xludf.DUMMYFUNCTION("""COMPUTED_VALUE"""),20140.0)</f>
        <v>20140</v>
      </c>
      <c r="AD435" s="3">
        <f>IFERROR(__xludf.DUMMYFUNCTION("""COMPUTED_VALUE"""),13.399493)</f>
        <v>13.399493</v>
      </c>
      <c r="AE435" s="3">
        <f>IFERROR(__xludf.DUMMYFUNCTION("""COMPUTED_VALUE"""),101.210999)</f>
        <v>101.210999</v>
      </c>
      <c r="AF435" s="3" t="str">
        <f>IFERROR(__xludf.DUMMYFUNCTION("""COMPUTED_VALUE"""),"MBC ตลาดหมอนนาง-21196")</f>
        <v>MBC ตลาดหมอนนาง-21196</v>
      </c>
      <c r="AG435" s="3" t="str">
        <f>IFERROR(__xludf.DUMMYFUNCTION("""COMPUTED_VALUE"""),"ตะวันออก")</f>
        <v>ตะวันออก</v>
      </c>
      <c r="AH435" s="3" t="str">
        <f>IFERROR(__xludf.DUMMYFUNCTION("""COMPUTED_VALUE"""),"#N/A")</f>
        <v>#N/A</v>
      </c>
      <c r="AI435" s="3" t="str">
        <f>IFERROR(__xludf.DUMMYFUNCTION("""COMPUTED_VALUE"""),"Out of warranty")</f>
        <v>Out of warranty</v>
      </c>
      <c r="AJ435" s="3">
        <f>IFERROR(__xludf.DUMMYFUNCTION("""COMPUTED_VALUE"""),150.0)</f>
        <v>150</v>
      </c>
      <c r="AK435" s="3" t="str">
        <f>IFERROR(__xludf.DUMMYFUNCTION("""COMPUTED_VALUE"""),"MMS07")</f>
        <v>MMS07</v>
      </c>
      <c r="AL435" s="3"/>
    </row>
    <row r="436" ht="15.75" customHeight="1">
      <c r="A436" s="1" t="str">
        <f>IFERROR(__xludf.DUMMYFUNCTION("""COMPUTED_VALUE"""),"21197")</f>
        <v>21197</v>
      </c>
      <c r="B436" s="2">
        <f>IFERROR(__xludf.DUMMYFUNCTION("""COMPUTED_VALUE"""),21197.0)</f>
        <v>21197</v>
      </c>
      <c r="C436" s="3" t="str">
        <f>IFERROR(__xludf.DUMMYFUNCTION("""COMPUTED_VALUE"""),"MBC วัดสวนส้ม")</f>
        <v>MBC วัดสวนส้ม</v>
      </c>
      <c r="D436" s="3" t="str">
        <f>IFERROR(__xludf.DUMMYFUNCTION("""COMPUTED_VALUE"""),"BCM WAT SUANSOM")</f>
        <v>BCM WAT SUANSOM</v>
      </c>
      <c r="E436" s="1" t="str">
        <f>IFERROR(__xludf.DUMMYFUNCTION("""COMPUTED_VALUE"""),"บิ๊กซี MINI")</f>
        <v>บิ๊กซี MINI</v>
      </c>
      <c r="F436" s="1" t="str">
        <f>IFERROR(__xludf.DUMMYFUNCTION("""COMPUTED_VALUE"""),"2083447")</f>
        <v>2083447</v>
      </c>
      <c r="G436" s="1" t="str">
        <f>IFERROR(__xludf.DUMMYFUNCTION("""COMPUTED_VALUE"""),"นายอนุกูล ศรีลัดดา")</f>
        <v>นายอนุกูล ศรีลัดดา</v>
      </c>
      <c r="H436" s="1" t="str">
        <f>IFERROR(__xludf.DUMMYFUNCTION("""COMPUTED_VALUE"""),"379037")</f>
        <v>379037</v>
      </c>
      <c r="I436" s="1" t="str">
        <f>IFERROR(__xludf.DUMMYFUNCTION("""COMPUTED_VALUE"""),"นางแก้วใจ แก้วกาญจน์")</f>
        <v>นางแก้วใจ แก้วกาญจน์</v>
      </c>
      <c r="J436" s="3">
        <f>IFERROR(__xludf.DUMMYFUNCTION("""COMPUTED_VALUE"""),2451655.0)</f>
        <v>2451655</v>
      </c>
      <c r="K436" s="3" t="str">
        <f>IFERROR(__xludf.DUMMYFUNCTION("""COMPUTED_VALUE"""),"นายวิษณุพงษ์ ชินบุตร")</f>
        <v>นายวิษณุพงษ์ ชินบุตร</v>
      </c>
      <c r="L436" s="1" t="str">
        <f>IFERROR(__xludf.DUMMYFUNCTION("""COMPUTED_VALUE"""),"13 K.Wisanupong Ch")</f>
        <v>13 K.Wisanupong Ch</v>
      </c>
      <c r="M436" s="1" t="str">
        <f>IFERROR(__xludf.DUMMYFUNCTION("""COMPUTED_VALUE"""),"0843374693")</f>
        <v>0843374693</v>
      </c>
      <c r="N436" s="3">
        <f>IFERROR(__xludf.DUMMYFUNCTION("""COMPUTED_VALUE"""),21013.0)</f>
        <v>21013</v>
      </c>
      <c r="O436" s="3" t="str">
        <f>IFERROR(__xludf.DUMMYFUNCTION("""COMPUTED_VALUE"""),"MBC รังสิตคลอง2")</f>
        <v>MBC รังสิตคลอง2</v>
      </c>
      <c r="P436" s="4">
        <f>IFERROR(__xludf.DUMMYFUNCTION("""COMPUTED_VALUE"""),41480.0)</f>
        <v>41480</v>
      </c>
      <c r="Q436" s="3" t="str">
        <f>IFERROR(__xludf.DUMMYFUNCTION("""COMPUTED_VALUE"""),"I")</f>
        <v>I</v>
      </c>
      <c r="R436" s="3" t="str">
        <f>IFERROR(__xludf.DUMMYFUNCTION("""COMPUTED_VALUE"""),"Small Format")</f>
        <v>Small Format</v>
      </c>
      <c r="S436" s="3" t="str">
        <f>IFERROR(__xludf.DUMMYFUNCTION("""COMPUTED_VALUE"""),"BCM")</f>
        <v>BCM</v>
      </c>
      <c r="T436" s="3" t="str">
        <f>IFERROR(__xludf.DUMMYFUNCTION("""COMPUTED_VALUE"""),"#N/A")</f>
        <v>#N/A</v>
      </c>
      <c r="U436" s="3" t="str">
        <f>IFERROR(__xludf.DUMMYFUNCTION("""COMPUTED_VALUE"""),"#N/A")</f>
        <v>#N/A</v>
      </c>
      <c r="V436" s="3" t="str">
        <f>IFERROR(__xludf.DUMMYFUNCTION("""COMPUTED_VALUE"""),"N")</f>
        <v>N</v>
      </c>
      <c r="W436" s="3">
        <f>IFERROR(__xludf.DUMMYFUNCTION("""COMPUTED_VALUE"""),211167.0)</f>
        <v>211167</v>
      </c>
      <c r="X436" s="3" t="str">
        <f>IFERROR(__xludf.DUMMYFUNCTION("""COMPUTED_VALUE"""),"83/5 หมู่ 8 ตำบลสำโรงใต้ อำเภอพระประแดง จังหวัดสมุทรปราการ 10130")</f>
        <v>83/5 หมู่ 8 ตำบลสำโรงใต้ อำเภอพระประแดง จังหวัดสมุทรปราการ 10130</v>
      </c>
      <c r="Y436" s="3"/>
      <c r="Z436" s="3" t="str">
        <f>IFERROR(__xludf.DUMMYFUNCTION("""COMPUTED_VALUE"""),"สำโรงใต้")</f>
        <v>สำโรงใต้</v>
      </c>
      <c r="AA436" s="3" t="str">
        <f>IFERROR(__xludf.DUMMYFUNCTION("""COMPUTED_VALUE"""),"พระประแดง")</f>
        <v>พระประแดง</v>
      </c>
      <c r="AB436" s="3" t="str">
        <f>IFERROR(__xludf.DUMMYFUNCTION("""COMPUTED_VALUE"""),"สมุทรปราการ")</f>
        <v>สมุทรปราการ</v>
      </c>
      <c r="AC436" s="3">
        <f>IFERROR(__xludf.DUMMYFUNCTION("""COMPUTED_VALUE"""),10130.0)</f>
        <v>10130</v>
      </c>
      <c r="AD436" s="3">
        <f>IFERROR(__xludf.DUMMYFUNCTION("""COMPUTED_VALUE"""),13.637938)</f>
        <v>13.637938</v>
      </c>
      <c r="AE436" s="3">
        <f>IFERROR(__xludf.DUMMYFUNCTION("""COMPUTED_VALUE"""),100.574253)</f>
        <v>100.574253</v>
      </c>
      <c r="AF436" s="3" t="str">
        <f>IFERROR(__xludf.DUMMYFUNCTION("""COMPUTED_VALUE"""),"MBC วัดสวนส้ม-21197")</f>
        <v>MBC วัดสวนส้ม-21197</v>
      </c>
      <c r="AG436" s="3" t="str">
        <f>IFERROR(__xludf.DUMMYFUNCTION("""COMPUTED_VALUE"""),"กลาง")</f>
        <v>กลาง</v>
      </c>
      <c r="AH436" s="3" t="str">
        <f>IFERROR(__xludf.DUMMYFUNCTION("""COMPUTED_VALUE"""),"#N/A")</f>
        <v>#N/A</v>
      </c>
      <c r="AI436" s="3" t="str">
        <f>IFERROR(__xludf.DUMMYFUNCTION("""COMPUTED_VALUE"""),"Out of warranty")</f>
        <v>Out of warranty</v>
      </c>
      <c r="AJ436" s="3">
        <f>IFERROR(__xludf.DUMMYFUNCTION("""COMPUTED_VALUE"""),150.0)</f>
        <v>150</v>
      </c>
      <c r="AK436" s="3" t="str">
        <f>IFERROR(__xludf.DUMMYFUNCTION("""COMPUTED_VALUE"""),"MMS02")</f>
        <v>MMS02</v>
      </c>
      <c r="AL436" s="3"/>
    </row>
    <row r="437" ht="15.75" customHeight="1">
      <c r="A437" s="1" t="str">
        <f>IFERROR(__xludf.DUMMYFUNCTION("""COMPUTED_VALUE"""),"21198")</f>
        <v>21198</v>
      </c>
      <c r="B437" s="2">
        <f>IFERROR(__xludf.DUMMYFUNCTION("""COMPUTED_VALUE"""),21198.0)</f>
        <v>21198</v>
      </c>
      <c r="C437" s="3" t="str">
        <f>IFERROR(__xludf.DUMMYFUNCTION("""COMPUTED_VALUE"""),"MBC BCP พระราม2 กม52")</f>
        <v>MBC BCP พระราม2 กม52</v>
      </c>
      <c r="D437" s="3" t="str">
        <f>IFERROR(__xludf.DUMMYFUNCTION("""COMPUTED_VALUE"""),"BCM BCP RAMA2 KM.52")</f>
        <v>BCM BCP RAMA2 KM.52</v>
      </c>
      <c r="E437" s="1" t="str">
        <f>IFERROR(__xludf.DUMMYFUNCTION("""COMPUTED_VALUE"""),"บิ๊กซี MINI")</f>
        <v>บิ๊กซี MINI</v>
      </c>
      <c r="F437" s="1" t="str">
        <f>IFERROR(__xludf.DUMMYFUNCTION("""COMPUTED_VALUE"""),"2083447")</f>
        <v>2083447</v>
      </c>
      <c r="G437" s="1" t="str">
        <f>IFERROR(__xludf.DUMMYFUNCTION("""COMPUTED_VALUE"""),"นายอนุกูล ศรีลัดดา")</f>
        <v>นายอนุกูล ศรีลัดดา</v>
      </c>
      <c r="H437" s="1" t="str">
        <f>IFERROR(__xludf.DUMMYFUNCTION("""COMPUTED_VALUE"""),"391191")</f>
        <v>391191</v>
      </c>
      <c r="I437" s="1" t="str">
        <f>IFERROR(__xludf.DUMMYFUNCTION("""COMPUTED_VALUE"""),"นายวสันต์ สรงพรมทิพย์")</f>
        <v>นายวสันต์ สรงพรมทิพย์</v>
      </c>
      <c r="J437" s="3">
        <f>IFERROR(__xludf.DUMMYFUNCTION("""COMPUTED_VALUE"""),2451655.0)</f>
        <v>2451655</v>
      </c>
      <c r="K437" s="3" t="str">
        <f>IFERROR(__xludf.DUMMYFUNCTION("""COMPUTED_VALUE"""),"นายวิษณุพงษ์ ชินบุตร")</f>
        <v>นายวิษณุพงษ์ ชินบุตร</v>
      </c>
      <c r="L437" s="1" t="str">
        <f>IFERROR(__xludf.DUMMYFUNCTION("""COMPUTED_VALUE"""),"13 K.Wisanupong Ch")</f>
        <v>13 K.Wisanupong Ch</v>
      </c>
      <c r="M437" s="1" t="str">
        <f>IFERROR(__xludf.DUMMYFUNCTION("""COMPUTED_VALUE"""),"0843374693")</f>
        <v>0843374693</v>
      </c>
      <c r="N437" s="3">
        <f>IFERROR(__xludf.DUMMYFUNCTION("""COMPUTED_VALUE"""),22729.0)</f>
        <v>22729</v>
      </c>
      <c r="O437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437" s="4">
        <f>IFERROR(__xludf.DUMMYFUNCTION("""COMPUTED_VALUE"""),41484.0)</f>
        <v>41484</v>
      </c>
      <c r="Q437" s="3" t="str">
        <f>IFERROR(__xludf.DUMMYFUNCTION("""COMPUTED_VALUE"""),"A")</f>
        <v>A</v>
      </c>
      <c r="R437" s="3" t="str">
        <f>IFERROR(__xludf.DUMMYFUNCTION("""COMPUTED_VALUE"""),"Small Format")</f>
        <v>Small Format</v>
      </c>
      <c r="S437" s="3" t="str">
        <f>IFERROR(__xludf.DUMMYFUNCTION("""COMPUTED_VALUE"""),"BCM")</f>
        <v>BCM</v>
      </c>
      <c r="T437" s="3" t="str">
        <f>IFERROR(__xludf.DUMMYFUNCTION("""COMPUTED_VALUE"""),"#N/A")</f>
        <v>#N/A</v>
      </c>
      <c r="U437" s="3" t="str">
        <f>IFERROR(__xludf.DUMMYFUNCTION("""COMPUTED_VALUE"""),"#N/A")</f>
        <v>#N/A</v>
      </c>
      <c r="V437" s="3" t="str">
        <f>IFERROR(__xludf.DUMMYFUNCTION("""COMPUTED_VALUE"""),"N")</f>
        <v>N</v>
      </c>
      <c r="W437" s="3">
        <f>IFERROR(__xludf.DUMMYFUNCTION("""COMPUTED_VALUE"""),361030.0)</f>
        <v>361030</v>
      </c>
      <c r="X437" s="3" t="str">
        <f>IFERROR(__xludf.DUMMYFUNCTION("""COMPUTED_VALUE"""),"84/15 หมู่ 2 ตำบลนาโคก อำเภอเมืองสมุทรสาคร จังหวัดสมุทรสาคร 74000")</f>
        <v>84/15 หมู่ 2 ตำบลนาโคก อำเภอเมืองสมุทรสาคร จังหวัดสมุทรสาคร 74000</v>
      </c>
      <c r="Y437" s="3"/>
      <c r="Z437" s="3" t="str">
        <f>IFERROR(__xludf.DUMMYFUNCTION("""COMPUTED_VALUE"""),"นาโคก")</f>
        <v>นาโคก</v>
      </c>
      <c r="AA437" s="3" t="str">
        <f>IFERROR(__xludf.DUMMYFUNCTION("""COMPUTED_VALUE"""),"เมือง")</f>
        <v>เมือง</v>
      </c>
      <c r="AB437" s="3" t="str">
        <f>IFERROR(__xludf.DUMMYFUNCTION("""COMPUTED_VALUE"""),"สมุทรสาคร")</f>
        <v>สมุทรสาคร</v>
      </c>
      <c r="AC437" s="3">
        <f>IFERROR(__xludf.DUMMYFUNCTION("""COMPUTED_VALUE"""),74000.0)</f>
        <v>74000</v>
      </c>
      <c r="AD437" s="3">
        <f>IFERROR(__xludf.DUMMYFUNCTION("""COMPUTED_VALUE"""),13.452318)</f>
        <v>13.452318</v>
      </c>
      <c r="AE437" s="3">
        <f>IFERROR(__xludf.DUMMYFUNCTION("""COMPUTED_VALUE"""),100.084246)</f>
        <v>100.084246</v>
      </c>
      <c r="AF437" s="3" t="str">
        <f>IFERROR(__xludf.DUMMYFUNCTION("""COMPUTED_VALUE"""),"MBC BCP พระราม2 กม52-21198")</f>
        <v>MBC BCP พระราม2 กม52-21198</v>
      </c>
      <c r="AG437" s="3" t="str">
        <f>IFERROR(__xludf.DUMMYFUNCTION("""COMPUTED_VALUE"""),"กลาง")</f>
        <v>กลาง</v>
      </c>
      <c r="AH437" s="3" t="str">
        <f>IFERROR(__xludf.DUMMYFUNCTION("""COMPUTED_VALUE"""),"#N/A")</f>
        <v>#N/A</v>
      </c>
      <c r="AI437" s="3" t="str">
        <f>IFERROR(__xludf.DUMMYFUNCTION("""COMPUTED_VALUE"""),"Out of warranty")</f>
        <v>Out of warranty</v>
      </c>
      <c r="AJ437" s="3">
        <f>IFERROR(__xludf.DUMMYFUNCTION("""COMPUTED_VALUE"""),150.0)</f>
        <v>150</v>
      </c>
      <c r="AK437" s="3" t="str">
        <f>IFERROR(__xludf.DUMMYFUNCTION("""COMPUTED_VALUE"""),"MMS05")</f>
        <v>MMS05</v>
      </c>
      <c r="AL437" s="3"/>
    </row>
    <row r="438" ht="15.75" customHeight="1">
      <c r="A438" s="1" t="str">
        <f>IFERROR(__xludf.DUMMYFUNCTION("""COMPUTED_VALUE"""),"21199")</f>
        <v>21199</v>
      </c>
      <c r="B438" s="2">
        <f>IFERROR(__xludf.DUMMYFUNCTION("""COMPUTED_VALUE"""),21199.0)</f>
        <v>21199</v>
      </c>
      <c r="C438" s="3" t="str">
        <f>IFERROR(__xludf.DUMMYFUNCTION("""COMPUTED_VALUE"""),"MBC BCP เอเชีย กม69")</f>
        <v>MBC BCP เอเชีย กม69</v>
      </c>
      <c r="D438" s="3" t="str">
        <f>IFERROR(__xludf.DUMMYFUNCTION("""COMPUTED_VALUE"""),"BCM BCP ASIA KM.69")</f>
        <v>BCM BCP ASIA KM.69</v>
      </c>
      <c r="E438" s="1" t="str">
        <f>IFERROR(__xludf.DUMMYFUNCTION("""COMPUTED_VALUE"""),"บิ๊กซี MINI")</f>
        <v>บิ๊กซี MINI</v>
      </c>
      <c r="F438" s="1" t="str">
        <f>IFERROR(__xludf.DUMMYFUNCTION("""COMPUTED_VALUE"""),"296229")</f>
        <v>296229</v>
      </c>
      <c r="G438" s="1" t="str">
        <f>IFERROR(__xludf.DUMMYFUNCTION("""COMPUTED_VALUE"""),"นายทนงศักดิ์ บุญมา")</f>
        <v>นายทนงศักดิ์ บุญมา</v>
      </c>
      <c r="H438" s="1" t="str">
        <f>IFERROR(__xludf.DUMMYFUNCTION("""COMPUTED_VALUE"""),"211363")</f>
        <v>211363</v>
      </c>
      <c r="I438" s="1" t="str">
        <f>IFERROR(__xludf.DUMMYFUNCTION("""COMPUTED_VALUE"""),"นายสามารถ บุญลับ")</f>
        <v>นายสามารถ บุญลับ</v>
      </c>
      <c r="J438" s="3">
        <f>IFERROR(__xludf.DUMMYFUNCTION("""COMPUTED_VALUE"""),46214.0)</f>
        <v>46214</v>
      </c>
      <c r="K438" s="3" t="str">
        <f>IFERROR(__xludf.DUMMYFUNCTION("""COMPUTED_VALUE"""),"นายศักดิ์ชัย เด็ดดอกฟ้า")</f>
        <v>นายศักดิ์ชัย เด็ดดอกฟ้า</v>
      </c>
      <c r="L438" s="1" t="str">
        <f>IFERROR(__xludf.DUMMYFUNCTION("""COMPUTED_VALUE"""),"02 K.Sakchai D")</f>
        <v>02 K.Sakchai D</v>
      </c>
      <c r="M438" s="1" t="str">
        <f>IFERROR(__xludf.DUMMYFUNCTION("""COMPUTED_VALUE"""),"065-510-7376")</f>
        <v>065-510-7376</v>
      </c>
      <c r="N438" s="3">
        <f>IFERROR(__xludf.DUMMYFUNCTION("""COMPUTED_VALUE"""),21714.0)</f>
        <v>21714</v>
      </c>
      <c r="O438" s="3" t="str">
        <f>IFERROR(__xludf.DUMMYFUNCTION("""COMPUTED_VALUE"""),"MBC เอสโซ่ วัดโบสถ์")</f>
        <v>MBC เอสโซ่ วัดโบสถ์</v>
      </c>
      <c r="P438" s="4">
        <f>IFERROR(__xludf.DUMMYFUNCTION("""COMPUTED_VALUE"""),41486.0)</f>
        <v>41486</v>
      </c>
      <c r="Q438" s="3" t="str">
        <f>IFERROR(__xludf.DUMMYFUNCTION("""COMPUTED_VALUE"""),"A")</f>
        <v>A</v>
      </c>
      <c r="R438" s="3" t="str">
        <f>IFERROR(__xludf.DUMMYFUNCTION("""COMPUTED_VALUE"""),"Small Format")</f>
        <v>Small Format</v>
      </c>
      <c r="S438" s="3" t="str">
        <f>IFERROR(__xludf.DUMMYFUNCTION("""COMPUTED_VALUE"""),"BCM")</f>
        <v>BCM</v>
      </c>
      <c r="T438" s="3" t="str">
        <f>IFERROR(__xludf.DUMMYFUNCTION("""COMPUTED_VALUE"""),"#N/A")</f>
        <v>#N/A</v>
      </c>
      <c r="U438" s="3" t="str">
        <f>IFERROR(__xludf.DUMMYFUNCTION("""COMPUTED_VALUE"""),"#N/A")</f>
        <v>#N/A</v>
      </c>
      <c r="V438" s="3" t="str">
        <f>IFERROR(__xludf.DUMMYFUNCTION("""COMPUTED_VALUE"""),"N")</f>
        <v>N</v>
      </c>
      <c r="W438" s="3">
        <f>IFERROR(__xludf.DUMMYFUNCTION("""COMPUTED_VALUE"""),361033.0)</f>
        <v>361033</v>
      </c>
      <c r="X438" s="3" t="str">
        <f>IFERROR(__xludf.DUMMYFUNCTION("""COMPUTED_VALUE"""),"52/1 หมู่ 7 ตำบลคลองสวนพลู อำเภอพระนครศรีอยุธยา จังหวัดพระนครศรีอยุธยา 13000")</f>
        <v>52/1 หมู่ 7 ตำบลคลองสวนพลู อำเภอพระนครศรีอยุธยา จังหวัดพระนครศรีอยุธยา 13000</v>
      </c>
      <c r="Y438" s="3"/>
      <c r="Z438" s="3" t="str">
        <f>IFERROR(__xludf.DUMMYFUNCTION("""COMPUTED_VALUE"""),"คลองสวนพลู")</f>
        <v>คลองสวนพลู</v>
      </c>
      <c r="AA438" s="3" t="str">
        <f>IFERROR(__xludf.DUMMYFUNCTION("""COMPUTED_VALUE"""),"เมืองพระนครศรีอยุธยา")</f>
        <v>เมืองพระนครศรีอยุธยา</v>
      </c>
      <c r="AB438" s="3" t="str">
        <f>IFERROR(__xludf.DUMMYFUNCTION("""COMPUTED_VALUE"""),"พระนครศรีอยุธยา")</f>
        <v>พระนครศรีอยุธยา</v>
      </c>
      <c r="AC438" s="3">
        <f>IFERROR(__xludf.DUMMYFUNCTION("""COMPUTED_VALUE"""),13000.0)</f>
        <v>13000</v>
      </c>
      <c r="AD438" s="3">
        <f>IFERROR(__xludf.DUMMYFUNCTION("""COMPUTED_VALUE"""),14.324975)</f>
        <v>14.324975</v>
      </c>
      <c r="AE438" s="3">
        <f>IFERROR(__xludf.DUMMYFUNCTION("""COMPUTED_VALUE"""),100.613541)</f>
        <v>100.613541</v>
      </c>
      <c r="AF438" s="3" t="str">
        <f>IFERROR(__xludf.DUMMYFUNCTION("""COMPUTED_VALUE"""),"MBC BCP เอเชีย กม69-21199")</f>
        <v>MBC BCP เอเชีย กม69-21199</v>
      </c>
      <c r="AG438" s="3" t="str">
        <f>IFERROR(__xludf.DUMMYFUNCTION("""COMPUTED_VALUE"""),"กลาง")</f>
        <v>กลาง</v>
      </c>
      <c r="AH438" s="3" t="str">
        <f>IFERROR(__xludf.DUMMYFUNCTION("""COMPUTED_VALUE"""),"#N/A")</f>
        <v>#N/A</v>
      </c>
      <c r="AI438" s="3" t="str">
        <f>IFERROR(__xludf.DUMMYFUNCTION("""COMPUTED_VALUE"""),"Out of warranty")</f>
        <v>Out of warranty</v>
      </c>
      <c r="AJ438" s="3">
        <f>IFERROR(__xludf.DUMMYFUNCTION("""COMPUTED_VALUE"""),150.0)</f>
        <v>150</v>
      </c>
      <c r="AK438" s="3" t="str">
        <f>IFERROR(__xludf.DUMMYFUNCTION("""COMPUTED_VALUE"""),"MMS04")</f>
        <v>MMS04</v>
      </c>
      <c r="AL438" s="3"/>
    </row>
    <row r="439" ht="15.75" customHeight="1">
      <c r="A439" s="1" t="str">
        <f>IFERROR(__xludf.DUMMYFUNCTION("""COMPUTED_VALUE"""),"21200")</f>
        <v>21200</v>
      </c>
      <c r="B439" s="2">
        <f>IFERROR(__xludf.DUMMYFUNCTION("""COMPUTED_VALUE"""),21200.0)</f>
        <v>21200</v>
      </c>
      <c r="C439" s="3" t="str">
        <f>IFERROR(__xludf.DUMMYFUNCTION("""COMPUTED_VALUE"""),"MBC BCP บางปะกง")</f>
        <v>MBC BCP บางปะกง</v>
      </c>
      <c r="D439" s="3" t="str">
        <f>IFERROR(__xludf.DUMMYFUNCTION("""COMPUTED_VALUE"""),"MBC BCP BANGPAKONG")</f>
        <v>MBC BCP BANGPAKONG</v>
      </c>
      <c r="E439" s="1" t="str">
        <f>IFERROR(__xludf.DUMMYFUNCTION("""COMPUTED_VALUE"""),"บิ๊กซี MINI")</f>
        <v>บิ๊กซี MINI</v>
      </c>
      <c r="F439" s="1" t="str">
        <f>IFERROR(__xludf.DUMMYFUNCTION("""COMPUTED_VALUE"""),"250760")</f>
        <v>250760</v>
      </c>
      <c r="G439" s="1" t="str">
        <f>IFERROR(__xludf.DUMMYFUNCTION("""COMPUTED_VALUE"""),"นายประทวน สาราบรรณ์")</f>
        <v>นายประทวน สาราบรรณ์</v>
      </c>
      <c r="H439" s="1" t="str">
        <f>IFERROR(__xludf.DUMMYFUNCTION("""COMPUTED_VALUE"""),"211820")</f>
        <v>211820</v>
      </c>
      <c r="I439" s="1" t="str">
        <f>IFERROR(__xludf.DUMMYFUNCTION("""COMPUTED_VALUE"""),"นางพรเพ็ญ สุขเกษม")</f>
        <v>นางพรเพ็ญ สุขเกษม</v>
      </c>
      <c r="J439" s="3">
        <f>IFERROR(__xludf.DUMMYFUNCTION("""COMPUTED_VALUE"""),295541.0)</f>
        <v>295541</v>
      </c>
      <c r="K439" s="3" t="str">
        <f>IFERROR(__xludf.DUMMYFUNCTION("""COMPUTED_VALUE"""),"นายรพิพล ศรีมาตย์")</f>
        <v>นายรพิพล ศรีมาตย์</v>
      </c>
      <c r="L439" s="1" t="str">
        <f>IFERROR(__xludf.DUMMYFUNCTION("""COMPUTED_VALUE"""),"นายรพิพล ศรีมาตย์")</f>
        <v>นายรพิพล ศรีมาตย์</v>
      </c>
      <c r="M439" s="1" t="str">
        <f>IFERROR(__xludf.DUMMYFUNCTION("""COMPUTED_VALUE"""),"0613966115")</f>
        <v>0613966115</v>
      </c>
      <c r="N439" s="3">
        <f>IFERROR(__xludf.DUMMYFUNCTION("""COMPUTED_VALUE"""),21175.0)</f>
        <v>21175</v>
      </c>
      <c r="O439" s="3" t="str">
        <f>IFERROR(__xludf.DUMMYFUNCTION("""COMPUTED_VALUE"""),"MBC BCP กิ่งแก้ว")</f>
        <v>MBC BCP กิ่งแก้ว</v>
      </c>
      <c r="P439" s="4">
        <f>IFERROR(__xludf.DUMMYFUNCTION("""COMPUTED_VALUE"""),41485.0)</f>
        <v>41485</v>
      </c>
      <c r="Q439" s="3" t="str">
        <f>IFERROR(__xludf.DUMMYFUNCTION("""COMPUTED_VALUE"""),"I")</f>
        <v>I</v>
      </c>
      <c r="R439" s="3" t="str">
        <f>IFERROR(__xludf.DUMMYFUNCTION("""COMPUTED_VALUE"""),"Small Format")</f>
        <v>Small Format</v>
      </c>
      <c r="S439" s="3" t="str">
        <f>IFERROR(__xludf.DUMMYFUNCTION("""COMPUTED_VALUE"""),"BCM")</f>
        <v>BCM</v>
      </c>
      <c r="T439" s="3" t="str">
        <f>IFERROR(__xludf.DUMMYFUNCTION("""COMPUTED_VALUE"""),"#N/A")</f>
        <v>#N/A</v>
      </c>
      <c r="U439" s="3" t="str">
        <f>IFERROR(__xludf.DUMMYFUNCTION("""COMPUTED_VALUE"""),"#N/A")</f>
        <v>#N/A</v>
      </c>
      <c r="V439" s="3" t="str">
        <f>IFERROR(__xludf.DUMMYFUNCTION("""COMPUTED_VALUE"""),"N")</f>
        <v>N</v>
      </c>
      <c r="W439" s="3">
        <f>IFERROR(__xludf.DUMMYFUNCTION("""COMPUTED_VALUE"""),0.0)</f>
        <v>0</v>
      </c>
      <c r="X439" s="3" t="str">
        <f>IFERROR(__xludf.DUMMYFUNCTION("""COMPUTED_VALUE"""),"319/2 ถนนฉะเชิงเทรา-บางปะกง ตำบลหน้าเมือง อำเภอเมืองฉะเชิงเทรา จังหวัดฉะเชิงเทรา 24000")</f>
        <v>319/2 ถนนฉะเชิงเทรา-บางปะกง ตำบลหน้าเมือง อำเภอเมืองฉะเชิงเทรา จังหวัดฉะเชิงเทรา 24000</v>
      </c>
      <c r="Y439" s="3" t="str">
        <f>IFERROR(__xludf.DUMMYFUNCTION("""COMPUTED_VALUE"""),"ถนนฉะเชิงเทรา-บางปะกง")</f>
        <v>ถนนฉะเชิงเทรา-บางปะกง</v>
      </c>
      <c r="Z439" s="3" t="str">
        <f>IFERROR(__xludf.DUMMYFUNCTION("""COMPUTED_VALUE"""),"หน้าเมือง")</f>
        <v>หน้าเมือง</v>
      </c>
      <c r="AA439" s="3" t="str">
        <f>IFERROR(__xludf.DUMMYFUNCTION("""COMPUTED_VALUE"""),"เมือง")</f>
        <v>เมือง</v>
      </c>
      <c r="AB439" s="3" t="str">
        <f>IFERROR(__xludf.DUMMYFUNCTION("""COMPUTED_VALUE"""),"ฉะเชิงเทรา")</f>
        <v>ฉะเชิงเทรา</v>
      </c>
      <c r="AC439" s="3">
        <f>IFERROR(__xludf.DUMMYFUNCTION("""COMPUTED_VALUE"""),24000.0)</f>
        <v>24000</v>
      </c>
      <c r="AD439" s="3" t="str">
        <f>IFERROR(__xludf.DUMMYFUNCTION("""COMPUTED_VALUE"""),"#N/A")</f>
        <v>#N/A</v>
      </c>
      <c r="AE439" s="3" t="str">
        <f>IFERROR(__xludf.DUMMYFUNCTION("""COMPUTED_VALUE"""),"#N/A")</f>
        <v>#N/A</v>
      </c>
      <c r="AF439" s="3" t="str">
        <f>IFERROR(__xludf.DUMMYFUNCTION("""COMPUTED_VALUE"""),"MBC BCP บางปะกง-21200")</f>
        <v>MBC BCP บางปะกง-21200</v>
      </c>
      <c r="AG439" s="3" t="str">
        <f>IFERROR(__xludf.DUMMYFUNCTION("""COMPUTED_VALUE"""),"ตะวันออก")</f>
        <v>ตะวันออก</v>
      </c>
      <c r="AH439" s="3" t="str">
        <f>IFERROR(__xludf.DUMMYFUNCTION("""COMPUTED_VALUE"""),"#N/A")</f>
        <v>#N/A</v>
      </c>
      <c r="AI439" s="3" t="str">
        <f>IFERROR(__xludf.DUMMYFUNCTION("""COMPUTED_VALUE"""),"Out of warranty")</f>
        <v>Out of warranty</v>
      </c>
      <c r="AJ439" s="3">
        <f>IFERROR(__xludf.DUMMYFUNCTION("""COMPUTED_VALUE"""),150.0)</f>
        <v>150</v>
      </c>
      <c r="AK439" s="3"/>
      <c r="AL439" s="3"/>
    </row>
    <row r="440" ht="15.75" customHeight="1">
      <c r="A440" s="1" t="str">
        <f>IFERROR(__xludf.DUMMYFUNCTION("""COMPUTED_VALUE"""),"21201")</f>
        <v>21201</v>
      </c>
      <c r="B440" s="2">
        <f>IFERROR(__xludf.DUMMYFUNCTION("""COMPUTED_VALUE"""),21201.0)</f>
        <v>21201</v>
      </c>
      <c r="C440" s="3" t="str">
        <f>IFERROR(__xludf.DUMMYFUNCTION("""COMPUTED_VALUE"""),"MBC ตลาดหัวรอ")</f>
        <v>MBC ตลาดหัวรอ</v>
      </c>
      <c r="D440" s="3" t="str">
        <f>IFERROR(__xludf.DUMMYFUNCTION("""COMPUTED_VALUE"""),"BCM TARAD HUAROR")</f>
        <v>BCM TARAD HUAROR</v>
      </c>
      <c r="E440" s="1" t="str">
        <f>IFERROR(__xludf.DUMMYFUNCTION("""COMPUTED_VALUE"""),"บิ๊กซี MINI")</f>
        <v>บิ๊กซี MINI</v>
      </c>
      <c r="F440" s="1" t="str">
        <f>IFERROR(__xludf.DUMMYFUNCTION("""COMPUTED_VALUE"""),"296229")</f>
        <v>296229</v>
      </c>
      <c r="G440" s="1" t="str">
        <f>IFERROR(__xludf.DUMMYFUNCTION("""COMPUTED_VALUE"""),"นายทนงศักดิ์ บุญมา")</f>
        <v>นายทนงศักดิ์ บุญมา</v>
      </c>
      <c r="H440" s="1" t="str">
        <f>IFERROR(__xludf.DUMMYFUNCTION("""COMPUTED_VALUE"""),"318233")</f>
        <v>318233</v>
      </c>
      <c r="I440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440" s="3">
        <f>IFERROR(__xludf.DUMMYFUNCTION("""COMPUTED_VALUE"""),46214.0)</f>
        <v>46214</v>
      </c>
      <c r="K440" s="3" t="str">
        <f>IFERROR(__xludf.DUMMYFUNCTION("""COMPUTED_VALUE"""),"นายศักดิ์ชัย เด็ดดอกฟ้า")</f>
        <v>นายศักดิ์ชัย เด็ดดอกฟ้า</v>
      </c>
      <c r="L440" s="1" t="str">
        <f>IFERROR(__xludf.DUMMYFUNCTION("""COMPUTED_VALUE"""),"02 K.Sakchai D")</f>
        <v>02 K.Sakchai D</v>
      </c>
      <c r="M440" s="1" t="str">
        <f>IFERROR(__xludf.DUMMYFUNCTION("""COMPUTED_VALUE"""),"065-510-7376")</f>
        <v>065-510-7376</v>
      </c>
      <c r="N440" s="3">
        <f>IFERROR(__xludf.DUMMYFUNCTION("""COMPUTED_VALUE"""),21714.0)</f>
        <v>21714</v>
      </c>
      <c r="O440" s="3" t="str">
        <f>IFERROR(__xludf.DUMMYFUNCTION("""COMPUTED_VALUE"""),"MBC เอสโซ่ วัดโบสถ์")</f>
        <v>MBC เอสโซ่ วัดโบสถ์</v>
      </c>
      <c r="P440" s="4">
        <f>IFERROR(__xludf.DUMMYFUNCTION("""COMPUTED_VALUE"""),41529.0)</f>
        <v>41529</v>
      </c>
      <c r="Q440" s="3" t="str">
        <f>IFERROR(__xludf.DUMMYFUNCTION("""COMPUTED_VALUE"""),"A")</f>
        <v>A</v>
      </c>
      <c r="R440" s="3" t="str">
        <f>IFERROR(__xludf.DUMMYFUNCTION("""COMPUTED_VALUE"""),"Small Format")</f>
        <v>Small Format</v>
      </c>
      <c r="S440" s="3" t="str">
        <f>IFERROR(__xludf.DUMMYFUNCTION("""COMPUTED_VALUE"""),"BCM")</f>
        <v>BCM</v>
      </c>
      <c r="T440" s="3" t="str">
        <f>IFERROR(__xludf.DUMMYFUNCTION("""COMPUTED_VALUE"""),"#N/A")</f>
        <v>#N/A</v>
      </c>
      <c r="U440" s="3" t="str">
        <f>IFERROR(__xludf.DUMMYFUNCTION("""COMPUTED_VALUE"""),"#N/A")</f>
        <v>#N/A</v>
      </c>
      <c r="V440" s="3" t="str">
        <f>IFERROR(__xludf.DUMMYFUNCTION("""COMPUTED_VALUE"""),"N")</f>
        <v>N</v>
      </c>
      <c r="W440" s="3">
        <f>IFERROR(__xludf.DUMMYFUNCTION("""COMPUTED_VALUE"""),211222.0)</f>
        <v>211222</v>
      </c>
      <c r="X440" s="3" t="str">
        <f>IFERROR(__xludf.DUMMYFUNCTION("""COMPUTED_VALUE"""),"22,24,26 หมู่ 7 ตำบลหัวรอ อำเภอพระนครศรีอยุธยา จังหวัดพระนครศรีอยุธยา 13000")</f>
        <v>22,24,26 หมู่ 7 ตำบลหัวรอ อำเภอพระนครศรีอยุธยา จังหวัดพระนครศรีอยุธยา 13000</v>
      </c>
      <c r="Y440" s="3"/>
      <c r="Z440" s="3" t="str">
        <f>IFERROR(__xludf.DUMMYFUNCTION("""COMPUTED_VALUE"""),"หัวรอ")</f>
        <v>หัวรอ</v>
      </c>
      <c r="AA440" s="3" t="str">
        <f>IFERROR(__xludf.DUMMYFUNCTION("""COMPUTED_VALUE"""),"เมืองพระนครศรีอยุธยา")</f>
        <v>เมืองพระนครศรีอยุธยา</v>
      </c>
      <c r="AB440" s="3" t="str">
        <f>IFERROR(__xludf.DUMMYFUNCTION("""COMPUTED_VALUE"""),"พระนครศรีอยุธยา")</f>
        <v>พระนครศรีอยุธยา</v>
      </c>
      <c r="AC440" s="3">
        <f>IFERROR(__xludf.DUMMYFUNCTION("""COMPUTED_VALUE"""),13000.0)</f>
        <v>13000</v>
      </c>
      <c r="AD440" s="3">
        <f>IFERROR(__xludf.DUMMYFUNCTION("""COMPUTED_VALUE"""),14.36623)</f>
        <v>14.36623</v>
      </c>
      <c r="AE440" s="3">
        <f>IFERROR(__xludf.DUMMYFUNCTION("""COMPUTED_VALUE"""),100.571303)</f>
        <v>100.571303</v>
      </c>
      <c r="AF440" s="3" t="str">
        <f>IFERROR(__xludf.DUMMYFUNCTION("""COMPUTED_VALUE"""),"MBC ตลาดหัวรอ-21201")</f>
        <v>MBC ตลาดหัวรอ-21201</v>
      </c>
      <c r="AG440" s="3" t="str">
        <f>IFERROR(__xludf.DUMMYFUNCTION("""COMPUTED_VALUE"""),"กลาง")</f>
        <v>กลาง</v>
      </c>
      <c r="AH440" s="3" t="str">
        <f>IFERROR(__xludf.DUMMYFUNCTION("""COMPUTED_VALUE"""),"#N/A")</f>
        <v>#N/A</v>
      </c>
      <c r="AI440" s="3" t="str">
        <f>IFERROR(__xludf.DUMMYFUNCTION("""COMPUTED_VALUE"""),"Out of warranty")</f>
        <v>Out of warranty</v>
      </c>
      <c r="AJ440" s="3">
        <f>IFERROR(__xludf.DUMMYFUNCTION("""COMPUTED_VALUE"""),149.0)</f>
        <v>149</v>
      </c>
      <c r="AK440" s="3" t="str">
        <f>IFERROR(__xludf.DUMMYFUNCTION("""COMPUTED_VALUE"""),"MMS04")</f>
        <v>MMS04</v>
      </c>
      <c r="AL440" s="3"/>
    </row>
    <row r="441" ht="15.75" customHeight="1">
      <c r="A441" s="1" t="str">
        <f>IFERROR(__xludf.DUMMYFUNCTION("""COMPUTED_VALUE"""),"21202")</f>
        <v>21202</v>
      </c>
      <c r="B441" s="2">
        <f>IFERROR(__xludf.DUMMYFUNCTION("""COMPUTED_VALUE"""),21202.0)</f>
        <v>21202</v>
      </c>
      <c r="C441" s="3" t="str">
        <f>IFERROR(__xludf.DUMMYFUNCTION("""COMPUTED_VALUE"""),"MBC ซอยบงกช")</f>
        <v>MBC ซอยบงกช</v>
      </c>
      <c r="D441" s="3" t="str">
        <f>IFERROR(__xludf.DUMMYFUNCTION("""COMPUTED_VALUE"""),"BCM SOI BONGKOD")</f>
        <v>BCM SOI BONGKOD</v>
      </c>
      <c r="E441" s="1" t="str">
        <f>IFERROR(__xludf.DUMMYFUNCTION("""COMPUTED_VALUE"""),"บิ๊กซี MINI")</f>
        <v>บิ๊กซี MINI</v>
      </c>
      <c r="F441" s="1" t="str">
        <f>IFERROR(__xludf.DUMMYFUNCTION("""COMPUTED_VALUE"""),"221716")</f>
        <v>221716</v>
      </c>
      <c r="G441" s="1" t="str">
        <f>IFERROR(__xludf.DUMMYFUNCTION("""COMPUTED_VALUE"""),"น.ส.เบญจพร โพธิสาร")</f>
        <v>น.ส.เบญจพร โพธิสาร</v>
      </c>
      <c r="H441" s="1" t="str">
        <f>IFERROR(__xludf.DUMMYFUNCTION("""COMPUTED_VALUE"""),"313065")</f>
        <v>313065</v>
      </c>
      <c r="I441" s="1" t="str">
        <f>IFERROR(__xludf.DUMMYFUNCTION("""COMPUTED_VALUE"""),"นายจิรายุทธ กันทา")</f>
        <v>นายจิรายุทธ กันทา</v>
      </c>
      <c r="J441" s="3">
        <f>IFERROR(__xludf.DUMMYFUNCTION("""COMPUTED_VALUE"""),1.3461215E7)</f>
        <v>13461215</v>
      </c>
      <c r="K441" s="3" t="str">
        <f>IFERROR(__xludf.DUMMYFUNCTION("""COMPUTED_VALUE"""),"นายธีรภัทร สังข์เงิน")</f>
        <v>นายธีรภัทร สังข์เงิน</v>
      </c>
      <c r="L441" s="1" t="str">
        <f>IFERROR(__xludf.DUMMYFUNCTION("""COMPUTED_VALUE"""),"06 K.Teerapat")</f>
        <v>06 K.Teerapat</v>
      </c>
      <c r="M441" s="1" t="str">
        <f>IFERROR(__xludf.DUMMYFUNCTION("""COMPUTED_VALUE"""),"063-601-6803")</f>
        <v>063-601-6803</v>
      </c>
      <c r="N441" s="3">
        <f>IFERROR(__xludf.DUMMYFUNCTION("""COMPUTED_VALUE"""),22115.0)</f>
        <v>22115</v>
      </c>
      <c r="O441" s="3" t="str">
        <f>IFERROR(__xludf.DUMMYFUNCTION("""COMPUTED_VALUE"""),"MBC เลี่ยงหนองมน ชลบุรี")</f>
        <v>MBC เลี่ยงหนองมน ชลบุรี</v>
      </c>
      <c r="P441" s="4">
        <f>IFERROR(__xludf.DUMMYFUNCTION("""COMPUTED_VALUE"""),41486.0)</f>
        <v>41486</v>
      </c>
      <c r="Q441" s="3" t="str">
        <f>IFERROR(__xludf.DUMMYFUNCTION("""COMPUTED_VALUE"""),"A")</f>
        <v>A</v>
      </c>
      <c r="R441" s="3" t="str">
        <f>IFERROR(__xludf.DUMMYFUNCTION("""COMPUTED_VALUE"""),"Small Format")</f>
        <v>Small Format</v>
      </c>
      <c r="S441" s="3" t="str">
        <f>IFERROR(__xludf.DUMMYFUNCTION("""COMPUTED_VALUE"""),"BCM")</f>
        <v>BCM</v>
      </c>
      <c r="T441" s="3" t="str">
        <f>IFERROR(__xludf.DUMMYFUNCTION("""COMPUTED_VALUE"""),"#N/A")</f>
        <v>#N/A</v>
      </c>
      <c r="U441" s="3" t="str">
        <f>IFERROR(__xludf.DUMMYFUNCTION("""COMPUTED_VALUE"""),"#N/A")</f>
        <v>#N/A</v>
      </c>
      <c r="V441" s="3" t="str">
        <f>IFERROR(__xludf.DUMMYFUNCTION("""COMPUTED_VALUE"""),"N")</f>
        <v>N</v>
      </c>
      <c r="W441" s="3">
        <f>IFERROR(__xludf.DUMMYFUNCTION("""COMPUTED_VALUE"""),211168.0)</f>
        <v>211168</v>
      </c>
      <c r="X441" s="3" t="str">
        <f>IFERROR(__xludf.DUMMYFUNCTION("""COMPUTED_VALUE"""),"327/259-261 หมู่ 9 ตำบลหนองปรือ อำเภอบางละมุง จังหวัดชลบุรี 20150")</f>
        <v>327/259-261 หมู่ 9 ตำบลหนองปรือ อำเภอบางละมุง จังหวัดชลบุรี 20150</v>
      </c>
      <c r="Y441" s="3"/>
      <c r="Z441" s="3" t="str">
        <f>IFERROR(__xludf.DUMMYFUNCTION("""COMPUTED_VALUE"""),"หนองปรือ")</f>
        <v>หนองปรือ</v>
      </c>
      <c r="AA441" s="3" t="str">
        <f>IFERROR(__xludf.DUMMYFUNCTION("""COMPUTED_VALUE"""),"บางละมุง")</f>
        <v>บางละมุง</v>
      </c>
      <c r="AB441" s="3" t="str">
        <f>IFERROR(__xludf.DUMMYFUNCTION("""COMPUTED_VALUE"""),"ชลบุรี")</f>
        <v>ชลบุรี</v>
      </c>
      <c r="AC441" s="3">
        <f>IFERROR(__xludf.DUMMYFUNCTION("""COMPUTED_VALUE"""),20150.0)</f>
        <v>20150</v>
      </c>
      <c r="AD441" s="3">
        <f>IFERROR(__xludf.DUMMYFUNCTION("""COMPUTED_VALUE"""),12.925871)</f>
        <v>12.925871</v>
      </c>
      <c r="AE441" s="3">
        <f>IFERROR(__xludf.DUMMYFUNCTION("""COMPUTED_VALUE"""),100.8888)</f>
        <v>100.8888</v>
      </c>
      <c r="AF441" s="3" t="str">
        <f>IFERROR(__xludf.DUMMYFUNCTION("""COMPUTED_VALUE"""),"MBC ซอยบงกช-21202")</f>
        <v>MBC ซอยบงกช-21202</v>
      </c>
      <c r="AG441" s="3" t="str">
        <f>IFERROR(__xludf.DUMMYFUNCTION("""COMPUTED_VALUE"""),"ตะวันออก")</f>
        <v>ตะวันออก</v>
      </c>
      <c r="AH441" s="3" t="str">
        <f>IFERROR(__xludf.DUMMYFUNCTION("""COMPUTED_VALUE"""),"#N/A")</f>
        <v>#N/A</v>
      </c>
      <c r="AI441" s="3" t="str">
        <f>IFERROR(__xludf.DUMMYFUNCTION("""COMPUTED_VALUE"""),"Out of warranty")</f>
        <v>Out of warranty</v>
      </c>
      <c r="AJ441" s="3">
        <f>IFERROR(__xludf.DUMMYFUNCTION("""COMPUTED_VALUE"""),150.0)</f>
        <v>150</v>
      </c>
      <c r="AK441" s="3" t="str">
        <f>IFERROR(__xludf.DUMMYFUNCTION("""COMPUTED_VALUE"""),"MMS06")</f>
        <v>MMS06</v>
      </c>
      <c r="AL441" s="3"/>
    </row>
    <row r="442" ht="15.75" customHeight="1">
      <c r="A442" s="1" t="str">
        <f>IFERROR(__xludf.DUMMYFUNCTION("""COMPUTED_VALUE"""),"21203")</f>
        <v>21203</v>
      </c>
      <c r="B442" s="2">
        <f>IFERROR(__xludf.DUMMYFUNCTION("""COMPUTED_VALUE"""),21203.0)</f>
        <v>21203</v>
      </c>
      <c r="C442" s="3" t="str">
        <f>IFERROR(__xludf.DUMMYFUNCTION("""COMPUTED_VALUE"""),"MBC BCPเพชรเกษมกม41")</f>
        <v>MBC BCPเพชรเกษมกม41</v>
      </c>
      <c r="D442" s="3" t="str">
        <f>IFERROR(__xludf.DUMMYFUNCTION("""COMPUTED_VALUE"""),"BCM BCP PETKASEM KM.41")</f>
        <v>BCM BCP PETKASEM KM.41</v>
      </c>
      <c r="E442" s="1" t="str">
        <f>IFERROR(__xludf.DUMMYFUNCTION("""COMPUTED_VALUE"""),"บิ๊กซี MINI")</f>
        <v>บิ๊กซี MINI</v>
      </c>
      <c r="F442" s="1" t="str">
        <f>IFERROR(__xludf.DUMMYFUNCTION("""COMPUTED_VALUE"""),"296229")</f>
        <v>296229</v>
      </c>
      <c r="G442" s="1" t="str">
        <f>IFERROR(__xludf.DUMMYFUNCTION("""COMPUTED_VALUE"""),"นายทนงศักดิ์ บุญมา")</f>
        <v>นายทนงศักดิ์ บุญมา</v>
      </c>
      <c r="H442" s="1" t="str">
        <f>IFERROR(__xludf.DUMMYFUNCTION("""COMPUTED_VALUE"""),"295245")</f>
        <v>295245</v>
      </c>
      <c r="I442" s="1" t="str">
        <f>IFERROR(__xludf.DUMMYFUNCTION("""COMPUTED_VALUE"""),"นายมานะ วงศ์สุโชโต")</f>
        <v>นายมานะ วงศ์สุโชโต</v>
      </c>
      <c r="J442" s="3">
        <f>IFERROR(__xludf.DUMMYFUNCTION("""COMPUTED_VALUE"""),46214.0)</f>
        <v>46214</v>
      </c>
      <c r="K442" s="3" t="str">
        <f>IFERROR(__xludf.DUMMYFUNCTION("""COMPUTED_VALUE"""),"นายศักดิ์ชัย เด็ดดอกฟ้า")</f>
        <v>นายศักดิ์ชัย เด็ดดอกฟ้า</v>
      </c>
      <c r="L442" s="1" t="str">
        <f>IFERROR(__xludf.DUMMYFUNCTION("""COMPUTED_VALUE"""),"02 K.Sakchai D")</f>
        <v>02 K.Sakchai D</v>
      </c>
      <c r="M442" s="1" t="str">
        <f>IFERROR(__xludf.DUMMYFUNCTION("""COMPUTED_VALUE"""),"065-510-7376")</f>
        <v>065-510-7376</v>
      </c>
      <c r="N442" s="3">
        <f>IFERROR(__xludf.DUMMYFUNCTION("""COMPUTED_VALUE"""),21714.0)</f>
        <v>21714</v>
      </c>
      <c r="O442" s="3" t="str">
        <f>IFERROR(__xludf.DUMMYFUNCTION("""COMPUTED_VALUE"""),"MBC เอสโซ่ วัดโบสถ์")</f>
        <v>MBC เอสโซ่ วัดโบสถ์</v>
      </c>
      <c r="P442" s="4">
        <f>IFERROR(__xludf.DUMMYFUNCTION("""COMPUTED_VALUE"""),41486.0)</f>
        <v>41486</v>
      </c>
      <c r="Q442" s="3" t="str">
        <f>IFERROR(__xludf.DUMMYFUNCTION("""COMPUTED_VALUE"""),"I")</f>
        <v>I</v>
      </c>
      <c r="R442" s="3" t="str">
        <f>IFERROR(__xludf.DUMMYFUNCTION("""COMPUTED_VALUE"""),"Small Format")</f>
        <v>Small Format</v>
      </c>
      <c r="S442" s="3" t="str">
        <f>IFERROR(__xludf.DUMMYFUNCTION("""COMPUTED_VALUE"""),"BCM")</f>
        <v>BCM</v>
      </c>
      <c r="T442" s="3" t="str">
        <f>IFERROR(__xludf.DUMMYFUNCTION("""COMPUTED_VALUE"""),"#N/A")</f>
        <v>#N/A</v>
      </c>
      <c r="U442" s="3" t="str">
        <f>IFERROR(__xludf.DUMMYFUNCTION("""COMPUTED_VALUE"""),"#N/A")</f>
        <v>#N/A</v>
      </c>
      <c r="V442" s="3" t="str">
        <f>IFERROR(__xludf.DUMMYFUNCTION("""COMPUTED_VALUE"""),"N")</f>
        <v>N</v>
      </c>
      <c r="W442" s="3">
        <f>IFERROR(__xludf.DUMMYFUNCTION("""COMPUTED_VALUE"""),361032.0)</f>
        <v>361032</v>
      </c>
      <c r="X442" s="3" t="str">
        <f>IFERROR(__xludf.DUMMYFUNCTION("""COMPUTED_VALUE"""),"48/21 หมู่ 4 ตำบลท่าตำหนัก อำเภอนครชัยศรี จังหวัดนครปฐม 73120")</f>
        <v>48/21 หมู่ 4 ตำบลท่าตำหนัก อำเภอนครชัยศรี จังหวัดนครปฐม 73120</v>
      </c>
      <c r="Y442" s="3"/>
      <c r="Z442" s="3" t="str">
        <f>IFERROR(__xludf.DUMMYFUNCTION("""COMPUTED_VALUE"""),"ท่าตำหนัก")</f>
        <v>ท่าตำหนัก</v>
      </c>
      <c r="AA442" s="3" t="str">
        <f>IFERROR(__xludf.DUMMYFUNCTION("""COMPUTED_VALUE"""),"นครชัยศรี")</f>
        <v>นครชัยศรี</v>
      </c>
      <c r="AB442" s="3" t="str">
        <f>IFERROR(__xludf.DUMMYFUNCTION("""COMPUTED_VALUE"""),"นครปฐม")</f>
        <v>นครปฐม</v>
      </c>
      <c r="AC442" s="3">
        <f>IFERROR(__xludf.DUMMYFUNCTION("""COMPUTED_VALUE"""),73120.0)</f>
        <v>73120</v>
      </c>
      <c r="AD442" s="3">
        <f>IFERROR(__xludf.DUMMYFUNCTION("""COMPUTED_VALUE"""),13.774285)</f>
        <v>13.774285</v>
      </c>
      <c r="AE442" s="3">
        <f>IFERROR(__xludf.DUMMYFUNCTION("""COMPUTED_VALUE"""),100.17926)</f>
        <v>100.17926</v>
      </c>
      <c r="AF442" s="3" t="str">
        <f>IFERROR(__xludf.DUMMYFUNCTION("""COMPUTED_VALUE"""),"MBC BCPเพชรเกษมกม41-21203")</f>
        <v>MBC BCPเพชรเกษมกม41-21203</v>
      </c>
      <c r="AG442" s="3" t="str">
        <f>IFERROR(__xludf.DUMMYFUNCTION("""COMPUTED_VALUE"""),"กลาง")</f>
        <v>กลาง</v>
      </c>
      <c r="AH442" s="3" t="str">
        <f>IFERROR(__xludf.DUMMYFUNCTION("""COMPUTED_VALUE"""),"#N/A")</f>
        <v>#N/A</v>
      </c>
      <c r="AI442" s="3" t="str">
        <f>IFERROR(__xludf.DUMMYFUNCTION("""COMPUTED_VALUE"""),"Out of warranty")</f>
        <v>Out of warranty</v>
      </c>
      <c r="AJ442" s="3">
        <f>IFERROR(__xludf.DUMMYFUNCTION("""COMPUTED_VALUE"""),150.0)</f>
        <v>150</v>
      </c>
      <c r="AK442" s="3" t="str">
        <f>IFERROR(__xludf.DUMMYFUNCTION("""COMPUTED_VALUE"""),"MMS05")</f>
        <v>MMS05</v>
      </c>
      <c r="AL442" s="3"/>
    </row>
    <row r="443" ht="15.75" customHeight="1">
      <c r="A443" s="1" t="str">
        <f>IFERROR(__xludf.DUMMYFUNCTION("""COMPUTED_VALUE"""),"21204")</f>
        <v>21204</v>
      </c>
      <c r="B443" s="2">
        <f>IFERROR(__xludf.DUMMYFUNCTION("""COMPUTED_VALUE"""),21204.0)</f>
        <v>21204</v>
      </c>
      <c r="C443" s="3" t="str">
        <f>IFERROR(__xludf.DUMMYFUNCTION("""COMPUTED_VALUE"""),"MBC เทียนทะเล 28")</f>
        <v>MBC เทียนทะเล 28</v>
      </c>
      <c r="D443" s="3" t="str">
        <f>IFERROR(__xludf.DUMMYFUNCTION("""COMPUTED_VALUE"""),"BCM TIANTALAY 28")</f>
        <v>BCM TIANTALAY 28</v>
      </c>
      <c r="E443" s="1" t="str">
        <f>IFERROR(__xludf.DUMMYFUNCTION("""COMPUTED_VALUE"""),"บิ๊กซี MINI")</f>
        <v>บิ๊กซี MINI</v>
      </c>
      <c r="F443" s="1" t="str">
        <f>IFERROR(__xludf.DUMMYFUNCTION("""COMPUTED_VALUE"""),"291008")</f>
        <v>291008</v>
      </c>
      <c r="G443" s="1" t="str">
        <f>IFERROR(__xludf.DUMMYFUNCTION("""COMPUTED_VALUE"""),"น.ส.รัชดาพร อีศรัตน์")</f>
        <v>น.ส.รัชดาพร อีศรัตน์</v>
      </c>
      <c r="H443" s="1" t="str">
        <f>IFERROR(__xludf.DUMMYFUNCTION("""COMPUTED_VALUE"""),"254800")</f>
        <v>254800</v>
      </c>
      <c r="I443" s="1" t="str">
        <f>IFERROR(__xludf.DUMMYFUNCTION("""COMPUTED_VALUE"""),"น.ส.นัชมล กางกรณ์")</f>
        <v>น.ส.นัชมล กางกรณ์</v>
      </c>
      <c r="J443" s="3">
        <f>IFERROR(__xludf.DUMMYFUNCTION("""COMPUTED_VALUE"""),296608.0)</f>
        <v>296608</v>
      </c>
      <c r="K443" s="3" t="str">
        <f>IFERROR(__xludf.DUMMYFUNCTION("""COMPUTED_VALUE"""),"นายภาคภูมิ เพ็ชรนิล")</f>
        <v>นายภาคภูมิ เพ็ชรนิล</v>
      </c>
      <c r="L443" s="1" t="str">
        <f>IFERROR(__xludf.DUMMYFUNCTION("""COMPUTED_VALUE"""),"10 K.Phakphoom P.")</f>
        <v>10 K.Phakphoom P.</v>
      </c>
      <c r="M443" s="1" t="str">
        <f>IFERROR(__xludf.DUMMYFUNCTION("""COMPUTED_VALUE"""),"063-8955329")</f>
        <v>063-8955329</v>
      </c>
      <c r="N443" s="3">
        <f>IFERROR(__xludf.DUMMYFUNCTION("""COMPUTED_VALUE"""),22584.0)</f>
        <v>22584</v>
      </c>
      <c r="O443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443" s="4">
        <f>IFERROR(__xludf.DUMMYFUNCTION("""COMPUTED_VALUE"""),41495.0)</f>
        <v>41495</v>
      </c>
      <c r="Q443" s="3" t="str">
        <f>IFERROR(__xludf.DUMMYFUNCTION("""COMPUTED_VALUE"""),"A")</f>
        <v>A</v>
      </c>
      <c r="R443" s="3" t="str">
        <f>IFERROR(__xludf.DUMMYFUNCTION("""COMPUTED_VALUE"""),"Small Format")</f>
        <v>Small Format</v>
      </c>
      <c r="S443" s="3" t="str">
        <f>IFERROR(__xludf.DUMMYFUNCTION("""COMPUTED_VALUE"""),"BCM")</f>
        <v>BCM</v>
      </c>
      <c r="T443" s="3" t="str">
        <f>IFERROR(__xludf.DUMMYFUNCTION("""COMPUTED_VALUE"""),"#N/A")</f>
        <v>#N/A</v>
      </c>
      <c r="U443" s="3" t="str">
        <f>IFERROR(__xludf.DUMMYFUNCTION("""COMPUTED_VALUE"""),"#N/A")</f>
        <v>#N/A</v>
      </c>
      <c r="V443" s="3" t="str">
        <f>IFERROR(__xludf.DUMMYFUNCTION("""COMPUTED_VALUE"""),"N")</f>
        <v>N</v>
      </c>
      <c r="W443" s="3">
        <f>IFERROR(__xludf.DUMMYFUNCTION("""COMPUTED_VALUE"""),211170.0)</f>
        <v>211170</v>
      </c>
      <c r="X443" s="3" t="str">
        <f>IFERROR(__xludf.DUMMYFUNCTION("""COMPUTED_VALUE"""),"650/4 ซอยเทียนทะเล 28 ถนนบางขุนเทียน-ชายทะเล ตำบลท่าข้าม อำเภอบางขุนเทียน กรุงเทพมหานคร 10150")</f>
        <v>650/4 ซอยเทียนทะเล 28 ถนนบางขุนเทียน-ชายทะเล ตำบลท่าข้าม อำเภอบางขุนเทียน กรุงเทพมหานคร 10150</v>
      </c>
      <c r="Y443" s="3" t="str">
        <f>IFERROR(__xludf.DUMMYFUNCTION("""COMPUTED_VALUE"""),"ซอยเทียนทะเล")</f>
        <v>ซอยเทียนทะเล</v>
      </c>
      <c r="Z443" s="3" t="str">
        <f>IFERROR(__xludf.DUMMYFUNCTION("""COMPUTED_VALUE"""),"ท่าข้าม")</f>
        <v>ท่าข้าม</v>
      </c>
      <c r="AA443" s="3" t="str">
        <f>IFERROR(__xludf.DUMMYFUNCTION("""COMPUTED_VALUE"""),"บางขุนเทียน")</f>
        <v>บางขุนเทียน</v>
      </c>
      <c r="AB443" s="3" t="str">
        <f>IFERROR(__xludf.DUMMYFUNCTION("""COMPUTED_VALUE"""),"กรุงเทพมหานคร")</f>
        <v>กรุงเทพมหานคร</v>
      </c>
      <c r="AC443" s="3">
        <f>IFERROR(__xludf.DUMMYFUNCTION("""COMPUTED_VALUE"""),10150.0)</f>
        <v>10150</v>
      </c>
      <c r="AD443" s="3">
        <f>IFERROR(__xludf.DUMMYFUNCTION("""COMPUTED_VALUE"""),13.598732)</f>
        <v>13.598732</v>
      </c>
      <c r="AE443" s="3">
        <f>IFERROR(__xludf.DUMMYFUNCTION("""COMPUTED_VALUE"""),100.432416)</f>
        <v>100.432416</v>
      </c>
      <c r="AF443" s="3" t="str">
        <f>IFERROR(__xludf.DUMMYFUNCTION("""COMPUTED_VALUE"""),"MBC เทียนทะเล 28-21204")</f>
        <v>MBC เทียนทะเล 28-21204</v>
      </c>
      <c r="AG443" s="3" t="str">
        <f>IFERROR(__xludf.DUMMYFUNCTION("""COMPUTED_VALUE"""),"กลาง")</f>
        <v>กลาง</v>
      </c>
      <c r="AH443" s="3" t="str">
        <f>IFERROR(__xludf.DUMMYFUNCTION("""COMPUTED_VALUE"""),"#N/A")</f>
        <v>#N/A</v>
      </c>
      <c r="AI443" s="3" t="str">
        <f>IFERROR(__xludf.DUMMYFUNCTION("""COMPUTED_VALUE"""),"Out of warranty")</f>
        <v>Out of warranty</v>
      </c>
      <c r="AJ443" s="3">
        <f>IFERROR(__xludf.DUMMYFUNCTION("""COMPUTED_VALUE"""),150.0)</f>
        <v>150</v>
      </c>
      <c r="AK443" s="3" t="str">
        <f>IFERROR(__xludf.DUMMYFUNCTION("""COMPUTED_VALUE"""),"MMS02")</f>
        <v>MMS02</v>
      </c>
      <c r="AL443" s="3"/>
    </row>
    <row r="444" ht="15.75" customHeight="1">
      <c r="A444" s="1" t="str">
        <f>IFERROR(__xludf.DUMMYFUNCTION("""COMPUTED_VALUE"""),"21205")</f>
        <v>21205</v>
      </c>
      <c r="B444" s="2">
        <f>IFERROR(__xludf.DUMMYFUNCTION("""COMPUTED_VALUE"""),21205.0)</f>
        <v>21205</v>
      </c>
      <c r="C444" s="3" t="str">
        <f>IFERROR(__xludf.DUMMYFUNCTION("""COMPUTED_VALUE"""),"MBC บางเลน")</f>
        <v>MBC บางเลน</v>
      </c>
      <c r="D444" s="3" t="str">
        <f>IFERROR(__xludf.DUMMYFUNCTION("""COMPUTED_VALUE"""),"BCM BANGLANE")</f>
        <v>BCM BANGLANE</v>
      </c>
      <c r="E444" s="1" t="str">
        <f>IFERROR(__xludf.DUMMYFUNCTION("""COMPUTED_VALUE"""),"บิ๊กซี MINI")</f>
        <v>บิ๊กซี MINI</v>
      </c>
      <c r="F444" s="1" t="str">
        <f>IFERROR(__xludf.DUMMYFUNCTION("""COMPUTED_VALUE"""),"296229")</f>
        <v>296229</v>
      </c>
      <c r="G444" s="1" t="str">
        <f>IFERROR(__xludf.DUMMYFUNCTION("""COMPUTED_VALUE"""),"นายทนงศักดิ์ บุญมา")</f>
        <v>นายทนงศักดิ์ บุญมา</v>
      </c>
      <c r="H444" s="1" t="str">
        <f>IFERROR(__xludf.DUMMYFUNCTION("""COMPUTED_VALUE"""),"295245")</f>
        <v>295245</v>
      </c>
      <c r="I444" s="1" t="str">
        <f>IFERROR(__xludf.DUMMYFUNCTION("""COMPUTED_VALUE"""),"นายมานะ วงศ์สุโชโต")</f>
        <v>นายมานะ วงศ์สุโชโต</v>
      </c>
      <c r="J444" s="3">
        <f>IFERROR(__xludf.DUMMYFUNCTION("""COMPUTED_VALUE"""),46214.0)</f>
        <v>46214</v>
      </c>
      <c r="K444" s="3" t="str">
        <f>IFERROR(__xludf.DUMMYFUNCTION("""COMPUTED_VALUE"""),"นายศักดิ์ชัย เด็ดดอกฟ้า")</f>
        <v>นายศักดิ์ชัย เด็ดดอกฟ้า</v>
      </c>
      <c r="L444" s="1" t="str">
        <f>IFERROR(__xludf.DUMMYFUNCTION("""COMPUTED_VALUE"""),"02 K.Sakchai D")</f>
        <v>02 K.Sakchai D</v>
      </c>
      <c r="M444" s="1" t="str">
        <f>IFERROR(__xludf.DUMMYFUNCTION("""COMPUTED_VALUE"""),"065-510-7376")</f>
        <v>065-510-7376</v>
      </c>
      <c r="N444" s="3">
        <f>IFERROR(__xludf.DUMMYFUNCTION("""COMPUTED_VALUE"""),21714.0)</f>
        <v>21714</v>
      </c>
      <c r="O444" s="3" t="str">
        <f>IFERROR(__xludf.DUMMYFUNCTION("""COMPUTED_VALUE"""),"MBC เอสโซ่ วัดโบสถ์")</f>
        <v>MBC เอสโซ่ วัดโบสถ์</v>
      </c>
      <c r="P444" s="4">
        <f>IFERROR(__xludf.DUMMYFUNCTION("""COMPUTED_VALUE"""),41496.0)</f>
        <v>41496</v>
      </c>
      <c r="Q444" s="3" t="str">
        <f>IFERROR(__xludf.DUMMYFUNCTION("""COMPUTED_VALUE"""),"A")</f>
        <v>A</v>
      </c>
      <c r="R444" s="3" t="str">
        <f>IFERROR(__xludf.DUMMYFUNCTION("""COMPUTED_VALUE"""),"Small Format")</f>
        <v>Small Format</v>
      </c>
      <c r="S444" s="3" t="str">
        <f>IFERROR(__xludf.DUMMYFUNCTION("""COMPUTED_VALUE"""),"BCM")</f>
        <v>BCM</v>
      </c>
      <c r="T444" s="3" t="str">
        <f>IFERROR(__xludf.DUMMYFUNCTION("""COMPUTED_VALUE"""),"#N/A")</f>
        <v>#N/A</v>
      </c>
      <c r="U444" s="3" t="str">
        <f>IFERROR(__xludf.DUMMYFUNCTION("""COMPUTED_VALUE"""),"#N/A")</f>
        <v>#N/A</v>
      </c>
      <c r="V444" s="3" t="str">
        <f>IFERROR(__xludf.DUMMYFUNCTION("""COMPUTED_VALUE"""),"N")</f>
        <v>N</v>
      </c>
      <c r="W444" s="3">
        <f>IFERROR(__xludf.DUMMYFUNCTION("""COMPUTED_VALUE"""),211171.0)</f>
        <v>211171</v>
      </c>
      <c r="X444" s="3" t="str">
        <f>IFERROR(__xludf.DUMMYFUNCTION("""COMPUTED_VALUE"""),"510 หมู่ 8 ตำบลบางเลน อำเภอบางเลน จังหวัดนครปฐม 73130")</f>
        <v>510 หมู่ 8 ตำบลบางเลน อำเภอบางเลน จังหวัดนครปฐม 73130</v>
      </c>
      <c r="Y444" s="3"/>
      <c r="Z444" s="3" t="str">
        <f>IFERROR(__xludf.DUMMYFUNCTION("""COMPUTED_VALUE"""),"บางเลน")</f>
        <v>บางเลน</v>
      </c>
      <c r="AA444" s="3" t="str">
        <f>IFERROR(__xludf.DUMMYFUNCTION("""COMPUTED_VALUE"""),"บางเลน")</f>
        <v>บางเลน</v>
      </c>
      <c r="AB444" s="3" t="str">
        <f>IFERROR(__xludf.DUMMYFUNCTION("""COMPUTED_VALUE"""),"นครปฐม")</f>
        <v>นครปฐม</v>
      </c>
      <c r="AC444" s="3">
        <f>IFERROR(__xludf.DUMMYFUNCTION("""COMPUTED_VALUE"""),73130.0)</f>
        <v>73130</v>
      </c>
      <c r="AD444" s="3">
        <f>IFERROR(__xludf.DUMMYFUNCTION("""COMPUTED_VALUE"""),14.021193)</f>
        <v>14.021193</v>
      </c>
      <c r="AE444" s="3">
        <f>IFERROR(__xludf.DUMMYFUNCTION("""COMPUTED_VALUE"""),100.174337)</f>
        <v>100.174337</v>
      </c>
      <c r="AF444" s="3" t="str">
        <f>IFERROR(__xludf.DUMMYFUNCTION("""COMPUTED_VALUE"""),"MBC บางเลน-21205")</f>
        <v>MBC บางเลน-21205</v>
      </c>
      <c r="AG444" s="3" t="str">
        <f>IFERROR(__xludf.DUMMYFUNCTION("""COMPUTED_VALUE"""),"กลาง")</f>
        <v>กลาง</v>
      </c>
      <c r="AH444" s="3" t="str">
        <f>IFERROR(__xludf.DUMMYFUNCTION("""COMPUTED_VALUE"""),"#N/A")</f>
        <v>#N/A</v>
      </c>
      <c r="AI444" s="3" t="str">
        <f>IFERROR(__xludf.DUMMYFUNCTION("""COMPUTED_VALUE"""),"Out of warranty")</f>
        <v>Out of warranty</v>
      </c>
      <c r="AJ444" s="3">
        <f>IFERROR(__xludf.DUMMYFUNCTION("""COMPUTED_VALUE"""),150.0)</f>
        <v>150</v>
      </c>
      <c r="AK444" s="3" t="str">
        <f>IFERROR(__xludf.DUMMYFUNCTION("""COMPUTED_VALUE"""),"MMS05")</f>
        <v>MMS05</v>
      </c>
      <c r="AL444" s="3"/>
    </row>
    <row r="445" ht="15.75" customHeight="1">
      <c r="A445" s="1" t="str">
        <f>IFERROR(__xludf.DUMMYFUNCTION("""COMPUTED_VALUE"""),"21206")</f>
        <v>21206</v>
      </c>
      <c r="B445" s="2">
        <f>IFERROR(__xludf.DUMMYFUNCTION("""COMPUTED_VALUE"""),21206.0)</f>
        <v>21206</v>
      </c>
      <c r="C445" s="3" t="str">
        <f>IFERROR(__xludf.DUMMYFUNCTION("""COMPUTED_VALUE"""),"MBC สะพานสี่")</f>
        <v>MBC สะพานสี่</v>
      </c>
      <c r="D445" s="3" t="str">
        <f>IFERROR(__xludf.DUMMYFUNCTION("""COMPUTED_VALUE"""),"BCM SAPANSI")</f>
        <v>BCM SAPANSI</v>
      </c>
      <c r="E445" s="1" t="str">
        <f>IFERROR(__xludf.DUMMYFUNCTION("""COMPUTED_VALUE"""),"บิ๊กซี MINI")</f>
        <v>บิ๊กซี MINI</v>
      </c>
      <c r="F445" s="1" t="str">
        <f>IFERROR(__xludf.DUMMYFUNCTION("""COMPUTED_VALUE"""),"221716")</f>
        <v>221716</v>
      </c>
      <c r="G445" s="1" t="str">
        <f>IFERROR(__xludf.DUMMYFUNCTION("""COMPUTED_VALUE"""),"น.ส.เบญจพร โพธิสาร")</f>
        <v>น.ส.เบญจพร โพธิสาร</v>
      </c>
      <c r="H445" s="1" t="str">
        <f>IFERROR(__xludf.DUMMYFUNCTION("""COMPUTED_VALUE"""),"371384")</f>
        <v>371384</v>
      </c>
      <c r="I445" s="1" t="str">
        <f>IFERROR(__xludf.DUMMYFUNCTION("""COMPUTED_VALUE"""),"น.ส.นิลเนตร สิงห์ทอง")</f>
        <v>น.ส.นิลเนตร สิงห์ทอง</v>
      </c>
      <c r="J445" s="3">
        <f>IFERROR(__xludf.DUMMYFUNCTION("""COMPUTED_VALUE"""),2452376.0)</f>
        <v>2452376</v>
      </c>
      <c r="K445" s="3" t="str">
        <f>IFERROR(__xludf.DUMMYFUNCTION("""COMPUTED_VALUE"""),"นายภาคภูมิ ทวีกุล")</f>
        <v>นายภาคภูมิ ทวีกุล</v>
      </c>
      <c r="L445" s="1" t="str">
        <f>IFERROR(__xludf.DUMMYFUNCTION("""COMPUTED_VALUE"""),"08 K.Parkphum T.")</f>
        <v>08 K.Parkphum T.</v>
      </c>
      <c r="M445" s="1" t="str">
        <f>IFERROR(__xludf.DUMMYFUNCTION("""COMPUTED_VALUE"""),"097-919-5476")</f>
        <v>097-919-5476</v>
      </c>
      <c r="N445" s="3">
        <f>IFERROR(__xludf.DUMMYFUNCTION("""COMPUTED_VALUE"""),22028.0)</f>
        <v>22028</v>
      </c>
      <c r="O445" s="3" t="str">
        <f>IFERROR(__xludf.DUMMYFUNCTION("""COMPUTED_VALUE"""),"MBC ทํบมา ระยอง")</f>
        <v>MBC ทํบมา ระยอง</v>
      </c>
      <c r="P445" s="4">
        <f>IFERROR(__xludf.DUMMYFUNCTION("""COMPUTED_VALUE"""),41495.0)</f>
        <v>41495</v>
      </c>
      <c r="Q445" s="3" t="str">
        <f>IFERROR(__xludf.DUMMYFUNCTION("""COMPUTED_VALUE"""),"A")</f>
        <v>A</v>
      </c>
      <c r="R445" s="3" t="str">
        <f>IFERROR(__xludf.DUMMYFUNCTION("""COMPUTED_VALUE"""),"Small Format")</f>
        <v>Small Format</v>
      </c>
      <c r="S445" s="3" t="str">
        <f>IFERROR(__xludf.DUMMYFUNCTION("""COMPUTED_VALUE"""),"BCM")</f>
        <v>BCM</v>
      </c>
      <c r="T445" s="3" t="str">
        <f>IFERROR(__xludf.DUMMYFUNCTION("""COMPUTED_VALUE"""),"#N/A")</f>
        <v>#N/A</v>
      </c>
      <c r="U445" s="3" t="str">
        <f>IFERROR(__xludf.DUMMYFUNCTION("""COMPUTED_VALUE"""),"#N/A")</f>
        <v>#N/A</v>
      </c>
      <c r="V445" s="3" t="str">
        <f>IFERROR(__xludf.DUMMYFUNCTION("""COMPUTED_VALUE"""),"N")</f>
        <v>N</v>
      </c>
      <c r="W445" s="3">
        <f>IFERROR(__xludf.DUMMYFUNCTION("""COMPUTED_VALUE"""),211169.0)</f>
        <v>211169</v>
      </c>
      <c r="X445" s="3" t="str">
        <f>IFERROR(__xludf.DUMMYFUNCTION("""COMPUTED_VALUE"""),"12 หมู่ 6 ตำบลมาบยางพร อำเภอปลวกแดง จังหวัดระยอง 21140")</f>
        <v>12 หมู่ 6 ตำบลมาบยางพร อำเภอปลวกแดง จังหวัดระยอง 21140</v>
      </c>
      <c r="Y445" s="3"/>
      <c r="Z445" s="3" t="str">
        <f>IFERROR(__xludf.DUMMYFUNCTION("""COMPUTED_VALUE"""),"มาบยางพร")</f>
        <v>มาบยางพร</v>
      </c>
      <c r="AA445" s="3" t="str">
        <f>IFERROR(__xludf.DUMMYFUNCTION("""COMPUTED_VALUE"""),"ปลวกแดง")</f>
        <v>ปลวกแดง</v>
      </c>
      <c r="AB445" s="3" t="str">
        <f>IFERROR(__xludf.DUMMYFUNCTION("""COMPUTED_VALUE"""),"ระยอง")</f>
        <v>ระยอง</v>
      </c>
      <c r="AC445" s="3">
        <f>IFERROR(__xludf.DUMMYFUNCTION("""COMPUTED_VALUE"""),21140.0)</f>
        <v>21140</v>
      </c>
      <c r="AD445" s="3">
        <f>IFERROR(__xludf.DUMMYFUNCTION("""COMPUTED_VALUE"""),13.007103)</f>
        <v>13.007103</v>
      </c>
      <c r="AE445" s="3">
        <f>IFERROR(__xludf.DUMMYFUNCTION("""COMPUTED_VALUE"""),101.12732)</f>
        <v>101.12732</v>
      </c>
      <c r="AF445" s="3" t="str">
        <f>IFERROR(__xludf.DUMMYFUNCTION("""COMPUTED_VALUE"""),"MBC สะพานสี่-21206")</f>
        <v>MBC สะพานสี่-21206</v>
      </c>
      <c r="AG445" s="3" t="str">
        <f>IFERROR(__xludf.DUMMYFUNCTION("""COMPUTED_VALUE"""),"ตะวันออก")</f>
        <v>ตะวันออก</v>
      </c>
      <c r="AH445" s="3" t="str">
        <f>IFERROR(__xludf.DUMMYFUNCTION("""COMPUTED_VALUE"""),"#N/A")</f>
        <v>#N/A</v>
      </c>
      <c r="AI445" s="3" t="str">
        <f>IFERROR(__xludf.DUMMYFUNCTION("""COMPUTED_VALUE"""),"Out of warranty")</f>
        <v>Out of warranty</v>
      </c>
      <c r="AJ445" s="3">
        <f>IFERROR(__xludf.DUMMYFUNCTION("""COMPUTED_VALUE"""),150.0)</f>
        <v>150</v>
      </c>
      <c r="AK445" s="3" t="str">
        <f>IFERROR(__xludf.DUMMYFUNCTION("""COMPUTED_VALUE"""),"MMS07")</f>
        <v>MMS07</v>
      </c>
      <c r="AL445" s="3"/>
    </row>
    <row r="446" ht="15.75" customHeight="1">
      <c r="A446" s="1" t="str">
        <f>IFERROR(__xludf.DUMMYFUNCTION("""COMPUTED_VALUE"""),"21207")</f>
        <v>21207</v>
      </c>
      <c r="B446" s="2">
        <f>IFERROR(__xludf.DUMMYFUNCTION("""COMPUTED_VALUE"""),21207.0)</f>
        <v>21207</v>
      </c>
      <c r="C446" s="3" t="str">
        <f>IFERROR(__xludf.DUMMYFUNCTION("""COMPUTED_VALUE"""),"MBC นาจอมเทียน")</f>
        <v>MBC นาจอมเทียน</v>
      </c>
      <c r="D446" s="3" t="str">
        <f>IFERROR(__xludf.DUMMYFUNCTION("""COMPUTED_VALUE"""),"BCM NAJOMTIEN")</f>
        <v>BCM NAJOMTIEN</v>
      </c>
      <c r="E446" s="1" t="str">
        <f>IFERROR(__xludf.DUMMYFUNCTION("""COMPUTED_VALUE"""),"บิ๊กซี MINI")</f>
        <v>บิ๊กซี MINI</v>
      </c>
      <c r="F446" s="1" t="str">
        <f>IFERROR(__xludf.DUMMYFUNCTION("""COMPUTED_VALUE"""),"221716")</f>
        <v>221716</v>
      </c>
      <c r="G446" s="1" t="str">
        <f>IFERROR(__xludf.DUMMYFUNCTION("""COMPUTED_VALUE"""),"น.ส.เบญจพร โพธิสาร")</f>
        <v>น.ส.เบญจพร โพธิสาร</v>
      </c>
      <c r="H446" s="1" t="str">
        <f>IFERROR(__xludf.DUMMYFUNCTION("""COMPUTED_VALUE"""),"313065")</f>
        <v>313065</v>
      </c>
      <c r="I446" s="1" t="str">
        <f>IFERROR(__xludf.DUMMYFUNCTION("""COMPUTED_VALUE"""),"นายจิรายุทธ กันทา")</f>
        <v>นายจิรายุทธ กันทา</v>
      </c>
      <c r="J446" s="3">
        <f>IFERROR(__xludf.DUMMYFUNCTION("""COMPUTED_VALUE"""),1.3461215E7)</f>
        <v>13461215</v>
      </c>
      <c r="K446" s="3" t="str">
        <f>IFERROR(__xludf.DUMMYFUNCTION("""COMPUTED_VALUE"""),"นายธีรภัทร สังข์เงิน")</f>
        <v>นายธีรภัทร สังข์เงิน</v>
      </c>
      <c r="L446" s="1" t="str">
        <f>IFERROR(__xludf.DUMMYFUNCTION("""COMPUTED_VALUE"""),"06 K.Teerapat")</f>
        <v>06 K.Teerapat</v>
      </c>
      <c r="M446" s="1" t="str">
        <f>IFERROR(__xludf.DUMMYFUNCTION("""COMPUTED_VALUE"""),"063-601-6803")</f>
        <v>063-601-6803</v>
      </c>
      <c r="N446" s="3">
        <f>IFERROR(__xludf.DUMMYFUNCTION("""COMPUTED_VALUE"""),22115.0)</f>
        <v>22115</v>
      </c>
      <c r="O446" s="3" t="str">
        <f>IFERROR(__xludf.DUMMYFUNCTION("""COMPUTED_VALUE"""),"MBC เลี่ยงหนองมน ชลบุรี")</f>
        <v>MBC เลี่ยงหนองมน ชลบุรี</v>
      </c>
      <c r="P446" s="4">
        <f>IFERROR(__xludf.DUMMYFUNCTION("""COMPUTED_VALUE"""),41496.0)</f>
        <v>41496</v>
      </c>
      <c r="Q446" s="3" t="str">
        <f>IFERROR(__xludf.DUMMYFUNCTION("""COMPUTED_VALUE"""),"A")</f>
        <v>A</v>
      </c>
      <c r="R446" s="3" t="str">
        <f>IFERROR(__xludf.DUMMYFUNCTION("""COMPUTED_VALUE"""),"Small Format")</f>
        <v>Small Format</v>
      </c>
      <c r="S446" s="3" t="str">
        <f>IFERROR(__xludf.DUMMYFUNCTION("""COMPUTED_VALUE"""),"BCM")</f>
        <v>BCM</v>
      </c>
      <c r="T446" s="3" t="str">
        <f>IFERROR(__xludf.DUMMYFUNCTION("""COMPUTED_VALUE"""),"#N/A")</f>
        <v>#N/A</v>
      </c>
      <c r="U446" s="3" t="str">
        <f>IFERROR(__xludf.DUMMYFUNCTION("""COMPUTED_VALUE"""),"#N/A")</f>
        <v>#N/A</v>
      </c>
      <c r="V446" s="3" t="str">
        <f>IFERROR(__xludf.DUMMYFUNCTION("""COMPUTED_VALUE"""),"N")</f>
        <v>N</v>
      </c>
      <c r="W446" s="3">
        <f>IFERROR(__xludf.DUMMYFUNCTION("""COMPUTED_VALUE"""),211248.0)</f>
        <v>211248</v>
      </c>
      <c r="X446" s="3" t="str">
        <f>IFERROR(__xludf.DUMMYFUNCTION("""COMPUTED_VALUE"""),"27/26-28 หมู่ 2 ตำบลนาจอมเทียน อำเภอสัตหีบ จังหวัดชลบุรี 20250")</f>
        <v>27/26-28 หมู่ 2 ตำบลนาจอมเทียน อำเภอสัตหีบ จังหวัดชลบุรี 20250</v>
      </c>
      <c r="Y446" s="3"/>
      <c r="Z446" s="3" t="str">
        <f>IFERROR(__xludf.DUMMYFUNCTION("""COMPUTED_VALUE"""),"นาจอมเทียน")</f>
        <v>นาจอมเทียน</v>
      </c>
      <c r="AA446" s="3" t="str">
        <f>IFERROR(__xludf.DUMMYFUNCTION("""COMPUTED_VALUE"""),"สัตหีบ")</f>
        <v>สัตหีบ</v>
      </c>
      <c r="AB446" s="3" t="str">
        <f>IFERROR(__xludf.DUMMYFUNCTION("""COMPUTED_VALUE"""),"ชลบุรี")</f>
        <v>ชลบุรี</v>
      </c>
      <c r="AC446" s="3">
        <f>IFERROR(__xludf.DUMMYFUNCTION("""COMPUTED_VALUE"""),20250.0)</f>
        <v>20250</v>
      </c>
      <c r="AD446" s="3">
        <f>IFERROR(__xludf.DUMMYFUNCTION("""COMPUTED_VALUE"""),12.841092)</f>
        <v>12.841092</v>
      </c>
      <c r="AE446" s="3">
        <f>IFERROR(__xludf.DUMMYFUNCTION("""COMPUTED_VALUE"""),100.911611)</f>
        <v>100.911611</v>
      </c>
      <c r="AF446" s="3" t="str">
        <f>IFERROR(__xludf.DUMMYFUNCTION("""COMPUTED_VALUE"""),"MBC นาจอมเทียน-21207")</f>
        <v>MBC นาจอมเทียน-21207</v>
      </c>
      <c r="AG446" s="3" t="str">
        <f>IFERROR(__xludf.DUMMYFUNCTION("""COMPUTED_VALUE"""),"ตะวันออก")</f>
        <v>ตะวันออก</v>
      </c>
      <c r="AH446" s="3" t="str">
        <f>IFERROR(__xludf.DUMMYFUNCTION("""COMPUTED_VALUE"""),"#N/A")</f>
        <v>#N/A</v>
      </c>
      <c r="AI446" s="3" t="str">
        <f>IFERROR(__xludf.DUMMYFUNCTION("""COMPUTED_VALUE"""),"Out of warranty")</f>
        <v>Out of warranty</v>
      </c>
      <c r="AJ446" s="3">
        <f>IFERROR(__xludf.DUMMYFUNCTION("""COMPUTED_VALUE"""),150.0)</f>
        <v>150</v>
      </c>
      <c r="AK446" s="3" t="str">
        <f>IFERROR(__xludf.DUMMYFUNCTION("""COMPUTED_VALUE"""),"MMS08")</f>
        <v>MMS08</v>
      </c>
      <c r="AL446" s="3"/>
    </row>
    <row r="447" ht="15.75" customHeight="1">
      <c r="A447" s="1" t="str">
        <f>IFERROR(__xludf.DUMMYFUNCTION("""COMPUTED_VALUE"""),"21208")</f>
        <v>21208</v>
      </c>
      <c r="B447" s="2">
        <f>IFERROR(__xludf.DUMMYFUNCTION("""COMPUTED_VALUE"""),21208.0)</f>
        <v>21208</v>
      </c>
      <c r="C447" s="3" t="str">
        <f>IFERROR(__xludf.DUMMYFUNCTION("""COMPUTED_VALUE"""),"MBC บางปูนคร")</f>
        <v>MBC บางปูนคร</v>
      </c>
      <c r="D447" s="3" t="str">
        <f>IFERROR(__xludf.DUMMYFUNCTION("""COMPUTED_VALUE"""),"BCM BANGPUNAKORN")</f>
        <v>BCM BANGPUNAKORN</v>
      </c>
      <c r="E447" s="1" t="str">
        <f>IFERROR(__xludf.DUMMYFUNCTION("""COMPUTED_VALUE"""),"บิ๊กซี MINI")</f>
        <v>บิ๊กซี MINI</v>
      </c>
      <c r="F447" s="1" t="str">
        <f>IFERROR(__xludf.DUMMYFUNCTION("""COMPUTED_VALUE"""),"2083447")</f>
        <v>2083447</v>
      </c>
      <c r="G447" s="1" t="str">
        <f>IFERROR(__xludf.DUMMYFUNCTION("""COMPUTED_VALUE"""),"นายอนุกูล ศรีลัดดา")</f>
        <v>นายอนุกูล ศรีลัดดา</v>
      </c>
      <c r="H447" s="1" t="str">
        <f>IFERROR(__xludf.DUMMYFUNCTION("""COMPUTED_VALUE"""),"399107")</f>
        <v>399107</v>
      </c>
      <c r="I447" s="1" t="str">
        <f>IFERROR(__xludf.DUMMYFUNCTION("""COMPUTED_VALUE"""),"นายรัชระวี กลมแป้น")</f>
        <v>นายรัชระวี กลมแป้น</v>
      </c>
      <c r="J447" s="3">
        <f>IFERROR(__xludf.DUMMYFUNCTION("""COMPUTED_VALUE"""),510143.0)</f>
        <v>510143</v>
      </c>
      <c r="K447" s="3" t="str">
        <f>IFERROR(__xludf.DUMMYFUNCTION("""COMPUTED_VALUE"""),"นายธีระวัฒน์ บุญสิทธิ์")</f>
        <v>นายธีระวัฒน์ บุญสิทธิ์</v>
      </c>
      <c r="L447" s="1" t="str">
        <f>IFERROR(__xludf.DUMMYFUNCTION("""COMPUTED_VALUE"""),"12 K.Theerawat B.")</f>
        <v>12 K.Theerawat B.</v>
      </c>
      <c r="M447" s="1" t="str">
        <f>IFERROR(__xludf.DUMMYFUNCTION("""COMPUTED_VALUE"""),"0655107379")</f>
        <v>0655107379</v>
      </c>
      <c r="N447" s="3">
        <f>IFERROR(__xludf.DUMMYFUNCTION("""COMPUTED_VALUE"""),21062.0)</f>
        <v>21062</v>
      </c>
      <c r="O447" s="3" t="str">
        <f>IFERROR(__xludf.DUMMYFUNCTION("""COMPUTED_VALUE"""),"MBC นิคมนวนคร")</f>
        <v>MBC นิคมนวนคร</v>
      </c>
      <c r="P447" s="4">
        <f>IFERROR(__xludf.DUMMYFUNCTION("""COMPUTED_VALUE"""),41505.0)</f>
        <v>41505</v>
      </c>
      <c r="Q447" s="3" t="str">
        <f>IFERROR(__xludf.DUMMYFUNCTION("""COMPUTED_VALUE"""),"A")</f>
        <v>A</v>
      </c>
      <c r="R447" s="3" t="str">
        <f>IFERROR(__xludf.DUMMYFUNCTION("""COMPUTED_VALUE"""),"Small Format")</f>
        <v>Small Format</v>
      </c>
      <c r="S447" s="3" t="str">
        <f>IFERROR(__xludf.DUMMYFUNCTION("""COMPUTED_VALUE"""),"BCM")</f>
        <v>BCM</v>
      </c>
      <c r="T447" s="3" t="str">
        <f>IFERROR(__xludf.DUMMYFUNCTION("""COMPUTED_VALUE"""),"#N/A")</f>
        <v>#N/A</v>
      </c>
      <c r="U447" s="3" t="str">
        <f>IFERROR(__xludf.DUMMYFUNCTION("""COMPUTED_VALUE"""),"#N/A")</f>
        <v>#N/A</v>
      </c>
      <c r="V447" s="3" t="str">
        <f>IFERROR(__xludf.DUMMYFUNCTION("""COMPUTED_VALUE"""),"N")</f>
        <v>N</v>
      </c>
      <c r="W447" s="3">
        <f>IFERROR(__xludf.DUMMYFUNCTION("""COMPUTED_VALUE"""),211212.0)</f>
        <v>211212</v>
      </c>
      <c r="X447" s="3" t="str">
        <f>IFERROR(__xludf.DUMMYFUNCTION("""COMPUTED_VALUE"""),"213 หมู่ 7 ตำบลบางปูใหม่ อำเภอเมืองสมุทรปราการ จังหวัดสมุทรปราการ 10280")</f>
        <v>213 หมู่ 7 ตำบลบางปูใหม่ อำเภอเมืองสมุทรปราการ จังหวัดสมุทรปราการ 10280</v>
      </c>
      <c r="Y447" s="3"/>
      <c r="Z447" s="3" t="str">
        <f>IFERROR(__xludf.DUMMYFUNCTION("""COMPUTED_VALUE"""),"บางปูใหม่")</f>
        <v>บางปูใหม่</v>
      </c>
      <c r="AA447" s="3" t="str">
        <f>IFERROR(__xludf.DUMMYFUNCTION("""COMPUTED_VALUE"""),"เมืองสมุทรปราการ")</f>
        <v>เมืองสมุทรปราการ</v>
      </c>
      <c r="AB447" s="3" t="str">
        <f>IFERROR(__xludf.DUMMYFUNCTION("""COMPUTED_VALUE"""),"สมุทรปราการ")</f>
        <v>สมุทรปราการ</v>
      </c>
      <c r="AC447" s="3">
        <f>IFERROR(__xludf.DUMMYFUNCTION("""COMPUTED_VALUE"""),10280.0)</f>
        <v>10280</v>
      </c>
      <c r="AD447" s="3">
        <f>IFERROR(__xludf.DUMMYFUNCTION("""COMPUTED_VALUE"""),13.531362)</f>
        <v>13.531362</v>
      </c>
      <c r="AE447" s="3">
        <f>IFERROR(__xludf.DUMMYFUNCTION("""COMPUTED_VALUE"""),100.633665)</f>
        <v>100.633665</v>
      </c>
      <c r="AF447" s="3" t="str">
        <f>IFERROR(__xludf.DUMMYFUNCTION("""COMPUTED_VALUE"""),"MBC บางปูนคร-21208")</f>
        <v>MBC บางปูนคร-21208</v>
      </c>
      <c r="AG447" s="3" t="str">
        <f>IFERROR(__xludf.DUMMYFUNCTION("""COMPUTED_VALUE"""),"กลาง")</f>
        <v>กลาง</v>
      </c>
      <c r="AH447" s="3" t="str">
        <f>IFERROR(__xludf.DUMMYFUNCTION("""COMPUTED_VALUE"""),"#N/A")</f>
        <v>#N/A</v>
      </c>
      <c r="AI447" s="3" t="str">
        <f>IFERROR(__xludf.DUMMYFUNCTION("""COMPUTED_VALUE"""),"Out of warranty")</f>
        <v>Out of warranty</v>
      </c>
      <c r="AJ447" s="3">
        <f>IFERROR(__xludf.DUMMYFUNCTION("""COMPUTED_VALUE"""),150.0)</f>
        <v>150</v>
      </c>
      <c r="AK447" s="3" t="str">
        <f>IFERROR(__xludf.DUMMYFUNCTION("""COMPUTED_VALUE"""),"MMS03")</f>
        <v>MMS03</v>
      </c>
      <c r="AL447" s="3"/>
    </row>
    <row r="448" ht="15.75" customHeight="1">
      <c r="A448" s="1" t="str">
        <f>IFERROR(__xludf.DUMMYFUNCTION("""COMPUTED_VALUE"""),"21209")</f>
        <v>21209</v>
      </c>
      <c r="B448" s="2">
        <f>IFERROR(__xludf.DUMMYFUNCTION("""COMPUTED_VALUE"""),21209.0)</f>
        <v>21209</v>
      </c>
      <c r="C448" s="3" t="str">
        <f>IFERROR(__xludf.DUMMYFUNCTION("""COMPUTED_VALUE"""),"MBC ตลาดพระพรหม")</f>
        <v>MBC ตลาดพระพรหม</v>
      </c>
      <c r="D448" s="3" t="str">
        <f>IFERROR(__xludf.DUMMYFUNCTION("""COMPUTED_VALUE"""),"BCM TARAD PRAPHROM")</f>
        <v>BCM TARAD PRAPHROM</v>
      </c>
      <c r="E448" s="1" t="str">
        <f>IFERROR(__xludf.DUMMYFUNCTION("""COMPUTED_VALUE"""),"บิ๊กซี MINI")</f>
        <v>บิ๊กซี MINI</v>
      </c>
      <c r="F448" s="1" t="str">
        <f>IFERROR(__xludf.DUMMYFUNCTION("""COMPUTED_VALUE"""),"250760")</f>
        <v>250760</v>
      </c>
      <c r="G448" s="1" t="str">
        <f>IFERROR(__xludf.DUMMYFUNCTION("""COMPUTED_VALUE"""),"นายประทวน สาราบรรณ์")</f>
        <v>นายประทวน สาราบรรณ์</v>
      </c>
      <c r="H448" s="1" t="str">
        <f>IFERROR(__xludf.DUMMYFUNCTION("""COMPUTED_VALUE"""),"034605")</f>
        <v>034605</v>
      </c>
      <c r="I448" s="1" t="str">
        <f>IFERROR(__xludf.DUMMYFUNCTION("""COMPUTED_VALUE"""),"นายธรรมรัตน์ สุขเจริญ")</f>
        <v>นายธรรมรัตน์ สุขเจริญ</v>
      </c>
      <c r="J448" s="3">
        <f>IFERROR(__xludf.DUMMYFUNCTION("""COMPUTED_VALUE"""),295541.0)</f>
        <v>295541</v>
      </c>
      <c r="K448" s="3" t="str">
        <f>IFERROR(__xludf.DUMMYFUNCTION("""COMPUTED_VALUE"""),"นายรพิพล ศรีมาตย์")</f>
        <v>นายรพิพล ศรีมาตย์</v>
      </c>
      <c r="L448" s="1" t="str">
        <f>IFERROR(__xludf.DUMMYFUNCTION("""COMPUTED_VALUE"""),"นายรพิพล ศรีมาตย์")</f>
        <v>นายรพิพล ศรีมาตย์</v>
      </c>
      <c r="M448" s="1" t="str">
        <f>IFERROR(__xludf.DUMMYFUNCTION("""COMPUTED_VALUE"""),"0613966115")</f>
        <v>0613966115</v>
      </c>
      <c r="N448" s="3">
        <f>IFERROR(__xludf.DUMMYFUNCTION("""COMPUTED_VALUE"""),21175.0)</f>
        <v>21175</v>
      </c>
      <c r="O448" s="3" t="str">
        <f>IFERROR(__xludf.DUMMYFUNCTION("""COMPUTED_VALUE"""),"MBC BCP กิ่งแก้ว")</f>
        <v>MBC BCP กิ่งแก้ว</v>
      </c>
      <c r="P448" s="4">
        <f>IFERROR(__xludf.DUMMYFUNCTION("""COMPUTED_VALUE"""),41508.0)</f>
        <v>41508</v>
      </c>
      <c r="Q448" s="3" t="str">
        <f>IFERROR(__xludf.DUMMYFUNCTION("""COMPUTED_VALUE"""),"I")</f>
        <v>I</v>
      </c>
      <c r="R448" s="3" t="str">
        <f>IFERROR(__xludf.DUMMYFUNCTION("""COMPUTED_VALUE"""),"Small Format")</f>
        <v>Small Format</v>
      </c>
      <c r="S448" s="3" t="str">
        <f>IFERROR(__xludf.DUMMYFUNCTION("""COMPUTED_VALUE"""),"BCM")</f>
        <v>BCM</v>
      </c>
      <c r="T448" s="3" t="str">
        <f>IFERROR(__xludf.DUMMYFUNCTION("""COMPUTED_VALUE"""),"#N/A")</f>
        <v>#N/A</v>
      </c>
      <c r="U448" s="3" t="str">
        <f>IFERROR(__xludf.DUMMYFUNCTION("""COMPUTED_VALUE"""),"#N/A")</f>
        <v>#N/A</v>
      </c>
      <c r="V448" s="3" t="str">
        <f>IFERROR(__xludf.DUMMYFUNCTION("""COMPUTED_VALUE"""),"N")</f>
        <v>N</v>
      </c>
      <c r="W448" s="3">
        <f>IFERROR(__xludf.DUMMYFUNCTION("""COMPUTED_VALUE"""),211216.0)</f>
        <v>211216</v>
      </c>
      <c r="X448" s="3" t="str">
        <f>IFERROR(__xludf.DUMMYFUNCTION("""COMPUTED_VALUE"""),"556/1 หมู่ 11 ตำบลหนองขาม อำเภอศรีราชา จังหวัดชลบุรี 20110")</f>
        <v>556/1 หมู่ 11 ตำบลหนองขาม อำเภอศรีราชา จังหวัดชลบุรี 20110</v>
      </c>
      <c r="Y448" s="3"/>
      <c r="Z448" s="3" t="str">
        <f>IFERROR(__xludf.DUMMYFUNCTION("""COMPUTED_VALUE"""),"หนองขาม")</f>
        <v>หนองขาม</v>
      </c>
      <c r="AA448" s="3" t="str">
        <f>IFERROR(__xludf.DUMMYFUNCTION("""COMPUTED_VALUE"""),"ศรีราชา")</f>
        <v>ศรีราชา</v>
      </c>
      <c r="AB448" s="3" t="str">
        <f>IFERROR(__xludf.DUMMYFUNCTION("""COMPUTED_VALUE"""),"ชลบุรี")</f>
        <v>ชลบุรี</v>
      </c>
      <c r="AC448" s="3">
        <f>IFERROR(__xludf.DUMMYFUNCTION("""COMPUTED_VALUE"""),20110.0)</f>
        <v>20110</v>
      </c>
      <c r="AD448" s="3">
        <f>IFERROR(__xludf.DUMMYFUNCTION("""COMPUTED_VALUE"""),13.100295)</f>
        <v>13.100295</v>
      </c>
      <c r="AE448" s="3">
        <f>IFERROR(__xludf.DUMMYFUNCTION("""COMPUTED_VALUE"""),100.967592)</f>
        <v>100.967592</v>
      </c>
      <c r="AF448" s="3" t="str">
        <f>IFERROR(__xludf.DUMMYFUNCTION("""COMPUTED_VALUE"""),"MBC ตลาดพระพรหม-21209")</f>
        <v>MBC ตลาดพระพรหม-21209</v>
      </c>
      <c r="AG448" s="3" t="str">
        <f>IFERROR(__xludf.DUMMYFUNCTION("""COMPUTED_VALUE"""),"ตะวันออก")</f>
        <v>ตะวันออก</v>
      </c>
      <c r="AH448" s="3" t="str">
        <f>IFERROR(__xludf.DUMMYFUNCTION("""COMPUTED_VALUE"""),"#N/A")</f>
        <v>#N/A</v>
      </c>
      <c r="AI448" s="3" t="str">
        <f>IFERROR(__xludf.DUMMYFUNCTION("""COMPUTED_VALUE"""),"Out of warranty")</f>
        <v>Out of warranty</v>
      </c>
      <c r="AJ448" s="3">
        <f>IFERROR(__xludf.DUMMYFUNCTION("""COMPUTED_VALUE"""),149.0)</f>
        <v>149</v>
      </c>
      <c r="AK448" s="3"/>
      <c r="AL448" s="3"/>
    </row>
    <row r="449" ht="15.75" customHeight="1">
      <c r="A449" s="1" t="str">
        <f>IFERROR(__xludf.DUMMYFUNCTION("""COMPUTED_VALUE"""),"21210")</f>
        <v>21210</v>
      </c>
      <c r="B449" s="2">
        <f>IFERROR(__xludf.DUMMYFUNCTION("""COMPUTED_VALUE"""),21210.0)</f>
        <v>21210</v>
      </c>
      <c r="C449" s="3" t="str">
        <f>IFERROR(__xludf.DUMMYFUNCTION("""COMPUTED_VALUE"""),"MBC ศรีประจันต์")</f>
        <v>MBC ศรีประจันต์</v>
      </c>
      <c r="D449" s="3" t="str">
        <f>IFERROR(__xludf.DUMMYFUNCTION("""COMPUTED_VALUE"""),"BCM SRIPRACHAN")</f>
        <v>BCM SRIPRACHAN</v>
      </c>
      <c r="E449" s="1" t="str">
        <f>IFERROR(__xludf.DUMMYFUNCTION("""COMPUTED_VALUE"""),"บิ๊กซี MINI")</f>
        <v>บิ๊กซี MINI</v>
      </c>
      <c r="F449" s="1" t="str">
        <f>IFERROR(__xludf.DUMMYFUNCTION("""COMPUTED_VALUE"""),"296229")</f>
        <v>296229</v>
      </c>
      <c r="G449" s="1" t="str">
        <f>IFERROR(__xludf.DUMMYFUNCTION("""COMPUTED_VALUE"""),"นายทนงศักดิ์ บุญมา")</f>
        <v>นายทนงศักดิ์ บุญมา</v>
      </c>
      <c r="H449" s="1" t="str">
        <f>IFERROR(__xludf.DUMMYFUNCTION("""COMPUTED_VALUE"""),"318186")</f>
        <v>318186</v>
      </c>
      <c r="I449" s="1" t="str">
        <f>IFERROR(__xludf.DUMMYFUNCTION("""COMPUTED_VALUE"""),"น.ส.พนมวัลย์ เรืองรัตน์")</f>
        <v>น.ส.พนมวัลย์ เรืองรัตน์</v>
      </c>
      <c r="J449" s="3">
        <f>IFERROR(__xludf.DUMMYFUNCTION("""COMPUTED_VALUE"""),46214.0)</f>
        <v>46214</v>
      </c>
      <c r="K449" s="3" t="str">
        <f>IFERROR(__xludf.DUMMYFUNCTION("""COMPUTED_VALUE"""),"นายศักดิ์ชัย เด็ดดอกฟ้า")</f>
        <v>นายศักดิ์ชัย เด็ดดอกฟ้า</v>
      </c>
      <c r="L449" s="1" t="str">
        <f>IFERROR(__xludf.DUMMYFUNCTION("""COMPUTED_VALUE"""),"02 K.Sakchai D")</f>
        <v>02 K.Sakchai D</v>
      </c>
      <c r="M449" s="1" t="str">
        <f>IFERROR(__xludf.DUMMYFUNCTION("""COMPUTED_VALUE"""),"065-510-7376")</f>
        <v>065-510-7376</v>
      </c>
      <c r="N449" s="3">
        <f>IFERROR(__xludf.DUMMYFUNCTION("""COMPUTED_VALUE"""),21714.0)</f>
        <v>21714</v>
      </c>
      <c r="O449" s="3" t="str">
        <f>IFERROR(__xludf.DUMMYFUNCTION("""COMPUTED_VALUE"""),"MBC เอสโซ่ วัดโบสถ์")</f>
        <v>MBC เอสโซ่ วัดโบสถ์</v>
      </c>
      <c r="P449" s="4">
        <f>IFERROR(__xludf.DUMMYFUNCTION("""COMPUTED_VALUE"""),41509.0)</f>
        <v>41509</v>
      </c>
      <c r="Q449" s="3" t="str">
        <f>IFERROR(__xludf.DUMMYFUNCTION("""COMPUTED_VALUE"""),"A")</f>
        <v>A</v>
      </c>
      <c r="R449" s="3" t="str">
        <f>IFERROR(__xludf.DUMMYFUNCTION("""COMPUTED_VALUE"""),"Small Format")</f>
        <v>Small Format</v>
      </c>
      <c r="S449" s="3" t="str">
        <f>IFERROR(__xludf.DUMMYFUNCTION("""COMPUTED_VALUE"""),"BCM")</f>
        <v>BCM</v>
      </c>
      <c r="T449" s="3" t="str">
        <f>IFERROR(__xludf.DUMMYFUNCTION("""COMPUTED_VALUE"""),"#N/A")</f>
        <v>#N/A</v>
      </c>
      <c r="U449" s="3" t="str">
        <f>IFERROR(__xludf.DUMMYFUNCTION("""COMPUTED_VALUE"""),"#N/A")</f>
        <v>#N/A</v>
      </c>
      <c r="V449" s="3" t="str">
        <f>IFERROR(__xludf.DUMMYFUNCTION("""COMPUTED_VALUE"""),"N")</f>
        <v>N</v>
      </c>
      <c r="W449" s="3">
        <f>IFERROR(__xludf.DUMMYFUNCTION("""COMPUTED_VALUE"""),211209.0)</f>
        <v>211209</v>
      </c>
      <c r="X449" s="3" t="str">
        <f>IFERROR(__xludf.DUMMYFUNCTION("""COMPUTED_VALUE"""),"544 หมู่ 3 ตำบลศรีประจันต์ อำเภอศรีประจันต์ จังหวัดสุพรรณบุรี 72140")</f>
        <v>544 หมู่ 3 ตำบลศรีประจันต์ อำเภอศรีประจันต์ จังหวัดสุพรรณบุรี 72140</v>
      </c>
      <c r="Y449" s="3"/>
      <c r="Z449" s="3" t="str">
        <f>IFERROR(__xludf.DUMMYFUNCTION("""COMPUTED_VALUE"""),"ศรีประจันต์")</f>
        <v>ศรีประจันต์</v>
      </c>
      <c r="AA449" s="3" t="str">
        <f>IFERROR(__xludf.DUMMYFUNCTION("""COMPUTED_VALUE"""),"ศรีประจันต์")</f>
        <v>ศรีประจันต์</v>
      </c>
      <c r="AB449" s="3" t="str">
        <f>IFERROR(__xludf.DUMMYFUNCTION("""COMPUTED_VALUE"""),"สุพรรณบุรี")</f>
        <v>สุพรรณบุรี</v>
      </c>
      <c r="AC449" s="3">
        <f>IFERROR(__xludf.DUMMYFUNCTION("""COMPUTED_VALUE"""),72140.0)</f>
        <v>72140</v>
      </c>
      <c r="AD449" s="3">
        <f>IFERROR(__xludf.DUMMYFUNCTION("""COMPUTED_VALUE"""),14.620119)</f>
        <v>14.620119</v>
      </c>
      <c r="AE449" s="3">
        <f>IFERROR(__xludf.DUMMYFUNCTION("""COMPUTED_VALUE"""),100.147407)</f>
        <v>100.147407</v>
      </c>
      <c r="AF449" s="3" t="str">
        <f>IFERROR(__xludf.DUMMYFUNCTION("""COMPUTED_VALUE"""),"MBC ศรีประจันต์-21210")</f>
        <v>MBC ศรีประจันต์-21210</v>
      </c>
      <c r="AG449" s="3" t="str">
        <f>IFERROR(__xludf.DUMMYFUNCTION("""COMPUTED_VALUE"""),"กลาง")</f>
        <v>กลาง</v>
      </c>
      <c r="AH449" s="3" t="str">
        <f>IFERROR(__xludf.DUMMYFUNCTION("""COMPUTED_VALUE"""),"#N/A")</f>
        <v>#N/A</v>
      </c>
      <c r="AI449" s="3" t="str">
        <f>IFERROR(__xludf.DUMMYFUNCTION("""COMPUTED_VALUE"""),"Out of warranty")</f>
        <v>Out of warranty</v>
      </c>
      <c r="AJ449" s="3">
        <f>IFERROR(__xludf.DUMMYFUNCTION("""COMPUTED_VALUE"""),149.0)</f>
        <v>149</v>
      </c>
      <c r="AK449" s="3" t="str">
        <f>IFERROR(__xludf.DUMMYFUNCTION("""COMPUTED_VALUE"""),"MMS09")</f>
        <v>MMS09</v>
      </c>
      <c r="AL449" s="3"/>
    </row>
    <row r="450" ht="15.75" customHeight="1">
      <c r="A450" s="1" t="str">
        <f>IFERROR(__xludf.DUMMYFUNCTION("""COMPUTED_VALUE"""),"21211")</f>
        <v>21211</v>
      </c>
      <c r="B450" s="2">
        <f>IFERROR(__xludf.DUMMYFUNCTION("""COMPUTED_VALUE"""),21211.0)</f>
        <v>21211</v>
      </c>
      <c r="C450" s="3" t="str">
        <f>IFERROR(__xludf.DUMMYFUNCTION("""COMPUTED_VALUE"""),"MBC เสาไห้")</f>
        <v>MBC เสาไห้</v>
      </c>
      <c r="D450" s="3" t="str">
        <f>IFERROR(__xludf.DUMMYFUNCTION("""COMPUTED_VALUE"""),"BCM SAOHAI")</f>
        <v>BCM SAOHAI</v>
      </c>
      <c r="E450" s="1" t="str">
        <f>IFERROR(__xludf.DUMMYFUNCTION("""COMPUTED_VALUE"""),"บิ๊กซี MINI")</f>
        <v>บิ๊กซี MINI</v>
      </c>
      <c r="F450" s="1" t="str">
        <f>IFERROR(__xludf.DUMMYFUNCTION("""COMPUTED_VALUE"""),"296229")</f>
        <v>296229</v>
      </c>
      <c r="G450" s="1" t="str">
        <f>IFERROR(__xludf.DUMMYFUNCTION("""COMPUTED_VALUE"""),"นายทนงศักดิ์ บุญมา")</f>
        <v>นายทนงศักดิ์ บุญมา</v>
      </c>
      <c r="H450" s="1" t="str">
        <f>IFERROR(__xludf.DUMMYFUNCTION("""COMPUTED_VALUE"""),"318233")</f>
        <v>318233</v>
      </c>
      <c r="I450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450" s="3">
        <f>IFERROR(__xludf.DUMMYFUNCTION("""COMPUTED_VALUE"""),46214.0)</f>
        <v>46214</v>
      </c>
      <c r="K450" s="3" t="str">
        <f>IFERROR(__xludf.DUMMYFUNCTION("""COMPUTED_VALUE"""),"นายศักดิ์ชัย เด็ดดอกฟ้า")</f>
        <v>นายศักดิ์ชัย เด็ดดอกฟ้า</v>
      </c>
      <c r="L450" s="1" t="str">
        <f>IFERROR(__xludf.DUMMYFUNCTION("""COMPUTED_VALUE"""),"02 K.Sakchai D")</f>
        <v>02 K.Sakchai D</v>
      </c>
      <c r="M450" s="1" t="str">
        <f>IFERROR(__xludf.DUMMYFUNCTION("""COMPUTED_VALUE"""),"065-510-7376")</f>
        <v>065-510-7376</v>
      </c>
      <c r="N450" s="3">
        <f>IFERROR(__xludf.DUMMYFUNCTION("""COMPUTED_VALUE"""),21714.0)</f>
        <v>21714</v>
      </c>
      <c r="O450" s="3" t="str">
        <f>IFERROR(__xludf.DUMMYFUNCTION("""COMPUTED_VALUE"""),"MBC เอสโซ่ วัดโบสถ์")</f>
        <v>MBC เอสโซ่ วัดโบสถ์</v>
      </c>
      <c r="P450" s="4">
        <f>IFERROR(__xludf.DUMMYFUNCTION("""COMPUTED_VALUE"""),41511.0)</f>
        <v>41511</v>
      </c>
      <c r="Q450" s="3" t="str">
        <f>IFERROR(__xludf.DUMMYFUNCTION("""COMPUTED_VALUE"""),"A")</f>
        <v>A</v>
      </c>
      <c r="R450" s="3" t="str">
        <f>IFERROR(__xludf.DUMMYFUNCTION("""COMPUTED_VALUE"""),"Small Format")</f>
        <v>Small Format</v>
      </c>
      <c r="S450" s="3" t="str">
        <f>IFERROR(__xludf.DUMMYFUNCTION("""COMPUTED_VALUE"""),"BCM")</f>
        <v>BCM</v>
      </c>
      <c r="T450" s="3" t="str">
        <f>IFERROR(__xludf.DUMMYFUNCTION("""COMPUTED_VALUE"""),"#N/A")</f>
        <v>#N/A</v>
      </c>
      <c r="U450" s="3" t="str">
        <f>IFERROR(__xludf.DUMMYFUNCTION("""COMPUTED_VALUE"""),"#N/A")</f>
        <v>#N/A</v>
      </c>
      <c r="V450" s="3" t="str">
        <f>IFERROR(__xludf.DUMMYFUNCTION("""COMPUTED_VALUE"""),"N")</f>
        <v>N</v>
      </c>
      <c r="W450" s="3">
        <f>IFERROR(__xludf.DUMMYFUNCTION("""COMPUTED_VALUE"""),211217.0)</f>
        <v>211217</v>
      </c>
      <c r="X450" s="3" t="str">
        <f>IFERROR(__xludf.DUMMYFUNCTION("""COMPUTED_VALUE"""),"27/24 หมู่ 1 ตำบลเสาไห้ อำเภอเสาไห้ จังหวัดสระบุรี 18160")</f>
        <v>27/24 หมู่ 1 ตำบลเสาไห้ อำเภอเสาไห้ จังหวัดสระบุรี 18160</v>
      </c>
      <c r="Y450" s="3"/>
      <c r="Z450" s="3" t="str">
        <f>IFERROR(__xludf.DUMMYFUNCTION("""COMPUTED_VALUE"""),"เสาไห้")</f>
        <v>เสาไห้</v>
      </c>
      <c r="AA450" s="3" t="str">
        <f>IFERROR(__xludf.DUMMYFUNCTION("""COMPUTED_VALUE"""),"เสาไห้")</f>
        <v>เสาไห้</v>
      </c>
      <c r="AB450" s="3" t="str">
        <f>IFERROR(__xludf.DUMMYFUNCTION("""COMPUTED_VALUE"""),"สระบุรี")</f>
        <v>สระบุรี</v>
      </c>
      <c r="AC450" s="3">
        <f>IFERROR(__xludf.DUMMYFUNCTION("""COMPUTED_VALUE"""),18160.0)</f>
        <v>18160</v>
      </c>
      <c r="AD450" s="3">
        <f>IFERROR(__xludf.DUMMYFUNCTION("""COMPUTED_VALUE"""),14.550287)</f>
        <v>14.550287</v>
      </c>
      <c r="AE450" s="3">
        <f>IFERROR(__xludf.DUMMYFUNCTION("""COMPUTED_VALUE"""),100.855865)</f>
        <v>100.855865</v>
      </c>
      <c r="AF450" s="3" t="str">
        <f>IFERROR(__xludf.DUMMYFUNCTION("""COMPUTED_VALUE"""),"MBC เสาไห้-21211")</f>
        <v>MBC เสาไห้-21211</v>
      </c>
      <c r="AG450" s="3" t="str">
        <f>IFERROR(__xludf.DUMMYFUNCTION("""COMPUTED_VALUE"""),"กลาง")</f>
        <v>กลาง</v>
      </c>
      <c r="AH450" s="3" t="str">
        <f>IFERROR(__xludf.DUMMYFUNCTION("""COMPUTED_VALUE"""),"#N/A")</f>
        <v>#N/A</v>
      </c>
      <c r="AI450" s="3" t="str">
        <f>IFERROR(__xludf.DUMMYFUNCTION("""COMPUTED_VALUE"""),"Out of warranty")</f>
        <v>Out of warranty</v>
      </c>
      <c r="AJ450" s="3">
        <f>IFERROR(__xludf.DUMMYFUNCTION("""COMPUTED_VALUE"""),149.0)</f>
        <v>149</v>
      </c>
      <c r="AK450" s="3" t="str">
        <f>IFERROR(__xludf.DUMMYFUNCTION("""COMPUTED_VALUE"""),"MMS09")</f>
        <v>MMS09</v>
      </c>
      <c r="AL450" s="3"/>
    </row>
    <row r="451" ht="15.75" customHeight="1">
      <c r="A451" s="1" t="str">
        <f>IFERROR(__xludf.DUMMYFUNCTION("""COMPUTED_VALUE"""),"21212")</f>
        <v>21212</v>
      </c>
      <c r="B451" s="2">
        <f>IFERROR(__xludf.DUMMYFUNCTION("""COMPUTED_VALUE"""),21212.0)</f>
        <v>21212</v>
      </c>
      <c r="C451" s="3" t="str">
        <f>IFERROR(__xludf.DUMMYFUNCTION("""COMPUTED_VALUE"""),"MBC หนองม่วง")</f>
        <v>MBC หนองม่วง</v>
      </c>
      <c r="D451" s="3" t="str">
        <f>IFERROR(__xludf.DUMMYFUNCTION("""COMPUTED_VALUE"""),"BCM NONGMUANG")</f>
        <v>BCM NONGMUANG</v>
      </c>
      <c r="E451" s="1" t="str">
        <f>IFERROR(__xludf.DUMMYFUNCTION("""COMPUTED_VALUE"""),"บิ๊กซี MINI")</f>
        <v>บิ๊กซี MINI</v>
      </c>
      <c r="F451" s="1" t="str">
        <f>IFERROR(__xludf.DUMMYFUNCTION("""COMPUTED_VALUE"""),"296229")</f>
        <v>296229</v>
      </c>
      <c r="G451" s="1" t="str">
        <f>IFERROR(__xludf.DUMMYFUNCTION("""COMPUTED_VALUE"""),"นายทนงศักดิ์ บุญมา")</f>
        <v>นายทนงศักดิ์ บุญมา</v>
      </c>
      <c r="H451" s="1" t="str">
        <f>IFERROR(__xludf.DUMMYFUNCTION("""COMPUTED_VALUE"""),"291082")</f>
        <v>291082</v>
      </c>
      <c r="I451" s="1" t="str">
        <f>IFERROR(__xludf.DUMMYFUNCTION("""COMPUTED_VALUE"""),"น.ส.วจี กันเกตุ")</f>
        <v>น.ส.วจี กันเกตุ</v>
      </c>
      <c r="J451" s="3">
        <f>IFERROR(__xludf.DUMMYFUNCTION("""COMPUTED_VALUE"""),46214.0)</f>
        <v>46214</v>
      </c>
      <c r="K451" s="3" t="str">
        <f>IFERROR(__xludf.DUMMYFUNCTION("""COMPUTED_VALUE"""),"นายศักดิ์ชัย เด็ดดอกฟ้า")</f>
        <v>นายศักดิ์ชัย เด็ดดอกฟ้า</v>
      </c>
      <c r="L451" s="1" t="str">
        <f>IFERROR(__xludf.DUMMYFUNCTION("""COMPUTED_VALUE"""),"02 K.Sakchai D")</f>
        <v>02 K.Sakchai D</v>
      </c>
      <c r="M451" s="1" t="str">
        <f>IFERROR(__xludf.DUMMYFUNCTION("""COMPUTED_VALUE"""),"065-510-7376")</f>
        <v>065-510-7376</v>
      </c>
      <c r="N451" s="3">
        <f>IFERROR(__xludf.DUMMYFUNCTION("""COMPUTED_VALUE"""),21714.0)</f>
        <v>21714</v>
      </c>
      <c r="O451" s="3" t="str">
        <f>IFERROR(__xludf.DUMMYFUNCTION("""COMPUTED_VALUE"""),"MBC เอสโซ่ วัดโบสถ์")</f>
        <v>MBC เอสโซ่ วัดโบสถ์</v>
      </c>
      <c r="P451" s="4">
        <f>IFERROR(__xludf.DUMMYFUNCTION("""COMPUTED_VALUE"""),41513.0)</f>
        <v>41513</v>
      </c>
      <c r="Q451" s="3" t="str">
        <f>IFERROR(__xludf.DUMMYFUNCTION("""COMPUTED_VALUE"""),"A")</f>
        <v>A</v>
      </c>
      <c r="R451" s="3" t="str">
        <f>IFERROR(__xludf.DUMMYFUNCTION("""COMPUTED_VALUE"""),"Small Format")</f>
        <v>Small Format</v>
      </c>
      <c r="S451" s="3" t="str">
        <f>IFERROR(__xludf.DUMMYFUNCTION("""COMPUTED_VALUE"""),"BCM")</f>
        <v>BCM</v>
      </c>
      <c r="T451" s="3" t="str">
        <f>IFERROR(__xludf.DUMMYFUNCTION("""COMPUTED_VALUE"""),"#N/A")</f>
        <v>#N/A</v>
      </c>
      <c r="U451" s="3" t="str">
        <f>IFERROR(__xludf.DUMMYFUNCTION("""COMPUTED_VALUE"""),"#N/A")</f>
        <v>#N/A</v>
      </c>
      <c r="V451" s="3" t="str">
        <f>IFERROR(__xludf.DUMMYFUNCTION("""COMPUTED_VALUE"""),"N")</f>
        <v>N</v>
      </c>
      <c r="W451" s="3">
        <f>IFERROR(__xludf.DUMMYFUNCTION("""COMPUTED_VALUE"""),211206.0)</f>
        <v>211206</v>
      </c>
      <c r="X451" s="3" t="str">
        <f>IFERROR(__xludf.DUMMYFUNCTION("""COMPUTED_VALUE"""),"399 หมู่ 8 ถนนพหลโยธิน ตำบลหนองม่วง อำเภอหนองม่วง จังหวัดลพบุรี 15170")</f>
        <v>399 หมู่ 8 ถนนพหลโยธิน ตำบลหนองม่วง อำเภอหนองม่วง จังหวัดลพบุรี 15170</v>
      </c>
      <c r="Y451" s="3"/>
      <c r="Z451" s="3" t="str">
        <f>IFERROR(__xludf.DUMMYFUNCTION("""COMPUTED_VALUE"""),"หนองม่วง")</f>
        <v>หนองม่วง</v>
      </c>
      <c r="AA451" s="3" t="str">
        <f>IFERROR(__xludf.DUMMYFUNCTION("""COMPUTED_VALUE"""),"หนองม่วง")</f>
        <v>หนองม่วง</v>
      </c>
      <c r="AB451" s="3" t="str">
        <f>IFERROR(__xludf.DUMMYFUNCTION("""COMPUTED_VALUE"""),"ลพบุรี")</f>
        <v>ลพบุรี</v>
      </c>
      <c r="AC451" s="3">
        <f>IFERROR(__xludf.DUMMYFUNCTION("""COMPUTED_VALUE"""),15170.0)</f>
        <v>15170</v>
      </c>
      <c r="AD451" s="3">
        <f>IFERROR(__xludf.DUMMYFUNCTION("""COMPUTED_VALUE"""),15.224316)</f>
        <v>15.224316</v>
      </c>
      <c r="AE451" s="3">
        <f>IFERROR(__xludf.DUMMYFUNCTION("""COMPUTED_VALUE"""),100.660867)</f>
        <v>100.660867</v>
      </c>
      <c r="AF451" s="3" t="str">
        <f>IFERROR(__xludf.DUMMYFUNCTION("""COMPUTED_VALUE"""),"MBC หนองม่วง-21212")</f>
        <v>MBC หนองม่วง-21212</v>
      </c>
      <c r="AG451" s="3" t="str">
        <f>IFERROR(__xludf.DUMMYFUNCTION("""COMPUTED_VALUE"""),"กลาง")</f>
        <v>กลาง</v>
      </c>
      <c r="AH451" s="3" t="str">
        <f>IFERROR(__xludf.DUMMYFUNCTION("""COMPUTED_VALUE"""),"#N/A")</f>
        <v>#N/A</v>
      </c>
      <c r="AI451" s="3" t="str">
        <f>IFERROR(__xludf.DUMMYFUNCTION("""COMPUTED_VALUE"""),"Out of warranty")</f>
        <v>Out of warranty</v>
      </c>
      <c r="AJ451" s="3">
        <f>IFERROR(__xludf.DUMMYFUNCTION("""COMPUTED_VALUE"""),149.0)</f>
        <v>149</v>
      </c>
      <c r="AK451" s="3" t="str">
        <f>IFERROR(__xludf.DUMMYFUNCTION("""COMPUTED_VALUE"""),"MMS09")</f>
        <v>MMS09</v>
      </c>
      <c r="AL451" s="3"/>
    </row>
    <row r="452" ht="15.75" customHeight="1">
      <c r="A452" s="1" t="str">
        <f>IFERROR(__xludf.DUMMYFUNCTION("""COMPUTED_VALUE"""),"21213")</f>
        <v>21213</v>
      </c>
      <c r="B452" s="2">
        <f>IFERROR(__xludf.DUMMYFUNCTION("""COMPUTED_VALUE"""),21213.0)</f>
        <v>21213</v>
      </c>
      <c r="C452" s="3" t="str">
        <f>IFERROR(__xludf.DUMMYFUNCTION("""COMPUTED_VALUE"""),"MBC สามกระบือเผือก")</f>
        <v>MBC สามกระบือเผือก</v>
      </c>
      <c r="D452" s="3" t="str">
        <f>IFERROR(__xludf.DUMMYFUNCTION("""COMPUTED_VALUE"""),"BCM SAMKRABUEPUAK")</f>
        <v>BCM SAMKRABUEPUAK</v>
      </c>
      <c r="E452" s="1" t="str">
        <f>IFERROR(__xludf.DUMMYFUNCTION("""COMPUTED_VALUE"""),"บิ๊กซี MINI")</f>
        <v>บิ๊กซี MINI</v>
      </c>
      <c r="F452" s="1" t="str">
        <f>IFERROR(__xludf.DUMMYFUNCTION("""COMPUTED_VALUE"""),"296229")</f>
        <v>296229</v>
      </c>
      <c r="G452" s="1" t="str">
        <f>IFERROR(__xludf.DUMMYFUNCTION("""COMPUTED_VALUE"""),"นายทนงศักดิ์ บุญมา")</f>
        <v>นายทนงศักดิ์ บุญมา</v>
      </c>
      <c r="H452" s="1" t="str">
        <f>IFERROR(__xludf.DUMMYFUNCTION("""COMPUTED_VALUE"""),"295245")</f>
        <v>295245</v>
      </c>
      <c r="I452" s="1" t="str">
        <f>IFERROR(__xludf.DUMMYFUNCTION("""COMPUTED_VALUE"""),"นายมานะ วงศ์สุโชโต")</f>
        <v>นายมานะ วงศ์สุโชโต</v>
      </c>
      <c r="J452" s="3">
        <f>IFERROR(__xludf.DUMMYFUNCTION("""COMPUTED_VALUE"""),46214.0)</f>
        <v>46214</v>
      </c>
      <c r="K452" s="3" t="str">
        <f>IFERROR(__xludf.DUMMYFUNCTION("""COMPUTED_VALUE"""),"นายศักดิ์ชัย เด็ดดอกฟ้า")</f>
        <v>นายศักดิ์ชัย เด็ดดอกฟ้า</v>
      </c>
      <c r="L452" s="1" t="str">
        <f>IFERROR(__xludf.DUMMYFUNCTION("""COMPUTED_VALUE"""),"02 K.Sakchai D")</f>
        <v>02 K.Sakchai D</v>
      </c>
      <c r="M452" s="1" t="str">
        <f>IFERROR(__xludf.DUMMYFUNCTION("""COMPUTED_VALUE"""),"065-510-7376")</f>
        <v>065-510-7376</v>
      </c>
      <c r="N452" s="3">
        <f>IFERROR(__xludf.DUMMYFUNCTION("""COMPUTED_VALUE"""),21714.0)</f>
        <v>21714</v>
      </c>
      <c r="O452" s="3" t="str">
        <f>IFERROR(__xludf.DUMMYFUNCTION("""COMPUTED_VALUE"""),"MBC เอสโซ่ วัดโบสถ์")</f>
        <v>MBC เอสโซ่ วัดโบสถ์</v>
      </c>
      <c r="P452" s="4">
        <f>IFERROR(__xludf.DUMMYFUNCTION("""COMPUTED_VALUE"""),41517.0)</f>
        <v>41517</v>
      </c>
      <c r="Q452" s="3" t="str">
        <f>IFERROR(__xludf.DUMMYFUNCTION("""COMPUTED_VALUE"""),"A")</f>
        <v>A</v>
      </c>
      <c r="R452" s="3" t="str">
        <f>IFERROR(__xludf.DUMMYFUNCTION("""COMPUTED_VALUE"""),"Small Format")</f>
        <v>Small Format</v>
      </c>
      <c r="S452" s="3" t="str">
        <f>IFERROR(__xludf.DUMMYFUNCTION("""COMPUTED_VALUE"""),"BCM")</f>
        <v>BCM</v>
      </c>
      <c r="T452" s="3" t="str">
        <f>IFERROR(__xludf.DUMMYFUNCTION("""COMPUTED_VALUE"""),"#N/A")</f>
        <v>#N/A</v>
      </c>
      <c r="U452" s="3" t="str">
        <f>IFERROR(__xludf.DUMMYFUNCTION("""COMPUTED_VALUE"""),"#N/A")</f>
        <v>#N/A</v>
      </c>
      <c r="V452" s="3" t="str">
        <f>IFERROR(__xludf.DUMMYFUNCTION("""COMPUTED_VALUE"""),"N")</f>
        <v>N</v>
      </c>
      <c r="W452" s="3">
        <f>IFERROR(__xludf.DUMMYFUNCTION("""COMPUTED_VALUE"""),211221.0)</f>
        <v>211221</v>
      </c>
      <c r="X452" s="3" t="str">
        <f>IFERROR(__xludf.DUMMYFUNCTION("""COMPUTED_VALUE"""),"68/7 หมู่ 4 ตำบลสามควายเผือก อำเภอเมืองนครปฐม จังหวัดนครปฐม 73000")</f>
        <v>68/7 หมู่ 4 ตำบลสามควายเผือก อำเภอเมืองนครปฐม จังหวัดนครปฐม 73000</v>
      </c>
      <c r="Y452" s="3"/>
      <c r="Z452" s="3" t="str">
        <f>IFERROR(__xludf.DUMMYFUNCTION("""COMPUTED_VALUE"""),"สามควายเผือก")</f>
        <v>สามควายเผือก</v>
      </c>
      <c r="AA452" s="3" t="str">
        <f>IFERROR(__xludf.DUMMYFUNCTION("""COMPUTED_VALUE"""),"เมือง")</f>
        <v>เมือง</v>
      </c>
      <c r="AB452" s="3" t="str">
        <f>IFERROR(__xludf.DUMMYFUNCTION("""COMPUTED_VALUE"""),"นครปฐม")</f>
        <v>นครปฐม</v>
      </c>
      <c r="AC452" s="3">
        <f>IFERROR(__xludf.DUMMYFUNCTION("""COMPUTED_VALUE"""),73000.0)</f>
        <v>73000</v>
      </c>
      <c r="AD452" s="3">
        <f>IFERROR(__xludf.DUMMYFUNCTION("""COMPUTED_VALUE"""),13.828287)</f>
        <v>13.828287</v>
      </c>
      <c r="AE452" s="3">
        <f>IFERROR(__xludf.DUMMYFUNCTION("""COMPUTED_VALUE"""),100.102612)</f>
        <v>100.102612</v>
      </c>
      <c r="AF452" s="3" t="str">
        <f>IFERROR(__xludf.DUMMYFUNCTION("""COMPUTED_VALUE"""),"MBC สามกระบือเผือก-21213")</f>
        <v>MBC สามกระบือเผือก-21213</v>
      </c>
      <c r="AG452" s="3" t="str">
        <f>IFERROR(__xludf.DUMMYFUNCTION("""COMPUTED_VALUE"""),"กลาง")</f>
        <v>กลาง</v>
      </c>
      <c r="AH452" s="3" t="str">
        <f>IFERROR(__xludf.DUMMYFUNCTION("""COMPUTED_VALUE"""),"#N/A")</f>
        <v>#N/A</v>
      </c>
      <c r="AI452" s="3" t="str">
        <f>IFERROR(__xludf.DUMMYFUNCTION("""COMPUTED_VALUE"""),"Out of warranty")</f>
        <v>Out of warranty</v>
      </c>
      <c r="AJ452" s="3">
        <f>IFERROR(__xludf.DUMMYFUNCTION("""COMPUTED_VALUE"""),149.0)</f>
        <v>149</v>
      </c>
      <c r="AK452" s="3" t="str">
        <f>IFERROR(__xludf.DUMMYFUNCTION("""COMPUTED_VALUE"""),"MMS05")</f>
        <v>MMS05</v>
      </c>
      <c r="AL452" s="3"/>
    </row>
    <row r="453" ht="15.75" customHeight="1">
      <c r="A453" s="1" t="str">
        <f>IFERROR(__xludf.DUMMYFUNCTION("""COMPUTED_VALUE"""),"21214")</f>
        <v>21214</v>
      </c>
      <c r="B453" s="2">
        <f>IFERROR(__xludf.DUMMYFUNCTION("""COMPUTED_VALUE"""),21214.0)</f>
        <v>21214</v>
      </c>
      <c r="C453" s="3" t="str">
        <f>IFERROR(__xludf.DUMMYFUNCTION("""COMPUTED_VALUE"""),"MBC BCP เอกชัย 69")</f>
        <v>MBC BCP เอกชัย 69</v>
      </c>
      <c r="D453" s="3" t="str">
        <f>IFERROR(__xludf.DUMMYFUNCTION("""COMPUTED_VALUE"""),"MBC BCP EAKACHAI 69")</f>
        <v>MBC BCP EAKACHAI 69</v>
      </c>
      <c r="E453" s="1" t="str">
        <f>IFERROR(__xludf.DUMMYFUNCTION("""COMPUTED_VALUE"""),"บิ๊กซี MINI")</f>
        <v>บิ๊กซี MINI</v>
      </c>
      <c r="F453" s="1" t="str">
        <f>IFERROR(__xludf.DUMMYFUNCTION("""COMPUTED_VALUE"""),"291008")</f>
        <v>291008</v>
      </c>
      <c r="G453" s="1" t="str">
        <f>IFERROR(__xludf.DUMMYFUNCTION("""COMPUTED_VALUE"""),"น.ส.รัชดาพร อีศรัตน์")</f>
        <v>น.ส.รัชดาพร อีศรัตน์</v>
      </c>
      <c r="H453" s="1" t="str">
        <f>IFERROR(__xludf.DUMMYFUNCTION("""COMPUTED_VALUE"""),"034068")</f>
        <v>034068</v>
      </c>
      <c r="I453" s="1" t="str">
        <f>IFERROR(__xludf.DUMMYFUNCTION("""COMPUTED_VALUE"""),"นายสมศักดิ์ ฐานทองดี")</f>
        <v>นายสมศักดิ์ ฐานทองดี</v>
      </c>
      <c r="J453" s="3">
        <f>IFERROR(__xludf.DUMMYFUNCTION("""COMPUTED_VALUE"""),3510104.0)</f>
        <v>3510104</v>
      </c>
      <c r="K453" s="3" t="str">
        <f>IFERROR(__xludf.DUMMYFUNCTION("""COMPUTED_VALUE"""),"นายวิโรจน์ อับดุลสมัด")</f>
        <v>นายวิโรจน์ อับดุลสมัด</v>
      </c>
      <c r="L453" s="1" t="str">
        <f>IFERROR(__xludf.DUMMYFUNCTION("""COMPUTED_VALUE"""),"09 K.Wirode A")</f>
        <v>09 K.Wirode A</v>
      </c>
      <c r="M453" s="1" t="str">
        <f>IFERROR(__xludf.DUMMYFUNCTION("""COMPUTED_VALUE"""),"080-235-4465")</f>
        <v>080-235-4465</v>
      </c>
      <c r="N453" s="3">
        <f>IFERROR(__xludf.DUMMYFUNCTION("""COMPUTED_VALUE"""),21324.0)</f>
        <v>21324</v>
      </c>
      <c r="O453" s="3" t="str">
        <f>IFERROR(__xludf.DUMMYFUNCTION("""COMPUTED_VALUE"""),"MBC BCP สุวินทวงศ์")</f>
        <v>MBC BCP สุวินทวงศ์</v>
      </c>
      <c r="P453" s="4">
        <f>IFERROR(__xludf.DUMMYFUNCTION("""COMPUTED_VALUE"""),41506.0)</f>
        <v>41506</v>
      </c>
      <c r="Q453" s="3" t="str">
        <f>IFERROR(__xludf.DUMMYFUNCTION("""COMPUTED_VALUE"""),"I")</f>
        <v>I</v>
      </c>
      <c r="R453" s="3" t="str">
        <f>IFERROR(__xludf.DUMMYFUNCTION("""COMPUTED_VALUE"""),"Small Format")</f>
        <v>Small Format</v>
      </c>
      <c r="S453" s="3" t="str">
        <f>IFERROR(__xludf.DUMMYFUNCTION("""COMPUTED_VALUE"""),"BCM")</f>
        <v>BCM</v>
      </c>
      <c r="T453" s="3" t="str">
        <f>IFERROR(__xludf.DUMMYFUNCTION("""COMPUTED_VALUE"""),"#N/A")</f>
        <v>#N/A</v>
      </c>
      <c r="U453" s="3" t="str">
        <f>IFERROR(__xludf.DUMMYFUNCTION("""COMPUTED_VALUE"""),"#N/A")</f>
        <v>#N/A</v>
      </c>
      <c r="V453" s="3" t="str">
        <f>IFERROR(__xludf.DUMMYFUNCTION("""COMPUTED_VALUE"""),"N")</f>
        <v>N</v>
      </c>
      <c r="W453" s="3">
        <f>IFERROR(__xludf.DUMMYFUNCTION("""COMPUTED_VALUE"""),0.0)</f>
        <v>0</v>
      </c>
      <c r="X453" s="3" t="str">
        <f>IFERROR(__xludf.DUMMYFUNCTION("""COMPUTED_VALUE"""),"43/381 หมู่ 7 แขวงแสมดำ เขตบางขุนเทียน กรุงเทพมหานคร 10150")</f>
        <v>43/381 หมู่ 7 แขวงแสมดำ เขตบางขุนเทียน กรุงเทพมหานคร 10150</v>
      </c>
      <c r="Y453" s="3"/>
      <c r="Z453" s="3" t="str">
        <f>IFERROR(__xludf.DUMMYFUNCTION("""COMPUTED_VALUE"""),"แสมดำ")</f>
        <v>แสมดำ</v>
      </c>
      <c r="AA453" s="3" t="str">
        <f>IFERROR(__xludf.DUMMYFUNCTION("""COMPUTED_VALUE"""),"บางขุนเทียน")</f>
        <v>บางขุนเทียน</v>
      </c>
      <c r="AB453" s="3" t="str">
        <f>IFERROR(__xludf.DUMMYFUNCTION("""COMPUTED_VALUE"""),"กรุงเทพมหานคร")</f>
        <v>กรุงเทพมหานคร</v>
      </c>
      <c r="AC453" s="3">
        <f>IFERROR(__xludf.DUMMYFUNCTION("""COMPUTED_VALUE"""),10150.0)</f>
        <v>10150</v>
      </c>
      <c r="AD453" s="3" t="str">
        <f>IFERROR(__xludf.DUMMYFUNCTION("""COMPUTED_VALUE"""),"#N/A")</f>
        <v>#N/A</v>
      </c>
      <c r="AE453" s="3" t="str">
        <f>IFERROR(__xludf.DUMMYFUNCTION("""COMPUTED_VALUE"""),"#N/A")</f>
        <v>#N/A</v>
      </c>
      <c r="AF453" s="3" t="str">
        <f>IFERROR(__xludf.DUMMYFUNCTION("""COMPUTED_VALUE"""),"MBC BCP เอกชัย 69-21214")</f>
        <v>MBC BCP เอกชัย 69-21214</v>
      </c>
      <c r="AG453" s="3" t="str">
        <f>IFERROR(__xludf.DUMMYFUNCTION("""COMPUTED_VALUE"""),"กลาง")</f>
        <v>กลาง</v>
      </c>
      <c r="AH453" s="3" t="str">
        <f>IFERROR(__xludf.DUMMYFUNCTION("""COMPUTED_VALUE"""),"#N/A")</f>
        <v>#N/A</v>
      </c>
      <c r="AI453" s="3" t="str">
        <f>IFERROR(__xludf.DUMMYFUNCTION("""COMPUTED_VALUE"""),"Out of warranty")</f>
        <v>Out of warranty</v>
      </c>
      <c r="AJ453" s="3">
        <f>IFERROR(__xludf.DUMMYFUNCTION("""COMPUTED_VALUE"""),150.0)</f>
        <v>150</v>
      </c>
      <c r="AK453" s="3"/>
      <c r="AL453" s="3"/>
    </row>
    <row r="454" ht="15.75" customHeight="1">
      <c r="A454" s="1" t="str">
        <f>IFERROR(__xludf.DUMMYFUNCTION("""COMPUTED_VALUE"""),"21215")</f>
        <v>21215</v>
      </c>
      <c r="B454" s="2">
        <f>IFERROR(__xludf.DUMMYFUNCTION("""COMPUTED_VALUE"""),21215.0)</f>
        <v>21215</v>
      </c>
      <c r="C454" s="3" t="str">
        <f>IFERROR(__xludf.DUMMYFUNCTION("""COMPUTED_VALUE"""),"MBC BCP พระราม2ซ.28")</f>
        <v>MBC BCP พระราม2ซ.28</v>
      </c>
      <c r="D454" s="3" t="str">
        <f>IFERROR(__xludf.DUMMYFUNCTION("""COMPUTED_VALUE"""),"BCM BCP RAMA2 SOI 28")</f>
        <v>BCM BCP RAMA2 SOI 28</v>
      </c>
      <c r="E454" s="1" t="str">
        <f>IFERROR(__xludf.DUMMYFUNCTION("""COMPUTED_VALUE"""),"บิ๊กซี MINI")</f>
        <v>บิ๊กซี MINI</v>
      </c>
      <c r="F454" s="1" t="str">
        <f>IFERROR(__xludf.DUMMYFUNCTION("""COMPUTED_VALUE"""),"291008")</f>
        <v>291008</v>
      </c>
      <c r="G454" s="1" t="str">
        <f>IFERROR(__xludf.DUMMYFUNCTION("""COMPUTED_VALUE"""),"น.ส.รัชดาพร อีศรัตน์")</f>
        <v>น.ส.รัชดาพร อีศรัตน์</v>
      </c>
      <c r="H454" s="1" t="str">
        <f>IFERROR(__xludf.DUMMYFUNCTION("""COMPUTED_VALUE"""),"250921")</f>
        <v>250921</v>
      </c>
      <c r="I454" s="1" t="str">
        <f>IFERROR(__xludf.DUMMYFUNCTION("""COMPUTED_VALUE"""),"นายปรัชญาวัต ถิระสังวร")</f>
        <v>นายปรัชญาวัต ถิระสังวร</v>
      </c>
      <c r="J454" s="3">
        <f>IFERROR(__xludf.DUMMYFUNCTION("""COMPUTED_VALUE"""),296728.0)</f>
        <v>296728</v>
      </c>
      <c r="K454" s="3" t="str">
        <f>IFERROR(__xludf.DUMMYFUNCTION("""COMPUTED_VALUE"""),"นายธิติ บัวทองรังสิมา")</f>
        <v>นายธิติ บัวทองรังสิมา</v>
      </c>
      <c r="L454" s="1" t="str">
        <f>IFERROR(__xludf.DUMMYFUNCTION("""COMPUTED_VALUE"""),"นายธิติ บัวทองรังสิมา")</f>
        <v>นายธิติ บัวทองรังสิมา</v>
      </c>
      <c r="M454" s="1" t="str">
        <f>IFERROR(__xludf.DUMMYFUNCTION("""COMPUTED_VALUE"""),"0920849994")</f>
        <v>0920849994</v>
      </c>
      <c r="N454" s="3">
        <f>IFERROR(__xludf.DUMMYFUNCTION("""COMPUTED_VALUE"""),21012.0)</f>
        <v>21012</v>
      </c>
      <c r="O454" s="3" t="str">
        <f>IFERROR(__xludf.DUMMYFUNCTION("""COMPUTED_VALUE"""),"MBC ท่าอิฐ")</f>
        <v>MBC ท่าอิฐ</v>
      </c>
      <c r="P454" s="4">
        <f>IFERROR(__xludf.DUMMYFUNCTION("""COMPUTED_VALUE"""),41506.0)</f>
        <v>41506</v>
      </c>
      <c r="Q454" s="3" t="str">
        <f>IFERROR(__xludf.DUMMYFUNCTION("""COMPUTED_VALUE"""),"I")</f>
        <v>I</v>
      </c>
      <c r="R454" s="3" t="str">
        <f>IFERROR(__xludf.DUMMYFUNCTION("""COMPUTED_VALUE"""),"Small Format")</f>
        <v>Small Format</v>
      </c>
      <c r="S454" s="3" t="str">
        <f>IFERROR(__xludf.DUMMYFUNCTION("""COMPUTED_VALUE"""),"BCM")</f>
        <v>BCM</v>
      </c>
      <c r="T454" s="3" t="str">
        <f>IFERROR(__xludf.DUMMYFUNCTION("""COMPUTED_VALUE"""),"#N/A")</f>
        <v>#N/A</v>
      </c>
      <c r="U454" s="3" t="str">
        <f>IFERROR(__xludf.DUMMYFUNCTION("""COMPUTED_VALUE"""),"#N/A")</f>
        <v>#N/A</v>
      </c>
      <c r="V454" s="3" t="str">
        <f>IFERROR(__xludf.DUMMYFUNCTION("""COMPUTED_VALUE"""),"N")</f>
        <v>N</v>
      </c>
      <c r="W454" s="3">
        <f>IFERROR(__xludf.DUMMYFUNCTION("""COMPUTED_VALUE"""),361064.0)</f>
        <v>361064</v>
      </c>
      <c r="X454" s="3" t="str">
        <f>IFERROR(__xludf.DUMMYFUNCTION("""COMPUTED_VALUE"""),"19/20 หมู่ 3 แขวงบางมด เขตจอมทอง กรุงเทพมหานคร 10150")</f>
        <v>19/20 หมู่ 3 แขวงบางมด เขตจอมทอง กรุงเทพมหานคร 10150</v>
      </c>
      <c r="Y454" s="3"/>
      <c r="Z454" s="3" t="str">
        <f>IFERROR(__xludf.DUMMYFUNCTION("""COMPUTED_VALUE"""),"บางมด")</f>
        <v>บางมด</v>
      </c>
      <c r="AA454" s="3" t="str">
        <f>IFERROR(__xludf.DUMMYFUNCTION("""COMPUTED_VALUE"""),"จอมทอง")</f>
        <v>จอมทอง</v>
      </c>
      <c r="AB454" s="3" t="str">
        <f>IFERROR(__xludf.DUMMYFUNCTION("""COMPUTED_VALUE"""),"กรุงเทพมหานคร")</f>
        <v>กรุงเทพมหานคร</v>
      </c>
      <c r="AC454" s="3">
        <f>IFERROR(__xludf.DUMMYFUNCTION("""COMPUTED_VALUE"""),10150.0)</f>
        <v>10150</v>
      </c>
      <c r="AD454" s="3">
        <f>IFERROR(__xludf.DUMMYFUNCTION("""COMPUTED_VALUE"""),13.683538)</f>
        <v>13.683538</v>
      </c>
      <c r="AE454" s="3">
        <f>IFERROR(__xludf.DUMMYFUNCTION("""COMPUTED_VALUE"""),100.464152)</f>
        <v>100.464152</v>
      </c>
      <c r="AF454" s="3" t="str">
        <f>IFERROR(__xludf.DUMMYFUNCTION("""COMPUTED_VALUE"""),"MBC BCP พระราม2ซ.28-21215")</f>
        <v>MBC BCP พระราม2ซ.28-21215</v>
      </c>
      <c r="AG454" s="3" t="str">
        <f>IFERROR(__xludf.DUMMYFUNCTION("""COMPUTED_VALUE"""),"กลาง")</f>
        <v>กลาง</v>
      </c>
      <c r="AH454" s="3" t="str">
        <f>IFERROR(__xludf.DUMMYFUNCTION("""COMPUTED_VALUE"""),"#N/A")</f>
        <v>#N/A</v>
      </c>
      <c r="AI454" s="3" t="str">
        <f>IFERROR(__xludf.DUMMYFUNCTION("""COMPUTED_VALUE"""),"Out of warranty")</f>
        <v>Out of warranty</v>
      </c>
      <c r="AJ454" s="3">
        <f>IFERROR(__xludf.DUMMYFUNCTION("""COMPUTED_VALUE"""),150.0)</f>
        <v>150</v>
      </c>
      <c r="AK454" s="3" t="str">
        <f>IFERROR(__xludf.DUMMYFUNCTION("""COMPUTED_VALUE"""),"MMS02")</f>
        <v>MMS02</v>
      </c>
      <c r="AL454" s="3"/>
    </row>
    <row r="455" ht="15.75" customHeight="1">
      <c r="A455" s="1" t="str">
        <f>IFERROR(__xludf.DUMMYFUNCTION("""COMPUTED_VALUE"""),"21216")</f>
        <v>21216</v>
      </c>
      <c r="B455" s="2">
        <f>IFERROR(__xludf.DUMMYFUNCTION("""COMPUTED_VALUE"""),21216.0)</f>
        <v>21216</v>
      </c>
      <c r="C455" s="3" t="str">
        <f>IFERROR(__xludf.DUMMYFUNCTION("""COMPUTED_VALUE"""),"MBC BCPกรุงเทพกรีฑา")</f>
        <v>MBC BCPกรุงเทพกรีฑา</v>
      </c>
      <c r="D455" s="3" t="str">
        <f>IFERROR(__xludf.DUMMYFUNCTION("""COMPUTED_VALUE"""),"MBC BCP KRUNGTHEPKREETHA")</f>
        <v>MBC BCP KRUNGTHEPKREETHA</v>
      </c>
      <c r="E455" s="1" t="str">
        <f>IFERROR(__xludf.DUMMYFUNCTION("""COMPUTED_VALUE"""),"บิ๊กซี MINI")</f>
        <v>บิ๊กซี MINI</v>
      </c>
      <c r="F455" s="1" t="str">
        <f>IFERROR(__xludf.DUMMYFUNCTION("""COMPUTED_VALUE"""),"291008")</f>
        <v>291008</v>
      </c>
      <c r="G455" s="1" t="str">
        <f>IFERROR(__xludf.DUMMYFUNCTION("""COMPUTED_VALUE"""),"น.ส.รัชดาพร อีศรัตน์")</f>
        <v>น.ส.รัชดาพร อีศรัตน์</v>
      </c>
      <c r="H455" s="1" t="str">
        <f>IFERROR(__xludf.DUMMYFUNCTION("""COMPUTED_VALUE"""),"034068")</f>
        <v>034068</v>
      </c>
      <c r="I455" s="1" t="str">
        <f>IFERROR(__xludf.DUMMYFUNCTION("""COMPUTED_VALUE"""),"นายสมศักดิ์ ฐานทองดี")</f>
        <v>นายสมศักดิ์ ฐานทองดี</v>
      </c>
      <c r="J455" s="3">
        <f>IFERROR(__xludf.DUMMYFUNCTION("""COMPUTED_VALUE"""),3510104.0)</f>
        <v>3510104</v>
      </c>
      <c r="K455" s="3" t="str">
        <f>IFERROR(__xludf.DUMMYFUNCTION("""COMPUTED_VALUE"""),"นายวิโรจน์ อับดุลสมัด")</f>
        <v>นายวิโรจน์ อับดุลสมัด</v>
      </c>
      <c r="L455" s="1" t="str">
        <f>IFERROR(__xludf.DUMMYFUNCTION("""COMPUTED_VALUE"""),"09 K.Wirode A")</f>
        <v>09 K.Wirode A</v>
      </c>
      <c r="M455" s="1" t="str">
        <f>IFERROR(__xludf.DUMMYFUNCTION("""COMPUTED_VALUE"""),"080-235-4465")</f>
        <v>080-235-4465</v>
      </c>
      <c r="N455" s="3">
        <f>IFERROR(__xludf.DUMMYFUNCTION("""COMPUTED_VALUE"""),21324.0)</f>
        <v>21324</v>
      </c>
      <c r="O455" s="3" t="str">
        <f>IFERROR(__xludf.DUMMYFUNCTION("""COMPUTED_VALUE"""),"MBC BCP สุวินทวงศ์")</f>
        <v>MBC BCP สุวินทวงศ์</v>
      </c>
      <c r="P455" s="4">
        <f>IFERROR(__xludf.DUMMYFUNCTION("""COMPUTED_VALUE"""),41509.0)</f>
        <v>41509</v>
      </c>
      <c r="Q455" s="3" t="str">
        <f>IFERROR(__xludf.DUMMYFUNCTION("""COMPUTED_VALUE"""),"I")</f>
        <v>I</v>
      </c>
      <c r="R455" s="3" t="str">
        <f>IFERROR(__xludf.DUMMYFUNCTION("""COMPUTED_VALUE"""),"Small Format")</f>
        <v>Small Format</v>
      </c>
      <c r="S455" s="3" t="str">
        <f>IFERROR(__xludf.DUMMYFUNCTION("""COMPUTED_VALUE"""),"BCM")</f>
        <v>BCM</v>
      </c>
      <c r="T455" s="3" t="str">
        <f>IFERROR(__xludf.DUMMYFUNCTION("""COMPUTED_VALUE"""),"#N/A")</f>
        <v>#N/A</v>
      </c>
      <c r="U455" s="3" t="str">
        <f>IFERROR(__xludf.DUMMYFUNCTION("""COMPUTED_VALUE"""),"#N/A")</f>
        <v>#N/A</v>
      </c>
      <c r="V455" s="3" t="str">
        <f>IFERROR(__xludf.DUMMYFUNCTION("""COMPUTED_VALUE"""),"N")</f>
        <v>N</v>
      </c>
      <c r="W455" s="3">
        <f>IFERROR(__xludf.DUMMYFUNCTION("""COMPUTED_VALUE"""),0.0)</f>
        <v>0</v>
      </c>
      <c r="X455" s="3" t="str">
        <f>IFERROR(__xludf.DUMMYFUNCTION("""COMPUTED_VALUE"""),"65/11 หมู่ 13 แขวงสะพานสูง เขตสะพานสูง กรุงเทพมหานคร 10240")</f>
        <v>65/11 หมู่ 13 แขวงสะพานสูง เขตสะพานสูง กรุงเทพมหานคร 10240</v>
      </c>
      <c r="Y455" s="3"/>
      <c r="Z455" s="3" t="str">
        <f>IFERROR(__xludf.DUMMYFUNCTION("""COMPUTED_VALUE"""),"สะพานสูง")</f>
        <v>สะพานสูง</v>
      </c>
      <c r="AA455" s="3" t="str">
        <f>IFERROR(__xludf.DUMMYFUNCTION("""COMPUTED_VALUE"""),"สะพานสูง")</f>
        <v>สะพานสูง</v>
      </c>
      <c r="AB455" s="3" t="str">
        <f>IFERROR(__xludf.DUMMYFUNCTION("""COMPUTED_VALUE"""),"กรุงเทพมหานคร")</f>
        <v>กรุงเทพมหานคร</v>
      </c>
      <c r="AC455" s="3">
        <f>IFERROR(__xludf.DUMMYFUNCTION("""COMPUTED_VALUE"""),10240.0)</f>
        <v>10240</v>
      </c>
      <c r="AD455" s="3" t="str">
        <f>IFERROR(__xludf.DUMMYFUNCTION("""COMPUTED_VALUE"""),"#N/A")</f>
        <v>#N/A</v>
      </c>
      <c r="AE455" s="3" t="str">
        <f>IFERROR(__xludf.DUMMYFUNCTION("""COMPUTED_VALUE"""),"#N/A")</f>
        <v>#N/A</v>
      </c>
      <c r="AF455" s="3" t="str">
        <f>IFERROR(__xludf.DUMMYFUNCTION("""COMPUTED_VALUE"""),"MBC BCPกรุงเทพกรีฑา-21216")</f>
        <v>MBC BCPกรุงเทพกรีฑา-21216</v>
      </c>
      <c r="AG455" s="3" t="str">
        <f>IFERROR(__xludf.DUMMYFUNCTION("""COMPUTED_VALUE"""),"กลาง")</f>
        <v>กลาง</v>
      </c>
      <c r="AH455" s="3" t="str">
        <f>IFERROR(__xludf.DUMMYFUNCTION("""COMPUTED_VALUE"""),"#N/A")</f>
        <v>#N/A</v>
      </c>
      <c r="AI455" s="3" t="str">
        <f>IFERROR(__xludf.DUMMYFUNCTION("""COMPUTED_VALUE"""),"Out of warranty")</f>
        <v>Out of warranty</v>
      </c>
      <c r="AJ455" s="3">
        <f>IFERROR(__xludf.DUMMYFUNCTION("""COMPUTED_VALUE"""),149.0)</f>
        <v>149</v>
      </c>
      <c r="AK455" s="3"/>
      <c r="AL455" s="3"/>
    </row>
    <row r="456" ht="15.75" customHeight="1">
      <c r="A456" s="1" t="str">
        <f>IFERROR(__xludf.DUMMYFUNCTION("""COMPUTED_VALUE"""),"21218")</f>
        <v>21218</v>
      </c>
      <c r="B456" s="2">
        <f>IFERROR(__xludf.DUMMYFUNCTION("""COMPUTED_VALUE"""),21218.0)</f>
        <v>21218</v>
      </c>
      <c r="C456" s="3" t="str">
        <f>IFERROR(__xludf.DUMMYFUNCTION("""COMPUTED_VALUE"""),"MBCตลาดบุญศรีสุวรรณ")</f>
        <v>MBCตลาดบุญศรีสุวรรณ</v>
      </c>
      <c r="D456" s="3" t="str">
        <f>IFERROR(__xludf.DUMMYFUNCTION("""COMPUTED_VALUE"""),"MBC TARAD BOONSRISUWAN")</f>
        <v>MBC TARAD BOONSRISUWAN</v>
      </c>
      <c r="E456" s="1" t="str">
        <f>IFERROR(__xludf.DUMMYFUNCTION("""COMPUTED_VALUE"""),"บิ๊กซี MINI")</f>
        <v>บิ๊กซี MINI</v>
      </c>
      <c r="F456" s="1" t="str">
        <f>IFERROR(__xludf.DUMMYFUNCTION("""COMPUTED_VALUE"""),"296229")</f>
        <v>296229</v>
      </c>
      <c r="G456" s="1" t="str">
        <f>IFERROR(__xludf.DUMMYFUNCTION("""COMPUTED_VALUE"""),"นายทนงศักดิ์ บุญมา")</f>
        <v>นายทนงศักดิ์ บุญมา</v>
      </c>
      <c r="H456" s="1" t="str">
        <f>IFERROR(__xludf.DUMMYFUNCTION("""COMPUTED_VALUE"""),"313033")</f>
        <v>313033</v>
      </c>
      <c r="I456" s="1" t="str">
        <f>IFERROR(__xludf.DUMMYFUNCTION("""COMPUTED_VALUE"""),"นายวันชัย ตรีโอสถ")</f>
        <v>นายวันชัย ตรีโอสถ</v>
      </c>
      <c r="J456" s="3">
        <f>IFERROR(__xludf.DUMMYFUNCTION("""COMPUTED_VALUE"""),46214.0)</f>
        <v>46214</v>
      </c>
      <c r="K456" s="3" t="str">
        <f>IFERROR(__xludf.DUMMYFUNCTION("""COMPUTED_VALUE"""),"นายศักดิ์ชัย เด็ดดอกฟ้า")</f>
        <v>นายศักดิ์ชัย เด็ดดอกฟ้า</v>
      </c>
      <c r="L456" s="1" t="str">
        <f>IFERROR(__xludf.DUMMYFUNCTION("""COMPUTED_VALUE"""),"02 K.Sakchai D")</f>
        <v>02 K.Sakchai D</v>
      </c>
      <c r="M456" s="1" t="str">
        <f>IFERROR(__xludf.DUMMYFUNCTION("""COMPUTED_VALUE"""),"065-510-7376")</f>
        <v>065-510-7376</v>
      </c>
      <c r="N456" s="3">
        <f>IFERROR(__xludf.DUMMYFUNCTION("""COMPUTED_VALUE"""),21441.0)</f>
        <v>21441</v>
      </c>
      <c r="O456" s="3" t="str">
        <f>IFERROR(__xludf.DUMMYFUNCTION("""COMPUTED_VALUE"""),"MBC บ้านกร่าง พิษณุโลก")</f>
        <v>MBC บ้านกร่าง พิษณุโลก</v>
      </c>
      <c r="P456" s="4">
        <f>IFERROR(__xludf.DUMMYFUNCTION("""COMPUTED_VALUE"""),41514.0)</f>
        <v>41514</v>
      </c>
      <c r="Q456" s="3" t="str">
        <f>IFERROR(__xludf.DUMMYFUNCTION("""COMPUTED_VALUE"""),"I")</f>
        <v>I</v>
      </c>
      <c r="R456" s="3" t="str">
        <f>IFERROR(__xludf.DUMMYFUNCTION("""COMPUTED_VALUE"""),"Small Format")</f>
        <v>Small Format</v>
      </c>
      <c r="S456" s="3" t="str">
        <f>IFERROR(__xludf.DUMMYFUNCTION("""COMPUTED_VALUE"""),"BCM")</f>
        <v>BCM</v>
      </c>
      <c r="T456" s="3" t="str">
        <f>IFERROR(__xludf.DUMMYFUNCTION("""COMPUTED_VALUE"""),"#N/A")</f>
        <v>#N/A</v>
      </c>
      <c r="U456" s="3" t="str">
        <f>IFERROR(__xludf.DUMMYFUNCTION("""COMPUTED_VALUE"""),"#N/A")</f>
        <v>#N/A</v>
      </c>
      <c r="V456" s="3" t="str">
        <f>IFERROR(__xludf.DUMMYFUNCTION("""COMPUTED_VALUE"""),"N")</f>
        <v>N</v>
      </c>
      <c r="W456" s="3">
        <f>IFERROR(__xludf.DUMMYFUNCTION("""COMPUTED_VALUE"""),0.0)</f>
        <v>0</v>
      </c>
      <c r="X456" s="3" t="str">
        <f>IFERROR(__xludf.DUMMYFUNCTION("""COMPUTED_VALUE"""),"1882 หมู่ 5 ตำบลดอนเจดีย์ อำเภอดอนเจดีย์ จังหวัดสุพรรณบุรี 72170")</f>
        <v>1882 หมู่ 5 ตำบลดอนเจดีย์ อำเภอดอนเจดีย์ จังหวัดสุพรรณบุรี 72170</v>
      </c>
      <c r="Y456" s="3"/>
      <c r="Z456" s="3" t="str">
        <f>IFERROR(__xludf.DUMMYFUNCTION("""COMPUTED_VALUE"""),"ดอนเจดีย์")</f>
        <v>ดอนเจดีย์</v>
      </c>
      <c r="AA456" s="3" t="str">
        <f>IFERROR(__xludf.DUMMYFUNCTION("""COMPUTED_VALUE"""),"ดอนเจดีย์")</f>
        <v>ดอนเจดีย์</v>
      </c>
      <c r="AB456" s="3" t="str">
        <f>IFERROR(__xludf.DUMMYFUNCTION("""COMPUTED_VALUE"""),"สุพรรณบุรี")</f>
        <v>สุพรรณบุรี</v>
      </c>
      <c r="AC456" s="3">
        <f>IFERROR(__xludf.DUMMYFUNCTION("""COMPUTED_VALUE"""),72170.0)</f>
        <v>72170</v>
      </c>
      <c r="AD456" s="3" t="str">
        <f>IFERROR(__xludf.DUMMYFUNCTION("""COMPUTED_VALUE"""),"#N/A")</f>
        <v>#N/A</v>
      </c>
      <c r="AE456" s="3" t="str">
        <f>IFERROR(__xludf.DUMMYFUNCTION("""COMPUTED_VALUE"""),"#N/A")</f>
        <v>#N/A</v>
      </c>
      <c r="AF456" s="3" t="str">
        <f>IFERROR(__xludf.DUMMYFUNCTION("""COMPUTED_VALUE"""),"MBCตลาดบุญศรีสุวรรณ-21218")</f>
        <v>MBCตลาดบุญศรีสุวรรณ-21218</v>
      </c>
      <c r="AG456" s="3" t="str">
        <f>IFERROR(__xludf.DUMMYFUNCTION("""COMPUTED_VALUE"""),"กลาง")</f>
        <v>กลาง</v>
      </c>
      <c r="AH456" s="3" t="str">
        <f>IFERROR(__xludf.DUMMYFUNCTION("""COMPUTED_VALUE"""),"#N/A")</f>
        <v>#N/A</v>
      </c>
      <c r="AI456" s="3" t="str">
        <f>IFERROR(__xludf.DUMMYFUNCTION("""COMPUTED_VALUE"""),"Out of warranty")</f>
        <v>Out of warranty</v>
      </c>
      <c r="AJ456" s="3">
        <f>IFERROR(__xludf.DUMMYFUNCTION("""COMPUTED_VALUE"""),149.0)</f>
        <v>149</v>
      </c>
      <c r="AK456" s="3"/>
      <c r="AL456" s="3"/>
    </row>
    <row r="457" ht="15.75" customHeight="1">
      <c r="A457" s="1" t="str">
        <f>IFERROR(__xludf.DUMMYFUNCTION("""COMPUTED_VALUE"""),"21219")</f>
        <v>21219</v>
      </c>
      <c r="B457" s="2">
        <f>IFERROR(__xludf.DUMMYFUNCTION("""COMPUTED_VALUE"""),21219.0)</f>
        <v>21219</v>
      </c>
      <c r="C457" s="3" t="str">
        <f>IFERROR(__xludf.DUMMYFUNCTION("""COMPUTED_VALUE"""),"MBC เคหะแหลมฉบัง")</f>
        <v>MBC เคหะแหลมฉบัง</v>
      </c>
      <c r="D457" s="3" t="str">
        <f>IFERROR(__xludf.DUMMYFUNCTION("""COMPUTED_VALUE"""),"BCM KEHA LEAMCHABANG")</f>
        <v>BCM KEHA LEAMCHABANG</v>
      </c>
      <c r="E457" s="1" t="str">
        <f>IFERROR(__xludf.DUMMYFUNCTION("""COMPUTED_VALUE"""),"บิ๊กซี MINI")</f>
        <v>บิ๊กซี MINI</v>
      </c>
      <c r="F457" s="1" t="str">
        <f>IFERROR(__xludf.DUMMYFUNCTION("""COMPUTED_VALUE"""),"221716")</f>
        <v>221716</v>
      </c>
      <c r="G457" s="1" t="str">
        <f>IFERROR(__xludf.DUMMYFUNCTION("""COMPUTED_VALUE"""),"น.ส.เบญจพร โพธิสาร")</f>
        <v>น.ส.เบญจพร โพธิสาร</v>
      </c>
      <c r="H457" s="1" t="str">
        <f>IFERROR(__xludf.DUMMYFUNCTION("""COMPUTED_VALUE"""),"291061")</f>
        <v>291061</v>
      </c>
      <c r="I457" s="1" t="str">
        <f>IFERROR(__xludf.DUMMYFUNCTION("""COMPUTED_VALUE"""),"นายสมศักดิ์ เสียงก้อง")</f>
        <v>นายสมศักดิ์ เสียงก้อง</v>
      </c>
      <c r="J457" s="3">
        <f>IFERROR(__xludf.DUMMYFUNCTION("""COMPUTED_VALUE"""),296942.0)</f>
        <v>296942</v>
      </c>
      <c r="K457" s="3" t="str">
        <f>IFERROR(__xludf.DUMMYFUNCTION("""COMPUTED_VALUE"""),"นายปิยะ รักษากิจ")</f>
        <v>นายปิยะ รักษากิจ</v>
      </c>
      <c r="L457" s="1" t="str">
        <f>IFERROR(__xludf.DUMMYFUNCTION("""COMPUTED_VALUE"""),"07 K.Piya R.")</f>
        <v>07 K.Piya R.</v>
      </c>
      <c r="M457" s="1" t="str">
        <f>IFERROR(__xludf.DUMMYFUNCTION("""COMPUTED_VALUE"""),"097-919-5476")</f>
        <v>097-919-5476</v>
      </c>
      <c r="N457" s="3">
        <f>IFERROR(__xludf.DUMMYFUNCTION("""COMPUTED_VALUE"""),21332.0)</f>
        <v>21332</v>
      </c>
      <c r="O457" s="3" t="str">
        <f>IFERROR(__xludf.DUMMYFUNCTION("""COMPUTED_VALUE"""),"MBC BCP อ่อนนุช 17/1")</f>
        <v>MBC BCP อ่อนนุช 17/1</v>
      </c>
      <c r="P457" s="4">
        <f>IFERROR(__xludf.DUMMYFUNCTION("""COMPUTED_VALUE"""),41516.0)</f>
        <v>41516</v>
      </c>
      <c r="Q457" s="3" t="str">
        <f>IFERROR(__xludf.DUMMYFUNCTION("""COMPUTED_VALUE"""),"A")</f>
        <v>A</v>
      </c>
      <c r="R457" s="3" t="str">
        <f>IFERROR(__xludf.DUMMYFUNCTION("""COMPUTED_VALUE"""),"Small Format")</f>
        <v>Small Format</v>
      </c>
      <c r="S457" s="3" t="str">
        <f>IFERROR(__xludf.DUMMYFUNCTION("""COMPUTED_VALUE"""),"BCM")</f>
        <v>BCM</v>
      </c>
      <c r="T457" s="3" t="str">
        <f>IFERROR(__xludf.DUMMYFUNCTION("""COMPUTED_VALUE"""),"#N/A")</f>
        <v>#N/A</v>
      </c>
      <c r="U457" s="3" t="str">
        <f>IFERROR(__xludf.DUMMYFUNCTION("""COMPUTED_VALUE"""),"#N/A")</f>
        <v>#N/A</v>
      </c>
      <c r="V457" s="3" t="str">
        <f>IFERROR(__xludf.DUMMYFUNCTION("""COMPUTED_VALUE"""),"N")</f>
        <v>N</v>
      </c>
      <c r="W457" s="3">
        <f>IFERROR(__xludf.DUMMYFUNCTION("""COMPUTED_VALUE"""),211264.0)</f>
        <v>211264</v>
      </c>
      <c r="X457" s="3" t="str">
        <f>IFERROR(__xludf.DUMMYFUNCTION("""COMPUTED_VALUE"""),"227/13-15 หมู่ 6 ตำบลบางละมุง อำเภอบางละมุง จังหวัดชลบุรี 20150")</f>
        <v>227/13-15 หมู่ 6 ตำบลบางละมุง อำเภอบางละมุง จังหวัดชลบุรี 20150</v>
      </c>
      <c r="Y457" s="3"/>
      <c r="Z457" s="3" t="str">
        <f>IFERROR(__xludf.DUMMYFUNCTION("""COMPUTED_VALUE"""),"บางละมุง")</f>
        <v>บางละมุง</v>
      </c>
      <c r="AA457" s="3" t="str">
        <f>IFERROR(__xludf.DUMMYFUNCTION("""COMPUTED_VALUE"""),"บางละมุง")</f>
        <v>บางละมุง</v>
      </c>
      <c r="AB457" s="3" t="str">
        <f>IFERROR(__xludf.DUMMYFUNCTION("""COMPUTED_VALUE"""),"ชลบุรี")</f>
        <v>ชลบุรี</v>
      </c>
      <c r="AC457" s="3">
        <f>IFERROR(__xludf.DUMMYFUNCTION("""COMPUTED_VALUE"""),20150.0)</f>
        <v>20150</v>
      </c>
      <c r="AD457" s="3">
        <f>IFERROR(__xludf.DUMMYFUNCTION("""COMPUTED_VALUE"""),13.07534)</f>
        <v>13.07534</v>
      </c>
      <c r="AE457" s="3">
        <f>IFERROR(__xludf.DUMMYFUNCTION("""COMPUTED_VALUE"""),100.935921)</f>
        <v>100.935921</v>
      </c>
      <c r="AF457" s="3" t="str">
        <f>IFERROR(__xludf.DUMMYFUNCTION("""COMPUTED_VALUE"""),"MBC เคหะแหลมฉบัง-21219")</f>
        <v>MBC เคหะแหลมฉบัง-21219</v>
      </c>
      <c r="AG457" s="3" t="str">
        <f>IFERROR(__xludf.DUMMYFUNCTION("""COMPUTED_VALUE"""),"ตะวันออก")</f>
        <v>ตะวันออก</v>
      </c>
      <c r="AH457" s="3" t="str">
        <f>IFERROR(__xludf.DUMMYFUNCTION("""COMPUTED_VALUE"""),"#N/A")</f>
        <v>#N/A</v>
      </c>
      <c r="AI457" s="3" t="str">
        <f>IFERROR(__xludf.DUMMYFUNCTION("""COMPUTED_VALUE"""),"Out of warranty")</f>
        <v>Out of warranty</v>
      </c>
      <c r="AJ457" s="3">
        <f>IFERROR(__xludf.DUMMYFUNCTION("""COMPUTED_VALUE"""),149.0)</f>
        <v>149</v>
      </c>
      <c r="AK457" s="3" t="str">
        <f>IFERROR(__xludf.DUMMYFUNCTION("""COMPUTED_VALUE"""),"MMS06")</f>
        <v>MMS06</v>
      </c>
      <c r="AL457" s="3"/>
    </row>
    <row r="458" ht="15.75" customHeight="1">
      <c r="A458" s="1" t="str">
        <f>IFERROR(__xludf.DUMMYFUNCTION("""COMPUTED_VALUE"""),"21220")</f>
        <v>21220</v>
      </c>
      <c r="B458" s="2">
        <f>IFERROR(__xludf.DUMMYFUNCTION("""COMPUTED_VALUE"""),21220.0)</f>
        <v>21220</v>
      </c>
      <c r="C458" s="3" t="str">
        <f>IFERROR(__xludf.DUMMYFUNCTION("""COMPUTED_VALUE"""),"MBC BCP พหลฯ กม.106")</f>
        <v>MBC BCP พหลฯ กม.106</v>
      </c>
      <c r="D458" s="3" t="str">
        <f>IFERROR(__xludf.DUMMYFUNCTION("""COMPUTED_VALUE"""),"BCM BCP PHAHON KM106")</f>
        <v>BCM BCP PHAHON KM106</v>
      </c>
      <c r="E458" s="1" t="str">
        <f>IFERROR(__xludf.DUMMYFUNCTION("""COMPUTED_VALUE"""),"บิ๊กซี MINI")</f>
        <v>บิ๊กซี MINI</v>
      </c>
      <c r="F458" s="1" t="str">
        <f>IFERROR(__xludf.DUMMYFUNCTION("""COMPUTED_VALUE"""),"296229")</f>
        <v>296229</v>
      </c>
      <c r="G458" s="1" t="str">
        <f>IFERROR(__xludf.DUMMYFUNCTION("""COMPUTED_VALUE"""),"นายทนงศักดิ์ บุญมา")</f>
        <v>นายทนงศักดิ์ บุญมา</v>
      </c>
      <c r="H458" s="1" t="str">
        <f>IFERROR(__xludf.DUMMYFUNCTION("""COMPUTED_VALUE"""),"318233")</f>
        <v>318233</v>
      </c>
      <c r="I458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458" s="3">
        <f>IFERROR(__xludf.DUMMYFUNCTION("""COMPUTED_VALUE"""),46214.0)</f>
        <v>46214</v>
      </c>
      <c r="K458" s="3" t="str">
        <f>IFERROR(__xludf.DUMMYFUNCTION("""COMPUTED_VALUE"""),"นายศักดิ์ชัย เด็ดดอกฟ้า")</f>
        <v>นายศักดิ์ชัย เด็ดดอกฟ้า</v>
      </c>
      <c r="L458" s="3" t="str">
        <f>IFERROR(__xludf.DUMMYFUNCTION("""COMPUTED_VALUE"""),"02 K.Sakchai D")</f>
        <v>02 K.Sakchai D</v>
      </c>
      <c r="M458" s="1" t="str">
        <f>IFERROR(__xludf.DUMMYFUNCTION("""COMPUTED_VALUE"""),"065-510-7376")</f>
        <v>065-510-7376</v>
      </c>
      <c r="N458" s="3">
        <f>IFERROR(__xludf.DUMMYFUNCTION("""COMPUTED_VALUE"""),21714.0)</f>
        <v>21714</v>
      </c>
      <c r="O458" s="3" t="str">
        <f>IFERROR(__xludf.DUMMYFUNCTION("""COMPUTED_VALUE"""),"MBC เอสโซ่ วัดโบสถ์")</f>
        <v>MBC เอสโซ่ วัดโบสถ์</v>
      </c>
      <c r="P458" s="4">
        <f>IFERROR(__xludf.DUMMYFUNCTION("""COMPUTED_VALUE"""),41516.0)</f>
        <v>41516</v>
      </c>
      <c r="Q458" s="3" t="str">
        <f>IFERROR(__xludf.DUMMYFUNCTION("""COMPUTED_VALUE"""),"I")</f>
        <v>I</v>
      </c>
      <c r="R458" s="3" t="str">
        <f>IFERROR(__xludf.DUMMYFUNCTION("""COMPUTED_VALUE"""),"Small Format")</f>
        <v>Small Format</v>
      </c>
      <c r="S458" s="3" t="str">
        <f>IFERROR(__xludf.DUMMYFUNCTION("""COMPUTED_VALUE"""),"BCM")</f>
        <v>BCM</v>
      </c>
      <c r="T458" s="3" t="str">
        <f>IFERROR(__xludf.DUMMYFUNCTION("""COMPUTED_VALUE"""),"#N/A")</f>
        <v>#N/A</v>
      </c>
      <c r="U458" s="3" t="str">
        <f>IFERROR(__xludf.DUMMYFUNCTION("""COMPUTED_VALUE"""),"#N/A")</f>
        <v>#N/A</v>
      </c>
      <c r="V458" s="3" t="str">
        <f>IFERROR(__xludf.DUMMYFUNCTION("""COMPUTED_VALUE"""),"N")</f>
        <v>N</v>
      </c>
      <c r="W458" s="3">
        <f>IFERROR(__xludf.DUMMYFUNCTION("""COMPUTED_VALUE"""),361069.0)</f>
        <v>361069</v>
      </c>
      <c r="X458" s="3" t="str">
        <f>IFERROR(__xludf.DUMMYFUNCTION("""COMPUTED_VALUE"""),"121/2 ถนนพหลโยธิน ตำบลปากเพรียว อำเภอเมืองสระบุรี จังหวัดสระบุรี 18000")</f>
        <v>121/2 ถนนพหลโยธิน ตำบลปากเพรียว อำเภอเมืองสระบุรี จังหวัดสระบุรี 18000</v>
      </c>
      <c r="Y458" s="3" t="str">
        <f>IFERROR(__xludf.DUMMYFUNCTION("""COMPUTED_VALUE"""),"ถนนพหลโยธิน")</f>
        <v>ถนนพหลโยธิน</v>
      </c>
      <c r="Z458" s="3" t="str">
        <f>IFERROR(__xludf.DUMMYFUNCTION("""COMPUTED_VALUE"""),"ปากเพรียว")</f>
        <v>ปากเพรียว</v>
      </c>
      <c r="AA458" s="3" t="str">
        <f>IFERROR(__xludf.DUMMYFUNCTION("""COMPUTED_VALUE"""),"เมือง")</f>
        <v>เมือง</v>
      </c>
      <c r="AB458" s="3" t="str">
        <f>IFERROR(__xludf.DUMMYFUNCTION("""COMPUTED_VALUE"""),"สระบุรี")</f>
        <v>สระบุรี</v>
      </c>
      <c r="AC458" s="3">
        <f>IFERROR(__xludf.DUMMYFUNCTION("""COMPUTED_VALUE"""),18000.0)</f>
        <v>18000</v>
      </c>
      <c r="AD458" s="3">
        <f>IFERROR(__xludf.DUMMYFUNCTION("""COMPUTED_VALUE"""),14.518243)</f>
        <v>14.518243</v>
      </c>
      <c r="AE458" s="3">
        <f>IFERROR(__xludf.DUMMYFUNCTION("""COMPUTED_VALUE"""),100.914442)</f>
        <v>100.914442</v>
      </c>
      <c r="AF458" s="3" t="str">
        <f>IFERROR(__xludf.DUMMYFUNCTION("""COMPUTED_VALUE"""),"MBC BCP พหลฯ กม.106-21220")</f>
        <v>MBC BCP พหลฯ กม.106-21220</v>
      </c>
      <c r="AG458" s="3" t="str">
        <f>IFERROR(__xludf.DUMMYFUNCTION("""COMPUTED_VALUE"""),"กลาง")</f>
        <v>กลาง</v>
      </c>
      <c r="AH458" s="3" t="str">
        <f>IFERROR(__xludf.DUMMYFUNCTION("""COMPUTED_VALUE"""),"#N/A")</f>
        <v>#N/A</v>
      </c>
      <c r="AI458" s="3" t="str">
        <f>IFERROR(__xludf.DUMMYFUNCTION("""COMPUTED_VALUE"""),"Out of warranty")</f>
        <v>Out of warranty</v>
      </c>
      <c r="AJ458" s="3">
        <f>IFERROR(__xludf.DUMMYFUNCTION("""COMPUTED_VALUE"""),149.0)</f>
        <v>149</v>
      </c>
      <c r="AK458" s="3" t="str">
        <f>IFERROR(__xludf.DUMMYFUNCTION("""COMPUTED_VALUE"""),"MMS09")</f>
        <v>MMS09</v>
      </c>
      <c r="AL458" s="3"/>
    </row>
    <row r="459" ht="15.75" customHeight="1">
      <c r="A459" s="1" t="str">
        <f>IFERROR(__xludf.DUMMYFUNCTION("""COMPUTED_VALUE"""),"21221")</f>
        <v>21221</v>
      </c>
      <c r="B459" s="2">
        <f>IFERROR(__xludf.DUMMYFUNCTION("""COMPUTED_VALUE"""),21221.0)</f>
        <v>21221</v>
      </c>
      <c r="C459" s="3" t="str">
        <f>IFERROR(__xludf.DUMMYFUNCTION("""COMPUTED_VALUE"""),"MBC นาจอมเทียน 13")</f>
        <v>MBC นาจอมเทียน 13</v>
      </c>
      <c r="D459" s="3" t="str">
        <f>IFERROR(__xludf.DUMMYFUNCTION("""COMPUTED_VALUE"""),"BCM NA JOMTIEN 13")</f>
        <v>BCM NA JOMTIEN 13</v>
      </c>
      <c r="E459" s="1" t="str">
        <f>IFERROR(__xludf.DUMMYFUNCTION("""COMPUTED_VALUE"""),"บิ๊กซี MINI")</f>
        <v>บิ๊กซี MINI</v>
      </c>
      <c r="F459" s="1" t="str">
        <f>IFERROR(__xludf.DUMMYFUNCTION("""COMPUTED_VALUE"""),"221716")</f>
        <v>221716</v>
      </c>
      <c r="G459" s="1" t="str">
        <f>IFERROR(__xludf.DUMMYFUNCTION("""COMPUTED_VALUE"""),"น.ส.เบญจพร โพธิสาร")</f>
        <v>น.ส.เบญจพร โพธิสาร</v>
      </c>
      <c r="H459" s="1" t="str">
        <f>IFERROR(__xludf.DUMMYFUNCTION("""COMPUTED_VALUE"""),"313065")</f>
        <v>313065</v>
      </c>
      <c r="I459" s="1" t="str">
        <f>IFERROR(__xludf.DUMMYFUNCTION("""COMPUTED_VALUE"""),"นายจิรายุทธ กันทา")</f>
        <v>นายจิรายุทธ กันทา</v>
      </c>
      <c r="J459" s="3">
        <f>IFERROR(__xludf.DUMMYFUNCTION("""COMPUTED_VALUE"""),1.3461215E7)</f>
        <v>13461215</v>
      </c>
      <c r="K459" s="3" t="str">
        <f>IFERROR(__xludf.DUMMYFUNCTION("""COMPUTED_VALUE"""),"นายธีรภัทร สังข์เงิน")</f>
        <v>นายธีรภัทร สังข์เงิน</v>
      </c>
      <c r="L459" s="1" t="str">
        <f>IFERROR(__xludf.DUMMYFUNCTION("""COMPUTED_VALUE"""),"06 K.Teerapat")</f>
        <v>06 K.Teerapat</v>
      </c>
      <c r="M459" s="1" t="str">
        <f>IFERROR(__xludf.DUMMYFUNCTION("""COMPUTED_VALUE"""),"063-601-6803")</f>
        <v>063-601-6803</v>
      </c>
      <c r="N459" s="3">
        <f>IFERROR(__xludf.DUMMYFUNCTION("""COMPUTED_VALUE"""),22115.0)</f>
        <v>22115</v>
      </c>
      <c r="O459" s="3" t="str">
        <f>IFERROR(__xludf.DUMMYFUNCTION("""COMPUTED_VALUE"""),"MBC เลี่ยงหนองมน ชลบุรี")</f>
        <v>MBC เลี่ยงหนองมน ชลบุรี</v>
      </c>
      <c r="P459" s="4">
        <f>IFERROR(__xludf.DUMMYFUNCTION("""COMPUTED_VALUE"""),41517.0)</f>
        <v>41517</v>
      </c>
      <c r="Q459" s="3" t="str">
        <f>IFERROR(__xludf.DUMMYFUNCTION("""COMPUTED_VALUE"""),"A")</f>
        <v>A</v>
      </c>
      <c r="R459" s="3" t="str">
        <f>IFERROR(__xludf.DUMMYFUNCTION("""COMPUTED_VALUE"""),"Small Format")</f>
        <v>Small Format</v>
      </c>
      <c r="S459" s="3" t="str">
        <f>IFERROR(__xludf.DUMMYFUNCTION("""COMPUTED_VALUE"""),"BCM")</f>
        <v>BCM</v>
      </c>
      <c r="T459" s="3" t="str">
        <f>IFERROR(__xludf.DUMMYFUNCTION("""COMPUTED_VALUE"""),"#N/A")</f>
        <v>#N/A</v>
      </c>
      <c r="U459" s="3" t="str">
        <f>IFERROR(__xludf.DUMMYFUNCTION("""COMPUTED_VALUE"""),"#N/A")</f>
        <v>#N/A</v>
      </c>
      <c r="V459" s="3" t="str">
        <f>IFERROR(__xludf.DUMMYFUNCTION("""COMPUTED_VALUE"""),"N")</f>
        <v>N</v>
      </c>
      <c r="W459" s="3">
        <f>IFERROR(__xludf.DUMMYFUNCTION("""COMPUTED_VALUE"""),211262.0)</f>
        <v>211262</v>
      </c>
      <c r="X459" s="3" t="str">
        <f>IFERROR(__xludf.DUMMYFUNCTION("""COMPUTED_VALUE"""),"33/63-65 หมู่ 7 ตำบลห้วยใหญ่ อำเภอบางละมุง จังหวัดชลบุรี 20150")</f>
        <v>33/63-65 หมู่ 7 ตำบลห้วยใหญ่ อำเภอบางละมุง จังหวัดชลบุรี 20150</v>
      </c>
      <c r="Y459" s="3"/>
      <c r="Z459" s="3" t="str">
        <f>IFERROR(__xludf.DUMMYFUNCTION("""COMPUTED_VALUE"""),"ห้วยใหญ่")</f>
        <v>ห้วยใหญ่</v>
      </c>
      <c r="AA459" s="3" t="str">
        <f>IFERROR(__xludf.DUMMYFUNCTION("""COMPUTED_VALUE"""),"บางละมุง")</f>
        <v>บางละมุง</v>
      </c>
      <c r="AB459" s="3" t="str">
        <f>IFERROR(__xludf.DUMMYFUNCTION("""COMPUTED_VALUE"""),"ชลบุรี")</f>
        <v>ชลบุรี</v>
      </c>
      <c r="AC459" s="3">
        <f>IFERROR(__xludf.DUMMYFUNCTION("""COMPUTED_VALUE"""),20150.0)</f>
        <v>20150</v>
      </c>
      <c r="AD459" s="3">
        <f>IFERROR(__xludf.DUMMYFUNCTION("""COMPUTED_VALUE"""),12.824083)</f>
        <v>12.824083</v>
      </c>
      <c r="AE459" s="3">
        <f>IFERROR(__xludf.DUMMYFUNCTION("""COMPUTED_VALUE"""),100.926007)</f>
        <v>100.926007</v>
      </c>
      <c r="AF459" s="3" t="str">
        <f>IFERROR(__xludf.DUMMYFUNCTION("""COMPUTED_VALUE"""),"MBC นาจอมเทียน 13-21221")</f>
        <v>MBC นาจอมเทียน 13-21221</v>
      </c>
      <c r="AG459" s="3" t="str">
        <f>IFERROR(__xludf.DUMMYFUNCTION("""COMPUTED_VALUE"""),"ตะวันออก")</f>
        <v>ตะวันออก</v>
      </c>
      <c r="AH459" s="3" t="str">
        <f>IFERROR(__xludf.DUMMYFUNCTION("""COMPUTED_VALUE"""),"#N/A")</f>
        <v>#N/A</v>
      </c>
      <c r="AI459" s="3" t="str">
        <f>IFERROR(__xludf.DUMMYFUNCTION("""COMPUTED_VALUE"""),"Out of warranty")</f>
        <v>Out of warranty</v>
      </c>
      <c r="AJ459" s="3">
        <f>IFERROR(__xludf.DUMMYFUNCTION("""COMPUTED_VALUE"""),149.0)</f>
        <v>149</v>
      </c>
      <c r="AK459" s="3" t="str">
        <f>IFERROR(__xludf.DUMMYFUNCTION("""COMPUTED_VALUE"""),"MMS08")</f>
        <v>MMS08</v>
      </c>
      <c r="AL459" s="3"/>
    </row>
    <row r="460" ht="15.75" customHeight="1">
      <c r="A460" s="1" t="str">
        <f>IFERROR(__xludf.DUMMYFUNCTION("""COMPUTED_VALUE"""),"21222")</f>
        <v>21222</v>
      </c>
      <c r="B460" s="2">
        <f>IFERROR(__xludf.DUMMYFUNCTION("""COMPUTED_VALUE"""),21222.0)</f>
        <v>21222</v>
      </c>
      <c r="C460" s="3" t="str">
        <f>IFERROR(__xludf.DUMMYFUNCTION("""COMPUTED_VALUE"""),"MBC BCP อิสรภาพ")</f>
        <v>MBC BCP อิสรภาพ</v>
      </c>
      <c r="D460" s="3" t="str">
        <f>IFERROR(__xludf.DUMMYFUNCTION("""COMPUTED_VALUE"""),"BCM BCP ISSARAPHAP")</f>
        <v>BCM BCP ISSARAPHAP</v>
      </c>
      <c r="E460" s="1" t="str">
        <f>IFERROR(__xludf.DUMMYFUNCTION("""COMPUTED_VALUE"""),"บิ๊กซี MINI")</f>
        <v>บิ๊กซี MINI</v>
      </c>
      <c r="F460" s="1" t="str">
        <f>IFERROR(__xludf.DUMMYFUNCTION("""COMPUTED_VALUE"""),"291008")</f>
        <v>291008</v>
      </c>
      <c r="G460" s="1" t="str">
        <f>IFERROR(__xludf.DUMMYFUNCTION("""COMPUTED_VALUE"""),"น.ส.รัชดาพร อีศรัตน์")</f>
        <v>น.ส.รัชดาพร อีศรัตน์</v>
      </c>
      <c r="H460" s="1" t="str">
        <f>IFERROR(__xludf.DUMMYFUNCTION("""COMPUTED_VALUE"""),"291101")</f>
        <v>291101</v>
      </c>
      <c r="I460" s="1" t="str">
        <f>IFERROR(__xludf.DUMMYFUNCTION("""COMPUTED_VALUE"""),"นายจักรพงศ์ โพธิ์ศรี")</f>
        <v>นายจักรพงศ์ โพธิ์ศรี</v>
      </c>
      <c r="J460" s="3">
        <f>IFERROR(__xludf.DUMMYFUNCTION("""COMPUTED_VALUE"""),296608.0)</f>
        <v>296608</v>
      </c>
      <c r="K460" s="3" t="str">
        <f>IFERROR(__xludf.DUMMYFUNCTION("""COMPUTED_VALUE"""),"นายภาคภูมิ เพ็ชรนิล")</f>
        <v>นายภาคภูมิ เพ็ชรนิล</v>
      </c>
      <c r="L460" s="1" t="str">
        <f>IFERROR(__xludf.DUMMYFUNCTION("""COMPUTED_VALUE"""),"10 K.Phakphoom P.")</f>
        <v>10 K.Phakphoom P.</v>
      </c>
      <c r="M460" s="1" t="str">
        <f>IFERROR(__xludf.DUMMYFUNCTION("""COMPUTED_VALUE"""),"063-8955329")</f>
        <v>063-8955329</v>
      </c>
      <c r="N460" s="3">
        <f>IFERROR(__xludf.DUMMYFUNCTION("""COMPUTED_VALUE"""),22584.0)</f>
        <v>22584</v>
      </c>
      <c r="O460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460" s="4">
        <f>IFERROR(__xludf.DUMMYFUNCTION("""COMPUTED_VALUE"""),41517.0)</f>
        <v>41517</v>
      </c>
      <c r="Q460" s="3" t="str">
        <f>IFERROR(__xludf.DUMMYFUNCTION("""COMPUTED_VALUE"""),"A")</f>
        <v>A</v>
      </c>
      <c r="R460" s="3" t="str">
        <f>IFERROR(__xludf.DUMMYFUNCTION("""COMPUTED_VALUE"""),"Small Format")</f>
        <v>Small Format</v>
      </c>
      <c r="S460" s="3" t="str">
        <f>IFERROR(__xludf.DUMMYFUNCTION("""COMPUTED_VALUE"""),"BCM")</f>
        <v>BCM</v>
      </c>
      <c r="T460" s="3" t="str">
        <f>IFERROR(__xludf.DUMMYFUNCTION("""COMPUTED_VALUE"""),"#N/A")</f>
        <v>#N/A</v>
      </c>
      <c r="U460" s="3" t="str">
        <f>IFERROR(__xludf.DUMMYFUNCTION("""COMPUTED_VALUE"""),"#N/A")</f>
        <v>#N/A</v>
      </c>
      <c r="V460" s="3" t="str">
        <f>IFERROR(__xludf.DUMMYFUNCTION("""COMPUTED_VALUE"""),"N")</f>
        <v>N</v>
      </c>
      <c r="W460" s="3">
        <f>IFERROR(__xludf.DUMMYFUNCTION("""COMPUTED_VALUE"""),361053.0)</f>
        <v>361053</v>
      </c>
      <c r="X460" s="3" t="str">
        <f>IFERROR(__xludf.DUMMYFUNCTION("""COMPUTED_VALUE"""),"178/16 ถนนอิสรภาพ แขวงสมเด็จเจ้าพระยา เขตคลองสาน กรุงเทพมหานคร 10600")</f>
        <v>178/16 ถนนอิสรภาพ แขวงสมเด็จเจ้าพระยา เขตคลองสาน กรุงเทพมหานคร 10600</v>
      </c>
      <c r="Y460" s="3" t="str">
        <f>IFERROR(__xludf.DUMMYFUNCTION("""COMPUTED_VALUE"""),"ถนนอิสรภาพ")</f>
        <v>ถนนอิสรภาพ</v>
      </c>
      <c r="Z460" s="3" t="str">
        <f>IFERROR(__xludf.DUMMYFUNCTION("""COMPUTED_VALUE"""),"สมเด็จเจ้าพระยา")</f>
        <v>สมเด็จเจ้าพระยา</v>
      </c>
      <c r="AA460" s="3" t="str">
        <f>IFERROR(__xludf.DUMMYFUNCTION("""COMPUTED_VALUE"""),"คลองสาน")</f>
        <v>คลองสาน</v>
      </c>
      <c r="AB460" s="3" t="str">
        <f>IFERROR(__xludf.DUMMYFUNCTION("""COMPUTED_VALUE"""),"กรุงเทพมหานคร")</f>
        <v>กรุงเทพมหานคร</v>
      </c>
      <c r="AC460" s="3">
        <f>IFERROR(__xludf.DUMMYFUNCTION("""COMPUTED_VALUE"""),10600.0)</f>
        <v>10600</v>
      </c>
      <c r="AD460" s="3">
        <f>IFERROR(__xludf.DUMMYFUNCTION("""COMPUTED_VALUE"""),13.729031)</f>
        <v>13.729031</v>
      </c>
      <c r="AE460" s="3">
        <f>IFERROR(__xludf.DUMMYFUNCTION("""COMPUTED_VALUE"""),100.499421)</f>
        <v>100.499421</v>
      </c>
      <c r="AF460" s="3" t="str">
        <f>IFERROR(__xludf.DUMMYFUNCTION("""COMPUTED_VALUE"""),"MBC BCP อิสรภาพ-21222")</f>
        <v>MBC BCP อิสรภาพ-21222</v>
      </c>
      <c r="AG460" s="3" t="str">
        <f>IFERROR(__xludf.DUMMYFUNCTION("""COMPUTED_VALUE"""),"กลาง")</f>
        <v>กลาง</v>
      </c>
      <c r="AH460" s="3" t="str">
        <f>IFERROR(__xludf.DUMMYFUNCTION("""COMPUTED_VALUE"""),"#N/A")</f>
        <v>#N/A</v>
      </c>
      <c r="AI460" s="3" t="str">
        <f>IFERROR(__xludf.DUMMYFUNCTION("""COMPUTED_VALUE"""),"Out of warranty")</f>
        <v>Out of warranty</v>
      </c>
      <c r="AJ460" s="3">
        <f>IFERROR(__xludf.DUMMYFUNCTION("""COMPUTED_VALUE"""),149.0)</f>
        <v>149</v>
      </c>
      <c r="AK460" s="3" t="str">
        <f>IFERROR(__xludf.DUMMYFUNCTION("""COMPUTED_VALUE"""),"MMS02")</f>
        <v>MMS02</v>
      </c>
      <c r="AL460" s="3"/>
    </row>
    <row r="461" ht="15.75" customHeight="1">
      <c r="A461" s="1" t="str">
        <f>IFERROR(__xludf.DUMMYFUNCTION("""COMPUTED_VALUE"""),"21223")</f>
        <v>21223</v>
      </c>
      <c r="B461" s="2">
        <f>IFERROR(__xludf.DUMMYFUNCTION("""COMPUTED_VALUE"""),21223.0)</f>
        <v>21223</v>
      </c>
      <c r="C461" s="3" t="str">
        <f>IFERROR(__xludf.DUMMYFUNCTION("""COMPUTED_VALUE"""),"MBC สน.โคกคราม")</f>
        <v>MBC สน.โคกคราม</v>
      </c>
      <c r="D461" s="3" t="str">
        <f>IFERROR(__xludf.DUMMYFUNCTION("""COMPUTED_VALUE"""),"BCM SOR NOR KOKKRAM")</f>
        <v>BCM SOR NOR KOKKRAM</v>
      </c>
      <c r="E461" s="1" t="str">
        <f>IFERROR(__xludf.DUMMYFUNCTION("""COMPUTED_VALUE"""),"บิ๊กซี MINI")</f>
        <v>บิ๊กซี MINI</v>
      </c>
      <c r="F461" s="1" t="str">
        <f>IFERROR(__xludf.DUMMYFUNCTION("""COMPUTED_VALUE"""),"291008")</f>
        <v>291008</v>
      </c>
      <c r="G461" s="1" t="str">
        <f>IFERROR(__xludf.DUMMYFUNCTION("""COMPUTED_VALUE"""),"น.ส.รัชดาพร อีศรัตน์")</f>
        <v>น.ส.รัชดาพร อีศรัตน์</v>
      </c>
      <c r="H461" s="1" t="str">
        <f>IFERROR(__xludf.DUMMYFUNCTION("""COMPUTED_VALUE"""),"288639")</f>
        <v>288639</v>
      </c>
      <c r="I461" s="1" t="str">
        <f>IFERROR(__xludf.DUMMYFUNCTION("""COMPUTED_VALUE"""),"น.ส.สมหญิง สีชมภู")</f>
        <v>น.ส.สมหญิง สีชมภู</v>
      </c>
      <c r="J461" s="3">
        <f>IFERROR(__xludf.DUMMYFUNCTION("""COMPUTED_VALUE"""),3510104.0)</f>
        <v>3510104</v>
      </c>
      <c r="K461" s="3" t="str">
        <f>IFERROR(__xludf.DUMMYFUNCTION("""COMPUTED_VALUE"""),"นายวิโรจน์ อับดุลสมัด")</f>
        <v>นายวิโรจน์ อับดุลสมัด</v>
      </c>
      <c r="L461" s="1" t="str">
        <f>IFERROR(__xludf.DUMMYFUNCTION("""COMPUTED_VALUE"""),"09 K.Wirode A")</f>
        <v>09 K.Wirode A</v>
      </c>
      <c r="M461" s="1" t="str">
        <f>IFERROR(__xludf.DUMMYFUNCTION("""COMPUTED_VALUE"""),"080-235-4465")</f>
        <v>080-235-4465</v>
      </c>
      <c r="N461" s="3">
        <f>IFERROR(__xludf.DUMMYFUNCTION("""COMPUTED_VALUE"""),21324.0)</f>
        <v>21324</v>
      </c>
      <c r="O461" s="3" t="str">
        <f>IFERROR(__xludf.DUMMYFUNCTION("""COMPUTED_VALUE"""),"MBC BCP สุวินทวงศ์")</f>
        <v>MBC BCP สุวินทวงศ์</v>
      </c>
      <c r="P461" s="4">
        <f>IFERROR(__xludf.DUMMYFUNCTION("""COMPUTED_VALUE"""),41517.0)</f>
        <v>41517</v>
      </c>
      <c r="Q461" s="3" t="str">
        <f>IFERROR(__xludf.DUMMYFUNCTION("""COMPUTED_VALUE"""),"A")</f>
        <v>A</v>
      </c>
      <c r="R461" s="3" t="str">
        <f>IFERROR(__xludf.DUMMYFUNCTION("""COMPUTED_VALUE"""),"Small Format")</f>
        <v>Small Format</v>
      </c>
      <c r="S461" s="3" t="str">
        <f>IFERROR(__xludf.DUMMYFUNCTION("""COMPUTED_VALUE"""),"BCM")</f>
        <v>BCM</v>
      </c>
      <c r="T461" s="3" t="str">
        <f>IFERROR(__xludf.DUMMYFUNCTION("""COMPUTED_VALUE"""),"#N/A")</f>
        <v>#N/A</v>
      </c>
      <c r="U461" s="3" t="str">
        <f>IFERROR(__xludf.DUMMYFUNCTION("""COMPUTED_VALUE"""),"#N/A")</f>
        <v>#N/A</v>
      </c>
      <c r="V461" s="3" t="str">
        <f>IFERROR(__xludf.DUMMYFUNCTION("""COMPUTED_VALUE"""),"N")</f>
        <v>N</v>
      </c>
      <c r="W461" s="3">
        <f>IFERROR(__xludf.DUMMYFUNCTION("""COMPUTED_VALUE"""),211204.0)</f>
        <v>211204</v>
      </c>
      <c r="X461" s="3" t="str">
        <f>IFERROR(__xludf.DUMMYFUNCTION("""COMPUTED_VALUE"""),"198 ซอยนวลจันทร์ 36 แขวงนวลจันทร์ เขตบึงกุ่ม กรุงเทพมหานคร 10230")</f>
        <v>198 ซอยนวลจันทร์ 36 แขวงนวลจันทร์ เขตบึงกุ่ม กรุงเทพมหานคร 10230</v>
      </c>
      <c r="Y461" s="3" t="str">
        <f>IFERROR(__xludf.DUMMYFUNCTION("""COMPUTED_VALUE"""),"ซอยนวลจันทร์")</f>
        <v>ซอยนวลจันทร์</v>
      </c>
      <c r="Z461" s="3" t="str">
        <f>IFERROR(__xludf.DUMMYFUNCTION("""COMPUTED_VALUE"""),"นวลจันทร์")</f>
        <v>นวลจันทร์</v>
      </c>
      <c r="AA461" s="3" t="str">
        <f>IFERROR(__xludf.DUMMYFUNCTION("""COMPUTED_VALUE"""),"บึงกุ่ม")</f>
        <v>บึงกุ่ม</v>
      </c>
      <c r="AB461" s="3" t="str">
        <f>IFERROR(__xludf.DUMMYFUNCTION("""COMPUTED_VALUE"""),"กรุงเทพมหานคร")</f>
        <v>กรุงเทพมหานคร</v>
      </c>
      <c r="AC461" s="3">
        <f>IFERROR(__xludf.DUMMYFUNCTION("""COMPUTED_VALUE"""),10230.0)</f>
        <v>10230</v>
      </c>
      <c r="AD461" s="3">
        <f>IFERROR(__xludf.DUMMYFUNCTION("""COMPUTED_VALUE"""),13.830642)</f>
        <v>13.830642</v>
      </c>
      <c r="AE461" s="3">
        <f>IFERROR(__xludf.DUMMYFUNCTION("""COMPUTED_VALUE"""),100.649783)</f>
        <v>100.649783</v>
      </c>
      <c r="AF461" s="3" t="str">
        <f>IFERROR(__xludf.DUMMYFUNCTION("""COMPUTED_VALUE"""),"MBC สน.โคกคราม-21223")</f>
        <v>MBC สน.โคกคราม-21223</v>
      </c>
      <c r="AG461" s="3" t="str">
        <f>IFERROR(__xludf.DUMMYFUNCTION("""COMPUTED_VALUE"""),"กลาง")</f>
        <v>กลาง</v>
      </c>
      <c r="AH461" s="3" t="str">
        <f>IFERROR(__xludf.DUMMYFUNCTION("""COMPUTED_VALUE"""),"#N/A")</f>
        <v>#N/A</v>
      </c>
      <c r="AI461" s="3" t="str">
        <f>IFERROR(__xludf.DUMMYFUNCTION("""COMPUTED_VALUE"""),"Out of warranty")</f>
        <v>Out of warranty</v>
      </c>
      <c r="AJ461" s="3">
        <f>IFERROR(__xludf.DUMMYFUNCTION("""COMPUTED_VALUE"""),149.0)</f>
        <v>149</v>
      </c>
      <c r="AK461" s="3" t="str">
        <f>IFERROR(__xludf.DUMMYFUNCTION("""COMPUTED_VALUE"""),"MMS01")</f>
        <v>MMS01</v>
      </c>
      <c r="AL461" s="3"/>
    </row>
    <row r="462" ht="15.75" customHeight="1">
      <c r="A462" s="1" t="str">
        <f>IFERROR(__xludf.DUMMYFUNCTION("""COMPUTED_VALUE"""),"21224")</f>
        <v>21224</v>
      </c>
      <c r="B462" s="2">
        <f>IFERROR(__xludf.DUMMYFUNCTION("""COMPUTED_VALUE"""),21224.0)</f>
        <v>21224</v>
      </c>
      <c r="C462" s="3" t="str">
        <f>IFERROR(__xludf.DUMMYFUNCTION("""COMPUTED_VALUE"""),"MBC นิคมลาดกระบัง")</f>
        <v>MBC นิคมลาดกระบัง</v>
      </c>
      <c r="D462" s="3" t="str">
        <f>IFERROR(__xludf.DUMMYFUNCTION("""COMPUTED_VALUE"""),"BCM NIKOM LADKRABANG")</f>
        <v>BCM NIKOM LADKRABANG</v>
      </c>
      <c r="E462" s="1" t="str">
        <f>IFERROR(__xludf.DUMMYFUNCTION("""COMPUTED_VALUE"""),"บิ๊กซี MINI")</f>
        <v>บิ๊กซี MINI</v>
      </c>
      <c r="F462" s="1" t="str">
        <f>IFERROR(__xludf.DUMMYFUNCTION("""COMPUTED_VALUE"""),"291008")</f>
        <v>291008</v>
      </c>
      <c r="G462" s="1" t="str">
        <f>IFERROR(__xludf.DUMMYFUNCTION("""COMPUTED_VALUE"""),"น.ส.รัชดาพร อีศรัตน์")</f>
        <v>น.ส.รัชดาพร อีศรัตน์</v>
      </c>
      <c r="H462" s="1" t="str">
        <f>IFERROR(__xludf.DUMMYFUNCTION("""COMPUTED_VALUE"""),"359054")</f>
        <v>359054</v>
      </c>
      <c r="I462" s="1" t="str">
        <f>IFERROR(__xludf.DUMMYFUNCTION("""COMPUTED_VALUE"""),"น.ส.กรรณิการ์ พุทธวงค์")</f>
        <v>น.ส.กรรณิการ์ พุทธวงค์</v>
      </c>
      <c r="J462" s="3">
        <f>IFERROR(__xludf.DUMMYFUNCTION("""COMPUTED_VALUE"""),2452378.0)</f>
        <v>2452378</v>
      </c>
      <c r="K462" s="3" t="str">
        <f>IFERROR(__xludf.DUMMYFUNCTION("""COMPUTED_VALUE"""),"นายศักดิ์ดา พวงประดับ")</f>
        <v>นายศักดิ์ดา พวงประดับ</v>
      </c>
      <c r="L462" s="1" t="str">
        <f>IFERROR(__xludf.DUMMYFUNCTION("""COMPUTED_VALUE"""),"11 K.Sakda P.")</f>
        <v>11 K.Sakda P.</v>
      </c>
      <c r="M462" s="1" t="str">
        <f>IFERROR(__xludf.DUMMYFUNCTION("""COMPUTED_VALUE"""),"065-929-1279")</f>
        <v>065-929-1279</v>
      </c>
      <c r="N462" s="3">
        <f>IFERROR(__xludf.DUMMYFUNCTION("""COMPUTED_VALUE"""),21002.0)</f>
        <v>21002</v>
      </c>
      <c r="O462" s="3" t="str">
        <f>IFERROR(__xludf.DUMMYFUNCTION("""COMPUTED_VALUE"""),"MBC อุดมสุข")</f>
        <v>MBC อุดมสุข</v>
      </c>
      <c r="P462" s="4">
        <f>IFERROR(__xludf.DUMMYFUNCTION("""COMPUTED_VALUE"""),41519.0)</f>
        <v>41519</v>
      </c>
      <c r="Q462" s="3" t="str">
        <f>IFERROR(__xludf.DUMMYFUNCTION("""COMPUTED_VALUE"""),"A")</f>
        <v>A</v>
      </c>
      <c r="R462" s="3" t="str">
        <f>IFERROR(__xludf.DUMMYFUNCTION("""COMPUTED_VALUE"""),"Small Format")</f>
        <v>Small Format</v>
      </c>
      <c r="S462" s="3" t="str">
        <f>IFERROR(__xludf.DUMMYFUNCTION("""COMPUTED_VALUE"""),"BCM")</f>
        <v>BCM</v>
      </c>
      <c r="T462" s="3" t="str">
        <f>IFERROR(__xludf.DUMMYFUNCTION("""COMPUTED_VALUE"""),"#N/A")</f>
        <v>#N/A</v>
      </c>
      <c r="U462" s="3" t="str">
        <f>IFERROR(__xludf.DUMMYFUNCTION("""COMPUTED_VALUE"""),"#N/A")</f>
        <v>#N/A</v>
      </c>
      <c r="V462" s="3" t="str">
        <f>IFERROR(__xludf.DUMMYFUNCTION("""COMPUTED_VALUE"""),"N")</f>
        <v>N</v>
      </c>
      <c r="W462" s="3">
        <f>IFERROR(__xludf.DUMMYFUNCTION("""COMPUTED_VALUE"""),211251.0)</f>
        <v>211251</v>
      </c>
      <c r="X462" s="3" t="str">
        <f>IFERROR(__xludf.DUMMYFUNCTION("""COMPUTED_VALUE"""),"75,77 ซอยฉลองกรุง 29 แขวงลำปลาทิว เขตลาดกระบัง กรุงเทพมหานคร 10520")</f>
        <v>75,77 ซอยฉลองกรุง 29 แขวงลำปลาทิว เขตลาดกระบัง กรุงเทพมหานคร 10520</v>
      </c>
      <c r="Y462" s="3" t="str">
        <f>IFERROR(__xludf.DUMMYFUNCTION("""COMPUTED_VALUE"""),"ซอยฉลองกรุง")</f>
        <v>ซอยฉลองกรุง</v>
      </c>
      <c r="Z462" s="3" t="str">
        <f>IFERROR(__xludf.DUMMYFUNCTION("""COMPUTED_VALUE"""),"ลำปลาทิว")</f>
        <v>ลำปลาทิว</v>
      </c>
      <c r="AA462" s="3" t="str">
        <f>IFERROR(__xludf.DUMMYFUNCTION("""COMPUTED_VALUE"""),"ลาดกระบัง")</f>
        <v>ลาดกระบัง</v>
      </c>
      <c r="AB462" s="3" t="str">
        <f>IFERROR(__xludf.DUMMYFUNCTION("""COMPUTED_VALUE"""),"กรุงเทพมหานคร")</f>
        <v>กรุงเทพมหานคร</v>
      </c>
      <c r="AC462" s="3">
        <f>IFERROR(__xludf.DUMMYFUNCTION("""COMPUTED_VALUE"""),10520.0)</f>
        <v>10520</v>
      </c>
      <c r="AD462" s="3">
        <f>IFERROR(__xludf.DUMMYFUNCTION("""COMPUTED_VALUE"""),13.756995)</f>
        <v>13.756995</v>
      </c>
      <c r="AE462" s="3">
        <f>IFERROR(__xludf.DUMMYFUNCTION("""COMPUTED_VALUE"""),100.790205)</f>
        <v>100.790205</v>
      </c>
      <c r="AF462" s="3" t="str">
        <f>IFERROR(__xludf.DUMMYFUNCTION("""COMPUTED_VALUE"""),"MBC นิคมลาดกระบัง-21224")</f>
        <v>MBC นิคมลาดกระบัง-21224</v>
      </c>
      <c r="AG462" s="3" t="str">
        <f>IFERROR(__xludf.DUMMYFUNCTION("""COMPUTED_VALUE"""),"กลาง")</f>
        <v>กลาง</v>
      </c>
      <c r="AH462" s="3" t="str">
        <f>IFERROR(__xludf.DUMMYFUNCTION("""COMPUTED_VALUE"""),"#N/A")</f>
        <v>#N/A</v>
      </c>
      <c r="AI462" s="3" t="str">
        <f>IFERROR(__xludf.DUMMYFUNCTION("""COMPUTED_VALUE"""),"Out of warranty")</f>
        <v>Out of warranty</v>
      </c>
      <c r="AJ462" s="3">
        <f>IFERROR(__xludf.DUMMYFUNCTION("""COMPUTED_VALUE"""),149.0)</f>
        <v>149</v>
      </c>
      <c r="AK462" s="3" t="str">
        <f>IFERROR(__xludf.DUMMYFUNCTION("""COMPUTED_VALUE"""),"MMS03")</f>
        <v>MMS03</v>
      </c>
      <c r="AL462" s="3"/>
    </row>
    <row r="463" ht="15.75" customHeight="1">
      <c r="A463" s="1" t="str">
        <f>IFERROR(__xludf.DUMMYFUNCTION("""COMPUTED_VALUE"""),"21225")</f>
        <v>21225</v>
      </c>
      <c r="B463" s="2">
        <f>IFERROR(__xludf.DUMMYFUNCTION("""COMPUTED_VALUE"""),21225.0)</f>
        <v>21225</v>
      </c>
      <c r="C463" s="3" t="str">
        <f>IFERROR(__xludf.DUMMYFUNCTION("""COMPUTED_VALUE"""),"MBC ตลาดวัดม่วง")</f>
        <v>MBC ตลาดวัดม่วง</v>
      </c>
      <c r="D463" s="3" t="str">
        <f>IFERROR(__xludf.DUMMYFUNCTION("""COMPUTED_VALUE"""),"BCM TARAD WAT MUANG")</f>
        <v>BCM TARAD WAT MUANG</v>
      </c>
      <c r="E463" s="1" t="str">
        <f>IFERROR(__xludf.DUMMYFUNCTION("""COMPUTED_VALUE"""),"บิ๊กซี MINI")</f>
        <v>บิ๊กซี MINI</v>
      </c>
      <c r="F463" s="1" t="str">
        <f>IFERROR(__xludf.DUMMYFUNCTION("""COMPUTED_VALUE"""),"296229")</f>
        <v>296229</v>
      </c>
      <c r="G463" s="1" t="str">
        <f>IFERROR(__xludf.DUMMYFUNCTION("""COMPUTED_VALUE"""),"นายทนงศักดิ์ บุญมา")</f>
        <v>นายทนงศักดิ์ บุญมา</v>
      </c>
      <c r="H463" s="1" t="str">
        <f>IFERROR(__xludf.DUMMYFUNCTION("""COMPUTED_VALUE"""),"318186")</f>
        <v>318186</v>
      </c>
      <c r="I463" s="1" t="str">
        <f>IFERROR(__xludf.DUMMYFUNCTION("""COMPUTED_VALUE"""),"น.ส.พนมวัลย์ เรืองรัตน์")</f>
        <v>น.ส.พนมวัลย์ เรืองรัตน์</v>
      </c>
      <c r="J463" s="3">
        <f>IFERROR(__xludf.DUMMYFUNCTION("""COMPUTED_VALUE"""),46214.0)</f>
        <v>46214</v>
      </c>
      <c r="K463" s="3" t="str">
        <f>IFERROR(__xludf.DUMMYFUNCTION("""COMPUTED_VALUE"""),"นายศักดิ์ชัย เด็ดดอกฟ้า")</f>
        <v>นายศักดิ์ชัย เด็ดดอกฟ้า</v>
      </c>
      <c r="L463" s="1" t="str">
        <f>IFERROR(__xludf.DUMMYFUNCTION("""COMPUTED_VALUE"""),"02 K.Sakchai D")</f>
        <v>02 K.Sakchai D</v>
      </c>
      <c r="M463" s="1" t="str">
        <f>IFERROR(__xludf.DUMMYFUNCTION("""COMPUTED_VALUE"""),"065-510-7376")</f>
        <v>065-510-7376</v>
      </c>
      <c r="N463" s="3">
        <f>IFERROR(__xludf.DUMMYFUNCTION("""COMPUTED_VALUE"""),21714.0)</f>
        <v>21714</v>
      </c>
      <c r="O463" s="3" t="str">
        <f>IFERROR(__xludf.DUMMYFUNCTION("""COMPUTED_VALUE"""),"MBC เอสโซ่ วัดโบสถ์")</f>
        <v>MBC เอสโซ่ วัดโบสถ์</v>
      </c>
      <c r="P463" s="4">
        <f>IFERROR(__xludf.DUMMYFUNCTION("""COMPUTED_VALUE"""),41519.0)</f>
        <v>41519</v>
      </c>
      <c r="Q463" s="3" t="str">
        <f>IFERROR(__xludf.DUMMYFUNCTION("""COMPUTED_VALUE"""),"A")</f>
        <v>A</v>
      </c>
      <c r="R463" s="3" t="str">
        <f>IFERROR(__xludf.DUMMYFUNCTION("""COMPUTED_VALUE"""),"Small Format")</f>
        <v>Small Format</v>
      </c>
      <c r="S463" s="3" t="str">
        <f>IFERROR(__xludf.DUMMYFUNCTION("""COMPUTED_VALUE"""),"BCM")</f>
        <v>BCM</v>
      </c>
      <c r="T463" s="3" t="str">
        <f>IFERROR(__xludf.DUMMYFUNCTION("""COMPUTED_VALUE"""),"#N/A")</f>
        <v>#N/A</v>
      </c>
      <c r="U463" s="3" t="str">
        <f>IFERROR(__xludf.DUMMYFUNCTION("""COMPUTED_VALUE"""),"#N/A")</f>
        <v>#N/A</v>
      </c>
      <c r="V463" s="3" t="str">
        <f>IFERROR(__xludf.DUMMYFUNCTION("""COMPUTED_VALUE"""),"N")</f>
        <v>N</v>
      </c>
      <c r="W463" s="3">
        <f>IFERROR(__xludf.DUMMYFUNCTION("""COMPUTED_VALUE"""),211255.0)</f>
        <v>211255</v>
      </c>
      <c r="X463" s="3" t="str">
        <f>IFERROR(__xludf.DUMMYFUNCTION("""COMPUTED_VALUE"""),"9/10 หมู่ 6 ตำบลหัวตะพาน อำเภอวิเศษชัยชาญ จังหวัดอ่างทอง 14110")</f>
        <v>9/10 หมู่ 6 ตำบลหัวตะพาน อำเภอวิเศษชัยชาญ จังหวัดอ่างทอง 14110</v>
      </c>
      <c r="Y463" s="3"/>
      <c r="Z463" s="3" t="str">
        <f>IFERROR(__xludf.DUMMYFUNCTION("""COMPUTED_VALUE"""),"หัวตะพาน")</f>
        <v>หัวตะพาน</v>
      </c>
      <c r="AA463" s="3" t="str">
        <f>IFERROR(__xludf.DUMMYFUNCTION("""COMPUTED_VALUE"""),"วิเศษชัยชาญ")</f>
        <v>วิเศษชัยชาญ</v>
      </c>
      <c r="AB463" s="3" t="str">
        <f>IFERROR(__xludf.DUMMYFUNCTION("""COMPUTED_VALUE"""),"อ่างทอง")</f>
        <v>อ่างทอง</v>
      </c>
      <c r="AC463" s="3">
        <f>IFERROR(__xludf.DUMMYFUNCTION("""COMPUTED_VALUE"""),14110.0)</f>
        <v>14110</v>
      </c>
      <c r="AD463" s="3">
        <f>IFERROR(__xludf.DUMMYFUNCTION("""COMPUTED_VALUE"""),14.601795)</f>
        <v>14.601795</v>
      </c>
      <c r="AE463" s="3">
        <f>IFERROR(__xludf.DUMMYFUNCTION("""COMPUTED_VALUE"""),100.383686)</f>
        <v>100.383686</v>
      </c>
      <c r="AF463" s="3" t="str">
        <f>IFERROR(__xludf.DUMMYFUNCTION("""COMPUTED_VALUE"""),"MBC ตลาดวัดม่วง-21225")</f>
        <v>MBC ตลาดวัดม่วง-21225</v>
      </c>
      <c r="AG463" s="3" t="str">
        <f>IFERROR(__xludf.DUMMYFUNCTION("""COMPUTED_VALUE"""),"กลาง")</f>
        <v>กลาง</v>
      </c>
      <c r="AH463" s="3" t="str">
        <f>IFERROR(__xludf.DUMMYFUNCTION("""COMPUTED_VALUE"""),"#N/A")</f>
        <v>#N/A</v>
      </c>
      <c r="AI463" s="3" t="str">
        <f>IFERROR(__xludf.DUMMYFUNCTION("""COMPUTED_VALUE"""),"Out of warranty")</f>
        <v>Out of warranty</v>
      </c>
      <c r="AJ463" s="3">
        <f>IFERROR(__xludf.DUMMYFUNCTION("""COMPUTED_VALUE"""),149.0)</f>
        <v>149</v>
      </c>
      <c r="AK463" s="3" t="str">
        <f>IFERROR(__xludf.DUMMYFUNCTION("""COMPUTED_VALUE"""),"MMS09")</f>
        <v>MMS09</v>
      </c>
      <c r="AL463" s="3"/>
    </row>
    <row r="464" ht="15.75" customHeight="1">
      <c r="A464" s="1" t="str">
        <f>IFERROR(__xludf.DUMMYFUNCTION("""COMPUTED_VALUE"""),"21226")</f>
        <v>21226</v>
      </c>
      <c r="B464" s="2">
        <f>IFERROR(__xludf.DUMMYFUNCTION("""COMPUTED_VALUE"""),21226.0)</f>
        <v>21226</v>
      </c>
      <c r="C464" s="3" t="str">
        <f>IFERROR(__xludf.DUMMYFUNCTION("""COMPUTED_VALUE"""),"MBC รังสิตคลอง 6")</f>
        <v>MBC รังสิตคลอง 6</v>
      </c>
      <c r="D464" s="3" t="str">
        <f>IFERROR(__xludf.DUMMYFUNCTION("""COMPUTED_VALUE"""),"BCM RANGSIT KLONG 6")</f>
        <v>BCM RANGSIT KLONG 6</v>
      </c>
      <c r="E464" s="1" t="str">
        <f>IFERROR(__xludf.DUMMYFUNCTION("""COMPUTED_VALUE"""),"บิ๊กซี MINI")</f>
        <v>บิ๊กซี MINI</v>
      </c>
      <c r="F464" s="1" t="str">
        <f>IFERROR(__xludf.DUMMYFUNCTION("""COMPUTED_VALUE"""),"2083447")</f>
        <v>2083447</v>
      </c>
      <c r="G464" s="1" t="str">
        <f>IFERROR(__xludf.DUMMYFUNCTION("""COMPUTED_VALUE"""),"นายอนุกูล ศรีลัดดา")</f>
        <v>นายอนุกูล ศรีลัดดา</v>
      </c>
      <c r="H464" s="1" t="str">
        <f>IFERROR(__xludf.DUMMYFUNCTION("""COMPUTED_VALUE"""),"373849")</f>
        <v>373849</v>
      </c>
      <c r="I464" s="1" t="str">
        <f>IFERROR(__xludf.DUMMYFUNCTION("""COMPUTED_VALUE"""),"น.ส.อรอุมา นิ่มวิศิษย์")</f>
        <v>น.ส.อรอุมา นิ่มวิศิษย์</v>
      </c>
      <c r="J464" s="3">
        <f>IFERROR(__xludf.DUMMYFUNCTION("""COMPUTED_VALUE"""),510143.0)</f>
        <v>510143</v>
      </c>
      <c r="K464" s="3" t="str">
        <f>IFERROR(__xludf.DUMMYFUNCTION("""COMPUTED_VALUE"""),"นายธีระวัฒน์ บุญสิทธิ์")</f>
        <v>นายธีระวัฒน์ บุญสิทธิ์</v>
      </c>
      <c r="L464" s="1" t="str">
        <f>IFERROR(__xludf.DUMMYFUNCTION("""COMPUTED_VALUE"""),"12 K.Theerawat B.")</f>
        <v>12 K.Theerawat B.</v>
      </c>
      <c r="M464" s="1" t="str">
        <f>IFERROR(__xludf.DUMMYFUNCTION("""COMPUTED_VALUE"""),"0655107379")</f>
        <v>0655107379</v>
      </c>
      <c r="N464" s="3">
        <f>IFERROR(__xludf.DUMMYFUNCTION("""COMPUTED_VALUE"""),21062.0)</f>
        <v>21062</v>
      </c>
      <c r="O464" s="3" t="str">
        <f>IFERROR(__xludf.DUMMYFUNCTION("""COMPUTED_VALUE"""),"MBC นิคมนวนคร")</f>
        <v>MBC นิคมนวนคร</v>
      </c>
      <c r="P464" s="4">
        <f>IFERROR(__xludf.DUMMYFUNCTION("""COMPUTED_VALUE"""),41526.0)</f>
        <v>41526</v>
      </c>
      <c r="Q464" s="3" t="str">
        <f>IFERROR(__xludf.DUMMYFUNCTION("""COMPUTED_VALUE"""),"A")</f>
        <v>A</v>
      </c>
      <c r="R464" s="3" t="str">
        <f>IFERROR(__xludf.DUMMYFUNCTION("""COMPUTED_VALUE"""),"Small Format")</f>
        <v>Small Format</v>
      </c>
      <c r="S464" s="3" t="str">
        <f>IFERROR(__xludf.DUMMYFUNCTION("""COMPUTED_VALUE"""),"BCM")</f>
        <v>BCM</v>
      </c>
      <c r="T464" s="3" t="str">
        <f>IFERROR(__xludf.DUMMYFUNCTION("""COMPUTED_VALUE"""),"#N/A")</f>
        <v>#N/A</v>
      </c>
      <c r="U464" s="3" t="str">
        <f>IFERROR(__xludf.DUMMYFUNCTION("""COMPUTED_VALUE"""),"#N/A")</f>
        <v>#N/A</v>
      </c>
      <c r="V464" s="3" t="str">
        <f>IFERROR(__xludf.DUMMYFUNCTION("""COMPUTED_VALUE"""),"N")</f>
        <v>N</v>
      </c>
      <c r="W464" s="3">
        <f>IFERROR(__xludf.DUMMYFUNCTION("""COMPUTED_VALUE"""),211176.0)</f>
        <v>211176</v>
      </c>
      <c r="X464" s="3" t="str">
        <f>IFERROR(__xludf.DUMMYFUNCTION("""COMPUTED_VALUE"""),"27/11 หมู่ 1 ตำบลคลองหก อำเภอคลองหลวง จังหวัดปทุมธานี 12120")</f>
        <v>27/11 หมู่ 1 ตำบลคลองหก อำเภอคลองหลวง จังหวัดปทุมธานี 12120</v>
      </c>
      <c r="Y464" s="3"/>
      <c r="Z464" s="3" t="str">
        <f>IFERROR(__xludf.DUMMYFUNCTION("""COMPUTED_VALUE"""),"คลองหก")</f>
        <v>คลองหก</v>
      </c>
      <c r="AA464" s="3" t="str">
        <f>IFERROR(__xludf.DUMMYFUNCTION("""COMPUTED_VALUE"""),"คลองหลวง")</f>
        <v>คลองหลวง</v>
      </c>
      <c r="AB464" s="3" t="str">
        <f>IFERROR(__xludf.DUMMYFUNCTION("""COMPUTED_VALUE"""),"ปทุมธานี")</f>
        <v>ปทุมธานี</v>
      </c>
      <c r="AC464" s="3">
        <f>IFERROR(__xludf.DUMMYFUNCTION("""COMPUTED_VALUE"""),12120.0)</f>
        <v>12120</v>
      </c>
      <c r="AD464" s="3">
        <f>IFERROR(__xludf.DUMMYFUNCTION("""COMPUTED_VALUE"""),14.039819)</f>
        <v>14.039819</v>
      </c>
      <c r="AE464" s="3">
        <f>IFERROR(__xludf.DUMMYFUNCTION("""COMPUTED_VALUE"""),100.732566)</f>
        <v>100.732566</v>
      </c>
      <c r="AF464" s="3" t="str">
        <f>IFERROR(__xludf.DUMMYFUNCTION("""COMPUTED_VALUE"""),"MBC รังสิตคลอง 6-21226")</f>
        <v>MBC รังสิตคลอง 6-21226</v>
      </c>
      <c r="AG464" s="3" t="str">
        <f>IFERROR(__xludf.DUMMYFUNCTION("""COMPUTED_VALUE"""),"กลาง")</f>
        <v>กลาง</v>
      </c>
      <c r="AH464" s="3" t="str">
        <f>IFERROR(__xludf.DUMMYFUNCTION("""COMPUTED_VALUE"""),"#N/A")</f>
        <v>#N/A</v>
      </c>
      <c r="AI464" s="3" t="str">
        <f>IFERROR(__xludf.DUMMYFUNCTION("""COMPUTED_VALUE"""),"Out of warranty")</f>
        <v>Out of warranty</v>
      </c>
      <c r="AJ464" s="3">
        <f>IFERROR(__xludf.DUMMYFUNCTION("""COMPUTED_VALUE"""),149.0)</f>
        <v>149</v>
      </c>
      <c r="AK464" s="3" t="str">
        <f>IFERROR(__xludf.DUMMYFUNCTION("""COMPUTED_VALUE"""),"MMS04")</f>
        <v>MMS04</v>
      </c>
      <c r="AL464" s="3"/>
    </row>
    <row r="465" ht="15.75" customHeight="1">
      <c r="A465" s="1" t="str">
        <f>IFERROR(__xludf.DUMMYFUNCTION("""COMPUTED_VALUE"""),"21227")</f>
        <v>21227</v>
      </c>
      <c r="B465" s="2">
        <f>IFERROR(__xludf.DUMMYFUNCTION("""COMPUTED_VALUE"""),21227.0)</f>
        <v>21227</v>
      </c>
      <c r="C465" s="3" t="str">
        <f>IFERROR(__xludf.DUMMYFUNCTION("""COMPUTED_VALUE"""),"MBC สวนผัก ซอย 1")</f>
        <v>MBC สวนผัก ซอย 1</v>
      </c>
      <c r="D465" s="3" t="str">
        <f>IFERROR(__xludf.DUMMYFUNCTION("""COMPUTED_VALUE"""),"BCM SUANPHAK SOI1")</f>
        <v>BCM SUANPHAK SOI1</v>
      </c>
      <c r="E465" s="1" t="str">
        <f>IFERROR(__xludf.DUMMYFUNCTION("""COMPUTED_VALUE"""),"บิ๊กซี MINI")</f>
        <v>บิ๊กซี MINI</v>
      </c>
      <c r="F465" s="1" t="str">
        <f>IFERROR(__xludf.DUMMYFUNCTION("""COMPUTED_VALUE"""),"291008")</f>
        <v>291008</v>
      </c>
      <c r="G465" s="1" t="str">
        <f>IFERROR(__xludf.DUMMYFUNCTION("""COMPUTED_VALUE"""),"น.ส.รัชดาพร อีศรัตน์")</f>
        <v>น.ส.รัชดาพร อีศรัตน์</v>
      </c>
      <c r="H465" s="1" t="str">
        <f>IFERROR(__xludf.DUMMYFUNCTION("""COMPUTED_VALUE"""),"291101")</f>
        <v>291101</v>
      </c>
      <c r="I465" s="1" t="str">
        <f>IFERROR(__xludf.DUMMYFUNCTION("""COMPUTED_VALUE"""),"นายจักรพงศ์ โพธิ์ศรี")</f>
        <v>นายจักรพงศ์ โพธิ์ศรี</v>
      </c>
      <c r="J465" s="3">
        <f>IFERROR(__xludf.DUMMYFUNCTION("""COMPUTED_VALUE"""),296608.0)</f>
        <v>296608</v>
      </c>
      <c r="K465" s="3" t="str">
        <f>IFERROR(__xludf.DUMMYFUNCTION("""COMPUTED_VALUE"""),"นายภาคภูมิ เพ็ชรนิล")</f>
        <v>นายภาคภูมิ เพ็ชรนิล</v>
      </c>
      <c r="L465" s="1" t="str">
        <f>IFERROR(__xludf.DUMMYFUNCTION("""COMPUTED_VALUE"""),"10 K.Phakphoom P.")</f>
        <v>10 K.Phakphoom P.</v>
      </c>
      <c r="M465" s="1" t="str">
        <f>IFERROR(__xludf.DUMMYFUNCTION("""COMPUTED_VALUE"""),"063-8955329")</f>
        <v>063-8955329</v>
      </c>
      <c r="N465" s="3">
        <f>IFERROR(__xludf.DUMMYFUNCTION("""COMPUTED_VALUE"""),22584.0)</f>
        <v>22584</v>
      </c>
      <c r="O465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465" s="4">
        <f>IFERROR(__xludf.DUMMYFUNCTION("""COMPUTED_VALUE"""),41529.0)</f>
        <v>41529</v>
      </c>
      <c r="Q465" s="3" t="str">
        <f>IFERROR(__xludf.DUMMYFUNCTION("""COMPUTED_VALUE"""),"A")</f>
        <v>A</v>
      </c>
      <c r="R465" s="3" t="str">
        <f>IFERROR(__xludf.DUMMYFUNCTION("""COMPUTED_VALUE"""),"Small Format")</f>
        <v>Small Format</v>
      </c>
      <c r="S465" s="3" t="str">
        <f>IFERROR(__xludf.DUMMYFUNCTION("""COMPUTED_VALUE"""),"BCM")</f>
        <v>BCM</v>
      </c>
      <c r="T465" s="3" t="str">
        <f>IFERROR(__xludf.DUMMYFUNCTION("""COMPUTED_VALUE"""),"#N/A")</f>
        <v>#N/A</v>
      </c>
      <c r="U465" s="3" t="str">
        <f>IFERROR(__xludf.DUMMYFUNCTION("""COMPUTED_VALUE"""),"#N/A")</f>
        <v>#N/A</v>
      </c>
      <c r="V465" s="3" t="str">
        <f>IFERROR(__xludf.DUMMYFUNCTION("""COMPUTED_VALUE"""),"N")</f>
        <v>N</v>
      </c>
      <c r="W465" s="3">
        <f>IFERROR(__xludf.DUMMYFUNCTION("""COMPUTED_VALUE"""),211194.0)</f>
        <v>211194</v>
      </c>
      <c r="X465" s="3" t="str">
        <f>IFERROR(__xludf.DUMMYFUNCTION("""COMPUTED_VALUE"""),"151/1 ถนนสวนผัก แขวงตลิ่งชัน เขตตลิ่งชัน กรุงเทพมหานคร 10170")</f>
        <v>151/1 ถนนสวนผัก แขวงตลิ่งชัน เขตตลิ่งชัน กรุงเทพมหานคร 10170</v>
      </c>
      <c r="Y465" s="3" t="str">
        <f>IFERROR(__xludf.DUMMYFUNCTION("""COMPUTED_VALUE"""),"ถนนสวนผัก")</f>
        <v>ถนนสวนผัก</v>
      </c>
      <c r="Z465" s="3" t="str">
        <f>IFERROR(__xludf.DUMMYFUNCTION("""COMPUTED_VALUE"""),"ตลิ่งชัน")</f>
        <v>ตลิ่งชัน</v>
      </c>
      <c r="AA465" s="3" t="str">
        <f>IFERROR(__xludf.DUMMYFUNCTION("""COMPUTED_VALUE"""),"ตลิ่งชัน")</f>
        <v>ตลิ่งชัน</v>
      </c>
      <c r="AB465" s="3" t="str">
        <f>IFERROR(__xludf.DUMMYFUNCTION("""COMPUTED_VALUE"""),"กรุงเทพมหานคร")</f>
        <v>กรุงเทพมหานคร</v>
      </c>
      <c r="AC465" s="3">
        <f>IFERROR(__xludf.DUMMYFUNCTION("""COMPUTED_VALUE"""),10170.0)</f>
        <v>10170</v>
      </c>
      <c r="AD465" s="3">
        <f>IFERROR(__xludf.DUMMYFUNCTION("""COMPUTED_VALUE"""),13.794281)</f>
        <v>13.794281</v>
      </c>
      <c r="AE465" s="3">
        <f>IFERROR(__xludf.DUMMYFUNCTION("""COMPUTED_VALUE"""),100.456317)</f>
        <v>100.456317</v>
      </c>
      <c r="AF465" s="3" t="str">
        <f>IFERROR(__xludf.DUMMYFUNCTION("""COMPUTED_VALUE"""),"MBC สวนผัก ซอย 1-21227")</f>
        <v>MBC สวนผัก ซอย 1-21227</v>
      </c>
      <c r="AG465" s="3" t="str">
        <f>IFERROR(__xludf.DUMMYFUNCTION("""COMPUTED_VALUE"""),"กลาง")</f>
        <v>กลาง</v>
      </c>
      <c r="AH465" s="3" t="str">
        <f>IFERROR(__xludf.DUMMYFUNCTION("""COMPUTED_VALUE"""),"#N/A")</f>
        <v>#N/A</v>
      </c>
      <c r="AI465" s="3" t="str">
        <f>IFERROR(__xludf.DUMMYFUNCTION("""COMPUTED_VALUE"""),"Out of warranty")</f>
        <v>Out of warranty</v>
      </c>
      <c r="AJ465" s="3">
        <f>IFERROR(__xludf.DUMMYFUNCTION("""COMPUTED_VALUE"""),149.0)</f>
        <v>149</v>
      </c>
      <c r="AK465" s="3" t="str">
        <f>IFERROR(__xludf.DUMMYFUNCTION("""COMPUTED_VALUE"""),"MMS01")</f>
        <v>MMS01</v>
      </c>
      <c r="AL465" s="3"/>
    </row>
    <row r="466" ht="15.75" customHeight="1">
      <c r="A466" s="1" t="str">
        <f>IFERROR(__xludf.DUMMYFUNCTION("""COMPUTED_VALUE"""),"21228")</f>
        <v>21228</v>
      </c>
      <c r="B466" s="2">
        <f>IFERROR(__xludf.DUMMYFUNCTION("""COMPUTED_VALUE"""),21228.0)</f>
        <v>21228</v>
      </c>
      <c r="C466" s="3" t="str">
        <f>IFERROR(__xludf.DUMMYFUNCTION("""COMPUTED_VALUE"""),"MBC เทศบาลบางปู 59")</f>
        <v>MBC เทศบาลบางปู 59</v>
      </c>
      <c r="D466" s="3" t="str">
        <f>IFERROR(__xludf.DUMMYFUNCTION("""COMPUTED_VALUE"""),"BCM TESSABAN BANGPU 59")</f>
        <v>BCM TESSABAN BANGPU 59</v>
      </c>
      <c r="E466" s="1" t="str">
        <f>IFERROR(__xludf.DUMMYFUNCTION("""COMPUTED_VALUE"""),"บิ๊กซี MINI")</f>
        <v>บิ๊กซี MINI</v>
      </c>
      <c r="F466" s="1" t="str">
        <f>IFERROR(__xludf.DUMMYFUNCTION("""COMPUTED_VALUE"""),"2083447")</f>
        <v>2083447</v>
      </c>
      <c r="G466" s="1" t="str">
        <f>IFERROR(__xludf.DUMMYFUNCTION("""COMPUTED_VALUE"""),"นายอนุกูล ศรีลัดดา")</f>
        <v>นายอนุกูล ศรีลัดดา</v>
      </c>
      <c r="H466" s="1" t="str">
        <f>IFERROR(__xludf.DUMMYFUNCTION("""COMPUTED_VALUE"""),"399107")</f>
        <v>399107</v>
      </c>
      <c r="I466" s="1" t="str">
        <f>IFERROR(__xludf.DUMMYFUNCTION("""COMPUTED_VALUE"""),"นายรัชระวี กลมแป้น")</f>
        <v>นายรัชระวี กลมแป้น</v>
      </c>
      <c r="J466" s="3">
        <f>IFERROR(__xludf.DUMMYFUNCTION("""COMPUTED_VALUE"""),510143.0)</f>
        <v>510143</v>
      </c>
      <c r="K466" s="3" t="str">
        <f>IFERROR(__xludf.DUMMYFUNCTION("""COMPUTED_VALUE"""),"นายธีระวัฒน์ บุญสิทธิ์")</f>
        <v>นายธีระวัฒน์ บุญสิทธิ์</v>
      </c>
      <c r="L466" s="1" t="str">
        <f>IFERROR(__xludf.DUMMYFUNCTION("""COMPUTED_VALUE"""),"12 K.Theerawat B.")</f>
        <v>12 K.Theerawat B.</v>
      </c>
      <c r="M466" s="1" t="str">
        <f>IFERROR(__xludf.DUMMYFUNCTION("""COMPUTED_VALUE"""),"0655107379")</f>
        <v>0655107379</v>
      </c>
      <c r="N466" s="3">
        <f>IFERROR(__xludf.DUMMYFUNCTION("""COMPUTED_VALUE"""),21062.0)</f>
        <v>21062</v>
      </c>
      <c r="O466" s="3" t="str">
        <f>IFERROR(__xludf.DUMMYFUNCTION("""COMPUTED_VALUE"""),"MBC นิคมนวนคร")</f>
        <v>MBC นิคมนวนคร</v>
      </c>
      <c r="P466" s="4">
        <f>IFERROR(__xludf.DUMMYFUNCTION("""COMPUTED_VALUE"""),41530.0)</f>
        <v>41530</v>
      </c>
      <c r="Q466" s="3" t="str">
        <f>IFERROR(__xludf.DUMMYFUNCTION("""COMPUTED_VALUE"""),"A")</f>
        <v>A</v>
      </c>
      <c r="R466" s="3" t="str">
        <f>IFERROR(__xludf.DUMMYFUNCTION("""COMPUTED_VALUE"""),"Small Format")</f>
        <v>Small Format</v>
      </c>
      <c r="S466" s="3" t="str">
        <f>IFERROR(__xludf.DUMMYFUNCTION("""COMPUTED_VALUE"""),"BCM")</f>
        <v>BCM</v>
      </c>
      <c r="T466" s="3" t="str">
        <f>IFERROR(__xludf.DUMMYFUNCTION("""COMPUTED_VALUE"""),"#N/A")</f>
        <v>#N/A</v>
      </c>
      <c r="U466" s="3" t="str">
        <f>IFERROR(__xludf.DUMMYFUNCTION("""COMPUTED_VALUE"""),"#N/A")</f>
        <v>#N/A</v>
      </c>
      <c r="V466" s="3" t="str">
        <f>IFERROR(__xludf.DUMMYFUNCTION("""COMPUTED_VALUE"""),"N")</f>
        <v>N</v>
      </c>
      <c r="W466" s="3">
        <f>IFERROR(__xludf.DUMMYFUNCTION("""COMPUTED_VALUE"""),211214.0)</f>
        <v>211214</v>
      </c>
      <c r="X466" s="3" t="str">
        <f>IFERROR(__xludf.DUMMYFUNCTION("""COMPUTED_VALUE"""),"160 หมู่ 7 ตำบลท้ายบ้านใหม่ อำเภอเมืองสมุทรปราการ จังหวัดสมุทรปราการ 10280")</f>
        <v>160 หมู่ 7 ตำบลท้ายบ้านใหม่ อำเภอเมืองสมุทรปราการ จังหวัดสมุทรปราการ 10280</v>
      </c>
      <c r="Y466" s="3"/>
      <c r="Z466" s="3" t="str">
        <f>IFERROR(__xludf.DUMMYFUNCTION("""COMPUTED_VALUE"""),"ท้ายบ้านใหม่")</f>
        <v>ท้ายบ้านใหม่</v>
      </c>
      <c r="AA466" s="3" t="str">
        <f>IFERROR(__xludf.DUMMYFUNCTION("""COMPUTED_VALUE"""),"เมืองสมุทรปราการ")</f>
        <v>เมืองสมุทรปราการ</v>
      </c>
      <c r="AB466" s="3" t="str">
        <f>IFERROR(__xludf.DUMMYFUNCTION("""COMPUTED_VALUE"""),"สมุทรปราการ")</f>
        <v>สมุทรปราการ</v>
      </c>
      <c r="AC466" s="3">
        <f>IFERROR(__xludf.DUMMYFUNCTION("""COMPUTED_VALUE"""),10280.0)</f>
        <v>10280</v>
      </c>
      <c r="AD466" s="3">
        <f>IFERROR(__xludf.DUMMYFUNCTION("""COMPUTED_VALUE"""),13.551665)</f>
        <v>13.551665</v>
      </c>
      <c r="AE466" s="3">
        <f>IFERROR(__xludf.DUMMYFUNCTION("""COMPUTED_VALUE"""),100.619647)</f>
        <v>100.619647</v>
      </c>
      <c r="AF466" s="3" t="str">
        <f>IFERROR(__xludf.DUMMYFUNCTION("""COMPUTED_VALUE"""),"MBC เทศบาลบางปู 59-21228")</f>
        <v>MBC เทศบาลบางปู 59-21228</v>
      </c>
      <c r="AG466" s="3" t="str">
        <f>IFERROR(__xludf.DUMMYFUNCTION("""COMPUTED_VALUE"""),"กลาง")</f>
        <v>กลาง</v>
      </c>
      <c r="AH466" s="3" t="str">
        <f>IFERROR(__xludf.DUMMYFUNCTION("""COMPUTED_VALUE"""),"#N/A")</f>
        <v>#N/A</v>
      </c>
      <c r="AI466" s="3" t="str">
        <f>IFERROR(__xludf.DUMMYFUNCTION("""COMPUTED_VALUE"""),"Out of warranty")</f>
        <v>Out of warranty</v>
      </c>
      <c r="AJ466" s="3">
        <f>IFERROR(__xludf.DUMMYFUNCTION("""COMPUTED_VALUE"""),149.0)</f>
        <v>149</v>
      </c>
      <c r="AK466" s="3" t="str">
        <f>IFERROR(__xludf.DUMMYFUNCTION("""COMPUTED_VALUE"""),"MMS03")</f>
        <v>MMS03</v>
      </c>
      <c r="AL466" s="3"/>
    </row>
    <row r="467" ht="15.75" customHeight="1">
      <c r="A467" s="1" t="str">
        <f>IFERROR(__xludf.DUMMYFUNCTION("""COMPUTED_VALUE"""),"21230")</f>
        <v>21230</v>
      </c>
      <c r="B467" s="2">
        <f>IFERROR(__xludf.DUMMYFUNCTION("""COMPUTED_VALUE"""),21230.0)</f>
        <v>21230</v>
      </c>
      <c r="C467" s="3" t="str">
        <f>IFERROR(__xludf.DUMMYFUNCTION("""COMPUTED_VALUE"""),"MBC แสวงหา")</f>
        <v>MBC แสวงหา</v>
      </c>
      <c r="D467" s="3" t="str">
        <f>IFERROR(__xludf.DUMMYFUNCTION("""COMPUTED_VALUE"""),"BCM SAWAENGHA")</f>
        <v>BCM SAWAENGHA</v>
      </c>
      <c r="E467" s="1" t="str">
        <f>IFERROR(__xludf.DUMMYFUNCTION("""COMPUTED_VALUE"""),"บิ๊กซี MINI")</f>
        <v>บิ๊กซี MINI</v>
      </c>
      <c r="F467" s="1" t="str">
        <f>IFERROR(__xludf.DUMMYFUNCTION("""COMPUTED_VALUE"""),"296229")</f>
        <v>296229</v>
      </c>
      <c r="G467" s="1" t="str">
        <f>IFERROR(__xludf.DUMMYFUNCTION("""COMPUTED_VALUE"""),"นายทนงศักดิ์ บุญมา")</f>
        <v>นายทนงศักดิ์ บุญมา</v>
      </c>
      <c r="H467" s="1" t="str">
        <f>IFERROR(__xludf.DUMMYFUNCTION("""COMPUTED_VALUE"""),"318186")</f>
        <v>318186</v>
      </c>
      <c r="I467" s="1" t="str">
        <f>IFERROR(__xludf.DUMMYFUNCTION("""COMPUTED_VALUE"""),"น.ส.พนมวัลย์ เรืองรัตน์")</f>
        <v>น.ส.พนมวัลย์ เรืองรัตน์</v>
      </c>
      <c r="J467" s="3">
        <f>IFERROR(__xludf.DUMMYFUNCTION("""COMPUTED_VALUE"""),46214.0)</f>
        <v>46214</v>
      </c>
      <c r="K467" s="3" t="str">
        <f>IFERROR(__xludf.DUMMYFUNCTION("""COMPUTED_VALUE"""),"นายศักดิ์ชัย เด็ดดอกฟ้า")</f>
        <v>นายศักดิ์ชัย เด็ดดอกฟ้า</v>
      </c>
      <c r="L467" s="1" t="str">
        <f>IFERROR(__xludf.DUMMYFUNCTION("""COMPUTED_VALUE"""),"02 K.Sakchai D")</f>
        <v>02 K.Sakchai D</v>
      </c>
      <c r="M467" s="1" t="str">
        <f>IFERROR(__xludf.DUMMYFUNCTION("""COMPUTED_VALUE"""),"065-510-7376")</f>
        <v>065-510-7376</v>
      </c>
      <c r="N467" s="3">
        <f>IFERROR(__xludf.DUMMYFUNCTION("""COMPUTED_VALUE"""),21714.0)</f>
        <v>21714</v>
      </c>
      <c r="O467" s="3" t="str">
        <f>IFERROR(__xludf.DUMMYFUNCTION("""COMPUTED_VALUE"""),"MBC เอสโซ่ วัดโบสถ์")</f>
        <v>MBC เอสโซ่ วัดโบสถ์</v>
      </c>
      <c r="P467" s="4">
        <f>IFERROR(__xludf.DUMMYFUNCTION("""COMPUTED_VALUE"""),41533.0)</f>
        <v>41533</v>
      </c>
      <c r="Q467" s="3" t="str">
        <f>IFERROR(__xludf.DUMMYFUNCTION("""COMPUTED_VALUE"""),"A")</f>
        <v>A</v>
      </c>
      <c r="R467" s="3" t="str">
        <f>IFERROR(__xludf.DUMMYFUNCTION("""COMPUTED_VALUE"""),"Small Format")</f>
        <v>Small Format</v>
      </c>
      <c r="S467" s="3" t="str">
        <f>IFERROR(__xludf.DUMMYFUNCTION("""COMPUTED_VALUE"""),"BCM")</f>
        <v>BCM</v>
      </c>
      <c r="T467" s="3" t="str">
        <f>IFERROR(__xludf.DUMMYFUNCTION("""COMPUTED_VALUE"""),"#N/A")</f>
        <v>#N/A</v>
      </c>
      <c r="U467" s="3" t="str">
        <f>IFERROR(__xludf.DUMMYFUNCTION("""COMPUTED_VALUE"""),"#N/A")</f>
        <v>#N/A</v>
      </c>
      <c r="V467" s="3" t="str">
        <f>IFERROR(__xludf.DUMMYFUNCTION("""COMPUTED_VALUE"""),"N")</f>
        <v>N</v>
      </c>
      <c r="W467" s="3">
        <f>IFERROR(__xludf.DUMMYFUNCTION("""COMPUTED_VALUE"""),211283.0)</f>
        <v>211283</v>
      </c>
      <c r="X467" s="3" t="str">
        <f>IFERROR(__xludf.DUMMYFUNCTION("""COMPUTED_VALUE"""),"116/1 หมู่ 6 ตำบลแสวงหา อำเภอแสวงหา จังหวัดอ่างทอง 14150")</f>
        <v>116/1 หมู่ 6 ตำบลแสวงหา อำเภอแสวงหา จังหวัดอ่างทอง 14150</v>
      </c>
      <c r="Y467" s="3"/>
      <c r="Z467" s="3" t="str">
        <f>IFERROR(__xludf.DUMMYFUNCTION("""COMPUTED_VALUE"""),"แสวงหา")</f>
        <v>แสวงหา</v>
      </c>
      <c r="AA467" s="3" t="str">
        <f>IFERROR(__xludf.DUMMYFUNCTION("""COMPUTED_VALUE"""),"แสวงหา")</f>
        <v>แสวงหา</v>
      </c>
      <c r="AB467" s="3" t="str">
        <f>IFERROR(__xludf.DUMMYFUNCTION("""COMPUTED_VALUE"""),"อ่างทอง")</f>
        <v>อ่างทอง</v>
      </c>
      <c r="AC467" s="3">
        <f>IFERROR(__xludf.DUMMYFUNCTION("""COMPUTED_VALUE"""),14150.0)</f>
        <v>14150</v>
      </c>
      <c r="AD467" s="3">
        <f>IFERROR(__xludf.DUMMYFUNCTION("""COMPUTED_VALUE"""),14.750035)</f>
        <v>14.750035</v>
      </c>
      <c r="AE467" s="3">
        <f>IFERROR(__xludf.DUMMYFUNCTION("""COMPUTED_VALUE"""),100.3266)</f>
        <v>100.3266</v>
      </c>
      <c r="AF467" s="3" t="str">
        <f>IFERROR(__xludf.DUMMYFUNCTION("""COMPUTED_VALUE"""),"MBC แสวงหา-21230")</f>
        <v>MBC แสวงหา-21230</v>
      </c>
      <c r="AG467" s="3" t="str">
        <f>IFERROR(__xludf.DUMMYFUNCTION("""COMPUTED_VALUE"""),"กลาง")</f>
        <v>กลาง</v>
      </c>
      <c r="AH467" s="3" t="str">
        <f>IFERROR(__xludf.DUMMYFUNCTION("""COMPUTED_VALUE"""),"#N/A")</f>
        <v>#N/A</v>
      </c>
      <c r="AI467" s="3" t="str">
        <f>IFERROR(__xludf.DUMMYFUNCTION("""COMPUTED_VALUE"""),"Out of warranty")</f>
        <v>Out of warranty</v>
      </c>
      <c r="AJ467" s="3">
        <f>IFERROR(__xludf.DUMMYFUNCTION("""COMPUTED_VALUE"""),149.0)</f>
        <v>149</v>
      </c>
      <c r="AK467" s="3" t="str">
        <f>IFERROR(__xludf.DUMMYFUNCTION("""COMPUTED_VALUE"""),"MMS09")</f>
        <v>MMS09</v>
      </c>
      <c r="AL467" s="3"/>
    </row>
    <row r="468" ht="15.75" customHeight="1">
      <c r="A468" s="1" t="str">
        <f>IFERROR(__xludf.DUMMYFUNCTION("""COMPUTED_VALUE"""),"21231")</f>
        <v>21231</v>
      </c>
      <c r="B468" s="2">
        <f>IFERROR(__xludf.DUMMYFUNCTION("""COMPUTED_VALUE"""),21231.0)</f>
        <v>21231</v>
      </c>
      <c r="C468" s="3" t="str">
        <f>IFERROR(__xludf.DUMMYFUNCTION("""COMPUTED_VALUE"""),"MBC BCPพระราม2 กม11")</f>
        <v>MBC BCPพระราม2 กม11</v>
      </c>
      <c r="D468" s="3" t="str">
        <f>IFERROR(__xludf.DUMMYFUNCTION("""COMPUTED_VALUE"""),"MBC BCP RAMA2 KM11")</f>
        <v>MBC BCP RAMA2 KM11</v>
      </c>
      <c r="E468" s="1" t="str">
        <f>IFERROR(__xludf.DUMMYFUNCTION("""COMPUTED_VALUE"""),"บิ๊กซี MINI")</f>
        <v>บิ๊กซี MINI</v>
      </c>
      <c r="F468" s="1" t="str">
        <f>IFERROR(__xludf.DUMMYFUNCTION("""COMPUTED_VALUE"""),"291008")</f>
        <v>291008</v>
      </c>
      <c r="G468" s="1" t="str">
        <f>IFERROR(__xludf.DUMMYFUNCTION("""COMPUTED_VALUE"""),"น.ส.รัชดาพร อีศรัตน์")</f>
        <v>น.ส.รัชดาพร อีศรัตน์</v>
      </c>
      <c r="H468" s="1" t="str">
        <f>IFERROR(__xludf.DUMMYFUNCTION("""COMPUTED_VALUE"""),"034068")</f>
        <v>034068</v>
      </c>
      <c r="I468" s="1" t="str">
        <f>IFERROR(__xludf.DUMMYFUNCTION("""COMPUTED_VALUE"""),"นายสมศักดิ์ ฐานทองดี")</f>
        <v>นายสมศักดิ์ ฐานทองดี</v>
      </c>
      <c r="J468" s="3">
        <f>IFERROR(__xludf.DUMMYFUNCTION("""COMPUTED_VALUE"""),3510104.0)</f>
        <v>3510104</v>
      </c>
      <c r="K468" s="3" t="str">
        <f>IFERROR(__xludf.DUMMYFUNCTION("""COMPUTED_VALUE"""),"นายวิโรจน์ อับดุลสมัด")</f>
        <v>นายวิโรจน์ อับดุลสมัด</v>
      </c>
      <c r="L468" s="1" t="str">
        <f>IFERROR(__xludf.DUMMYFUNCTION("""COMPUTED_VALUE"""),"09 K.Wirode A")</f>
        <v>09 K.Wirode A</v>
      </c>
      <c r="M468" s="1" t="str">
        <f>IFERROR(__xludf.DUMMYFUNCTION("""COMPUTED_VALUE"""),"080-235-4465")</f>
        <v>080-235-4465</v>
      </c>
      <c r="N468" s="3">
        <f>IFERROR(__xludf.DUMMYFUNCTION("""COMPUTED_VALUE"""),21324.0)</f>
        <v>21324</v>
      </c>
      <c r="O468" s="3" t="str">
        <f>IFERROR(__xludf.DUMMYFUNCTION("""COMPUTED_VALUE"""),"MBC BCP สุวินทวงศ์")</f>
        <v>MBC BCP สุวินทวงศ์</v>
      </c>
      <c r="P468" s="4">
        <f>IFERROR(__xludf.DUMMYFUNCTION("""COMPUTED_VALUE"""),41535.0)</f>
        <v>41535</v>
      </c>
      <c r="Q468" s="3" t="str">
        <f>IFERROR(__xludf.DUMMYFUNCTION("""COMPUTED_VALUE"""),"I")</f>
        <v>I</v>
      </c>
      <c r="R468" s="3" t="str">
        <f>IFERROR(__xludf.DUMMYFUNCTION("""COMPUTED_VALUE"""),"Small Format")</f>
        <v>Small Format</v>
      </c>
      <c r="S468" s="3" t="str">
        <f>IFERROR(__xludf.DUMMYFUNCTION("""COMPUTED_VALUE"""),"BCM")</f>
        <v>BCM</v>
      </c>
      <c r="T468" s="3" t="str">
        <f>IFERROR(__xludf.DUMMYFUNCTION("""COMPUTED_VALUE"""),"#N/A")</f>
        <v>#N/A</v>
      </c>
      <c r="U468" s="3" t="str">
        <f>IFERROR(__xludf.DUMMYFUNCTION("""COMPUTED_VALUE"""),"#N/A")</f>
        <v>#N/A</v>
      </c>
      <c r="V468" s="3" t="str">
        <f>IFERROR(__xludf.DUMMYFUNCTION("""COMPUTED_VALUE"""),"N")</f>
        <v>N</v>
      </c>
      <c r="W468" s="3">
        <f>IFERROR(__xludf.DUMMYFUNCTION("""COMPUTED_VALUE"""),361079.0)</f>
        <v>361079</v>
      </c>
      <c r="X468" s="3" t="str">
        <f>IFERROR(__xludf.DUMMYFUNCTION("""COMPUTED_VALUE"""),"82/9 หมู่ 4 แขวงแสมดำ เขตบางขุนเทียน กรุงเทพมหานคร 10150")</f>
        <v>82/9 หมู่ 4 แขวงแสมดำ เขตบางขุนเทียน กรุงเทพมหานคร 10150</v>
      </c>
      <c r="Y468" s="3"/>
      <c r="Z468" s="3" t="str">
        <f>IFERROR(__xludf.DUMMYFUNCTION("""COMPUTED_VALUE"""),"แสมดำ")</f>
        <v>แสมดำ</v>
      </c>
      <c r="AA468" s="3" t="str">
        <f>IFERROR(__xludf.DUMMYFUNCTION("""COMPUTED_VALUE"""),"บางขุนเทียน")</f>
        <v>บางขุนเทียน</v>
      </c>
      <c r="AB468" s="3" t="str">
        <f>IFERROR(__xludf.DUMMYFUNCTION("""COMPUTED_VALUE"""),"กรุงเทพมหานคร")</f>
        <v>กรุงเทพมหานคร</v>
      </c>
      <c r="AC468" s="3">
        <f>IFERROR(__xludf.DUMMYFUNCTION("""COMPUTED_VALUE"""),10150.0)</f>
        <v>10150</v>
      </c>
      <c r="AD468" s="3" t="str">
        <f>IFERROR(__xludf.DUMMYFUNCTION("""COMPUTED_VALUE"""),"#N/A")</f>
        <v>#N/A</v>
      </c>
      <c r="AE468" s="3" t="str">
        <f>IFERROR(__xludf.DUMMYFUNCTION("""COMPUTED_VALUE"""),"#N/A")</f>
        <v>#N/A</v>
      </c>
      <c r="AF468" s="3" t="str">
        <f>IFERROR(__xludf.DUMMYFUNCTION("""COMPUTED_VALUE"""),"MBC BCPพระราม2 กม11-21231")</f>
        <v>MBC BCPพระราม2 กม11-21231</v>
      </c>
      <c r="AG468" s="3" t="str">
        <f>IFERROR(__xludf.DUMMYFUNCTION("""COMPUTED_VALUE"""),"กลาง")</f>
        <v>กลาง</v>
      </c>
      <c r="AH468" s="3" t="str">
        <f>IFERROR(__xludf.DUMMYFUNCTION("""COMPUTED_VALUE"""),"#N/A")</f>
        <v>#N/A</v>
      </c>
      <c r="AI468" s="3" t="str">
        <f>IFERROR(__xludf.DUMMYFUNCTION("""COMPUTED_VALUE"""),"Out of warranty")</f>
        <v>Out of warranty</v>
      </c>
      <c r="AJ468" s="3">
        <f>IFERROR(__xludf.DUMMYFUNCTION("""COMPUTED_VALUE"""),149.0)</f>
        <v>149</v>
      </c>
      <c r="AK468" s="3"/>
      <c r="AL468" s="3"/>
    </row>
    <row r="469" ht="15.75" customHeight="1">
      <c r="A469" s="1" t="str">
        <f>IFERROR(__xludf.DUMMYFUNCTION("""COMPUTED_VALUE"""),"21232")</f>
        <v>21232</v>
      </c>
      <c r="B469" s="2">
        <f>IFERROR(__xludf.DUMMYFUNCTION("""COMPUTED_VALUE"""),21232.0)</f>
        <v>21232</v>
      </c>
      <c r="C469" s="3" t="str">
        <f>IFERROR(__xludf.DUMMYFUNCTION("""COMPUTED_VALUE"""),"MBC BCP แก่งคอย")</f>
        <v>MBC BCP แก่งคอย</v>
      </c>
      <c r="D469" s="3" t="str">
        <f>IFERROR(__xludf.DUMMYFUNCTION("""COMPUTED_VALUE"""),"BCM BCP KAENGKHOI")</f>
        <v>BCM BCP KAENGKHOI</v>
      </c>
      <c r="E469" s="1" t="str">
        <f>IFERROR(__xludf.DUMMYFUNCTION("""COMPUTED_VALUE"""),"บิ๊กซี MINI")</f>
        <v>บิ๊กซี MINI</v>
      </c>
      <c r="F469" s="1" t="str">
        <f>IFERROR(__xludf.DUMMYFUNCTION("""COMPUTED_VALUE"""),"296229")</f>
        <v>296229</v>
      </c>
      <c r="G469" s="1" t="str">
        <f>IFERROR(__xludf.DUMMYFUNCTION("""COMPUTED_VALUE"""),"นายทนงศักดิ์ บุญมา")</f>
        <v>นายทนงศักดิ์ บุญมา</v>
      </c>
      <c r="H469" s="1" t="str">
        <f>IFERROR(__xludf.DUMMYFUNCTION("""COMPUTED_VALUE"""),"318233")</f>
        <v>318233</v>
      </c>
      <c r="I469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469" s="3">
        <f>IFERROR(__xludf.DUMMYFUNCTION("""COMPUTED_VALUE"""),46214.0)</f>
        <v>46214</v>
      </c>
      <c r="K469" s="3" t="str">
        <f>IFERROR(__xludf.DUMMYFUNCTION("""COMPUTED_VALUE"""),"นายศักดิ์ชัย เด็ดดอกฟ้า")</f>
        <v>นายศักดิ์ชัย เด็ดดอกฟ้า</v>
      </c>
      <c r="L469" s="1" t="str">
        <f>IFERROR(__xludf.DUMMYFUNCTION("""COMPUTED_VALUE"""),"02 K.Sakchai D")</f>
        <v>02 K.Sakchai D</v>
      </c>
      <c r="M469" s="1" t="str">
        <f>IFERROR(__xludf.DUMMYFUNCTION("""COMPUTED_VALUE"""),"065-510-7376")</f>
        <v>065-510-7376</v>
      </c>
      <c r="N469" s="3">
        <f>IFERROR(__xludf.DUMMYFUNCTION("""COMPUTED_VALUE"""),21714.0)</f>
        <v>21714</v>
      </c>
      <c r="O469" s="3" t="str">
        <f>IFERROR(__xludf.DUMMYFUNCTION("""COMPUTED_VALUE"""),"MBC เอสโซ่ วัดโบสถ์")</f>
        <v>MBC เอสโซ่ วัดโบสถ์</v>
      </c>
      <c r="P469" s="4">
        <f>IFERROR(__xludf.DUMMYFUNCTION("""COMPUTED_VALUE"""),41536.0)</f>
        <v>41536</v>
      </c>
      <c r="Q469" s="3" t="str">
        <f>IFERROR(__xludf.DUMMYFUNCTION("""COMPUTED_VALUE"""),"I")</f>
        <v>I</v>
      </c>
      <c r="R469" s="3" t="str">
        <f>IFERROR(__xludf.DUMMYFUNCTION("""COMPUTED_VALUE"""),"Small Format")</f>
        <v>Small Format</v>
      </c>
      <c r="S469" s="3" t="str">
        <f>IFERROR(__xludf.DUMMYFUNCTION("""COMPUTED_VALUE"""),"BCM")</f>
        <v>BCM</v>
      </c>
      <c r="T469" s="3" t="str">
        <f>IFERROR(__xludf.DUMMYFUNCTION("""COMPUTED_VALUE"""),"#N/A")</f>
        <v>#N/A</v>
      </c>
      <c r="U469" s="3" t="str">
        <f>IFERROR(__xludf.DUMMYFUNCTION("""COMPUTED_VALUE"""),"#N/A")</f>
        <v>#N/A</v>
      </c>
      <c r="V469" s="3" t="str">
        <f>IFERROR(__xludf.DUMMYFUNCTION("""COMPUTED_VALUE"""),"N")</f>
        <v>N</v>
      </c>
      <c r="W469" s="3">
        <f>IFERROR(__xludf.DUMMYFUNCTION("""COMPUTED_VALUE"""),361070.0)</f>
        <v>361070</v>
      </c>
      <c r="X469" s="3" t="str">
        <f>IFERROR(__xludf.DUMMYFUNCTION("""COMPUTED_VALUE"""),"94/1 หมู่ 4 ตำบลตาลเดี่ยว อำเภอแก่งคอย จังหวัดสระบุรี 18110")</f>
        <v>94/1 หมู่ 4 ตำบลตาลเดี่ยว อำเภอแก่งคอย จังหวัดสระบุรี 18110</v>
      </c>
      <c r="Y469" s="3"/>
      <c r="Z469" s="3" t="str">
        <f>IFERROR(__xludf.DUMMYFUNCTION("""COMPUTED_VALUE"""),"ตาลเดี่ยว")</f>
        <v>ตาลเดี่ยว</v>
      </c>
      <c r="AA469" s="3" t="str">
        <f>IFERROR(__xludf.DUMMYFUNCTION("""COMPUTED_VALUE"""),"แก่งคอย")</f>
        <v>แก่งคอย</v>
      </c>
      <c r="AB469" s="3" t="str">
        <f>IFERROR(__xludf.DUMMYFUNCTION("""COMPUTED_VALUE"""),"สระบุรี")</f>
        <v>สระบุรี</v>
      </c>
      <c r="AC469" s="3">
        <f>IFERROR(__xludf.DUMMYFUNCTION("""COMPUTED_VALUE"""),18110.0)</f>
        <v>18110</v>
      </c>
      <c r="AD469" s="3">
        <f>IFERROR(__xludf.DUMMYFUNCTION("""COMPUTED_VALUE"""),14.573574)</f>
        <v>14.573574</v>
      </c>
      <c r="AE469" s="3">
        <f>IFERROR(__xludf.DUMMYFUNCTION("""COMPUTED_VALUE"""),100.986518)</f>
        <v>100.986518</v>
      </c>
      <c r="AF469" s="3" t="str">
        <f>IFERROR(__xludf.DUMMYFUNCTION("""COMPUTED_VALUE"""),"MBC BCP แก่งคอย-21232")</f>
        <v>MBC BCP แก่งคอย-21232</v>
      </c>
      <c r="AG469" s="3" t="str">
        <f>IFERROR(__xludf.DUMMYFUNCTION("""COMPUTED_VALUE"""),"กลาง")</f>
        <v>กลาง</v>
      </c>
      <c r="AH469" s="3" t="str">
        <f>IFERROR(__xludf.DUMMYFUNCTION("""COMPUTED_VALUE"""),"#N/A")</f>
        <v>#N/A</v>
      </c>
      <c r="AI469" s="3" t="str">
        <f>IFERROR(__xludf.DUMMYFUNCTION("""COMPUTED_VALUE"""),"Out of warranty")</f>
        <v>Out of warranty</v>
      </c>
      <c r="AJ469" s="3">
        <f>IFERROR(__xludf.DUMMYFUNCTION("""COMPUTED_VALUE"""),149.0)</f>
        <v>149</v>
      </c>
      <c r="AK469" s="3" t="str">
        <f>IFERROR(__xludf.DUMMYFUNCTION("""COMPUTED_VALUE"""),"MMS09")</f>
        <v>MMS09</v>
      </c>
      <c r="AL469" s="3"/>
    </row>
    <row r="470" ht="15.75" customHeight="1">
      <c r="A470" s="1" t="str">
        <f>IFERROR(__xludf.DUMMYFUNCTION("""COMPUTED_VALUE"""),"21233")</f>
        <v>21233</v>
      </c>
      <c r="B470" s="2">
        <f>IFERROR(__xludf.DUMMYFUNCTION("""COMPUTED_VALUE"""),21233.0)</f>
        <v>21233</v>
      </c>
      <c r="C470" s="3" t="str">
        <f>IFERROR(__xludf.DUMMYFUNCTION("""COMPUTED_VALUE"""),"MBC BCPเอเชีย กม 150")</f>
        <v>MBC BCPเอเชีย กม 150</v>
      </c>
      <c r="D470" s="3" t="str">
        <f>IFERROR(__xludf.DUMMYFUNCTION("""COMPUTED_VALUE"""),"BCM BCP ASIA KM150")</f>
        <v>BCM BCP ASIA KM150</v>
      </c>
      <c r="E470" s="1" t="str">
        <f>IFERROR(__xludf.DUMMYFUNCTION("""COMPUTED_VALUE"""),"บิ๊กซี MINI")</f>
        <v>บิ๊กซี MINI</v>
      </c>
      <c r="F470" s="1" t="str">
        <f>IFERROR(__xludf.DUMMYFUNCTION("""COMPUTED_VALUE"""),"296229")</f>
        <v>296229</v>
      </c>
      <c r="G470" s="1" t="str">
        <f>IFERROR(__xludf.DUMMYFUNCTION("""COMPUTED_VALUE"""),"นายทนงศักดิ์ บุญมา")</f>
        <v>นายทนงศักดิ์ บุญมา</v>
      </c>
      <c r="H470" s="1" t="str">
        <f>IFERROR(__xludf.DUMMYFUNCTION("""COMPUTED_VALUE"""),"318186")</f>
        <v>318186</v>
      </c>
      <c r="I470" s="1" t="str">
        <f>IFERROR(__xludf.DUMMYFUNCTION("""COMPUTED_VALUE"""),"น.ส.พนมวัลย์ เรืองรัตน์")</f>
        <v>น.ส.พนมวัลย์ เรืองรัตน์</v>
      </c>
      <c r="J470" s="3">
        <f>IFERROR(__xludf.DUMMYFUNCTION("""COMPUTED_VALUE"""),46214.0)</f>
        <v>46214</v>
      </c>
      <c r="K470" s="3" t="str">
        <f>IFERROR(__xludf.DUMMYFUNCTION("""COMPUTED_VALUE"""),"นายศักดิ์ชัย เด็ดดอกฟ้า")</f>
        <v>นายศักดิ์ชัย เด็ดดอกฟ้า</v>
      </c>
      <c r="L470" s="1" t="str">
        <f>IFERROR(__xludf.DUMMYFUNCTION("""COMPUTED_VALUE"""),"02 K.Sakchai D")</f>
        <v>02 K.Sakchai D</v>
      </c>
      <c r="M470" s="1" t="str">
        <f>IFERROR(__xludf.DUMMYFUNCTION("""COMPUTED_VALUE"""),"065-510-7376")</f>
        <v>065-510-7376</v>
      </c>
      <c r="N470" s="3">
        <f>IFERROR(__xludf.DUMMYFUNCTION("""COMPUTED_VALUE"""),21714.0)</f>
        <v>21714</v>
      </c>
      <c r="O470" s="3" t="str">
        <f>IFERROR(__xludf.DUMMYFUNCTION("""COMPUTED_VALUE"""),"MBC เอสโซ่ วัดโบสถ์")</f>
        <v>MBC เอสโซ่ วัดโบสถ์</v>
      </c>
      <c r="P470" s="4">
        <f>IFERROR(__xludf.DUMMYFUNCTION("""COMPUTED_VALUE"""),41537.0)</f>
        <v>41537</v>
      </c>
      <c r="Q470" s="3" t="str">
        <f>IFERROR(__xludf.DUMMYFUNCTION("""COMPUTED_VALUE"""),"I")</f>
        <v>I</v>
      </c>
      <c r="R470" s="3" t="str">
        <f>IFERROR(__xludf.DUMMYFUNCTION("""COMPUTED_VALUE"""),"Small Format")</f>
        <v>Small Format</v>
      </c>
      <c r="S470" s="3" t="str">
        <f>IFERROR(__xludf.DUMMYFUNCTION("""COMPUTED_VALUE"""),"BCM")</f>
        <v>BCM</v>
      </c>
      <c r="T470" s="3" t="str">
        <f>IFERROR(__xludf.DUMMYFUNCTION("""COMPUTED_VALUE"""),"#N/A")</f>
        <v>#N/A</v>
      </c>
      <c r="U470" s="3" t="str">
        <f>IFERROR(__xludf.DUMMYFUNCTION("""COMPUTED_VALUE"""),"#N/A")</f>
        <v>#N/A</v>
      </c>
      <c r="V470" s="3" t="str">
        <f>IFERROR(__xludf.DUMMYFUNCTION("""COMPUTED_VALUE"""),"N")</f>
        <v>N</v>
      </c>
      <c r="W470" s="3">
        <f>IFERROR(__xludf.DUMMYFUNCTION("""COMPUTED_VALUE"""),361077.0)</f>
        <v>361077</v>
      </c>
      <c r="X470" s="3" t="str">
        <f>IFERROR(__xludf.DUMMYFUNCTION("""COMPUTED_VALUE"""),"116/1 หมู่ 1 ตำบลน้ำตาล อำเภออินทร์บุรี จังหวัดสิงห์บุรี 16110")</f>
        <v>116/1 หมู่ 1 ตำบลน้ำตาล อำเภออินทร์บุรี จังหวัดสิงห์บุรี 16110</v>
      </c>
      <c r="Y470" s="3"/>
      <c r="Z470" s="3" t="str">
        <f>IFERROR(__xludf.DUMMYFUNCTION("""COMPUTED_VALUE"""),"น้ำตาล")</f>
        <v>น้ำตาล</v>
      </c>
      <c r="AA470" s="3" t="str">
        <f>IFERROR(__xludf.DUMMYFUNCTION("""COMPUTED_VALUE"""),"อินทร์บุรี")</f>
        <v>อินทร์บุรี</v>
      </c>
      <c r="AB470" s="3" t="str">
        <f>IFERROR(__xludf.DUMMYFUNCTION("""COMPUTED_VALUE"""),"สิงห์บุรี")</f>
        <v>สิงห์บุรี</v>
      </c>
      <c r="AC470" s="3">
        <f>IFERROR(__xludf.DUMMYFUNCTION("""COMPUTED_VALUE"""),16110.0)</f>
        <v>16110</v>
      </c>
      <c r="AD470" s="3">
        <f>IFERROR(__xludf.DUMMYFUNCTION("""COMPUTED_VALUE"""),14.980756)</f>
        <v>14.980756</v>
      </c>
      <c r="AE470" s="3">
        <f>IFERROR(__xludf.DUMMYFUNCTION("""COMPUTED_VALUE"""),100.357086)</f>
        <v>100.357086</v>
      </c>
      <c r="AF470" s="3" t="str">
        <f>IFERROR(__xludf.DUMMYFUNCTION("""COMPUTED_VALUE"""),"MBC BCPเอเชีย กม 150-21233")</f>
        <v>MBC BCPเอเชีย กม 150-21233</v>
      </c>
      <c r="AG470" s="3" t="str">
        <f>IFERROR(__xludf.DUMMYFUNCTION("""COMPUTED_VALUE"""),"กลาง")</f>
        <v>กลาง</v>
      </c>
      <c r="AH470" s="3" t="str">
        <f>IFERROR(__xludf.DUMMYFUNCTION("""COMPUTED_VALUE"""),"#N/A")</f>
        <v>#N/A</v>
      </c>
      <c r="AI470" s="3" t="str">
        <f>IFERROR(__xludf.DUMMYFUNCTION("""COMPUTED_VALUE"""),"Out of warranty")</f>
        <v>Out of warranty</v>
      </c>
      <c r="AJ470" s="3">
        <f>IFERROR(__xludf.DUMMYFUNCTION("""COMPUTED_VALUE"""),149.0)</f>
        <v>149</v>
      </c>
      <c r="AK470" s="3"/>
      <c r="AL470" s="3"/>
    </row>
    <row r="471" ht="15.75" customHeight="1">
      <c r="A471" s="1" t="str">
        <f>IFERROR(__xludf.DUMMYFUNCTION("""COMPUTED_VALUE"""),"21234")</f>
        <v>21234</v>
      </c>
      <c r="B471" s="2">
        <f>IFERROR(__xludf.DUMMYFUNCTION("""COMPUTED_VALUE"""),21234.0)</f>
        <v>21234</v>
      </c>
      <c r="C471" s="3" t="str">
        <f>IFERROR(__xludf.DUMMYFUNCTION("""COMPUTED_VALUE"""),"MBC เอื้ออาทรมีนบุรี")</f>
        <v>MBC เอื้ออาทรมีนบุรี</v>
      </c>
      <c r="D471" s="3" t="str">
        <f>IFERROR(__xludf.DUMMYFUNCTION("""COMPUTED_VALUE"""),"BCM UR_ARTHORN MINBURI")</f>
        <v>BCM UR_ARTHORN MINBURI</v>
      </c>
      <c r="E471" s="1" t="str">
        <f>IFERROR(__xludf.DUMMYFUNCTION("""COMPUTED_VALUE"""),"บิ๊กซี MINI")</f>
        <v>บิ๊กซี MINI</v>
      </c>
      <c r="F471" s="1" t="str">
        <f>IFERROR(__xludf.DUMMYFUNCTION("""COMPUTED_VALUE"""),"291008")</f>
        <v>291008</v>
      </c>
      <c r="G471" s="1" t="str">
        <f>IFERROR(__xludf.DUMMYFUNCTION("""COMPUTED_VALUE"""),"น.ส.รัชดาพร อีศรัตน์")</f>
        <v>น.ส.รัชดาพร อีศรัตน์</v>
      </c>
      <c r="H471" s="1" t="str">
        <f>IFERROR(__xludf.DUMMYFUNCTION("""COMPUTED_VALUE"""),"228242")</f>
        <v>228242</v>
      </c>
      <c r="I471" s="1" t="str">
        <f>IFERROR(__xludf.DUMMYFUNCTION("""COMPUTED_VALUE"""),"นายสมชาย เยมรัมย์")</f>
        <v>นายสมชาย เยมรัมย์</v>
      </c>
      <c r="J471" s="3">
        <f>IFERROR(__xludf.DUMMYFUNCTION("""COMPUTED_VALUE"""),3510104.0)</f>
        <v>3510104</v>
      </c>
      <c r="K471" s="3" t="str">
        <f>IFERROR(__xludf.DUMMYFUNCTION("""COMPUTED_VALUE"""),"นายวิโรจน์ อับดุลสมัด")</f>
        <v>นายวิโรจน์ อับดุลสมัด</v>
      </c>
      <c r="L471" s="1" t="str">
        <f>IFERROR(__xludf.DUMMYFUNCTION("""COMPUTED_VALUE"""),"09 K.Wirode A")</f>
        <v>09 K.Wirode A</v>
      </c>
      <c r="M471" s="1" t="str">
        <f>IFERROR(__xludf.DUMMYFUNCTION("""COMPUTED_VALUE"""),"080-235-4465")</f>
        <v>080-235-4465</v>
      </c>
      <c r="N471" s="3">
        <f>IFERROR(__xludf.DUMMYFUNCTION("""COMPUTED_VALUE"""),21324.0)</f>
        <v>21324</v>
      </c>
      <c r="O471" s="3" t="str">
        <f>IFERROR(__xludf.DUMMYFUNCTION("""COMPUTED_VALUE"""),"MBC BCP สุวินทวงศ์")</f>
        <v>MBC BCP สุวินทวงศ์</v>
      </c>
      <c r="P471" s="4">
        <f>IFERROR(__xludf.DUMMYFUNCTION("""COMPUTED_VALUE"""),41537.0)</f>
        <v>41537</v>
      </c>
      <c r="Q471" s="3" t="str">
        <f>IFERROR(__xludf.DUMMYFUNCTION("""COMPUTED_VALUE"""),"A")</f>
        <v>A</v>
      </c>
      <c r="R471" s="3" t="str">
        <f>IFERROR(__xludf.DUMMYFUNCTION("""COMPUTED_VALUE"""),"Small Format")</f>
        <v>Small Format</v>
      </c>
      <c r="S471" s="3" t="str">
        <f>IFERROR(__xludf.DUMMYFUNCTION("""COMPUTED_VALUE"""),"BCM")</f>
        <v>BCM</v>
      </c>
      <c r="T471" s="3" t="str">
        <f>IFERROR(__xludf.DUMMYFUNCTION("""COMPUTED_VALUE"""),"#N/A")</f>
        <v>#N/A</v>
      </c>
      <c r="U471" s="3" t="str">
        <f>IFERROR(__xludf.DUMMYFUNCTION("""COMPUTED_VALUE"""),"#N/A")</f>
        <v>#N/A</v>
      </c>
      <c r="V471" s="3" t="str">
        <f>IFERROR(__xludf.DUMMYFUNCTION("""COMPUTED_VALUE"""),"N")</f>
        <v>N</v>
      </c>
      <c r="W471" s="3">
        <f>IFERROR(__xludf.DUMMYFUNCTION("""COMPUTED_VALUE"""),211244.0)</f>
        <v>211244</v>
      </c>
      <c r="X471" s="3" t="str">
        <f>IFERROR(__xludf.DUMMYFUNCTION("""COMPUTED_VALUE"""),"14 ซอยรามอินทรา 127 แยก 1 แขวงมีนบุรี เขตมีนบุรี กรุงเทพมหานคร 10510")</f>
        <v>14 ซอยรามอินทรา 127 แยก 1 แขวงมีนบุรี เขตมีนบุรี กรุงเทพมหานคร 10510</v>
      </c>
      <c r="Y471" s="3" t="str">
        <f>IFERROR(__xludf.DUMMYFUNCTION("""COMPUTED_VALUE"""),"ซอยรามอินทรา")</f>
        <v>ซอยรามอินทรา</v>
      </c>
      <c r="Z471" s="3" t="str">
        <f>IFERROR(__xludf.DUMMYFUNCTION("""COMPUTED_VALUE"""),"แยก")</f>
        <v>แยก</v>
      </c>
      <c r="AA471" s="3" t="str">
        <f>IFERROR(__xludf.DUMMYFUNCTION("""COMPUTED_VALUE"""),"มีนบุรี")</f>
        <v>มีนบุรี</v>
      </c>
      <c r="AB471" s="3" t="str">
        <f>IFERROR(__xludf.DUMMYFUNCTION("""COMPUTED_VALUE"""),"กรุงเทพมหานคร")</f>
        <v>กรุงเทพมหานคร</v>
      </c>
      <c r="AC471" s="3">
        <f>IFERROR(__xludf.DUMMYFUNCTION("""COMPUTED_VALUE"""),10510.0)</f>
        <v>10510</v>
      </c>
      <c r="AD471" s="3">
        <f>IFERROR(__xludf.DUMMYFUNCTION("""COMPUTED_VALUE"""),13.817869)</f>
        <v>13.817869</v>
      </c>
      <c r="AE471" s="3">
        <f>IFERROR(__xludf.DUMMYFUNCTION("""COMPUTED_VALUE"""),100.715121)</f>
        <v>100.715121</v>
      </c>
      <c r="AF471" s="3" t="str">
        <f>IFERROR(__xludf.DUMMYFUNCTION("""COMPUTED_VALUE"""),"MBC เอื้ออาทรมีนบุรี-21234")</f>
        <v>MBC เอื้ออาทรมีนบุรี-21234</v>
      </c>
      <c r="AG471" s="3" t="str">
        <f>IFERROR(__xludf.DUMMYFUNCTION("""COMPUTED_VALUE"""),"กลาง")</f>
        <v>กลาง</v>
      </c>
      <c r="AH471" s="3" t="str">
        <f>IFERROR(__xludf.DUMMYFUNCTION("""COMPUTED_VALUE"""),"#N/A")</f>
        <v>#N/A</v>
      </c>
      <c r="AI471" s="3" t="str">
        <f>IFERROR(__xludf.DUMMYFUNCTION("""COMPUTED_VALUE"""),"Out of warranty")</f>
        <v>Out of warranty</v>
      </c>
      <c r="AJ471" s="3">
        <f>IFERROR(__xludf.DUMMYFUNCTION("""COMPUTED_VALUE"""),149.0)</f>
        <v>149</v>
      </c>
      <c r="AK471" s="3" t="str">
        <f>IFERROR(__xludf.DUMMYFUNCTION("""COMPUTED_VALUE"""),"MMS01")</f>
        <v>MMS01</v>
      </c>
      <c r="AL471" s="3"/>
    </row>
    <row r="472" ht="15.75" customHeight="1">
      <c r="A472" s="1" t="str">
        <f>IFERROR(__xludf.DUMMYFUNCTION("""COMPUTED_VALUE"""),"21235")</f>
        <v>21235</v>
      </c>
      <c r="B472" s="2">
        <f>IFERROR(__xludf.DUMMYFUNCTION("""COMPUTED_VALUE"""),21235.0)</f>
        <v>21235</v>
      </c>
      <c r="C472" s="3" t="str">
        <f>IFERROR(__xludf.DUMMYFUNCTION("""COMPUTED_VALUE"""),"MBC BCPเพชรฯ กม192")</f>
        <v>MBC BCPเพชรฯ กม192</v>
      </c>
      <c r="D472" s="3" t="str">
        <f>IFERROR(__xludf.DUMMYFUNCTION("""COMPUTED_VALUE"""),"BCM BCP PHET KM192")</f>
        <v>BCM BCP PHET KM192</v>
      </c>
      <c r="E472" s="1" t="str">
        <f>IFERROR(__xludf.DUMMYFUNCTION("""COMPUTED_VALUE"""),"บิ๊กซี MINI")</f>
        <v>บิ๊กซี MINI</v>
      </c>
      <c r="F472" s="1" t="str">
        <f>IFERROR(__xludf.DUMMYFUNCTION("""COMPUTED_VALUE"""),"250760")</f>
        <v>250760</v>
      </c>
      <c r="G472" s="1" t="str">
        <f>IFERROR(__xludf.DUMMYFUNCTION("""COMPUTED_VALUE"""),"นายประทวน สาราบรรณ์")</f>
        <v>นายประทวน สาราบรรณ์</v>
      </c>
      <c r="H472" s="1" t="str">
        <f>IFERROR(__xludf.DUMMYFUNCTION("""COMPUTED_VALUE"""),"311437")</f>
        <v>311437</v>
      </c>
      <c r="I472" s="1" t="str">
        <f>IFERROR(__xludf.DUMMYFUNCTION("""COMPUTED_VALUE"""),"นายฉัตรทพร รักวิเชียร")</f>
        <v>นายฉัตรทพร รักวิเชียร</v>
      </c>
      <c r="J472" s="3">
        <f>IFERROR(__xludf.DUMMYFUNCTION("""COMPUTED_VALUE"""),2.0470331E7)</f>
        <v>20470331</v>
      </c>
      <c r="K472" s="3" t="str">
        <f>IFERROR(__xludf.DUMMYFUNCTION("""COMPUTED_VALUE"""),"นายสมชาย ลักษณะสุวรรณ")</f>
        <v>นายสมชาย ลักษณะสุวรรณ</v>
      </c>
      <c r="L472" s="1" t="str">
        <f>IFERROR(__xludf.DUMMYFUNCTION("""COMPUTED_VALUE"""),"15 K.Somchai L")</f>
        <v>15 K.Somchai L</v>
      </c>
      <c r="M472" s="1" t="str">
        <f>IFERROR(__xludf.DUMMYFUNCTION("""COMPUTED_VALUE"""),"0655107372")</f>
        <v>0655107372</v>
      </c>
      <c r="N472" s="3">
        <f>IFERROR(__xludf.DUMMYFUNCTION("""COMPUTED_VALUE"""),21723.0)</f>
        <v>21723</v>
      </c>
      <c r="O472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472" s="4">
        <f>IFERROR(__xludf.DUMMYFUNCTION("""COMPUTED_VALUE"""),41538.0)</f>
        <v>41538</v>
      </c>
      <c r="Q472" s="3" t="str">
        <f>IFERROR(__xludf.DUMMYFUNCTION("""COMPUTED_VALUE"""),"I")</f>
        <v>I</v>
      </c>
      <c r="R472" s="3" t="str">
        <f>IFERROR(__xludf.DUMMYFUNCTION("""COMPUTED_VALUE"""),"Small Format")</f>
        <v>Small Format</v>
      </c>
      <c r="S472" s="3" t="str">
        <f>IFERROR(__xludf.DUMMYFUNCTION("""COMPUTED_VALUE"""),"BCM")</f>
        <v>BCM</v>
      </c>
      <c r="T472" s="3" t="str">
        <f>IFERROR(__xludf.DUMMYFUNCTION("""COMPUTED_VALUE"""),"#N/A")</f>
        <v>#N/A</v>
      </c>
      <c r="U472" s="3" t="str">
        <f>IFERROR(__xludf.DUMMYFUNCTION("""COMPUTED_VALUE"""),"#N/A")</f>
        <v>#N/A</v>
      </c>
      <c r="V472" s="3" t="str">
        <f>IFERROR(__xludf.DUMMYFUNCTION("""COMPUTED_VALUE"""),"N")</f>
        <v>N</v>
      </c>
      <c r="W472" s="3">
        <f>IFERROR(__xludf.DUMMYFUNCTION("""COMPUTED_VALUE"""),361078.0)</f>
        <v>361078</v>
      </c>
      <c r="X472" s="3" t="str">
        <f>IFERROR(__xludf.DUMMYFUNCTION("""COMPUTED_VALUE"""),"81 หมู่ 1 ตำบลดอนขุนห้วย อำเภอชะอำ จังหวัดเพชรบุรี 76120")</f>
        <v>81 หมู่ 1 ตำบลดอนขุนห้วย อำเภอชะอำ จังหวัดเพชรบุรี 76120</v>
      </c>
      <c r="Y472" s="3"/>
      <c r="Z472" s="3" t="str">
        <f>IFERROR(__xludf.DUMMYFUNCTION("""COMPUTED_VALUE"""),"ดอนขุนห้วย")</f>
        <v>ดอนขุนห้วย</v>
      </c>
      <c r="AA472" s="3" t="str">
        <f>IFERROR(__xludf.DUMMYFUNCTION("""COMPUTED_VALUE"""),"ชะอำ")</f>
        <v>ชะอำ</v>
      </c>
      <c r="AB472" s="3" t="str">
        <f>IFERROR(__xludf.DUMMYFUNCTION("""COMPUTED_VALUE"""),"เพชรบุรี")</f>
        <v>เพชรบุรี</v>
      </c>
      <c r="AC472" s="3">
        <f>IFERROR(__xludf.DUMMYFUNCTION("""COMPUTED_VALUE"""),76120.0)</f>
        <v>76120</v>
      </c>
      <c r="AD472" s="3">
        <f>IFERROR(__xludf.DUMMYFUNCTION("""COMPUTED_VALUE"""),12.892281)</f>
        <v>12.892281</v>
      </c>
      <c r="AE472" s="3">
        <f>IFERROR(__xludf.DUMMYFUNCTION("""COMPUTED_VALUE"""),99.910244)</f>
        <v>99.910244</v>
      </c>
      <c r="AF472" s="3" t="str">
        <f>IFERROR(__xludf.DUMMYFUNCTION("""COMPUTED_VALUE"""),"MBC BCPเพชรฯ กม192-21235")</f>
        <v>MBC BCPเพชรฯ กม192-21235</v>
      </c>
      <c r="AG472" s="3" t="str">
        <f>IFERROR(__xludf.DUMMYFUNCTION("""COMPUTED_VALUE"""),"ตะวันตก")</f>
        <v>ตะวันตก</v>
      </c>
      <c r="AH472" s="3" t="str">
        <f>IFERROR(__xludf.DUMMYFUNCTION("""COMPUTED_VALUE"""),"#N/A")</f>
        <v>#N/A</v>
      </c>
      <c r="AI472" s="3" t="str">
        <f>IFERROR(__xludf.DUMMYFUNCTION("""COMPUTED_VALUE"""),"Out of warranty")</f>
        <v>Out of warranty</v>
      </c>
      <c r="AJ472" s="3">
        <f>IFERROR(__xludf.DUMMYFUNCTION("""COMPUTED_VALUE"""),148.0)</f>
        <v>148</v>
      </c>
      <c r="AK472" s="3" t="str">
        <f>IFERROR(__xludf.DUMMYFUNCTION("""COMPUTED_VALUE"""),"MMS14")</f>
        <v>MMS14</v>
      </c>
      <c r="AL472" s="3"/>
    </row>
    <row r="473" ht="15.75" customHeight="1">
      <c r="A473" s="1" t="str">
        <f>IFERROR(__xludf.DUMMYFUNCTION("""COMPUTED_VALUE"""),"21236")</f>
        <v>21236</v>
      </c>
      <c r="B473" s="2">
        <f>IFERROR(__xludf.DUMMYFUNCTION("""COMPUTED_VALUE"""),21236.0)</f>
        <v>21236</v>
      </c>
      <c r="C473" s="3" t="str">
        <f>IFERROR(__xludf.DUMMYFUNCTION("""COMPUTED_VALUE"""),"MBC เอื้อฯ หนองแขม")</f>
        <v>MBC เอื้อฯ หนองแขม</v>
      </c>
      <c r="D473" s="3" t="str">
        <f>IFERROR(__xludf.DUMMYFUNCTION("""COMPUTED_VALUE"""),"BCM UR NONGKHAEM")</f>
        <v>BCM UR NONGKHAEM</v>
      </c>
      <c r="E473" s="1" t="str">
        <f>IFERROR(__xludf.DUMMYFUNCTION("""COMPUTED_VALUE"""),"บิ๊กซี MINI")</f>
        <v>บิ๊กซี MINI</v>
      </c>
      <c r="F473" s="1" t="str">
        <f>IFERROR(__xludf.DUMMYFUNCTION("""COMPUTED_VALUE"""),"291008")</f>
        <v>291008</v>
      </c>
      <c r="G473" s="1" t="str">
        <f>IFERROR(__xludf.DUMMYFUNCTION("""COMPUTED_VALUE"""),"น.ส.รัชดาพร อีศรัตน์")</f>
        <v>น.ส.รัชดาพร อีศรัตน์</v>
      </c>
      <c r="H473" s="1" t="str">
        <f>IFERROR(__xludf.DUMMYFUNCTION("""COMPUTED_VALUE"""),"250921")</f>
        <v>250921</v>
      </c>
      <c r="I473" s="1" t="str">
        <f>IFERROR(__xludf.DUMMYFUNCTION("""COMPUTED_VALUE"""),"นายปรัชญาวัต ถิระสังวร")</f>
        <v>นายปรัชญาวัต ถิระสังวร</v>
      </c>
      <c r="J473" s="3">
        <f>IFERROR(__xludf.DUMMYFUNCTION("""COMPUTED_VALUE"""),2452378.0)</f>
        <v>2452378</v>
      </c>
      <c r="K473" s="3" t="str">
        <f>IFERROR(__xludf.DUMMYFUNCTION("""COMPUTED_VALUE"""),"นายศักดิ์ดา พวงประดับ")</f>
        <v>นายศักดิ์ดา พวงประดับ</v>
      </c>
      <c r="L473" s="1" t="str">
        <f>IFERROR(__xludf.DUMMYFUNCTION("""COMPUTED_VALUE"""),"11 K.Sakda P.")</f>
        <v>11 K.Sakda P.</v>
      </c>
      <c r="M473" s="1" t="str">
        <f>IFERROR(__xludf.DUMMYFUNCTION("""COMPUTED_VALUE"""),"065-929-1279")</f>
        <v>065-929-1279</v>
      </c>
      <c r="N473" s="3">
        <f>IFERROR(__xludf.DUMMYFUNCTION("""COMPUTED_VALUE"""),21002.0)</f>
        <v>21002</v>
      </c>
      <c r="O473" s="3" t="str">
        <f>IFERROR(__xludf.DUMMYFUNCTION("""COMPUTED_VALUE"""),"MBC อุดมสุข")</f>
        <v>MBC อุดมสุข</v>
      </c>
      <c r="P473" s="4">
        <f>IFERROR(__xludf.DUMMYFUNCTION("""COMPUTED_VALUE"""),41539.0)</f>
        <v>41539</v>
      </c>
      <c r="Q473" s="3" t="str">
        <f>IFERROR(__xludf.DUMMYFUNCTION("""COMPUTED_VALUE"""),"A")</f>
        <v>A</v>
      </c>
      <c r="R473" s="3" t="str">
        <f>IFERROR(__xludf.DUMMYFUNCTION("""COMPUTED_VALUE"""),"Small Format")</f>
        <v>Small Format</v>
      </c>
      <c r="S473" s="3" t="str">
        <f>IFERROR(__xludf.DUMMYFUNCTION("""COMPUTED_VALUE"""),"BCM")</f>
        <v>BCM</v>
      </c>
      <c r="T473" s="3" t="str">
        <f>IFERROR(__xludf.DUMMYFUNCTION("""COMPUTED_VALUE"""),"#N/A")</f>
        <v>#N/A</v>
      </c>
      <c r="U473" s="3" t="str">
        <f>IFERROR(__xludf.DUMMYFUNCTION("""COMPUTED_VALUE"""),"#N/A")</f>
        <v>#N/A</v>
      </c>
      <c r="V473" s="3" t="str">
        <f>IFERROR(__xludf.DUMMYFUNCTION("""COMPUTED_VALUE"""),"N")</f>
        <v>N</v>
      </c>
      <c r="W473" s="3">
        <f>IFERROR(__xludf.DUMMYFUNCTION("""COMPUTED_VALUE"""),211250.0)</f>
        <v>211250</v>
      </c>
      <c r="X473" s="3" t="str">
        <f>IFERROR(__xludf.DUMMYFUNCTION("""COMPUTED_VALUE"""),"9/1 ซอยเลียบฯ ฝั่งเหนือ 34 แขวงหนองแขม เขตหนองแขม กรุงเทพมหานคร 10160")</f>
        <v>9/1 ซอยเลียบฯ ฝั่งเหนือ 34 แขวงหนองแขม เขตหนองแขม กรุงเทพมหานคร 10160</v>
      </c>
      <c r="Y473" s="3" t="str">
        <f>IFERROR(__xludf.DUMMYFUNCTION("""COMPUTED_VALUE"""),"ซอยเลียบฯ")</f>
        <v>ซอยเลียบฯ</v>
      </c>
      <c r="Z473" s="3" t="str">
        <f>IFERROR(__xludf.DUMMYFUNCTION("""COMPUTED_VALUE"""),"ฝั่งเหนือ")</f>
        <v>ฝั่งเหนือ</v>
      </c>
      <c r="AA473" s="3" t="str">
        <f>IFERROR(__xludf.DUMMYFUNCTION("""COMPUTED_VALUE"""),"หนองแขม")</f>
        <v>หนองแขม</v>
      </c>
      <c r="AB473" s="3" t="str">
        <f>IFERROR(__xludf.DUMMYFUNCTION("""COMPUTED_VALUE"""),"กรุงเทพมหานคร")</f>
        <v>กรุงเทพมหานคร</v>
      </c>
      <c r="AC473" s="3">
        <f>IFERROR(__xludf.DUMMYFUNCTION("""COMPUTED_VALUE"""),10160.0)</f>
        <v>10160</v>
      </c>
      <c r="AD473" s="3">
        <f>IFERROR(__xludf.DUMMYFUNCTION("""COMPUTED_VALUE"""),13.68113)</f>
        <v>13.68113</v>
      </c>
      <c r="AE473" s="3">
        <f>IFERROR(__xludf.DUMMYFUNCTION("""COMPUTED_VALUE"""),100.336073)</f>
        <v>100.336073</v>
      </c>
      <c r="AF473" s="3" t="str">
        <f>IFERROR(__xludf.DUMMYFUNCTION("""COMPUTED_VALUE"""),"MBC เอื้อฯ หนองแขม-21236")</f>
        <v>MBC เอื้อฯ หนองแขม-21236</v>
      </c>
      <c r="AG473" s="3" t="str">
        <f>IFERROR(__xludf.DUMMYFUNCTION("""COMPUTED_VALUE"""),"กลาง")</f>
        <v>กลาง</v>
      </c>
      <c r="AH473" s="3" t="str">
        <f>IFERROR(__xludf.DUMMYFUNCTION("""COMPUTED_VALUE"""),"#N/A")</f>
        <v>#N/A</v>
      </c>
      <c r="AI473" s="3" t="str">
        <f>IFERROR(__xludf.DUMMYFUNCTION("""COMPUTED_VALUE"""),"Out of warranty")</f>
        <v>Out of warranty</v>
      </c>
      <c r="AJ473" s="3">
        <f>IFERROR(__xludf.DUMMYFUNCTION("""COMPUTED_VALUE"""),148.0)</f>
        <v>148</v>
      </c>
      <c r="AK473" s="3" t="str">
        <f>IFERROR(__xludf.DUMMYFUNCTION("""COMPUTED_VALUE"""),"MMS02")</f>
        <v>MMS02</v>
      </c>
      <c r="AL473" s="3"/>
    </row>
    <row r="474" ht="15.75" customHeight="1">
      <c r="A474" s="1" t="str">
        <f>IFERROR(__xludf.DUMMYFUNCTION("""COMPUTED_VALUE"""),"21237")</f>
        <v>21237</v>
      </c>
      <c r="B474" s="2">
        <f>IFERROR(__xludf.DUMMYFUNCTION("""COMPUTED_VALUE"""),21237.0)</f>
        <v>21237</v>
      </c>
      <c r="C474" s="3" t="str">
        <f>IFERROR(__xludf.DUMMYFUNCTION("""COMPUTED_VALUE"""),"MBC BCP พัทยาเหนือ")</f>
        <v>MBC BCP พัทยาเหนือ</v>
      </c>
      <c r="D474" s="3" t="str">
        <f>IFERROR(__xludf.DUMMYFUNCTION("""COMPUTED_VALUE"""),"BCM BCP PATTAYA NUA")</f>
        <v>BCM BCP PATTAYA NUA</v>
      </c>
      <c r="E474" s="1" t="str">
        <f>IFERROR(__xludf.DUMMYFUNCTION("""COMPUTED_VALUE"""),"บิ๊กซี MINI")</f>
        <v>บิ๊กซี MINI</v>
      </c>
      <c r="F474" s="1" t="str">
        <f>IFERROR(__xludf.DUMMYFUNCTION("""COMPUTED_VALUE"""),"221716")</f>
        <v>221716</v>
      </c>
      <c r="G474" s="1" t="str">
        <f>IFERROR(__xludf.DUMMYFUNCTION("""COMPUTED_VALUE"""),"น.ส.เบญจพร โพธิสาร")</f>
        <v>น.ส.เบญจพร โพธิสาร</v>
      </c>
      <c r="H474" s="1" t="str">
        <f>IFERROR(__xludf.DUMMYFUNCTION("""COMPUTED_VALUE"""),"313065")</f>
        <v>313065</v>
      </c>
      <c r="I474" s="1" t="str">
        <f>IFERROR(__xludf.DUMMYFUNCTION("""COMPUTED_VALUE"""),"นายจิรายุทธ กันทา")</f>
        <v>นายจิรายุทธ กันทา</v>
      </c>
      <c r="J474" s="3">
        <f>IFERROR(__xludf.DUMMYFUNCTION("""COMPUTED_VALUE"""),1.3461215E7)</f>
        <v>13461215</v>
      </c>
      <c r="K474" s="3" t="str">
        <f>IFERROR(__xludf.DUMMYFUNCTION("""COMPUTED_VALUE"""),"นายธีรภัทร สังข์เงิน")</f>
        <v>นายธีรภัทร สังข์เงิน</v>
      </c>
      <c r="L474" s="1" t="str">
        <f>IFERROR(__xludf.DUMMYFUNCTION("""COMPUTED_VALUE"""),"06 K.Teerapat")</f>
        <v>06 K.Teerapat</v>
      </c>
      <c r="M474" s="1" t="str">
        <f>IFERROR(__xludf.DUMMYFUNCTION("""COMPUTED_VALUE"""),"063-601-6803")</f>
        <v>063-601-6803</v>
      </c>
      <c r="N474" s="3">
        <f>IFERROR(__xludf.DUMMYFUNCTION("""COMPUTED_VALUE"""),22115.0)</f>
        <v>22115</v>
      </c>
      <c r="O474" s="3" t="str">
        <f>IFERROR(__xludf.DUMMYFUNCTION("""COMPUTED_VALUE"""),"MBC เลี่ยงหนองมน ชลบุรี")</f>
        <v>MBC เลี่ยงหนองมน ชลบุรี</v>
      </c>
      <c r="P474" s="4">
        <f>IFERROR(__xludf.DUMMYFUNCTION("""COMPUTED_VALUE"""),41538.0)</f>
        <v>41538</v>
      </c>
      <c r="Q474" s="3" t="str">
        <f>IFERROR(__xludf.DUMMYFUNCTION("""COMPUTED_VALUE"""),"A")</f>
        <v>A</v>
      </c>
      <c r="R474" s="3" t="str">
        <f>IFERROR(__xludf.DUMMYFUNCTION("""COMPUTED_VALUE"""),"Small Format")</f>
        <v>Small Format</v>
      </c>
      <c r="S474" s="3" t="str">
        <f>IFERROR(__xludf.DUMMYFUNCTION("""COMPUTED_VALUE"""),"BCM")</f>
        <v>BCM</v>
      </c>
      <c r="T474" s="3" t="str">
        <f>IFERROR(__xludf.DUMMYFUNCTION("""COMPUTED_VALUE"""),"#N/A")</f>
        <v>#N/A</v>
      </c>
      <c r="U474" s="3" t="str">
        <f>IFERROR(__xludf.DUMMYFUNCTION("""COMPUTED_VALUE"""),"#N/A")</f>
        <v>#N/A</v>
      </c>
      <c r="V474" s="3" t="str">
        <f>IFERROR(__xludf.DUMMYFUNCTION("""COMPUTED_VALUE"""),"N")</f>
        <v>N</v>
      </c>
      <c r="W474" s="3">
        <f>IFERROR(__xludf.DUMMYFUNCTION("""COMPUTED_VALUE"""),361073.0)</f>
        <v>361073</v>
      </c>
      <c r="X474" s="3" t="str">
        <f>IFERROR(__xludf.DUMMYFUNCTION("""COMPUTED_VALUE"""),"159/115 หมู่ 5 ถนนพัทยาเหนือ ตำบลนาเกลือ อำเภอบางละมุง จังหวัดชลบุรี 20150")</f>
        <v>159/115 หมู่ 5 ถนนพัทยาเหนือ ตำบลนาเกลือ อำเภอบางละมุง จังหวัดชลบุรี 20150</v>
      </c>
      <c r="Y474" s="3"/>
      <c r="Z474" s="3" t="str">
        <f>IFERROR(__xludf.DUMMYFUNCTION("""COMPUTED_VALUE"""),"นาเกลือ")</f>
        <v>นาเกลือ</v>
      </c>
      <c r="AA474" s="3" t="str">
        <f>IFERROR(__xludf.DUMMYFUNCTION("""COMPUTED_VALUE"""),"บางละมุง")</f>
        <v>บางละมุง</v>
      </c>
      <c r="AB474" s="3" t="str">
        <f>IFERROR(__xludf.DUMMYFUNCTION("""COMPUTED_VALUE"""),"ชลบุรี")</f>
        <v>ชลบุรี</v>
      </c>
      <c r="AC474" s="3">
        <f>IFERROR(__xludf.DUMMYFUNCTION("""COMPUTED_VALUE"""),20150.0)</f>
        <v>20150</v>
      </c>
      <c r="AD474" s="3">
        <f>IFERROR(__xludf.DUMMYFUNCTION("""COMPUTED_VALUE"""),12.9499)</f>
        <v>12.9499</v>
      </c>
      <c r="AE474" s="3">
        <f>IFERROR(__xludf.DUMMYFUNCTION("""COMPUTED_VALUE"""),100.899614)</f>
        <v>100.899614</v>
      </c>
      <c r="AF474" s="3" t="str">
        <f>IFERROR(__xludf.DUMMYFUNCTION("""COMPUTED_VALUE"""),"MBC BCP พัทยาเหนือ-21237")</f>
        <v>MBC BCP พัทยาเหนือ-21237</v>
      </c>
      <c r="AG474" s="3" t="str">
        <f>IFERROR(__xludf.DUMMYFUNCTION("""COMPUTED_VALUE"""),"ตะวันออก")</f>
        <v>ตะวันออก</v>
      </c>
      <c r="AH474" s="3" t="str">
        <f>IFERROR(__xludf.DUMMYFUNCTION("""COMPUTED_VALUE"""),"#N/A")</f>
        <v>#N/A</v>
      </c>
      <c r="AI474" s="3" t="str">
        <f>IFERROR(__xludf.DUMMYFUNCTION("""COMPUTED_VALUE"""),"Out of warranty")</f>
        <v>Out of warranty</v>
      </c>
      <c r="AJ474" s="3">
        <f>IFERROR(__xludf.DUMMYFUNCTION("""COMPUTED_VALUE"""),148.0)</f>
        <v>148</v>
      </c>
      <c r="AK474" s="3" t="str">
        <f>IFERROR(__xludf.DUMMYFUNCTION("""COMPUTED_VALUE"""),"MMS06")</f>
        <v>MMS06</v>
      </c>
      <c r="AL474" s="3"/>
    </row>
    <row r="475" ht="15.75" customHeight="1">
      <c r="A475" s="1" t="str">
        <f>IFERROR(__xludf.DUMMYFUNCTION("""COMPUTED_VALUE"""),"21238")</f>
        <v>21238</v>
      </c>
      <c r="B475" s="2">
        <f>IFERROR(__xludf.DUMMYFUNCTION("""COMPUTED_VALUE"""),21238.0)</f>
        <v>21238</v>
      </c>
      <c r="C475" s="3" t="str">
        <f>IFERROR(__xludf.DUMMYFUNCTION("""COMPUTED_VALUE"""),"MBC BCP บายพาส กม 13")</f>
        <v>MBC BCP บายพาส กม 13</v>
      </c>
      <c r="D475" s="3" t="str">
        <f>IFERROR(__xludf.DUMMYFUNCTION("""COMPUTED_VALUE"""),"BCM BCP BYPASS KM13")</f>
        <v>BCM BCP BYPASS KM13</v>
      </c>
      <c r="E475" s="1" t="str">
        <f>IFERROR(__xludf.DUMMYFUNCTION("""COMPUTED_VALUE"""),"บิ๊กซี MINI")</f>
        <v>บิ๊กซี MINI</v>
      </c>
      <c r="F475" s="1" t="str">
        <f>IFERROR(__xludf.DUMMYFUNCTION("""COMPUTED_VALUE"""),"221716")</f>
        <v>221716</v>
      </c>
      <c r="G475" s="1" t="str">
        <f>IFERROR(__xludf.DUMMYFUNCTION("""COMPUTED_VALUE"""),"น.ส.เบญจพร โพธิสาร")</f>
        <v>น.ส.เบญจพร โพธิสาร</v>
      </c>
      <c r="H475" s="1" t="str">
        <f>IFERROR(__xludf.DUMMYFUNCTION("""COMPUTED_VALUE"""),"476018")</f>
        <v>476018</v>
      </c>
      <c r="I475" s="1" t="str">
        <f>IFERROR(__xludf.DUMMYFUNCTION("""COMPUTED_VALUE"""),"นายศราวุฒิ ชูพันดุง")</f>
        <v>นายศราวุฒิ ชูพันดุง</v>
      </c>
      <c r="J475" s="3">
        <f>IFERROR(__xludf.DUMMYFUNCTION("""COMPUTED_VALUE"""),3510104.0)</f>
        <v>3510104</v>
      </c>
      <c r="K475" s="3" t="str">
        <f>IFERROR(__xludf.DUMMYFUNCTION("""COMPUTED_VALUE"""),"นายวิโรจน์ อับดุลสมัด")</f>
        <v>นายวิโรจน์ อับดุลสมัด</v>
      </c>
      <c r="L475" s="1" t="str">
        <f>IFERROR(__xludf.DUMMYFUNCTION("""COMPUTED_VALUE"""),"09 K.Wirode A")</f>
        <v>09 K.Wirode A</v>
      </c>
      <c r="M475" s="1" t="str">
        <f>IFERROR(__xludf.DUMMYFUNCTION("""COMPUTED_VALUE"""),"080-235-4465")</f>
        <v>080-235-4465</v>
      </c>
      <c r="N475" s="3">
        <f>IFERROR(__xludf.DUMMYFUNCTION("""COMPUTED_VALUE"""),21324.0)</f>
        <v>21324</v>
      </c>
      <c r="O475" s="3" t="str">
        <f>IFERROR(__xludf.DUMMYFUNCTION("""COMPUTED_VALUE"""),"MBC BCP สุวินทวงศ์")</f>
        <v>MBC BCP สุวินทวงศ์</v>
      </c>
      <c r="P475" s="4">
        <f>IFERROR(__xludf.DUMMYFUNCTION("""COMPUTED_VALUE"""),41540.0)</f>
        <v>41540</v>
      </c>
      <c r="Q475" s="3" t="str">
        <f>IFERROR(__xludf.DUMMYFUNCTION("""COMPUTED_VALUE"""),"I")</f>
        <v>I</v>
      </c>
      <c r="R475" s="3" t="str">
        <f>IFERROR(__xludf.DUMMYFUNCTION("""COMPUTED_VALUE"""),"Small Format")</f>
        <v>Small Format</v>
      </c>
      <c r="S475" s="3" t="str">
        <f>IFERROR(__xludf.DUMMYFUNCTION("""COMPUTED_VALUE"""),"BCM")</f>
        <v>BCM</v>
      </c>
      <c r="T475" s="3" t="str">
        <f>IFERROR(__xludf.DUMMYFUNCTION("""COMPUTED_VALUE"""),"#N/A")</f>
        <v>#N/A</v>
      </c>
      <c r="U475" s="3" t="str">
        <f>IFERROR(__xludf.DUMMYFUNCTION("""COMPUTED_VALUE"""),"#N/A")</f>
        <v>#N/A</v>
      </c>
      <c r="V475" s="3" t="str">
        <f>IFERROR(__xludf.DUMMYFUNCTION("""COMPUTED_VALUE"""),"N")</f>
        <v>N</v>
      </c>
      <c r="W475" s="3">
        <f>IFERROR(__xludf.DUMMYFUNCTION("""COMPUTED_VALUE"""),361084.0)</f>
        <v>361084</v>
      </c>
      <c r="X475" s="3" t="str">
        <f>IFERROR(__xludf.DUMMYFUNCTION("""COMPUTED_VALUE"""),"20/70 หมู่ 1 ตำบลห้วยกะปิ อำเภอเมืองชลบุรี จังหวัดชลบุรี 20000")</f>
        <v>20/70 หมู่ 1 ตำบลห้วยกะปิ อำเภอเมืองชลบุรี จังหวัดชลบุรี 20000</v>
      </c>
      <c r="Y475" s="3"/>
      <c r="Z475" s="3" t="str">
        <f>IFERROR(__xludf.DUMMYFUNCTION("""COMPUTED_VALUE"""),"ห้วยกะปิ")</f>
        <v>ห้วยกะปิ</v>
      </c>
      <c r="AA475" s="3" t="str">
        <f>IFERROR(__xludf.DUMMYFUNCTION("""COMPUTED_VALUE"""),"เมือง")</f>
        <v>เมือง</v>
      </c>
      <c r="AB475" s="3" t="str">
        <f>IFERROR(__xludf.DUMMYFUNCTION("""COMPUTED_VALUE"""),"ชลบุรี")</f>
        <v>ชลบุรี</v>
      </c>
      <c r="AC475" s="3">
        <f>IFERROR(__xludf.DUMMYFUNCTION("""COMPUTED_VALUE"""),20000.0)</f>
        <v>20000</v>
      </c>
      <c r="AD475" s="3">
        <f>IFERROR(__xludf.DUMMYFUNCTION("""COMPUTED_VALUE"""),13.333043)</f>
        <v>13.333043</v>
      </c>
      <c r="AE475" s="3">
        <f>IFERROR(__xludf.DUMMYFUNCTION("""COMPUTED_VALUE"""),100.978257)</f>
        <v>100.978257</v>
      </c>
      <c r="AF475" s="3" t="str">
        <f>IFERROR(__xludf.DUMMYFUNCTION("""COMPUTED_VALUE"""),"MBC BCP บายพาส กม 13-21238")</f>
        <v>MBC BCP บายพาส กม 13-21238</v>
      </c>
      <c r="AG475" s="3" t="str">
        <f>IFERROR(__xludf.DUMMYFUNCTION("""COMPUTED_VALUE"""),"ตะวันออก")</f>
        <v>ตะวันออก</v>
      </c>
      <c r="AH475" s="3" t="str">
        <f>IFERROR(__xludf.DUMMYFUNCTION("""COMPUTED_VALUE"""),"#N/A")</f>
        <v>#N/A</v>
      </c>
      <c r="AI475" s="3" t="str">
        <f>IFERROR(__xludf.DUMMYFUNCTION("""COMPUTED_VALUE"""),"Out of warranty")</f>
        <v>Out of warranty</v>
      </c>
      <c r="AJ475" s="3">
        <f>IFERROR(__xludf.DUMMYFUNCTION("""COMPUTED_VALUE"""),148.0)</f>
        <v>148</v>
      </c>
      <c r="AK475" s="3" t="str">
        <f>IFERROR(__xludf.DUMMYFUNCTION("""COMPUTED_VALUE"""),"MMS06")</f>
        <v>MMS06</v>
      </c>
      <c r="AL475" s="3"/>
    </row>
    <row r="476" ht="15.75" customHeight="1">
      <c r="A476" s="1" t="str">
        <f>IFERROR(__xludf.DUMMYFUNCTION("""COMPUTED_VALUE"""),"21239")</f>
        <v>21239</v>
      </c>
      <c r="B476" s="2">
        <f>IFERROR(__xludf.DUMMYFUNCTION("""COMPUTED_VALUE"""),21239.0)</f>
        <v>21239</v>
      </c>
      <c r="C476" s="3" t="str">
        <f>IFERROR(__xludf.DUMMYFUNCTION("""COMPUTED_VALUE"""),"MBC BCPสุขุมฯ กม101")</f>
        <v>MBC BCPสุขุมฯ กม101</v>
      </c>
      <c r="D476" s="3" t="str">
        <f>IFERROR(__xludf.DUMMYFUNCTION("""COMPUTED_VALUE"""),"MBC BCP SUKKHUM KM101")</f>
        <v>MBC BCP SUKKHUM KM101</v>
      </c>
      <c r="E476" s="1" t="str">
        <f>IFERROR(__xludf.DUMMYFUNCTION("""COMPUTED_VALUE"""),"บิ๊กซี MINI")</f>
        <v>บิ๊กซี MINI</v>
      </c>
      <c r="F476" s="1" t="str">
        <f>IFERROR(__xludf.DUMMYFUNCTION("""COMPUTED_VALUE"""),"250760")</f>
        <v>250760</v>
      </c>
      <c r="G476" s="1" t="str">
        <f>IFERROR(__xludf.DUMMYFUNCTION("""COMPUTED_VALUE"""),"นายประทวน สาราบรรณ์")</f>
        <v>นายประทวน สาราบรรณ์</v>
      </c>
      <c r="H476" s="1" t="str">
        <f>IFERROR(__xludf.DUMMYFUNCTION("""COMPUTED_VALUE"""),"034605")</f>
        <v>034605</v>
      </c>
      <c r="I476" s="1" t="str">
        <f>IFERROR(__xludf.DUMMYFUNCTION("""COMPUTED_VALUE"""),"นายธรรมรัตน์ สุขเจริญ")</f>
        <v>นายธรรมรัตน์ สุขเจริญ</v>
      </c>
      <c r="J476" s="3">
        <f>IFERROR(__xludf.DUMMYFUNCTION("""COMPUTED_VALUE"""),295541.0)</f>
        <v>295541</v>
      </c>
      <c r="K476" s="3" t="str">
        <f>IFERROR(__xludf.DUMMYFUNCTION("""COMPUTED_VALUE"""),"นายรพิพล ศรีมาตย์")</f>
        <v>นายรพิพล ศรีมาตย์</v>
      </c>
      <c r="L476" s="1" t="str">
        <f>IFERROR(__xludf.DUMMYFUNCTION("""COMPUTED_VALUE"""),"นายรพิพล ศรีมาตย์")</f>
        <v>นายรพิพล ศรีมาตย์</v>
      </c>
      <c r="M476" s="1" t="str">
        <f>IFERROR(__xludf.DUMMYFUNCTION("""COMPUTED_VALUE"""),"0613966115")</f>
        <v>0613966115</v>
      </c>
      <c r="N476" s="3">
        <f>IFERROR(__xludf.DUMMYFUNCTION("""COMPUTED_VALUE"""),21175.0)</f>
        <v>21175</v>
      </c>
      <c r="O476" s="3" t="str">
        <f>IFERROR(__xludf.DUMMYFUNCTION("""COMPUTED_VALUE"""),"MBC BCP กิ่งแก้ว")</f>
        <v>MBC BCP กิ่งแก้ว</v>
      </c>
      <c r="P476" s="4">
        <f>IFERROR(__xludf.DUMMYFUNCTION("""COMPUTED_VALUE"""),41546.0)</f>
        <v>41546</v>
      </c>
      <c r="Q476" s="3" t="str">
        <f>IFERROR(__xludf.DUMMYFUNCTION("""COMPUTED_VALUE"""),"I")</f>
        <v>I</v>
      </c>
      <c r="R476" s="3" t="str">
        <f>IFERROR(__xludf.DUMMYFUNCTION("""COMPUTED_VALUE"""),"Small Format")</f>
        <v>Small Format</v>
      </c>
      <c r="S476" s="3" t="str">
        <f>IFERROR(__xludf.DUMMYFUNCTION("""COMPUTED_VALUE"""),"BCM")</f>
        <v>BCM</v>
      </c>
      <c r="T476" s="3" t="str">
        <f>IFERROR(__xludf.DUMMYFUNCTION("""COMPUTED_VALUE"""),"#N/A")</f>
        <v>#N/A</v>
      </c>
      <c r="U476" s="3" t="str">
        <f>IFERROR(__xludf.DUMMYFUNCTION("""COMPUTED_VALUE"""),"#N/A")</f>
        <v>#N/A</v>
      </c>
      <c r="V476" s="3" t="str">
        <f>IFERROR(__xludf.DUMMYFUNCTION("""COMPUTED_VALUE"""),"N")</f>
        <v>N</v>
      </c>
      <c r="W476" s="3">
        <f>IFERROR(__xludf.DUMMYFUNCTION("""COMPUTED_VALUE"""),361062.0)</f>
        <v>361062</v>
      </c>
      <c r="X476" s="3" t="str">
        <f>IFERROR(__xludf.DUMMYFUNCTION("""COMPUTED_VALUE"""),"53/2 หมู่ 4 ตำบลเสม็ด อำเภอเมืองชลบุรี จังหวัดชลบุรี 20000")</f>
        <v>53/2 หมู่ 4 ตำบลเสม็ด อำเภอเมืองชลบุรี จังหวัดชลบุรี 20000</v>
      </c>
      <c r="Y476" s="3"/>
      <c r="Z476" s="3" t="str">
        <f>IFERROR(__xludf.DUMMYFUNCTION("""COMPUTED_VALUE"""),"เสม็ด")</f>
        <v>เสม็ด</v>
      </c>
      <c r="AA476" s="3" t="str">
        <f>IFERROR(__xludf.DUMMYFUNCTION("""COMPUTED_VALUE"""),"เมือง")</f>
        <v>เมือง</v>
      </c>
      <c r="AB476" s="3" t="str">
        <f>IFERROR(__xludf.DUMMYFUNCTION("""COMPUTED_VALUE"""),"ชลบุรี")</f>
        <v>ชลบุรี</v>
      </c>
      <c r="AC476" s="3">
        <f>IFERROR(__xludf.DUMMYFUNCTION("""COMPUTED_VALUE"""),20000.0)</f>
        <v>20000</v>
      </c>
      <c r="AD476" s="3">
        <f>IFERROR(__xludf.DUMMYFUNCTION("""COMPUTED_VALUE"""),13.308404)</f>
        <v>13.308404</v>
      </c>
      <c r="AE476" s="3">
        <f>IFERROR(__xludf.DUMMYFUNCTION("""COMPUTED_VALUE"""),100.952744)</f>
        <v>100.952744</v>
      </c>
      <c r="AF476" s="3" t="str">
        <f>IFERROR(__xludf.DUMMYFUNCTION("""COMPUTED_VALUE"""),"MBC BCPสุขุมฯ กม101-21239")</f>
        <v>MBC BCPสุขุมฯ กม101-21239</v>
      </c>
      <c r="AG476" s="3" t="str">
        <f>IFERROR(__xludf.DUMMYFUNCTION("""COMPUTED_VALUE"""),"ตะวันออก")</f>
        <v>ตะวันออก</v>
      </c>
      <c r="AH476" s="3" t="str">
        <f>IFERROR(__xludf.DUMMYFUNCTION("""COMPUTED_VALUE"""),"#N/A")</f>
        <v>#N/A</v>
      </c>
      <c r="AI476" s="3" t="str">
        <f>IFERROR(__xludf.DUMMYFUNCTION("""COMPUTED_VALUE"""),"Out of warranty")</f>
        <v>Out of warranty</v>
      </c>
      <c r="AJ476" s="3">
        <f>IFERROR(__xludf.DUMMYFUNCTION("""COMPUTED_VALUE"""),148.0)</f>
        <v>148</v>
      </c>
      <c r="AK476" s="3"/>
      <c r="AL476" s="3"/>
    </row>
    <row r="477" ht="15.75" customHeight="1">
      <c r="A477" s="1" t="str">
        <f>IFERROR(__xludf.DUMMYFUNCTION("""COMPUTED_VALUE"""),"21240")</f>
        <v>21240</v>
      </c>
      <c r="B477" s="2">
        <f>IFERROR(__xludf.DUMMYFUNCTION("""COMPUTED_VALUE"""),21240.0)</f>
        <v>21240</v>
      </c>
      <c r="C477" s="3" t="str">
        <f>IFERROR(__xludf.DUMMYFUNCTION("""COMPUTED_VALUE"""),"MBC สุรศักดิ์")</f>
        <v>MBC สุรศักดิ์</v>
      </c>
      <c r="D477" s="3" t="str">
        <f>IFERROR(__xludf.DUMMYFUNCTION("""COMPUTED_VALUE"""),"MBC SURASAK")</f>
        <v>MBC SURASAK</v>
      </c>
      <c r="E477" s="1" t="str">
        <f>IFERROR(__xludf.DUMMYFUNCTION("""COMPUTED_VALUE"""),"บิ๊กซี MINI")</f>
        <v>บิ๊กซี MINI</v>
      </c>
      <c r="F477" s="1" t="str">
        <f>IFERROR(__xludf.DUMMYFUNCTION("""COMPUTED_VALUE"""),"250760")</f>
        <v>250760</v>
      </c>
      <c r="G477" s="1" t="str">
        <f>IFERROR(__xludf.DUMMYFUNCTION("""COMPUTED_VALUE"""),"นายประทวน สาราบรรณ์")</f>
        <v>นายประทวน สาราบรรณ์</v>
      </c>
      <c r="H477" s="1" t="str">
        <f>IFERROR(__xludf.DUMMYFUNCTION("""COMPUTED_VALUE"""),"034605")</f>
        <v>034605</v>
      </c>
      <c r="I477" s="1" t="str">
        <f>IFERROR(__xludf.DUMMYFUNCTION("""COMPUTED_VALUE"""),"นายธรรมรัตน์ สุขเจริญ")</f>
        <v>นายธรรมรัตน์ สุขเจริญ</v>
      </c>
      <c r="J477" s="3">
        <f>IFERROR(__xludf.DUMMYFUNCTION("""COMPUTED_VALUE"""),295541.0)</f>
        <v>295541</v>
      </c>
      <c r="K477" s="3" t="str">
        <f>IFERROR(__xludf.DUMMYFUNCTION("""COMPUTED_VALUE"""),"นายรพิพล ศรีมาตย์")</f>
        <v>นายรพิพล ศรีมาตย์</v>
      </c>
      <c r="L477" s="1" t="str">
        <f>IFERROR(__xludf.DUMMYFUNCTION("""COMPUTED_VALUE"""),"นายรพิพล ศรีมาตย์")</f>
        <v>นายรพิพล ศรีมาตย์</v>
      </c>
      <c r="M477" s="1" t="str">
        <f>IFERROR(__xludf.DUMMYFUNCTION("""COMPUTED_VALUE"""),"0613966115")</f>
        <v>0613966115</v>
      </c>
      <c r="N477" s="3">
        <f>IFERROR(__xludf.DUMMYFUNCTION("""COMPUTED_VALUE"""),21175.0)</f>
        <v>21175</v>
      </c>
      <c r="O477" s="3" t="str">
        <f>IFERROR(__xludf.DUMMYFUNCTION("""COMPUTED_VALUE"""),"MBC BCP กิ่งแก้ว")</f>
        <v>MBC BCP กิ่งแก้ว</v>
      </c>
      <c r="P477" s="4">
        <f>IFERROR(__xludf.DUMMYFUNCTION("""COMPUTED_VALUE"""),42448.0)</f>
        <v>42448</v>
      </c>
      <c r="Q477" s="3" t="str">
        <f>IFERROR(__xludf.DUMMYFUNCTION("""COMPUTED_VALUE"""),"I")</f>
        <v>I</v>
      </c>
      <c r="R477" s="3" t="str">
        <f>IFERROR(__xludf.DUMMYFUNCTION("""COMPUTED_VALUE"""),"Small Format")</f>
        <v>Small Format</v>
      </c>
      <c r="S477" s="3" t="str">
        <f>IFERROR(__xludf.DUMMYFUNCTION("""COMPUTED_VALUE"""),"BCM")</f>
        <v>BCM</v>
      </c>
      <c r="T477" s="3" t="str">
        <f>IFERROR(__xludf.DUMMYFUNCTION("""COMPUTED_VALUE"""),"#N/A")</f>
        <v>#N/A</v>
      </c>
      <c r="U477" s="3" t="str">
        <f>IFERROR(__xludf.DUMMYFUNCTION("""COMPUTED_VALUE"""),"#N/A")</f>
        <v>#N/A</v>
      </c>
      <c r="V477" s="3" t="str">
        <f>IFERROR(__xludf.DUMMYFUNCTION("""COMPUTED_VALUE"""),"N")</f>
        <v>N</v>
      </c>
      <c r="W477" s="3">
        <f>IFERROR(__xludf.DUMMYFUNCTION("""COMPUTED_VALUE"""),0.0)</f>
        <v>0</v>
      </c>
      <c r="X477" s="3" t="str">
        <f>IFERROR(__xludf.DUMMYFUNCTION("""COMPUTED_VALUE"""),"283/21-23 หมู่ 8 ตำบลสุรศักดิ์ อำเภอศรีราชา จังหวัดชลบุรี 20110")</f>
        <v>283/21-23 หมู่ 8 ตำบลสุรศักดิ์ อำเภอศรีราชา จังหวัดชลบุรี 20110</v>
      </c>
      <c r="Y477" s="3"/>
      <c r="Z477" s="3" t="str">
        <f>IFERROR(__xludf.DUMMYFUNCTION("""COMPUTED_VALUE"""),"สุรศักดิ์")</f>
        <v>สุรศักดิ์</v>
      </c>
      <c r="AA477" s="3" t="str">
        <f>IFERROR(__xludf.DUMMYFUNCTION("""COMPUTED_VALUE"""),"ศรีราชา")</f>
        <v>ศรีราชา</v>
      </c>
      <c r="AB477" s="3" t="str">
        <f>IFERROR(__xludf.DUMMYFUNCTION("""COMPUTED_VALUE"""),"ชลบุรี")</f>
        <v>ชลบุรี</v>
      </c>
      <c r="AC477" s="3">
        <f>IFERROR(__xludf.DUMMYFUNCTION("""COMPUTED_VALUE"""),20110.0)</f>
        <v>20110</v>
      </c>
      <c r="AD477" s="3" t="str">
        <f>IFERROR(__xludf.DUMMYFUNCTION("""COMPUTED_VALUE"""),"#N/A")</f>
        <v>#N/A</v>
      </c>
      <c r="AE477" s="3" t="str">
        <f>IFERROR(__xludf.DUMMYFUNCTION("""COMPUTED_VALUE"""),"#N/A")</f>
        <v>#N/A</v>
      </c>
      <c r="AF477" s="3" t="str">
        <f>IFERROR(__xludf.DUMMYFUNCTION("""COMPUTED_VALUE"""),"MBC สุรศักดิ์-21240")</f>
        <v>MBC สุรศักดิ์-21240</v>
      </c>
      <c r="AG477" s="3" t="str">
        <f>IFERROR(__xludf.DUMMYFUNCTION("""COMPUTED_VALUE"""),"ตะวันออก")</f>
        <v>ตะวันออก</v>
      </c>
      <c r="AH477" s="3" t="str">
        <f>IFERROR(__xludf.DUMMYFUNCTION("""COMPUTED_VALUE"""),"#N/A")</f>
        <v>#N/A</v>
      </c>
      <c r="AI477" s="3" t="str">
        <f>IFERROR(__xludf.DUMMYFUNCTION("""COMPUTED_VALUE"""),"Out of warranty")</f>
        <v>Out of warranty</v>
      </c>
      <c r="AJ477" s="3">
        <f>IFERROR(__xludf.DUMMYFUNCTION("""COMPUTED_VALUE"""),119.0)</f>
        <v>119</v>
      </c>
      <c r="AK477" s="3"/>
      <c r="AL477" s="3"/>
    </row>
    <row r="478" ht="15.75" customHeight="1">
      <c r="A478" s="1" t="str">
        <f>IFERROR(__xludf.DUMMYFUNCTION("""COMPUTED_VALUE"""),"21242")</f>
        <v>21242</v>
      </c>
      <c r="B478" s="2">
        <f>IFERROR(__xludf.DUMMYFUNCTION("""COMPUTED_VALUE"""),21242.0)</f>
        <v>21242</v>
      </c>
      <c r="C478" s="3" t="str">
        <f>IFERROR(__xludf.DUMMYFUNCTION("""COMPUTED_VALUE"""),"MBC บางแสนอ่างศิลา")</f>
        <v>MBC บางแสนอ่างศิลา</v>
      </c>
      <c r="D478" s="3" t="str">
        <f>IFERROR(__xludf.DUMMYFUNCTION("""COMPUTED_VALUE"""),"BCM BANGSAEN ANGSILA")</f>
        <v>BCM BANGSAEN ANGSILA</v>
      </c>
      <c r="E478" s="1" t="str">
        <f>IFERROR(__xludf.DUMMYFUNCTION("""COMPUTED_VALUE"""),"บิ๊กซี MINI")</f>
        <v>บิ๊กซี MINI</v>
      </c>
      <c r="F478" s="1" t="str">
        <f>IFERROR(__xludf.DUMMYFUNCTION("""COMPUTED_VALUE"""),"221716")</f>
        <v>221716</v>
      </c>
      <c r="G478" s="1" t="str">
        <f>IFERROR(__xludf.DUMMYFUNCTION("""COMPUTED_VALUE"""),"น.ส.เบญจพร โพธิสาร")</f>
        <v>น.ส.เบญจพร โพธิสาร</v>
      </c>
      <c r="H478" s="1" t="str">
        <f>IFERROR(__xludf.DUMMYFUNCTION("""COMPUTED_VALUE"""),"476018")</f>
        <v>476018</v>
      </c>
      <c r="I478" s="1" t="str">
        <f>IFERROR(__xludf.DUMMYFUNCTION("""COMPUTED_VALUE"""),"นายศราวุฒิ ชูพันดุง")</f>
        <v>นายศราวุฒิ ชูพันดุง</v>
      </c>
      <c r="J478" s="3">
        <f>IFERROR(__xludf.DUMMYFUNCTION("""COMPUTED_VALUE"""),1.3461215E7)</f>
        <v>13461215</v>
      </c>
      <c r="K478" s="3" t="str">
        <f>IFERROR(__xludf.DUMMYFUNCTION("""COMPUTED_VALUE"""),"นายธีรภัทร สังข์เงิน")</f>
        <v>นายธีรภัทร สังข์เงิน</v>
      </c>
      <c r="L478" s="1" t="str">
        <f>IFERROR(__xludf.DUMMYFUNCTION("""COMPUTED_VALUE"""),"06 K.Teerapat")</f>
        <v>06 K.Teerapat</v>
      </c>
      <c r="M478" s="1" t="str">
        <f>IFERROR(__xludf.DUMMYFUNCTION("""COMPUTED_VALUE"""),"063-601-6803")</f>
        <v>063-601-6803</v>
      </c>
      <c r="N478" s="3">
        <f>IFERROR(__xludf.DUMMYFUNCTION("""COMPUTED_VALUE"""),22115.0)</f>
        <v>22115</v>
      </c>
      <c r="O478" s="3" t="str">
        <f>IFERROR(__xludf.DUMMYFUNCTION("""COMPUTED_VALUE"""),"MBC เลี่ยงหนองมน ชลบุรี")</f>
        <v>MBC เลี่ยงหนองมน ชลบุรี</v>
      </c>
      <c r="P478" s="4">
        <f>IFERROR(__xludf.DUMMYFUNCTION("""COMPUTED_VALUE"""),41542.0)</f>
        <v>41542</v>
      </c>
      <c r="Q478" s="3" t="str">
        <f>IFERROR(__xludf.DUMMYFUNCTION("""COMPUTED_VALUE"""),"A")</f>
        <v>A</v>
      </c>
      <c r="R478" s="3" t="str">
        <f>IFERROR(__xludf.DUMMYFUNCTION("""COMPUTED_VALUE"""),"Small Format")</f>
        <v>Small Format</v>
      </c>
      <c r="S478" s="3" t="str">
        <f>IFERROR(__xludf.DUMMYFUNCTION("""COMPUTED_VALUE"""),"BCM")</f>
        <v>BCM</v>
      </c>
      <c r="T478" s="3" t="str">
        <f>IFERROR(__xludf.DUMMYFUNCTION("""COMPUTED_VALUE"""),"#N/A")</f>
        <v>#N/A</v>
      </c>
      <c r="U478" s="3" t="str">
        <f>IFERROR(__xludf.DUMMYFUNCTION("""COMPUTED_VALUE"""),"#N/A")</f>
        <v>#N/A</v>
      </c>
      <c r="V478" s="3" t="str">
        <f>IFERROR(__xludf.DUMMYFUNCTION("""COMPUTED_VALUE"""),"N")</f>
        <v>N</v>
      </c>
      <c r="W478" s="3">
        <f>IFERROR(__xludf.DUMMYFUNCTION("""COMPUTED_VALUE"""),211291.0)</f>
        <v>211291</v>
      </c>
      <c r="X478" s="3" t="str">
        <f>IFERROR(__xludf.DUMMYFUNCTION("""COMPUTED_VALUE"""),"26,28 ถนนบางแสน-อ่างศิลา ตำบลแสนสุข อำเภอเมืองชลบุรี จังหวัดชลบุรี 20130")</f>
        <v>26,28 ถนนบางแสน-อ่างศิลา ตำบลแสนสุข อำเภอเมืองชลบุรี จังหวัดชลบุรี 20130</v>
      </c>
      <c r="Y478" s="3" t="str">
        <f>IFERROR(__xludf.DUMMYFUNCTION("""COMPUTED_VALUE"""),"ถนนบางแสน-อ่างศิลา")</f>
        <v>ถนนบางแสน-อ่างศิลา</v>
      </c>
      <c r="Z478" s="3" t="str">
        <f>IFERROR(__xludf.DUMMYFUNCTION("""COMPUTED_VALUE"""),"แสนสุข")</f>
        <v>แสนสุข</v>
      </c>
      <c r="AA478" s="3" t="str">
        <f>IFERROR(__xludf.DUMMYFUNCTION("""COMPUTED_VALUE"""),"เมือง")</f>
        <v>เมือง</v>
      </c>
      <c r="AB478" s="3" t="str">
        <f>IFERROR(__xludf.DUMMYFUNCTION("""COMPUTED_VALUE"""),"ชลบุรี")</f>
        <v>ชลบุรี</v>
      </c>
      <c r="AC478" s="3">
        <f>IFERROR(__xludf.DUMMYFUNCTION("""COMPUTED_VALUE"""),20130.0)</f>
        <v>20130</v>
      </c>
      <c r="AD478" s="3">
        <f>IFERROR(__xludf.DUMMYFUNCTION("""COMPUTED_VALUE"""),13.304291)</f>
        <v>13.304291</v>
      </c>
      <c r="AE478" s="3">
        <f>IFERROR(__xludf.DUMMYFUNCTION("""COMPUTED_VALUE"""),100.904335)</f>
        <v>100.904335</v>
      </c>
      <c r="AF478" s="3" t="str">
        <f>IFERROR(__xludf.DUMMYFUNCTION("""COMPUTED_VALUE"""),"MBC บางแสนอ่างศิลา-21242")</f>
        <v>MBC บางแสนอ่างศิลา-21242</v>
      </c>
      <c r="AG478" s="3" t="str">
        <f>IFERROR(__xludf.DUMMYFUNCTION("""COMPUTED_VALUE"""),"ตะวันออก")</f>
        <v>ตะวันออก</v>
      </c>
      <c r="AH478" s="3" t="str">
        <f>IFERROR(__xludf.DUMMYFUNCTION("""COMPUTED_VALUE"""),"#N/A")</f>
        <v>#N/A</v>
      </c>
      <c r="AI478" s="3" t="str">
        <f>IFERROR(__xludf.DUMMYFUNCTION("""COMPUTED_VALUE"""),"Out of warranty")</f>
        <v>Out of warranty</v>
      </c>
      <c r="AJ478" s="3">
        <f>IFERROR(__xludf.DUMMYFUNCTION("""COMPUTED_VALUE"""),148.0)</f>
        <v>148</v>
      </c>
      <c r="AK478" s="3" t="str">
        <f>IFERROR(__xludf.DUMMYFUNCTION("""COMPUTED_VALUE"""),"MMS06")</f>
        <v>MMS06</v>
      </c>
      <c r="AL478" s="3"/>
    </row>
    <row r="479" ht="15.75" customHeight="1">
      <c r="A479" s="1" t="str">
        <f>IFERROR(__xludf.DUMMYFUNCTION("""COMPUTED_VALUE"""),"21243")</f>
        <v>21243</v>
      </c>
      <c r="B479" s="2">
        <f>IFERROR(__xludf.DUMMYFUNCTION("""COMPUTED_VALUE"""),21243.0)</f>
        <v>21243</v>
      </c>
      <c r="C479" s="3" t="str">
        <f>IFERROR(__xludf.DUMMYFUNCTION("""COMPUTED_VALUE"""),"MBC เขาขยาย")</f>
        <v>MBC เขาขยาย</v>
      </c>
      <c r="D479" s="3" t="str">
        <f>IFERROR(__xludf.DUMMYFUNCTION("""COMPUTED_VALUE"""),"BCM KHAO KHAYAI")</f>
        <v>BCM KHAO KHAYAI</v>
      </c>
      <c r="E479" s="1" t="str">
        <f>IFERROR(__xludf.DUMMYFUNCTION("""COMPUTED_VALUE"""),"บิ๊กซี MINI")</f>
        <v>บิ๊กซี MINI</v>
      </c>
      <c r="F479" s="1" t="str">
        <f>IFERROR(__xludf.DUMMYFUNCTION("""COMPUTED_VALUE"""),"221716")</f>
        <v>221716</v>
      </c>
      <c r="G479" s="1" t="str">
        <f>IFERROR(__xludf.DUMMYFUNCTION("""COMPUTED_VALUE"""),"น.ส.เบญจพร โพธิสาร")</f>
        <v>น.ส.เบญจพร โพธิสาร</v>
      </c>
      <c r="H479" s="1" t="str">
        <f>IFERROR(__xludf.DUMMYFUNCTION("""COMPUTED_VALUE"""),"376139")</f>
        <v>376139</v>
      </c>
      <c r="I479" s="1" t="str">
        <f>IFERROR(__xludf.DUMMYFUNCTION("""COMPUTED_VALUE"""),"นายอนุชา อำไพ")</f>
        <v>นายอนุชา อำไพ</v>
      </c>
      <c r="J479" s="3">
        <f>IFERROR(__xludf.DUMMYFUNCTION("""COMPUTED_VALUE"""),296942.0)</f>
        <v>296942</v>
      </c>
      <c r="K479" s="3" t="str">
        <f>IFERROR(__xludf.DUMMYFUNCTION("""COMPUTED_VALUE"""),"นายปิยะ รักษากิจ")</f>
        <v>นายปิยะ รักษากิจ</v>
      </c>
      <c r="L479" s="1" t="str">
        <f>IFERROR(__xludf.DUMMYFUNCTION("""COMPUTED_VALUE"""),"07 K.Piya R.")</f>
        <v>07 K.Piya R.</v>
      </c>
      <c r="M479" s="1" t="str">
        <f>IFERROR(__xludf.DUMMYFUNCTION("""COMPUTED_VALUE"""),"097-919-5476")</f>
        <v>097-919-5476</v>
      </c>
      <c r="N479" s="3">
        <f>IFERROR(__xludf.DUMMYFUNCTION("""COMPUTED_VALUE"""),21332.0)</f>
        <v>21332</v>
      </c>
      <c r="O479" s="3" t="str">
        <f>IFERROR(__xludf.DUMMYFUNCTION("""COMPUTED_VALUE"""),"MBC BCP อ่อนนุช 17/1")</f>
        <v>MBC BCP อ่อนนุช 17/1</v>
      </c>
      <c r="P479" s="4">
        <f>IFERROR(__xludf.DUMMYFUNCTION("""COMPUTED_VALUE"""),41547.0)</f>
        <v>41547</v>
      </c>
      <c r="Q479" s="3" t="str">
        <f>IFERROR(__xludf.DUMMYFUNCTION("""COMPUTED_VALUE"""),"A")</f>
        <v>A</v>
      </c>
      <c r="R479" s="3" t="str">
        <f>IFERROR(__xludf.DUMMYFUNCTION("""COMPUTED_VALUE"""),"Small Format")</f>
        <v>Small Format</v>
      </c>
      <c r="S479" s="3" t="str">
        <f>IFERROR(__xludf.DUMMYFUNCTION("""COMPUTED_VALUE"""),"BCM")</f>
        <v>BCM</v>
      </c>
      <c r="T479" s="3" t="str">
        <f>IFERROR(__xludf.DUMMYFUNCTION("""COMPUTED_VALUE"""),"#N/A")</f>
        <v>#N/A</v>
      </c>
      <c r="U479" s="3" t="str">
        <f>IFERROR(__xludf.DUMMYFUNCTION("""COMPUTED_VALUE"""),"#N/A")</f>
        <v>#N/A</v>
      </c>
      <c r="V479" s="3" t="str">
        <f>IFERROR(__xludf.DUMMYFUNCTION("""COMPUTED_VALUE"""),"N")</f>
        <v>N</v>
      </c>
      <c r="W479" s="3">
        <f>IFERROR(__xludf.DUMMYFUNCTION("""COMPUTED_VALUE"""),211263.0)</f>
        <v>211263</v>
      </c>
      <c r="X479" s="3" t="str">
        <f>IFERROR(__xludf.DUMMYFUNCTION("""COMPUTED_VALUE"""),"3/1 หมู่ 1 ตำบลบ่อวิน อำเภอศรีราชา จังหวัดชลบุรี 20230")</f>
        <v>3/1 หมู่ 1 ตำบลบ่อวิน อำเภอศรีราชา จังหวัดชลบุรี 20230</v>
      </c>
      <c r="Y479" s="3"/>
      <c r="Z479" s="3" t="str">
        <f>IFERROR(__xludf.DUMMYFUNCTION("""COMPUTED_VALUE"""),"บ่อวิน")</f>
        <v>บ่อวิน</v>
      </c>
      <c r="AA479" s="3" t="str">
        <f>IFERROR(__xludf.DUMMYFUNCTION("""COMPUTED_VALUE"""),"ศรีราชา")</f>
        <v>ศรีราชา</v>
      </c>
      <c r="AB479" s="3" t="str">
        <f>IFERROR(__xludf.DUMMYFUNCTION("""COMPUTED_VALUE"""),"ชลบุรี")</f>
        <v>ชลบุรี</v>
      </c>
      <c r="AC479" s="3">
        <f>IFERROR(__xludf.DUMMYFUNCTION("""COMPUTED_VALUE"""),20230.0)</f>
        <v>20230</v>
      </c>
      <c r="AD479" s="3">
        <f>IFERROR(__xludf.DUMMYFUNCTION("""COMPUTED_VALUE"""),13.057469)</f>
        <v>13.057469</v>
      </c>
      <c r="AE479" s="3">
        <f>IFERROR(__xludf.DUMMYFUNCTION("""COMPUTED_VALUE"""),101.049904)</f>
        <v>101.049904</v>
      </c>
      <c r="AF479" s="3" t="str">
        <f>IFERROR(__xludf.DUMMYFUNCTION("""COMPUTED_VALUE"""),"MBC เขาขยาย-21243")</f>
        <v>MBC เขาขยาย-21243</v>
      </c>
      <c r="AG479" s="3" t="str">
        <f>IFERROR(__xludf.DUMMYFUNCTION("""COMPUTED_VALUE"""),"ตะวันออก")</f>
        <v>ตะวันออก</v>
      </c>
      <c r="AH479" s="3" t="str">
        <f>IFERROR(__xludf.DUMMYFUNCTION("""COMPUTED_VALUE"""),"#N/A")</f>
        <v>#N/A</v>
      </c>
      <c r="AI479" s="3" t="str">
        <f>IFERROR(__xludf.DUMMYFUNCTION("""COMPUTED_VALUE"""),"Out of warranty")</f>
        <v>Out of warranty</v>
      </c>
      <c r="AJ479" s="3">
        <f>IFERROR(__xludf.DUMMYFUNCTION("""COMPUTED_VALUE"""),148.0)</f>
        <v>148</v>
      </c>
      <c r="AK479" s="3" t="str">
        <f>IFERROR(__xludf.DUMMYFUNCTION("""COMPUTED_VALUE"""),"MMS07")</f>
        <v>MMS07</v>
      </c>
      <c r="AL479" s="3"/>
    </row>
    <row r="480" ht="15.75" customHeight="1">
      <c r="A480" s="1" t="str">
        <f>IFERROR(__xludf.DUMMYFUNCTION("""COMPUTED_VALUE"""),"21244")</f>
        <v>21244</v>
      </c>
      <c r="B480" s="2">
        <f>IFERROR(__xludf.DUMMYFUNCTION("""COMPUTED_VALUE"""),21244.0)</f>
        <v>21244</v>
      </c>
      <c r="C480" s="3" t="str">
        <f>IFERROR(__xludf.DUMMYFUNCTION("""COMPUTED_VALUE"""),"MBC BCP พระราม2 กม20")</f>
        <v>MBC BCP พระราม2 กม20</v>
      </c>
      <c r="D480" s="3" t="str">
        <f>IFERROR(__xludf.DUMMYFUNCTION("""COMPUTED_VALUE"""),"BCM BCP RAMA 2 KM20")</f>
        <v>BCM BCP RAMA 2 KM20</v>
      </c>
      <c r="E480" s="1" t="str">
        <f>IFERROR(__xludf.DUMMYFUNCTION("""COMPUTED_VALUE"""),"บิ๊กซี MINI")</f>
        <v>บิ๊กซี MINI</v>
      </c>
      <c r="F480" s="1" t="str">
        <f>IFERROR(__xludf.DUMMYFUNCTION("""COMPUTED_VALUE"""),"2083447")</f>
        <v>2083447</v>
      </c>
      <c r="G480" s="1" t="str">
        <f>IFERROR(__xludf.DUMMYFUNCTION("""COMPUTED_VALUE"""),"นายอนุกูล ศรีลัดดา")</f>
        <v>นายอนุกูล ศรีลัดดา</v>
      </c>
      <c r="H480" s="1" t="str">
        <f>IFERROR(__xludf.DUMMYFUNCTION("""COMPUTED_VALUE"""),"379022")</f>
        <v>379022</v>
      </c>
      <c r="I480" s="1" t="str">
        <f>IFERROR(__xludf.DUMMYFUNCTION("""COMPUTED_VALUE"""),"นายพันธ์เทพ นุชเนตร")</f>
        <v>นายพันธ์เทพ นุชเนตร</v>
      </c>
      <c r="J480" s="3">
        <f>IFERROR(__xludf.DUMMYFUNCTION("""COMPUTED_VALUE"""),2451655.0)</f>
        <v>2451655</v>
      </c>
      <c r="K480" s="3" t="str">
        <f>IFERROR(__xludf.DUMMYFUNCTION("""COMPUTED_VALUE"""),"นายวิษณุพงษ์ ชินบุตร")</f>
        <v>นายวิษณุพงษ์ ชินบุตร</v>
      </c>
      <c r="L480" s="1" t="str">
        <f>IFERROR(__xludf.DUMMYFUNCTION("""COMPUTED_VALUE"""),"13 K.Wisanupong Ch")</f>
        <v>13 K.Wisanupong Ch</v>
      </c>
      <c r="M480" s="1" t="str">
        <f>IFERROR(__xludf.DUMMYFUNCTION("""COMPUTED_VALUE"""),"0843374693")</f>
        <v>0843374693</v>
      </c>
      <c r="N480" s="3">
        <f>IFERROR(__xludf.DUMMYFUNCTION("""COMPUTED_VALUE"""),21013.0)</f>
        <v>21013</v>
      </c>
      <c r="O480" s="3" t="str">
        <f>IFERROR(__xludf.DUMMYFUNCTION("""COMPUTED_VALUE"""),"MBC รังสิตคลอง2")</f>
        <v>MBC รังสิตคลอง2</v>
      </c>
      <c r="P480" s="4">
        <f>IFERROR(__xludf.DUMMYFUNCTION("""COMPUTED_VALUE"""),41547.0)</f>
        <v>41547</v>
      </c>
      <c r="Q480" s="3" t="str">
        <f>IFERROR(__xludf.DUMMYFUNCTION("""COMPUTED_VALUE"""),"I")</f>
        <v>I</v>
      </c>
      <c r="R480" s="3" t="str">
        <f>IFERROR(__xludf.DUMMYFUNCTION("""COMPUTED_VALUE"""),"Small Format")</f>
        <v>Small Format</v>
      </c>
      <c r="S480" s="3" t="str">
        <f>IFERROR(__xludf.DUMMYFUNCTION("""COMPUTED_VALUE"""),"BCM")</f>
        <v>BCM</v>
      </c>
      <c r="T480" s="3" t="str">
        <f>IFERROR(__xludf.DUMMYFUNCTION("""COMPUTED_VALUE"""),"#N/A")</f>
        <v>#N/A</v>
      </c>
      <c r="U480" s="3" t="str">
        <f>IFERROR(__xludf.DUMMYFUNCTION("""COMPUTED_VALUE"""),"#N/A")</f>
        <v>#N/A</v>
      </c>
      <c r="V480" s="3" t="str">
        <f>IFERROR(__xludf.DUMMYFUNCTION("""COMPUTED_VALUE"""),"N")</f>
        <v>N</v>
      </c>
      <c r="W480" s="3">
        <f>IFERROR(__xludf.DUMMYFUNCTION("""COMPUTED_VALUE"""),361060.0)</f>
        <v>361060</v>
      </c>
      <c r="X480" s="3" t="str">
        <f>IFERROR(__xludf.DUMMYFUNCTION("""COMPUTED_VALUE"""),"59/16 หมู่ 1 ตำบลคอกกระบือ อำเภอเมืองสมุทรสาคร จังหวัดสมุทรสาคร 74000")</f>
        <v>59/16 หมู่ 1 ตำบลคอกกระบือ อำเภอเมืองสมุทรสาคร จังหวัดสมุทรสาคร 74000</v>
      </c>
      <c r="Y480" s="3"/>
      <c r="Z480" s="3" t="str">
        <f>IFERROR(__xludf.DUMMYFUNCTION("""COMPUTED_VALUE"""),"คอกกระบือ")</f>
        <v>คอกกระบือ</v>
      </c>
      <c r="AA480" s="3" t="str">
        <f>IFERROR(__xludf.DUMMYFUNCTION("""COMPUTED_VALUE"""),"เมือง")</f>
        <v>เมือง</v>
      </c>
      <c r="AB480" s="3" t="str">
        <f>IFERROR(__xludf.DUMMYFUNCTION("""COMPUTED_VALUE"""),"สมุทรสาคร")</f>
        <v>สมุทรสาคร</v>
      </c>
      <c r="AC480" s="3">
        <f>IFERROR(__xludf.DUMMYFUNCTION("""COMPUTED_VALUE"""),74000.0)</f>
        <v>74000</v>
      </c>
      <c r="AD480" s="3">
        <f>IFERROR(__xludf.DUMMYFUNCTION("""COMPUTED_VALUE"""),13.591984)</f>
        <v>13.591984</v>
      </c>
      <c r="AE480" s="3">
        <f>IFERROR(__xludf.DUMMYFUNCTION("""COMPUTED_VALUE"""),100.336868)</f>
        <v>100.336868</v>
      </c>
      <c r="AF480" s="3" t="str">
        <f>IFERROR(__xludf.DUMMYFUNCTION("""COMPUTED_VALUE"""),"MBC BCP พระราม2 กม20-21244")</f>
        <v>MBC BCP พระราม2 กม20-21244</v>
      </c>
      <c r="AG480" s="3" t="str">
        <f>IFERROR(__xludf.DUMMYFUNCTION("""COMPUTED_VALUE"""),"กลาง")</f>
        <v>กลาง</v>
      </c>
      <c r="AH480" s="3" t="str">
        <f>IFERROR(__xludf.DUMMYFUNCTION("""COMPUTED_VALUE"""),"#N/A")</f>
        <v>#N/A</v>
      </c>
      <c r="AI480" s="3" t="str">
        <f>IFERROR(__xludf.DUMMYFUNCTION("""COMPUTED_VALUE"""),"Out of warranty")</f>
        <v>Out of warranty</v>
      </c>
      <c r="AJ480" s="3">
        <f>IFERROR(__xludf.DUMMYFUNCTION("""COMPUTED_VALUE"""),148.0)</f>
        <v>148</v>
      </c>
      <c r="AK480" s="3" t="str">
        <f>IFERROR(__xludf.DUMMYFUNCTION("""COMPUTED_VALUE"""),"MMS05")</f>
        <v>MMS05</v>
      </c>
      <c r="AL480" s="3"/>
    </row>
    <row r="481" ht="15.75" customHeight="1">
      <c r="A481" s="1" t="str">
        <f>IFERROR(__xludf.DUMMYFUNCTION("""COMPUTED_VALUE"""),"21245")</f>
        <v>21245</v>
      </c>
      <c r="B481" s="2">
        <f>IFERROR(__xludf.DUMMYFUNCTION("""COMPUTED_VALUE"""),21245.0)</f>
        <v>21245</v>
      </c>
      <c r="C481" s="3" t="str">
        <f>IFERROR(__xludf.DUMMYFUNCTION("""COMPUTED_VALUE"""),"MBC BCP บางนา กม4.5")</f>
        <v>MBC BCP บางนา กม4.5</v>
      </c>
      <c r="D481" s="3" t="str">
        <f>IFERROR(__xludf.DUMMYFUNCTION("""COMPUTED_VALUE"""),"MBC BCP BANGNA KM4.5")</f>
        <v>MBC BCP BANGNA KM4.5</v>
      </c>
      <c r="E481" s="1" t="str">
        <f>IFERROR(__xludf.DUMMYFUNCTION("""COMPUTED_VALUE"""),"บิ๊กซี MINI")</f>
        <v>บิ๊กซี MINI</v>
      </c>
      <c r="F481" s="1" t="str">
        <f>IFERROR(__xludf.DUMMYFUNCTION("""COMPUTED_VALUE"""),"291008")</f>
        <v>291008</v>
      </c>
      <c r="G481" s="1" t="str">
        <f>IFERROR(__xludf.DUMMYFUNCTION("""COMPUTED_VALUE"""),"น.ส.รัชดาพร อีศรัตน์")</f>
        <v>น.ส.รัชดาพร อีศรัตน์</v>
      </c>
      <c r="H481" s="1" t="str">
        <f>IFERROR(__xludf.DUMMYFUNCTION("""COMPUTED_VALUE"""),"034068")</f>
        <v>034068</v>
      </c>
      <c r="I481" s="1" t="str">
        <f>IFERROR(__xludf.DUMMYFUNCTION("""COMPUTED_VALUE"""),"นายสมศักดิ์ ฐานทองดี")</f>
        <v>นายสมศักดิ์ ฐานทองดี</v>
      </c>
      <c r="J481" s="3">
        <f>IFERROR(__xludf.DUMMYFUNCTION("""COMPUTED_VALUE"""),3510104.0)</f>
        <v>3510104</v>
      </c>
      <c r="K481" s="3" t="str">
        <f>IFERROR(__xludf.DUMMYFUNCTION("""COMPUTED_VALUE"""),"นายวิโรจน์ อับดุลสมัด")</f>
        <v>นายวิโรจน์ อับดุลสมัด</v>
      </c>
      <c r="L481" s="1" t="str">
        <f>IFERROR(__xludf.DUMMYFUNCTION("""COMPUTED_VALUE"""),"09 K.Wirode A")</f>
        <v>09 K.Wirode A</v>
      </c>
      <c r="M481" s="1" t="str">
        <f>IFERROR(__xludf.DUMMYFUNCTION("""COMPUTED_VALUE"""),"080-235-4465")</f>
        <v>080-235-4465</v>
      </c>
      <c r="N481" s="3">
        <f>IFERROR(__xludf.DUMMYFUNCTION("""COMPUTED_VALUE"""),21324.0)</f>
        <v>21324</v>
      </c>
      <c r="O481" s="3" t="str">
        <f>IFERROR(__xludf.DUMMYFUNCTION("""COMPUTED_VALUE"""),"MBC BCP สุวินทวงศ์")</f>
        <v>MBC BCP สุวินทวงศ์</v>
      </c>
      <c r="P481" s="4">
        <f>IFERROR(__xludf.DUMMYFUNCTION("""COMPUTED_VALUE"""),41547.0)</f>
        <v>41547</v>
      </c>
      <c r="Q481" s="3" t="str">
        <f>IFERROR(__xludf.DUMMYFUNCTION("""COMPUTED_VALUE"""),"I")</f>
        <v>I</v>
      </c>
      <c r="R481" s="3" t="str">
        <f>IFERROR(__xludf.DUMMYFUNCTION("""COMPUTED_VALUE"""),"Small Format")</f>
        <v>Small Format</v>
      </c>
      <c r="S481" s="3" t="str">
        <f>IFERROR(__xludf.DUMMYFUNCTION("""COMPUTED_VALUE"""),"BCM")</f>
        <v>BCM</v>
      </c>
      <c r="T481" s="3" t="str">
        <f>IFERROR(__xludf.DUMMYFUNCTION("""COMPUTED_VALUE"""),"#N/A")</f>
        <v>#N/A</v>
      </c>
      <c r="U481" s="3" t="str">
        <f>IFERROR(__xludf.DUMMYFUNCTION("""COMPUTED_VALUE"""),"#N/A")</f>
        <v>#N/A</v>
      </c>
      <c r="V481" s="3" t="str">
        <f>IFERROR(__xludf.DUMMYFUNCTION("""COMPUTED_VALUE"""),"N")</f>
        <v>N</v>
      </c>
      <c r="W481" s="3">
        <f>IFERROR(__xludf.DUMMYFUNCTION("""COMPUTED_VALUE"""),0.0)</f>
        <v>0</v>
      </c>
      <c r="X481" s="3" t="str">
        <f>IFERROR(__xludf.DUMMYFUNCTION("""COMPUTED_VALUE"""),"1137 หมู่ 12 แขวงบางนา เขตบางนา กรุงเทพมหานคร 10260")</f>
        <v>1137 หมู่ 12 แขวงบางนา เขตบางนา กรุงเทพมหานคร 10260</v>
      </c>
      <c r="Y481" s="3"/>
      <c r="Z481" s="3" t="str">
        <f>IFERROR(__xludf.DUMMYFUNCTION("""COMPUTED_VALUE"""),"บางนา")</f>
        <v>บางนา</v>
      </c>
      <c r="AA481" s="3" t="str">
        <f>IFERROR(__xludf.DUMMYFUNCTION("""COMPUTED_VALUE"""),"บางนา")</f>
        <v>บางนา</v>
      </c>
      <c r="AB481" s="3" t="str">
        <f>IFERROR(__xludf.DUMMYFUNCTION("""COMPUTED_VALUE"""),"กรุงเทพมหานคร")</f>
        <v>กรุงเทพมหานคร</v>
      </c>
      <c r="AC481" s="3">
        <f>IFERROR(__xludf.DUMMYFUNCTION("""COMPUTED_VALUE"""),10260.0)</f>
        <v>10260</v>
      </c>
      <c r="AD481" s="3" t="str">
        <f>IFERROR(__xludf.DUMMYFUNCTION("""COMPUTED_VALUE"""),"#N/A")</f>
        <v>#N/A</v>
      </c>
      <c r="AE481" s="3" t="str">
        <f>IFERROR(__xludf.DUMMYFUNCTION("""COMPUTED_VALUE"""),"#N/A")</f>
        <v>#N/A</v>
      </c>
      <c r="AF481" s="3" t="str">
        <f>IFERROR(__xludf.DUMMYFUNCTION("""COMPUTED_VALUE"""),"MBC BCP บางนา กม4.5-21245")</f>
        <v>MBC BCP บางนา กม4.5-21245</v>
      </c>
      <c r="AG481" s="3" t="str">
        <f>IFERROR(__xludf.DUMMYFUNCTION("""COMPUTED_VALUE"""),"กลาง")</f>
        <v>กลาง</v>
      </c>
      <c r="AH481" s="3" t="str">
        <f>IFERROR(__xludf.DUMMYFUNCTION("""COMPUTED_VALUE"""),"#N/A")</f>
        <v>#N/A</v>
      </c>
      <c r="AI481" s="3" t="str">
        <f>IFERROR(__xludf.DUMMYFUNCTION("""COMPUTED_VALUE"""),"Out of warranty")</f>
        <v>Out of warranty</v>
      </c>
      <c r="AJ481" s="3">
        <f>IFERROR(__xludf.DUMMYFUNCTION("""COMPUTED_VALUE"""),148.0)</f>
        <v>148</v>
      </c>
      <c r="AK481" s="3"/>
      <c r="AL481" s="3"/>
    </row>
    <row r="482" ht="15.75" customHeight="1">
      <c r="A482" s="1" t="str">
        <f>IFERROR(__xludf.DUMMYFUNCTION("""COMPUTED_VALUE"""),"21246")</f>
        <v>21246</v>
      </c>
      <c r="B482" s="2">
        <f>IFERROR(__xludf.DUMMYFUNCTION("""COMPUTED_VALUE"""),21246.0)</f>
        <v>21246</v>
      </c>
      <c r="C482" s="3" t="str">
        <f>IFERROR(__xludf.DUMMYFUNCTION("""COMPUTED_VALUE"""),"อ.ศรีมโหสถ")</f>
        <v>อ.ศรีมโหสถ</v>
      </c>
      <c r="D482" s="3" t="str">
        <f>IFERROR(__xludf.DUMMYFUNCTION("""COMPUTED_VALUE"""),"MBC AOR SIMAHOSOT")</f>
        <v>MBC AOR SIMAHOSOT</v>
      </c>
      <c r="E482" s="1" t="str">
        <f>IFERROR(__xludf.DUMMYFUNCTION("""COMPUTED_VALUE"""),"บิ๊กซี MINI")</f>
        <v>บิ๊กซี MINI</v>
      </c>
      <c r="F482" s="1" t="str">
        <f>IFERROR(__xludf.DUMMYFUNCTION("""COMPUTED_VALUE"""),"250760")</f>
        <v>250760</v>
      </c>
      <c r="G482" s="1" t="str">
        <f>IFERROR(__xludf.DUMMYFUNCTION("""COMPUTED_VALUE"""),"นายประทวน สาราบรรณ์")</f>
        <v>นายประทวน สาราบรรณ์</v>
      </c>
      <c r="H482" s="1" t="str">
        <f>IFERROR(__xludf.DUMMYFUNCTION("""COMPUTED_VALUE"""),"002773")</f>
        <v>002773</v>
      </c>
      <c r="I482" s="1" t="str">
        <f>IFERROR(__xludf.DUMMYFUNCTION("""COMPUTED_VALUE"""),"น.ส.มลิวัลย์ บุญเต็ม")</f>
        <v>น.ส.มลิวัลย์ บุญเต็ม</v>
      </c>
      <c r="J482" s="3">
        <f>IFERROR(__xludf.DUMMYFUNCTION("""COMPUTED_VALUE"""),295541.0)</f>
        <v>295541</v>
      </c>
      <c r="K482" s="3" t="str">
        <f>IFERROR(__xludf.DUMMYFUNCTION("""COMPUTED_VALUE"""),"นายรพิพล ศรีมาตย์")</f>
        <v>นายรพิพล ศรีมาตย์</v>
      </c>
      <c r="L482" s="1" t="str">
        <f>IFERROR(__xludf.DUMMYFUNCTION("""COMPUTED_VALUE"""),"นายรพิพล ศรีมาตย์")</f>
        <v>นายรพิพล ศรีมาตย์</v>
      </c>
      <c r="M482" s="1" t="str">
        <f>IFERROR(__xludf.DUMMYFUNCTION("""COMPUTED_VALUE"""),"0613966115")</f>
        <v>0613966115</v>
      </c>
      <c r="N482" s="3">
        <f>IFERROR(__xludf.DUMMYFUNCTION("""COMPUTED_VALUE"""),21175.0)</f>
        <v>21175</v>
      </c>
      <c r="O482" s="3" t="str">
        <f>IFERROR(__xludf.DUMMYFUNCTION("""COMPUTED_VALUE"""),"MBC BCP กิ่งแก้ว")</f>
        <v>MBC BCP กิ่งแก้ว</v>
      </c>
      <c r="P482" s="4">
        <f>IFERROR(__xludf.DUMMYFUNCTION("""COMPUTED_VALUE"""),41547.0)</f>
        <v>41547</v>
      </c>
      <c r="Q482" s="3" t="str">
        <f>IFERROR(__xludf.DUMMYFUNCTION("""COMPUTED_VALUE"""),"I")</f>
        <v>I</v>
      </c>
      <c r="R482" s="3" t="str">
        <f>IFERROR(__xludf.DUMMYFUNCTION("""COMPUTED_VALUE"""),"Small Format")</f>
        <v>Small Format</v>
      </c>
      <c r="S482" s="3" t="str">
        <f>IFERROR(__xludf.DUMMYFUNCTION("""COMPUTED_VALUE"""),"BCM")</f>
        <v>BCM</v>
      </c>
      <c r="T482" s="3" t="str">
        <f>IFERROR(__xludf.DUMMYFUNCTION("""COMPUTED_VALUE"""),"#N/A")</f>
        <v>#N/A</v>
      </c>
      <c r="U482" s="3" t="str">
        <f>IFERROR(__xludf.DUMMYFUNCTION("""COMPUTED_VALUE"""),"#N/A")</f>
        <v>#N/A</v>
      </c>
      <c r="V482" s="3" t="str">
        <f>IFERROR(__xludf.DUMMYFUNCTION("""COMPUTED_VALUE"""),"N")</f>
        <v>N</v>
      </c>
      <c r="W482" s="3">
        <f>IFERROR(__xludf.DUMMYFUNCTION("""COMPUTED_VALUE"""),0.0)</f>
        <v>0</v>
      </c>
      <c r="X482" s="3" t="str">
        <f>IFERROR(__xludf.DUMMYFUNCTION("""COMPUTED_VALUE"""),"223/3 หมู่ 3 ตำบลโคกปีบ อำเภอศรีมโหสถ จังหวัดปราจีนบุรี 25190")</f>
        <v>223/3 หมู่ 3 ตำบลโคกปีบ อำเภอศรีมโหสถ จังหวัดปราจีนบุรี 25190</v>
      </c>
      <c r="Y482" s="3"/>
      <c r="Z482" s="3" t="str">
        <f>IFERROR(__xludf.DUMMYFUNCTION("""COMPUTED_VALUE"""),"โคกปีบ")</f>
        <v>โคกปีบ</v>
      </c>
      <c r="AA482" s="3" t="str">
        <f>IFERROR(__xludf.DUMMYFUNCTION("""COMPUTED_VALUE"""),"ศรีมโหสถ")</f>
        <v>ศรีมโหสถ</v>
      </c>
      <c r="AB482" s="3" t="str">
        <f>IFERROR(__xludf.DUMMYFUNCTION("""COMPUTED_VALUE"""),"ปราจีนบุรี")</f>
        <v>ปราจีนบุรี</v>
      </c>
      <c r="AC482" s="3">
        <f>IFERROR(__xludf.DUMMYFUNCTION("""COMPUTED_VALUE"""),25190.0)</f>
        <v>25190</v>
      </c>
      <c r="AD482" s="3" t="str">
        <f>IFERROR(__xludf.DUMMYFUNCTION("""COMPUTED_VALUE"""),"#N/A")</f>
        <v>#N/A</v>
      </c>
      <c r="AE482" s="3" t="str">
        <f>IFERROR(__xludf.DUMMYFUNCTION("""COMPUTED_VALUE"""),"#N/A")</f>
        <v>#N/A</v>
      </c>
      <c r="AF482" s="3" t="str">
        <f>IFERROR(__xludf.DUMMYFUNCTION("""COMPUTED_VALUE"""),"อ.ศรีมโหสถ-21246")</f>
        <v>อ.ศรีมโหสถ-21246</v>
      </c>
      <c r="AG482" s="3" t="str">
        <f>IFERROR(__xludf.DUMMYFUNCTION("""COMPUTED_VALUE"""),"ตะวันออก")</f>
        <v>ตะวันออก</v>
      </c>
      <c r="AH482" s="3" t="str">
        <f>IFERROR(__xludf.DUMMYFUNCTION("""COMPUTED_VALUE"""),"#N/A")</f>
        <v>#N/A</v>
      </c>
      <c r="AI482" s="3" t="str">
        <f>IFERROR(__xludf.DUMMYFUNCTION("""COMPUTED_VALUE"""),"Out of warranty")</f>
        <v>Out of warranty</v>
      </c>
      <c r="AJ482" s="3">
        <f>IFERROR(__xludf.DUMMYFUNCTION("""COMPUTED_VALUE"""),148.0)</f>
        <v>148</v>
      </c>
      <c r="AK482" s="3"/>
      <c r="AL482" s="3"/>
    </row>
    <row r="483" ht="15.75" customHeight="1">
      <c r="A483" s="1" t="str">
        <f>IFERROR(__xludf.DUMMYFUNCTION("""COMPUTED_VALUE"""),"21247")</f>
        <v>21247</v>
      </c>
      <c r="B483" s="2">
        <f>IFERROR(__xludf.DUMMYFUNCTION("""COMPUTED_VALUE"""),21247.0)</f>
        <v>21247</v>
      </c>
      <c r="C483" s="3" t="str">
        <f>IFERROR(__xludf.DUMMYFUNCTION("""COMPUTED_VALUE"""),"MBC BCP อ้อมใหญ่")</f>
        <v>MBC BCP อ้อมใหญ่</v>
      </c>
      <c r="D483" s="3" t="str">
        <f>IFERROR(__xludf.DUMMYFUNCTION("""COMPUTED_VALUE"""),"BCM BCP OAMYAI")</f>
        <v>BCM BCP OAMYAI</v>
      </c>
      <c r="E483" s="1" t="str">
        <f>IFERROR(__xludf.DUMMYFUNCTION("""COMPUTED_VALUE"""),"บิ๊กซี MINI")</f>
        <v>บิ๊กซี MINI</v>
      </c>
      <c r="F483" s="1" t="str">
        <f>IFERROR(__xludf.DUMMYFUNCTION("""COMPUTED_VALUE"""),"296229")</f>
        <v>296229</v>
      </c>
      <c r="G483" s="1" t="str">
        <f>IFERROR(__xludf.DUMMYFUNCTION("""COMPUTED_VALUE"""),"นายทนงศักดิ์ บุญมา")</f>
        <v>นายทนงศักดิ์ บุญมา</v>
      </c>
      <c r="H483" s="1" t="str">
        <f>IFERROR(__xludf.DUMMYFUNCTION("""COMPUTED_VALUE"""),"295245")</f>
        <v>295245</v>
      </c>
      <c r="I483" s="1" t="str">
        <f>IFERROR(__xludf.DUMMYFUNCTION("""COMPUTED_VALUE"""),"นายมานะ วงศ์สุโชโต")</f>
        <v>นายมานะ วงศ์สุโชโต</v>
      </c>
      <c r="J483" s="3">
        <f>IFERROR(__xludf.DUMMYFUNCTION("""COMPUTED_VALUE"""),46214.0)</f>
        <v>46214</v>
      </c>
      <c r="K483" s="3" t="str">
        <f>IFERROR(__xludf.DUMMYFUNCTION("""COMPUTED_VALUE"""),"นายศักดิ์ชัย เด็ดดอกฟ้า")</f>
        <v>นายศักดิ์ชัย เด็ดดอกฟ้า</v>
      </c>
      <c r="L483" s="1" t="str">
        <f>IFERROR(__xludf.DUMMYFUNCTION("""COMPUTED_VALUE"""),"02 K.Sakchai D")</f>
        <v>02 K.Sakchai D</v>
      </c>
      <c r="M483" s="1" t="str">
        <f>IFERROR(__xludf.DUMMYFUNCTION("""COMPUTED_VALUE"""),"065-510-7376")</f>
        <v>065-510-7376</v>
      </c>
      <c r="N483" s="3">
        <f>IFERROR(__xludf.DUMMYFUNCTION("""COMPUTED_VALUE"""),21714.0)</f>
        <v>21714</v>
      </c>
      <c r="O483" s="3" t="str">
        <f>IFERROR(__xludf.DUMMYFUNCTION("""COMPUTED_VALUE"""),"MBC เอสโซ่ วัดโบสถ์")</f>
        <v>MBC เอสโซ่ วัดโบสถ์</v>
      </c>
      <c r="P483" s="4">
        <f>IFERROR(__xludf.DUMMYFUNCTION("""COMPUTED_VALUE"""),41547.0)</f>
        <v>41547</v>
      </c>
      <c r="Q483" s="3" t="str">
        <f>IFERROR(__xludf.DUMMYFUNCTION("""COMPUTED_VALUE"""),"I")</f>
        <v>I</v>
      </c>
      <c r="R483" s="3" t="str">
        <f>IFERROR(__xludf.DUMMYFUNCTION("""COMPUTED_VALUE"""),"Small Format")</f>
        <v>Small Format</v>
      </c>
      <c r="S483" s="3" t="str">
        <f>IFERROR(__xludf.DUMMYFUNCTION("""COMPUTED_VALUE"""),"BCM")</f>
        <v>BCM</v>
      </c>
      <c r="T483" s="3" t="str">
        <f>IFERROR(__xludf.DUMMYFUNCTION("""COMPUTED_VALUE"""),"#N/A")</f>
        <v>#N/A</v>
      </c>
      <c r="U483" s="3" t="str">
        <f>IFERROR(__xludf.DUMMYFUNCTION("""COMPUTED_VALUE"""),"#N/A")</f>
        <v>#N/A</v>
      </c>
      <c r="V483" s="3" t="str">
        <f>IFERROR(__xludf.DUMMYFUNCTION("""COMPUTED_VALUE"""),"N")</f>
        <v>N</v>
      </c>
      <c r="W483" s="3">
        <f>IFERROR(__xludf.DUMMYFUNCTION("""COMPUTED_VALUE"""),361059.0)</f>
        <v>361059</v>
      </c>
      <c r="X483" s="3" t="str">
        <f>IFERROR(__xludf.DUMMYFUNCTION("""COMPUTED_VALUE"""),"17/101 หมู่ 2 ตำบลอ้อมใหญ่ อำเภอสามพราน จังหวัดนครปฐม 73160")</f>
        <v>17/101 หมู่ 2 ตำบลอ้อมใหญ่ อำเภอสามพราน จังหวัดนครปฐม 73160</v>
      </c>
      <c r="Y483" s="3"/>
      <c r="Z483" s="3" t="str">
        <f>IFERROR(__xludf.DUMMYFUNCTION("""COMPUTED_VALUE"""),"อ้อมใหญ่")</f>
        <v>อ้อมใหญ่</v>
      </c>
      <c r="AA483" s="3" t="str">
        <f>IFERROR(__xludf.DUMMYFUNCTION("""COMPUTED_VALUE"""),"สามพราน")</f>
        <v>สามพราน</v>
      </c>
      <c r="AB483" s="3" t="str">
        <f>IFERROR(__xludf.DUMMYFUNCTION("""COMPUTED_VALUE"""),"นครปฐม")</f>
        <v>นครปฐม</v>
      </c>
      <c r="AC483" s="3">
        <f>IFERROR(__xludf.DUMMYFUNCTION("""COMPUTED_VALUE"""),73160.0)</f>
        <v>73160</v>
      </c>
      <c r="AD483" s="3">
        <f>IFERROR(__xludf.DUMMYFUNCTION("""COMPUTED_VALUE"""),13.734716)</f>
        <v>13.734716</v>
      </c>
      <c r="AE483" s="3">
        <f>IFERROR(__xludf.DUMMYFUNCTION("""COMPUTED_VALUE"""),100.280349)</f>
        <v>100.280349</v>
      </c>
      <c r="AF483" s="3" t="str">
        <f>IFERROR(__xludf.DUMMYFUNCTION("""COMPUTED_VALUE"""),"MBC BCP อ้อมใหญ่-21247")</f>
        <v>MBC BCP อ้อมใหญ่-21247</v>
      </c>
      <c r="AG483" s="3" t="str">
        <f>IFERROR(__xludf.DUMMYFUNCTION("""COMPUTED_VALUE"""),"กลาง")</f>
        <v>กลาง</v>
      </c>
      <c r="AH483" s="3" t="str">
        <f>IFERROR(__xludf.DUMMYFUNCTION("""COMPUTED_VALUE"""),"#N/A")</f>
        <v>#N/A</v>
      </c>
      <c r="AI483" s="3" t="str">
        <f>IFERROR(__xludf.DUMMYFUNCTION("""COMPUTED_VALUE"""),"Out of warranty")</f>
        <v>Out of warranty</v>
      </c>
      <c r="AJ483" s="3">
        <f>IFERROR(__xludf.DUMMYFUNCTION("""COMPUTED_VALUE"""),148.0)</f>
        <v>148</v>
      </c>
      <c r="AK483" s="3" t="str">
        <f>IFERROR(__xludf.DUMMYFUNCTION("""COMPUTED_VALUE"""),"MMS05")</f>
        <v>MMS05</v>
      </c>
      <c r="AL483" s="3"/>
    </row>
    <row r="484" ht="15.75" customHeight="1">
      <c r="A484" s="1" t="str">
        <f>IFERROR(__xludf.DUMMYFUNCTION("""COMPUTED_VALUE"""),"21248")</f>
        <v>21248</v>
      </c>
      <c r="B484" s="2">
        <f>IFERROR(__xludf.DUMMYFUNCTION("""COMPUTED_VALUE"""),21248.0)</f>
        <v>21248</v>
      </c>
      <c r="C484" s="3" t="str">
        <f>IFERROR(__xludf.DUMMYFUNCTION("""COMPUTED_VALUE"""),"MBC BCP แจ้งวัฒนะ")</f>
        <v>MBC BCP แจ้งวัฒนะ</v>
      </c>
      <c r="D484" s="3" t="str">
        <f>IFERROR(__xludf.DUMMYFUNCTION("""COMPUTED_VALUE"""),"BCM BCP CHAENGWATTANA")</f>
        <v>BCM BCP CHAENGWATTANA</v>
      </c>
      <c r="E484" s="1" t="str">
        <f>IFERROR(__xludf.DUMMYFUNCTION("""COMPUTED_VALUE"""),"บิ๊กซี MINI")</f>
        <v>บิ๊กซี MINI</v>
      </c>
      <c r="F484" s="1" t="str">
        <f>IFERROR(__xludf.DUMMYFUNCTION("""COMPUTED_VALUE"""),"291008")</f>
        <v>291008</v>
      </c>
      <c r="G484" s="1" t="str">
        <f>IFERROR(__xludf.DUMMYFUNCTION("""COMPUTED_VALUE"""),"น.ส.รัชดาพร อีศรัตน์")</f>
        <v>น.ส.รัชดาพร อีศรัตน์</v>
      </c>
      <c r="H484" s="1" t="str">
        <f>IFERROR(__xludf.DUMMYFUNCTION("""COMPUTED_VALUE"""),"359054")</f>
        <v>359054</v>
      </c>
      <c r="I484" s="1" t="str">
        <f>IFERROR(__xludf.DUMMYFUNCTION("""COMPUTED_VALUE"""),"น.ส.กรรณิการ์ พุทธวงค์")</f>
        <v>น.ส.กรรณิการ์ พุทธวงค์</v>
      </c>
      <c r="J484" s="3">
        <f>IFERROR(__xludf.DUMMYFUNCTION("""COMPUTED_VALUE"""),296728.0)</f>
        <v>296728</v>
      </c>
      <c r="K484" s="3" t="str">
        <f>IFERROR(__xludf.DUMMYFUNCTION("""COMPUTED_VALUE"""),"นายธิติ บัวทองรังสิมา")</f>
        <v>นายธิติ บัวทองรังสิมา</v>
      </c>
      <c r="L484" s="1" t="str">
        <f>IFERROR(__xludf.DUMMYFUNCTION("""COMPUTED_VALUE"""),"นายธิติ บัวทองรังสิมา")</f>
        <v>นายธิติ บัวทองรังสิมา</v>
      </c>
      <c r="M484" s="1" t="str">
        <f>IFERROR(__xludf.DUMMYFUNCTION("""COMPUTED_VALUE"""),"0920849994")</f>
        <v>0920849994</v>
      </c>
      <c r="N484" s="3">
        <f>IFERROR(__xludf.DUMMYFUNCTION("""COMPUTED_VALUE"""),21012.0)</f>
        <v>21012</v>
      </c>
      <c r="O484" s="3" t="str">
        <f>IFERROR(__xludf.DUMMYFUNCTION("""COMPUTED_VALUE"""),"MBC ท่าอิฐ")</f>
        <v>MBC ท่าอิฐ</v>
      </c>
      <c r="P484" s="4">
        <f>IFERROR(__xludf.DUMMYFUNCTION("""COMPUTED_VALUE"""),41554.0)</f>
        <v>41554</v>
      </c>
      <c r="Q484" s="3" t="str">
        <f>IFERROR(__xludf.DUMMYFUNCTION("""COMPUTED_VALUE"""),"I")</f>
        <v>I</v>
      </c>
      <c r="R484" s="3" t="str">
        <f>IFERROR(__xludf.DUMMYFUNCTION("""COMPUTED_VALUE"""),"Small Format")</f>
        <v>Small Format</v>
      </c>
      <c r="S484" s="3" t="str">
        <f>IFERROR(__xludf.DUMMYFUNCTION("""COMPUTED_VALUE"""),"BCM")</f>
        <v>BCM</v>
      </c>
      <c r="T484" s="3" t="str">
        <f>IFERROR(__xludf.DUMMYFUNCTION("""COMPUTED_VALUE"""),"#N/A")</f>
        <v>#N/A</v>
      </c>
      <c r="U484" s="3" t="str">
        <f>IFERROR(__xludf.DUMMYFUNCTION("""COMPUTED_VALUE"""),"#N/A")</f>
        <v>#N/A</v>
      </c>
      <c r="V484" s="3" t="str">
        <f>IFERROR(__xludf.DUMMYFUNCTION("""COMPUTED_VALUE"""),"N")</f>
        <v>N</v>
      </c>
      <c r="W484" s="3">
        <f>IFERROR(__xludf.DUMMYFUNCTION("""COMPUTED_VALUE"""),361057.0)</f>
        <v>361057</v>
      </c>
      <c r="X484" s="3" t="str">
        <f>IFERROR(__xludf.DUMMYFUNCTION("""COMPUTED_VALUE"""),"223/277 หมู่ 4 ตำบลปากเกร็ด อำเภอปากเกร็ด จังหวัดนนทบุรี 11120")</f>
        <v>223/277 หมู่ 4 ตำบลปากเกร็ด อำเภอปากเกร็ด จังหวัดนนทบุรี 11120</v>
      </c>
      <c r="Y484" s="3"/>
      <c r="Z484" s="3" t="str">
        <f>IFERROR(__xludf.DUMMYFUNCTION("""COMPUTED_VALUE"""),"ปากเกร็ด")</f>
        <v>ปากเกร็ด</v>
      </c>
      <c r="AA484" s="3" t="str">
        <f>IFERROR(__xludf.DUMMYFUNCTION("""COMPUTED_VALUE"""),"ปากเกร็ด")</f>
        <v>ปากเกร็ด</v>
      </c>
      <c r="AB484" s="3" t="str">
        <f>IFERROR(__xludf.DUMMYFUNCTION("""COMPUTED_VALUE"""),"นนทบุรี")</f>
        <v>นนทบุรี</v>
      </c>
      <c r="AC484" s="3">
        <f>IFERROR(__xludf.DUMMYFUNCTION("""COMPUTED_VALUE"""),11120.0)</f>
        <v>11120</v>
      </c>
      <c r="AD484" s="3">
        <f>IFERROR(__xludf.DUMMYFUNCTION("""COMPUTED_VALUE"""),13.907637)</f>
        <v>13.907637</v>
      </c>
      <c r="AE484" s="3">
        <f>IFERROR(__xludf.DUMMYFUNCTION("""COMPUTED_VALUE"""),100.521092)</f>
        <v>100.521092</v>
      </c>
      <c r="AF484" s="3" t="str">
        <f>IFERROR(__xludf.DUMMYFUNCTION("""COMPUTED_VALUE"""),"MBC BCP แจ้งวัฒนะ -21248")</f>
        <v>MBC BCP แจ้งวัฒนะ -21248</v>
      </c>
      <c r="AG484" s="3" t="str">
        <f>IFERROR(__xludf.DUMMYFUNCTION("""COMPUTED_VALUE"""),"กลาง")</f>
        <v>กลาง</v>
      </c>
      <c r="AH484" s="3" t="str">
        <f>IFERROR(__xludf.DUMMYFUNCTION("""COMPUTED_VALUE"""),"#N/A")</f>
        <v>#N/A</v>
      </c>
      <c r="AI484" s="3" t="str">
        <f>IFERROR(__xludf.DUMMYFUNCTION("""COMPUTED_VALUE"""),"Out of warranty")</f>
        <v>Out of warranty</v>
      </c>
      <c r="AJ484" s="3">
        <f>IFERROR(__xludf.DUMMYFUNCTION("""COMPUTED_VALUE"""),148.0)</f>
        <v>148</v>
      </c>
      <c r="AK484" s="3" t="str">
        <f>IFERROR(__xludf.DUMMYFUNCTION("""COMPUTED_VALUE"""),"MMS01")</f>
        <v>MMS01</v>
      </c>
      <c r="AL484" s="3"/>
    </row>
    <row r="485" ht="15.75" customHeight="1">
      <c r="A485" s="1" t="str">
        <f>IFERROR(__xludf.DUMMYFUNCTION("""COMPUTED_VALUE"""),"21249")</f>
        <v>21249</v>
      </c>
      <c r="B485" s="2">
        <f>IFERROR(__xludf.DUMMYFUNCTION("""COMPUTED_VALUE"""),21249.0)</f>
        <v>21249</v>
      </c>
      <c r="C485" s="3" t="str">
        <f>IFERROR(__xludf.DUMMYFUNCTION("""COMPUTED_VALUE"""),"MBC บางเสร่")</f>
        <v>MBC บางเสร่</v>
      </c>
      <c r="D485" s="3" t="str">
        <f>IFERROR(__xludf.DUMMYFUNCTION("""COMPUTED_VALUE"""),"BCM BANGSARAY")</f>
        <v>BCM BANGSARAY</v>
      </c>
      <c r="E485" s="1" t="str">
        <f>IFERROR(__xludf.DUMMYFUNCTION("""COMPUTED_VALUE"""),"บิ๊กซี MINI")</f>
        <v>บิ๊กซี MINI</v>
      </c>
      <c r="F485" s="1" t="str">
        <f>IFERROR(__xludf.DUMMYFUNCTION("""COMPUTED_VALUE"""),"221716")</f>
        <v>221716</v>
      </c>
      <c r="G485" s="1" t="str">
        <f>IFERROR(__xludf.DUMMYFUNCTION("""COMPUTED_VALUE"""),"น.ส.เบญจพร โพธิสาร")</f>
        <v>น.ส.เบญจพร โพธิสาร</v>
      </c>
      <c r="H485" s="1" t="str">
        <f>IFERROR(__xludf.DUMMYFUNCTION("""COMPUTED_VALUE"""),"313065")</f>
        <v>313065</v>
      </c>
      <c r="I485" s="1" t="str">
        <f>IFERROR(__xludf.DUMMYFUNCTION("""COMPUTED_VALUE"""),"นายจิรายุทธ กันทา")</f>
        <v>นายจิรายุทธ กันทา</v>
      </c>
      <c r="J485" s="3">
        <f>IFERROR(__xludf.DUMMYFUNCTION("""COMPUTED_VALUE"""),3510104.0)</f>
        <v>3510104</v>
      </c>
      <c r="K485" s="3" t="str">
        <f>IFERROR(__xludf.DUMMYFUNCTION("""COMPUTED_VALUE"""),"นายวิโรจน์ อับดุลสมัด")</f>
        <v>นายวิโรจน์ อับดุลสมัด</v>
      </c>
      <c r="L485" s="1" t="str">
        <f>IFERROR(__xludf.DUMMYFUNCTION("""COMPUTED_VALUE"""),"09 K.Wirode A")</f>
        <v>09 K.Wirode A</v>
      </c>
      <c r="M485" s="1" t="str">
        <f>IFERROR(__xludf.DUMMYFUNCTION("""COMPUTED_VALUE"""),"080-235-4465")</f>
        <v>080-235-4465</v>
      </c>
      <c r="N485" s="3">
        <f>IFERROR(__xludf.DUMMYFUNCTION("""COMPUTED_VALUE"""),21324.0)</f>
        <v>21324</v>
      </c>
      <c r="O485" s="3" t="str">
        <f>IFERROR(__xludf.DUMMYFUNCTION("""COMPUTED_VALUE"""),"MBC BCP สุวินทวงศ์")</f>
        <v>MBC BCP สุวินทวงศ์</v>
      </c>
      <c r="P485" s="4">
        <f>IFERROR(__xludf.DUMMYFUNCTION("""COMPUTED_VALUE"""),41561.0)</f>
        <v>41561</v>
      </c>
      <c r="Q485" s="3" t="str">
        <f>IFERROR(__xludf.DUMMYFUNCTION("""COMPUTED_VALUE"""),"I")</f>
        <v>I</v>
      </c>
      <c r="R485" s="3" t="str">
        <f>IFERROR(__xludf.DUMMYFUNCTION("""COMPUTED_VALUE"""),"Small Format")</f>
        <v>Small Format</v>
      </c>
      <c r="S485" s="3" t="str">
        <f>IFERROR(__xludf.DUMMYFUNCTION("""COMPUTED_VALUE"""),"BCM")</f>
        <v>BCM</v>
      </c>
      <c r="T485" s="3" t="str">
        <f>IFERROR(__xludf.DUMMYFUNCTION("""COMPUTED_VALUE"""),"#N/A")</f>
        <v>#N/A</v>
      </c>
      <c r="U485" s="3" t="str">
        <f>IFERROR(__xludf.DUMMYFUNCTION("""COMPUTED_VALUE"""),"#N/A")</f>
        <v>#N/A</v>
      </c>
      <c r="V485" s="3" t="str">
        <f>IFERROR(__xludf.DUMMYFUNCTION("""COMPUTED_VALUE"""),"N")</f>
        <v>N</v>
      </c>
      <c r="W485" s="3">
        <f>IFERROR(__xludf.DUMMYFUNCTION("""COMPUTED_VALUE"""),211211.0)</f>
        <v>211211</v>
      </c>
      <c r="X485" s="3" t="str">
        <f>IFERROR(__xludf.DUMMYFUNCTION("""COMPUTED_VALUE"""),"128/1 หมู่ 8 ตำบลบางเสร่ อำเภอสัตหีบ จังหวัดชลบุรี 20250")</f>
        <v>128/1 หมู่ 8 ตำบลบางเสร่ อำเภอสัตหีบ จังหวัดชลบุรี 20250</v>
      </c>
      <c r="Y485" s="3"/>
      <c r="Z485" s="3" t="str">
        <f>IFERROR(__xludf.DUMMYFUNCTION("""COMPUTED_VALUE"""),"บางเสร่")</f>
        <v>บางเสร่</v>
      </c>
      <c r="AA485" s="3" t="str">
        <f>IFERROR(__xludf.DUMMYFUNCTION("""COMPUTED_VALUE"""),"สัตหีบ")</f>
        <v>สัตหีบ</v>
      </c>
      <c r="AB485" s="3" t="str">
        <f>IFERROR(__xludf.DUMMYFUNCTION("""COMPUTED_VALUE"""),"ชลบุรี")</f>
        <v>ชลบุรี</v>
      </c>
      <c r="AC485" s="3">
        <f>IFERROR(__xludf.DUMMYFUNCTION("""COMPUTED_VALUE"""),20250.0)</f>
        <v>20250</v>
      </c>
      <c r="AD485" s="3">
        <f>IFERROR(__xludf.DUMMYFUNCTION("""COMPUTED_VALUE"""),12.759817)</f>
        <v>12.759817</v>
      </c>
      <c r="AE485" s="3">
        <f>IFERROR(__xludf.DUMMYFUNCTION("""COMPUTED_VALUE"""),100.903567)</f>
        <v>100.903567</v>
      </c>
      <c r="AF485" s="3" t="str">
        <f>IFERROR(__xludf.DUMMYFUNCTION("""COMPUTED_VALUE"""),"MBC บางเสร่-21249")</f>
        <v>MBC บางเสร่-21249</v>
      </c>
      <c r="AG485" s="3" t="str">
        <f>IFERROR(__xludf.DUMMYFUNCTION("""COMPUTED_VALUE"""),"ตะวันออก")</f>
        <v>ตะวันออก</v>
      </c>
      <c r="AH485" s="3" t="str">
        <f>IFERROR(__xludf.DUMMYFUNCTION("""COMPUTED_VALUE"""),"#N/A")</f>
        <v>#N/A</v>
      </c>
      <c r="AI485" s="3" t="str">
        <f>IFERROR(__xludf.DUMMYFUNCTION("""COMPUTED_VALUE"""),"Out of warranty")</f>
        <v>Out of warranty</v>
      </c>
      <c r="AJ485" s="3">
        <f>IFERROR(__xludf.DUMMYFUNCTION("""COMPUTED_VALUE"""),148.0)</f>
        <v>148</v>
      </c>
      <c r="AK485" s="3" t="str">
        <f>IFERROR(__xludf.DUMMYFUNCTION("""COMPUTED_VALUE"""),"MMS08")</f>
        <v>MMS08</v>
      </c>
      <c r="AL485" s="3"/>
    </row>
    <row r="486" ht="15.75" customHeight="1">
      <c r="A486" s="1" t="str">
        <f>IFERROR(__xludf.DUMMYFUNCTION("""COMPUTED_VALUE"""),"21250")</f>
        <v>21250</v>
      </c>
      <c r="B486" s="2">
        <f>IFERROR(__xludf.DUMMYFUNCTION("""COMPUTED_VALUE"""),21250.0)</f>
        <v>21250</v>
      </c>
      <c r="C486" s="3" t="str">
        <f>IFERROR(__xludf.DUMMYFUNCTION("""COMPUTED_VALUE"""),"MBC BCP อุดมสุข45")</f>
        <v>MBC BCP อุดมสุข45</v>
      </c>
      <c r="D486" s="3" t="str">
        <f>IFERROR(__xludf.DUMMYFUNCTION("""COMPUTED_VALUE"""),"BCM BCP UDOMSUK45")</f>
        <v>BCM BCP UDOMSUK45</v>
      </c>
      <c r="E486" s="1" t="str">
        <f>IFERROR(__xludf.DUMMYFUNCTION("""COMPUTED_VALUE"""),"บิ๊กซี MINI")</f>
        <v>บิ๊กซี MINI</v>
      </c>
      <c r="F486" s="1" t="str">
        <f>IFERROR(__xludf.DUMMYFUNCTION("""COMPUTED_VALUE"""),"291008")</f>
        <v>291008</v>
      </c>
      <c r="G486" s="1" t="str">
        <f>IFERROR(__xludf.DUMMYFUNCTION("""COMPUTED_VALUE"""),"น.ส.รัชดาพร อีศรัตน์")</f>
        <v>น.ส.รัชดาพร อีศรัตน์</v>
      </c>
      <c r="H486" s="1" t="str">
        <f>IFERROR(__xludf.DUMMYFUNCTION("""COMPUTED_VALUE"""),"359054")</f>
        <v>359054</v>
      </c>
      <c r="I486" s="1" t="str">
        <f>IFERROR(__xludf.DUMMYFUNCTION("""COMPUTED_VALUE"""),"น.ส.กรรณิการ์ พุทธวงค์")</f>
        <v>น.ส.กรรณิการ์ พุทธวงค์</v>
      </c>
      <c r="J486" s="3">
        <f>IFERROR(__xludf.DUMMYFUNCTION("""COMPUTED_VALUE"""),2452378.0)</f>
        <v>2452378</v>
      </c>
      <c r="K486" s="3" t="str">
        <f>IFERROR(__xludf.DUMMYFUNCTION("""COMPUTED_VALUE"""),"นายศักดิ์ดา พวงประดับ")</f>
        <v>นายศักดิ์ดา พวงประดับ</v>
      </c>
      <c r="L486" s="1" t="str">
        <f>IFERROR(__xludf.DUMMYFUNCTION("""COMPUTED_VALUE"""),"11 K.Sakda P.")</f>
        <v>11 K.Sakda P.</v>
      </c>
      <c r="M486" s="1" t="str">
        <f>IFERROR(__xludf.DUMMYFUNCTION("""COMPUTED_VALUE"""),"065-929-1279")</f>
        <v>065-929-1279</v>
      </c>
      <c r="N486" s="3">
        <f>IFERROR(__xludf.DUMMYFUNCTION("""COMPUTED_VALUE"""),21002.0)</f>
        <v>21002</v>
      </c>
      <c r="O486" s="3" t="str">
        <f>IFERROR(__xludf.DUMMYFUNCTION("""COMPUTED_VALUE"""),"MBC อุดมสุข")</f>
        <v>MBC อุดมสุข</v>
      </c>
      <c r="P486" s="4">
        <f>IFERROR(__xludf.DUMMYFUNCTION("""COMPUTED_VALUE"""),41563.0)</f>
        <v>41563</v>
      </c>
      <c r="Q486" s="3" t="str">
        <f>IFERROR(__xludf.DUMMYFUNCTION("""COMPUTED_VALUE"""),"A")</f>
        <v>A</v>
      </c>
      <c r="R486" s="3" t="str">
        <f>IFERROR(__xludf.DUMMYFUNCTION("""COMPUTED_VALUE"""),"Small Format")</f>
        <v>Small Format</v>
      </c>
      <c r="S486" s="3" t="str">
        <f>IFERROR(__xludf.DUMMYFUNCTION("""COMPUTED_VALUE"""),"BCM")</f>
        <v>BCM</v>
      </c>
      <c r="T486" s="3" t="str">
        <f>IFERROR(__xludf.DUMMYFUNCTION("""COMPUTED_VALUE"""),"#N/A")</f>
        <v>#N/A</v>
      </c>
      <c r="U486" s="3" t="str">
        <f>IFERROR(__xludf.DUMMYFUNCTION("""COMPUTED_VALUE"""),"#N/A")</f>
        <v>#N/A</v>
      </c>
      <c r="V486" s="3" t="str">
        <f>IFERROR(__xludf.DUMMYFUNCTION("""COMPUTED_VALUE"""),"N")</f>
        <v>N</v>
      </c>
      <c r="W486" s="3">
        <f>IFERROR(__xludf.DUMMYFUNCTION("""COMPUTED_VALUE"""),361048.0)</f>
        <v>361048</v>
      </c>
      <c r="X486" s="3" t="str">
        <f>IFERROR(__xludf.DUMMYFUNCTION("""COMPUTED_VALUE"""),"695/1 ซอยสุขุมวิท103 แขวงบางจาก เขตพระโขนง กรุงเทพมหานคร 10260")</f>
        <v>695/1 ซอยสุขุมวิท103 แขวงบางจาก เขตพระโขนง กรุงเทพมหานคร 10260</v>
      </c>
      <c r="Y486" s="3" t="str">
        <f>IFERROR(__xludf.DUMMYFUNCTION("""COMPUTED_VALUE"""),"ซอยสุขุมวิท103")</f>
        <v>ซอยสุขุมวิท103</v>
      </c>
      <c r="Z486" s="3" t="str">
        <f>IFERROR(__xludf.DUMMYFUNCTION("""COMPUTED_VALUE"""),"บางจาก")</f>
        <v>บางจาก</v>
      </c>
      <c r="AA486" s="3" t="str">
        <f>IFERROR(__xludf.DUMMYFUNCTION("""COMPUTED_VALUE"""),"พระโขนง")</f>
        <v>พระโขนง</v>
      </c>
      <c r="AB486" s="3" t="str">
        <f>IFERROR(__xludf.DUMMYFUNCTION("""COMPUTED_VALUE"""),"กรุงเทพมหานคร")</f>
        <v>กรุงเทพมหานคร</v>
      </c>
      <c r="AC486" s="3">
        <f>IFERROR(__xludf.DUMMYFUNCTION("""COMPUTED_VALUE"""),10260.0)</f>
        <v>10260</v>
      </c>
      <c r="AD486" s="3">
        <f>IFERROR(__xludf.DUMMYFUNCTION("""COMPUTED_VALUE"""),13.679494)</f>
        <v>13.679494</v>
      </c>
      <c r="AE486" s="3">
        <f>IFERROR(__xludf.DUMMYFUNCTION("""COMPUTED_VALUE"""),100.616759)</f>
        <v>100.616759</v>
      </c>
      <c r="AF486" s="3" t="str">
        <f>IFERROR(__xludf.DUMMYFUNCTION("""COMPUTED_VALUE"""),"MBC BCP อุดมสุข45-21250")</f>
        <v>MBC BCP อุดมสุข45-21250</v>
      </c>
      <c r="AG486" s="3" t="str">
        <f>IFERROR(__xludf.DUMMYFUNCTION("""COMPUTED_VALUE"""),"กลาง")</f>
        <v>กลาง</v>
      </c>
      <c r="AH486" s="3" t="str">
        <f>IFERROR(__xludf.DUMMYFUNCTION("""COMPUTED_VALUE"""),"#N/A")</f>
        <v>#N/A</v>
      </c>
      <c r="AI486" s="3" t="str">
        <f>IFERROR(__xludf.DUMMYFUNCTION("""COMPUTED_VALUE"""),"Out of warranty")</f>
        <v>Out of warranty</v>
      </c>
      <c r="AJ486" s="3">
        <f>IFERROR(__xludf.DUMMYFUNCTION("""COMPUTED_VALUE"""),148.0)</f>
        <v>148</v>
      </c>
      <c r="AK486" s="3" t="str">
        <f>IFERROR(__xludf.DUMMYFUNCTION("""COMPUTED_VALUE"""),"MMS02")</f>
        <v>MMS02</v>
      </c>
      <c r="AL486" s="3"/>
    </row>
    <row r="487" ht="15.75" customHeight="1">
      <c r="A487" s="1" t="str">
        <f>IFERROR(__xludf.DUMMYFUNCTION("""COMPUTED_VALUE"""),"21251")</f>
        <v>21251</v>
      </c>
      <c r="B487" s="2">
        <f>IFERROR(__xludf.DUMMYFUNCTION("""COMPUTED_VALUE"""),21251.0)</f>
        <v>21251</v>
      </c>
      <c r="C487" s="3" t="str">
        <f>IFERROR(__xludf.DUMMYFUNCTION("""COMPUTED_VALUE"""),"BCPสุขสวัสดิ์39")</f>
        <v>BCPสุขสวัสดิ์39</v>
      </c>
      <c r="D487" s="3" t="str">
        <f>IFERROR(__xludf.DUMMYFUNCTION("""COMPUTED_VALUE"""),"MBC BCP SUKASAWAT39")</f>
        <v>MBC BCP SUKASAWAT39</v>
      </c>
      <c r="E487" s="1" t="str">
        <f>IFERROR(__xludf.DUMMYFUNCTION("""COMPUTED_VALUE"""),"บิ๊กซี MINI")</f>
        <v>บิ๊กซี MINI</v>
      </c>
      <c r="F487" s="1" t="str">
        <f>IFERROR(__xludf.DUMMYFUNCTION("""COMPUTED_VALUE"""),"291008")</f>
        <v>291008</v>
      </c>
      <c r="G487" s="1" t="str">
        <f>IFERROR(__xludf.DUMMYFUNCTION("""COMPUTED_VALUE"""),"น.ส.รัชดาพร อีศรัตน์")</f>
        <v>น.ส.รัชดาพร อีศรัตน์</v>
      </c>
      <c r="H487" s="1" t="str">
        <f>IFERROR(__xludf.DUMMYFUNCTION("""COMPUTED_VALUE"""),"291105")</f>
        <v>291105</v>
      </c>
      <c r="I487" s="1" t="str">
        <f>IFERROR(__xludf.DUMMYFUNCTION("""COMPUTED_VALUE"""),"นายสราวุฒิ พณิชยกุล")</f>
        <v>นายสราวุฒิ พณิชยกุล</v>
      </c>
      <c r="J487" s="3">
        <f>IFERROR(__xludf.DUMMYFUNCTION("""COMPUTED_VALUE"""),3510104.0)</f>
        <v>3510104</v>
      </c>
      <c r="K487" s="3" t="str">
        <f>IFERROR(__xludf.DUMMYFUNCTION("""COMPUTED_VALUE"""),"นายวิโรจน์ อับดุลสมัด")</f>
        <v>นายวิโรจน์ อับดุลสมัด</v>
      </c>
      <c r="L487" s="1" t="str">
        <f>IFERROR(__xludf.DUMMYFUNCTION("""COMPUTED_VALUE"""),"09 K.Wirode A")</f>
        <v>09 K.Wirode A</v>
      </c>
      <c r="M487" s="1" t="str">
        <f>IFERROR(__xludf.DUMMYFUNCTION("""COMPUTED_VALUE"""),"080-235-4465")</f>
        <v>080-235-4465</v>
      </c>
      <c r="N487" s="3">
        <f>IFERROR(__xludf.DUMMYFUNCTION("""COMPUTED_VALUE"""),21324.0)</f>
        <v>21324</v>
      </c>
      <c r="O487" s="3" t="str">
        <f>IFERROR(__xludf.DUMMYFUNCTION("""COMPUTED_VALUE"""),"MBC BCP สุวินทวงศ์")</f>
        <v>MBC BCP สุวินทวงศ์</v>
      </c>
      <c r="P487" s="4">
        <f>IFERROR(__xludf.DUMMYFUNCTION("""COMPUTED_VALUE"""),41563.0)</f>
        <v>41563</v>
      </c>
      <c r="Q487" s="3" t="str">
        <f>IFERROR(__xludf.DUMMYFUNCTION("""COMPUTED_VALUE"""),"I")</f>
        <v>I</v>
      </c>
      <c r="R487" s="3" t="str">
        <f>IFERROR(__xludf.DUMMYFUNCTION("""COMPUTED_VALUE"""),"Small Format")</f>
        <v>Small Format</v>
      </c>
      <c r="S487" s="3" t="str">
        <f>IFERROR(__xludf.DUMMYFUNCTION("""COMPUTED_VALUE"""),"BCM")</f>
        <v>BCM</v>
      </c>
      <c r="T487" s="3" t="str">
        <f>IFERROR(__xludf.DUMMYFUNCTION("""COMPUTED_VALUE"""),"#N/A")</f>
        <v>#N/A</v>
      </c>
      <c r="U487" s="3" t="str">
        <f>IFERROR(__xludf.DUMMYFUNCTION("""COMPUTED_VALUE"""),"#N/A")</f>
        <v>#N/A</v>
      </c>
      <c r="V487" s="3" t="str">
        <f>IFERROR(__xludf.DUMMYFUNCTION("""COMPUTED_VALUE"""),"N")</f>
        <v>N</v>
      </c>
      <c r="W487" s="3">
        <f>IFERROR(__xludf.DUMMYFUNCTION("""COMPUTED_VALUE"""),0.0)</f>
        <v>0</v>
      </c>
      <c r="X487" s="3" t="str">
        <f>IFERROR(__xludf.DUMMYFUNCTION("""COMPUTED_VALUE"""),"78/9 หมู่ 19 ตำบลบางพึ่ง อำเภอพระประแดง จังหวัดสมุทรปราการ 10130")</f>
        <v>78/9 หมู่ 19 ตำบลบางพึ่ง อำเภอพระประแดง จังหวัดสมุทรปราการ 10130</v>
      </c>
      <c r="Y487" s="3"/>
      <c r="Z487" s="3" t="str">
        <f>IFERROR(__xludf.DUMMYFUNCTION("""COMPUTED_VALUE"""),"บางพึ่ง")</f>
        <v>บางพึ่ง</v>
      </c>
      <c r="AA487" s="3" t="str">
        <f>IFERROR(__xludf.DUMMYFUNCTION("""COMPUTED_VALUE"""),"พระประแดง")</f>
        <v>พระประแดง</v>
      </c>
      <c r="AB487" s="3" t="str">
        <f>IFERROR(__xludf.DUMMYFUNCTION("""COMPUTED_VALUE"""),"สมุทรปราการ")</f>
        <v>สมุทรปราการ</v>
      </c>
      <c r="AC487" s="3">
        <f>IFERROR(__xludf.DUMMYFUNCTION("""COMPUTED_VALUE"""),10130.0)</f>
        <v>10130</v>
      </c>
      <c r="AD487" s="3" t="str">
        <f>IFERROR(__xludf.DUMMYFUNCTION("""COMPUTED_VALUE"""),"#N/A")</f>
        <v>#N/A</v>
      </c>
      <c r="AE487" s="3" t="str">
        <f>IFERROR(__xludf.DUMMYFUNCTION("""COMPUTED_VALUE"""),"#N/A")</f>
        <v>#N/A</v>
      </c>
      <c r="AF487" s="3" t="str">
        <f>IFERROR(__xludf.DUMMYFUNCTION("""COMPUTED_VALUE"""),"BCPสุขสวัสดิ์39-21251")</f>
        <v>BCPสุขสวัสดิ์39-21251</v>
      </c>
      <c r="AG487" s="3" t="str">
        <f>IFERROR(__xludf.DUMMYFUNCTION("""COMPUTED_VALUE"""),"กลาง")</f>
        <v>กลาง</v>
      </c>
      <c r="AH487" s="3" t="str">
        <f>IFERROR(__xludf.DUMMYFUNCTION("""COMPUTED_VALUE"""),"#N/A")</f>
        <v>#N/A</v>
      </c>
      <c r="AI487" s="3" t="str">
        <f>IFERROR(__xludf.DUMMYFUNCTION("""COMPUTED_VALUE"""),"Out of warranty")</f>
        <v>Out of warranty</v>
      </c>
      <c r="AJ487" s="3">
        <f>IFERROR(__xludf.DUMMYFUNCTION("""COMPUTED_VALUE"""),148.0)</f>
        <v>148</v>
      </c>
      <c r="AK487" s="3"/>
      <c r="AL487" s="3"/>
    </row>
    <row r="488" ht="15.75" customHeight="1">
      <c r="A488" s="1" t="str">
        <f>IFERROR(__xludf.DUMMYFUNCTION("""COMPUTED_VALUE"""),"21252")</f>
        <v>21252</v>
      </c>
      <c r="B488" s="2">
        <f>IFERROR(__xludf.DUMMYFUNCTION("""COMPUTED_VALUE"""),21252.0)</f>
        <v>21252</v>
      </c>
      <c r="C488" s="3" t="str">
        <f>IFERROR(__xludf.DUMMYFUNCTION("""COMPUTED_VALUE"""),"MBC วัดบางเกลือ")</f>
        <v>MBC วัดบางเกลือ</v>
      </c>
      <c r="D488" s="3" t="str">
        <f>IFERROR(__xludf.DUMMYFUNCTION("""COMPUTED_VALUE"""),"BCM WAT BANGKLUEA")</f>
        <v>BCM WAT BANGKLUEA</v>
      </c>
      <c r="E488" s="1" t="str">
        <f>IFERROR(__xludf.DUMMYFUNCTION("""COMPUTED_VALUE"""),"บิ๊กซี MINI")</f>
        <v>บิ๊กซี MINI</v>
      </c>
      <c r="F488" s="1" t="str">
        <f>IFERROR(__xludf.DUMMYFUNCTION("""COMPUTED_VALUE"""),"2083447")</f>
        <v>2083447</v>
      </c>
      <c r="G488" s="1" t="str">
        <f>IFERROR(__xludf.DUMMYFUNCTION("""COMPUTED_VALUE"""),"นายอนุกูล ศรีลัดดา")</f>
        <v>นายอนุกูล ศรีลัดดา</v>
      </c>
      <c r="H488" s="1" t="str">
        <f>IFERROR(__xludf.DUMMYFUNCTION("""COMPUTED_VALUE"""),"254957")</f>
        <v>254957</v>
      </c>
      <c r="I488" s="1" t="str">
        <f>IFERROR(__xludf.DUMMYFUNCTION("""COMPUTED_VALUE"""),"น.ส.ศิริพร รุ่งธัญญา")</f>
        <v>น.ส.ศิริพร รุ่งธัญญา</v>
      </c>
      <c r="J488" s="3">
        <f>IFERROR(__xludf.DUMMYFUNCTION("""COMPUTED_VALUE"""),510143.0)</f>
        <v>510143</v>
      </c>
      <c r="K488" s="3" t="str">
        <f>IFERROR(__xludf.DUMMYFUNCTION("""COMPUTED_VALUE"""),"นายธีระวัฒน์ บุญสิทธิ์")</f>
        <v>นายธีระวัฒน์ บุญสิทธิ์</v>
      </c>
      <c r="L488" s="3" t="str">
        <f>IFERROR(__xludf.DUMMYFUNCTION("""COMPUTED_VALUE"""),"12 K.Theerawat B.")</f>
        <v>12 K.Theerawat B.</v>
      </c>
      <c r="M488" s="1" t="str">
        <f>IFERROR(__xludf.DUMMYFUNCTION("""COMPUTED_VALUE"""),"0655107379")</f>
        <v>0655107379</v>
      </c>
      <c r="N488" s="3">
        <f>IFERROR(__xludf.DUMMYFUNCTION("""COMPUTED_VALUE"""),21062.0)</f>
        <v>21062</v>
      </c>
      <c r="O488" s="3" t="str">
        <f>IFERROR(__xludf.DUMMYFUNCTION("""COMPUTED_VALUE"""),"MBC นิคมนวนคร")</f>
        <v>MBC นิคมนวนคร</v>
      </c>
      <c r="P488" s="4">
        <f>IFERROR(__xludf.DUMMYFUNCTION("""COMPUTED_VALUE"""),41567.0)</f>
        <v>41567</v>
      </c>
      <c r="Q488" s="3" t="str">
        <f>IFERROR(__xludf.DUMMYFUNCTION("""COMPUTED_VALUE"""),"A")</f>
        <v>A</v>
      </c>
      <c r="R488" s="3" t="str">
        <f>IFERROR(__xludf.DUMMYFUNCTION("""COMPUTED_VALUE"""),"Small Format")</f>
        <v>Small Format</v>
      </c>
      <c r="S488" s="3" t="str">
        <f>IFERROR(__xludf.DUMMYFUNCTION("""COMPUTED_VALUE"""),"BCM")</f>
        <v>BCM</v>
      </c>
      <c r="T488" s="3" t="str">
        <f>IFERROR(__xludf.DUMMYFUNCTION("""COMPUTED_VALUE"""),"#N/A")</f>
        <v>#N/A</v>
      </c>
      <c r="U488" s="3" t="str">
        <f>IFERROR(__xludf.DUMMYFUNCTION("""COMPUTED_VALUE"""),"#N/A")</f>
        <v>#N/A</v>
      </c>
      <c r="V488" s="3" t="str">
        <f>IFERROR(__xludf.DUMMYFUNCTION("""COMPUTED_VALUE"""),"N")</f>
        <v>N</v>
      </c>
      <c r="W488" s="3">
        <f>IFERROR(__xludf.DUMMYFUNCTION("""COMPUTED_VALUE"""),211223.0)</f>
        <v>211223</v>
      </c>
      <c r="X488" s="3" t="str">
        <f>IFERROR(__xludf.DUMMYFUNCTION("""COMPUTED_VALUE"""),"162/24 หมู่ 2 ตำบลบางสมัคร อำเภอบางปะกง จังหวัดฉะเชิงเทรา 24180")</f>
        <v>162/24 หมู่ 2 ตำบลบางสมัคร อำเภอบางปะกง จังหวัดฉะเชิงเทรา 24180</v>
      </c>
      <c r="Y488" s="3"/>
      <c r="Z488" s="3" t="str">
        <f>IFERROR(__xludf.DUMMYFUNCTION("""COMPUTED_VALUE"""),"บางสมัคร")</f>
        <v>บางสมัคร</v>
      </c>
      <c r="AA488" s="3" t="str">
        <f>IFERROR(__xludf.DUMMYFUNCTION("""COMPUTED_VALUE"""),"บางปะกง")</f>
        <v>บางปะกง</v>
      </c>
      <c r="AB488" s="3" t="str">
        <f>IFERROR(__xludf.DUMMYFUNCTION("""COMPUTED_VALUE"""),"ฉะเชิงเทรา")</f>
        <v>ฉะเชิงเทรา</v>
      </c>
      <c r="AC488" s="3">
        <f>IFERROR(__xludf.DUMMYFUNCTION("""COMPUTED_VALUE"""),24180.0)</f>
        <v>24180</v>
      </c>
      <c r="AD488" s="3">
        <f>IFERROR(__xludf.DUMMYFUNCTION("""COMPUTED_VALUE"""),13.559394)</f>
        <v>13.559394</v>
      </c>
      <c r="AE488" s="3">
        <f>IFERROR(__xludf.DUMMYFUNCTION("""COMPUTED_VALUE"""),100.93817)</f>
        <v>100.93817</v>
      </c>
      <c r="AF488" s="3" t="str">
        <f>IFERROR(__xludf.DUMMYFUNCTION("""COMPUTED_VALUE"""),"MBC วัดบางเกลือ-21252")</f>
        <v>MBC วัดบางเกลือ-21252</v>
      </c>
      <c r="AG488" s="3" t="str">
        <f>IFERROR(__xludf.DUMMYFUNCTION("""COMPUTED_VALUE"""),"ตะวันออก")</f>
        <v>ตะวันออก</v>
      </c>
      <c r="AH488" s="3" t="str">
        <f>IFERROR(__xludf.DUMMYFUNCTION("""COMPUTED_VALUE"""),"#N/A")</f>
        <v>#N/A</v>
      </c>
      <c r="AI488" s="3" t="str">
        <f>IFERROR(__xludf.DUMMYFUNCTION("""COMPUTED_VALUE"""),"Out of warranty")</f>
        <v>Out of warranty</v>
      </c>
      <c r="AJ488" s="3">
        <f>IFERROR(__xludf.DUMMYFUNCTION("""COMPUTED_VALUE"""),148.0)</f>
        <v>148</v>
      </c>
      <c r="AK488" s="3" t="str">
        <f>IFERROR(__xludf.DUMMYFUNCTION("""COMPUTED_VALUE"""),"MMS03")</f>
        <v>MMS03</v>
      </c>
      <c r="AL488" s="3"/>
    </row>
    <row r="489" ht="15.75" customHeight="1">
      <c r="A489" s="1" t="str">
        <f>IFERROR(__xludf.DUMMYFUNCTION("""COMPUTED_VALUE"""),"21253")</f>
        <v>21253</v>
      </c>
      <c r="B489" s="2">
        <f>IFERROR(__xludf.DUMMYFUNCTION("""COMPUTED_VALUE"""),21253.0)</f>
        <v>21253</v>
      </c>
      <c r="C489" s="3" t="str">
        <f>IFERROR(__xludf.DUMMYFUNCTION("""COMPUTED_VALUE"""),"MBC เคหะรามคำแหง")</f>
        <v>MBC เคหะรามคำแหง</v>
      </c>
      <c r="D489" s="3" t="str">
        <f>IFERROR(__xludf.DUMMYFUNCTION("""COMPUTED_VALUE"""),"BCM KEHA RAMKHUMHAENG")</f>
        <v>BCM KEHA RAMKHUMHAENG</v>
      </c>
      <c r="E489" s="1" t="str">
        <f>IFERROR(__xludf.DUMMYFUNCTION("""COMPUTED_VALUE"""),"บิ๊กซี MINI")</f>
        <v>บิ๊กซี MINI</v>
      </c>
      <c r="F489" s="1" t="str">
        <f>IFERROR(__xludf.DUMMYFUNCTION("""COMPUTED_VALUE"""),"291008")</f>
        <v>291008</v>
      </c>
      <c r="G489" s="1" t="str">
        <f>IFERROR(__xludf.DUMMYFUNCTION("""COMPUTED_VALUE"""),"น.ส.รัชดาพร อีศรัตน์")</f>
        <v>น.ส.รัชดาพร อีศรัตน์</v>
      </c>
      <c r="H489" s="1" t="str">
        <f>IFERROR(__xludf.DUMMYFUNCTION("""COMPUTED_VALUE"""),"228242")</f>
        <v>228242</v>
      </c>
      <c r="I489" s="1" t="str">
        <f>IFERROR(__xludf.DUMMYFUNCTION("""COMPUTED_VALUE"""),"นายสมชาย เยมรัมย์")</f>
        <v>นายสมชาย เยมรัมย์</v>
      </c>
      <c r="J489" s="3">
        <f>IFERROR(__xludf.DUMMYFUNCTION("""COMPUTED_VALUE"""),3510104.0)</f>
        <v>3510104</v>
      </c>
      <c r="K489" s="3" t="str">
        <f>IFERROR(__xludf.DUMMYFUNCTION("""COMPUTED_VALUE"""),"นายวิโรจน์ อับดุลสมัด")</f>
        <v>นายวิโรจน์ อับดุลสมัด</v>
      </c>
      <c r="L489" s="1" t="str">
        <f>IFERROR(__xludf.DUMMYFUNCTION("""COMPUTED_VALUE"""),"09 K.Wirode A")</f>
        <v>09 K.Wirode A</v>
      </c>
      <c r="M489" s="1" t="str">
        <f>IFERROR(__xludf.DUMMYFUNCTION("""COMPUTED_VALUE"""),"080-235-4465")</f>
        <v>080-235-4465</v>
      </c>
      <c r="N489" s="3">
        <f>IFERROR(__xludf.DUMMYFUNCTION("""COMPUTED_VALUE"""),21324.0)</f>
        <v>21324</v>
      </c>
      <c r="O489" s="3" t="str">
        <f>IFERROR(__xludf.DUMMYFUNCTION("""COMPUTED_VALUE"""),"MBC BCP สุวินทวงศ์")</f>
        <v>MBC BCP สุวินทวงศ์</v>
      </c>
      <c r="P489" s="4">
        <f>IFERROR(__xludf.DUMMYFUNCTION("""COMPUTED_VALUE"""),41572.0)</f>
        <v>41572</v>
      </c>
      <c r="Q489" s="3" t="str">
        <f>IFERROR(__xludf.DUMMYFUNCTION("""COMPUTED_VALUE"""),"A")</f>
        <v>A</v>
      </c>
      <c r="R489" s="3" t="str">
        <f>IFERROR(__xludf.DUMMYFUNCTION("""COMPUTED_VALUE"""),"Small Format")</f>
        <v>Small Format</v>
      </c>
      <c r="S489" s="3" t="str">
        <f>IFERROR(__xludf.DUMMYFUNCTION("""COMPUTED_VALUE"""),"BCM")</f>
        <v>BCM</v>
      </c>
      <c r="T489" s="3" t="str">
        <f>IFERROR(__xludf.DUMMYFUNCTION("""COMPUTED_VALUE"""),"#N/A")</f>
        <v>#N/A</v>
      </c>
      <c r="U489" s="3" t="str">
        <f>IFERROR(__xludf.DUMMYFUNCTION("""COMPUTED_VALUE"""),"#N/A")</f>
        <v>#N/A</v>
      </c>
      <c r="V489" s="3" t="str">
        <f>IFERROR(__xludf.DUMMYFUNCTION("""COMPUTED_VALUE"""),"N")</f>
        <v>N</v>
      </c>
      <c r="W489" s="3">
        <f>IFERROR(__xludf.DUMMYFUNCTION("""COMPUTED_VALUE"""),211293.0)</f>
        <v>211293</v>
      </c>
      <c r="X489" s="3" t="str">
        <f>IFERROR(__xludf.DUMMYFUNCTION("""COMPUTED_VALUE"""),"1/50-51 ซอยรามคำแหง 190/2 แขวงมีนบุรี เขตมีนบุรี กรุงเทพมหานคร 10510")</f>
        <v>1/50-51 ซอยรามคำแหง 190/2 แขวงมีนบุรี เขตมีนบุรี กรุงเทพมหานคร 10510</v>
      </c>
      <c r="Y489" s="3" t="str">
        <f>IFERROR(__xludf.DUMMYFUNCTION("""COMPUTED_VALUE"""),"ซอยรามคำแหง")</f>
        <v>ซอยรามคำแหง</v>
      </c>
      <c r="Z489" s="3" t="str">
        <f>IFERROR(__xludf.DUMMYFUNCTION("""COMPUTED_VALUE"""),"มีนบุรี")</f>
        <v>มีนบุรี</v>
      </c>
      <c r="AA489" s="3" t="str">
        <f>IFERROR(__xludf.DUMMYFUNCTION("""COMPUTED_VALUE"""),"มีนบุรี")</f>
        <v>มีนบุรี</v>
      </c>
      <c r="AB489" s="3" t="str">
        <f>IFERROR(__xludf.DUMMYFUNCTION("""COMPUTED_VALUE"""),"กรุงเทพมหานคร")</f>
        <v>กรุงเทพมหานคร</v>
      </c>
      <c r="AC489" s="3">
        <f>IFERROR(__xludf.DUMMYFUNCTION("""COMPUTED_VALUE"""),10510.0)</f>
        <v>10510</v>
      </c>
      <c r="AD489" s="3">
        <f>IFERROR(__xludf.DUMMYFUNCTION("""COMPUTED_VALUE"""),13.805346)</f>
        <v>13.805346</v>
      </c>
      <c r="AE489" s="3">
        <f>IFERROR(__xludf.DUMMYFUNCTION("""COMPUTED_VALUE"""),100.729199)</f>
        <v>100.729199</v>
      </c>
      <c r="AF489" s="3" t="str">
        <f>IFERROR(__xludf.DUMMYFUNCTION("""COMPUTED_VALUE"""),"MBC เคหะรามคำแหง-21253")</f>
        <v>MBC เคหะรามคำแหง-21253</v>
      </c>
      <c r="AG489" s="3" t="str">
        <f>IFERROR(__xludf.DUMMYFUNCTION("""COMPUTED_VALUE"""),"กลาง")</f>
        <v>กลาง</v>
      </c>
      <c r="AH489" s="3" t="str">
        <f>IFERROR(__xludf.DUMMYFUNCTION("""COMPUTED_VALUE"""),"#N/A")</f>
        <v>#N/A</v>
      </c>
      <c r="AI489" s="3" t="str">
        <f>IFERROR(__xludf.DUMMYFUNCTION("""COMPUTED_VALUE"""),"Out of warranty")</f>
        <v>Out of warranty</v>
      </c>
      <c r="AJ489" s="3">
        <f>IFERROR(__xludf.DUMMYFUNCTION("""COMPUTED_VALUE"""),147.0)</f>
        <v>147</v>
      </c>
      <c r="AK489" s="3" t="str">
        <f>IFERROR(__xludf.DUMMYFUNCTION("""COMPUTED_VALUE"""),"MMS03")</f>
        <v>MMS03</v>
      </c>
      <c r="AL489" s="3"/>
    </row>
    <row r="490" ht="15.75" customHeight="1">
      <c r="A490" s="1" t="str">
        <f>IFERROR(__xludf.DUMMYFUNCTION("""COMPUTED_VALUE"""),"21254")</f>
        <v>21254</v>
      </c>
      <c r="B490" s="2">
        <f>IFERROR(__xludf.DUMMYFUNCTION("""COMPUTED_VALUE"""),21254.0)</f>
        <v>21254</v>
      </c>
      <c r="C490" s="3" t="str">
        <f>IFERROR(__xludf.DUMMYFUNCTION("""COMPUTED_VALUE"""),"MBC รามคำแหง53")</f>
        <v>MBC รามคำแหง53</v>
      </c>
      <c r="D490" s="3" t="str">
        <f>IFERROR(__xludf.DUMMYFUNCTION("""COMPUTED_VALUE"""),"BCM RAMKHUMHAENG53")</f>
        <v>BCM RAMKHUMHAENG53</v>
      </c>
      <c r="E490" s="1" t="str">
        <f>IFERROR(__xludf.DUMMYFUNCTION("""COMPUTED_VALUE"""),"บิ๊กซี MINI")</f>
        <v>บิ๊กซี MINI</v>
      </c>
      <c r="F490" s="1" t="str">
        <f>IFERROR(__xludf.DUMMYFUNCTION("""COMPUTED_VALUE"""),"291008")</f>
        <v>291008</v>
      </c>
      <c r="G490" s="1" t="str">
        <f>IFERROR(__xludf.DUMMYFUNCTION("""COMPUTED_VALUE"""),"น.ส.รัชดาพร อีศรัตน์")</f>
        <v>น.ส.รัชดาพร อีศรัตน์</v>
      </c>
      <c r="H490" s="1" t="str">
        <f>IFERROR(__xludf.DUMMYFUNCTION("""COMPUTED_VALUE"""),"228242")</f>
        <v>228242</v>
      </c>
      <c r="I490" s="1" t="str">
        <f>IFERROR(__xludf.DUMMYFUNCTION("""COMPUTED_VALUE"""),"นายสมชาย เยมรัมย์")</f>
        <v>นายสมชาย เยมรัมย์</v>
      </c>
      <c r="J490" s="3">
        <f>IFERROR(__xludf.DUMMYFUNCTION("""COMPUTED_VALUE"""),3510104.0)</f>
        <v>3510104</v>
      </c>
      <c r="K490" s="3" t="str">
        <f>IFERROR(__xludf.DUMMYFUNCTION("""COMPUTED_VALUE"""),"นายวิโรจน์ อับดุลสมัด")</f>
        <v>นายวิโรจน์ อับดุลสมัด</v>
      </c>
      <c r="L490" s="1" t="str">
        <f>IFERROR(__xludf.DUMMYFUNCTION("""COMPUTED_VALUE"""),"09 K.Wirode A")</f>
        <v>09 K.Wirode A</v>
      </c>
      <c r="M490" s="1" t="str">
        <f>IFERROR(__xludf.DUMMYFUNCTION("""COMPUTED_VALUE"""),"080-235-4465")</f>
        <v>080-235-4465</v>
      </c>
      <c r="N490" s="3">
        <f>IFERROR(__xludf.DUMMYFUNCTION("""COMPUTED_VALUE"""),21324.0)</f>
        <v>21324</v>
      </c>
      <c r="O490" s="3" t="str">
        <f>IFERROR(__xludf.DUMMYFUNCTION("""COMPUTED_VALUE"""),"MBC BCP สุวินทวงศ์")</f>
        <v>MBC BCP สุวินทวงศ์</v>
      </c>
      <c r="P490" s="4">
        <f>IFERROR(__xludf.DUMMYFUNCTION("""COMPUTED_VALUE"""),41575.0)</f>
        <v>41575</v>
      </c>
      <c r="Q490" s="3" t="str">
        <f>IFERROR(__xludf.DUMMYFUNCTION("""COMPUTED_VALUE"""),"A")</f>
        <v>A</v>
      </c>
      <c r="R490" s="3" t="str">
        <f>IFERROR(__xludf.DUMMYFUNCTION("""COMPUTED_VALUE"""),"Small Format")</f>
        <v>Small Format</v>
      </c>
      <c r="S490" s="3" t="str">
        <f>IFERROR(__xludf.DUMMYFUNCTION("""COMPUTED_VALUE"""),"BCM")</f>
        <v>BCM</v>
      </c>
      <c r="T490" s="3" t="str">
        <f>IFERROR(__xludf.DUMMYFUNCTION("""COMPUTED_VALUE"""),"#N/A")</f>
        <v>#N/A</v>
      </c>
      <c r="U490" s="3" t="str">
        <f>IFERROR(__xludf.DUMMYFUNCTION("""COMPUTED_VALUE"""),"#N/A")</f>
        <v>#N/A</v>
      </c>
      <c r="V490" s="3" t="str">
        <f>IFERROR(__xludf.DUMMYFUNCTION("""COMPUTED_VALUE"""),"N")</f>
        <v>N</v>
      </c>
      <c r="W490" s="3">
        <f>IFERROR(__xludf.DUMMYFUNCTION("""COMPUTED_VALUE"""),211289.0)</f>
        <v>211289</v>
      </c>
      <c r="X490" s="3" t="str">
        <f>IFERROR(__xludf.DUMMYFUNCTION("""COMPUTED_VALUE"""),"478 ซอยรามคำแหง 53(จันทร์ศรี) แขวงวังทองหลาง เขตวังทองหลาง กรุงเทพมหานคร 10310")</f>
        <v>478 ซอยรามคำแหง 53(จันทร์ศรี) แขวงวังทองหลาง เขตวังทองหลาง กรุงเทพมหานคร 10310</v>
      </c>
      <c r="Y490" s="3" t="str">
        <f>IFERROR(__xludf.DUMMYFUNCTION("""COMPUTED_VALUE"""),"ซอยรามคำแหง")</f>
        <v>ซอยรามคำแหง</v>
      </c>
      <c r="Z490" s="3" t="str">
        <f>IFERROR(__xludf.DUMMYFUNCTION("""COMPUTED_VALUE"""),"วังทองหลาง")</f>
        <v>วังทองหลาง</v>
      </c>
      <c r="AA490" s="3" t="str">
        <f>IFERROR(__xludf.DUMMYFUNCTION("""COMPUTED_VALUE"""),"วังทองหลาง")</f>
        <v>วังทองหลาง</v>
      </c>
      <c r="AB490" s="3" t="str">
        <f>IFERROR(__xludf.DUMMYFUNCTION("""COMPUTED_VALUE"""),"กรุงเทพมหานคร")</f>
        <v>กรุงเทพมหานคร</v>
      </c>
      <c r="AC490" s="3">
        <f>IFERROR(__xludf.DUMMYFUNCTION("""COMPUTED_VALUE"""),10310.0)</f>
        <v>10310</v>
      </c>
      <c r="AD490" s="3">
        <f>IFERROR(__xludf.DUMMYFUNCTION("""COMPUTED_VALUE"""),13.762416)</f>
        <v>13.762416</v>
      </c>
      <c r="AE490" s="3">
        <f>IFERROR(__xludf.DUMMYFUNCTION("""COMPUTED_VALUE"""),100.619527)</f>
        <v>100.619527</v>
      </c>
      <c r="AF490" s="3" t="str">
        <f>IFERROR(__xludf.DUMMYFUNCTION("""COMPUTED_VALUE"""),"MBC รามคำแหง53-21254")</f>
        <v>MBC รามคำแหง53-21254</v>
      </c>
      <c r="AG490" s="3" t="str">
        <f>IFERROR(__xludf.DUMMYFUNCTION("""COMPUTED_VALUE"""),"กลาง")</f>
        <v>กลาง</v>
      </c>
      <c r="AH490" s="3" t="str">
        <f>IFERROR(__xludf.DUMMYFUNCTION("""COMPUTED_VALUE"""),"#N/A")</f>
        <v>#N/A</v>
      </c>
      <c r="AI490" s="3" t="str">
        <f>IFERROR(__xludf.DUMMYFUNCTION("""COMPUTED_VALUE"""),"Out of warranty")</f>
        <v>Out of warranty</v>
      </c>
      <c r="AJ490" s="3">
        <f>IFERROR(__xludf.DUMMYFUNCTION("""COMPUTED_VALUE"""),147.0)</f>
        <v>147</v>
      </c>
      <c r="AK490" s="3" t="str">
        <f>IFERROR(__xludf.DUMMYFUNCTION("""COMPUTED_VALUE"""),"MMS03")</f>
        <v>MMS03</v>
      </c>
      <c r="AL490" s="3"/>
    </row>
    <row r="491" ht="15.75" customHeight="1">
      <c r="A491" s="1" t="str">
        <f>IFERROR(__xludf.DUMMYFUNCTION("""COMPUTED_VALUE"""),"21255")</f>
        <v>21255</v>
      </c>
      <c r="B491" s="2">
        <f>IFERROR(__xludf.DUMMYFUNCTION("""COMPUTED_VALUE"""),21255.0)</f>
        <v>21255</v>
      </c>
      <c r="C491" s="3" t="str">
        <f>IFERROR(__xludf.DUMMYFUNCTION("""COMPUTED_VALUE"""),"MBC ท่าโขลง")</f>
        <v>MBC ท่าโขลง</v>
      </c>
      <c r="D491" s="3" t="str">
        <f>IFERROR(__xludf.DUMMYFUNCTION("""COMPUTED_VALUE"""),"MBC THAKHLONG")</f>
        <v>MBC THAKHLONG</v>
      </c>
      <c r="E491" s="1" t="str">
        <f>IFERROR(__xludf.DUMMYFUNCTION("""COMPUTED_VALUE"""),"บิ๊กซี MINI")</f>
        <v>บิ๊กซี MINI</v>
      </c>
      <c r="F491" s="1" t="str">
        <f>IFERROR(__xludf.DUMMYFUNCTION("""COMPUTED_VALUE"""),"296229")</f>
        <v>296229</v>
      </c>
      <c r="G491" s="1" t="str">
        <f>IFERROR(__xludf.DUMMYFUNCTION("""COMPUTED_VALUE"""),"นายทนงศักดิ์ บุญมา")</f>
        <v>นายทนงศักดิ์ บุญมา</v>
      </c>
      <c r="H491" s="1" t="str">
        <f>IFERROR(__xludf.DUMMYFUNCTION("""COMPUTED_VALUE"""),"291082")</f>
        <v>291082</v>
      </c>
      <c r="I491" s="1" t="str">
        <f>IFERROR(__xludf.DUMMYFUNCTION("""COMPUTED_VALUE"""),"น.ส.วจี กันเกตุ")</f>
        <v>น.ส.วจี กันเกตุ</v>
      </c>
      <c r="J491" s="3">
        <f>IFERROR(__xludf.DUMMYFUNCTION("""COMPUTED_VALUE"""),46214.0)</f>
        <v>46214</v>
      </c>
      <c r="K491" s="3" t="str">
        <f>IFERROR(__xludf.DUMMYFUNCTION("""COMPUTED_VALUE"""),"นายศักดิ์ชัย เด็ดดอกฟ้า")</f>
        <v>นายศักดิ์ชัย เด็ดดอกฟ้า</v>
      </c>
      <c r="L491" s="1" t="str">
        <f>IFERROR(__xludf.DUMMYFUNCTION("""COMPUTED_VALUE"""),"02 K.Sakchai D")</f>
        <v>02 K.Sakchai D</v>
      </c>
      <c r="M491" s="1" t="str">
        <f>IFERROR(__xludf.DUMMYFUNCTION("""COMPUTED_VALUE"""),"065-510-7376")</f>
        <v>065-510-7376</v>
      </c>
      <c r="N491" s="3">
        <f>IFERROR(__xludf.DUMMYFUNCTION("""COMPUTED_VALUE"""),21441.0)</f>
        <v>21441</v>
      </c>
      <c r="O491" s="3" t="str">
        <f>IFERROR(__xludf.DUMMYFUNCTION("""COMPUTED_VALUE"""),"MBC บ้านกร่าง พิษณุโลก")</f>
        <v>MBC บ้านกร่าง พิษณุโลก</v>
      </c>
      <c r="P491" s="4">
        <f>IFERROR(__xludf.DUMMYFUNCTION("""COMPUTED_VALUE"""),41576.0)</f>
        <v>41576</v>
      </c>
      <c r="Q491" s="3" t="str">
        <f>IFERROR(__xludf.DUMMYFUNCTION("""COMPUTED_VALUE"""),"I")</f>
        <v>I</v>
      </c>
      <c r="R491" s="3" t="str">
        <f>IFERROR(__xludf.DUMMYFUNCTION("""COMPUTED_VALUE"""),"Small Format")</f>
        <v>Small Format</v>
      </c>
      <c r="S491" s="3" t="str">
        <f>IFERROR(__xludf.DUMMYFUNCTION("""COMPUTED_VALUE"""),"BCM")</f>
        <v>BCM</v>
      </c>
      <c r="T491" s="3" t="str">
        <f>IFERROR(__xludf.DUMMYFUNCTION("""COMPUTED_VALUE"""),"#N/A")</f>
        <v>#N/A</v>
      </c>
      <c r="U491" s="3" t="str">
        <f>IFERROR(__xludf.DUMMYFUNCTION("""COMPUTED_VALUE"""),"#N/A")</f>
        <v>#N/A</v>
      </c>
      <c r="V491" s="3" t="str">
        <f>IFERROR(__xludf.DUMMYFUNCTION("""COMPUTED_VALUE"""),"N")</f>
        <v>N</v>
      </c>
      <c r="W491" s="3">
        <f>IFERROR(__xludf.DUMMYFUNCTION("""COMPUTED_VALUE"""),0.0)</f>
        <v>0</v>
      </c>
      <c r="X491" s="3" t="str">
        <f>IFERROR(__xludf.DUMMYFUNCTION("""COMPUTED_VALUE"""),"94/1 หมู่ 9 ตำบลเขาสมอคอน อำเภอท่าวุ้ง จังหวัดลพบุรี 15180")</f>
        <v>94/1 หมู่ 9 ตำบลเขาสมอคอน อำเภอท่าวุ้ง จังหวัดลพบุรี 15180</v>
      </c>
      <c r="Y491" s="3"/>
      <c r="Z491" s="3" t="str">
        <f>IFERROR(__xludf.DUMMYFUNCTION("""COMPUTED_VALUE"""),"เขาสมอคอน")</f>
        <v>เขาสมอคอน</v>
      </c>
      <c r="AA491" s="3" t="str">
        <f>IFERROR(__xludf.DUMMYFUNCTION("""COMPUTED_VALUE"""),"ท่าวุ้ง")</f>
        <v>ท่าวุ้ง</v>
      </c>
      <c r="AB491" s="3" t="str">
        <f>IFERROR(__xludf.DUMMYFUNCTION("""COMPUTED_VALUE"""),"ลพบุรี")</f>
        <v>ลพบุรี</v>
      </c>
      <c r="AC491" s="3">
        <f>IFERROR(__xludf.DUMMYFUNCTION("""COMPUTED_VALUE"""),15180.0)</f>
        <v>15180</v>
      </c>
      <c r="AD491" s="3" t="str">
        <f>IFERROR(__xludf.DUMMYFUNCTION("""COMPUTED_VALUE"""),"#N/A")</f>
        <v>#N/A</v>
      </c>
      <c r="AE491" s="3" t="str">
        <f>IFERROR(__xludf.DUMMYFUNCTION("""COMPUTED_VALUE"""),"#N/A")</f>
        <v>#N/A</v>
      </c>
      <c r="AF491" s="3" t="str">
        <f>IFERROR(__xludf.DUMMYFUNCTION("""COMPUTED_VALUE"""),"MBC ท่าโขลง-21255")</f>
        <v>MBC ท่าโขลง-21255</v>
      </c>
      <c r="AG491" s="3" t="str">
        <f>IFERROR(__xludf.DUMMYFUNCTION("""COMPUTED_VALUE"""),"กลาง")</f>
        <v>กลาง</v>
      </c>
      <c r="AH491" s="3" t="str">
        <f>IFERROR(__xludf.DUMMYFUNCTION("""COMPUTED_VALUE"""),"#N/A")</f>
        <v>#N/A</v>
      </c>
      <c r="AI491" s="3" t="str">
        <f>IFERROR(__xludf.DUMMYFUNCTION("""COMPUTED_VALUE"""),"Out of warranty")</f>
        <v>Out of warranty</v>
      </c>
      <c r="AJ491" s="3">
        <f>IFERROR(__xludf.DUMMYFUNCTION("""COMPUTED_VALUE"""),147.0)</f>
        <v>147</v>
      </c>
      <c r="AK491" s="3"/>
      <c r="AL491" s="3"/>
    </row>
    <row r="492" ht="15.75" customHeight="1">
      <c r="A492" s="1" t="str">
        <f>IFERROR(__xludf.DUMMYFUNCTION("""COMPUTED_VALUE"""),"21256")</f>
        <v>21256</v>
      </c>
      <c r="B492" s="2">
        <f>IFERROR(__xludf.DUMMYFUNCTION("""COMPUTED_VALUE"""),21256.0)</f>
        <v>21256</v>
      </c>
      <c r="C492" s="3" t="str">
        <f>IFERROR(__xludf.DUMMYFUNCTION("""COMPUTED_VALUE"""),"MBC หนองเกตุใหญ่")</f>
        <v>MBC หนองเกตุใหญ่</v>
      </c>
      <c r="D492" s="3" t="str">
        <f>IFERROR(__xludf.DUMMYFUNCTION("""COMPUTED_VALUE"""),"BCM NONGKETYAI")</f>
        <v>BCM NONGKETYAI</v>
      </c>
      <c r="E492" s="1" t="str">
        <f>IFERROR(__xludf.DUMMYFUNCTION("""COMPUTED_VALUE"""),"บิ๊กซี MINI")</f>
        <v>บิ๊กซี MINI</v>
      </c>
      <c r="F492" s="1" t="str">
        <f>IFERROR(__xludf.DUMMYFUNCTION("""COMPUTED_VALUE"""),"221716")</f>
        <v>221716</v>
      </c>
      <c r="G492" s="1" t="str">
        <f>IFERROR(__xludf.DUMMYFUNCTION("""COMPUTED_VALUE"""),"น.ส.เบญจพร โพธิสาร")</f>
        <v>น.ส.เบญจพร โพธิสาร</v>
      </c>
      <c r="H492" s="1" t="str">
        <f>IFERROR(__xludf.DUMMYFUNCTION("""COMPUTED_VALUE"""),"291061")</f>
        <v>291061</v>
      </c>
      <c r="I492" s="1" t="str">
        <f>IFERROR(__xludf.DUMMYFUNCTION("""COMPUTED_VALUE"""),"นายสมศักดิ์ เสียงก้อง")</f>
        <v>นายสมศักดิ์ เสียงก้อง</v>
      </c>
      <c r="J492" s="3">
        <f>IFERROR(__xludf.DUMMYFUNCTION("""COMPUTED_VALUE"""),296942.0)</f>
        <v>296942</v>
      </c>
      <c r="K492" s="3" t="str">
        <f>IFERROR(__xludf.DUMMYFUNCTION("""COMPUTED_VALUE"""),"นายปิยะ รักษากิจ")</f>
        <v>นายปิยะ รักษากิจ</v>
      </c>
      <c r="L492" s="1" t="str">
        <f>IFERROR(__xludf.DUMMYFUNCTION("""COMPUTED_VALUE"""),"07 K.Piya R.")</f>
        <v>07 K.Piya R.</v>
      </c>
      <c r="M492" s="1" t="str">
        <f>IFERROR(__xludf.DUMMYFUNCTION("""COMPUTED_VALUE"""),"097-919-5476")</f>
        <v>097-919-5476</v>
      </c>
      <c r="N492" s="3">
        <f>IFERROR(__xludf.DUMMYFUNCTION("""COMPUTED_VALUE"""),21332.0)</f>
        <v>21332</v>
      </c>
      <c r="O492" s="3" t="str">
        <f>IFERROR(__xludf.DUMMYFUNCTION("""COMPUTED_VALUE"""),"MBC BCP อ่อนนุช 17/1")</f>
        <v>MBC BCP อ่อนนุช 17/1</v>
      </c>
      <c r="P492" s="4">
        <f>IFERROR(__xludf.DUMMYFUNCTION("""COMPUTED_VALUE"""),41577.0)</f>
        <v>41577</v>
      </c>
      <c r="Q492" s="3" t="str">
        <f>IFERROR(__xludf.DUMMYFUNCTION("""COMPUTED_VALUE"""),"A")</f>
        <v>A</v>
      </c>
      <c r="R492" s="3" t="str">
        <f>IFERROR(__xludf.DUMMYFUNCTION("""COMPUTED_VALUE"""),"Small Format")</f>
        <v>Small Format</v>
      </c>
      <c r="S492" s="3" t="str">
        <f>IFERROR(__xludf.DUMMYFUNCTION("""COMPUTED_VALUE"""),"BCM")</f>
        <v>BCM</v>
      </c>
      <c r="T492" s="3" t="str">
        <f>IFERROR(__xludf.DUMMYFUNCTION("""COMPUTED_VALUE"""),"#N/A")</f>
        <v>#N/A</v>
      </c>
      <c r="U492" s="3" t="str">
        <f>IFERROR(__xludf.DUMMYFUNCTION("""COMPUTED_VALUE"""),"#N/A")</f>
        <v>#N/A</v>
      </c>
      <c r="V492" s="3" t="str">
        <f>IFERROR(__xludf.DUMMYFUNCTION("""COMPUTED_VALUE"""),"N")</f>
        <v>N</v>
      </c>
      <c r="W492" s="3">
        <f>IFERROR(__xludf.DUMMYFUNCTION("""COMPUTED_VALUE"""),211286.0)</f>
        <v>211286</v>
      </c>
      <c r="X492" s="3" t="str">
        <f>IFERROR(__xludf.DUMMYFUNCTION("""COMPUTED_VALUE"""),"9/10 หมู่ 1 ถนนสายโรงไม้ขีด ตำบลหนองปลาไหล อำเภอบางละมุง จังหวัดชลบุรี 20150")</f>
        <v>9/10 หมู่ 1 ถนนสายโรงไม้ขีด ตำบลหนองปลาไหล อำเภอบางละมุง จังหวัดชลบุรี 20150</v>
      </c>
      <c r="Y492" s="3"/>
      <c r="Z492" s="3" t="str">
        <f>IFERROR(__xludf.DUMMYFUNCTION("""COMPUTED_VALUE"""),"หนองปลาไหล")</f>
        <v>หนองปลาไหล</v>
      </c>
      <c r="AA492" s="3" t="str">
        <f>IFERROR(__xludf.DUMMYFUNCTION("""COMPUTED_VALUE"""),"บางละมุง")</f>
        <v>บางละมุง</v>
      </c>
      <c r="AB492" s="3" t="str">
        <f>IFERROR(__xludf.DUMMYFUNCTION("""COMPUTED_VALUE"""),"ชลบุรี")</f>
        <v>ชลบุรี</v>
      </c>
      <c r="AC492" s="3">
        <f>IFERROR(__xludf.DUMMYFUNCTION("""COMPUTED_VALUE"""),20150.0)</f>
        <v>20150</v>
      </c>
      <c r="AD492" s="3">
        <f>IFERROR(__xludf.DUMMYFUNCTION("""COMPUTED_VALUE"""),12.980607)</f>
        <v>12.980607</v>
      </c>
      <c r="AE492" s="3">
        <f>IFERROR(__xludf.DUMMYFUNCTION("""COMPUTED_VALUE"""),100.941728)</f>
        <v>100.941728</v>
      </c>
      <c r="AF492" s="3" t="str">
        <f>IFERROR(__xludf.DUMMYFUNCTION("""COMPUTED_VALUE"""),"MBC หนองเกตุใหญ่-21256")</f>
        <v>MBC หนองเกตุใหญ่-21256</v>
      </c>
      <c r="AG492" s="3" t="str">
        <f>IFERROR(__xludf.DUMMYFUNCTION("""COMPUTED_VALUE"""),"ตะวันออก")</f>
        <v>ตะวันออก</v>
      </c>
      <c r="AH492" s="3" t="str">
        <f>IFERROR(__xludf.DUMMYFUNCTION("""COMPUTED_VALUE"""),"#N/A")</f>
        <v>#N/A</v>
      </c>
      <c r="AI492" s="3" t="str">
        <f>IFERROR(__xludf.DUMMYFUNCTION("""COMPUTED_VALUE"""),"Out of warranty")</f>
        <v>Out of warranty</v>
      </c>
      <c r="AJ492" s="3">
        <f>IFERROR(__xludf.DUMMYFUNCTION("""COMPUTED_VALUE"""),147.0)</f>
        <v>147</v>
      </c>
      <c r="AK492" s="3" t="str">
        <f>IFERROR(__xludf.DUMMYFUNCTION("""COMPUTED_VALUE"""),"MMS06")</f>
        <v>MMS06</v>
      </c>
      <c r="AL492" s="3"/>
    </row>
    <row r="493" ht="15.75" customHeight="1">
      <c r="A493" s="1" t="str">
        <f>IFERROR(__xludf.DUMMYFUNCTION("""COMPUTED_VALUE"""),"21257")</f>
        <v>21257</v>
      </c>
      <c r="B493" s="2">
        <f>IFERROR(__xludf.DUMMYFUNCTION("""COMPUTED_VALUE"""),21257.0)</f>
        <v>21257</v>
      </c>
      <c r="C493" s="3" t="str">
        <f>IFERROR(__xludf.DUMMYFUNCTION("""COMPUTED_VALUE"""),"MBC ตำบลลำโพ")</f>
        <v>MBC ตำบลลำโพ</v>
      </c>
      <c r="D493" s="3" t="str">
        <f>IFERROR(__xludf.DUMMYFUNCTION("""COMPUTED_VALUE"""),"BCM TAMBON LUMPHO")</f>
        <v>BCM TAMBON LUMPHO</v>
      </c>
      <c r="E493" s="1" t="str">
        <f>IFERROR(__xludf.DUMMYFUNCTION("""COMPUTED_VALUE"""),"บิ๊กซี MINI")</f>
        <v>บิ๊กซี MINI</v>
      </c>
      <c r="F493" s="1" t="str">
        <f>IFERROR(__xludf.DUMMYFUNCTION("""COMPUTED_VALUE"""),"291008")</f>
        <v>291008</v>
      </c>
      <c r="G493" s="1" t="str">
        <f>IFERROR(__xludf.DUMMYFUNCTION("""COMPUTED_VALUE"""),"น.ส.รัชดาพร อีศรัตน์")</f>
        <v>น.ส.รัชดาพร อีศรัตน์</v>
      </c>
      <c r="H493" s="1" t="str">
        <f>IFERROR(__xludf.DUMMYFUNCTION("""COMPUTED_VALUE"""),"180055")</f>
        <v>180055</v>
      </c>
      <c r="I493" s="1" t="str">
        <f>IFERROR(__xludf.DUMMYFUNCTION("""COMPUTED_VALUE"""),"น.ส.สุดารัตน์ บุญล้ำ")</f>
        <v>น.ส.สุดารัตน์ บุญล้ำ</v>
      </c>
      <c r="J493" s="3">
        <f>IFERROR(__xludf.DUMMYFUNCTION("""COMPUTED_VALUE"""),296608.0)</f>
        <v>296608</v>
      </c>
      <c r="K493" s="3" t="str">
        <f>IFERROR(__xludf.DUMMYFUNCTION("""COMPUTED_VALUE"""),"นายภาคภูมิ เพ็ชรนิล")</f>
        <v>นายภาคภูมิ เพ็ชรนิล</v>
      </c>
      <c r="L493" s="1" t="str">
        <f>IFERROR(__xludf.DUMMYFUNCTION("""COMPUTED_VALUE"""),"10 K.Phakphoom P.")</f>
        <v>10 K.Phakphoom P.</v>
      </c>
      <c r="M493" s="1" t="str">
        <f>IFERROR(__xludf.DUMMYFUNCTION("""COMPUTED_VALUE"""),"063-8955329")</f>
        <v>063-8955329</v>
      </c>
      <c r="N493" s="3">
        <f>IFERROR(__xludf.DUMMYFUNCTION("""COMPUTED_VALUE"""),22584.0)</f>
        <v>22584</v>
      </c>
      <c r="O493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493" s="4">
        <f>IFERROR(__xludf.DUMMYFUNCTION("""COMPUTED_VALUE"""),41577.0)</f>
        <v>41577</v>
      </c>
      <c r="Q493" s="3" t="str">
        <f>IFERROR(__xludf.DUMMYFUNCTION("""COMPUTED_VALUE"""),"A")</f>
        <v>A</v>
      </c>
      <c r="R493" s="3" t="str">
        <f>IFERROR(__xludf.DUMMYFUNCTION("""COMPUTED_VALUE"""),"Small Format")</f>
        <v>Small Format</v>
      </c>
      <c r="S493" s="3" t="str">
        <f>IFERROR(__xludf.DUMMYFUNCTION("""COMPUTED_VALUE"""),"BCM")</f>
        <v>BCM</v>
      </c>
      <c r="T493" s="3" t="str">
        <f>IFERROR(__xludf.DUMMYFUNCTION("""COMPUTED_VALUE"""),"#N/A")</f>
        <v>#N/A</v>
      </c>
      <c r="U493" s="3" t="str">
        <f>IFERROR(__xludf.DUMMYFUNCTION("""COMPUTED_VALUE"""),"#N/A")</f>
        <v>#N/A</v>
      </c>
      <c r="V493" s="3" t="str">
        <f>IFERROR(__xludf.DUMMYFUNCTION("""COMPUTED_VALUE"""),"N")</f>
        <v>N</v>
      </c>
      <c r="W493" s="3">
        <f>IFERROR(__xludf.DUMMYFUNCTION("""COMPUTED_VALUE"""),211280.0)</f>
        <v>211280</v>
      </c>
      <c r="X493" s="3" t="str">
        <f>IFERROR(__xludf.DUMMYFUNCTION("""COMPUTED_VALUE"""),"3/4 หมู่ 5 ตำบลลำโพ อำเภอบางบัวทอง จังหวัดนนทบุรี 11110")</f>
        <v>3/4 หมู่ 5 ตำบลลำโพ อำเภอบางบัวทอง จังหวัดนนทบุรี 11110</v>
      </c>
      <c r="Y493" s="3"/>
      <c r="Z493" s="3" t="str">
        <f>IFERROR(__xludf.DUMMYFUNCTION("""COMPUTED_VALUE"""),"ลำโพ")</f>
        <v>ลำโพ</v>
      </c>
      <c r="AA493" s="3" t="str">
        <f>IFERROR(__xludf.DUMMYFUNCTION("""COMPUTED_VALUE"""),"บางบัวทอง")</f>
        <v>บางบัวทอง</v>
      </c>
      <c r="AB493" s="3" t="str">
        <f>IFERROR(__xludf.DUMMYFUNCTION("""COMPUTED_VALUE"""),"นนทบุรี")</f>
        <v>นนทบุรี</v>
      </c>
      <c r="AC493" s="3">
        <f>IFERROR(__xludf.DUMMYFUNCTION("""COMPUTED_VALUE"""),11110.0)</f>
        <v>11110</v>
      </c>
      <c r="AD493" s="3">
        <f>IFERROR(__xludf.DUMMYFUNCTION("""COMPUTED_VALUE"""),13.963347)</f>
        <v>13.963347</v>
      </c>
      <c r="AE493" s="3">
        <f>IFERROR(__xludf.DUMMYFUNCTION("""COMPUTED_VALUE"""),100.41274)</f>
        <v>100.41274</v>
      </c>
      <c r="AF493" s="3" t="str">
        <f>IFERROR(__xludf.DUMMYFUNCTION("""COMPUTED_VALUE"""),"MBC ตำบลลำโพ-21257")</f>
        <v>MBC ตำบลลำโพ-21257</v>
      </c>
      <c r="AG493" s="3" t="str">
        <f>IFERROR(__xludf.DUMMYFUNCTION("""COMPUTED_VALUE"""),"กลาง")</f>
        <v>กลาง</v>
      </c>
      <c r="AH493" s="3" t="str">
        <f>IFERROR(__xludf.DUMMYFUNCTION("""COMPUTED_VALUE"""),"#N/A")</f>
        <v>#N/A</v>
      </c>
      <c r="AI493" s="3" t="str">
        <f>IFERROR(__xludf.DUMMYFUNCTION("""COMPUTED_VALUE"""),"Out of warranty")</f>
        <v>Out of warranty</v>
      </c>
      <c r="AJ493" s="3">
        <f>IFERROR(__xludf.DUMMYFUNCTION("""COMPUTED_VALUE"""),147.0)</f>
        <v>147</v>
      </c>
      <c r="AK493" s="3" t="str">
        <f>IFERROR(__xludf.DUMMYFUNCTION("""COMPUTED_VALUE"""),"MMS04")</f>
        <v>MMS04</v>
      </c>
      <c r="AL493" s="3"/>
    </row>
    <row r="494" ht="15.75" customHeight="1">
      <c r="A494" s="1" t="str">
        <f>IFERROR(__xludf.DUMMYFUNCTION("""COMPUTED_VALUE"""),"21258")</f>
        <v>21258</v>
      </c>
      <c r="B494" s="2">
        <f>IFERROR(__xludf.DUMMYFUNCTION("""COMPUTED_VALUE"""),21258.0)</f>
        <v>21258</v>
      </c>
      <c r="C494" s="3" t="str">
        <f>IFERROR(__xludf.DUMMYFUNCTION("""COMPUTED_VALUE"""),"MBC BCP วังตะเคียน")</f>
        <v>MBC BCP วังตะเคียน</v>
      </c>
      <c r="D494" s="3" t="str">
        <f>IFERROR(__xludf.DUMMYFUNCTION("""COMPUTED_VALUE"""),"BCM BCP WANGTAKHIAN")</f>
        <v>BCM BCP WANGTAKHIAN</v>
      </c>
      <c r="E494" s="1" t="str">
        <f>IFERROR(__xludf.DUMMYFUNCTION("""COMPUTED_VALUE"""),"บิ๊กซี MINI")</f>
        <v>บิ๊กซี MINI</v>
      </c>
      <c r="F494" s="1" t="str">
        <f>IFERROR(__xludf.DUMMYFUNCTION("""COMPUTED_VALUE"""),"2083447")</f>
        <v>2083447</v>
      </c>
      <c r="G494" s="1" t="str">
        <f>IFERROR(__xludf.DUMMYFUNCTION("""COMPUTED_VALUE"""),"นายอนุกูล ศรีลัดดา")</f>
        <v>นายอนุกูล ศรีลัดดา</v>
      </c>
      <c r="H494" s="1" t="str">
        <f>IFERROR(__xludf.DUMMYFUNCTION("""COMPUTED_VALUE"""),"254957")</f>
        <v>254957</v>
      </c>
      <c r="I494" s="1" t="str">
        <f>IFERROR(__xludf.DUMMYFUNCTION("""COMPUTED_VALUE"""),"น.ส.ศิริพร รุ่งธัญญา")</f>
        <v>น.ส.ศิริพร รุ่งธัญญา</v>
      </c>
      <c r="J494" s="3">
        <f>IFERROR(__xludf.DUMMYFUNCTION("""COMPUTED_VALUE"""),510143.0)</f>
        <v>510143</v>
      </c>
      <c r="K494" s="3" t="str">
        <f>IFERROR(__xludf.DUMMYFUNCTION("""COMPUTED_VALUE"""),"นายธีระวัฒน์ บุญสิทธิ์")</f>
        <v>นายธีระวัฒน์ บุญสิทธิ์</v>
      </c>
      <c r="L494" s="1" t="str">
        <f>IFERROR(__xludf.DUMMYFUNCTION("""COMPUTED_VALUE"""),"12 K.Theerawat B.")</f>
        <v>12 K.Theerawat B.</v>
      </c>
      <c r="M494" s="1" t="str">
        <f>IFERROR(__xludf.DUMMYFUNCTION("""COMPUTED_VALUE"""),"0655107379")</f>
        <v>0655107379</v>
      </c>
      <c r="N494" s="3">
        <f>IFERROR(__xludf.DUMMYFUNCTION("""COMPUTED_VALUE"""),21062.0)</f>
        <v>21062</v>
      </c>
      <c r="O494" s="3" t="str">
        <f>IFERROR(__xludf.DUMMYFUNCTION("""COMPUTED_VALUE"""),"MBC นิคมนวนคร")</f>
        <v>MBC นิคมนวนคร</v>
      </c>
      <c r="P494" s="4">
        <f>IFERROR(__xludf.DUMMYFUNCTION("""COMPUTED_VALUE"""),41577.0)</f>
        <v>41577</v>
      </c>
      <c r="Q494" s="3" t="str">
        <f>IFERROR(__xludf.DUMMYFUNCTION("""COMPUTED_VALUE"""),"A")</f>
        <v>A</v>
      </c>
      <c r="R494" s="3" t="str">
        <f>IFERROR(__xludf.DUMMYFUNCTION("""COMPUTED_VALUE"""),"Small Format")</f>
        <v>Small Format</v>
      </c>
      <c r="S494" s="3" t="str">
        <f>IFERROR(__xludf.DUMMYFUNCTION("""COMPUTED_VALUE"""),"BCM")</f>
        <v>BCM</v>
      </c>
      <c r="T494" s="3" t="str">
        <f>IFERROR(__xludf.DUMMYFUNCTION("""COMPUTED_VALUE"""),"#N/A")</f>
        <v>#N/A</v>
      </c>
      <c r="U494" s="3" t="str">
        <f>IFERROR(__xludf.DUMMYFUNCTION("""COMPUTED_VALUE"""),"#N/A")</f>
        <v>#N/A</v>
      </c>
      <c r="V494" s="3" t="str">
        <f>IFERROR(__xludf.DUMMYFUNCTION("""COMPUTED_VALUE"""),"N")</f>
        <v>N</v>
      </c>
      <c r="W494" s="3">
        <f>IFERROR(__xludf.DUMMYFUNCTION("""COMPUTED_VALUE"""),361087.0)</f>
        <v>361087</v>
      </c>
      <c r="X494" s="3" t="str">
        <f>IFERROR(__xludf.DUMMYFUNCTION("""COMPUTED_VALUE"""),"5/4 หมู่ 2 ตำบลวังตะเคียน อำเภอเมืองฉะเชิงเทรา จังหวัดฉะเชิงเทรา 24000")</f>
        <v>5/4 หมู่ 2 ตำบลวังตะเคียน อำเภอเมืองฉะเชิงเทรา จังหวัดฉะเชิงเทรา 24000</v>
      </c>
      <c r="Y494" s="3"/>
      <c r="Z494" s="3" t="str">
        <f>IFERROR(__xludf.DUMMYFUNCTION("""COMPUTED_VALUE"""),"วังตะเคียน")</f>
        <v>วังตะเคียน</v>
      </c>
      <c r="AA494" s="3" t="str">
        <f>IFERROR(__xludf.DUMMYFUNCTION("""COMPUTED_VALUE"""),"เมือง")</f>
        <v>เมือง</v>
      </c>
      <c r="AB494" s="3" t="str">
        <f>IFERROR(__xludf.DUMMYFUNCTION("""COMPUTED_VALUE"""),"ฉะเชิงเทรา")</f>
        <v>ฉะเชิงเทรา</v>
      </c>
      <c r="AC494" s="3">
        <f>IFERROR(__xludf.DUMMYFUNCTION("""COMPUTED_VALUE"""),24000.0)</f>
        <v>24000</v>
      </c>
      <c r="AD494" s="3">
        <f>IFERROR(__xludf.DUMMYFUNCTION("""COMPUTED_VALUE"""),13.7058663)</f>
        <v>13.7058663</v>
      </c>
      <c r="AE494" s="3">
        <f>IFERROR(__xludf.DUMMYFUNCTION("""COMPUTED_VALUE"""),101.0528883)</f>
        <v>101.0528883</v>
      </c>
      <c r="AF494" s="3" t="str">
        <f>IFERROR(__xludf.DUMMYFUNCTION("""COMPUTED_VALUE"""),"MBC BCP วังตะเคียน-21258")</f>
        <v>MBC BCP วังตะเคียน-21258</v>
      </c>
      <c r="AG494" s="3" t="str">
        <f>IFERROR(__xludf.DUMMYFUNCTION("""COMPUTED_VALUE"""),"ตะวันออก")</f>
        <v>ตะวันออก</v>
      </c>
      <c r="AH494" s="3" t="str">
        <f>IFERROR(__xludf.DUMMYFUNCTION("""COMPUTED_VALUE"""),"#N/A")</f>
        <v>#N/A</v>
      </c>
      <c r="AI494" s="3" t="str">
        <f>IFERROR(__xludf.DUMMYFUNCTION("""COMPUTED_VALUE"""),"Out of warranty")</f>
        <v>Out of warranty</v>
      </c>
      <c r="AJ494" s="3">
        <f>IFERROR(__xludf.DUMMYFUNCTION("""COMPUTED_VALUE"""),147.0)</f>
        <v>147</v>
      </c>
      <c r="AK494" s="3" t="str">
        <f>IFERROR(__xludf.DUMMYFUNCTION("""COMPUTED_VALUE"""),"MMS04")</f>
        <v>MMS04</v>
      </c>
      <c r="AL494" s="3"/>
    </row>
    <row r="495" ht="15.75" customHeight="1">
      <c r="A495" s="1" t="str">
        <f>IFERROR(__xludf.DUMMYFUNCTION("""COMPUTED_VALUE"""),"21259")</f>
        <v>21259</v>
      </c>
      <c r="B495" s="2">
        <f>IFERROR(__xludf.DUMMYFUNCTION("""COMPUTED_VALUE"""),21259.0)</f>
        <v>21259</v>
      </c>
      <c r="C495" s="3" t="str">
        <f>IFERROR(__xludf.DUMMYFUNCTION("""COMPUTED_VALUE"""),"MBC ห้วยใหญ่")</f>
        <v>MBC ห้วยใหญ่</v>
      </c>
      <c r="D495" s="3" t="str">
        <f>IFERROR(__xludf.DUMMYFUNCTION("""COMPUTED_VALUE"""),"BCM HUAYYAI")</f>
        <v>BCM HUAYYAI</v>
      </c>
      <c r="E495" s="1" t="str">
        <f>IFERROR(__xludf.DUMMYFUNCTION("""COMPUTED_VALUE"""),"บิ๊กซี MINI")</f>
        <v>บิ๊กซี MINI</v>
      </c>
      <c r="F495" s="1" t="str">
        <f>IFERROR(__xludf.DUMMYFUNCTION("""COMPUTED_VALUE"""),"221716")</f>
        <v>221716</v>
      </c>
      <c r="G495" s="1" t="str">
        <f>IFERROR(__xludf.DUMMYFUNCTION("""COMPUTED_VALUE"""),"น.ส.เบญจพร โพธิสาร")</f>
        <v>น.ส.เบญจพร โพธิสาร</v>
      </c>
      <c r="H495" s="1" t="str">
        <f>IFERROR(__xludf.DUMMYFUNCTION("""COMPUTED_VALUE"""),"313065")</f>
        <v>313065</v>
      </c>
      <c r="I495" s="1" t="str">
        <f>IFERROR(__xludf.DUMMYFUNCTION("""COMPUTED_VALUE"""),"นายจิรายุทธ กันทา")</f>
        <v>นายจิรายุทธ กันทา</v>
      </c>
      <c r="J495" s="3">
        <f>IFERROR(__xludf.DUMMYFUNCTION("""COMPUTED_VALUE"""),3510104.0)</f>
        <v>3510104</v>
      </c>
      <c r="K495" s="3" t="str">
        <f>IFERROR(__xludf.DUMMYFUNCTION("""COMPUTED_VALUE"""),"นายวิโรจน์ อับดุลสมัด")</f>
        <v>นายวิโรจน์ อับดุลสมัด</v>
      </c>
      <c r="L495" s="1" t="str">
        <f>IFERROR(__xludf.DUMMYFUNCTION("""COMPUTED_VALUE"""),"09 K.Wirode A")</f>
        <v>09 K.Wirode A</v>
      </c>
      <c r="M495" s="1" t="str">
        <f>IFERROR(__xludf.DUMMYFUNCTION("""COMPUTED_VALUE"""),"080-235-4465")</f>
        <v>080-235-4465</v>
      </c>
      <c r="N495" s="3">
        <f>IFERROR(__xludf.DUMMYFUNCTION("""COMPUTED_VALUE"""),21324.0)</f>
        <v>21324</v>
      </c>
      <c r="O495" s="3" t="str">
        <f>IFERROR(__xludf.DUMMYFUNCTION("""COMPUTED_VALUE"""),"MBC BCP สุวินทวงศ์")</f>
        <v>MBC BCP สุวินทวงศ์</v>
      </c>
      <c r="P495" s="4">
        <f>IFERROR(__xludf.DUMMYFUNCTION("""COMPUTED_VALUE"""),41578.0)</f>
        <v>41578</v>
      </c>
      <c r="Q495" s="3" t="str">
        <f>IFERROR(__xludf.DUMMYFUNCTION("""COMPUTED_VALUE"""),"I")</f>
        <v>I</v>
      </c>
      <c r="R495" s="3" t="str">
        <f>IFERROR(__xludf.DUMMYFUNCTION("""COMPUTED_VALUE"""),"Small Format")</f>
        <v>Small Format</v>
      </c>
      <c r="S495" s="3" t="str">
        <f>IFERROR(__xludf.DUMMYFUNCTION("""COMPUTED_VALUE"""),"BCM")</f>
        <v>BCM</v>
      </c>
      <c r="T495" s="3" t="str">
        <f>IFERROR(__xludf.DUMMYFUNCTION("""COMPUTED_VALUE"""),"#N/A")</f>
        <v>#N/A</v>
      </c>
      <c r="U495" s="3" t="str">
        <f>IFERROR(__xludf.DUMMYFUNCTION("""COMPUTED_VALUE"""),"#N/A")</f>
        <v>#N/A</v>
      </c>
      <c r="V495" s="3" t="str">
        <f>IFERROR(__xludf.DUMMYFUNCTION("""COMPUTED_VALUE"""),"N")</f>
        <v>N</v>
      </c>
      <c r="W495" s="3">
        <f>IFERROR(__xludf.DUMMYFUNCTION("""COMPUTED_VALUE"""),211260.0)</f>
        <v>211260</v>
      </c>
      <c r="X495" s="3" t="str">
        <f>IFERROR(__xludf.DUMMYFUNCTION("""COMPUTED_VALUE"""),"118/1 หมู่ 3 ตำบลห้วยใหญ่ อำเภอบางละมุง จังหวัดชลบุรี 20150")</f>
        <v>118/1 หมู่ 3 ตำบลห้วยใหญ่ อำเภอบางละมุง จังหวัดชลบุรี 20150</v>
      </c>
      <c r="Y495" s="3"/>
      <c r="Z495" s="3" t="str">
        <f>IFERROR(__xludf.DUMMYFUNCTION("""COMPUTED_VALUE"""),"ห้วยใหญ่")</f>
        <v>ห้วยใหญ่</v>
      </c>
      <c r="AA495" s="3" t="str">
        <f>IFERROR(__xludf.DUMMYFUNCTION("""COMPUTED_VALUE"""),"บางละมุง")</f>
        <v>บางละมุง</v>
      </c>
      <c r="AB495" s="3" t="str">
        <f>IFERROR(__xludf.DUMMYFUNCTION("""COMPUTED_VALUE"""),"ชลบุรี")</f>
        <v>ชลบุรี</v>
      </c>
      <c r="AC495" s="3">
        <f>IFERROR(__xludf.DUMMYFUNCTION("""COMPUTED_VALUE"""),20150.0)</f>
        <v>20150</v>
      </c>
      <c r="AD495" s="3">
        <f>IFERROR(__xludf.DUMMYFUNCTION("""COMPUTED_VALUE"""),12.8655)</f>
        <v>12.8655</v>
      </c>
      <c r="AE495" s="3">
        <f>IFERROR(__xludf.DUMMYFUNCTION("""COMPUTED_VALUE"""),100.944972)</f>
        <v>100.944972</v>
      </c>
      <c r="AF495" s="3" t="str">
        <f>IFERROR(__xludf.DUMMYFUNCTION("""COMPUTED_VALUE"""),"MBC ห้วยใหญ่-21259")</f>
        <v>MBC ห้วยใหญ่-21259</v>
      </c>
      <c r="AG495" s="3" t="str">
        <f>IFERROR(__xludf.DUMMYFUNCTION("""COMPUTED_VALUE"""),"ตะวันออก")</f>
        <v>ตะวันออก</v>
      </c>
      <c r="AH495" s="3" t="str">
        <f>IFERROR(__xludf.DUMMYFUNCTION("""COMPUTED_VALUE"""),"#N/A")</f>
        <v>#N/A</v>
      </c>
      <c r="AI495" s="3" t="str">
        <f>IFERROR(__xludf.DUMMYFUNCTION("""COMPUTED_VALUE"""),"Out of warranty")</f>
        <v>Out of warranty</v>
      </c>
      <c r="AJ495" s="3">
        <f>IFERROR(__xludf.DUMMYFUNCTION("""COMPUTED_VALUE"""),147.0)</f>
        <v>147</v>
      </c>
      <c r="AK495" s="3" t="str">
        <f>IFERROR(__xludf.DUMMYFUNCTION("""COMPUTED_VALUE"""),"MMS08")</f>
        <v>MMS08</v>
      </c>
      <c r="AL495" s="3"/>
    </row>
    <row r="496" ht="15.75" customHeight="1">
      <c r="A496" s="1" t="str">
        <f>IFERROR(__xludf.DUMMYFUNCTION("""COMPUTED_VALUE"""),"21260")</f>
        <v>21260</v>
      </c>
      <c r="B496" s="2">
        <f>IFERROR(__xludf.DUMMYFUNCTION("""COMPUTED_VALUE"""),21260.0)</f>
        <v>21260</v>
      </c>
      <c r="C496" s="3" t="str">
        <f>IFERROR(__xludf.DUMMYFUNCTION("""COMPUTED_VALUE"""),"MBC BCPพระราม2 กม33")</f>
        <v>MBC BCPพระราม2 กม33</v>
      </c>
      <c r="D496" s="3" t="str">
        <f>IFERROR(__xludf.DUMMYFUNCTION("""COMPUTED_VALUE"""),"BCM BCP RAMA2 KM33")</f>
        <v>BCM BCP RAMA2 KM33</v>
      </c>
      <c r="E496" s="1" t="str">
        <f>IFERROR(__xludf.DUMMYFUNCTION("""COMPUTED_VALUE"""),"บิ๊กซี MINI")</f>
        <v>บิ๊กซี MINI</v>
      </c>
      <c r="F496" s="1" t="str">
        <f>IFERROR(__xludf.DUMMYFUNCTION("""COMPUTED_VALUE"""),"2083447")</f>
        <v>2083447</v>
      </c>
      <c r="G496" s="1" t="str">
        <f>IFERROR(__xludf.DUMMYFUNCTION("""COMPUTED_VALUE"""),"นายอนุกูล ศรีลัดดา")</f>
        <v>นายอนุกูล ศรีลัดดา</v>
      </c>
      <c r="H496" s="1" t="str">
        <f>IFERROR(__xludf.DUMMYFUNCTION("""COMPUTED_VALUE"""),"2455053")</f>
        <v>2455053</v>
      </c>
      <c r="I496" s="1" t="str">
        <f>IFERROR(__xludf.DUMMYFUNCTION("""COMPUTED_VALUE"""),"นายพันธมิตร โพธิ")</f>
        <v>นายพันธมิตร โพธิ</v>
      </c>
      <c r="J496" s="3">
        <f>IFERROR(__xludf.DUMMYFUNCTION("""COMPUTED_VALUE"""),2451655.0)</f>
        <v>2451655</v>
      </c>
      <c r="K496" s="3" t="str">
        <f>IFERROR(__xludf.DUMMYFUNCTION("""COMPUTED_VALUE"""),"นายวิษณุพงษ์ ชินบุตร")</f>
        <v>นายวิษณุพงษ์ ชินบุตร</v>
      </c>
      <c r="L496" s="1" t="str">
        <f>IFERROR(__xludf.DUMMYFUNCTION("""COMPUTED_VALUE"""),"13 K.Wisanupong Ch")</f>
        <v>13 K.Wisanupong Ch</v>
      </c>
      <c r="M496" s="1" t="str">
        <f>IFERROR(__xludf.DUMMYFUNCTION("""COMPUTED_VALUE"""),"0843374693")</f>
        <v>0843374693</v>
      </c>
      <c r="N496" s="3">
        <f>IFERROR(__xludf.DUMMYFUNCTION("""COMPUTED_VALUE"""),22729.0)</f>
        <v>22729</v>
      </c>
      <c r="O496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496" s="4">
        <f>IFERROR(__xludf.DUMMYFUNCTION("""COMPUTED_VALUE"""),41578.0)</f>
        <v>41578</v>
      </c>
      <c r="Q496" s="3" t="str">
        <f>IFERROR(__xludf.DUMMYFUNCTION("""COMPUTED_VALUE"""),"A")</f>
        <v>A</v>
      </c>
      <c r="R496" s="3" t="str">
        <f>IFERROR(__xludf.DUMMYFUNCTION("""COMPUTED_VALUE"""),"Small Format")</f>
        <v>Small Format</v>
      </c>
      <c r="S496" s="3" t="str">
        <f>IFERROR(__xludf.DUMMYFUNCTION("""COMPUTED_VALUE"""),"BCM")</f>
        <v>BCM</v>
      </c>
      <c r="T496" s="3" t="str">
        <f>IFERROR(__xludf.DUMMYFUNCTION("""COMPUTED_VALUE"""),"#N/A")</f>
        <v>#N/A</v>
      </c>
      <c r="U496" s="3" t="str">
        <f>IFERROR(__xludf.DUMMYFUNCTION("""COMPUTED_VALUE"""),"#N/A")</f>
        <v>#N/A</v>
      </c>
      <c r="V496" s="3" t="str">
        <f>IFERROR(__xludf.DUMMYFUNCTION("""COMPUTED_VALUE"""),"N")</f>
        <v>N</v>
      </c>
      <c r="W496" s="3">
        <f>IFERROR(__xludf.DUMMYFUNCTION("""COMPUTED_VALUE"""),361045.0)</f>
        <v>361045</v>
      </c>
      <c r="X496" s="3" t="str">
        <f>IFERROR(__xludf.DUMMYFUNCTION("""COMPUTED_VALUE"""),"30/19 หมู่ 2 ตำบลบางกระเจ้า อำเภอเมืองสมุทรสาคร จังหวัดสมุทรสาคร 74000")</f>
        <v>30/19 หมู่ 2 ตำบลบางกระเจ้า อำเภอเมืองสมุทรสาคร จังหวัดสมุทรสาคร 74000</v>
      </c>
      <c r="Y496" s="3"/>
      <c r="Z496" s="3" t="str">
        <f>IFERROR(__xludf.DUMMYFUNCTION("""COMPUTED_VALUE"""),"บางกระเจ้า")</f>
        <v>บางกระเจ้า</v>
      </c>
      <c r="AA496" s="3" t="str">
        <f>IFERROR(__xludf.DUMMYFUNCTION("""COMPUTED_VALUE"""),"เมือง")</f>
        <v>เมือง</v>
      </c>
      <c r="AB496" s="3" t="str">
        <f>IFERROR(__xludf.DUMMYFUNCTION("""COMPUTED_VALUE"""),"สมุทรสาคร")</f>
        <v>สมุทรสาคร</v>
      </c>
      <c r="AC496" s="3">
        <f>IFERROR(__xludf.DUMMYFUNCTION("""COMPUTED_VALUE"""),74000.0)</f>
        <v>74000</v>
      </c>
      <c r="AD496" s="3">
        <f>IFERROR(__xludf.DUMMYFUNCTION("""COMPUTED_VALUE"""),13.539357)</f>
        <v>13.539357</v>
      </c>
      <c r="AE496" s="3">
        <f>IFERROR(__xludf.DUMMYFUNCTION("""COMPUTED_VALUE"""),100.2299868)</f>
        <v>100.2299868</v>
      </c>
      <c r="AF496" s="3" t="str">
        <f>IFERROR(__xludf.DUMMYFUNCTION("""COMPUTED_VALUE"""),"MBC BCPพระราม2 กม33-21260")</f>
        <v>MBC BCPพระราม2 กม33-21260</v>
      </c>
      <c r="AG496" s="3" t="str">
        <f>IFERROR(__xludf.DUMMYFUNCTION("""COMPUTED_VALUE"""),"กลาง")</f>
        <v>กลาง</v>
      </c>
      <c r="AH496" s="3" t="str">
        <f>IFERROR(__xludf.DUMMYFUNCTION("""COMPUTED_VALUE"""),"#N/A")</f>
        <v>#N/A</v>
      </c>
      <c r="AI496" s="3" t="str">
        <f>IFERROR(__xludf.DUMMYFUNCTION("""COMPUTED_VALUE"""),"Out of warranty")</f>
        <v>Out of warranty</v>
      </c>
      <c r="AJ496" s="3">
        <f>IFERROR(__xludf.DUMMYFUNCTION("""COMPUTED_VALUE"""),147.0)</f>
        <v>147</v>
      </c>
      <c r="AK496" s="3" t="str">
        <f>IFERROR(__xludf.DUMMYFUNCTION("""COMPUTED_VALUE"""),"MMS05")</f>
        <v>MMS05</v>
      </c>
      <c r="AL496" s="3"/>
    </row>
    <row r="497" ht="15.75" customHeight="1">
      <c r="A497" s="1" t="str">
        <f>IFERROR(__xludf.DUMMYFUNCTION("""COMPUTED_VALUE"""),"21261")</f>
        <v>21261</v>
      </c>
      <c r="B497" s="2">
        <f>IFERROR(__xludf.DUMMYFUNCTION("""COMPUTED_VALUE"""),21261.0)</f>
        <v>21261</v>
      </c>
      <c r="C497" s="3" t="str">
        <f>IFERROR(__xludf.DUMMYFUNCTION("""COMPUTED_VALUE"""),"MBC BCP บ้านโข้ง")</f>
        <v>MBC BCP บ้านโข้ง</v>
      </c>
      <c r="D497" s="3" t="str">
        <f>IFERROR(__xludf.DUMMYFUNCTION("""COMPUTED_VALUE"""),"BCM BCP BAN KHONG")</f>
        <v>BCM BCP BAN KHONG</v>
      </c>
      <c r="E497" s="1" t="str">
        <f>IFERROR(__xludf.DUMMYFUNCTION("""COMPUTED_VALUE"""),"บิ๊กซี MINI")</f>
        <v>บิ๊กซี MINI</v>
      </c>
      <c r="F497" s="1" t="str">
        <f>IFERROR(__xludf.DUMMYFUNCTION("""COMPUTED_VALUE"""),"296229")</f>
        <v>296229</v>
      </c>
      <c r="G497" s="1" t="str">
        <f>IFERROR(__xludf.DUMMYFUNCTION("""COMPUTED_VALUE"""),"นายทนงศักดิ์ บุญมา")</f>
        <v>นายทนงศักดิ์ บุญมา</v>
      </c>
      <c r="H497" s="1" t="str">
        <f>IFERROR(__xludf.DUMMYFUNCTION("""COMPUTED_VALUE"""),"318186")</f>
        <v>318186</v>
      </c>
      <c r="I497" s="1" t="str">
        <f>IFERROR(__xludf.DUMMYFUNCTION("""COMPUTED_VALUE"""),"น.ส.พนมวัลย์ เรืองรัตน์")</f>
        <v>น.ส.พนมวัลย์ เรืองรัตน์</v>
      </c>
      <c r="J497" s="3">
        <f>IFERROR(__xludf.DUMMYFUNCTION("""COMPUTED_VALUE"""),46214.0)</f>
        <v>46214</v>
      </c>
      <c r="K497" s="3" t="str">
        <f>IFERROR(__xludf.DUMMYFUNCTION("""COMPUTED_VALUE"""),"นายศักดิ์ชัย เด็ดดอกฟ้า")</f>
        <v>นายศักดิ์ชัย เด็ดดอกฟ้า</v>
      </c>
      <c r="L497" s="1" t="str">
        <f>IFERROR(__xludf.DUMMYFUNCTION("""COMPUTED_VALUE"""),"02 K.Sakchai D")</f>
        <v>02 K.Sakchai D</v>
      </c>
      <c r="M497" s="1" t="str">
        <f>IFERROR(__xludf.DUMMYFUNCTION("""COMPUTED_VALUE"""),"065-510-7376")</f>
        <v>065-510-7376</v>
      </c>
      <c r="N497" s="3">
        <f>IFERROR(__xludf.DUMMYFUNCTION("""COMPUTED_VALUE"""),21714.0)</f>
        <v>21714</v>
      </c>
      <c r="O497" s="3" t="str">
        <f>IFERROR(__xludf.DUMMYFUNCTION("""COMPUTED_VALUE"""),"MBC เอสโซ่ วัดโบสถ์")</f>
        <v>MBC เอสโซ่ วัดโบสถ์</v>
      </c>
      <c r="P497" s="4">
        <f>IFERROR(__xludf.DUMMYFUNCTION("""COMPUTED_VALUE"""),41578.0)</f>
        <v>41578</v>
      </c>
      <c r="Q497" s="3" t="str">
        <f>IFERROR(__xludf.DUMMYFUNCTION("""COMPUTED_VALUE"""),"I")</f>
        <v>I</v>
      </c>
      <c r="R497" s="3" t="str">
        <f>IFERROR(__xludf.DUMMYFUNCTION("""COMPUTED_VALUE"""),"Small Format")</f>
        <v>Small Format</v>
      </c>
      <c r="S497" s="3" t="str">
        <f>IFERROR(__xludf.DUMMYFUNCTION("""COMPUTED_VALUE"""),"BCM")</f>
        <v>BCM</v>
      </c>
      <c r="T497" s="3" t="str">
        <f>IFERROR(__xludf.DUMMYFUNCTION("""COMPUTED_VALUE"""),"#N/A")</f>
        <v>#N/A</v>
      </c>
      <c r="U497" s="3" t="str">
        <f>IFERROR(__xludf.DUMMYFUNCTION("""COMPUTED_VALUE"""),"#N/A")</f>
        <v>#N/A</v>
      </c>
      <c r="V497" s="3" t="str">
        <f>IFERROR(__xludf.DUMMYFUNCTION("""COMPUTED_VALUE"""),"N")</f>
        <v>N</v>
      </c>
      <c r="W497" s="3">
        <f>IFERROR(__xludf.DUMMYFUNCTION("""COMPUTED_VALUE"""),361072.0)</f>
        <v>361072</v>
      </c>
      <c r="X497" s="3" t="str">
        <f>IFERROR(__xludf.DUMMYFUNCTION("""COMPUTED_VALUE"""),"82 หมู่ 10 ตำบลบ้านโข้ง อำเภออู่ทอง จังหวัดสุพรรณบุรี 72160")</f>
        <v>82 หมู่ 10 ตำบลบ้านโข้ง อำเภออู่ทอง จังหวัดสุพรรณบุรี 72160</v>
      </c>
      <c r="Y497" s="3"/>
      <c r="Z497" s="3" t="str">
        <f>IFERROR(__xludf.DUMMYFUNCTION("""COMPUTED_VALUE"""),"บ้านโข้ง")</f>
        <v>บ้านโข้ง</v>
      </c>
      <c r="AA497" s="3" t="str">
        <f>IFERROR(__xludf.DUMMYFUNCTION("""COMPUTED_VALUE"""),"อู่ทอง")</f>
        <v>อู่ทอง</v>
      </c>
      <c r="AB497" s="3" t="str">
        <f>IFERROR(__xludf.DUMMYFUNCTION("""COMPUTED_VALUE"""),"สุพรรณบุรี")</f>
        <v>สุพรรณบุรี</v>
      </c>
      <c r="AC497" s="3">
        <f>IFERROR(__xludf.DUMMYFUNCTION("""COMPUTED_VALUE"""),72160.0)</f>
        <v>72160</v>
      </c>
      <c r="AD497" s="3">
        <f>IFERROR(__xludf.DUMMYFUNCTION("""COMPUTED_VALUE"""),14.555911)</f>
        <v>14.555911</v>
      </c>
      <c r="AE497" s="3">
        <f>IFERROR(__xludf.DUMMYFUNCTION("""COMPUTED_VALUE"""),99.892715)</f>
        <v>99.892715</v>
      </c>
      <c r="AF497" s="3" t="str">
        <f>IFERROR(__xludf.DUMMYFUNCTION("""COMPUTED_VALUE"""),"MBC BCP บ้านโข้ง-21261")</f>
        <v>MBC BCP บ้านโข้ง-21261</v>
      </c>
      <c r="AG497" s="3" t="str">
        <f>IFERROR(__xludf.DUMMYFUNCTION("""COMPUTED_VALUE"""),"กลาง")</f>
        <v>กลาง</v>
      </c>
      <c r="AH497" s="3" t="str">
        <f>IFERROR(__xludf.DUMMYFUNCTION("""COMPUTED_VALUE"""),"#N/A")</f>
        <v>#N/A</v>
      </c>
      <c r="AI497" s="3" t="str">
        <f>IFERROR(__xludf.DUMMYFUNCTION("""COMPUTED_VALUE"""),"Out of warranty")</f>
        <v>Out of warranty</v>
      </c>
      <c r="AJ497" s="3">
        <f>IFERROR(__xludf.DUMMYFUNCTION("""COMPUTED_VALUE"""),147.0)</f>
        <v>147</v>
      </c>
      <c r="AK497" s="3" t="str">
        <f>IFERROR(__xludf.DUMMYFUNCTION("""COMPUTED_VALUE"""),"MMS09")</f>
        <v>MMS09</v>
      </c>
      <c r="AL497" s="3"/>
    </row>
    <row r="498" ht="15.75" customHeight="1">
      <c r="A498" s="1" t="str">
        <f>IFERROR(__xludf.DUMMYFUNCTION("""COMPUTED_VALUE"""),"21262")</f>
        <v>21262</v>
      </c>
      <c r="B498" s="2">
        <f>IFERROR(__xludf.DUMMYFUNCTION("""COMPUTED_VALUE"""),21262.0)</f>
        <v>21262</v>
      </c>
      <c r="C498" s="3" t="str">
        <f>IFERROR(__xludf.DUMMYFUNCTION("""COMPUTED_VALUE"""),"MBC BCP วังยาง")</f>
        <v>MBC BCP วังยาง</v>
      </c>
      <c r="D498" s="3" t="str">
        <f>IFERROR(__xludf.DUMMYFUNCTION("""COMPUTED_VALUE"""),"MBC BCP WANGYANG")</f>
        <v>MBC BCP WANGYANG</v>
      </c>
      <c r="E498" s="1" t="str">
        <f>IFERROR(__xludf.DUMMYFUNCTION("""COMPUTED_VALUE"""),"บิ๊กซี MINI")</f>
        <v>บิ๊กซี MINI</v>
      </c>
      <c r="F498" s="1" t="str">
        <f>IFERROR(__xludf.DUMMYFUNCTION("""COMPUTED_VALUE"""),"296229")</f>
        <v>296229</v>
      </c>
      <c r="G498" s="1" t="str">
        <f>IFERROR(__xludf.DUMMYFUNCTION("""COMPUTED_VALUE"""),"นายทนงศักดิ์ บุญมา")</f>
        <v>นายทนงศักดิ์ บุญมา</v>
      </c>
      <c r="H498" s="1" t="str">
        <f>IFERROR(__xludf.DUMMYFUNCTION("""COMPUTED_VALUE"""),"313033")</f>
        <v>313033</v>
      </c>
      <c r="I498" s="1" t="str">
        <f>IFERROR(__xludf.DUMMYFUNCTION("""COMPUTED_VALUE"""),"นายวันชัย ตรีโอสถ")</f>
        <v>นายวันชัย ตรีโอสถ</v>
      </c>
      <c r="J498" s="3">
        <f>IFERROR(__xludf.DUMMYFUNCTION("""COMPUTED_VALUE"""),46214.0)</f>
        <v>46214</v>
      </c>
      <c r="K498" s="3" t="str">
        <f>IFERROR(__xludf.DUMMYFUNCTION("""COMPUTED_VALUE"""),"นายศักดิ์ชัย เด็ดดอกฟ้า")</f>
        <v>นายศักดิ์ชัย เด็ดดอกฟ้า</v>
      </c>
      <c r="L498" s="1" t="str">
        <f>IFERROR(__xludf.DUMMYFUNCTION("""COMPUTED_VALUE"""),"02 K.Sakchai D")</f>
        <v>02 K.Sakchai D</v>
      </c>
      <c r="M498" s="1" t="str">
        <f>IFERROR(__xludf.DUMMYFUNCTION("""COMPUTED_VALUE"""),"065-510-7376")</f>
        <v>065-510-7376</v>
      </c>
      <c r="N498" s="3">
        <f>IFERROR(__xludf.DUMMYFUNCTION("""COMPUTED_VALUE"""),21441.0)</f>
        <v>21441</v>
      </c>
      <c r="O498" s="3" t="str">
        <f>IFERROR(__xludf.DUMMYFUNCTION("""COMPUTED_VALUE"""),"MBC บ้านกร่าง พิษณุโลก")</f>
        <v>MBC บ้านกร่าง พิษณุโลก</v>
      </c>
      <c r="P498" s="4">
        <f>IFERROR(__xludf.DUMMYFUNCTION("""COMPUTED_VALUE"""),41578.0)</f>
        <v>41578</v>
      </c>
      <c r="Q498" s="3" t="str">
        <f>IFERROR(__xludf.DUMMYFUNCTION("""COMPUTED_VALUE"""),"I")</f>
        <v>I</v>
      </c>
      <c r="R498" s="3" t="str">
        <f>IFERROR(__xludf.DUMMYFUNCTION("""COMPUTED_VALUE"""),"Small Format")</f>
        <v>Small Format</v>
      </c>
      <c r="S498" s="3" t="str">
        <f>IFERROR(__xludf.DUMMYFUNCTION("""COMPUTED_VALUE"""),"BCM")</f>
        <v>BCM</v>
      </c>
      <c r="T498" s="3" t="str">
        <f>IFERROR(__xludf.DUMMYFUNCTION("""COMPUTED_VALUE"""),"#N/A")</f>
        <v>#N/A</v>
      </c>
      <c r="U498" s="3" t="str">
        <f>IFERROR(__xludf.DUMMYFUNCTION("""COMPUTED_VALUE"""),"#N/A")</f>
        <v>#N/A</v>
      </c>
      <c r="V498" s="3" t="str">
        <f>IFERROR(__xludf.DUMMYFUNCTION("""COMPUTED_VALUE"""),"N")</f>
        <v>N</v>
      </c>
      <c r="W498" s="3">
        <f>IFERROR(__xludf.DUMMYFUNCTION("""COMPUTED_VALUE"""),361071.0)</f>
        <v>361071</v>
      </c>
      <c r="X498" s="3" t="str">
        <f>IFERROR(__xludf.DUMMYFUNCTION("""COMPUTED_VALUE"""),"173/1 หมู่ 6 ตำบลวังยาง อำเภอศรีประจันต์ จังหวัดสุพรรณบุรี 72140")</f>
        <v>173/1 หมู่ 6 ตำบลวังยาง อำเภอศรีประจันต์ จังหวัดสุพรรณบุรี 72140</v>
      </c>
      <c r="Y498" s="3"/>
      <c r="Z498" s="3" t="str">
        <f>IFERROR(__xludf.DUMMYFUNCTION("""COMPUTED_VALUE"""),"วังยาง")</f>
        <v>วังยาง</v>
      </c>
      <c r="AA498" s="3" t="str">
        <f>IFERROR(__xludf.DUMMYFUNCTION("""COMPUTED_VALUE"""),"ศรีประจันต์")</f>
        <v>ศรีประจันต์</v>
      </c>
      <c r="AB498" s="3" t="str">
        <f>IFERROR(__xludf.DUMMYFUNCTION("""COMPUTED_VALUE"""),"สุพรรณบุรี")</f>
        <v>สุพรรณบุรี</v>
      </c>
      <c r="AC498" s="3">
        <f>IFERROR(__xludf.DUMMYFUNCTION("""COMPUTED_VALUE"""),72140.0)</f>
        <v>72140</v>
      </c>
      <c r="AD498" s="3">
        <f>IFERROR(__xludf.DUMMYFUNCTION("""COMPUTED_VALUE"""),14.558579)</f>
        <v>14.558579</v>
      </c>
      <c r="AE498" s="3">
        <f>IFERROR(__xludf.DUMMYFUNCTION("""COMPUTED_VALUE"""),100.139988)</f>
        <v>100.139988</v>
      </c>
      <c r="AF498" s="3" t="str">
        <f>IFERROR(__xludf.DUMMYFUNCTION("""COMPUTED_VALUE"""),"MBC BCP วังยาง-21262")</f>
        <v>MBC BCP วังยาง-21262</v>
      </c>
      <c r="AG498" s="3" t="str">
        <f>IFERROR(__xludf.DUMMYFUNCTION("""COMPUTED_VALUE"""),"กลาง")</f>
        <v>กลาง</v>
      </c>
      <c r="AH498" s="3" t="str">
        <f>IFERROR(__xludf.DUMMYFUNCTION("""COMPUTED_VALUE"""),"#N/A")</f>
        <v>#N/A</v>
      </c>
      <c r="AI498" s="3" t="str">
        <f>IFERROR(__xludf.DUMMYFUNCTION("""COMPUTED_VALUE"""),"Out of warranty")</f>
        <v>Out of warranty</v>
      </c>
      <c r="AJ498" s="3">
        <f>IFERROR(__xludf.DUMMYFUNCTION("""COMPUTED_VALUE"""),147.0)</f>
        <v>147</v>
      </c>
      <c r="AK498" s="3"/>
      <c r="AL498" s="3"/>
    </row>
    <row r="499" ht="15.75" customHeight="1">
      <c r="A499" s="1" t="str">
        <f>IFERROR(__xludf.DUMMYFUNCTION("""COMPUTED_VALUE"""),"21263")</f>
        <v>21263</v>
      </c>
      <c r="B499" s="2">
        <f>IFERROR(__xludf.DUMMYFUNCTION("""COMPUTED_VALUE"""),21263.0)</f>
        <v>21263</v>
      </c>
      <c r="C499" s="3" t="str">
        <f>IFERROR(__xludf.DUMMYFUNCTION("""COMPUTED_VALUE"""),"MBC วัดสิงห์")</f>
        <v>MBC วัดสิงห์</v>
      </c>
      <c r="D499" s="3" t="str">
        <f>IFERROR(__xludf.DUMMYFUNCTION("""COMPUTED_VALUE"""),"BCM WAT SING")</f>
        <v>BCM WAT SING</v>
      </c>
      <c r="E499" s="1" t="str">
        <f>IFERROR(__xludf.DUMMYFUNCTION("""COMPUTED_VALUE"""),"บิ๊กซี MINI")</f>
        <v>บิ๊กซี MINI</v>
      </c>
      <c r="F499" s="1" t="str">
        <f>IFERROR(__xludf.DUMMYFUNCTION("""COMPUTED_VALUE"""),"296229")</f>
        <v>296229</v>
      </c>
      <c r="G499" s="1" t="str">
        <f>IFERROR(__xludf.DUMMYFUNCTION("""COMPUTED_VALUE"""),"นายทนงศักดิ์ บุญมา")</f>
        <v>นายทนงศักดิ์ บุญมา</v>
      </c>
      <c r="H499" s="1" t="str">
        <f>IFERROR(__xludf.DUMMYFUNCTION("""COMPUTED_VALUE"""),"318186")</f>
        <v>318186</v>
      </c>
      <c r="I499" s="1" t="str">
        <f>IFERROR(__xludf.DUMMYFUNCTION("""COMPUTED_VALUE"""),"น.ส.พนมวัลย์ เรืองรัตน์")</f>
        <v>น.ส.พนมวัลย์ เรืองรัตน์</v>
      </c>
      <c r="J499" s="3">
        <f>IFERROR(__xludf.DUMMYFUNCTION("""COMPUTED_VALUE"""),46214.0)</f>
        <v>46214</v>
      </c>
      <c r="K499" s="3" t="str">
        <f>IFERROR(__xludf.DUMMYFUNCTION("""COMPUTED_VALUE"""),"นายศักดิ์ชัย เด็ดดอกฟ้า")</f>
        <v>นายศักดิ์ชัย เด็ดดอกฟ้า</v>
      </c>
      <c r="L499" s="1" t="str">
        <f>IFERROR(__xludf.DUMMYFUNCTION("""COMPUTED_VALUE"""),"02 K.Sakchai D")</f>
        <v>02 K.Sakchai D</v>
      </c>
      <c r="M499" s="1" t="str">
        <f>IFERROR(__xludf.DUMMYFUNCTION("""COMPUTED_VALUE"""),"065-510-7376")</f>
        <v>065-510-7376</v>
      </c>
      <c r="N499" s="3">
        <f>IFERROR(__xludf.DUMMYFUNCTION("""COMPUTED_VALUE"""),21714.0)</f>
        <v>21714</v>
      </c>
      <c r="O499" s="3" t="str">
        <f>IFERROR(__xludf.DUMMYFUNCTION("""COMPUTED_VALUE"""),"MBC เอสโซ่ วัดโบสถ์")</f>
        <v>MBC เอสโซ่ วัดโบสถ์</v>
      </c>
      <c r="P499" s="4">
        <f>IFERROR(__xludf.DUMMYFUNCTION("""COMPUTED_VALUE"""),41582.0)</f>
        <v>41582</v>
      </c>
      <c r="Q499" s="3" t="str">
        <f>IFERROR(__xludf.DUMMYFUNCTION("""COMPUTED_VALUE"""),"A")</f>
        <v>A</v>
      </c>
      <c r="R499" s="3" t="str">
        <f>IFERROR(__xludf.DUMMYFUNCTION("""COMPUTED_VALUE"""),"Small Format")</f>
        <v>Small Format</v>
      </c>
      <c r="S499" s="3" t="str">
        <f>IFERROR(__xludf.DUMMYFUNCTION("""COMPUTED_VALUE"""),"BCM")</f>
        <v>BCM</v>
      </c>
      <c r="T499" s="3" t="str">
        <f>IFERROR(__xludf.DUMMYFUNCTION("""COMPUTED_VALUE"""),"#N/A")</f>
        <v>#N/A</v>
      </c>
      <c r="U499" s="3" t="str">
        <f>IFERROR(__xludf.DUMMYFUNCTION("""COMPUTED_VALUE"""),"#N/A")</f>
        <v>#N/A</v>
      </c>
      <c r="V499" s="3" t="str">
        <f>IFERROR(__xludf.DUMMYFUNCTION("""COMPUTED_VALUE"""),"N")</f>
        <v>N</v>
      </c>
      <c r="W499" s="3">
        <f>IFERROR(__xludf.DUMMYFUNCTION("""COMPUTED_VALUE"""),211257.0)</f>
        <v>211257</v>
      </c>
      <c r="X499" s="3" t="str">
        <f>IFERROR(__xludf.DUMMYFUNCTION("""COMPUTED_VALUE"""),"11/33 ถนนจวนวิไล ตำบลวัดสิงห์ อำเภอวัดสิงห์ จังหวัดชัยนาท 17120")</f>
        <v>11/33 ถนนจวนวิไล ตำบลวัดสิงห์ อำเภอวัดสิงห์ จังหวัดชัยนาท 17120</v>
      </c>
      <c r="Y499" s="3" t="str">
        <f>IFERROR(__xludf.DUMMYFUNCTION("""COMPUTED_VALUE"""),"ถนนจวนวิไล")</f>
        <v>ถนนจวนวิไล</v>
      </c>
      <c r="Z499" s="3" t="str">
        <f>IFERROR(__xludf.DUMMYFUNCTION("""COMPUTED_VALUE"""),"วัดสิงห์")</f>
        <v>วัดสิงห์</v>
      </c>
      <c r="AA499" s="3" t="str">
        <f>IFERROR(__xludf.DUMMYFUNCTION("""COMPUTED_VALUE"""),"วัดสิงห์")</f>
        <v>วัดสิงห์</v>
      </c>
      <c r="AB499" s="3" t="str">
        <f>IFERROR(__xludf.DUMMYFUNCTION("""COMPUTED_VALUE"""),"ชัยนาท")</f>
        <v>ชัยนาท</v>
      </c>
      <c r="AC499" s="3">
        <f>IFERROR(__xludf.DUMMYFUNCTION("""COMPUTED_VALUE"""),17120.0)</f>
        <v>17120</v>
      </c>
      <c r="AD499" s="3">
        <f>IFERROR(__xludf.DUMMYFUNCTION("""COMPUTED_VALUE"""),15.261938)</f>
        <v>15.261938</v>
      </c>
      <c r="AE499" s="3">
        <f>IFERROR(__xludf.DUMMYFUNCTION("""COMPUTED_VALUE"""),100.039025)</f>
        <v>100.039025</v>
      </c>
      <c r="AF499" s="3" t="str">
        <f>IFERROR(__xludf.DUMMYFUNCTION("""COMPUTED_VALUE"""),"MBC วัดสิงห์-21263")</f>
        <v>MBC วัดสิงห์-21263</v>
      </c>
      <c r="AG499" s="3" t="str">
        <f>IFERROR(__xludf.DUMMYFUNCTION("""COMPUTED_VALUE"""),"กลาง")</f>
        <v>กลาง</v>
      </c>
      <c r="AH499" s="3" t="str">
        <f>IFERROR(__xludf.DUMMYFUNCTION("""COMPUTED_VALUE"""),"#N/A")</f>
        <v>#N/A</v>
      </c>
      <c r="AI499" s="3" t="str">
        <f>IFERROR(__xludf.DUMMYFUNCTION("""COMPUTED_VALUE"""),"Out of warranty")</f>
        <v>Out of warranty</v>
      </c>
      <c r="AJ499" s="3">
        <f>IFERROR(__xludf.DUMMYFUNCTION("""COMPUTED_VALUE"""),147.0)</f>
        <v>147</v>
      </c>
      <c r="AK499" s="3" t="str">
        <f>IFERROR(__xludf.DUMMYFUNCTION("""COMPUTED_VALUE"""),"MMS09")</f>
        <v>MMS09</v>
      </c>
      <c r="AL499" s="3"/>
    </row>
    <row r="500" ht="15.75" customHeight="1">
      <c r="A500" s="1" t="str">
        <f>IFERROR(__xludf.DUMMYFUNCTION("""COMPUTED_VALUE"""),"21264")</f>
        <v>21264</v>
      </c>
      <c r="B500" s="2">
        <f>IFERROR(__xludf.DUMMYFUNCTION("""COMPUTED_VALUE"""),21264.0)</f>
        <v>21264</v>
      </c>
      <c r="C500" s="3" t="str">
        <f>IFERROR(__xludf.DUMMYFUNCTION("""COMPUTED_VALUE"""),"MBC วัดสุทธาวาส")</f>
        <v>MBC วัดสุทธาวาส</v>
      </c>
      <c r="D500" s="3" t="str">
        <f>IFERROR(__xludf.DUMMYFUNCTION("""COMPUTED_VALUE"""),"BCM WAT SUDDHAVASA")</f>
        <v>BCM WAT SUDDHAVASA</v>
      </c>
      <c r="E500" s="1" t="str">
        <f>IFERROR(__xludf.DUMMYFUNCTION("""COMPUTED_VALUE"""),"บิ๊กซี MINI")</f>
        <v>บิ๊กซี MINI</v>
      </c>
      <c r="F500" s="1" t="str">
        <f>IFERROR(__xludf.DUMMYFUNCTION("""COMPUTED_VALUE"""),"221716")</f>
        <v>221716</v>
      </c>
      <c r="G500" s="1" t="str">
        <f>IFERROR(__xludf.DUMMYFUNCTION("""COMPUTED_VALUE"""),"น.ส.เบญจพร โพธิสาร")</f>
        <v>น.ส.เบญจพร โพธิสาร</v>
      </c>
      <c r="H500" s="1" t="str">
        <f>IFERROR(__xludf.DUMMYFUNCTION("""COMPUTED_VALUE"""),"291061")</f>
        <v>291061</v>
      </c>
      <c r="I500" s="1" t="str">
        <f>IFERROR(__xludf.DUMMYFUNCTION("""COMPUTED_VALUE"""),"นายสมศักดิ์ เสียงก้อง")</f>
        <v>นายสมศักดิ์ เสียงก้อง</v>
      </c>
      <c r="J500" s="3">
        <f>IFERROR(__xludf.DUMMYFUNCTION("""COMPUTED_VALUE"""),3510104.0)</f>
        <v>3510104</v>
      </c>
      <c r="K500" s="3" t="str">
        <f>IFERROR(__xludf.DUMMYFUNCTION("""COMPUTED_VALUE"""),"นายวิโรจน์ อับดุลสมัด")</f>
        <v>นายวิโรจน์ อับดุลสมัด</v>
      </c>
      <c r="L500" s="1" t="str">
        <f>IFERROR(__xludf.DUMMYFUNCTION("""COMPUTED_VALUE"""),"09 K.Wirode A")</f>
        <v>09 K.Wirode A</v>
      </c>
      <c r="M500" s="1" t="str">
        <f>IFERROR(__xludf.DUMMYFUNCTION("""COMPUTED_VALUE"""),"080-235-4465")</f>
        <v>080-235-4465</v>
      </c>
      <c r="N500" s="3">
        <f>IFERROR(__xludf.DUMMYFUNCTION("""COMPUTED_VALUE"""),21324.0)</f>
        <v>21324</v>
      </c>
      <c r="O500" s="3" t="str">
        <f>IFERROR(__xludf.DUMMYFUNCTION("""COMPUTED_VALUE"""),"MBC BCP สุวินทวงศ์")</f>
        <v>MBC BCP สุวินทวงศ์</v>
      </c>
      <c r="P500" s="4">
        <f>IFERROR(__xludf.DUMMYFUNCTION("""COMPUTED_VALUE"""),41583.0)</f>
        <v>41583</v>
      </c>
      <c r="Q500" s="3" t="str">
        <f>IFERROR(__xludf.DUMMYFUNCTION("""COMPUTED_VALUE"""),"I")</f>
        <v>I</v>
      </c>
      <c r="R500" s="3" t="str">
        <f>IFERROR(__xludf.DUMMYFUNCTION("""COMPUTED_VALUE"""),"Small Format")</f>
        <v>Small Format</v>
      </c>
      <c r="S500" s="3" t="str">
        <f>IFERROR(__xludf.DUMMYFUNCTION("""COMPUTED_VALUE"""),"BCM")</f>
        <v>BCM</v>
      </c>
      <c r="T500" s="3" t="str">
        <f>IFERROR(__xludf.DUMMYFUNCTION("""COMPUTED_VALUE"""),"#N/A")</f>
        <v>#N/A</v>
      </c>
      <c r="U500" s="3" t="str">
        <f>IFERROR(__xludf.DUMMYFUNCTION("""COMPUTED_VALUE"""),"#N/A")</f>
        <v>#N/A</v>
      </c>
      <c r="V500" s="3" t="str">
        <f>IFERROR(__xludf.DUMMYFUNCTION("""COMPUTED_VALUE"""),"N")</f>
        <v>N</v>
      </c>
      <c r="W500" s="3">
        <f>IFERROR(__xludf.DUMMYFUNCTION("""COMPUTED_VALUE"""),211261.0)</f>
        <v>211261</v>
      </c>
      <c r="X500" s="3" t="str">
        <f>IFERROR(__xludf.DUMMYFUNCTION("""COMPUTED_VALUE"""),"10 หมู่ 7 ตำบลหนองปรือ อำเภอบางละมุง จังหวัดชลบุรี 20150")</f>
        <v>10 หมู่ 7 ตำบลหนองปรือ อำเภอบางละมุง จังหวัดชลบุรี 20150</v>
      </c>
      <c r="Y500" s="3"/>
      <c r="Z500" s="3" t="str">
        <f>IFERROR(__xludf.DUMMYFUNCTION("""COMPUTED_VALUE"""),"หนองปรือ")</f>
        <v>หนองปรือ</v>
      </c>
      <c r="AA500" s="3" t="str">
        <f>IFERROR(__xludf.DUMMYFUNCTION("""COMPUTED_VALUE"""),"บางละมุง")</f>
        <v>บางละมุง</v>
      </c>
      <c r="AB500" s="3" t="str">
        <f>IFERROR(__xludf.DUMMYFUNCTION("""COMPUTED_VALUE"""),"ชลบุรี")</f>
        <v>ชลบุรี</v>
      </c>
      <c r="AC500" s="3">
        <f>IFERROR(__xludf.DUMMYFUNCTION("""COMPUTED_VALUE"""),20150.0)</f>
        <v>20150</v>
      </c>
      <c r="AD500" s="3">
        <f>IFERROR(__xludf.DUMMYFUNCTION("""COMPUTED_VALUE"""),12.926457)</f>
        <v>12.926457</v>
      </c>
      <c r="AE500" s="3">
        <f>IFERROR(__xludf.DUMMYFUNCTION("""COMPUTED_VALUE"""),100.936052)</f>
        <v>100.936052</v>
      </c>
      <c r="AF500" s="3" t="str">
        <f>IFERROR(__xludf.DUMMYFUNCTION("""COMPUTED_VALUE"""),"MBC วัดสุทธาวาส-21264")</f>
        <v>MBC วัดสุทธาวาส-21264</v>
      </c>
      <c r="AG500" s="3" t="str">
        <f>IFERROR(__xludf.DUMMYFUNCTION("""COMPUTED_VALUE"""),"ตะวันออก")</f>
        <v>ตะวันออก</v>
      </c>
      <c r="AH500" s="3" t="str">
        <f>IFERROR(__xludf.DUMMYFUNCTION("""COMPUTED_VALUE"""),"#N/A")</f>
        <v>#N/A</v>
      </c>
      <c r="AI500" s="3" t="str">
        <f>IFERROR(__xludf.DUMMYFUNCTION("""COMPUTED_VALUE"""),"Out of warranty")</f>
        <v>Out of warranty</v>
      </c>
      <c r="AJ500" s="3">
        <f>IFERROR(__xludf.DUMMYFUNCTION("""COMPUTED_VALUE"""),147.0)</f>
        <v>147</v>
      </c>
      <c r="AK500" s="3" t="str">
        <f>IFERROR(__xludf.DUMMYFUNCTION("""COMPUTED_VALUE"""),"MMS06")</f>
        <v>MMS06</v>
      </c>
      <c r="AL500" s="3"/>
    </row>
    <row r="501" ht="15.75" customHeight="1">
      <c r="A501" s="1" t="str">
        <f>IFERROR(__xludf.DUMMYFUNCTION("""COMPUTED_VALUE"""),"21265")</f>
        <v>21265</v>
      </c>
      <c r="B501" s="2">
        <f>IFERROR(__xludf.DUMMYFUNCTION("""COMPUTED_VALUE"""),21265.0)</f>
        <v>21265</v>
      </c>
      <c r="C501" s="3" t="str">
        <f>IFERROR(__xludf.DUMMYFUNCTION("""COMPUTED_VALUE"""),"MBC ซอยอัลลายน์")</f>
        <v>MBC ซอยอัลลายน์</v>
      </c>
      <c r="D501" s="3" t="str">
        <f>IFERROR(__xludf.DUMMYFUNCTION("""COMPUTED_VALUE"""),"BCM SOI ALLIE")</f>
        <v>BCM SOI ALLIE</v>
      </c>
      <c r="E501" s="1" t="str">
        <f>IFERROR(__xludf.DUMMYFUNCTION("""COMPUTED_VALUE"""),"บิ๊กซี MINI")</f>
        <v>บิ๊กซี MINI</v>
      </c>
      <c r="F501" s="1" t="str">
        <f>IFERROR(__xludf.DUMMYFUNCTION("""COMPUTED_VALUE"""),"221716")</f>
        <v>221716</v>
      </c>
      <c r="G501" s="1" t="str">
        <f>IFERROR(__xludf.DUMMYFUNCTION("""COMPUTED_VALUE"""),"น.ส.เบญจพร โพธิสาร")</f>
        <v>น.ส.เบญจพร โพธิสาร</v>
      </c>
      <c r="H501" s="1" t="str">
        <f>IFERROR(__xludf.DUMMYFUNCTION("""COMPUTED_VALUE"""),"376139")</f>
        <v>376139</v>
      </c>
      <c r="I501" s="1" t="str">
        <f>IFERROR(__xludf.DUMMYFUNCTION("""COMPUTED_VALUE"""),"นายอนุชา อำไพ")</f>
        <v>นายอนุชา อำไพ</v>
      </c>
      <c r="J501" s="3">
        <f>IFERROR(__xludf.DUMMYFUNCTION("""COMPUTED_VALUE"""),296942.0)</f>
        <v>296942</v>
      </c>
      <c r="K501" s="3" t="str">
        <f>IFERROR(__xludf.DUMMYFUNCTION("""COMPUTED_VALUE"""),"นายปิยะ รักษากิจ")</f>
        <v>นายปิยะ รักษากิจ</v>
      </c>
      <c r="L501" s="1" t="str">
        <f>IFERROR(__xludf.DUMMYFUNCTION("""COMPUTED_VALUE"""),"07 K.Piya R.")</f>
        <v>07 K.Piya R.</v>
      </c>
      <c r="M501" s="1" t="str">
        <f>IFERROR(__xludf.DUMMYFUNCTION("""COMPUTED_VALUE"""),"097-919-5476")</f>
        <v>097-919-5476</v>
      </c>
      <c r="N501" s="3">
        <f>IFERROR(__xludf.DUMMYFUNCTION("""COMPUTED_VALUE"""),21332.0)</f>
        <v>21332</v>
      </c>
      <c r="O501" s="3" t="str">
        <f>IFERROR(__xludf.DUMMYFUNCTION("""COMPUTED_VALUE"""),"MBC BCP อ่อนนุช 17/1")</f>
        <v>MBC BCP อ่อนนุช 17/1</v>
      </c>
      <c r="P501" s="4">
        <f>IFERROR(__xludf.DUMMYFUNCTION("""COMPUTED_VALUE"""),41584.0)</f>
        <v>41584</v>
      </c>
      <c r="Q501" s="3" t="str">
        <f>IFERROR(__xludf.DUMMYFUNCTION("""COMPUTED_VALUE"""),"A")</f>
        <v>A</v>
      </c>
      <c r="R501" s="3" t="str">
        <f>IFERROR(__xludf.DUMMYFUNCTION("""COMPUTED_VALUE"""),"Small Format")</f>
        <v>Small Format</v>
      </c>
      <c r="S501" s="3" t="str">
        <f>IFERROR(__xludf.DUMMYFUNCTION("""COMPUTED_VALUE"""),"BCM")</f>
        <v>BCM</v>
      </c>
      <c r="T501" s="3" t="str">
        <f>IFERROR(__xludf.DUMMYFUNCTION("""COMPUTED_VALUE"""),"#N/A")</f>
        <v>#N/A</v>
      </c>
      <c r="U501" s="3" t="str">
        <f>IFERROR(__xludf.DUMMYFUNCTION("""COMPUTED_VALUE"""),"#N/A")</f>
        <v>#N/A</v>
      </c>
      <c r="V501" s="3" t="str">
        <f>IFERROR(__xludf.DUMMYFUNCTION("""COMPUTED_VALUE"""),"N")</f>
        <v>N</v>
      </c>
      <c r="W501" s="3">
        <f>IFERROR(__xludf.DUMMYFUNCTION("""COMPUTED_VALUE"""),211288.0)</f>
        <v>211288</v>
      </c>
      <c r="X501" s="3" t="str">
        <f>IFERROR(__xludf.DUMMYFUNCTION("""COMPUTED_VALUE"""),"269/144 หมู่ 6 ตำบลบ่อวิน อำเภอศรีราชา จังหวัดชลบุรี 20230")</f>
        <v>269/144 หมู่ 6 ตำบลบ่อวิน อำเภอศรีราชา จังหวัดชลบุรี 20230</v>
      </c>
      <c r="Y501" s="3"/>
      <c r="Z501" s="3" t="str">
        <f>IFERROR(__xludf.DUMMYFUNCTION("""COMPUTED_VALUE"""),"บ่อวิน")</f>
        <v>บ่อวิน</v>
      </c>
      <c r="AA501" s="3" t="str">
        <f>IFERROR(__xludf.DUMMYFUNCTION("""COMPUTED_VALUE"""),"ศรีราชา")</f>
        <v>ศรีราชา</v>
      </c>
      <c r="AB501" s="3" t="str">
        <f>IFERROR(__xludf.DUMMYFUNCTION("""COMPUTED_VALUE"""),"ชลบุรี")</f>
        <v>ชลบุรี</v>
      </c>
      <c r="AC501" s="3">
        <f>IFERROR(__xludf.DUMMYFUNCTION("""COMPUTED_VALUE"""),20230.0)</f>
        <v>20230</v>
      </c>
      <c r="AD501" s="3">
        <f>IFERROR(__xludf.DUMMYFUNCTION("""COMPUTED_VALUE"""),13.063927)</f>
        <v>13.063927</v>
      </c>
      <c r="AE501" s="3">
        <f>IFERROR(__xludf.DUMMYFUNCTION("""COMPUTED_VALUE"""),101.086958)</f>
        <v>101.086958</v>
      </c>
      <c r="AF501" s="3" t="str">
        <f>IFERROR(__xludf.DUMMYFUNCTION("""COMPUTED_VALUE"""),"MBC ซอยอัลลายน์-21265")</f>
        <v>MBC ซอยอัลลายน์-21265</v>
      </c>
      <c r="AG501" s="3" t="str">
        <f>IFERROR(__xludf.DUMMYFUNCTION("""COMPUTED_VALUE"""),"ตะวันออก")</f>
        <v>ตะวันออก</v>
      </c>
      <c r="AH501" s="3" t="str">
        <f>IFERROR(__xludf.DUMMYFUNCTION("""COMPUTED_VALUE"""),"#N/A")</f>
        <v>#N/A</v>
      </c>
      <c r="AI501" s="3" t="str">
        <f>IFERROR(__xludf.DUMMYFUNCTION("""COMPUTED_VALUE"""),"Out of warranty")</f>
        <v>Out of warranty</v>
      </c>
      <c r="AJ501" s="3">
        <f>IFERROR(__xludf.DUMMYFUNCTION("""COMPUTED_VALUE"""),147.0)</f>
        <v>147</v>
      </c>
      <c r="AK501" s="3" t="str">
        <f>IFERROR(__xludf.DUMMYFUNCTION("""COMPUTED_VALUE"""),"MMS07")</f>
        <v>MMS07</v>
      </c>
      <c r="AL501" s="3"/>
    </row>
    <row r="502" ht="15.75" customHeight="1">
      <c r="A502" s="1" t="str">
        <f>IFERROR(__xludf.DUMMYFUNCTION("""COMPUTED_VALUE"""),"21266")</f>
        <v>21266</v>
      </c>
      <c r="B502" s="2">
        <f>IFERROR(__xludf.DUMMYFUNCTION("""COMPUTED_VALUE"""),21266.0)</f>
        <v>21266</v>
      </c>
      <c r="C502" s="3" t="str">
        <f>IFERROR(__xludf.DUMMYFUNCTION("""COMPUTED_VALUE"""),"MBC สรรพยา")</f>
        <v>MBC สรรพยา</v>
      </c>
      <c r="D502" s="3" t="str">
        <f>IFERROR(__xludf.DUMMYFUNCTION("""COMPUTED_VALUE"""),"BCM SAPPHAYA")</f>
        <v>BCM SAPPHAYA</v>
      </c>
      <c r="E502" s="1" t="str">
        <f>IFERROR(__xludf.DUMMYFUNCTION("""COMPUTED_VALUE"""),"บิ๊กซี MINI")</f>
        <v>บิ๊กซี MINI</v>
      </c>
      <c r="F502" s="1" t="str">
        <f>IFERROR(__xludf.DUMMYFUNCTION("""COMPUTED_VALUE"""),"296229")</f>
        <v>296229</v>
      </c>
      <c r="G502" s="1" t="str">
        <f>IFERROR(__xludf.DUMMYFUNCTION("""COMPUTED_VALUE"""),"นายทนงศักดิ์ บุญมา")</f>
        <v>นายทนงศักดิ์ บุญมา</v>
      </c>
      <c r="H502" s="1" t="str">
        <f>IFERROR(__xludf.DUMMYFUNCTION("""COMPUTED_VALUE"""),"318186")</f>
        <v>318186</v>
      </c>
      <c r="I502" s="1" t="str">
        <f>IFERROR(__xludf.DUMMYFUNCTION("""COMPUTED_VALUE"""),"น.ส.พนมวัลย์ เรืองรัตน์")</f>
        <v>น.ส.พนมวัลย์ เรืองรัตน์</v>
      </c>
      <c r="J502" s="3">
        <f>IFERROR(__xludf.DUMMYFUNCTION("""COMPUTED_VALUE"""),46214.0)</f>
        <v>46214</v>
      </c>
      <c r="K502" s="3" t="str">
        <f>IFERROR(__xludf.DUMMYFUNCTION("""COMPUTED_VALUE"""),"นายศักดิ์ชัย เด็ดดอกฟ้า")</f>
        <v>นายศักดิ์ชัย เด็ดดอกฟ้า</v>
      </c>
      <c r="L502" s="1" t="str">
        <f>IFERROR(__xludf.DUMMYFUNCTION("""COMPUTED_VALUE"""),"02 K.Sakchai D")</f>
        <v>02 K.Sakchai D</v>
      </c>
      <c r="M502" s="1" t="str">
        <f>IFERROR(__xludf.DUMMYFUNCTION("""COMPUTED_VALUE"""),"065-510-7376")</f>
        <v>065-510-7376</v>
      </c>
      <c r="N502" s="3">
        <f>IFERROR(__xludf.DUMMYFUNCTION("""COMPUTED_VALUE"""),21714.0)</f>
        <v>21714</v>
      </c>
      <c r="O502" s="3" t="str">
        <f>IFERROR(__xludf.DUMMYFUNCTION("""COMPUTED_VALUE"""),"MBC เอสโซ่ วัดโบสถ์")</f>
        <v>MBC เอสโซ่ วัดโบสถ์</v>
      </c>
      <c r="P502" s="4">
        <f>IFERROR(__xludf.DUMMYFUNCTION("""COMPUTED_VALUE"""),41591.0)</f>
        <v>41591</v>
      </c>
      <c r="Q502" s="3" t="str">
        <f>IFERROR(__xludf.DUMMYFUNCTION("""COMPUTED_VALUE"""),"A")</f>
        <v>A</v>
      </c>
      <c r="R502" s="3" t="str">
        <f>IFERROR(__xludf.DUMMYFUNCTION("""COMPUTED_VALUE"""),"Small Format")</f>
        <v>Small Format</v>
      </c>
      <c r="S502" s="3" t="str">
        <f>IFERROR(__xludf.DUMMYFUNCTION("""COMPUTED_VALUE"""),"BCM")</f>
        <v>BCM</v>
      </c>
      <c r="T502" s="3" t="str">
        <f>IFERROR(__xludf.DUMMYFUNCTION("""COMPUTED_VALUE"""),"#N/A")</f>
        <v>#N/A</v>
      </c>
      <c r="U502" s="3" t="str">
        <f>IFERROR(__xludf.DUMMYFUNCTION("""COMPUTED_VALUE"""),"#N/A")</f>
        <v>#N/A</v>
      </c>
      <c r="V502" s="3" t="str">
        <f>IFERROR(__xludf.DUMMYFUNCTION("""COMPUTED_VALUE"""),"N")</f>
        <v>N</v>
      </c>
      <c r="W502" s="3">
        <f>IFERROR(__xludf.DUMMYFUNCTION("""COMPUTED_VALUE"""),211258.0)</f>
        <v>211258</v>
      </c>
      <c r="X502" s="3" t="str">
        <f>IFERROR(__xludf.DUMMYFUNCTION("""COMPUTED_VALUE"""),"365 หมู่ 4 ตำบลสรรพยา อำเภอสรรพยา จังหวัดชัยนาท 17150")</f>
        <v>365 หมู่ 4 ตำบลสรรพยา อำเภอสรรพยา จังหวัดชัยนาท 17150</v>
      </c>
      <c r="Y502" s="3"/>
      <c r="Z502" s="3" t="str">
        <f>IFERROR(__xludf.DUMMYFUNCTION("""COMPUTED_VALUE"""),"สรรพยา")</f>
        <v>สรรพยา</v>
      </c>
      <c r="AA502" s="3" t="str">
        <f>IFERROR(__xludf.DUMMYFUNCTION("""COMPUTED_VALUE"""),"สรรพยา")</f>
        <v>สรรพยา</v>
      </c>
      <c r="AB502" s="3" t="str">
        <f>IFERROR(__xludf.DUMMYFUNCTION("""COMPUTED_VALUE"""),"ชัยนาท")</f>
        <v>ชัยนาท</v>
      </c>
      <c r="AC502" s="3">
        <f>IFERROR(__xludf.DUMMYFUNCTION("""COMPUTED_VALUE"""),17150.0)</f>
        <v>17150</v>
      </c>
      <c r="AD502" s="3">
        <f>IFERROR(__xludf.DUMMYFUNCTION("""COMPUTED_VALUE"""),15.138592)</f>
        <v>15.138592</v>
      </c>
      <c r="AE502" s="3">
        <f>IFERROR(__xludf.DUMMYFUNCTION("""COMPUTED_VALUE"""),100.244427)</f>
        <v>100.244427</v>
      </c>
      <c r="AF502" s="3" t="str">
        <f>IFERROR(__xludf.DUMMYFUNCTION("""COMPUTED_VALUE"""),"MBC สรรพยา-21266")</f>
        <v>MBC สรรพยา-21266</v>
      </c>
      <c r="AG502" s="3" t="str">
        <f>IFERROR(__xludf.DUMMYFUNCTION("""COMPUTED_VALUE"""),"กลาง")</f>
        <v>กลาง</v>
      </c>
      <c r="AH502" s="3" t="str">
        <f>IFERROR(__xludf.DUMMYFUNCTION("""COMPUTED_VALUE"""),"#N/A")</f>
        <v>#N/A</v>
      </c>
      <c r="AI502" s="3" t="str">
        <f>IFERROR(__xludf.DUMMYFUNCTION("""COMPUTED_VALUE"""),"Out of warranty")</f>
        <v>Out of warranty</v>
      </c>
      <c r="AJ502" s="3">
        <f>IFERROR(__xludf.DUMMYFUNCTION("""COMPUTED_VALUE"""),147.0)</f>
        <v>147</v>
      </c>
      <c r="AK502" s="3" t="str">
        <f>IFERROR(__xludf.DUMMYFUNCTION("""COMPUTED_VALUE"""),"MMS09")</f>
        <v>MMS09</v>
      </c>
      <c r="AL502" s="3"/>
    </row>
    <row r="503" ht="15.75" customHeight="1">
      <c r="A503" s="1" t="str">
        <f>IFERROR(__xludf.DUMMYFUNCTION("""COMPUTED_VALUE"""),"21267")</f>
        <v>21267</v>
      </c>
      <c r="B503" s="2">
        <f>IFERROR(__xludf.DUMMYFUNCTION("""COMPUTED_VALUE"""),21267.0)</f>
        <v>21267</v>
      </c>
      <c r="C503" s="3" t="str">
        <f>IFERROR(__xludf.DUMMYFUNCTION("""COMPUTED_VALUE"""),"MBC บ่อทอง-ชลบุรี")</f>
        <v>MBC บ่อทอง-ชลบุรี</v>
      </c>
      <c r="D503" s="3" t="str">
        <f>IFERROR(__xludf.DUMMYFUNCTION("""COMPUTED_VALUE"""),"BCM BORTHONG-CHONBURI")</f>
        <v>BCM BORTHONG-CHONBURI</v>
      </c>
      <c r="E503" s="1" t="str">
        <f>IFERROR(__xludf.DUMMYFUNCTION("""COMPUTED_VALUE"""),"บิ๊กซี MINI")</f>
        <v>บิ๊กซี MINI</v>
      </c>
      <c r="F503" s="1" t="str">
        <f>IFERROR(__xludf.DUMMYFUNCTION("""COMPUTED_VALUE"""),"221716")</f>
        <v>221716</v>
      </c>
      <c r="G503" s="1" t="str">
        <f>IFERROR(__xludf.DUMMYFUNCTION("""COMPUTED_VALUE"""),"น.ส.เบญจพร โพธิสาร")</f>
        <v>น.ส.เบญจพร โพธิสาร</v>
      </c>
      <c r="H503" s="1" t="str">
        <f>IFERROR(__xludf.DUMMYFUNCTION("""COMPUTED_VALUE"""),"2452265")</f>
        <v>2452265</v>
      </c>
      <c r="I503" s="1" t="str">
        <f>IFERROR(__xludf.DUMMYFUNCTION("""COMPUTED_VALUE"""),"นายพิทยา จันทร์ประเทศ")</f>
        <v>นายพิทยา จันทร์ประเทศ</v>
      </c>
      <c r="J503" s="3">
        <f>IFERROR(__xludf.DUMMYFUNCTION("""COMPUTED_VALUE"""),296942.0)</f>
        <v>296942</v>
      </c>
      <c r="K503" s="3" t="str">
        <f>IFERROR(__xludf.DUMMYFUNCTION("""COMPUTED_VALUE"""),"นายปิยะ รักษากิจ")</f>
        <v>นายปิยะ รักษากิจ</v>
      </c>
      <c r="L503" s="1" t="str">
        <f>IFERROR(__xludf.DUMMYFUNCTION("""COMPUTED_VALUE"""),"07 K.Piya R.")</f>
        <v>07 K.Piya R.</v>
      </c>
      <c r="M503" s="1" t="str">
        <f>IFERROR(__xludf.DUMMYFUNCTION("""COMPUTED_VALUE"""),"097-919-5476")</f>
        <v>097-919-5476</v>
      </c>
      <c r="N503" s="3">
        <f>IFERROR(__xludf.DUMMYFUNCTION("""COMPUTED_VALUE"""),21332.0)</f>
        <v>21332</v>
      </c>
      <c r="O503" s="3" t="str">
        <f>IFERROR(__xludf.DUMMYFUNCTION("""COMPUTED_VALUE"""),"MBC BCP อ่อนนุช 17/1")</f>
        <v>MBC BCP อ่อนนุช 17/1</v>
      </c>
      <c r="P503" s="4">
        <f>IFERROR(__xludf.DUMMYFUNCTION("""COMPUTED_VALUE"""),41592.0)</f>
        <v>41592</v>
      </c>
      <c r="Q503" s="3" t="str">
        <f>IFERROR(__xludf.DUMMYFUNCTION("""COMPUTED_VALUE"""),"A")</f>
        <v>A</v>
      </c>
      <c r="R503" s="3" t="str">
        <f>IFERROR(__xludf.DUMMYFUNCTION("""COMPUTED_VALUE"""),"Small Format")</f>
        <v>Small Format</v>
      </c>
      <c r="S503" s="3" t="str">
        <f>IFERROR(__xludf.DUMMYFUNCTION("""COMPUTED_VALUE"""),"BCM")</f>
        <v>BCM</v>
      </c>
      <c r="T503" s="3" t="str">
        <f>IFERROR(__xludf.DUMMYFUNCTION("""COMPUTED_VALUE"""),"#N/A")</f>
        <v>#N/A</v>
      </c>
      <c r="U503" s="3" t="str">
        <f>IFERROR(__xludf.DUMMYFUNCTION("""COMPUTED_VALUE"""),"#N/A")</f>
        <v>#N/A</v>
      </c>
      <c r="V503" s="3" t="str">
        <f>IFERROR(__xludf.DUMMYFUNCTION("""COMPUTED_VALUE"""),"N")</f>
        <v>N</v>
      </c>
      <c r="W503" s="3">
        <f>IFERROR(__xludf.DUMMYFUNCTION("""COMPUTED_VALUE"""),211224.0)</f>
        <v>211224</v>
      </c>
      <c r="X503" s="3" t="str">
        <f>IFERROR(__xludf.DUMMYFUNCTION("""COMPUTED_VALUE"""),"8 หมู่ 1 ซอยเทศบาล 11 ถนนสายหนองเสม็ด-บ่อทอง ตำบลบ่อทอง อำเภอบ่อทอง จังหวัดชลบุรี 20270")</f>
        <v>8 หมู่ 1 ซอยเทศบาล 11 ถนนสายหนองเสม็ด-บ่อทอง ตำบลบ่อทอง อำเภอบ่อทอง จังหวัดชลบุรี 20270</v>
      </c>
      <c r="Y503" s="3"/>
      <c r="Z503" s="3" t="str">
        <f>IFERROR(__xludf.DUMMYFUNCTION("""COMPUTED_VALUE"""),"บ่อทอง")</f>
        <v>บ่อทอง</v>
      </c>
      <c r="AA503" s="3" t="str">
        <f>IFERROR(__xludf.DUMMYFUNCTION("""COMPUTED_VALUE"""),"บ่อทอง")</f>
        <v>บ่อทอง</v>
      </c>
      <c r="AB503" s="3" t="str">
        <f>IFERROR(__xludf.DUMMYFUNCTION("""COMPUTED_VALUE"""),"ชลบุรี")</f>
        <v>ชลบุรี</v>
      </c>
      <c r="AC503" s="3">
        <f>IFERROR(__xludf.DUMMYFUNCTION("""COMPUTED_VALUE"""),20270.0)</f>
        <v>20270</v>
      </c>
      <c r="AD503" s="3">
        <f>IFERROR(__xludf.DUMMYFUNCTION("""COMPUTED_VALUE"""),13.282416)</f>
        <v>13.282416</v>
      </c>
      <c r="AE503" s="3">
        <f>IFERROR(__xludf.DUMMYFUNCTION("""COMPUTED_VALUE"""),101.434565)</f>
        <v>101.434565</v>
      </c>
      <c r="AF503" s="3" t="str">
        <f>IFERROR(__xludf.DUMMYFUNCTION("""COMPUTED_VALUE"""),"MBC บ่อทอง-ชลบุรี-21267")</f>
        <v>MBC บ่อทอง-ชลบุรี-21267</v>
      </c>
      <c r="AG503" s="3" t="str">
        <f>IFERROR(__xludf.DUMMYFUNCTION("""COMPUTED_VALUE"""),"ตะวันออก")</f>
        <v>ตะวันออก</v>
      </c>
      <c r="AH503" s="3" t="str">
        <f>IFERROR(__xludf.DUMMYFUNCTION("""COMPUTED_VALUE"""),"#N/A")</f>
        <v>#N/A</v>
      </c>
      <c r="AI503" s="3" t="str">
        <f>IFERROR(__xludf.DUMMYFUNCTION("""COMPUTED_VALUE"""),"Out of warranty")</f>
        <v>Out of warranty</v>
      </c>
      <c r="AJ503" s="3">
        <f>IFERROR(__xludf.DUMMYFUNCTION("""COMPUTED_VALUE"""),147.0)</f>
        <v>147</v>
      </c>
      <c r="AK503" s="3" t="str">
        <f>IFERROR(__xludf.DUMMYFUNCTION("""COMPUTED_VALUE"""),"MMS07")</f>
        <v>MMS07</v>
      </c>
      <c r="AL503" s="3"/>
    </row>
    <row r="504" ht="15.75" customHeight="1">
      <c r="A504" s="1" t="str">
        <f>IFERROR(__xludf.DUMMYFUNCTION("""COMPUTED_VALUE"""),"21268")</f>
        <v>21268</v>
      </c>
      <c r="B504" s="2">
        <f>IFERROR(__xludf.DUMMYFUNCTION("""COMPUTED_VALUE"""),21268.0)</f>
        <v>21268</v>
      </c>
      <c r="C504" s="3" t="str">
        <f>IFERROR(__xludf.DUMMYFUNCTION("""COMPUTED_VALUE"""),"MBC BCP สามพราน")</f>
        <v>MBC BCP สามพราน</v>
      </c>
      <c r="D504" s="3" t="str">
        <f>IFERROR(__xludf.DUMMYFUNCTION("""COMPUTED_VALUE"""),"BCM BCP SAMPHRAN")</f>
        <v>BCM BCP SAMPHRAN</v>
      </c>
      <c r="E504" s="1" t="str">
        <f>IFERROR(__xludf.DUMMYFUNCTION("""COMPUTED_VALUE"""),"บิ๊กซี MINI")</f>
        <v>บิ๊กซี MINI</v>
      </c>
      <c r="F504" s="1" t="str">
        <f>IFERROR(__xludf.DUMMYFUNCTION("""COMPUTED_VALUE"""),"296229")</f>
        <v>296229</v>
      </c>
      <c r="G504" s="1" t="str">
        <f>IFERROR(__xludf.DUMMYFUNCTION("""COMPUTED_VALUE"""),"นายทนงศักดิ์ บุญมา")</f>
        <v>นายทนงศักดิ์ บุญมา</v>
      </c>
      <c r="H504" s="1" t="str">
        <f>IFERROR(__xludf.DUMMYFUNCTION("""COMPUTED_VALUE"""),"295245")</f>
        <v>295245</v>
      </c>
      <c r="I504" s="1" t="str">
        <f>IFERROR(__xludf.DUMMYFUNCTION("""COMPUTED_VALUE"""),"นายมานะ วงศ์สุโชโต")</f>
        <v>นายมานะ วงศ์สุโชโต</v>
      </c>
      <c r="J504" s="3">
        <f>IFERROR(__xludf.DUMMYFUNCTION("""COMPUTED_VALUE"""),46214.0)</f>
        <v>46214</v>
      </c>
      <c r="K504" s="3" t="str">
        <f>IFERROR(__xludf.DUMMYFUNCTION("""COMPUTED_VALUE"""),"นายศักดิ์ชัย เด็ดดอกฟ้า")</f>
        <v>นายศักดิ์ชัย เด็ดดอกฟ้า</v>
      </c>
      <c r="L504" s="1" t="str">
        <f>IFERROR(__xludf.DUMMYFUNCTION("""COMPUTED_VALUE"""),"02 K.Sakchai D")</f>
        <v>02 K.Sakchai D</v>
      </c>
      <c r="M504" s="1" t="str">
        <f>IFERROR(__xludf.DUMMYFUNCTION("""COMPUTED_VALUE"""),"065-510-7376")</f>
        <v>065-510-7376</v>
      </c>
      <c r="N504" s="3">
        <f>IFERROR(__xludf.DUMMYFUNCTION("""COMPUTED_VALUE"""),21714.0)</f>
        <v>21714</v>
      </c>
      <c r="O504" s="3" t="str">
        <f>IFERROR(__xludf.DUMMYFUNCTION("""COMPUTED_VALUE"""),"MBC เอสโซ่ วัดโบสถ์")</f>
        <v>MBC เอสโซ่ วัดโบสถ์</v>
      </c>
      <c r="P504" s="4">
        <f>IFERROR(__xludf.DUMMYFUNCTION("""COMPUTED_VALUE"""),41593.0)</f>
        <v>41593</v>
      </c>
      <c r="Q504" s="3" t="str">
        <f>IFERROR(__xludf.DUMMYFUNCTION("""COMPUTED_VALUE"""),"I")</f>
        <v>I</v>
      </c>
      <c r="R504" s="3" t="str">
        <f>IFERROR(__xludf.DUMMYFUNCTION("""COMPUTED_VALUE"""),"Small Format")</f>
        <v>Small Format</v>
      </c>
      <c r="S504" s="3" t="str">
        <f>IFERROR(__xludf.DUMMYFUNCTION("""COMPUTED_VALUE"""),"BCM")</f>
        <v>BCM</v>
      </c>
      <c r="T504" s="3" t="str">
        <f>IFERROR(__xludf.DUMMYFUNCTION("""COMPUTED_VALUE"""),"#N/A")</f>
        <v>#N/A</v>
      </c>
      <c r="U504" s="3" t="str">
        <f>IFERROR(__xludf.DUMMYFUNCTION("""COMPUTED_VALUE"""),"#N/A")</f>
        <v>#N/A</v>
      </c>
      <c r="V504" s="3" t="str">
        <f>IFERROR(__xludf.DUMMYFUNCTION("""COMPUTED_VALUE"""),"N")</f>
        <v>N</v>
      </c>
      <c r="W504" s="3">
        <f>IFERROR(__xludf.DUMMYFUNCTION("""COMPUTED_VALUE"""),361058.0)</f>
        <v>361058</v>
      </c>
      <c r="X504" s="3" t="str">
        <f>IFERROR(__xludf.DUMMYFUNCTION("""COMPUTED_VALUE"""),"31/182 หมู่ 1 ตำบลท่าตลาด อำเภอสามพราน จังหวัดนครปฐม 73110")</f>
        <v>31/182 หมู่ 1 ตำบลท่าตลาด อำเภอสามพราน จังหวัดนครปฐม 73110</v>
      </c>
      <c r="Y504" s="3"/>
      <c r="Z504" s="3" t="str">
        <f>IFERROR(__xludf.DUMMYFUNCTION("""COMPUTED_VALUE"""),"ท่าตลาด")</f>
        <v>ท่าตลาด</v>
      </c>
      <c r="AA504" s="3" t="str">
        <f>IFERROR(__xludf.DUMMYFUNCTION("""COMPUTED_VALUE"""),"สามพราน")</f>
        <v>สามพราน</v>
      </c>
      <c r="AB504" s="3" t="str">
        <f>IFERROR(__xludf.DUMMYFUNCTION("""COMPUTED_VALUE"""),"นครปฐม")</f>
        <v>นครปฐม</v>
      </c>
      <c r="AC504" s="3">
        <f>IFERROR(__xludf.DUMMYFUNCTION("""COMPUTED_VALUE"""),73110.0)</f>
        <v>73110</v>
      </c>
      <c r="AD504" s="3">
        <f>IFERROR(__xludf.DUMMYFUNCTION("""COMPUTED_VALUE"""),13.741571)</f>
        <v>13.741571</v>
      </c>
      <c r="AE504" s="3">
        <f>IFERROR(__xludf.DUMMYFUNCTION("""COMPUTED_VALUE"""),100.21475)</f>
        <v>100.21475</v>
      </c>
      <c r="AF504" s="3" t="str">
        <f>IFERROR(__xludf.DUMMYFUNCTION("""COMPUTED_VALUE"""),"MBC BCP สามพราน-21268")</f>
        <v>MBC BCP สามพราน-21268</v>
      </c>
      <c r="AG504" s="3" t="str">
        <f>IFERROR(__xludf.DUMMYFUNCTION("""COMPUTED_VALUE"""),"กลาง")</f>
        <v>กลาง</v>
      </c>
      <c r="AH504" s="3" t="str">
        <f>IFERROR(__xludf.DUMMYFUNCTION("""COMPUTED_VALUE"""),"#N/A")</f>
        <v>#N/A</v>
      </c>
      <c r="AI504" s="3" t="str">
        <f>IFERROR(__xludf.DUMMYFUNCTION("""COMPUTED_VALUE"""),"Out of warranty")</f>
        <v>Out of warranty</v>
      </c>
      <c r="AJ504" s="3">
        <f>IFERROR(__xludf.DUMMYFUNCTION("""COMPUTED_VALUE"""),147.0)</f>
        <v>147</v>
      </c>
      <c r="AK504" s="3" t="str">
        <f>IFERROR(__xludf.DUMMYFUNCTION("""COMPUTED_VALUE"""),"MMS05")</f>
        <v>MMS05</v>
      </c>
      <c r="AL504" s="3"/>
    </row>
    <row r="505" ht="15.75" customHeight="1">
      <c r="A505" s="1" t="str">
        <f>IFERROR(__xludf.DUMMYFUNCTION("""COMPUTED_VALUE"""),"21269")</f>
        <v>21269</v>
      </c>
      <c r="B505" s="2">
        <f>IFERROR(__xludf.DUMMYFUNCTION("""COMPUTED_VALUE"""),21269.0)</f>
        <v>21269</v>
      </c>
      <c r="C505" s="3" t="str">
        <f>IFERROR(__xludf.DUMMYFUNCTION("""COMPUTED_VALUE"""),"MBC ซอยจตุรมิตร")</f>
        <v>MBC ซอยจตุรมิตร</v>
      </c>
      <c r="D505" s="3" t="str">
        <f>IFERROR(__xludf.DUMMYFUNCTION("""COMPUTED_VALUE"""),"BCM SOI JATURAMIT")</f>
        <v>BCM SOI JATURAMIT</v>
      </c>
      <c r="E505" s="1" t="str">
        <f>IFERROR(__xludf.DUMMYFUNCTION("""COMPUTED_VALUE"""),"บิ๊กซี MINI")</f>
        <v>บิ๊กซี MINI</v>
      </c>
      <c r="F505" s="1" t="str">
        <f>IFERROR(__xludf.DUMMYFUNCTION("""COMPUTED_VALUE"""),"2083447")</f>
        <v>2083447</v>
      </c>
      <c r="G505" s="1" t="str">
        <f>IFERROR(__xludf.DUMMYFUNCTION("""COMPUTED_VALUE"""),"นายอนุกูล ศรีลัดดา")</f>
        <v>นายอนุกูล ศรีลัดดา</v>
      </c>
      <c r="H505" s="1" t="str">
        <f>IFERROR(__xludf.DUMMYFUNCTION("""COMPUTED_VALUE"""),"284752")</f>
        <v>284752</v>
      </c>
      <c r="I505" s="1" t="str">
        <f>IFERROR(__xludf.DUMMYFUNCTION("""COMPUTED_VALUE"""),"น.ส.วีรนันท์ แสงใส")</f>
        <v>น.ส.วีรนันท์ แสงใส</v>
      </c>
      <c r="J505" s="3">
        <f>IFERROR(__xludf.DUMMYFUNCTION("""COMPUTED_VALUE"""),2451655.0)</f>
        <v>2451655</v>
      </c>
      <c r="K505" s="3" t="str">
        <f>IFERROR(__xludf.DUMMYFUNCTION("""COMPUTED_VALUE"""),"นายวิษณุพงษ์ ชินบุตร")</f>
        <v>นายวิษณุพงษ์ ชินบุตร</v>
      </c>
      <c r="L505" s="1" t="str">
        <f>IFERROR(__xludf.DUMMYFUNCTION("""COMPUTED_VALUE"""),"13 K.Wisanupong Ch")</f>
        <v>13 K.Wisanupong Ch</v>
      </c>
      <c r="M505" s="1" t="str">
        <f>IFERROR(__xludf.DUMMYFUNCTION("""COMPUTED_VALUE"""),"0843374693")</f>
        <v>0843374693</v>
      </c>
      <c r="N505" s="3">
        <f>IFERROR(__xludf.DUMMYFUNCTION("""COMPUTED_VALUE"""),22729.0)</f>
        <v>22729</v>
      </c>
      <c r="O505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505" s="4">
        <f>IFERROR(__xludf.DUMMYFUNCTION("""COMPUTED_VALUE"""),41603.0)</f>
        <v>41603</v>
      </c>
      <c r="Q505" s="3" t="str">
        <f>IFERROR(__xludf.DUMMYFUNCTION("""COMPUTED_VALUE"""),"A")</f>
        <v>A</v>
      </c>
      <c r="R505" s="3" t="str">
        <f>IFERROR(__xludf.DUMMYFUNCTION("""COMPUTED_VALUE"""),"Small Format")</f>
        <v>Small Format</v>
      </c>
      <c r="S505" s="3" t="str">
        <f>IFERROR(__xludf.DUMMYFUNCTION("""COMPUTED_VALUE"""),"BCM")</f>
        <v>BCM</v>
      </c>
      <c r="T505" s="3" t="str">
        <f>IFERROR(__xludf.DUMMYFUNCTION("""COMPUTED_VALUE"""),"#N/A")</f>
        <v>#N/A</v>
      </c>
      <c r="U505" s="3" t="str">
        <f>IFERROR(__xludf.DUMMYFUNCTION("""COMPUTED_VALUE"""),"#N/A")</f>
        <v>#N/A</v>
      </c>
      <c r="V505" s="3" t="str">
        <f>IFERROR(__xludf.DUMMYFUNCTION("""COMPUTED_VALUE"""),"N")</f>
        <v>N</v>
      </c>
      <c r="W505" s="3">
        <f>IFERROR(__xludf.DUMMYFUNCTION("""COMPUTED_VALUE"""),211278.0)</f>
        <v>211278</v>
      </c>
      <c r="X505" s="3" t="str">
        <f>IFERROR(__xludf.DUMMYFUNCTION("""COMPUTED_VALUE"""),"121/9 หมู่ 6 ตำบลบางพลีใหญ่ อำเภอบางพลี จังหวัดสมุทรปราการ 10540")</f>
        <v>121/9 หมู่ 6 ตำบลบางพลีใหญ่ อำเภอบางพลี จังหวัดสมุทรปราการ 10540</v>
      </c>
      <c r="Y505" s="3"/>
      <c r="Z505" s="3" t="str">
        <f>IFERROR(__xludf.DUMMYFUNCTION("""COMPUTED_VALUE"""),"บางพลีใหญ่")</f>
        <v>บางพลีใหญ่</v>
      </c>
      <c r="AA505" s="3" t="str">
        <f>IFERROR(__xludf.DUMMYFUNCTION("""COMPUTED_VALUE"""),"บางพลี")</f>
        <v>บางพลี</v>
      </c>
      <c r="AB505" s="3" t="str">
        <f>IFERROR(__xludf.DUMMYFUNCTION("""COMPUTED_VALUE"""),"สมุทรปราการ")</f>
        <v>สมุทรปราการ</v>
      </c>
      <c r="AC505" s="3">
        <f>IFERROR(__xludf.DUMMYFUNCTION("""COMPUTED_VALUE"""),10540.0)</f>
        <v>10540</v>
      </c>
      <c r="AD505" s="3">
        <f>IFERROR(__xludf.DUMMYFUNCTION("""COMPUTED_VALUE"""),13.604287)</f>
        <v>13.604287</v>
      </c>
      <c r="AE505" s="3">
        <f>IFERROR(__xludf.DUMMYFUNCTION("""COMPUTED_VALUE"""),100.697776)</f>
        <v>100.697776</v>
      </c>
      <c r="AF505" s="3" t="str">
        <f>IFERROR(__xludf.DUMMYFUNCTION("""COMPUTED_VALUE"""),"MBC ซอยจตุรมิตร-21269")</f>
        <v>MBC ซอยจตุรมิตร-21269</v>
      </c>
      <c r="AG505" s="3" t="str">
        <f>IFERROR(__xludf.DUMMYFUNCTION("""COMPUTED_VALUE"""),"กลาง")</f>
        <v>กลาง</v>
      </c>
      <c r="AH505" s="3" t="str">
        <f>IFERROR(__xludf.DUMMYFUNCTION("""COMPUTED_VALUE"""),"#N/A")</f>
        <v>#N/A</v>
      </c>
      <c r="AI505" s="3" t="str">
        <f>IFERROR(__xludf.DUMMYFUNCTION("""COMPUTED_VALUE"""),"Out of warranty")</f>
        <v>Out of warranty</v>
      </c>
      <c r="AJ505" s="3">
        <f>IFERROR(__xludf.DUMMYFUNCTION("""COMPUTED_VALUE"""),146.0)</f>
        <v>146</v>
      </c>
      <c r="AK505" s="3" t="str">
        <f>IFERROR(__xludf.DUMMYFUNCTION("""COMPUTED_VALUE"""),"MMS03")</f>
        <v>MMS03</v>
      </c>
      <c r="AL505" s="3"/>
    </row>
    <row r="506" ht="15.75" customHeight="1">
      <c r="A506" s="1" t="str">
        <f>IFERROR(__xludf.DUMMYFUNCTION("""COMPUTED_VALUE"""),"21270")</f>
        <v>21270</v>
      </c>
      <c r="B506" s="2">
        <f>IFERROR(__xludf.DUMMYFUNCTION("""COMPUTED_VALUE"""),21270.0)</f>
        <v>21270</v>
      </c>
      <c r="C506" s="3" t="str">
        <f>IFERROR(__xludf.DUMMYFUNCTION("""COMPUTED_VALUE"""),"MBC ศาลาลำดวน")</f>
        <v>MBC ศาลาลำดวน</v>
      </c>
      <c r="D506" s="3" t="str">
        <f>IFERROR(__xludf.DUMMYFUNCTION("""COMPUTED_VALUE"""),"BCM SALA LUMDUAN")</f>
        <v>BCM SALA LUMDUAN</v>
      </c>
      <c r="E506" s="1" t="str">
        <f>IFERROR(__xludf.DUMMYFUNCTION("""COMPUTED_VALUE"""),"บิ๊กซี MINI")</f>
        <v>บิ๊กซี MINI</v>
      </c>
      <c r="F506" s="1" t="str">
        <f>IFERROR(__xludf.DUMMYFUNCTION("""COMPUTED_VALUE"""),"2083447")</f>
        <v>2083447</v>
      </c>
      <c r="G506" s="1" t="str">
        <f>IFERROR(__xludf.DUMMYFUNCTION("""COMPUTED_VALUE"""),"นายอนุกูล ศรีลัดดา")</f>
        <v>นายอนุกูล ศรีลัดดา</v>
      </c>
      <c r="H506" s="1" t="str">
        <f>IFERROR(__xludf.DUMMYFUNCTION("""COMPUTED_VALUE"""),"259808")</f>
        <v>259808</v>
      </c>
      <c r="I506" s="1" t="str">
        <f>IFERROR(__xludf.DUMMYFUNCTION("""COMPUTED_VALUE"""),"น.ส.สกุลรัตน์ พิกุลแก้ว")</f>
        <v>น.ส.สกุลรัตน์ พิกุลแก้ว</v>
      </c>
      <c r="J506" s="3">
        <f>IFERROR(__xludf.DUMMYFUNCTION("""COMPUTED_VALUE"""),510143.0)</f>
        <v>510143</v>
      </c>
      <c r="K506" s="3" t="str">
        <f>IFERROR(__xludf.DUMMYFUNCTION("""COMPUTED_VALUE"""),"นายธีระวัฒน์ บุญสิทธิ์")</f>
        <v>นายธีระวัฒน์ บุญสิทธิ์</v>
      </c>
      <c r="L506" s="1" t="str">
        <f>IFERROR(__xludf.DUMMYFUNCTION("""COMPUTED_VALUE"""),"12 K.Theerawat B.")</f>
        <v>12 K.Theerawat B.</v>
      </c>
      <c r="M506" s="1" t="str">
        <f>IFERROR(__xludf.DUMMYFUNCTION("""COMPUTED_VALUE"""),"0655107379")</f>
        <v>0655107379</v>
      </c>
      <c r="N506" s="3">
        <f>IFERROR(__xludf.DUMMYFUNCTION("""COMPUTED_VALUE"""),21062.0)</f>
        <v>21062</v>
      </c>
      <c r="O506" s="3" t="str">
        <f>IFERROR(__xludf.DUMMYFUNCTION("""COMPUTED_VALUE"""),"MBC นิคมนวนคร")</f>
        <v>MBC นิคมนวนคร</v>
      </c>
      <c r="P506" s="4">
        <f>IFERROR(__xludf.DUMMYFUNCTION("""COMPUTED_VALUE"""),41604.0)</f>
        <v>41604</v>
      </c>
      <c r="Q506" s="3" t="str">
        <f>IFERROR(__xludf.DUMMYFUNCTION("""COMPUTED_VALUE"""),"A")</f>
        <v>A</v>
      </c>
      <c r="R506" s="3" t="str">
        <f>IFERROR(__xludf.DUMMYFUNCTION("""COMPUTED_VALUE"""),"Small Format")</f>
        <v>Small Format</v>
      </c>
      <c r="S506" s="3" t="str">
        <f>IFERROR(__xludf.DUMMYFUNCTION("""COMPUTED_VALUE"""),"BCM")</f>
        <v>BCM</v>
      </c>
      <c r="T506" s="3" t="str">
        <f>IFERROR(__xludf.DUMMYFUNCTION("""COMPUTED_VALUE"""),"#N/A")</f>
        <v>#N/A</v>
      </c>
      <c r="U506" s="3" t="str">
        <f>IFERROR(__xludf.DUMMYFUNCTION("""COMPUTED_VALUE"""),"#N/A")</f>
        <v>#N/A</v>
      </c>
      <c r="V506" s="3" t="str">
        <f>IFERROR(__xludf.DUMMYFUNCTION("""COMPUTED_VALUE"""),"N")</f>
        <v>N</v>
      </c>
      <c r="W506" s="3">
        <f>IFERROR(__xludf.DUMMYFUNCTION("""COMPUTED_VALUE"""),211266.0)</f>
        <v>211266</v>
      </c>
      <c r="X506" s="3" t="str">
        <f>IFERROR(__xludf.DUMMYFUNCTION("""COMPUTED_VALUE"""),"435 หมู่ 1 ตำบลศาลาลำดวน อำเภอเมืองสระแก้ว จังหวัดสระแก้ว 27000")</f>
        <v>435 หมู่ 1 ตำบลศาลาลำดวน อำเภอเมืองสระแก้ว จังหวัดสระแก้ว 27000</v>
      </c>
      <c r="Y506" s="3"/>
      <c r="Z506" s="3" t="str">
        <f>IFERROR(__xludf.DUMMYFUNCTION("""COMPUTED_VALUE"""),"ศาลาลำดวน")</f>
        <v>ศาลาลำดวน</v>
      </c>
      <c r="AA506" s="3" t="str">
        <f>IFERROR(__xludf.DUMMYFUNCTION("""COMPUTED_VALUE"""),"เมือง")</f>
        <v>เมือง</v>
      </c>
      <c r="AB506" s="3" t="str">
        <f>IFERROR(__xludf.DUMMYFUNCTION("""COMPUTED_VALUE"""),"สระแก้ว")</f>
        <v>สระแก้ว</v>
      </c>
      <c r="AC506" s="3">
        <f>IFERROR(__xludf.DUMMYFUNCTION("""COMPUTED_VALUE"""),27000.0)</f>
        <v>27000</v>
      </c>
      <c r="AD506" s="3">
        <f>IFERROR(__xludf.DUMMYFUNCTION("""COMPUTED_VALUE"""),13.879611)</f>
        <v>13.879611</v>
      </c>
      <c r="AE506" s="3">
        <f>IFERROR(__xludf.DUMMYFUNCTION("""COMPUTED_VALUE"""),102.007155)</f>
        <v>102.007155</v>
      </c>
      <c r="AF506" s="3" t="str">
        <f>IFERROR(__xludf.DUMMYFUNCTION("""COMPUTED_VALUE"""),"MBC ศาลาลำดวน-21270")</f>
        <v>MBC ศาลาลำดวน-21270</v>
      </c>
      <c r="AG506" s="3" t="str">
        <f>IFERROR(__xludf.DUMMYFUNCTION("""COMPUTED_VALUE"""),"ตะวันออก")</f>
        <v>ตะวันออก</v>
      </c>
      <c r="AH506" s="3" t="str">
        <f>IFERROR(__xludf.DUMMYFUNCTION("""COMPUTED_VALUE"""),"#N/A")</f>
        <v>#N/A</v>
      </c>
      <c r="AI506" s="3" t="str">
        <f>IFERROR(__xludf.DUMMYFUNCTION("""COMPUTED_VALUE"""),"Out of warranty")</f>
        <v>Out of warranty</v>
      </c>
      <c r="AJ506" s="3">
        <f>IFERROR(__xludf.DUMMYFUNCTION("""COMPUTED_VALUE"""),146.0)</f>
        <v>146</v>
      </c>
      <c r="AK506" s="3" t="str">
        <f>IFERROR(__xludf.DUMMYFUNCTION("""COMPUTED_VALUE"""),"MMS08")</f>
        <v>MMS08</v>
      </c>
      <c r="AL506" s="3"/>
    </row>
    <row r="507" ht="15.75" customHeight="1">
      <c r="A507" s="1" t="str">
        <f>IFERROR(__xludf.DUMMYFUNCTION("""COMPUTED_VALUE"""),"21272")</f>
        <v>21272</v>
      </c>
      <c r="B507" s="2">
        <f>IFERROR(__xludf.DUMMYFUNCTION("""COMPUTED_VALUE"""),21272.0)</f>
        <v>21272</v>
      </c>
      <c r="C507" s="3" t="str">
        <f>IFERROR(__xludf.DUMMYFUNCTION("""COMPUTED_VALUE"""),"MBC ตลาดสัตหีบ")</f>
        <v>MBC ตลาดสัตหีบ</v>
      </c>
      <c r="D507" s="3" t="str">
        <f>IFERROR(__xludf.DUMMYFUNCTION("""COMPUTED_VALUE"""),"BCM TARAD SATTAHIP")</f>
        <v>BCM TARAD SATTAHIP</v>
      </c>
      <c r="E507" s="1" t="str">
        <f>IFERROR(__xludf.DUMMYFUNCTION("""COMPUTED_VALUE"""),"บิ๊กซี MINI")</f>
        <v>บิ๊กซี MINI</v>
      </c>
      <c r="F507" s="1" t="str">
        <f>IFERROR(__xludf.DUMMYFUNCTION("""COMPUTED_VALUE"""),"221716")</f>
        <v>221716</v>
      </c>
      <c r="G507" s="1" t="str">
        <f>IFERROR(__xludf.DUMMYFUNCTION("""COMPUTED_VALUE"""),"น.ส.เบญจพร โพธิสาร")</f>
        <v>น.ส.เบญจพร โพธิสาร</v>
      </c>
      <c r="H507" s="1" t="str">
        <f>IFERROR(__xludf.DUMMYFUNCTION("""COMPUTED_VALUE"""),"313065")</f>
        <v>313065</v>
      </c>
      <c r="I507" s="1" t="str">
        <f>IFERROR(__xludf.DUMMYFUNCTION("""COMPUTED_VALUE"""),"นายจิรายุทธ กันทา")</f>
        <v>นายจิรายุทธ กันทา</v>
      </c>
      <c r="J507" s="3">
        <f>IFERROR(__xludf.DUMMYFUNCTION("""COMPUTED_VALUE"""),1.3461215E7)</f>
        <v>13461215</v>
      </c>
      <c r="K507" s="3" t="str">
        <f>IFERROR(__xludf.DUMMYFUNCTION("""COMPUTED_VALUE"""),"นายธีรภัทร สังข์เงิน")</f>
        <v>นายธีรภัทร สังข์เงิน</v>
      </c>
      <c r="L507" s="1" t="str">
        <f>IFERROR(__xludf.DUMMYFUNCTION("""COMPUTED_VALUE"""),"06 K.Teerapat")</f>
        <v>06 K.Teerapat</v>
      </c>
      <c r="M507" s="1" t="str">
        <f>IFERROR(__xludf.DUMMYFUNCTION("""COMPUTED_VALUE"""),"063-601-6803")</f>
        <v>063-601-6803</v>
      </c>
      <c r="N507" s="3">
        <f>IFERROR(__xludf.DUMMYFUNCTION("""COMPUTED_VALUE"""),22115.0)</f>
        <v>22115</v>
      </c>
      <c r="O507" s="3" t="str">
        <f>IFERROR(__xludf.DUMMYFUNCTION("""COMPUTED_VALUE"""),"MBC เลี่ยงหนองมน ชลบุรี")</f>
        <v>MBC เลี่ยงหนองมน ชลบุรี</v>
      </c>
      <c r="P507" s="4">
        <f>IFERROR(__xludf.DUMMYFUNCTION("""COMPUTED_VALUE"""),41606.0)</f>
        <v>41606</v>
      </c>
      <c r="Q507" s="3" t="str">
        <f>IFERROR(__xludf.DUMMYFUNCTION("""COMPUTED_VALUE"""),"A")</f>
        <v>A</v>
      </c>
      <c r="R507" s="3" t="str">
        <f>IFERROR(__xludf.DUMMYFUNCTION("""COMPUTED_VALUE"""),"Small Format")</f>
        <v>Small Format</v>
      </c>
      <c r="S507" s="3" t="str">
        <f>IFERROR(__xludf.DUMMYFUNCTION("""COMPUTED_VALUE"""),"BCM")</f>
        <v>BCM</v>
      </c>
      <c r="T507" s="3" t="str">
        <f>IFERROR(__xludf.DUMMYFUNCTION("""COMPUTED_VALUE"""),"#N/A")</f>
        <v>#N/A</v>
      </c>
      <c r="U507" s="3" t="str">
        <f>IFERROR(__xludf.DUMMYFUNCTION("""COMPUTED_VALUE"""),"#N/A")</f>
        <v>#N/A</v>
      </c>
      <c r="V507" s="3" t="str">
        <f>IFERROR(__xludf.DUMMYFUNCTION("""COMPUTED_VALUE"""),"N")</f>
        <v>N</v>
      </c>
      <c r="W507" s="3">
        <f>IFERROR(__xludf.DUMMYFUNCTION("""COMPUTED_VALUE"""),211225.0)</f>
        <v>211225</v>
      </c>
      <c r="X507" s="3" t="str">
        <f>IFERROR(__xludf.DUMMYFUNCTION("""COMPUTED_VALUE"""),"0250/1-3 หมู่ 1 ตำบลสัตหีบ อำเภอสัตหีบ จังหวัดชลบุรี 20180")</f>
        <v>0250/1-3 หมู่ 1 ตำบลสัตหีบ อำเภอสัตหีบ จังหวัดชลบุรี 20180</v>
      </c>
      <c r="Y507" s="3"/>
      <c r="Z507" s="3" t="str">
        <f>IFERROR(__xludf.DUMMYFUNCTION("""COMPUTED_VALUE"""),"สัตหีบ")</f>
        <v>สัตหีบ</v>
      </c>
      <c r="AA507" s="3" t="str">
        <f>IFERROR(__xludf.DUMMYFUNCTION("""COMPUTED_VALUE"""),"สัตหีบ")</f>
        <v>สัตหีบ</v>
      </c>
      <c r="AB507" s="3" t="str">
        <f>IFERROR(__xludf.DUMMYFUNCTION("""COMPUTED_VALUE"""),"ชลบุรี")</f>
        <v>ชลบุรี</v>
      </c>
      <c r="AC507" s="3">
        <f>IFERROR(__xludf.DUMMYFUNCTION("""COMPUTED_VALUE"""),20180.0)</f>
        <v>20180</v>
      </c>
      <c r="AD507" s="3">
        <f>IFERROR(__xludf.DUMMYFUNCTION("""COMPUTED_VALUE"""),12.663882)</f>
        <v>12.663882</v>
      </c>
      <c r="AE507" s="3">
        <f>IFERROR(__xludf.DUMMYFUNCTION("""COMPUTED_VALUE"""),100.898693)</f>
        <v>100.898693</v>
      </c>
      <c r="AF507" s="3" t="str">
        <f>IFERROR(__xludf.DUMMYFUNCTION("""COMPUTED_VALUE"""),"MBC ตลาดสัตหีบ-21272")</f>
        <v>MBC ตลาดสัตหีบ-21272</v>
      </c>
      <c r="AG507" s="3" t="str">
        <f>IFERROR(__xludf.DUMMYFUNCTION("""COMPUTED_VALUE"""),"ตะวันออก")</f>
        <v>ตะวันออก</v>
      </c>
      <c r="AH507" s="3" t="str">
        <f>IFERROR(__xludf.DUMMYFUNCTION("""COMPUTED_VALUE"""),"#N/A")</f>
        <v>#N/A</v>
      </c>
      <c r="AI507" s="3" t="str">
        <f>IFERROR(__xludf.DUMMYFUNCTION("""COMPUTED_VALUE"""),"Out of warranty")</f>
        <v>Out of warranty</v>
      </c>
      <c r="AJ507" s="3">
        <f>IFERROR(__xludf.DUMMYFUNCTION("""COMPUTED_VALUE"""),146.0)</f>
        <v>146</v>
      </c>
      <c r="AK507" s="3" t="str">
        <f>IFERROR(__xludf.DUMMYFUNCTION("""COMPUTED_VALUE"""),"MMS08")</f>
        <v>MMS08</v>
      </c>
      <c r="AL507" s="3"/>
    </row>
    <row r="508" ht="15.75" customHeight="1">
      <c r="A508" s="1" t="str">
        <f>IFERROR(__xludf.DUMMYFUNCTION("""COMPUTED_VALUE"""),"21273")</f>
        <v>21273</v>
      </c>
      <c r="B508" s="2">
        <f>IFERROR(__xludf.DUMMYFUNCTION("""COMPUTED_VALUE"""),21273.0)</f>
        <v>21273</v>
      </c>
      <c r="C508" s="3" t="str">
        <f>IFERROR(__xludf.DUMMYFUNCTION("""COMPUTED_VALUE"""),"MBC ตลาดสระแก้ว")</f>
        <v>MBC ตลาดสระแก้ว</v>
      </c>
      <c r="D508" s="3" t="str">
        <f>IFERROR(__xludf.DUMMYFUNCTION("""COMPUTED_VALUE"""),"BCM TARAD SAKAEO")</f>
        <v>BCM TARAD SAKAEO</v>
      </c>
      <c r="E508" s="1" t="str">
        <f>IFERROR(__xludf.DUMMYFUNCTION("""COMPUTED_VALUE"""),"บิ๊กซี MINI")</f>
        <v>บิ๊กซี MINI</v>
      </c>
      <c r="F508" s="1" t="str">
        <f>IFERROR(__xludf.DUMMYFUNCTION("""COMPUTED_VALUE"""),"296229")</f>
        <v>296229</v>
      </c>
      <c r="G508" s="1" t="str">
        <f>IFERROR(__xludf.DUMMYFUNCTION("""COMPUTED_VALUE"""),"นายทนงศักดิ์ บุญมา")</f>
        <v>นายทนงศักดิ์ บุญมา</v>
      </c>
      <c r="H508" s="1" t="str">
        <f>IFERROR(__xludf.DUMMYFUNCTION("""COMPUTED_VALUE"""),"291082")</f>
        <v>291082</v>
      </c>
      <c r="I508" s="1" t="str">
        <f>IFERROR(__xludf.DUMMYFUNCTION("""COMPUTED_VALUE"""),"น.ส.วจี กันเกตุ")</f>
        <v>น.ส.วจี กันเกตุ</v>
      </c>
      <c r="J508" s="3">
        <f>IFERROR(__xludf.DUMMYFUNCTION("""COMPUTED_VALUE"""),46214.0)</f>
        <v>46214</v>
      </c>
      <c r="K508" s="3" t="str">
        <f>IFERROR(__xludf.DUMMYFUNCTION("""COMPUTED_VALUE"""),"นายศักดิ์ชัย เด็ดดอกฟ้า")</f>
        <v>นายศักดิ์ชัย เด็ดดอกฟ้า</v>
      </c>
      <c r="L508" s="1" t="str">
        <f>IFERROR(__xludf.DUMMYFUNCTION("""COMPUTED_VALUE"""),"02 K.Sakchai D")</f>
        <v>02 K.Sakchai D</v>
      </c>
      <c r="M508" s="1" t="str">
        <f>IFERROR(__xludf.DUMMYFUNCTION("""COMPUTED_VALUE"""),"065-510-7376")</f>
        <v>065-510-7376</v>
      </c>
      <c r="N508" s="3">
        <f>IFERROR(__xludf.DUMMYFUNCTION("""COMPUTED_VALUE"""),21714.0)</f>
        <v>21714</v>
      </c>
      <c r="O508" s="3" t="str">
        <f>IFERROR(__xludf.DUMMYFUNCTION("""COMPUTED_VALUE"""),"MBC เอสโซ่ วัดโบสถ์")</f>
        <v>MBC เอสโซ่ วัดโบสถ์</v>
      </c>
      <c r="P508" s="4">
        <f>IFERROR(__xludf.DUMMYFUNCTION("""COMPUTED_VALUE"""),41607.0)</f>
        <v>41607</v>
      </c>
      <c r="Q508" s="3" t="str">
        <f>IFERROR(__xludf.DUMMYFUNCTION("""COMPUTED_VALUE"""),"A")</f>
        <v>A</v>
      </c>
      <c r="R508" s="3" t="str">
        <f>IFERROR(__xludf.DUMMYFUNCTION("""COMPUTED_VALUE"""),"Small Format")</f>
        <v>Small Format</v>
      </c>
      <c r="S508" s="3" t="str">
        <f>IFERROR(__xludf.DUMMYFUNCTION("""COMPUTED_VALUE"""),"BCM")</f>
        <v>BCM</v>
      </c>
      <c r="T508" s="3" t="str">
        <f>IFERROR(__xludf.DUMMYFUNCTION("""COMPUTED_VALUE"""),"#N/A")</f>
        <v>#N/A</v>
      </c>
      <c r="U508" s="3" t="str">
        <f>IFERROR(__xludf.DUMMYFUNCTION("""COMPUTED_VALUE"""),"#N/A")</f>
        <v>#N/A</v>
      </c>
      <c r="V508" s="3" t="str">
        <f>IFERROR(__xludf.DUMMYFUNCTION("""COMPUTED_VALUE"""),"N")</f>
        <v>N</v>
      </c>
      <c r="W508" s="3">
        <f>IFERROR(__xludf.DUMMYFUNCTION("""COMPUTED_VALUE"""),211281.0)</f>
        <v>211281</v>
      </c>
      <c r="X508" s="3" t="str">
        <f>IFERROR(__xludf.DUMMYFUNCTION("""COMPUTED_VALUE"""),"489/14-15 ถนนนารายณ์มหาราช ตำบลทะเลชุบศร อำเภอเมืองลพบุรี จังหวัดลพบุรี 15000")</f>
        <v>489/14-15 ถนนนารายณ์มหาราช ตำบลทะเลชุบศร อำเภอเมืองลพบุรี จังหวัดลพบุรี 15000</v>
      </c>
      <c r="Y508" s="3" t="str">
        <f>IFERROR(__xludf.DUMMYFUNCTION("""COMPUTED_VALUE"""),"ถนนนารายณ์มหาราช")</f>
        <v>ถนนนารายณ์มหาราช</v>
      </c>
      <c r="Z508" s="3" t="str">
        <f>IFERROR(__xludf.DUMMYFUNCTION("""COMPUTED_VALUE"""),"ทะเลชุบศร")</f>
        <v>ทะเลชุบศร</v>
      </c>
      <c r="AA508" s="3" t="str">
        <f>IFERROR(__xludf.DUMMYFUNCTION("""COMPUTED_VALUE"""),"เมือง")</f>
        <v>เมือง</v>
      </c>
      <c r="AB508" s="3" t="str">
        <f>IFERROR(__xludf.DUMMYFUNCTION("""COMPUTED_VALUE"""),"ลพบุรี")</f>
        <v>ลพบุรี</v>
      </c>
      <c r="AC508" s="3">
        <f>IFERROR(__xludf.DUMMYFUNCTION("""COMPUTED_VALUE"""),15000.0)</f>
        <v>15000</v>
      </c>
      <c r="AD508" s="3">
        <f>IFERROR(__xludf.DUMMYFUNCTION("""COMPUTED_VALUE"""),14.798187)</f>
        <v>14.798187</v>
      </c>
      <c r="AE508" s="3">
        <f>IFERROR(__xludf.DUMMYFUNCTION("""COMPUTED_VALUE"""),100.632877)</f>
        <v>100.632877</v>
      </c>
      <c r="AF508" s="3" t="str">
        <f>IFERROR(__xludf.DUMMYFUNCTION("""COMPUTED_VALUE"""),"MBC ตลาดสระแก้ว-21273")</f>
        <v>MBC ตลาดสระแก้ว-21273</v>
      </c>
      <c r="AG508" s="3" t="str">
        <f>IFERROR(__xludf.DUMMYFUNCTION("""COMPUTED_VALUE"""),"กลาง")</f>
        <v>กลาง</v>
      </c>
      <c r="AH508" s="3" t="str">
        <f>IFERROR(__xludf.DUMMYFUNCTION("""COMPUTED_VALUE"""),"#N/A")</f>
        <v>#N/A</v>
      </c>
      <c r="AI508" s="3" t="str">
        <f>IFERROR(__xludf.DUMMYFUNCTION("""COMPUTED_VALUE"""),"Out of warranty")</f>
        <v>Out of warranty</v>
      </c>
      <c r="AJ508" s="3">
        <f>IFERROR(__xludf.DUMMYFUNCTION("""COMPUTED_VALUE"""),146.0)</f>
        <v>146</v>
      </c>
      <c r="AK508" s="3" t="str">
        <f>IFERROR(__xludf.DUMMYFUNCTION("""COMPUTED_VALUE"""),"MMS09")</f>
        <v>MMS09</v>
      </c>
      <c r="AL508" s="3"/>
    </row>
    <row r="509" ht="15.75" customHeight="1">
      <c r="A509" s="1" t="str">
        <f>IFERROR(__xludf.DUMMYFUNCTION("""COMPUTED_VALUE"""),"21274")</f>
        <v>21274</v>
      </c>
      <c r="B509" s="2">
        <f>IFERROR(__xludf.DUMMYFUNCTION("""COMPUTED_VALUE"""),21274.0)</f>
        <v>21274</v>
      </c>
      <c r="C509" s="3" t="str">
        <f>IFERROR(__xludf.DUMMYFUNCTION("""COMPUTED_VALUE"""),"MBC BCP วิภาฯ กม.12")</f>
        <v>MBC BCP วิภาฯ กม.12</v>
      </c>
      <c r="D509" s="3" t="str">
        <f>IFERROR(__xludf.DUMMYFUNCTION("""COMPUTED_VALUE"""),"BCM BCP VIBHA KM.12")</f>
        <v>BCM BCP VIBHA KM.12</v>
      </c>
      <c r="E509" s="1" t="str">
        <f>IFERROR(__xludf.DUMMYFUNCTION("""COMPUTED_VALUE"""),"บิ๊กซี MINI")</f>
        <v>บิ๊กซี MINI</v>
      </c>
      <c r="F509" s="1" t="str">
        <f>IFERROR(__xludf.DUMMYFUNCTION("""COMPUTED_VALUE"""),"291008")</f>
        <v>291008</v>
      </c>
      <c r="G509" s="1" t="str">
        <f>IFERROR(__xludf.DUMMYFUNCTION("""COMPUTED_VALUE"""),"น.ส.รัชดาพร อีศรัตน์")</f>
        <v>น.ส.รัชดาพร อีศรัตน์</v>
      </c>
      <c r="H509" s="1" t="str">
        <f>IFERROR(__xludf.DUMMYFUNCTION("""COMPUTED_VALUE"""),"373540")</f>
        <v>373540</v>
      </c>
      <c r="I509" s="1" t="str">
        <f>IFERROR(__xludf.DUMMYFUNCTION("""COMPUTED_VALUE"""),"นายทศพร พึ่งพบ")</f>
        <v>นายทศพร พึ่งพบ</v>
      </c>
      <c r="J509" s="3">
        <f>IFERROR(__xludf.DUMMYFUNCTION("""COMPUTED_VALUE"""),2452378.0)</f>
        <v>2452378</v>
      </c>
      <c r="K509" s="3" t="str">
        <f>IFERROR(__xludf.DUMMYFUNCTION("""COMPUTED_VALUE"""),"นายศักดิ์ดา พวงประดับ")</f>
        <v>นายศักดิ์ดา พวงประดับ</v>
      </c>
      <c r="L509" s="1" t="str">
        <f>IFERROR(__xludf.DUMMYFUNCTION("""COMPUTED_VALUE"""),"11 K.Sakda P.")</f>
        <v>11 K.Sakda P.</v>
      </c>
      <c r="M509" s="1" t="str">
        <f>IFERROR(__xludf.DUMMYFUNCTION("""COMPUTED_VALUE"""),"065-929-1279")</f>
        <v>065-929-1279</v>
      </c>
      <c r="N509" s="3">
        <f>IFERROR(__xludf.DUMMYFUNCTION("""COMPUTED_VALUE"""),21002.0)</f>
        <v>21002</v>
      </c>
      <c r="O509" s="3" t="str">
        <f>IFERROR(__xludf.DUMMYFUNCTION("""COMPUTED_VALUE"""),"MBC อุดมสุข")</f>
        <v>MBC อุดมสุข</v>
      </c>
      <c r="P509" s="4">
        <f>IFERROR(__xludf.DUMMYFUNCTION("""COMPUTED_VALUE"""),41608.0)</f>
        <v>41608</v>
      </c>
      <c r="Q509" s="3" t="str">
        <f>IFERROR(__xludf.DUMMYFUNCTION("""COMPUTED_VALUE"""),"A")</f>
        <v>A</v>
      </c>
      <c r="R509" s="3" t="str">
        <f>IFERROR(__xludf.DUMMYFUNCTION("""COMPUTED_VALUE"""),"Small Format")</f>
        <v>Small Format</v>
      </c>
      <c r="S509" s="3" t="str">
        <f>IFERROR(__xludf.DUMMYFUNCTION("""COMPUTED_VALUE"""),"BCM")</f>
        <v>BCM</v>
      </c>
      <c r="T509" s="3" t="str">
        <f>IFERROR(__xludf.DUMMYFUNCTION("""COMPUTED_VALUE"""),"#N/A")</f>
        <v>#N/A</v>
      </c>
      <c r="U509" s="3" t="str">
        <f>IFERROR(__xludf.DUMMYFUNCTION("""COMPUTED_VALUE"""),"#N/A")</f>
        <v>#N/A</v>
      </c>
      <c r="V509" s="3" t="str">
        <f>IFERROR(__xludf.DUMMYFUNCTION("""COMPUTED_VALUE"""),"N")</f>
        <v>N</v>
      </c>
      <c r="W509" s="3">
        <f>IFERROR(__xludf.DUMMYFUNCTION("""COMPUTED_VALUE"""),361049.0)</f>
        <v>361049</v>
      </c>
      <c r="X509" s="3" t="str">
        <f>IFERROR(__xludf.DUMMYFUNCTION("""COMPUTED_VALUE"""),"1079 ถนนวิภาวดีรังสิต แขวงจตุจักร เขตจตุจักร กรุงเทพมหานคร 10900")</f>
        <v>1079 ถนนวิภาวดีรังสิต แขวงจตุจักร เขตจตุจักร กรุงเทพมหานคร 10900</v>
      </c>
      <c r="Y509" s="3" t="str">
        <f>IFERROR(__xludf.DUMMYFUNCTION("""COMPUTED_VALUE"""),"ถนนวิภาวดีรังสิต")</f>
        <v>ถนนวิภาวดีรังสิต</v>
      </c>
      <c r="Z509" s="3" t="str">
        <f>IFERROR(__xludf.DUMMYFUNCTION("""COMPUTED_VALUE"""),"จตุจักร")</f>
        <v>จตุจักร</v>
      </c>
      <c r="AA509" s="3" t="str">
        <f>IFERROR(__xludf.DUMMYFUNCTION("""COMPUTED_VALUE"""),"จตุจักร")</f>
        <v>จตุจักร</v>
      </c>
      <c r="AB509" s="3" t="str">
        <f>IFERROR(__xludf.DUMMYFUNCTION("""COMPUTED_VALUE"""),"กรุงเทพมหานคร")</f>
        <v>กรุงเทพมหานคร</v>
      </c>
      <c r="AC509" s="3">
        <f>IFERROR(__xludf.DUMMYFUNCTION("""COMPUTED_VALUE"""),10900.0)</f>
        <v>10900</v>
      </c>
      <c r="AD509" s="3">
        <f>IFERROR(__xludf.DUMMYFUNCTION("""COMPUTED_VALUE"""),13.82399)</f>
        <v>13.82399</v>
      </c>
      <c r="AE509" s="3">
        <f>IFERROR(__xludf.DUMMYFUNCTION("""COMPUTED_VALUE"""),100.5577)</f>
        <v>100.5577</v>
      </c>
      <c r="AF509" s="3" t="str">
        <f>IFERROR(__xludf.DUMMYFUNCTION("""COMPUTED_VALUE"""),"MBC BCP วิภาฯ กม.12-21274")</f>
        <v>MBC BCP วิภาฯ กม.12-21274</v>
      </c>
      <c r="AG509" s="3" t="str">
        <f>IFERROR(__xludf.DUMMYFUNCTION("""COMPUTED_VALUE"""),"กลาง")</f>
        <v>กลาง</v>
      </c>
      <c r="AH509" s="3" t="str">
        <f>IFERROR(__xludf.DUMMYFUNCTION("""COMPUTED_VALUE"""),"#N/A")</f>
        <v>#N/A</v>
      </c>
      <c r="AI509" s="3" t="str">
        <f>IFERROR(__xludf.DUMMYFUNCTION("""COMPUTED_VALUE"""),"Out of warranty")</f>
        <v>Out of warranty</v>
      </c>
      <c r="AJ509" s="3">
        <f>IFERROR(__xludf.DUMMYFUNCTION("""COMPUTED_VALUE"""),146.0)</f>
        <v>146</v>
      </c>
      <c r="AK509" s="3" t="str">
        <f>IFERROR(__xludf.DUMMYFUNCTION("""COMPUTED_VALUE"""),"MMS01")</f>
        <v>MMS01</v>
      </c>
      <c r="AL509" s="3"/>
    </row>
    <row r="510" ht="15.75" customHeight="1">
      <c r="A510" s="1" t="str">
        <f>IFERROR(__xludf.DUMMYFUNCTION("""COMPUTED_VALUE"""),"21275")</f>
        <v>21275</v>
      </c>
      <c r="B510" s="2">
        <f>IFERROR(__xludf.DUMMYFUNCTION("""COMPUTED_VALUE"""),21275.0)</f>
        <v>21275</v>
      </c>
      <c r="C510" s="3" t="str">
        <f>IFERROR(__xludf.DUMMYFUNCTION("""COMPUTED_VALUE"""),"MBC BCP วิภาฯ กม.17")</f>
        <v>MBC BCP วิภาฯ กม.17</v>
      </c>
      <c r="D510" s="3" t="str">
        <f>IFERROR(__xludf.DUMMYFUNCTION("""COMPUTED_VALUE"""),"BCM BCP VIBHA KM.17")</f>
        <v>BCM BCP VIBHA KM.17</v>
      </c>
      <c r="E510" s="1" t="str">
        <f>IFERROR(__xludf.DUMMYFUNCTION("""COMPUTED_VALUE"""),"บิ๊กซี MINI")</f>
        <v>บิ๊กซี MINI</v>
      </c>
      <c r="F510" s="1" t="str">
        <f>IFERROR(__xludf.DUMMYFUNCTION("""COMPUTED_VALUE"""),"291008")</f>
        <v>291008</v>
      </c>
      <c r="G510" s="1" t="str">
        <f>IFERROR(__xludf.DUMMYFUNCTION("""COMPUTED_VALUE"""),"น.ส.รัชดาพร อีศรัตน์")</f>
        <v>น.ส.รัชดาพร อีศรัตน์</v>
      </c>
      <c r="H510" s="1" t="str">
        <f>IFERROR(__xludf.DUMMYFUNCTION("""COMPUTED_VALUE"""),"373540")</f>
        <v>373540</v>
      </c>
      <c r="I510" s="1" t="str">
        <f>IFERROR(__xludf.DUMMYFUNCTION("""COMPUTED_VALUE"""),"นายทศพร พึ่งพบ")</f>
        <v>นายทศพร พึ่งพบ</v>
      </c>
      <c r="J510" s="3">
        <f>IFERROR(__xludf.DUMMYFUNCTION("""COMPUTED_VALUE"""),2452378.0)</f>
        <v>2452378</v>
      </c>
      <c r="K510" s="3" t="str">
        <f>IFERROR(__xludf.DUMMYFUNCTION("""COMPUTED_VALUE"""),"นายศักดิ์ดา พวงประดับ")</f>
        <v>นายศักดิ์ดา พวงประดับ</v>
      </c>
      <c r="L510" s="1" t="str">
        <f>IFERROR(__xludf.DUMMYFUNCTION("""COMPUTED_VALUE"""),"11 K.Sakda P.")</f>
        <v>11 K.Sakda P.</v>
      </c>
      <c r="M510" s="1" t="str">
        <f>IFERROR(__xludf.DUMMYFUNCTION("""COMPUTED_VALUE"""),"065-929-1279")</f>
        <v>065-929-1279</v>
      </c>
      <c r="N510" s="3">
        <f>IFERROR(__xludf.DUMMYFUNCTION("""COMPUTED_VALUE"""),21002.0)</f>
        <v>21002</v>
      </c>
      <c r="O510" s="3" t="str">
        <f>IFERROR(__xludf.DUMMYFUNCTION("""COMPUTED_VALUE"""),"MBC อุดมสุข")</f>
        <v>MBC อุดมสุข</v>
      </c>
      <c r="P510" s="4">
        <f>IFERROR(__xludf.DUMMYFUNCTION("""COMPUTED_VALUE"""),41608.0)</f>
        <v>41608</v>
      </c>
      <c r="Q510" s="3" t="str">
        <f>IFERROR(__xludf.DUMMYFUNCTION("""COMPUTED_VALUE"""),"A")</f>
        <v>A</v>
      </c>
      <c r="R510" s="3" t="str">
        <f>IFERROR(__xludf.DUMMYFUNCTION("""COMPUTED_VALUE"""),"Small Format")</f>
        <v>Small Format</v>
      </c>
      <c r="S510" s="3" t="str">
        <f>IFERROR(__xludf.DUMMYFUNCTION("""COMPUTED_VALUE"""),"BCM")</f>
        <v>BCM</v>
      </c>
      <c r="T510" s="3" t="str">
        <f>IFERROR(__xludf.DUMMYFUNCTION("""COMPUTED_VALUE"""),"#N/A")</f>
        <v>#N/A</v>
      </c>
      <c r="U510" s="3" t="str">
        <f>IFERROR(__xludf.DUMMYFUNCTION("""COMPUTED_VALUE"""),"#N/A")</f>
        <v>#N/A</v>
      </c>
      <c r="V510" s="3" t="str">
        <f>IFERROR(__xludf.DUMMYFUNCTION("""COMPUTED_VALUE"""),"N")</f>
        <v>N</v>
      </c>
      <c r="W510" s="3">
        <f>IFERROR(__xludf.DUMMYFUNCTION("""COMPUTED_VALUE"""),361050.0)</f>
        <v>361050</v>
      </c>
      <c r="X510" s="3" t="str">
        <f>IFERROR(__xludf.DUMMYFUNCTION("""COMPUTED_VALUE"""),"21/44 ถนนวิภาวดีรังสิต แขวงตลาดบางเขน เขตหลักสี่ กรุงเทพมหานคร 10210")</f>
        <v>21/44 ถนนวิภาวดีรังสิต แขวงตลาดบางเขน เขตหลักสี่ กรุงเทพมหานคร 10210</v>
      </c>
      <c r="Y510" s="3" t="str">
        <f>IFERROR(__xludf.DUMMYFUNCTION("""COMPUTED_VALUE"""),"ถนนวิภาวดีรังสิต")</f>
        <v>ถนนวิภาวดีรังสิต</v>
      </c>
      <c r="Z510" s="3" t="str">
        <f>IFERROR(__xludf.DUMMYFUNCTION("""COMPUTED_VALUE"""),"ตลาดบางเขน")</f>
        <v>ตลาดบางเขน</v>
      </c>
      <c r="AA510" s="3" t="str">
        <f>IFERROR(__xludf.DUMMYFUNCTION("""COMPUTED_VALUE"""),"หลักสี่")</f>
        <v>หลักสี่</v>
      </c>
      <c r="AB510" s="3" t="str">
        <f>IFERROR(__xludf.DUMMYFUNCTION("""COMPUTED_VALUE"""),"กรุงเทพมหานคร")</f>
        <v>กรุงเทพมหานคร</v>
      </c>
      <c r="AC510" s="3">
        <f>IFERROR(__xludf.DUMMYFUNCTION("""COMPUTED_VALUE"""),10210.0)</f>
        <v>10210</v>
      </c>
      <c r="AD510" s="3">
        <f>IFERROR(__xludf.DUMMYFUNCTION("""COMPUTED_VALUE"""),13.866445)</f>
        <v>13.866445</v>
      </c>
      <c r="AE510" s="3">
        <f>IFERROR(__xludf.DUMMYFUNCTION("""COMPUTED_VALUE"""),100.57227)</f>
        <v>100.57227</v>
      </c>
      <c r="AF510" s="3" t="str">
        <f>IFERROR(__xludf.DUMMYFUNCTION("""COMPUTED_VALUE"""),"MBC BCP วิภาฯ กม.17-21275")</f>
        <v>MBC BCP วิภาฯ กม.17-21275</v>
      </c>
      <c r="AG510" s="3" t="str">
        <f>IFERROR(__xludf.DUMMYFUNCTION("""COMPUTED_VALUE"""),"กลาง")</f>
        <v>กลาง</v>
      </c>
      <c r="AH510" s="3" t="str">
        <f>IFERROR(__xludf.DUMMYFUNCTION("""COMPUTED_VALUE"""),"#N/A")</f>
        <v>#N/A</v>
      </c>
      <c r="AI510" s="3" t="str">
        <f>IFERROR(__xludf.DUMMYFUNCTION("""COMPUTED_VALUE"""),"Out of warranty")</f>
        <v>Out of warranty</v>
      </c>
      <c r="AJ510" s="3">
        <f>IFERROR(__xludf.DUMMYFUNCTION("""COMPUTED_VALUE"""),146.0)</f>
        <v>146</v>
      </c>
      <c r="AK510" s="3" t="str">
        <f>IFERROR(__xludf.DUMMYFUNCTION("""COMPUTED_VALUE"""),"MMS01")</f>
        <v>MMS01</v>
      </c>
      <c r="AL510" s="3"/>
    </row>
    <row r="511" ht="15.75" customHeight="1">
      <c r="A511" s="1" t="str">
        <f>IFERROR(__xludf.DUMMYFUNCTION("""COMPUTED_VALUE"""),"21276")</f>
        <v>21276</v>
      </c>
      <c r="B511" s="2">
        <f>IFERROR(__xludf.DUMMYFUNCTION("""COMPUTED_VALUE"""),21276.0)</f>
        <v>21276</v>
      </c>
      <c r="C511" s="3" t="str">
        <f>IFERROR(__xludf.DUMMYFUNCTION("""COMPUTED_VALUE"""),"MBC BCP แก่งคอย2")</f>
        <v>MBC BCP แก่งคอย2</v>
      </c>
      <c r="D511" s="3" t="str">
        <f>IFERROR(__xludf.DUMMYFUNCTION("""COMPUTED_VALUE"""),"BCM BCP KAENGKHOI 2")</f>
        <v>BCM BCP KAENGKHOI 2</v>
      </c>
      <c r="E511" s="1" t="str">
        <f>IFERROR(__xludf.DUMMYFUNCTION("""COMPUTED_VALUE"""),"บิ๊กซี MINI")</f>
        <v>บิ๊กซี MINI</v>
      </c>
      <c r="F511" s="1" t="str">
        <f>IFERROR(__xludf.DUMMYFUNCTION("""COMPUTED_VALUE"""),"296229")</f>
        <v>296229</v>
      </c>
      <c r="G511" s="1" t="str">
        <f>IFERROR(__xludf.DUMMYFUNCTION("""COMPUTED_VALUE"""),"นายทนงศักดิ์ บุญมา")</f>
        <v>นายทนงศักดิ์ บุญมา</v>
      </c>
      <c r="H511" s="1" t="str">
        <f>IFERROR(__xludf.DUMMYFUNCTION("""COMPUTED_VALUE"""),"318233")</f>
        <v>318233</v>
      </c>
      <c r="I511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511" s="3">
        <f>IFERROR(__xludf.DUMMYFUNCTION("""COMPUTED_VALUE"""),46214.0)</f>
        <v>46214</v>
      </c>
      <c r="K511" s="3" t="str">
        <f>IFERROR(__xludf.DUMMYFUNCTION("""COMPUTED_VALUE"""),"นายศักดิ์ชัย เด็ดดอกฟ้า")</f>
        <v>นายศักดิ์ชัย เด็ดดอกฟ้า</v>
      </c>
      <c r="L511" s="1" t="str">
        <f>IFERROR(__xludf.DUMMYFUNCTION("""COMPUTED_VALUE"""),"02 K.Sakchai D")</f>
        <v>02 K.Sakchai D</v>
      </c>
      <c r="M511" s="1" t="str">
        <f>IFERROR(__xludf.DUMMYFUNCTION("""COMPUTED_VALUE"""),"065-510-7376")</f>
        <v>065-510-7376</v>
      </c>
      <c r="N511" s="3">
        <f>IFERROR(__xludf.DUMMYFUNCTION("""COMPUTED_VALUE"""),21714.0)</f>
        <v>21714</v>
      </c>
      <c r="O511" s="3" t="str">
        <f>IFERROR(__xludf.DUMMYFUNCTION("""COMPUTED_VALUE"""),"MBC เอสโซ่ วัดโบสถ์")</f>
        <v>MBC เอสโซ่ วัดโบสถ์</v>
      </c>
      <c r="P511" s="4">
        <f>IFERROR(__xludf.DUMMYFUNCTION("""COMPUTED_VALUE"""),41608.0)</f>
        <v>41608</v>
      </c>
      <c r="Q511" s="3" t="str">
        <f>IFERROR(__xludf.DUMMYFUNCTION("""COMPUTED_VALUE"""),"I")</f>
        <v>I</v>
      </c>
      <c r="R511" s="3" t="str">
        <f>IFERROR(__xludf.DUMMYFUNCTION("""COMPUTED_VALUE"""),"Small Format")</f>
        <v>Small Format</v>
      </c>
      <c r="S511" s="3" t="str">
        <f>IFERROR(__xludf.DUMMYFUNCTION("""COMPUTED_VALUE"""),"BCM")</f>
        <v>BCM</v>
      </c>
      <c r="T511" s="3" t="str">
        <f>IFERROR(__xludf.DUMMYFUNCTION("""COMPUTED_VALUE"""),"#N/A")</f>
        <v>#N/A</v>
      </c>
      <c r="U511" s="3" t="str">
        <f>IFERROR(__xludf.DUMMYFUNCTION("""COMPUTED_VALUE"""),"#N/A")</f>
        <v>#N/A</v>
      </c>
      <c r="V511" s="3" t="str">
        <f>IFERROR(__xludf.DUMMYFUNCTION("""COMPUTED_VALUE"""),"N")</f>
        <v>N</v>
      </c>
      <c r="W511" s="3">
        <f>IFERROR(__xludf.DUMMYFUNCTION("""COMPUTED_VALUE"""),361086.0)</f>
        <v>361086</v>
      </c>
      <c r="X511" s="3" t="str">
        <f>IFERROR(__xludf.DUMMYFUNCTION("""COMPUTED_VALUE"""),"155/8 หมู่ 7 ตำบลตาลเดี่ยว อำเภอแก่งคอย จังหวัดสระบุรี 18110")</f>
        <v>155/8 หมู่ 7 ตำบลตาลเดี่ยว อำเภอแก่งคอย จังหวัดสระบุรี 18110</v>
      </c>
      <c r="Y511" s="3"/>
      <c r="Z511" s="3" t="str">
        <f>IFERROR(__xludf.DUMMYFUNCTION("""COMPUTED_VALUE"""),"ตาลเดี่ยว")</f>
        <v>ตาลเดี่ยว</v>
      </c>
      <c r="AA511" s="3" t="str">
        <f>IFERROR(__xludf.DUMMYFUNCTION("""COMPUTED_VALUE"""),"แก่งคอย")</f>
        <v>แก่งคอย</v>
      </c>
      <c r="AB511" s="3" t="str">
        <f>IFERROR(__xludf.DUMMYFUNCTION("""COMPUTED_VALUE"""),"สระบุรี")</f>
        <v>สระบุรี</v>
      </c>
      <c r="AC511" s="3">
        <f>IFERROR(__xludf.DUMMYFUNCTION("""COMPUTED_VALUE"""),18110.0)</f>
        <v>18110</v>
      </c>
      <c r="AD511" s="3">
        <f>IFERROR(__xludf.DUMMYFUNCTION("""COMPUTED_VALUE"""),14.575537)</f>
        <v>14.575537</v>
      </c>
      <c r="AE511" s="3">
        <f>IFERROR(__xludf.DUMMYFUNCTION("""COMPUTED_VALUE"""),100.99533)</f>
        <v>100.99533</v>
      </c>
      <c r="AF511" s="3" t="str">
        <f>IFERROR(__xludf.DUMMYFUNCTION("""COMPUTED_VALUE"""),"MBC BCP แก่งคอย2-21276")</f>
        <v>MBC BCP แก่งคอย2-21276</v>
      </c>
      <c r="AG511" s="3" t="str">
        <f>IFERROR(__xludf.DUMMYFUNCTION("""COMPUTED_VALUE"""),"กลาง")</f>
        <v>กลาง</v>
      </c>
      <c r="AH511" s="3" t="str">
        <f>IFERROR(__xludf.DUMMYFUNCTION("""COMPUTED_VALUE"""),"#N/A")</f>
        <v>#N/A</v>
      </c>
      <c r="AI511" s="3" t="str">
        <f>IFERROR(__xludf.DUMMYFUNCTION("""COMPUTED_VALUE"""),"Out of warranty")</f>
        <v>Out of warranty</v>
      </c>
      <c r="AJ511" s="3">
        <f>IFERROR(__xludf.DUMMYFUNCTION("""COMPUTED_VALUE"""),146.0)</f>
        <v>146</v>
      </c>
      <c r="AK511" s="3" t="str">
        <f>IFERROR(__xludf.DUMMYFUNCTION("""COMPUTED_VALUE"""),"MMS09")</f>
        <v>MMS09</v>
      </c>
      <c r="AL511" s="3"/>
    </row>
    <row r="512" ht="15.75" customHeight="1">
      <c r="A512" s="1" t="str">
        <f>IFERROR(__xludf.DUMMYFUNCTION("""COMPUTED_VALUE"""),"21277")</f>
        <v>21277</v>
      </c>
      <c r="B512" s="2">
        <f>IFERROR(__xludf.DUMMYFUNCTION("""COMPUTED_VALUE"""),21277.0)</f>
        <v>21277</v>
      </c>
      <c r="C512" s="3" t="str">
        <f>IFERROR(__xludf.DUMMYFUNCTION("""COMPUTED_VALUE"""),"MBC BCP เทศฯบางปู77")</f>
        <v>MBC BCP เทศฯบางปู77</v>
      </c>
      <c r="D512" s="3" t="str">
        <f>IFERROR(__xludf.DUMMYFUNCTION("""COMPUTED_VALUE"""),"BCM BCP TES BANGPU 77")</f>
        <v>BCM BCP TES BANGPU 77</v>
      </c>
      <c r="E512" s="1" t="str">
        <f>IFERROR(__xludf.DUMMYFUNCTION("""COMPUTED_VALUE"""),"บิ๊กซี MINI")</f>
        <v>บิ๊กซี MINI</v>
      </c>
      <c r="F512" s="1" t="str">
        <f>IFERROR(__xludf.DUMMYFUNCTION("""COMPUTED_VALUE"""),"2083447")</f>
        <v>2083447</v>
      </c>
      <c r="G512" s="1" t="str">
        <f>IFERROR(__xludf.DUMMYFUNCTION("""COMPUTED_VALUE"""),"นายอนุกูล ศรีลัดดา")</f>
        <v>นายอนุกูล ศรีลัดดา</v>
      </c>
      <c r="H512" s="1" t="str">
        <f>IFERROR(__xludf.DUMMYFUNCTION("""COMPUTED_VALUE"""),"399107")</f>
        <v>399107</v>
      </c>
      <c r="I512" s="1" t="str">
        <f>IFERROR(__xludf.DUMMYFUNCTION("""COMPUTED_VALUE"""),"นายรัชระวี กลมแป้น")</f>
        <v>นายรัชระวี กลมแป้น</v>
      </c>
      <c r="J512" s="3">
        <f>IFERROR(__xludf.DUMMYFUNCTION("""COMPUTED_VALUE"""),510143.0)</f>
        <v>510143</v>
      </c>
      <c r="K512" s="3" t="str">
        <f>IFERROR(__xludf.DUMMYFUNCTION("""COMPUTED_VALUE"""),"นายธีระวัฒน์ บุญสิทธิ์")</f>
        <v>นายธีระวัฒน์ บุญสิทธิ์</v>
      </c>
      <c r="L512" s="1" t="str">
        <f>IFERROR(__xludf.DUMMYFUNCTION("""COMPUTED_VALUE"""),"12 K.Theerawat B.")</f>
        <v>12 K.Theerawat B.</v>
      </c>
      <c r="M512" s="1" t="str">
        <f>IFERROR(__xludf.DUMMYFUNCTION("""COMPUTED_VALUE"""),"0655107379")</f>
        <v>0655107379</v>
      </c>
      <c r="N512" s="3">
        <f>IFERROR(__xludf.DUMMYFUNCTION("""COMPUTED_VALUE"""),21062.0)</f>
        <v>21062</v>
      </c>
      <c r="O512" s="3" t="str">
        <f>IFERROR(__xludf.DUMMYFUNCTION("""COMPUTED_VALUE"""),"MBC นิคมนวนคร")</f>
        <v>MBC นิคมนวนคร</v>
      </c>
      <c r="P512" s="4">
        <f>IFERROR(__xludf.DUMMYFUNCTION("""COMPUTED_VALUE"""),41608.0)</f>
        <v>41608</v>
      </c>
      <c r="Q512" s="3" t="str">
        <f>IFERROR(__xludf.DUMMYFUNCTION("""COMPUTED_VALUE"""),"A")</f>
        <v>A</v>
      </c>
      <c r="R512" s="3" t="str">
        <f>IFERROR(__xludf.DUMMYFUNCTION("""COMPUTED_VALUE"""),"Small Format")</f>
        <v>Small Format</v>
      </c>
      <c r="S512" s="3" t="str">
        <f>IFERROR(__xludf.DUMMYFUNCTION("""COMPUTED_VALUE"""),"BCM")</f>
        <v>BCM</v>
      </c>
      <c r="T512" s="3" t="str">
        <f>IFERROR(__xludf.DUMMYFUNCTION("""COMPUTED_VALUE"""),"#N/A")</f>
        <v>#N/A</v>
      </c>
      <c r="U512" s="3" t="str">
        <f>IFERROR(__xludf.DUMMYFUNCTION("""COMPUTED_VALUE"""),"#N/A")</f>
        <v>#N/A</v>
      </c>
      <c r="V512" s="3" t="str">
        <f>IFERROR(__xludf.DUMMYFUNCTION("""COMPUTED_VALUE"""),"N")</f>
        <v>N</v>
      </c>
      <c r="W512" s="3">
        <f>IFERROR(__xludf.DUMMYFUNCTION("""COMPUTED_VALUE"""),361085.0)</f>
        <v>361085</v>
      </c>
      <c r="X512" s="3" t="str">
        <f>IFERROR(__xludf.DUMMYFUNCTION("""COMPUTED_VALUE"""),"272 หมู่ 2 ตำบลบางปูใหม่ อำเภอเมืองสมุทรปราการ จังหวัดสมุทรปราการ 10280")</f>
        <v>272 หมู่ 2 ตำบลบางปูใหม่ อำเภอเมืองสมุทรปราการ จังหวัดสมุทรปราการ 10280</v>
      </c>
      <c r="Y512" s="3"/>
      <c r="Z512" s="3" t="str">
        <f>IFERROR(__xludf.DUMMYFUNCTION("""COMPUTED_VALUE"""),"บางปูใหม่")</f>
        <v>บางปูใหม่</v>
      </c>
      <c r="AA512" s="3" t="str">
        <f>IFERROR(__xludf.DUMMYFUNCTION("""COMPUTED_VALUE"""),"เมืองสมุทรปราการ")</f>
        <v>เมืองสมุทรปราการ</v>
      </c>
      <c r="AB512" s="3" t="str">
        <f>IFERROR(__xludf.DUMMYFUNCTION("""COMPUTED_VALUE"""),"สมุทรปราการ")</f>
        <v>สมุทรปราการ</v>
      </c>
      <c r="AC512" s="3">
        <f>IFERROR(__xludf.DUMMYFUNCTION("""COMPUTED_VALUE"""),10280.0)</f>
        <v>10280</v>
      </c>
      <c r="AD512" s="3">
        <f>IFERROR(__xludf.DUMMYFUNCTION("""COMPUTED_VALUE"""),13.53424)</f>
        <v>13.53424</v>
      </c>
      <c r="AE512" s="3">
        <f>IFERROR(__xludf.DUMMYFUNCTION("""COMPUTED_VALUE"""),100.65852)</f>
        <v>100.65852</v>
      </c>
      <c r="AF512" s="3" t="str">
        <f>IFERROR(__xludf.DUMMYFUNCTION("""COMPUTED_VALUE"""),"MBC BCP เทศฯบางปู77-21277")</f>
        <v>MBC BCP เทศฯบางปู77-21277</v>
      </c>
      <c r="AG512" s="3" t="str">
        <f>IFERROR(__xludf.DUMMYFUNCTION("""COMPUTED_VALUE"""),"กลาง")</f>
        <v>กลาง</v>
      </c>
      <c r="AH512" s="3" t="str">
        <f>IFERROR(__xludf.DUMMYFUNCTION("""COMPUTED_VALUE"""),"#N/A")</f>
        <v>#N/A</v>
      </c>
      <c r="AI512" s="3" t="str">
        <f>IFERROR(__xludf.DUMMYFUNCTION("""COMPUTED_VALUE"""),"Out of warranty")</f>
        <v>Out of warranty</v>
      </c>
      <c r="AJ512" s="3">
        <f>IFERROR(__xludf.DUMMYFUNCTION("""COMPUTED_VALUE"""),146.0)</f>
        <v>146</v>
      </c>
      <c r="AK512" s="3" t="str">
        <f>IFERROR(__xludf.DUMMYFUNCTION("""COMPUTED_VALUE"""),"MMS03")</f>
        <v>MMS03</v>
      </c>
      <c r="AL512" s="3"/>
    </row>
    <row r="513" ht="15.75" customHeight="1">
      <c r="A513" s="1" t="str">
        <f>IFERROR(__xludf.DUMMYFUNCTION("""COMPUTED_VALUE"""),"21278")</f>
        <v>21278</v>
      </c>
      <c r="B513" s="2">
        <f>IFERROR(__xludf.DUMMYFUNCTION("""COMPUTED_VALUE"""),21278.0)</f>
        <v>21278</v>
      </c>
      <c r="C513" s="3" t="str">
        <f>IFERROR(__xludf.DUMMYFUNCTION("""COMPUTED_VALUE"""),"MBC BCP จรัญฯ 95/2")</f>
        <v>MBC BCP จรัญฯ 95/2</v>
      </c>
      <c r="D513" s="3" t="str">
        <f>IFERROR(__xludf.DUMMYFUNCTION("""COMPUTED_VALUE"""),"BCM BCP CHARAN 95/2")</f>
        <v>BCM BCP CHARAN 95/2</v>
      </c>
      <c r="E513" s="1" t="str">
        <f>IFERROR(__xludf.DUMMYFUNCTION("""COMPUTED_VALUE"""),"บิ๊กซี MINI")</f>
        <v>บิ๊กซี MINI</v>
      </c>
      <c r="F513" s="1" t="str">
        <f>IFERROR(__xludf.DUMMYFUNCTION("""COMPUTED_VALUE"""),"291008")</f>
        <v>291008</v>
      </c>
      <c r="G513" s="1" t="str">
        <f>IFERROR(__xludf.DUMMYFUNCTION("""COMPUTED_VALUE"""),"น.ส.รัชดาพร อีศรัตน์")</f>
        <v>น.ส.รัชดาพร อีศรัตน์</v>
      </c>
      <c r="H513" s="1" t="str">
        <f>IFERROR(__xludf.DUMMYFUNCTION("""COMPUTED_VALUE"""),"291101")</f>
        <v>291101</v>
      </c>
      <c r="I513" s="1" t="str">
        <f>IFERROR(__xludf.DUMMYFUNCTION("""COMPUTED_VALUE"""),"นายจักรพงศ์ โพธิ์ศรี")</f>
        <v>นายจักรพงศ์ โพธิ์ศรี</v>
      </c>
      <c r="J513" s="3">
        <f>IFERROR(__xludf.DUMMYFUNCTION("""COMPUTED_VALUE"""),296608.0)</f>
        <v>296608</v>
      </c>
      <c r="K513" s="3" t="str">
        <f>IFERROR(__xludf.DUMMYFUNCTION("""COMPUTED_VALUE"""),"นายภาคภูมิ เพ็ชรนิล")</f>
        <v>นายภาคภูมิ เพ็ชรนิล</v>
      </c>
      <c r="L513" s="1" t="str">
        <f>IFERROR(__xludf.DUMMYFUNCTION("""COMPUTED_VALUE"""),"10 K.Phakphoom P.")</f>
        <v>10 K.Phakphoom P.</v>
      </c>
      <c r="M513" s="1" t="str">
        <f>IFERROR(__xludf.DUMMYFUNCTION("""COMPUTED_VALUE"""),"063-8955329")</f>
        <v>063-8955329</v>
      </c>
      <c r="N513" s="3">
        <f>IFERROR(__xludf.DUMMYFUNCTION("""COMPUTED_VALUE"""),22584.0)</f>
        <v>22584</v>
      </c>
      <c r="O513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513" s="4">
        <f>IFERROR(__xludf.DUMMYFUNCTION("""COMPUTED_VALUE"""),41633.0)</f>
        <v>41633</v>
      </c>
      <c r="Q513" s="3" t="str">
        <f>IFERROR(__xludf.DUMMYFUNCTION("""COMPUTED_VALUE"""),"A")</f>
        <v>A</v>
      </c>
      <c r="R513" s="3" t="str">
        <f>IFERROR(__xludf.DUMMYFUNCTION("""COMPUTED_VALUE"""),"Small Format")</f>
        <v>Small Format</v>
      </c>
      <c r="S513" s="3" t="str">
        <f>IFERROR(__xludf.DUMMYFUNCTION("""COMPUTED_VALUE"""),"BCM")</f>
        <v>BCM</v>
      </c>
      <c r="T513" s="3" t="str">
        <f>IFERROR(__xludf.DUMMYFUNCTION("""COMPUTED_VALUE"""),"#N/A")</f>
        <v>#N/A</v>
      </c>
      <c r="U513" s="3" t="str">
        <f>IFERROR(__xludf.DUMMYFUNCTION("""COMPUTED_VALUE"""),"#N/A")</f>
        <v>#N/A</v>
      </c>
      <c r="V513" s="3" t="str">
        <f>IFERROR(__xludf.DUMMYFUNCTION("""COMPUTED_VALUE"""),"N")</f>
        <v>N</v>
      </c>
      <c r="W513" s="3">
        <f>IFERROR(__xludf.DUMMYFUNCTION("""COMPUTED_VALUE"""),361067.0)</f>
        <v>361067</v>
      </c>
      <c r="X513" s="3" t="str">
        <f>IFERROR(__xludf.DUMMYFUNCTION("""COMPUTED_VALUE"""),"677 ถนนจรัญสนิทวงศ์ แขวงบางอ้อ เขตบางพลัด กรุงเทพมหานคร 10700")</f>
        <v>677 ถนนจรัญสนิทวงศ์ แขวงบางอ้อ เขตบางพลัด กรุงเทพมหานคร 10700</v>
      </c>
      <c r="Y513" s="3" t="str">
        <f>IFERROR(__xludf.DUMMYFUNCTION("""COMPUTED_VALUE"""),"ถนนจรัญสนิทวงศ์")</f>
        <v>ถนนจรัญสนิทวงศ์</v>
      </c>
      <c r="Z513" s="3" t="str">
        <f>IFERROR(__xludf.DUMMYFUNCTION("""COMPUTED_VALUE"""),"บางอ้อ")</f>
        <v>บางอ้อ</v>
      </c>
      <c r="AA513" s="3" t="str">
        <f>IFERROR(__xludf.DUMMYFUNCTION("""COMPUTED_VALUE"""),"บางพลัด")</f>
        <v>บางพลัด</v>
      </c>
      <c r="AB513" s="3" t="str">
        <f>IFERROR(__xludf.DUMMYFUNCTION("""COMPUTED_VALUE"""),"กรุงเทพมหานคร")</f>
        <v>กรุงเทพมหานคร</v>
      </c>
      <c r="AC513" s="3">
        <f>IFERROR(__xludf.DUMMYFUNCTION("""COMPUTED_VALUE"""),10700.0)</f>
        <v>10700</v>
      </c>
      <c r="AD513" s="3">
        <f>IFERROR(__xludf.DUMMYFUNCTION("""COMPUTED_VALUE"""),13.80609621)</f>
        <v>13.80609621</v>
      </c>
      <c r="AE513" s="3">
        <f>IFERROR(__xludf.DUMMYFUNCTION("""COMPUTED_VALUE"""),100.5120921)</f>
        <v>100.5120921</v>
      </c>
      <c r="AF513" s="3" t="str">
        <f>IFERROR(__xludf.DUMMYFUNCTION("""COMPUTED_VALUE"""),"MBC BCP จรัญฯ 95/2-21278")</f>
        <v>MBC BCP จรัญฯ 95/2-21278</v>
      </c>
      <c r="AG513" s="3" t="str">
        <f>IFERROR(__xludf.DUMMYFUNCTION("""COMPUTED_VALUE"""),"กลาง")</f>
        <v>กลาง</v>
      </c>
      <c r="AH513" s="3" t="str">
        <f>IFERROR(__xludf.DUMMYFUNCTION("""COMPUTED_VALUE"""),"#N/A")</f>
        <v>#N/A</v>
      </c>
      <c r="AI513" s="3" t="str">
        <f>IFERROR(__xludf.DUMMYFUNCTION("""COMPUTED_VALUE"""),"Out of warranty")</f>
        <v>Out of warranty</v>
      </c>
      <c r="AJ513" s="3">
        <f>IFERROR(__xludf.DUMMYFUNCTION("""COMPUTED_VALUE"""),145.0)</f>
        <v>145</v>
      </c>
      <c r="AK513" s="3" t="str">
        <f>IFERROR(__xludf.DUMMYFUNCTION("""COMPUTED_VALUE"""),"MMS01")</f>
        <v>MMS01</v>
      </c>
      <c r="AL513" s="3"/>
    </row>
    <row r="514" ht="15.75" customHeight="1">
      <c r="A514" s="1" t="str">
        <f>IFERROR(__xludf.DUMMYFUNCTION("""COMPUTED_VALUE"""),"21279")</f>
        <v>21279</v>
      </c>
      <c r="B514" s="2">
        <f>IFERROR(__xludf.DUMMYFUNCTION("""COMPUTED_VALUE"""),21279.0)</f>
        <v>21279</v>
      </c>
      <c r="C514" s="3" t="str">
        <f>IFERROR(__xludf.DUMMYFUNCTION("""COMPUTED_VALUE"""),"MBC BCP พัทยากลาง")</f>
        <v>MBC BCP พัทยากลาง</v>
      </c>
      <c r="D514" s="3" t="str">
        <f>IFERROR(__xludf.DUMMYFUNCTION("""COMPUTED_VALUE"""),"BCM BCP PATTAYA KLAN")</f>
        <v>BCM BCP PATTAYA KLAN</v>
      </c>
      <c r="E514" s="1" t="str">
        <f>IFERROR(__xludf.DUMMYFUNCTION("""COMPUTED_VALUE"""),"บิ๊กซี MINI")</f>
        <v>บิ๊กซี MINI</v>
      </c>
      <c r="F514" s="1" t="str">
        <f>IFERROR(__xludf.DUMMYFUNCTION("""COMPUTED_VALUE"""),"221716")</f>
        <v>221716</v>
      </c>
      <c r="G514" s="1" t="str">
        <f>IFERROR(__xludf.DUMMYFUNCTION("""COMPUTED_VALUE"""),"น.ส.เบญจพร โพธิสาร")</f>
        <v>น.ส.เบญจพร โพธิสาร</v>
      </c>
      <c r="H514" s="1" t="str">
        <f>IFERROR(__xludf.DUMMYFUNCTION("""COMPUTED_VALUE"""),"313065")</f>
        <v>313065</v>
      </c>
      <c r="I514" s="1" t="str">
        <f>IFERROR(__xludf.DUMMYFUNCTION("""COMPUTED_VALUE"""),"นายจิรายุทธ กันทา")</f>
        <v>นายจิรายุทธ กันทา</v>
      </c>
      <c r="J514" s="3">
        <f>IFERROR(__xludf.DUMMYFUNCTION("""COMPUTED_VALUE"""),1.3461215E7)</f>
        <v>13461215</v>
      </c>
      <c r="K514" s="3" t="str">
        <f>IFERROR(__xludf.DUMMYFUNCTION("""COMPUTED_VALUE"""),"นายธีรภัทร สังข์เงิน")</f>
        <v>นายธีรภัทร สังข์เงิน</v>
      </c>
      <c r="L514" s="1" t="str">
        <f>IFERROR(__xludf.DUMMYFUNCTION("""COMPUTED_VALUE"""),"06 K.Teerapat")</f>
        <v>06 K.Teerapat</v>
      </c>
      <c r="M514" s="1" t="str">
        <f>IFERROR(__xludf.DUMMYFUNCTION("""COMPUTED_VALUE"""),"063-601-6803")</f>
        <v>063-601-6803</v>
      </c>
      <c r="N514" s="3">
        <f>IFERROR(__xludf.DUMMYFUNCTION("""COMPUTED_VALUE"""),22115.0)</f>
        <v>22115</v>
      </c>
      <c r="O514" s="3" t="str">
        <f>IFERROR(__xludf.DUMMYFUNCTION("""COMPUTED_VALUE"""),"MBC เลี่ยงหนองมน ชลบุรี")</f>
        <v>MBC เลี่ยงหนองมน ชลบุรี</v>
      </c>
      <c r="P514" s="4">
        <f>IFERROR(__xludf.DUMMYFUNCTION("""COMPUTED_VALUE"""),41633.0)</f>
        <v>41633</v>
      </c>
      <c r="Q514" s="3" t="str">
        <f>IFERROR(__xludf.DUMMYFUNCTION("""COMPUTED_VALUE"""),"A")</f>
        <v>A</v>
      </c>
      <c r="R514" s="3" t="str">
        <f>IFERROR(__xludf.DUMMYFUNCTION("""COMPUTED_VALUE"""),"Small Format")</f>
        <v>Small Format</v>
      </c>
      <c r="S514" s="3" t="str">
        <f>IFERROR(__xludf.DUMMYFUNCTION("""COMPUTED_VALUE"""),"BCM")</f>
        <v>BCM</v>
      </c>
      <c r="T514" s="3" t="str">
        <f>IFERROR(__xludf.DUMMYFUNCTION("""COMPUTED_VALUE"""),"#N/A")</f>
        <v>#N/A</v>
      </c>
      <c r="U514" s="3" t="str">
        <f>IFERROR(__xludf.DUMMYFUNCTION("""COMPUTED_VALUE"""),"#N/A")</f>
        <v>#N/A</v>
      </c>
      <c r="V514" s="3" t="str">
        <f>IFERROR(__xludf.DUMMYFUNCTION("""COMPUTED_VALUE"""),"N")</f>
        <v>N</v>
      </c>
      <c r="W514" s="3">
        <f>IFERROR(__xludf.DUMMYFUNCTION("""COMPUTED_VALUE"""),361051.0)</f>
        <v>361051</v>
      </c>
      <c r="X514" s="3" t="str">
        <f>IFERROR(__xludf.DUMMYFUNCTION("""COMPUTED_VALUE"""),"14/18 หมู่ 9 ตำบลหนองปรือ อำเภอบางละมุง จังหวัดชลบุรี 20150")</f>
        <v>14/18 หมู่ 9 ตำบลหนองปรือ อำเภอบางละมุง จังหวัดชลบุรี 20150</v>
      </c>
      <c r="Y514" s="3"/>
      <c r="Z514" s="3" t="str">
        <f>IFERROR(__xludf.DUMMYFUNCTION("""COMPUTED_VALUE"""),"หนองปรือ")</f>
        <v>หนองปรือ</v>
      </c>
      <c r="AA514" s="3" t="str">
        <f>IFERROR(__xludf.DUMMYFUNCTION("""COMPUTED_VALUE"""),"บางละมุง")</f>
        <v>บางละมุง</v>
      </c>
      <c r="AB514" s="3" t="str">
        <f>IFERROR(__xludf.DUMMYFUNCTION("""COMPUTED_VALUE"""),"ชลบุรี")</f>
        <v>ชลบุรี</v>
      </c>
      <c r="AC514" s="3">
        <f>IFERROR(__xludf.DUMMYFUNCTION("""COMPUTED_VALUE"""),20150.0)</f>
        <v>20150</v>
      </c>
      <c r="AD514" s="3">
        <f>IFERROR(__xludf.DUMMYFUNCTION("""COMPUTED_VALUE"""),12.93345)</f>
        <v>12.93345</v>
      </c>
      <c r="AE514" s="3">
        <f>IFERROR(__xludf.DUMMYFUNCTION("""COMPUTED_VALUE"""),100.900763)</f>
        <v>100.900763</v>
      </c>
      <c r="AF514" s="3" t="str">
        <f>IFERROR(__xludf.DUMMYFUNCTION("""COMPUTED_VALUE"""),"MBC BCP พัทยากลาง-21279")</f>
        <v>MBC BCP พัทยากลาง-21279</v>
      </c>
      <c r="AG514" s="3" t="str">
        <f>IFERROR(__xludf.DUMMYFUNCTION("""COMPUTED_VALUE"""),"ตะวันออก")</f>
        <v>ตะวันออก</v>
      </c>
      <c r="AH514" s="3" t="str">
        <f>IFERROR(__xludf.DUMMYFUNCTION("""COMPUTED_VALUE"""),"#N/A")</f>
        <v>#N/A</v>
      </c>
      <c r="AI514" s="3" t="str">
        <f>IFERROR(__xludf.DUMMYFUNCTION("""COMPUTED_VALUE"""),"Out of warranty")</f>
        <v>Out of warranty</v>
      </c>
      <c r="AJ514" s="3">
        <f>IFERROR(__xludf.DUMMYFUNCTION("""COMPUTED_VALUE"""),145.0)</f>
        <v>145</v>
      </c>
      <c r="AK514" s="3" t="str">
        <f>IFERROR(__xludf.DUMMYFUNCTION("""COMPUTED_VALUE"""),"MMS06")</f>
        <v>MMS06</v>
      </c>
      <c r="AL514" s="3"/>
    </row>
    <row r="515" ht="15.75" customHeight="1">
      <c r="A515" s="1" t="str">
        <f>IFERROR(__xludf.DUMMYFUNCTION("""COMPUTED_VALUE"""),"21280")</f>
        <v>21280</v>
      </c>
      <c r="B515" s="2">
        <f>IFERROR(__xludf.DUMMYFUNCTION("""COMPUTED_VALUE"""),21280.0)</f>
        <v>21280</v>
      </c>
      <c r="C515" s="3" t="str">
        <f>IFERROR(__xludf.DUMMYFUNCTION("""COMPUTED_VALUE"""),"MBC อู่ทอง")</f>
        <v>MBC อู่ทอง</v>
      </c>
      <c r="D515" s="3" t="str">
        <f>IFERROR(__xludf.DUMMYFUNCTION("""COMPUTED_VALUE"""),"BCM UTHONG")</f>
        <v>BCM UTHONG</v>
      </c>
      <c r="E515" s="1" t="str">
        <f>IFERROR(__xludf.DUMMYFUNCTION("""COMPUTED_VALUE"""),"บิ๊กซี MINI")</f>
        <v>บิ๊กซี MINI</v>
      </c>
      <c r="F515" s="1" t="str">
        <f>IFERROR(__xludf.DUMMYFUNCTION("""COMPUTED_VALUE"""),"296229")</f>
        <v>296229</v>
      </c>
      <c r="G515" s="1" t="str">
        <f>IFERROR(__xludf.DUMMYFUNCTION("""COMPUTED_VALUE"""),"นายทนงศักดิ์ บุญมา")</f>
        <v>นายทนงศักดิ์ บุญมา</v>
      </c>
      <c r="H515" s="1" t="str">
        <f>IFERROR(__xludf.DUMMYFUNCTION("""COMPUTED_VALUE"""),"318186")</f>
        <v>318186</v>
      </c>
      <c r="I515" s="1" t="str">
        <f>IFERROR(__xludf.DUMMYFUNCTION("""COMPUTED_VALUE"""),"น.ส.พนมวัลย์ เรืองรัตน์")</f>
        <v>น.ส.พนมวัลย์ เรืองรัตน์</v>
      </c>
      <c r="J515" s="3">
        <f>IFERROR(__xludf.DUMMYFUNCTION("""COMPUTED_VALUE"""),46214.0)</f>
        <v>46214</v>
      </c>
      <c r="K515" s="3" t="str">
        <f>IFERROR(__xludf.DUMMYFUNCTION("""COMPUTED_VALUE"""),"นายศักดิ์ชัย เด็ดดอกฟ้า")</f>
        <v>นายศักดิ์ชัย เด็ดดอกฟ้า</v>
      </c>
      <c r="L515" s="1" t="str">
        <f>IFERROR(__xludf.DUMMYFUNCTION("""COMPUTED_VALUE"""),"02 K.Sakchai D")</f>
        <v>02 K.Sakchai D</v>
      </c>
      <c r="M515" s="1" t="str">
        <f>IFERROR(__xludf.DUMMYFUNCTION("""COMPUTED_VALUE"""),"065-510-7376")</f>
        <v>065-510-7376</v>
      </c>
      <c r="N515" s="3">
        <f>IFERROR(__xludf.DUMMYFUNCTION("""COMPUTED_VALUE"""),21714.0)</f>
        <v>21714</v>
      </c>
      <c r="O515" s="3" t="str">
        <f>IFERROR(__xludf.DUMMYFUNCTION("""COMPUTED_VALUE"""),"MBC เอสโซ่ วัดโบสถ์")</f>
        <v>MBC เอสโซ่ วัดโบสถ์</v>
      </c>
      <c r="P515" s="4">
        <f>IFERROR(__xludf.DUMMYFUNCTION("""COMPUTED_VALUE"""),41652.0)</f>
        <v>41652</v>
      </c>
      <c r="Q515" s="3" t="str">
        <f>IFERROR(__xludf.DUMMYFUNCTION("""COMPUTED_VALUE"""),"A")</f>
        <v>A</v>
      </c>
      <c r="R515" s="3" t="str">
        <f>IFERROR(__xludf.DUMMYFUNCTION("""COMPUTED_VALUE"""),"Small Format")</f>
        <v>Small Format</v>
      </c>
      <c r="S515" s="3" t="str">
        <f>IFERROR(__xludf.DUMMYFUNCTION("""COMPUTED_VALUE"""),"BCM")</f>
        <v>BCM</v>
      </c>
      <c r="T515" s="3" t="str">
        <f>IFERROR(__xludf.DUMMYFUNCTION("""COMPUTED_VALUE"""),"#N/A")</f>
        <v>#N/A</v>
      </c>
      <c r="U515" s="3" t="str">
        <f>IFERROR(__xludf.DUMMYFUNCTION("""COMPUTED_VALUE"""),"#N/A")</f>
        <v>#N/A</v>
      </c>
      <c r="V515" s="3" t="str">
        <f>IFERROR(__xludf.DUMMYFUNCTION("""COMPUTED_VALUE"""),"N")</f>
        <v>N</v>
      </c>
      <c r="W515" s="3">
        <f>IFERROR(__xludf.DUMMYFUNCTION("""COMPUTED_VALUE"""),211208.0)</f>
        <v>211208</v>
      </c>
      <c r="X515" s="3" t="str">
        <f>IFERROR(__xludf.DUMMYFUNCTION("""COMPUTED_VALUE"""),"1000/12 หมู่ 6 ตำบลอู่ทอง อำเภออู่ทอง จังหวัดสุพรรณบุรี 72160")</f>
        <v>1000/12 หมู่ 6 ตำบลอู่ทอง อำเภออู่ทอง จังหวัดสุพรรณบุรี 72160</v>
      </c>
      <c r="Y515" s="3"/>
      <c r="Z515" s="3" t="str">
        <f>IFERROR(__xludf.DUMMYFUNCTION("""COMPUTED_VALUE"""),"อู่ทอง")</f>
        <v>อู่ทอง</v>
      </c>
      <c r="AA515" s="3" t="str">
        <f>IFERROR(__xludf.DUMMYFUNCTION("""COMPUTED_VALUE"""),"อู่ทอง")</f>
        <v>อู่ทอง</v>
      </c>
      <c r="AB515" s="3" t="str">
        <f>IFERROR(__xludf.DUMMYFUNCTION("""COMPUTED_VALUE"""),"สุพรรณบุรี")</f>
        <v>สุพรรณบุรี</v>
      </c>
      <c r="AC515" s="3">
        <f>IFERROR(__xludf.DUMMYFUNCTION("""COMPUTED_VALUE"""),72160.0)</f>
        <v>72160</v>
      </c>
      <c r="AD515" s="3">
        <f>IFERROR(__xludf.DUMMYFUNCTION("""COMPUTED_VALUE"""),14.375386)</f>
        <v>14.375386</v>
      </c>
      <c r="AE515" s="3">
        <f>IFERROR(__xludf.DUMMYFUNCTION("""COMPUTED_VALUE"""),99.898154)</f>
        <v>99.898154</v>
      </c>
      <c r="AF515" s="3" t="str">
        <f>IFERROR(__xludf.DUMMYFUNCTION("""COMPUTED_VALUE"""),"MBC อู่ทอง-21280")</f>
        <v>MBC อู่ทอง-21280</v>
      </c>
      <c r="AG515" s="3" t="str">
        <f>IFERROR(__xludf.DUMMYFUNCTION("""COMPUTED_VALUE"""),"กลาง")</f>
        <v>กลาง</v>
      </c>
      <c r="AH515" s="3" t="str">
        <f>IFERROR(__xludf.DUMMYFUNCTION("""COMPUTED_VALUE"""),"#N/A")</f>
        <v>#N/A</v>
      </c>
      <c r="AI515" s="3" t="str">
        <f>IFERROR(__xludf.DUMMYFUNCTION("""COMPUTED_VALUE"""),"Out of warranty")</f>
        <v>Out of warranty</v>
      </c>
      <c r="AJ515" s="3">
        <f>IFERROR(__xludf.DUMMYFUNCTION("""COMPUTED_VALUE"""),145.0)</f>
        <v>145</v>
      </c>
      <c r="AK515" s="3" t="str">
        <f>IFERROR(__xludf.DUMMYFUNCTION("""COMPUTED_VALUE"""),"MMS09")</f>
        <v>MMS09</v>
      </c>
      <c r="AL515" s="3"/>
    </row>
    <row r="516" ht="15.75" customHeight="1">
      <c r="A516" s="1" t="str">
        <f>IFERROR(__xludf.DUMMYFUNCTION("""COMPUTED_VALUE"""),"21281")</f>
        <v>21281</v>
      </c>
      <c r="B516" s="2">
        <f>IFERROR(__xludf.DUMMYFUNCTION("""COMPUTED_VALUE"""),21281.0)</f>
        <v>21281</v>
      </c>
      <c r="C516" s="3" t="str">
        <f>IFERROR(__xludf.DUMMYFUNCTION("""COMPUTED_VALUE"""),"MBC นครหลวง")</f>
        <v>MBC นครหลวง</v>
      </c>
      <c r="D516" s="3" t="str">
        <f>IFERROR(__xludf.DUMMYFUNCTION("""COMPUTED_VALUE"""),"MBC NAKHONLUANG")</f>
        <v>MBC NAKHONLUANG</v>
      </c>
      <c r="E516" s="1" t="str">
        <f>IFERROR(__xludf.DUMMYFUNCTION("""COMPUTED_VALUE"""),"บิ๊กซี MINI")</f>
        <v>บิ๊กซี MINI</v>
      </c>
      <c r="F516" s="1" t="str">
        <f>IFERROR(__xludf.DUMMYFUNCTION("""COMPUTED_VALUE"""),"296229")</f>
        <v>296229</v>
      </c>
      <c r="G516" s="1" t="str">
        <f>IFERROR(__xludf.DUMMYFUNCTION("""COMPUTED_VALUE"""),"นายทนงศักดิ์ บุญมา")</f>
        <v>นายทนงศักดิ์ บุญมา</v>
      </c>
      <c r="H516" s="1" t="str">
        <f>IFERROR(__xludf.DUMMYFUNCTION("""COMPUTED_VALUE"""),"180089")</f>
        <v>180089</v>
      </c>
      <c r="I516" s="1" t="str">
        <f>IFERROR(__xludf.DUMMYFUNCTION("""COMPUTED_VALUE"""),"นายยุทธนา ลิ่มตระกูล")</f>
        <v>นายยุทธนา ลิ่มตระกูล</v>
      </c>
      <c r="J516" s="3">
        <f>IFERROR(__xludf.DUMMYFUNCTION("""COMPUTED_VALUE"""),46214.0)</f>
        <v>46214</v>
      </c>
      <c r="K516" s="3" t="str">
        <f>IFERROR(__xludf.DUMMYFUNCTION("""COMPUTED_VALUE"""),"นายศักดิ์ชัย เด็ดดอกฟ้า")</f>
        <v>นายศักดิ์ชัย เด็ดดอกฟ้า</v>
      </c>
      <c r="L516" s="1" t="str">
        <f>IFERROR(__xludf.DUMMYFUNCTION("""COMPUTED_VALUE"""),"02 K.Sakchai D")</f>
        <v>02 K.Sakchai D</v>
      </c>
      <c r="M516" s="1" t="str">
        <f>IFERROR(__xludf.DUMMYFUNCTION("""COMPUTED_VALUE"""),"065-510-7376")</f>
        <v>065-510-7376</v>
      </c>
      <c r="N516" s="3">
        <f>IFERROR(__xludf.DUMMYFUNCTION("""COMPUTED_VALUE"""),21441.0)</f>
        <v>21441</v>
      </c>
      <c r="O516" s="3" t="str">
        <f>IFERROR(__xludf.DUMMYFUNCTION("""COMPUTED_VALUE"""),"MBC บ้านกร่าง พิษณุโลก")</f>
        <v>MBC บ้านกร่าง พิษณุโลก</v>
      </c>
      <c r="P516" s="4">
        <f>IFERROR(__xludf.DUMMYFUNCTION("""COMPUTED_VALUE"""),41653.0)</f>
        <v>41653</v>
      </c>
      <c r="Q516" s="3" t="str">
        <f>IFERROR(__xludf.DUMMYFUNCTION("""COMPUTED_VALUE"""),"I")</f>
        <v>I</v>
      </c>
      <c r="R516" s="3" t="str">
        <f>IFERROR(__xludf.DUMMYFUNCTION("""COMPUTED_VALUE"""),"Small Format")</f>
        <v>Small Format</v>
      </c>
      <c r="S516" s="3" t="str">
        <f>IFERROR(__xludf.DUMMYFUNCTION("""COMPUTED_VALUE"""),"BCM")</f>
        <v>BCM</v>
      </c>
      <c r="T516" s="3" t="str">
        <f>IFERROR(__xludf.DUMMYFUNCTION("""COMPUTED_VALUE"""),"#N/A")</f>
        <v>#N/A</v>
      </c>
      <c r="U516" s="3" t="str">
        <f>IFERROR(__xludf.DUMMYFUNCTION("""COMPUTED_VALUE"""),"#N/A")</f>
        <v>#N/A</v>
      </c>
      <c r="V516" s="3" t="str">
        <f>IFERROR(__xludf.DUMMYFUNCTION("""COMPUTED_VALUE"""),"N")</f>
        <v>N</v>
      </c>
      <c r="W516" s="3">
        <f>IFERROR(__xludf.DUMMYFUNCTION("""COMPUTED_VALUE"""),211247.0)</f>
        <v>211247</v>
      </c>
      <c r="X516" s="3" t="str">
        <f>IFERROR(__xludf.DUMMYFUNCTION("""COMPUTED_VALUE"""),"82/31 หมู่ 2 ตำบลนครหลวง อำเภอนครหลวง จังหวัดพระนครศรีอยุธยา 13260")</f>
        <v>82/31 หมู่ 2 ตำบลนครหลวง อำเภอนครหลวง จังหวัดพระนครศรีอยุธยา 13260</v>
      </c>
      <c r="Y516" s="3"/>
      <c r="Z516" s="3" t="str">
        <f>IFERROR(__xludf.DUMMYFUNCTION("""COMPUTED_VALUE"""),"นครหลวง")</f>
        <v>นครหลวง</v>
      </c>
      <c r="AA516" s="3" t="str">
        <f>IFERROR(__xludf.DUMMYFUNCTION("""COMPUTED_VALUE"""),"นครหลวง")</f>
        <v>นครหลวง</v>
      </c>
      <c r="AB516" s="3" t="str">
        <f>IFERROR(__xludf.DUMMYFUNCTION("""COMPUTED_VALUE"""),"พระนครศรีอยุธยา")</f>
        <v>พระนครศรีอยุธยา</v>
      </c>
      <c r="AC516" s="3">
        <f>IFERROR(__xludf.DUMMYFUNCTION("""COMPUTED_VALUE"""),13260.0)</f>
        <v>13260</v>
      </c>
      <c r="AD516" s="3" t="str">
        <f>IFERROR(__xludf.DUMMYFUNCTION("""COMPUTED_VALUE"""),"#N/A")</f>
        <v>#N/A</v>
      </c>
      <c r="AE516" s="3" t="str">
        <f>IFERROR(__xludf.DUMMYFUNCTION("""COMPUTED_VALUE"""),"#N/A")</f>
        <v>#N/A</v>
      </c>
      <c r="AF516" s="3" t="str">
        <f>IFERROR(__xludf.DUMMYFUNCTION("""COMPUTED_VALUE"""),"MBC นครหลวง-21281")</f>
        <v>MBC นครหลวง-21281</v>
      </c>
      <c r="AG516" s="3" t="str">
        <f>IFERROR(__xludf.DUMMYFUNCTION("""COMPUTED_VALUE"""),"กลาง")</f>
        <v>กลาง</v>
      </c>
      <c r="AH516" s="3" t="str">
        <f>IFERROR(__xludf.DUMMYFUNCTION("""COMPUTED_VALUE"""),"#N/A")</f>
        <v>#N/A</v>
      </c>
      <c r="AI516" s="3" t="str">
        <f>IFERROR(__xludf.DUMMYFUNCTION("""COMPUTED_VALUE"""),"Out of warranty")</f>
        <v>Out of warranty</v>
      </c>
      <c r="AJ516" s="3">
        <f>IFERROR(__xludf.DUMMYFUNCTION("""COMPUTED_VALUE"""),145.0)</f>
        <v>145</v>
      </c>
      <c r="AK516" s="3"/>
      <c r="AL516" s="3"/>
    </row>
    <row r="517" ht="15.75" customHeight="1">
      <c r="A517" s="1" t="str">
        <f>IFERROR(__xludf.DUMMYFUNCTION("""COMPUTED_VALUE"""),"21282")</f>
        <v>21282</v>
      </c>
      <c r="B517" s="2">
        <f>IFERROR(__xludf.DUMMYFUNCTION("""COMPUTED_VALUE"""),21282.0)</f>
        <v>21282</v>
      </c>
      <c r="C517" s="3" t="str">
        <f>IFERROR(__xludf.DUMMYFUNCTION("""COMPUTED_VALUE"""),"MBC เดิมบางนางบวช")</f>
        <v>MBC เดิมบางนางบวช</v>
      </c>
      <c r="D517" s="3" t="str">
        <f>IFERROR(__xludf.DUMMYFUNCTION("""COMPUTED_VALUE"""),"MBC DOEMBANGNAGBUAT")</f>
        <v>MBC DOEMBANGNAGBUAT</v>
      </c>
      <c r="E517" s="1" t="str">
        <f>IFERROR(__xludf.DUMMYFUNCTION("""COMPUTED_VALUE"""),"บิ๊กซี MINI")</f>
        <v>บิ๊กซี MINI</v>
      </c>
      <c r="F517" s="1" t="str">
        <f>IFERROR(__xludf.DUMMYFUNCTION("""COMPUTED_VALUE"""),"296229")</f>
        <v>296229</v>
      </c>
      <c r="G517" s="1" t="str">
        <f>IFERROR(__xludf.DUMMYFUNCTION("""COMPUTED_VALUE"""),"นายทนงศักดิ์ บุญมา")</f>
        <v>นายทนงศักดิ์ บุญมา</v>
      </c>
      <c r="H517" s="1" t="str">
        <f>IFERROR(__xludf.DUMMYFUNCTION("""COMPUTED_VALUE"""),"313033")</f>
        <v>313033</v>
      </c>
      <c r="I517" s="1" t="str">
        <f>IFERROR(__xludf.DUMMYFUNCTION("""COMPUTED_VALUE"""),"นายวันชัย ตรีโอสถ")</f>
        <v>นายวันชัย ตรีโอสถ</v>
      </c>
      <c r="J517" s="3">
        <f>IFERROR(__xludf.DUMMYFUNCTION("""COMPUTED_VALUE"""),46214.0)</f>
        <v>46214</v>
      </c>
      <c r="K517" s="3" t="str">
        <f>IFERROR(__xludf.DUMMYFUNCTION("""COMPUTED_VALUE"""),"นายศักดิ์ชัย เด็ดดอกฟ้า")</f>
        <v>นายศักดิ์ชัย เด็ดดอกฟ้า</v>
      </c>
      <c r="L517" s="1" t="str">
        <f>IFERROR(__xludf.DUMMYFUNCTION("""COMPUTED_VALUE"""),"02 K.Sakchai D")</f>
        <v>02 K.Sakchai D</v>
      </c>
      <c r="M517" s="1" t="str">
        <f>IFERROR(__xludf.DUMMYFUNCTION("""COMPUTED_VALUE"""),"065-510-7376")</f>
        <v>065-510-7376</v>
      </c>
      <c r="N517" s="3">
        <f>IFERROR(__xludf.DUMMYFUNCTION("""COMPUTED_VALUE"""),21441.0)</f>
        <v>21441</v>
      </c>
      <c r="O517" s="3" t="str">
        <f>IFERROR(__xludf.DUMMYFUNCTION("""COMPUTED_VALUE"""),"MBC บ้านกร่าง พิษณุโลก")</f>
        <v>MBC บ้านกร่าง พิษณุโลก</v>
      </c>
      <c r="P517" s="4">
        <f>IFERROR(__xludf.DUMMYFUNCTION("""COMPUTED_VALUE"""),41652.0)</f>
        <v>41652</v>
      </c>
      <c r="Q517" s="3" t="str">
        <f>IFERROR(__xludf.DUMMYFUNCTION("""COMPUTED_VALUE"""),"I")</f>
        <v>I</v>
      </c>
      <c r="R517" s="3" t="str">
        <f>IFERROR(__xludf.DUMMYFUNCTION("""COMPUTED_VALUE"""),"Small Format")</f>
        <v>Small Format</v>
      </c>
      <c r="S517" s="3" t="str">
        <f>IFERROR(__xludf.DUMMYFUNCTION("""COMPUTED_VALUE"""),"BCM")</f>
        <v>BCM</v>
      </c>
      <c r="T517" s="3" t="str">
        <f>IFERROR(__xludf.DUMMYFUNCTION("""COMPUTED_VALUE"""),"#N/A")</f>
        <v>#N/A</v>
      </c>
      <c r="U517" s="3" t="str">
        <f>IFERROR(__xludf.DUMMYFUNCTION("""COMPUTED_VALUE"""),"#N/A")</f>
        <v>#N/A</v>
      </c>
      <c r="V517" s="3" t="str">
        <f>IFERROR(__xludf.DUMMYFUNCTION("""COMPUTED_VALUE"""),"N")</f>
        <v>N</v>
      </c>
      <c r="W517" s="3">
        <f>IFERROR(__xludf.DUMMYFUNCTION("""COMPUTED_VALUE"""),0.0)</f>
        <v>0</v>
      </c>
      <c r="X517" s="3" t="str">
        <f>IFERROR(__xludf.DUMMYFUNCTION("""COMPUTED_VALUE"""),"886 หมู่ 8 ตำบลเขาพระ อำเภอเดิมบางนางบวช จังหวัดสุพรรณบุรี 72120")</f>
        <v>886 หมู่ 8 ตำบลเขาพระ อำเภอเดิมบางนางบวช จังหวัดสุพรรณบุรี 72120</v>
      </c>
      <c r="Y517" s="3"/>
      <c r="Z517" s="3" t="str">
        <f>IFERROR(__xludf.DUMMYFUNCTION("""COMPUTED_VALUE"""),"เขาพระ")</f>
        <v>เขาพระ</v>
      </c>
      <c r="AA517" s="3" t="str">
        <f>IFERROR(__xludf.DUMMYFUNCTION("""COMPUTED_VALUE"""),"เดิมบางนางบวช")</f>
        <v>เดิมบางนางบวช</v>
      </c>
      <c r="AB517" s="3" t="str">
        <f>IFERROR(__xludf.DUMMYFUNCTION("""COMPUTED_VALUE"""),"สุพรรณบุรี")</f>
        <v>สุพรรณบุรี</v>
      </c>
      <c r="AC517" s="3">
        <f>IFERROR(__xludf.DUMMYFUNCTION("""COMPUTED_VALUE"""),72120.0)</f>
        <v>72120</v>
      </c>
      <c r="AD517" s="3" t="str">
        <f>IFERROR(__xludf.DUMMYFUNCTION("""COMPUTED_VALUE"""),"#N/A")</f>
        <v>#N/A</v>
      </c>
      <c r="AE517" s="3" t="str">
        <f>IFERROR(__xludf.DUMMYFUNCTION("""COMPUTED_VALUE"""),"#N/A")</f>
        <v>#N/A</v>
      </c>
      <c r="AF517" s="3" t="str">
        <f>IFERROR(__xludf.DUMMYFUNCTION("""COMPUTED_VALUE"""),"MBC เดิมบางนางบวช-21282")</f>
        <v>MBC เดิมบางนางบวช-21282</v>
      </c>
      <c r="AG517" s="3" t="str">
        <f>IFERROR(__xludf.DUMMYFUNCTION("""COMPUTED_VALUE"""),"กลาง")</f>
        <v>กลาง</v>
      </c>
      <c r="AH517" s="3" t="str">
        <f>IFERROR(__xludf.DUMMYFUNCTION("""COMPUTED_VALUE"""),"#N/A")</f>
        <v>#N/A</v>
      </c>
      <c r="AI517" s="3" t="str">
        <f>IFERROR(__xludf.DUMMYFUNCTION("""COMPUTED_VALUE"""),"Out of warranty")</f>
        <v>Out of warranty</v>
      </c>
      <c r="AJ517" s="3">
        <f>IFERROR(__xludf.DUMMYFUNCTION("""COMPUTED_VALUE"""),145.0)</f>
        <v>145</v>
      </c>
      <c r="AK517" s="3"/>
      <c r="AL517" s="3"/>
    </row>
    <row r="518" ht="15.75" customHeight="1">
      <c r="A518" s="1" t="str">
        <f>IFERROR(__xludf.DUMMYFUNCTION("""COMPUTED_VALUE"""),"21283")</f>
        <v>21283</v>
      </c>
      <c r="B518" s="2">
        <f>IFERROR(__xludf.DUMMYFUNCTION("""COMPUTED_VALUE"""),21283.0)</f>
        <v>21283</v>
      </c>
      <c r="C518" s="3" t="str">
        <f>IFERROR(__xludf.DUMMYFUNCTION("""COMPUTED_VALUE"""),"MBC โพหัก")</f>
        <v>MBC โพหัก</v>
      </c>
      <c r="D518" s="3" t="str">
        <f>IFERROR(__xludf.DUMMYFUNCTION("""COMPUTED_VALUE"""),"MBC PHOHAK")</f>
        <v>MBC PHOHAK</v>
      </c>
      <c r="E518" s="1" t="str">
        <f>IFERROR(__xludf.DUMMYFUNCTION("""COMPUTED_VALUE"""),"บิ๊กซี MINI")</f>
        <v>บิ๊กซี MINI</v>
      </c>
      <c r="F518" s="1" t="str">
        <f>IFERROR(__xludf.DUMMYFUNCTION("""COMPUTED_VALUE"""),"250760")</f>
        <v>250760</v>
      </c>
      <c r="G518" s="1" t="str">
        <f>IFERROR(__xludf.DUMMYFUNCTION("""COMPUTED_VALUE"""),"นายประทวน สาราบรรณ์")</f>
        <v>นายประทวน สาราบรรณ์</v>
      </c>
      <c r="H518" s="1" t="str">
        <f>IFERROR(__xludf.DUMMYFUNCTION("""COMPUTED_VALUE"""),"284752")</f>
        <v>284752</v>
      </c>
      <c r="I518" s="1" t="str">
        <f>IFERROR(__xludf.DUMMYFUNCTION("""COMPUTED_VALUE"""),"น.ส.วีรนันท์ แสงใส")</f>
        <v>น.ส.วีรนันท์ แสงใส</v>
      </c>
      <c r="J518" s="3">
        <f>IFERROR(__xludf.DUMMYFUNCTION("""COMPUTED_VALUE"""),295541.0)</f>
        <v>295541</v>
      </c>
      <c r="K518" s="3" t="str">
        <f>IFERROR(__xludf.DUMMYFUNCTION("""COMPUTED_VALUE"""),"นายรพิพล ศรีมาตย์")</f>
        <v>นายรพิพล ศรีมาตย์</v>
      </c>
      <c r="L518" s="1" t="str">
        <f>IFERROR(__xludf.DUMMYFUNCTION("""COMPUTED_VALUE"""),"นายรพิพล ศรีมาตย์")</f>
        <v>นายรพิพล ศรีมาตย์</v>
      </c>
      <c r="M518" s="1" t="str">
        <f>IFERROR(__xludf.DUMMYFUNCTION("""COMPUTED_VALUE"""),"0613966115")</f>
        <v>0613966115</v>
      </c>
      <c r="N518" s="3">
        <f>IFERROR(__xludf.DUMMYFUNCTION("""COMPUTED_VALUE"""),21175.0)</f>
        <v>21175</v>
      </c>
      <c r="O518" s="3" t="str">
        <f>IFERROR(__xludf.DUMMYFUNCTION("""COMPUTED_VALUE"""),"MBC BCP กิ่งแก้ว")</f>
        <v>MBC BCP กิ่งแก้ว</v>
      </c>
      <c r="P518" s="4">
        <f>IFERROR(__xludf.DUMMYFUNCTION("""COMPUTED_VALUE"""),41655.0)</f>
        <v>41655</v>
      </c>
      <c r="Q518" s="3" t="str">
        <f>IFERROR(__xludf.DUMMYFUNCTION("""COMPUTED_VALUE"""),"I")</f>
        <v>I</v>
      </c>
      <c r="R518" s="3" t="str">
        <f>IFERROR(__xludf.DUMMYFUNCTION("""COMPUTED_VALUE"""),"Small Format")</f>
        <v>Small Format</v>
      </c>
      <c r="S518" s="3" t="str">
        <f>IFERROR(__xludf.DUMMYFUNCTION("""COMPUTED_VALUE"""),"BCM")</f>
        <v>BCM</v>
      </c>
      <c r="T518" s="3" t="str">
        <f>IFERROR(__xludf.DUMMYFUNCTION("""COMPUTED_VALUE"""),"#N/A")</f>
        <v>#N/A</v>
      </c>
      <c r="U518" s="3" t="str">
        <f>IFERROR(__xludf.DUMMYFUNCTION("""COMPUTED_VALUE"""),"#N/A")</f>
        <v>#N/A</v>
      </c>
      <c r="V518" s="3" t="str">
        <f>IFERROR(__xludf.DUMMYFUNCTION("""COMPUTED_VALUE"""),"N")</f>
        <v>N</v>
      </c>
      <c r="W518" s="3">
        <f>IFERROR(__xludf.DUMMYFUNCTION("""COMPUTED_VALUE"""),0.0)</f>
        <v>0</v>
      </c>
      <c r="X518" s="3" t="str">
        <f>IFERROR(__xludf.DUMMYFUNCTION("""COMPUTED_VALUE"""),"193,193/1 หมู่ 3 ตำบลโพหัก อำเภอบางแพ จังหวัดราชบุรี 70160")</f>
        <v>193,193/1 หมู่ 3 ตำบลโพหัก อำเภอบางแพ จังหวัดราชบุรี 70160</v>
      </c>
      <c r="Y518" s="3"/>
      <c r="Z518" s="3" t="str">
        <f>IFERROR(__xludf.DUMMYFUNCTION("""COMPUTED_VALUE"""),"โพหัก")</f>
        <v>โพหัก</v>
      </c>
      <c r="AA518" s="3" t="str">
        <f>IFERROR(__xludf.DUMMYFUNCTION("""COMPUTED_VALUE"""),"บางแพ")</f>
        <v>บางแพ</v>
      </c>
      <c r="AB518" s="3" t="str">
        <f>IFERROR(__xludf.DUMMYFUNCTION("""COMPUTED_VALUE"""),"ราชบุรี")</f>
        <v>ราชบุรี</v>
      </c>
      <c r="AC518" s="3">
        <f>IFERROR(__xludf.DUMMYFUNCTION("""COMPUTED_VALUE"""),70160.0)</f>
        <v>70160</v>
      </c>
      <c r="AD518" s="3" t="str">
        <f>IFERROR(__xludf.DUMMYFUNCTION("""COMPUTED_VALUE"""),"#N/A")</f>
        <v>#N/A</v>
      </c>
      <c r="AE518" s="3" t="str">
        <f>IFERROR(__xludf.DUMMYFUNCTION("""COMPUTED_VALUE"""),"#N/A")</f>
        <v>#N/A</v>
      </c>
      <c r="AF518" s="3" t="str">
        <f>IFERROR(__xludf.DUMMYFUNCTION("""COMPUTED_VALUE"""),"MBC โพหัก-21283")</f>
        <v>MBC โพหัก-21283</v>
      </c>
      <c r="AG518" s="3" t="str">
        <f>IFERROR(__xludf.DUMMYFUNCTION("""COMPUTED_VALUE"""),"ตะวันตก")</f>
        <v>ตะวันตก</v>
      </c>
      <c r="AH518" s="3" t="str">
        <f>IFERROR(__xludf.DUMMYFUNCTION("""COMPUTED_VALUE"""),"#N/A")</f>
        <v>#N/A</v>
      </c>
      <c r="AI518" s="3" t="str">
        <f>IFERROR(__xludf.DUMMYFUNCTION("""COMPUTED_VALUE"""),"Out of warranty")</f>
        <v>Out of warranty</v>
      </c>
      <c r="AJ518" s="3">
        <f>IFERROR(__xludf.DUMMYFUNCTION("""COMPUTED_VALUE"""),145.0)</f>
        <v>145</v>
      </c>
      <c r="AK518" s="3"/>
      <c r="AL518" s="3"/>
    </row>
    <row r="519" ht="15.75" customHeight="1">
      <c r="A519" s="1" t="str">
        <f>IFERROR(__xludf.DUMMYFUNCTION("""COMPUTED_VALUE"""),"21284")</f>
        <v>21284</v>
      </c>
      <c r="B519" s="2">
        <f>IFERROR(__xludf.DUMMYFUNCTION("""COMPUTED_VALUE"""),21284.0)</f>
        <v>21284</v>
      </c>
      <c r="C519" s="3" t="str">
        <f>IFERROR(__xludf.DUMMYFUNCTION("""COMPUTED_VALUE"""),"MBC เอื้ออาทรท่าจีน")</f>
        <v>MBC เอื้ออาทรท่าจีน</v>
      </c>
      <c r="D519" s="3" t="str">
        <f>IFERROR(__xludf.DUMMYFUNCTION("""COMPUTED_VALUE"""),"BCM URARTHORN THAJEEN")</f>
        <v>BCM URARTHORN THAJEEN</v>
      </c>
      <c r="E519" s="1" t="str">
        <f>IFERROR(__xludf.DUMMYFUNCTION("""COMPUTED_VALUE"""),"บิ๊กซี MINI")</f>
        <v>บิ๊กซี MINI</v>
      </c>
      <c r="F519" s="1" t="str">
        <f>IFERROR(__xludf.DUMMYFUNCTION("""COMPUTED_VALUE"""),"2083447")</f>
        <v>2083447</v>
      </c>
      <c r="G519" s="1" t="str">
        <f>IFERROR(__xludf.DUMMYFUNCTION("""COMPUTED_VALUE"""),"นายอนุกูล ศรีลัดดา")</f>
        <v>นายอนุกูล ศรีลัดดา</v>
      </c>
      <c r="H519" s="1" t="str">
        <f>IFERROR(__xludf.DUMMYFUNCTION("""COMPUTED_VALUE"""),"2455053")</f>
        <v>2455053</v>
      </c>
      <c r="I519" s="1" t="str">
        <f>IFERROR(__xludf.DUMMYFUNCTION("""COMPUTED_VALUE"""),"นายพันธมิตร โพธิ")</f>
        <v>นายพันธมิตร โพธิ</v>
      </c>
      <c r="J519" s="3">
        <f>IFERROR(__xludf.DUMMYFUNCTION("""COMPUTED_VALUE"""),2451655.0)</f>
        <v>2451655</v>
      </c>
      <c r="K519" s="3" t="str">
        <f>IFERROR(__xludf.DUMMYFUNCTION("""COMPUTED_VALUE"""),"นายวิษณุพงษ์ ชินบุตร")</f>
        <v>นายวิษณุพงษ์ ชินบุตร</v>
      </c>
      <c r="L519" s="1" t="str">
        <f>IFERROR(__xludf.DUMMYFUNCTION("""COMPUTED_VALUE"""),"13 K.Wisanupong Ch")</f>
        <v>13 K.Wisanupong Ch</v>
      </c>
      <c r="M519" s="1" t="str">
        <f>IFERROR(__xludf.DUMMYFUNCTION("""COMPUTED_VALUE"""),"0843374693")</f>
        <v>0843374693</v>
      </c>
      <c r="N519" s="3">
        <f>IFERROR(__xludf.DUMMYFUNCTION("""COMPUTED_VALUE"""),22729.0)</f>
        <v>22729</v>
      </c>
      <c r="O519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519" s="4">
        <f>IFERROR(__xludf.DUMMYFUNCTION("""COMPUTED_VALUE"""),41656.0)</f>
        <v>41656</v>
      </c>
      <c r="Q519" s="3" t="str">
        <f>IFERROR(__xludf.DUMMYFUNCTION("""COMPUTED_VALUE"""),"A")</f>
        <v>A</v>
      </c>
      <c r="R519" s="3" t="str">
        <f>IFERROR(__xludf.DUMMYFUNCTION("""COMPUTED_VALUE"""),"Small Format")</f>
        <v>Small Format</v>
      </c>
      <c r="S519" s="3" t="str">
        <f>IFERROR(__xludf.DUMMYFUNCTION("""COMPUTED_VALUE"""),"BCM")</f>
        <v>BCM</v>
      </c>
      <c r="T519" s="3" t="str">
        <f>IFERROR(__xludf.DUMMYFUNCTION("""COMPUTED_VALUE"""),"#N/A")</f>
        <v>#N/A</v>
      </c>
      <c r="U519" s="3" t="str">
        <f>IFERROR(__xludf.DUMMYFUNCTION("""COMPUTED_VALUE"""),"#N/A")</f>
        <v>#N/A</v>
      </c>
      <c r="V519" s="3" t="str">
        <f>IFERROR(__xludf.DUMMYFUNCTION("""COMPUTED_VALUE"""),"N")</f>
        <v>N</v>
      </c>
      <c r="W519" s="3">
        <f>IFERROR(__xludf.DUMMYFUNCTION("""COMPUTED_VALUE"""),211300.0)</f>
        <v>211300</v>
      </c>
      <c r="X519" s="3" t="str">
        <f>IFERROR(__xludf.DUMMYFUNCTION("""COMPUTED_VALUE"""),"68/41 หมู่ 7 ตำบลท่าจีน อำเภอเมืองสมุทรสาคร จังหวัดสมุทรสาคร 74000")</f>
        <v>68/41 หมู่ 7 ตำบลท่าจีน อำเภอเมืองสมุทรสาคร จังหวัดสมุทรสาคร 74000</v>
      </c>
      <c r="Y519" s="3"/>
      <c r="Z519" s="3" t="str">
        <f>IFERROR(__xludf.DUMMYFUNCTION("""COMPUTED_VALUE"""),"ท่าจีน")</f>
        <v>ท่าจีน</v>
      </c>
      <c r="AA519" s="3" t="str">
        <f>IFERROR(__xludf.DUMMYFUNCTION("""COMPUTED_VALUE"""),"เมือง")</f>
        <v>เมือง</v>
      </c>
      <c r="AB519" s="3" t="str">
        <f>IFERROR(__xludf.DUMMYFUNCTION("""COMPUTED_VALUE"""),"สมุทรสาคร")</f>
        <v>สมุทรสาคร</v>
      </c>
      <c r="AC519" s="3">
        <f>IFERROR(__xludf.DUMMYFUNCTION("""COMPUTED_VALUE"""),74000.0)</f>
        <v>74000</v>
      </c>
      <c r="AD519" s="3">
        <f>IFERROR(__xludf.DUMMYFUNCTION("""COMPUTED_VALUE"""),13.532108)</f>
        <v>13.532108</v>
      </c>
      <c r="AE519" s="3">
        <f>IFERROR(__xludf.DUMMYFUNCTION("""COMPUTED_VALUE"""),100.247559)</f>
        <v>100.247559</v>
      </c>
      <c r="AF519" s="3" t="str">
        <f>IFERROR(__xludf.DUMMYFUNCTION("""COMPUTED_VALUE"""),"MBC เอื้ออาทรท่าจีน-21284")</f>
        <v>MBC เอื้ออาทรท่าจีน-21284</v>
      </c>
      <c r="AG519" s="3" t="str">
        <f>IFERROR(__xludf.DUMMYFUNCTION("""COMPUTED_VALUE"""),"กลาง")</f>
        <v>กลาง</v>
      </c>
      <c r="AH519" s="3" t="str">
        <f>IFERROR(__xludf.DUMMYFUNCTION("""COMPUTED_VALUE"""),"#N/A")</f>
        <v>#N/A</v>
      </c>
      <c r="AI519" s="3" t="str">
        <f>IFERROR(__xludf.DUMMYFUNCTION("""COMPUTED_VALUE"""),"Out of warranty")</f>
        <v>Out of warranty</v>
      </c>
      <c r="AJ519" s="3">
        <f>IFERROR(__xludf.DUMMYFUNCTION("""COMPUTED_VALUE"""),145.0)</f>
        <v>145</v>
      </c>
      <c r="AK519" s="3" t="str">
        <f>IFERROR(__xludf.DUMMYFUNCTION("""COMPUTED_VALUE"""),"MMS05")</f>
        <v>MMS05</v>
      </c>
      <c r="AL519" s="3"/>
    </row>
    <row r="520" ht="15.75" customHeight="1">
      <c r="A520" s="1" t="str">
        <f>IFERROR(__xludf.DUMMYFUNCTION("""COMPUTED_VALUE"""),"21285")</f>
        <v>21285</v>
      </c>
      <c r="B520" s="2">
        <f>IFERROR(__xludf.DUMMYFUNCTION("""COMPUTED_VALUE"""),21285.0)</f>
        <v>21285</v>
      </c>
      <c r="C520" s="3" t="str">
        <f>IFERROR(__xludf.DUMMYFUNCTION("""COMPUTED_VALUE"""),"MBC เอื้อฯขจรวิทย์")</f>
        <v>MBC เอื้อฯขจรวิทย์</v>
      </c>
      <c r="D520" s="3" t="str">
        <f>IFERROR(__xludf.DUMMYFUNCTION("""COMPUTED_VALUE"""),"BCM UR KHACHONWIT")</f>
        <v>BCM UR KHACHONWIT</v>
      </c>
      <c r="E520" s="1" t="str">
        <f>IFERROR(__xludf.DUMMYFUNCTION("""COMPUTED_VALUE"""),"บิ๊กซี MINI")</f>
        <v>บิ๊กซี MINI</v>
      </c>
      <c r="F520" s="1" t="str">
        <f>IFERROR(__xludf.DUMMYFUNCTION("""COMPUTED_VALUE"""),"2083447")</f>
        <v>2083447</v>
      </c>
      <c r="G520" s="1" t="str">
        <f>IFERROR(__xludf.DUMMYFUNCTION("""COMPUTED_VALUE"""),"นายอนุกูล ศรีลัดดา")</f>
        <v>นายอนุกูล ศรีลัดดา</v>
      </c>
      <c r="H520" s="1" t="str">
        <f>IFERROR(__xludf.DUMMYFUNCTION("""COMPUTED_VALUE"""),"399107")</f>
        <v>399107</v>
      </c>
      <c r="I520" s="1" t="str">
        <f>IFERROR(__xludf.DUMMYFUNCTION("""COMPUTED_VALUE"""),"นายรัชระวี กลมแป้น")</f>
        <v>นายรัชระวี กลมแป้น</v>
      </c>
      <c r="J520" s="3">
        <f>IFERROR(__xludf.DUMMYFUNCTION("""COMPUTED_VALUE"""),510143.0)</f>
        <v>510143</v>
      </c>
      <c r="K520" s="3" t="str">
        <f>IFERROR(__xludf.DUMMYFUNCTION("""COMPUTED_VALUE"""),"นายธีระวัฒน์ บุญสิทธิ์")</f>
        <v>นายธีระวัฒน์ บุญสิทธิ์</v>
      </c>
      <c r="L520" s="1" t="str">
        <f>IFERROR(__xludf.DUMMYFUNCTION("""COMPUTED_VALUE"""),"12 K.Theerawat B.")</f>
        <v>12 K.Theerawat B.</v>
      </c>
      <c r="M520" s="1" t="str">
        <f>IFERROR(__xludf.DUMMYFUNCTION("""COMPUTED_VALUE"""),"0655107379")</f>
        <v>0655107379</v>
      </c>
      <c r="N520" s="3">
        <f>IFERROR(__xludf.DUMMYFUNCTION("""COMPUTED_VALUE"""),21062.0)</f>
        <v>21062</v>
      </c>
      <c r="O520" s="3" t="str">
        <f>IFERROR(__xludf.DUMMYFUNCTION("""COMPUTED_VALUE"""),"MBC นิคมนวนคร")</f>
        <v>MBC นิคมนวนคร</v>
      </c>
      <c r="P520" s="4">
        <f>IFERROR(__xludf.DUMMYFUNCTION("""COMPUTED_VALUE"""),41682.0)</f>
        <v>41682</v>
      </c>
      <c r="Q520" s="3" t="str">
        <f>IFERROR(__xludf.DUMMYFUNCTION("""COMPUTED_VALUE"""),"A")</f>
        <v>A</v>
      </c>
      <c r="R520" s="3" t="str">
        <f>IFERROR(__xludf.DUMMYFUNCTION("""COMPUTED_VALUE"""),"Small Format")</f>
        <v>Small Format</v>
      </c>
      <c r="S520" s="3" t="str">
        <f>IFERROR(__xludf.DUMMYFUNCTION("""COMPUTED_VALUE"""),"BCM")</f>
        <v>BCM</v>
      </c>
      <c r="T520" s="3" t="str">
        <f>IFERROR(__xludf.DUMMYFUNCTION("""COMPUTED_VALUE"""),"#N/A")</f>
        <v>#N/A</v>
      </c>
      <c r="U520" s="3" t="str">
        <f>IFERROR(__xludf.DUMMYFUNCTION("""COMPUTED_VALUE"""),"#N/A")</f>
        <v>#N/A</v>
      </c>
      <c r="V520" s="3" t="str">
        <f>IFERROR(__xludf.DUMMYFUNCTION("""COMPUTED_VALUE"""),"N")</f>
        <v>N</v>
      </c>
      <c r="W520" s="3">
        <f>IFERROR(__xludf.DUMMYFUNCTION("""COMPUTED_VALUE"""),211254.0)</f>
        <v>211254</v>
      </c>
      <c r="X520" s="3" t="str">
        <f>IFERROR(__xludf.DUMMYFUNCTION("""COMPUTED_VALUE"""),"11 หมู่ 1 ตำบลแพรกษาใหม่ อำเภอเมืองสมุทรปราการ จังหวัดสมุทรปราการ 10280")</f>
        <v>11 หมู่ 1 ตำบลแพรกษาใหม่ อำเภอเมืองสมุทรปราการ จังหวัดสมุทรปราการ 10280</v>
      </c>
      <c r="Y520" s="3"/>
      <c r="Z520" s="3" t="str">
        <f>IFERROR(__xludf.DUMMYFUNCTION("""COMPUTED_VALUE"""),"แพรกษาใหม่")</f>
        <v>แพรกษาใหม่</v>
      </c>
      <c r="AA520" s="3" t="str">
        <f>IFERROR(__xludf.DUMMYFUNCTION("""COMPUTED_VALUE"""),"เมืองสมุทรปราการ")</f>
        <v>เมืองสมุทรปราการ</v>
      </c>
      <c r="AB520" s="3" t="str">
        <f>IFERROR(__xludf.DUMMYFUNCTION("""COMPUTED_VALUE"""),"สมุทรปราการ")</f>
        <v>สมุทรปราการ</v>
      </c>
      <c r="AC520" s="3">
        <f>IFERROR(__xludf.DUMMYFUNCTION("""COMPUTED_VALUE"""),10280.0)</f>
        <v>10280</v>
      </c>
      <c r="AD520" s="3">
        <f>IFERROR(__xludf.DUMMYFUNCTION("""COMPUTED_VALUE"""),13.5994176)</f>
        <v>13.5994176</v>
      </c>
      <c r="AE520" s="3">
        <f>IFERROR(__xludf.DUMMYFUNCTION("""COMPUTED_VALUE"""),100.671747)</f>
        <v>100.671747</v>
      </c>
      <c r="AF520" s="3" t="str">
        <f>IFERROR(__xludf.DUMMYFUNCTION("""COMPUTED_VALUE"""),"MBC เอื้อฯขจรวิทย์-21285")</f>
        <v>MBC เอื้อฯขจรวิทย์-21285</v>
      </c>
      <c r="AG520" s="3" t="str">
        <f>IFERROR(__xludf.DUMMYFUNCTION("""COMPUTED_VALUE"""),"กลาง")</f>
        <v>กลาง</v>
      </c>
      <c r="AH520" s="3" t="str">
        <f>IFERROR(__xludf.DUMMYFUNCTION("""COMPUTED_VALUE"""),"#N/A")</f>
        <v>#N/A</v>
      </c>
      <c r="AI520" s="3" t="str">
        <f>IFERROR(__xludf.DUMMYFUNCTION("""COMPUTED_VALUE"""),"Out of warranty")</f>
        <v>Out of warranty</v>
      </c>
      <c r="AJ520" s="3">
        <f>IFERROR(__xludf.DUMMYFUNCTION("""COMPUTED_VALUE"""),144.0)</f>
        <v>144</v>
      </c>
      <c r="AK520" s="3" t="str">
        <f>IFERROR(__xludf.DUMMYFUNCTION("""COMPUTED_VALUE"""),"MMS03")</f>
        <v>MMS03</v>
      </c>
      <c r="AL520" s="3"/>
    </row>
    <row r="521" ht="15.75" customHeight="1">
      <c r="A521" s="1" t="str">
        <f>IFERROR(__xludf.DUMMYFUNCTION("""COMPUTED_VALUE"""),"21286")</f>
        <v>21286</v>
      </c>
      <c r="B521" s="2">
        <f>IFERROR(__xludf.DUMMYFUNCTION("""COMPUTED_VALUE"""),21286.0)</f>
        <v>21286</v>
      </c>
      <c r="C521" s="3" t="str">
        <f>IFERROR(__xludf.DUMMYFUNCTION("""COMPUTED_VALUE"""),"MBC ทัพทัน")</f>
        <v>MBC ทัพทัน</v>
      </c>
      <c r="D521" s="3" t="str">
        <f>IFERROR(__xludf.DUMMYFUNCTION("""COMPUTED_VALUE"""),"BCM THAPTHAN")</f>
        <v>BCM THAPTHAN</v>
      </c>
      <c r="E521" s="1" t="str">
        <f>IFERROR(__xludf.DUMMYFUNCTION("""COMPUTED_VALUE"""),"บิ๊กซี MINI")</f>
        <v>บิ๊กซี MINI</v>
      </c>
      <c r="F521" s="1" t="str">
        <f>IFERROR(__xludf.DUMMYFUNCTION("""COMPUTED_VALUE"""),"296229")</f>
        <v>296229</v>
      </c>
      <c r="G521" s="1" t="str">
        <f>IFERROR(__xludf.DUMMYFUNCTION("""COMPUTED_VALUE"""),"นายทนงศักดิ์ บุญมา")</f>
        <v>นายทนงศักดิ์ บุญมา</v>
      </c>
      <c r="H521" s="1" t="str">
        <f>IFERROR(__xludf.DUMMYFUNCTION("""COMPUTED_VALUE"""),"318186")</f>
        <v>318186</v>
      </c>
      <c r="I521" s="1" t="str">
        <f>IFERROR(__xludf.DUMMYFUNCTION("""COMPUTED_VALUE"""),"น.ส.พนมวัลย์ เรืองรัตน์")</f>
        <v>น.ส.พนมวัลย์ เรืองรัตน์</v>
      </c>
      <c r="J521" s="3">
        <f>IFERROR(__xludf.DUMMYFUNCTION("""COMPUTED_VALUE"""),46214.0)</f>
        <v>46214</v>
      </c>
      <c r="K521" s="3" t="str">
        <f>IFERROR(__xludf.DUMMYFUNCTION("""COMPUTED_VALUE"""),"นายศักดิ์ชัย เด็ดดอกฟ้า")</f>
        <v>นายศักดิ์ชัย เด็ดดอกฟ้า</v>
      </c>
      <c r="L521" s="1" t="str">
        <f>IFERROR(__xludf.DUMMYFUNCTION("""COMPUTED_VALUE"""),"02 K.Sakchai D")</f>
        <v>02 K.Sakchai D</v>
      </c>
      <c r="M521" s="1" t="str">
        <f>IFERROR(__xludf.DUMMYFUNCTION("""COMPUTED_VALUE"""),"065-510-7376")</f>
        <v>065-510-7376</v>
      </c>
      <c r="N521" s="3">
        <f>IFERROR(__xludf.DUMMYFUNCTION("""COMPUTED_VALUE"""),21714.0)</f>
        <v>21714</v>
      </c>
      <c r="O521" s="3" t="str">
        <f>IFERROR(__xludf.DUMMYFUNCTION("""COMPUTED_VALUE"""),"MBC เอสโซ่ วัดโบสถ์")</f>
        <v>MBC เอสโซ่ วัดโบสถ์</v>
      </c>
      <c r="P521" s="4">
        <f>IFERROR(__xludf.DUMMYFUNCTION("""COMPUTED_VALUE"""),41689.0)</f>
        <v>41689</v>
      </c>
      <c r="Q521" s="3" t="str">
        <f>IFERROR(__xludf.DUMMYFUNCTION("""COMPUTED_VALUE"""),"A")</f>
        <v>A</v>
      </c>
      <c r="R521" s="3" t="str">
        <f>IFERROR(__xludf.DUMMYFUNCTION("""COMPUTED_VALUE"""),"Small Format")</f>
        <v>Small Format</v>
      </c>
      <c r="S521" s="3" t="str">
        <f>IFERROR(__xludf.DUMMYFUNCTION("""COMPUTED_VALUE"""),"BCM")</f>
        <v>BCM</v>
      </c>
      <c r="T521" s="3" t="str">
        <f>IFERROR(__xludf.DUMMYFUNCTION("""COMPUTED_VALUE"""),"#N/A")</f>
        <v>#N/A</v>
      </c>
      <c r="U521" s="3" t="str">
        <f>IFERROR(__xludf.DUMMYFUNCTION("""COMPUTED_VALUE"""),"#N/A")</f>
        <v>#N/A</v>
      </c>
      <c r="V521" s="3" t="str">
        <f>IFERROR(__xludf.DUMMYFUNCTION("""COMPUTED_VALUE"""),"N")</f>
        <v>N</v>
      </c>
      <c r="W521" s="3">
        <f>IFERROR(__xludf.DUMMYFUNCTION("""COMPUTED_VALUE"""),211292.0)</f>
        <v>211292</v>
      </c>
      <c r="X521" s="3" t="str">
        <f>IFERROR(__xludf.DUMMYFUNCTION("""COMPUTED_VALUE"""),"361/23 หมู่ 1 ตำบลทัพทัน อำเภอทัพทัน จังหวัดอุทัยธานี 61120")</f>
        <v>361/23 หมู่ 1 ตำบลทัพทัน อำเภอทัพทัน จังหวัดอุทัยธานี 61120</v>
      </c>
      <c r="Y521" s="3"/>
      <c r="Z521" s="3" t="str">
        <f>IFERROR(__xludf.DUMMYFUNCTION("""COMPUTED_VALUE"""),"ทัพทัน")</f>
        <v>ทัพทัน</v>
      </c>
      <c r="AA521" s="3" t="str">
        <f>IFERROR(__xludf.DUMMYFUNCTION("""COMPUTED_VALUE"""),"ทัพทัน")</f>
        <v>ทัพทัน</v>
      </c>
      <c r="AB521" s="3" t="str">
        <f>IFERROR(__xludf.DUMMYFUNCTION("""COMPUTED_VALUE"""),"อุทัยธานี")</f>
        <v>อุทัยธานี</v>
      </c>
      <c r="AC521" s="3">
        <f>IFERROR(__xludf.DUMMYFUNCTION("""COMPUTED_VALUE"""),61120.0)</f>
        <v>61120</v>
      </c>
      <c r="AD521" s="3">
        <f>IFERROR(__xludf.DUMMYFUNCTION("""COMPUTED_VALUE"""),15.461214)</f>
        <v>15.461214</v>
      </c>
      <c r="AE521" s="3">
        <f>IFERROR(__xludf.DUMMYFUNCTION("""COMPUTED_VALUE"""),99.890239)</f>
        <v>99.890239</v>
      </c>
      <c r="AF521" s="3" t="str">
        <f>IFERROR(__xludf.DUMMYFUNCTION("""COMPUTED_VALUE"""),"MBC ทัพทัน-21286")</f>
        <v>MBC ทัพทัน-21286</v>
      </c>
      <c r="AG521" s="3" t="str">
        <f>IFERROR(__xludf.DUMMYFUNCTION("""COMPUTED_VALUE"""),"กลาง")</f>
        <v>กลาง</v>
      </c>
      <c r="AH521" s="3" t="str">
        <f>IFERROR(__xludf.DUMMYFUNCTION("""COMPUTED_VALUE"""),"#N/A")</f>
        <v>#N/A</v>
      </c>
      <c r="AI521" s="3" t="str">
        <f>IFERROR(__xludf.DUMMYFUNCTION("""COMPUTED_VALUE"""),"Out of warranty")</f>
        <v>Out of warranty</v>
      </c>
      <c r="AJ521" s="3">
        <f>IFERROR(__xludf.DUMMYFUNCTION("""COMPUTED_VALUE"""),144.0)</f>
        <v>144</v>
      </c>
      <c r="AK521" s="3" t="str">
        <f>IFERROR(__xludf.DUMMYFUNCTION("""COMPUTED_VALUE"""),"MMS09")</f>
        <v>MMS09</v>
      </c>
      <c r="AL521" s="3"/>
    </row>
    <row r="522" ht="15.75" customHeight="1">
      <c r="A522" s="1" t="str">
        <f>IFERROR(__xludf.DUMMYFUNCTION("""COMPUTED_VALUE"""),"21287")</f>
        <v>21287</v>
      </c>
      <c r="B522" s="2">
        <f>IFERROR(__xludf.DUMMYFUNCTION("""COMPUTED_VALUE"""),21287.0)</f>
        <v>21287</v>
      </c>
      <c r="C522" s="3" t="str">
        <f>IFERROR(__xludf.DUMMYFUNCTION("""COMPUTED_VALUE"""),"MBC คลองมะเดื่อ 12")</f>
        <v>MBC คลองมะเดื่อ 12</v>
      </c>
      <c r="D522" s="3" t="str">
        <f>IFERROR(__xludf.DUMMYFUNCTION("""COMPUTED_VALUE"""),"BCM KLONG MADUEA 12")</f>
        <v>BCM KLONG MADUEA 12</v>
      </c>
      <c r="E522" s="1" t="str">
        <f>IFERROR(__xludf.DUMMYFUNCTION("""COMPUTED_VALUE"""),"บิ๊กซี MINI")</f>
        <v>บิ๊กซี MINI</v>
      </c>
      <c r="F522" s="1" t="str">
        <f>IFERROR(__xludf.DUMMYFUNCTION("""COMPUTED_VALUE"""),"2083447")</f>
        <v>2083447</v>
      </c>
      <c r="G522" s="1" t="str">
        <f>IFERROR(__xludf.DUMMYFUNCTION("""COMPUTED_VALUE"""),"นายอนุกูล ศรีลัดดา")</f>
        <v>นายอนุกูล ศรีลัดดา</v>
      </c>
      <c r="H522" s="1" t="str">
        <f>IFERROR(__xludf.DUMMYFUNCTION("""COMPUTED_VALUE"""),"2455053")</f>
        <v>2455053</v>
      </c>
      <c r="I522" s="1" t="str">
        <f>IFERROR(__xludf.DUMMYFUNCTION("""COMPUTED_VALUE"""),"นายพันธมิตร โพธิ")</f>
        <v>นายพันธมิตร โพธิ</v>
      </c>
      <c r="J522" s="3">
        <f>IFERROR(__xludf.DUMMYFUNCTION("""COMPUTED_VALUE"""),2451655.0)</f>
        <v>2451655</v>
      </c>
      <c r="K522" s="3" t="str">
        <f>IFERROR(__xludf.DUMMYFUNCTION("""COMPUTED_VALUE"""),"นายวิษณุพงษ์ ชินบุตร")</f>
        <v>นายวิษณุพงษ์ ชินบุตร</v>
      </c>
      <c r="L522" s="1" t="str">
        <f>IFERROR(__xludf.DUMMYFUNCTION("""COMPUTED_VALUE"""),"13 K.Wisanupong Ch")</f>
        <v>13 K.Wisanupong Ch</v>
      </c>
      <c r="M522" s="1" t="str">
        <f>IFERROR(__xludf.DUMMYFUNCTION("""COMPUTED_VALUE"""),"0843374693")</f>
        <v>0843374693</v>
      </c>
      <c r="N522" s="3">
        <f>IFERROR(__xludf.DUMMYFUNCTION("""COMPUTED_VALUE"""),22729.0)</f>
        <v>22729</v>
      </c>
      <c r="O522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522" s="4">
        <f>IFERROR(__xludf.DUMMYFUNCTION("""COMPUTED_VALUE"""),41696.0)</f>
        <v>41696</v>
      </c>
      <c r="Q522" s="3" t="str">
        <f>IFERROR(__xludf.DUMMYFUNCTION("""COMPUTED_VALUE"""),"A")</f>
        <v>A</v>
      </c>
      <c r="R522" s="3" t="str">
        <f>IFERROR(__xludf.DUMMYFUNCTION("""COMPUTED_VALUE"""),"Small Format")</f>
        <v>Small Format</v>
      </c>
      <c r="S522" s="3" t="str">
        <f>IFERROR(__xludf.DUMMYFUNCTION("""COMPUTED_VALUE"""),"BCM")</f>
        <v>BCM</v>
      </c>
      <c r="T522" s="3" t="str">
        <f>IFERROR(__xludf.DUMMYFUNCTION("""COMPUTED_VALUE"""),"#N/A")</f>
        <v>#N/A</v>
      </c>
      <c r="U522" s="3" t="str">
        <f>IFERROR(__xludf.DUMMYFUNCTION("""COMPUTED_VALUE"""),"#N/A")</f>
        <v>#N/A</v>
      </c>
      <c r="V522" s="3" t="str">
        <f>IFERROR(__xludf.DUMMYFUNCTION("""COMPUTED_VALUE"""),"N")</f>
        <v>N</v>
      </c>
      <c r="W522" s="3">
        <f>IFERROR(__xludf.DUMMYFUNCTION("""COMPUTED_VALUE"""),211299.0)</f>
        <v>211299</v>
      </c>
      <c r="X522" s="3" t="str">
        <f>IFERROR(__xludf.DUMMYFUNCTION("""COMPUTED_VALUE"""),"118 หมู่ 8 ตำบลคลองมะเดื่อ อำเภอกระทุ่มแบน จังหวัดสมุทรสาคร 74110")</f>
        <v>118 หมู่ 8 ตำบลคลองมะเดื่อ อำเภอกระทุ่มแบน จังหวัดสมุทรสาคร 74110</v>
      </c>
      <c r="Y522" s="3"/>
      <c r="Z522" s="3" t="str">
        <f>IFERROR(__xludf.DUMMYFUNCTION("""COMPUTED_VALUE"""),"คลองมะเดื่อ")</f>
        <v>คลองมะเดื่อ</v>
      </c>
      <c r="AA522" s="3" t="str">
        <f>IFERROR(__xludf.DUMMYFUNCTION("""COMPUTED_VALUE"""),"กระทุ่มแบน")</f>
        <v>กระทุ่มแบน</v>
      </c>
      <c r="AB522" s="3" t="str">
        <f>IFERROR(__xludf.DUMMYFUNCTION("""COMPUTED_VALUE"""),"สมุทรสาคร")</f>
        <v>สมุทรสาคร</v>
      </c>
      <c r="AC522" s="3">
        <f>IFERROR(__xludf.DUMMYFUNCTION("""COMPUTED_VALUE"""),74110.0)</f>
        <v>74110</v>
      </c>
      <c r="AD522" s="3">
        <f>IFERROR(__xludf.DUMMYFUNCTION("""COMPUTED_VALUE"""),13.625836)</f>
        <v>13.625836</v>
      </c>
      <c r="AE522" s="3">
        <f>IFERROR(__xludf.DUMMYFUNCTION("""COMPUTED_VALUE"""),100.293464)</f>
        <v>100.293464</v>
      </c>
      <c r="AF522" s="3" t="str">
        <f>IFERROR(__xludf.DUMMYFUNCTION("""COMPUTED_VALUE"""),"MBC คลองมะเดื่อ 12-21287")</f>
        <v>MBC คลองมะเดื่อ 12-21287</v>
      </c>
      <c r="AG522" s="3" t="str">
        <f>IFERROR(__xludf.DUMMYFUNCTION("""COMPUTED_VALUE"""),"กลาง")</f>
        <v>กลาง</v>
      </c>
      <c r="AH522" s="3" t="str">
        <f>IFERROR(__xludf.DUMMYFUNCTION("""COMPUTED_VALUE"""),"#N/A")</f>
        <v>#N/A</v>
      </c>
      <c r="AI522" s="3" t="str">
        <f>IFERROR(__xludf.DUMMYFUNCTION("""COMPUTED_VALUE"""),"Out of warranty")</f>
        <v>Out of warranty</v>
      </c>
      <c r="AJ522" s="3">
        <f>IFERROR(__xludf.DUMMYFUNCTION("""COMPUTED_VALUE"""),143.0)</f>
        <v>143</v>
      </c>
      <c r="AK522" s="3" t="str">
        <f>IFERROR(__xludf.DUMMYFUNCTION("""COMPUTED_VALUE"""),"MMS05")</f>
        <v>MMS05</v>
      </c>
      <c r="AL522" s="3"/>
    </row>
    <row r="523" ht="15.75" customHeight="1">
      <c r="A523" s="1" t="str">
        <f>IFERROR(__xludf.DUMMYFUNCTION("""COMPUTED_VALUE"""),"21288")</f>
        <v>21288</v>
      </c>
      <c r="B523" s="2">
        <f>IFERROR(__xludf.DUMMYFUNCTION("""COMPUTED_VALUE"""),21288.0)</f>
        <v>21288</v>
      </c>
      <c r="C523" s="3" t="str">
        <f>IFERROR(__xludf.DUMMYFUNCTION("""COMPUTED_VALUE"""),"MBC BCP ชวนชื่น")</f>
        <v>MBC BCP ชวนชื่น</v>
      </c>
      <c r="D523" s="3" t="str">
        <f>IFERROR(__xludf.DUMMYFUNCTION("""COMPUTED_VALUE"""),"MBC BCP CHUANCHUEN")</f>
        <v>MBC BCP CHUANCHUEN</v>
      </c>
      <c r="E523" s="1" t="str">
        <f>IFERROR(__xludf.DUMMYFUNCTION("""COMPUTED_VALUE"""),"บิ๊กซี MINI")</f>
        <v>บิ๊กซี MINI</v>
      </c>
      <c r="F523" s="1" t="str">
        <f>IFERROR(__xludf.DUMMYFUNCTION("""COMPUTED_VALUE"""),"291008")</f>
        <v>291008</v>
      </c>
      <c r="G523" s="1" t="str">
        <f>IFERROR(__xludf.DUMMYFUNCTION("""COMPUTED_VALUE"""),"น.ส.รัชดาพร อีศรัตน์")</f>
        <v>น.ส.รัชดาพร อีศรัตน์</v>
      </c>
      <c r="H523" s="1" t="str">
        <f>IFERROR(__xludf.DUMMYFUNCTION("""COMPUTED_VALUE"""),"288639")</f>
        <v>288639</v>
      </c>
      <c r="I523" s="1" t="str">
        <f>IFERROR(__xludf.DUMMYFUNCTION("""COMPUTED_VALUE"""),"น.ส.สมหญิง สีชมภู")</f>
        <v>น.ส.สมหญิง สีชมภู</v>
      </c>
      <c r="J523" s="3">
        <f>IFERROR(__xludf.DUMMYFUNCTION("""COMPUTED_VALUE"""),3510104.0)</f>
        <v>3510104</v>
      </c>
      <c r="K523" s="3" t="str">
        <f>IFERROR(__xludf.DUMMYFUNCTION("""COMPUTED_VALUE"""),"นายวิโรจน์ อับดุลสมัด")</f>
        <v>นายวิโรจน์ อับดุลสมัด</v>
      </c>
      <c r="L523" s="1" t="str">
        <f>IFERROR(__xludf.DUMMYFUNCTION("""COMPUTED_VALUE"""),"09 K.Wirode A")</f>
        <v>09 K.Wirode A</v>
      </c>
      <c r="M523" s="1" t="str">
        <f>IFERROR(__xludf.DUMMYFUNCTION("""COMPUTED_VALUE"""),"080-235-4465")</f>
        <v>080-235-4465</v>
      </c>
      <c r="N523" s="3">
        <f>IFERROR(__xludf.DUMMYFUNCTION("""COMPUTED_VALUE"""),21324.0)</f>
        <v>21324</v>
      </c>
      <c r="O523" s="3" t="str">
        <f>IFERROR(__xludf.DUMMYFUNCTION("""COMPUTED_VALUE"""),"MBC BCP สุวินทวงศ์")</f>
        <v>MBC BCP สุวินทวงศ์</v>
      </c>
      <c r="P523" s="4">
        <f>IFERROR(__xludf.DUMMYFUNCTION("""COMPUTED_VALUE"""),41701.0)</f>
        <v>41701</v>
      </c>
      <c r="Q523" s="3" t="str">
        <f>IFERROR(__xludf.DUMMYFUNCTION("""COMPUTED_VALUE"""),"I")</f>
        <v>I</v>
      </c>
      <c r="R523" s="3" t="str">
        <f>IFERROR(__xludf.DUMMYFUNCTION("""COMPUTED_VALUE"""),"Small Format")</f>
        <v>Small Format</v>
      </c>
      <c r="S523" s="3" t="str">
        <f>IFERROR(__xludf.DUMMYFUNCTION("""COMPUTED_VALUE"""),"BCM")</f>
        <v>BCM</v>
      </c>
      <c r="T523" s="3" t="str">
        <f>IFERROR(__xludf.DUMMYFUNCTION("""COMPUTED_VALUE"""),"#N/A")</f>
        <v>#N/A</v>
      </c>
      <c r="U523" s="3" t="str">
        <f>IFERROR(__xludf.DUMMYFUNCTION("""COMPUTED_VALUE"""),"#N/A")</f>
        <v>#N/A</v>
      </c>
      <c r="V523" s="3" t="str">
        <f>IFERROR(__xludf.DUMMYFUNCTION("""COMPUTED_VALUE"""),"N")</f>
        <v>N</v>
      </c>
      <c r="W523" s="3">
        <f>IFERROR(__xludf.DUMMYFUNCTION("""COMPUTED_VALUE"""),0.0)</f>
        <v>0</v>
      </c>
      <c r="X523" s="3" t="str">
        <f>IFERROR(__xludf.DUMMYFUNCTION("""COMPUTED_VALUE"""),"98 หมู่ 5 ตำบลบางเดื่อ อำเภอเมืองปทุมธานี จังหวัดปทุมธานี 12000")</f>
        <v>98 หมู่ 5 ตำบลบางเดื่อ อำเภอเมืองปทุมธานี จังหวัดปทุมธานี 12000</v>
      </c>
      <c r="Y523" s="3"/>
      <c r="Z523" s="3" t="str">
        <f>IFERROR(__xludf.DUMMYFUNCTION("""COMPUTED_VALUE"""),"บางเดื่อ")</f>
        <v>บางเดื่อ</v>
      </c>
      <c r="AA523" s="3" t="str">
        <f>IFERROR(__xludf.DUMMYFUNCTION("""COMPUTED_VALUE"""),"เมือง")</f>
        <v>เมือง</v>
      </c>
      <c r="AB523" s="3" t="str">
        <f>IFERROR(__xludf.DUMMYFUNCTION("""COMPUTED_VALUE"""),"ปทุมธานี")</f>
        <v>ปทุมธานี</v>
      </c>
      <c r="AC523" s="3">
        <f>IFERROR(__xludf.DUMMYFUNCTION("""COMPUTED_VALUE"""),12000.0)</f>
        <v>12000</v>
      </c>
      <c r="AD523" s="3" t="str">
        <f>IFERROR(__xludf.DUMMYFUNCTION("""COMPUTED_VALUE"""),"#N/A")</f>
        <v>#N/A</v>
      </c>
      <c r="AE523" s="3" t="str">
        <f>IFERROR(__xludf.DUMMYFUNCTION("""COMPUTED_VALUE"""),"#N/A")</f>
        <v>#N/A</v>
      </c>
      <c r="AF523" s="3" t="str">
        <f>IFERROR(__xludf.DUMMYFUNCTION("""COMPUTED_VALUE"""),"MBC BCP ชวนชื่น-21288")</f>
        <v>MBC BCP ชวนชื่น-21288</v>
      </c>
      <c r="AG523" s="3" t="str">
        <f>IFERROR(__xludf.DUMMYFUNCTION("""COMPUTED_VALUE"""),"กลาง")</f>
        <v>กลาง</v>
      </c>
      <c r="AH523" s="3" t="str">
        <f>IFERROR(__xludf.DUMMYFUNCTION("""COMPUTED_VALUE"""),"#N/A")</f>
        <v>#N/A</v>
      </c>
      <c r="AI523" s="3" t="str">
        <f>IFERROR(__xludf.DUMMYFUNCTION("""COMPUTED_VALUE"""),"Out of warranty")</f>
        <v>Out of warranty</v>
      </c>
      <c r="AJ523" s="3">
        <f>IFERROR(__xludf.DUMMYFUNCTION("""COMPUTED_VALUE"""),143.0)</f>
        <v>143</v>
      </c>
      <c r="AK523" s="3"/>
      <c r="AL523" s="3"/>
    </row>
    <row r="524" ht="15.75" customHeight="1">
      <c r="A524" s="1" t="str">
        <f>IFERROR(__xludf.DUMMYFUNCTION("""COMPUTED_VALUE"""),"21289")</f>
        <v>21289</v>
      </c>
      <c r="B524" s="2">
        <f>IFERROR(__xludf.DUMMYFUNCTION("""COMPUTED_VALUE"""),21289.0)</f>
        <v>21289</v>
      </c>
      <c r="C524" s="3" t="str">
        <f>IFERROR(__xludf.DUMMYFUNCTION("""COMPUTED_VALUE"""),"MBC เอื้อสมุทรปราการ")</f>
        <v>MBC เอื้อสมุทรปราการ</v>
      </c>
      <c r="D524" s="3" t="str">
        <f>IFERROR(__xludf.DUMMYFUNCTION("""COMPUTED_VALUE"""),"BCM UR SAMUTPRAKARN")</f>
        <v>BCM UR SAMUTPRAKARN</v>
      </c>
      <c r="E524" s="1" t="str">
        <f>IFERROR(__xludf.DUMMYFUNCTION("""COMPUTED_VALUE"""),"บิ๊กซี MINI")</f>
        <v>บิ๊กซี MINI</v>
      </c>
      <c r="F524" s="1" t="str">
        <f>IFERROR(__xludf.DUMMYFUNCTION("""COMPUTED_VALUE"""),"2083447")</f>
        <v>2083447</v>
      </c>
      <c r="G524" s="1" t="str">
        <f>IFERROR(__xludf.DUMMYFUNCTION("""COMPUTED_VALUE"""),"นายอนุกูล ศรีลัดดา")</f>
        <v>นายอนุกูล ศรีลัดดา</v>
      </c>
      <c r="H524" s="1" t="str">
        <f>IFERROR(__xludf.DUMMYFUNCTION("""COMPUTED_VALUE"""),"284752")</f>
        <v>284752</v>
      </c>
      <c r="I524" s="1" t="str">
        <f>IFERROR(__xludf.DUMMYFUNCTION("""COMPUTED_VALUE"""),"น.ส.วีรนันท์ แสงใส")</f>
        <v>น.ส.วีรนันท์ แสงใส</v>
      </c>
      <c r="J524" s="3">
        <f>IFERROR(__xludf.DUMMYFUNCTION("""COMPUTED_VALUE"""),2451655.0)</f>
        <v>2451655</v>
      </c>
      <c r="K524" s="3" t="str">
        <f>IFERROR(__xludf.DUMMYFUNCTION("""COMPUTED_VALUE"""),"นายวิษณุพงษ์ ชินบุตร")</f>
        <v>นายวิษณุพงษ์ ชินบุตร</v>
      </c>
      <c r="L524" s="1" t="str">
        <f>IFERROR(__xludf.DUMMYFUNCTION("""COMPUTED_VALUE"""),"13 K.Wisanupong Ch")</f>
        <v>13 K.Wisanupong Ch</v>
      </c>
      <c r="M524" s="1" t="str">
        <f>IFERROR(__xludf.DUMMYFUNCTION("""COMPUTED_VALUE"""),"0843374693")</f>
        <v>0843374693</v>
      </c>
      <c r="N524" s="3">
        <f>IFERROR(__xludf.DUMMYFUNCTION("""COMPUTED_VALUE"""),22729.0)</f>
        <v>22729</v>
      </c>
      <c r="O524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524" s="4">
        <f>IFERROR(__xludf.DUMMYFUNCTION("""COMPUTED_VALUE"""),41702.0)</f>
        <v>41702</v>
      </c>
      <c r="Q524" s="3" t="str">
        <f>IFERROR(__xludf.DUMMYFUNCTION("""COMPUTED_VALUE"""),"A")</f>
        <v>A</v>
      </c>
      <c r="R524" s="3" t="str">
        <f>IFERROR(__xludf.DUMMYFUNCTION("""COMPUTED_VALUE"""),"Small Format")</f>
        <v>Small Format</v>
      </c>
      <c r="S524" s="3" t="str">
        <f>IFERROR(__xludf.DUMMYFUNCTION("""COMPUTED_VALUE"""),"BCM")</f>
        <v>BCM</v>
      </c>
      <c r="T524" s="3" t="str">
        <f>IFERROR(__xludf.DUMMYFUNCTION("""COMPUTED_VALUE"""),"#N/A")</f>
        <v>#N/A</v>
      </c>
      <c r="U524" s="3" t="str">
        <f>IFERROR(__xludf.DUMMYFUNCTION("""COMPUTED_VALUE"""),"#N/A")</f>
        <v>#N/A</v>
      </c>
      <c r="V524" s="3" t="str">
        <f>IFERROR(__xludf.DUMMYFUNCTION("""COMPUTED_VALUE"""),"N")</f>
        <v>N</v>
      </c>
      <c r="W524" s="3">
        <f>IFERROR(__xludf.DUMMYFUNCTION("""COMPUTED_VALUE"""),211296.0)</f>
        <v>211296</v>
      </c>
      <c r="X524" s="3" t="str">
        <f>IFERROR(__xludf.DUMMYFUNCTION("""COMPUTED_VALUE"""),"236 หมู่ 5 ตำบลบางบ่อ อำเภอบางบ่อ จังหวัดสมุทรปราการ 10560")</f>
        <v>236 หมู่ 5 ตำบลบางบ่อ อำเภอบางบ่อ จังหวัดสมุทรปราการ 10560</v>
      </c>
      <c r="Y524" s="3"/>
      <c r="Z524" s="3" t="str">
        <f>IFERROR(__xludf.DUMMYFUNCTION("""COMPUTED_VALUE"""),"บางบ่อ")</f>
        <v>บางบ่อ</v>
      </c>
      <c r="AA524" s="3" t="str">
        <f>IFERROR(__xludf.DUMMYFUNCTION("""COMPUTED_VALUE"""),"บางบ่อ")</f>
        <v>บางบ่อ</v>
      </c>
      <c r="AB524" s="3" t="str">
        <f>IFERROR(__xludf.DUMMYFUNCTION("""COMPUTED_VALUE"""),"สมุทรปราการ")</f>
        <v>สมุทรปราการ</v>
      </c>
      <c r="AC524" s="3">
        <f>IFERROR(__xludf.DUMMYFUNCTION("""COMPUTED_VALUE"""),10560.0)</f>
        <v>10560</v>
      </c>
      <c r="AD524" s="3">
        <f>IFERROR(__xludf.DUMMYFUNCTION("""COMPUTED_VALUE"""),13.5907601)</f>
        <v>13.5907601</v>
      </c>
      <c r="AE524" s="3">
        <f>IFERROR(__xludf.DUMMYFUNCTION("""COMPUTED_VALUE"""),100.8721591)</f>
        <v>100.8721591</v>
      </c>
      <c r="AF524" s="3" t="str">
        <f>IFERROR(__xludf.DUMMYFUNCTION("""COMPUTED_VALUE"""),"MBC เอื้อสมุทรปราการ-21289")</f>
        <v>MBC เอื้อสมุทรปราการ-21289</v>
      </c>
      <c r="AG524" s="3" t="str">
        <f>IFERROR(__xludf.DUMMYFUNCTION("""COMPUTED_VALUE"""),"กลาง")</f>
        <v>กลาง</v>
      </c>
      <c r="AH524" s="3" t="str">
        <f>IFERROR(__xludf.DUMMYFUNCTION("""COMPUTED_VALUE"""),"#N/A")</f>
        <v>#N/A</v>
      </c>
      <c r="AI524" s="3" t="str">
        <f>IFERROR(__xludf.DUMMYFUNCTION("""COMPUTED_VALUE"""),"Out of warranty")</f>
        <v>Out of warranty</v>
      </c>
      <c r="AJ524" s="3">
        <f>IFERROR(__xludf.DUMMYFUNCTION("""COMPUTED_VALUE"""),143.0)</f>
        <v>143</v>
      </c>
      <c r="AK524" s="3" t="str">
        <f>IFERROR(__xludf.DUMMYFUNCTION("""COMPUTED_VALUE"""),"MMS03")</f>
        <v>MMS03</v>
      </c>
      <c r="AL524" s="3"/>
    </row>
    <row r="525" ht="15.75" customHeight="1">
      <c r="A525" s="1" t="str">
        <f>IFERROR(__xludf.DUMMYFUNCTION("""COMPUTED_VALUE"""),"21290")</f>
        <v>21290</v>
      </c>
      <c r="B525" s="2">
        <f>IFERROR(__xludf.DUMMYFUNCTION("""COMPUTED_VALUE"""),21290.0)</f>
        <v>21290</v>
      </c>
      <c r="C525" s="3" t="str">
        <f>IFERROR(__xludf.DUMMYFUNCTION("""COMPUTED_VALUE"""),"MBC สินสาคร")</f>
        <v>MBC สินสาคร</v>
      </c>
      <c r="D525" s="3" t="str">
        <f>IFERROR(__xludf.DUMMYFUNCTION("""COMPUTED_VALUE"""),"BCM SINSAKORN")</f>
        <v>BCM SINSAKORN</v>
      </c>
      <c r="E525" s="1" t="str">
        <f>IFERROR(__xludf.DUMMYFUNCTION("""COMPUTED_VALUE"""),"บิ๊กซี MINI")</f>
        <v>บิ๊กซี MINI</v>
      </c>
      <c r="F525" s="1" t="str">
        <f>IFERROR(__xludf.DUMMYFUNCTION("""COMPUTED_VALUE"""),"2083447")</f>
        <v>2083447</v>
      </c>
      <c r="G525" s="1" t="str">
        <f>IFERROR(__xludf.DUMMYFUNCTION("""COMPUTED_VALUE"""),"นายอนุกูล ศรีลัดดา")</f>
        <v>นายอนุกูล ศรีลัดดา</v>
      </c>
      <c r="H525" s="1" t="str">
        <f>IFERROR(__xludf.DUMMYFUNCTION("""COMPUTED_VALUE"""),"2455053")</f>
        <v>2455053</v>
      </c>
      <c r="I525" s="1" t="str">
        <f>IFERROR(__xludf.DUMMYFUNCTION("""COMPUTED_VALUE"""),"นายพันธมิตร โพธิ")</f>
        <v>นายพันธมิตร โพธิ</v>
      </c>
      <c r="J525" s="3">
        <f>IFERROR(__xludf.DUMMYFUNCTION("""COMPUTED_VALUE"""),2451655.0)</f>
        <v>2451655</v>
      </c>
      <c r="K525" s="3" t="str">
        <f>IFERROR(__xludf.DUMMYFUNCTION("""COMPUTED_VALUE"""),"นายวิษณุพงษ์ ชินบุตร")</f>
        <v>นายวิษณุพงษ์ ชินบุตร</v>
      </c>
      <c r="L525" s="1" t="str">
        <f>IFERROR(__xludf.DUMMYFUNCTION("""COMPUTED_VALUE"""),"13 K.Wisanupong Ch")</f>
        <v>13 K.Wisanupong Ch</v>
      </c>
      <c r="M525" s="1" t="str">
        <f>IFERROR(__xludf.DUMMYFUNCTION("""COMPUTED_VALUE"""),"0843374693")</f>
        <v>0843374693</v>
      </c>
      <c r="N525" s="3">
        <f>IFERROR(__xludf.DUMMYFUNCTION("""COMPUTED_VALUE"""),22729.0)</f>
        <v>22729</v>
      </c>
      <c r="O525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525" s="4">
        <f>IFERROR(__xludf.DUMMYFUNCTION("""COMPUTED_VALUE"""),41720.0)</f>
        <v>41720</v>
      </c>
      <c r="Q525" s="3" t="str">
        <f>IFERROR(__xludf.DUMMYFUNCTION("""COMPUTED_VALUE"""),"A")</f>
        <v>A</v>
      </c>
      <c r="R525" s="3" t="str">
        <f>IFERROR(__xludf.DUMMYFUNCTION("""COMPUTED_VALUE"""),"Small Format")</f>
        <v>Small Format</v>
      </c>
      <c r="S525" s="3" t="str">
        <f>IFERROR(__xludf.DUMMYFUNCTION("""COMPUTED_VALUE"""),"BCM")</f>
        <v>BCM</v>
      </c>
      <c r="T525" s="3" t="str">
        <f>IFERROR(__xludf.DUMMYFUNCTION("""COMPUTED_VALUE"""),"#N/A")</f>
        <v>#N/A</v>
      </c>
      <c r="U525" s="3" t="str">
        <f>IFERROR(__xludf.DUMMYFUNCTION("""COMPUTED_VALUE"""),"#N/A")</f>
        <v>#N/A</v>
      </c>
      <c r="V525" s="3" t="str">
        <f>IFERROR(__xludf.DUMMYFUNCTION("""COMPUTED_VALUE"""),"N")</f>
        <v>N</v>
      </c>
      <c r="W525" s="3">
        <f>IFERROR(__xludf.DUMMYFUNCTION("""COMPUTED_VALUE"""),211231.0)</f>
        <v>211231</v>
      </c>
      <c r="X525" s="3" t="str">
        <f>IFERROR(__xludf.DUMMYFUNCTION("""COMPUTED_VALUE"""),"56/7 หมู่ 5 ตำบลพันท้ายนรสิงห์ อำเภอเมืองสมุทรสาคร จังหวัดสมุทรสาคร 74000")</f>
        <v>56/7 หมู่ 5 ตำบลพันท้ายนรสิงห์ อำเภอเมืองสมุทรสาคร จังหวัดสมุทรสาคร 74000</v>
      </c>
      <c r="Y525" s="3"/>
      <c r="Z525" s="3" t="str">
        <f>IFERROR(__xludf.DUMMYFUNCTION("""COMPUTED_VALUE"""),"พันท้ายนรสิงห์")</f>
        <v>พันท้ายนรสิงห์</v>
      </c>
      <c r="AA525" s="3" t="str">
        <f>IFERROR(__xludf.DUMMYFUNCTION("""COMPUTED_VALUE"""),"เมือง")</f>
        <v>เมือง</v>
      </c>
      <c r="AB525" s="3" t="str">
        <f>IFERROR(__xludf.DUMMYFUNCTION("""COMPUTED_VALUE"""),"สมุทรสาคร")</f>
        <v>สมุทรสาคร</v>
      </c>
      <c r="AC525" s="3">
        <f>IFERROR(__xludf.DUMMYFUNCTION("""COMPUTED_VALUE"""),74000.0)</f>
        <v>74000</v>
      </c>
      <c r="AD525" s="3">
        <f>IFERROR(__xludf.DUMMYFUNCTION("""COMPUTED_VALUE"""),13.5771233)</f>
        <v>13.5771233</v>
      </c>
      <c r="AE525" s="3">
        <f>IFERROR(__xludf.DUMMYFUNCTION("""COMPUTED_VALUE"""),100.3654091)</f>
        <v>100.3654091</v>
      </c>
      <c r="AF525" s="3" t="str">
        <f>IFERROR(__xludf.DUMMYFUNCTION("""COMPUTED_VALUE"""),"MBC สินสาคร-21290")</f>
        <v>MBC สินสาคร-21290</v>
      </c>
      <c r="AG525" s="3" t="str">
        <f>IFERROR(__xludf.DUMMYFUNCTION("""COMPUTED_VALUE"""),"กลาง")</f>
        <v>กลาง</v>
      </c>
      <c r="AH525" s="3" t="str">
        <f>IFERROR(__xludf.DUMMYFUNCTION("""COMPUTED_VALUE"""),"#N/A")</f>
        <v>#N/A</v>
      </c>
      <c r="AI525" s="3" t="str">
        <f>IFERROR(__xludf.DUMMYFUNCTION("""COMPUTED_VALUE"""),"Out of warranty")</f>
        <v>Out of warranty</v>
      </c>
      <c r="AJ525" s="3">
        <f>IFERROR(__xludf.DUMMYFUNCTION("""COMPUTED_VALUE"""),142.0)</f>
        <v>142</v>
      </c>
      <c r="AK525" s="3" t="str">
        <f>IFERROR(__xludf.DUMMYFUNCTION("""COMPUTED_VALUE"""),"MMS05")</f>
        <v>MMS05</v>
      </c>
      <c r="AL525" s="3"/>
    </row>
    <row r="526" ht="15.75" customHeight="1">
      <c r="A526" s="1" t="str">
        <f>IFERROR(__xludf.DUMMYFUNCTION("""COMPUTED_VALUE"""),"21291")</f>
        <v>21291</v>
      </c>
      <c r="B526" s="2">
        <f>IFERROR(__xludf.DUMMYFUNCTION("""COMPUTED_VALUE"""),21291.0)</f>
        <v>21291</v>
      </c>
      <c r="C526" s="3" t="str">
        <f>IFERROR(__xludf.DUMMYFUNCTION("""COMPUTED_VALUE"""),"MBC BCP กัลปพฤกษ์")</f>
        <v>MBC BCP กัลปพฤกษ์</v>
      </c>
      <c r="D526" s="3" t="str">
        <f>IFERROR(__xludf.DUMMYFUNCTION("""COMPUTED_VALUE"""),"MBC BCP KANLAPAPHRUE")</f>
        <v>MBC BCP KANLAPAPHRUE</v>
      </c>
      <c r="E526" s="1" t="str">
        <f>IFERROR(__xludf.DUMMYFUNCTION("""COMPUTED_VALUE"""),"บิ๊กซี MINI")</f>
        <v>บิ๊กซี MINI</v>
      </c>
      <c r="F526" s="1" t="str">
        <f>IFERROR(__xludf.DUMMYFUNCTION("""COMPUTED_VALUE"""),"291008")</f>
        <v>291008</v>
      </c>
      <c r="G526" s="1" t="str">
        <f>IFERROR(__xludf.DUMMYFUNCTION("""COMPUTED_VALUE"""),"น.ส.รัชดาพร อีศรัตน์")</f>
        <v>น.ส.รัชดาพร อีศรัตน์</v>
      </c>
      <c r="H526" s="1" t="str">
        <f>IFERROR(__xludf.DUMMYFUNCTION("""COMPUTED_VALUE"""),"034068")</f>
        <v>034068</v>
      </c>
      <c r="I526" s="1" t="str">
        <f>IFERROR(__xludf.DUMMYFUNCTION("""COMPUTED_VALUE"""),"นายสมศักดิ์ ฐานทองดี")</f>
        <v>นายสมศักดิ์ ฐานทองดี</v>
      </c>
      <c r="J526" s="3">
        <f>IFERROR(__xludf.DUMMYFUNCTION("""COMPUTED_VALUE"""),3510104.0)</f>
        <v>3510104</v>
      </c>
      <c r="K526" s="3" t="str">
        <f>IFERROR(__xludf.DUMMYFUNCTION("""COMPUTED_VALUE"""),"นายวิโรจน์ อับดุลสมัด")</f>
        <v>นายวิโรจน์ อับดุลสมัด</v>
      </c>
      <c r="L526" s="1" t="str">
        <f>IFERROR(__xludf.DUMMYFUNCTION("""COMPUTED_VALUE"""),"09 K.Wirode A")</f>
        <v>09 K.Wirode A</v>
      </c>
      <c r="M526" s="1" t="str">
        <f>IFERROR(__xludf.DUMMYFUNCTION("""COMPUTED_VALUE"""),"080-235-4465")</f>
        <v>080-235-4465</v>
      </c>
      <c r="N526" s="3">
        <f>IFERROR(__xludf.DUMMYFUNCTION("""COMPUTED_VALUE"""),21324.0)</f>
        <v>21324</v>
      </c>
      <c r="O526" s="3" t="str">
        <f>IFERROR(__xludf.DUMMYFUNCTION("""COMPUTED_VALUE"""),"MBC BCP สุวินทวงศ์")</f>
        <v>MBC BCP สุวินทวงศ์</v>
      </c>
      <c r="P526" s="4">
        <f>IFERROR(__xludf.DUMMYFUNCTION("""COMPUTED_VALUE"""),41722.0)</f>
        <v>41722</v>
      </c>
      <c r="Q526" s="3" t="str">
        <f>IFERROR(__xludf.DUMMYFUNCTION("""COMPUTED_VALUE"""),"I")</f>
        <v>I</v>
      </c>
      <c r="R526" s="3" t="str">
        <f>IFERROR(__xludf.DUMMYFUNCTION("""COMPUTED_VALUE"""),"Small Format")</f>
        <v>Small Format</v>
      </c>
      <c r="S526" s="3" t="str">
        <f>IFERROR(__xludf.DUMMYFUNCTION("""COMPUTED_VALUE"""),"BCM")</f>
        <v>BCM</v>
      </c>
      <c r="T526" s="3" t="str">
        <f>IFERROR(__xludf.DUMMYFUNCTION("""COMPUTED_VALUE"""),"#N/A")</f>
        <v>#N/A</v>
      </c>
      <c r="U526" s="3" t="str">
        <f>IFERROR(__xludf.DUMMYFUNCTION("""COMPUTED_VALUE"""),"#N/A")</f>
        <v>#N/A</v>
      </c>
      <c r="V526" s="3" t="str">
        <f>IFERROR(__xludf.DUMMYFUNCTION("""COMPUTED_VALUE"""),"N")</f>
        <v>N</v>
      </c>
      <c r="W526" s="3">
        <f>IFERROR(__xludf.DUMMYFUNCTION("""COMPUTED_VALUE"""),0.0)</f>
        <v>0</v>
      </c>
      <c r="X526" s="3" t="str">
        <f>IFERROR(__xludf.DUMMYFUNCTION("""COMPUTED_VALUE"""),"4/1 ถนนกัลปพฤกษ์ แขวงบางแค เขตบางแค กรุงเทพมหานคร 10160")</f>
        <v>4/1 ถนนกัลปพฤกษ์ แขวงบางแค เขตบางแค กรุงเทพมหานคร 10160</v>
      </c>
      <c r="Y526" s="3" t="str">
        <f>IFERROR(__xludf.DUMMYFUNCTION("""COMPUTED_VALUE"""),"ถนนกัลปพฤกษ์")</f>
        <v>ถนนกัลปพฤกษ์</v>
      </c>
      <c r="Z526" s="3" t="str">
        <f>IFERROR(__xludf.DUMMYFUNCTION("""COMPUTED_VALUE"""),"บางแค")</f>
        <v>บางแค</v>
      </c>
      <c r="AA526" s="3" t="str">
        <f>IFERROR(__xludf.DUMMYFUNCTION("""COMPUTED_VALUE"""),"บางแค")</f>
        <v>บางแค</v>
      </c>
      <c r="AB526" s="3" t="str">
        <f>IFERROR(__xludf.DUMMYFUNCTION("""COMPUTED_VALUE"""),"กรุงเทพมหานคร")</f>
        <v>กรุงเทพมหานคร</v>
      </c>
      <c r="AC526" s="3">
        <f>IFERROR(__xludf.DUMMYFUNCTION("""COMPUTED_VALUE"""),10160.0)</f>
        <v>10160</v>
      </c>
      <c r="AD526" s="3" t="str">
        <f>IFERROR(__xludf.DUMMYFUNCTION("""COMPUTED_VALUE"""),"#N/A")</f>
        <v>#N/A</v>
      </c>
      <c r="AE526" s="3" t="str">
        <f>IFERROR(__xludf.DUMMYFUNCTION("""COMPUTED_VALUE"""),"#N/A")</f>
        <v>#N/A</v>
      </c>
      <c r="AF526" s="3" t="str">
        <f>IFERROR(__xludf.DUMMYFUNCTION("""COMPUTED_VALUE"""),"MBC BCP กัลปพฤกษ์-21291")</f>
        <v>MBC BCP กัลปพฤกษ์-21291</v>
      </c>
      <c r="AG526" s="3" t="str">
        <f>IFERROR(__xludf.DUMMYFUNCTION("""COMPUTED_VALUE"""),"กลาง")</f>
        <v>กลาง</v>
      </c>
      <c r="AH526" s="3" t="str">
        <f>IFERROR(__xludf.DUMMYFUNCTION("""COMPUTED_VALUE"""),"#N/A")</f>
        <v>#N/A</v>
      </c>
      <c r="AI526" s="3" t="str">
        <f>IFERROR(__xludf.DUMMYFUNCTION("""COMPUTED_VALUE"""),"Out of warranty")</f>
        <v>Out of warranty</v>
      </c>
      <c r="AJ526" s="3">
        <f>IFERROR(__xludf.DUMMYFUNCTION("""COMPUTED_VALUE"""),142.0)</f>
        <v>142</v>
      </c>
      <c r="AK526" s="3"/>
      <c r="AL526" s="3"/>
    </row>
    <row r="527" ht="15.75" customHeight="1">
      <c r="A527" s="1" t="str">
        <f>IFERROR(__xludf.DUMMYFUNCTION("""COMPUTED_VALUE"""),"21292")</f>
        <v>21292</v>
      </c>
      <c r="B527" s="2">
        <f>IFERROR(__xludf.DUMMYFUNCTION("""COMPUTED_VALUE"""),21292.0)</f>
        <v>21292</v>
      </c>
      <c r="C527" s="3" t="str">
        <f>IFERROR(__xludf.DUMMYFUNCTION("""COMPUTED_VALUE"""),"MBC BCP บ้านโพธิ์")</f>
        <v>MBC BCP บ้านโพธิ์</v>
      </c>
      <c r="D527" s="3" t="str">
        <f>IFERROR(__xludf.DUMMYFUNCTION("""COMPUTED_VALUE"""),"BCM BCP BANPHO")</f>
        <v>BCM BCP BANPHO</v>
      </c>
      <c r="E527" s="1" t="str">
        <f>IFERROR(__xludf.DUMMYFUNCTION("""COMPUTED_VALUE"""),"บิ๊กซี MINI")</f>
        <v>บิ๊กซี MINI</v>
      </c>
      <c r="F527" s="1" t="str">
        <f>IFERROR(__xludf.DUMMYFUNCTION("""COMPUTED_VALUE"""),"2083447")</f>
        <v>2083447</v>
      </c>
      <c r="G527" s="1" t="str">
        <f>IFERROR(__xludf.DUMMYFUNCTION("""COMPUTED_VALUE"""),"นายอนุกูล ศรีลัดดา")</f>
        <v>นายอนุกูล ศรีลัดดา</v>
      </c>
      <c r="H527" s="1" t="str">
        <f>IFERROR(__xludf.DUMMYFUNCTION("""COMPUTED_VALUE"""),"254957")</f>
        <v>254957</v>
      </c>
      <c r="I527" s="1" t="str">
        <f>IFERROR(__xludf.DUMMYFUNCTION("""COMPUTED_VALUE"""),"น.ส.ศิริพร รุ่งธัญญา")</f>
        <v>น.ส.ศิริพร รุ่งธัญญา</v>
      </c>
      <c r="J527" s="3">
        <f>IFERROR(__xludf.DUMMYFUNCTION("""COMPUTED_VALUE"""),2451655.0)</f>
        <v>2451655</v>
      </c>
      <c r="K527" s="3" t="str">
        <f>IFERROR(__xludf.DUMMYFUNCTION("""COMPUTED_VALUE"""),"นายวิษณุพงษ์ ชินบุตร")</f>
        <v>นายวิษณุพงษ์ ชินบุตร</v>
      </c>
      <c r="L527" s="1" t="str">
        <f>IFERROR(__xludf.DUMMYFUNCTION("""COMPUTED_VALUE"""),"13 K.Wisanupong Ch")</f>
        <v>13 K.Wisanupong Ch</v>
      </c>
      <c r="M527" s="1" t="str">
        <f>IFERROR(__xludf.DUMMYFUNCTION("""COMPUTED_VALUE"""),"0843374693")</f>
        <v>0843374693</v>
      </c>
      <c r="N527" s="3">
        <f>IFERROR(__xludf.DUMMYFUNCTION("""COMPUTED_VALUE"""),21494.0)</f>
        <v>21494</v>
      </c>
      <c r="O527" s="3" t="str">
        <f>IFERROR(__xludf.DUMMYFUNCTION("""COMPUTED_VALUE"""),"MBC บ้านกรด")</f>
        <v>MBC บ้านกรด</v>
      </c>
      <c r="P527" s="4">
        <f>IFERROR(__xludf.DUMMYFUNCTION("""COMPUTED_VALUE"""),41722.0)</f>
        <v>41722</v>
      </c>
      <c r="Q527" s="3" t="str">
        <f>IFERROR(__xludf.DUMMYFUNCTION("""COMPUTED_VALUE"""),"I")</f>
        <v>I</v>
      </c>
      <c r="R527" s="3" t="str">
        <f>IFERROR(__xludf.DUMMYFUNCTION("""COMPUTED_VALUE"""),"Small Format")</f>
        <v>Small Format</v>
      </c>
      <c r="S527" s="3" t="str">
        <f>IFERROR(__xludf.DUMMYFUNCTION("""COMPUTED_VALUE"""),"BCM")</f>
        <v>BCM</v>
      </c>
      <c r="T527" s="3" t="str">
        <f>IFERROR(__xludf.DUMMYFUNCTION("""COMPUTED_VALUE"""),"#N/A")</f>
        <v>#N/A</v>
      </c>
      <c r="U527" s="3" t="str">
        <f>IFERROR(__xludf.DUMMYFUNCTION("""COMPUTED_VALUE"""),"#N/A")</f>
        <v>#N/A</v>
      </c>
      <c r="V527" s="3" t="str">
        <f>IFERROR(__xludf.DUMMYFUNCTION("""COMPUTED_VALUE"""),"N")</f>
        <v>N</v>
      </c>
      <c r="W527" s="3">
        <f>IFERROR(__xludf.DUMMYFUNCTION("""COMPUTED_VALUE"""),361089.0)</f>
        <v>361089</v>
      </c>
      <c r="X527" s="3" t="str">
        <f>IFERROR(__xludf.DUMMYFUNCTION("""COMPUTED_VALUE"""),"88 หมู่ 1 ตำบลคลองประเวศ อำเภอบ้านโพธิ์ จังหวัดฉะเชิงเทรา 24140")</f>
        <v>88 หมู่ 1 ตำบลคลองประเวศ อำเภอบ้านโพธิ์ จังหวัดฉะเชิงเทรา 24140</v>
      </c>
      <c r="Y527" s="3"/>
      <c r="Z527" s="3" t="str">
        <f>IFERROR(__xludf.DUMMYFUNCTION("""COMPUTED_VALUE"""),"คลองประเวศ")</f>
        <v>คลองประเวศ</v>
      </c>
      <c r="AA527" s="3" t="str">
        <f>IFERROR(__xludf.DUMMYFUNCTION("""COMPUTED_VALUE"""),"บ้านโพธิ์")</f>
        <v>บ้านโพธิ์</v>
      </c>
      <c r="AB527" s="3" t="str">
        <f>IFERROR(__xludf.DUMMYFUNCTION("""COMPUTED_VALUE"""),"ฉะเชิงเทรา")</f>
        <v>ฉะเชิงเทรา</v>
      </c>
      <c r="AC527" s="3">
        <f>IFERROR(__xludf.DUMMYFUNCTION("""COMPUTED_VALUE"""),24140.0)</f>
        <v>24140</v>
      </c>
      <c r="AD527" s="3">
        <f>IFERROR(__xludf.DUMMYFUNCTION("""COMPUTED_VALUE"""),13.6298919)</f>
        <v>13.6298919</v>
      </c>
      <c r="AE527" s="3">
        <f>IFERROR(__xludf.DUMMYFUNCTION("""COMPUTED_VALUE"""),101.0357585)</f>
        <v>101.0357585</v>
      </c>
      <c r="AF527" s="3" t="str">
        <f>IFERROR(__xludf.DUMMYFUNCTION("""COMPUTED_VALUE"""),"MBC BCP บ้านโพธิ์-21292")</f>
        <v>MBC BCP บ้านโพธิ์-21292</v>
      </c>
      <c r="AG527" s="3" t="str">
        <f>IFERROR(__xludf.DUMMYFUNCTION("""COMPUTED_VALUE"""),"ตะวันออก")</f>
        <v>ตะวันออก</v>
      </c>
      <c r="AH527" s="3" t="str">
        <f>IFERROR(__xludf.DUMMYFUNCTION("""COMPUTED_VALUE"""),"#N/A")</f>
        <v>#N/A</v>
      </c>
      <c r="AI527" s="3" t="str">
        <f>IFERROR(__xludf.DUMMYFUNCTION("""COMPUTED_VALUE"""),"Out of warranty")</f>
        <v>Out of warranty</v>
      </c>
      <c r="AJ527" s="3">
        <f>IFERROR(__xludf.DUMMYFUNCTION("""COMPUTED_VALUE"""),142.0)</f>
        <v>142</v>
      </c>
      <c r="AK527" s="3" t="str">
        <f>IFERROR(__xludf.DUMMYFUNCTION("""COMPUTED_VALUE"""),"MMS07")</f>
        <v>MMS07</v>
      </c>
      <c r="AL527" s="3"/>
    </row>
    <row r="528" ht="15.75" customHeight="1">
      <c r="A528" s="1" t="str">
        <f>IFERROR(__xludf.DUMMYFUNCTION("""COMPUTED_VALUE"""),"21293")</f>
        <v>21293</v>
      </c>
      <c r="B528" s="2">
        <f>IFERROR(__xludf.DUMMYFUNCTION("""COMPUTED_VALUE"""),21293.0)</f>
        <v>21293</v>
      </c>
      <c r="C528" s="3" t="str">
        <f>IFERROR(__xludf.DUMMYFUNCTION("""COMPUTED_VALUE"""),"MBC BCP นครฯ-รังสิต1")</f>
        <v>MBC BCP นครฯ-รังสิต1</v>
      </c>
      <c r="D528" s="3" t="str">
        <f>IFERROR(__xludf.DUMMYFUNCTION("""COMPUTED_VALUE"""),"MBC BCP NAKORN-RANGSIT1")</f>
        <v>MBC BCP NAKORN-RANGSIT1</v>
      </c>
      <c r="E528" s="1" t="str">
        <f>IFERROR(__xludf.DUMMYFUNCTION("""COMPUTED_VALUE"""),"บิ๊กซี MINI")</f>
        <v>บิ๊กซี MINI</v>
      </c>
      <c r="F528" s="1" t="str">
        <f>IFERROR(__xludf.DUMMYFUNCTION("""COMPUTED_VALUE"""),"250760")</f>
        <v>250760</v>
      </c>
      <c r="G528" s="1" t="str">
        <f>IFERROR(__xludf.DUMMYFUNCTION("""COMPUTED_VALUE"""),"นายประทวน สาราบรรณ์")</f>
        <v>นายประทวน สาราบรรณ์</v>
      </c>
      <c r="H528" s="1" t="str">
        <f>IFERROR(__xludf.DUMMYFUNCTION("""COMPUTED_VALUE"""),"259808")</f>
        <v>259808</v>
      </c>
      <c r="I528" s="1" t="str">
        <f>IFERROR(__xludf.DUMMYFUNCTION("""COMPUTED_VALUE"""),"น.ส.สกุลรัตน์ พิกุลแก้ว")</f>
        <v>น.ส.สกุลรัตน์ พิกุลแก้ว</v>
      </c>
      <c r="J528" s="3">
        <f>IFERROR(__xludf.DUMMYFUNCTION("""COMPUTED_VALUE"""),295541.0)</f>
        <v>295541</v>
      </c>
      <c r="K528" s="3" t="str">
        <f>IFERROR(__xludf.DUMMYFUNCTION("""COMPUTED_VALUE"""),"นายรพิพล ศรีมาตย์")</f>
        <v>นายรพิพล ศรีมาตย์</v>
      </c>
      <c r="L528" s="1" t="str">
        <f>IFERROR(__xludf.DUMMYFUNCTION("""COMPUTED_VALUE"""),"นายรพิพล ศรีมาตย์")</f>
        <v>นายรพิพล ศรีมาตย์</v>
      </c>
      <c r="M528" s="1" t="str">
        <f>IFERROR(__xludf.DUMMYFUNCTION("""COMPUTED_VALUE"""),"0613966115")</f>
        <v>0613966115</v>
      </c>
      <c r="N528" s="3">
        <f>IFERROR(__xludf.DUMMYFUNCTION("""COMPUTED_VALUE"""),21175.0)</f>
        <v>21175</v>
      </c>
      <c r="O528" s="3" t="str">
        <f>IFERROR(__xludf.DUMMYFUNCTION("""COMPUTED_VALUE"""),"MBC BCP กิ่งแก้ว")</f>
        <v>MBC BCP กิ่งแก้ว</v>
      </c>
      <c r="P528" s="4">
        <f>IFERROR(__xludf.DUMMYFUNCTION("""COMPUTED_VALUE"""),41724.0)</f>
        <v>41724</v>
      </c>
      <c r="Q528" s="3" t="str">
        <f>IFERROR(__xludf.DUMMYFUNCTION("""COMPUTED_VALUE"""),"I")</f>
        <v>I</v>
      </c>
      <c r="R528" s="3" t="str">
        <f>IFERROR(__xludf.DUMMYFUNCTION("""COMPUTED_VALUE"""),"Small Format")</f>
        <v>Small Format</v>
      </c>
      <c r="S528" s="3" t="str">
        <f>IFERROR(__xludf.DUMMYFUNCTION("""COMPUTED_VALUE"""),"BCM")</f>
        <v>BCM</v>
      </c>
      <c r="T528" s="3" t="str">
        <f>IFERROR(__xludf.DUMMYFUNCTION("""COMPUTED_VALUE"""),"#N/A")</f>
        <v>#N/A</v>
      </c>
      <c r="U528" s="3" t="str">
        <f>IFERROR(__xludf.DUMMYFUNCTION("""COMPUTED_VALUE"""),"#N/A")</f>
        <v>#N/A</v>
      </c>
      <c r="V528" s="3" t="str">
        <f>IFERROR(__xludf.DUMMYFUNCTION("""COMPUTED_VALUE"""),"N")</f>
        <v>N</v>
      </c>
      <c r="W528" s="3">
        <f>IFERROR(__xludf.DUMMYFUNCTION("""COMPUTED_VALUE"""),0.0)</f>
        <v>0</v>
      </c>
      <c r="X528" s="3" t="str">
        <f>IFERROR(__xludf.DUMMYFUNCTION("""COMPUTED_VALUE"""),"ข2-258 ถนนวังกระโจม ตำบลนครนายก อำเภอเมืองนครนายก จังหวัดนครนายก 26000")</f>
        <v>ข2-258 ถนนวังกระโจม ตำบลนครนายก อำเภอเมืองนครนายก จังหวัดนครนายก 26000</v>
      </c>
      <c r="Y528" s="3" t="str">
        <f>IFERROR(__xludf.DUMMYFUNCTION("""COMPUTED_VALUE"""),"ถนนวังกระโจม")</f>
        <v>ถนนวังกระโจม</v>
      </c>
      <c r="Z528" s="3" t="str">
        <f>IFERROR(__xludf.DUMMYFUNCTION("""COMPUTED_VALUE"""),"นครนายก")</f>
        <v>นครนายก</v>
      </c>
      <c r="AA528" s="3" t="str">
        <f>IFERROR(__xludf.DUMMYFUNCTION("""COMPUTED_VALUE"""),"เมือง")</f>
        <v>เมือง</v>
      </c>
      <c r="AB528" s="3" t="str">
        <f>IFERROR(__xludf.DUMMYFUNCTION("""COMPUTED_VALUE"""),"นครนายก")</f>
        <v>นครนายก</v>
      </c>
      <c r="AC528" s="3">
        <f>IFERROR(__xludf.DUMMYFUNCTION("""COMPUTED_VALUE"""),26000.0)</f>
        <v>26000</v>
      </c>
      <c r="AD528" s="3" t="str">
        <f>IFERROR(__xludf.DUMMYFUNCTION("""COMPUTED_VALUE"""),"#N/A")</f>
        <v>#N/A</v>
      </c>
      <c r="AE528" s="3" t="str">
        <f>IFERROR(__xludf.DUMMYFUNCTION("""COMPUTED_VALUE"""),"#N/A")</f>
        <v>#N/A</v>
      </c>
      <c r="AF528" s="3" t="str">
        <f>IFERROR(__xludf.DUMMYFUNCTION("""COMPUTED_VALUE"""),"MBC BCP นครฯ-รังสิต1-21293")</f>
        <v>MBC BCP นครฯ-รังสิต1-21293</v>
      </c>
      <c r="AG528" s="3" t="str">
        <f>IFERROR(__xludf.DUMMYFUNCTION("""COMPUTED_VALUE"""),"กลาง")</f>
        <v>กลาง</v>
      </c>
      <c r="AH528" s="3" t="str">
        <f>IFERROR(__xludf.DUMMYFUNCTION("""COMPUTED_VALUE"""),"#N/A")</f>
        <v>#N/A</v>
      </c>
      <c r="AI528" s="3" t="str">
        <f>IFERROR(__xludf.DUMMYFUNCTION("""COMPUTED_VALUE"""),"Out of warranty")</f>
        <v>Out of warranty</v>
      </c>
      <c r="AJ528" s="3">
        <f>IFERROR(__xludf.DUMMYFUNCTION("""COMPUTED_VALUE"""),142.0)</f>
        <v>142</v>
      </c>
      <c r="AK528" s="3"/>
      <c r="AL528" s="3"/>
    </row>
    <row r="529" ht="15.75" customHeight="1">
      <c r="A529" s="1" t="str">
        <f>IFERROR(__xludf.DUMMYFUNCTION("""COMPUTED_VALUE"""),"21294")</f>
        <v>21294</v>
      </c>
      <c r="B529" s="2">
        <f>IFERROR(__xludf.DUMMYFUNCTION("""COMPUTED_VALUE"""),21294.0)</f>
        <v>21294</v>
      </c>
      <c r="C529" s="3" t="str">
        <f>IFERROR(__xludf.DUMMYFUNCTION("""COMPUTED_VALUE"""),"MBC BCP สุขุมฯ กม219")</f>
        <v>MBC BCP สุขุมฯ กม219</v>
      </c>
      <c r="D529" s="3" t="str">
        <f>IFERROR(__xludf.DUMMYFUNCTION("""COMPUTED_VALUE"""),"BCM BCP SUKHUM KM 219")</f>
        <v>BCM BCP SUKHUM KM 219</v>
      </c>
      <c r="E529" s="1" t="str">
        <f>IFERROR(__xludf.DUMMYFUNCTION("""COMPUTED_VALUE"""),"บิ๊กซี MINI")</f>
        <v>บิ๊กซี MINI</v>
      </c>
      <c r="F529" s="1" t="str">
        <f>IFERROR(__xludf.DUMMYFUNCTION("""COMPUTED_VALUE"""),"221716")</f>
        <v>221716</v>
      </c>
      <c r="G529" s="1" t="str">
        <f>IFERROR(__xludf.DUMMYFUNCTION("""COMPUTED_VALUE"""),"น.ส.เบญจพร โพธิสาร")</f>
        <v>น.ส.เบญจพร โพธิสาร</v>
      </c>
      <c r="H529" s="1" t="str">
        <f>IFERROR(__xludf.DUMMYFUNCTION("""COMPUTED_VALUE"""),"359233")</f>
        <v>359233</v>
      </c>
      <c r="I529" s="1" t="str">
        <f>IFERROR(__xludf.DUMMYFUNCTION("""COMPUTED_VALUE"""),"น.ส.ปยุดา คำมีอ่อน")</f>
        <v>น.ส.ปยุดา คำมีอ่อน</v>
      </c>
      <c r="J529" s="3">
        <f>IFERROR(__xludf.DUMMYFUNCTION("""COMPUTED_VALUE"""),3510104.0)</f>
        <v>3510104</v>
      </c>
      <c r="K529" s="3" t="str">
        <f>IFERROR(__xludf.DUMMYFUNCTION("""COMPUTED_VALUE"""),"นายวิโรจน์ อับดุลสมัด")</f>
        <v>นายวิโรจน์ อับดุลสมัด</v>
      </c>
      <c r="L529" s="1" t="str">
        <f>IFERROR(__xludf.DUMMYFUNCTION("""COMPUTED_VALUE"""),"09 K.Wirode A")</f>
        <v>09 K.Wirode A</v>
      </c>
      <c r="M529" s="1" t="str">
        <f>IFERROR(__xludf.DUMMYFUNCTION("""COMPUTED_VALUE"""),"080-235-4465")</f>
        <v>080-235-4465</v>
      </c>
      <c r="N529" s="3">
        <f>IFERROR(__xludf.DUMMYFUNCTION("""COMPUTED_VALUE"""),21324.0)</f>
        <v>21324</v>
      </c>
      <c r="O529" s="3" t="str">
        <f>IFERROR(__xludf.DUMMYFUNCTION("""COMPUTED_VALUE"""),"MBC BCP สุวินทวงศ์")</f>
        <v>MBC BCP สุวินทวงศ์</v>
      </c>
      <c r="P529" s="4">
        <f>IFERROR(__xludf.DUMMYFUNCTION("""COMPUTED_VALUE"""),41725.0)</f>
        <v>41725</v>
      </c>
      <c r="Q529" s="3" t="str">
        <f>IFERROR(__xludf.DUMMYFUNCTION("""COMPUTED_VALUE"""),"I")</f>
        <v>I</v>
      </c>
      <c r="R529" s="3" t="str">
        <f>IFERROR(__xludf.DUMMYFUNCTION("""COMPUTED_VALUE"""),"Small Format")</f>
        <v>Small Format</v>
      </c>
      <c r="S529" s="3" t="str">
        <f>IFERROR(__xludf.DUMMYFUNCTION("""COMPUTED_VALUE"""),"BCM")</f>
        <v>BCM</v>
      </c>
      <c r="T529" s="3" t="str">
        <f>IFERROR(__xludf.DUMMYFUNCTION("""COMPUTED_VALUE"""),"#N/A")</f>
        <v>#N/A</v>
      </c>
      <c r="U529" s="3" t="str">
        <f>IFERROR(__xludf.DUMMYFUNCTION("""COMPUTED_VALUE"""),"#N/A")</f>
        <v>#N/A</v>
      </c>
      <c r="V529" s="3" t="str">
        <f>IFERROR(__xludf.DUMMYFUNCTION("""COMPUTED_VALUE"""),"N")</f>
        <v>N</v>
      </c>
      <c r="W529" s="3">
        <f>IFERROR(__xludf.DUMMYFUNCTION("""COMPUTED_VALUE"""),361076.0)</f>
        <v>361076</v>
      </c>
      <c r="X529" s="3" t="str">
        <f>IFERROR(__xludf.DUMMYFUNCTION("""COMPUTED_VALUE"""),"351/4 ถนนสุขุมวิท ตำบลเนินพระ อำเภอเมืองระยอง จังหวัดระยอง 21000")</f>
        <v>351/4 ถนนสุขุมวิท ตำบลเนินพระ อำเภอเมืองระยอง จังหวัดระยอง 21000</v>
      </c>
      <c r="Y529" s="3" t="str">
        <f>IFERROR(__xludf.DUMMYFUNCTION("""COMPUTED_VALUE"""),"ถนนสุขุมวิท")</f>
        <v>ถนนสุขุมวิท</v>
      </c>
      <c r="Z529" s="3" t="str">
        <f>IFERROR(__xludf.DUMMYFUNCTION("""COMPUTED_VALUE"""),"เนินพระ")</f>
        <v>เนินพระ</v>
      </c>
      <c r="AA529" s="3" t="str">
        <f>IFERROR(__xludf.DUMMYFUNCTION("""COMPUTED_VALUE"""),"เมือง")</f>
        <v>เมือง</v>
      </c>
      <c r="AB529" s="3" t="str">
        <f>IFERROR(__xludf.DUMMYFUNCTION("""COMPUTED_VALUE"""),"ระยอง")</f>
        <v>ระยอง</v>
      </c>
      <c r="AC529" s="3">
        <f>IFERROR(__xludf.DUMMYFUNCTION("""COMPUTED_VALUE"""),21000.0)</f>
        <v>21000</v>
      </c>
      <c r="AD529" s="3">
        <f>IFERROR(__xludf.DUMMYFUNCTION("""COMPUTED_VALUE"""),12.6829036)</f>
        <v>12.6829036</v>
      </c>
      <c r="AE529" s="3">
        <f>IFERROR(__xludf.DUMMYFUNCTION("""COMPUTED_VALUE"""),101.2526832)</f>
        <v>101.2526832</v>
      </c>
      <c r="AF529" s="3" t="str">
        <f>IFERROR(__xludf.DUMMYFUNCTION("""COMPUTED_VALUE"""),"MBC BCP สุขุมฯ กม219-21294")</f>
        <v>MBC BCP สุขุมฯ กม219-21294</v>
      </c>
      <c r="AG529" s="3" t="str">
        <f>IFERROR(__xludf.DUMMYFUNCTION("""COMPUTED_VALUE"""),"ตะวันออก")</f>
        <v>ตะวันออก</v>
      </c>
      <c r="AH529" s="3" t="str">
        <f>IFERROR(__xludf.DUMMYFUNCTION("""COMPUTED_VALUE"""),"#N/A")</f>
        <v>#N/A</v>
      </c>
      <c r="AI529" s="3" t="str">
        <f>IFERROR(__xludf.DUMMYFUNCTION("""COMPUTED_VALUE"""),"Out of warranty")</f>
        <v>Out of warranty</v>
      </c>
      <c r="AJ529" s="3">
        <f>IFERROR(__xludf.DUMMYFUNCTION("""COMPUTED_VALUE"""),142.0)</f>
        <v>142</v>
      </c>
      <c r="AK529" s="3" t="str">
        <f>IFERROR(__xludf.DUMMYFUNCTION("""COMPUTED_VALUE"""),"MMS08")</f>
        <v>MMS08</v>
      </c>
      <c r="AL529" s="3"/>
    </row>
    <row r="530" ht="15.75" customHeight="1">
      <c r="A530" s="1" t="str">
        <f>IFERROR(__xludf.DUMMYFUNCTION("""COMPUTED_VALUE"""),"21295")</f>
        <v>21295</v>
      </c>
      <c r="B530" s="2">
        <f>IFERROR(__xludf.DUMMYFUNCTION("""COMPUTED_VALUE"""),21295.0)</f>
        <v>21295</v>
      </c>
      <c r="C530" s="3" t="str">
        <f>IFERROR(__xludf.DUMMYFUNCTION("""COMPUTED_VALUE"""),"MBC สี่แยกทศกัณฑ์")</f>
        <v>MBC สี่แยกทศกัณฑ์</v>
      </c>
      <c r="D530" s="3" t="str">
        <f>IFERROR(__xludf.DUMMYFUNCTION("""COMPUTED_VALUE"""),"BCM SIYEAKTODSAKARN")</f>
        <v>BCM SIYEAKTODSAKARN</v>
      </c>
      <c r="E530" s="1" t="str">
        <f>IFERROR(__xludf.DUMMYFUNCTION("""COMPUTED_VALUE"""),"บิ๊กซี MINI")</f>
        <v>บิ๊กซี MINI</v>
      </c>
      <c r="F530" s="1" t="str">
        <f>IFERROR(__xludf.DUMMYFUNCTION("""COMPUTED_VALUE"""),"291008")</f>
        <v>291008</v>
      </c>
      <c r="G530" s="1" t="str">
        <f>IFERROR(__xludf.DUMMYFUNCTION("""COMPUTED_VALUE"""),"น.ส.รัชดาพร อีศรัตน์")</f>
        <v>น.ส.รัชดาพร อีศรัตน์</v>
      </c>
      <c r="H530" s="1" t="str">
        <f>IFERROR(__xludf.DUMMYFUNCTION("""COMPUTED_VALUE"""),"291101")</f>
        <v>291101</v>
      </c>
      <c r="I530" s="1" t="str">
        <f>IFERROR(__xludf.DUMMYFUNCTION("""COMPUTED_VALUE"""),"นายจักรพงศ์ โพธิ์ศรี")</f>
        <v>นายจักรพงศ์ โพธิ์ศรี</v>
      </c>
      <c r="J530" s="3">
        <f>IFERROR(__xludf.DUMMYFUNCTION("""COMPUTED_VALUE"""),296608.0)</f>
        <v>296608</v>
      </c>
      <c r="K530" s="3" t="str">
        <f>IFERROR(__xludf.DUMMYFUNCTION("""COMPUTED_VALUE"""),"นายภาคภูมิ เพ็ชรนิล")</f>
        <v>นายภาคภูมิ เพ็ชรนิล</v>
      </c>
      <c r="L530" s="1" t="str">
        <f>IFERROR(__xludf.DUMMYFUNCTION("""COMPUTED_VALUE"""),"10 K.Phakphoom P.")</f>
        <v>10 K.Phakphoom P.</v>
      </c>
      <c r="M530" s="1" t="str">
        <f>IFERROR(__xludf.DUMMYFUNCTION("""COMPUTED_VALUE"""),"063-8955329")</f>
        <v>063-8955329</v>
      </c>
      <c r="N530" s="3">
        <f>IFERROR(__xludf.DUMMYFUNCTION("""COMPUTED_VALUE"""),22584.0)</f>
        <v>22584</v>
      </c>
      <c r="O530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530" s="4">
        <f>IFERROR(__xludf.DUMMYFUNCTION("""COMPUTED_VALUE"""),41728.0)</f>
        <v>41728</v>
      </c>
      <c r="Q530" s="3" t="str">
        <f>IFERROR(__xludf.DUMMYFUNCTION("""COMPUTED_VALUE"""),"A")</f>
        <v>A</v>
      </c>
      <c r="R530" s="3" t="str">
        <f>IFERROR(__xludf.DUMMYFUNCTION("""COMPUTED_VALUE"""),"Small Format")</f>
        <v>Small Format</v>
      </c>
      <c r="S530" s="3" t="str">
        <f>IFERROR(__xludf.DUMMYFUNCTION("""COMPUTED_VALUE"""),"BCM")</f>
        <v>BCM</v>
      </c>
      <c r="T530" s="3" t="str">
        <f>IFERROR(__xludf.DUMMYFUNCTION("""COMPUTED_VALUE"""),"#N/A")</f>
        <v>#N/A</v>
      </c>
      <c r="U530" s="3" t="str">
        <f>IFERROR(__xludf.DUMMYFUNCTION("""COMPUTED_VALUE"""),"#N/A")</f>
        <v>#N/A</v>
      </c>
      <c r="V530" s="3" t="str">
        <f>IFERROR(__xludf.DUMMYFUNCTION("""COMPUTED_VALUE"""),"N")</f>
        <v>N</v>
      </c>
      <c r="W530" s="3">
        <f>IFERROR(__xludf.DUMMYFUNCTION("""COMPUTED_VALUE"""),211307.0)</f>
        <v>211307</v>
      </c>
      <c r="X530" s="3" t="str">
        <f>IFERROR(__xludf.DUMMYFUNCTION("""COMPUTED_VALUE"""),"389/2 ถนนพุทธมณฑลสาย 2 แขวงบางไผ่ เขตบางแค กรุงเทพมหานคร 10160")</f>
        <v>389/2 ถนนพุทธมณฑลสาย 2 แขวงบางไผ่ เขตบางแค กรุงเทพมหานคร 10160</v>
      </c>
      <c r="Y530" s="3" t="str">
        <f>IFERROR(__xludf.DUMMYFUNCTION("""COMPUTED_VALUE"""),"ถนนพุทธมณฑลสาย")</f>
        <v>ถนนพุทธมณฑลสาย</v>
      </c>
      <c r="Z530" s="3" t="str">
        <f>IFERROR(__xludf.DUMMYFUNCTION("""COMPUTED_VALUE"""),"บางไผ่")</f>
        <v>บางไผ่</v>
      </c>
      <c r="AA530" s="3" t="str">
        <f>IFERROR(__xludf.DUMMYFUNCTION("""COMPUTED_VALUE"""),"บางแค")</f>
        <v>บางแค</v>
      </c>
      <c r="AB530" s="3" t="str">
        <f>IFERROR(__xludf.DUMMYFUNCTION("""COMPUTED_VALUE"""),"กรุงเทพมหานคร")</f>
        <v>กรุงเทพมหานคร</v>
      </c>
      <c r="AC530" s="3">
        <f>IFERROR(__xludf.DUMMYFUNCTION("""COMPUTED_VALUE"""),10160.0)</f>
        <v>10160</v>
      </c>
      <c r="AD530" s="3">
        <f>IFERROR(__xludf.DUMMYFUNCTION("""COMPUTED_VALUE"""),13.7451503)</f>
        <v>13.7451503</v>
      </c>
      <c r="AE530" s="3">
        <f>IFERROR(__xludf.DUMMYFUNCTION("""COMPUTED_VALUE"""),100.3952613)</f>
        <v>100.3952613</v>
      </c>
      <c r="AF530" s="3" t="str">
        <f>IFERROR(__xludf.DUMMYFUNCTION("""COMPUTED_VALUE"""),"MBC สี่แยกทศกัณฑ์-21295")</f>
        <v>MBC สี่แยกทศกัณฑ์-21295</v>
      </c>
      <c r="AG530" s="3" t="str">
        <f>IFERROR(__xludf.DUMMYFUNCTION("""COMPUTED_VALUE"""),"กลาง")</f>
        <v>กลาง</v>
      </c>
      <c r="AH530" s="3" t="str">
        <f>IFERROR(__xludf.DUMMYFUNCTION("""COMPUTED_VALUE"""),"#N/A")</f>
        <v>#N/A</v>
      </c>
      <c r="AI530" s="3" t="str">
        <f>IFERROR(__xludf.DUMMYFUNCTION("""COMPUTED_VALUE"""),"Out of warranty")</f>
        <v>Out of warranty</v>
      </c>
      <c r="AJ530" s="3">
        <f>IFERROR(__xludf.DUMMYFUNCTION("""COMPUTED_VALUE"""),142.0)</f>
        <v>142</v>
      </c>
      <c r="AK530" s="3" t="str">
        <f>IFERROR(__xludf.DUMMYFUNCTION("""COMPUTED_VALUE"""),"MMS02")</f>
        <v>MMS02</v>
      </c>
      <c r="AL530" s="3"/>
    </row>
    <row r="531" ht="15.75" customHeight="1">
      <c r="A531" s="1" t="str">
        <f>IFERROR(__xludf.DUMMYFUNCTION("""COMPUTED_VALUE"""),"21296")</f>
        <v>21296</v>
      </c>
      <c r="B531" s="2">
        <f>IFERROR(__xludf.DUMMYFUNCTION("""COMPUTED_VALUE"""),21296.0)</f>
        <v>21296</v>
      </c>
      <c r="C531" s="3" t="str">
        <f>IFERROR(__xludf.DUMMYFUNCTION("""COMPUTED_VALUE"""),"MBC BCP นวลจันทร์")</f>
        <v>MBC BCP นวลจันทร์</v>
      </c>
      <c r="D531" s="3" t="str">
        <f>IFERROR(__xludf.DUMMYFUNCTION("""COMPUTED_VALUE"""),"MBC BCP NUANCHAN")</f>
        <v>MBC BCP NUANCHAN</v>
      </c>
      <c r="E531" s="1" t="str">
        <f>IFERROR(__xludf.DUMMYFUNCTION("""COMPUTED_VALUE"""),"บิ๊กซี MINI")</f>
        <v>บิ๊กซี MINI</v>
      </c>
      <c r="F531" s="1" t="str">
        <f>IFERROR(__xludf.DUMMYFUNCTION("""COMPUTED_VALUE"""),"291008")</f>
        <v>291008</v>
      </c>
      <c r="G531" s="1" t="str">
        <f>IFERROR(__xludf.DUMMYFUNCTION("""COMPUTED_VALUE"""),"น.ส.รัชดาพร อีศรัตน์")</f>
        <v>น.ส.รัชดาพร อีศรัตน์</v>
      </c>
      <c r="H531" s="1" t="str">
        <f>IFERROR(__xludf.DUMMYFUNCTION("""COMPUTED_VALUE"""),"034068")</f>
        <v>034068</v>
      </c>
      <c r="I531" s="1" t="str">
        <f>IFERROR(__xludf.DUMMYFUNCTION("""COMPUTED_VALUE"""),"นายสมศักดิ์ ฐานทองดี")</f>
        <v>นายสมศักดิ์ ฐานทองดี</v>
      </c>
      <c r="J531" s="3">
        <f>IFERROR(__xludf.DUMMYFUNCTION("""COMPUTED_VALUE"""),3510104.0)</f>
        <v>3510104</v>
      </c>
      <c r="K531" s="3" t="str">
        <f>IFERROR(__xludf.DUMMYFUNCTION("""COMPUTED_VALUE"""),"นายวิโรจน์ อับดุลสมัด")</f>
        <v>นายวิโรจน์ อับดุลสมัด</v>
      </c>
      <c r="L531" s="1" t="str">
        <f>IFERROR(__xludf.DUMMYFUNCTION("""COMPUTED_VALUE"""),"09 K.Wirode A")</f>
        <v>09 K.Wirode A</v>
      </c>
      <c r="M531" s="1" t="str">
        <f>IFERROR(__xludf.DUMMYFUNCTION("""COMPUTED_VALUE"""),"080-235-4465")</f>
        <v>080-235-4465</v>
      </c>
      <c r="N531" s="3">
        <f>IFERROR(__xludf.DUMMYFUNCTION("""COMPUTED_VALUE"""),21324.0)</f>
        <v>21324</v>
      </c>
      <c r="O531" s="3" t="str">
        <f>IFERROR(__xludf.DUMMYFUNCTION("""COMPUTED_VALUE"""),"MBC BCP สุวินทวงศ์")</f>
        <v>MBC BCP สุวินทวงศ์</v>
      </c>
      <c r="P531" s="4">
        <f>IFERROR(__xludf.DUMMYFUNCTION("""COMPUTED_VALUE"""),41729.0)</f>
        <v>41729</v>
      </c>
      <c r="Q531" s="3" t="str">
        <f>IFERROR(__xludf.DUMMYFUNCTION("""COMPUTED_VALUE"""),"I")</f>
        <v>I</v>
      </c>
      <c r="R531" s="3" t="str">
        <f>IFERROR(__xludf.DUMMYFUNCTION("""COMPUTED_VALUE"""),"Small Format")</f>
        <v>Small Format</v>
      </c>
      <c r="S531" s="3" t="str">
        <f>IFERROR(__xludf.DUMMYFUNCTION("""COMPUTED_VALUE"""),"BCM")</f>
        <v>BCM</v>
      </c>
      <c r="T531" s="3" t="str">
        <f>IFERROR(__xludf.DUMMYFUNCTION("""COMPUTED_VALUE"""),"#N/A")</f>
        <v>#N/A</v>
      </c>
      <c r="U531" s="3" t="str">
        <f>IFERROR(__xludf.DUMMYFUNCTION("""COMPUTED_VALUE"""),"#N/A")</f>
        <v>#N/A</v>
      </c>
      <c r="V531" s="3" t="str">
        <f>IFERROR(__xludf.DUMMYFUNCTION("""COMPUTED_VALUE"""),"N")</f>
        <v>N</v>
      </c>
      <c r="W531" s="3">
        <f>IFERROR(__xludf.DUMMYFUNCTION("""COMPUTED_VALUE"""),361065.0)</f>
        <v>361065</v>
      </c>
      <c r="X531" s="3" t="str">
        <f>IFERROR(__xludf.DUMMYFUNCTION("""COMPUTED_VALUE"""),"132 หมู่ 12 แขวงคลองกุ่ม เขตบึงกุ่ม กรุงเทพมหานคร 10230")</f>
        <v>132 หมู่ 12 แขวงคลองกุ่ม เขตบึงกุ่ม กรุงเทพมหานคร 10230</v>
      </c>
      <c r="Y531" s="3"/>
      <c r="Z531" s="3" t="str">
        <f>IFERROR(__xludf.DUMMYFUNCTION("""COMPUTED_VALUE"""),"คลองกุ่ม")</f>
        <v>คลองกุ่ม</v>
      </c>
      <c r="AA531" s="3" t="str">
        <f>IFERROR(__xludf.DUMMYFUNCTION("""COMPUTED_VALUE"""),"บึงกุ่ม")</f>
        <v>บึงกุ่ม</v>
      </c>
      <c r="AB531" s="3" t="str">
        <f>IFERROR(__xludf.DUMMYFUNCTION("""COMPUTED_VALUE"""),"กรุงเทพมหานคร")</f>
        <v>กรุงเทพมหานคร</v>
      </c>
      <c r="AC531" s="3">
        <f>IFERROR(__xludf.DUMMYFUNCTION("""COMPUTED_VALUE"""),10230.0)</f>
        <v>10230</v>
      </c>
      <c r="AD531" s="3" t="str">
        <f>IFERROR(__xludf.DUMMYFUNCTION("""COMPUTED_VALUE"""),"#N/A")</f>
        <v>#N/A</v>
      </c>
      <c r="AE531" s="3" t="str">
        <f>IFERROR(__xludf.DUMMYFUNCTION("""COMPUTED_VALUE"""),"#N/A")</f>
        <v>#N/A</v>
      </c>
      <c r="AF531" s="3" t="str">
        <f>IFERROR(__xludf.DUMMYFUNCTION("""COMPUTED_VALUE"""),"MBC BCP นวลจันทร์-21296")</f>
        <v>MBC BCP นวลจันทร์-21296</v>
      </c>
      <c r="AG531" s="3" t="str">
        <f>IFERROR(__xludf.DUMMYFUNCTION("""COMPUTED_VALUE"""),"กลาง")</f>
        <v>กลาง</v>
      </c>
      <c r="AH531" s="3" t="str">
        <f>IFERROR(__xludf.DUMMYFUNCTION("""COMPUTED_VALUE"""),"#N/A")</f>
        <v>#N/A</v>
      </c>
      <c r="AI531" s="3" t="str">
        <f>IFERROR(__xludf.DUMMYFUNCTION("""COMPUTED_VALUE"""),"Out of warranty")</f>
        <v>Out of warranty</v>
      </c>
      <c r="AJ531" s="3">
        <f>IFERROR(__xludf.DUMMYFUNCTION("""COMPUTED_VALUE"""),142.0)</f>
        <v>142</v>
      </c>
      <c r="AK531" s="3"/>
      <c r="AL531" s="3"/>
    </row>
    <row r="532" ht="15.75" customHeight="1">
      <c r="A532" s="1" t="str">
        <f>IFERROR(__xludf.DUMMYFUNCTION("""COMPUTED_VALUE"""),"21297")</f>
        <v>21297</v>
      </c>
      <c r="B532" s="2">
        <f>IFERROR(__xludf.DUMMYFUNCTION("""COMPUTED_VALUE"""),21297.0)</f>
        <v>21297</v>
      </c>
      <c r="C532" s="3" t="str">
        <f>IFERROR(__xludf.DUMMYFUNCTION("""COMPUTED_VALUE"""),"MBC ตลาดโรงเกลือ")</f>
        <v>MBC ตลาดโรงเกลือ</v>
      </c>
      <c r="D532" s="3" t="str">
        <f>IFERROR(__xludf.DUMMYFUNCTION("""COMPUTED_VALUE"""),"BCM TARAD RONGKLUE")</f>
        <v>BCM TARAD RONGKLUE</v>
      </c>
      <c r="E532" s="1" t="str">
        <f>IFERROR(__xludf.DUMMYFUNCTION("""COMPUTED_VALUE"""),"บิ๊กซี MINI")</f>
        <v>บิ๊กซี MINI</v>
      </c>
      <c r="F532" s="1" t="str">
        <f>IFERROR(__xludf.DUMMYFUNCTION("""COMPUTED_VALUE"""),"2083447")</f>
        <v>2083447</v>
      </c>
      <c r="G532" s="1" t="str">
        <f>IFERROR(__xludf.DUMMYFUNCTION("""COMPUTED_VALUE"""),"นายอนุกูล ศรีลัดดา")</f>
        <v>นายอนุกูล ศรีลัดดา</v>
      </c>
      <c r="H532" s="1" t="str">
        <f>IFERROR(__xludf.DUMMYFUNCTION("""COMPUTED_VALUE"""),"259808")</f>
        <v>259808</v>
      </c>
      <c r="I532" s="1" t="str">
        <f>IFERROR(__xludf.DUMMYFUNCTION("""COMPUTED_VALUE"""),"น.ส.สกุลรัตน์ พิกุลแก้ว")</f>
        <v>น.ส.สกุลรัตน์ พิกุลแก้ว</v>
      </c>
      <c r="J532" s="3">
        <f>IFERROR(__xludf.DUMMYFUNCTION("""COMPUTED_VALUE"""),510143.0)</f>
        <v>510143</v>
      </c>
      <c r="K532" s="3" t="str">
        <f>IFERROR(__xludf.DUMMYFUNCTION("""COMPUTED_VALUE"""),"นายธีระวัฒน์ บุญสิทธิ์")</f>
        <v>นายธีระวัฒน์ บุญสิทธิ์</v>
      </c>
      <c r="L532" s="1" t="str">
        <f>IFERROR(__xludf.DUMMYFUNCTION("""COMPUTED_VALUE"""),"12 K.Theerawat B.")</f>
        <v>12 K.Theerawat B.</v>
      </c>
      <c r="M532" s="1" t="str">
        <f>IFERROR(__xludf.DUMMYFUNCTION("""COMPUTED_VALUE"""),"0655107379")</f>
        <v>0655107379</v>
      </c>
      <c r="N532" s="3">
        <f>IFERROR(__xludf.DUMMYFUNCTION("""COMPUTED_VALUE"""),21062.0)</f>
        <v>21062</v>
      </c>
      <c r="O532" s="3" t="str">
        <f>IFERROR(__xludf.DUMMYFUNCTION("""COMPUTED_VALUE"""),"MBC นิคมนวนคร")</f>
        <v>MBC นิคมนวนคร</v>
      </c>
      <c r="P532" s="4">
        <f>IFERROR(__xludf.DUMMYFUNCTION("""COMPUTED_VALUE"""),41750.0)</f>
        <v>41750</v>
      </c>
      <c r="Q532" s="3" t="str">
        <f>IFERROR(__xludf.DUMMYFUNCTION("""COMPUTED_VALUE"""),"A")</f>
        <v>A</v>
      </c>
      <c r="R532" s="3" t="str">
        <f>IFERROR(__xludf.DUMMYFUNCTION("""COMPUTED_VALUE"""),"Small Format")</f>
        <v>Small Format</v>
      </c>
      <c r="S532" s="3" t="str">
        <f>IFERROR(__xludf.DUMMYFUNCTION("""COMPUTED_VALUE"""),"BCM")</f>
        <v>BCM</v>
      </c>
      <c r="T532" s="3" t="str">
        <f>IFERROR(__xludf.DUMMYFUNCTION("""COMPUTED_VALUE"""),"#N/A")</f>
        <v>#N/A</v>
      </c>
      <c r="U532" s="3" t="str">
        <f>IFERROR(__xludf.DUMMYFUNCTION("""COMPUTED_VALUE"""),"#N/A")</f>
        <v>#N/A</v>
      </c>
      <c r="V532" s="3" t="str">
        <f>IFERROR(__xludf.DUMMYFUNCTION("""COMPUTED_VALUE"""),"N")</f>
        <v>N</v>
      </c>
      <c r="W532" s="3">
        <f>IFERROR(__xludf.DUMMYFUNCTION("""COMPUTED_VALUE"""),211317.0)</f>
        <v>211317</v>
      </c>
      <c r="X532" s="3" t="str">
        <f>IFERROR(__xludf.DUMMYFUNCTION("""COMPUTED_VALUE"""),"19/30-32 ถนน กม 5 ฝั่งซ้าย ตำบลอรัญประเทศ อำเภออรัญประเทศ จังหวัดสระแก้ว 27120")</f>
        <v>19/30-32 ถนน กม 5 ฝั่งซ้าย ตำบลอรัญประเทศ อำเภออรัญประเทศ จังหวัดสระแก้ว 27120</v>
      </c>
      <c r="Y532" s="3" t="str">
        <f>IFERROR(__xludf.DUMMYFUNCTION("""COMPUTED_VALUE"""),"ถนน")</f>
        <v>ถนน</v>
      </c>
      <c r="Z532" s="3" t="str">
        <f>IFERROR(__xludf.DUMMYFUNCTION("""COMPUTED_VALUE"""),"อรัญประเทศ")</f>
        <v>อรัญประเทศ</v>
      </c>
      <c r="AA532" s="3" t="str">
        <f>IFERROR(__xludf.DUMMYFUNCTION("""COMPUTED_VALUE"""),"อรัญประเทศ")</f>
        <v>อรัญประเทศ</v>
      </c>
      <c r="AB532" s="3" t="str">
        <f>IFERROR(__xludf.DUMMYFUNCTION("""COMPUTED_VALUE"""),"สระแก้ว")</f>
        <v>สระแก้ว</v>
      </c>
      <c r="AC532" s="3">
        <f>IFERROR(__xludf.DUMMYFUNCTION("""COMPUTED_VALUE"""),27120.0)</f>
        <v>27120</v>
      </c>
      <c r="AD532" s="3">
        <f>IFERROR(__xludf.DUMMYFUNCTION("""COMPUTED_VALUE"""),13.6654014)</f>
        <v>13.6654014</v>
      </c>
      <c r="AE532" s="3">
        <f>IFERROR(__xludf.DUMMYFUNCTION("""COMPUTED_VALUE"""),102.5464528)</f>
        <v>102.5464528</v>
      </c>
      <c r="AF532" s="3" t="str">
        <f>IFERROR(__xludf.DUMMYFUNCTION("""COMPUTED_VALUE"""),"MBC ตลาดโรงเกลือ-21297")</f>
        <v>MBC ตลาดโรงเกลือ-21297</v>
      </c>
      <c r="AG532" s="3" t="str">
        <f>IFERROR(__xludf.DUMMYFUNCTION("""COMPUTED_VALUE"""),"ตะวันออก")</f>
        <v>ตะวันออก</v>
      </c>
      <c r="AH532" s="3" t="str">
        <f>IFERROR(__xludf.DUMMYFUNCTION("""COMPUTED_VALUE"""),"#N/A")</f>
        <v>#N/A</v>
      </c>
      <c r="AI532" s="3" t="str">
        <f>IFERROR(__xludf.DUMMYFUNCTION("""COMPUTED_VALUE"""),"Out of warranty")</f>
        <v>Out of warranty</v>
      </c>
      <c r="AJ532" s="3">
        <f>IFERROR(__xludf.DUMMYFUNCTION("""COMPUTED_VALUE"""),141.0)</f>
        <v>141</v>
      </c>
      <c r="AK532" s="3" t="str">
        <f>IFERROR(__xludf.DUMMYFUNCTION("""COMPUTED_VALUE"""),"MMS08")</f>
        <v>MMS08</v>
      </c>
      <c r="AL532" s="3"/>
    </row>
    <row r="533" ht="15.75" customHeight="1">
      <c r="A533" s="1" t="str">
        <f>IFERROR(__xludf.DUMMYFUNCTION("""COMPUTED_VALUE"""),"21298")</f>
        <v>21298</v>
      </c>
      <c r="B533" s="2">
        <f>IFERROR(__xludf.DUMMYFUNCTION("""COMPUTED_VALUE"""),21298.0)</f>
        <v>21298</v>
      </c>
      <c r="C533" s="3" t="str">
        <f>IFERROR(__xludf.DUMMYFUNCTION("""COMPUTED_VALUE"""),"MBC BCP แพรกษา 11")</f>
        <v>MBC BCP แพรกษา 11</v>
      </c>
      <c r="D533" s="3" t="str">
        <f>IFERROR(__xludf.DUMMYFUNCTION("""COMPUTED_VALUE"""),"BCM BCP PRAKSA 11")</f>
        <v>BCM BCP PRAKSA 11</v>
      </c>
      <c r="E533" s="1" t="str">
        <f>IFERROR(__xludf.DUMMYFUNCTION("""COMPUTED_VALUE"""),"บิ๊กซี MINI")</f>
        <v>บิ๊กซี MINI</v>
      </c>
      <c r="F533" s="1" t="str">
        <f>IFERROR(__xludf.DUMMYFUNCTION("""COMPUTED_VALUE"""),"2083447")</f>
        <v>2083447</v>
      </c>
      <c r="G533" s="1" t="str">
        <f>IFERROR(__xludf.DUMMYFUNCTION("""COMPUTED_VALUE"""),"นายอนุกูล ศรีลัดดา")</f>
        <v>นายอนุกูล ศรีลัดดา</v>
      </c>
      <c r="H533" s="1" t="str">
        <f>IFERROR(__xludf.DUMMYFUNCTION("""COMPUTED_VALUE"""),"399107")</f>
        <v>399107</v>
      </c>
      <c r="I533" s="1" t="str">
        <f>IFERROR(__xludf.DUMMYFUNCTION("""COMPUTED_VALUE"""),"นายรัชระวี กลมแป้น")</f>
        <v>นายรัชระวี กลมแป้น</v>
      </c>
      <c r="J533" s="3">
        <f>IFERROR(__xludf.DUMMYFUNCTION("""COMPUTED_VALUE"""),2451655.0)</f>
        <v>2451655</v>
      </c>
      <c r="K533" s="3" t="str">
        <f>IFERROR(__xludf.DUMMYFUNCTION("""COMPUTED_VALUE"""),"นายวิษณุพงษ์ ชินบุตร")</f>
        <v>นายวิษณุพงษ์ ชินบุตร</v>
      </c>
      <c r="L533" s="1" t="str">
        <f>IFERROR(__xludf.DUMMYFUNCTION("""COMPUTED_VALUE"""),"13 K.Wisanupong Ch")</f>
        <v>13 K.Wisanupong Ch</v>
      </c>
      <c r="M533" s="1" t="str">
        <f>IFERROR(__xludf.DUMMYFUNCTION("""COMPUTED_VALUE"""),"0843374693")</f>
        <v>0843374693</v>
      </c>
      <c r="N533" s="3">
        <f>IFERROR(__xludf.DUMMYFUNCTION("""COMPUTED_VALUE"""),21013.0)</f>
        <v>21013</v>
      </c>
      <c r="O533" s="3" t="str">
        <f>IFERROR(__xludf.DUMMYFUNCTION("""COMPUTED_VALUE"""),"MBC รังสิตคลอง2")</f>
        <v>MBC รังสิตคลอง2</v>
      </c>
      <c r="P533" s="4">
        <f>IFERROR(__xludf.DUMMYFUNCTION("""COMPUTED_VALUE"""),41750.0)</f>
        <v>41750</v>
      </c>
      <c r="Q533" s="3" t="str">
        <f>IFERROR(__xludf.DUMMYFUNCTION("""COMPUTED_VALUE"""),"I")</f>
        <v>I</v>
      </c>
      <c r="R533" s="3" t="str">
        <f>IFERROR(__xludf.DUMMYFUNCTION("""COMPUTED_VALUE"""),"Small Format")</f>
        <v>Small Format</v>
      </c>
      <c r="S533" s="3" t="str">
        <f>IFERROR(__xludf.DUMMYFUNCTION("""COMPUTED_VALUE"""),"BCM")</f>
        <v>BCM</v>
      </c>
      <c r="T533" s="3" t="str">
        <f>IFERROR(__xludf.DUMMYFUNCTION("""COMPUTED_VALUE"""),"#N/A")</f>
        <v>#N/A</v>
      </c>
      <c r="U533" s="3" t="str">
        <f>IFERROR(__xludf.DUMMYFUNCTION("""COMPUTED_VALUE"""),"#N/A")</f>
        <v>#N/A</v>
      </c>
      <c r="V533" s="3" t="str">
        <f>IFERROR(__xludf.DUMMYFUNCTION("""COMPUTED_VALUE"""),"N")</f>
        <v>N</v>
      </c>
      <c r="W533" s="3">
        <f>IFERROR(__xludf.DUMMYFUNCTION("""COMPUTED_VALUE"""),361055.0)</f>
        <v>361055</v>
      </c>
      <c r="X533" s="3" t="str">
        <f>IFERROR(__xludf.DUMMYFUNCTION("""COMPUTED_VALUE"""),"378/1 หมู่ 2 ตำบลแพรกษา อำเภอเมืองสมุทรปราการ จังหวัดสมุทรปราการ 10280")</f>
        <v>378/1 หมู่ 2 ตำบลแพรกษา อำเภอเมืองสมุทรปราการ จังหวัดสมุทรปราการ 10280</v>
      </c>
      <c r="Y533" s="3"/>
      <c r="Z533" s="3" t="str">
        <f>IFERROR(__xludf.DUMMYFUNCTION("""COMPUTED_VALUE"""),"แพรกษา")</f>
        <v>แพรกษา</v>
      </c>
      <c r="AA533" s="3" t="str">
        <f>IFERROR(__xludf.DUMMYFUNCTION("""COMPUTED_VALUE"""),"เมืองสมุทรปราการ")</f>
        <v>เมืองสมุทรปราการ</v>
      </c>
      <c r="AB533" s="3" t="str">
        <f>IFERROR(__xludf.DUMMYFUNCTION("""COMPUTED_VALUE"""),"สมุทรปราการ")</f>
        <v>สมุทรปราการ</v>
      </c>
      <c r="AC533" s="3">
        <f>IFERROR(__xludf.DUMMYFUNCTION("""COMPUTED_VALUE"""),10280.0)</f>
        <v>10280</v>
      </c>
      <c r="AD533" s="3">
        <f>IFERROR(__xludf.DUMMYFUNCTION("""COMPUTED_VALUE"""),13.571258)</f>
        <v>13.571258</v>
      </c>
      <c r="AE533" s="3">
        <f>IFERROR(__xludf.DUMMYFUNCTION("""COMPUTED_VALUE"""),100.64871)</f>
        <v>100.64871</v>
      </c>
      <c r="AF533" s="3" t="str">
        <f>IFERROR(__xludf.DUMMYFUNCTION("""COMPUTED_VALUE"""),"MBC BCP แพรกษา 11-21298")</f>
        <v>MBC BCP แพรกษา 11-21298</v>
      </c>
      <c r="AG533" s="3" t="str">
        <f>IFERROR(__xludf.DUMMYFUNCTION("""COMPUTED_VALUE"""),"กลาง")</f>
        <v>กลาง</v>
      </c>
      <c r="AH533" s="3" t="str">
        <f>IFERROR(__xludf.DUMMYFUNCTION("""COMPUTED_VALUE"""),"#N/A")</f>
        <v>#N/A</v>
      </c>
      <c r="AI533" s="3" t="str">
        <f>IFERROR(__xludf.DUMMYFUNCTION("""COMPUTED_VALUE"""),"Out of warranty")</f>
        <v>Out of warranty</v>
      </c>
      <c r="AJ533" s="3">
        <f>IFERROR(__xludf.DUMMYFUNCTION("""COMPUTED_VALUE"""),141.0)</f>
        <v>141</v>
      </c>
      <c r="AK533" s="3" t="str">
        <f>IFERROR(__xludf.DUMMYFUNCTION("""COMPUTED_VALUE"""),"MMS03")</f>
        <v>MMS03</v>
      </c>
      <c r="AL533" s="3"/>
    </row>
    <row r="534" ht="15.75" customHeight="1">
      <c r="A534" s="1" t="str">
        <f>IFERROR(__xludf.DUMMYFUNCTION("""COMPUTED_VALUE"""),"21299")</f>
        <v>21299</v>
      </c>
      <c r="B534" s="2">
        <f>IFERROR(__xludf.DUMMYFUNCTION("""COMPUTED_VALUE"""),21299.0)</f>
        <v>21299</v>
      </c>
      <c r="C534" s="3" t="str">
        <f>IFERROR(__xludf.DUMMYFUNCTION("""COMPUTED_VALUE"""),"MBC BCP สุขสวัสดิ์42")</f>
        <v>MBC BCP สุขสวัสดิ์42</v>
      </c>
      <c r="D534" s="3" t="str">
        <f>IFERROR(__xludf.DUMMYFUNCTION("""COMPUTED_VALUE"""),"BCM BCP SUKSAWAT 42")</f>
        <v>BCM BCP SUKSAWAT 42</v>
      </c>
      <c r="E534" s="1" t="str">
        <f>IFERROR(__xludf.DUMMYFUNCTION("""COMPUTED_VALUE"""),"บิ๊กซี MINI")</f>
        <v>บิ๊กซี MINI</v>
      </c>
      <c r="F534" s="1" t="str">
        <f>IFERROR(__xludf.DUMMYFUNCTION("""COMPUTED_VALUE"""),"291008")</f>
        <v>291008</v>
      </c>
      <c r="G534" s="1" t="str">
        <f>IFERROR(__xludf.DUMMYFUNCTION("""COMPUTED_VALUE"""),"น.ส.รัชดาพร อีศรัตน์")</f>
        <v>น.ส.รัชดาพร อีศรัตน์</v>
      </c>
      <c r="H534" s="1" t="str">
        <f>IFERROR(__xludf.DUMMYFUNCTION("""COMPUTED_VALUE"""),"254800")</f>
        <v>254800</v>
      </c>
      <c r="I534" s="1" t="str">
        <f>IFERROR(__xludf.DUMMYFUNCTION("""COMPUTED_VALUE"""),"น.ส.นัชมล กางกรณ์")</f>
        <v>น.ส.นัชมล กางกรณ์</v>
      </c>
      <c r="J534" s="3">
        <f>IFERROR(__xludf.DUMMYFUNCTION("""COMPUTED_VALUE"""),296728.0)</f>
        <v>296728</v>
      </c>
      <c r="K534" s="3" t="str">
        <f>IFERROR(__xludf.DUMMYFUNCTION("""COMPUTED_VALUE"""),"นายธิติ บัวทองรังสิมา")</f>
        <v>นายธิติ บัวทองรังสิมา</v>
      </c>
      <c r="L534" s="1" t="str">
        <f>IFERROR(__xludf.DUMMYFUNCTION("""COMPUTED_VALUE"""),"นายธิติ บัวทองรังสิมา")</f>
        <v>นายธิติ บัวทองรังสิมา</v>
      </c>
      <c r="M534" s="1" t="str">
        <f>IFERROR(__xludf.DUMMYFUNCTION("""COMPUTED_VALUE"""),"0920849994")</f>
        <v>0920849994</v>
      </c>
      <c r="N534" s="3">
        <f>IFERROR(__xludf.DUMMYFUNCTION("""COMPUTED_VALUE"""),21012.0)</f>
        <v>21012</v>
      </c>
      <c r="O534" s="3" t="str">
        <f>IFERROR(__xludf.DUMMYFUNCTION("""COMPUTED_VALUE"""),"MBC ท่าอิฐ")</f>
        <v>MBC ท่าอิฐ</v>
      </c>
      <c r="P534" s="4">
        <f>IFERROR(__xludf.DUMMYFUNCTION("""COMPUTED_VALUE"""),41752.0)</f>
        <v>41752</v>
      </c>
      <c r="Q534" s="3" t="str">
        <f>IFERROR(__xludf.DUMMYFUNCTION("""COMPUTED_VALUE"""),"I")</f>
        <v>I</v>
      </c>
      <c r="R534" s="3" t="str">
        <f>IFERROR(__xludf.DUMMYFUNCTION("""COMPUTED_VALUE"""),"Small Format")</f>
        <v>Small Format</v>
      </c>
      <c r="S534" s="3" t="str">
        <f>IFERROR(__xludf.DUMMYFUNCTION("""COMPUTED_VALUE"""),"BCM")</f>
        <v>BCM</v>
      </c>
      <c r="T534" s="3" t="str">
        <f>IFERROR(__xludf.DUMMYFUNCTION("""COMPUTED_VALUE"""),"#N/A")</f>
        <v>#N/A</v>
      </c>
      <c r="U534" s="3" t="str">
        <f>IFERROR(__xludf.DUMMYFUNCTION("""COMPUTED_VALUE"""),"#N/A")</f>
        <v>#N/A</v>
      </c>
      <c r="V534" s="3" t="str">
        <f>IFERROR(__xludf.DUMMYFUNCTION("""COMPUTED_VALUE"""),"N")</f>
        <v>N</v>
      </c>
      <c r="W534" s="3">
        <f>IFERROR(__xludf.DUMMYFUNCTION("""COMPUTED_VALUE"""),361091.0)</f>
        <v>361091</v>
      </c>
      <c r="X534" s="3" t="str">
        <f>IFERROR(__xludf.DUMMYFUNCTION("""COMPUTED_VALUE"""),"616 หมู่ 4 แขวงบางปะกอก เขตราษฎร์บูรณะ กรุงเทพมหานคร 10140")</f>
        <v>616 หมู่ 4 แขวงบางปะกอก เขตราษฎร์บูรณะ กรุงเทพมหานคร 10140</v>
      </c>
      <c r="Y534" s="3"/>
      <c r="Z534" s="3" t="str">
        <f>IFERROR(__xludf.DUMMYFUNCTION("""COMPUTED_VALUE"""),"บางปะกอก")</f>
        <v>บางปะกอก</v>
      </c>
      <c r="AA534" s="3" t="str">
        <f>IFERROR(__xludf.DUMMYFUNCTION("""COMPUTED_VALUE"""),"ราษฎร์บูรณะ")</f>
        <v>ราษฎร์บูรณะ</v>
      </c>
      <c r="AB534" s="3" t="str">
        <f>IFERROR(__xludf.DUMMYFUNCTION("""COMPUTED_VALUE"""),"กรุงเทพมหานคร")</f>
        <v>กรุงเทพมหานคร</v>
      </c>
      <c r="AC534" s="3">
        <f>IFERROR(__xludf.DUMMYFUNCTION("""COMPUTED_VALUE"""),10140.0)</f>
        <v>10140</v>
      </c>
      <c r="AD534" s="3">
        <f>IFERROR(__xludf.DUMMYFUNCTION("""COMPUTED_VALUE"""),13.675876)</f>
        <v>13.675876</v>
      </c>
      <c r="AE534" s="3">
        <f>IFERROR(__xludf.DUMMYFUNCTION("""COMPUTED_VALUE"""),100.501502)</f>
        <v>100.501502</v>
      </c>
      <c r="AF534" s="3" t="str">
        <f>IFERROR(__xludf.DUMMYFUNCTION("""COMPUTED_VALUE"""),"MBC BCP สุขสวัสดิ์42-21299")</f>
        <v>MBC BCP สุขสวัสดิ์42-21299</v>
      </c>
      <c r="AG534" s="3" t="str">
        <f>IFERROR(__xludf.DUMMYFUNCTION("""COMPUTED_VALUE"""),"กลาง")</f>
        <v>กลาง</v>
      </c>
      <c r="AH534" s="3" t="str">
        <f>IFERROR(__xludf.DUMMYFUNCTION("""COMPUTED_VALUE"""),"#N/A")</f>
        <v>#N/A</v>
      </c>
      <c r="AI534" s="3" t="str">
        <f>IFERROR(__xludf.DUMMYFUNCTION("""COMPUTED_VALUE"""),"Out of warranty")</f>
        <v>Out of warranty</v>
      </c>
      <c r="AJ534" s="3">
        <f>IFERROR(__xludf.DUMMYFUNCTION("""COMPUTED_VALUE"""),141.0)</f>
        <v>141</v>
      </c>
      <c r="AK534" s="3" t="str">
        <f>IFERROR(__xludf.DUMMYFUNCTION("""COMPUTED_VALUE"""),"MMS02")</f>
        <v>MMS02</v>
      </c>
      <c r="AL534" s="3"/>
    </row>
    <row r="535" ht="15.75" customHeight="1">
      <c r="A535" s="1" t="str">
        <f>IFERROR(__xludf.DUMMYFUNCTION("""COMPUTED_VALUE"""),"21300")</f>
        <v>21300</v>
      </c>
      <c r="B535" s="2">
        <f>IFERROR(__xludf.DUMMYFUNCTION("""COMPUTED_VALUE"""),21300.0)</f>
        <v>21300</v>
      </c>
      <c r="C535" s="3" t="str">
        <f>IFERROR(__xludf.DUMMYFUNCTION("""COMPUTED_VALUE"""),"MBC BCP พระราม2 กม78")</f>
        <v>MBC BCP พระราม2 กม78</v>
      </c>
      <c r="D535" s="3" t="str">
        <f>IFERROR(__xludf.DUMMYFUNCTION("""COMPUTED_VALUE"""),"BCM BCP RAMA 2 KM 78")</f>
        <v>BCM BCP RAMA 2 KM 78</v>
      </c>
      <c r="E535" s="1" t="str">
        <f>IFERROR(__xludf.DUMMYFUNCTION("""COMPUTED_VALUE"""),"บิ๊กซี MINI")</f>
        <v>บิ๊กซี MINI</v>
      </c>
      <c r="F535" s="1" t="str">
        <f>IFERROR(__xludf.DUMMYFUNCTION("""COMPUTED_VALUE"""),"2083447")</f>
        <v>2083447</v>
      </c>
      <c r="G535" s="1" t="str">
        <f>IFERROR(__xludf.DUMMYFUNCTION("""COMPUTED_VALUE"""),"นายอนุกูล ศรีลัดดา")</f>
        <v>นายอนุกูล ศรีลัดดา</v>
      </c>
      <c r="H535" s="1" t="str">
        <f>IFERROR(__xludf.DUMMYFUNCTION("""COMPUTED_VALUE"""),"391191")</f>
        <v>391191</v>
      </c>
      <c r="I535" s="1" t="str">
        <f>IFERROR(__xludf.DUMMYFUNCTION("""COMPUTED_VALUE"""),"นายวสันต์ สรงพรมทิพย์")</f>
        <v>นายวสันต์ สรงพรมทิพย์</v>
      </c>
      <c r="J535" s="3">
        <f>IFERROR(__xludf.DUMMYFUNCTION("""COMPUTED_VALUE"""),2451655.0)</f>
        <v>2451655</v>
      </c>
      <c r="K535" s="3" t="str">
        <f>IFERROR(__xludf.DUMMYFUNCTION("""COMPUTED_VALUE"""),"นายวิษณุพงษ์ ชินบุตร")</f>
        <v>นายวิษณุพงษ์ ชินบุตร</v>
      </c>
      <c r="L535" s="1" t="str">
        <f>IFERROR(__xludf.DUMMYFUNCTION("""COMPUTED_VALUE"""),"13 K.Wisanupong Ch")</f>
        <v>13 K.Wisanupong Ch</v>
      </c>
      <c r="M535" s="1" t="str">
        <f>IFERROR(__xludf.DUMMYFUNCTION("""COMPUTED_VALUE"""),"0843374693")</f>
        <v>0843374693</v>
      </c>
      <c r="N535" s="3">
        <f>IFERROR(__xludf.DUMMYFUNCTION("""COMPUTED_VALUE"""),22729.0)</f>
        <v>22729</v>
      </c>
      <c r="O535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535" s="4">
        <f>IFERROR(__xludf.DUMMYFUNCTION("""COMPUTED_VALUE"""),41758.0)</f>
        <v>41758</v>
      </c>
      <c r="Q535" s="3" t="str">
        <f>IFERROR(__xludf.DUMMYFUNCTION("""COMPUTED_VALUE"""),"A")</f>
        <v>A</v>
      </c>
      <c r="R535" s="3" t="str">
        <f>IFERROR(__xludf.DUMMYFUNCTION("""COMPUTED_VALUE"""),"Small Format")</f>
        <v>Small Format</v>
      </c>
      <c r="S535" s="3" t="str">
        <f>IFERROR(__xludf.DUMMYFUNCTION("""COMPUTED_VALUE"""),"BCM")</f>
        <v>BCM</v>
      </c>
      <c r="T535" s="3" t="str">
        <f>IFERROR(__xludf.DUMMYFUNCTION("""COMPUTED_VALUE"""),"#N/A")</f>
        <v>#N/A</v>
      </c>
      <c r="U535" s="3" t="str">
        <f>IFERROR(__xludf.DUMMYFUNCTION("""COMPUTED_VALUE"""),"#N/A")</f>
        <v>#N/A</v>
      </c>
      <c r="V535" s="3" t="str">
        <f>IFERROR(__xludf.DUMMYFUNCTION("""COMPUTED_VALUE"""),"N")</f>
        <v>N</v>
      </c>
      <c r="W535" s="3">
        <f>IFERROR(__xludf.DUMMYFUNCTION("""COMPUTED_VALUE"""),361102.0)</f>
        <v>361102</v>
      </c>
      <c r="X535" s="3" t="str">
        <f>IFERROR(__xludf.DUMMYFUNCTION("""COMPUTED_VALUE"""),"5/6 หมู่ 6 ตำบลแพรกหนามแดง อำเภออัมพวา จังหวัดสมุทรสงคราม 75110")</f>
        <v>5/6 หมู่ 6 ตำบลแพรกหนามแดง อำเภออัมพวา จังหวัดสมุทรสงคราม 75110</v>
      </c>
      <c r="Y535" s="3"/>
      <c r="Z535" s="3" t="str">
        <f>IFERROR(__xludf.DUMMYFUNCTION("""COMPUTED_VALUE"""),"แพรกหนามแดง")</f>
        <v>แพรกหนามแดง</v>
      </c>
      <c r="AA535" s="3" t="str">
        <f>IFERROR(__xludf.DUMMYFUNCTION("""COMPUTED_VALUE"""),"อัมพวา")</f>
        <v>อัมพวา</v>
      </c>
      <c r="AB535" s="3" t="str">
        <f>IFERROR(__xludf.DUMMYFUNCTION("""COMPUTED_VALUE"""),"สมุทรสงคราม")</f>
        <v>สมุทรสงคราม</v>
      </c>
      <c r="AC535" s="3">
        <f>IFERROR(__xludf.DUMMYFUNCTION("""COMPUTED_VALUE"""),75110.0)</f>
        <v>75110</v>
      </c>
      <c r="AD535" s="3">
        <f>IFERROR(__xludf.DUMMYFUNCTION("""COMPUTED_VALUE"""),13.3456604)</f>
        <v>13.3456604</v>
      </c>
      <c r="AE535" s="3">
        <f>IFERROR(__xludf.DUMMYFUNCTION("""COMPUTED_VALUE"""),99.8845473)</f>
        <v>99.8845473</v>
      </c>
      <c r="AF535" s="3" t="str">
        <f>IFERROR(__xludf.DUMMYFUNCTION("""COMPUTED_VALUE"""),"MBC BCP พระราม2 กม78-21300")</f>
        <v>MBC BCP พระราม2 กม78-21300</v>
      </c>
      <c r="AG535" s="3" t="str">
        <f>IFERROR(__xludf.DUMMYFUNCTION("""COMPUTED_VALUE"""),"กลาง")</f>
        <v>กลาง</v>
      </c>
      <c r="AH535" s="3" t="str">
        <f>IFERROR(__xludf.DUMMYFUNCTION("""COMPUTED_VALUE"""),"#N/A")</f>
        <v>#N/A</v>
      </c>
      <c r="AI535" s="3" t="str">
        <f>IFERROR(__xludf.DUMMYFUNCTION("""COMPUTED_VALUE"""),"Out of warranty")</f>
        <v>Out of warranty</v>
      </c>
      <c r="AJ535" s="3">
        <f>IFERROR(__xludf.DUMMYFUNCTION("""COMPUTED_VALUE"""),141.0)</f>
        <v>141</v>
      </c>
      <c r="AK535" s="3" t="str">
        <f>IFERROR(__xludf.DUMMYFUNCTION("""COMPUTED_VALUE"""),"MMS05")</f>
        <v>MMS05</v>
      </c>
      <c r="AL535" s="3"/>
    </row>
    <row r="536" ht="15.75" customHeight="1">
      <c r="A536" s="1" t="str">
        <f>IFERROR(__xludf.DUMMYFUNCTION("""COMPUTED_VALUE"""),"21301")</f>
        <v>21301</v>
      </c>
      <c r="B536" s="2">
        <f>IFERROR(__xludf.DUMMYFUNCTION("""COMPUTED_VALUE"""),21301.0)</f>
        <v>21301</v>
      </c>
      <c r="C536" s="3" t="str">
        <f>IFERROR(__xludf.DUMMYFUNCTION("""COMPUTED_VALUE"""),"MBC BCP เพชรฯ กม128")</f>
        <v>MBC BCP เพชรฯ กม128</v>
      </c>
      <c r="D536" s="3" t="str">
        <f>IFERROR(__xludf.DUMMYFUNCTION("""COMPUTED_VALUE"""),"BCM BCP PET KM 128")</f>
        <v>BCM BCP PET KM 128</v>
      </c>
      <c r="E536" s="1" t="str">
        <f>IFERROR(__xludf.DUMMYFUNCTION("""COMPUTED_VALUE"""),"บิ๊กซี MINI")</f>
        <v>บิ๊กซี MINI</v>
      </c>
      <c r="F536" s="1" t="str">
        <f>IFERROR(__xludf.DUMMYFUNCTION("""COMPUTED_VALUE"""),"250760")</f>
        <v>250760</v>
      </c>
      <c r="G536" s="1" t="str">
        <f>IFERROR(__xludf.DUMMYFUNCTION("""COMPUTED_VALUE"""),"นายประทวน สาราบรรณ์")</f>
        <v>นายประทวน สาราบรรณ์</v>
      </c>
      <c r="H536" s="1" t="str">
        <f>IFERROR(__xludf.DUMMYFUNCTION("""COMPUTED_VALUE"""),"311437")</f>
        <v>311437</v>
      </c>
      <c r="I536" s="1" t="str">
        <f>IFERROR(__xludf.DUMMYFUNCTION("""COMPUTED_VALUE"""),"นายฉัตรทพร รักวิเชียร")</f>
        <v>นายฉัตรทพร รักวิเชียร</v>
      </c>
      <c r="J536" s="3">
        <f>IFERROR(__xludf.DUMMYFUNCTION("""COMPUTED_VALUE"""),2.0470331E7)</f>
        <v>20470331</v>
      </c>
      <c r="K536" s="3" t="str">
        <f>IFERROR(__xludf.DUMMYFUNCTION("""COMPUTED_VALUE"""),"นายสมชาย ลักษณะสุวรรณ")</f>
        <v>นายสมชาย ลักษณะสุวรรณ</v>
      </c>
      <c r="L536" s="1" t="str">
        <f>IFERROR(__xludf.DUMMYFUNCTION("""COMPUTED_VALUE"""),"15 K.Somchai L")</f>
        <v>15 K.Somchai L</v>
      </c>
      <c r="M536" s="1" t="str">
        <f>IFERROR(__xludf.DUMMYFUNCTION("""COMPUTED_VALUE"""),"0655107372")</f>
        <v>0655107372</v>
      </c>
      <c r="N536" s="3">
        <f>IFERROR(__xludf.DUMMYFUNCTION("""COMPUTED_VALUE"""),21723.0)</f>
        <v>21723</v>
      </c>
      <c r="O536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536" s="4">
        <f>IFERROR(__xludf.DUMMYFUNCTION("""COMPUTED_VALUE"""),41759.0)</f>
        <v>41759</v>
      </c>
      <c r="Q536" s="3" t="str">
        <f>IFERROR(__xludf.DUMMYFUNCTION("""COMPUTED_VALUE"""),"I")</f>
        <v>I</v>
      </c>
      <c r="R536" s="3" t="str">
        <f>IFERROR(__xludf.DUMMYFUNCTION("""COMPUTED_VALUE"""),"Small Format")</f>
        <v>Small Format</v>
      </c>
      <c r="S536" s="3" t="str">
        <f>IFERROR(__xludf.DUMMYFUNCTION("""COMPUTED_VALUE"""),"BCM")</f>
        <v>BCM</v>
      </c>
      <c r="T536" s="3" t="str">
        <f>IFERROR(__xludf.DUMMYFUNCTION("""COMPUTED_VALUE"""),"#N/A")</f>
        <v>#N/A</v>
      </c>
      <c r="U536" s="3" t="str">
        <f>IFERROR(__xludf.DUMMYFUNCTION("""COMPUTED_VALUE"""),"#N/A")</f>
        <v>#N/A</v>
      </c>
      <c r="V536" s="3" t="str">
        <f>IFERROR(__xludf.DUMMYFUNCTION("""COMPUTED_VALUE"""),"N")</f>
        <v>N</v>
      </c>
      <c r="W536" s="3">
        <f>IFERROR(__xludf.DUMMYFUNCTION("""COMPUTED_VALUE"""),361103.0)</f>
        <v>361103</v>
      </c>
      <c r="X536" s="3" t="str">
        <f>IFERROR(__xludf.DUMMYFUNCTION("""COMPUTED_VALUE"""),"3/2 หมู่ 2 ตำบลห้วยโรง อำเภอเขาย้อย จังหวัดเพชรบุรี 76140")</f>
        <v>3/2 หมู่ 2 ตำบลห้วยโรง อำเภอเขาย้อย จังหวัดเพชรบุรี 76140</v>
      </c>
      <c r="Y536" s="3"/>
      <c r="Z536" s="3" t="str">
        <f>IFERROR(__xludf.DUMMYFUNCTION("""COMPUTED_VALUE"""),"ห้วยโรง")</f>
        <v>ห้วยโรง</v>
      </c>
      <c r="AA536" s="3" t="str">
        <f>IFERROR(__xludf.DUMMYFUNCTION("""COMPUTED_VALUE"""),"เขาย้อย")</f>
        <v>เขาย้อย</v>
      </c>
      <c r="AB536" s="3" t="str">
        <f>IFERROR(__xludf.DUMMYFUNCTION("""COMPUTED_VALUE"""),"เพชรบุรี")</f>
        <v>เพชรบุรี</v>
      </c>
      <c r="AC536" s="3">
        <f>IFERROR(__xludf.DUMMYFUNCTION("""COMPUTED_VALUE"""),76140.0)</f>
        <v>76140</v>
      </c>
      <c r="AD536" s="3">
        <f>IFERROR(__xludf.DUMMYFUNCTION("""COMPUTED_VALUE"""),13.3188006)</f>
        <v>13.3188006</v>
      </c>
      <c r="AE536" s="3">
        <f>IFERROR(__xludf.DUMMYFUNCTION("""COMPUTED_VALUE"""),99.8273746)</f>
        <v>99.8273746</v>
      </c>
      <c r="AF536" s="3" t="str">
        <f>IFERROR(__xludf.DUMMYFUNCTION("""COMPUTED_VALUE"""),"MBC BCP เพชรฯ กม128-21301")</f>
        <v>MBC BCP เพชรฯ กม128-21301</v>
      </c>
      <c r="AG536" s="3" t="str">
        <f>IFERROR(__xludf.DUMMYFUNCTION("""COMPUTED_VALUE"""),"ตะวันตก")</f>
        <v>ตะวันตก</v>
      </c>
      <c r="AH536" s="3" t="str">
        <f>IFERROR(__xludf.DUMMYFUNCTION("""COMPUTED_VALUE"""),"#N/A")</f>
        <v>#N/A</v>
      </c>
      <c r="AI536" s="3" t="str">
        <f>IFERROR(__xludf.DUMMYFUNCTION("""COMPUTED_VALUE"""),"Out of warranty")</f>
        <v>Out of warranty</v>
      </c>
      <c r="AJ536" s="3">
        <f>IFERROR(__xludf.DUMMYFUNCTION("""COMPUTED_VALUE"""),141.0)</f>
        <v>141</v>
      </c>
      <c r="AK536" s="3" t="str">
        <f>IFERROR(__xludf.DUMMYFUNCTION("""COMPUTED_VALUE"""),"MMS14")</f>
        <v>MMS14</v>
      </c>
      <c r="AL536" s="3"/>
    </row>
    <row r="537" ht="15.75" customHeight="1">
      <c r="A537" s="1" t="str">
        <f>IFERROR(__xludf.DUMMYFUNCTION("""COMPUTED_VALUE"""),"21302")</f>
        <v>21302</v>
      </c>
      <c r="B537" s="2">
        <f>IFERROR(__xludf.DUMMYFUNCTION("""COMPUTED_VALUE"""),21302.0)</f>
        <v>21302</v>
      </c>
      <c r="C537" s="3" t="str">
        <f>IFERROR(__xludf.DUMMYFUNCTION("""COMPUTED_VALUE"""),"MBC BCP อ้อมน้อย")</f>
        <v>MBC BCP อ้อมน้อย</v>
      </c>
      <c r="D537" s="3" t="str">
        <f>IFERROR(__xludf.DUMMYFUNCTION("""COMPUTED_VALUE"""),"BCM BCP OMNOI")</f>
        <v>BCM BCP OMNOI</v>
      </c>
      <c r="E537" s="1" t="str">
        <f>IFERROR(__xludf.DUMMYFUNCTION("""COMPUTED_VALUE"""),"บิ๊กซี MINI")</f>
        <v>บิ๊กซี MINI</v>
      </c>
      <c r="F537" s="1" t="str">
        <f>IFERROR(__xludf.DUMMYFUNCTION("""COMPUTED_VALUE"""),"2083447")</f>
        <v>2083447</v>
      </c>
      <c r="G537" s="1" t="str">
        <f>IFERROR(__xludf.DUMMYFUNCTION("""COMPUTED_VALUE"""),"นายอนุกูล ศรีลัดดา")</f>
        <v>นายอนุกูล ศรีลัดดา</v>
      </c>
      <c r="H537" s="1" t="str">
        <f>IFERROR(__xludf.DUMMYFUNCTION("""COMPUTED_VALUE"""),"379022")</f>
        <v>379022</v>
      </c>
      <c r="I537" s="1" t="str">
        <f>IFERROR(__xludf.DUMMYFUNCTION("""COMPUTED_VALUE"""),"นายพันธ์เทพ นุชเนตร")</f>
        <v>นายพันธ์เทพ นุชเนตร</v>
      </c>
      <c r="J537" s="3">
        <f>IFERROR(__xludf.DUMMYFUNCTION("""COMPUTED_VALUE"""),2451655.0)</f>
        <v>2451655</v>
      </c>
      <c r="K537" s="3" t="str">
        <f>IFERROR(__xludf.DUMMYFUNCTION("""COMPUTED_VALUE"""),"นายวิษณุพงษ์ ชินบุตร")</f>
        <v>นายวิษณุพงษ์ ชินบุตร</v>
      </c>
      <c r="L537" s="1" t="str">
        <f>IFERROR(__xludf.DUMMYFUNCTION("""COMPUTED_VALUE"""),"13 K.Wisanupong Ch")</f>
        <v>13 K.Wisanupong Ch</v>
      </c>
      <c r="M537" s="1" t="str">
        <f>IFERROR(__xludf.DUMMYFUNCTION("""COMPUTED_VALUE"""),"0843374693")</f>
        <v>0843374693</v>
      </c>
      <c r="N537" s="3">
        <f>IFERROR(__xludf.DUMMYFUNCTION("""COMPUTED_VALUE"""),21013.0)</f>
        <v>21013</v>
      </c>
      <c r="O537" s="3" t="str">
        <f>IFERROR(__xludf.DUMMYFUNCTION("""COMPUTED_VALUE"""),"MBC รังสิตคลอง2")</f>
        <v>MBC รังสิตคลอง2</v>
      </c>
      <c r="P537" s="4">
        <f>IFERROR(__xludf.DUMMYFUNCTION("""COMPUTED_VALUE"""),41781.0)</f>
        <v>41781</v>
      </c>
      <c r="Q537" s="3" t="str">
        <f>IFERROR(__xludf.DUMMYFUNCTION("""COMPUTED_VALUE"""),"I")</f>
        <v>I</v>
      </c>
      <c r="R537" s="3" t="str">
        <f>IFERROR(__xludf.DUMMYFUNCTION("""COMPUTED_VALUE"""),"Small Format")</f>
        <v>Small Format</v>
      </c>
      <c r="S537" s="3" t="str">
        <f>IFERROR(__xludf.DUMMYFUNCTION("""COMPUTED_VALUE"""),"BCM")</f>
        <v>BCM</v>
      </c>
      <c r="T537" s="3" t="str">
        <f>IFERROR(__xludf.DUMMYFUNCTION("""COMPUTED_VALUE"""),"#N/A")</f>
        <v>#N/A</v>
      </c>
      <c r="U537" s="3" t="str">
        <f>IFERROR(__xludf.DUMMYFUNCTION("""COMPUTED_VALUE"""),"#N/A")</f>
        <v>#N/A</v>
      </c>
      <c r="V537" s="3" t="str">
        <f>IFERROR(__xludf.DUMMYFUNCTION("""COMPUTED_VALUE"""),"N")</f>
        <v>N</v>
      </c>
      <c r="W537" s="3">
        <f>IFERROR(__xludf.DUMMYFUNCTION("""COMPUTED_VALUE"""),361097.0)</f>
        <v>361097</v>
      </c>
      <c r="X537" s="3" t="str">
        <f>IFERROR(__xludf.DUMMYFUNCTION("""COMPUTED_VALUE"""),"88/4 หมู่ 6 ถนนเพชรเกษม ตำบลอ้อมน้อย อำเภอกระทุ่มแบน จังหวัดสมุทรสาคร 74130")</f>
        <v>88/4 หมู่ 6 ถนนเพชรเกษม ตำบลอ้อมน้อย อำเภอกระทุ่มแบน จังหวัดสมุทรสาคร 74130</v>
      </c>
      <c r="Y537" s="3"/>
      <c r="Z537" s="3" t="str">
        <f>IFERROR(__xludf.DUMMYFUNCTION("""COMPUTED_VALUE"""),"อ้อมน้อย")</f>
        <v>อ้อมน้อย</v>
      </c>
      <c r="AA537" s="3" t="str">
        <f>IFERROR(__xludf.DUMMYFUNCTION("""COMPUTED_VALUE"""),"กระทุ่มแบน")</f>
        <v>กระทุ่มแบน</v>
      </c>
      <c r="AB537" s="3" t="str">
        <f>IFERROR(__xludf.DUMMYFUNCTION("""COMPUTED_VALUE"""),"สมุทรสาคร")</f>
        <v>สมุทรสาคร</v>
      </c>
      <c r="AC537" s="3">
        <f>IFERROR(__xludf.DUMMYFUNCTION("""COMPUTED_VALUE"""),74130.0)</f>
        <v>74130</v>
      </c>
      <c r="AD537" s="3">
        <f>IFERROR(__xludf.DUMMYFUNCTION("""COMPUTED_VALUE"""),13.7055918)</f>
        <v>13.7055918</v>
      </c>
      <c r="AE537" s="3">
        <f>IFERROR(__xludf.DUMMYFUNCTION("""COMPUTED_VALUE"""),100.3072696)</f>
        <v>100.3072696</v>
      </c>
      <c r="AF537" s="3" t="str">
        <f>IFERROR(__xludf.DUMMYFUNCTION("""COMPUTED_VALUE"""),"MBC BCP อ้อมน้อย-21302")</f>
        <v>MBC BCP อ้อมน้อย-21302</v>
      </c>
      <c r="AG537" s="3" t="str">
        <f>IFERROR(__xludf.DUMMYFUNCTION("""COMPUTED_VALUE"""),"กลาง")</f>
        <v>กลาง</v>
      </c>
      <c r="AH537" s="3" t="str">
        <f>IFERROR(__xludf.DUMMYFUNCTION("""COMPUTED_VALUE"""),"#N/A")</f>
        <v>#N/A</v>
      </c>
      <c r="AI537" s="3" t="str">
        <f>IFERROR(__xludf.DUMMYFUNCTION("""COMPUTED_VALUE"""),"Out of warranty")</f>
        <v>Out of warranty</v>
      </c>
      <c r="AJ537" s="3">
        <f>IFERROR(__xludf.DUMMYFUNCTION("""COMPUTED_VALUE"""),140.0)</f>
        <v>140</v>
      </c>
      <c r="AK537" s="3" t="str">
        <f>IFERROR(__xludf.DUMMYFUNCTION("""COMPUTED_VALUE"""),"MMS05")</f>
        <v>MMS05</v>
      </c>
      <c r="AL537" s="3"/>
    </row>
    <row r="538" ht="15.75" customHeight="1">
      <c r="A538" s="1" t="str">
        <f>IFERROR(__xludf.DUMMYFUNCTION("""COMPUTED_VALUE"""),"21303")</f>
        <v>21303</v>
      </c>
      <c r="B538" s="2">
        <f>IFERROR(__xludf.DUMMYFUNCTION("""COMPUTED_VALUE"""),21303.0)</f>
        <v>21303</v>
      </c>
      <c r="C538" s="3" t="str">
        <f>IFERROR(__xludf.DUMMYFUNCTION("""COMPUTED_VALUE"""),"MBC เพชรเกษม 77")</f>
        <v>MBC เพชรเกษม 77</v>
      </c>
      <c r="D538" s="3" t="str">
        <f>IFERROR(__xludf.DUMMYFUNCTION("""COMPUTED_VALUE"""),"BCM PETKASEM 77")</f>
        <v>BCM PETKASEM 77</v>
      </c>
      <c r="E538" s="1" t="str">
        <f>IFERROR(__xludf.DUMMYFUNCTION("""COMPUTED_VALUE"""),"บิ๊กซี MINI")</f>
        <v>บิ๊กซี MINI</v>
      </c>
      <c r="F538" s="1" t="str">
        <f>IFERROR(__xludf.DUMMYFUNCTION("""COMPUTED_VALUE"""),"291008")</f>
        <v>291008</v>
      </c>
      <c r="G538" s="1" t="str">
        <f>IFERROR(__xludf.DUMMYFUNCTION("""COMPUTED_VALUE"""),"น.ส.รัชดาพร อีศรัตน์")</f>
        <v>น.ส.รัชดาพร อีศรัตน์</v>
      </c>
      <c r="H538" s="1" t="str">
        <f>IFERROR(__xludf.DUMMYFUNCTION("""COMPUTED_VALUE"""),"291101")</f>
        <v>291101</v>
      </c>
      <c r="I538" s="1" t="str">
        <f>IFERROR(__xludf.DUMMYFUNCTION("""COMPUTED_VALUE"""),"นายจักรพงศ์ โพธิ์ศรี")</f>
        <v>นายจักรพงศ์ โพธิ์ศรี</v>
      </c>
      <c r="J538" s="3">
        <f>IFERROR(__xludf.DUMMYFUNCTION("""COMPUTED_VALUE"""),296608.0)</f>
        <v>296608</v>
      </c>
      <c r="K538" s="3" t="str">
        <f>IFERROR(__xludf.DUMMYFUNCTION("""COMPUTED_VALUE"""),"นายภาคภูมิ เพ็ชรนิล")</f>
        <v>นายภาคภูมิ เพ็ชรนิล</v>
      </c>
      <c r="L538" s="3" t="str">
        <f>IFERROR(__xludf.DUMMYFUNCTION("""COMPUTED_VALUE"""),"10 K.Phakphoom P.")</f>
        <v>10 K.Phakphoom P.</v>
      </c>
      <c r="M538" s="1" t="str">
        <f>IFERROR(__xludf.DUMMYFUNCTION("""COMPUTED_VALUE"""),"063-8955329")</f>
        <v>063-8955329</v>
      </c>
      <c r="N538" s="3">
        <f>IFERROR(__xludf.DUMMYFUNCTION("""COMPUTED_VALUE"""),22584.0)</f>
        <v>22584</v>
      </c>
      <c r="O538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538" s="4">
        <f>IFERROR(__xludf.DUMMYFUNCTION("""COMPUTED_VALUE"""),41759.0)</f>
        <v>41759</v>
      </c>
      <c r="Q538" s="3" t="str">
        <f>IFERROR(__xludf.DUMMYFUNCTION("""COMPUTED_VALUE"""),"A")</f>
        <v>A</v>
      </c>
      <c r="R538" s="3" t="str">
        <f>IFERROR(__xludf.DUMMYFUNCTION("""COMPUTED_VALUE"""),"Small Format")</f>
        <v>Small Format</v>
      </c>
      <c r="S538" s="3" t="str">
        <f>IFERROR(__xludf.DUMMYFUNCTION("""COMPUTED_VALUE"""),"BCM")</f>
        <v>BCM</v>
      </c>
      <c r="T538" s="3" t="str">
        <f>IFERROR(__xludf.DUMMYFUNCTION("""COMPUTED_VALUE"""),"#N/A")</f>
        <v>#N/A</v>
      </c>
      <c r="U538" s="3" t="str">
        <f>IFERROR(__xludf.DUMMYFUNCTION("""COMPUTED_VALUE"""),"#N/A")</f>
        <v>#N/A</v>
      </c>
      <c r="V538" s="3" t="str">
        <f>IFERROR(__xludf.DUMMYFUNCTION("""COMPUTED_VALUE"""),"N")</f>
        <v>N</v>
      </c>
      <c r="W538" s="3">
        <f>IFERROR(__xludf.DUMMYFUNCTION("""COMPUTED_VALUE"""),211308.0)</f>
        <v>211308</v>
      </c>
      <c r="X538" s="3" t="str">
        <f>IFERROR(__xludf.DUMMYFUNCTION("""COMPUTED_VALUE"""),"5/1 ซอยเพชรเกษม 77 แขวงหนองค้างพลู เขตหนองแขม กรุงเทพมหานคร 10160")</f>
        <v>5/1 ซอยเพชรเกษม 77 แขวงหนองค้างพลู เขตหนองแขม กรุงเทพมหานคร 10160</v>
      </c>
      <c r="Y538" s="3" t="str">
        <f>IFERROR(__xludf.DUMMYFUNCTION("""COMPUTED_VALUE"""),"ซอยเพชรเกษม")</f>
        <v>ซอยเพชรเกษม</v>
      </c>
      <c r="Z538" s="3" t="str">
        <f>IFERROR(__xludf.DUMMYFUNCTION("""COMPUTED_VALUE"""),"หนองค้างพลู")</f>
        <v>หนองค้างพลู</v>
      </c>
      <c r="AA538" s="3" t="str">
        <f>IFERROR(__xludf.DUMMYFUNCTION("""COMPUTED_VALUE"""),"หนองแขม")</f>
        <v>หนองแขม</v>
      </c>
      <c r="AB538" s="3" t="str">
        <f>IFERROR(__xludf.DUMMYFUNCTION("""COMPUTED_VALUE"""),"กรุงเทพมหานคร")</f>
        <v>กรุงเทพมหานคร</v>
      </c>
      <c r="AC538" s="3">
        <f>IFERROR(__xludf.DUMMYFUNCTION("""COMPUTED_VALUE"""),10160.0)</f>
        <v>10160</v>
      </c>
      <c r="AD538" s="3">
        <f>IFERROR(__xludf.DUMMYFUNCTION("""COMPUTED_VALUE"""),13.7060573)</f>
        <v>13.7060573</v>
      </c>
      <c r="AE538" s="3">
        <f>IFERROR(__xludf.DUMMYFUNCTION("""COMPUTED_VALUE"""),100.360756)</f>
        <v>100.360756</v>
      </c>
      <c r="AF538" s="3" t="str">
        <f>IFERROR(__xludf.DUMMYFUNCTION("""COMPUTED_VALUE"""),"MBC เพชรเกษม 77-21303")</f>
        <v>MBC เพชรเกษม 77-21303</v>
      </c>
      <c r="AG538" s="3" t="str">
        <f>IFERROR(__xludf.DUMMYFUNCTION("""COMPUTED_VALUE"""),"กลาง")</f>
        <v>กลาง</v>
      </c>
      <c r="AH538" s="3" t="str">
        <f>IFERROR(__xludf.DUMMYFUNCTION("""COMPUTED_VALUE"""),"#N/A")</f>
        <v>#N/A</v>
      </c>
      <c r="AI538" s="3" t="str">
        <f>IFERROR(__xludf.DUMMYFUNCTION("""COMPUTED_VALUE"""),"Out of warranty")</f>
        <v>Out of warranty</v>
      </c>
      <c r="AJ538" s="3">
        <f>IFERROR(__xludf.DUMMYFUNCTION("""COMPUTED_VALUE"""),141.0)</f>
        <v>141</v>
      </c>
      <c r="AK538" s="3" t="str">
        <f>IFERROR(__xludf.DUMMYFUNCTION("""COMPUTED_VALUE"""),"MMS05")</f>
        <v>MMS05</v>
      </c>
      <c r="AL538" s="3"/>
    </row>
    <row r="539" ht="15.75" customHeight="1">
      <c r="A539" s="1" t="str">
        <f>IFERROR(__xludf.DUMMYFUNCTION("""COMPUTED_VALUE"""),"21304")</f>
        <v>21304</v>
      </c>
      <c r="B539" s="2">
        <f>IFERROR(__xludf.DUMMYFUNCTION("""COMPUTED_VALUE"""),21304.0)</f>
        <v>21304</v>
      </c>
      <c r="C539" s="3" t="str">
        <f>IFERROR(__xludf.DUMMYFUNCTION("""COMPUTED_VALUE"""),"MBC หนองไผ่แก้ว")</f>
        <v>MBC หนองไผ่แก้ว</v>
      </c>
      <c r="D539" s="3" t="str">
        <f>IFERROR(__xludf.DUMMYFUNCTION("""COMPUTED_VALUE"""),"BCM NONGPHAIKAEW")</f>
        <v>BCM NONGPHAIKAEW</v>
      </c>
      <c r="E539" s="1" t="str">
        <f>IFERROR(__xludf.DUMMYFUNCTION("""COMPUTED_VALUE"""),"บิ๊กซี MINI")</f>
        <v>บิ๊กซี MINI</v>
      </c>
      <c r="F539" s="1" t="str">
        <f>IFERROR(__xludf.DUMMYFUNCTION("""COMPUTED_VALUE"""),"221716")</f>
        <v>221716</v>
      </c>
      <c r="G539" s="1" t="str">
        <f>IFERROR(__xludf.DUMMYFUNCTION("""COMPUTED_VALUE"""),"น.ส.เบญจพร โพธิสาร")</f>
        <v>น.ส.เบญจพร โพธิสาร</v>
      </c>
      <c r="H539" s="1" t="str">
        <f>IFERROR(__xludf.DUMMYFUNCTION("""COMPUTED_VALUE"""),"376139")</f>
        <v>376139</v>
      </c>
      <c r="I539" s="1" t="str">
        <f>IFERROR(__xludf.DUMMYFUNCTION("""COMPUTED_VALUE"""),"นายอนุชา อำไพ")</f>
        <v>นายอนุชา อำไพ</v>
      </c>
      <c r="J539" s="3">
        <f>IFERROR(__xludf.DUMMYFUNCTION("""COMPUTED_VALUE"""),296942.0)</f>
        <v>296942</v>
      </c>
      <c r="K539" s="3" t="str">
        <f>IFERROR(__xludf.DUMMYFUNCTION("""COMPUTED_VALUE"""),"นายปิยะ รักษากิจ")</f>
        <v>นายปิยะ รักษากิจ</v>
      </c>
      <c r="L539" s="1" t="str">
        <f>IFERROR(__xludf.DUMMYFUNCTION("""COMPUTED_VALUE"""),"07 K.Piya R.")</f>
        <v>07 K.Piya R.</v>
      </c>
      <c r="M539" s="1" t="str">
        <f>IFERROR(__xludf.DUMMYFUNCTION("""COMPUTED_VALUE"""),"097-919-5476")</f>
        <v>097-919-5476</v>
      </c>
      <c r="N539" s="3">
        <f>IFERROR(__xludf.DUMMYFUNCTION("""COMPUTED_VALUE"""),21332.0)</f>
        <v>21332</v>
      </c>
      <c r="O539" s="3" t="str">
        <f>IFERROR(__xludf.DUMMYFUNCTION("""COMPUTED_VALUE"""),"MBC BCP อ่อนนุช 17/1")</f>
        <v>MBC BCP อ่อนนุช 17/1</v>
      </c>
      <c r="P539" s="4">
        <f>IFERROR(__xludf.DUMMYFUNCTION("""COMPUTED_VALUE"""),41782.0)</f>
        <v>41782</v>
      </c>
      <c r="Q539" s="3" t="str">
        <f>IFERROR(__xludf.DUMMYFUNCTION("""COMPUTED_VALUE"""),"A")</f>
        <v>A</v>
      </c>
      <c r="R539" s="3" t="str">
        <f>IFERROR(__xludf.DUMMYFUNCTION("""COMPUTED_VALUE"""),"Small Format")</f>
        <v>Small Format</v>
      </c>
      <c r="S539" s="3" t="str">
        <f>IFERROR(__xludf.DUMMYFUNCTION("""COMPUTED_VALUE"""),"BCM")</f>
        <v>BCM</v>
      </c>
      <c r="T539" s="3" t="str">
        <f>IFERROR(__xludf.DUMMYFUNCTION("""COMPUTED_VALUE"""),"#N/A")</f>
        <v>#N/A</v>
      </c>
      <c r="U539" s="3" t="str">
        <f>IFERROR(__xludf.DUMMYFUNCTION("""COMPUTED_VALUE"""),"#N/A")</f>
        <v>#N/A</v>
      </c>
      <c r="V539" s="3" t="str">
        <f>IFERROR(__xludf.DUMMYFUNCTION("""COMPUTED_VALUE"""),"N")</f>
        <v>N</v>
      </c>
      <c r="W539" s="3">
        <f>IFERROR(__xludf.DUMMYFUNCTION("""COMPUTED_VALUE"""),211290.0)</f>
        <v>211290</v>
      </c>
      <c r="X539" s="3" t="str">
        <f>IFERROR(__xludf.DUMMYFUNCTION("""COMPUTED_VALUE"""),"315/1 หมู่ 2 ตำบลหนองไผ่แก้ว อำเภอบ้านบึง จังหวัดชลบุรี 20220")</f>
        <v>315/1 หมู่ 2 ตำบลหนองไผ่แก้ว อำเภอบ้านบึง จังหวัดชลบุรี 20220</v>
      </c>
      <c r="Y539" s="3"/>
      <c r="Z539" s="3" t="str">
        <f>IFERROR(__xludf.DUMMYFUNCTION("""COMPUTED_VALUE"""),"หนองไผ่แก้ว")</f>
        <v>หนองไผ่แก้ว</v>
      </c>
      <c r="AA539" s="3" t="str">
        <f>IFERROR(__xludf.DUMMYFUNCTION("""COMPUTED_VALUE"""),"บ้านบึง")</f>
        <v>บ้านบึง</v>
      </c>
      <c r="AB539" s="3" t="str">
        <f>IFERROR(__xludf.DUMMYFUNCTION("""COMPUTED_VALUE"""),"ชลบุรี")</f>
        <v>ชลบุรี</v>
      </c>
      <c r="AC539" s="3">
        <f>IFERROR(__xludf.DUMMYFUNCTION("""COMPUTED_VALUE"""),20220.0)</f>
        <v>20220</v>
      </c>
      <c r="AD539" s="3">
        <f>IFERROR(__xludf.DUMMYFUNCTION("""COMPUTED_VALUE"""),13.2022691)</f>
        <v>13.2022691</v>
      </c>
      <c r="AE539" s="3">
        <f>IFERROR(__xludf.DUMMYFUNCTION("""COMPUTED_VALUE"""),101.2449552)</f>
        <v>101.2449552</v>
      </c>
      <c r="AF539" s="3" t="str">
        <f>IFERROR(__xludf.DUMMYFUNCTION("""COMPUTED_VALUE"""),"MBC หนองไผ่แก้ว-21304")</f>
        <v>MBC หนองไผ่แก้ว-21304</v>
      </c>
      <c r="AG539" s="3" t="str">
        <f>IFERROR(__xludf.DUMMYFUNCTION("""COMPUTED_VALUE"""),"ตะวันออก")</f>
        <v>ตะวันออก</v>
      </c>
      <c r="AH539" s="3" t="str">
        <f>IFERROR(__xludf.DUMMYFUNCTION("""COMPUTED_VALUE"""),"#N/A")</f>
        <v>#N/A</v>
      </c>
      <c r="AI539" s="3" t="str">
        <f>IFERROR(__xludf.DUMMYFUNCTION("""COMPUTED_VALUE"""),"Out of warranty")</f>
        <v>Out of warranty</v>
      </c>
      <c r="AJ539" s="3">
        <f>IFERROR(__xludf.DUMMYFUNCTION("""COMPUTED_VALUE"""),140.0)</f>
        <v>140</v>
      </c>
      <c r="AK539" s="3" t="str">
        <f>IFERROR(__xludf.DUMMYFUNCTION("""COMPUTED_VALUE"""),"MMS07")</f>
        <v>MMS07</v>
      </c>
      <c r="AL539" s="3"/>
    </row>
    <row r="540" ht="15.75" customHeight="1">
      <c r="A540" s="1" t="str">
        <f>IFERROR(__xludf.DUMMYFUNCTION("""COMPUTED_VALUE"""),"21305")</f>
        <v>21305</v>
      </c>
      <c r="B540" s="2">
        <f>IFERROR(__xludf.DUMMYFUNCTION("""COMPUTED_VALUE"""),21305.0)</f>
        <v>21305</v>
      </c>
      <c r="C540" s="3" t="str">
        <f>IFERROR(__xludf.DUMMYFUNCTION("""COMPUTED_VALUE"""),"MBC ถนนสุขประยูร")</f>
        <v>MBC ถนนสุขประยูร</v>
      </c>
      <c r="D540" s="3" t="str">
        <f>IFERROR(__xludf.DUMMYFUNCTION("""COMPUTED_VALUE"""),"BCM TANON SUKPRAYOON")</f>
        <v>BCM TANON SUKPRAYOON</v>
      </c>
      <c r="E540" s="1" t="str">
        <f>IFERROR(__xludf.DUMMYFUNCTION("""COMPUTED_VALUE"""),"บิ๊กซี MINI")</f>
        <v>บิ๊กซี MINI</v>
      </c>
      <c r="F540" s="1" t="str">
        <f>IFERROR(__xludf.DUMMYFUNCTION("""COMPUTED_VALUE"""),"221716")</f>
        <v>221716</v>
      </c>
      <c r="G540" s="1" t="str">
        <f>IFERROR(__xludf.DUMMYFUNCTION("""COMPUTED_VALUE"""),"น.ส.เบญจพร โพธิสาร")</f>
        <v>น.ส.เบญจพร โพธิสาร</v>
      </c>
      <c r="H540" s="1" t="str">
        <f>IFERROR(__xludf.DUMMYFUNCTION("""COMPUTED_VALUE"""),"034605")</f>
        <v>034605</v>
      </c>
      <c r="I540" s="1" t="str">
        <f>IFERROR(__xludf.DUMMYFUNCTION("""COMPUTED_VALUE"""),"นายธรรมรัตน์ สุขเจริญ")</f>
        <v>นายธรรมรัตน์ สุขเจริญ</v>
      </c>
      <c r="J540" s="3">
        <f>IFERROR(__xludf.DUMMYFUNCTION("""COMPUTED_VALUE"""),1.3461215E7)</f>
        <v>13461215</v>
      </c>
      <c r="K540" s="3" t="str">
        <f>IFERROR(__xludf.DUMMYFUNCTION("""COMPUTED_VALUE"""),"นายธีรภัทร สังข์เงิน")</f>
        <v>นายธีรภัทร สังข์เงิน</v>
      </c>
      <c r="L540" s="1" t="str">
        <f>IFERROR(__xludf.DUMMYFUNCTION("""COMPUTED_VALUE"""),"06 K.Teerapat")</f>
        <v>06 K.Teerapat</v>
      </c>
      <c r="M540" s="1" t="str">
        <f>IFERROR(__xludf.DUMMYFUNCTION("""COMPUTED_VALUE"""),"063-601-6803")</f>
        <v>063-601-6803</v>
      </c>
      <c r="N540" s="3">
        <f>IFERROR(__xludf.DUMMYFUNCTION("""COMPUTED_VALUE"""),22115.0)</f>
        <v>22115</v>
      </c>
      <c r="O540" s="3" t="str">
        <f>IFERROR(__xludf.DUMMYFUNCTION("""COMPUTED_VALUE"""),"MBC เลี่ยงหนองมน ชลบุรี")</f>
        <v>MBC เลี่ยงหนองมน ชลบุรี</v>
      </c>
      <c r="P540" s="4">
        <f>IFERROR(__xludf.DUMMYFUNCTION("""COMPUTED_VALUE"""),41782.0)</f>
        <v>41782</v>
      </c>
      <c r="Q540" s="3" t="str">
        <f>IFERROR(__xludf.DUMMYFUNCTION("""COMPUTED_VALUE"""),"A")</f>
        <v>A</v>
      </c>
      <c r="R540" s="3" t="str">
        <f>IFERROR(__xludf.DUMMYFUNCTION("""COMPUTED_VALUE"""),"Small Format")</f>
        <v>Small Format</v>
      </c>
      <c r="S540" s="3" t="str">
        <f>IFERROR(__xludf.DUMMYFUNCTION("""COMPUTED_VALUE"""),"BCM")</f>
        <v>BCM</v>
      </c>
      <c r="T540" s="3" t="str">
        <f>IFERROR(__xludf.DUMMYFUNCTION("""COMPUTED_VALUE"""),"#N/A")</f>
        <v>#N/A</v>
      </c>
      <c r="U540" s="3" t="str">
        <f>IFERROR(__xludf.DUMMYFUNCTION("""COMPUTED_VALUE"""),"#N/A")</f>
        <v>#N/A</v>
      </c>
      <c r="V540" s="3" t="str">
        <f>IFERROR(__xludf.DUMMYFUNCTION("""COMPUTED_VALUE"""),"N")</f>
        <v>N</v>
      </c>
      <c r="W540" s="3">
        <f>IFERROR(__xludf.DUMMYFUNCTION("""COMPUTED_VALUE"""),211200.0)</f>
        <v>211200</v>
      </c>
      <c r="X540" s="3" t="str">
        <f>IFERROR(__xludf.DUMMYFUNCTION("""COMPUTED_VALUE"""),"841/56 ถนนสุขประยูร ตำบลบ้านโขด อำเภอเมืองชลบุรี จังหวัดชลบุรี 20000")</f>
        <v>841/56 ถนนสุขประยูร ตำบลบ้านโขด อำเภอเมืองชลบุรี จังหวัดชลบุรี 20000</v>
      </c>
      <c r="Y540" s="3" t="str">
        <f>IFERROR(__xludf.DUMMYFUNCTION("""COMPUTED_VALUE"""),"ถนนสุขประยูร")</f>
        <v>ถนนสุขประยูร</v>
      </c>
      <c r="Z540" s="3" t="str">
        <f>IFERROR(__xludf.DUMMYFUNCTION("""COMPUTED_VALUE"""),"บ้านโขด")</f>
        <v>บ้านโขด</v>
      </c>
      <c r="AA540" s="3" t="str">
        <f>IFERROR(__xludf.DUMMYFUNCTION("""COMPUTED_VALUE"""),"เมือง")</f>
        <v>เมือง</v>
      </c>
      <c r="AB540" s="3" t="str">
        <f>IFERROR(__xludf.DUMMYFUNCTION("""COMPUTED_VALUE"""),"ชลบุรี")</f>
        <v>ชลบุรี</v>
      </c>
      <c r="AC540" s="3">
        <f>IFERROR(__xludf.DUMMYFUNCTION("""COMPUTED_VALUE"""),20000.0)</f>
        <v>20000</v>
      </c>
      <c r="AD540" s="3">
        <f>IFERROR(__xludf.DUMMYFUNCTION("""COMPUTED_VALUE"""),13.371401)</f>
        <v>13.371401</v>
      </c>
      <c r="AE540" s="3">
        <f>IFERROR(__xludf.DUMMYFUNCTION("""COMPUTED_VALUE"""),100.9936213)</f>
        <v>100.9936213</v>
      </c>
      <c r="AF540" s="3" t="str">
        <f>IFERROR(__xludf.DUMMYFUNCTION("""COMPUTED_VALUE"""),"MBC ถนนสุขประยูร-21305")</f>
        <v>MBC ถนนสุขประยูร-21305</v>
      </c>
      <c r="AG540" s="3" t="str">
        <f>IFERROR(__xludf.DUMMYFUNCTION("""COMPUTED_VALUE"""),"ตะวันออก")</f>
        <v>ตะวันออก</v>
      </c>
      <c r="AH540" s="3" t="str">
        <f>IFERROR(__xludf.DUMMYFUNCTION("""COMPUTED_VALUE"""),"#N/A")</f>
        <v>#N/A</v>
      </c>
      <c r="AI540" s="3" t="str">
        <f>IFERROR(__xludf.DUMMYFUNCTION("""COMPUTED_VALUE"""),"Out of warranty")</f>
        <v>Out of warranty</v>
      </c>
      <c r="AJ540" s="3">
        <f>IFERROR(__xludf.DUMMYFUNCTION("""COMPUTED_VALUE"""),140.0)</f>
        <v>140</v>
      </c>
      <c r="AK540" s="3" t="str">
        <f>IFERROR(__xludf.DUMMYFUNCTION("""COMPUTED_VALUE"""),"MMS06")</f>
        <v>MMS06</v>
      </c>
      <c r="AL540" s="3"/>
    </row>
    <row r="541" ht="15.75" customHeight="1">
      <c r="A541" s="1" t="str">
        <f>IFERROR(__xludf.DUMMYFUNCTION("""COMPUTED_VALUE"""),"21306")</f>
        <v>21306</v>
      </c>
      <c r="B541" s="2">
        <f>IFERROR(__xludf.DUMMYFUNCTION("""COMPUTED_VALUE"""),21306.0)</f>
        <v>21306</v>
      </c>
      <c r="C541" s="3" t="str">
        <f>IFERROR(__xludf.DUMMYFUNCTION("""COMPUTED_VALUE"""),"MBC BCP บรมฯ กม.9")</f>
        <v>MBC BCP บรมฯ กม.9</v>
      </c>
      <c r="D541" s="3" t="str">
        <f>IFERROR(__xludf.DUMMYFUNCTION("""COMPUTED_VALUE"""),"MBC BCP BOROM KM 9")</f>
        <v>MBC BCP BOROM KM 9</v>
      </c>
      <c r="E541" s="1" t="str">
        <f>IFERROR(__xludf.DUMMYFUNCTION("""COMPUTED_VALUE"""),"บิ๊กซี MINI")</f>
        <v>บิ๊กซี MINI</v>
      </c>
      <c r="F541" s="1" t="str">
        <f>IFERROR(__xludf.DUMMYFUNCTION("""COMPUTED_VALUE"""),"291008")</f>
        <v>291008</v>
      </c>
      <c r="G541" s="1" t="str">
        <f>IFERROR(__xludf.DUMMYFUNCTION("""COMPUTED_VALUE"""),"น.ส.รัชดาพร อีศรัตน์")</f>
        <v>น.ส.รัชดาพร อีศรัตน์</v>
      </c>
      <c r="H541" s="1" t="str">
        <f>IFERROR(__xludf.DUMMYFUNCTION("""COMPUTED_VALUE"""),"034068")</f>
        <v>034068</v>
      </c>
      <c r="I541" s="1" t="str">
        <f>IFERROR(__xludf.DUMMYFUNCTION("""COMPUTED_VALUE"""),"นายสมศักดิ์ ฐานทองดี")</f>
        <v>นายสมศักดิ์ ฐานทองดี</v>
      </c>
      <c r="J541" s="3">
        <f>IFERROR(__xludf.DUMMYFUNCTION("""COMPUTED_VALUE"""),3510104.0)</f>
        <v>3510104</v>
      </c>
      <c r="K541" s="3" t="str">
        <f>IFERROR(__xludf.DUMMYFUNCTION("""COMPUTED_VALUE"""),"นายวิโรจน์ อับดุลสมัด")</f>
        <v>นายวิโรจน์ อับดุลสมัด</v>
      </c>
      <c r="L541" s="1" t="str">
        <f>IFERROR(__xludf.DUMMYFUNCTION("""COMPUTED_VALUE"""),"09 K.Wirode A")</f>
        <v>09 K.Wirode A</v>
      </c>
      <c r="M541" s="1" t="str">
        <f>IFERROR(__xludf.DUMMYFUNCTION("""COMPUTED_VALUE"""),"080-235-4465")</f>
        <v>080-235-4465</v>
      </c>
      <c r="N541" s="3">
        <f>IFERROR(__xludf.DUMMYFUNCTION("""COMPUTED_VALUE"""),21324.0)</f>
        <v>21324</v>
      </c>
      <c r="O541" s="3" t="str">
        <f>IFERROR(__xludf.DUMMYFUNCTION("""COMPUTED_VALUE"""),"MBC BCP สุวินทวงศ์")</f>
        <v>MBC BCP สุวินทวงศ์</v>
      </c>
      <c r="P541" s="4">
        <f>IFERROR(__xludf.DUMMYFUNCTION("""COMPUTED_VALUE"""),41785.0)</f>
        <v>41785</v>
      </c>
      <c r="Q541" s="3" t="str">
        <f>IFERROR(__xludf.DUMMYFUNCTION("""COMPUTED_VALUE"""),"I")</f>
        <v>I</v>
      </c>
      <c r="R541" s="3" t="str">
        <f>IFERROR(__xludf.DUMMYFUNCTION("""COMPUTED_VALUE"""),"Small Format")</f>
        <v>Small Format</v>
      </c>
      <c r="S541" s="3" t="str">
        <f>IFERROR(__xludf.DUMMYFUNCTION("""COMPUTED_VALUE"""),"BCM")</f>
        <v>BCM</v>
      </c>
      <c r="T541" s="3" t="str">
        <f>IFERROR(__xludf.DUMMYFUNCTION("""COMPUTED_VALUE"""),"#N/A")</f>
        <v>#N/A</v>
      </c>
      <c r="U541" s="3" t="str">
        <f>IFERROR(__xludf.DUMMYFUNCTION("""COMPUTED_VALUE"""),"#N/A")</f>
        <v>#N/A</v>
      </c>
      <c r="V541" s="3" t="str">
        <f>IFERROR(__xludf.DUMMYFUNCTION("""COMPUTED_VALUE"""),"N")</f>
        <v>N</v>
      </c>
      <c r="W541" s="3">
        <f>IFERROR(__xludf.DUMMYFUNCTION("""COMPUTED_VALUE"""),0.0)</f>
        <v>0</v>
      </c>
      <c r="X541" s="3" t="str">
        <f>IFERROR(__xludf.DUMMYFUNCTION("""COMPUTED_VALUE"""),"57/4 หมู่ 8 แขวงฉิมพลี เขตตลิ่งชัน กรุงเทพมหานคร 10170")</f>
        <v>57/4 หมู่ 8 แขวงฉิมพลี เขตตลิ่งชัน กรุงเทพมหานคร 10170</v>
      </c>
      <c r="Y541" s="3"/>
      <c r="Z541" s="3" t="str">
        <f>IFERROR(__xludf.DUMMYFUNCTION("""COMPUTED_VALUE"""),"ฉิมพลี")</f>
        <v>ฉิมพลี</v>
      </c>
      <c r="AA541" s="3" t="str">
        <f>IFERROR(__xludf.DUMMYFUNCTION("""COMPUTED_VALUE"""),"ตลิ่งชัน")</f>
        <v>ตลิ่งชัน</v>
      </c>
      <c r="AB541" s="3" t="str">
        <f>IFERROR(__xludf.DUMMYFUNCTION("""COMPUTED_VALUE"""),"กรุงเทพมหานคร")</f>
        <v>กรุงเทพมหานคร</v>
      </c>
      <c r="AC541" s="3">
        <f>IFERROR(__xludf.DUMMYFUNCTION("""COMPUTED_VALUE"""),10170.0)</f>
        <v>10170</v>
      </c>
      <c r="AD541" s="3" t="str">
        <f>IFERROR(__xludf.DUMMYFUNCTION("""COMPUTED_VALUE"""),"#N/A")</f>
        <v>#N/A</v>
      </c>
      <c r="AE541" s="3" t="str">
        <f>IFERROR(__xludf.DUMMYFUNCTION("""COMPUTED_VALUE"""),"#N/A")</f>
        <v>#N/A</v>
      </c>
      <c r="AF541" s="3" t="str">
        <f>IFERROR(__xludf.DUMMYFUNCTION("""COMPUTED_VALUE"""),"MBC BCP บรมฯ กม.9-21306")</f>
        <v>MBC BCP บรมฯ กม.9-21306</v>
      </c>
      <c r="AG541" s="3" t="str">
        <f>IFERROR(__xludf.DUMMYFUNCTION("""COMPUTED_VALUE"""),"กลาง")</f>
        <v>กลาง</v>
      </c>
      <c r="AH541" s="3" t="str">
        <f>IFERROR(__xludf.DUMMYFUNCTION("""COMPUTED_VALUE"""),"#N/A")</f>
        <v>#N/A</v>
      </c>
      <c r="AI541" s="3" t="str">
        <f>IFERROR(__xludf.DUMMYFUNCTION("""COMPUTED_VALUE"""),"Out of warranty")</f>
        <v>Out of warranty</v>
      </c>
      <c r="AJ541" s="3">
        <f>IFERROR(__xludf.DUMMYFUNCTION("""COMPUTED_VALUE"""),140.0)</f>
        <v>140</v>
      </c>
      <c r="AK541" s="3"/>
      <c r="AL541" s="3"/>
    </row>
    <row r="542" ht="15.75" customHeight="1">
      <c r="A542" s="1" t="str">
        <f>IFERROR(__xludf.DUMMYFUNCTION("""COMPUTED_VALUE"""),"21307")</f>
        <v>21307</v>
      </c>
      <c r="B542" s="2">
        <f>IFERROR(__xludf.DUMMYFUNCTION("""COMPUTED_VALUE"""),21307.0)</f>
        <v>21307</v>
      </c>
      <c r="C542" s="3" t="str">
        <f>IFERROR(__xludf.DUMMYFUNCTION("""COMPUTED_VALUE"""),"MBC วัดพระญาติ")</f>
        <v>MBC วัดพระญาติ</v>
      </c>
      <c r="D542" s="3" t="str">
        <f>IFERROR(__xludf.DUMMYFUNCTION("""COMPUTED_VALUE"""),"BCM WAT PHRAYADHI")</f>
        <v>BCM WAT PHRAYADHI</v>
      </c>
      <c r="E542" s="1" t="str">
        <f>IFERROR(__xludf.DUMMYFUNCTION("""COMPUTED_VALUE"""),"บิ๊กซี MINI")</f>
        <v>บิ๊กซี MINI</v>
      </c>
      <c r="F542" s="1" t="str">
        <f>IFERROR(__xludf.DUMMYFUNCTION("""COMPUTED_VALUE"""),"296229")</f>
        <v>296229</v>
      </c>
      <c r="G542" s="1" t="str">
        <f>IFERROR(__xludf.DUMMYFUNCTION("""COMPUTED_VALUE"""),"นายทนงศักดิ์ บุญมา")</f>
        <v>นายทนงศักดิ์ บุญมา</v>
      </c>
      <c r="H542" s="1" t="str">
        <f>IFERROR(__xludf.DUMMYFUNCTION("""COMPUTED_VALUE"""),"318233")</f>
        <v>318233</v>
      </c>
      <c r="I542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542" s="3">
        <f>IFERROR(__xludf.DUMMYFUNCTION("""COMPUTED_VALUE"""),46214.0)</f>
        <v>46214</v>
      </c>
      <c r="K542" s="3" t="str">
        <f>IFERROR(__xludf.DUMMYFUNCTION("""COMPUTED_VALUE"""),"นายศักดิ์ชัย เด็ดดอกฟ้า")</f>
        <v>นายศักดิ์ชัย เด็ดดอกฟ้า</v>
      </c>
      <c r="L542" s="1" t="str">
        <f>IFERROR(__xludf.DUMMYFUNCTION("""COMPUTED_VALUE"""),"02 K.Sakchai D")</f>
        <v>02 K.Sakchai D</v>
      </c>
      <c r="M542" s="1" t="str">
        <f>IFERROR(__xludf.DUMMYFUNCTION("""COMPUTED_VALUE"""),"065-510-7376")</f>
        <v>065-510-7376</v>
      </c>
      <c r="N542" s="3">
        <f>IFERROR(__xludf.DUMMYFUNCTION("""COMPUTED_VALUE"""),21714.0)</f>
        <v>21714</v>
      </c>
      <c r="O542" s="3" t="str">
        <f>IFERROR(__xludf.DUMMYFUNCTION("""COMPUTED_VALUE"""),"MBC เอสโซ่ วัดโบสถ์")</f>
        <v>MBC เอสโซ่ วัดโบสถ์</v>
      </c>
      <c r="P542" s="4">
        <f>IFERROR(__xludf.DUMMYFUNCTION("""COMPUTED_VALUE"""),41787.0)</f>
        <v>41787</v>
      </c>
      <c r="Q542" s="3" t="str">
        <f>IFERROR(__xludf.DUMMYFUNCTION("""COMPUTED_VALUE"""),"A")</f>
        <v>A</v>
      </c>
      <c r="R542" s="3" t="str">
        <f>IFERROR(__xludf.DUMMYFUNCTION("""COMPUTED_VALUE"""),"Small Format")</f>
        <v>Small Format</v>
      </c>
      <c r="S542" s="3" t="str">
        <f>IFERROR(__xludf.DUMMYFUNCTION("""COMPUTED_VALUE"""),"BCM")</f>
        <v>BCM</v>
      </c>
      <c r="T542" s="3" t="str">
        <f>IFERROR(__xludf.DUMMYFUNCTION("""COMPUTED_VALUE"""),"#N/A")</f>
        <v>#N/A</v>
      </c>
      <c r="U542" s="3" t="str">
        <f>IFERROR(__xludf.DUMMYFUNCTION("""COMPUTED_VALUE"""),"#N/A")</f>
        <v>#N/A</v>
      </c>
      <c r="V542" s="3" t="str">
        <f>IFERROR(__xludf.DUMMYFUNCTION("""COMPUTED_VALUE"""),"N")</f>
        <v>N</v>
      </c>
      <c r="W542" s="3">
        <f>IFERROR(__xludf.DUMMYFUNCTION("""COMPUTED_VALUE"""),211249.0)</f>
        <v>211249</v>
      </c>
      <c r="X542" s="3" t="str">
        <f>IFERROR(__xludf.DUMMYFUNCTION("""COMPUTED_VALUE"""),"13/16 หมู่ 5 ตำบลไผ่ลิง อำเภอพระนครศรีอยุธยา จังหวัดพระนครศรีอยุธยา 13000")</f>
        <v>13/16 หมู่ 5 ตำบลไผ่ลิง อำเภอพระนครศรีอยุธยา จังหวัดพระนครศรีอยุธยา 13000</v>
      </c>
      <c r="Y542" s="3"/>
      <c r="Z542" s="3" t="str">
        <f>IFERROR(__xludf.DUMMYFUNCTION("""COMPUTED_VALUE"""),"ไผ่ลิง")</f>
        <v>ไผ่ลิง</v>
      </c>
      <c r="AA542" s="3" t="str">
        <f>IFERROR(__xludf.DUMMYFUNCTION("""COMPUTED_VALUE"""),"เมืองพระนครศรีอยุธยา")</f>
        <v>เมืองพระนครศรีอยุธยา</v>
      </c>
      <c r="AB542" s="3" t="str">
        <f>IFERROR(__xludf.DUMMYFUNCTION("""COMPUTED_VALUE"""),"พระนครศรีอยุธยา")</f>
        <v>พระนครศรีอยุธยา</v>
      </c>
      <c r="AC542" s="3">
        <f>IFERROR(__xludf.DUMMYFUNCTION("""COMPUTED_VALUE"""),13000.0)</f>
        <v>13000</v>
      </c>
      <c r="AD542" s="3">
        <f>IFERROR(__xludf.DUMMYFUNCTION("""COMPUTED_VALUE"""),14.3540042)</f>
        <v>14.3540042</v>
      </c>
      <c r="AE542" s="3">
        <f>IFERROR(__xludf.DUMMYFUNCTION("""COMPUTED_VALUE"""),100.6009863)</f>
        <v>100.6009863</v>
      </c>
      <c r="AF542" s="3" t="str">
        <f>IFERROR(__xludf.DUMMYFUNCTION("""COMPUTED_VALUE"""),"MBC วัดพระญาติ-21307")</f>
        <v>MBC วัดพระญาติ-21307</v>
      </c>
      <c r="AG542" s="3" t="str">
        <f>IFERROR(__xludf.DUMMYFUNCTION("""COMPUTED_VALUE"""),"กลาง")</f>
        <v>กลาง</v>
      </c>
      <c r="AH542" s="3" t="str">
        <f>IFERROR(__xludf.DUMMYFUNCTION("""COMPUTED_VALUE"""),"#N/A")</f>
        <v>#N/A</v>
      </c>
      <c r="AI542" s="3" t="str">
        <f>IFERROR(__xludf.DUMMYFUNCTION("""COMPUTED_VALUE"""),"Out of warranty")</f>
        <v>Out of warranty</v>
      </c>
      <c r="AJ542" s="3">
        <f>IFERROR(__xludf.DUMMYFUNCTION("""COMPUTED_VALUE"""),140.0)</f>
        <v>140</v>
      </c>
      <c r="AK542" s="3" t="str">
        <f>IFERROR(__xludf.DUMMYFUNCTION("""COMPUTED_VALUE"""),"MMS04")</f>
        <v>MMS04</v>
      </c>
      <c r="AL542" s="3"/>
    </row>
    <row r="543" ht="15.75" customHeight="1">
      <c r="A543" s="1" t="str">
        <f>IFERROR(__xludf.DUMMYFUNCTION("""COMPUTED_VALUE"""),"21308")</f>
        <v>21308</v>
      </c>
      <c r="B543" s="2">
        <f>IFERROR(__xludf.DUMMYFUNCTION("""COMPUTED_VALUE"""),21308.0)</f>
        <v>21308</v>
      </c>
      <c r="C543" s="3" t="str">
        <f>IFERROR(__xludf.DUMMYFUNCTION("""COMPUTED_VALUE"""),"MBC BCP นิมิตใหม่ 1")</f>
        <v>MBC BCP นิมิตใหม่ 1</v>
      </c>
      <c r="D543" s="3" t="str">
        <f>IFERROR(__xludf.DUMMYFUNCTION("""COMPUTED_VALUE"""),"BCM BCP NIMITMAI 1")</f>
        <v>BCM BCP NIMITMAI 1</v>
      </c>
      <c r="E543" s="1" t="str">
        <f>IFERROR(__xludf.DUMMYFUNCTION("""COMPUTED_VALUE"""),"บิ๊กซี MINI")</f>
        <v>บิ๊กซี MINI</v>
      </c>
      <c r="F543" s="1" t="str">
        <f>IFERROR(__xludf.DUMMYFUNCTION("""COMPUTED_VALUE"""),"291008")</f>
        <v>291008</v>
      </c>
      <c r="G543" s="1" t="str">
        <f>IFERROR(__xludf.DUMMYFUNCTION("""COMPUTED_VALUE"""),"น.ส.รัชดาพร อีศรัตน์")</f>
        <v>น.ส.รัชดาพร อีศรัตน์</v>
      </c>
      <c r="H543" s="1" t="str">
        <f>IFERROR(__xludf.DUMMYFUNCTION("""COMPUTED_VALUE"""),"228242")</f>
        <v>228242</v>
      </c>
      <c r="I543" s="1" t="str">
        <f>IFERROR(__xludf.DUMMYFUNCTION("""COMPUTED_VALUE"""),"นายสมชาย เยมรัมย์")</f>
        <v>นายสมชาย เยมรัมย์</v>
      </c>
      <c r="J543" s="3">
        <f>IFERROR(__xludf.DUMMYFUNCTION("""COMPUTED_VALUE"""),296728.0)</f>
        <v>296728</v>
      </c>
      <c r="K543" s="3" t="str">
        <f>IFERROR(__xludf.DUMMYFUNCTION("""COMPUTED_VALUE"""),"นายธิติ บัวทองรังสิมา")</f>
        <v>นายธิติ บัวทองรังสิมา</v>
      </c>
      <c r="L543" s="1" t="str">
        <f>IFERROR(__xludf.DUMMYFUNCTION("""COMPUTED_VALUE"""),"นายธิติ บัวทองรังสิมา")</f>
        <v>นายธิติ บัวทองรังสิมา</v>
      </c>
      <c r="M543" s="1" t="str">
        <f>IFERROR(__xludf.DUMMYFUNCTION("""COMPUTED_VALUE"""),"0920849994")</f>
        <v>0920849994</v>
      </c>
      <c r="N543" s="3">
        <f>IFERROR(__xludf.DUMMYFUNCTION("""COMPUTED_VALUE"""),21012.0)</f>
        <v>21012</v>
      </c>
      <c r="O543" s="3" t="str">
        <f>IFERROR(__xludf.DUMMYFUNCTION("""COMPUTED_VALUE"""),"MBC ท่าอิฐ")</f>
        <v>MBC ท่าอิฐ</v>
      </c>
      <c r="P543" s="4">
        <f>IFERROR(__xludf.DUMMYFUNCTION("""COMPUTED_VALUE"""),41788.0)</f>
        <v>41788</v>
      </c>
      <c r="Q543" s="3" t="str">
        <f>IFERROR(__xludf.DUMMYFUNCTION("""COMPUTED_VALUE"""),"I")</f>
        <v>I</v>
      </c>
      <c r="R543" s="3" t="str">
        <f>IFERROR(__xludf.DUMMYFUNCTION("""COMPUTED_VALUE"""),"Small Format")</f>
        <v>Small Format</v>
      </c>
      <c r="S543" s="3" t="str">
        <f>IFERROR(__xludf.DUMMYFUNCTION("""COMPUTED_VALUE"""),"BCM")</f>
        <v>BCM</v>
      </c>
      <c r="T543" s="3" t="str">
        <f>IFERROR(__xludf.DUMMYFUNCTION("""COMPUTED_VALUE"""),"#N/A")</f>
        <v>#N/A</v>
      </c>
      <c r="U543" s="3" t="str">
        <f>IFERROR(__xludf.DUMMYFUNCTION("""COMPUTED_VALUE"""),"#N/A")</f>
        <v>#N/A</v>
      </c>
      <c r="V543" s="3" t="str">
        <f>IFERROR(__xludf.DUMMYFUNCTION("""COMPUTED_VALUE"""),"N")</f>
        <v>N</v>
      </c>
      <c r="W543" s="3">
        <f>IFERROR(__xludf.DUMMYFUNCTION("""COMPUTED_VALUE"""),361092.0)</f>
        <v>361092</v>
      </c>
      <c r="X543" s="3" t="str">
        <f>IFERROR(__xludf.DUMMYFUNCTION("""COMPUTED_VALUE"""),"3/2 ถนนนิมิตใหม่ แขวงมีนบุรี เขตมีนบุรี กรุงเทพมหานคร 10510")</f>
        <v>3/2 ถนนนิมิตใหม่ แขวงมีนบุรี เขตมีนบุรี กรุงเทพมหานคร 10510</v>
      </c>
      <c r="Y543" s="3" t="str">
        <f>IFERROR(__xludf.DUMMYFUNCTION("""COMPUTED_VALUE"""),"ถนนนิมิตใหม่")</f>
        <v>ถนนนิมิตใหม่</v>
      </c>
      <c r="Z543" s="3" t="str">
        <f>IFERROR(__xludf.DUMMYFUNCTION("""COMPUTED_VALUE"""),"มีนบุรี")</f>
        <v>มีนบุรี</v>
      </c>
      <c r="AA543" s="3" t="str">
        <f>IFERROR(__xludf.DUMMYFUNCTION("""COMPUTED_VALUE"""),"มีนบุรี")</f>
        <v>มีนบุรี</v>
      </c>
      <c r="AB543" s="3" t="str">
        <f>IFERROR(__xludf.DUMMYFUNCTION("""COMPUTED_VALUE"""),"กรุงเทพมหานคร")</f>
        <v>กรุงเทพมหานคร</v>
      </c>
      <c r="AC543" s="3">
        <f>IFERROR(__xludf.DUMMYFUNCTION("""COMPUTED_VALUE"""),10510.0)</f>
        <v>10510</v>
      </c>
      <c r="AD543" s="3">
        <f>IFERROR(__xludf.DUMMYFUNCTION("""COMPUTED_VALUE"""),13.822769)</f>
        <v>13.822769</v>
      </c>
      <c r="AE543" s="3">
        <f>IFERROR(__xludf.DUMMYFUNCTION("""COMPUTED_VALUE"""),100.740784)</f>
        <v>100.740784</v>
      </c>
      <c r="AF543" s="3" t="str">
        <f>IFERROR(__xludf.DUMMYFUNCTION("""COMPUTED_VALUE"""),"MBC BCP นิมิตใหม่ 1-21308")</f>
        <v>MBC BCP นิมิตใหม่ 1-21308</v>
      </c>
      <c r="AG543" s="3" t="str">
        <f>IFERROR(__xludf.DUMMYFUNCTION("""COMPUTED_VALUE"""),"กลาง")</f>
        <v>กลาง</v>
      </c>
      <c r="AH543" s="3" t="str">
        <f>IFERROR(__xludf.DUMMYFUNCTION("""COMPUTED_VALUE"""),"#N/A")</f>
        <v>#N/A</v>
      </c>
      <c r="AI543" s="3" t="str">
        <f>IFERROR(__xludf.DUMMYFUNCTION("""COMPUTED_VALUE"""),"Out of warranty")</f>
        <v>Out of warranty</v>
      </c>
      <c r="AJ543" s="3">
        <f>IFERROR(__xludf.DUMMYFUNCTION("""COMPUTED_VALUE"""),140.0)</f>
        <v>140</v>
      </c>
      <c r="AK543" s="3" t="str">
        <f>IFERROR(__xludf.DUMMYFUNCTION("""COMPUTED_VALUE"""),"MMS01")</f>
        <v>MMS01</v>
      </c>
      <c r="AL543" s="3"/>
    </row>
    <row r="544" ht="15.75" customHeight="1">
      <c r="A544" s="1" t="str">
        <f>IFERROR(__xludf.DUMMYFUNCTION("""COMPUTED_VALUE"""),"21309")</f>
        <v>21309</v>
      </c>
      <c r="B544" s="2">
        <f>IFERROR(__xludf.DUMMYFUNCTION("""COMPUTED_VALUE"""),21309.0)</f>
        <v>21309</v>
      </c>
      <c r="C544" s="3" t="str">
        <f>IFERROR(__xludf.DUMMYFUNCTION("""COMPUTED_VALUE"""),"MBC BCP นารายณ์ฯ")</f>
        <v>MBC BCP นารายณ์ฯ</v>
      </c>
      <c r="D544" s="3" t="str">
        <f>IFERROR(__xludf.DUMMYFUNCTION("""COMPUTED_VALUE"""),"MBC BCP NARAI")</f>
        <v>MBC BCP NARAI</v>
      </c>
      <c r="E544" s="1" t="str">
        <f>IFERROR(__xludf.DUMMYFUNCTION("""COMPUTED_VALUE"""),"บิ๊กซี MINI")</f>
        <v>บิ๊กซี MINI</v>
      </c>
      <c r="F544" s="1" t="str">
        <f>IFERROR(__xludf.DUMMYFUNCTION("""COMPUTED_VALUE"""),"296229")</f>
        <v>296229</v>
      </c>
      <c r="G544" s="1" t="str">
        <f>IFERROR(__xludf.DUMMYFUNCTION("""COMPUTED_VALUE"""),"นายทนงศักดิ์ บุญมา")</f>
        <v>นายทนงศักดิ์ บุญมา</v>
      </c>
      <c r="H544" s="1" t="str">
        <f>IFERROR(__xludf.DUMMYFUNCTION("""COMPUTED_VALUE"""),"291082")</f>
        <v>291082</v>
      </c>
      <c r="I544" s="1" t="str">
        <f>IFERROR(__xludf.DUMMYFUNCTION("""COMPUTED_VALUE"""),"น.ส.วจี กันเกตุ")</f>
        <v>น.ส.วจี กันเกตุ</v>
      </c>
      <c r="J544" s="3">
        <f>IFERROR(__xludf.DUMMYFUNCTION("""COMPUTED_VALUE"""),46214.0)</f>
        <v>46214</v>
      </c>
      <c r="K544" s="3" t="str">
        <f>IFERROR(__xludf.DUMMYFUNCTION("""COMPUTED_VALUE"""),"นายศักดิ์ชัย เด็ดดอกฟ้า")</f>
        <v>นายศักดิ์ชัย เด็ดดอกฟ้า</v>
      </c>
      <c r="L544" s="1" t="str">
        <f>IFERROR(__xludf.DUMMYFUNCTION("""COMPUTED_VALUE"""),"02 K.Sakchai D")</f>
        <v>02 K.Sakchai D</v>
      </c>
      <c r="M544" s="1" t="str">
        <f>IFERROR(__xludf.DUMMYFUNCTION("""COMPUTED_VALUE"""),"065-510-7376")</f>
        <v>065-510-7376</v>
      </c>
      <c r="N544" s="3">
        <f>IFERROR(__xludf.DUMMYFUNCTION("""COMPUTED_VALUE"""),21441.0)</f>
        <v>21441</v>
      </c>
      <c r="O544" s="3" t="str">
        <f>IFERROR(__xludf.DUMMYFUNCTION("""COMPUTED_VALUE"""),"MBC บ้านกร่าง พิษณุโลก")</f>
        <v>MBC บ้านกร่าง พิษณุโลก</v>
      </c>
      <c r="P544" s="4">
        <f>IFERROR(__xludf.DUMMYFUNCTION("""COMPUTED_VALUE"""),41789.0)</f>
        <v>41789</v>
      </c>
      <c r="Q544" s="3" t="str">
        <f>IFERROR(__xludf.DUMMYFUNCTION("""COMPUTED_VALUE"""),"I")</f>
        <v>I</v>
      </c>
      <c r="R544" s="3" t="str">
        <f>IFERROR(__xludf.DUMMYFUNCTION("""COMPUTED_VALUE"""),"Small Format")</f>
        <v>Small Format</v>
      </c>
      <c r="S544" s="3" t="str">
        <f>IFERROR(__xludf.DUMMYFUNCTION("""COMPUTED_VALUE"""),"BCM")</f>
        <v>BCM</v>
      </c>
      <c r="T544" s="3" t="str">
        <f>IFERROR(__xludf.DUMMYFUNCTION("""COMPUTED_VALUE"""),"#N/A")</f>
        <v>#N/A</v>
      </c>
      <c r="U544" s="3" t="str">
        <f>IFERROR(__xludf.DUMMYFUNCTION("""COMPUTED_VALUE"""),"#N/A")</f>
        <v>#N/A</v>
      </c>
      <c r="V544" s="3" t="str">
        <f>IFERROR(__xludf.DUMMYFUNCTION("""COMPUTED_VALUE"""),"N")</f>
        <v>N</v>
      </c>
      <c r="W544" s="3">
        <f>IFERROR(__xludf.DUMMYFUNCTION("""COMPUTED_VALUE"""),0.0)</f>
        <v>0</v>
      </c>
      <c r="X544" s="3" t="str">
        <f>IFERROR(__xludf.DUMMYFUNCTION("""COMPUTED_VALUE"""),"217/14 ถนนนารายณ์มหาราช ตำบลทะเลชุบศร อำเภอเมืองลพบุรี จังหวัดลพบุรี 15000")</f>
        <v>217/14 ถนนนารายณ์มหาราช ตำบลทะเลชุบศร อำเภอเมืองลพบุรี จังหวัดลพบุรี 15000</v>
      </c>
      <c r="Y544" s="3" t="str">
        <f>IFERROR(__xludf.DUMMYFUNCTION("""COMPUTED_VALUE"""),"ถนนนารายณ์มหาราช")</f>
        <v>ถนนนารายณ์มหาราช</v>
      </c>
      <c r="Z544" s="3" t="str">
        <f>IFERROR(__xludf.DUMMYFUNCTION("""COMPUTED_VALUE"""),"ทะเลชุบศร")</f>
        <v>ทะเลชุบศร</v>
      </c>
      <c r="AA544" s="3" t="str">
        <f>IFERROR(__xludf.DUMMYFUNCTION("""COMPUTED_VALUE"""),"เมือง")</f>
        <v>เมือง</v>
      </c>
      <c r="AB544" s="3" t="str">
        <f>IFERROR(__xludf.DUMMYFUNCTION("""COMPUTED_VALUE"""),"ลพบุรี")</f>
        <v>ลพบุรี</v>
      </c>
      <c r="AC544" s="3">
        <f>IFERROR(__xludf.DUMMYFUNCTION("""COMPUTED_VALUE"""),15000.0)</f>
        <v>15000</v>
      </c>
      <c r="AD544" s="3" t="str">
        <f>IFERROR(__xludf.DUMMYFUNCTION("""COMPUTED_VALUE"""),"#N/A")</f>
        <v>#N/A</v>
      </c>
      <c r="AE544" s="3" t="str">
        <f>IFERROR(__xludf.DUMMYFUNCTION("""COMPUTED_VALUE"""),"#N/A")</f>
        <v>#N/A</v>
      </c>
      <c r="AF544" s="3" t="str">
        <f>IFERROR(__xludf.DUMMYFUNCTION("""COMPUTED_VALUE"""),"MBC BCP นารายณ์ฯ-21309")</f>
        <v>MBC BCP นารายณ์ฯ-21309</v>
      </c>
      <c r="AG544" s="3" t="str">
        <f>IFERROR(__xludf.DUMMYFUNCTION("""COMPUTED_VALUE"""),"กลาง")</f>
        <v>กลาง</v>
      </c>
      <c r="AH544" s="3" t="str">
        <f>IFERROR(__xludf.DUMMYFUNCTION("""COMPUTED_VALUE"""),"#N/A")</f>
        <v>#N/A</v>
      </c>
      <c r="AI544" s="3" t="str">
        <f>IFERROR(__xludf.DUMMYFUNCTION("""COMPUTED_VALUE"""),"Out of warranty")</f>
        <v>Out of warranty</v>
      </c>
      <c r="AJ544" s="3">
        <f>IFERROR(__xludf.DUMMYFUNCTION("""COMPUTED_VALUE"""),140.0)</f>
        <v>140</v>
      </c>
      <c r="AK544" s="3"/>
      <c r="AL544" s="3"/>
    </row>
    <row r="545" ht="15.75" customHeight="1">
      <c r="A545" s="1" t="str">
        <f>IFERROR(__xludf.DUMMYFUNCTION("""COMPUTED_VALUE"""),"21310")</f>
        <v>21310</v>
      </c>
      <c r="B545" s="2">
        <f>IFERROR(__xludf.DUMMYFUNCTION("""COMPUTED_VALUE"""),21310.0)</f>
        <v>21310</v>
      </c>
      <c r="C545" s="3" t="str">
        <f>IFERROR(__xludf.DUMMYFUNCTION("""COMPUTED_VALUE"""),"MBC BCP รังสิตคลอง8")</f>
        <v>MBC BCP รังสิตคลอง8</v>
      </c>
      <c r="D545" s="3" t="str">
        <f>IFERROR(__xludf.DUMMYFUNCTION("""COMPUTED_VALUE"""),"BCM BCP RANGSIT KLONG 8")</f>
        <v>BCM BCP RANGSIT KLONG 8</v>
      </c>
      <c r="E545" s="1" t="str">
        <f>IFERROR(__xludf.DUMMYFUNCTION("""COMPUTED_VALUE"""),"บิ๊กซี MINI")</f>
        <v>บิ๊กซี MINI</v>
      </c>
      <c r="F545" s="1" t="str">
        <f>IFERROR(__xludf.DUMMYFUNCTION("""COMPUTED_VALUE"""),"2083447")</f>
        <v>2083447</v>
      </c>
      <c r="G545" s="1" t="str">
        <f>IFERROR(__xludf.DUMMYFUNCTION("""COMPUTED_VALUE"""),"นายอนุกูล ศรีลัดดา")</f>
        <v>นายอนุกูล ศรีลัดดา</v>
      </c>
      <c r="H545" s="1" t="str">
        <f>IFERROR(__xludf.DUMMYFUNCTION("""COMPUTED_VALUE"""),"373849")</f>
        <v>373849</v>
      </c>
      <c r="I545" s="1" t="str">
        <f>IFERROR(__xludf.DUMMYFUNCTION("""COMPUTED_VALUE"""),"น.ส.อรอุมา นิ่มวิศิษย์")</f>
        <v>น.ส.อรอุมา นิ่มวิศิษย์</v>
      </c>
      <c r="J545" s="3">
        <f>IFERROR(__xludf.DUMMYFUNCTION("""COMPUTED_VALUE"""),2451655.0)</f>
        <v>2451655</v>
      </c>
      <c r="K545" s="3" t="str">
        <f>IFERROR(__xludf.DUMMYFUNCTION("""COMPUTED_VALUE"""),"นายวิษณุพงษ์ ชินบุตร")</f>
        <v>นายวิษณุพงษ์ ชินบุตร</v>
      </c>
      <c r="L545" s="1" t="str">
        <f>IFERROR(__xludf.DUMMYFUNCTION("""COMPUTED_VALUE"""),"13 K.Wisanupong Ch")</f>
        <v>13 K.Wisanupong Ch</v>
      </c>
      <c r="M545" s="1" t="str">
        <f>IFERROR(__xludf.DUMMYFUNCTION("""COMPUTED_VALUE"""),"0843374693")</f>
        <v>0843374693</v>
      </c>
      <c r="N545" s="3">
        <f>IFERROR(__xludf.DUMMYFUNCTION("""COMPUTED_VALUE"""),21494.0)</f>
        <v>21494</v>
      </c>
      <c r="O545" s="3" t="str">
        <f>IFERROR(__xludf.DUMMYFUNCTION("""COMPUTED_VALUE"""),"MBC บ้านกรด")</f>
        <v>MBC บ้านกรด</v>
      </c>
      <c r="P545" s="4">
        <f>IFERROR(__xludf.DUMMYFUNCTION("""COMPUTED_VALUE"""),41803.0)</f>
        <v>41803</v>
      </c>
      <c r="Q545" s="3" t="str">
        <f>IFERROR(__xludf.DUMMYFUNCTION("""COMPUTED_VALUE"""),"I")</f>
        <v>I</v>
      </c>
      <c r="R545" s="3" t="str">
        <f>IFERROR(__xludf.DUMMYFUNCTION("""COMPUTED_VALUE"""),"Small Format")</f>
        <v>Small Format</v>
      </c>
      <c r="S545" s="3" t="str">
        <f>IFERROR(__xludf.DUMMYFUNCTION("""COMPUTED_VALUE"""),"BCM")</f>
        <v>BCM</v>
      </c>
      <c r="T545" s="3" t="str">
        <f>IFERROR(__xludf.DUMMYFUNCTION("""COMPUTED_VALUE"""),"#N/A")</f>
        <v>#N/A</v>
      </c>
      <c r="U545" s="3" t="str">
        <f>IFERROR(__xludf.DUMMYFUNCTION("""COMPUTED_VALUE"""),"#N/A")</f>
        <v>#N/A</v>
      </c>
      <c r="V545" s="3" t="str">
        <f>IFERROR(__xludf.DUMMYFUNCTION("""COMPUTED_VALUE"""),"N")</f>
        <v>N</v>
      </c>
      <c r="W545" s="3">
        <f>IFERROR(__xludf.DUMMYFUNCTION("""COMPUTED_VALUE"""),361096.0)</f>
        <v>361096</v>
      </c>
      <c r="X545" s="3" t="str">
        <f>IFERROR(__xludf.DUMMYFUNCTION("""COMPUTED_VALUE"""),"25/2 หมู่ 4 ตำบลลำผักกูด อำเภอธัญบุรี จังหวัดปทุมธานี 12110")</f>
        <v>25/2 หมู่ 4 ตำบลลำผักกูด อำเภอธัญบุรี จังหวัดปทุมธานี 12110</v>
      </c>
      <c r="Y545" s="3"/>
      <c r="Z545" s="3" t="str">
        <f>IFERROR(__xludf.DUMMYFUNCTION("""COMPUTED_VALUE"""),"ลำผักกูด")</f>
        <v>ลำผักกูด</v>
      </c>
      <c r="AA545" s="3" t="str">
        <f>IFERROR(__xludf.DUMMYFUNCTION("""COMPUTED_VALUE"""),"ธัญบุรี")</f>
        <v>ธัญบุรี</v>
      </c>
      <c r="AB545" s="3" t="str">
        <f>IFERROR(__xludf.DUMMYFUNCTION("""COMPUTED_VALUE"""),"ปทุมธานี")</f>
        <v>ปทุมธานี</v>
      </c>
      <c r="AC545" s="3">
        <f>IFERROR(__xludf.DUMMYFUNCTION("""COMPUTED_VALUE"""),12110.0)</f>
        <v>12110</v>
      </c>
      <c r="AD545" s="3">
        <f>IFERROR(__xludf.DUMMYFUNCTION("""COMPUTED_VALUE"""),14.04109963)</f>
        <v>14.04109963</v>
      </c>
      <c r="AE545" s="3">
        <f>IFERROR(__xludf.DUMMYFUNCTION("""COMPUTED_VALUE"""),100.7891375)</f>
        <v>100.7891375</v>
      </c>
      <c r="AF545" s="3" t="str">
        <f>IFERROR(__xludf.DUMMYFUNCTION("""COMPUTED_VALUE"""),"MBC BCP รังสิตคลอง8-21310")</f>
        <v>MBC BCP รังสิตคลอง8-21310</v>
      </c>
      <c r="AG545" s="3" t="str">
        <f>IFERROR(__xludf.DUMMYFUNCTION("""COMPUTED_VALUE"""),"กลาง")</f>
        <v>กลาง</v>
      </c>
      <c r="AH545" s="3" t="str">
        <f>IFERROR(__xludf.DUMMYFUNCTION("""COMPUTED_VALUE"""),"#N/A")</f>
        <v>#N/A</v>
      </c>
      <c r="AI545" s="3" t="str">
        <f>IFERROR(__xludf.DUMMYFUNCTION("""COMPUTED_VALUE"""),"Out of warranty")</f>
        <v>Out of warranty</v>
      </c>
      <c r="AJ545" s="3">
        <f>IFERROR(__xludf.DUMMYFUNCTION("""COMPUTED_VALUE"""),140.0)</f>
        <v>140</v>
      </c>
      <c r="AK545" s="3" t="str">
        <f>IFERROR(__xludf.DUMMYFUNCTION("""COMPUTED_VALUE"""),"MMS04")</f>
        <v>MMS04</v>
      </c>
      <c r="AL545" s="3"/>
    </row>
    <row r="546" ht="15.75" customHeight="1">
      <c r="A546" s="1" t="str">
        <f>IFERROR(__xludf.DUMMYFUNCTION("""COMPUTED_VALUE"""),"21311")</f>
        <v>21311</v>
      </c>
      <c r="B546" s="2">
        <f>IFERROR(__xludf.DUMMYFUNCTION("""COMPUTED_VALUE"""),21311.0)</f>
        <v>21311</v>
      </c>
      <c r="C546" s="3" t="str">
        <f>IFERROR(__xludf.DUMMYFUNCTION("""COMPUTED_VALUE"""),"MBC BCP บรมฯ กม.2")</f>
        <v>MBC BCP บรมฯ กม.2</v>
      </c>
      <c r="D546" s="3" t="str">
        <f>IFERROR(__xludf.DUMMYFUNCTION("""COMPUTED_VALUE"""),"MBC BCP BOROM KM 2")</f>
        <v>MBC BCP BOROM KM 2</v>
      </c>
      <c r="E546" s="1" t="str">
        <f>IFERROR(__xludf.DUMMYFUNCTION("""COMPUTED_VALUE"""),"บิ๊กซี MINI")</f>
        <v>บิ๊กซี MINI</v>
      </c>
      <c r="F546" s="1" t="str">
        <f>IFERROR(__xludf.DUMMYFUNCTION("""COMPUTED_VALUE"""),"291008")</f>
        <v>291008</v>
      </c>
      <c r="G546" s="1" t="str">
        <f>IFERROR(__xludf.DUMMYFUNCTION("""COMPUTED_VALUE"""),"น.ส.รัชดาพร อีศรัตน์")</f>
        <v>น.ส.รัชดาพร อีศรัตน์</v>
      </c>
      <c r="H546" s="1" t="str">
        <f>IFERROR(__xludf.DUMMYFUNCTION("""COMPUTED_VALUE"""),"034068")</f>
        <v>034068</v>
      </c>
      <c r="I546" s="1" t="str">
        <f>IFERROR(__xludf.DUMMYFUNCTION("""COMPUTED_VALUE"""),"นายสมศักดิ์ ฐานทองดี")</f>
        <v>นายสมศักดิ์ ฐานทองดี</v>
      </c>
      <c r="J546" s="3">
        <f>IFERROR(__xludf.DUMMYFUNCTION("""COMPUTED_VALUE"""),3510104.0)</f>
        <v>3510104</v>
      </c>
      <c r="K546" s="3" t="str">
        <f>IFERROR(__xludf.DUMMYFUNCTION("""COMPUTED_VALUE"""),"นายวิโรจน์ อับดุลสมัด")</f>
        <v>นายวิโรจน์ อับดุลสมัด</v>
      </c>
      <c r="L546" s="1" t="str">
        <f>IFERROR(__xludf.DUMMYFUNCTION("""COMPUTED_VALUE"""),"09 K.Wirode A")</f>
        <v>09 K.Wirode A</v>
      </c>
      <c r="M546" s="1" t="str">
        <f>IFERROR(__xludf.DUMMYFUNCTION("""COMPUTED_VALUE"""),"080-235-4465")</f>
        <v>080-235-4465</v>
      </c>
      <c r="N546" s="3">
        <f>IFERROR(__xludf.DUMMYFUNCTION("""COMPUTED_VALUE"""),21324.0)</f>
        <v>21324</v>
      </c>
      <c r="O546" s="3" t="str">
        <f>IFERROR(__xludf.DUMMYFUNCTION("""COMPUTED_VALUE"""),"MBC BCP สุวินทวงศ์")</f>
        <v>MBC BCP สุวินทวงศ์</v>
      </c>
      <c r="P546" s="4">
        <f>IFERROR(__xludf.DUMMYFUNCTION("""COMPUTED_VALUE"""),41810.0)</f>
        <v>41810</v>
      </c>
      <c r="Q546" s="3" t="str">
        <f>IFERROR(__xludf.DUMMYFUNCTION("""COMPUTED_VALUE"""),"I")</f>
        <v>I</v>
      </c>
      <c r="R546" s="3" t="str">
        <f>IFERROR(__xludf.DUMMYFUNCTION("""COMPUTED_VALUE"""),"Small Format")</f>
        <v>Small Format</v>
      </c>
      <c r="S546" s="3" t="str">
        <f>IFERROR(__xludf.DUMMYFUNCTION("""COMPUTED_VALUE"""),"BCM")</f>
        <v>BCM</v>
      </c>
      <c r="T546" s="3" t="str">
        <f>IFERROR(__xludf.DUMMYFUNCTION("""COMPUTED_VALUE"""),"#N/A")</f>
        <v>#N/A</v>
      </c>
      <c r="U546" s="3" t="str">
        <f>IFERROR(__xludf.DUMMYFUNCTION("""COMPUTED_VALUE"""),"#N/A")</f>
        <v>#N/A</v>
      </c>
      <c r="V546" s="3" t="str">
        <f>IFERROR(__xludf.DUMMYFUNCTION("""COMPUTED_VALUE"""),"N")</f>
        <v>N</v>
      </c>
      <c r="W546" s="3">
        <f>IFERROR(__xludf.DUMMYFUNCTION("""COMPUTED_VALUE"""),0.0)</f>
        <v>0</v>
      </c>
      <c r="X546" s="3" t="str">
        <f>IFERROR(__xludf.DUMMYFUNCTION("""COMPUTED_VALUE"""),"97 ถนนบรมราชชนนี แขวงอรุณอมรินทร์ เขตบางกอกน้อย กรุงเทพมหานคร 10700")</f>
        <v>97 ถนนบรมราชชนนี แขวงอรุณอมรินทร์ เขตบางกอกน้อย กรุงเทพมหานคร 10700</v>
      </c>
      <c r="Y546" s="3" t="str">
        <f>IFERROR(__xludf.DUMMYFUNCTION("""COMPUTED_VALUE"""),"ถนนบรมราชชนนี")</f>
        <v>ถนนบรมราชชนนี</v>
      </c>
      <c r="Z546" s="3" t="str">
        <f>IFERROR(__xludf.DUMMYFUNCTION("""COMPUTED_VALUE"""),"อรุณอมรินทร์")</f>
        <v>อรุณอมรินทร์</v>
      </c>
      <c r="AA546" s="3" t="str">
        <f>IFERROR(__xludf.DUMMYFUNCTION("""COMPUTED_VALUE"""),"บางกอกน้อย")</f>
        <v>บางกอกน้อย</v>
      </c>
      <c r="AB546" s="3" t="str">
        <f>IFERROR(__xludf.DUMMYFUNCTION("""COMPUTED_VALUE"""),"กรุงเทพมหานคร")</f>
        <v>กรุงเทพมหานคร</v>
      </c>
      <c r="AC546" s="3">
        <f>IFERROR(__xludf.DUMMYFUNCTION("""COMPUTED_VALUE"""),10700.0)</f>
        <v>10700</v>
      </c>
      <c r="AD546" s="3" t="str">
        <f>IFERROR(__xludf.DUMMYFUNCTION("""COMPUTED_VALUE"""),"#N/A")</f>
        <v>#N/A</v>
      </c>
      <c r="AE546" s="3" t="str">
        <f>IFERROR(__xludf.DUMMYFUNCTION("""COMPUTED_VALUE"""),"#N/A")</f>
        <v>#N/A</v>
      </c>
      <c r="AF546" s="3" t="str">
        <f>IFERROR(__xludf.DUMMYFUNCTION("""COMPUTED_VALUE"""),"MBC BCP บรมฯ กม.2-21311")</f>
        <v>MBC BCP บรมฯ กม.2-21311</v>
      </c>
      <c r="AG546" s="3" t="str">
        <f>IFERROR(__xludf.DUMMYFUNCTION("""COMPUTED_VALUE"""),"กลาง")</f>
        <v>กลาง</v>
      </c>
      <c r="AH546" s="3" t="str">
        <f>IFERROR(__xludf.DUMMYFUNCTION("""COMPUTED_VALUE"""),"#N/A")</f>
        <v>#N/A</v>
      </c>
      <c r="AI546" s="3" t="str">
        <f>IFERROR(__xludf.DUMMYFUNCTION("""COMPUTED_VALUE"""),"Out of warranty")</f>
        <v>Out of warranty</v>
      </c>
      <c r="AJ546" s="3">
        <f>IFERROR(__xludf.DUMMYFUNCTION("""COMPUTED_VALUE"""),140.0)</f>
        <v>140</v>
      </c>
      <c r="AK546" s="3"/>
      <c r="AL546" s="3"/>
    </row>
    <row r="547" ht="15.75" customHeight="1">
      <c r="A547" s="1" t="str">
        <f>IFERROR(__xludf.DUMMYFUNCTION("""COMPUTED_VALUE"""),"21312")</f>
        <v>21312</v>
      </c>
      <c r="B547" s="2">
        <f>IFERROR(__xludf.DUMMYFUNCTION("""COMPUTED_VALUE"""),21312.0)</f>
        <v>21312</v>
      </c>
      <c r="C547" s="3" t="str">
        <f>IFERROR(__xludf.DUMMYFUNCTION("""COMPUTED_VALUE"""),"MBC วัดโพธิ์ทอง")</f>
        <v>MBC วัดโพธิ์ทอง</v>
      </c>
      <c r="D547" s="3" t="str">
        <f>IFERROR(__xludf.DUMMYFUNCTION("""COMPUTED_VALUE"""),"BCM WAT PHOTHONG")</f>
        <v>BCM WAT PHOTHONG</v>
      </c>
      <c r="E547" s="1" t="str">
        <f>IFERROR(__xludf.DUMMYFUNCTION("""COMPUTED_VALUE"""),"บิ๊กซี MINI")</f>
        <v>บิ๊กซี MINI</v>
      </c>
      <c r="F547" s="1" t="str">
        <f>IFERROR(__xludf.DUMMYFUNCTION("""COMPUTED_VALUE"""),"291008")</f>
        <v>291008</v>
      </c>
      <c r="G547" s="1" t="str">
        <f>IFERROR(__xludf.DUMMYFUNCTION("""COMPUTED_VALUE"""),"น.ส.รัชดาพร อีศรัตน์")</f>
        <v>น.ส.รัชดาพร อีศรัตน์</v>
      </c>
      <c r="H547" s="1" t="str">
        <f>IFERROR(__xludf.DUMMYFUNCTION("""COMPUTED_VALUE"""),"250921")</f>
        <v>250921</v>
      </c>
      <c r="I547" s="1" t="str">
        <f>IFERROR(__xludf.DUMMYFUNCTION("""COMPUTED_VALUE"""),"นายปรัชญาวัต ถิระสังวร")</f>
        <v>นายปรัชญาวัต ถิระสังวร</v>
      </c>
      <c r="J547" s="3">
        <f>IFERROR(__xludf.DUMMYFUNCTION("""COMPUTED_VALUE"""),2452378.0)</f>
        <v>2452378</v>
      </c>
      <c r="K547" s="3" t="str">
        <f>IFERROR(__xludf.DUMMYFUNCTION("""COMPUTED_VALUE"""),"นายศักดิ์ดา พวงประดับ")</f>
        <v>นายศักดิ์ดา พวงประดับ</v>
      </c>
      <c r="L547" s="3" t="str">
        <f>IFERROR(__xludf.DUMMYFUNCTION("""COMPUTED_VALUE"""),"11 K.Sakda P.")</f>
        <v>11 K.Sakda P.</v>
      </c>
      <c r="M547" s="1" t="str">
        <f>IFERROR(__xludf.DUMMYFUNCTION("""COMPUTED_VALUE"""),"065-929-1279")</f>
        <v>065-929-1279</v>
      </c>
      <c r="N547" s="3">
        <f>IFERROR(__xludf.DUMMYFUNCTION("""COMPUTED_VALUE"""),21002.0)</f>
        <v>21002</v>
      </c>
      <c r="O547" s="3" t="str">
        <f>IFERROR(__xludf.DUMMYFUNCTION("""COMPUTED_VALUE"""),"MBC อุดมสุข")</f>
        <v>MBC อุดมสุข</v>
      </c>
      <c r="P547" s="4">
        <f>IFERROR(__xludf.DUMMYFUNCTION("""COMPUTED_VALUE"""),41813.0)</f>
        <v>41813</v>
      </c>
      <c r="Q547" s="3" t="str">
        <f>IFERROR(__xludf.DUMMYFUNCTION("""COMPUTED_VALUE"""),"A")</f>
        <v>A</v>
      </c>
      <c r="R547" s="3" t="str">
        <f>IFERROR(__xludf.DUMMYFUNCTION("""COMPUTED_VALUE"""),"Small Format")</f>
        <v>Small Format</v>
      </c>
      <c r="S547" s="3" t="str">
        <f>IFERROR(__xludf.DUMMYFUNCTION("""COMPUTED_VALUE"""),"BCM")</f>
        <v>BCM</v>
      </c>
      <c r="T547" s="3" t="str">
        <f>IFERROR(__xludf.DUMMYFUNCTION("""COMPUTED_VALUE"""),"#N/A")</f>
        <v>#N/A</v>
      </c>
      <c r="U547" s="3" t="str">
        <f>IFERROR(__xludf.DUMMYFUNCTION("""COMPUTED_VALUE"""),"#N/A")</f>
        <v>#N/A</v>
      </c>
      <c r="V547" s="3" t="str">
        <f>IFERROR(__xludf.DUMMYFUNCTION("""COMPUTED_VALUE"""),"N")</f>
        <v>N</v>
      </c>
      <c r="W547" s="3">
        <f>IFERROR(__xludf.DUMMYFUNCTION("""COMPUTED_VALUE"""),211295.0)</f>
        <v>211295</v>
      </c>
      <c r="X547" s="3" t="str">
        <f>IFERROR(__xludf.DUMMYFUNCTION("""COMPUTED_VALUE"""),"130/1 ซอยสุขสวัสดิ์ 26 แขวงบางมด เขตจอมทอง กรุงเทพมหานคร 10150")</f>
        <v>130/1 ซอยสุขสวัสดิ์ 26 แขวงบางมด เขตจอมทอง กรุงเทพมหานคร 10150</v>
      </c>
      <c r="Y547" s="3" t="str">
        <f>IFERROR(__xludf.DUMMYFUNCTION("""COMPUTED_VALUE"""),"ซอยสุขสวัสดิ์")</f>
        <v>ซอยสุขสวัสดิ์</v>
      </c>
      <c r="Z547" s="3" t="str">
        <f>IFERROR(__xludf.DUMMYFUNCTION("""COMPUTED_VALUE"""),"บางมด")</f>
        <v>บางมด</v>
      </c>
      <c r="AA547" s="3" t="str">
        <f>IFERROR(__xludf.DUMMYFUNCTION("""COMPUTED_VALUE"""),"จอมทอง")</f>
        <v>จอมทอง</v>
      </c>
      <c r="AB547" s="3" t="str">
        <f>IFERROR(__xludf.DUMMYFUNCTION("""COMPUTED_VALUE"""),"กรุงเทพมหานคร")</f>
        <v>กรุงเทพมหานคร</v>
      </c>
      <c r="AC547" s="3">
        <f>IFERROR(__xludf.DUMMYFUNCTION("""COMPUTED_VALUE"""),10150.0)</f>
        <v>10150</v>
      </c>
      <c r="AD547" s="3">
        <f>IFERROR(__xludf.DUMMYFUNCTION("""COMPUTED_VALUE"""),13.665617)</f>
        <v>13.665617</v>
      </c>
      <c r="AE547" s="3">
        <f>IFERROR(__xludf.DUMMYFUNCTION("""COMPUTED_VALUE"""),100.480047)</f>
        <v>100.480047</v>
      </c>
      <c r="AF547" s="3" t="str">
        <f>IFERROR(__xludf.DUMMYFUNCTION("""COMPUTED_VALUE"""),"MBC วัดโพธิ์ทอง-21312")</f>
        <v>MBC วัดโพธิ์ทอง-21312</v>
      </c>
      <c r="AG547" s="3" t="str">
        <f>IFERROR(__xludf.DUMMYFUNCTION("""COMPUTED_VALUE"""),"กลาง")</f>
        <v>กลาง</v>
      </c>
      <c r="AH547" s="3" t="str">
        <f>IFERROR(__xludf.DUMMYFUNCTION("""COMPUTED_VALUE"""),"#N/A")</f>
        <v>#N/A</v>
      </c>
      <c r="AI547" s="3" t="str">
        <f>IFERROR(__xludf.DUMMYFUNCTION("""COMPUTED_VALUE"""),"Out of warranty")</f>
        <v>Out of warranty</v>
      </c>
      <c r="AJ547" s="3">
        <f>IFERROR(__xludf.DUMMYFUNCTION("""COMPUTED_VALUE"""),139.0)</f>
        <v>139</v>
      </c>
      <c r="AK547" s="3" t="str">
        <f>IFERROR(__xludf.DUMMYFUNCTION("""COMPUTED_VALUE"""),"MMS02")</f>
        <v>MMS02</v>
      </c>
      <c r="AL547" s="3"/>
    </row>
    <row r="548" ht="15.75" customHeight="1">
      <c r="A548" s="1" t="str">
        <f>IFERROR(__xludf.DUMMYFUNCTION("""COMPUTED_VALUE"""),"21313")</f>
        <v>21313</v>
      </c>
      <c r="B548" s="2">
        <f>IFERROR(__xludf.DUMMYFUNCTION("""COMPUTED_VALUE"""),21313.0)</f>
        <v>21313</v>
      </c>
      <c r="C548" s="3" t="str">
        <f>IFERROR(__xludf.DUMMYFUNCTION("""COMPUTED_VALUE"""),"MBC ตลาดท่าข้าม")</f>
        <v>MBC ตลาดท่าข้าม</v>
      </c>
      <c r="D548" s="3" t="str">
        <f>IFERROR(__xludf.DUMMYFUNCTION("""COMPUTED_VALUE"""),"BCM TARAD THAKHAM")</f>
        <v>BCM TARAD THAKHAM</v>
      </c>
      <c r="E548" s="1" t="str">
        <f>IFERROR(__xludf.DUMMYFUNCTION("""COMPUTED_VALUE"""),"บิ๊กซี MINI")</f>
        <v>บิ๊กซี MINI</v>
      </c>
      <c r="F548" s="1" t="str">
        <f>IFERROR(__xludf.DUMMYFUNCTION("""COMPUTED_VALUE"""),"296229")</f>
        <v>296229</v>
      </c>
      <c r="G548" s="1" t="str">
        <f>IFERROR(__xludf.DUMMYFUNCTION("""COMPUTED_VALUE"""),"นายทนงศักดิ์ บุญมา")</f>
        <v>นายทนงศักดิ์ บุญมา</v>
      </c>
      <c r="H548" s="1" t="str">
        <f>IFERROR(__xludf.DUMMYFUNCTION("""COMPUTED_VALUE"""),"318186")</f>
        <v>318186</v>
      </c>
      <c r="I548" s="1" t="str">
        <f>IFERROR(__xludf.DUMMYFUNCTION("""COMPUTED_VALUE"""),"น.ส.พนมวัลย์ เรืองรัตน์")</f>
        <v>น.ส.พนมวัลย์ เรืองรัตน์</v>
      </c>
      <c r="J548" s="3">
        <f>IFERROR(__xludf.DUMMYFUNCTION("""COMPUTED_VALUE"""),46214.0)</f>
        <v>46214</v>
      </c>
      <c r="K548" s="3" t="str">
        <f>IFERROR(__xludf.DUMMYFUNCTION("""COMPUTED_VALUE"""),"นายศักดิ์ชัย เด็ดดอกฟ้า")</f>
        <v>นายศักดิ์ชัย เด็ดดอกฟ้า</v>
      </c>
      <c r="L548" s="1" t="str">
        <f>IFERROR(__xludf.DUMMYFUNCTION("""COMPUTED_VALUE"""),"02 K.Sakchai D")</f>
        <v>02 K.Sakchai D</v>
      </c>
      <c r="M548" s="1" t="str">
        <f>IFERROR(__xludf.DUMMYFUNCTION("""COMPUTED_VALUE"""),"065-510-7376")</f>
        <v>065-510-7376</v>
      </c>
      <c r="N548" s="3">
        <f>IFERROR(__xludf.DUMMYFUNCTION("""COMPUTED_VALUE"""),21714.0)</f>
        <v>21714</v>
      </c>
      <c r="O548" s="3" t="str">
        <f>IFERROR(__xludf.DUMMYFUNCTION("""COMPUTED_VALUE"""),"MBC เอสโซ่ วัดโบสถ์")</f>
        <v>MBC เอสโซ่ วัดโบสถ์</v>
      </c>
      <c r="P548" s="4">
        <f>IFERROR(__xludf.DUMMYFUNCTION("""COMPUTED_VALUE"""),41813.0)</f>
        <v>41813</v>
      </c>
      <c r="Q548" s="3" t="str">
        <f>IFERROR(__xludf.DUMMYFUNCTION("""COMPUTED_VALUE"""),"A")</f>
        <v>A</v>
      </c>
      <c r="R548" s="3" t="str">
        <f>IFERROR(__xludf.DUMMYFUNCTION("""COMPUTED_VALUE"""),"Small Format")</f>
        <v>Small Format</v>
      </c>
      <c r="S548" s="3" t="str">
        <f>IFERROR(__xludf.DUMMYFUNCTION("""COMPUTED_VALUE"""),"BCM")</f>
        <v>BCM</v>
      </c>
      <c r="T548" s="3" t="str">
        <f>IFERROR(__xludf.DUMMYFUNCTION("""COMPUTED_VALUE"""),"#N/A")</f>
        <v>#N/A</v>
      </c>
      <c r="U548" s="3" t="str">
        <f>IFERROR(__xludf.DUMMYFUNCTION("""COMPUTED_VALUE"""),"#N/A")</f>
        <v>#N/A</v>
      </c>
      <c r="V548" s="3" t="str">
        <f>IFERROR(__xludf.DUMMYFUNCTION("""COMPUTED_VALUE"""),"N")</f>
        <v>N</v>
      </c>
      <c r="W548" s="3">
        <f>IFERROR(__xludf.DUMMYFUNCTION("""COMPUTED_VALUE"""),211256.0)</f>
        <v>211256</v>
      </c>
      <c r="X548" s="3" t="str">
        <f>IFERROR(__xludf.DUMMYFUNCTION("""COMPUTED_VALUE"""),"1/3 หมู่ 5 ตำบลโพสังโฆ อำเภอค่ายบางระจัน จังหวัดสิงห์บุรี 16150")</f>
        <v>1/3 หมู่ 5 ตำบลโพสังโฆ อำเภอค่ายบางระจัน จังหวัดสิงห์บุรี 16150</v>
      </c>
      <c r="Y548" s="3"/>
      <c r="Z548" s="3" t="str">
        <f>IFERROR(__xludf.DUMMYFUNCTION("""COMPUTED_VALUE"""),"โพสังโฆ")</f>
        <v>โพสังโฆ</v>
      </c>
      <c r="AA548" s="3" t="str">
        <f>IFERROR(__xludf.DUMMYFUNCTION("""COMPUTED_VALUE"""),"ค่ายบางระจัน")</f>
        <v>ค่ายบางระจัน</v>
      </c>
      <c r="AB548" s="3" t="str">
        <f>IFERROR(__xludf.DUMMYFUNCTION("""COMPUTED_VALUE"""),"สิงห์บุรี")</f>
        <v>สิงห์บุรี</v>
      </c>
      <c r="AC548" s="3">
        <f>IFERROR(__xludf.DUMMYFUNCTION("""COMPUTED_VALUE"""),16150.0)</f>
        <v>16150</v>
      </c>
      <c r="AD548" s="3">
        <f>IFERROR(__xludf.DUMMYFUNCTION("""COMPUTED_VALUE"""),14.814018)</f>
        <v>14.814018</v>
      </c>
      <c r="AE548" s="3">
        <f>IFERROR(__xludf.DUMMYFUNCTION("""COMPUTED_VALUE"""),100.362973)</f>
        <v>100.362973</v>
      </c>
      <c r="AF548" s="3" t="str">
        <f>IFERROR(__xludf.DUMMYFUNCTION("""COMPUTED_VALUE"""),"MBC ตลาดท่าข้าม-21313")</f>
        <v>MBC ตลาดท่าข้าม-21313</v>
      </c>
      <c r="AG548" s="3" t="str">
        <f>IFERROR(__xludf.DUMMYFUNCTION("""COMPUTED_VALUE"""),"กลาง")</f>
        <v>กลาง</v>
      </c>
      <c r="AH548" s="3" t="str">
        <f>IFERROR(__xludf.DUMMYFUNCTION("""COMPUTED_VALUE"""),"#N/A")</f>
        <v>#N/A</v>
      </c>
      <c r="AI548" s="3" t="str">
        <f>IFERROR(__xludf.DUMMYFUNCTION("""COMPUTED_VALUE"""),"Out of warranty")</f>
        <v>Out of warranty</v>
      </c>
      <c r="AJ548" s="3">
        <f>IFERROR(__xludf.DUMMYFUNCTION("""COMPUTED_VALUE"""),139.0)</f>
        <v>139</v>
      </c>
      <c r="AK548" s="3"/>
      <c r="AL548" s="3"/>
    </row>
    <row r="549" ht="15.75" customHeight="1">
      <c r="A549" s="1" t="str">
        <f>IFERROR(__xludf.DUMMYFUNCTION("""COMPUTED_VALUE"""),"21314")</f>
        <v>21314</v>
      </c>
      <c r="B549" s="2">
        <f>IFERROR(__xludf.DUMMYFUNCTION("""COMPUTED_VALUE"""),21314.0)</f>
        <v>21314</v>
      </c>
      <c r="C549" s="3" t="str">
        <f>IFERROR(__xludf.DUMMYFUNCTION("""COMPUTED_VALUE"""),"MBC เอื้อบางขุนเทียน")</f>
        <v>MBC เอื้อบางขุนเทียน</v>
      </c>
      <c r="D549" s="3" t="str">
        <f>IFERROR(__xludf.DUMMYFUNCTION("""COMPUTED_VALUE"""),"BCM UR BANGKHUNTHIAN")</f>
        <v>BCM UR BANGKHUNTHIAN</v>
      </c>
      <c r="E549" s="1" t="str">
        <f>IFERROR(__xludf.DUMMYFUNCTION("""COMPUTED_VALUE"""),"บิ๊กซี MINI")</f>
        <v>บิ๊กซี MINI</v>
      </c>
      <c r="F549" s="1" t="str">
        <f>IFERROR(__xludf.DUMMYFUNCTION("""COMPUTED_VALUE"""),"291008")</f>
        <v>291008</v>
      </c>
      <c r="G549" s="1" t="str">
        <f>IFERROR(__xludf.DUMMYFUNCTION("""COMPUTED_VALUE"""),"น.ส.รัชดาพร อีศรัตน์")</f>
        <v>น.ส.รัชดาพร อีศรัตน์</v>
      </c>
      <c r="H549" s="1" t="str">
        <f>IFERROR(__xludf.DUMMYFUNCTION("""COMPUTED_VALUE"""),"254800")</f>
        <v>254800</v>
      </c>
      <c r="I549" s="1" t="str">
        <f>IFERROR(__xludf.DUMMYFUNCTION("""COMPUTED_VALUE"""),"น.ส.นัชมล กางกรณ์")</f>
        <v>น.ส.นัชมล กางกรณ์</v>
      </c>
      <c r="J549" s="3">
        <f>IFERROR(__xludf.DUMMYFUNCTION("""COMPUTED_VALUE"""),296608.0)</f>
        <v>296608</v>
      </c>
      <c r="K549" s="3" t="str">
        <f>IFERROR(__xludf.DUMMYFUNCTION("""COMPUTED_VALUE"""),"นายภาคภูมิ เพ็ชรนิล")</f>
        <v>นายภาคภูมิ เพ็ชรนิล</v>
      </c>
      <c r="L549" s="1" t="str">
        <f>IFERROR(__xludf.DUMMYFUNCTION("""COMPUTED_VALUE"""),"10 K.Phakphoom P.")</f>
        <v>10 K.Phakphoom P.</v>
      </c>
      <c r="M549" s="1" t="str">
        <f>IFERROR(__xludf.DUMMYFUNCTION("""COMPUTED_VALUE"""),"063-8955329")</f>
        <v>063-8955329</v>
      </c>
      <c r="N549" s="3">
        <f>IFERROR(__xludf.DUMMYFUNCTION("""COMPUTED_VALUE"""),22584.0)</f>
        <v>22584</v>
      </c>
      <c r="O549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549" s="4">
        <f>IFERROR(__xludf.DUMMYFUNCTION("""COMPUTED_VALUE"""),41814.0)</f>
        <v>41814</v>
      </c>
      <c r="Q549" s="3" t="str">
        <f>IFERROR(__xludf.DUMMYFUNCTION("""COMPUTED_VALUE"""),"A")</f>
        <v>A</v>
      </c>
      <c r="R549" s="3" t="str">
        <f>IFERROR(__xludf.DUMMYFUNCTION("""COMPUTED_VALUE"""),"Small Format")</f>
        <v>Small Format</v>
      </c>
      <c r="S549" s="3" t="str">
        <f>IFERROR(__xludf.DUMMYFUNCTION("""COMPUTED_VALUE"""),"BCM")</f>
        <v>BCM</v>
      </c>
      <c r="T549" s="3" t="str">
        <f>IFERROR(__xludf.DUMMYFUNCTION("""COMPUTED_VALUE"""),"#N/A")</f>
        <v>#N/A</v>
      </c>
      <c r="U549" s="3" t="str">
        <f>IFERROR(__xludf.DUMMYFUNCTION("""COMPUTED_VALUE"""),"#N/A")</f>
        <v>#N/A</v>
      </c>
      <c r="V549" s="3" t="str">
        <f>IFERROR(__xludf.DUMMYFUNCTION("""COMPUTED_VALUE"""),"N")</f>
        <v>N</v>
      </c>
      <c r="W549" s="3">
        <f>IFERROR(__xludf.DUMMYFUNCTION("""COMPUTED_VALUE"""),211318.0)</f>
        <v>211318</v>
      </c>
      <c r="X549" s="3" t="str">
        <f>IFERROR(__xludf.DUMMYFUNCTION("""COMPUTED_VALUE"""),"13/2 ซอยอนามัยงามเจริญ 31 แขวงท่าข้าม เขตบางขุนเทียน กรุงเทพมหานคร 10150")</f>
        <v>13/2 ซอยอนามัยงามเจริญ 31 แขวงท่าข้าม เขตบางขุนเทียน กรุงเทพมหานคร 10150</v>
      </c>
      <c r="Y549" s="3" t="str">
        <f>IFERROR(__xludf.DUMMYFUNCTION("""COMPUTED_VALUE"""),"ซอยอนามัยงามเจริญ")</f>
        <v>ซอยอนามัยงามเจริญ</v>
      </c>
      <c r="Z549" s="3" t="str">
        <f>IFERROR(__xludf.DUMMYFUNCTION("""COMPUTED_VALUE"""),"ท่าข้าม")</f>
        <v>ท่าข้าม</v>
      </c>
      <c r="AA549" s="3" t="str">
        <f>IFERROR(__xludf.DUMMYFUNCTION("""COMPUTED_VALUE"""),"บางขุนเทียน")</f>
        <v>บางขุนเทียน</v>
      </c>
      <c r="AB549" s="3" t="str">
        <f>IFERROR(__xludf.DUMMYFUNCTION("""COMPUTED_VALUE"""),"กรุงเทพมหานคร")</f>
        <v>กรุงเทพมหานคร</v>
      </c>
      <c r="AC549" s="3">
        <f>IFERROR(__xludf.DUMMYFUNCTION("""COMPUTED_VALUE"""),10150.0)</f>
        <v>10150</v>
      </c>
      <c r="AD549" s="3">
        <f>IFERROR(__xludf.DUMMYFUNCTION("""COMPUTED_VALUE"""),13.641225)</f>
        <v>13.641225</v>
      </c>
      <c r="AE549" s="3">
        <f>IFERROR(__xludf.DUMMYFUNCTION("""COMPUTED_VALUE"""),100.461111)</f>
        <v>100.461111</v>
      </c>
      <c r="AF549" s="3" t="str">
        <f>IFERROR(__xludf.DUMMYFUNCTION("""COMPUTED_VALUE"""),"MBC เอื้อบางขุนเทียน-21314")</f>
        <v>MBC เอื้อบางขุนเทียน-21314</v>
      </c>
      <c r="AG549" s="3" t="str">
        <f>IFERROR(__xludf.DUMMYFUNCTION("""COMPUTED_VALUE"""),"กลาง")</f>
        <v>กลาง</v>
      </c>
      <c r="AH549" s="3" t="str">
        <f>IFERROR(__xludf.DUMMYFUNCTION("""COMPUTED_VALUE"""),"#N/A")</f>
        <v>#N/A</v>
      </c>
      <c r="AI549" s="3" t="str">
        <f>IFERROR(__xludf.DUMMYFUNCTION("""COMPUTED_VALUE"""),"Out of warranty")</f>
        <v>Out of warranty</v>
      </c>
      <c r="AJ549" s="3">
        <f>IFERROR(__xludf.DUMMYFUNCTION("""COMPUTED_VALUE"""),139.0)</f>
        <v>139</v>
      </c>
      <c r="AK549" s="3" t="str">
        <f>IFERROR(__xludf.DUMMYFUNCTION("""COMPUTED_VALUE"""),"MMS02")</f>
        <v>MMS02</v>
      </c>
      <c r="AL549" s="3"/>
    </row>
    <row r="550" ht="15.75" customHeight="1">
      <c r="A550" s="1" t="str">
        <f>IFERROR(__xludf.DUMMYFUNCTION("""COMPUTED_VALUE"""),"21315")</f>
        <v>21315</v>
      </c>
      <c r="B550" s="2">
        <f>IFERROR(__xludf.DUMMYFUNCTION("""COMPUTED_VALUE"""),21315.0)</f>
        <v>21315</v>
      </c>
      <c r="C550" s="3" t="str">
        <f>IFERROR(__xludf.DUMMYFUNCTION("""COMPUTED_VALUE"""),"MBC โคกตูม")</f>
        <v>MBC โคกตูม</v>
      </c>
      <c r="D550" s="3" t="str">
        <f>IFERROR(__xludf.DUMMYFUNCTION("""COMPUTED_VALUE"""),"BCM KHOKTOOM")</f>
        <v>BCM KHOKTOOM</v>
      </c>
      <c r="E550" s="1" t="str">
        <f>IFERROR(__xludf.DUMMYFUNCTION("""COMPUTED_VALUE"""),"บิ๊กซี MINI")</f>
        <v>บิ๊กซี MINI</v>
      </c>
      <c r="F550" s="1" t="str">
        <f>IFERROR(__xludf.DUMMYFUNCTION("""COMPUTED_VALUE"""),"296229")</f>
        <v>296229</v>
      </c>
      <c r="G550" s="1" t="str">
        <f>IFERROR(__xludf.DUMMYFUNCTION("""COMPUTED_VALUE"""),"นายทนงศักดิ์ บุญมา")</f>
        <v>นายทนงศักดิ์ บุญมา</v>
      </c>
      <c r="H550" s="1" t="str">
        <f>IFERROR(__xludf.DUMMYFUNCTION("""COMPUTED_VALUE"""),"291082")</f>
        <v>291082</v>
      </c>
      <c r="I550" s="1" t="str">
        <f>IFERROR(__xludf.DUMMYFUNCTION("""COMPUTED_VALUE"""),"น.ส.วจี กันเกตุ")</f>
        <v>น.ส.วจี กันเกตุ</v>
      </c>
      <c r="J550" s="3">
        <f>IFERROR(__xludf.DUMMYFUNCTION("""COMPUTED_VALUE"""),46214.0)</f>
        <v>46214</v>
      </c>
      <c r="K550" s="3" t="str">
        <f>IFERROR(__xludf.DUMMYFUNCTION("""COMPUTED_VALUE"""),"นายศักดิ์ชัย เด็ดดอกฟ้า")</f>
        <v>นายศักดิ์ชัย เด็ดดอกฟ้า</v>
      </c>
      <c r="L550" s="1" t="str">
        <f>IFERROR(__xludf.DUMMYFUNCTION("""COMPUTED_VALUE"""),"02 K.Sakchai D")</f>
        <v>02 K.Sakchai D</v>
      </c>
      <c r="M550" s="1" t="str">
        <f>IFERROR(__xludf.DUMMYFUNCTION("""COMPUTED_VALUE"""),"065-510-7376")</f>
        <v>065-510-7376</v>
      </c>
      <c r="N550" s="3">
        <f>IFERROR(__xludf.DUMMYFUNCTION("""COMPUTED_VALUE"""),21714.0)</f>
        <v>21714</v>
      </c>
      <c r="O550" s="3" t="str">
        <f>IFERROR(__xludf.DUMMYFUNCTION("""COMPUTED_VALUE"""),"MBC เอสโซ่ วัดโบสถ์")</f>
        <v>MBC เอสโซ่ วัดโบสถ์</v>
      </c>
      <c r="P550" s="4">
        <f>IFERROR(__xludf.DUMMYFUNCTION("""COMPUTED_VALUE"""),41814.0)</f>
        <v>41814</v>
      </c>
      <c r="Q550" s="3" t="str">
        <f>IFERROR(__xludf.DUMMYFUNCTION("""COMPUTED_VALUE"""),"A")</f>
        <v>A</v>
      </c>
      <c r="R550" s="3" t="str">
        <f>IFERROR(__xludf.DUMMYFUNCTION("""COMPUTED_VALUE"""),"Small Format")</f>
        <v>Small Format</v>
      </c>
      <c r="S550" s="3" t="str">
        <f>IFERROR(__xludf.DUMMYFUNCTION("""COMPUTED_VALUE"""),"BCM")</f>
        <v>BCM</v>
      </c>
      <c r="T550" s="3" t="str">
        <f>IFERROR(__xludf.DUMMYFUNCTION("""COMPUTED_VALUE"""),"#N/A")</f>
        <v>#N/A</v>
      </c>
      <c r="U550" s="3" t="str">
        <f>IFERROR(__xludf.DUMMYFUNCTION("""COMPUTED_VALUE"""),"#N/A")</f>
        <v>#N/A</v>
      </c>
      <c r="V550" s="3" t="str">
        <f>IFERROR(__xludf.DUMMYFUNCTION("""COMPUTED_VALUE"""),"N")</f>
        <v>N</v>
      </c>
      <c r="W550" s="3">
        <f>IFERROR(__xludf.DUMMYFUNCTION("""COMPUTED_VALUE"""),211301.0)</f>
        <v>211301</v>
      </c>
      <c r="X550" s="3" t="str">
        <f>IFERROR(__xludf.DUMMYFUNCTION("""COMPUTED_VALUE"""),"289/2 หมู่ 2 ตำบลโคกตูม อำเภอเมืองลพบุรี จังหวัดลพบุรี 15210")</f>
        <v>289/2 หมู่ 2 ตำบลโคกตูม อำเภอเมืองลพบุรี จังหวัดลพบุรี 15210</v>
      </c>
      <c r="Y550" s="3"/>
      <c r="Z550" s="3" t="str">
        <f>IFERROR(__xludf.DUMMYFUNCTION("""COMPUTED_VALUE"""),"โคกตูม")</f>
        <v>โคกตูม</v>
      </c>
      <c r="AA550" s="3" t="str">
        <f>IFERROR(__xludf.DUMMYFUNCTION("""COMPUTED_VALUE"""),"เมือง")</f>
        <v>เมือง</v>
      </c>
      <c r="AB550" s="3" t="str">
        <f>IFERROR(__xludf.DUMMYFUNCTION("""COMPUTED_VALUE"""),"ลพบุรี")</f>
        <v>ลพบุรี</v>
      </c>
      <c r="AC550" s="3">
        <f>IFERROR(__xludf.DUMMYFUNCTION("""COMPUTED_VALUE"""),15210.0)</f>
        <v>15210</v>
      </c>
      <c r="AD550" s="3">
        <f>IFERROR(__xludf.DUMMYFUNCTION("""COMPUTED_VALUE"""),14.815686)</f>
        <v>14.815686</v>
      </c>
      <c r="AE550" s="3">
        <f>IFERROR(__xludf.DUMMYFUNCTION("""COMPUTED_VALUE"""),100.801678)</f>
        <v>100.801678</v>
      </c>
      <c r="AF550" s="3" t="str">
        <f>IFERROR(__xludf.DUMMYFUNCTION("""COMPUTED_VALUE"""),"MBC โคกตูม-21315")</f>
        <v>MBC โคกตูม-21315</v>
      </c>
      <c r="AG550" s="3" t="str">
        <f>IFERROR(__xludf.DUMMYFUNCTION("""COMPUTED_VALUE"""),"กลาง")</f>
        <v>กลาง</v>
      </c>
      <c r="AH550" s="3" t="str">
        <f>IFERROR(__xludf.DUMMYFUNCTION("""COMPUTED_VALUE"""),"#N/A")</f>
        <v>#N/A</v>
      </c>
      <c r="AI550" s="3" t="str">
        <f>IFERROR(__xludf.DUMMYFUNCTION("""COMPUTED_VALUE"""),"Out of warranty")</f>
        <v>Out of warranty</v>
      </c>
      <c r="AJ550" s="3">
        <f>IFERROR(__xludf.DUMMYFUNCTION("""COMPUTED_VALUE"""),139.0)</f>
        <v>139</v>
      </c>
      <c r="AK550" s="3" t="str">
        <f>IFERROR(__xludf.DUMMYFUNCTION("""COMPUTED_VALUE"""),"MMS09")</f>
        <v>MMS09</v>
      </c>
      <c r="AL550" s="3"/>
    </row>
    <row r="551" ht="15.75" customHeight="1">
      <c r="A551" s="1" t="str">
        <f>IFERROR(__xludf.DUMMYFUNCTION("""COMPUTED_VALUE"""),"21316")</f>
        <v>21316</v>
      </c>
      <c r="B551" s="2">
        <f>IFERROR(__xludf.DUMMYFUNCTION("""COMPUTED_VALUE"""),21316.0)</f>
        <v>21316</v>
      </c>
      <c r="C551" s="3" t="str">
        <f>IFERROR(__xludf.DUMMYFUNCTION("""COMPUTED_VALUE"""),"MBC BCP สรรพาวุธ")</f>
        <v>MBC BCP สรรพาวุธ</v>
      </c>
      <c r="D551" s="3" t="str">
        <f>IFERROR(__xludf.DUMMYFUNCTION("""COMPUTED_VALUE"""),"BCM BCP SANPAWUT")</f>
        <v>BCM BCP SANPAWUT</v>
      </c>
      <c r="E551" s="1" t="str">
        <f>IFERROR(__xludf.DUMMYFUNCTION("""COMPUTED_VALUE"""),"บิ๊กซี MINI")</f>
        <v>บิ๊กซี MINI</v>
      </c>
      <c r="F551" s="1" t="str">
        <f>IFERROR(__xludf.DUMMYFUNCTION("""COMPUTED_VALUE"""),"291008")</f>
        <v>291008</v>
      </c>
      <c r="G551" s="1" t="str">
        <f>IFERROR(__xludf.DUMMYFUNCTION("""COMPUTED_VALUE"""),"น.ส.รัชดาพร อีศรัตน์")</f>
        <v>น.ส.รัชดาพร อีศรัตน์</v>
      </c>
      <c r="H551" s="1" t="str">
        <f>IFERROR(__xludf.DUMMYFUNCTION("""COMPUTED_VALUE"""),"034068")</f>
        <v>034068</v>
      </c>
      <c r="I551" s="1" t="str">
        <f>IFERROR(__xludf.DUMMYFUNCTION("""COMPUTED_VALUE"""),"นายสมศักดิ์ ฐานทองดี")</f>
        <v>นายสมศักดิ์ ฐานทองดี</v>
      </c>
      <c r="J551" s="3">
        <f>IFERROR(__xludf.DUMMYFUNCTION("""COMPUTED_VALUE"""),296728.0)</f>
        <v>296728</v>
      </c>
      <c r="K551" s="3" t="str">
        <f>IFERROR(__xludf.DUMMYFUNCTION("""COMPUTED_VALUE"""),"นายธิติ บัวทองรังสิมา")</f>
        <v>นายธิติ บัวทองรังสิมา</v>
      </c>
      <c r="L551" s="1" t="str">
        <f>IFERROR(__xludf.DUMMYFUNCTION("""COMPUTED_VALUE"""),"นายธิติ บัวทองรังสิมา")</f>
        <v>นายธิติ บัวทองรังสิมา</v>
      </c>
      <c r="M551" s="1" t="str">
        <f>IFERROR(__xludf.DUMMYFUNCTION("""COMPUTED_VALUE"""),"0920849994")</f>
        <v>0920849994</v>
      </c>
      <c r="N551" s="3">
        <f>IFERROR(__xludf.DUMMYFUNCTION("""COMPUTED_VALUE"""),21012.0)</f>
        <v>21012</v>
      </c>
      <c r="O551" s="3" t="str">
        <f>IFERROR(__xludf.DUMMYFUNCTION("""COMPUTED_VALUE"""),"MBC ท่าอิฐ")</f>
        <v>MBC ท่าอิฐ</v>
      </c>
      <c r="P551" s="4">
        <f>IFERROR(__xludf.DUMMYFUNCTION("""COMPUTED_VALUE"""),41817.0)</f>
        <v>41817</v>
      </c>
      <c r="Q551" s="3" t="str">
        <f>IFERROR(__xludf.DUMMYFUNCTION("""COMPUTED_VALUE"""),"I")</f>
        <v>I</v>
      </c>
      <c r="R551" s="3" t="str">
        <f>IFERROR(__xludf.DUMMYFUNCTION("""COMPUTED_VALUE"""),"Small Format")</f>
        <v>Small Format</v>
      </c>
      <c r="S551" s="3" t="str">
        <f>IFERROR(__xludf.DUMMYFUNCTION("""COMPUTED_VALUE"""),"BCM")</f>
        <v>BCM</v>
      </c>
      <c r="T551" s="3" t="str">
        <f>IFERROR(__xludf.DUMMYFUNCTION("""COMPUTED_VALUE"""),"#N/A")</f>
        <v>#N/A</v>
      </c>
      <c r="U551" s="3" t="str">
        <f>IFERROR(__xludf.DUMMYFUNCTION("""COMPUTED_VALUE"""),"#N/A")</f>
        <v>#N/A</v>
      </c>
      <c r="V551" s="3" t="str">
        <f>IFERROR(__xludf.DUMMYFUNCTION("""COMPUTED_VALUE"""),"N")</f>
        <v>N</v>
      </c>
      <c r="W551" s="3">
        <f>IFERROR(__xludf.DUMMYFUNCTION("""COMPUTED_VALUE"""),361047.0)</f>
        <v>361047</v>
      </c>
      <c r="X551" s="3" t="str">
        <f>IFERROR(__xludf.DUMMYFUNCTION("""COMPUTED_VALUE"""),"801 ถนนริมทางรถไฟเก่า แขวงบางนา เขตบางนา กรุงเทพมหานคร 10260")</f>
        <v>801 ถนนริมทางรถไฟเก่า แขวงบางนา เขตบางนา กรุงเทพมหานคร 10260</v>
      </c>
      <c r="Y551" s="3" t="str">
        <f>IFERROR(__xludf.DUMMYFUNCTION("""COMPUTED_VALUE"""),"ถนนริมทางรถไฟเก่า")</f>
        <v>ถนนริมทางรถไฟเก่า</v>
      </c>
      <c r="Z551" s="3" t="str">
        <f>IFERROR(__xludf.DUMMYFUNCTION("""COMPUTED_VALUE"""),"บางนา")</f>
        <v>บางนา</v>
      </c>
      <c r="AA551" s="3" t="str">
        <f>IFERROR(__xludf.DUMMYFUNCTION("""COMPUTED_VALUE"""),"บางนา")</f>
        <v>บางนา</v>
      </c>
      <c r="AB551" s="3" t="str">
        <f>IFERROR(__xludf.DUMMYFUNCTION("""COMPUTED_VALUE"""),"กรุงเทพมหานคร")</f>
        <v>กรุงเทพมหานคร</v>
      </c>
      <c r="AC551" s="3">
        <f>IFERROR(__xludf.DUMMYFUNCTION("""COMPUTED_VALUE"""),10260.0)</f>
        <v>10260</v>
      </c>
      <c r="AD551" s="3">
        <f>IFERROR(__xludf.DUMMYFUNCTION("""COMPUTED_VALUE"""),13.66706721)</f>
        <v>13.66706721</v>
      </c>
      <c r="AE551" s="3">
        <f>IFERROR(__xludf.DUMMYFUNCTION("""COMPUTED_VALUE"""),100.5920112)</f>
        <v>100.5920112</v>
      </c>
      <c r="AF551" s="3" t="str">
        <f>IFERROR(__xludf.DUMMYFUNCTION("""COMPUTED_VALUE"""),"MBC BCP สรรพาวุธ-21316")</f>
        <v>MBC BCP สรรพาวุธ-21316</v>
      </c>
      <c r="AG551" s="3" t="str">
        <f>IFERROR(__xludf.DUMMYFUNCTION("""COMPUTED_VALUE"""),"กลาง")</f>
        <v>กลาง</v>
      </c>
      <c r="AH551" s="3" t="str">
        <f>IFERROR(__xludf.DUMMYFUNCTION("""COMPUTED_VALUE"""),"#N/A")</f>
        <v>#N/A</v>
      </c>
      <c r="AI551" s="3" t="str">
        <f>IFERROR(__xludf.DUMMYFUNCTION("""COMPUTED_VALUE"""),"Out of warranty")</f>
        <v>Out of warranty</v>
      </c>
      <c r="AJ551" s="3">
        <f>IFERROR(__xludf.DUMMYFUNCTION("""COMPUTED_VALUE"""),139.0)</f>
        <v>139</v>
      </c>
      <c r="AK551" s="3" t="str">
        <f>IFERROR(__xludf.DUMMYFUNCTION("""COMPUTED_VALUE"""),"MMS02")</f>
        <v>MMS02</v>
      </c>
      <c r="AL551" s="3"/>
    </row>
    <row r="552" ht="15.75" customHeight="1">
      <c r="A552" s="1" t="str">
        <f>IFERROR(__xludf.DUMMYFUNCTION("""COMPUTED_VALUE"""),"21317")</f>
        <v>21317</v>
      </c>
      <c r="B552" s="2">
        <f>IFERROR(__xludf.DUMMYFUNCTION("""COMPUTED_VALUE"""),21317.0)</f>
        <v>21317</v>
      </c>
      <c r="C552" s="3" t="str">
        <f>IFERROR(__xludf.DUMMYFUNCTION("""COMPUTED_VALUE"""),"MBC คูขวาง 6")</f>
        <v>MBC คูขวาง 6</v>
      </c>
      <c r="D552" s="3" t="str">
        <f>IFERROR(__xludf.DUMMYFUNCTION("""COMPUTED_VALUE"""),"BCM KUKHWANG 6")</f>
        <v>BCM KUKHWANG 6</v>
      </c>
      <c r="E552" s="1" t="str">
        <f>IFERROR(__xludf.DUMMYFUNCTION("""COMPUTED_VALUE"""),"บิ๊กซี MINI")</f>
        <v>บิ๊กซี MINI</v>
      </c>
      <c r="F552" s="1" t="str">
        <f>IFERROR(__xludf.DUMMYFUNCTION("""COMPUTED_VALUE"""),"2083447")</f>
        <v>2083447</v>
      </c>
      <c r="G552" s="1" t="str">
        <f>IFERROR(__xludf.DUMMYFUNCTION("""COMPUTED_VALUE"""),"นายอนุกูล ศรีลัดดา")</f>
        <v>นายอนุกูล ศรีลัดดา</v>
      </c>
      <c r="H552" s="1" t="str">
        <f>IFERROR(__xludf.DUMMYFUNCTION("""COMPUTED_VALUE"""),"373849")</f>
        <v>373849</v>
      </c>
      <c r="I552" s="1" t="str">
        <f>IFERROR(__xludf.DUMMYFUNCTION("""COMPUTED_VALUE"""),"น.ส.อรอุมา นิ่มวิศิษย์")</f>
        <v>น.ส.อรอุมา นิ่มวิศิษย์</v>
      </c>
      <c r="J552" s="3">
        <f>IFERROR(__xludf.DUMMYFUNCTION("""COMPUTED_VALUE"""),510143.0)</f>
        <v>510143</v>
      </c>
      <c r="K552" s="3" t="str">
        <f>IFERROR(__xludf.DUMMYFUNCTION("""COMPUTED_VALUE"""),"นายธีระวัฒน์ บุญสิทธิ์")</f>
        <v>นายธีระวัฒน์ บุญสิทธิ์</v>
      </c>
      <c r="L552" s="1" t="str">
        <f>IFERROR(__xludf.DUMMYFUNCTION("""COMPUTED_VALUE"""),"12 K.Theerawat B.")</f>
        <v>12 K.Theerawat B.</v>
      </c>
      <c r="M552" s="1" t="str">
        <f>IFERROR(__xludf.DUMMYFUNCTION("""COMPUTED_VALUE"""),"0655107379")</f>
        <v>0655107379</v>
      </c>
      <c r="N552" s="3">
        <f>IFERROR(__xludf.DUMMYFUNCTION("""COMPUTED_VALUE"""),21062.0)</f>
        <v>21062</v>
      </c>
      <c r="O552" s="3" t="str">
        <f>IFERROR(__xludf.DUMMYFUNCTION("""COMPUTED_VALUE"""),"MBC นิคมนวนคร")</f>
        <v>MBC นิคมนวนคร</v>
      </c>
      <c r="P552" s="4">
        <f>IFERROR(__xludf.DUMMYFUNCTION("""COMPUTED_VALUE"""),41835.0)</f>
        <v>41835</v>
      </c>
      <c r="Q552" s="3" t="str">
        <f>IFERROR(__xludf.DUMMYFUNCTION("""COMPUTED_VALUE"""),"A")</f>
        <v>A</v>
      </c>
      <c r="R552" s="3" t="str">
        <f>IFERROR(__xludf.DUMMYFUNCTION("""COMPUTED_VALUE"""),"Small Format")</f>
        <v>Small Format</v>
      </c>
      <c r="S552" s="3" t="str">
        <f>IFERROR(__xludf.DUMMYFUNCTION("""COMPUTED_VALUE"""),"BCM")</f>
        <v>BCM</v>
      </c>
      <c r="T552" s="3" t="str">
        <f>IFERROR(__xludf.DUMMYFUNCTION("""COMPUTED_VALUE"""),"#N/A")</f>
        <v>#N/A</v>
      </c>
      <c r="U552" s="3" t="str">
        <f>IFERROR(__xludf.DUMMYFUNCTION("""COMPUTED_VALUE"""),"#N/A")</f>
        <v>#N/A</v>
      </c>
      <c r="V552" s="3" t="str">
        <f>IFERROR(__xludf.DUMMYFUNCTION("""COMPUTED_VALUE"""),"N")</f>
        <v>N</v>
      </c>
      <c r="W552" s="3">
        <f>IFERROR(__xludf.DUMMYFUNCTION("""COMPUTED_VALUE"""),211297.0)</f>
        <v>211297</v>
      </c>
      <c r="X552" s="3" t="str">
        <f>IFERROR(__xludf.DUMMYFUNCTION("""COMPUTED_VALUE"""),"43/8 หมู่ 1 ตำบลคูขวาง อำเภอลาดหลุมแก้ว จังหวัดปทุมธานี 12140")</f>
        <v>43/8 หมู่ 1 ตำบลคูขวาง อำเภอลาดหลุมแก้ว จังหวัดปทุมธานี 12140</v>
      </c>
      <c r="Y552" s="3"/>
      <c r="Z552" s="3" t="str">
        <f>IFERROR(__xludf.DUMMYFUNCTION("""COMPUTED_VALUE"""),"คูขวาง")</f>
        <v>คูขวาง</v>
      </c>
      <c r="AA552" s="3" t="str">
        <f>IFERROR(__xludf.DUMMYFUNCTION("""COMPUTED_VALUE"""),"ลาดหลุมแก้ว")</f>
        <v>ลาดหลุมแก้ว</v>
      </c>
      <c r="AB552" s="3" t="str">
        <f>IFERROR(__xludf.DUMMYFUNCTION("""COMPUTED_VALUE"""),"ปทุมธานี")</f>
        <v>ปทุมธานี</v>
      </c>
      <c r="AC552" s="3">
        <f>IFERROR(__xludf.DUMMYFUNCTION("""COMPUTED_VALUE"""),12140.0)</f>
        <v>12140</v>
      </c>
      <c r="AD552" s="3">
        <f>IFERROR(__xludf.DUMMYFUNCTION("""COMPUTED_VALUE"""),14.051395)</f>
        <v>14.051395</v>
      </c>
      <c r="AE552" s="3">
        <f>IFERROR(__xludf.DUMMYFUNCTION("""COMPUTED_VALUE"""),100.4388158)</f>
        <v>100.4388158</v>
      </c>
      <c r="AF552" s="3" t="str">
        <f>IFERROR(__xludf.DUMMYFUNCTION("""COMPUTED_VALUE"""),"MBC คูขวาง 6-21317")</f>
        <v>MBC คูขวาง 6-21317</v>
      </c>
      <c r="AG552" s="3" t="str">
        <f>IFERROR(__xludf.DUMMYFUNCTION("""COMPUTED_VALUE"""),"กลาง")</f>
        <v>กลาง</v>
      </c>
      <c r="AH552" s="3" t="str">
        <f>IFERROR(__xludf.DUMMYFUNCTION("""COMPUTED_VALUE"""),"#N/A")</f>
        <v>#N/A</v>
      </c>
      <c r="AI552" s="3" t="str">
        <f>IFERROR(__xludf.DUMMYFUNCTION("""COMPUTED_VALUE"""),"Out of warranty")</f>
        <v>Out of warranty</v>
      </c>
      <c r="AJ552" s="3">
        <f>IFERROR(__xludf.DUMMYFUNCTION("""COMPUTED_VALUE"""),139.0)</f>
        <v>139</v>
      </c>
      <c r="AK552" s="3" t="str">
        <f>IFERROR(__xludf.DUMMYFUNCTION("""COMPUTED_VALUE"""),"MMS04")</f>
        <v>MMS04</v>
      </c>
      <c r="AL552" s="3"/>
    </row>
    <row r="553" ht="15.75" customHeight="1">
      <c r="A553" s="1" t="str">
        <f>IFERROR(__xludf.DUMMYFUNCTION("""COMPUTED_VALUE"""),"21318")</f>
        <v>21318</v>
      </c>
      <c r="B553" s="2">
        <f>IFERROR(__xludf.DUMMYFUNCTION("""COMPUTED_VALUE"""),21318.0)</f>
        <v>21318</v>
      </c>
      <c r="C553" s="3" t="str">
        <f>IFERROR(__xludf.DUMMYFUNCTION("""COMPUTED_VALUE"""),"MBC ไทยคันทรีคลับ")</f>
        <v>MBC ไทยคันทรีคลับ</v>
      </c>
      <c r="D553" s="3" t="str">
        <f>IFERROR(__xludf.DUMMYFUNCTION("""COMPUTED_VALUE"""),"BCM TCC (21318)")</f>
        <v>BCM TCC (21318)</v>
      </c>
      <c r="E553" s="1" t="str">
        <f>IFERROR(__xludf.DUMMYFUNCTION("""COMPUTED_VALUE"""),"บิ๊กซี MINI")</f>
        <v>บิ๊กซี MINI</v>
      </c>
      <c r="F553" s="1" t="str">
        <f>IFERROR(__xludf.DUMMYFUNCTION("""COMPUTED_VALUE"""),"2083447")</f>
        <v>2083447</v>
      </c>
      <c r="G553" s="1" t="str">
        <f>IFERROR(__xludf.DUMMYFUNCTION("""COMPUTED_VALUE"""),"นายอนุกูล ศรีลัดดา")</f>
        <v>นายอนุกูล ศรีลัดดา</v>
      </c>
      <c r="H553" s="1" t="str">
        <f>IFERROR(__xludf.DUMMYFUNCTION("""COMPUTED_VALUE"""),"254957")</f>
        <v>254957</v>
      </c>
      <c r="I553" s="1" t="str">
        <f>IFERROR(__xludf.DUMMYFUNCTION("""COMPUTED_VALUE"""),"น.ส.ศิริพร รุ่งธัญญา")</f>
        <v>น.ส.ศิริพร รุ่งธัญญา</v>
      </c>
      <c r="J553" s="3">
        <f>IFERROR(__xludf.DUMMYFUNCTION("""COMPUTED_VALUE"""),510143.0)</f>
        <v>510143</v>
      </c>
      <c r="K553" s="3" t="str">
        <f>IFERROR(__xludf.DUMMYFUNCTION("""COMPUTED_VALUE"""),"นายธีระวัฒน์ บุญสิทธิ์")</f>
        <v>นายธีระวัฒน์ บุญสิทธิ์</v>
      </c>
      <c r="L553" s="1" t="str">
        <f>IFERROR(__xludf.DUMMYFUNCTION("""COMPUTED_VALUE"""),"12 K.Theerawat B.")</f>
        <v>12 K.Theerawat B.</v>
      </c>
      <c r="M553" s="1" t="str">
        <f>IFERROR(__xludf.DUMMYFUNCTION("""COMPUTED_VALUE"""),"0655107379")</f>
        <v>0655107379</v>
      </c>
      <c r="N553" s="3">
        <f>IFERROR(__xludf.DUMMYFUNCTION("""COMPUTED_VALUE"""),21062.0)</f>
        <v>21062</v>
      </c>
      <c r="O553" s="3" t="str">
        <f>IFERROR(__xludf.DUMMYFUNCTION("""COMPUTED_VALUE"""),"MBC นิคมนวนคร")</f>
        <v>MBC นิคมนวนคร</v>
      </c>
      <c r="P553" s="4">
        <f>IFERROR(__xludf.DUMMYFUNCTION("""COMPUTED_VALUE"""),41840.0)</f>
        <v>41840</v>
      </c>
      <c r="Q553" s="3" t="str">
        <f>IFERROR(__xludf.DUMMYFUNCTION("""COMPUTED_VALUE"""),"A")</f>
        <v>A</v>
      </c>
      <c r="R553" s="3" t="str">
        <f>IFERROR(__xludf.DUMMYFUNCTION("""COMPUTED_VALUE"""),"Small Format")</f>
        <v>Small Format</v>
      </c>
      <c r="S553" s="3" t="str">
        <f>IFERROR(__xludf.DUMMYFUNCTION("""COMPUTED_VALUE"""),"BCM")</f>
        <v>BCM</v>
      </c>
      <c r="T553" s="3" t="str">
        <f>IFERROR(__xludf.DUMMYFUNCTION("""COMPUTED_VALUE"""),"#N/A")</f>
        <v>#N/A</v>
      </c>
      <c r="U553" s="3" t="str">
        <f>IFERROR(__xludf.DUMMYFUNCTION("""COMPUTED_VALUE"""),"#N/A")</f>
        <v>#N/A</v>
      </c>
      <c r="V553" s="3" t="str">
        <f>IFERROR(__xludf.DUMMYFUNCTION("""COMPUTED_VALUE"""),"N")</f>
        <v>N</v>
      </c>
      <c r="W553" s="3">
        <f>IFERROR(__xludf.DUMMYFUNCTION("""COMPUTED_VALUE"""),211215.0)</f>
        <v>211215</v>
      </c>
      <c r="X553" s="3" t="str">
        <f>IFERROR(__xludf.DUMMYFUNCTION("""COMPUTED_VALUE"""),"2/125 หมู่ 2 ตำบลพิมพา อำเภอบางปะกง จังหวัดฉะเชิงเทรา 24180")</f>
        <v>2/125 หมู่ 2 ตำบลพิมพา อำเภอบางปะกง จังหวัดฉะเชิงเทรา 24180</v>
      </c>
      <c r="Y553" s="3"/>
      <c r="Z553" s="3" t="str">
        <f>IFERROR(__xludf.DUMMYFUNCTION("""COMPUTED_VALUE"""),"พิมพา")</f>
        <v>พิมพา</v>
      </c>
      <c r="AA553" s="3" t="str">
        <f>IFERROR(__xludf.DUMMYFUNCTION("""COMPUTED_VALUE"""),"บางปะกง")</f>
        <v>บางปะกง</v>
      </c>
      <c r="AB553" s="3" t="str">
        <f>IFERROR(__xludf.DUMMYFUNCTION("""COMPUTED_VALUE"""),"ฉะเชิงเทรา")</f>
        <v>ฉะเชิงเทรา</v>
      </c>
      <c r="AC553" s="3">
        <f>IFERROR(__xludf.DUMMYFUNCTION("""COMPUTED_VALUE"""),24180.0)</f>
        <v>24180</v>
      </c>
      <c r="AD553" s="3">
        <f>IFERROR(__xludf.DUMMYFUNCTION("""COMPUTED_VALUE"""),13.5946571)</f>
        <v>13.5946571</v>
      </c>
      <c r="AE553" s="3">
        <f>IFERROR(__xludf.DUMMYFUNCTION("""COMPUTED_VALUE"""),100.9269517)</f>
        <v>100.9269517</v>
      </c>
      <c r="AF553" s="3" t="str">
        <f>IFERROR(__xludf.DUMMYFUNCTION("""COMPUTED_VALUE"""),"MBC ไทยคันทรีคลับ-21318")</f>
        <v>MBC ไทยคันทรีคลับ-21318</v>
      </c>
      <c r="AG553" s="3" t="str">
        <f>IFERROR(__xludf.DUMMYFUNCTION("""COMPUTED_VALUE"""),"ตะวันออก")</f>
        <v>ตะวันออก</v>
      </c>
      <c r="AH553" s="3" t="str">
        <f>IFERROR(__xludf.DUMMYFUNCTION("""COMPUTED_VALUE"""),"#N/A")</f>
        <v>#N/A</v>
      </c>
      <c r="AI553" s="3" t="str">
        <f>IFERROR(__xludf.DUMMYFUNCTION("""COMPUTED_VALUE"""),"Out of warranty")</f>
        <v>Out of warranty</v>
      </c>
      <c r="AJ553" s="3">
        <f>IFERROR(__xludf.DUMMYFUNCTION("""COMPUTED_VALUE"""),139.0)</f>
        <v>139</v>
      </c>
      <c r="AK553" s="3" t="str">
        <f>IFERROR(__xludf.DUMMYFUNCTION("""COMPUTED_VALUE"""),"MMS03")</f>
        <v>MMS03</v>
      </c>
      <c r="AL553" s="3"/>
    </row>
    <row r="554" ht="15.75" customHeight="1">
      <c r="A554" s="1" t="str">
        <f>IFERROR(__xludf.DUMMYFUNCTION("""COMPUTED_VALUE"""),"21319")</f>
        <v>21319</v>
      </c>
      <c r="B554" s="2">
        <f>IFERROR(__xludf.DUMMYFUNCTION("""COMPUTED_VALUE"""),21319.0)</f>
        <v>21319</v>
      </c>
      <c r="C554" s="3" t="str">
        <f>IFERROR(__xludf.DUMMYFUNCTION("""COMPUTED_VALUE"""),"MBC BCPบรมฯกม9ขาออก")</f>
        <v>MBC BCPบรมฯกม9ขาออก</v>
      </c>
      <c r="D554" s="3" t="str">
        <f>IFERROR(__xludf.DUMMYFUNCTION("""COMPUTED_VALUE"""),"MBC BCP BOROM KM 9 KHAOK")</f>
        <v>MBC BCP BOROM KM 9 KHAOK</v>
      </c>
      <c r="E554" s="1" t="str">
        <f>IFERROR(__xludf.DUMMYFUNCTION("""COMPUTED_VALUE"""),"บิ๊กซี MINI")</f>
        <v>บิ๊กซี MINI</v>
      </c>
      <c r="F554" s="1" t="str">
        <f>IFERROR(__xludf.DUMMYFUNCTION("""COMPUTED_VALUE"""),"291008")</f>
        <v>291008</v>
      </c>
      <c r="G554" s="1" t="str">
        <f>IFERROR(__xludf.DUMMYFUNCTION("""COMPUTED_VALUE"""),"น.ส.รัชดาพร อีศรัตน์")</f>
        <v>น.ส.รัชดาพร อีศรัตน์</v>
      </c>
      <c r="H554" s="1" t="str">
        <f>IFERROR(__xludf.DUMMYFUNCTION("""COMPUTED_VALUE"""),"034068")</f>
        <v>034068</v>
      </c>
      <c r="I554" s="1" t="str">
        <f>IFERROR(__xludf.DUMMYFUNCTION("""COMPUTED_VALUE"""),"นายสมศักดิ์ ฐานทองดี")</f>
        <v>นายสมศักดิ์ ฐานทองดี</v>
      </c>
      <c r="J554" s="3">
        <f>IFERROR(__xludf.DUMMYFUNCTION("""COMPUTED_VALUE"""),3510104.0)</f>
        <v>3510104</v>
      </c>
      <c r="K554" s="3" t="str">
        <f>IFERROR(__xludf.DUMMYFUNCTION("""COMPUTED_VALUE"""),"นายวิโรจน์ อับดุลสมัด")</f>
        <v>นายวิโรจน์ อับดุลสมัด</v>
      </c>
      <c r="L554" s="1" t="str">
        <f>IFERROR(__xludf.DUMMYFUNCTION("""COMPUTED_VALUE"""),"09 K.Wirode A")</f>
        <v>09 K.Wirode A</v>
      </c>
      <c r="M554" s="1" t="str">
        <f>IFERROR(__xludf.DUMMYFUNCTION("""COMPUTED_VALUE"""),"080-235-4465")</f>
        <v>080-235-4465</v>
      </c>
      <c r="N554" s="3">
        <f>IFERROR(__xludf.DUMMYFUNCTION("""COMPUTED_VALUE"""),21324.0)</f>
        <v>21324</v>
      </c>
      <c r="O554" s="3" t="str">
        <f>IFERROR(__xludf.DUMMYFUNCTION("""COMPUTED_VALUE"""),"MBC BCP สุวินทวงศ์")</f>
        <v>MBC BCP สุวินทวงศ์</v>
      </c>
      <c r="P554" s="4">
        <f>IFERROR(__xludf.DUMMYFUNCTION("""COMPUTED_VALUE"""),41841.0)</f>
        <v>41841</v>
      </c>
      <c r="Q554" s="3" t="str">
        <f>IFERROR(__xludf.DUMMYFUNCTION("""COMPUTED_VALUE"""),"I")</f>
        <v>I</v>
      </c>
      <c r="R554" s="3" t="str">
        <f>IFERROR(__xludf.DUMMYFUNCTION("""COMPUTED_VALUE"""),"Small Format")</f>
        <v>Small Format</v>
      </c>
      <c r="S554" s="3" t="str">
        <f>IFERROR(__xludf.DUMMYFUNCTION("""COMPUTED_VALUE"""),"BCM")</f>
        <v>BCM</v>
      </c>
      <c r="T554" s="3" t="str">
        <f>IFERROR(__xludf.DUMMYFUNCTION("""COMPUTED_VALUE"""),"#N/A")</f>
        <v>#N/A</v>
      </c>
      <c r="U554" s="3" t="str">
        <f>IFERROR(__xludf.DUMMYFUNCTION("""COMPUTED_VALUE"""),"#N/A")</f>
        <v>#N/A</v>
      </c>
      <c r="V554" s="3" t="str">
        <f>IFERROR(__xludf.DUMMYFUNCTION("""COMPUTED_VALUE"""),"N")</f>
        <v>N</v>
      </c>
      <c r="W554" s="3">
        <f>IFERROR(__xludf.DUMMYFUNCTION("""COMPUTED_VALUE"""),361105.0)</f>
        <v>361105</v>
      </c>
      <c r="X554" s="3" t="str">
        <f>IFERROR(__xludf.DUMMYFUNCTION("""COMPUTED_VALUE"""),"347 ถนนบรมราชชนนี แขวงฉิมพลี เขตตลิ่งชัน กรุงเทพมหานคร 10170")</f>
        <v>347 ถนนบรมราชชนนี แขวงฉิมพลี เขตตลิ่งชัน กรุงเทพมหานคร 10170</v>
      </c>
      <c r="Y554" s="3" t="str">
        <f>IFERROR(__xludf.DUMMYFUNCTION("""COMPUTED_VALUE"""),"ถนนบรมราชชนนี")</f>
        <v>ถนนบรมราชชนนี</v>
      </c>
      <c r="Z554" s="3" t="str">
        <f>IFERROR(__xludf.DUMMYFUNCTION("""COMPUTED_VALUE"""),"ฉิมพลี")</f>
        <v>ฉิมพลี</v>
      </c>
      <c r="AA554" s="3" t="str">
        <f>IFERROR(__xludf.DUMMYFUNCTION("""COMPUTED_VALUE"""),"ตลิ่งชัน")</f>
        <v>ตลิ่งชัน</v>
      </c>
      <c r="AB554" s="3" t="str">
        <f>IFERROR(__xludf.DUMMYFUNCTION("""COMPUTED_VALUE"""),"กรุงเทพมหานคร")</f>
        <v>กรุงเทพมหานคร</v>
      </c>
      <c r="AC554" s="3">
        <f>IFERROR(__xludf.DUMMYFUNCTION("""COMPUTED_VALUE"""),10170.0)</f>
        <v>10170</v>
      </c>
      <c r="AD554" s="3" t="str">
        <f>IFERROR(__xludf.DUMMYFUNCTION("""COMPUTED_VALUE"""),"#N/A")</f>
        <v>#N/A</v>
      </c>
      <c r="AE554" s="3" t="str">
        <f>IFERROR(__xludf.DUMMYFUNCTION("""COMPUTED_VALUE"""),"#N/A")</f>
        <v>#N/A</v>
      </c>
      <c r="AF554" s="3" t="str">
        <f>IFERROR(__xludf.DUMMYFUNCTION("""COMPUTED_VALUE"""),"MBC BCPบรมฯกม9ขาออก-21319")</f>
        <v>MBC BCPบรมฯกม9ขาออก-21319</v>
      </c>
      <c r="AG554" s="3" t="str">
        <f>IFERROR(__xludf.DUMMYFUNCTION("""COMPUTED_VALUE"""),"กลาง")</f>
        <v>กลาง</v>
      </c>
      <c r="AH554" s="3" t="str">
        <f>IFERROR(__xludf.DUMMYFUNCTION("""COMPUTED_VALUE"""),"#N/A")</f>
        <v>#N/A</v>
      </c>
      <c r="AI554" s="3" t="str">
        <f>IFERROR(__xludf.DUMMYFUNCTION("""COMPUTED_VALUE"""),"Out of warranty")</f>
        <v>Out of warranty</v>
      </c>
      <c r="AJ554" s="3">
        <f>IFERROR(__xludf.DUMMYFUNCTION("""COMPUTED_VALUE"""),138.0)</f>
        <v>138</v>
      </c>
      <c r="AK554" s="3"/>
      <c r="AL554" s="3"/>
    </row>
    <row r="555" ht="15.75" customHeight="1">
      <c r="A555" s="1" t="str">
        <f>IFERROR(__xludf.DUMMYFUNCTION("""COMPUTED_VALUE"""),"21322")</f>
        <v>21322</v>
      </c>
      <c r="B555" s="2">
        <f>IFERROR(__xludf.DUMMYFUNCTION("""COMPUTED_VALUE"""),21322.0)</f>
        <v>21322</v>
      </c>
      <c r="C555" s="3" t="str">
        <f>IFERROR(__xludf.DUMMYFUNCTION("""COMPUTED_VALUE"""),"MBC BCP แจ้งวัฒนะ22")</f>
        <v>MBC BCP แจ้งวัฒนะ22</v>
      </c>
      <c r="D555" s="3" t="str">
        <f>IFERROR(__xludf.DUMMYFUNCTION("""COMPUTED_VALUE"""),"BCM BCP CHAENGWATTANA 22")</f>
        <v>BCM BCP CHAENGWATTANA 22</v>
      </c>
      <c r="E555" s="1" t="str">
        <f>IFERROR(__xludf.DUMMYFUNCTION("""COMPUTED_VALUE"""),"บิ๊กซี MINI")</f>
        <v>บิ๊กซี MINI</v>
      </c>
      <c r="F555" s="1" t="str">
        <f>IFERROR(__xludf.DUMMYFUNCTION("""COMPUTED_VALUE"""),"291008")</f>
        <v>291008</v>
      </c>
      <c r="G555" s="1" t="str">
        <f>IFERROR(__xludf.DUMMYFUNCTION("""COMPUTED_VALUE"""),"น.ส.รัชดาพร อีศรัตน์")</f>
        <v>น.ส.รัชดาพร อีศรัตน์</v>
      </c>
      <c r="H555" s="1" t="str">
        <f>IFERROR(__xludf.DUMMYFUNCTION("""COMPUTED_VALUE"""),"359054")</f>
        <v>359054</v>
      </c>
      <c r="I555" s="1" t="str">
        <f>IFERROR(__xludf.DUMMYFUNCTION("""COMPUTED_VALUE"""),"น.ส.กรรณิการ์ พุทธวงค์")</f>
        <v>น.ส.กรรณิการ์ พุทธวงค์</v>
      </c>
      <c r="J555" s="3">
        <f>IFERROR(__xludf.DUMMYFUNCTION("""COMPUTED_VALUE"""),296728.0)</f>
        <v>296728</v>
      </c>
      <c r="K555" s="3" t="str">
        <f>IFERROR(__xludf.DUMMYFUNCTION("""COMPUTED_VALUE"""),"นายธิติ บัวทองรังสิมา")</f>
        <v>นายธิติ บัวทองรังสิมา</v>
      </c>
      <c r="L555" s="3" t="str">
        <f>IFERROR(__xludf.DUMMYFUNCTION("""COMPUTED_VALUE"""),"นายธิติ บัวทองรังสิมา")</f>
        <v>นายธิติ บัวทองรังสิมา</v>
      </c>
      <c r="M555" s="1" t="str">
        <f>IFERROR(__xludf.DUMMYFUNCTION("""COMPUTED_VALUE"""),"0920849994")</f>
        <v>0920849994</v>
      </c>
      <c r="N555" s="3">
        <f>IFERROR(__xludf.DUMMYFUNCTION("""COMPUTED_VALUE"""),21012.0)</f>
        <v>21012</v>
      </c>
      <c r="O555" s="3" t="str">
        <f>IFERROR(__xludf.DUMMYFUNCTION("""COMPUTED_VALUE"""),"MBC ท่าอิฐ")</f>
        <v>MBC ท่าอิฐ</v>
      </c>
      <c r="P555" s="4">
        <f>IFERROR(__xludf.DUMMYFUNCTION("""COMPUTED_VALUE"""),41977.0)</f>
        <v>41977</v>
      </c>
      <c r="Q555" s="3" t="str">
        <f>IFERROR(__xludf.DUMMYFUNCTION("""COMPUTED_VALUE"""),"I")</f>
        <v>I</v>
      </c>
      <c r="R555" s="3" t="str">
        <f>IFERROR(__xludf.DUMMYFUNCTION("""COMPUTED_VALUE"""),"Small Format")</f>
        <v>Small Format</v>
      </c>
      <c r="S555" s="3" t="str">
        <f>IFERROR(__xludf.DUMMYFUNCTION("""COMPUTED_VALUE"""),"BCM")</f>
        <v>BCM</v>
      </c>
      <c r="T555" s="3" t="str">
        <f>IFERROR(__xludf.DUMMYFUNCTION("""COMPUTED_VALUE"""),"#N/A")</f>
        <v>#N/A</v>
      </c>
      <c r="U555" s="3" t="str">
        <f>IFERROR(__xludf.DUMMYFUNCTION("""COMPUTED_VALUE"""),"#N/A")</f>
        <v>#N/A</v>
      </c>
      <c r="V555" s="3" t="str">
        <f>IFERROR(__xludf.DUMMYFUNCTION("""COMPUTED_VALUE"""),"N")</f>
        <v>N</v>
      </c>
      <c r="W555" s="3">
        <f>IFERROR(__xludf.DUMMYFUNCTION("""COMPUTED_VALUE"""),361095.0)</f>
        <v>361095</v>
      </c>
      <c r="X555" s="3" t="str">
        <f>IFERROR(__xludf.DUMMYFUNCTION("""COMPUTED_VALUE"""),"112/1 หมู่ 5 ตำบลปากเกร็ด อำเภอปากเกร็ด จังหวัดนนทบุรี 11120")</f>
        <v>112/1 หมู่ 5 ตำบลปากเกร็ด อำเภอปากเกร็ด จังหวัดนนทบุรี 11120</v>
      </c>
      <c r="Y555" s="3"/>
      <c r="Z555" s="3" t="str">
        <f>IFERROR(__xludf.DUMMYFUNCTION("""COMPUTED_VALUE"""),"ปากเกร็ด")</f>
        <v>ปากเกร็ด</v>
      </c>
      <c r="AA555" s="3" t="str">
        <f>IFERROR(__xludf.DUMMYFUNCTION("""COMPUTED_VALUE"""),"ปากเกร็ด")</f>
        <v>ปากเกร็ด</v>
      </c>
      <c r="AB555" s="3" t="str">
        <f>IFERROR(__xludf.DUMMYFUNCTION("""COMPUTED_VALUE"""),"นนทบุรี")</f>
        <v>นนทบุรี</v>
      </c>
      <c r="AC555" s="3">
        <f>IFERROR(__xludf.DUMMYFUNCTION("""COMPUTED_VALUE"""),11120.0)</f>
        <v>11120</v>
      </c>
      <c r="AD555" s="3">
        <f>IFERROR(__xludf.DUMMYFUNCTION("""COMPUTED_VALUE"""),13.9065379)</f>
        <v>13.9065379</v>
      </c>
      <c r="AE555" s="3">
        <f>IFERROR(__xludf.DUMMYFUNCTION("""COMPUTED_VALUE"""),100.5135548)</f>
        <v>100.5135548</v>
      </c>
      <c r="AF555" s="3" t="str">
        <f>IFERROR(__xludf.DUMMYFUNCTION("""COMPUTED_VALUE"""),"MBC BCP แจ้งวัฒนะ22-21322")</f>
        <v>MBC BCP แจ้งวัฒนะ22-21322</v>
      </c>
      <c r="AG555" s="3" t="str">
        <f>IFERROR(__xludf.DUMMYFUNCTION("""COMPUTED_VALUE"""),"กลาง")</f>
        <v>กลาง</v>
      </c>
      <c r="AH555" s="3" t="str">
        <f>IFERROR(__xludf.DUMMYFUNCTION("""COMPUTED_VALUE"""),"#N/A")</f>
        <v>#N/A</v>
      </c>
      <c r="AI555" s="3" t="str">
        <f>IFERROR(__xludf.DUMMYFUNCTION("""COMPUTED_VALUE"""),"Out of warranty")</f>
        <v>Out of warranty</v>
      </c>
      <c r="AJ555" s="3">
        <f>IFERROR(__xludf.DUMMYFUNCTION("""COMPUTED_VALUE"""),134.0)</f>
        <v>134</v>
      </c>
      <c r="AK555" s="3" t="str">
        <f>IFERROR(__xludf.DUMMYFUNCTION("""COMPUTED_VALUE"""),"MMS01")</f>
        <v>MMS01</v>
      </c>
      <c r="AL555" s="3"/>
    </row>
    <row r="556" ht="15.75" customHeight="1">
      <c r="A556" s="1" t="str">
        <f>IFERROR(__xludf.DUMMYFUNCTION("""COMPUTED_VALUE"""),"21323")</f>
        <v>21323</v>
      </c>
      <c r="B556" s="2">
        <f>IFERROR(__xludf.DUMMYFUNCTION("""COMPUTED_VALUE"""),21323.0)</f>
        <v>21323</v>
      </c>
      <c r="C556" s="3" t="str">
        <f>IFERROR(__xludf.DUMMYFUNCTION("""COMPUTED_VALUE"""),"MBC BCP พหลโยธิน 59")</f>
        <v>MBC BCP พหลโยธิน 59</v>
      </c>
      <c r="D556" s="3" t="str">
        <f>IFERROR(__xludf.DUMMYFUNCTION("""COMPUTED_VALUE"""),"BCM BCP PHAHONYOTHIN 59")</f>
        <v>BCM BCP PHAHONYOTHIN 59</v>
      </c>
      <c r="E556" s="1" t="str">
        <f>IFERROR(__xludf.DUMMYFUNCTION("""COMPUTED_VALUE"""),"บิ๊กซี MINI")</f>
        <v>บิ๊กซี MINI</v>
      </c>
      <c r="F556" s="1" t="str">
        <f>IFERROR(__xludf.DUMMYFUNCTION("""COMPUTED_VALUE"""),"296229")</f>
        <v>296229</v>
      </c>
      <c r="G556" s="1" t="str">
        <f>IFERROR(__xludf.DUMMYFUNCTION("""COMPUTED_VALUE"""),"นายทนงศักดิ์ บุญมา")</f>
        <v>นายทนงศักดิ์ บุญมา</v>
      </c>
      <c r="H556" s="1" t="str">
        <f>IFERROR(__xludf.DUMMYFUNCTION("""COMPUTED_VALUE"""),"211363")</f>
        <v>211363</v>
      </c>
      <c r="I556" s="1" t="str">
        <f>IFERROR(__xludf.DUMMYFUNCTION("""COMPUTED_VALUE"""),"นายสามารถ บุญลับ")</f>
        <v>นายสามารถ บุญลับ</v>
      </c>
      <c r="J556" s="3">
        <f>IFERROR(__xludf.DUMMYFUNCTION("""COMPUTED_VALUE"""),46214.0)</f>
        <v>46214</v>
      </c>
      <c r="K556" s="3" t="str">
        <f>IFERROR(__xludf.DUMMYFUNCTION("""COMPUTED_VALUE"""),"นายศักดิ์ชัย เด็ดดอกฟ้า")</f>
        <v>นายศักดิ์ชัย เด็ดดอกฟ้า</v>
      </c>
      <c r="L556" s="1" t="str">
        <f>IFERROR(__xludf.DUMMYFUNCTION("""COMPUTED_VALUE"""),"02 K.Sakchai D")</f>
        <v>02 K.Sakchai D</v>
      </c>
      <c r="M556" s="1" t="str">
        <f>IFERROR(__xludf.DUMMYFUNCTION("""COMPUTED_VALUE"""),"065-510-7376")</f>
        <v>065-510-7376</v>
      </c>
      <c r="N556" s="3">
        <f>IFERROR(__xludf.DUMMYFUNCTION("""COMPUTED_VALUE"""),21714.0)</f>
        <v>21714</v>
      </c>
      <c r="O556" s="3" t="str">
        <f>IFERROR(__xludf.DUMMYFUNCTION("""COMPUTED_VALUE"""),"MBC เอสโซ่ วัดโบสถ์")</f>
        <v>MBC เอสโซ่ วัดโบสถ์</v>
      </c>
      <c r="P556" s="4">
        <f>IFERROR(__xludf.DUMMYFUNCTION("""COMPUTED_VALUE"""),41978.0)</f>
        <v>41978</v>
      </c>
      <c r="Q556" s="3" t="str">
        <f>IFERROR(__xludf.DUMMYFUNCTION("""COMPUTED_VALUE"""),"A")</f>
        <v>A</v>
      </c>
      <c r="R556" s="3" t="str">
        <f>IFERROR(__xludf.DUMMYFUNCTION("""COMPUTED_VALUE"""),"Small Format")</f>
        <v>Small Format</v>
      </c>
      <c r="S556" s="3" t="str">
        <f>IFERROR(__xludf.DUMMYFUNCTION("""COMPUTED_VALUE"""),"BCM")</f>
        <v>BCM</v>
      </c>
      <c r="T556" s="3" t="str">
        <f>IFERROR(__xludf.DUMMYFUNCTION("""COMPUTED_VALUE"""),"#N/A")</f>
        <v>#N/A</v>
      </c>
      <c r="U556" s="3" t="str">
        <f>IFERROR(__xludf.DUMMYFUNCTION("""COMPUTED_VALUE"""),"#N/A")</f>
        <v>#N/A</v>
      </c>
      <c r="V556" s="3" t="str">
        <f>IFERROR(__xludf.DUMMYFUNCTION("""COMPUTED_VALUE"""),"N")</f>
        <v>N</v>
      </c>
      <c r="W556" s="3">
        <f>IFERROR(__xludf.DUMMYFUNCTION("""COMPUTED_VALUE"""),361109.0)</f>
        <v>361109</v>
      </c>
      <c r="X556" s="3" t="str">
        <f>IFERROR(__xludf.DUMMYFUNCTION("""COMPUTED_VALUE"""),"55/2 หมู่ 2 ตำบลลำไทร อำเภอวังน้อย จังหวัดพระนครศรีอยุธยา 13170")</f>
        <v>55/2 หมู่ 2 ตำบลลำไทร อำเภอวังน้อย จังหวัดพระนครศรีอยุธยา 13170</v>
      </c>
      <c r="Y556" s="3"/>
      <c r="Z556" s="3" t="str">
        <f>IFERROR(__xludf.DUMMYFUNCTION("""COMPUTED_VALUE"""),"ลำไทร")</f>
        <v>ลำไทร</v>
      </c>
      <c r="AA556" s="3" t="str">
        <f>IFERROR(__xludf.DUMMYFUNCTION("""COMPUTED_VALUE"""),"วังน้อย")</f>
        <v>วังน้อย</v>
      </c>
      <c r="AB556" s="3" t="str">
        <f>IFERROR(__xludf.DUMMYFUNCTION("""COMPUTED_VALUE"""),"พระนครศรีอยุธยา")</f>
        <v>พระนครศรีอยุธยา</v>
      </c>
      <c r="AC556" s="3">
        <f>IFERROR(__xludf.DUMMYFUNCTION("""COMPUTED_VALUE"""),13170.0)</f>
        <v>13170</v>
      </c>
      <c r="AD556" s="3">
        <f>IFERROR(__xludf.DUMMYFUNCTION("""COMPUTED_VALUE"""),14.2039068)</f>
        <v>14.2039068</v>
      </c>
      <c r="AE556" s="3">
        <f>IFERROR(__xludf.DUMMYFUNCTION("""COMPUTED_VALUE"""),100.663829)</f>
        <v>100.663829</v>
      </c>
      <c r="AF556" s="3" t="str">
        <f>IFERROR(__xludf.DUMMYFUNCTION("""COMPUTED_VALUE"""),"MBC BCP พหลโยธิน 59-21323")</f>
        <v>MBC BCP พหลโยธิน 59-21323</v>
      </c>
      <c r="AG556" s="3" t="str">
        <f>IFERROR(__xludf.DUMMYFUNCTION("""COMPUTED_VALUE"""),"กลาง")</f>
        <v>กลาง</v>
      </c>
      <c r="AH556" s="3" t="str">
        <f>IFERROR(__xludf.DUMMYFUNCTION("""COMPUTED_VALUE"""),"#N/A")</f>
        <v>#N/A</v>
      </c>
      <c r="AI556" s="3" t="str">
        <f>IFERROR(__xludf.DUMMYFUNCTION("""COMPUTED_VALUE"""),"Out of warranty")</f>
        <v>Out of warranty</v>
      </c>
      <c r="AJ556" s="3">
        <f>IFERROR(__xludf.DUMMYFUNCTION("""COMPUTED_VALUE"""),134.0)</f>
        <v>134</v>
      </c>
      <c r="AK556" s="3" t="str">
        <f>IFERROR(__xludf.DUMMYFUNCTION("""COMPUTED_VALUE"""),"MMS04")</f>
        <v>MMS04</v>
      </c>
      <c r="AL556" s="3"/>
    </row>
    <row r="557" ht="15.75" customHeight="1">
      <c r="A557" s="1" t="str">
        <f>IFERROR(__xludf.DUMMYFUNCTION("""COMPUTED_VALUE"""),"21324")</f>
        <v>21324</v>
      </c>
      <c r="B557" s="2">
        <f>IFERROR(__xludf.DUMMYFUNCTION("""COMPUTED_VALUE"""),21324.0)</f>
        <v>21324</v>
      </c>
      <c r="C557" s="3" t="str">
        <f>IFERROR(__xludf.DUMMYFUNCTION("""COMPUTED_VALUE"""),"MBC BCP สุวินทวงศ์")</f>
        <v>MBC BCP สุวินทวงศ์</v>
      </c>
      <c r="D557" s="3" t="str">
        <f>IFERROR(__xludf.DUMMYFUNCTION("""COMPUTED_VALUE"""),"BCM BCP SUWINTAWONG")</f>
        <v>BCM BCP SUWINTAWONG</v>
      </c>
      <c r="E557" s="1" t="str">
        <f>IFERROR(__xludf.DUMMYFUNCTION("""COMPUTED_VALUE"""),"บิ๊กซี MINI")</f>
        <v>บิ๊กซี MINI</v>
      </c>
      <c r="F557" s="1" t="str">
        <f>IFERROR(__xludf.DUMMYFUNCTION("""COMPUTED_VALUE"""),"291008")</f>
        <v>291008</v>
      </c>
      <c r="G557" s="1" t="str">
        <f>IFERROR(__xludf.DUMMYFUNCTION("""COMPUTED_VALUE"""),"น.ส.รัชดาพร อีศรัตน์")</f>
        <v>น.ส.รัชดาพร อีศรัตน์</v>
      </c>
      <c r="H557" s="1" t="str">
        <f>IFERROR(__xludf.DUMMYFUNCTION("""COMPUTED_VALUE"""),"228242")</f>
        <v>228242</v>
      </c>
      <c r="I557" s="1" t="str">
        <f>IFERROR(__xludf.DUMMYFUNCTION("""COMPUTED_VALUE"""),"นายสมชาย เยมรัมย์")</f>
        <v>นายสมชาย เยมรัมย์</v>
      </c>
      <c r="J557" s="3">
        <f>IFERROR(__xludf.DUMMYFUNCTION("""COMPUTED_VALUE"""),3510104.0)</f>
        <v>3510104</v>
      </c>
      <c r="K557" s="3" t="str">
        <f>IFERROR(__xludf.DUMMYFUNCTION("""COMPUTED_VALUE"""),"นายวิโรจน์ อับดุลสมัด")</f>
        <v>นายวิโรจน์ อับดุลสมัด</v>
      </c>
      <c r="L557" s="1" t="str">
        <f>IFERROR(__xludf.DUMMYFUNCTION("""COMPUTED_VALUE"""),"09 K.Wirode A")</f>
        <v>09 K.Wirode A</v>
      </c>
      <c r="M557" s="1" t="str">
        <f>IFERROR(__xludf.DUMMYFUNCTION("""COMPUTED_VALUE"""),"080-235-4465")</f>
        <v>080-235-4465</v>
      </c>
      <c r="N557" s="3">
        <f>IFERROR(__xludf.DUMMYFUNCTION("""COMPUTED_VALUE"""),21324.0)</f>
        <v>21324</v>
      </c>
      <c r="O557" s="3" t="str">
        <f>IFERROR(__xludf.DUMMYFUNCTION("""COMPUTED_VALUE"""),"MBC BCP สุวินทวงศ์")</f>
        <v>MBC BCP สุวินทวงศ์</v>
      </c>
      <c r="P557" s="4">
        <f>IFERROR(__xludf.DUMMYFUNCTION("""COMPUTED_VALUE"""),41991.0)</f>
        <v>41991</v>
      </c>
      <c r="Q557" s="3" t="str">
        <f>IFERROR(__xludf.DUMMYFUNCTION("""COMPUTED_VALUE"""),"A")</f>
        <v>A</v>
      </c>
      <c r="R557" s="3" t="str">
        <f>IFERROR(__xludf.DUMMYFUNCTION("""COMPUTED_VALUE"""),"Small Format")</f>
        <v>Small Format</v>
      </c>
      <c r="S557" s="3" t="str">
        <f>IFERROR(__xludf.DUMMYFUNCTION("""COMPUTED_VALUE"""),"BCM")</f>
        <v>BCM</v>
      </c>
      <c r="T557" s="3" t="str">
        <f>IFERROR(__xludf.DUMMYFUNCTION("""COMPUTED_VALUE"""),"#N/A")</f>
        <v>#N/A</v>
      </c>
      <c r="U557" s="3" t="str">
        <f>IFERROR(__xludf.DUMMYFUNCTION("""COMPUTED_VALUE"""),"#N/A")</f>
        <v>#N/A</v>
      </c>
      <c r="V557" s="3" t="str">
        <f>IFERROR(__xludf.DUMMYFUNCTION("""COMPUTED_VALUE"""),"N")</f>
        <v>N</v>
      </c>
      <c r="W557" s="3">
        <f>IFERROR(__xludf.DUMMYFUNCTION("""COMPUTED_VALUE"""),361104.0)</f>
        <v>361104</v>
      </c>
      <c r="X557" s="3" t="str">
        <f>IFERROR(__xludf.DUMMYFUNCTION("""COMPUTED_VALUE"""),"30/7 หมู่ 3 แขวงลำผักชี เขตหนองจอก กรุงเทพมหานคร 10530")</f>
        <v>30/7 หมู่ 3 แขวงลำผักชี เขตหนองจอก กรุงเทพมหานคร 10530</v>
      </c>
      <c r="Y557" s="3"/>
      <c r="Z557" s="3" t="str">
        <f>IFERROR(__xludf.DUMMYFUNCTION("""COMPUTED_VALUE"""),"ลำผักชี")</f>
        <v>ลำผักชี</v>
      </c>
      <c r="AA557" s="3" t="str">
        <f>IFERROR(__xludf.DUMMYFUNCTION("""COMPUTED_VALUE"""),"หนองจอก")</f>
        <v>หนองจอก</v>
      </c>
      <c r="AB557" s="3" t="str">
        <f>IFERROR(__xludf.DUMMYFUNCTION("""COMPUTED_VALUE"""),"กรุงเทพมหานคร")</f>
        <v>กรุงเทพมหานคร</v>
      </c>
      <c r="AC557" s="3">
        <f>IFERROR(__xludf.DUMMYFUNCTION("""COMPUTED_VALUE"""),10530.0)</f>
        <v>10530</v>
      </c>
      <c r="AD557" s="3">
        <f>IFERROR(__xludf.DUMMYFUNCTION("""COMPUTED_VALUE"""),13.8074502)</f>
        <v>13.8074502</v>
      </c>
      <c r="AE557" s="3">
        <f>IFERROR(__xludf.DUMMYFUNCTION("""COMPUTED_VALUE"""),100.8312528)</f>
        <v>100.8312528</v>
      </c>
      <c r="AF557" s="3" t="str">
        <f>IFERROR(__xludf.DUMMYFUNCTION("""COMPUTED_VALUE"""),"MBC BCP สุวินทวงศ์-21324")</f>
        <v>MBC BCP สุวินทวงศ์-21324</v>
      </c>
      <c r="AG557" s="3" t="str">
        <f>IFERROR(__xludf.DUMMYFUNCTION("""COMPUTED_VALUE"""),"กลาง")</f>
        <v>กลาง</v>
      </c>
      <c r="AH557" s="3" t="str">
        <f>IFERROR(__xludf.DUMMYFUNCTION("""COMPUTED_VALUE"""),"#N/A")</f>
        <v>#N/A</v>
      </c>
      <c r="AI557" s="3" t="str">
        <f>IFERROR(__xludf.DUMMYFUNCTION("""COMPUTED_VALUE"""),"Out of warranty")</f>
        <v>Out of warranty</v>
      </c>
      <c r="AJ557" s="3">
        <f>IFERROR(__xludf.DUMMYFUNCTION("""COMPUTED_VALUE"""),134.0)</f>
        <v>134</v>
      </c>
      <c r="AK557" s="3" t="str">
        <f>IFERROR(__xludf.DUMMYFUNCTION("""COMPUTED_VALUE"""),"MMS03")</f>
        <v>MMS03</v>
      </c>
      <c r="AL557" s="3"/>
    </row>
    <row r="558" ht="15.75" customHeight="1">
      <c r="A558" s="1" t="str">
        <f>IFERROR(__xludf.DUMMYFUNCTION("""COMPUTED_VALUE"""),"21325")</f>
        <v>21325</v>
      </c>
      <c r="B558" s="2">
        <f>IFERROR(__xludf.DUMMYFUNCTION("""COMPUTED_VALUE"""),21325.0)</f>
        <v>21325</v>
      </c>
      <c r="C558" s="3" t="str">
        <f>IFERROR(__xludf.DUMMYFUNCTION("""COMPUTED_VALUE"""),"MBC BCPปากช่อง-ชำนาญ")</f>
        <v>MBC BCPปากช่อง-ชำนาญ</v>
      </c>
      <c r="D558" s="3" t="str">
        <f>IFERROR(__xludf.DUMMYFUNCTION("""COMPUTED_VALUE"""),"BCM BCP PAKCHONG-CHAMNAN")</f>
        <v>BCM BCP PAKCHONG-CHAMNAN</v>
      </c>
      <c r="E558" s="1" t="str">
        <f>IFERROR(__xludf.DUMMYFUNCTION("""COMPUTED_VALUE"""),"บิ๊กซี MINI")</f>
        <v>บิ๊กซี MINI</v>
      </c>
      <c r="F558" s="1" t="str">
        <f>IFERROR(__xludf.DUMMYFUNCTION("""COMPUTED_VALUE"""),"291105")</f>
        <v>291105</v>
      </c>
      <c r="G558" s="1" t="str">
        <f>IFERROR(__xludf.DUMMYFUNCTION("""COMPUTED_VALUE"""),"นายสราวุฒิ พณิชยกุล")</f>
        <v>นายสราวุฒิ พณิชยกุล</v>
      </c>
      <c r="H558" s="1" t="str">
        <f>IFERROR(__xludf.DUMMYFUNCTION("""COMPUTED_VALUE"""),"281315")</f>
        <v>281315</v>
      </c>
      <c r="I558" s="1" t="str">
        <f>IFERROR(__xludf.DUMMYFUNCTION("""COMPUTED_VALUE"""),"นายกิตติพงษ์ มั่นคง")</f>
        <v>นายกิตติพงษ์ มั่นคง</v>
      </c>
      <c r="J558" s="3">
        <f>IFERROR(__xludf.DUMMYFUNCTION("""COMPUTED_VALUE"""),15361.0)</f>
        <v>15361</v>
      </c>
      <c r="K558" s="3" t="str">
        <f>IFERROR(__xludf.DUMMYFUNCTION("""COMPUTED_VALUE"""),"นายสมบูรณ์ พรหมในเมือง")</f>
        <v>นายสมบูรณ์ พรหมในเมือง</v>
      </c>
      <c r="L558" s="1" t="str">
        <f>IFERROR(__xludf.DUMMYFUNCTION("""COMPUTED_VALUE"""),"04 K.Somboon P.")</f>
        <v>04 K.Somboon P.</v>
      </c>
      <c r="M558" s="1" t="str">
        <f>IFERROR(__xludf.DUMMYFUNCTION("""COMPUTED_VALUE"""),"087-965-3051")</f>
        <v>087-965-3051</v>
      </c>
      <c r="N558" s="3">
        <f>IFERROR(__xludf.DUMMYFUNCTION("""COMPUTED_VALUE"""),21869.0)</f>
        <v>21869</v>
      </c>
      <c r="O558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558" s="4">
        <f>IFERROR(__xludf.DUMMYFUNCTION("""COMPUTED_VALUE"""),41996.0)</f>
        <v>41996</v>
      </c>
      <c r="Q558" s="3" t="str">
        <f>IFERROR(__xludf.DUMMYFUNCTION("""COMPUTED_VALUE"""),"A")</f>
        <v>A</v>
      </c>
      <c r="R558" s="3" t="str">
        <f>IFERROR(__xludf.DUMMYFUNCTION("""COMPUTED_VALUE"""),"Small Format")</f>
        <v>Small Format</v>
      </c>
      <c r="S558" s="3" t="str">
        <f>IFERROR(__xludf.DUMMYFUNCTION("""COMPUTED_VALUE"""),"BCM")</f>
        <v>BCM</v>
      </c>
      <c r="T558" s="3" t="str">
        <f>IFERROR(__xludf.DUMMYFUNCTION("""COMPUTED_VALUE"""),"#N/A")</f>
        <v>#N/A</v>
      </c>
      <c r="U558" s="3" t="str">
        <f>IFERROR(__xludf.DUMMYFUNCTION("""COMPUTED_VALUE"""),"#N/A")</f>
        <v>#N/A</v>
      </c>
      <c r="V558" s="3" t="str">
        <f>IFERROR(__xludf.DUMMYFUNCTION("""COMPUTED_VALUE"""),"N")</f>
        <v>N</v>
      </c>
      <c r="W558" s="3">
        <f>IFERROR(__xludf.DUMMYFUNCTION("""COMPUTED_VALUE"""),361112.0)</f>
        <v>361112</v>
      </c>
      <c r="X558" s="3" t="str">
        <f>IFERROR(__xludf.DUMMYFUNCTION("""COMPUTED_VALUE"""),"40/2 หมู่ 10 ตำบลขนงพระ อำเภอปากช่อง จังหวัดนครราชสีมา 30130")</f>
        <v>40/2 หมู่ 10 ตำบลขนงพระ อำเภอปากช่อง จังหวัดนครราชสีมา 30130</v>
      </c>
      <c r="Y558" s="3"/>
      <c r="Z558" s="3" t="str">
        <f>IFERROR(__xludf.DUMMYFUNCTION("""COMPUTED_VALUE"""),"ขนงพระ")</f>
        <v>ขนงพระ</v>
      </c>
      <c r="AA558" s="3" t="str">
        <f>IFERROR(__xludf.DUMMYFUNCTION("""COMPUTED_VALUE"""),"ปากช่อง")</f>
        <v>ปากช่อง</v>
      </c>
      <c r="AB558" s="3" t="str">
        <f>IFERROR(__xludf.DUMMYFUNCTION("""COMPUTED_VALUE"""),"นครราชสีมา")</f>
        <v>นครราชสีมา</v>
      </c>
      <c r="AC558" s="3">
        <f>IFERROR(__xludf.DUMMYFUNCTION("""COMPUTED_VALUE"""),30130.0)</f>
        <v>30130</v>
      </c>
      <c r="AD558" s="3">
        <f>IFERROR(__xludf.DUMMYFUNCTION("""COMPUTED_VALUE"""),14.6653835)</f>
        <v>14.6653835</v>
      </c>
      <c r="AE558" s="3">
        <f>IFERROR(__xludf.DUMMYFUNCTION("""COMPUTED_VALUE"""),101.4204969)</f>
        <v>101.4204969</v>
      </c>
      <c r="AF558" s="3" t="str">
        <f>IFERROR(__xludf.DUMMYFUNCTION("""COMPUTED_VALUE"""),"MBC BCPปากช่อง-ชำนาญ-21325")</f>
        <v>MBC BCPปากช่อง-ชำนาญ-21325</v>
      </c>
      <c r="AG558" s="3" t="str">
        <f>IFERROR(__xludf.DUMMYFUNCTION("""COMPUTED_VALUE"""),"ตะวันออกเฉียงเหนือ")</f>
        <v>ตะวันออกเฉียงเหนือ</v>
      </c>
      <c r="AH558" s="3" t="str">
        <f>IFERROR(__xludf.DUMMYFUNCTION("""COMPUTED_VALUE"""),"#N/A")</f>
        <v>#N/A</v>
      </c>
      <c r="AI558" s="3" t="str">
        <f>IFERROR(__xludf.DUMMYFUNCTION("""COMPUTED_VALUE"""),"Out of warranty")</f>
        <v>Out of warranty</v>
      </c>
      <c r="AJ558" s="3">
        <f>IFERROR(__xludf.DUMMYFUNCTION("""COMPUTED_VALUE"""),133.0)</f>
        <v>133</v>
      </c>
      <c r="AK558" s="3" t="str">
        <f>IFERROR(__xludf.DUMMYFUNCTION("""COMPUTED_VALUE"""),"MMS11")</f>
        <v>MMS11</v>
      </c>
      <c r="AL558" s="3"/>
    </row>
    <row r="559" ht="15.75" customHeight="1">
      <c r="A559" s="1" t="str">
        <f>IFERROR(__xludf.DUMMYFUNCTION("""COMPUTED_VALUE"""),"21326")</f>
        <v>21326</v>
      </c>
      <c r="B559" s="2">
        <f>IFERROR(__xludf.DUMMYFUNCTION("""COMPUTED_VALUE"""),21326.0)</f>
        <v>21326</v>
      </c>
      <c r="C559" s="3" t="str">
        <f>IFERROR(__xludf.DUMMYFUNCTION("""COMPUTED_VALUE"""),"MBC BCP สูงเนิน 1 (ขาออก)")</f>
        <v>MBC BCP สูงเนิน 1 (ขาออก)</v>
      </c>
      <c r="D559" s="3" t="str">
        <f>IFERROR(__xludf.DUMMYFUNCTION("""COMPUTED_VALUE"""),"BCM BCP SUNG NOEN 1 (OUTBOUND)")</f>
        <v>BCM BCP SUNG NOEN 1 (OUTBOUND)</v>
      </c>
      <c r="E559" s="1" t="str">
        <f>IFERROR(__xludf.DUMMYFUNCTION("""COMPUTED_VALUE"""),"บิ๊กซี MINI")</f>
        <v>บิ๊กซี MINI</v>
      </c>
      <c r="F559" s="1" t="str">
        <f>IFERROR(__xludf.DUMMYFUNCTION("""COMPUTED_VALUE"""),"291105")</f>
        <v>291105</v>
      </c>
      <c r="G559" s="1" t="str">
        <f>IFERROR(__xludf.DUMMYFUNCTION("""COMPUTED_VALUE"""),"นายสราวุฒิ พณิชยกุล")</f>
        <v>นายสราวุฒิ พณิชยกุล</v>
      </c>
      <c r="H559" s="1" t="str">
        <f>IFERROR(__xludf.DUMMYFUNCTION("""COMPUTED_VALUE"""),"392433")</f>
        <v>392433</v>
      </c>
      <c r="I559" s="1" t="str">
        <f>IFERROR(__xludf.DUMMYFUNCTION("""COMPUTED_VALUE"""),"นายพรธิวา ใจอ่อน")</f>
        <v>นายพรธิวา ใจอ่อน</v>
      </c>
      <c r="J559" s="3">
        <f>IFERROR(__xludf.DUMMYFUNCTION("""COMPUTED_VALUE"""),295886.0)</f>
        <v>295886</v>
      </c>
      <c r="K559" s="3" t="str">
        <f>IFERROR(__xludf.DUMMYFUNCTION("""COMPUTED_VALUE"""),"นายจิระพงษ์ โพธิ์นิล")</f>
        <v>นายจิระพงษ์ โพธิ์นิล</v>
      </c>
      <c r="L559" s="3" t="str">
        <f>IFERROR(__xludf.DUMMYFUNCTION("""COMPUTED_VALUE"""),"นายจิระพงษ์ โพธิ์นิล")</f>
        <v>นายจิระพงษ์ โพธิ์นิล</v>
      </c>
      <c r="M559" s="1" t="str">
        <f>IFERROR(__xludf.DUMMYFUNCTION("""COMPUTED_VALUE"""),"0933290754")</f>
        <v>0933290754</v>
      </c>
      <c r="N559" s="3">
        <f>IFERROR(__xludf.DUMMYFUNCTION("""COMPUTED_VALUE"""),21622.0)</f>
        <v>21622</v>
      </c>
      <c r="O559" s="3" t="str">
        <f>IFERROR(__xludf.DUMMYFUNCTION("""COMPUTED_VALUE"""),"MBC ตลาดบ้านดอน")</f>
        <v>MBC ตลาดบ้านดอน</v>
      </c>
      <c r="P559" s="4">
        <f>IFERROR(__xludf.DUMMYFUNCTION("""COMPUTED_VALUE"""),41998.0)</f>
        <v>41998</v>
      </c>
      <c r="Q559" s="3" t="str">
        <f>IFERROR(__xludf.DUMMYFUNCTION("""COMPUTED_VALUE"""),"I")</f>
        <v>I</v>
      </c>
      <c r="R559" s="3" t="str">
        <f>IFERROR(__xludf.DUMMYFUNCTION("""COMPUTED_VALUE"""),"Small Format")</f>
        <v>Small Format</v>
      </c>
      <c r="S559" s="3" t="str">
        <f>IFERROR(__xludf.DUMMYFUNCTION("""COMPUTED_VALUE"""),"BCM")</f>
        <v>BCM</v>
      </c>
      <c r="T559" s="3" t="str">
        <f>IFERROR(__xludf.DUMMYFUNCTION("""COMPUTED_VALUE"""),"#N/A")</f>
        <v>#N/A</v>
      </c>
      <c r="U559" s="3" t="str">
        <f>IFERROR(__xludf.DUMMYFUNCTION("""COMPUTED_VALUE"""),"#N/A")</f>
        <v>#N/A</v>
      </c>
      <c r="V559" s="3" t="str">
        <f>IFERROR(__xludf.DUMMYFUNCTION("""COMPUTED_VALUE"""),"N")</f>
        <v>N</v>
      </c>
      <c r="W559" s="3">
        <f>IFERROR(__xludf.DUMMYFUNCTION("""COMPUTED_VALUE"""),361114.0)</f>
        <v>361114</v>
      </c>
      <c r="X559" s="3" t="str">
        <f>IFERROR(__xludf.DUMMYFUNCTION("""COMPUTED_VALUE"""),"20 หมู่ 9 ตำบลสูงเนิน อำเภอสูงเนิน จังหวัดนครราชสีมา 30170")</f>
        <v>20 หมู่ 9 ตำบลสูงเนิน อำเภอสูงเนิน จังหวัดนครราชสีมา 30170</v>
      </c>
      <c r="Y559" s="3"/>
      <c r="Z559" s="3" t="str">
        <f>IFERROR(__xludf.DUMMYFUNCTION("""COMPUTED_VALUE"""),"สูงเนิน")</f>
        <v>สูงเนิน</v>
      </c>
      <c r="AA559" s="3" t="str">
        <f>IFERROR(__xludf.DUMMYFUNCTION("""COMPUTED_VALUE"""),"สูงเนิน")</f>
        <v>สูงเนิน</v>
      </c>
      <c r="AB559" s="3" t="str">
        <f>IFERROR(__xludf.DUMMYFUNCTION("""COMPUTED_VALUE"""),"นครราชสีมา")</f>
        <v>นครราชสีมา</v>
      </c>
      <c r="AC559" s="3">
        <f>IFERROR(__xludf.DUMMYFUNCTION("""COMPUTED_VALUE"""),30170.0)</f>
        <v>30170</v>
      </c>
      <c r="AD559" s="3">
        <f>IFERROR(__xludf.DUMMYFUNCTION("""COMPUTED_VALUE"""),14.8822892)</f>
        <v>14.8822892</v>
      </c>
      <c r="AE559" s="3">
        <f>IFERROR(__xludf.DUMMYFUNCTION("""COMPUTED_VALUE"""),101.8595194)</f>
        <v>101.8595194</v>
      </c>
      <c r="AF559" s="3" t="str">
        <f>IFERROR(__xludf.DUMMYFUNCTION("""COMPUTED_VALUE"""),"MBC BCP สูงเนิน 1 (ขาออก)-21326")</f>
        <v>MBC BCP สูงเนิน 1 (ขาออก)-21326</v>
      </c>
      <c r="AG559" s="3" t="str">
        <f>IFERROR(__xludf.DUMMYFUNCTION("""COMPUTED_VALUE"""),"ตะวันออกเฉียงเหนือ")</f>
        <v>ตะวันออกเฉียงเหนือ</v>
      </c>
      <c r="AH559" s="3" t="str">
        <f>IFERROR(__xludf.DUMMYFUNCTION("""COMPUTED_VALUE"""),"#N/A")</f>
        <v>#N/A</v>
      </c>
      <c r="AI559" s="3" t="str">
        <f>IFERROR(__xludf.DUMMYFUNCTION("""COMPUTED_VALUE"""),"Out of warranty")</f>
        <v>Out of warranty</v>
      </c>
      <c r="AJ559" s="3">
        <f>IFERROR(__xludf.DUMMYFUNCTION("""COMPUTED_VALUE"""),133.0)</f>
        <v>133</v>
      </c>
      <c r="AK559" s="3" t="str">
        <f>IFERROR(__xludf.DUMMYFUNCTION("""COMPUTED_VALUE"""),"MMS11")</f>
        <v>MMS11</v>
      </c>
      <c r="AL559" s="3"/>
    </row>
    <row r="560" ht="15.75" customHeight="1">
      <c r="A560" s="1" t="str">
        <f>IFERROR(__xludf.DUMMYFUNCTION("""COMPUTED_VALUE"""),"21327")</f>
        <v>21327</v>
      </c>
      <c r="B560" s="2">
        <f>IFERROR(__xludf.DUMMYFUNCTION("""COMPUTED_VALUE"""),21327.0)</f>
        <v>21327</v>
      </c>
      <c r="C560" s="3" t="str">
        <f>IFERROR(__xludf.DUMMYFUNCTION("""COMPUTED_VALUE"""),"MBC BCP สูงเนิน 2 (ขาเข้า)")</f>
        <v>MBC BCP สูงเนิน 2 (ขาเข้า)</v>
      </c>
      <c r="D560" s="3" t="str">
        <f>IFERROR(__xludf.DUMMYFUNCTION("""COMPUTED_VALUE"""),"BCM BCP SUNG NOEN 2 (INBOUND)")</f>
        <v>BCM BCP SUNG NOEN 2 (INBOUND)</v>
      </c>
      <c r="E560" s="1" t="str">
        <f>IFERROR(__xludf.DUMMYFUNCTION("""COMPUTED_VALUE"""),"บิ๊กซี MINI")</f>
        <v>บิ๊กซี MINI</v>
      </c>
      <c r="F560" s="1" t="str">
        <f>IFERROR(__xludf.DUMMYFUNCTION("""COMPUTED_VALUE"""),"291105")</f>
        <v>291105</v>
      </c>
      <c r="G560" s="1" t="str">
        <f>IFERROR(__xludf.DUMMYFUNCTION("""COMPUTED_VALUE"""),"นายสราวุฒิ พณิชยกุล")</f>
        <v>นายสราวุฒิ พณิชยกุล</v>
      </c>
      <c r="H560" s="1" t="str">
        <f>IFERROR(__xludf.DUMMYFUNCTION("""COMPUTED_VALUE"""),"392433")</f>
        <v>392433</v>
      </c>
      <c r="I560" s="1" t="str">
        <f>IFERROR(__xludf.DUMMYFUNCTION("""COMPUTED_VALUE"""),"นายพรธิวา ใจอ่อน")</f>
        <v>นายพรธิวา ใจอ่อน</v>
      </c>
      <c r="J560" s="3">
        <f>IFERROR(__xludf.DUMMYFUNCTION("""COMPUTED_VALUE"""),295886.0)</f>
        <v>295886</v>
      </c>
      <c r="K560" s="3" t="str">
        <f>IFERROR(__xludf.DUMMYFUNCTION("""COMPUTED_VALUE"""),"นายจิระพงษ์ โพธิ์นิล")</f>
        <v>นายจิระพงษ์ โพธิ์นิล</v>
      </c>
      <c r="L560" s="1" t="str">
        <f>IFERROR(__xludf.DUMMYFUNCTION("""COMPUTED_VALUE"""),"นายจิระพงษ์ โพธิ์นิล")</f>
        <v>นายจิระพงษ์ โพธิ์นิล</v>
      </c>
      <c r="M560" s="1" t="str">
        <f>IFERROR(__xludf.DUMMYFUNCTION("""COMPUTED_VALUE"""),"0933290754")</f>
        <v>0933290754</v>
      </c>
      <c r="N560" s="3">
        <f>IFERROR(__xludf.DUMMYFUNCTION("""COMPUTED_VALUE"""),21622.0)</f>
        <v>21622</v>
      </c>
      <c r="O560" s="3" t="str">
        <f>IFERROR(__xludf.DUMMYFUNCTION("""COMPUTED_VALUE"""),"MBC ตลาดบ้านดอน")</f>
        <v>MBC ตลาดบ้านดอน</v>
      </c>
      <c r="P560" s="4">
        <f>IFERROR(__xludf.DUMMYFUNCTION("""COMPUTED_VALUE"""),41998.0)</f>
        <v>41998</v>
      </c>
      <c r="Q560" s="3" t="str">
        <f>IFERROR(__xludf.DUMMYFUNCTION("""COMPUTED_VALUE"""),"I")</f>
        <v>I</v>
      </c>
      <c r="R560" s="3" t="str">
        <f>IFERROR(__xludf.DUMMYFUNCTION("""COMPUTED_VALUE"""),"Small Format")</f>
        <v>Small Format</v>
      </c>
      <c r="S560" s="3" t="str">
        <f>IFERROR(__xludf.DUMMYFUNCTION("""COMPUTED_VALUE"""),"BCM")</f>
        <v>BCM</v>
      </c>
      <c r="T560" s="3" t="str">
        <f>IFERROR(__xludf.DUMMYFUNCTION("""COMPUTED_VALUE"""),"#N/A")</f>
        <v>#N/A</v>
      </c>
      <c r="U560" s="3" t="str">
        <f>IFERROR(__xludf.DUMMYFUNCTION("""COMPUTED_VALUE"""),"#N/A")</f>
        <v>#N/A</v>
      </c>
      <c r="V560" s="3" t="str">
        <f>IFERROR(__xludf.DUMMYFUNCTION("""COMPUTED_VALUE"""),"N")</f>
        <v>N</v>
      </c>
      <c r="W560" s="3">
        <f>IFERROR(__xludf.DUMMYFUNCTION("""COMPUTED_VALUE"""),361115.0)</f>
        <v>361115</v>
      </c>
      <c r="X560" s="3" t="str">
        <f>IFERROR(__xludf.DUMMYFUNCTION("""COMPUTED_VALUE"""),"68/4 หมู่ 2 ตำบลมะเกลือใหม่ อำเภอสูงเนิน จังหวัดนครราชสีมา 30170")</f>
        <v>68/4 หมู่ 2 ตำบลมะเกลือใหม่ อำเภอสูงเนิน จังหวัดนครราชสีมา 30170</v>
      </c>
      <c r="Y560" s="3"/>
      <c r="Z560" s="3" t="str">
        <f>IFERROR(__xludf.DUMMYFUNCTION("""COMPUTED_VALUE"""),"มะเกลือใหม่")</f>
        <v>มะเกลือใหม่</v>
      </c>
      <c r="AA560" s="3" t="str">
        <f>IFERROR(__xludf.DUMMYFUNCTION("""COMPUTED_VALUE"""),"สูงเนิน")</f>
        <v>สูงเนิน</v>
      </c>
      <c r="AB560" s="3" t="str">
        <f>IFERROR(__xludf.DUMMYFUNCTION("""COMPUTED_VALUE"""),"นครราชสีมา")</f>
        <v>นครราชสีมา</v>
      </c>
      <c r="AC560" s="3">
        <f>IFERROR(__xludf.DUMMYFUNCTION("""COMPUTED_VALUE"""),30170.0)</f>
        <v>30170</v>
      </c>
      <c r="AD560" s="3">
        <f>IFERROR(__xludf.DUMMYFUNCTION("""COMPUTED_VALUE"""),14.8699093)</f>
        <v>14.8699093</v>
      </c>
      <c r="AE560" s="3">
        <f>IFERROR(__xludf.DUMMYFUNCTION("""COMPUTED_VALUE"""),101.7383188)</f>
        <v>101.7383188</v>
      </c>
      <c r="AF560" s="3" t="str">
        <f>IFERROR(__xludf.DUMMYFUNCTION("""COMPUTED_VALUE"""),"MBC BCP สูงเนิน 2 (ขาเข้า)-21327")</f>
        <v>MBC BCP สูงเนิน 2 (ขาเข้า)-21327</v>
      </c>
      <c r="AG560" s="3" t="str">
        <f>IFERROR(__xludf.DUMMYFUNCTION("""COMPUTED_VALUE"""),"ตะวันออกเฉียงเหนือ")</f>
        <v>ตะวันออกเฉียงเหนือ</v>
      </c>
      <c r="AH560" s="3" t="str">
        <f>IFERROR(__xludf.DUMMYFUNCTION("""COMPUTED_VALUE"""),"#N/A")</f>
        <v>#N/A</v>
      </c>
      <c r="AI560" s="3" t="str">
        <f>IFERROR(__xludf.DUMMYFUNCTION("""COMPUTED_VALUE"""),"Out of warranty")</f>
        <v>Out of warranty</v>
      </c>
      <c r="AJ560" s="3">
        <f>IFERROR(__xludf.DUMMYFUNCTION("""COMPUTED_VALUE"""),133.0)</f>
        <v>133</v>
      </c>
      <c r="AK560" s="3" t="str">
        <f>IFERROR(__xludf.DUMMYFUNCTION("""COMPUTED_VALUE"""),"MMS11")</f>
        <v>MMS11</v>
      </c>
      <c r="AL560" s="3"/>
    </row>
    <row r="561" ht="15.75" customHeight="1">
      <c r="A561" s="1" t="str">
        <f>IFERROR(__xludf.DUMMYFUNCTION("""COMPUTED_VALUE"""),"21328")</f>
        <v>21328</v>
      </c>
      <c r="B561" s="2">
        <f>IFERROR(__xludf.DUMMYFUNCTION("""COMPUTED_VALUE"""),21328.0)</f>
        <v>21328</v>
      </c>
      <c r="C561" s="3" t="str">
        <f>IFERROR(__xludf.DUMMYFUNCTION("""COMPUTED_VALUE"""),"MBC BCP ลาดบัวขาว")</f>
        <v>MBC BCP ลาดบัวขาว</v>
      </c>
      <c r="D561" s="3" t="str">
        <f>IFERROR(__xludf.DUMMYFUNCTION("""COMPUTED_VALUE"""),"MBC BCP LAT BUA KHAO")</f>
        <v>MBC BCP LAT BUA KHAO</v>
      </c>
      <c r="E561" s="1" t="str">
        <f>IFERROR(__xludf.DUMMYFUNCTION("""COMPUTED_VALUE"""),"บิ๊กซี MINI")</f>
        <v>บิ๊กซี MINI</v>
      </c>
      <c r="F561" s="1" t="str">
        <f>IFERROR(__xludf.DUMMYFUNCTION("""COMPUTED_VALUE"""),"291100")</f>
        <v>291100</v>
      </c>
      <c r="G561" s="1" t="str">
        <f>IFERROR(__xludf.DUMMYFUNCTION("""COMPUTED_VALUE"""),"น.ส.จารุณี ฮวบอินทร์")</f>
        <v>น.ส.จารุณี ฮวบอินทร์</v>
      </c>
      <c r="H561" s="1" t="str">
        <f>IFERROR(__xludf.DUMMYFUNCTION("""COMPUTED_VALUE"""),"180347")</f>
        <v>180347</v>
      </c>
      <c r="I561" s="1" t="str">
        <f>IFERROR(__xludf.DUMMYFUNCTION("""COMPUTED_VALUE"""),"นายณัฐพงษ์ สุตะวงค์")</f>
        <v>นายณัฐพงษ์ สุตะวงค์</v>
      </c>
      <c r="J561" s="3">
        <f>IFERROR(__xludf.DUMMYFUNCTION("""COMPUTED_VALUE"""),295886.0)</f>
        <v>295886</v>
      </c>
      <c r="K561" s="3" t="str">
        <f>IFERROR(__xludf.DUMMYFUNCTION("""COMPUTED_VALUE"""),"นายจิระพงษ์ โพธิ์นิล")</f>
        <v>นายจิระพงษ์ โพธิ์นิล</v>
      </c>
      <c r="L561" s="1" t="str">
        <f>IFERROR(__xludf.DUMMYFUNCTION("""COMPUTED_VALUE"""),"นายจิระพงษ์ โพธิ์นิล")</f>
        <v>นายจิระพงษ์ โพธิ์นิล</v>
      </c>
      <c r="M561" s="1" t="str">
        <f>IFERROR(__xludf.DUMMYFUNCTION("""COMPUTED_VALUE"""),"0933290754")</f>
        <v>0933290754</v>
      </c>
      <c r="N561" s="3">
        <f>IFERROR(__xludf.DUMMYFUNCTION("""COMPUTED_VALUE"""),21465.0)</f>
        <v>21465</v>
      </c>
      <c r="O561" s="3" t="str">
        <f>IFERROR(__xludf.DUMMYFUNCTION("""COMPUTED_VALUE"""),"MBC สถานีตำรวจอุดร")</f>
        <v>MBC สถานีตำรวจอุดร</v>
      </c>
      <c r="P561" s="4">
        <f>IFERROR(__xludf.DUMMYFUNCTION("""COMPUTED_VALUE"""),41999.0)</f>
        <v>41999</v>
      </c>
      <c r="Q561" s="3" t="str">
        <f>IFERROR(__xludf.DUMMYFUNCTION("""COMPUTED_VALUE"""),"I")</f>
        <v>I</v>
      </c>
      <c r="R561" s="3" t="str">
        <f>IFERROR(__xludf.DUMMYFUNCTION("""COMPUTED_VALUE"""),"Small Format")</f>
        <v>Small Format</v>
      </c>
      <c r="S561" s="3" t="str">
        <f>IFERROR(__xludf.DUMMYFUNCTION("""COMPUTED_VALUE"""),"BCM")</f>
        <v>BCM</v>
      </c>
      <c r="T561" s="3" t="str">
        <f>IFERROR(__xludf.DUMMYFUNCTION("""COMPUTED_VALUE"""),"#N/A")</f>
        <v>#N/A</v>
      </c>
      <c r="U561" s="3" t="str">
        <f>IFERROR(__xludf.DUMMYFUNCTION("""COMPUTED_VALUE"""),"#N/A")</f>
        <v>#N/A</v>
      </c>
      <c r="V561" s="3" t="str">
        <f>IFERROR(__xludf.DUMMYFUNCTION("""COMPUTED_VALUE"""),"N")</f>
        <v>N</v>
      </c>
      <c r="W561" s="3">
        <f>IFERROR(__xludf.DUMMYFUNCTION("""COMPUTED_VALUE"""),0.0)</f>
        <v>0</v>
      </c>
      <c r="X561" s="3" t="str">
        <f>IFERROR(__xludf.DUMMYFUNCTION("""COMPUTED_VALUE"""),"166 หมู่ 15 ตำบลลาดบัวขาว อำเภอสีคิ้ว จังหวัดนครราชสีมา 30340")</f>
        <v>166 หมู่ 15 ตำบลลาดบัวขาว อำเภอสีคิ้ว จังหวัดนครราชสีมา 30340</v>
      </c>
      <c r="Y561" s="3"/>
      <c r="Z561" s="3" t="str">
        <f>IFERROR(__xludf.DUMMYFUNCTION("""COMPUTED_VALUE"""),"ลาดบัวขาว")</f>
        <v>ลาดบัวขาว</v>
      </c>
      <c r="AA561" s="3" t="str">
        <f>IFERROR(__xludf.DUMMYFUNCTION("""COMPUTED_VALUE"""),"สีคิ้ว")</f>
        <v>สีคิ้ว</v>
      </c>
      <c r="AB561" s="3" t="str">
        <f>IFERROR(__xludf.DUMMYFUNCTION("""COMPUTED_VALUE"""),"นครราชสีมา")</f>
        <v>นครราชสีมา</v>
      </c>
      <c r="AC561" s="3">
        <f>IFERROR(__xludf.DUMMYFUNCTION("""COMPUTED_VALUE"""),30340.0)</f>
        <v>30340</v>
      </c>
      <c r="AD561" s="3" t="str">
        <f>IFERROR(__xludf.DUMMYFUNCTION("""COMPUTED_VALUE"""),"#N/A")</f>
        <v>#N/A</v>
      </c>
      <c r="AE561" s="3" t="str">
        <f>IFERROR(__xludf.DUMMYFUNCTION("""COMPUTED_VALUE"""),"#N/A")</f>
        <v>#N/A</v>
      </c>
      <c r="AF561" s="3" t="str">
        <f>IFERROR(__xludf.DUMMYFUNCTION("""COMPUTED_VALUE"""),"MBC BCP ลาดบัวขาว-21328")</f>
        <v>MBC BCP ลาดบัวขาว-21328</v>
      </c>
      <c r="AG561" s="3" t="str">
        <f>IFERROR(__xludf.DUMMYFUNCTION("""COMPUTED_VALUE"""),"ตะวันออกเฉียงเหนือ")</f>
        <v>ตะวันออกเฉียงเหนือ</v>
      </c>
      <c r="AH561" s="3" t="str">
        <f>IFERROR(__xludf.DUMMYFUNCTION("""COMPUTED_VALUE"""),"#N/A")</f>
        <v>#N/A</v>
      </c>
      <c r="AI561" s="3" t="str">
        <f>IFERROR(__xludf.DUMMYFUNCTION("""COMPUTED_VALUE"""),"Out of warranty")</f>
        <v>Out of warranty</v>
      </c>
      <c r="AJ561" s="3">
        <f>IFERROR(__xludf.DUMMYFUNCTION("""COMPUTED_VALUE"""),133.0)</f>
        <v>133</v>
      </c>
      <c r="AK561" s="3"/>
      <c r="AL561" s="3"/>
    </row>
    <row r="562" ht="15.75" customHeight="1">
      <c r="A562" s="1" t="str">
        <f>IFERROR(__xludf.DUMMYFUNCTION("""COMPUTED_VALUE"""),"21329")</f>
        <v>21329</v>
      </c>
      <c r="B562" s="2">
        <f>IFERROR(__xludf.DUMMYFUNCTION("""COMPUTED_VALUE"""),21329.0)</f>
        <v>21329</v>
      </c>
      <c r="C562" s="3" t="str">
        <f>IFERROR(__xludf.DUMMYFUNCTION("""COMPUTED_VALUE"""),"MBC BCPโคราช-สืบศิริ")</f>
        <v>MBC BCPโคราช-สืบศิริ</v>
      </c>
      <c r="D562" s="3" t="str">
        <f>IFERROR(__xludf.DUMMYFUNCTION("""COMPUTED_VALUE"""),"MBC BCP KORAT-SUEB SIRI")</f>
        <v>MBC BCP KORAT-SUEB SIRI</v>
      </c>
      <c r="E562" s="1" t="str">
        <f>IFERROR(__xludf.DUMMYFUNCTION("""COMPUTED_VALUE"""),"บิ๊กซี MINI")</f>
        <v>บิ๊กซี MINI</v>
      </c>
      <c r="F562" s="1" t="str">
        <f>IFERROR(__xludf.DUMMYFUNCTION("""COMPUTED_VALUE"""),"291100")</f>
        <v>291100</v>
      </c>
      <c r="G562" s="1" t="str">
        <f>IFERROR(__xludf.DUMMYFUNCTION("""COMPUTED_VALUE"""),"น.ส.จารุณี ฮวบอินทร์")</f>
        <v>น.ส.จารุณี ฮวบอินทร์</v>
      </c>
      <c r="H562" s="1" t="str">
        <f>IFERROR(__xludf.DUMMYFUNCTION("""COMPUTED_VALUE"""),"180347")</f>
        <v>180347</v>
      </c>
      <c r="I562" s="1" t="str">
        <f>IFERROR(__xludf.DUMMYFUNCTION("""COMPUTED_VALUE"""),"นายณัฐพงษ์ สุตะวงค์")</f>
        <v>นายณัฐพงษ์ สุตะวงค์</v>
      </c>
      <c r="J562" s="3">
        <f>IFERROR(__xludf.DUMMYFUNCTION("""COMPUTED_VALUE"""),295886.0)</f>
        <v>295886</v>
      </c>
      <c r="K562" s="3" t="str">
        <f>IFERROR(__xludf.DUMMYFUNCTION("""COMPUTED_VALUE"""),"นายจิระพงษ์ โพธิ์นิล")</f>
        <v>นายจิระพงษ์ โพธิ์นิล</v>
      </c>
      <c r="L562" s="1" t="str">
        <f>IFERROR(__xludf.DUMMYFUNCTION("""COMPUTED_VALUE"""),"นายจิระพงษ์ โพธิ์นิล")</f>
        <v>นายจิระพงษ์ โพธิ์นิล</v>
      </c>
      <c r="M562" s="1" t="str">
        <f>IFERROR(__xludf.DUMMYFUNCTION("""COMPUTED_VALUE"""),"0933290754")</f>
        <v>0933290754</v>
      </c>
      <c r="N562" s="3">
        <f>IFERROR(__xludf.DUMMYFUNCTION("""COMPUTED_VALUE"""),21465.0)</f>
        <v>21465</v>
      </c>
      <c r="O562" s="3" t="str">
        <f>IFERROR(__xludf.DUMMYFUNCTION("""COMPUTED_VALUE"""),"MBC สถานีตำรวจอุดร")</f>
        <v>MBC สถานีตำรวจอุดร</v>
      </c>
      <c r="P562" s="4">
        <f>IFERROR(__xludf.DUMMYFUNCTION("""COMPUTED_VALUE"""),41999.0)</f>
        <v>41999</v>
      </c>
      <c r="Q562" s="3" t="str">
        <f>IFERROR(__xludf.DUMMYFUNCTION("""COMPUTED_VALUE"""),"I")</f>
        <v>I</v>
      </c>
      <c r="R562" s="3" t="str">
        <f>IFERROR(__xludf.DUMMYFUNCTION("""COMPUTED_VALUE"""),"Small Format")</f>
        <v>Small Format</v>
      </c>
      <c r="S562" s="3" t="str">
        <f>IFERROR(__xludf.DUMMYFUNCTION("""COMPUTED_VALUE"""),"BCM")</f>
        <v>BCM</v>
      </c>
      <c r="T562" s="3" t="str">
        <f>IFERROR(__xludf.DUMMYFUNCTION("""COMPUTED_VALUE"""),"#N/A")</f>
        <v>#N/A</v>
      </c>
      <c r="U562" s="3" t="str">
        <f>IFERROR(__xludf.DUMMYFUNCTION("""COMPUTED_VALUE"""),"#N/A")</f>
        <v>#N/A</v>
      </c>
      <c r="V562" s="3" t="str">
        <f>IFERROR(__xludf.DUMMYFUNCTION("""COMPUTED_VALUE"""),"N")</f>
        <v>N</v>
      </c>
      <c r="W562" s="3">
        <f>IFERROR(__xludf.DUMMYFUNCTION("""COMPUTED_VALUE"""),0.0)</f>
        <v>0</v>
      </c>
      <c r="X562" s="3" t="str">
        <f>IFERROR(__xludf.DUMMYFUNCTION("""COMPUTED_VALUE"""),"152/4 ถนนสืบศิริ ตำบลในเมือง อำเภอเมืองนครราชสีมา จังหวัดนครราชสีมา 30000")</f>
        <v>152/4 ถนนสืบศิริ ตำบลในเมือง อำเภอเมืองนครราชสีมา จังหวัดนครราชสีมา 30000</v>
      </c>
      <c r="Y562" s="3" t="str">
        <f>IFERROR(__xludf.DUMMYFUNCTION("""COMPUTED_VALUE"""),"ถนนสืบศิริ")</f>
        <v>ถนนสืบศิริ</v>
      </c>
      <c r="Z562" s="3" t="str">
        <f>IFERROR(__xludf.DUMMYFUNCTION("""COMPUTED_VALUE"""),"ในเมือง")</f>
        <v>ในเมือง</v>
      </c>
      <c r="AA562" s="3" t="str">
        <f>IFERROR(__xludf.DUMMYFUNCTION("""COMPUTED_VALUE"""),"เมือง")</f>
        <v>เมือง</v>
      </c>
      <c r="AB562" s="3" t="str">
        <f>IFERROR(__xludf.DUMMYFUNCTION("""COMPUTED_VALUE"""),"นครราชสีมา")</f>
        <v>นครราชสีมา</v>
      </c>
      <c r="AC562" s="3">
        <f>IFERROR(__xludf.DUMMYFUNCTION("""COMPUTED_VALUE"""),30000.0)</f>
        <v>30000</v>
      </c>
      <c r="AD562" s="3" t="str">
        <f>IFERROR(__xludf.DUMMYFUNCTION("""COMPUTED_VALUE"""),"#N/A")</f>
        <v>#N/A</v>
      </c>
      <c r="AE562" s="3" t="str">
        <f>IFERROR(__xludf.DUMMYFUNCTION("""COMPUTED_VALUE"""),"#N/A")</f>
        <v>#N/A</v>
      </c>
      <c r="AF562" s="3" t="str">
        <f>IFERROR(__xludf.DUMMYFUNCTION("""COMPUTED_VALUE"""),"MBC BCPโคราช-สืบศิริ-21329")</f>
        <v>MBC BCPโคราช-สืบศิริ-21329</v>
      </c>
      <c r="AG562" s="3" t="str">
        <f>IFERROR(__xludf.DUMMYFUNCTION("""COMPUTED_VALUE"""),"ตะวันออกเฉียงเหนือ")</f>
        <v>ตะวันออกเฉียงเหนือ</v>
      </c>
      <c r="AH562" s="3" t="str">
        <f>IFERROR(__xludf.DUMMYFUNCTION("""COMPUTED_VALUE"""),"#N/A")</f>
        <v>#N/A</v>
      </c>
      <c r="AI562" s="3" t="str">
        <f>IFERROR(__xludf.DUMMYFUNCTION("""COMPUTED_VALUE"""),"Out of warranty")</f>
        <v>Out of warranty</v>
      </c>
      <c r="AJ562" s="3">
        <f>IFERROR(__xludf.DUMMYFUNCTION("""COMPUTED_VALUE"""),133.0)</f>
        <v>133</v>
      </c>
      <c r="AK562" s="3"/>
      <c r="AL562" s="3"/>
    </row>
    <row r="563" ht="15.75" customHeight="1">
      <c r="A563" s="1" t="str">
        <f>IFERROR(__xludf.DUMMYFUNCTION("""COMPUTED_VALUE"""),"21330")</f>
        <v>21330</v>
      </c>
      <c r="B563" s="2">
        <f>IFERROR(__xludf.DUMMYFUNCTION("""COMPUTED_VALUE"""),21330.0)</f>
        <v>21330</v>
      </c>
      <c r="C563" s="3" t="str">
        <f>IFERROR(__xludf.DUMMYFUNCTION("""COMPUTED_VALUE"""),"MBC BCP บายพาสชลบุรี กม.1")</f>
        <v>MBC BCP บายพาสชลบุรี กม.1</v>
      </c>
      <c r="D563" s="3" t="str">
        <f>IFERROR(__xludf.DUMMYFUNCTION("""COMPUTED_VALUE"""),"BCM BCP BYPASS CHONBURI KM.1")</f>
        <v>BCM BCP BYPASS CHONBURI KM.1</v>
      </c>
      <c r="E563" s="1" t="str">
        <f>IFERROR(__xludf.DUMMYFUNCTION("""COMPUTED_VALUE"""),"บิ๊กซี MINI")</f>
        <v>บิ๊กซี MINI</v>
      </c>
      <c r="F563" s="1" t="str">
        <f>IFERROR(__xludf.DUMMYFUNCTION("""COMPUTED_VALUE"""),"221716")</f>
        <v>221716</v>
      </c>
      <c r="G563" s="1" t="str">
        <f>IFERROR(__xludf.DUMMYFUNCTION("""COMPUTED_VALUE"""),"น.ส.เบญจพร โพธิสาร")</f>
        <v>น.ส.เบญจพร โพธิสาร</v>
      </c>
      <c r="H563" s="1" t="str">
        <f>IFERROR(__xludf.DUMMYFUNCTION("""COMPUTED_VALUE"""),"034605")</f>
        <v>034605</v>
      </c>
      <c r="I563" s="1" t="str">
        <f>IFERROR(__xludf.DUMMYFUNCTION("""COMPUTED_VALUE"""),"นายธรรมรัตน์ สุขเจริญ")</f>
        <v>นายธรรมรัตน์ สุขเจริญ</v>
      </c>
      <c r="J563" s="3">
        <f>IFERROR(__xludf.DUMMYFUNCTION("""COMPUTED_VALUE"""),1.3461215E7)</f>
        <v>13461215</v>
      </c>
      <c r="K563" s="3" t="str">
        <f>IFERROR(__xludf.DUMMYFUNCTION("""COMPUTED_VALUE"""),"นายธีรภัทร สังข์เงิน")</f>
        <v>นายธีรภัทร สังข์เงิน</v>
      </c>
      <c r="L563" s="3" t="str">
        <f>IFERROR(__xludf.DUMMYFUNCTION("""COMPUTED_VALUE"""),"06 K.Teerapat")</f>
        <v>06 K.Teerapat</v>
      </c>
      <c r="M563" s="1" t="str">
        <f>IFERROR(__xludf.DUMMYFUNCTION("""COMPUTED_VALUE"""),"063-601-6803")</f>
        <v>063-601-6803</v>
      </c>
      <c r="N563" s="3">
        <f>IFERROR(__xludf.DUMMYFUNCTION("""COMPUTED_VALUE"""),22115.0)</f>
        <v>22115</v>
      </c>
      <c r="O563" s="3" t="str">
        <f>IFERROR(__xludf.DUMMYFUNCTION("""COMPUTED_VALUE"""),"MBC เลี่ยงหนองมน ชลบุรี")</f>
        <v>MBC เลี่ยงหนองมน ชลบุรี</v>
      </c>
      <c r="P563" s="4">
        <f>IFERROR(__xludf.DUMMYFUNCTION("""COMPUTED_VALUE"""),41999.0)</f>
        <v>41999</v>
      </c>
      <c r="Q563" s="3" t="str">
        <f>IFERROR(__xludf.DUMMYFUNCTION("""COMPUTED_VALUE"""),"A")</f>
        <v>A</v>
      </c>
      <c r="R563" s="3" t="str">
        <f>IFERROR(__xludf.DUMMYFUNCTION("""COMPUTED_VALUE"""),"Small Format")</f>
        <v>Small Format</v>
      </c>
      <c r="S563" s="3" t="str">
        <f>IFERROR(__xludf.DUMMYFUNCTION("""COMPUTED_VALUE"""),"BCM")</f>
        <v>BCM</v>
      </c>
      <c r="T563" s="3" t="str">
        <f>IFERROR(__xludf.DUMMYFUNCTION("""COMPUTED_VALUE"""),"#N/A")</f>
        <v>#N/A</v>
      </c>
      <c r="U563" s="3" t="str">
        <f>IFERROR(__xludf.DUMMYFUNCTION("""COMPUTED_VALUE"""),"#N/A")</f>
        <v>#N/A</v>
      </c>
      <c r="V563" s="3" t="str">
        <f>IFERROR(__xludf.DUMMYFUNCTION("""COMPUTED_VALUE"""),"N")</f>
        <v>N</v>
      </c>
      <c r="W563" s="3">
        <f>IFERROR(__xludf.DUMMYFUNCTION("""COMPUTED_VALUE"""),361083.0)</f>
        <v>361083</v>
      </c>
      <c r="X563" s="3" t="str">
        <f>IFERROR(__xludf.DUMMYFUNCTION("""COMPUTED_VALUE"""),"99/1 หมู่ 4 ตำบลหนองไม้แดง อำเภอเมืองชลบุรี จังหวัดชลบุรี 20000")</f>
        <v>99/1 หมู่ 4 ตำบลหนองไม้แดง อำเภอเมืองชลบุรี จังหวัดชลบุรี 20000</v>
      </c>
      <c r="Y563" s="3"/>
      <c r="Z563" s="3" t="str">
        <f>IFERROR(__xludf.DUMMYFUNCTION("""COMPUTED_VALUE"""),"หนองไม้แดง")</f>
        <v>หนองไม้แดง</v>
      </c>
      <c r="AA563" s="3" t="str">
        <f>IFERROR(__xludf.DUMMYFUNCTION("""COMPUTED_VALUE"""),"เมือง")</f>
        <v>เมือง</v>
      </c>
      <c r="AB563" s="3" t="str">
        <f>IFERROR(__xludf.DUMMYFUNCTION("""COMPUTED_VALUE"""),"ชลบุรี")</f>
        <v>ชลบุรี</v>
      </c>
      <c r="AC563" s="3">
        <f>IFERROR(__xludf.DUMMYFUNCTION("""COMPUTED_VALUE"""),20000.0)</f>
        <v>20000</v>
      </c>
      <c r="AD563" s="3">
        <f>IFERROR(__xludf.DUMMYFUNCTION("""COMPUTED_VALUE"""),13.4134988)</f>
        <v>13.4134988</v>
      </c>
      <c r="AE563" s="3">
        <f>IFERROR(__xludf.DUMMYFUNCTION("""COMPUTED_VALUE"""),100.9994956)</f>
        <v>100.9994956</v>
      </c>
      <c r="AF563" s="3" t="str">
        <f>IFERROR(__xludf.DUMMYFUNCTION("""COMPUTED_VALUE"""),"MBC BCP บายพาสชลบุรี กม.1-21330")</f>
        <v>MBC BCP บายพาสชลบุรี กม.1-21330</v>
      </c>
      <c r="AG563" s="3" t="str">
        <f>IFERROR(__xludf.DUMMYFUNCTION("""COMPUTED_VALUE"""),"ตะวันออก")</f>
        <v>ตะวันออก</v>
      </c>
      <c r="AH563" s="3" t="str">
        <f>IFERROR(__xludf.DUMMYFUNCTION("""COMPUTED_VALUE"""),"#N/A")</f>
        <v>#N/A</v>
      </c>
      <c r="AI563" s="3" t="str">
        <f>IFERROR(__xludf.DUMMYFUNCTION("""COMPUTED_VALUE"""),"Out of warranty")</f>
        <v>Out of warranty</v>
      </c>
      <c r="AJ563" s="3">
        <f>IFERROR(__xludf.DUMMYFUNCTION("""COMPUTED_VALUE"""),133.0)</f>
        <v>133</v>
      </c>
      <c r="AK563" s="3" t="str">
        <f>IFERROR(__xludf.DUMMYFUNCTION("""COMPUTED_VALUE"""),"MMS06")</f>
        <v>MMS06</v>
      </c>
      <c r="AL563" s="3"/>
    </row>
    <row r="564" ht="15.75" customHeight="1">
      <c r="A564" s="1" t="str">
        <f>IFERROR(__xludf.DUMMYFUNCTION("""COMPUTED_VALUE"""),"21331")</f>
        <v>21331</v>
      </c>
      <c r="B564" s="2">
        <f>IFERROR(__xludf.DUMMYFUNCTION("""COMPUTED_VALUE"""),21331.0)</f>
        <v>21331</v>
      </c>
      <c r="C564" s="3" t="str">
        <f>IFERROR(__xludf.DUMMYFUNCTION("""COMPUTED_VALUE"""),"MBC BCP โรจนะ")</f>
        <v>MBC BCP โรจนะ</v>
      </c>
      <c r="D564" s="3" t="str">
        <f>IFERROR(__xludf.DUMMYFUNCTION("""COMPUTED_VALUE"""),"BCM BCP ROJANA")</f>
        <v>BCM BCP ROJANA</v>
      </c>
      <c r="E564" s="1" t="str">
        <f>IFERROR(__xludf.DUMMYFUNCTION("""COMPUTED_VALUE"""),"บิ๊กซี MINI")</f>
        <v>บิ๊กซี MINI</v>
      </c>
      <c r="F564" s="1" t="str">
        <f>IFERROR(__xludf.DUMMYFUNCTION("""COMPUTED_VALUE"""),"296229")</f>
        <v>296229</v>
      </c>
      <c r="G564" s="1" t="str">
        <f>IFERROR(__xludf.DUMMYFUNCTION("""COMPUTED_VALUE"""),"นายทนงศักดิ์ บุญมา")</f>
        <v>นายทนงศักดิ์ บุญมา</v>
      </c>
      <c r="H564" s="1" t="str">
        <f>IFERROR(__xludf.DUMMYFUNCTION("""COMPUTED_VALUE"""),"211363")</f>
        <v>211363</v>
      </c>
      <c r="I564" s="1" t="str">
        <f>IFERROR(__xludf.DUMMYFUNCTION("""COMPUTED_VALUE"""),"นายสามารถ บุญลับ")</f>
        <v>นายสามารถ บุญลับ</v>
      </c>
      <c r="J564" s="3">
        <f>IFERROR(__xludf.DUMMYFUNCTION("""COMPUTED_VALUE"""),46214.0)</f>
        <v>46214</v>
      </c>
      <c r="K564" s="3" t="str">
        <f>IFERROR(__xludf.DUMMYFUNCTION("""COMPUTED_VALUE"""),"นายศักดิ์ชัย เด็ดดอกฟ้า")</f>
        <v>นายศักดิ์ชัย เด็ดดอกฟ้า</v>
      </c>
      <c r="L564" s="3" t="str">
        <f>IFERROR(__xludf.DUMMYFUNCTION("""COMPUTED_VALUE"""),"02 K.Sakchai D")</f>
        <v>02 K.Sakchai D</v>
      </c>
      <c r="M564" s="1" t="str">
        <f>IFERROR(__xludf.DUMMYFUNCTION("""COMPUTED_VALUE"""),"065-510-7376")</f>
        <v>065-510-7376</v>
      </c>
      <c r="N564" s="3">
        <f>IFERROR(__xludf.DUMMYFUNCTION("""COMPUTED_VALUE"""),21714.0)</f>
        <v>21714</v>
      </c>
      <c r="O564" s="3" t="str">
        <f>IFERROR(__xludf.DUMMYFUNCTION("""COMPUTED_VALUE"""),"MBC เอสโซ่ วัดโบสถ์")</f>
        <v>MBC เอสโซ่ วัดโบสถ์</v>
      </c>
      <c r="P564" s="4">
        <f>IFERROR(__xludf.DUMMYFUNCTION("""COMPUTED_VALUE"""),42078.0)</f>
        <v>42078</v>
      </c>
      <c r="Q564" s="3" t="str">
        <f>IFERROR(__xludf.DUMMYFUNCTION("""COMPUTED_VALUE"""),"A")</f>
        <v>A</v>
      </c>
      <c r="R564" s="3" t="str">
        <f>IFERROR(__xludf.DUMMYFUNCTION("""COMPUTED_VALUE"""),"Small Format")</f>
        <v>Small Format</v>
      </c>
      <c r="S564" s="3" t="str">
        <f>IFERROR(__xludf.DUMMYFUNCTION("""COMPUTED_VALUE"""),"BCM")</f>
        <v>BCM</v>
      </c>
      <c r="T564" s="3" t="str">
        <f>IFERROR(__xludf.DUMMYFUNCTION("""COMPUTED_VALUE"""),"#N/A")</f>
        <v>#N/A</v>
      </c>
      <c r="U564" s="3" t="str">
        <f>IFERROR(__xludf.DUMMYFUNCTION("""COMPUTED_VALUE"""),"#N/A")</f>
        <v>#N/A</v>
      </c>
      <c r="V564" s="3" t="str">
        <f>IFERROR(__xludf.DUMMYFUNCTION("""COMPUTED_VALUE"""),"N")</f>
        <v>N</v>
      </c>
      <c r="W564" s="3">
        <f>IFERROR(__xludf.DUMMYFUNCTION("""COMPUTED_VALUE"""),361110.0)</f>
        <v>361110</v>
      </c>
      <c r="X564" s="3" t="str">
        <f>IFERROR(__xludf.DUMMYFUNCTION("""COMPUTED_VALUE"""),"55/6 หมู่ 3 ตำบลสามเรือน อำเภอบางปะอิน จังหวัดพระนครศรีอยุธยา 13160")</f>
        <v>55/6 หมู่ 3 ตำบลสามเรือน อำเภอบางปะอิน จังหวัดพระนครศรีอยุธยา 13160</v>
      </c>
      <c r="Y564" s="3"/>
      <c r="Z564" s="3" t="str">
        <f>IFERROR(__xludf.DUMMYFUNCTION("""COMPUTED_VALUE"""),"สามเรือน")</f>
        <v>สามเรือน</v>
      </c>
      <c r="AA564" s="3" t="str">
        <f>IFERROR(__xludf.DUMMYFUNCTION("""COMPUTED_VALUE"""),"บางปะอิน")</f>
        <v>บางปะอิน</v>
      </c>
      <c r="AB564" s="3" t="str">
        <f>IFERROR(__xludf.DUMMYFUNCTION("""COMPUTED_VALUE"""),"พระนครศรีอยุธยา")</f>
        <v>พระนครศรีอยุธยา</v>
      </c>
      <c r="AC564" s="3">
        <f>IFERROR(__xludf.DUMMYFUNCTION("""COMPUTED_VALUE"""),13160.0)</f>
        <v>13160</v>
      </c>
      <c r="AD564" s="3">
        <f>IFERROR(__xludf.DUMMYFUNCTION("""COMPUTED_VALUE"""),14.298111)</f>
        <v>14.298111</v>
      </c>
      <c r="AE564" s="3">
        <f>IFERROR(__xludf.DUMMYFUNCTION("""COMPUTED_VALUE"""),100.655766)</f>
        <v>100.655766</v>
      </c>
      <c r="AF564" s="3" t="str">
        <f>IFERROR(__xludf.DUMMYFUNCTION("""COMPUTED_VALUE"""),"MBC BCP โรจนะ-21331")</f>
        <v>MBC BCP โรจนะ-21331</v>
      </c>
      <c r="AG564" s="3" t="str">
        <f>IFERROR(__xludf.DUMMYFUNCTION("""COMPUTED_VALUE"""),"กลาง")</f>
        <v>กลาง</v>
      </c>
      <c r="AH564" s="3" t="str">
        <f>IFERROR(__xludf.DUMMYFUNCTION("""COMPUTED_VALUE"""),"#N/A")</f>
        <v>#N/A</v>
      </c>
      <c r="AI564" s="3" t="str">
        <f>IFERROR(__xludf.DUMMYFUNCTION("""COMPUTED_VALUE"""),"Out of warranty")</f>
        <v>Out of warranty</v>
      </c>
      <c r="AJ564" s="3">
        <f>IFERROR(__xludf.DUMMYFUNCTION("""COMPUTED_VALUE"""),131.0)</f>
        <v>131</v>
      </c>
      <c r="AK564" s="3" t="str">
        <f>IFERROR(__xludf.DUMMYFUNCTION("""COMPUTED_VALUE"""),"MMS04")</f>
        <v>MMS04</v>
      </c>
      <c r="AL564" s="3"/>
    </row>
    <row r="565" ht="15.75" customHeight="1">
      <c r="A565" s="1" t="str">
        <f>IFERROR(__xludf.DUMMYFUNCTION("""COMPUTED_VALUE"""),"21332")</f>
        <v>21332</v>
      </c>
      <c r="B565" s="2">
        <f>IFERROR(__xludf.DUMMYFUNCTION("""COMPUTED_VALUE"""),21332.0)</f>
        <v>21332</v>
      </c>
      <c r="C565" s="3" t="str">
        <f>IFERROR(__xludf.DUMMYFUNCTION("""COMPUTED_VALUE"""),"MBC BCP อ่อนนุช 17/1")</f>
        <v>MBC BCP อ่อนนุช 17/1</v>
      </c>
      <c r="D565" s="3" t="str">
        <f>IFERROR(__xludf.DUMMYFUNCTION("""COMPUTED_VALUE"""),"BCM BCP ON NUCH 17/1")</f>
        <v>BCM BCP ON NUCH 17/1</v>
      </c>
      <c r="E565" s="1" t="str">
        <f>IFERROR(__xludf.DUMMYFUNCTION("""COMPUTED_VALUE"""),"บิ๊กซี MINI")</f>
        <v>บิ๊กซี MINI</v>
      </c>
      <c r="F565" s="1" t="str">
        <f>IFERROR(__xludf.DUMMYFUNCTION("""COMPUTED_VALUE"""),"291008")</f>
        <v>291008</v>
      </c>
      <c r="G565" s="1" t="str">
        <f>IFERROR(__xludf.DUMMYFUNCTION("""COMPUTED_VALUE"""),"น.ส.รัชดาพร อีศรัตน์")</f>
        <v>น.ส.รัชดาพร อีศรัตน์</v>
      </c>
      <c r="H565" s="1" t="str">
        <f>IFERROR(__xludf.DUMMYFUNCTION("""COMPUTED_VALUE"""),"359054")</f>
        <v>359054</v>
      </c>
      <c r="I565" s="1" t="str">
        <f>IFERROR(__xludf.DUMMYFUNCTION("""COMPUTED_VALUE"""),"น.ส.กรรณิการ์ พุทธวงค์")</f>
        <v>น.ส.กรรณิการ์ พุทธวงค์</v>
      </c>
      <c r="J565" s="3">
        <f>IFERROR(__xludf.DUMMYFUNCTION("""COMPUTED_VALUE"""),2452378.0)</f>
        <v>2452378</v>
      </c>
      <c r="K565" s="3" t="str">
        <f>IFERROR(__xludf.DUMMYFUNCTION("""COMPUTED_VALUE"""),"นายศักดิ์ดา พวงประดับ")</f>
        <v>นายศักดิ์ดา พวงประดับ</v>
      </c>
      <c r="L565" s="3" t="str">
        <f>IFERROR(__xludf.DUMMYFUNCTION("""COMPUTED_VALUE"""),"11 K.Sakda P.")</f>
        <v>11 K.Sakda P.</v>
      </c>
      <c r="M565" s="1" t="str">
        <f>IFERROR(__xludf.DUMMYFUNCTION("""COMPUTED_VALUE"""),"065-929-1279")</f>
        <v>065-929-1279</v>
      </c>
      <c r="N565" s="3">
        <f>IFERROR(__xludf.DUMMYFUNCTION("""COMPUTED_VALUE"""),21002.0)</f>
        <v>21002</v>
      </c>
      <c r="O565" s="3" t="str">
        <f>IFERROR(__xludf.DUMMYFUNCTION("""COMPUTED_VALUE"""),"MBC อุดมสุข")</f>
        <v>MBC อุดมสุข</v>
      </c>
      <c r="P565" s="4">
        <f>IFERROR(__xludf.DUMMYFUNCTION("""COMPUTED_VALUE"""),42063.0)</f>
        <v>42063</v>
      </c>
      <c r="Q565" s="3" t="str">
        <f>IFERROR(__xludf.DUMMYFUNCTION("""COMPUTED_VALUE"""),"A")</f>
        <v>A</v>
      </c>
      <c r="R565" s="3" t="str">
        <f>IFERROR(__xludf.DUMMYFUNCTION("""COMPUTED_VALUE"""),"Small Format")</f>
        <v>Small Format</v>
      </c>
      <c r="S565" s="3" t="str">
        <f>IFERROR(__xludf.DUMMYFUNCTION("""COMPUTED_VALUE"""),"BCM")</f>
        <v>BCM</v>
      </c>
      <c r="T565" s="3" t="str">
        <f>IFERROR(__xludf.DUMMYFUNCTION("""COMPUTED_VALUE"""),"#N/A")</f>
        <v>#N/A</v>
      </c>
      <c r="U565" s="3" t="str">
        <f>IFERROR(__xludf.DUMMYFUNCTION("""COMPUTED_VALUE"""),"#N/A")</f>
        <v>#N/A</v>
      </c>
      <c r="V565" s="3" t="str">
        <f>IFERROR(__xludf.DUMMYFUNCTION("""COMPUTED_VALUE"""),"N")</f>
        <v>N</v>
      </c>
      <c r="W565" s="3">
        <f>IFERROR(__xludf.DUMMYFUNCTION("""COMPUTED_VALUE"""),361108.0)</f>
        <v>361108</v>
      </c>
      <c r="X565" s="3" t="str">
        <f>IFERROR(__xludf.DUMMYFUNCTION("""COMPUTED_VALUE"""),"923/2 ถนนอ่อนนุช แขวงสวนหลวง เขตสวนหลวง กรุงเทพมหานคร 10250")</f>
        <v>923/2 ถนนอ่อนนุช แขวงสวนหลวง เขตสวนหลวง กรุงเทพมหานคร 10250</v>
      </c>
      <c r="Y565" s="3" t="str">
        <f>IFERROR(__xludf.DUMMYFUNCTION("""COMPUTED_VALUE"""),"ถนนอ่อนนุช")</f>
        <v>ถนนอ่อนนุช</v>
      </c>
      <c r="Z565" s="3" t="str">
        <f>IFERROR(__xludf.DUMMYFUNCTION("""COMPUTED_VALUE"""),"สวนหลวง")</f>
        <v>สวนหลวง</v>
      </c>
      <c r="AA565" s="3" t="str">
        <f>IFERROR(__xludf.DUMMYFUNCTION("""COMPUTED_VALUE"""),"สวนหลวง")</f>
        <v>สวนหลวง</v>
      </c>
      <c r="AB565" s="3" t="str">
        <f>IFERROR(__xludf.DUMMYFUNCTION("""COMPUTED_VALUE"""),"กรุงเทพมหานคร")</f>
        <v>กรุงเทพมหานคร</v>
      </c>
      <c r="AC565" s="3">
        <f>IFERROR(__xludf.DUMMYFUNCTION("""COMPUTED_VALUE"""),10250.0)</f>
        <v>10250</v>
      </c>
      <c r="AD565" s="3">
        <f>IFERROR(__xludf.DUMMYFUNCTION("""COMPUTED_VALUE"""),13.710366)</f>
        <v>13.710366</v>
      </c>
      <c r="AE565" s="3">
        <f>IFERROR(__xludf.DUMMYFUNCTION("""COMPUTED_VALUE"""),100.611902)</f>
        <v>100.611902</v>
      </c>
      <c r="AF565" s="3" t="str">
        <f>IFERROR(__xludf.DUMMYFUNCTION("""COMPUTED_VALUE"""),"MBC BCP อ่อนนุช 17/1-21332")</f>
        <v>MBC BCP อ่อนนุช 17/1-21332</v>
      </c>
      <c r="AG565" s="3" t="str">
        <f>IFERROR(__xludf.DUMMYFUNCTION("""COMPUTED_VALUE"""),"กลาง")</f>
        <v>กลาง</v>
      </c>
      <c r="AH565" s="3" t="str">
        <f>IFERROR(__xludf.DUMMYFUNCTION("""COMPUTED_VALUE"""),"#N/A")</f>
        <v>#N/A</v>
      </c>
      <c r="AI565" s="3" t="str">
        <f>IFERROR(__xludf.DUMMYFUNCTION("""COMPUTED_VALUE"""),"Out of warranty")</f>
        <v>Out of warranty</v>
      </c>
      <c r="AJ565" s="3">
        <f>IFERROR(__xludf.DUMMYFUNCTION("""COMPUTED_VALUE"""),131.0)</f>
        <v>131</v>
      </c>
      <c r="AK565" s="3"/>
      <c r="AL565" s="3"/>
    </row>
    <row r="566" ht="15.75" customHeight="1">
      <c r="A566" s="1" t="str">
        <f>IFERROR(__xludf.DUMMYFUNCTION("""COMPUTED_VALUE"""),"21333")</f>
        <v>21333</v>
      </c>
      <c r="B566" s="2">
        <f>IFERROR(__xludf.DUMMYFUNCTION("""COMPUTED_VALUE"""),21333.0)</f>
        <v>21333</v>
      </c>
      <c r="C566" s="3" t="str">
        <f>IFERROR(__xludf.DUMMYFUNCTION("""COMPUTED_VALUE"""),"MBC BCP ราชพฤกษ์")</f>
        <v>MBC BCP ราชพฤกษ์</v>
      </c>
      <c r="D566" s="3" t="str">
        <f>IFERROR(__xludf.DUMMYFUNCTION("""COMPUTED_VALUE"""),"BCM BCP RATCHAPHRUEK")</f>
        <v>BCM BCP RATCHAPHRUEK</v>
      </c>
      <c r="E566" s="1" t="str">
        <f>IFERROR(__xludf.DUMMYFUNCTION("""COMPUTED_VALUE"""),"บิ๊กซี MINI")</f>
        <v>บิ๊กซี MINI</v>
      </c>
      <c r="F566" s="1" t="str">
        <f>IFERROR(__xludf.DUMMYFUNCTION("""COMPUTED_VALUE"""),"291008")</f>
        <v>291008</v>
      </c>
      <c r="G566" s="1" t="str">
        <f>IFERROR(__xludf.DUMMYFUNCTION("""COMPUTED_VALUE"""),"น.ส.รัชดาพร อีศรัตน์")</f>
        <v>น.ส.รัชดาพร อีศรัตน์</v>
      </c>
      <c r="H566" s="1" t="str">
        <f>IFERROR(__xludf.DUMMYFUNCTION("""COMPUTED_VALUE"""),"034068")</f>
        <v>034068</v>
      </c>
      <c r="I566" s="1" t="str">
        <f>IFERROR(__xludf.DUMMYFUNCTION("""COMPUTED_VALUE"""),"นายสมศักดิ์ ฐานทองดี")</f>
        <v>นายสมศักดิ์ ฐานทองดี</v>
      </c>
      <c r="J566" s="3">
        <f>IFERROR(__xludf.DUMMYFUNCTION("""COMPUTED_VALUE"""),296608.0)</f>
        <v>296608</v>
      </c>
      <c r="K566" s="3" t="str">
        <f>IFERROR(__xludf.DUMMYFUNCTION("""COMPUTED_VALUE"""),"นายภาคภูมิ เพ็ชรนิล")</f>
        <v>นายภาคภูมิ เพ็ชรนิล</v>
      </c>
      <c r="L566" s="3" t="str">
        <f>IFERROR(__xludf.DUMMYFUNCTION("""COMPUTED_VALUE"""),"10 K.Phakphoom P.")</f>
        <v>10 K.Phakphoom P.</v>
      </c>
      <c r="M566" s="1" t="str">
        <f>IFERROR(__xludf.DUMMYFUNCTION("""COMPUTED_VALUE"""),"063-8955329")</f>
        <v>063-8955329</v>
      </c>
      <c r="N566" s="3">
        <f>IFERROR(__xludf.DUMMYFUNCTION("""COMPUTED_VALUE"""),22584.0)</f>
        <v>22584</v>
      </c>
      <c r="O566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566" s="4">
        <f>IFERROR(__xludf.DUMMYFUNCTION("""COMPUTED_VALUE"""),42063.0)</f>
        <v>42063</v>
      </c>
      <c r="Q566" s="3" t="str">
        <f>IFERROR(__xludf.DUMMYFUNCTION("""COMPUTED_VALUE"""),"A")</f>
        <v>A</v>
      </c>
      <c r="R566" s="3" t="str">
        <f>IFERROR(__xludf.DUMMYFUNCTION("""COMPUTED_VALUE"""),"Small Format")</f>
        <v>Small Format</v>
      </c>
      <c r="S566" s="3" t="str">
        <f>IFERROR(__xludf.DUMMYFUNCTION("""COMPUTED_VALUE"""),"BCM")</f>
        <v>BCM</v>
      </c>
      <c r="T566" s="3" t="str">
        <f>IFERROR(__xludf.DUMMYFUNCTION("""COMPUTED_VALUE"""),"#N/A")</f>
        <v>#N/A</v>
      </c>
      <c r="U566" s="3" t="str">
        <f>IFERROR(__xludf.DUMMYFUNCTION("""COMPUTED_VALUE"""),"#N/A")</f>
        <v>#N/A</v>
      </c>
      <c r="V566" s="3" t="str">
        <f>IFERROR(__xludf.DUMMYFUNCTION("""COMPUTED_VALUE"""),"N")</f>
        <v>N</v>
      </c>
      <c r="W566" s="3">
        <f>IFERROR(__xludf.DUMMYFUNCTION("""COMPUTED_VALUE"""),361119.0)</f>
        <v>361119</v>
      </c>
      <c r="X566" s="3" t="str">
        <f>IFERROR(__xludf.DUMMYFUNCTION("""COMPUTED_VALUE"""),"14/7 หมู่ 5 ตำบลบางรักน้อย อำเภอเมืองนนทบุรี จังหวัดนนทบุรี 11000")</f>
        <v>14/7 หมู่ 5 ตำบลบางรักน้อย อำเภอเมืองนนทบุรี จังหวัดนนทบุรี 11000</v>
      </c>
      <c r="Y566" s="3"/>
      <c r="Z566" s="3" t="str">
        <f>IFERROR(__xludf.DUMMYFUNCTION("""COMPUTED_VALUE"""),"บางรักน้อย")</f>
        <v>บางรักน้อย</v>
      </c>
      <c r="AA566" s="3" t="str">
        <f>IFERROR(__xludf.DUMMYFUNCTION("""COMPUTED_VALUE"""),"เมืองนนทบุรี")</f>
        <v>เมืองนนทบุรี</v>
      </c>
      <c r="AB566" s="3" t="str">
        <f>IFERROR(__xludf.DUMMYFUNCTION("""COMPUTED_VALUE"""),"นนทบุรี")</f>
        <v>นนทบุรี</v>
      </c>
      <c r="AC566" s="3">
        <f>IFERROR(__xludf.DUMMYFUNCTION("""COMPUTED_VALUE"""),11000.0)</f>
        <v>11000</v>
      </c>
      <c r="AD566" s="3">
        <f>IFERROR(__xludf.DUMMYFUNCTION("""COMPUTED_VALUE"""),13.890536)</f>
        <v>13.890536</v>
      </c>
      <c r="AE566" s="3">
        <f>IFERROR(__xludf.DUMMYFUNCTION("""COMPUTED_VALUE"""),100.4503207)</f>
        <v>100.4503207</v>
      </c>
      <c r="AF566" s="3" t="str">
        <f>IFERROR(__xludf.DUMMYFUNCTION("""COMPUTED_VALUE"""),"MBC BCP ราชพฤกษ์-21333")</f>
        <v>MBC BCP ราชพฤกษ์-21333</v>
      </c>
      <c r="AG566" s="3" t="str">
        <f>IFERROR(__xludf.DUMMYFUNCTION("""COMPUTED_VALUE"""),"กลาง")</f>
        <v>กลาง</v>
      </c>
      <c r="AH566" s="3" t="str">
        <f>IFERROR(__xludf.DUMMYFUNCTION("""COMPUTED_VALUE"""),"#N/A")</f>
        <v>#N/A</v>
      </c>
      <c r="AI566" s="3" t="str">
        <f>IFERROR(__xludf.DUMMYFUNCTION("""COMPUTED_VALUE"""),"Out of warranty")</f>
        <v>Out of warranty</v>
      </c>
      <c r="AJ566" s="3">
        <f>IFERROR(__xludf.DUMMYFUNCTION("""COMPUTED_VALUE"""),131.0)</f>
        <v>131</v>
      </c>
      <c r="AK566" s="3" t="str">
        <f>IFERROR(__xludf.DUMMYFUNCTION("""COMPUTED_VALUE"""),"MMS01")</f>
        <v>MMS01</v>
      </c>
      <c r="AL566" s="3"/>
    </row>
    <row r="567" ht="15.75" customHeight="1">
      <c r="A567" s="1" t="str">
        <f>IFERROR(__xludf.DUMMYFUNCTION("""COMPUTED_VALUE"""),"21334")</f>
        <v>21334</v>
      </c>
      <c r="B567" s="2">
        <f>IFERROR(__xludf.DUMMYFUNCTION("""COMPUTED_VALUE"""),21334.0)</f>
        <v>21334</v>
      </c>
      <c r="C567" s="3" t="str">
        <f>IFERROR(__xludf.DUMMYFUNCTION("""COMPUTED_VALUE"""),"MBC BCP รัตนาธิเบศร์")</f>
        <v>MBC BCP รัตนาธิเบศร์</v>
      </c>
      <c r="D567" s="3" t="str">
        <f>IFERROR(__xludf.DUMMYFUNCTION("""COMPUTED_VALUE"""),"BCM BCP RATANATHIBET")</f>
        <v>BCM BCP RATANATHIBET</v>
      </c>
      <c r="E567" s="1" t="str">
        <f>IFERROR(__xludf.DUMMYFUNCTION("""COMPUTED_VALUE"""),"บิ๊กซี MINI")</f>
        <v>บิ๊กซี MINI</v>
      </c>
      <c r="F567" s="1" t="str">
        <f>IFERROR(__xludf.DUMMYFUNCTION("""COMPUTED_VALUE"""),"291008")</f>
        <v>291008</v>
      </c>
      <c r="G567" s="1" t="str">
        <f>IFERROR(__xludf.DUMMYFUNCTION("""COMPUTED_VALUE"""),"น.ส.รัชดาพร อีศรัตน์")</f>
        <v>น.ส.รัชดาพร อีศรัตน์</v>
      </c>
      <c r="H567" s="1" t="str">
        <f>IFERROR(__xludf.DUMMYFUNCTION("""COMPUTED_VALUE"""),"359054")</f>
        <v>359054</v>
      </c>
      <c r="I567" s="1" t="str">
        <f>IFERROR(__xludf.DUMMYFUNCTION("""COMPUTED_VALUE"""),"น.ส.กรรณิการ์ พุทธวงค์")</f>
        <v>น.ส.กรรณิการ์ พุทธวงค์</v>
      </c>
      <c r="J567" s="3">
        <f>IFERROR(__xludf.DUMMYFUNCTION("""COMPUTED_VALUE"""),296728.0)</f>
        <v>296728</v>
      </c>
      <c r="K567" s="3" t="str">
        <f>IFERROR(__xludf.DUMMYFUNCTION("""COMPUTED_VALUE"""),"นายธิติ บัวทองรังสิมา")</f>
        <v>นายธิติ บัวทองรังสิมา</v>
      </c>
      <c r="L567" s="1" t="str">
        <f>IFERROR(__xludf.DUMMYFUNCTION("""COMPUTED_VALUE"""),"นายธิติ บัวทองรังสิมา")</f>
        <v>นายธิติ บัวทองรังสิมา</v>
      </c>
      <c r="M567" s="1" t="str">
        <f>IFERROR(__xludf.DUMMYFUNCTION("""COMPUTED_VALUE"""),"0920849994")</f>
        <v>0920849994</v>
      </c>
      <c r="N567" s="3">
        <f>IFERROR(__xludf.DUMMYFUNCTION("""COMPUTED_VALUE"""),21012.0)</f>
        <v>21012</v>
      </c>
      <c r="O567" s="3" t="str">
        <f>IFERROR(__xludf.DUMMYFUNCTION("""COMPUTED_VALUE"""),"MBC ท่าอิฐ")</f>
        <v>MBC ท่าอิฐ</v>
      </c>
      <c r="P567" s="4">
        <f>IFERROR(__xludf.DUMMYFUNCTION("""COMPUTED_VALUE"""),42076.0)</f>
        <v>42076</v>
      </c>
      <c r="Q567" s="3" t="str">
        <f>IFERROR(__xludf.DUMMYFUNCTION("""COMPUTED_VALUE"""),"I")</f>
        <v>I</v>
      </c>
      <c r="R567" s="3" t="str">
        <f>IFERROR(__xludf.DUMMYFUNCTION("""COMPUTED_VALUE"""),"Small Format")</f>
        <v>Small Format</v>
      </c>
      <c r="S567" s="3" t="str">
        <f>IFERROR(__xludf.DUMMYFUNCTION("""COMPUTED_VALUE"""),"BCM")</f>
        <v>BCM</v>
      </c>
      <c r="T567" s="3" t="str">
        <f>IFERROR(__xludf.DUMMYFUNCTION("""COMPUTED_VALUE"""),"#N/A")</f>
        <v>#N/A</v>
      </c>
      <c r="U567" s="3" t="str">
        <f>IFERROR(__xludf.DUMMYFUNCTION("""COMPUTED_VALUE"""),"#N/A")</f>
        <v>#N/A</v>
      </c>
      <c r="V567" s="3" t="str">
        <f>IFERROR(__xludf.DUMMYFUNCTION("""COMPUTED_VALUE"""),"N")</f>
        <v>N</v>
      </c>
      <c r="W567" s="3">
        <f>IFERROR(__xludf.DUMMYFUNCTION("""COMPUTED_VALUE"""),361118.0)</f>
        <v>361118</v>
      </c>
      <c r="X567" s="3" t="str">
        <f>IFERROR(__xludf.DUMMYFUNCTION("""COMPUTED_VALUE"""),"79/11-12 หมู่ 3 ตำบลบางรักน้อย อำเภอเมืองนนทบุรี จังหวัดนนทบุรี 11000")</f>
        <v>79/11-12 หมู่ 3 ตำบลบางรักน้อย อำเภอเมืองนนทบุรี จังหวัดนนทบุรี 11000</v>
      </c>
      <c r="Y567" s="3"/>
      <c r="Z567" s="3" t="str">
        <f>IFERROR(__xludf.DUMMYFUNCTION("""COMPUTED_VALUE"""),"บางรักน้อย")</f>
        <v>บางรักน้อย</v>
      </c>
      <c r="AA567" s="3" t="str">
        <f>IFERROR(__xludf.DUMMYFUNCTION("""COMPUTED_VALUE"""),"เมืองนนทบุรี")</f>
        <v>เมืองนนทบุรี</v>
      </c>
      <c r="AB567" s="3" t="str">
        <f>IFERROR(__xludf.DUMMYFUNCTION("""COMPUTED_VALUE"""),"นนทบุรี")</f>
        <v>นนทบุรี</v>
      </c>
      <c r="AC567" s="3">
        <f>IFERROR(__xludf.DUMMYFUNCTION("""COMPUTED_VALUE"""),11000.0)</f>
        <v>11000</v>
      </c>
      <c r="AD567" s="3">
        <f>IFERROR(__xludf.DUMMYFUNCTION("""COMPUTED_VALUE"""),13.874729)</f>
        <v>13.874729</v>
      </c>
      <c r="AE567" s="3">
        <f>IFERROR(__xludf.DUMMYFUNCTION("""COMPUTED_VALUE"""),100.457918)</f>
        <v>100.457918</v>
      </c>
      <c r="AF567" s="3" t="str">
        <f>IFERROR(__xludf.DUMMYFUNCTION("""COMPUTED_VALUE"""),"MBC BCP รัตนาธิเบศร์-21334")</f>
        <v>MBC BCP รัตนาธิเบศร์-21334</v>
      </c>
      <c r="AG567" s="3" t="str">
        <f>IFERROR(__xludf.DUMMYFUNCTION("""COMPUTED_VALUE"""),"กลาง")</f>
        <v>กลาง</v>
      </c>
      <c r="AH567" s="3" t="str">
        <f>IFERROR(__xludf.DUMMYFUNCTION("""COMPUTED_VALUE"""),"#N/A")</f>
        <v>#N/A</v>
      </c>
      <c r="AI567" s="3" t="str">
        <f>IFERROR(__xludf.DUMMYFUNCTION("""COMPUTED_VALUE"""),"Out of warranty")</f>
        <v>Out of warranty</v>
      </c>
      <c r="AJ567" s="3">
        <f>IFERROR(__xludf.DUMMYFUNCTION("""COMPUTED_VALUE"""),131.0)</f>
        <v>131</v>
      </c>
      <c r="AK567" s="3" t="str">
        <f>IFERROR(__xludf.DUMMYFUNCTION("""COMPUTED_VALUE"""),"MMS01")</f>
        <v>MMS01</v>
      </c>
      <c r="AL567" s="3"/>
    </row>
    <row r="568" ht="15.75" customHeight="1">
      <c r="A568" s="1" t="str">
        <f>IFERROR(__xludf.DUMMYFUNCTION("""COMPUTED_VALUE"""),"21335")</f>
        <v>21335</v>
      </c>
      <c r="B568" s="2">
        <f>IFERROR(__xludf.DUMMYFUNCTION("""COMPUTED_VALUE"""),21335.0)</f>
        <v>21335</v>
      </c>
      <c r="C568" s="3" t="str">
        <f>IFERROR(__xludf.DUMMYFUNCTION("""COMPUTED_VALUE"""),"MBC BCP ติวานนท์ 15")</f>
        <v>MBC BCP ติวานนท์ 15</v>
      </c>
      <c r="D568" s="3" t="str">
        <f>IFERROR(__xludf.DUMMYFUNCTION("""COMPUTED_VALUE"""),"MBC BCP TIWANON 15")</f>
        <v>MBC BCP TIWANON 15</v>
      </c>
      <c r="E568" s="1" t="str">
        <f>IFERROR(__xludf.DUMMYFUNCTION("""COMPUTED_VALUE"""),"บิ๊กซี MINI")</f>
        <v>บิ๊กซี MINI</v>
      </c>
      <c r="F568" s="1" t="str">
        <f>IFERROR(__xludf.DUMMYFUNCTION("""COMPUTED_VALUE"""),"291008")</f>
        <v>291008</v>
      </c>
      <c r="G568" s="1" t="str">
        <f>IFERROR(__xludf.DUMMYFUNCTION("""COMPUTED_VALUE"""),"น.ส.รัชดาพร อีศรัตน์")</f>
        <v>น.ส.รัชดาพร อีศรัตน์</v>
      </c>
      <c r="H568" s="1" t="str">
        <f>IFERROR(__xludf.DUMMYFUNCTION("""COMPUTED_VALUE"""),"228392")</f>
        <v>228392</v>
      </c>
      <c r="I568" s="1" t="str">
        <f>IFERROR(__xludf.DUMMYFUNCTION("""COMPUTED_VALUE"""),"นายพงษ์ประพันธ์ อุ่นประเสริฐ")</f>
        <v>นายพงษ์ประพันธ์ อุ่นประเสริฐ</v>
      </c>
      <c r="J568" s="3">
        <f>IFERROR(__xludf.DUMMYFUNCTION("""COMPUTED_VALUE"""),3510104.0)</f>
        <v>3510104</v>
      </c>
      <c r="K568" s="3" t="str">
        <f>IFERROR(__xludf.DUMMYFUNCTION("""COMPUTED_VALUE"""),"นายวิโรจน์ อับดุลสมัด")</f>
        <v>นายวิโรจน์ อับดุลสมัด</v>
      </c>
      <c r="L568" s="1" t="str">
        <f>IFERROR(__xludf.DUMMYFUNCTION("""COMPUTED_VALUE"""),"09 K.Wirode A")</f>
        <v>09 K.Wirode A</v>
      </c>
      <c r="M568" s="1" t="str">
        <f>IFERROR(__xludf.DUMMYFUNCTION("""COMPUTED_VALUE"""),"080-235-4465")</f>
        <v>080-235-4465</v>
      </c>
      <c r="N568" s="3">
        <f>IFERROR(__xludf.DUMMYFUNCTION("""COMPUTED_VALUE"""),21324.0)</f>
        <v>21324</v>
      </c>
      <c r="O568" s="3" t="str">
        <f>IFERROR(__xludf.DUMMYFUNCTION("""COMPUTED_VALUE"""),"MBC BCP สุวินทวงศ์")</f>
        <v>MBC BCP สุวินทวงศ์</v>
      </c>
      <c r="P568" s="4">
        <f>IFERROR(__xludf.DUMMYFUNCTION("""COMPUTED_VALUE"""),42152.0)</f>
        <v>42152</v>
      </c>
      <c r="Q568" s="3" t="str">
        <f>IFERROR(__xludf.DUMMYFUNCTION("""COMPUTED_VALUE"""),"I")</f>
        <v>I</v>
      </c>
      <c r="R568" s="3" t="str">
        <f>IFERROR(__xludf.DUMMYFUNCTION("""COMPUTED_VALUE"""),"Small Format")</f>
        <v>Small Format</v>
      </c>
      <c r="S568" s="3" t="str">
        <f>IFERROR(__xludf.DUMMYFUNCTION("""COMPUTED_VALUE"""),"BCM")</f>
        <v>BCM</v>
      </c>
      <c r="T568" s="3" t="str">
        <f>IFERROR(__xludf.DUMMYFUNCTION("""COMPUTED_VALUE"""),"#N/A")</f>
        <v>#N/A</v>
      </c>
      <c r="U568" s="3" t="str">
        <f>IFERROR(__xludf.DUMMYFUNCTION("""COMPUTED_VALUE"""),"#N/A")</f>
        <v>#N/A</v>
      </c>
      <c r="V568" s="3" t="str">
        <f>IFERROR(__xludf.DUMMYFUNCTION("""COMPUTED_VALUE"""),"N")</f>
        <v>N</v>
      </c>
      <c r="W568" s="3">
        <f>IFERROR(__xludf.DUMMYFUNCTION("""COMPUTED_VALUE"""),361081.0)</f>
        <v>361081</v>
      </c>
      <c r="X568" s="3" t="str">
        <f>IFERROR(__xludf.DUMMYFUNCTION("""COMPUTED_VALUE"""),"251/1 ถนนติวานนท์ ตำบลบางกระสอ อำเภอเมืองนนทบุรี จังหวัดนนทบุรี 11000")</f>
        <v>251/1 ถนนติวานนท์ ตำบลบางกระสอ อำเภอเมืองนนทบุรี จังหวัดนนทบุรี 11000</v>
      </c>
      <c r="Y568" s="3" t="str">
        <f>IFERROR(__xludf.DUMMYFUNCTION("""COMPUTED_VALUE"""),"ถนนติวานนท์")</f>
        <v>ถนนติวานนท์</v>
      </c>
      <c r="Z568" s="3" t="str">
        <f>IFERROR(__xludf.DUMMYFUNCTION("""COMPUTED_VALUE"""),"บางกระสอ")</f>
        <v>บางกระสอ</v>
      </c>
      <c r="AA568" s="3" t="str">
        <f>IFERROR(__xludf.DUMMYFUNCTION("""COMPUTED_VALUE"""),"เมืองนนทบุรี")</f>
        <v>เมืองนนทบุรี</v>
      </c>
      <c r="AB568" s="3" t="str">
        <f>IFERROR(__xludf.DUMMYFUNCTION("""COMPUTED_VALUE"""),"นนทบุรี")</f>
        <v>นนทบุรี</v>
      </c>
      <c r="AC568" s="3">
        <f>IFERROR(__xludf.DUMMYFUNCTION("""COMPUTED_VALUE"""),11000.0)</f>
        <v>11000</v>
      </c>
      <c r="AD568" s="3">
        <f>IFERROR(__xludf.DUMMYFUNCTION("""COMPUTED_VALUE"""),13.863997)</f>
        <v>13.863997</v>
      </c>
      <c r="AE568" s="3">
        <f>IFERROR(__xludf.DUMMYFUNCTION("""COMPUTED_VALUE"""),100.519822)</f>
        <v>100.519822</v>
      </c>
      <c r="AF568" s="3" t="str">
        <f>IFERROR(__xludf.DUMMYFUNCTION("""COMPUTED_VALUE"""),"MBC BCP ติวานนท์ 15-21335")</f>
        <v>MBC BCP ติวานนท์ 15-21335</v>
      </c>
      <c r="AG568" s="3" t="str">
        <f>IFERROR(__xludf.DUMMYFUNCTION("""COMPUTED_VALUE"""),"กลาง")</f>
        <v>กลาง</v>
      </c>
      <c r="AH568" s="3" t="str">
        <f>IFERROR(__xludf.DUMMYFUNCTION("""COMPUTED_VALUE"""),"#N/A")</f>
        <v>#N/A</v>
      </c>
      <c r="AI568" s="3" t="str">
        <f>IFERROR(__xludf.DUMMYFUNCTION("""COMPUTED_VALUE"""),"Out of warranty")</f>
        <v>Out of warranty</v>
      </c>
      <c r="AJ568" s="3">
        <f>IFERROR(__xludf.DUMMYFUNCTION("""COMPUTED_VALUE"""),128.0)</f>
        <v>128</v>
      </c>
      <c r="AK568" s="3"/>
      <c r="AL568" s="3"/>
    </row>
    <row r="569" ht="15.75" customHeight="1">
      <c r="A569" s="1" t="str">
        <f>IFERROR(__xludf.DUMMYFUNCTION("""COMPUTED_VALUE"""),"21336")</f>
        <v>21336</v>
      </c>
      <c r="B569" s="2">
        <f>IFERROR(__xludf.DUMMYFUNCTION("""COMPUTED_VALUE"""),21336.0)</f>
        <v>21336</v>
      </c>
      <c r="C569" s="3" t="str">
        <f>IFERROR(__xludf.DUMMYFUNCTION("""COMPUTED_VALUE"""),"MBC BCP สายเอเชีย กม 81 (ขาออก)")</f>
        <v>MBC BCP สายเอเชีย กม 81 (ขาออก)</v>
      </c>
      <c r="D569" s="3" t="str">
        <f>IFERROR(__xludf.DUMMYFUNCTION("""COMPUTED_VALUE"""),"BCM BCP ASIA KM 81 (OUTBOUND)")</f>
        <v>BCM BCP ASIA KM 81 (OUTBOUND)</v>
      </c>
      <c r="E569" s="1" t="str">
        <f>IFERROR(__xludf.DUMMYFUNCTION("""COMPUTED_VALUE"""),"บิ๊กซี MINI")</f>
        <v>บิ๊กซี MINI</v>
      </c>
      <c r="F569" s="1" t="str">
        <f>IFERROR(__xludf.DUMMYFUNCTION("""COMPUTED_VALUE"""),"296229")</f>
        <v>296229</v>
      </c>
      <c r="G569" s="1" t="str">
        <f>IFERROR(__xludf.DUMMYFUNCTION("""COMPUTED_VALUE"""),"นายทนงศักดิ์ บุญมา")</f>
        <v>นายทนงศักดิ์ บุญมา</v>
      </c>
      <c r="H569" s="1" t="str">
        <f>IFERROR(__xludf.DUMMYFUNCTION("""COMPUTED_VALUE"""),"318186")</f>
        <v>318186</v>
      </c>
      <c r="I569" s="1" t="str">
        <f>IFERROR(__xludf.DUMMYFUNCTION("""COMPUTED_VALUE"""),"น.ส.พนมวัลย์ เรืองรัตน์")</f>
        <v>น.ส.พนมวัลย์ เรืองรัตน์</v>
      </c>
      <c r="J569" s="3">
        <f>IFERROR(__xludf.DUMMYFUNCTION("""COMPUTED_VALUE"""),46214.0)</f>
        <v>46214</v>
      </c>
      <c r="K569" s="3" t="str">
        <f>IFERROR(__xludf.DUMMYFUNCTION("""COMPUTED_VALUE"""),"นายศักดิ์ชัย เด็ดดอกฟ้า")</f>
        <v>นายศักดิ์ชัย เด็ดดอกฟ้า</v>
      </c>
      <c r="L569" s="1" t="str">
        <f>IFERROR(__xludf.DUMMYFUNCTION("""COMPUTED_VALUE"""),"02 K.Sakchai D")</f>
        <v>02 K.Sakchai D</v>
      </c>
      <c r="M569" s="1" t="str">
        <f>IFERROR(__xludf.DUMMYFUNCTION("""COMPUTED_VALUE"""),"065-510-7376")</f>
        <v>065-510-7376</v>
      </c>
      <c r="N569" s="3">
        <f>IFERROR(__xludf.DUMMYFUNCTION("""COMPUTED_VALUE"""),21714.0)</f>
        <v>21714</v>
      </c>
      <c r="O569" s="3" t="str">
        <f>IFERROR(__xludf.DUMMYFUNCTION("""COMPUTED_VALUE"""),"MBC เอสโซ่ วัดโบสถ์")</f>
        <v>MBC เอสโซ่ วัดโบสถ์</v>
      </c>
      <c r="P569" s="4">
        <f>IFERROR(__xludf.DUMMYFUNCTION("""COMPUTED_VALUE"""),42124.0)</f>
        <v>42124</v>
      </c>
      <c r="Q569" s="3" t="str">
        <f>IFERROR(__xludf.DUMMYFUNCTION("""COMPUTED_VALUE"""),"I")</f>
        <v>I</v>
      </c>
      <c r="R569" s="3" t="str">
        <f>IFERROR(__xludf.DUMMYFUNCTION("""COMPUTED_VALUE"""),"Small Format")</f>
        <v>Small Format</v>
      </c>
      <c r="S569" s="3" t="str">
        <f>IFERROR(__xludf.DUMMYFUNCTION("""COMPUTED_VALUE"""),"BCM")</f>
        <v>BCM</v>
      </c>
      <c r="T569" s="3" t="str">
        <f>IFERROR(__xludf.DUMMYFUNCTION("""COMPUTED_VALUE"""),"#N/A")</f>
        <v>#N/A</v>
      </c>
      <c r="U569" s="3" t="str">
        <f>IFERROR(__xludf.DUMMYFUNCTION("""COMPUTED_VALUE"""),"#N/A")</f>
        <v>#N/A</v>
      </c>
      <c r="V569" s="3" t="str">
        <f>IFERROR(__xludf.DUMMYFUNCTION("""COMPUTED_VALUE"""),"N")</f>
        <v>N</v>
      </c>
      <c r="W569" s="3">
        <f>IFERROR(__xludf.DUMMYFUNCTION("""COMPUTED_VALUE"""),361122.0)</f>
        <v>361122</v>
      </c>
      <c r="X569" s="3" t="str">
        <f>IFERROR(__xludf.DUMMYFUNCTION("""COMPUTED_VALUE"""),"111/2 หมู่ 1 ตำบลพรหมบุรี อำเภอพรหมบุรี จังหวัดสิงห์บุรี 16160")</f>
        <v>111/2 หมู่ 1 ตำบลพรหมบุรี อำเภอพรหมบุรี จังหวัดสิงห์บุรี 16160</v>
      </c>
      <c r="Y569" s="3"/>
      <c r="Z569" s="3" t="str">
        <f>IFERROR(__xludf.DUMMYFUNCTION("""COMPUTED_VALUE"""),"พรหมบุรี")</f>
        <v>พรหมบุรี</v>
      </c>
      <c r="AA569" s="3" t="str">
        <f>IFERROR(__xludf.DUMMYFUNCTION("""COMPUTED_VALUE"""),"พรหมบุรี")</f>
        <v>พรหมบุรี</v>
      </c>
      <c r="AB569" s="3" t="str">
        <f>IFERROR(__xludf.DUMMYFUNCTION("""COMPUTED_VALUE"""),"สิงห์บุรี")</f>
        <v>สิงห์บุรี</v>
      </c>
      <c r="AC569" s="3">
        <f>IFERROR(__xludf.DUMMYFUNCTION("""COMPUTED_VALUE"""),16160.0)</f>
        <v>16160</v>
      </c>
      <c r="AD569" s="3">
        <f>IFERROR(__xludf.DUMMYFUNCTION("""COMPUTED_VALUE"""),14.850206)</f>
        <v>14.850206</v>
      </c>
      <c r="AE569" s="3">
        <f>IFERROR(__xludf.DUMMYFUNCTION("""COMPUTED_VALUE"""),100.444472)</f>
        <v>100.444472</v>
      </c>
      <c r="AF569" s="3" t="str">
        <f>IFERROR(__xludf.DUMMYFUNCTION("""COMPUTED_VALUE"""),"MBC BCP สายเอเชีย กม 81 (ขาออก)-21336")</f>
        <v>MBC BCP สายเอเชีย กม 81 (ขาออก)-21336</v>
      </c>
      <c r="AG569" s="3" t="str">
        <f>IFERROR(__xludf.DUMMYFUNCTION("""COMPUTED_VALUE"""),"กลาง")</f>
        <v>กลาง</v>
      </c>
      <c r="AH569" s="3" t="str">
        <f>IFERROR(__xludf.DUMMYFUNCTION("""COMPUTED_VALUE"""),"#N/A")</f>
        <v>#N/A</v>
      </c>
      <c r="AI569" s="3" t="str">
        <f>IFERROR(__xludf.DUMMYFUNCTION("""COMPUTED_VALUE"""),"Out of warranty")</f>
        <v>Out of warranty</v>
      </c>
      <c r="AJ569" s="3">
        <f>IFERROR(__xludf.DUMMYFUNCTION("""COMPUTED_VALUE"""),129.0)</f>
        <v>129</v>
      </c>
      <c r="AK569" s="3"/>
      <c r="AL569" s="3"/>
    </row>
    <row r="570" ht="15.75" customHeight="1">
      <c r="A570" s="1" t="str">
        <f>IFERROR(__xludf.DUMMYFUNCTION("""COMPUTED_VALUE"""),"21337")</f>
        <v>21337</v>
      </c>
      <c r="B570" s="2">
        <f>IFERROR(__xludf.DUMMYFUNCTION("""COMPUTED_VALUE"""),21337.0)</f>
        <v>21337</v>
      </c>
      <c r="C570" s="3" t="str">
        <f>IFERROR(__xludf.DUMMYFUNCTION("""COMPUTED_VALUE"""),"MBC BCP สุพรรณบุรี")</f>
        <v>MBC BCP สุพรรณบุรี</v>
      </c>
      <c r="D570" s="3" t="str">
        <f>IFERROR(__xludf.DUMMYFUNCTION("""COMPUTED_VALUE"""),"MBC BCP SUPHANBURI")</f>
        <v>MBC BCP SUPHANBURI</v>
      </c>
      <c r="E570" s="1" t="str">
        <f>IFERROR(__xludf.DUMMYFUNCTION("""COMPUTED_VALUE"""),"บิ๊กซี MINI")</f>
        <v>บิ๊กซี MINI</v>
      </c>
      <c r="F570" s="1" t="str">
        <f>IFERROR(__xludf.DUMMYFUNCTION("""COMPUTED_VALUE"""),"296229")</f>
        <v>296229</v>
      </c>
      <c r="G570" s="1" t="str">
        <f>IFERROR(__xludf.DUMMYFUNCTION("""COMPUTED_VALUE"""),"นายทนงศักดิ์ บุญมา")</f>
        <v>นายทนงศักดิ์ บุญมา</v>
      </c>
      <c r="H570" s="1" t="str">
        <f>IFERROR(__xludf.DUMMYFUNCTION("""COMPUTED_VALUE"""),"313033")</f>
        <v>313033</v>
      </c>
      <c r="I570" s="1" t="str">
        <f>IFERROR(__xludf.DUMMYFUNCTION("""COMPUTED_VALUE"""),"นายวันชัย ตรีโอสถ")</f>
        <v>นายวันชัย ตรีโอสถ</v>
      </c>
      <c r="J570" s="3">
        <f>IFERROR(__xludf.DUMMYFUNCTION("""COMPUTED_VALUE"""),46214.0)</f>
        <v>46214</v>
      </c>
      <c r="K570" s="3" t="str">
        <f>IFERROR(__xludf.DUMMYFUNCTION("""COMPUTED_VALUE"""),"นายศักดิ์ชัย เด็ดดอกฟ้า")</f>
        <v>นายศักดิ์ชัย เด็ดดอกฟ้า</v>
      </c>
      <c r="L570" s="1" t="str">
        <f>IFERROR(__xludf.DUMMYFUNCTION("""COMPUTED_VALUE"""),"02 K.Sakchai D")</f>
        <v>02 K.Sakchai D</v>
      </c>
      <c r="M570" s="1" t="str">
        <f>IFERROR(__xludf.DUMMYFUNCTION("""COMPUTED_VALUE"""),"065-510-7376")</f>
        <v>065-510-7376</v>
      </c>
      <c r="N570" s="3">
        <f>IFERROR(__xludf.DUMMYFUNCTION("""COMPUTED_VALUE"""),21441.0)</f>
        <v>21441</v>
      </c>
      <c r="O570" s="3" t="str">
        <f>IFERROR(__xludf.DUMMYFUNCTION("""COMPUTED_VALUE"""),"MBC บ้านกร่าง พิษณุโลก")</f>
        <v>MBC บ้านกร่าง พิษณุโลก</v>
      </c>
      <c r="P570" s="4">
        <f>IFERROR(__xludf.DUMMYFUNCTION("""COMPUTED_VALUE"""),41654.0)</f>
        <v>41654</v>
      </c>
      <c r="Q570" s="3" t="str">
        <f>IFERROR(__xludf.DUMMYFUNCTION("""COMPUTED_VALUE"""),"I")</f>
        <v>I</v>
      </c>
      <c r="R570" s="3" t="str">
        <f>IFERROR(__xludf.DUMMYFUNCTION("""COMPUTED_VALUE"""),"Small Format")</f>
        <v>Small Format</v>
      </c>
      <c r="S570" s="3" t="str">
        <f>IFERROR(__xludf.DUMMYFUNCTION("""COMPUTED_VALUE"""),"BCM")</f>
        <v>BCM</v>
      </c>
      <c r="T570" s="3" t="str">
        <f>IFERROR(__xludf.DUMMYFUNCTION("""COMPUTED_VALUE"""),"#N/A")</f>
        <v>#N/A</v>
      </c>
      <c r="U570" s="3" t="str">
        <f>IFERROR(__xludf.DUMMYFUNCTION("""COMPUTED_VALUE"""),"#N/A")</f>
        <v>#N/A</v>
      </c>
      <c r="V570" s="3" t="str">
        <f>IFERROR(__xludf.DUMMYFUNCTION("""COMPUTED_VALUE"""),"N")</f>
        <v>N</v>
      </c>
      <c r="W570" s="3">
        <f>IFERROR(__xludf.DUMMYFUNCTION("""COMPUTED_VALUE"""),0.0)</f>
        <v>0</v>
      </c>
      <c r="X570" s="3" t="str">
        <f>IFERROR(__xludf.DUMMYFUNCTION("""COMPUTED_VALUE"""),"235/2 หมู่ 5 ตำบลท่าระหัด อำเภอเมืองสุพรรณบุรี จังหวัดสุพรรณบุรี 72000")</f>
        <v>235/2 หมู่ 5 ตำบลท่าระหัด อำเภอเมืองสุพรรณบุรี จังหวัดสุพรรณบุรี 72000</v>
      </c>
      <c r="Y570" s="3"/>
      <c r="Z570" s="3" t="str">
        <f>IFERROR(__xludf.DUMMYFUNCTION("""COMPUTED_VALUE"""),"ท่าระหัด")</f>
        <v>ท่าระหัด</v>
      </c>
      <c r="AA570" s="3" t="str">
        <f>IFERROR(__xludf.DUMMYFUNCTION("""COMPUTED_VALUE"""),"เมือง")</f>
        <v>เมือง</v>
      </c>
      <c r="AB570" s="3" t="str">
        <f>IFERROR(__xludf.DUMMYFUNCTION("""COMPUTED_VALUE"""),"สุพรรณบุรี")</f>
        <v>สุพรรณบุรี</v>
      </c>
      <c r="AC570" s="3">
        <f>IFERROR(__xludf.DUMMYFUNCTION("""COMPUTED_VALUE"""),72000.0)</f>
        <v>72000</v>
      </c>
      <c r="AD570" s="3" t="str">
        <f>IFERROR(__xludf.DUMMYFUNCTION("""COMPUTED_VALUE"""),"#N/A")</f>
        <v>#N/A</v>
      </c>
      <c r="AE570" s="3" t="str">
        <f>IFERROR(__xludf.DUMMYFUNCTION("""COMPUTED_VALUE"""),"#N/A")</f>
        <v>#N/A</v>
      </c>
      <c r="AF570" s="3" t="str">
        <f>IFERROR(__xludf.DUMMYFUNCTION("""COMPUTED_VALUE"""),"MBC BCP สุพรรณบุรี-21337")</f>
        <v>MBC BCP สุพรรณบุรี-21337</v>
      </c>
      <c r="AG570" s="3" t="str">
        <f>IFERROR(__xludf.DUMMYFUNCTION("""COMPUTED_VALUE"""),"กลาง")</f>
        <v>กลาง</v>
      </c>
      <c r="AH570" s="3" t="str">
        <f>IFERROR(__xludf.DUMMYFUNCTION("""COMPUTED_VALUE"""),"#N/A")</f>
        <v>#N/A</v>
      </c>
      <c r="AI570" s="3" t="str">
        <f>IFERROR(__xludf.DUMMYFUNCTION("""COMPUTED_VALUE"""),"Out of warranty")</f>
        <v>Out of warranty</v>
      </c>
      <c r="AJ570" s="3">
        <f>IFERROR(__xludf.DUMMYFUNCTION("""COMPUTED_VALUE"""),145.0)</f>
        <v>145</v>
      </c>
      <c r="AK570" s="3"/>
      <c r="AL570" s="3"/>
    </row>
    <row r="571" ht="15.75" customHeight="1">
      <c r="A571" s="1" t="str">
        <f>IFERROR(__xludf.DUMMYFUNCTION("""COMPUTED_VALUE"""),"21338")</f>
        <v>21338</v>
      </c>
      <c r="B571" s="2">
        <f>IFERROR(__xludf.DUMMYFUNCTION("""COMPUTED_VALUE"""),21338.0)</f>
        <v>21338</v>
      </c>
      <c r="C571" s="3" t="str">
        <f>IFERROR(__xludf.DUMMYFUNCTION("""COMPUTED_VALUE"""),"MBC BCP เพชรเกษม กม 193")</f>
        <v>MBC BCP เพชรเกษม กม 193</v>
      </c>
      <c r="D571" s="3" t="str">
        <f>IFERROR(__xludf.DUMMYFUNCTION("""COMPUTED_VALUE"""),"MBC BCP PHETKASEM KM 193")</f>
        <v>MBC BCP PHETKASEM KM 193</v>
      </c>
      <c r="E571" s="1" t="str">
        <f>IFERROR(__xludf.DUMMYFUNCTION("""COMPUTED_VALUE"""),"บิ๊กซี MINI")</f>
        <v>บิ๊กซี MINI</v>
      </c>
      <c r="F571" s="1" t="str">
        <f>IFERROR(__xludf.DUMMYFUNCTION("""COMPUTED_VALUE"""),"2010918")</f>
        <v>2010918</v>
      </c>
      <c r="G571" s="1" t="str">
        <f>IFERROR(__xludf.DUMMYFUNCTION("""COMPUTED_VALUE"""),"น.ส.สุดารัตน์ รัตนประดิษฐ์")</f>
        <v>น.ส.สุดารัตน์ รัตนประดิษฐ์</v>
      </c>
      <c r="H571" s="1" t="str">
        <f>IFERROR(__xludf.DUMMYFUNCTION("""COMPUTED_VALUE"""),"391191")</f>
        <v>391191</v>
      </c>
      <c r="I571" s="1" t="str">
        <f>IFERROR(__xludf.DUMMYFUNCTION("""COMPUTED_VALUE"""),"นายวสันต์ สรงพรมทิพย์")</f>
        <v>นายวสันต์ สรงพรมทิพย์</v>
      </c>
      <c r="J571" s="3">
        <f>IFERROR(__xludf.DUMMYFUNCTION("""COMPUTED_VALUE"""),2.0470331E7)</f>
        <v>20470331</v>
      </c>
      <c r="K571" s="3" t="str">
        <f>IFERROR(__xludf.DUMMYFUNCTION("""COMPUTED_VALUE"""),"นายสมชาย ลักษณะสุวรรณ")</f>
        <v>นายสมชาย ลักษณะสุวรรณ</v>
      </c>
      <c r="L571" s="3" t="str">
        <f>IFERROR(__xludf.DUMMYFUNCTION("""COMPUTED_VALUE"""),"15 K.Somchai L")</f>
        <v>15 K.Somchai L</v>
      </c>
      <c r="M571" s="1" t="str">
        <f>IFERROR(__xludf.DUMMYFUNCTION("""COMPUTED_VALUE"""),"0655107372")</f>
        <v>0655107372</v>
      </c>
      <c r="N571" s="3">
        <f>IFERROR(__xludf.DUMMYFUNCTION("""COMPUTED_VALUE"""),21723.0)</f>
        <v>21723</v>
      </c>
      <c r="O57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571" s="4">
        <f>IFERROR(__xludf.DUMMYFUNCTION("""COMPUTED_VALUE"""),42146.0)</f>
        <v>42146</v>
      </c>
      <c r="Q571" s="3" t="str">
        <f>IFERROR(__xludf.DUMMYFUNCTION("""COMPUTED_VALUE"""),"I")</f>
        <v>I</v>
      </c>
      <c r="R571" s="3" t="str">
        <f>IFERROR(__xludf.DUMMYFUNCTION("""COMPUTED_VALUE"""),"Small Format")</f>
        <v>Small Format</v>
      </c>
      <c r="S571" s="3" t="str">
        <f>IFERROR(__xludf.DUMMYFUNCTION("""COMPUTED_VALUE"""),"BCM")</f>
        <v>BCM</v>
      </c>
      <c r="T571" s="3" t="str">
        <f>IFERROR(__xludf.DUMMYFUNCTION("""COMPUTED_VALUE"""),"#N/A")</f>
        <v>#N/A</v>
      </c>
      <c r="U571" s="3" t="str">
        <f>IFERROR(__xludf.DUMMYFUNCTION("""COMPUTED_VALUE"""),"#N/A")</f>
        <v>#N/A</v>
      </c>
      <c r="V571" s="3" t="str">
        <f>IFERROR(__xludf.DUMMYFUNCTION("""COMPUTED_VALUE"""),"N")</f>
        <v>N</v>
      </c>
      <c r="W571" s="3">
        <f>IFERROR(__xludf.DUMMYFUNCTION("""COMPUTED_VALUE"""),0.0)</f>
        <v>0</v>
      </c>
      <c r="X571" s="3" t="str">
        <f>IFERROR(__xludf.DUMMYFUNCTION("""COMPUTED_VALUE"""),"350/1 หมู่ 3 ตำบลดอนขุนห้วย อำเภอชะอำ จังหวัดเพชรบุรี 76120")</f>
        <v>350/1 หมู่ 3 ตำบลดอนขุนห้วย อำเภอชะอำ จังหวัดเพชรบุรี 76120</v>
      </c>
      <c r="Y571" s="3"/>
      <c r="Z571" s="3" t="str">
        <f>IFERROR(__xludf.DUMMYFUNCTION("""COMPUTED_VALUE"""),"ดอนขุนห้วย")</f>
        <v>ดอนขุนห้วย</v>
      </c>
      <c r="AA571" s="3" t="str">
        <f>IFERROR(__xludf.DUMMYFUNCTION("""COMPUTED_VALUE"""),"ชะอำ")</f>
        <v>ชะอำ</v>
      </c>
      <c r="AB571" s="3" t="str">
        <f>IFERROR(__xludf.DUMMYFUNCTION("""COMPUTED_VALUE"""),"เพชรบุรี")</f>
        <v>เพชรบุรี</v>
      </c>
      <c r="AC571" s="3">
        <f>IFERROR(__xludf.DUMMYFUNCTION("""COMPUTED_VALUE"""),76120.0)</f>
        <v>76120</v>
      </c>
      <c r="AD571" s="3" t="str">
        <f>IFERROR(__xludf.DUMMYFUNCTION("""COMPUTED_VALUE"""),"#N/A")</f>
        <v>#N/A</v>
      </c>
      <c r="AE571" s="3" t="str">
        <f>IFERROR(__xludf.DUMMYFUNCTION("""COMPUTED_VALUE"""),"#N/A")</f>
        <v>#N/A</v>
      </c>
      <c r="AF571" s="3" t="str">
        <f>IFERROR(__xludf.DUMMYFUNCTION("""COMPUTED_VALUE"""),"MBC BCP เพชรเกษม กม 193-21338")</f>
        <v>MBC BCP เพชรเกษม กม 193-21338</v>
      </c>
      <c r="AG571" s="3" t="str">
        <f>IFERROR(__xludf.DUMMYFUNCTION("""COMPUTED_VALUE"""),"ตะวันตก")</f>
        <v>ตะวันตก</v>
      </c>
      <c r="AH571" s="3" t="str">
        <f>IFERROR(__xludf.DUMMYFUNCTION("""COMPUTED_VALUE"""),"#N/A")</f>
        <v>#N/A</v>
      </c>
      <c r="AI571" s="3" t="str">
        <f>IFERROR(__xludf.DUMMYFUNCTION("""COMPUTED_VALUE"""),"Out of warranty")</f>
        <v>Out of warranty</v>
      </c>
      <c r="AJ571" s="3">
        <f>IFERROR(__xludf.DUMMYFUNCTION("""COMPUTED_VALUE"""),128.0)</f>
        <v>128</v>
      </c>
      <c r="AK571" s="3"/>
      <c r="AL571" s="3"/>
    </row>
    <row r="572" ht="15.75" customHeight="1">
      <c r="A572" s="1" t="str">
        <f>IFERROR(__xludf.DUMMYFUNCTION("""COMPUTED_VALUE"""),"21339")</f>
        <v>21339</v>
      </c>
      <c r="B572" s="2">
        <f>IFERROR(__xludf.DUMMYFUNCTION("""COMPUTED_VALUE"""),21339.0)</f>
        <v>21339</v>
      </c>
      <c r="C572" s="3" t="str">
        <f>IFERROR(__xludf.DUMMYFUNCTION("""COMPUTED_VALUE"""),"MBC BCP ท่าฉาง-สุราษฎร์ธานี")</f>
        <v>MBC BCP ท่าฉาง-สุราษฎร์ธานี</v>
      </c>
      <c r="D572" s="3" t="str">
        <f>IFERROR(__xludf.DUMMYFUNCTION("""COMPUTED_VALUE"""),"BCM BCP THA CHANG-SURATTHANI")</f>
        <v>BCM BCP THA CHANG-SURATTHANI</v>
      </c>
      <c r="E572" s="1" t="str">
        <f>IFERROR(__xludf.DUMMYFUNCTION("""COMPUTED_VALUE"""),"บิ๊กซี MINI")</f>
        <v>บิ๊กซี MINI</v>
      </c>
      <c r="F572" s="1" t="str">
        <f>IFERROR(__xludf.DUMMYFUNCTION("""COMPUTED_VALUE"""),"250760")</f>
        <v>250760</v>
      </c>
      <c r="G572" s="1" t="str">
        <f>IFERROR(__xludf.DUMMYFUNCTION("""COMPUTED_VALUE"""),"นายประทวน สาราบรรณ์")</f>
        <v>นายประทวน สาราบรรณ์</v>
      </c>
      <c r="H572" s="1" t="str">
        <f>IFERROR(__xludf.DUMMYFUNCTION("""COMPUTED_VALUE"""),"228389")</f>
        <v>228389</v>
      </c>
      <c r="I572" s="1" t="str">
        <f>IFERROR(__xludf.DUMMYFUNCTION("""COMPUTED_VALUE"""),"นายมณีรันดร์ ชัยชนะ")</f>
        <v>นายมณีรันดร์ ชัยชนะ</v>
      </c>
      <c r="J572" s="3">
        <f>IFERROR(__xludf.DUMMYFUNCTION("""COMPUTED_VALUE"""),25324.0)</f>
        <v>25324</v>
      </c>
      <c r="K572" s="3" t="str">
        <f>IFERROR(__xludf.DUMMYFUNCTION("""COMPUTED_VALUE"""),"นายวิเชฎฐ์ ติรัตนะประคม")</f>
        <v>นายวิเชฎฐ์ ติรัตนะประคม</v>
      </c>
      <c r="L572" s="1" t="str">
        <f>IFERROR(__xludf.DUMMYFUNCTION("""COMPUTED_VALUE"""),"14 K.Wichet T.")</f>
        <v>14 K.Wichet T.</v>
      </c>
      <c r="M572" s="1" t="str">
        <f>IFERROR(__xludf.DUMMYFUNCTION("""COMPUTED_VALUE"""),"061-417-6569 / 086-445-5636")</f>
        <v>061-417-6569 / 086-445-5636</v>
      </c>
      <c r="N572" s="3">
        <f>IFERROR(__xludf.DUMMYFUNCTION("""COMPUTED_VALUE"""),22658.0)</f>
        <v>22658</v>
      </c>
      <c r="O572" s="3" t="str">
        <f>IFERROR(__xludf.DUMMYFUNCTION("""COMPUTED_VALUE"""),"BCM ถ.วิรัชหงษ์หยก ภูเก็ต")</f>
        <v>BCM ถ.วิรัชหงษ์หยก ภูเก็ต</v>
      </c>
      <c r="P572" s="4">
        <f>IFERROR(__xludf.DUMMYFUNCTION("""COMPUTED_VALUE"""),42171.0)</f>
        <v>42171</v>
      </c>
      <c r="Q572" s="3" t="str">
        <f>IFERROR(__xludf.DUMMYFUNCTION("""COMPUTED_VALUE"""),"A")</f>
        <v>A</v>
      </c>
      <c r="R572" s="3" t="str">
        <f>IFERROR(__xludf.DUMMYFUNCTION("""COMPUTED_VALUE"""),"Small Format")</f>
        <v>Small Format</v>
      </c>
      <c r="S572" s="3" t="str">
        <f>IFERROR(__xludf.DUMMYFUNCTION("""COMPUTED_VALUE"""),"BCM")</f>
        <v>BCM</v>
      </c>
      <c r="T572" s="3" t="str">
        <f>IFERROR(__xludf.DUMMYFUNCTION("""COMPUTED_VALUE"""),"#N/A")</f>
        <v>#N/A</v>
      </c>
      <c r="U572" s="3" t="str">
        <f>IFERROR(__xludf.DUMMYFUNCTION("""COMPUTED_VALUE"""),"#N/A")</f>
        <v>#N/A</v>
      </c>
      <c r="V572" s="3" t="str">
        <f>IFERROR(__xludf.DUMMYFUNCTION("""COMPUTED_VALUE"""),"N")</f>
        <v>N</v>
      </c>
      <c r="W572" s="3">
        <f>IFERROR(__xludf.DUMMYFUNCTION("""COMPUTED_VALUE"""),361176.0)</f>
        <v>361176</v>
      </c>
      <c r="X572" s="3" t="str">
        <f>IFERROR(__xludf.DUMMYFUNCTION("""COMPUTED_VALUE"""),"115/3 หมู่ 4 ตำบลคลองไทร อำเภอท่าฉาง จังหวัดสุราษฎร์ธานี 84150")</f>
        <v>115/3 หมู่ 4 ตำบลคลองไทร อำเภอท่าฉาง จังหวัดสุราษฎร์ธานี 84150</v>
      </c>
      <c r="Y572" s="3"/>
      <c r="Z572" s="3" t="str">
        <f>IFERROR(__xludf.DUMMYFUNCTION("""COMPUTED_VALUE"""),"คลองไทร")</f>
        <v>คลองไทร</v>
      </c>
      <c r="AA572" s="3" t="str">
        <f>IFERROR(__xludf.DUMMYFUNCTION("""COMPUTED_VALUE"""),"ท่าฉาง")</f>
        <v>ท่าฉาง</v>
      </c>
      <c r="AB572" s="3" t="str">
        <f>IFERROR(__xludf.DUMMYFUNCTION("""COMPUTED_VALUE"""),"สุราษฎร์ธานี")</f>
        <v>สุราษฎร์ธานี</v>
      </c>
      <c r="AC572" s="3">
        <f>IFERROR(__xludf.DUMMYFUNCTION("""COMPUTED_VALUE"""),84150.0)</f>
        <v>84150</v>
      </c>
      <c r="AD572" s="3">
        <f>IFERROR(__xludf.DUMMYFUNCTION("""COMPUTED_VALUE"""),9.219131)</f>
        <v>9.219131</v>
      </c>
      <c r="AE572" s="3">
        <f>IFERROR(__xludf.DUMMYFUNCTION("""COMPUTED_VALUE"""),99.140755)</f>
        <v>99.140755</v>
      </c>
      <c r="AF572" s="3" t="str">
        <f>IFERROR(__xludf.DUMMYFUNCTION("""COMPUTED_VALUE"""),"MBC BCP ท่าฉาง-สุราษฎร์ธานี-21339")</f>
        <v>MBC BCP ท่าฉาง-สุราษฎร์ธานี-21339</v>
      </c>
      <c r="AG572" s="3" t="str">
        <f>IFERROR(__xludf.DUMMYFUNCTION("""COMPUTED_VALUE"""),"ใต้")</f>
        <v>ใต้</v>
      </c>
      <c r="AH572" s="3" t="str">
        <f>IFERROR(__xludf.DUMMYFUNCTION("""COMPUTED_VALUE"""),"#N/A")</f>
        <v>#N/A</v>
      </c>
      <c r="AI572" s="3" t="str">
        <f>IFERROR(__xludf.DUMMYFUNCTION("""COMPUTED_VALUE"""),"Out of warranty")</f>
        <v>Out of warranty</v>
      </c>
      <c r="AJ572" s="3">
        <f>IFERROR(__xludf.DUMMYFUNCTION("""COMPUTED_VALUE"""),128.0)</f>
        <v>128</v>
      </c>
      <c r="AK572" s="3" t="str">
        <f>IFERROR(__xludf.DUMMYFUNCTION("""COMPUTED_VALUE"""),"MMS14")</f>
        <v>MMS14</v>
      </c>
      <c r="AL572" s="3"/>
    </row>
    <row r="573" ht="15.75" customHeight="1">
      <c r="A573" s="1" t="str">
        <f>IFERROR(__xludf.DUMMYFUNCTION("""COMPUTED_VALUE"""),"21340")</f>
        <v>21340</v>
      </c>
      <c r="B573" s="2">
        <f>IFERROR(__xludf.DUMMYFUNCTION("""COMPUTED_VALUE"""),21340.0)</f>
        <v>21340</v>
      </c>
      <c r="C573" s="3" t="str">
        <f>IFERROR(__xludf.DUMMYFUNCTION("""COMPUTED_VALUE"""),"MBC BCP ท่าศาลา")</f>
        <v>MBC BCP ท่าศาลา</v>
      </c>
      <c r="D573" s="3" t="str">
        <f>IFERROR(__xludf.DUMMYFUNCTION("""COMPUTED_VALUE"""),"BCM BCP THASALA")</f>
        <v>BCM BCP THASALA</v>
      </c>
      <c r="E573" s="1" t="str">
        <f>IFERROR(__xludf.DUMMYFUNCTION("""COMPUTED_VALUE"""),"บิ๊กซี MINI")</f>
        <v>บิ๊กซี MINI</v>
      </c>
      <c r="F573" s="1" t="str">
        <f>IFERROR(__xludf.DUMMYFUNCTION("""COMPUTED_VALUE"""),"250760")</f>
        <v>250760</v>
      </c>
      <c r="G573" s="1" t="str">
        <f>IFERROR(__xludf.DUMMYFUNCTION("""COMPUTED_VALUE"""),"นายประทวน สาราบรรณ์")</f>
        <v>นายประทวน สาราบรรณ์</v>
      </c>
      <c r="H573" s="1" t="str">
        <f>IFERROR(__xludf.DUMMYFUNCTION("""COMPUTED_VALUE"""),"356760")</f>
        <v>356760</v>
      </c>
      <c r="I573" s="1" t="str">
        <f>IFERROR(__xludf.DUMMYFUNCTION("""COMPUTED_VALUE"""),"นายภูมิภัทร แก้วพรรณราย")</f>
        <v>นายภูมิภัทร แก้วพรรณราย</v>
      </c>
      <c r="J573" s="3">
        <f>IFERROR(__xludf.DUMMYFUNCTION("""COMPUTED_VALUE"""),25324.0)</f>
        <v>25324</v>
      </c>
      <c r="K573" s="3" t="str">
        <f>IFERROR(__xludf.DUMMYFUNCTION("""COMPUTED_VALUE"""),"นายวิเชฎฐ์ ติรัตนะประคม")</f>
        <v>นายวิเชฎฐ์ ติรัตนะประคม</v>
      </c>
      <c r="L573" s="1" t="str">
        <f>IFERROR(__xludf.DUMMYFUNCTION("""COMPUTED_VALUE"""),"14 K.Wichet T.")</f>
        <v>14 K.Wichet T.</v>
      </c>
      <c r="M573" s="1" t="str">
        <f>IFERROR(__xludf.DUMMYFUNCTION("""COMPUTED_VALUE"""),"061-417-6569 / 086-445-5636")</f>
        <v>061-417-6569 / 086-445-5636</v>
      </c>
      <c r="N573" s="3">
        <f>IFERROR(__xludf.DUMMYFUNCTION("""COMPUTED_VALUE"""),22658.0)</f>
        <v>22658</v>
      </c>
      <c r="O573" s="3" t="str">
        <f>IFERROR(__xludf.DUMMYFUNCTION("""COMPUTED_VALUE"""),"BCM ถ.วิรัชหงษ์หยก ภูเก็ต")</f>
        <v>BCM ถ.วิรัชหงษ์หยก ภูเก็ต</v>
      </c>
      <c r="P573" s="4">
        <f>IFERROR(__xludf.DUMMYFUNCTION("""COMPUTED_VALUE"""),42171.0)</f>
        <v>42171</v>
      </c>
      <c r="Q573" s="3" t="str">
        <f>IFERROR(__xludf.DUMMYFUNCTION("""COMPUTED_VALUE"""),"A")</f>
        <v>A</v>
      </c>
      <c r="R573" s="3" t="str">
        <f>IFERROR(__xludf.DUMMYFUNCTION("""COMPUTED_VALUE"""),"Small Format")</f>
        <v>Small Format</v>
      </c>
      <c r="S573" s="3" t="str">
        <f>IFERROR(__xludf.DUMMYFUNCTION("""COMPUTED_VALUE"""),"BCM")</f>
        <v>BCM</v>
      </c>
      <c r="T573" s="3" t="str">
        <f>IFERROR(__xludf.DUMMYFUNCTION("""COMPUTED_VALUE"""),"#N/A")</f>
        <v>#N/A</v>
      </c>
      <c r="U573" s="3" t="str">
        <f>IFERROR(__xludf.DUMMYFUNCTION("""COMPUTED_VALUE"""),"#N/A")</f>
        <v>#N/A</v>
      </c>
      <c r="V573" s="3" t="str">
        <f>IFERROR(__xludf.DUMMYFUNCTION("""COMPUTED_VALUE"""),"N")</f>
        <v>N</v>
      </c>
      <c r="W573" s="3">
        <f>IFERROR(__xludf.DUMMYFUNCTION("""COMPUTED_VALUE"""),361173.0)</f>
        <v>361173</v>
      </c>
      <c r="X573" s="3" t="str">
        <f>IFERROR(__xludf.DUMMYFUNCTION("""COMPUTED_VALUE"""),"461 หมู่ 1 ตำบลท่าศาลา อำเภอท่าศาลา จังหวัดนครศรีธรรมราช 80160")</f>
        <v>461 หมู่ 1 ตำบลท่าศาลา อำเภอท่าศาลา จังหวัดนครศรีธรรมราช 80160</v>
      </c>
      <c r="Y573" s="3"/>
      <c r="Z573" s="3" t="str">
        <f>IFERROR(__xludf.DUMMYFUNCTION("""COMPUTED_VALUE"""),"ท่าศาลา")</f>
        <v>ท่าศาลา</v>
      </c>
      <c r="AA573" s="3" t="str">
        <f>IFERROR(__xludf.DUMMYFUNCTION("""COMPUTED_VALUE"""),"ท่าศาลา")</f>
        <v>ท่าศาลา</v>
      </c>
      <c r="AB573" s="3" t="str">
        <f>IFERROR(__xludf.DUMMYFUNCTION("""COMPUTED_VALUE"""),"นครศรีธรรมราช")</f>
        <v>นครศรีธรรมราช</v>
      </c>
      <c r="AC573" s="3">
        <f>IFERROR(__xludf.DUMMYFUNCTION("""COMPUTED_VALUE"""),80160.0)</f>
        <v>80160</v>
      </c>
      <c r="AD573" s="3">
        <f>IFERROR(__xludf.DUMMYFUNCTION("""COMPUTED_VALUE"""),8.665586)</f>
        <v>8.665586</v>
      </c>
      <c r="AE573" s="3">
        <f>IFERROR(__xludf.DUMMYFUNCTION("""COMPUTED_VALUE"""),99.922948)</f>
        <v>99.922948</v>
      </c>
      <c r="AF573" s="3" t="str">
        <f>IFERROR(__xludf.DUMMYFUNCTION("""COMPUTED_VALUE"""),"MBC BCP ท่าศาลา-21340")</f>
        <v>MBC BCP ท่าศาลา-21340</v>
      </c>
      <c r="AG573" s="3" t="str">
        <f>IFERROR(__xludf.DUMMYFUNCTION("""COMPUTED_VALUE"""),"ใต้")</f>
        <v>ใต้</v>
      </c>
      <c r="AH573" s="3" t="str">
        <f>IFERROR(__xludf.DUMMYFUNCTION("""COMPUTED_VALUE"""),"#N/A")</f>
        <v>#N/A</v>
      </c>
      <c r="AI573" s="3" t="str">
        <f>IFERROR(__xludf.DUMMYFUNCTION("""COMPUTED_VALUE"""),"Out of warranty")</f>
        <v>Out of warranty</v>
      </c>
      <c r="AJ573" s="3">
        <f>IFERROR(__xludf.DUMMYFUNCTION("""COMPUTED_VALUE"""),128.0)</f>
        <v>128</v>
      </c>
      <c r="AK573" s="3" t="str">
        <f>IFERROR(__xludf.DUMMYFUNCTION("""COMPUTED_VALUE"""),"MMS15")</f>
        <v>MMS15</v>
      </c>
      <c r="AL573" s="3"/>
    </row>
    <row r="574" ht="15.75" customHeight="1">
      <c r="A574" s="1" t="str">
        <f>IFERROR(__xludf.DUMMYFUNCTION("""COMPUTED_VALUE"""),"21341")</f>
        <v>21341</v>
      </c>
      <c r="B574" s="2">
        <f>IFERROR(__xludf.DUMMYFUNCTION("""COMPUTED_VALUE"""),21341.0)</f>
        <v>21341</v>
      </c>
      <c r="C574" s="3" t="str">
        <f>IFERROR(__xludf.DUMMYFUNCTION("""COMPUTED_VALUE"""),"MBC BCP อิสาณ-เมืองบุรีรัมย์")</f>
        <v>MBC BCP อิสาณ-เมืองบุรีรัมย์</v>
      </c>
      <c r="D574" s="3" t="str">
        <f>IFERROR(__xludf.DUMMYFUNCTION("""COMPUTED_VALUE"""),"BCM BCP ISAN-MUEANG BURIRAM")</f>
        <v>BCM BCP ISAN-MUEANG BURIRAM</v>
      </c>
      <c r="E574" s="1" t="str">
        <f>IFERROR(__xludf.DUMMYFUNCTION("""COMPUTED_VALUE"""),"บิ๊กซี MINI")</f>
        <v>บิ๊กซี MINI</v>
      </c>
      <c r="F574" s="1" t="str">
        <f>IFERROR(__xludf.DUMMYFUNCTION("""COMPUTED_VALUE"""),"291105")</f>
        <v>291105</v>
      </c>
      <c r="G574" s="1" t="str">
        <f>IFERROR(__xludf.DUMMYFUNCTION("""COMPUTED_VALUE"""),"นายสราวุฒิ พณิชยกุล")</f>
        <v>นายสราวุฒิ พณิชยกุล</v>
      </c>
      <c r="H574" s="1" t="str">
        <f>IFERROR(__xludf.DUMMYFUNCTION("""COMPUTED_VALUE"""),"281315")</f>
        <v>281315</v>
      </c>
      <c r="I574" s="1" t="str">
        <f>IFERROR(__xludf.DUMMYFUNCTION("""COMPUTED_VALUE"""),"นายกิตติพงษ์ มั่นคง")</f>
        <v>นายกิตติพงษ์ มั่นคง</v>
      </c>
      <c r="J574" s="3">
        <f>IFERROR(__xludf.DUMMYFUNCTION("""COMPUTED_VALUE"""),295886.0)</f>
        <v>295886</v>
      </c>
      <c r="K574" s="3" t="str">
        <f>IFERROR(__xludf.DUMMYFUNCTION("""COMPUTED_VALUE"""),"นายจิระพงษ์ โพธิ์นิล")</f>
        <v>นายจิระพงษ์ โพธิ์นิล</v>
      </c>
      <c r="L574" s="1" t="str">
        <f>IFERROR(__xludf.DUMMYFUNCTION("""COMPUTED_VALUE"""),"นายจิระพงษ์ โพธิ์นิล")</f>
        <v>นายจิระพงษ์ โพธิ์นิล</v>
      </c>
      <c r="M574" s="1" t="str">
        <f>IFERROR(__xludf.DUMMYFUNCTION("""COMPUTED_VALUE"""),"0933290754")</f>
        <v>0933290754</v>
      </c>
      <c r="N574" s="3">
        <f>IFERROR(__xludf.DUMMYFUNCTION("""COMPUTED_VALUE"""),21622.0)</f>
        <v>21622</v>
      </c>
      <c r="O574" s="3" t="str">
        <f>IFERROR(__xludf.DUMMYFUNCTION("""COMPUTED_VALUE"""),"MBC ตลาดบ้านดอน")</f>
        <v>MBC ตลาดบ้านดอน</v>
      </c>
      <c r="P574" s="4">
        <f>IFERROR(__xludf.DUMMYFUNCTION("""COMPUTED_VALUE"""),42172.0)</f>
        <v>42172</v>
      </c>
      <c r="Q574" s="3" t="str">
        <f>IFERROR(__xludf.DUMMYFUNCTION("""COMPUTED_VALUE"""),"I")</f>
        <v>I</v>
      </c>
      <c r="R574" s="3" t="str">
        <f>IFERROR(__xludf.DUMMYFUNCTION("""COMPUTED_VALUE"""),"Small Format")</f>
        <v>Small Format</v>
      </c>
      <c r="S574" s="3" t="str">
        <f>IFERROR(__xludf.DUMMYFUNCTION("""COMPUTED_VALUE"""),"BCM")</f>
        <v>BCM</v>
      </c>
      <c r="T574" s="3" t="str">
        <f>IFERROR(__xludf.DUMMYFUNCTION("""COMPUTED_VALUE"""),"#N/A")</f>
        <v>#N/A</v>
      </c>
      <c r="U574" s="3" t="str">
        <f>IFERROR(__xludf.DUMMYFUNCTION("""COMPUTED_VALUE"""),"#N/A")</f>
        <v>#N/A</v>
      </c>
      <c r="V574" s="3" t="str">
        <f>IFERROR(__xludf.DUMMYFUNCTION("""COMPUTED_VALUE"""),"N")</f>
        <v>N</v>
      </c>
      <c r="W574" s="3">
        <f>IFERROR(__xludf.DUMMYFUNCTION("""COMPUTED_VALUE"""),361133.0)</f>
        <v>361133</v>
      </c>
      <c r="X574" s="3" t="str">
        <f>IFERROR(__xludf.DUMMYFUNCTION("""COMPUTED_VALUE"""),"271 หมู่ 4 ตำบลอิสาณ อำเภอเมืองบุรีรัมย์ จังหวัดบุรีรัมย์ 31000")</f>
        <v>271 หมู่ 4 ตำบลอิสาณ อำเภอเมืองบุรีรัมย์ จังหวัดบุรีรัมย์ 31000</v>
      </c>
      <c r="Y574" s="3"/>
      <c r="Z574" s="3" t="str">
        <f>IFERROR(__xludf.DUMMYFUNCTION("""COMPUTED_VALUE"""),"อิสาณ")</f>
        <v>อิสาณ</v>
      </c>
      <c r="AA574" s="3" t="str">
        <f>IFERROR(__xludf.DUMMYFUNCTION("""COMPUTED_VALUE"""),"เมือง")</f>
        <v>เมือง</v>
      </c>
      <c r="AB574" s="3" t="str">
        <f>IFERROR(__xludf.DUMMYFUNCTION("""COMPUTED_VALUE"""),"บุรีรัมย์")</f>
        <v>บุรีรัมย์</v>
      </c>
      <c r="AC574" s="3">
        <f>IFERROR(__xludf.DUMMYFUNCTION("""COMPUTED_VALUE"""),31000.0)</f>
        <v>31000</v>
      </c>
      <c r="AD574" s="3">
        <f>IFERROR(__xludf.DUMMYFUNCTION("""COMPUTED_VALUE"""),14.972813)</f>
        <v>14.972813</v>
      </c>
      <c r="AE574" s="3">
        <f>IFERROR(__xludf.DUMMYFUNCTION("""COMPUTED_VALUE"""),103.103992)</f>
        <v>103.103992</v>
      </c>
      <c r="AF574" s="3" t="str">
        <f>IFERROR(__xludf.DUMMYFUNCTION("""COMPUTED_VALUE"""),"MBC BCP อิสาณ-เมืองบุรีรัมย์-21341")</f>
        <v>MBC BCP อิสาณ-เมืองบุรีรัมย์-21341</v>
      </c>
      <c r="AG574" s="3" t="str">
        <f>IFERROR(__xludf.DUMMYFUNCTION("""COMPUTED_VALUE"""),"ตะวันออกเฉียงเหนือ")</f>
        <v>ตะวันออกเฉียงเหนือ</v>
      </c>
      <c r="AH574" s="3" t="str">
        <f>IFERROR(__xludf.DUMMYFUNCTION("""COMPUTED_VALUE"""),"#N/A")</f>
        <v>#N/A</v>
      </c>
      <c r="AI574" s="3" t="str">
        <f>IFERROR(__xludf.DUMMYFUNCTION("""COMPUTED_VALUE"""),"Out of warranty")</f>
        <v>Out of warranty</v>
      </c>
      <c r="AJ574" s="3">
        <f>IFERROR(__xludf.DUMMYFUNCTION("""COMPUTED_VALUE"""),128.0)</f>
        <v>128</v>
      </c>
      <c r="AK574" s="3" t="str">
        <f>IFERROR(__xludf.DUMMYFUNCTION("""COMPUTED_VALUE"""),"MMS11")</f>
        <v>MMS11</v>
      </c>
      <c r="AL574" s="3"/>
    </row>
    <row r="575" ht="15.75" customHeight="1">
      <c r="A575" s="1" t="str">
        <f>IFERROR(__xludf.DUMMYFUNCTION("""COMPUTED_VALUE"""),"21342")</f>
        <v>21342</v>
      </c>
      <c r="B575" s="2">
        <f>IFERROR(__xludf.DUMMYFUNCTION("""COMPUTED_VALUE"""),21342.0)</f>
        <v>21342</v>
      </c>
      <c r="C575" s="3" t="str">
        <f>IFERROR(__xludf.DUMMYFUNCTION("""COMPUTED_VALUE"""),"MBC BCP เมืองเก่า-เมืองขอนแก่น")</f>
        <v>MBC BCP เมืองเก่า-เมืองขอนแก่น</v>
      </c>
      <c r="D575" s="3" t="str">
        <f>IFERROR(__xludf.DUMMYFUNCTION("""COMPUTED_VALUE"""),"MBC BCP MUEANG KAO-KHONKAEN")</f>
        <v>MBC BCP MUEANG KAO-KHONKAEN</v>
      </c>
      <c r="E575" s="1" t="str">
        <f>IFERROR(__xludf.DUMMYFUNCTION("""COMPUTED_VALUE"""),"บิ๊กซี MINI")</f>
        <v>บิ๊กซี MINI</v>
      </c>
      <c r="F575" s="1" t="str">
        <f>IFERROR(__xludf.DUMMYFUNCTION("""COMPUTED_VALUE"""),"291100")</f>
        <v>291100</v>
      </c>
      <c r="G575" s="1" t="str">
        <f>IFERROR(__xludf.DUMMYFUNCTION("""COMPUTED_VALUE"""),"น.ส.จารุณี ฮวบอินทร์")</f>
        <v>น.ส.จารุณี ฮวบอินทร์</v>
      </c>
      <c r="H575" s="1" t="str">
        <f>IFERROR(__xludf.DUMMYFUNCTION("""COMPUTED_VALUE"""),"305119")</f>
        <v>305119</v>
      </c>
      <c r="I575" s="1" t="str">
        <f>IFERROR(__xludf.DUMMYFUNCTION("""COMPUTED_VALUE"""),"นายไชยกร ลีพิบูลย์สวัสดิ์")</f>
        <v>นายไชยกร ลีพิบูลย์สวัสดิ์</v>
      </c>
      <c r="J575" s="3">
        <f>IFERROR(__xludf.DUMMYFUNCTION("""COMPUTED_VALUE"""),295886.0)</f>
        <v>295886</v>
      </c>
      <c r="K575" s="3" t="str">
        <f>IFERROR(__xludf.DUMMYFUNCTION("""COMPUTED_VALUE"""),"นายจิระพงษ์ โพธิ์นิล")</f>
        <v>นายจิระพงษ์ โพธิ์นิล</v>
      </c>
      <c r="L575" s="1" t="str">
        <f>IFERROR(__xludf.DUMMYFUNCTION("""COMPUTED_VALUE"""),"นายจิระพงษ์ โพธิ์นิล")</f>
        <v>นายจิระพงษ์ โพธิ์นิล</v>
      </c>
      <c r="M575" s="1" t="str">
        <f>IFERROR(__xludf.DUMMYFUNCTION("""COMPUTED_VALUE"""),"0933290754")</f>
        <v>0933290754</v>
      </c>
      <c r="N575" s="3">
        <f>IFERROR(__xludf.DUMMYFUNCTION("""COMPUTED_VALUE"""),21465.0)</f>
        <v>21465</v>
      </c>
      <c r="O575" s="3" t="str">
        <f>IFERROR(__xludf.DUMMYFUNCTION("""COMPUTED_VALUE"""),"MBC สถานีตำรวจอุดร")</f>
        <v>MBC สถานีตำรวจอุดร</v>
      </c>
      <c r="P575" s="4">
        <f>IFERROR(__xludf.DUMMYFUNCTION("""COMPUTED_VALUE"""),42172.0)</f>
        <v>42172</v>
      </c>
      <c r="Q575" s="3" t="str">
        <f>IFERROR(__xludf.DUMMYFUNCTION("""COMPUTED_VALUE"""),"I")</f>
        <v>I</v>
      </c>
      <c r="R575" s="3" t="str">
        <f>IFERROR(__xludf.DUMMYFUNCTION("""COMPUTED_VALUE"""),"Small Format")</f>
        <v>Small Format</v>
      </c>
      <c r="S575" s="3" t="str">
        <f>IFERROR(__xludf.DUMMYFUNCTION("""COMPUTED_VALUE"""),"BCM")</f>
        <v>BCM</v>
      </c>
      <c r="T575" s="3" t="str">
        <f>IFERROR(__xludf.DUMMYFUNCTION("""COMPUTED_VALUE"""),"#N/A")</f>
        <v>#N/A</v>
      </c>
      <c r="U575" s="3" t="str">
        <f>IFERROR(__xludf.DUMMYFUNCTION("""COMPUTED_VALUE"""),"#N/A")</f>
        <v>#N/A</v>
      </c>
      <c r="V575" s="3" t="str">
        <f>IFERROR(__xludf.DUMMYFUNCTION("""COMPUTED_VALUE"""),"N")</f>
        <v>N</v>
      </c>
      <c r="W575" s="3">
        <f>IFERROR(__xludf.DUMMYFUNCTION("""COMPUTED_VALUE"""),361135.0)</f>
        <v>361135</v>
      </c>
      <c r="X575" s="3" t="str">
        <f>IFERROR(__xludf.DUMMYFUNCTION("""COMPUTED_VALUE"""),"485 หมู่ 12 ตำบลเมืองเก่า อำเภอเมืองขอนแก่น จังหวัดขอนแก่น 40000")</f>
        <v>485 หมู่ 12 ตำบลเมืองเก่า อำเภอเมืองขอนแก่น จังหวัดขอนแก่น 40000</v>
      </c>
      <c r="Y575" s="3"/>
      <c r="Z575" s="3" t="str">
        <f>IFERROR(__xludf.DUMMYFUNCTION("""COMPUTED_VALUE"""),"เมืองเก่า")</f>
        <v>เมืองเก่า</v>
      </c>
      <c r="AA575" s="3" t="str">
        <f>IFERROR(__xludf.DUMMYFUNCTION("""COMPUTED_VALUE"""),"เมือง")</f>
        <v>เมือง</v>
      </c>
      <c r="AB575" s="3" t="str">
        <f>IFERROR(__xludf.DUMMYFUNCTION("""COMPUTED_VALUE"""),"ขอนแก่น")</f>
        <v>ขอนแก่น</v>
      </c>
      <c r="AC575" s="3">
        <f>IFERROR(__xludf.DUMMYFUNCTION("""COMPUTED_VALUE"""),40000.0)</f>
        <v>40000</v>
      </c>
      <c r="AD575" s="3">
        <f>IFERROR(__xludf.DUMMYFUNCTION("""COMPUTED_VALUE"""),16.379537)</f>
        <v>16.379537</v>
      </c>
      <c r="AE575" s="3">
        <f>IFERROR(__xludf.DUMMYFUNCTION("""COMPUTED_VALUE"""),102.810743)</f>
        <v>102.810743</v>
      </c>
      <c r="AF575" s="3" t="str">
        <f>IFERROR(__xludf.DUMMYFUNCTION("""COMPUTED_VALUE"""),"MBC BCP เมืองเก่า-เมืองขอนแก่น-21342")</f>
        <v>MBC BCP เมืองเก่า-เมืองขอนแก่น-21342</v>
      </c>
      <c r="AG575" s="3" t="str">
        <f>IFERROR(__xludf.DUMMYFUNCTION("""COMPUTED_VALUE"""),"ตะวันออกเฉียงเหนือ")</f>
        <v>ตะวันออกเฉียงเหนือ</v>
      </c>
      <c r="AH575" s="3" t="str">
        <f>IFERROR(__xludf.DUMMYFUNCTION("""COMPUTED_VALUE"""),"#N/A")</f>
        <v>#N/A</v>
      </c>
      <c r="AI575" s="3" t="str">
        <f>IFERROR(__xludf.DUMMYFUNCTION("""COMPUTED_VALUE"""),"Out of warranty")</f>
        <v>Out of warranty</v>
      </c>
      <c r="AJ575" s="3">
        <f>IFERROR(__xludf.DUMMYFUNCTION("""COMPUTED_VALUE"""),128.0)</f>
        <v>128</v>
      </c>
      <c r="AK575" s="3"/>
      <c r="AL575" s="3"/>
    </row>
    <row r="576" ht="15.75" customHeight="1">
      <c r="A576" s="1" t="str">
        <f>IFERROR(__xludf.DUMMYFUNCTION("""COMPUTED_VALUE"""),"21343")</f>
        <v>21343</v>
      </c>
      <c r="B576" s="2">
        <f>IFERROR(__xludf.DUMMYFUNCTION("""COMPUTED_VALUE"""),21343.0)</f>
        <v>21343</v>
      </c>
      <c r="C576" s="3" t="str">
        <f>IFERROR(__xludf.DUMMYFUNCTION("""COMPUTED_VALUE"""),"MBC BCP ไชโย")</f>
        <v>MBC BCP ไชโย</v>
      </c>
      <c r="D576" s="3" t="str">
        <f>IFERROR(__xludf.DUMMYFUNCTION("""COMPUTED_VALUE"""),"BCM BCP CHAIYO")</f>
        <v>BCM BCP CHAIYO</v>
      </c>
      <c r="E576" s="1" t="str">
        <f>IFERROR(__xludf.DUMMYFUNCTION("""COMPUTED_VALUE"""),"บิ๊กซี MINI")</f>
        <v>บิ๊กซี MINI</v>
      </c>
      <c r="F576" s="1" t="str">
        <f>IFERROR(__xludf.DUMMYFUNCTION("""COMPUTED_VALUE"""),"296229")</f>
        <v>296229</v>
      </c>
      <c r="G576" s="1" t="str">
        <f>IFERROR(__xludf.DUMMYFUNCTION("""COMPUTED_VALUE"""),"นายทนงศักดิ์ บุญมา")</f>
        <v>นายทนงศักดิ์ บุญมา</v>
      </c>
      <c r="H576" s="1" t="str">
        <f>IFERROR(__xludf.DUMMYFUNCTION("""COMPUTED_VALUE"""),"318186")</f>
        <v>318186</v>
      </c>
      <c r="I576" s="1" t="str">
        <f>IFERROR(__xludf.DUMMYFUNCTION("""COMPUTED_VALUE"""),"น.ส.พนมวัลย์ เรืองรัตน์")</f>
        <v>น.ส.พนมวัลย์ เรืองรัตน์</v>
      </c>
      <c r="J576" s="3">
        <f>IFERROR(__xludf.DUMMYFUNCTION("""COMPUTED_VALUE"""),46214.0)</f>
        <v>46214</v>
      </c>
      <c r="K576" s="3" t="str">
        <f>IFERROR(__xludf.DUMMYFUNCTION("""COMPUTED_VALUE"""),"นายศักดิ์ชัย เด็ดดอกฟ้า")</f>
        <v>นายศักดิ์ชัย เด็ดดอกฟ้า</v>
      </c>
      <c r="L576" s="1" t="str">
        <f>IFERROR(__xludf.DUMMYFUNCTION("""COMPUTED_VALUE"""),"02 K.Sakchai D")</f>
        <v>02 K.Sakchai D</v>
      </c>
      <c r="M576" s="1" t="str">
        <f>IFERROR(__xludf.DUMMYFUNCTION("""COMPUTED_VALUE"""),"065-510-7376")</f>
        <v>065-510-7376</v>
      </c>
      <c r="N576" s="3">
        <f>IFERROR(__xludf.DUMMYFUNCTION("""COMPUTED_VALUE"""),21714.0)</f>
        <v>21714</v>
      </c>
      <c r="O576" s="3" t="str">
        <f>IFERROR(__xludf.DUMMYFUNCTION("""COMPUTED_VALUE"""),"MBC เอสโซ่ วัดโบสถ์")</f>
        <v>MBC เอสโซ่ วัดโบสถ์</v>
      </c>
      <c r="P576" s="4">
        <f>IFERROR(__xludf.DUMMYFUNCTION("""COMPUTED_VALUE"""),42173.0)</f>
        <v>42173</v>
      </c>
      <c r="Q576" s="3" t="str">
        <f>IFERROR(__xludf.DUMMYFUNCTION("""COMPUTED_VALUE"""),"A")</f>
        <v>A</v>
      </c>
      <c r="R576" s="3" t="str">
        <f>IFERROR(__xludf.DUMMYFUNCTION("""COMPUTED_VALUE"""),"Small Format")</f>
        <v>Small Format</v>
      </c>
      <c r="S576" s="3" t="str">
        <f>IFERROR(__xludf.DUMMYFUNCTION("""COMPUTED_VALUE"""),"BCM")</f>
        <v>BCM</v>
      </c>
      <c r="T576" s="3" t="str">
        <f>IFERROR(__xludf.DUMMYFUNCTION("""COMPUTED_VALUE"""),"#N/A")</f>
        <v>#N/A</v>
      </c>
      <c r="U576" s="3" t="str">
        <f>IFERROR(__xludf.DUMMYFUNCTION("""COMPUTED_VALUE"""),"#N/A")</f>
        <v>#N/A</v>
      </c>
      <c r="V576" s="3" t="str">
        <f>IFERROR(__xludf.DUMMYFUNCTION("""COMPUTED_VALUE"""),"N")</f>
        <v>N</v>
      </c>
      <c r="W576" s="3">
        <f>IFERROR(__xludf.DUMMYFUNCTION("""COMPUTED_VALUE"""),361132.0)</f>
        <v>361132</v>
      </c>
      <c r="X576" s="3" t="str">
        <f>IFERROR(__xludf.DUMMYFUNCTION("""COMPUTED_VALUE"""),"78/2 หมู่ 2 ตำบลไชยภูมิ อำเภอไชโย จังหวัดอ่างทอง 14140")</f>
        <v>78/2 หมู่ 2 ตำบลไชยภูมิ อำเภอไชโย จังหวัดอ่างทอง 14140</v>
      </c>
      <c r="Y576" s="3"/>
      <c r="Z576" s="3" t="str">
        <f>IFERROR(__xludf.DUMMYFUNCTION("""COMPUTED_VALUE"""),"ไชยภูมิ")</f>
        <v>ไชยภูมิ</v>
      </c>
      <c r="AA576" s="3" t="str">
        <f>IFERROR(__xludf.DUMMYFUNCTION("""COMPUTED_VALUE"""),"ไชโย")</f>
        <v>ไชโย</v>
      </c>
      <c r="AB576" s="3" t="str">
        <f>IFERROR(__xludf.DUMMYFUNCTION("""COMPUTED_VALUE"""),"อ่างทอง")</f>
        <v>อ่างทอง</v>
      </c>
      <c r="AC576" s="3">
        <f>IFERROR(__xludf.DUMMYFUNCTION("""COMPUTED_VALUE"""),14140.0)</f>
        <v>14140</v>
      </c>
      <c r="AD576" s="3">
        <f>IFERROR(__xludf.DUMMYFUNCTION("""COMPUTED_VALUE"""),14.72551)</f>
        <v>14.72551</v>
      </c>
      <c r="AE576" s="3">
        <f>IFERROR(__xludf.DUMMYFUNCTION("""COMPUTED_VALUE"""),100.454203)</f>
        <v>100.454203</v>
      </c>
      <c r="AF576" s="3" t="str">
        <f>IFERROR(__xludf.DUMMYFUNCTION("""COMPUTED_VALUE"""),"MBC BCP ไชโย-21343")</f>
        <v>MBC BCP ไชโย-21343</v>
      </c>
      <c r="AG576" s="3" t="str">
        <f>IFERROR(__xludf.DUMMYFUNCTION("""COMPUTED_VALUE"""),"กลาง")</f>
        <v>กลาง</v>
      </c>
      <c r="AH576" s="3" t="str">
        <f>IFERROR(__xludf.DUMMYFUNCTION("""COMPUTED_VALUE"""),"#N/A")</f>
        <v>#N/A</v>
      </c>
      <c r="AI576" s="3" t="str">
        <f>IFERROR(__xludf.DUMMYFUNCTION("""COMPUTED_VALUE"""),"Out of warranty")</f>
        <v>Out of warranty</v>
      </c>
      <c r="AJ576" s="3">
        <f>IFERROR(__xludf.DUMMYFUNCTION("""COMPUTED_VALUE"""),128.0)</f>
        <v>128</v>
      </c>
      <c r="AK576" s="3" t="str">
        <f>IFERROR(__xludf.DUMMYFUNCTION("""COMPUTED_VALUE"""),"MMS09")</f>
        <v>MMS09</v>
      </c>
      <c r="AL576" s="3"/>
    </row>
    <row r="577" ht="15.75" customHeight="1">
      <c r="A577" s="1" t="str">
        <f>IFERROR(__xludf.DUMMYFUNCTION("""COMPUTED_VALUE"""),"21344")</f>
        <v>21344</v>
      </c>
      <c r="B577" s="2">
        <f>IFERROR(__xludf.DUMMYFUNCTION("""COMPUTED_VALUE"""),21344.0)</f>
        <v>21344</v>
      </c>
      <c r="C577" s="3" t="str">
        <f>IFERROR(__xludf.DUMMYFUNCTION("""COMPUTED_VALUE"""),"MBC BCP บ้านโพธิ์-เมืองนครราชสีมา")</f>
        <v>MBC BCP บ้านโพธิ์-เมืองนครราชสีมา</v>
      </c>
      <c r="D577" s="3" t="str">
        <f>IFERROR(__xludf.DUMMYFUNCTION("""COMPUTED_VALUE"""),"BCM BCP BANPHO NAKHONRATCHASI")</f>
        <v>BCM BCP BANPHO NAKHONRATCHASI</v>
      </c>
      <c r="E577" s="1" t="str">
        <f>IFERROR(__xludf.DUMMYFUNCTION("""COMPUTED_VALUE"""),"บิ๊กซี MINI")</f>
        <v>บิ๊กซี MINI</v>
      </c>
      <c r="F577" s="1" t="str">
        <f>IFERROR(__xludf.DUMMYFUNCTION("""COMPUTED_VALUE"""),"291105")</f>
        <v>291105</v>
      </c>
      <c r="G577" s="1" t="str">
        <f>IFERROR(__xludf.DUMMYFUNCTION("""COMPUTED_VALUE"""),"นายสราวุฒิ พณิชยกุล")</f>
        <v>นายสราวุฒิ พณิชยกุล</v>
      </c>
      <c r="H577" s="1" t="str">
        <f>IFERROR(__xludf.DUMMYFUNCTION("""COMPUTED_VALUE"""),"281315")</f>
        <v>281315</v>
      </c>
      <c r="I577" s="1" t="str">
        <f>IFERROR(__xludf.DUMMYFUNCTION("""COMPUTED_VALUE"""),"นายกิตติพงษ์ มั่นคง")</f>
        <v>นายกิตติพงษ์ มั่นคง</v>
      </c>
      <c r="J577" s="3">
        <f>IFERROR(__xludf.DUMMYFUNCTION("""COMPUTED_VALUE"""),15361.0)</f>
        <v>15361</v>
      </c>
      <c r="K577" s="3" t="str">
        <f>IFERROR(__xludf.DUMMYFUNCTION("""COMPUTED_VALUE"""),"นายสมบูรณ์ พรหมในเมือง")</f>
        <v>นายสมบูรณ์ พรหมในเมือง</v>
      </c>
      <c r="L577" s="1" t="str">
        <f>IFERROR(__xludf.DUMMYFUNCTION("""COMPUTED_VALUE"""),"04 K.Somboon P.")</f>
        <v>04 K.Somboon P.</v>
      </c>
      <c r="M577" s="1" t="str">
        <f>IFERROR(__xludf.DUMMYFUNCTION("""COMPUTED_VALUE"""),"087-965-3051")</f>
        <v>087-965-3051</v>
      </c>
      <c r="N577" s="3">
        <f>IFERROR(__xludf.DUMMYFUNCTION("""COMPUTED_VALUE"""),21869.0)</f>
        <v>21869</v>
      </c>
      <c r="O577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577" s="4">
        <f>IFERROR(__xludf.DUMMYFUNCTION("""COMPUTED_VALUE"""),42176.0)</f>
        <v>42176</v>
      </c>
      <c r="Q577" s="3" t="str">
        <f>IFERROR(__xludf.DUMMYFUNCTION("""COMPUTED_VALUE"""),"A")</f>
        <v>A</v>
      </c>
      <c r="R577" s="3" t="str">
        <f>IFERROR(__xludf.DUMMYFUNCTION("""COMPUTED_VALUE"""),"Small Format")</f>
        <v>Small Format</v>
      </c>
      <c r="S577" s="3" t="str">
        <f>IFERROR(__xludf.DUMMYFUNCTION("""COMPUTED_VALUE"""),"BCM")</f>
        <v>BCM</v>
      </c>
      <c r="T577" s="3" t="str">
        <f>IFERROR(__xludf.DUMMYFUNCTION("""COMPUTED_VALUE"""),"#N/A")</f>
        <v>#N/A</v>
      </c>
      <c r="U577" s="3" t="str">
        <f>IFERROR(__xludf.DUMMYFUNCTION("""COMPUTED_VALUE"""),"#N/A")</f>
        <v>#N/A</v>
      </c>
      <c r="V577" s="3" t="str">
        <f>IFERROR(__xludf.DUMMYFUNCTION("""COMPUTED_VALUE"""),"N")</f>
        <v>N</v>
      </c>
      <c r="W577" s="3">
        <f>IFERROR(__xludf.DUMMYFUNCTION("""COMPUTED_VALUE"""),361160.0)</f>
        <v>361160</v>
      </c>
      <c r="X577" s="3" t="str">
        <f>IFERROR(__xludf.DUMMYFUNCTION("""COMPUTED_VALUE"""),"203 หมู่ 4 ตำบลบ้านโพธิ์ อำเภอเมืองนครราชสีมา จังหวัดนครราชสีมา 30310")</f>
        <v>203 หมู่ 4 ตำบลบ้านโพธิ์ อำเภอเมืองนครราชสีมา จังหวัดนครราชสีมา 30310</v>
      </c>
      <c r="Y577" s="3"/>
      <c r="Z577" s="3" t="str">
        <f>IFERROR(__xludf.DUMMYFUNCTION("""COMPUTED_VALUE"""),"บ้านโพธิ์")</f>
        <v>บ้านโพธิ์</v>
      </c>
      <c r="AA577" s="3" t="str">
        <f>IFERROR(__xludf.DUMMYFUNCTION("""COMPUTED_VALUE"""),"เมือง")</f>
        <v>เมือง</v>
      </c>
      <c r="AB577" s="3" t="str">
        <f>IFERROR(__xludf.DUMMYFUNCTION("""COMPUTED_VALUE"""),"นครราชสีมา")</f>
        <v>นครราชสีมา</v>
      </c>
      <c r="AC577" s="3">
        <f>IFERROR(__xludf.DUMMYFUNCTION("""COMPUTED_VALUE"""),30310.0)</f>
        <v>30310</v>
      </c>
      <c r="AD577" s="3">
        <f>IFERROR(__xludf.DUMMYFUNCTION("""COMPUTED_VALUE"""),15.060622)</f>
        <v>15.060622</v>
      </c>
      <c r="AE577" s="3">
        <f>IFERROR(__xludf.DUMMYFUNCTION("""COMPUTED_VALUE"""),102.172886)</f>
        <v>102.172886</v>
      </c>
      <c r="AF577" s="3" t="str">
        <f>IFERROR(__xludf.DUMMYFUNCTION("""COMPUTED_VALUE"""),"MBC BCP บ้านโพธิ์-เมืองนครราชสีมา-21344")</f>
        <v>MBC BCP บ้านโพธิ์-เมืองนครราชสีมา-21344</v>
      </c>
      <c r="AG577" s="3" t="str">
        <f>IFERROR(__xludf.DUMMYFUNCTION("""COMPUTED_VALUE"""),"ตะวันออกเฉียงเหนือ")</f>
        <v>ตะวันออกเฉียงเหนือ</v>
      </c>
      <c r="AH577" s="3" t="str">
        <f>IFERROR(__xludf.DUMMYFUNCTION("""COMPUTED_VALUE"""),"#N/A")</f>
        <v>#N/A</v>
      </c>
      <c r="AI577" s="3" t="str">
        <f>IFERROR(__xludf.DUMMYFUNCTION("""COMPUTED_VALUE"""),"Out of warranty")</f>
        <v>Out of warranty</v>
      </c>
      <c r="AJ577" s="3">
        <f>IFERROR(__xludf.DUMMYFUNCTION("""COMPUTED_VALUE"""),127.0)</f>
        <v>127</v>
      </c>
      <c r="AK577" s="3" t="str">
        <f>IFERROR(__xludf.DUMMYFUNCTION("""COMPUTED_VALUE"""),"MMS11")</f>
        <v>MMS11</v>
      </c>
      <c r="AL577" s="3"/>
    </row>
    <row r="578" ht="15.75" customHeight="1">
      <c r="A578" s="1" t="str">
        <f>IFERROR(__xludf.DUMMYFUNCTION("""COMPUTED_VALUE"""),"21345")</f>
        <v>21345</v>
      </c>
      <c r="B578" s="2">
        <f>IFERROR(__xludf.DUMMYFUNCTION("""COMPUTED_VALUE"""),21345.0)</f>
        <v>21345</v>
      </c>
      <c r="C578" s="3" t="str">
        <f>IFERROR(__xludf.DUMMYFUNCTION("""COMPUTED_VALUE"""),"MBC BCP โตนด-โนนสูง")</f>
        <v>MBC BCP โตนด-โนนสูง</v>
      </c>
      <c r="D578" s="3" t="str">
        <f>IFERROR(__xludf.DUMMYFUNCTION("""COMPUTED_VALUE"""),"BCM BCP TANOT-NON SUNG")</f>
        <v>BCM BCP TANOT-NON SUNG</v>
      </c>
      <c r="E578" s="1" t="str">
        <f>IFERROR(__xludf.DUMMYFUNCTION("""COMPUTED_VALUE"""),"บิ๊กซี MINI")</f>
        <v>บิ๊กซี MINI</v>
      </c>
      <c r="F578" s="1" t="str">
        <f>IFERROR(__xludf.DUMMYFUNCTION("""COMPUTED_VALUE"""),"291105")</f>
        <v>291105</v>
      </c>
      <c r="G578" s="1" t="str">
        <f>IFERROR(__xludf.DUMMYFUNCTION("""COMPUTED_VALUE"""),"นายสราวุฒิ พณิชยกุล")</f>
        <v>นายสราวุฒิ พณิชยกุล</v>
      </c>
      <c r="H578" s="1" t="str">
        <f>IFERROR(__xludf.DUMMYFUNCTION("""COMPUTED_VALUE"""),"281315")</f>
        <v>281315</v>
      </c>
      <c r="I578" s="1" t="str">
        <f>IFERROR(__xludf.DUMMYFUNCTION("""COMPUTED_VALUE"""),"นายกิตติพงษ์ มั่นคง")</f>
        <v>นายกิตติพงษ์ มั่นคง</v>
      </c>
      <c r="J578" s="3">
        <f>IFERROR(__xludf.DUMMYFUNCTION("""COMPUTED_VALUE"""),15361.0)</f>
        <v>15361</v>
      </c>
      <c r="K578" s="3" t="str">
        <f>IFERROR(__xludf.DUMMYFUNCTION("""COMPUTED_VALUE"""),"นายสมบูรณ์ พรหมในเมือง")</f>
        <v>นายสมบูรณ์ พรหมในเมือง</v>
      </c>
      <c r="L578" s="3" t="str">
        <f>IFERROR(__xludf.DUMMYFUNCTION("""COMPUTED_VALUE"""),"04 K.Somboon P.")</f>
        <v>04 K.Somboon P.</v>
      </c>
      <c r="M578" s="1" t="str">
        <f>IFERROR(__xludf.DUMMYFUNCTION("""COMPUTED_VALUE"""),"087-965-3051")</f>
        <v>087-965-3051</v>
      </c>
      <c r="N578" s="3">
        <f>IFERROR(__xludf.DUMMYFUNCTION("""COMPUTED_VALUE"""),21869.0)</f>
        <v>21869</v>
      </c>
      <c r="O578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578" s="4">
        <f>IFERROR(__xludf.DUMMYFUNCTION("""COMPUTED_VALUE"""),42176.0)</f>
        <v>42176</v>
      </c>
      <c r="Q578" s="3" t="str">
        <f>IFERROR(__xludf.DUMMYFUNCTION("""COMPUTED_VALUE"""),"I")</f>
        <v>I</v>
      </c>
      <c r="R578" s="3" t="str">
        <f>IFERROR(__xludf.DUMMYFUNCTION("""COMPUTED_VALUE"""),"Small Format")</f>
        <v>Small Format</v>
      </c>
      <c r="S578" s="3" t="str">
        <f>IFERROR(__xludf.DUMMYFUNCTION("""COMPUTED_VALUE"""),"BCM")</f>
        <v>BCM</v>
      </c>
      <c r="T578" s="3" t="str">
        <f>IFERROR(__xludf.DUMMYFUNCTION("""COMPUTED_VALUE"""),"#N/A")</f>
        <v>#N/A</v>
      </c>
      <c r="U578" s="3" t="str">
        <f>IFERROR(__xludf.DUMMYFUNCTION("""COMPUTED_VALUE"""),"#N/A")</f>
        <v>#N/A</v>
      </c>
      <c r="V578" s="3" t="str">
        <f>IFERROR(__xludf.DUMMYFUNCTION("""COMPUTED_VALUE"""),"N")</f>
        <v>N</v>
      </c>
      <c r="W578" s="3">
        <f>IFERROR(__xludf.DUMMYFUNCTION("""COMPUTED_VALUE"""),361163.0)</f>
        <v>361163</v>
      </c>
      <c r="X578" s="3" t="str">
        <f>IFERROR(__xludf.DUMMYFUNCTION("""COMPUTED_VALUE"""),"110/2 หมู่ 10 ตำบลโตนด อำเภอโนนสูง จังหวัดนครราชสีมา 30160")</f>
        <v>110/2 หมู่ 10 ตำบลโตนด อำเภอโนนสูง จังหวัดนครราชสีมา 30160</v>
      </c>
      <c r="Y578" s="3"/>
      <c r="Z578" s="3" t="str">
        <f>IFERROR(__xludf.DUMMYFUNCTION("""COMPUTED_VALUE"""),"โตนด")</f>
        <v>โตนด</v>
      </c>
      <c r="AA578" s="3" t="str">
        <f>IFERROR(__xludf.DUMMYFUNCTION("""COMPUTED_VALUE"""),"โนนสูง")</f>
        <v>โนนสูง</v>
      </c>
      <c r="AB578" s="3" t="str">
        <f>IFERROR(__xludf.DUMMYFUNCTION("""COMPUTED_VALUE"""),"นครราชสีมา")</f>
        <v>นครราชสีมา</v>
      </c>
      <c r="AC578" s="3">
        <f>IFERROR(__xludf.DUMMYFUNCTION("""COMPUTED_VALUE"""),30160.0)</f>
        <v>30160</v>
      </c>
      <c r="AD578" s="3">
        <f>IFERROR(__xludf.DUMMYFUNCTION("""COMPUTED_VALUE"""),15.094119)</f>
        <v>15.094119</v>
      </c>
      <c r="AE578" s="3">
        <f>IFERROR(__xludf.DUMMYFUNCTION("""COMPUTED_VALUE"""),102.250521)</f>
        <v>102.250521</v>
      </c>
      <c r="AF578" s="3" t="str">
        <f>IFERROR(__xludf.DUMMYFUNCTION("""COMPUTED_VALUE"""),"MBC BCP โตนด-โนนสูง-21345")</f>
        <v>MBC BCP โตนด-โนนสูง-21345</v>
      </c>
      <c r="AG578" s="3" t="str">
        <f>IFERROR(__xludf.DUMMYFUNCTION("""COMPUTED_VALUE"""),"ตะวันออกเฉียงเหนือ")</f>
        <v>ตะวันออกเฉียงเหนือ</v>
      </c>
      <c r="AH578" s="3" t="str">
        <f>IFERROR(__xludf.DUMMYFUNCTION("""COMPUTED_VALUE"""),"#N/A")</f>
        <v>#N/A</v>
      </c>
      <c r="AI578" s="3" t="str">
        <f>IFERROR(__xludf.DUMMYFUNCTION("""COMPUTED_VALUE"""),"Out of warranty")</f>
        <v>Out of warranty</v>
      </c>
      <c r="AJ578" s="3">
        <f>IFERROR(__xludf.DUMMYFUNCTION("""COMPUTED_VALUE"""),127.0)</f>
        <v>127</v>
      </c>
      <c r="AK578" s="3" t="str">
        <f>IFERROR(__xludf.DUMMYFUNCTION("""COMPUTED_VALUE"""),"MMS11")</f>
        <v>MMS11</v>
      </c>
      <c r="AL578" s="3"/>
    </row>
    <row r="579" ht="15.75" customHeight="1">
      <c r="A579" s="1" t="str">
        <f>IFERROR(__xludf.DUMMYFUNCTION("""COMPUTED_VALUE"""),"21346")</f>
        <v>21346</v>
      </c>
      <c r="B579" s="2">
        <f>IFERROR(__xludf.DUMMYFUNCTION("""COMPUTED_VALUE"""),21346.0)</f>
        <v>21346</v>
      </c>
      <c r="C579" s="3" t="str">
        <f>IFERROR(__xludf.DUMMYFUNCTION("""COMPUTED_VALUE"""),"พยัคฆภูมิพิสัย")</f>
        <v>พยัคฆภูมิพิสัย</v>
      </c>
      <c r="D579" s="3" t="str">
        <f>IFERROR(__xludf.DUMMYFUNCTION("""COMPUTED_VALUE"""),"MBC BCP PHAYAKKHAPHUM PHISAI")</f>
        <v>MBC BCP PHAYAKKHAPHUM PHISAI</v>
      </c>
      <c r="E579" s="1" t="str">
        <f>IFERROR(__xludf.DUMMYFUNCTION("""COMPUTED_VALUE"""),"บิ๊กซี MINI")</f>
        <v>บิ๊กซี MINI</v>
      </c>
      <c r="F579" s="1" t="str">
        <f>IFERROR(__xludf.DUMMYFUNCTION("""COMPUTED_VALUE"""),"291100")</f>
        <v>291100</v>
      </c>
      <c r="G579" s="1" t="str">
        <f>IFERROR(__xludf.DUMMYFUNCTION("""COMPUTED_VALUE"""),"น.ส.จารุณี ฮวบอินทร์")</f>
        <v>น.ส.จารุณี ฮวบอินทร์</v>
      </c>
      <c r="H579" s="1" t="str">
        <f>IFERROR(__xludf.DUMMYFUNCTION("""COMPUTED_VALUE"""),"034728")</f>
        <v>034728</v>
      </c>
      <c r="I579" s="1" t="str">
        <f>IFERROR(__xludf.DUMMYFUNCTION("""COMPUTED_VALUE"""),"นายพันธศักดิ์ พงอนุสอน")</f>
        <v>นายพันธศักดิ์ พงอนุสอน</v>
      </c>
      <c r="J579" s="3">
        <f>IFERROR(__xludf.DUMMYFUNCTION("""COMPUTED_VALUE"""),295886.0)</f>
        <v>295886</v>
      </c>
      <c r="K579" s="3" t="str">
        <f>IFERROR(__xludf.DUMMYFUNCTION("""COMPUTED_VALUE"""),"นายจิระพงษ์ โพธิ์นิล")</f>
        <v>นายจิระพงษ์ โพธิ์นิล</v>
      </c>
      <c r="L579" s="3" t="str">
        <f>IFERROR(__xludf.DUMMYFUNCTION("""COMPUTED_VALUE"""),"นายจิระพงษ์ โพธิ์นิล")</f>
        <v>นายจิระพงษ์ โพธิ์นิล</v>
      </c>
      <c r="M579" s="1" t="str">
        <f>IFERROR(__xludf.DUMMYFUNCTION("""COMPUTED_VALUE"""),"0933290754")</f>
        <v>0933290754</v>
      </c>
      <c r="N579" s="3">
        <f>IFERROR(__xludf.DUMMYFUNCTION("""COMPUTED_VALUE"""),21465.0)</f>
        <v>21465</v>
      </c>
      <c r="O579" s="3" t="str">
        <f>IFERROR(__xludf.DUMMYFUNCTION("""COMPUTED_VALUE"""),"MBC สถานีตำรวจอุดร")</f>
        <v>MBC สถานีตำรวจอุดร</v>
      </c>
      <c r="P579" s="4">
        <f>IFERROR(__xludf.DUMMYFUNCTION("""COMPUTED_VALUE"""),42177.0)</f>
        <v>42177</v>
      </c>
      <c r="Q579" s="3" t="str">
        <f>IFERROR(__xludf.DUMMYFUNCTION("""COMPUTED_VALUE"""),"I")</f>
        <v>I</v>
      </c>
      <c r="R579" s="3" t="str">
        <f>IFERROR(__xludf.DUMMYFUNCTION("""COMPUTED_VALUE"""),"Small Format")</f>
        <v>Small Format</v>
      </c>
      <c r="S579" s="3" t="str">
        <f>IFERROR(__xludf.DUMMYFUNCTION("""COMPUTED_VALUE"""),"BCM")</f>
        <v>BCM</v>
      </c>
      <c r="T579" s="3" t="str">
        <f>IFERROR(__xludf.DUMMYFUNCTION("""COMPUTED_VALUE"""),"#N/A")</f>
        <v>#N/A</v>
      </c>
      <c r="U579" s="3" t="str">
        <f>IFERROR(__xludf.DUMMYFUNCTION("""COMPUTED_VALUE"""),"#N/A")</f>
        <v>#N/A</v>
      </c>
      <c r="V579" s="3" t="str">
        <f>IFERROR(__xludf.DUMMYFUNCTION("""COMPUTED_VALUE"""),"N")</f>
        <v>N</v>
      </c>
      <c r="W579" s="3">
        <f>IFERROR(__xludf.DUMMYFUNCTION("""COMPUTED_VALUE"""),0.0)</f>
        <v>0</v>
      </c>
      <c r="X579" s="3" t="str">
        <f>IFERROR(__xludf.DUMMYFUNCTION("""COMPUTED_VALUE"""),"223 หมู่ 16 ตำบลปะหลาน อำเภอพยัคฆภูมิพิสัย จังหวัดมหาสารคาม 44110")</f>
        <v>223 หมู่ 16 ตำบลปะหลาน อำเภอพยัคฆภูมิพิสัย จังหวัดมหาสารคาม 44110</v>
      </c>
      <c r="Y579" s="3"/>
      <c r="Z579" s="3" t="str">
        <f>IFERROR(__xludf.DUMMYFUNCTION("""COMPUTED_VALUE"""),"ปะหลาน")</f>
        <v>ปะหลาน</v>
      </c>
      <c r="AA579" s="3" t="str">
        <f>IFERROR(__xludf.DUMMYFUNCTION("""COMPUTED_VALUE"""),"พยัคฆภูมิพิสัย")</f>
        <v>พยัคฆภูมิพิสัย</v>
      </c>
      <c r="AB579" s="3" t="str">
        <f>IFERROR(__xludf.DUMMYFUNCTION("""COMPUTED_VALUE"""),"มหาสารคาม")</f>
        <v>มหาสารคาม</v>
      </c>
      <c r="AC579" s="3">
        <f>IFERROR(__xludf.DUMMYFUNCTION("""COMPUTED_VALUE"""),44110.0)</f>
        <v>44110</v>
      </c>
      <c r="AD579" s="3" t="str">
        <f>IFERROR(__xludf.DUMMYFUNCTION("""COMPUTED_VALUE"""),"#N/A")</f>
        <v>#N/A</v>
      </c>
      <c r="AE579" s="3" t="str">
        <f>IFERROR(__xludf.DUMMYFUNCTION("""COMPUTED_VALUE"""),"#N/A")</f>
        <v>#N/A</v>
      </c>
      <c r="AF579" s="3" t="str">
        <f>IFERROR(__xludf.DUMMYFUNCTION("""COMPUTED_VALUE"""),"พยัคฆภูมิพิสัย-21346")</f>
        <v>พยัคฆภูมิพิสัย-21346</v>
      </c>
      <c r="AG579" s="3" t="str">
        <f>IFERROR(__xludf.DUMMYFUNCTION("""COMPUTED_VALUE"""),"ตะวันออกเฉียงเหนือ")</f>
        <v>ตะวันออกเฉียงเหนือ</v>
      </c>
      <c r="AH579" s="3" t="str">
        <f>IFERROR(__xludf.DUMMYFUNCTION("""COMPUTED_VALUE"""),"#N/A")</f>
        <v>#N/A</v>
      </c>
      <c r="AI579" s="3" t="str">
        <f>IFERROR(__xludf.DUMMYFUNCTION("""COMPUTED_VALUE"""),"Out of warranty")</f>
        <v>Out of warranty</v>
      </c>
      <c r="AJ579" s="3">
        <f>IFERROR(__xludf.DUMMYFUNCTION("""COMPUTED_VALUE"""),127.0)</f>
        <v>127</v>
      </c>
      <c r="AK579" s="3"/>
      <c r="AL579" s="3"/>
    </row>
    <row r="580" ht="15.75" customHeight="1">
      <c r="A580" s="1" t="str">
        <f>IFERROR(__xludf.DUMMYFUNCTION("""COMPUTED_VALUE"""),"21347")</f>
        <v>21347</v>
      </c>
      <c r="B580" s="2">
        <f>IFERROR(__xludf.DUMMYFUNCTION("""COMPUTED_VALUE"""),21347.0)</f>
        <v>21347</v>
      </c>
      <c r="C580" s="3" t="str">
        <f>IFERROR(__xludf.DUMMYFUNCTION("""COMPUTED_VALUE"""),"เขาคราม-กระบี่")</f>
        <v>เขาคราม-กระบี่</v>
      </c>
      <c r="D580" s="3" t="str">
        <f>IFERROR(__xludf.DUMMYFUNCTION("""COMPUTED_VALUE"""),"MBC BCP KHAO KHRAM-KRABI")</f>
        <v>MBC BCP KHAO KHRAM-KRABI</v>
      </c>
      <c r="E580" s="1" t="str">
        <f>IFERROR(__xludf.DUMMYFUNCTION("""COMPUTED_VALUE"""),"บิ๊กซี MINI")</f>
        <v>บิ๊กซี MINI</v>
      </c>
      <c r="F580" s="1" t="str">
        <f>IFERROR(__xludf.DUMMYFUNCTION("""COMPUTED_VALUE"""),"2010918")</f>
        <v>2010918</v>
      </c>
      <c r="G580" s="1" t="str">
        <f>IFERROR(__xludf.DUMMYFUNCTION("""COMPUTED_VALUE"""),"น.ส.สุดารัตน์ รัตนประดิษฐ์")</f>
        <v>น.ส.สุดารัตน์ รัตนประดิษฐ์</v>
      </c>
      <c r="H580" s="1" t="str">
        <f>IFERROR(__xludf.DUMMYFUNCTION("""COMPUTED_VALUE"""),"282500")</f>
        <v>282500</v>
      </c>
      <c r="I580" s="1" t="str">
        <f>IFERROR(__xludf.DUMMYFUNCTION("""COMPUTED_VALUE"""),"นายเจษฎ์พิพัฒ แก้วกุดั่น")</f>
        <v>นายเจษฎ์พิพัฒ แก้วกุดั่น</v>
      </c>
      <c r="J580" s="3">
        <f>IFERROR(__xludf.DUMMYFUNCTION("""COMPUTED_VALUE"""),2.0470331E7)</f>
        <v>20470331</v>
      </c>
      <c r="K580" s="3" t="str">
        <f>IFERROR(__xludf.DUMMYFUNCTION("""COMPUTED_VALUE"""),"นายสมชาย ลักษณะสุวรรณ")</f>
        <v>นายสมชาย ลักษณะสุวรรณ</v>
      </c>
      <c r="L580" s="1" t="str">
        <f>IFERROR(__xludf.DUMMYFUNCTION("""COMPUTED_VALUE"""),"15 K.Somchai L")</f>
        <v>15 K.Somchai L</v>
      </c>
      <c r="M580" s="1" t="str">
        <f>IFERROR(__xludf.DUMMYFUNCTION("""COMPUTED_VALUE"""),"0655107372")</f>
        <v>0655107372</v>
      </c>
      <c r="N580" s="3">
        <f>IFERROR(__xludf.DUMMYFUNCTION("""COMPUTED_VALUE"""),21723.0)</f>
        <v>21723</v>
      </c>
      <c r="O580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580" s="4">
        <f>IFERROR(__xludf.DUMMYFUNCTION("""COMPUTED_VALUE"""),42178.0)</f>
        <v>42178</v>
      </c>
      <c r="Q580" s="3" t="str">
        <f>IFERROR(__xludf.DUMMYFUNCTION("""COMPUTED_VALUE"""),"I")</f>
        <v>I</v>
      </c>
      <c r="R580" s="3" t="str">
        <f>IFERROR(__xludf.DUMMYFUNCTION("""COMPUTED_VALUE"""),"Small Format")</f>
        <v>Small Format</v>
      </c>
      <c r="S580" s="3" t="str">
        <f>IFERROR(__xludf.DUMMYFUNCTION("""COMPUTED_VALUE"""),"BCM")</f>
        <v>BCM</v>
      </c>
      <c r="T580" s="3" t="str">
        <f>IFERROR(__xludf.DUMMYFUNCTION("""COMPUTED_VALUE"""),"#N/A")</f>
        <v>#N/A</v>
      </c>
      <c r="U580" s="3" t="str">
        <f>IFERROR(__xludf.DUMMYFUNCTION("""COMPUTED_VALUE"""),"#N/A")</f>
        <v>#N/A</v>
      </c>
      <c r="V580" s="3" t="str">
        <f>IFERROR(__xludf.DUMMYFUNCTION("""COMPUTED_VALUE"""),"N")</f>
        <v>N</v>
      </c>
      <c r="W580" s="3">
        <f>IFERROR(__xludf.DUMMYFUNCTION("""COMPUTED_VALUE"""),0.0)</f>
        <v>0</v>
      </c>
      <c r="X580" s="3" t="str">
        <f>IFERROR(__xludf.DUMMYFUNCTION("""COMPUTED_VALUE"""),"280 หมู่ 4 ตำบลเขาคราม อำเภอเมืองกระบี่ จังหวัดกระบี่ 81000")</f>
        <v>280 หมู่ 4 ตำบลเขาคราม อำเภอเมืองกระบี่ จังหวัดกระบี่ 81000</v>
      </c>
      <c r="Y580" s="3"/>
      <c r="Z580" s="3" t="str">
        <f>IFERROR(__xludf.DUMMYFUNCTION("""COMPUTED_VALUE"""),"เขาคราม")</f>
        <v>เขาคราม</v>
      </c>
      <c r="AA580" s="3" t="str">
        <f>IFERROR(__xludf.DUMMYFUNCTION("""COMPUTED_VALUE"""),"เมือง")</f>
        <v>เมือง</v>
      </c>
      <c r="AB580" s="3" t="str">
        <f>IFERROR(__xludf.DUMMYFUNCTION("""COMPUTED_VALUE"""),"กระบี่")</f>
        <v>กระบี่</v>
      </c>
      <c r="AC580" s="3">
        <f>IFERROR(__xludf.DUMMYFUNCTION("""COMPUTED_VALUE"""),81000.0)</f>
        <v>81000</v>
      </c>
      <c r="AD580" s="3" t="str">
        <f>IFERROR(__xludf.DUMMYFUNCTION("""COMPUTED_VALUE"""),"#N/A")</f>
        <v>#N/A</v>
      </c>
      <c r="AE580" s="3" t="str">
        <f>IFERROR(__xludf.DUMMYFUNCTION("""COMPUTED_VALUE"""),"#N/A")</f>
        <v>#N/A</v>
      </c>
      <c r="AF580" s="3" t="str">
        <f>IFERROR(__xludf.DUMMYFUNCTION("""COMPUTED_VALUE"""),"เขาคราม-กระบี่-21347")</f>
        <v>เขาคราม-กระบี่-21347</v>
      </c>
      <c r="AG580" s="3" t="str">
        <f>IFERROR(__xludf.DUMMYFUNCTION("""COMPUTED_VALUE"""),"ใต้")</f>
        <v>ใต้</v>
      </c>
      <c r="AH580" s="3" t="str">
        <f>IFERROR(__xludf.DUMMYFUNCTION("""COMPUTED_VALUE"""),"#N/A")</f>
        <v>#N/A</v>
      </c>
      <c r="AI580" s="3" t="str">
        <f>IFERROR(__xludf.DUMMYFUNCTION("""COMPUTED_VALUE"""),"Out of warranty")</f>
        <v>Out of warranty</v>
      </c>
      <c r="AJ580" s="3">
        <f>IFERROR(__xludf.DUMMYFUNCTION("""COMPUTED_VALUE"""),127.0)</f>
        <v>127</v>
      </c>
      <c r="AK580" s="3"/>
      <c r="AL580" s="3"/>
    </row>
    <row r="581" ht="15.75" customHeight="1">
      <c r="A581" s="1" t="str">
        <f>IFERROR(__xludf.DUMMYFUNCTION("""COMPUTED_VALUE"""),"21348")</f>
        <v>21348</v>
      </c>
      <c r="B581" s="2">
        <f>IFERROR(__xludf.DUMMYFUNCTION("""COMPUTED_VALUE"""),21348.0)</f>
        <v>21348</v>
      </c>
      <c r="C581" s="3" t="str">
        <f>IFERROR(__xludf.DUMMYFUNCTION("""COMPUTED_VALUE"""),"จอมสุรางค์ยาตร์")</f>
        <v>จอมสุรางค์ยาตร์</v>
      </c>
      <c r="D581" s="3" t="str">
        <f>IFERROR(__xludf.DUMMYFUNCTION("""COMPUTED_VALUE"""),"MBC BCP CHOMSURANGYAT")</f>
        <v>MBC BCP CHOMSURANGYAT</v>
      </c>
      <c r="E581" s="1" t="str">
        <f>IFERROR(__xludf.DUMMYFUNCTION("""COMPUTED_VALUE"""),"บิ๊กซี MINI")</f>
        <v>บิ๊กซี MINI</v>
      </c>
      <c r="F581" s="1" t="str">
        <f>IFERROR(__xludf.DUMMYFUNCTION("""COMPUTED_VALUE"""),"291100")</f>
        <v>291100</v>
      </c>
      <c r="G581" s="1" t="str">
        <f>IFERROR(__xludf.DUMMYFUNCTION("""COMPUTED_VALUE"""),"น.ส.จารุณี ฮวบอินทร์")</f>
        <v>น.ส.จารุณี ฮวบอินทร์</v>
      </c>
      <c r="H581" s="1" t="str">
        <f>IFERROR(__xludf.DUMMYFUNCTION("""COMPUTED_VALUE"""),"180347")</f>
        <v>180347</v>
      </c>
      <c r="I581" s="1" t="str">
        <f>IFERROR(__xludf.DUMMYFUNCTION("""COMPUTED_VALUE"""),"นายณัฐพงษ์ สุตะวงค์")</f>
        <v>นายณัฐพงษ์ สุตะวงค์</v>
      </c>
      <c r="J581" s="3">
        <f>IFERROR(__xludf.DUMMYFUNCTION("""COMPUTED_VALUE"""),295886.0)</f>
        <v>295886</v>
      </c>
      <c r="K581" s="3" t="str">
        <f>IFERROR(__xludf.DUMMYFUNCTION("""COMPUTED_VALUE"""),"นายจิระพงษ์ โพธิ์นิล")</f>
        <v>นายจิระพงษ์ โพธิ์นิล</v>
      </c>
      <c r="L581" s="1" t="str">
        <f>IFERROR(__xludf.DUMMYFUNCTION("""COMPUTED_VALUE"""),"นายจิระพงษ์ โพธิ์นิล")</f>
        <v>นายจิระพงษ์ โพธิ์นิล</v>
      </c>
      <c r="M581" s="1" t="str">
        <f>IFERROR(__xludf.DUMMYFUNCTION("""COMPUTED_VALUE"""),"0933290754")</f>
        <v>0933290754</v>
      </c>
      <c r="N581" s="3">
        <f>IFERROR(__xludf.DUMMYFUNCTION("""COMPUTED_VALUE"""),21465.0)</f>
        <v>21465</v>
      </c>
      <c r="O581" s="3" t="str">
        <f>IFERROR(__xludf.DUMMYFUNCTION("""COMPUTED_VALUE"""),"MBC สถานีตำรวจอุดร")</f>
        <v>MBC สถานีตำรวจอุดร</v>
      </c>
      <c r="P581" s="4">
        <f>IFERROR(__xludf.DUMMYFUNCTION("""COMPUTED_VALUE"""),42180.0)</f>
        <v>42180</v>
      </c>
      <c r="Q581" s="3" t="str">
        <f>IFERROR(__xludf.DUMMYFUNCTION("""COMPUTED_VALUE"""),"I")</f>
        <v>I</v>
      </c>
      <c r="R581" s="3" t="str">
        <f>IFERROR(__xludf.DUMMYFUNCTION("""COMPUTED_VALUE"""),"Small Format")</f>
        <v>Small Format</v>
      </c>
      <c r="S581" s="3" t="str">
        <f>IFERROR(__xludf.DUMMYFUNCTION("""COMPUTED_VALUE"""),"BCM")</f>
        <v>BCM</v>
      </c>
      <c r="T581" s="3" t="str">
        <f>IFERROR(__xludf.DUMMYFUNCTION("""COMPUTED_VALUE"""),"#N/A")</f>
        <v>#N/A</v>
      </c>
      <c r="U581" s="3" t="str">
        <f>IFERROR(__xludf.DUMMYFUNCTION("""COMPUTED_VALUE"""),"#N/A")</f>
        <v>#N/A</v>
      </c>
      <c r="V581" s="3" t="str">
        <f>IFERROR(__xludf.DUMMYFUNCTION("""COMPUTED_VALUE"""),"N")</f>
        <v>N</v>
      </c>
      <c r="W581" s="3">
        <f>IFERROR(__xludf.DUMMYFUNCTION("""COMPUTED_VALUE"""),0.0)</f>
        <v>0</v>
      </c>
      <c r="X581" s="3" t="str">
        <f>IFERROR(__xludf.DUMMYFUNCTION("""COMPUTED_VALUE"""),"232/4 ถนนจอมสุรางค์ยาตร์ ตำบลในเมือง อำเภอเมืองนครราชสีมา จังหวัดนครราชสีมา 30000")</f>
        <v>232/4 ถนนจอมสุรางค์ยาตร์ ตำบลในเมือง อำเภอเมืองนครราชสีมา จังหวัดนครราชสีมา 30000</v>
      </c>
      <c r="Y581" s="3" t="str">
        <f>IFERROR(__xludf.DUMMYFUNCTION("""COMPUTED_VALUE"""),"ถนนจอมสุรางค์ยาตร์")</f>
        <v>ถนนจอมสุรางค์ยาตร์</v>
      </c>
      <c r="Z581" s="3" t="str">
        <f>IFERROR(__xludf.DUMMYFUNCTION("""COMPUTED_VALUE"""),"ในเมือง")</f>
        <v>ในเมือง</v>
      </c>
      <c r="AA581" s="3" t="str">
        <f>IFERROR(__xludf.DUMMYFUNCTION("""COMPUTED_VALUE"""),"เมือง")</f>
        <v>เมือง</v>
      </c>
      <c r="AB581" s="3" t="str">
        <f>IFERROR(__xludf.DUMMYFUNCTION("""COMPUTED_VALUE"""),"นครราชสีมา")</f>
        <v>นครราชสีมา</v>
      </c>
      <c r="AC581" s="3">
        <f>IFERROR(__xludf.DUMMYFUNCTION("""COMPUTED_VALUE"""),30000.0)</f>
        <v>30000</v>
      </c>
      <c r="AD581" s="3" t="str">
        <f>IFERROR(__xludf.DUMMYFUNCTION("""COMPUTED_VALUE"""),"#N/A")</f>
        <v>#N/A</v>
      </c>
      <c r="AE581" s="3" t="str">
        <f>IFERROR(__xludf.DUMMYFUNCTION("""COMPUTED_VALUE"""),"#N/A")</f>
        <v>#N/A</v>
      </c>
      <c r="AF581" s="3" t="str">
        <f>IFERROR(__xludf.DUMMYFUNCTION("""COMPUTED_VALUE"""),"จอมสุรางค์ยาตร์-21348")</f>
        <v>จอมสุรางค์ยาตร์-21348</v>
      </c>
      <c r="AG581" s="3" t="str">
        <f>IFERROR(__xludf.DUMMYFUNCTION("""COMPUTED_VALUE"""),"ตะวันออกเฉียงเหนือ")</f>
        <v>ตะวันออกเฉียงเหนือ</v>
      </c>
      <c r="AH581" s="3" t="str">
        <f>IFERROR(__xludf.DUMMYFUNCTION("""COMPUTED_VALUE"""),"#N/A")</f>
        <v>#N/A</v>
      </c>
      <c r="AI581" s="3" t="str">
        <f>IFERROR(__xludf.DUMMYFUNCTION("""COMPUTED_VALUE"""),"Out of warranty")</f>
        <v>Out of warranty</v>
      </c>
      <c r="AJ581" s="3">
        <f>IFERROR(__xludf.DUMMYFUNCTION("""COMPUTED_VALUE"""),127.0)</f>
        <v>127</v>
      </c>
      <c r="AK581" s="3"/>
      <c r="AL581" s="3"/>
    </row>
    <row r="582" ht="15.75" customHeight="1">
      <c r="A582" s="1" t="str">
        <f>IFERROR(__xludf.DUMMYFUNCTION("""COMPUTED_VALUE"""),"21349")</f>
        <v>21349</v>
      </c>
      <c r="B582" s="2">
        <f>IFERROR(__xludf.DUMMYFUNCTION("""COMPUTED_VALUE"""),21349.0)</f>
        <v>21349</v>
      </c>
      <c r="C582" s="3" t="str">
        <f>IFERROR(__xludf.DUMMYFUNCTION("""COMPUTED_VALUE"""),"MBC BCP ปากช่อง-น้ำค้าง")</f>
        <v>MBC BCP ปากช่อง-น้ำค้าง</v>
      </c>
      <c r="D582" s="3" t="str">
        <f>IFERROR(__xludf.DUMMYFUNCTION("""COMPUTED_VALUE"""),"BCM BCP PAKCHONG-NAMKHANG")</f>
        <v>BCM BCP PAKCHONG-NAMKHANG</v>
      </c>
      <c r="E582" s="1" t="str">
        <f>IFERROR(__xludf.DUMMYFUNCTION("""COMPUTED_VALUE"""),"บิ๊กซี MINI")</f>
        <v>บิ๊กซี MINI</v>
      </c>
      <c r="F582" s="1" t="str">
        <f>IFERROR(__xludf.DUMMYFUNCTION("""COMPUTED_VALUE"""),"291105")</f>
        <v>291105</v>
      </c>
      <c r="G582" s="1" t="str">
        <f>IFERROR(__xludf.DUMMYFUNCTION("""COMPUTED_VALUE"""),"นายสราวุฒิ พณิชยกุล")</f>
        <v>นายสราวุฒิ พณิชยกุล</v>
      </c>
      <c r="H582" s="1" t="str">
        <f>IFERROR(__xludf.DUMMYFUNCTION("""COMPUTED_VALUE"""),"281315")</f>
        <v>281315</v>
      </c>
      <c r="I582" s="1" t="str">
        <f>IFERROR(__xludf.DUMMYFUNCTION("""COMPUTED_VALUE"""),"นายกิตติพงษ์ มั่นคง")</f>
        <v>นายกิตติพงษ์ มั่นคง</v>
      </c>
      <c r="J582" s="3">
        <f>IFERROR(__xludf.DUMMYFUNCTION("""COMPUTED_VALUE"""),15361.0)</f>
        <v>15361</v>
      </c>
      <c r="K582" s="3" t="str">
        <f>IFERROR(__xludf.DUMMYFUNCTION("""COMPUTED_VALUE"""),"นายสมบูรณ์ พรหมในเมือง")</f>
        <v>นายสมบูรณ์ พรหมในเมือง</v>
      </c>
      <c r="L582" s="1" t="str">
        <f>IFERROR(__xludf.DUMMYFUNCTION("""COMPUTED_VALUE"""),"04 K.Somboon P.")</f>
        <v>04 K.Somboon P.</v>
      </c>
      <c r="M582" s="1" t="str">
        <f>IFERROR(__xludf.DUMMYFUNCTION("""COMPUTED_VALUE"""),"087-965-3051")</f>
        <v>087-965-3051</v>
      </c>
      <c r="N582" s="3">
        <f>IFERROR(__xludf.DUMMYFUNCTION("""COMPUTED_VALUE"""),21869.0)</f>
        <v>21869</v>
      </c>
      <c r="O582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582" s="4">
        <f>IFERROR(__xludf.DUMMYFUNCTION("""COMPUTED_VALUE"""),42195.0)</f>
        <v>42195</v>
      </c>
      <c r="Q582" s="3" t="str">
        <f>IFERROR(__xludf.DUMMYFUNCTION("""COMPUTED_VALUE"""),"A")</f>
        <v>A</v>
      </c>
      <c r="R582" s="3" t="str">
        <f>IFERROR(__xludf.DUMMYFUNCTION("""COMPUTED_VALUE"""),"Small Format")</f>
        <v>Small Format</v>
      </c>
      <c r="S582" s="3" t="str">
        <f>IFERROR(__xludf.DUMMYFUNCTION("""COMPUTED_VALUE"""),"BCM")</f>
        <v>BCM</v>
      </c>
      <c r="T582" s="3" t="str">
        <f>IFERROR(__xludf.DUMMYFUNCTION("""COMPUTED_VALUE"""),"#N/A")</f>
        <v>#N/A</v>
      </c>
      <c r="U582" s="3" t="str">
        <f>IFERROR(__xludf.DUMMYFUNCTION("""COMPUTED_VALUE"""),"#N/A")</f>
        <v>#N/A</v>
      </c>
      <c r="V582" s="3" t="str">
        <f>IFERROR(__xludf.DUMMYFUNCTION("""COMPUTED_VALUE"""),"N")</f>
        <v>N</v>
      </c>
      <c r="W582" s="3">
        <f>IFERROR(__xludf.DUMMYFUNCTION("""COMPUTED_VALUE"""),361158.0)</f>
        <v>361158</v>
      </c>
      <c r="X582" s="3" t="str">
        <f>IFERROR(__xludf.DUMMYFUNCTION("""COMPUTED_VALUE"""),"144/2 หมู่ 10 ตำบลขนงพระ อำเภอปากช่อง จังหวัดนครราชสีมา 30130")</f>
        <v>144/2 หมู่ 10 ตำบลขนงพระ อำเภอปากช่อง จังหวัดนครราชสีมา 30130</v>
      </c>
      <c r="Y582" s="3"/>
      <c r="Z582" s="3" t="str">
        <f>IFERROR(__xludf.DUMMYFUNCTION("""COMPUTED_VALUE"""),"ขนงพระ")</f>
        <v>ขนงพระ</v>
      </c>
      <c r="AA582" s="3" t="str">
        <f>IFERROR(__xludf.DUMMYFUNCTION("""COMPUTED_VALUE"""),"ปากช่อง")</f>
        <v>ปากช่อง</v>
      </c>
      <c r="AB582" s="3" t="str">
        <f>IFERROR(__xludf.DUMMYFUNCTION("""COMPUTED_VALUE"""),"นครราชสีมา")</f>
        <v>นครราชสีมา</v>
      </c>
      <c r="AC582" s="3">
        <f>IFERROR(__xludf.DUMMYFUNCTION("""COMPUTED_VALUE"""),30130.0)</f>
        <v>30130</v>
      </c>
      <c r="AD582" s="3">
        <f>IFERROR(__xludf.DUMMYFUNCTION("""COMPUTED_VALUE"""),14.66802)</f>
        <v>14.66802</v>
      </c>
      <c r="AE582" s="3">
        <f>IFERROR(__xludf.DUMMYFUNCTION("""COMPUTED_VALUE"""),101.443604)</f>
        <v>101.443604</v>
      </c>
      <c r="AF582" s="3" t="str">
        <f>IFERROR(__xludf.DUMMYFUNCTION("""COMPUTED_VALUE"""),"MBC BCP ปากช่อง-น้ำค้าง-21349")</f>
        <v>MBC BCP ปากช่อง-น้ำค้าง-21349</v>
      </c>
      <c r="AG582" s="3" t="str">
        <f>IFERROR(__xludf.DUMMYFUNCTION("""COMPUTED_VALUE"""),"ตะวันออกเฉียงเหนือ")</f>
        <v>ตะวันออกเฉียงเหนือ</v>
      </c>
      <c r="AH582" s="3" t="str">
        <f>IFERROR(__xludf.DUMMYFUNCTION("""COMPUTED_VALUE"""),"#N/A")</f>
        <v>#N/A</v>
      </c>
      <c r="AI582" s="3" t="str">
        <f>IFERROR(__xludf.DUMMYFUNCTION("""COMPUTED_VALUE"""),"Out of warranty")</f>
        <v>Out of warranty</v>
      </c>
      <c r="AJ582" s="3">
        <f>IFERROR(__xludf.DUMMYFUNCTION("""COMPUTED_VALUE"""),127.0)</f>
        <v>127</v>
      </c>
      <c r="AK582" s="3" t="str">
        <f>IFERROR(__xludf.DUMMYFUNCTION("""COMPUTED_VALUE"""),"MMS11")</f>
        <v>MMS11</v>
      </c>
      <c r="AL582" s="3"/>
    </row>
    <row r="583" ht="15.75" customHeight="1">
      <c r="A583" s="1" t="str">
        <f>IFERROR(__xludf.DUMMYFUNCTION("""COMPUTED_VALUE"""),"21350")</f>
        <v>21350</v>
      </c>
      <c r="B583" s="2">
        <f>IFERROR(__xludf.DUMMYFUNCTION("""COMPUTED_VALUE"""),21350.0)</f>
        <v>21350</v>
      </c>
      <c r="C583" s="3" t="str">
        <f>IFERROR(__xludf.DUMMYFUNCTION("""COMPUTED_VALUE"""),"MBC BCP เมืองขอนแก่น")</f>
        <v>MBC BCP เมืองขอนแก่น</v>
      </c>
      <c r="D583" s="3" t="str">
        <f>IFERROR(__xludf.DUMMYFUNCTION("""COMPUTED_VALUE"""),"MBC BCP MUEANG KHON KAEN")</f>
        <v>MBC BCP MUEANG KHON KAEN</v>
      </c>
      <c r="E583" s="1" t="str">
        <f>IFERROR(__xludf.DUMMYFUNCTION("""COMPUTED_VALUE"""),"บิ๊กซี MINI")</f>
        <v>บิ๊กซี MINI</v>
      </c>
      <c r="F583" s="1" t="str">
        <f>IFERROR(__xludf.DUMMYFUNCTION("""COMPUTED_VALUE"""),"291100")</f>
        <v>291100</v>
      </c>
      <c r="G583" s="1" t="str">
        <f>IFERROR(__xludf.DUMMYFUNCTION("""COMPUTED_VALUE"""),"น.ส.จารุณี ฮวบอินทร์")</f>
        <v>น.ส.จารุณี ฮวบอินทร์</v>
      </c>
      <c r="H583" s="1" t="str">
        <f>IFERROR(__xludf.DUMMYFUNCTION("""COMPUTED_VALUE"""),"305119")</f>
        <v>305119</v>
      </c>
      <c r="I583" s="1" t="str">
        <f>IFERROR(__xludf.DUMMYFUNCTION("""COMPUTED_VALUE"""),"นายไชยกร ลีพิบูลย์สวัสดิ์")</f>
        <v>นายไชยกร ลีพิบูลย์สวัสดิ์</v>
      </c>
      <c r="J583" s="3">
        <f>IFERROR(__xludf.DUMMYFUNCTION("""COMPUTED_VALUE"""),295886.0)</f>
        <v>295886</v>
      </c>
      <c r="K583" s="3" t="str">
        <f>IFERROR(__xludf.DUMMYFUNCTION("""COMPUTED_VALUE"""),"นายจิระพงษ์ โพธิ์นิล")</f>
        <v>นายจิระพงษ์ โพธิ์นิล</v>
      </c>
      <c r="L583" s="3" t="str">
        <f>IFERROR(__xludf.DUMMYFUNCTION("""COMPUTED_VALUE"""),"นายจิระพงษ์ โพธิ์นิล")</f>
        <v>นายจิระพงษ์ โพธิ์นิล</v>
      </c>
      <c r="M583" s="1" t="str">
        <f>IFERROR(__xludf.DUMMYFUNCTION("""COMPUTED_VALUE"""),"0933290754")</f>
        <v>0933290754</v>
      </c>
      <c r="N583" s="3">
        <f>IFERROR(__xludf.DUMMYFUNCTION("""COMPUTED_VALUE"""),21465.0)</f>
        <v>21465</v>
      </c>
      <c r="O583" s="3" t="str">
        <f>IFERROR(__xludf.DUMMYFUNCTION("""COMPUTED_VALUE"""),"MBC สถานีตำรวจอุดร")</f>
        <v>MBC สถานีตำรวจอุดร</v>
      </c>
      <c r="P583" s="4">
        <f>IFERROR(__xludf.DUMMYFUNCTION("""COMPUTED_VALUE"""),42198.0)</f>
        <v>42198</v>
      </c>
      <c r="Q583" s="3" t="str">
        <f>IFERROR(__xludf.DUMMYFUNCTION("""COMPUTED_VALUE"""),"I")</f>
        <v>I</v>
      </c>
      <c r="R583" s="3" t="str">
        <f>IFERROR(__xludf.DUMMYFUNCTION("""COMPUTED_VALUE"""),"Small Format")</f>
        <v>Small Format</v>
      </c>
      <c r="S583" s="3" t="str">
        <f>IFERROR(__xludf.DUMMYFUNCTION("""COMPUTED_VALUE"""),"BCM")</f>
        <v>BCM</v>
      </c>
      <c r="T583" s="3" t="str">
        <f>IFERROR(__xludf.DUMMYFUNCTION("""COMPUTED_VALUE"""),"#N/A")</f>
        <v>#N/A</v>
      </c>
      <c r="U583" s="3" t="str">
        <f>IFERROR(__xludf.DUMMYFUNCTION("""COMPUTED_VALUE"""),"#N/A")</f>
        <v>#N/A</v>
      </c>
      <c r="V583" s="3" t="str">
        <f>IFERROR(__xludf.DUMMYFUNCTION("""COMPUTED_VALUE"""),"N")</f>
        <v>N</v>
      </c>
      <c r="W583" s="3">
        <f>IFERROR(__xludf.DUMMYFUNCTION("""COMPUTED_VALUE"""),0.0)</f>
        <v>0</v>
      </c>
      <c r="X583" s="3" t="str">
        <f>IFERROR(__xludf.DUMMYFUNCTION("""COMPUTED_VALUE"""),"192/1 หมู่ 1 ตำบลเมืองเก่า อำเภอเมืองขอนแก่น จังหวัดขอนแก่น 40000")</f>
        <v>192/1 หมู่ 1 ตำบลเมืองเก่า อำเภอเมืองขอนแก่น จังหวัดขอนแก่น 40000</v>
      </c>
      <c r="Y583" s="3"/>
      <c r="Z583" s="3" t="str">
        <f>IFERROR(__xludf.DUMMYFUNCTION("""COMPUTED_VALUE"""),"เมืองเก่า")</f>
        <v>เมืองเก่า</v>
      </c>
      <c r="AA583" s="3" t="str">
        <f>IFERROR(__xludf.DUMMYFUNCTION("""COMPUTED_VALUE"""),"เมือง")</f>
        <v>เมือง</v>
      </c>
      <c r="AB583" s="3" t="str">
        <f>IFERROR(__xludf.DUMMYFUNCTION("""COMPUTED_VALUE"""),"ขอนแก่น")</f>
        <v>ขอนแก่น</v>
      </c>
      <c r="AC583" s="3">
        <f>IFERROR(__xludf.DUMMYFUNCTION("""COMPUTED_VALUE"""),40000.0)</f>
        <v>40000</v>
      </c>
      <c r="AD583" s="3" t="str">
        <f>IFERROR(__xludf.DUMMYFUNCTION("""COMPUTED_VALUE"""),"#N/A")</f>
        <v>#N/A</v>
      </c>
      <c r="AE583" s="3" t="str">
        <f>IFERROR(__xludf.DUMMYFUNCTION("""COMPUTED_VALUE"""),"#N/A")</f>
        <v>#N/A</v>
      </c>
      <c r="AF583" s="3" t="str">
        <f>IFERROR(__xludf.DUMMYFUNCTION("""COMPUTED_VALUE"""),"MBC BCP เมืองขอนแก่น-21350")</f>
        <v>MBC BCP เมืองขอนแก่น-21350</v>
      </c>
      <c r="AG583" s="3" t="str">
        <f>IFERROR(__xludf.DUMMYFUNCTION("""COMPUTED_VALUE"""),"ตะวันออกเฉียงเหนือ")</f>
        <v>ตะวันออกเฉียงเหนือ</v>
      </c>
      <c r="AH583" s="3" t="str">
        <f>IFERROR(__xludf.DUMMYFUNCTION("""COMPUTED_VALUE"""),"#N/A")</f>
        <v>#N/A</v>
      </c>
      <c r="AI583" s="3" t="str">
        <f>IFERROR(__xludf.DUMMYFUNCTION("""COMPUTED_VALUE"""),"Out of warranty")</f>
        <v>Out of warranty</v>
      </c>
      <c r="AJ583" s="3">
        <f>IFERROR(__xludf.DUMMYFUNCTION("""COMPUTED_VALUE"""),127.0)</f>
        <v>127</v>
      </c>
      <c r="AK583" s="3"/>
      <c r="AL583" s="3"/>
    </row>
    <row r="584" ht="15.75" customHeight="1">
      <c r="A584" s="1" t="str">
        <f>IFERROR(__xludf.DUMMYFUNCTION("""COMPUTED_VALUE"""),"21351")</f>
        <v>21351</v>
      </c>
      <c r="B584" s="2">
        <f>IFERROR(__xludf.DUMMYFUNCTION("""COMPUTED_VALUE"""),21351.0)</f>
        <v>21351</v>
      </c>
      <c r="C584" s="3" t="str">
        <f>IFERROR(__xludf.DUMMYFUNCTION("""COMPUTED_VALUE"""),"MBC BCP หาดคำ-เมืองหนองคาย")</f>
        <v>MBC BCP หาดคำ-เมืองหนองคาย</v>
      </c>
      <c r="D584" s="3" t="str">
        <f>IFERROR(__xludf.DUMMYFUNCTION("""COMPUTED_VALUE"""),"BCM BCP HAT KHAM-M.NONG KHAI")</f>
        <v>BCM BCP HAT KHAM-M.NONG KHAI</v>
      </c>
      <c r="E584" s="1" t="str">
        <f>IFERROR(__xludf.DUMMYFUNCTION("""COMPUTED_VALUE"""),"บิ๊กซี MINI")</f>
        <v>บิ๊กซี MINI</v>
      </c>
      <c r="F584" s="1" t="str">
        <f>IFERROR(__xludf.DUMMYFUNCTION("""COMPUTED_VALUE"""),"291105")</f>
        <v>291105</v>
      </c>
      <c r="G584" s="1" t="str">
        <f>IFERROR(__xludf.DUMMYFUNCTION("""COMPUTED_VALUE"""),"นายสราวุฒิ พณิชยกุล")</f>
        <v>นายสราวุฒิ พณิชยกุล</v>
      </c>
      <c r="H584" s="1" t="str">
        <f>IFERROR(__xludf.DUMMYFUNCTION("""COMPUTED_VALUE"""),"315928")</f>
        <v>315928</v>
      </c>
      <c r="I584" s="1" t="str">
        <f>IFERROR(__xludf.DUMMYFUNCTION("""COMPUTED_VALUE"""),"น.ส.วรรณิศา พิมพ์เงิน")</f>
        <v>น.ส.วรรณิศา พิมพ์เงิน</v>
      </c>
      <c r="J584" s="3">
        <f>IFERROR(__xludf.DUMMYFUNCTION("""COMPUTED_VALUE"""),295886.0)</f>
        <v>295886</v>
      </c>
      <c r="K584" s="3" t="str">
        <f>IFERROR(__xludf.DUMMYFUNCTION("""COMPUTED_VALUE"""),"นายจิระพงษ์ โพธิ์นิล")</f>
        <v>นายจิระพงษ์ โพธิ์นิล</v>
      </c>
      <c r="L584" s="1" t="str">
        <f>IFERROR(__xludf.DUMMYFUNCTION("""COMPUTED_VALUE"""),"นายจิระพงษ์ โพธิ์นิล")</f>
        <v>นายจิระพงษ์ โพธิ์นิล</v>
      </c>
      <c r="M584" s="1" t="str">
        <f>IFERROR(__xludf.DUMMYFUNCTION("""COMPUTED_VALUE"""),"0933290754")</f>
        <v>0933290754</v>
      </c>
      <c r="N584" s="3">
        <f>IFERROR(__xludf.DUMMYFUNCTION("""COMPUTED_VALUE"""),21622.0)</f>
        <v>21622</v>
      </c>
      <c r="O584" s="3" t="str">
        <f>IFERROR(__xludf.DUMMYFUNCTION("""COMPUTED_VALUE"""),"MBC ตลาดบ้านดอน")</f>
        <v>MBC ตลาดบ้านดอน</v>
      </c>
      <c r="P584" s="4">
        <f>IFERROR(__xludf.DUMMYFUNCTION("""COMPUTED_VALUE"""),42211.0)</f>
        <v>42211</v>
      </c>
      <c r="Q584" s="3" t="str">
        <f>IFERROR(__xludf.DUMMYFUNCTION("""COMPUTED_VALUE"""),"I")</f>
        <v>I</v>
      </c>
      <c r="R584" s="3" t="str">
        <f>IFERROR(__xludf.DUMMYFUNCTION("""COMPUTED_VALUE"""),"Small Format")</f>
        <v>Small Format</v>
      </c>
      <c r="S584" s="3" t="str">
        <f>IFERROR(__xludf.DUMMYFUNCTION("""COMPUTED_VALUE"""),"BCM")</f>
        <v>BCM</v>
      </c>
      <c r="T584" s="3" t="str">
        <f>IFERROR(__xludf.DUMMYFUNCTION("""COMPUTED_VALUE"""),"#N/A")</f>
        <v>#N/A</v>
      </c>
      <c r="U584" s="3" t="str">
        <f>IFERROR(__xludf.DUMMYFUNCTION("""COMPUTED_VALUE"""),"#N/A")</f>
        <v>#N/A</v>
      </c>
      <c r="V584" s="3" t="str">
        <f>IFERROR(__xludf.DUMMYFUNCTION("""COMPUTED_VALUE"""),"N")</f>
        <v>N</v>
      </c>
      <c r="W584" s="3">
        <f>IFERROR(__xludf.DUMMYFUNCTION("""COMPUTED_VALUE"""),361137.0)</f>
        <v>361137</v>
      </c>
      <c r="X584" s="3" t="str">
        <f>IFERROR(__xludf.DUMMYFUNCTION("""COMPUTED_VALUE"""),"57/2 หมู่ 5 ตำบลหาดคำ อำเภอเมืองหนองคาย จังหวัดหนองคาย 43000")</f>
        <v>57/2 หมู่ 5 ตำบลหาดคำ อำเภอเมืองหนองคาย จังหวัดหนองคาย 43000</v>
      </c>
      <c r="Y584" s="3"/>
      <c r="Z584" s="3" t="str">
        <f>IFERROR(__xludf.DUMMYFUNCTION("""COMPUTED_VALUE"""),"หาดคำ")</f>
        <v>หาดคำ</v>
      </c>
      <c r="AA584" s="3" t="str">
        <f>IFERROR(__xludf.DUMMYFUNCTION("""COMPUTED_VALUE"""),"เมือง")</f>
        <v>เมือง</v>
      </c>
      <c r="AB584" s="3" t="str">
        <f>IFERROR(__xludf.DUMMYFUNCTION("""COMPUTED_VALUE"""),"หนองคาย")</f>
        <v>หนองคาย</v>
      </c>
      <c r="AC584" s="3">
        <f>IFERROR(__xludf.DUMMYFUNCTION("""COMPUTED_VALUE"""),43000.0)</f>
        <v>43000</v>
      </c>
      <c r="AD584" s="3">
        <f>IFERROR(__xludf.DUMMYFUNCTION("""COMPUTED_VALUE"""),17.890911)</f>
        <v>17.890911</v>
      </c>
      <c r="AE584" s="3">
        <f>IFERROR(__xludf.DUMMYFUNCTION("""COMPUTED_VALUE"""),102.776012)</f>
        <v>102.776012</v>
      </c>
      <c r="AF584" s="3" t="str">
        <f>IFERROR(__xludf.DUMMYFUNCTION("""COMPUTED_VALUE"""),"MBC BCP หาดคำ-เมืองหนองคาย-21351")</f>
        <v>MBC BCP หาดคำ-เมืองหนองคาย-21351</v>
      </c>
      <c r="AG584" s="3" t="str">
        <f>IFERROR(__xludf.DUMMYFUNCTION("""COMPUTED_VALUE"""),"ตะวันออกเฉียงเหนือ")</f>
        <v>ตะวันออกเฉียงเหนือ</v>
      </c>
      <c r="AH584" s="3" t="str">
        <f>IFERROR(__xludf.DUMMYFUNCTION("""COMPUTED_VALUE"""),"#N/A")</f>
        <v>#N/A</v>
      </c>
      <c r="AI584" s="3" t="str">
        <f>IFERROR(__xludf.DUMMYFUNCTION("""COMPUTED_VALUE"""),"Out of warranty")</f>
        <v>Out of warranty</v>
      </c>
      <c r="AJ584" s="3">
        <f>IFERROR(__xludf.DUMMYFUNCTION("""COMPUTED_VALUE"""),126.0)</f>
        <v>126</v>
      </c>
      <c r="AK584" s="3" t="str">
        <f>IFERROR(__xludf.DUMMYFUNCTION("""COMPUTED_VALUE"""),"MMS12")</f>
        <v>MMS12</v>
      </c>
      <c r="AL584" s="3"/>
    </row>
    <row r="585" ht="15.75" customHeight="1">
      <c r="A585" s="1" t="str">
        <f>IFERROR(__xludf.DUMMYFUNCTION("""COMPUTED_VALUE"""),"21352")</f>
        <v>21352</v>
      </c>
      <c r="B585" s="2">
        <f>IFERROR(__xludf.DUMMYFUNCTION("""COMPUTED_VALUE"""),21352.0)</f>
        <v>21352</v>
      </c>
      <c r="C585" s="3" t="str">
        <f>IFERROR(__xludf.DUMMYFUNCTION("""COMPUTED_VALUE"""),"MBC BCP พระพุทธบาท")</f>
        <v>MBC BCP พระพุทธบาท</v>
      </c>
      <c r="D585" s="3" t="str">
        <f>IFERROR(__xludf.DUMMYFUNCTION("""COMPUTED_VALUE"""),"BCM BCP PHRA PHUTTHABAT")</f>
        <v>BCM BCP PHRA PHUTTHABAT</v>
      </c>
      <c r="E585" s="1" t="str">
        <f>IFERROR(__xludf.DUMMYFUNCTION("""COMPUTED_VALUE"""),"บิ๊กซี MINI")</f>
        <v>บิ๊กซี MINI</v>
      </c>
      <c r="F585" s="1" t="str">
        <f>IFERROR(__xludf.DUMMYFUNCTION("""COMPUTED_VALUE"""),"296229")</f>
        <v>296229</v>
      </c>
      <c r="G585" s="1" t="str">
        <f>IFERROR(__xludf.DUMMYFUNCTION("""COMPUTED_VALUE"""),"นายทนงศักดิ์ บุญมา")</f>
        <v>นายทนงศักดิ์ บุญมา</v>
      </c>
      <c r="H585" s="1" t="str">
        <f>IFERROR(__xludf.DUMMYFUNCTION("""COMPUTED_VALUE"""),"291082")</f>
        <v>291082</v>
      </c>
      <c r="I585" s="1" t="str">
        <f>IFERROR(__xludf.DUMMYFUNCTION("""COMPUTED_VALUE"""),"น.ส.วจี กันเกตุ")</f>
        <v>น.ส.วจี กันเกตุ</v>
      </c>
      <c r="J585" s="3">
        <f>IFERROR(__xludf.DUMMYFUNCTION("""COMPUTED_VALUE"""),46214.0)</f>
        <v>46214</v>
      </c>
      <c r="K585" s="3" t="str">
        <f>IFERROR(__xludf.DUMMYFUNCTION("""COMPUTED_VALUE"""),"นายศักดิ์ชัย เด็ดดอกฟ้า")</f>
        <v>นายศักดิ์ชัย เด็ดดอกฟ้า</v>
      </c>
      <c r="L585" s="3" t="str">
        <f>IFERROR(__xludf.DUMMYFUNCTION("""COMPUTED_VALUE"""),"02 K.Sakchai D")</f>
        <v>02 K.Sakchai D</v>
      </c>
      <c r="M585" s="1" t="str">
        <f>IFERROR(__xludf.DUMMYFUNCTION("""COMPUTED_VALUE"""),"065-510-7376")</f>
        <v>065-510-7376</v>
      </c>
      <c r="N585" s="3">
        <f>IFERROR(__xludf.DUMMYFUNCTION("""COMPUTED_VALUE"""),21714.0)</f>
        <v>21714</v>
      </c>
      <c r="O585" s="3" t="str">
        <f>IFERROR(__xludf.DUMMYFUNCTION("""COMPUTED_VALUE"""),"MBC เอสโซ่ วัดโบสถ์")</f>
        <v>MBC เอสโซ่ วัดโบสถ์</v>
      </c>
      <c r="P585" s="4">
        <f>IFERROR(__xludf.DUMMYFUNCTION("""COMPUTED_VALUE"""),42205.0)</f>
        <v>42205</v>
      </c>
      <c r="Q585" s="3" t="str">
        <f>IFERROR(__xludf.DUMMYFUNCTION("""COMPUTED_VALUE"""),"A")</f>
        <v>A</v>
      </c>
      <c r="R585" s="3" t="str">
        <f>IFERROR(__xludf.DUMMYFUNCTION("""COMPUTED_VALUE"""),"Small Format")</f>
        <v>Small Format</v>
      </c>
      <c r="S585" s="3" t="str">
        <f>IFERROR(__xludf.DUMMYFUNCTION("""COMPUTED_VALUE"""),"BCM")</f>
        <v>BCM</v>
      </c>
      <c r="T585" s="3" t="str">
        <f>IFERROR(__xludf.DUMMYFUNCTION("""COMPUTED_VALUE"""),"#N/A")</f>
        <v>#N/A</v>
      </c>
      <c r="U585" s="3" t="str">
        <f>IFERROR(__xludf.DUMMYFUNCTION("""COMPUTED_VALUE"""),"#N/A")</f>
        <v>#N/A</v>
      </c>
      <c r="V585" s="3" t="str">
        <f>IFERROR(__xludf.DUMMYFUNCTION("""COMPUTED_VALUE"""),"N")</f>
        <v>N</v>
      </c>
      <c r="W585" s="3">
        <f>IFERROR(__xludf.DUMMYFUNCTION("""COMPUTED_VALUE"""),361183.0)</f>
        <v>361183</v>
      </c>
      <c r="X585" s="3" t="str">
        <f>IFERROR(__xludf.DUMMYFUNCTION("""COMPUTED_VALUE"""),"99/1 หมู่ 8 ตำบลหน้าพระลาน อำเภอเฉลิมพระเกียรติ จังหวัดสระบุรี 18240")</f>
        <v>99/1 หมู่ 8 ตำบลหน้าพระลาน อำเภอเฉลิมพระเกียรติ จังหวัดสระบุรี 18240</v>
      </c>
      <c r="Y585" s="3"/>
      <c r="Z585" s="3" t="str">
        <f>IFERROR(__xludf.DUMMYFUNCTION("""COMPUTED_VALUE"""),"หน้าพระลาน")</f>
        <v>หน้าพระลาน</v>
      </c>
      <c r="AA585" s="3" t="str">
        <f>IFERROR(__xludf.DUMMYFUNCTION("""COMPUTED_VALUE"""),"เฉลิมพระเกียรติ")</f>
        <v>เฉลิมพระเกียรติ</v>
      </c>
      <c r="AB585" s="3" t="str">
        <f>IFERROR(__xludf.DUMMYFUNCTION("""COMPUTED_VALUE"""),"สระบุรี")</f>
        <v>สระบุรี</v>
      </c>
      <c r="AC585" s="3">
        <f>IFERROR(__xludf.DUMMYFUNCTION("""COMPUTED_VALUE"""),18240.0)</f>
        <v>18240</v>
      </c>
      <c r="AD585" s="3">
        <f>IFERROR(__xludf.DUMMYFUNCTION("""COMPUTED_VALUE"""),14.694541)</f>
        <v>14.694541</v>
      </c>
      <c r="AE585" s="3">
        <f>IFERROR(__xludf.DUMMYFUNCTION("""COMPUTED_VALUE"""),100.867589)</f>
        <v>100.867589</v>
      </c>
      <c r="AF585" s="3" t="str">
        <f>IFERROR(__xludf.DUMMYFUNCTION("""COMPUTED_VALUE"""),"MBC BCP พระพุทธบาท-21352")</f>
        <v>MBC BCP พระพุทธบาท-21352</v>
      </c>
      <c r="AG585" s="3" t="str">
        <f>IFERROR(__xludf.DUMMYFUNCTION("""COMPUTED_VALUE"""),"กลาง")</f>
        <v>กลาง</v>
      </c>
      <c r="AH585" s="3" t="str">
        <f>IFERROR(__xludf.DUMMYFUNCTION("""COMPUTED_VALUE"""),"#N/A")</f>
        <v>#N/A</v>
      </c>
      <c r="AI585" s="3" t="str">
        <f>IFERROR(__xludf.DUMMYFUNCTION("""COMPUTED_VALUE"""),"Out of warranty")</f>
        <v>Out of warranty</v>
      </c>
      <c r="AJ585" s="3">
        <f>IFERROR(__xludf.DUMMYFUNCTION("""COMPUTED_VALUE"""),127.0)</f>
        <v>127</v>
      </c>
      <c r="AK585" s="3" t="str">
        <f>IFERROR(__xludf.DUMMYFUNCTION("""COMPUTED_VALUE"""),"MMS09")</f>
        <v>MMS09</v>
      </c>
      <c r="AL585" s="3"/>
    </row>
    <row r="586" ht="15.75" customHeight="1">
      <c r="A586" s="1" t="str">
        <f>IFERROR(__xludf.DUMMYFUNCTION("""COMPUTED_VALUE"""),"21353")</f>
        <v>21353</v>
      </c>
      <c r="B586" s="2">
        <f>IFERROR(__xludf.DUMMYFUNCTION("""COMPUTED_VALUE"""),21353.0)</f>
        <v>21353</v>
      </c>
      <c r="C586" s="3" t="str">
        <f>IFERROR(__xludf.DUMMYFUNCTION("""COMPUTED_VALUE"""),"MBC BCP ลำลูกกา")</f>
        <v>MBC BCP ลำลูกกา</v>
      </c>
      <c r="D586" s="3" t="str">
        <f>IFERROR(__xludf.DUMMYFUNCTION("""COMPUTED_VALUE"""),"BCM BCP LUMLUKKA")</f>
        <v>BCM BCP LUMLUKKA</v>
      </c>
      <c r="E586" s="1" t="str">
        <f>IFERROR(__xludf.DUMMYFUNCTION("""COMPUTED_VALUE"""),"บิ๊กซี MINI")</f>
        <v>บิ๊กซี MINI</v>
      </c>
      <c r="F586" s="1" t="str">
        <f>IFERROR(__xludf.DUMMYFUNCTION("""COMPUTED_VALUE"""),"2083447")</f>
        <v>2083447</v>
      </c>
      <c r="G586" s="1" t="str">
        <f>IFERROR(__xludf.DUMMYFUNCTION("""COMPUTED_VALUE"""),"นายอนุกูล ศรีลัดดา")</f>
        <v>นายอนุกูล ศรีลัดดา</v>
      </c>
      <c r="H586" s="1" t="str">
        <f>IFERROR(__xludf.DUMMYFUNCTION("""COMPUTED_VALUE"""),"373849")</f>
        <v>373849</v>
      </c>
      <c r="I586" s="1" t="str">
        <f>IFERROR(__xludf.DUMMYFUNCTION("""COMPUTED_VALUE"""),"น.ส.อรอุมา นิ่มวิศิษย์")</f>
        <v>น.ส.อรอุมา นิ่มวิศิษย์</v>
      </c>
      <c r="J586" s="3">
        <f>IFERROR(__xludf.DUMMYFUNCTION("""COMPUTED_VALUE"""),510143.0)</f>
        <v>510143</v>
      </c>
      <c r="K586" s="3" t="str">
        <f>IFERROR(__xludf.DUMMYFUNCTION("""COMPUTED_VALUE"""),"นายธีระวัฒน์ บุญสิทธิ์")</f>
        <v>นายธีระวัฒน์ บุญสิทธิ์</v>
      </c>
      <c r="L586" s="1" t="str">
        <f>IFERROR(__xludf.DUMMYFUNCTION("""COMPUTED_VALUE"""),"12 K.Theerawat B.")</f>
        <v>12 K.Theerawat B.</v>
      </c>
      <c r="M586" s="1" t="str">
        <f>IFERROR(__xludf.DUMMYFUNCTION("""COMPUTED_VALUE"""),"0655107379")</f>
        <v>0655107379</v>
      </c>
      <c r="N586" s="3">
        <f>IFERROR(__xludf.DUMMYFUNCTION("""COMPUTED_VALUE"""),21062.0)</f>
        <v>21062</v>
      </c>
      <c r="O586" s="3" t="str">
        <f>IFERROR(__xludf.DUMMYFUNCTION("""COMPUTED_VALUE"""),"MBC นิคมนวนคร")</f>
        <v>MBC นิคมนวนคร</v>
      </c>
      <c r="P586" s="4">
        <f>IFERROR(__xludf.DUMMYFUNCTION("""COMPUTED_VALUE"""),42205.0)</f>
        <v>42205</v>
      </c>
      <c r="Q586" s="3" t="str">
        <f>IFERROR(__xludf.DUMMYFUNCTION("""COMPUTED_VALUE"""),"A")</f>
        <v>A</v>
      </c>
      <c r="R586" s="3" t="str">
        <f>IFERROR(__xludf.DUMMYFUNCTION("""COMPUTED_VALUE"""),"Small Format")</f>
        <v>Small Format</v>
      </c>
      <c r="S586" s="3" t="str">
        <f>IFERROR(__xludf.DUMMYFUNCTION("""COMPUTED_VALUE"""),"BCM")</f>
        <v>BCM</v>
      </c>
      <c r="T586" s="3" t="str">
        <f>IFERROR(__xludf.DUMMYFUNCTION("""COMPUTED_VALUE"""),"#N/A")</f>
        <v>#N/A</v>
      </c>
      <c r="U586" s="3" t="str">
        <f>IFERROR(__xludf.DUMMYFUNCTION("""COMPUTED_VALUE"""),"#N/A")</f>
        <v>#N/A</v>
      </c>
      <c r="V586" s="3" t="str">
        <f>IFERROR(__xludf.DUMMYFUNCTION("""COMPUTED_VALUE"""),"N")</f>
        <v>N</v>
      </c>
      <c r="W586" s="3">
        <f>IFERROR(__xludf.DUMMYFUNCTION("""COMPUTED_VALUE"""),361182.0)</f>
        <v>361182</v>
      </c>
      <c r="X586" s="3" t="str">
        <f>IFERROR(__xludf.DUMMYFUNCTION("""COMPUTED_VALUE"""),"164/8 หมู่ 9 ตำบลคูคต อำเภอลำลูกกา จังหวัดปทุมธานี 12130")</f>
        <v>164/8 หมู่ 9 ตำบลคูคต อำเภอลำลูกกา จังหวัดปทุมธานี 12130</v>
      </c>
      <c r="Y586" s="3"/>
      <c r="Z586" s="3" t="str">
        <f>IFERROR(__xludf.DUMMYFUNCTION("""COMPUTED_VALUE"""),"คูคต")</f>
        <v>คูคต</v>
      </c>
      <c r="AA586" s="3" t="str">
        <f>IFERROR(__xludf.DUMMYFUNCTION("""COMPUTED_VALUE"""),"ลำลูกกา")</f>
        <v>ลำลูกกา</v>
      </c>
      <c r="AB586" s="3" t="str">
        <f>IFERROR(__xludf.DUMMYFUNCTION("""COMPUTED_VALUE"""),"ปทุมธานี")</f>
        <v>ปทุมธานี</v>
      </c>
      <c r="AC586" s="3">
        <f>IFERROR(__xludf.DUMMYFUNCTION("""COMPUTED_VALUE"""),12130.0)</f>
        <v>12130</v>
      </c>
      <c r="AD586" s="3">
        <f>IFERROR(__xludf.DUMMYFUNCTION("""COMPUTED_VALUE"""),13.951757)</f>
        <v>13.951757</v>
      </c>
      <c r="AE586" s="3">
        <f>IFERROR(__xludf.DUMMYFUNCTION("""COMPUTED_VALUE"""),100.631155)</f>
        <v>100.631155</v>
      </c>
      <c r="AF586" s="3" t="str">
        <f>IFERROR(__xludf.DUMMYFUNCTION("""COMPUTED_VALUE"""),"MBC BCP ลำลูกกา-21353")</f>
        <v>MBC BCP ลำลูกกา-21353</v>
      </c>
      <c r="AG586" s="3" t="str">
        <f>IFERROR(__xludf.DUMMYFUNCTION("""COMPUTED_VALUE"""),"กลาง")</f>
        <v>กลาง</v>
      </c>
      <c r="AH586" s="3" t="str">
        <f>IFERROR(__xludf.DUMMYFUNCTION("""COMPUTED_VALUE"""),"#N/A")</f>
        <v>#N/A</v>
      </c>
      <c r="AI586" s="3" t="str">
        <f>IFERROR(__xludf.DUMMYFUNCTION("""COMPUTED_VALUE"""),"Out of warranty")</f>
        <v>Out of warranty</v>
      </c>
      <c r="AJ586" s="3">
        <f>IFERROR(__xludf.DUMMYFUNCTION("""COMPUTED_VALUE"""),127.0)</f>
        <v>127</v>
      </c>
      <c r="AK586" s="3" t="str">
        <f>IFERROR(__xludf.DUMMYFUNCTION("""COMPUTED_VALUE"""),"MMS04")</f>
        <v>MMS04</v>
      </c>
      <c r="AL586" s="3"/>
    </row>
    <row r="587" ht="15.75" customHeight="1">
      <c r="A587" s="1" t="str">
        <f>IFERROR(__xludf.DUMMYFUNCTION("""COMPUTED_VALUE"""),"21354")</f>
        <v>21354</v>
      </c>
      <c r="B587" s="2">
        <f>IFERROR(__xludf.DUMMYFUNCTION("""COMPUTED_VALUE"""),21354.0)</f>
        <v>21354</v>
      </c>
      <c r="C587" s="3" t="str">
        <f>IFERROR(__xludf.DUMMYFUNCTION("""COMPUTED_VALUE"""),"MBC BCP วังมะนาว 1")</f>
        <v>MBC BCP วังมะนาว 1</v>
      </c>
      <c r="D587" s="3" t="str">
        <f>IFERROR(__xludf.DUMMYFUNCTION("""COMPUTED_VALUE"""),"BCM BCP WANG MANAO 1")</f>
        <v>BCM BCP WANG MANAO 1</v>
      </c>
      <c r="E587" s="1" t="str">
        <f>IFERROR(__xludf.DUMMYFUNCTION("""COMPUTED_VALUE"""),"บิ๊กซี MINI")</f>
        <v>บิ๊กซี MINI</v>
      </c>
      <c r="F587" s="1" t="str">
        <f>IFERROR(__xludf.DUMMYFUNCTION("""COMPUTED_VALUE"""),"250760")</f>
        <v>250760</v>
      </c>
      <c r="G587" s="1" t="str">
        <f>IFERROR(__xludf.DUMMYFUNCTION("""COMPUTED_VALUE"""),"นายประทวน สาราบรรณ์")</f>
        <v>นายประทวน สาราบรรณ์</v>
      </c>
      <c r="H587" s="1" t="str">
        <f>IFERROR(__xludf.DUMMYFUNCTION("""COMPUTED_VALUE"""),"311437")</f>
        <v>311437</v>
      </c>
      <c r="I587" s="1" t="str">
        <f>IFERROR(__xludf.DUMMYFUNCTION("""COMPUTED_VALUE"""),"นายฉัตรทพร รักวิเชียร")</f>
        <v>นายฉัตรทพร รักวิเชียร</v>
      </c>
      <c r="J587" s="3">
        <f>IFERROR(__xludf.DUMMYFUNCTION("""COMPUTED_VALUE"""),25324.0)</f>
        <v>25324</v>
      </c>
      <c r="K587" s="3" t="str">
        <f>IFERROR(__xludf.DUMMYFUNCTION("""COMPUTED_VALUE"""),"นายวิเชฎฐ์ ติรัตนะประคม")</f>
        <v>นายวิเชฎฐ์ ติรัตนะประคม</v>
      </c>
      <c r="L587" s="3" t="str">
        <f>IFERROR(__xludf.DUMMYFUNCTION("""COMPUTED_VALUE"""),"14 K.Wichet T.")</f>
        <v>14 K.Wichet T.</v>
      </c>
      <c r="M587" s="1" t="str">
        <f>IFERROR(__xludf.DUMMYFUNCTION("""COMPUTED_VALUE"""),"061-417-6569 / 086-445-5636")</f>
        <v>061-417-6569 / 086-445-5636</v>
      </c>
      <c r="N587" s="3">
        <f>IFERROR(__xludf.DUMMYFUNCTION("""COMPUTED_VALUE"""),22658.0)</f>
        <v>22658</v>
      </c>
      <c r="O587" s="3" t="str">
        <f>IFERROR(__xludf.DUMMYFUNCTION("""COMPUTED_VALUE"""),"BCM ถ.วิรัชหงษ์หยก ภูเก็ต")</f>
        <v>BCM ถ.วิรัชหงษ์หยก ภูเก็ต</v>
      </c>
      <c r="P587" s="4">
        <f>IFERROR(__xludf.DUMMYFUNCTION("""COMPUTED_VALUE"""),42207.0)</f>
        <v>42207</v>
      </c>
      <c r="Q587" s="3" t="str">
        <f>IFERROR(__xludf.DUMMYFUNCTION("""COMPUTED_VALUE"""),"I")</f>
        <v>I</v>
      </c>
      <c r="R587" s="3" t="str">
        <f>IFERROR(__xludf.DUMMYFUNCTION("""COMPUTED_VALUE"""),"Small Format")</f>
        <v>Small Format</v>
      </c>
      <c r="S587" s="3" t="str">
        <f>IFERROR(__xludf.DUMMYFUNCTION("""COMPUTED_VALUE"""),"BCM")</f>
        <v>BCM</v>
      </c>
      <c r="T587" s="3" t="str">
        <f>IFERROR(__xludf.DUMMYFUNCTION("""COMPUTED_VALUE"""),"#N/A")</f>
        <v>#N/A</v>
      </c>
      <c r="U587" s="3" t="str">
        <f>IFERROR(__xludf.DUMMYFUNCTION("""COMPUTED_VALUE"""),"#N/A")</f>
        <v>#N/A</v>
      </c>
      <c r="V587" s="3" t="str">
        <f>IFERROR(__xludf.DUMMYFUNCTION("""COMPUTED_VALUE"""),"N")</f>
        <v>N</v>
      </c>
      <c r="W587" s="3">
        <f>IFERROR(__xludf.DUMMYFUNCTION("""COMPUTED_VALUE"""),361181.0)</f>
        <v>361181</v>
      </c>
      <c r="X587" s="3" t="str">
        <f>IFERROR(__xludf.DUMMYFUNCTION("""COMPUTED_VALUE"""),"57/1 หมู่ 2 ตำบลหนองชุมพล อำเภอเขาย้อย จังหวัดเพชรบุรี 76140")</f>
        <v>57/1 หมู่ 2 ตำบลหนองชุมพล อำเภอเขาย้อย จังหวัดเพชรบุรี 76140</v>
      </c>
      <c r="Y587" s="3"/>
      <c r="Z587" s="3" t="str">
        <f>IFERROR(__xludf.DUMMYFUNCTION("""COMPUTED_VALUE"""),"หนองชุมพล")</f>
        <v>หนองชุมพล</v>
      </c>
      <c r="AA587" s="3" t="str">
        <f>IFERROR(__xludf.DUMMYFUNCTION("""COMPUTED_VALUE"""),"เขาย้อย")</f>
        <v>เขาย้อย</v>
      </c>
      <c r="AB587" s="3" t="str">
        <f>IFERROR(__xludf.DUMMYFUNCTION("""COMPUTED_VALUE"""),"เพชรบุรี")</f>
        <v>เพชรบุรี</v>
      </c>
      <c r="AC587" s="3">
        <f>IFERROR(__xludf.DUMMYFUNCTION("""COMPUTED_VALUE"""),76140.0)</f>
        <v>76140</v>
      </c>
      <c r="AD587" s="3">
        <f>IFERROR(__xludf.DUMMYFUNCTION("""COMPUTED_VALUE"""),13.294715)</f>
        <v>13.294715</v>
      </c>
      <c r="AE587" s="3">
        <f>IFERROR(__xludf.DUMMYFUNCTION("""COMPUTED_VALUE"""),99.8226437)</f>
        <v>99.8226437</v>
      </c>
      <c r="AF587" s="3" t="str">
        <f>IFERROR(__xludf.DUMMYFUNCTION("""COMPUTED_VALUE"""),"MBC BCP วังมะนาว 1-21354")</f>
        <v>MBC BCP วังมะนาว 1-21354</v>
      </c>
      <c r="AG587" s="3" t="str">
        <f>IFERROR(__xludf.DUMMYFUNCTION("""COMPUTED_VALUE"""),"ตะวันตก")</f>
        <v>ตะวันตก</v>
      </c>
      <c r="AH587" s="3" t="str">
        <f>IFERROR(__xludf.DUMMYFUNCTION("""COMPUTED_VALUE"""),"#N/A")</f>
        <v>#N/A</v>
      </c>
      <c r="AI587" s="3" t="str">
        <f>IFERROR(__xludf.DUMMYFUNCTION("""COMPUTED_VALUE"""),"Out of warranty")</f>
        <v>Out of warranty</v>
      </c>
      <c r="AJ587" s="3">
        <f>IFERROR(__xludf.DUMMYFUNCTION("""COMPUTED_VALUE"""),126.0)</f>
        <v>126</v>
      </c>
      <c r="AK587" s="3" t="str">
        <f>IFERROR(__xludf.DUMMYFUNCTION("""COMPUTED_VALUE"""),"MMS14")</f>
        <v>MMS14</v>
      </c>
      <c r="AL587" s="3"/>
    </row>
    <row r="588" ht="15.75" customHeight="1">
      <c r="A588" s="1" t="str">
        <f>IFERROR(__xludf.DUMMYFUNCTION("""COMPUTED_VALUE"""),"21355")</f>
        <v>21355</v>
      </c>
      <c r="B588" s="2">
        <f>IFERROR(__xludf.DUMMYFUNCTION("""COMPUTED_VALUE"""),21355.0)</f>
        <v>21355</v>
      </c>
      <c r="C588" s="3" t="str">
        <f>IFERROR(__xludf.DUMMYFUNCTION("""COMPUTED_VALUE"""),"MBC BCP บ้านนาเดิม-สุราษฎร์ธานี")</f>
        <v>MBC BCP บ้านนาเดิม-สุราษฎร์ธานี</v>
      </c>
      <c r="D588" s="3" t="str">
        <f>IFERROR(__xludf.DUMMYFUNCTION("""COMPUTED_VALUE"""),"MBC BCP BANNA DOEM-SURATTHANI")</f>
        <v>MBC BCP BANNA DOEM-SURATTHANI</v>
      </c>
      <c r="E588" s="1" t="str">
        <f>IFERROR(__xludf.DUMMYFUNCTION("""COMPUTED_VALUE"""),"บิ๊กซี MINI")</f>
        <v>บิ๊กซี MINI</v>
      </c>
      <c r="F588" s="1" t="str">
        <f>IFERROR(__xludf.DUMMYFUNCTION("""COMPUTED_VALUE"""),"2010918")</f>
        <v>2010918</v>
      </c>
      <c r="G588" s="1" t="str">
        <f>IFERROR(__xludf.DUMMYFUNCTION("""COMPUTED_VALUE"""),"น.ส.สุดารัตน์ รัตนประดิษฐ์")</f>
        <v>น.ส.สุดารัตน์ รัตนประดิษฐ์</v>
      </c>
      <c r="H588" s="1" t="str">
        <f>IFERROR(__xludf.DUMMYFUNCTION("""COMPUTED_VALUE"""),"228389")</f>
        <v>228389</v>
      </c>
      <c r="I588" s="1" t="str">
        <f>IFERROR(__xludf.DUMMYFUNCTION("""COMPUTED_VALUE"""),"นายมณีรันดร์ ชัยชนะ")</f>
        <v>นายมณีรันดร์ ชัยชนะ</v>
      </c>
      <c r="J588" s="3">
        <f>IFERROR(__xludf.DUMMYFUNCTION("""COMPUTED_VALUE"""),2.0470331E7)</f>
        <v>20470331</v>
      </c>
      <c r="K588" s="3" t="str">
        <f>IFERROR(__xludf.DUMMYFUNCTION("""COMPUTED_VALUE"""),"นายสมชาย ลักษณะสุวรรณ")</f>
        <v>นายสมชาย ลักษณะสุวรรณ</v>
      </c>
      <c r="L588" s="3" t="str">
        <f>IFERROR(__xludf.DUMMYFUNCTION("""COMPUTED_VALUE"""),"15 K.Somchai L")</f>
        <v>15 K.Somchai L</v>
      </c>
      <c r="M588" s="1" t="str">
        <f>IFERROR(__xludf.DUMMYFUNCTION("""COMPUTED_VALUE"""),"0655107372")</f>
        <v>0655107372</v>
      </c>
      <c r="N588" s="3">
        <f>IFERROR(__xludf.DUMMYFUNCTION("""COMPUTED_VALUE"""),21723.0)</f>
        <v>21723</v>
      </c>
      <c r="O588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588" s="4">
        <f>IFERROR(__xludf.DUMMYFUNCTION("""COMPUTED_VALUE"""),42212.0)</f>
        <v>42212</v>
      </c>
      <c r="Q588" s="3" t="str">
        <f>IFERROR(__xludf.DUMMYFUNCTION("""COMPUTED_VALUE"""),"I")</f>
        <v>I</v>
      </c>
      <c r="R588" s="3" t="str">
        <f>IFERROR(__xludf.DUMMYFUNCTION("""COMPUTED_VALUE"""),"Small Format")</f>
        <v>Small Format</v>
      </c>
      <c r="S588" s="3" t="str">
        <f>IFERROR(__xludf.DUMMYFUNCTION("""COMPUTED_VALUE"""),"BCM")</f>
        <v>BCM</v>
      </c>
      <c r="T588" s="3" t="str">
        <f>IFERROR(__xludf.DUMMYFUNCTION("""COMPUTED_VALUE"""),"#N/A")</f>
        <v>#N/A</v>
      </c>
      <c r="U588" s="3" t="str">
        <f>IFERROR(__xludf.DUMMYFUNCTION("""COMPUTED_VALUE"""),"#N/A")</f>
        <v>#N/A</v>
      </c>
      <c r="V588" s="3" t="str">
        <f>IFERROR(__xludf.DUMMYFUNCTION("""COMPUTED_VALUE"""),"N")</f>
        <v>N</v>
      </c>
      <c r="W588" s="3">
        <f>IFERROR(__xludf.DUMMYFUNCTION("""COMPUTED_VALUE"""),0.0)</f>
        <v>0</v>
      </c>
      <c r="X588" s="3" t="str">
        <f>IFERROR(__xludf.DUMMYFUNCTION("""COMPUTED_VALUE"""),"424/2 หมู่ 2 ตำบลบ้านนา อำเภอบ้านนาเดิม จังหวัดสุราษฎร์ธานี 84240")</f>
        <v>424/2 หมู่ 2 ตำบลบ้านนา อำเภอบ้านนาเดิม จังหวัดสุราษฎร์ธานี 84240</v>
      </c>
      <c r="Y588" s="3"/>
      <c r="Z588" s="3" t="str">
        <f>IFERROR(__xludf.DUMMYFUNCTION("""COMPUTED_VALUE"""),"บ้านนา")</f>
        <v>บ้านนา</v>
      </c>
      <c r="AA588" s="3" t="str">
        <f>IFERROR(__xludf.DUMMYFUNCTION("""COMPUTED_VALUE"""),"บ้านนาเดิม")</f>
        <v>บ้านนาเดิม</v>
      </c>
      <c r="AB588" s="3" t="str">
        <f>IFERROR(__xludf.DUMMYFUNCTION("""COMPUTED_VALUE"""),"สุราษฎร์ธานี")</f>
        <v>สุราษฎร์ธานี</v>
      </c>
      <c r="AC588" s="3">
        <f>IFERROR(__xludf.DUMMYFUNCTION("""COMPUTED_VALUE"""),84240.0)</f>
        <v>84240</v>
      </c>
      <c r="AD588" s="3" t="str">
        <f>IFERROR(__xludf.DUMMYFUNCTION("""COMPUTED_VALUE"""),"#N/A")</f>
        <v>#N/A</v>
      </c>
      <c r="AE588" s="3" t="str">
        <f>IFERROR(__xludf.DUMMYFUNCTION("""COMPUTED_VALUE"""),"#N/A")</f>
        <v>#N/A</v>
      </c>
      <c r="AF588" s="3" t="str">
        <f>IFERROR(__xludf.DUMMYFUNCTION("""COMPUTED_VALUE"""),"MBC BCP บ้านนาเดิม-สุราษฎร์ธานี-21355")</f>
        <v>MBC BCP บ้านนาเดิม-สุราษฎร์ธานี-21355</v>
      </c>
      <c r="AG588" s="3" t="str">
        <f>IFERROR(__xludf.DUMMYFUNCTION("""COMPUTED_VALUE"""),"ใต้")</f>
        <v>ใต้</v>
      </c>
      <c r="AH588" s="3" t="str">
        <f>IFERROR(__xludf.DUMMYFUNCTION("""COMPUTED_VALUE"""),"#N/A")</f>
        <v>#N/A</v>
      </c>
      <c r="AI588" s="3" t="str">
        <f>IFERROR(__xludf.DUMMYFUNCTION("""COMPUTED_VALUE"""),"Out of warranty")</f>
        <v>Out of warranty</v>
      </c>
      <c r="AJ588" s="3">
        <f>IFERROR(__xludf.DUMMYFUNCTION("""COMPUTED_VALUE"""),126.0)</f>
        <v>126</v>
      </c>
      <c r="AK588" s="3"/>
      <c r="AL588" s="3"/>
    </row>
    <row r="589" ht="15.75" customHeight="1">
      <c r="A589" s="1" t="str">
        <f>IFERROR(__xludf.DUMMYFUNCTION("""COMPUTED_VALUE"""),"21356")</f>
        <v>21356</v>
      </c>
      <c r="B589" s="2">
        <f>IFERROR(__xludf.DUMMYFUNCTION("""COMPUTED_VALUE"""),21356.0)</f>
        <v>21356</v>
      </c>
      <c r="C589" s="3" t="str">
        <f>IFERROR(__xludf.DUMMYFUNCTION("""COMPUTED_VALUE"""),"MBC BCP สนามบิน-สุราษฎร์ธานี")</f>
        <v>MBC BCP สนามบิน-สุราษฎร์ธานี</v>
      </c>
      <c r="D589" s="3" t="str">
        <f>IFERROR(__xludf.DUMMYFUNCTION("""COMPUTED_VALUE"""),"BCM BCP AIRPORT-SURATTHANI")</f>
        <v>BCM BCP AIRPORT-SURATTHANI</v>
      </c>
      <c r="E589" s="1" t="str">
        <f>IFERROR(__xludf.DUMMYFUNCTION("""COMPUTED_VALUE"""),"บิ๊กซี MINI")</f>
        <v>บิ๊กซี MINI</v>
      </c>
      <c r="F589" s="1" t="str">
        <f>IFERROR(__xludf.DUMMYFUNCTION("""COMPUTED_VALUE"""),"250760")</f>
        <v>250760</v>
      </c>
      <c r="G589" s="1" t="str">
        <f>IFERROR(__xludf.DUMMYFUNCTION("""COMPUTED_VALUE"""),"นายประทวน สาราบรรณ์")</f>
        <v>นายประทวน สาราบรรณ์</v>
      </c>
      <c r="H589" s="1" t="str">
        <f>IFERROR(__xludf.DUMMYFUNCTION("""COMPUTED_VALUE"""),"228389")</f>
        <v>228389</v>
      </c>
      <c r="I589" s="1" t="str">
        <f>IFERROR(__xludf.DUMMYFUNCTION("""COMPUTED_VALUE"""),"นายมณีรันดร์ ชัยชนะ")</f>
        <v>นายมณีรันดร์ ชัยชนะ</v>
      </c>
      <c r="J589" s="3">
        <f>IFERROR(__xludf.DUMMYFUNCTION("""COMPUTED_VALUE"""),25324.0)</f>
        <v>25324</v>
      </c>
      <c r="K589" s="3" t="str">
        <f>IFERROR(__xludf.DUMMYFUNCTION("""COMPUTED_VALUE"""),"นายวิเชฎฐ์ ติรัตนะประคม")</f>
        <v>นายวิเชฎฐ์ ติรัตนะประคม</v>
      </c>
      <c r="L589" s="1" t="str">
        <f>IFERROR(__xludf.DUMMYFUNCTION("""COMPUTED_VALUE"""),"14 K.Wichet T.")</f>
        <v>14 K.Wichet T.</v>
      </c>
      <c r="M589" s="1" t="str">
        <f>IFERROR(__xludf.DUMMYFUNCTION("""COMPUTED_VALUE"""),"061-417-6569 / 086-445-5636")</f>
        <v>061-417-6569 / 086-445-5636</v>
      </c>
      <c r="N589" s="3">
        <f>IFERROR(__xludf.DUMMYFUNCTION("""COMPUTED_VALUE"""),22658.0)</f>
        <v>22658</v>
      </c>
      <c r="O589" s="3" t="str">
        <f>IFERROR(__xludf.DUMMYFUNCTION("""COMPUTED_VALUE"""),"BCM ถ.วิรัชหงษ์หยก ภูเก็ต")</f>
        <v>BCM ถ.วิรัชหงษ์หยก ภูเก็ต</v>
      </c>
      <c r="P589" s="4">
        <f>IFERROR(__xludf.DUMMYFUNCTION("""COMPUTED_VALUE"""),42212.0)</f>
        <v>42212</v>
      </c>
      <c r="Q589" s="3" t="str">
        <f>IFERROR(__xludf.DUMMYFUNCTION("""COMPUTED_VALUE"""),"A")</f>
        <v>A</v>
      </c>
      <c r="R589" s="3" t="str">
        <f>IFERROR(__xludf.DUMMYFUNCTION("""COMPUTED_VALUE"""),"Small Format")</f>
        <v>Small Format</v>
      </c>
      <c r="S589" s="3" t="str">
        <f>IFERROR(__xludf.DUMMYFUNCTION("""COMPUTED_VALUE"""),"BCM")</f>
        <v>BCM</v>
      </c>
      <c r="T589" s="3" t="str">
        <f>IFERROR(__xludf.DUMMYFUNCTION("""COMPUTED_VALUE"""),"#N/A")</f>
        <v>#N/A</v>
      </c>
      <c r="U589" s="3" t="str">
        <f>IFERROR(__xludf.DUMMYFUNCTION("""COMPUTED_VALUE"""),"#N/A")</f>
        <v>#N/A</v>
      </c>
      <c r="V589" s="3" t="str">
        <f>IFERROR(__xludf.DUMMYFUNCTION("""COMPUTED_VALUE"""),"N")</f>
        <v>N</v>
      </c>
      <c r="W589" s="3">
        <f>IFERROR(__xludf.DUMMYFUNCTION("""COMPUTED_VALUE"""),361174.0)</f>
        <v>361174</v>
      </c>
      <c r="X589" s="3" t="str">
        <f>IFERROR(__xludf.DUMMYFUNCTION("""COMPUTED_VALUE"""),"85 หมู่ 3 ตำบลหัวเตย อำเภอพุนพิน จังหวัดสุราษฎร์ธานี 84130")</f>
        <v>85 หมู่ 3 ตำบลหัวเตย อำเภอพุนพิน จังหวัดสุราษฎร์ธานี 84130</v>
      </c>
      <c r="Y589" s="3"/>
      <c r="Z589" s="3" t="str">
        <f>IFERROR(__xludf.DUMMYFUNCTION("""COMPUTED_VALUE"""),"หัวเตย")</f>
        <v>หัวเตย</v>
      </c>
      <c r="AA589" s="3" t="str">
        <f>IFERROR(__xludf.DUMMYFUNCTION("""COMPUTED_VALUE"""),"พุนพิน")</f>
        <v>พุนพิน</v>
      </c>
      <c r="AB589" s="3" t="str">
        <f>IFERROR(__xludf.DUMMYFUNCTION("""COMPUTED_VALUE"""),"สุราษฎร์ธานี")</f>
        <v>สุราษฎร์ธานี</v>
      </c>
      <c r="AC589" s="3">
        <f>IFERROR(__xludf.DUMMYFUNCTION("""COMPUTED_VALUE"""),84130.0)</f>
        <v>84130</v>
      </c>
      <c r="AD589" s="3">
        <f>IFERROR(__xludf.DUMMYFUNCTION("""COMPUTED_VALUE"""),9.126798)</f>
        <v>9.126798</v>
      </c>
      <c r="AE589" s="3">
        <f>IFERROR(__xludf.DUMMYFUNCTION("""COMPUTED_VALUE"""),99.15948)</f>
        <v>99.15948</v>
      </c>
      <c r="AF589" s="3" t="str">
        <f>IFERROR(__xludf.DUMMYFUNCTION("""COMPUTED_VALUE"""),"MBC BCP สนามบิน-สุราษฎร์ธานี-21356")</f>
        <v>MBC BCP สนามบิน-สุราษฎร์ธานี-21356</v>
      </c>
      <c r="AG589" s="3" t="str">
        <f>IFERROR(__xludf.DUMMYFUNCTION("""COMPUTED_VALUE"""),"ใต้")</f>
        <v>ใต้</v>
      </c>
      <c r="AH589" s="3" t="str">
        <f>IFERROR(__xludf.DUMMYFUNCTION("""COMPUTED_VALUE"""),"#N/A")</f>
        <v>#N/A</v>
      </c>
      <c r="AI589" s="3" t="str">
        <f>IFERROR(__xludf.DUMMYFUNCTION("""COMPUTED_VALUE"""),"Out of warranty")</f>
        <v>Out of warranty</v>
      </c>
      <c r="AJ589" s="3">
        <f>IFERROR(__xludf.DUMMYFUNCTION("""COMPUTED_VALUE"""),126.0)</f>
        <v>126</v>
      </c>
      <c r="AK589" s="3" t="str">
        <f>IFERROR(__xludf.DUMMYFUNCTION("""COMPUTED_VALUE"""),"MMS14")</f>
        <v>MMS14</v>
      </c>
      <c r="AL589" s="3"/>
    </row>
    <row r="590" ht="15.75" customHeight="1">
      <c r="A590" s="1" t="str">
        <f>IFERROR(__xludf.DUMMYFUNCTION("""COMPUTED_VALUE"""),"21357")</f>
        <v>21357</v>
      </c>
      <c r="B590" s="2">
        <f>IFERROR(__xludf.DUMMYFUNCTION("""COMPUTED_VALUE"""),21357.0)</f>
        <v>21357</v>
      </c>
      <c r="C590" s="3" t="str">
        <f>IFERROR(__xludf.DUMMYFUNCTION("""COMPUTED_VALUE"""),"MBC BCP มหิดล-สุเทพ")</f>
        <v>MBC BCP มหิดล-สุเทพ</v>
      </c>
      <c r="D590" s="3" t="str">
        <f>IFERROR(__xludf.DUMMYFUNCTION("""COMPUTED_VALUE"""),"MBC BCP MAHIDOL-SUTHEP")</f>
        <v>MBC BCP MAHIDOL-SUTHEP</v>
      </c>
      <c r="E590" s="1" t="str">
        <f>IFERROR(__xludf.DUMMYFUNCTION("""COMPUTED_VALUE"""),"บิ๊กซี MINI")</f>
        <v>บิ๊กซี MINI</v>
      </c>
      <c r="F590" s="1" t="str">
        <f>IFERROR(__xludf.DUMMYFUNCTION("""COMPUTED_VALUE"""),"296229")</f>
        <v>296229</v>
      </c>
      <c r="G590" s="1" t="str">
        <f>IFERROR(__xludf.DUMMYFUNCTION("""COMPUTED_VALUE"""),"นายทนงศักดิ์ บุญมา")</f>
        <v>นายทนงศักดิ์ บุญมา</v>
      </c>
      <c r="H590" s="1" t="str">
        <f>IFERROR(__xludf.DUMMYFUNCTION("""COMPUTED_VALUE"""),"254905")</f>
        <v>254905</v>
      </c>
      <c r="I590" s="1" t="str">
        <f>IFERROR(__xludf.DUMMYFUNCTION("""COMPUTED_VALUE"""),"น.ส.เนียรนิภา คงตระกูล")</f>
        <v>น.ส.เนียรนิภา คงตระกูล</v>
      </c>
      <c r="J590" s="3">
        <f>IFERROR(__xludf.DUMMYFUNCTION("""COMPUTED_VALUE"""),46214.0)</f>
        <v>46214</v>
      </c>
      <c r="K590" s="3" t="str">
        <f>IFERROR(__xludf.DUMMYFUNCTION("""COMPUTED_VALUE"""),"นายศักดิ์ชัย เด็ดดอกฟ้า")</f>
        <v>นายศักดิ์ชัย เด็ดดอกฟ้า</v>
      </c>
      <c r="L590" s="1" t="str">
        <f>IFERROR(__xludf.DUMMYFUNCTION("""COMPUTED_VALUE"""),"02 K.Sakchai D")</f>
        <v>02 K.Sakchai D</v>
      </c>
      <c r="M590" s="1" t="str">
        <f>IFERROR(__xludf.DUMMYFUNCTION("""COMPUTED_VALUE"""),"065-510-7376")</f>
        <v>065-510-7376</v>
      </c>
      <c r="N590" s="3">
        <f>IFERROR(__xludf.DUMMYFUNCTION("""COMPUTED_VALUE"""),21441.0)</f>
        <v>21441</v>
      </c>
      <c r="O590" s="3" t="str">
        <f>IFERROR(__xludf.DUMMYFUNCTION("""COMPUTED_VALUE"""),"MBC บ้านกร่าง พิษณุโลก")</f>
        <v>MBC บ้านกร่าง พิษณุโลก</v>
      </c>
      <c r="P590" s="4">
        <f>IFERROR(__xludf.DUMMYFUNCTION("""COMPUTED_VALUE"""),42214.0)</f>
        <v>42214</v>
      </c>
      <c r="Q590" s="3" t="str">
        <f>IFERROR(__xludf.DUMMYFUNCTION("""COMPUTED_VALUE"""),"I")</f>
        <v>I</v>
      </c>
      <c r="R590" s="3" t="str">
        <f>IFERROR(__xludf.DUMMYFUNCTION("""COMPUTED_VALUE"""),"Small Format")</f>
        <v>Small Format</v>
      </c>
      <c r="S590" s="3" t="str">
        <f>IFERROR(__xludf.DUMMYFUNCTION("""COMPUTED_VALUE"""),"BCM")</f>
        <v>BCM</v>
      </c>
      <c r="T590" s="3" t="str">
        <f>IFERROR(__xludf.DUMMYFUNCTION("""COMPUTED_VALUE"""),"#N/A")</f>
        <v>#N/A</v>
      </c>
      <c r="U590" s="3" t="str">
        <f>IFERROR(__xludf.DUMMYFUNCTION("""COMPUTED_VALUE"""),"#N/A")</f>
        <v>#N/A</v>
      </c>
      <c r="V590" s="3" t="str">
        <f>IFERROR(__xludf.DUMMYFUNCTION("""COMPUTED_VALUE"""),"N")</f>
        <v>N</v>
      </c>
      <c r="W590" s="3">
        <f>IFERROR(__xludf.DUMMYFUNCTION("""COMPUTED_VALUE"""),0.0)</f>
        <v>0</v>
      </c>
      <c r="X590" s="3" t="str">
        <f>IFERROR(__xludf.DUMMYFUNCTION("""COMPUTED_VALUE"""),"40 ถนนมหิดล ตำบลสุเทพ อำเภอเมืองเชียงใหม่ จังหวัดเชียงใหม่ 50200")</f>
        <v>40 ถนนมหิดล ตำบลสุเทพ อำเภอเมืองเชียงใหม่ จังหวัดเชียงใหม่ 50200</v>
      </c>
      <c r="Y590" s="3" t="str">
        <f>IFERROR(__xludf.DUMMYFUNCTION("""COMPUTED_VALUE"""),"ถนนมหิดล")</f>
        <v>ถนนมหิดล</v>
      </c>
      <c r="Z590" s="3" t="str">
        <f>IFERROR(__xludf.DUMMYFUNCTION("""COMPUTED_VALUE"""),"สุเทพ")</f>
        <v>สุเทพ</v>
      </c>
      <c r="AA590" s="3" t="str">
        <f>IFERROR(__xludf.DUMMYFUNCTION("""COMPUTED_VALUE"""),"เมือง")</f>
        <v>เมือง</v>
      </c>
      <c r="AB590" s="3" t="str">
        <f>IFERROR(__xludf.DUMMYFUNCTION("""COMPUTED_VALUE"""),"เชียงใหม่")</f>
        <v>เชียงใหม่</v>
      </c>
      <c r="AC590" s="3">
        <f>IFERROR(__xludf.DUMMYFUNCTION("""COMPUTED_VALUE"""),50200.0)</f>
        <v>50200</v>
      </c>
      <c r="AD590" s="3" t="str">
        <f>IFERROR(__xludf.DUMMYFUNCTION("""COMPUTED_VALUE"""),"#N/A")</f>
        <v>#N/A</v>
      </c>
      <c r="AE590" s="3" t="str">
        <f>IFERROR(__xludf.DUMMYFUNCTION("""COMPUTED_VALUE"""),"#N/A")</f>
        <v>#N/A</v>
      </c>
      <c r="AF590" s="3" t="str">
        <f>IFERROR(__xludf.DUMMYFUNCTION("""COMPUTED_VALUE"""),"MBC BCP มหิดล-สุเทพ-21357")</f>
        <v>MBC BCP มหิดล-สุเทพ-21357</v>
      </c>
      <c r="AG590" s="3" t="str">
        <f>IFERROR(__xludf.DUMMYFUNCTION("""COMPUTED_VALUE"""),"เหนือ")</f>
        <v>เหนือ</v>
      </c>
      <c r="AH590" s="3" t="str">
        <f>IFERROR(__xludf.DUMMYFUNCTION("""COMPUTED_VALUE"""),"#N/A")</f>
        <v>#N/A</v>
      </c>
      <c r="AI590" s="3" t="str">
        <f>IFERROR(__xludf.DUMMYFUNCTION("""COMPUTED_VALUE"""),"Out of warranty")</f>
        <v>Out of warranty</v>
      </c>
      <c r="AJ590" s="3">
        <f>IFERROR(__xludf.DUMMYFUNCTION("""COMPUTED_VALUE"""),126.0)</f>
        <v>126</v>
      </c>
      <c r="AK590" s="3"/>
      <c r="AL590" s="3"/>
    </row>
    <row r="591" ht="15.75" customHeight="1">
      <c r="A591" s="1" t="str">
        <f>IFERROR(__xludf.DUMMYFUNCTION("""COMPUTED_VALUE"""),"21358")</f>
        <v>21358</v>
      </c>
      <c r="B591" s="2">
        <f>IFERROR(__xludf.DUMMYFUNCTION("""COMPUTED_VALUE"""),21358.0)</f>
        <v>21358</v>
      </c>
      <c r="C591" s="3" t="str">
        <f>IFERROR(__xludf.DUMMYFUNCTION("""COMPUTED_VALUE"""),"MBC BCP เพชรเกษม 92")</f>
        <v>MBC BCP เพชรเกษม 92</v>
      </c>
      <c r="D591" s="3" t="str">
        <f>IFERROR(__xludf.DUMMYFUNCTION("""COMPUTED_VALUE"""),"BCM BCP PHETKASEM 92")</f>
        <v>BCM BCP PHETKASEM 92</v>
      </c>
      <c r="E591" s="1" t="str">
        <f>IFERROR(__xludf.DUMMYFUNCTION("""COMPUTED_VALUE"""),"บิ๊กซี MINI")</f>
        <v>บิ๊กซี MINI</v>
      </c>
      <c r="F591" s="1" t="str">
        <f>IFERROR(__xludf.DUMMYFUNCTION("""COMPUTED_VALUE"""),"291008")</f>
        <v>291008</v>
      </c>
      <c r="G591" s="1" t="str">
        <f>IFERROR(__xludf.DUMMYFUNCTION("""COMPUTED_VALUE"""),"น.ส.รัชดาพร อีศรัตน์")</f>
        <v>น.ส.รัชดาพร อีศรัตน์</v>
      </c>
      <c r="H591" s="1" t="str">
        <f>IFERROR(__xludf.DUMMYFUNCTION("""COMPUTED_VALUE"""),"291101")</f>
        <v>291101</v>
      </c>
      <c r="I591" s="1" t="str">
        <f>IFERROR(__xludf.DUMMYFUNCTION("""COMPUTED_VALUE"""),"นายจักรพงศ์ โพธิ์ศรี")</f>
        <v>นายจักรพงศ์ โพธิ์ศรี</v>
      </c>
      <c r="J591" s="3">
        <f>IFERROR(__xludf.DUMMYFUNCTION("""COMPUTED_VALUE"""),296728.0)</f>
        <v>296728</v>
      </c>
      <c r="K591" s="3" t="str">
        <f>IFERROR(__xludf.DUMMYFUNCTION("""COMPUTED_VALUE"""),"นายธิติ บัวทองรังสิมา")</f>
        <v>นายธิติ บัวทองรังสิมา</v>
      </c>
      <c r="L591" s="1" t="str">
        <f>IFERROR(__xludf.DUMMYFUNCTION("""COMPUTED_VALUE"""),"นายธิติ บัวทองรังสิมา")</f>
        <v>นายธิติ บัวทองรังสิมา</v>
      </c>
      <c r="M591" s="1" t="str">
        <f>IFERROR(__xludf.DUMMYFUNCTION("""COMPUTED_VALUE"""),"0920849994")</f>
        <v>0920849994</v>
      </c>
      <c r="N591" s="3">
        <f>IFERROR(__xludf.DUMMYFUNCTION("""COMPUTED_VALUE"""),21012.0)</f>
        <v>21012</v>
      </c>
      <c r="O591" s="3" t="str">
        <f>IFERROR(__xludf.DUMMYFUNCTION("""COMPUTED_VALUE"""),"MBC ท่าอิฐ")</f>
        <v>MBC ท่าอิฐ</v>
      </c>
      <c r="P591" s="4">
        <f>IFERROR(__xludf.DUMMYFUNCTION("""COMPUTED_VALUE"""),42221.0)</f>
        <v>42221</v>
      </c>
      <c r="Q591" s="3" t="str">
        <f>IFERROR(__xludf.DUMMYFUNCTION("""COMPUTED_VALUE"""),"I")</f>
        <v>I</v>
      </c>
      <c r="R591" s="3" t="str">
        <f>IFERROR(__xludf.DUMMYFUNCTION("""COMPUTED_VALUE"""),"Small Format")</f>
        <v>Small Format</v>
      </c>
      <c r="S591" s="3" t="str">
        <f>IFERROR(__xludf.DUMMYFUNCTION("""COMPUTED_VALUE"""),"BCM")</f>
        <v>BCM</v>
      </c>
      <c r="T591" s="3" t="str">
        <f>IFERROR(__xludf.DUMMYFUNCTION("""COMPUTED_VALUE"""),"#N/A")</f>
        <v>#N/A</v>
      </c>
      <c r="U591" s="3" t="str">
        <f>IFERROR(__xludf.DUMMYFUNCTION("""COMPUTED_VALUE"""),"#N/A")</f>
        <v>#N/A</v>
      </c>
      <c r="V591" s="3" t="str">
        <f>IFERROR(__xludf.DUMMYFUNCTION("""COMPUTED_VALUE"""),"N")</f>
        <v>N</v>
      </c>
      <c r="W591" s="3">
        <f>IFERROR(__xludf.DUMMYFUNCTION("""COMPUTED_VALUE"""),361126.0)</f>
        <v>361126</v>
      </c>
      <c r="X591" s="3" t="str">
        <f>IFERROR(__xludf.DUMMYFUNCTION("""COMPUTED_VALUE"""),"768/1 ถนนเพชรเกษม แขวงบางแคเหนือ เขตบางแค กรุงเทพมหานคร 10160")</f>
        <v>768/1 ถนนเพชรเกษม แขวงบางแคเหนือ เขตบางแค กรุงเทพมหานคร 10160</v>
      </c>
      <c r="Y591" s="3" t="str">
        <f>IFERROR(__xludf.DUMMYFUNCTION("""COMPUTED_VALUE"""),"ถนนเพชรเกษม")</f>
        <v>ถนนเพชรเกษม</v>
      </c>
      <c r="Z591" s="3" t="str">
        <f>IFERROR(__xludf.DUMMYFUNCTION("""COMPUTED_VALUE"""),"บางแคเหนือ")</f>
        <v>บางแคเหนือ</v>
      </c>
      <c r="AA591" s="3" t="str">
        <f>IFERROR(__xludf.DUMMYFUNCTION("""COMPUTED_VALUE"""),"บางแค")</f>
        <v>บางแค</v>
      </c>
      <c r="AB591" s="3" t="str">
        <f>IFERROR(__xludf.DUMMYFUNCTION("""COMPUTED_VALUE"""),"กรุงเทพมหานคร")</f>
        <v>กรุงเทพมหานคร</v>
      </c>
      <c r="AC591" s="3">
        <f>IFERROR(__xludf.DUMMYFUNCTION("""COMPUTED_VALUE"""),10160.0)</f>
        <v>10160</v>
      </c>
      <c r="AD591" s="3">
        <f>IFERROR(__xludf.DUMMYFUNCTION("""COMPUTED_VALUE"""),13.709539)</f>
        <v>13.709539</v>
      </c>
      <c r="AE591" s="3">
        <f>IFERROR(__xludf.DUMMYFUNCTION("""COMPUTED_VALUE"""),100.389878)</f>
        <v>100.389878</v>
      </c>
      <c r="AF591" s="3" t="str">
        <f>IFERROR(__xludf.DUMMYFUNCTION("""COMPUTED_VALUE"""),"MBC BCP เพชรเกษม 92-21358")</f>
        <v>MBC BCP เพชรเกษม 92-21358</v>
      </c>
      <c r="AG591" s="3" t="str">
        <f>IFERROR(__xludf.DUMMYFUNCTION("""COMPUTED_VALUE"""),"กลาง")</f>
        <v>กลาง</v>
      </c>
      <c r="AH591" s="3" t="str">
        <f>IFERROR(__xludf.DUMMYFUNCTION("""COMPUTED_VALUE"""),"#N/A")</f>
        <v>#N/A</v>
      </c>
      <c r="AI591" s="3" t="str">
        <f>IFERROR(__xludf.DUMMYFUNCTION("""COMPUTED_VALUE"""),"Out of warranty")</f>
        <v>Out of warranty</v>
      </c>
      <c r="AJ591" s="3">
        <f>IFERROR(__xludf.DUMMYFUNCTION("""COMPUTED_VALUE"""),126.0)</f>
        <v>126</v>
      </c>
      <c r="AK591" s="3" t="str">
        <f>IFERROR(__xludf.DUMMYFUNCTION("""COMPUTED_VALUE"""),"MMS02")</f>
        <v>MMS02</v>
      </c>
      <c r="AL591" s="3"/>
    </row>
    <row r="592" ht="15.75" customHeight="1">
      <c r="A592" s="1" t="str">
        <f>IFERROR(__xludf.DUMMYFUNCTION("""COMPUTED_VALUE"""),"21359")</f>
        <v>21359</v>
      </c>
      <c r="B592" s="2">
        <f>IFERROR(__xludf.DUMMYFUNCTION("""COMPUTED_VALUE"""),21359.0)</f>
        <v>21359</v>
      </c>
      <c r="C592" s="3" t="str">
        <f>IFERROR(__xludf.DUMMYFUNCTION("""COMPUTED_VALUE"""),"MBC BCP แสนตุ้ง-เขาสมิง")</f>
        <v>MBC BCP แสนตุ้ง-เขาสมิง</v>
      </c>
      <c r="D592" s="3" t="str">
        <f>IFERROR(__xludf.DUMMYFUNCTION("""COMPUTED_VALUE"""),"BCM BCP SAEN TUNG-KHAO SAMING")</f>
        <v>BCM BCP SAEN TUNG-KHAO SAMING</v>
      </c>
      <c r="E592" s="1" t="str">
        <f>IFERROR(__xludf.DUMMYFUNCTION("""COMPUTED_VALUE"""),"บิ๊กซี MINI")</f>
        <v>บิ๊กซี MINI</v>
      </c>
      <c r="F592" s="1" t="str">
        <f>IFERROR(__xludf.DUMMYFUNCTION("""COMPUTED_VALUE"""),"221716")</f>
        <v>221716</v>
      </c>
      <c r="G592" s="1" t="str">
        <f>IFERROR(__xludf.DUMMYFUNCTION("""COMPUTED_VALUE"""),"น.ส.เบญจพร โพธิสาร")</f>
        <v>น.ส.เบญจพร โพธิสาร</v>
      </c>
      <c r="H592" s="1" t="str">
        <f>IFERROR(__xludf.DUMMYFUNCTION("""COMPUTED_VALUE"""),"318151")</f>
        <v>318151</v>
      </c>
      <c r="I592" s="1" t="str">
        <f>IFERROR(__xludf.DUMMYFUNCTION("""COMPUTED_VALUE"""),"นายพลฬกฤตต์ เนตมณี")</f>
        <v>นายพลฬกฤตต์ เนตมณี</v>
      </c>
      <c r="J592" s="3">
        <f>IFERROR(__xludf.DUMMYFUNCTION("""COMPUTED_VALUE"""),3510104.0)</f>
        <v>3510104</v>
      </c>
      <c r="K592" s="3" t="str">
        <f>IFERROR(__xludf.DUMMYFUNCTION("""COMPUTED_VALUE"""),"นายวิโรจน์ อับดุลสมัด")</f>
        <v>นายวิโรจน์ อับดุลสมัด</v>
      </c>
      <c r="L592" s="1" t="str">
        <f>IFERROR(__xludf.DUMMYFUNCTION("""COMPUTED_VALUE"""),"09 K.Wirode A")</f>
        <v>09 K.Wirode A</v>
      </c>
      <c r="M592" s="1" t="str">
        <f>IFERROR(__xludf.DUMMYFUNCTION("""COMPUTED_VALUE"""),"080-235-4465")</f>
        <v>080-235-4465</v>
      </c>
      <c r="N592" s="3">
        <f>IFERROR(__xludf.DUMMYFUNCTION("""COMPUTED_VALUE"""),21324.0)</f>
        <v>21324</v>
      </c>
      <c r="O592" s="3" t="str">
        <f>IFERROR(__xludf.DUMMYFUNCTION("""COMPUTED_VALUE"""),"MBC BCP สุวินทวงศ์")</f>
        <v>MBC BCP สุวินทวงศ์</v>
      </c>
      <c r="P592" s="4">
        <f>IFERROR(__xludf.DUMMYFUNCTION("""COMPUTED_VALUE"""),42226.0)</f>
        <v>42226</v>
      </c>
      <c r="Q592" s="3" t="str">
        <f>IFERROR(__xludf.DUMMYFUNCTION("""COMPUTED_VALUE"""),"I")</f>
        <v>I</v>
      </c>
      <c r="R592" s="3" t="str">
        <f>IFERROR(__xludf.DUMMYFUNCTION("""COMPUTED_VALUE"""),"Small Format")</f>
        <v>Small Format</v>
      </c>
      <c r="S592" s="3" t="str">
        <f>IFERROR(__xludf.DUMMYFUNCTION("""COMPUTED_VALUE"""),"BCM")</f>
        <v>BCM</v>
      </c>
      <c r="T592" s="3" t="str">
        <f>IFERROR(__xludf.DUMMYFUNCTION("""COMPUTED_VALUE"""),"#N/A")</f>
        <v>#N/A</v>
      </c>
      <c r="U592" s="3" t="str">
        <f>IFERROR(__xludf.DUMMYFUNCTION("""COMPUTED_VALUE"""),"#N/A")</f>
        <v>#N/A</v>
      </c>
      <c r="V592" s="3" t="str">
        <f>IFERROR(__xludf.DUMMYFUNCTION("""COMPUTED_VALUE"""),"N")</f>
        <v>N</v>
      </c>
      <c r="W592" s="3">
        <f>IFERROR(__xludf.DUMMYFUNCTION("""COMPUTED_VALUE"""),361157.0)</f>
        <v>361157</v>
      </c>
      <c r="X592" s="3" t="str">
        <f>IFERROR(__xludf.DUMMYFUNCTION("""COMPUTED_VALUE"""),"92/2 หมู่ 5 ตำบลแสนตุ้ง อำเภอเขาสมิง จังหวัดตราด 23150")</f>
        <v>92/2 หมู่ 5 ตำบลแสนตุ้ง อำเภอเขาสมิง จังหวัดตราด 23150</v>
      </c>
      <c r="Y592" s="3"/>
      <c r="Z592" s="3" t="str">
        <f>IFERROR(__xludf.DUMMYFUNCTION("""COMPUTED_VALUE"""),"แสนตุ้ง")</f>
        <v>แสนตุ้ง</v>
      </c>
      <c r="AA592" s="3" t="str">
        <f>IFERROR(__xludf.DUMMYFUNCTION("""COMPUTED_VALUE"""),"เขาสมิง")</f>
        <v>เขาสมิง</v>
      </c>
      <c r="AB592" s="3" t="str">
        <f>IFERROR(__xludf.DUMMYFUNCTION("""COMPUTED_VALUE"""),"ตราด")</f>
        <v>ตราด</v>
      </c>
      <c r="AC592" s="3">
        <f>IFERROR(__xludf.DUMMYFUNCTION("""COMPUTED_VALUE"""),23150.0)</f>
        <v>23150</v>
      </c>
      <c r="AD592" s="3">
        <f>IFERROR(__xludf.DUMMYFUNCTION("""COMPUTED_VALUE"""),12.37631)</f>
        <v>12.37631</v>
      </c>
      <c r="AE592" s="3">
        <f>IFERROR(__xludf.DUMMYFUNCTION("""COMPUTED_VALUE"""),102.38073)</f>
        <v>102.38073</v>
      </c>
      <c r="AF592" s="3" t="str">
        <f>IFERROR(__xludf.DUMMYFUNCTION("""COMPUTED_VALUE"""),"MBC BCP แสนตุ้ง-เขาสมิง-21359")</f>
        <v>MBC BCP แสนตุ้ง-เขาสมิง-21359</v>
      </c>
      <c r="AG592" s="3" t="str">
        <f>IFERROR(__xludf.DUMMYFUNCTION("""COMPUTED_VALUE"""),"ตะวันออก")</f>
        <v>ตะวันออก</v>
      </c>
      <c r="AH592" s="3" t="str">
        <f>IFERROR(__xludf.DUMMYFUNCTION("""COMPUTED_VALUE"""),"#N/A")</f>
        <v>#N/A</v>
      </c>
      <c r="AI592" s="3" t="str">
        <f>IFERROR(__xludf.DUMMYFUNCTION("""COMPUTED_VALUE"""),"Out of warranty")</f>
        <v>Out of warranty</v>
      </c>
      <c r="AJ592" s="3">
        <f>IFERROR(__xludf.DUMMYFUNCTION("""COMPUTED_VALUE"""),126.0)</f>
        <v>126</v>
      </c>
      <c r="AK592" s="3" t="str">
        <f>IFERROR(__xludf.DUMMYFUNCTION("""COMPUTED_VALUE"""),"MMS08")</f>
        <v>MMS08</v>
      </c>
      <c r="AL592" s="3"/>
    </row>
    <row r="593" ht="15.75" customHeight="1">
      <c r="A593" s="1" t="str">
        <f>IFERROR(__xludf.DUMMYFUNCTION("""COMPUTED_VALUE"""),"21360")</f>
        <v>21360</v>
      </c>
      <c r="B593" s="2">
        <f>IFERROR(__xludf.DUMMYFUNCTION("""COMPUTED_VALUE"""),21360.0)</f>
        <v>21360</v>
      </c>
      <c r="C593" s="3" t="str">
        <f>IFERROR(__xludf.DUMMYFUNCTION("""COMPUTED_VALUE"""),"MBC BCP ธาตุเชิงชุม-สกลนคร")</f>
        <v>MBC BCP ธาตุเชิงชุม-สกลนคร</v>
      </c>
      <c r="D593" s="3" t="str">
        <f>IFERROR(__xludf.DUMMYFUNCTION("""COMPUTED_VALUE"""),"MBC BCP THAT CHOENGCHUM-SAKON")</f>
        <v>MBC BCP THAT CHOENGCHUM-SAKON</v>
      </c>
      <c r="E593" s="1" t="str">
        <f>IFERROR(__xludf.DUMMYFUNCTION("""COMPUTED_VALUE"""),"บิ๊กซี MINI")</f>
        <v>บิ๊กซี MINI</v>
      </c>
      <c r="F593" s="1" t="str">
        <f>IFERROR(__xludf.DUMMYFUNCTION("""COMPUTED_VALUE"""),"291100")</f>
        <v>291100</v>
      </c>
      <c r="G593" s="1" t="str">
        <f>IFERROR(__xludf.DUMMYFUNCTION("""COMPUTED_VALUE"""),"น.ส.จารุณี ฮวบอินทร์")</f>
        <v>น.ส.จารุณี ฮวบอินทร์</v>
      </c>
      <c r="H593" s="1" t="str">
        <f>IFERROR(__xludf.DUMMYFUNCTION("""COMPUTED_VALUE"""),"312134")</f>
        <v>312134</v>
      </c>
      <c r="I593" s="1" t="str">
        <f>IFERROR(__xludf.DUMMYFUNCTION("""COMPUTED_VALUE"""),"น.ส.ปัณทณินันท์ พงศ์ชิระอังกูร")</f>
        <v>น.ส.ปัณทณินันท์ พงศ์ชิระอังกูร</v>
      </c>
      <c r="J593" s="3">
        <f>IFERROR(__xludf.DUMMYFUNCTION("""COMPUTED_VALUE"""),295886.0)</f>
        <v>295886</v>
      </c>
      <c r="K593" s="3" t="str">
        <f>IFERROR(__xludf.DUMMYFUNCTION("""COMPUTED_VALUE"""),"นายจิระพงษ์ โพธิ์นิล")</f>
        <v>นายจิระพงษ์ โพธิ์นิล</v>
      </c>
      <c r="L593" s="1" t="str">
        <f>IFERROR(__xludf.DUMMYFUNCTION("""COMPUTED_VALUE"""),"นายจิระพงษ์ โพธิ์นิล")</f>
        <v>นายจิระพงษ์ โพธิ์นิล</v>
      </c>
      <c r="M593" s="1" t="str">
        <f>IFERROR(__xludf.DUMMYFUNCTION("""COMPUTED_VALUE"""),"0933290754")</f>
        <v>0933290754</v>
      </c>
      <c r="N593" s="3">
        <f>IFERROR(__xludf.DUMMYFUNCTION("""COMPUTED_VALUE"""),21465.0)</f>
        <v>21465</v>
      </c>
      <c r="O593" s="3" t="str">
        <f>IFERROR(__xludf.DUMMYFUNCTION("""COMPUTED_VALUE"""),"MBC สถานีตำรวจอุดร")</f>
        <v>MBC สถานีตำรวจอุดร</v>
      </c>
      <c r="P593" s="4">
        <f>IFERROR(__xludf.DUMMYFUNCTION("""COMPUTED_VALUE"""),42226.0)</f>
        <v>42226</v>
      </c>
      <c r="Q593" s="3" t="str">
        <f>IFERROR(__xludf.DUMMYFUNCTION("""COMPUTED_VALUE"""),"I")</f>
        <v>I</v>
      </c>
      <c r="R593" s="3" t="str">
        <f>IFERROR(__xludf.DUMMYFUNCTION("""COMPUTED_VALUE"""),"Small Format")</f>
        <v>Small Format</v>
      </c>
      <c r="S593" s="3" t="str">
        <f>IFERROR(__xludf.DUMMYFUNCTION("""COMPUTED_VALUE"""),"BCM")</f>
        <v>BCM</v>
      </c>
      <c r="T593" s="3" t="str">
        <f>IFERROR(__xludf.DUMMYFUNCTION("""COMPUTED_VALUE"""),"#N/A")</f>
        <v>#N/A</v>
      </c>
      <c r="U593" s="3" t="str">
        <f>IFERROR(__xludf.DUMMYFUNCTION("""COMPUTED_VALUE"""),"#N/A")</f>
        <v>#N/A</v>
      </c>
      <c r="V593" s="3" t="str">
        <f>IFERROR(__xludf.DUMMYFUNCTION("""COMPUTED_VALUE"""),"N")</f>
        <v>N</v>
      </c>
      <c r="W593" s="3">
        <f>IFERROR(__xludf.DUMMYFUNCTION("""COMPUTED_VALUE"""),361167.0)</f>
        <v>361167</v>
      </c>
      <c r="X593" s="3" t="str">
        <f>IFERROR(__xludf.DUMMYFUNCTION("""COMPUTED_VALUE"""),"357/4 ถนนนิตโย ตำบลธาตุเชิงชุม อำเภอเมืองสกลนคร จังหวัดสกลนคร 47000")</f>
        <v>357/4 ถนนนิตโย ตำบลธาตุเชิงชุม อำเภอเมืองสกลนคร จังหวัดสกลนคร 47000</v>
      </c>
      <c r="Y593" s="3" t="str">
        <f>IFERROR(__xludf.DUMMYFUNCTION("""COMPUTED_VALUE"""),"ถนนนิตโย")</f>
        <v>ถนนนิตโย</v>
      </c>
      <c r="Z593" s="3" t="str">
        <f>IFERROR(__xludf.DUMMYFUNCTION("""COMPUTED_VALUE"""),"ธาตุเชิงชุม")</f>
        <v>ธาตุเชิงชุม</v>
      </c>
      <c r="AA593" s="3" t="str">
        <f>IFERROR(__xludf.DUMMYFUNCTION("""COMPUTED_VALUE"""),"เมือง")</f>
        <v>เมือง</v>
      </c>
      <c r="AB593" s="3" t="str">
        <f>IFERROR(__xludf.DUMMYFUNCTION("""COMPUTED_VALUE"""),"สกลนคร")</f>
        <v>สกลนคร</v>
      </c>
      <c r="AC593" s="3">
        <f>IFERROR(__xludf.DUMMYFUNCTION("""COMPUTED_VALUE"""),47000.0)</f>
        <v>47000</v>
      </c>
      <c r="AD593" s="3">
        <f>IFERROR(__xludf.DUMMYFUNCTION("""COMPUTED_VALUE"""),17.179493)</f>
        <v>17.179493</v>
      </c>
      <c r="AE593" s="3">
        <f>IFERROR(__xludf.DUMMYFUNCTION("""COMPUTED_VALUE"""),104.118608)</f>
        <v>104.118608</v>
      </c>
      <c r="AF593" s="3" t="str">
        <f>IFERROR(__xludf.DUMMYFUNCTION("""COMPUTED_VALUE"""),"MBC BCP ธาตุเชิงชุม-สกลนคร-21360")</f>
        <v>MBC BCP ธาตุเชิงชุม-สกลนคร-21360</v>
      </c>
      <c r="AG593" s="3" t="str">
        <f>IFERROR(__xludf.DUMMYFUNCTION("""COMPUTED_VALUE"""),"ตะวันออกเฉียงเหนือ")</f>
        <v>ตะวันออกเฉียงเหนือ</v>
      </c>
      <c r="AH593" s="3" t="str">
        <f>IFERROR(__xludf.DUMMYFUNCTION("""COMPUTED_VALUE"""),"#N/A")</f>
        <v>#N/A</v>
      </c>
      <c r="AI593" s="3" t="str">
        <f>IFERROR(__xludf.DUMMYFUNCTION("""COMPUTED_VALUE"""),"Out of warranty")</f>
        <v>Out of warranty</v>
      </c>
      <c r="AJ593" s="3">
        <f>IFERROR(__xludf.DUMMYFUNCTION("""COMPUTED_VALUE"""),126.0)</f>
        <v>126</v>
      </c>
      <c r="AK593" s="3"/>
      <c r="AL593" s="3"/>
    </row>
    <row r="594" ht="15.75" customHeight="1">
      <c r="A594" s="1" t="str">
        <f>IFERROR(__xludf.DUMMYFUNCTION("""COMPUTED_VALUE"""),"21361")</f>
        <v>21361</v>
      </c>
      <c r="B594" s="2">
        <f>IFERROR(__xludf.DUMMYFUNCTION("""COMPUTED_VALUE"""),21361.0)</f>
        <v>21361</v>
      </c>
      <c r="C594" s="3" t="str">
        <f>IFERROR(__xludf.DUMMYFUNCTION("""COMPUTED_VALUE"""),"MBC BCP ชะอำปาร์ค")</f>
        <v>MBC BCP ชะอำปาร์ค</v>
      </c>
      <c r="D594" s="3" t="str">
        <f>IFERROR(__xludf.DUMMYFUNCTION("""COMPUTED_VALUE"""),"BCM BCP CHA AM PARK")</f>
        <v>BCM BCP CHA AM PARK</v>
      </c>
      <c r="E594" s="1" t="str">
        <f>IFERROR(__xludf.DUMMYFUNCTION("""COMPUTED_VALUE"""),"บิ๊กซี MINI")</f>
        <v>บิ๊กซี MINI</v>
      </c>
      <c r="F594" s="1" t="str">
        <f>IFERROR(__xludf.DUMMYFUNCTION("""COMPUTED_VALUE"""),"250760")</f>
        <v>250760</v>
      </c>
      <c r="G594" s="1" t="str">
        <f>IFERROR(__xludf.DUMMYFUNCTION("""COMPUTED_VALUE"""),"นายประทวน สาราบรรณ์")</f>
        <v>นายประทวน สาราบรรณ์</v>
      </c>
      <c r="H594" s="1" t="str">
        <f>IFERROR(__xludf.DUMMYFUNCTION("""COMPUTED_VALUE"""),"311437")</f>
        <v>311437</v>
      </c>
      <c r="I594" s="1" t="str">
        <f>IFERROR(__xludf.DUMMYFUNCTION("""COMPUTED_VALUE"""),"นายฉัตรทพร รักวิเชียร")</f>
        <v>นายฉัตรทพร รักวิเชียร</v>
      </c>
      <c r="J594" s="3">
        <f>IFERROR(__xludf.DUMMYFUNCTION("""COMPUTED_VALUE"""),2.0470331E7)</f>
        <v>20470331</v>
      </c>
      <c r="K594" s="3" t="str">
        <f>IFERROR(__xludf.DUMMYFUNCTION("""COMPUTED_VALUE"""),"นายสมชาย ลักษณะสุวรรณ")</f>
        <v>นายสมชาย ลักษณะสุวรรณ</v>
      </c>
      <c r="L594" s="1" t="str">
        <f>IFERROR(__xludf.DUMMYFUNCTION("""COMPUTED_VALUE"""),"15 K.Somchai L")</f>
        <v>15 K.Somchai L</v>
      </c>
      <c r="M594" s="1" t="str">
        <f>IFERROR(__xludf.DUMMYFUNCTION("""COMPUTED_VALUE"""),"0655107372")</f>
        <v>0655107372</v>
      </c>
      <c r="N594" s="3">
        <f>IFERROR(__xludf.DUMMYFUNCTION("""COMPUTED_VALUE"""),21723.0)</f>
        <v>21723</v>
      </c>
      <c r="O594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594" s="4">
        <f>IFERROR(__xludf.DUMMYFUNCTION("""COMPUTED_VALUE"""),42231.0)</f>
        <v>42231</v>
      </c>
      <c r="Q594" s="3" t="str">
        <f>IFERROR(__xludf.DUMMYFUNCTION("""COMPUTED_VALUE"""),"I")</f>
        <v>I</v>
      </c>
      <c r="R594" s="3" t="str">
        <f>IFERROR(__xludf.DUMMYFUNCTION("""COMPUTED_VALUE"""),"Small Format")</f>
        <v>Small Format</v>
      </c>
      <c r="S594" s="3" t="str">
        <f>IFERROR(__xludf.DUMMYFUNCTION("""COMPUTED_VALUE"""),"BCM")</f>
        <v>BCM</v>
      </c>
      <c r="T594" s="3" t="str">
        <f>IFERROR(__xludf.DUMMYFUNCTION("""COMPUTED_VALUE"""),"#N/A")</f>
        <v>#N/A</v>
      </c>
      <c r="U594" s="3" t="str">
        <f>IFERROR(__xludf.DUMMYFUNCTION("""COMPUTED_VALUE"""),"#N/A")</f>
        <v>#N/A</v>
      </c>
      <c r="V594" s="3" t="str">
        <f>IFERROR(__xludf.DUMMYFUNCTION("""COMPUTED_VALUE"""),"N")</f>
        <v>N</v>
      </c>
      <c r="W594" s="3">
        <f>IFERROR(__xludf.DUMMYFUNCTION("""COMPUTED_VALUE"""),361180.0)</f>
        <v>361180</v>
      </c>
      <c r="X594" s="3" t="str">
        <f>IFERROR(__xludf.DUMMYFUNCTION("""COMPUTED_VALUE"""),"555/4 ถนนเพชรเกษม (ชะอำ) ตำบลชะอำ อำเภอชะอำ จังหวัดเพชรบุรี 76120")</f>
        <v>555/4 ถนนเพชรเกษม (ชะอำ) ตำบลชะอำ อำเภอชะอำ จังหวัดเพชรบุรี 76120</v>
      </c>
      <c r="Y594" s="3" t="str">
        <f>IFERROR(__xludf.DUMMYFUNCTION("""COMPUTED_VALUE"""),"ถนนเพชรเกษม")</f>
        <v>ถนนเพชรเกษม</v>
      </c>
      <c r="Z594" s="3" t="str">
        <f>IFERROR(__xludf.DUMMYFUNCTION("""COMPUTED_VALUE"""),"ชะอำ")</f>
        <v>ชะอำ</v>
      </c>
      <c r="AA594" s="3" t="str">
        <f>IFERROR(__xludf.DUMMYFUNCTION("""COMPUTED_VALUE"""),"ชะอำ")</f>
        <v>ชะอำ</v>
      </c>
      <c r="AB594" s="3" t="str">
        <f>IFERROR(__xludf.DUMMYFUNCTION("""COMPUTED_VALUE"""),"เพชรบุรี")</f>
        <v>เพชรบุรี</v>
      </c>
      <c r="AC594" s="3">
        <f>IFERROR(__xludf.DUMMYFUNCTION("""COMPUTED_VALUE"""),76120.0)</f>
        <v>76120</v>
      </c>
      <c r="AD594" s="3">
        <f>IFERROR(__xludf.DUMMYFUNCTION("""COMPUTED_VALUE"""),12.81728)</f>
        <v>12.81728</v>
      </c>
      <c r="AE594" s="3">
        <f>IFERROR(__xludf.DUMMYFUNCTION("""COMPUTED_VALUE"""),99.94116)</f>
        <v>99.94116</v>
      </c>
      <c r="AF594" s="3" t="str">
        <f>IFERROR(__xludf.DUMMYFUNCTION("""COMPUTED_VALUE"""),"MBC BCP ชะอำปาร์ค-21361")</f>
        <v>MBC BCP ชะอำปาร์ค-21361</v>
      </c>
      <c r="AG594" s="3" t="str">
        <f>IFERROR(__xludf.DUMMYFUNCTION("""COMPUTED_VALUE"""),"ตะวันตก")</f>
        <v>ตะวันตก</v>
      </c>
      <c r="AH594" s="3" t="str">
        <f>IFERROR(__xludf.DUMMYFUNCTION("""COMPUTED_VALUE"""),"#N/A")</f>
        <v>#N/A</v>
      </c>
      <c r="AI594" s="3" t="str">
        <f>IFERROR(__xludf.DUMMYFUNCTION("""COMPUTED_VALUE"""),"Out of warranty")</f>
        <v>Out of warranty</v>
      </c>
      <c r="AJ594" s="3">
        <f>IFERROR(__xludf.DUMMYFUNCTION("""COMPUTED_VALUE"""),126.0)</f>
        <v>126</v>
      </c>
      <c r="AK594" s="3" t="str">
        <f>IFERROR(__xludf.DUMMYFUNCTION("""COMPUTED_VALUE"""),"MMS14")</f>
        <v>MMS14</v>
      </c>
      <c r="AL594" s="3"/>
    </row>
    <row r="595" ht="15.75" customHeight="1">
      <c r="A595" s="1" t="str">
        <f>IFERROR(__xludf.DUMMYFUNCTION("""COMPUTED_VALUE"""),"21362")</f>
        <v>21362</v>
      </c>
      <c r="B595" s="2">
        <f>IFERROR(__xludf.DUMMYFUNCTION("""COMPUTED_VALUE"""),21362.0)</f>
        <v>21362</v>
      </c>
      <c r="C595" s="3" t="str">
        <f>IFERROR(__xludf.DUMMYFUNCTION("""COMPUTED_VALUE"""),"MBC BCP คลองสวนพลู")</f>
        <v>MBC BCP คลองสวนพลู</v>
      </c>
      <c r="D595" s="3" t="str">
        <f>IFERROR(__xludf.DUMMYFUNCTION("""COMPUTED_VALUE"""),"BCM BCP KHLONG SUAN PHLU")</f>
        <v>BCM BCP KHLONG SUAN PHLU</v>
      </c>
      <c r="E595" s="1" t="str">
        <f>IFERROR(__xludf.DUMMYFUNCTION("""COMPUTED_VALUE"""),"บิ๊กซี MINI")</f>
        <v>บิ๊กซี MINI</v>
      </c>
      <c r="F595" s="1" t="str">
        <f>IFERROR(__xludf.DUMMYFUNCTION("""COMPUTED_VALUE"""),"296229")</f>
        <v>296229</v>
      </c>
      <c r="G595" s="1" t="str">
        <f>IFERROR(__xludf.DUMMYFUNCTION("""COMPUTED_VALUE"""),"นายทนงศักดิ์ บุญมา")</f>
        <v>นายทนงศักดิ์ บุญมา</v>
      </c>
      <c r="H595" s="1" t="str">
        <f>IFERROR(__xludf.DUMMYFUNCTION("""COMPUTED_VALUE"""),"211363")</f>
        <v>211363</v>
      </c>
      <c r="I595" s="1" t="str">
        <f>IFERROR(__xludf.DUMMYFUNCTION("""COMPUTED_VALUE"""),"นายสามารถ บุญลับ")</f>
        <v>นายสามารถ บุญลับ</v>
      </c>
      <c r="J595" s="3">
        <f>IFERROR(__xludf.DUMMYFUNCTION("""COMPUTED_VALUE"""),46214.0)</f>
        <v>46214</v>
      </c>
      <c r="K595" s="3" t="str">
        <f>IFERROR(__xludf.DUMMYFUNCTION("""COMPUTED_VALUE"""),"นายศักดิ์ชัย เด็ดดอกฟ้า")</f>
        <v>นายศักดิ์ชัย เด็ดดอกฟ้า</v>
      </c>
      <c r="L595" s="3" t="str">
        <f>IFERROR(__xludf.DUMMYFUNCTION("""COMPUTED_VALUE"""),"02 K.Sakchai D")</f>
        <v>02 K.Sakchai D</v>
      </c>
      <c r="M595" s="1" t="str">
        <f>IFERROR(__xludf.DUMMYFUNCTION("""COMPUTED_VALUE"""),"065-510-7376")</f>
        <v>065-510-7376</v>
      </c>
      <c r="N595" s="3">
        <f>IFERROR(__xludf.DUMMYFUNCTION("""COMPUTED_VALUE"""),21714.0)</f>
        <v>21714</v>
      </c>
      <c r="O595" s="3" t="str">
        <f>IFERROR(__xludf.DUMMYFUNCTION("""COMPUTED_VALUE"""),"MBC เอสโซ่ วัดโบสถ์")</f>
        <v>MBC เอสโซ่ วัดโบสถ์</v>
      </c>
      <c r="P595" s="4">
        <f>IFERROR(__xludf.DUMMYFUNCTION("""COMPUTED_VALUE"""),42238.0)</f>
        <v>42238</v>
      </c>
      <c r="Q595" s="3" t="str">
        <f>IFERROR(__xludf.DUMMYFUNCTION("""COMPUTED_VALUE"""),"I")</f>
        <v>I</v>
      </c>
      <c r="R595" s="3" t="str">
        <f>IFERROR(__xludf.DUMMYFUNCTION("""COMPUTED_VALUE"""),"Small Format")</f>
        <v>Small Format</v>
      </c>
      <c r="S595" s="3" t="str">
        <f>IFERROR(__xludf.DUMMYFUNCTION("""COMPUTED_VALUE"""),"BCM")</f>
        <v>BCM</v>
      </c>
      <c r="T595" s="3" t="str">
        <f>IFERROR(__xludf.DUMMYFUNCTION("""COMPUTED_VALUE"""),"#N/A")</f>
        <v>#N/A</v>
      </c>
      <c r="U595" s="3" t="str">
        <f>IFERROR(__xludf.DUMMYFUNCTION("""COMPUTED_VALUE"""),"#N/A")</f>
        <v>#N/A</v>
      </c>
      <c r="V595" s="3" t="str">
        <f>IFERROR(__xludf.DUMMYFUNCTION("""COMPUTED_VALUE"""),"N")</f>
        <v>N</v>
      </c>
      <c r="W595" s="3">
        <f>IFERROR(__xludf.DUMMYFUNCTION("""COMPUTED_VALUE"""),361127.0)</f>
        <v>361127</v>
      </c>
      <c r="X595" s="3" t="str">
        <f>IFERROR(__xludf.DUMMYFUNCTION("""COMPUTED_VALUE"""),"19/6 หมู่ 10 ตำบลปากกราน อำเภอพระนครศรีอยุธยา จังหวัดพระนครศรีอยุธยา 13000")</f>
        <v>19/6 หมู่ 10 ตำบลปากกราน อำเภอพระนครศรีอยุธยา จังหวัดพระนครศรีอยุธยา 13000</v>
      </c>
      <c r="Y595" s="3"/>
      <c r="Z595" s="3" t="str">
        <f>IFERROR(__xludf.DUMMYFUNCTION("""COMPUTED_VALUE"""),"ปากกราน")</f>
        <v>ปากกราน</v>
      </c>
      <c r="AA595" s="3" t="str">
        <f>IFERROR(__xludf.DUMMYFUNCTION("""COMPUTED_VALUE"""),"เมืองพระนครศรีอยุธยา")</f>
        <v>เมืองพระนครศรีอยุธยา</v>
      </c>
      <c r="AB595" s="3" t="str">
        <f>IFERROR(__xludf.DUMMYFUNCTION("""COMPUTED_VALUE"""),"พระนครศรีอยุธยา")</f>
        <v>พระนครศรีอยุธยา</v>
      </c>
      <c r="AC595" s="3">
        <f>IFERROR(__xludf.DUMMYFUNCTION("""COMPUTED_VALUE"""),13000.0)</f>
        <v>13000</v>
      </c>
      <c r="AD595" s="3">
        <f>IFERROR(__xludf.DUMMYFUNCTION("""COMPUTED_VALUE"""),14.325309)</f>
        <v>14.325309</v>
      </c>
      <c r="AE595" s="3">
        <f>IFERROR(__xludf.DUMMYFUNCTION("""COMPUTED_VALUE"""),100.527096)</f>
        <v>100.527096</v>
      </c>
      <c r="AF595" s="3" t="str">
        <f>IFERROR(__xludf.DUMMYFUNCTION("""COMPUTED_VALUE"""),"MBC BCP คลองสวนพลู-21362")</f>
        <v>MBC BCP คลองสวนพลู-21362</v>
      </c>
      <c r="AG595" s="3" t="str">
        <f>IFERROR(__xludf.DUMMYFUNCTION("""COMPUTED_VALUE"""),"กลาง")</f>
        <v>กลาง</v>
      </c>
      <c r="AH595" s="3" t="str">
        <f>IFERROR(__xludf.DUMMYFUNCTION("""COMPUTED_VALUE"""),"#N/A")</f>
        <v>#N/A</v>
      </c>
      <c r="AI595" s="3" t="str">
        <f>IFERROR(__xludf.DUMMYFUNCTION("""COMPUTED_VALUE"""),"Out of warranty")</f>
        <v>Out of warranty</v>
      </c>
      <c r="AJ595" s="3">
        <f>IFERROR(__xludf.DUMMYFUNCTION("""COMPUTED_VALUE"""),125.0)</f>
        <v>125</v>
      </c>
      <c r="AK595" s="3" t="str">
        <f>IFERROR(__xludf.DUMMYFUNCTION("""COMPUTED_VALUE"""),"MMS04")</f>
        <v>MMS04</v>
      </c>
      <c r="AL595" s="3"/>
    </row>
    <row r="596" ht="15.75" customHeight="1">
      <c r="A596" s="1" t="str">
        <f>IFERROR(__xludf.DUMMYFUNCTION("""COMPUTED_VALUE"""),"21363")</f>
        <v>21363</v>
      </c>
      <c r="B596" s="2">
        <f>IFERROR(__xludf.DUMMYFUNCTION("""COMPUTED_VALUE"""),21363.0)</f>
        <v>21363</v>
      </c>
      <c r="C596" s="3" t="str">
        <f>IFERROR(__xludf.DUMMYFUNCTION("""COMPUTED_VALUE"""),"MBC BCP หนองจิก-ปัตตานี")</f>
        <v>MBC BCP หนองจิก-ปัตตานี</v>
      </c>
      <c r="D596" s="3" t="str">
        <f>IFERROR(__xludf.DUMMYFUNCTION("""COMPUTED_VALUE"""),"BCM BCP NONG CHIK-PATTANI")</f>
        <v>BCM BCP NONG CHIK-PATTANI</v>
      </c>
      <c r="E596" s="1" t="str">
        <f>IFERROR(__xludf.DUMMYFUNCTION("""COMPUTED_VALUE"""),"บิ๊กซี MINI")</f>
        <v>บิ๊กซี MINI</v>
      </c>
      <c r="F596" s="1" t="str">
        <f>IFERROR(__xludf.DUMMYFUNCTION("""COMPUTED_VALUE"""),"250760")</f>
        <v>250760</v>
      </c>
      <c r="G596" s="1" t="str">
        <f>IFERROR(__xludf.DUMMYFUNCTION("""COMPUTED_VALUE"""),"นายประทวน สาราบรรณ์")</f>
        <v>นายประทวน สาราบรรณ์</v>
      </c>
      <c r="H596" s="1" t="str">
        <f>IFERROR(__xludf.DUMMYFUNCTION("""COMPUTED_VALUE"""),"394185")</f>
        <v>394185</v>
      </c>
      <c r="I596" s="1" t="str">
        <f>IFERROR(__xludf.DUMMYFUNCTION("""COMPUTED_VALUE"""),"น.ส.ฐาปนี สุวรรณรัตน์")</f>
        <v>น.ส.ฐาปนี สุวรรณรัตน์</v>
      </c>
      <c r="J596" s="3">
        <f>IFERROR(__xludf.DUMMYFUNCTION("""COMPUTED_VALUE"""),2.0470331E7)</f>
        <v>20470331</v>
      </c>
      <c r="K596" s="3" t="str">
        <f>IFERROR(__xludf.DUMMYFUNCTION("""COMPUTED_VALUE"""),"นายสมชาย ลักษณะสุวรรณ")</f>
        <v>นายสมชาย ลักษณะสุวรรณ</v>
      </c>
      <c r="L596" s="1" t="str">
        <f>IFERROR(__xludf.DUMMYFUNCTION("""COMPUTED_VALUE"""),"15 K.Somchai L")</f>
        <v>15 K.Somchai L</v>
      </c>
      <c r="M596" s="1" t="str">
        <f>IFERROR(__xludf.DUMMYFUNCTION("""COMPUTED_VALUE"""),"0655107372")</f>
        <v>0655107372</v>
      </c>
      <c r="N596" s="3">
        <f>IFERROR(__xludf.DUMMYFUNCTION("""COMPUTED_VALUE"""),21723.0)</f>
        <v>21723</v>
      </c>
      <c r="O596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596" s="4">
        <f>IFERROR(__xludf.DUMMYFUNCTION("""COMPUTED_VALUE"""),42246.0)</f>
        <v>42246</v>
      </c>
      <c r="Q596" s="3" t="str">
        <f>IFERROR(__xludf.DUMMYFUNCTION("""COMPUTED_VALUE"""),"I")</f>
        <v>I</v>
      </c>
      <c r="R596" s="3" t="str">
        <f>IFERROR(__xludf.DUMMYFUNCTION("""COMPUTED_VALUE"""),"Small Format")</f>
        <v>Small Format</v>
      </c>
      <c r="S596" s="3" t="str">
        <f>IFERROR(__xludf.DUMMYFUNCTION("""COMPUTED_VALUE"""),"BCM")</f>
        <v>BCM</v>
      </c>
      <c r="T596" s="3" t="str">
        <f>IFERROR(__xludf.DUMMYFUNCTION("""COMPUTED_VALUE"""),"#N/A")</f>
        <v>#N/A</v>
      </c>
      <c r="U596" s="3" t="str">
        <f>IFERROR(__xludf.DUMMYFUNCTION("""COMPUTED_VALUE"""),"#N/A")</f>
        <v>#N/A</v>
      </c>
      <c r="V596" s="3" t="str">
        <f>IFERROR(__xludf.DUMMYFUNCTION("""COMPUTED_VALUE"""),"N")</f>
        <v>N</v>
      </c>
      <c r="W596" s="3">
        <f>IFERROR(__xludf.DUMMYFUNCTION("""COMPUTED_VALUE"""),361179.0)</f>
        <v>361179</v>
      </c>
      <c r="X596" s="3" t="str">
        <f>IFERROR(__xludf.DUMMYFUNCTION("""COMPUTED_VALUE"""),"200/6 หมู่ 8 ตำบลบ่อทอง อำเภอหนองจิก จังหวัดปัตตานี 94170")</f>
        <v>200/6 หมู่ 8 ตำบลบ่อทอง อำเภอหนองจิก จังหวัดปัตตานี 94170</v>
      </c>
      <c r="Y596" s="3"/>
      <c r="Z596" s="3" t="str">
        <f>IFERROR(__xludf.DUMMYFUNCTION("""COMPUTED_VALUE"""),"บ่อทอง")</f>
        <v>บ่อทอง</v>
      </c>
      <c r="AA596" s="3" t="str">
        <f>IFERROR(__xludf.DUMMYFUNCTION("""COMPUTED_VALUE"""),"หนองจิก")</f>
        <v>หนองจิก</v>
      </c>
      <c r="AB596" s="3" t="str">
        <f>IFERROR(__xludf.DUMMYFUNCTION("""COMPUTED_VALUE"""),"ปัตตานี")</f>
        <v>ปัตตานี</v>
      </c>
      <c r="AC596" s="3">
        <f>IFERROR(__xludf.DUMMYFUNCTION("""COMPUTED_VALUE"""),94170.0)</f>
        <v>94170</v>
      </c>
      <c r="AD596" s="3">
        <f>IFERROR(__xludf.DUMMYFUNCTION("""COMPUTED_VALUE"""),6.8031068)</f>
        <v>6.8031068</v>
      </c>
      <c r="AE596" s="3">
        <f>IFERROR(__xludf.DUMMYFUNCTION("""COMPUTED_VALUE"""),101.1404033)</f>
        <v>101.1404033</v>
      </c>
      <c r="AF596" s="3" t="str">
        <f>IFERROR(__xludf.DUMMYFUNCTION("""COMPUTED_VALUE"""),"MBC BCP หนองจิก-ปัตตานี-21363")</f>
        <v>MBC BCP หนองจิก-ปัตตานี-21363</v>
      </c>
      <c r="AG596" s="3" t="str">
        <f>IFERROR(__xludf.DUMMYFUNCTION("""COMPUTED_VALUE"""),"ใต้")</f>
        <v>ใต้</v>
      </c>
      <c r="AH596" s="3" t="str">
        <f>IFERROR(__xludf.DUMMYFUNCTION("""COMPUTED_VALUE"""),"#N/A")</f>
        <v>#N/A</v>
      </c>
      <c r="AI596" s="3" t="str">
        <f>IFERROR(__xludf.DUMMYFUNCTION("""COMPUTED_VALUE"""),"Out of warranty")</f>
        <v>Out of warranty</v>
      </c>
      <c r="AJ596" s="3">
        <f>IFERROR(__xludf.DUMMYFUNCTION("""COMPUTED_VALUE"""),125.0)</f>
        <v>125</v>
      </c>
      <c r="AK596" s="3" t="str">
        <f>IFERROR(__xludf.DUMMYFUNCTION("""COMPUTED_VALUE"""),"MMS16")</f>
        <v>MMS16</v>
      </c>
      <c r="AL596" s="3"/>
    </row>
    <row r="597" ht="15.75" customHeight="1">
      <c r="A597" s="1" t="str">
        <f>IFERROR(__xludf.DUMMYFUNCTION("""COMPUTED_VALUE"""),"21364")</f>
        <v>21364</v>
      </c>
      <c r="B597" s="2">
        <f>IFERROR(__xludf.DUMMYFUNCTION("""COMPUTED_VALUE"""),21364.0)</f>
        <v>21364</v>
      </c>
      <c r="C597" s="3" t="str">
        <f>IFERROR(__xludf.DUMMYFUNCTION("""COMPUTED_VALUE"""),"MBC BCP เมืองมหาสารคาม")</f>
        <v>MBC BCP เมืองมหาสารคาม</v>
      </c>
      <c r="D597" s="3" t="str">
        <f>IFERROR(__xludf.DUMMYFUNCTION("""COMPUTED_VALUE"""),"BCM BCP MUEANG MAHASARAKHAM")</f>
        <v>BCM BCP MUEANG MAHASARAKHAM</v>
      </c>
      <c r="E597" s="1" t="str">
        <f>IFERROR(__xludf.DUMMYFUNCTION("""COMPUTED_VALUE"""),"บิ๊กซี MINI")</f>
        <v>บิ๊กซี MINI</v>
      </c>
      <c r="F597" s="1" t="str">
        <f>IFERROR(__xludf.DUMMYFUNCTION("""COMPUTED_VALUE"""),"291105")</f>
        <v>291105</v>
      </c>
      <c r="G597" s="1" t="str">
        <f>IFERROR(__xludf.DUMMYFUNCTION("""COMPUTED_VALUE"""),"นายสราวุฒิ พณิชยกุล")</f>
        <v>นายสราวุฒิ พณิชยกุล</v>
      </c>
      <c r="H597" s="1" t="str">
        <f>IFERROR(__xludf.DUMMYFUNCTION("""COMPUTED_VALUE"""),"392433")</f>
        <v>392433</v>
      </c>
      <c r="I597" s="1" t="str">
        <f>IFERROR(__xludf.DUMMYFUNCTION("""COMPUTED_VALUE"""),"นายพรธิวา ใจอ่อน")</f>
        <v>นายพรธิวา ใจอ่อน</v>
      </c>
      <c r="J597" s="3">
        <f>IFERROR(__xludf.DUMMYFUNCTION("""COMPUTED_VALUE"""),2454781.0)</f>
        <v>2454781</v>
      </c>
      <c r="K597" s="3" t="str">
        <f>IFERROR(__xludf.DUMMYFUNCTION("""COMPUTED_VALUE"""),"นายฌานกฤช นันทะโคต")</f>
        <v>นายฌานกฤช นันทะโคต</v>
      </c>
      <c r="L597" s="3" t="str">
        <f>IFERROR(__xludf.DUMMYFUNCTION("""COMPUTED_VALUE"""),"05 K.Chanakrit N.")</f>
        <v>05 K.Chanakrit N.</v>
      </c>
      <c r="M597" s="1" t="str">
        <f>IFERROR(__xludf.DUMMYFUNCTION("""COMPUTED_VALUE"""),"090-978-9785 ,065-929-1320")</f>
        <v>090-978-9785 ,065-929-1320</v>
      </c>
      <c r="N597" s="3">
        <f>IFERROR(__xludf.DUMMYFUNCTION("""COMPUTED_VALUE"""),22195.0)</f>
        <v>22195</v>
      </c>
      <c r="O597" s="3" t="str">
        <f>IFERROR(__xludf.DUMMYFUNCTION("""COMPUTED_VALUE"""),"MBC กันทรลักษ์ ศรีสะเกษ")</f>
        <v>MBC กันทรลักษ์ ศรีสะเกษ</v>
      </c>
      <c r="P597" s="4">
        <f>IFERROR(__xludf.DUMMYFUNCTION("""COMPUTED_VALUE"""),42251.0)</f>
        <v>42251</v>
      </c>
      <c r="Q597" s="3" t="str">
        <f>IFERROR(__xludf.DUMMYFUNCTION("""COMPUTED_VALUE"""),"A")</f>
        <v>A</v>
      </c>
      <c r="R597" s="3" t="str">
        <f>IFERROR(__xludf.DUMMYFUNCTION("""COMPUTED_VALUE"""),"Small Format")</f>
        <v>Small Format</v>
      </c>
      <c r="S597" s="3" t="str">
        <f>IFERROR(__xludf.DUMMYFUNCTION("""COMPUTED_VALUE"""),"BCM")</f>
        <v>BCM</v>
      </c>
      <c r="T597" s="3" t="str">
        <f>IFERROR(__xludf.DUMMYFUNCTION("""COMPUTED_VALUE"""),"#N/A")</f>
        <v>#N/A</v>
      </c>
      <c r="U597" s="3" t="str">
        <f>IFERROR(__xludf.DUMMYFUNCTION("""COMPUTED_VALUE"""),"#N/A")</f>
        <v>#N/A</v>
      </c>
      <c r="V597" s="3" t="str">
        <f>IFERROR(__xludf.DUMMYFUNCTION("""COMPUTED_VALUE"""),"N")</f>
        <v>N</v>
      </c>
      <c r="W597" s="3">
        <f>IFERROR(__xludf.DUMMYFUNCTION("""COMPUTED_VALUE"""),361164.0)</f>
        <v>361164</v>
      </c>
      <c r="X597" s="3" t="str">
        <f>IFERROR(__xludf.DUMMYFUNCTION("""COMPUTED_VALUE"""),"123 หมู่ 23 ตำบลเขวา อำเภอเมืองมหาสารคาม จังหวัดมหาสารคาม 44000")</f>
        <v>123 หมู่ 23 ตำบลเขวา อำเภอเมืองมหาสารคาม จังหวัดมหาสารคาม 44000</v>
      </c>
      <c r="Y597" s="3"/>
      <c r="Z597" s="3" t="str">
        <f>IFERROR(__xludf.DUMMYFUNCTION("""COMPUTED_VALUE"""),"เขวา")</f>
        <v>เขวา</v>
      </c>
      <c r="AA597" s="3" t="str">
        <f>IFERROR(__xludf.DUMMYFUNCTION("""COMPUTED_VALUE"""),"เมือง")</f>
        <v>เมือง</v>
      </c>
      <c r="AB597" s="3" t="str">
        <f>IFERROR(__xludf.DUMMYFUNCTION("""COMPUTED_VALUE"""),"มหาสารคาม")</f>
        <v>มหาสารคาม</v>
      </c>
      <c r="AC597" s="3">
        <f>IFERROR(__xludf.DUMMYFUNCTION("""COMPUTED_VALUE"""),44000.0)</f>
        <v>44000</v>
      </c>
      <c r="AD597" s="3">
        <f>IFERROR(__xludf.DUMMYFUNCTION("""COMPUTED_VALUE"""),16.1584449)</f>
        <v>16.1584449</v>
      </c>
      <c r="AE597" s="3">
        <f>IFERROR(__xludf.DUMMYFUNCTION("""COMPUTED_VALUE"""),103.3629184)</f>
        <v>103.3629184</v>
      </c>
      <c r="AF597" s="3" t="str">
        <f>IFERROR(__xludf.DUMMYFUNCTION("""COMPUTED_VALUE"""),"MBC BCP เมืองมหาสารคาม-21364")</f>
        <v>MBC BCP เมืองมหาสารคาม-21364</v>
      </c>
      <c r="AG597" s="3" t="str">
        <f>IFERROR(__xludf.DUMMYFUNCTION("""COMPUTED_VALUE"""),"ตะวันออกเฉียงเหนือ")</f>
        <v>ตะวันออกเฉียงเหนือ</v>
      </c>
      <c r="AH597" s="3" t="str">
        <f>IFERROR(__xludf.DUMMYFUNCTION("""COMPUTED_VALUE"""),"#N/A")</f>
        <v>#N/A</v>
      </c>
      <c r="AI597" s="3" t="str">
        <f>IFERROR(__xludf.DUMMYFUNCTION("""COMPUTED_VALUE"""),"Out of warranty")</f>
        <v>Out of warranty</v>
      </c>
      <c r="AJ597" s="3">
        <f>IFERROR(__xludf.DUMMYFUNCTION("""COMPUTED_VALUE"""),125.0)</f>
        <v>125</v>
      </c>
      <c r="AK597" s="3" t="str">
        <f>IFERROR(__xludf.DUMMYFUNCTION("""COMPUTED_VALUE"""),"MMS13")</f>
        <v>MMS13</v>
      </c>
      <c r="AL597" s="3"/>
    </row>
    <row r="598" ht="15.75" customHeight="1">
      <c r="A598" s="1" t="str">
        <f>IFERROR(__xludf.DUMMYFUNCTION("""COMPUTED_VALUE"""),"21365")</f>
        <v>21365</v>
      </c>
      <c r="B598" s="2">
        <f>IFERROR(__xludf.DUMMYFUNCTION("""COMPUTED_VALUE"""),21365.0)</f>
        <v>21365</v>
      </c>
      <c r="C598" s="3" t="str">
        <f>IFERROR(__xludf.DUMMYFUNCTION("""COMPUTED_VALUE"""),"MBC BCP ลาดบัวหลวง")</f>
        <v>MBC BCP ลาดบัวหลวง</v>
      </c>
      <c r="D598" s="3" t="str">
        <f>IFERROR(__xludf.DUMMYFUNCTION("""COMPUTED_VALUE"""),"BCM BCP LAT BUA LUANG")</f>
        <v>BCM BCP LAT BUA LUANG</v>
      </c>
      <c r="E598" s="1" t="str">
        <f>IFERROR(__xludf.DUMMYFUNCTION("""COMPUTED_VALUE"""),"บิ๊กซี MINI")</f>
        <v>บิ๊กซี MINI</v>
      </c>
      <c r="F598" s="1" t="str">
        <f>IFERROR(__xludf.DUMMYFUNCTION("""COMPUTED_VALUE"""),"296229")</f>
        <v>296229</v>
      </c>
      <c r="G598" s="1" t="str">
        <f>IFERROR(__xludf.DUMMYFUNCTION("""COMPUTED_VALUE"""),"นายทนงศักดิ์ บุญมา")</f>
        <v>นายทนงศักดิ์ บุญมา</v>
      </c>
      <c r="H598" s="1" t="str">
        <f>IFERROR(__xludf.DUMMYFUNCTION("""COMPUTED_VALUE"""),"211363")</f>
        <v>211363</v>
      </c>
      <c r="I598" s="1" t="str">
        <f>IFERROR(__xludf.DUMMYFUNCTION("""COMPUTED_VALUE"""),"นายสามารถ บุญลับ")</f>
        <v>นายสามารถ บุญลับ</v>
      </c>
      <c r="J598" s="3">
        <f>IFERROR(__xludf.DUMMYFUNCTION("""COMPUTED_VALUE"""),46214.0)</f>
        <v>46214</v>
      </c>
      <c r="K598" s="3" t="str">
        <f>IFERROR(__xludf.DUMMYFUNCTION("""COMPUTED_VALUE"""),"นายศักดิ์ชัย เด็ดดอกฟ้า")</f>
        <v>นายศักดิ์ชัย เด็ดดอกฟ้า</v>
      </c>
      <c r="L598" s="1" t="str">
        <f>IFERROR(__xludf.DUMMYFUNCTION("""COMPUTED_VALUE"""),"02 K.Sakchai D")</f>
        <v>02 K.Sakchai D</v>
      </c>
      <c r="M598" s="1" t="str">
        <f>IFERROR(__xludf.DUMMYFUNCTION("""COMPUTED_VALUE"""),"065-510-7376")</f>
        <v>065-510-7376</v>
      </c>
      <c r="N598" s="3">
        <f>IFERROR(__xludf.DUMMYFUNCTION("""COMPUTED_VALUE"""),21441.0)</f>
        <v>21441</v>
      </c>
      <c r="O598" s="3" t="str">
        <f>IFERROR(__xludf.DUMMYFUNCTION("""COMPUTED_VALUE"""),"MBC บ้านกร่าง พิษณุโลก")</f>
        <v>MBC บ้านกร่าง พิษณุโลก</v>
      </c>
      <c r="P598" s="4">
        <f>IFERROR(__xludf.DUMMYFUNCTION("""COMPUTED_VALUE"""),42256.0)</f>
        <v>42256</v>
      </c>
      <c r="Q598" s="3" t="str">
        <f>IFERROR(__xludf.DUMMYFUNCTION("""COMPUTED_VALUE"""),"I")</f>
        <v>I</v>
      </c>
      <c r="R598" s="3" t="str">
        <f>IFERROR(__xludf.DUMMYFUNCTION("""COMPUTED_VALUE"""),"Small Format")</f>
        <v>Small Format</v>
      </c>
      <c r="S598" s="3" t="str">
        <f>IFERROR(__xludf.DUMMYFUNCTION("""COMPUTED_VALUE"""),"BCM")</f>
        <v>BCM</v>
      </c>
      <c r="T598" s="3" t="str">
        <f>IFERROR(__xludf.DUMMYFUNCTION("""COMPUTED_VALUE"""),"#N/A")</f>
        <v>#N/A</v>
      </c>
      <c r="U598" s="3" t="str">
        <f>IFERROR(__xludf.DUMMYFUNCTION("""COMPUTED_VALUE"""),"#N/A")</f>
        <v>#N/A</v>
      </c>
      <c r="V598" s="3" t="str">
        <f>IFERROR(__xludf.DUMMYFUNCTION("""COMPUTED_VALUE"""),"N")</f>
        <v>N</v>
      </c>
      <c r="W598" s="3">
        <f>IFERROR(__xludf.DUMMYFUNCTION("""COMPUTED_VALUE"""),361190.0)</f>
        <v>361190</v>
      </c>
      <c r="X598" s="3" t="str">
        <f>IFERROR(__xludf.DUMMYFUNCTION("""COMPUTED_VALUE"""),"58/1 หมู่ 5 ตำบลสามเมือง อำเภอลาดบัวหลวง จังหวัดพระนครศรีอยุธยา 13230")</f>
        <v>58/1 หมู่ 5 ตำบลสามเมือง อำเภอลาดบัวหลวง จังหวัดพระนครศรีอยุธยา 13230</v>
      </c>
      <c r="Y598" s="3"/>
      <c r="Z598" s="3" t="str">
        <f>IFERROR(__xludf.DUMMYFUNCTION("""COMPUTED_VALUE"""),"สามเมือง")</f>
        <v>สามเมือง</v>
      </c>
      <c r="AA598" s="3" t="str">
        <f>IFERROR(__xludf.DUMMYFUNCTION("""COMPUTED_VALUE"""),"ลาดบัวหลวง")</f>
        <v>ลาดบัวหลวง</v>
      </c>
      <c r="AB598" s="3" t="str">
        <f>IFERROR(__xludf.DUMMYFUNCTION("""COMPUTED_VALUE"""),"พระนครศรีอยุธยา")</f>
        <v>พระนครศรีอยุธยา</v>
      </c>
      <c r="AC598" s="3">
        <f>IFERROR(__xludf.DUMMYFUNCTION("""COMPUTED_VALUE"""),13230.0)</f>
        <v>13230</v>
      </c>
      <c r="AD598" s="3">
        <f>IFERROR(__xludf.DUMMYFUNCTION("""COMPUTED_VALUE"""),14.1567806)</f>
        <v>14.1567806</v>
      </c>
      <c r="AE598" s="3">
        <f>IFERROR(__xludf.DUMMYFUNCTION("""COMPUTED_VALUE"""),100.2909671)</f>
        <v>100.2909671</v>
      </c>
      <c r="AF598" s="3" t="str">
        <f>IFERROR(__xludf.DUMMYFUNCTION("""COMPUTED_VALUE"""),"MBC BCP ลาดบัวหลวง-21365")</f>
        <v>MBC BCP ลาดบัวหลวง-21365</v>
      </c>
      <c r="AG598" s="3" t="str">
        <f>IFERROR(__xludf.DUMMYFUNCTION("""COMPUTED_VALUE"""),"กลาง")</f>
        <v>กลาง</v>
      </c>
      <c r="AH598" s="3" t="str">
        <f>IFERROR(__xludf.DUMMYFUNCTION("""COMPUTED_VALUE"""),"#N/A")</f>
        <v>#N/A</v>
      </c>
      <c r="AI598" s="3" t="str">
        <f>IFERROR(__xludf.DUMMYFUNCTION("""COMPUTED_VALUE"""),"Out of warranty")</f>
        <v>Out of warranty</v>
      </c>
      <c r="AJ598" s="3">
        <f>IFERROR(__xludf.DUMMYFUNCTION("""COMPUTED_VALUE"""),125.0)</f>
        <v>125</v>
      </c>
      <c r="AK598" s="3" t="str">
        <f>IFERROR(__xludf.DUMMYFUNCTION("""COMPUTED_VALUE"""),"MMS09")</f>
        <v>MMS09</v>
      </c>
      <c r="AL598" s="3"/>
    </row>
    <row r="599" ht="15.75" customHeight="1">
      <c r="A599" s="1" t="str">
        <f>IFERROR(__xludf.DUMMYFUNCTION("""COMPUTED_VALUE"""),"21366")</f>
        <v>21366</v>
      </c>
      <c r="B599" s="2">
        <f>IFERROR(__xludf.DUMMYFUNCTION("""COMPUTED_VALUE"""),21366.0)</f>
        <v>21366</v>
      </c>
      <c r="C599" s="3" t="str">
        <f>IFERROR(__xludf.DUMMYFUNCTION("""COMPUTED_VALUE"""),"MBC BCP ญาณวิโรจน์")</f>
        <v>MBC BCP ญาณวิโรจน์</v>
      </c>
      <c r="D599" s="3" t="str">
        <f>IFERROR(__xludf.DUMMYFUNCTION("""COMPUTED_VALUE"""),"BCM BCP YAN VIROT CHANTHABURI")</f>
        <v>BCM BCP YAN VIROT CHANTHABURI</v>
      </c>
      <c r="E599" s="1" t="str">
        <f>IFERROR(__xludf.DUMMYFUNCTION("""COMPUTED_VALUE"""),"บิ๊กซี MINI")</f>
        <v>บิ๊กซี MINI</v>
      </c>
      <c r="F599" s="1" t="str">
        <f>IFERROR(__xludf.DUMMYFUNCTION("""COMPUTED_VALUE"""),"221716")</f>
        <v>221716</v>
      </c>
      <c r="G599" s="1" t="str">
        <f>IFERROR(__xludf.DUMMYFUNCTION("""COMPUTED_VALUE"""),"น.ส.เบญจพร โพธิสาร")</f>
        <v>น.ส.เบญจพร โพธิสาร</v>
      </c>
      <c r="H599" s="1" t="str">
        <f>IFERROR(__xludf.DUMMYFUNCTION("""COMPUTED_VALUE"""),"318151")</f>
        <v>318151</v>
      </c>
      <c r="I599" s="1" t="str">
        <f>IFERROR(__xludf.DUMMYFUNCTION("""COMPUTED_VALUE"""),"นายพลฬกฤตต์ เนตมณี")</f>
        <v>นายพลฬกฤตต์ เนตมณี</v>
      </c>
      <c r="J599" s="3">
        <f>IFERROR(__xludf.DUMMYFUNCTION("""COMPUTED_VALUE"""),3510104.0)</f>
        <v>3510104</v>
      </c>
      <c r="K599" s="3" t="str">
        <f>IFERROR(__xludf.DUMMYFUNCTION("""COMPUTED_VALUE"""),"นายวิโรจน์ อับดุลสมัด")</f>
        <v>นายวิโรจน์ อับดุลสมัด</v>
      </c>
      <c r="L599" s="1" t="str">
        <f>IFERROR(__xludf.DUMMYFUNCTION("""COMPUTED_VALUE"""),"09 K.Wirode A")</f>
        <v>09 K.Wirode A</v>
      </c>
      <c r="M599" s="1" t="str">
        <f>IFERROR(__xludf.DUMMYFUNCTION("""COMPUTED_VALUE"""),"080-235-4465")</f>
        <v>080-235-4465</v>
      </c>
      <c r="N599" s="3">
        <f>IFERROR(__xludf.DUMMYFUNCTION("""COMPUTED_VALUE"""),21324.0)</f>
        <v>21324</v>
      </c>
      <c r="O599" s="3" t="str">
        <f>IFERROR(__xludf.DUMMYFUNCTION("""COMPUTED_VALUE"""),"MBC BCP สุวินทวงศ์")</f>
        <v>MBC BCP สุวินทวงศ์</v>
      </c>
      <c r="P599" s="4">
        <f>IFERROR(__xludf.DUMMYFUNCTION("""COMPUTED_VALUE"""),42263.0)</f>
        <v>42263</v>
      </c>
      <c r="Q599" s="3" t="str">
        <f>IFERROR(__xludf.DUMMYFUNCTION("""COMPUTED_VALUE"""),"I")</f>
        <v>I</v>
      </c>
      <c r="R599" s="3" t="str">
        <f>IFERROR(__xludf.DUMMYFUNCTION("""COMPUTED_VALUE"""),"Small Format")</f>
        <v>Small Format</v>
      </c>
      <c r="S599" s="3" t="str">
        <f>IFERROR(__xludf.DUMMYFUNCTION("""COMPUTED_VALUE"""),"BCM")</f>
        <v>BCM</v>
      </c>
      <c r="T599" s="3" t="str">
        <f>IFERROR(__xludf.DUMMYFUNCTION("""COMPUTED_VALUE"""),"#N/A")</f>
        <v>#N/A</v>
      </c>
      <c r="U599" s="3" t="str">
        <f>IFERROR(__xludf.DUMMYFUNCTION("""COMPUTED_VALUE"""),"#N/A")</f>
        <v>#N/A</v>
      </c>
      <c r="V599" s="3" t="str">
        <f>IFERROR(__xludf.DUMMYFUNCTION("""COMPUTED_VALUE"""),"N")</f>
        <v>N</v>
      </c>
      <c r="W599" s="3">
        <f>IFERROR(__xludf.DUMMYFUNCTION("""COMPUTED_VALUE"""),361156.0)</f>
        <v>361156</v>
      </c>
      <c r="X599" s="3" t="str">
        <f>IFERROR(__xludf.DUMMYFUNCTION("""COMPUTED_VALUE"""),"21/1 หมู่ 9 ตำบลเกาะขวาง อำเภอเมืองจันทบุรี จังหวัดจันทบุรี 22000")</f>
        <v>21/1 หมู่ 9 ตำบลเกาะขวาง อำเภอเมืองจันทบุรี จังหวัดจันทบุรี 22000</v>
      </c>
      <c r="Y599" s="3"/>
      <c r="Z599" s="3" t="str">
        <f>IFERROR(__xludf.DUMMYFUNCTION("""COMPUTED_VALUE"""),"เกาะขวาง")</f>
        <v>เกาะขวาง</v>
      </c>
      <c r="AA599" s="3" t="str">
        <f>IFERROR(__xludf.DUMMYFUNCTION("""COMPUTED_VALUE"""),"เมือง")</f>
        <v>เมือง</v>
      </c>
      <c r="AB599" s="3" t="str">
        <f>IFERROR(__xludf.DUMMYFUNCTION("""COMPUTED_VALUE"""),"จันทบุรี")</f>
        <v>จันทบุรี</v>
      </c>
      <c r="AC599" s="3">
        <f>IFERROR(__xludf.DUMMYFUNCTION("""COMPUTED_VALUE"""),22000.0)</f>
        <v>22000</v>
      </c>
      <c r="AD599" s="3">
        <f>IFERROR(__xludf.DUMMYFUNCTION("""COMPUTED_VALUE"""),12.5626085)</f>
        <v>12.5626085</v>
      </c>
      <c r="AE599" s="3">
        <f>IFERROR(__xludf.DUMMYFUNCTION("""COMPUTED_VALUE"""),102.115071)</f>
        <v>102.115071</v>
      </c>
      <c r="AF599" s="3" t="str">
        <f>IFERROR(__xludf.DUMMYFUNCTION("""COMPUTED_VALUE"""),"MBC BCP ญาณวิโรจน์-21366")</f>
        <v>MBC BCP ญาณวิโรจน์-21366</v>
      </c>
      <c r="AG599" s="3" t="str">
        <f>IFERROR(__xludf.DUMMYFUNCTION("""COMPUTED_VALUE"""),"ตะวันออก")</f>
        <v>ตะวันออก</v>
      </c>
      <c r="AH599" s="3" t="str">
        <f>IFERROR(__xludf.DUMMYFUNCTION("""COMPUTED_VALUE"""),"#N/A")</f>
        <v>#N/A</v>
      </c>
      <c r="AI599" s="3" t="str">
        <f>IFERROR(__xludf.DUMMYFUNCTION("""COMPUTED_VALUE"""),"Out of warranty")</f>
        <v>Out of warranty</v>
      </c>
      <c r="AJ599" s="3">
        <f>IFERROR(__xludf.DUMMYFUNCTION("""COMPUTED_VALUE"""),125.0)</f>
        <v>125</v>
      </c>
      <c r="AK599" s="3" t="str">
        <f>IFERROR(__xludf.DUMMYFUNCTION("""COMPUTED_VALUE"""),"MMS08")</f>
        <v>MMS08</v>
      </c>
      <c r="AL599" s="3"/>
    </row>
    <row r="600" ht="15.75" customHeight="1">
      <c r="A600" s="1" t="str">
        <f>IFERROR(__xludf.DUMMYFUNCTION("""COMPUTED_VALUE"""),"21367")</f>
        <v>21367</v>
      </c>
      <c r="B600" s="2">
        <f>IFERROR(__xludf.DUMMYFUNCTION("""COMPUTED_VALUE"""),21367.0)</f>
        <v>21367</v>
      </c>
      <c r="C600" s="3" t="str">
        <f>IFERROR(__xludf.DUMMYFUNCTION("""COMPUTED_VALUE"""),"MBC BCP ปลวกแดง")</f>
        <v>MBC BCP ปลวกแดง</v>
      </c>
      <c r="D600" s="3" t="str">
        <f>IFERROR(__xludf.DUMMYFUNCTION("""COMPUTED_VALUE"""),"BCM BCP PLUAK DAENG")</f>
        <v>BCM BCP PLUAK DAENG</v>
      </c>
      <c r="E600" s="1" t="str">
        <f>IFERROR(__xludf.DUMMYFUNCTION("""COMPUTED_VALUE"""),"บิ๊กซี MINI")</f>
        <v>บิ๊กซี MINI</v>
      </c>
      <c r="F600" s="1" t="str">
        <f>IFERROR(__xludf.DUMMYFUNCTION("""COMPUTED_VALUE"""),"221716")</f>
        <v>221716</v>
      </c>
      <c r="G600" s="1" t="str">
        <f>IFERROR(__xludf.DUMMYFUNCTION("""COMPUTED_VALUE"""),"น.ส.เบญจพร โพธิสาร")</f>
        <v>น.ส.เบญจพร โพธิสาร</v>
      </c>
      <c r="H600" s="1" t="str">
        <f>IFERROR(__xludf.DUMMYFUNCTION("""COMPUTED_VALUE"""),"371384")</f>
        <v>371384</v>
      </c>
      <c r="I600" s="1" t="str">
        <f>IFERROR(__xludf.DUMMYFUNCTION("""COMPUTED_VALUE"""),"น.ส.นิลเนตร สิงห์ทอง")</f>
        <v>น.ส.นิลเนตร สิงห์ทอง</v>
      </c>
      <c r="J600" s="3">
        <f>IFERROR(__xludf.DUMMYFUNCTION("""COMPUTED_VALUE"""),3510104.0)</f>
        <v>3510104</v>
      </c>
      <c r="K600" s="3" t="str">
        <f>IFERROR(__xludf.DUMMYFUNCTION("""COMPUTED_VALUE"""),"นายวิโรจน์ อับดุลสมัด")</f>
        <v>นายวิโรจน์ อับดุลสมัด</v>
      </c>
      <c r="L600" s="1" t="str">
        <f>IFERROR(__xludf.DUMMYFUNCTION("""COMPUTED_VALUE"""),"09 K.Wirode A")</f>
        <v>09 K.Wirode A</v>
      </c>
      <c r="M600" s="1" t="str">
        <f>IFERROR(__xludf.DUMMYFUNCTION("""COMPUTED_VALUE"""),"080-235-4465")</f>
        <v>080-235-4465</v>
      </c>
      <c r="N600" s="3">
        <f>IFERROR(__xludf.DUMMYFUNCTION("""COMPUTED_VALUE"""),21324.0)</f>
        <v>21324</v>
      </c>
      <c r="O600" s="3" t="str">
        <f>IFERROR(__xludf.DUMMYFUNCTION("""COMPUTED_VALUE"""),"MBC BCP สุวินทวงศ์")</f>
        <v>MBC BCP สุวินทวงศ์</v>
      </c>
      <c r="P600" s="4">
        <f>IFERROR(__xludf.DUMMYFUNCTION("""COMPUTED_VALUE"""),42263.0)</f>
        <v>42263</v>
      </c>
      <c r="Q600" s="3" t="str">
        <f>IFERROR(__xludf.DUMMYFUNCTION("""COMPUTED_VALUE"""),"I")</f>
        <v>I</v>
      </c>
      <c r="R600" s="3" t="str">
        <f>IFERROR(__xludf.DUMMYFUNCTION("""COMPUTED_VALUE"""),"Small Format")</f>
        <v>Small Format</v>
      </c>
      <c r="S600" s="3" t="str">
        <f>IFERROR(__xludf.DUMMYFUNCTION("""COMPUTED_VALUE"""),"BCM")</f>
        <v>BCM</v>
      </c>
      <c r="T600" s="3" t="str">
        <f>IFERROR(__xludf.DUMMYFUNCTION("""COMPUTED_VALUE"""),"#N/A")</f>
        <v>#N/A</v>
      </c>
      <c r="U600" s="3" t="str">
        <f>IFERROR(__xludf.DUMMYFUNCTION("""COMPUTED_VALUE"""),"#N/A")</f>
        <v>#N/A</v>
      </c>
      <c r="V600" s="3" t="str">
        <f>IFERROR(__xludf.DUMMYFUNCTION("""COMPUTED_VALUE"""),"N")</f>
        <v>N</v>
      </c>
      <c r="W600" s="3">
        <f>IFERROR(__xludf.DUMMYFUNCTION("""COMPUTED_VALUE"""),361153.0)</f>
        <v>361153</v>
      </c>
      <c r="X600" s="3" t="str">
        <f>IFERROR(__xludf.DUMMYFUNCTION("""COMPUTED_VALUE"""),"385/10 หมู่ 1 ตำบลปลวกแดง อำเภอปลวกแดง จังหวัดระยอง 21140")</f>
        <v>385/10 หมู่ 1 ตำบลปลวกแดง อำเภอปลวกแดง จังหวัดระยอง 21140</v>
      </c>
      <c r="Y600" s="3"/>
      <c r="Z600" s="3" t="str">
        <f>IFERROR(__xludf.DUMMYFUNCTION("""COMPUTED_VALUE"""),"ปลวกแดง")</f>
        <v>ปลวกแดง</v>
      </c>
      <c r="AA600" s="3" t="str">
        <f>IFERROR(__xludf.DUMMYFUNCTION("""COMPUTED_VALUE"""),"ปลวกแดง")</f>
        <v>ปลวกแดง</v>
      </c>
      <c r="AB600" s="3" t="str">
        <f>IFERROR(__xludf.DUMMYFUNCTION("""COMPUTED_VALUE"""),"ระยอง")</f>
        <v>ระยอง</v>
      </c>
      <c r="AC600" s="3">
        <f>IFERROR(__xludf.DUMMYFUNCTION("""COMPUTED_VALUE"""),21140.0)</f>
        <v>21140</v>
      </c>
      <c r="AD600" s="3">
        <f>IFERROR(__xludf.DUMMYFUNCTION("""COMPUTED_VALUE"""),12.9782714)</f>
        <v>12.9782714</v>
      </c>
      <c r="AE600" s="3">
        <f>IFERROR(__xludf.DUMMYFUNCTION("""COMPUTED_VALUE"""),101.2120546)</f>
        <v>101.2120546</v>
      </c>
      <c r="AF600" s="3" t="str">
        <f>IFERROR(__xludf.DUMMYFUNCTION("""COMPUTED_VALUE"""),"MBC BCP ปลวกแดง-21367")</f>
        <v>MBC BCP ปลวกแดง-21367</v>
      </c>
      <c r="AG600" s="3" t="str">
        <f>IFERROR(__xludf.DUMMYFUNCTION("""COMPUTED_VALUE"""),"ตะวันออก")</f>
        <v>ตะวันออก</v>
      </c>
      <c r="AH600" s="3" t="str">
        <f>IFERROR(__xludf.DUMMYFUNCTION("""COMPUTED_VALUE"""),"#N/A")</f>
        <v>#N/A</v>
      </c>
      <c r="AI600" s="3" t="str">
        <f>IFERROR(__xludf.DUMMYFUNCTION("""COMPUTED_VALUE"""),"Out of warranty")</f>
        <v>Out of warranty</v>
      </c>
      <c r="AJ600" s="3">
        <f>IFERROR(__xludf.DUMMYFUNCTION("""COMPUTED_VALUE"""),125.0)</f>
        <v>125</v>
      </c>
      <c r="AK600" s="3" t="str">
        <f>IFERROR(__xludf.DUMMYFUNCTION("""COMPUTED_VALUE"""),"MMS07")</f>
        <v>MMS07</v>
      </c>
      <c r="AL600" s="3"/>
    </row>
    <row r="601" ht="15.75" customHeight="1">
      <c r="A601" s="1" t="str">
        <f>IFERROR(__xludf.DUMMYFUNCTION("""COMPUTED_VALUE"""),"21368")</f>
        <v>21368</v>
      </c>
      <c r="B601" s="2">
        <f>IFERROR(__xludf.DUMMYFUNCTION("""COMPUTED_VALUE"""),21368.0)</f>
        <v>21368</v>
      </c>
      <c r="C601" s="3" t="str">
        <f>IFERROR(__xludf.DUMMYFUNCTION("""COMPUTED_VALUE"""),"MBC BCP คลองท่อม")</f>
        <v>MBC BCP คลองท่อม</v>
      </c>
      <c r="D601" s="3" t="str">
        <f>IFERROR(__xludf.DUMMYFUNCTION("""COMPUTED_VALUE"""),"MBC BCP KHLONG THOM")</f>
        <v>MBC BCP KHLONG THOM</v>
      </c>
      <c r="E601" s="1" t="str">
        <f>IFERROR(__xludf.DUMMYFUNCTION("""COMPUTED_VALUE"""),"บิ๊กซี MINI")</f>
        <v>บิ๊กซี MINI</v>
      </c>
      <c r="F601" s="1" t="str">
        <f>IFERROR(__xludf.DUMMYFUNCTION("""COMPUTED_VALUE"""),"2010918")</f>
        <v>2010918</v>
      </c>
      <c r="G601" s="1" t="str">
        <f>IFERROR(__xludf.DUMMYFUNCTION("""COMPUTED_VALUE"""),"น.ส.สุดารัตน์ รัตนประดิษฐ์")</f>
        <v>น.ส.สุดารัตน์ รัตนประดิษฐ์</v>
      </c>
      <c r="H601" s="1" t="str">
        <f>IFERROR(__xludf.DUMMYFUNCTION("""COMPUTED_VALUE"""),"282500")</f>
        <v>282500</v>
      </c>
      <c r="I601" s="1" t="str">
        <f>IFERROR(__xludf.DUMMYFUNCTION("""COMPUTED_VALUE"""),"นายเจษฎ์พิพัฒ แก้วกุดั่น")</f>
        <v>นายเจษฎ์พิพัฒ แก้วกุดั่น</v>
      </c>
      <c r="J601" s="3">
        <f>IFERROR(__xludf.DUMMYFUNCTION("""COMPUTED_VALUE"""),2.0470331E7)</f>
        <v>20470331</v>
      </c>
      <c r="K601" s="3" t="str">
        <f>IFERROR(__xludf.DUMMYFUNCTION("""COMPUTED_VALUE"""),"นายสมชาย ลักษณะสุวรรณ")</f>
        <v>นายสมชาย ลักษณะสุวรรณ</v>
      </c>
      <c r="L601" s="1" t="str">
        <f>IFERROR(__xludf.DUMMYFUNCTION("""COMPUTED_VALUE"""),"15 K.Somchai L")</f>
        <v>15 K.Somchai L</v>
      </c>
      <c r="M601" s="1" t="str">
        <f>IFERROR(__xludf.DUMMYFUNCTION("""COMPUTED_VALUE"""),"0655107372")</f>
        <v>0655107372</v>
      </c>
      <c r="N601" s="3">
        <f>IFERROR(__xludf.DUMMYFUNCTION("""COMPUTED_VALUE"""),21723.0)</f>
        <v>21723</v>
      </c>
      <c r="O60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601" s="4">
        <f>IFERROR(__xludf.DUMMYFUNCTION("""COMPUTED_VALUE"""),42265.0)</f>
        <v>42265</v>
      </c>
      <c r="Q601" s="3" t="str">
        <f>IFERROR(__xludf.DUMMYFUNCTION("""COMPUTED_VALUE"""),"I")</f>
        <v>I</v>
      </c>
      <c r="R601" s="3" t="str">
        <f>IFERROR(__xludf.DUMMYFUNCTION("""COMPUTED_VALUE"""),"Small Format")</f>
        <v>Small Format</v>
      </c>
      <c r="S601" s="3" t="str">
        <f>IFERROR(__xludf.DUMMYFUNCTION("""COMPUTED_VALUE"""),"BCM")</f>
        <v>BCM</v>
      </c>
      <c r="T601" s="3" t="str">
        <f>IFERROR(__xludf.DUMMYFUNCTION("""COMPUTED_VALUE"""),"#N/A")</f>
        <v>#N/A</v>
      </c>
      <c r="U601" s="3" t="str">
        <f>IFERROR(__xludf.DUMMYFUNCTION("""COMPUTED_VALUE"""),"#N/A")</f>
        <v>#N/A</v>
      </c>
      <c r="V601" s="3" t="str">
        <f>IFERROR(__xludf.DUMMYFUNCTION("""COMPUTED_VALUE"""),"N")</f>
        <v>N</v>
      </c>
      <c r="W601" s="3">
        <f>IFERROR(__xludf.DUMMYFUNCTION("""COMPUTED_VALUE"""),361142.0)</f>
        <v>361142</v>
      </c>
      <c r="X601" s="3" t="str">
        <f>IFERROR(__xludf.DUMMYFUNCTION("""COMPUTED_VALUE"""),"154 หมู่ 1 ตำบลห้วยน้ำขาว อำเภอคลองท่อม จังหวัดกระบี่ 81120")</f>
        <v>154 หมู่ 1 ตำบลห้วยน้ำขาว อำเภอคลองท่อม จังหวัดกระบี่ 81120</v>
      </c>
      <c r="Y601" s="3"/>
      <c r="Z601" s="3" t="str">
        <f>IFERROR(__xludf.DUMMYFUNCTION("""COMPUTED_VALUE"""),"ห้วยน้ำขาว")</f>
        <v>ห้วยน้ำขาว</v>
      </c>
      <c r="AA601" s="3" t="str">
        <f>IFERROR(__xludf.DUMMYFUNCTION("""COMPUTED_VALUE"""),"คลองท่อม")</f>
        <v>คลองท่อม</v>
      </c>
      <c r="AB601" s="3" t="str">
        <f>IFERROR(__xludf.DUMMYFUNCTION("""COMPUTED_VALUE"""),"กระบี่")</f>
        <v>กระบี่</v>
      </c>
      <c r="AC601" s="3">
        <f>IFERROR(__xludf.DUMMYFUNCTION("""COMPUTED_VALUE"""),81120.0)</f>
        <v>81120</v>
      </c>
      <c r="AD601" s="3">
        <f>IFERROR(__xludf.DUMMYFUNCTION("""COMPUTED_VALUE"""),7.870218)</f>
        <v>7.870218</v>
      </c>
      <c r="AE601" s="3">
        <f>IFERROR(__xludf.DUMMYFUNCTION("""COMPUTED_VALUE"""),99.1633)</f>
        <v>99.1633</v>
      </c>
      <c r="AF601" s="3" t="str">
        <f>IFERROR(__xludf.DUMMYFUNCTION("""COMPUTED_VALUE"""),"MBC BCP คลองท่อม-21368")</f>
        <v>MBC BCP คลองท่อม-21368</v>
      </c>
      <c r="AG601" s="3" t="str">
        <f>IFERROR(__xludf.DUMMYFUNCTION("""COMPUTED_VALUE"""),"ใต้")</f>
        <v>ใต้</v>
      </c>
      <c r="AH601" s="3" t="str">
        <f>IFERROR(__xludf.DUMMYFUNCTION("""COMPUTED_VALUE"""),"#N/A")</f>
        <v>#N/A</v>
      </c>
      <c r="AI601" s="3" t="str">
        <f>IFERROR(__xludf.DUMMYFUNCTION("""COMPUTED_VALUE"""),"Out of warranty")</f>
        <v>Out of warranty</v>
      </c>
      <c r="AJ601" s="3">
        <f>IFERROR(__xludf.DUMMYFUNCTION("""COMPUTED_VALUE"""),125.0)</f>
        <v>125</v>
      </c>
      <c r="AK601" s="3"/>
      <c r="AL601" s="3"/>
    </row>
    <row r="602" ht="15.75" customHeight="1">
      <c r="A602" s="1" t="str">
        <f>IFERROR(__xludf.DUMMYFUNCTION("""COMPUTED_VALUE"""),"21369")</f>
        <v>21369</v>
      </c>
      <c r="B602" s="2">
        <f>IFERROR(__xludf.DUMMYFUNCTION("""COMPUTED_VALUE"""),21369.0)</f>
        <v>21369</v>
      </c>
      <c r="C602" s="3" t="str">
        <f>IFERROR(__xludf.DUMMYFUNCTION("""COMPUTED_VALUE"""),"MBC BCP คีรีมาศ")</f>
        <v>MBC BCP คีรีมาศ</v>
      </c>
      <c r="D602" s="3" t="str">
        <f>IFERROR(__xludf.DUMMYFUNCTION("""COMPUTED_VALUE"""),"BCM BCP KHIRI MAT")</f>
        <v>BCM BCP KHIRI MAT</v>
      </c>
      <c r="E602" s="1" t="str">
        <f>IFERROR(__xludf.DUMMYFUNCTION("""COMPUTED_VALUE"""),"บิ๊กซี MINI")</f>
        <v>บิ๊กซี MINI</v>
      </c>
      <c r="F602" s="1" t="str">
        <f>IFERROR(__xludf.DUMMYFUNCTION("""COMPUTED_VALUE"""),"296229")</f>
        <v>296229</v>
      </c>
      <c r="G602" s="1" t="str">
        <f>IFERROR(__xludf.DUMMYFUNCTION("""COMPUTED_VALUE"""),"นายทนงศักดิ์ บุญมา")</f>
        <v>นายทนงศักดิ์ บุญมา</v>
      </c>
      <c r="H602" s="1" t="str">
        <f>IFERROR(__xludf.DUMMYFUNCTION("""COMPUTED_VALUE"""),"373680")</f>
        <v>373680</v>
      </c>
      <c r="I602" s="1" t="str">
        <f>IFERROR(__xludf.DUMMYFUNCTION("""COMPUTED_VALUE"""),"นายวสันต์ พรรณราย")</f>
        <v>นายวสันต์ พรรณราย</v>
      </c>
      <c r="J602" s="3">
        <f>IFERROR(__xludf.DUMMYFUNCTION("""COMPUTED_VALUE"""),46214.0)</f>
        <v>46214</v>
      </c>
      <c r="K602" s="3" t="str">
        <f>IFERROR(__xludf.DUMMYFUNCTION("""COMPUTED_VALUE"""),"นายศักดิ์ชัย เด็ดดอกฟ้า")</f>
        <v>นายศักดิ์ชัย เด็ดดอกฟ้า</v>
      </c>
      <c r="L602" s="1" t="str">
        <f>IFERROR(__xludf.DUMMYFUNCTION("""COMPUTED_VALUE"""),"02 K.Sakchai D")</f>
        <v>02 K.Sakchai D</v>
      </c>
      <c r="M602" s="1" t="str">
        <f>IFERROR(__xludf.DUMMYFUNCTION("""COMPUTED_VALUE"""),"065-510-7376")</f>
        <v>065-510-7376</v>
      </c>
      <c r="N602" s="3">
        <f>IFERROR(__xludf.DUMMYFUNCTION("""COMPUTED_VALUE"""),21714.0)</f>
        <v>21714</v>
      </c>
      <c r="O602" s="3" t="str">
        <f>IFERROR(__xludf.DUMMYFUNCTION("""COMPUTED_VALUE"""),"MBC เอสโซ่ วัดโบสถ์")</f>
        <v>MBC เอสโซ่ วัดโบสถ์</v>
      </c>
      <c r="P602" s="4">
        <f>IFERROR(__xludf.DUMMYFUNCTION("""COMPUTED_VALUE"""),42270.0)</f>
        <v>42270</v>
      </c>
      <c r="Q602" s="3" t="str">
        <f>IFERROR(__xludf.DUMMYFUNCTION("""COMPUTED_VALUE"""),"A")</f>
        <v>A</v>
      </c>
      <c r="R602" s="3" t="str">
        <f>IFERROR(__xludf.DUMMYFUNCTION("""COMPUTED_VALUE"""),"Small Format")</f>
        <v>Small Format</v>
      </c>
      <c r="S602" s="3" t="str">
        <f>IFERROR(__xludf.DUMMYFUNCTION("""COMPUTED_VALUE"""),"BCM")</f>
        <v>BCM</v>
      </c>
      <c r="T602" s="3" t="str">
        <f>IFERROR(__xludf.DUMMYFUNCTION("""COMPUTED_VALUE"""),"#N/A")</f>
        <v>#N/A</v>
      </c>
      <c r="U602" s="3" t="str">
        <f>IFERROR(__xludf.DUMMYFUNCTION("""COMPUTED_VALUE"""),"#N/A")</f>
        <v>#N/A</v>
      </c>
      <c r="V602" s="3" t="str">
        <f>IFERROR(__xludf.DUMMYFUNCTION("""COMPUTED_VALUE"""),"N")</f>
        <v>N</v>
      </c>
      <c r="W602" s="3">
        <f>IFERROR(__xludf.DUMMYFUNCTION("""COMPUTED_VALUE"""),361151.0)</f>
        <v>361151</v>
      </c>
      <c r="X602" s="3" t="str">
        <f>IFERROR(__xludf.DUMMYFUNCTION("""COMPUTED_VALUE"""),"118 หมู่ 7 ตำบลโตนด อำเภอคีรีมาศ จังหวัดสุโขทัย 64160")</f>
        <v>118 หมู่ 7 ตำบลโตนด อำเภอคีรีมาศ จังหวัดสุโขทัย 64160</v>
      </c>
      <c r="Y602" s="3"/>
      <c r="Z602" s="3" t="str">
        <f>IFERROR(__xludf.DUMMYFUNCTION("""COMPUTED_VALUE"""),"โตนด")</f>
        <v>โตนด</v>
      </c>
      <c r="AA602" s="3" t="str">
        <f>IFERROR(__xludf.DUMMYFUNCTION("""COMPUTED_VALUE"""),"คีรีมาศ")</f>
        <v>คีรีมาศ</v>
      </c>
      <c r="AB602" s="3" t="str">
        <f>IFERROR(__xludf.DUMMYFUNCTION("""COMPUTED_VALUE"""),"สุโขทัย")</f>
        <v>สุโขทัย</v>
      </c>
      <c r="AC602" s="3">
        <f>IFERROR(__xludf.DUMMYFUNCTION("""COMPUTED_VALUE"""),64160.0)</f>
        <v>64160</v>
      </c>
      <c r="AD602" s="3">
        <f>IFERROR(__xludf.DUMMYFUNCTION("""COMPUTED_VALUE"""),16.8214731)</f>
        <v>16.8214731</v>
      </c>
      <c r="AE602" s="3">
        <f>IFERROR(__xludf.DUMMYFUNCTION("""COMPUTED_VALUE"""),99.7918517)</f>
        <v>99.7918517</v>
      </c>
      <c r="AF602" s="3" t="str">
        <f>IFERROR(__xludf.DUMMYFUNCTION("""COMPUTED_VALUE"""),"MBC BCP คีรีมาศ-21369")</f>
        <v>MBC BCP คีรีมาศ-21369</v>
      </c>
      <c r="AG602" s="3" t="str">
        <f>IFERROR(__xludf.DUMMYFUNCTION("""COMPUTED_VALUE"""),"กลาง")</f>
        <v>กลาง</v>
      </c>
      <c r="AH602" s="3" t="str">
        <f>IFERROR(__xludf.DUMMYFUNCTION("""COMPUTED_VALUE"""),"#N/A")</f>
        <v>#N/A</v>
      </c>
      <c r="AI602" s="3" t="str">
        <f>IFERROR(__xludf.DUMMYFUNCTION("""COMPUTED_VALUE"""),"Out of warranty")</f>
        <v>Out of warranty</v>
      </c>
      <c r="AJ602" s="3">
        <f>IFERROR(__xludf.DUMMYFUNCTION("""COMPUTED_VALUE"""),124.0)</f>
        <v>124</v>
      </c>
      <c r="AK602" s="3" t="str">
        <f>IFERROR(__xludf.DUMMYFUNCTION("""COMPUTED_VALUE"""),"MMS09")</f>
        <v>MMS09</v>
      </c>
      <c r="AL602" s="3"/>
    </row>
    <row r="603" ht="15.75" customHeight="1">
      <c r="A603" s="1" t="str">
        <f>IFERROR(__xludf.DUMMYFUNCTION("""COMPUTED_VALUE"""),"21370")</f>
        <v>21370</v>
      </c>
      <c r="B603" s="2">
        <f>IFERROR(__xludf.DUMMYFUNCTION("""COMPUTED_VALUE"""),21370.0)</f>
        <v>21370</v>
      </c>
      <c r="C603" s="3" t="str">
        <f>IFERROR(__xludf.DUMMYFUNCTION("""COMPUTED_VALUE"""),"MBC BCP เมืองบางยม-สวรรคโลก")</f>
        <v>MBC BCP เมืองบางยม-สวรรคโลก</v>
      </c>
      <c r="D603" s="3" t="str">
        <f>IFERROR(__xludf.DUMMYFUNCTION("""COMPUTED_VALUE"""),"BCM BCP M.BANG YOM-SAWANKHALOK")</f>
        <v>BCM BCP M.BANG YOM-SAWANKHALOK</v>
      </c>
      <c r="E603" s="1" t="str">
        <f>IFERROR(__xludf.DUMMYFUNCTION("""COMPUTED_VALUE"""),"บิ๊กซี MINI")</f>
        <v>บิ๊กซี MINI</v>
      </c>
      <c r="F603" s="1" t="str">
        <f>IFERROR(__xludf.DUMMYFUNCTION("""COMPUTED_VALUE"""),"296229")</f>
        <v>296229</v>
      </c>
      <c r="G603" s="1" t="str">
        <f>IFERROR(__xludf.DUMMYFUNCTION("""COMPUTED_VALUE"""),"นายทนงศักดิ์ บุญมา")</f>
        <v>นายทนงศักดิ์ บุญมา</v>
      </c>
      <c r="H603" s="1" t="str">
        <f>IFERROR(__xludf.DUMMYFUNCTION("""COMPUTED_VALUE"""),"373680")</f>
        <v>373680</v>
      </c>
      <c r="I603" s="1" t="str">
        <f>IFERROR(__xludf.DUMMYFUNCTION("""COMPUTED_VALUE"""),"นายวสันต์ พรรณราย")</f>
        <v>นายวสันต์ พรรณราย</v>
      </c>
      <c r="J603" s="3">
        <f>IFERROR(__xludf.DUMMYFUNCTION("""COMPUTED_VALUE"""),46214.0)</f>
        <v>46214</v>
      </c>
      <c r="K603" s="3" t="str">
        <f>IFERROR(__xludf.DUMMYFUNCTION("""COMPUTED_VALUE"""),"นายศักดิ์ชัย เด็ดดอกฟ้า")</f>
        <v>นายศักดิ์ชัย เด็ดดอกฟ้า</v>
      </c>
      <c r="L603" s="1" t="str">
        <f>IFERROR(__xludf.DUMMYFUNCTION("""COMPUTED_VALUE"""),"02 K.Sakchai D")</f>
        <v>02 K.Sakchai D</v>
      </c>
      <c r="M603" s="1" t="str">
        <f>IFERROR(__xludf.DUMMYFUNCTION("""COMPUTED_VALUE"""),"065-510-7376")</f>
        <v>065-510-7376</v>
      </c>
      <c r="N603" s="3">
        <f>IFERROR(__xludf.DUMMYFUNCTION("""COMPUTED_VALUE"""),21714.0)</f>
        <v>21714</v>
      </c>
      <c r="O603" s="3" t="str">
        <f>IFERROR(__xludf.DUMMYFUNCTION("""COMPUTED_VALUE"""),"MBC เอสโซ่ วัดโบสถ์")</f>
        <v>MBC เอสโซ่ วัดโบสถ์</v>
      </c>
      <c r="P603" s="4">
        <f>IFERROR(__xludf.DUMMYFUNCTION("""COMPUTED_VALUE"""),42270.0)</f>
        <v>42270</v>
      </c>
      <c r="Q603" s="3" t="str">
        <f>IFERROR(__xludf.DUMMYFUNCTION("""COMPUTED_VALUE"""),"I")</f>
        <v>I</v>
      </c>
      <c r="R603" s="3" t="str">
        <f>IFERROR(__xludf.DUMMYFUNCTION("""COMPUTED_VALUE"""),"Small Format")</f>
        <v>Small Format</v>
      </c>
      <c r="S603" s="3" t="str">
        <f>IFERROR(__xludf.DUMMYFUNCTION("""COMPUTED_VALUE"""),"BCM")</f>
        <v>BCM</v>
      </c>
      <c r="T603" s="3" t="str">
        <f>IFERROR(__xludf.DUMMYFUNCTION("""COMPUTED_VALUE"""),"#N/A")</f>
        <v>#N/A</v>
      </c>
      <c r="U603" s="3" t="str">
        <f>IFERROR(__xludf.DUMMYFUNCTION("""COMPUTED_VALUE"""),"#N/A")</f>
        <v>#N/A</v>
      </c>
      <c r="V603" s="3" t="str">
        <f>IFERROR(__xludf.DUMMYFUNCTION("""COMPUTED_VALUE"""),"N")</f>
        <v>N</v>
      </c>
      <c r="W603" s="3">
        <f>IFERROR(__xludf.DUMMYFUNCTION("""COMPUTED_VALUE"""),361149.0)</f>
        <v>361149</v>
      </c>
      <c r="X603" s="3" t="str">
        <f>IFERROR(__xludf.DUMMYFUNCTION("""COMPUTED_VALUE"""),"109/1 หมู่ 1 ตำบลเมืองบางยม อำเภอสวรรคโลก จังหวัดสุโขทัย 64110")</f>
        <v>109/1 หมู่ 1 ตำบลเมืองบางยม อำเภอสวรรคโลก จังหวัดสุโขทัย 64110</v>
      </c>
      <c r="Y603" s="3"/>
      <c r="Z603" s="3" t="str">
        <f>IFERROR(__xludf.DUMMYFUNCTION("""COMPUTED_VALUE"""),"เมืองบางยม")</f>
        <v>เมืองบางยม</v>
      </c>
      <c r="AA603" s="3" t="str">
        <f>IFERROR(__xludf.DUMMYFUNCTION("""COMPUTED_VALUE"""),"สวรรคโลก")</f>
        <v>สวรรคโลก</v>
      </c>
      <c r="AB603" s="3" t="str">
        <f>IFERROR(__xludf.DUMMYFUNCTION("""COMPUTED_VALUE"""),"สุโขทัย")</f>
        <v>สุโขทัย</v>
      </c>
      <c r="AC603" s="3">
        <f>IFERROR(__xludf.DUMMYFUNCTION("""COMPUTED_VALUE"""),64110.0)</f>
        <v>64110</v>
      </c>
      <c r="AD603" s="3">
        <f>IFERROR(__xludf.DUMMYFUNCTION("""COMPUTED_VALUE"""),17.2047012)</f>
        <v>17.2047012</v>
      </c>
      <c r="AE603" s="3">
        <f>IFERROR(__xludf.DUMMYFUNCTION("""COMPUTED_VALUE"""),99.868073)</f>
        <v>99.868073</v>
      </c>
      <c r="AF603" s="3" t="str">
        <f>IFERROR(__xludf.DUMMYFUNCTION("""COMPUTED_VALUE"""),"MBC BCP เมืองบางยม-สวรรคโลก-21370")</f>
        <v>MBC BCP เมืองบางยม-สวรรคโลก-21370</v>
      </c>
      <c r="AG603" s="3" t="str">
        <f>IFERROR(__xludf.DUMMYFUNCTION("""COMPUTED_VALUE"""),"กลาง")</f>
        <v>กลาง</v>
      </c>
      <c r="AH603" s="3" t="str">
        <f>IFERROR(__xludf.DUMMYFUNCTION("""COMPUTED_VALUE"""),"#N/A")</f>
        <v>#N/A</v>
      </c>
      <c r="AI603" s="3" t="str">
        <f>IFERROR(__xludf.DUMMYFUNCTION("""COMPUTED_VALUE"""),"Out of warranty")</f>
        <v>Out of warranty</v>
      </c>
      <c r="AJ603" s="3">
        <f>IFERROR(__xludf.DUMMYFUNCTION("""COMPUTED_VALUE"""),124.0)</f>
        <v>124</v>
      </c>
      <c r="AK603" s="3" t="str">
        <f>IFERROR(__xludf.DUMMYFUNCTION("""COMPUTED_VALUE"""),"MMS09")</f>
        <v>MMS09</v>
      </c>
      <c r="AL603" s="3"/>
    </row>
    <row r="604" ht="15.75" customHeight="1">
      <c r="A604" s="1" t="str">
        <f>IFERROR(__xludf.DUMMYFUNCTION("""COMPUTED_VALUE"""),"21371")</f>
        <v>21371</v>
      </c>
      <c r="B604" s="2">
        <f>IFERROR(__xludf.DUMMYFUNCTION("""COMPUTED_VALUE"""),21371.0)</f>
        <v>21371</v>
      </c>
      <c r="C604" s="3" t="str">
        <f>IFERROR(__xludf.DUMMYFUNCTION("""COMPUTED_VALUE"""),"MBC BCP ทุ่งเสลี่ยม")</f>
        <v>MBC BCP ทุ่งเสลี่ยม</v>
      </c>
      <c r="D604" s="3" t="str">
        <f>IFERROR(__xludf.DUMMYFUNCTION("""COMPUTED_VALUE"""),"MBC BCP THUNG SALIAM")</f>
        <v>MBC BCP THUNG SALIAM</v>
      </c>
      <c r="E604" s="1" t="str">
        <f>IFERROR(__xludf.DUMMYFUNCTION("""COMPUTED_VALUE"""),"บิ๊กซี MINI")</f>
        <v>บิ๊กซี MINI</v>
      </c>
      <c r="F604" s="1" t="str">
        <f>IFERROR(__xludf.DUMMYFUNCTION("""COMPUTED_VALUE"""),"296229")</f>
        <v>296229</v>
      </c>
      <c r="G604" s="1" t="str">
        <f>IFERROR(__xludf.DUMMYFUNCTION("""COMPUTED_VALUE"""),"นายทนงศักดิ์ บุญมา")</f>
        <v>นายทนงศักดิ์ บุญมา</v>
      </c>
      <c r="H604" s="1" t="str">
        <f>IFERROR(__xludf.DUMMYFUNCTION("""COMPUTED_VALUE"""),"318186")</f>
        <v>318186</v>
      </c>
      <c r="I604" s="1" t="str">
        <f>IFERROR(__xludf.DUMMYFUNCTION("""COMPUTED_VALUE"""),"น.ส.พนมวัลย์ เรืองรัตน์")</f>
        <v>น.ส.พนมวัลย์ เรืองรัตน์</v>
      </c>
      <c r="J604" s="3">
        <f>IFERROR(__xludf.DUMMYFUNCTION("""COMPUTED_VALUE"""),46214.0)</f>
        <v>46214</v>
      </c>
      <c r="K604" s="3" t="str">
        <f>IFERROR(__xludf.DUMMYFUNCTION("""COMPUTED_VALUE"""),"นายศักดิ์ชัย เด็ดดอกฟ้า")</f>
        <v>นายศักดิ์ชัย เด็ดดอกฟ้า</v>
      </c>
      <c r="L604" s="1" t="str">
        <f>IFERROR(__xludf.DUMMYFUNCTION("""COMPUTED_VALUE"""),"02 K.Sakchai D")</f>
        <v>02 K.Sakchai D</v>
      </c>
      <c r="M604" s="1" t="str">
        <f>IFERROR(__xludf.DUMMYFUNCTION("""COMPUTED_VALUE"""),"065-510-7376")</f>
        <v>065-510-7376</v>
      </c>
      <c r="N604" s="3">
        <f>IFERROR(__xludf.DUMMYFUNCTION("""COMPUTED_VALUE"""),21441.0)</f>
        <v>21441</v>
      </c>
      <c r="O604" s="3" t="str">
        <f>IFERROR(__xludf.DUMMYFUNCTION("""COMPUTED_VALUE"""),"MBC บ้านกร่าง พิษณุโลก")</f>
        <v>MBC บ้านกร่าง พิษณุโลก</v>
      </c>
      <c r="P604" s="4">
        <f>IFERROR(__xludf.DUMMYFUNCTION("""COMPUTED_VALUE"""),42271.0)</f>
        <v>42271</v>
      </c>
      <c r="Q604" s="3" t="str">
        <f>IFERROR(__xludf.DUMMYFUNCTION("""COMPUTED_VALUE"""),"I")</f>
        <v>I</v>
      </c>
      <c r="R604" s="3" t="str">
        <f>IFERROR(__xludf.DUMMYFUNCTION("""COMPUTED_VALUE"""),"Small Format")</f>
        <v>Small Format</v>
      </c>
      <c r="S604" s="3" t="str">
        <f>IFERROR(__xludf.DUMMYFUNCTION("""COMPUTED_VALUE"""),"BCM")</f>
        <v>BCM</v>
      </c>
      <c r="T604" s="3" t="str">
        <f>IFERROR(__xludf.DUMMYFUNCTION("""COMPUTED_VALUE"""),"#N/A")</f>
        <v>#N/A</v>
      </c>
      <c r="U604" s="3" t="str">
        <f>IFERROR(__xludf.DUMMYFUNCTION("""COMPUTED_VALUE"""),"#N/A")</f>
        <v>#N/A</v>
      </c>
      <c r="V604" s="3" t="str">
        <f>IFERROR(__xludf.DUMMYFUNCTION("""COMPUTED_VALUE"""),"N")</f>
        <v>N</v>
      </c>
      <c r="W604" s="3">
        <f>IFERROR(__xludf.DUMMYFUNCTION("""COMPUTED_VALUE"""),0.0)</f>
        <v>0</v>
      </c>
      <c r="X604" s="3" t="str">
        <f>IFERROR(__xludf.DUMMYFUNCTION("""COMPUTED_VALUE"""),"399 หมู่ 1 ตำบลทุ่งเสลี่ยม อำเภอทุ่งเสลี่ยม จังหวัดสุโขทัย 64150")</f>
        <v>399 หมู่ 1 ตำบลทุ่งเสลี่ยม อำเภอทุ่งเสลี่ยม จังหวัดสุโขทัย 64150</v>
      </c>
      <c r="Y604" s="3"/>
      <c r="Z604" s="3" t="str">
        <f>IFERROR(__xludf.DUMMYFUNCTION("""COMPUTED_VALUE"""),"ทุ่งเสลี่ยม")</f>
        <v>ทุ่งเสลี่ยม</v>
      </c>
      <c r="AA604" s="3" t="str">
        <f>IFERROR(__xludf.DUMMYFUNCTION("""COMPUTED_VALUE"""),"ทุ่งเสลี่ยม")</f>
        <v>ทุ่งเสลี่ยม</v>
      </c>
      <c r="AB604" s="3" t="str">
        <f>IFERROR(__xludf.DUMMYFUNCTION("""COMPUTED_VALUE"""),"สุโขทัย")</f>
        <v>สุโขทัย</v>
      </c>
      <c r="AC604" s="3">
        <f>IFERROR(__xludf.DUMMYFUNCTION("""COMPUTED_VALUE"""),64150.0)</f>
        <v>64150</v>
      </c>
      <c r="AD604" s="3" t="str">
        <f>IFERROR(__xludf.DUMMYFUNCTION("""COMPUTED_VALUE"""),"#N/A")</f>
        <v>#N/A</v>
      </c>
      <c r="AE604" s="3" t="str">
        <f>IFERROR(__xludf.DUMMYFUNCTION("""COMPUTED_VALUE"""),"#N/A")</f>
        <v>#N/A</v>
      </c>
      <c r="AF604" s="3" t="str">
        <f>IFERROR(__xludf.DUMMYFUNCTION("""COMPUTED_VALUE"""),"MBC BCP ทุ่งเสลี่ยม-21371")</f>
        <v>MBC BCP ทุ่งเสลี่ยม-21371</v>
      </c>
      <c r="AG604" s="3" t="str">
        <f>IFERROR(__xludf.DUMMYFUNCTION("""COMPUTED_VALUE"""),"กลาง")</f>
        <v>กลาง</v>
      </c>
      <c r="AH604" s="3" t="str">
        <f>IFERROR(__xludf.DUMMYFUNCTION("""COMPUTED_VALUE"""),"#N/A")</f>
        <v>#N/A</v>
      </c>
      <c r="AI604" s="3" t="str">
        <f>IFERROR(__xludf.DUMMYFUNCTION("""COMPUTED_VALUE"""),"Out of warranty")</f>
        <v>Out of warranty</v>
      </c>
      <c r="AJ604" s="3">
        <f>IFERROR(__xludf.DUMMYFUNCTION("""COMPUTED_VALUE"""),124.0)</f>
        <v>124</v>
      </c>
      <c r="AK604" s="3"/>
      <c r="AL604" s="3"/>
    </row>
    <row r="605" ht="15.75" customHeight="1">
      <c r="A605" s="1" t="str">
        <f>IFERROR(__xludf.DUMMYFUNCTION("""COMPUTED_VALUE"""),"21372")</f>
        <v>21372</v>
      </c>
      <c r="B605" s="2">
        <f>IFERROR(__xludf.DUMMYFUNCTION("""COMPUTED_VALUE"""),21372.0)</f>
        <v>21372</v>
      </c>
      <c r="C605" s="3" t="str">
        <f>IFERROR(__xludf.DUMMYFUNCTION("""COMPUTED_VALUE"""),"MBC BCP วังน้ำเขียว")</f>
        <v>MBC BCP วังน้ำเขียว</v>
      </c>
      <c r="D605" s="3" t="str">
        <f>IFERROR(__xludf.DUMMYFUNCTION("""COMPUTED_VALUE"""),"BCM BCP WANGNAMKHIAO")</f>
        <v>BCM BCP WANGNAMKHIAO</v>
      </c>
      <c r="E605" s="1" t="str">
        <f>IFERROR(__xludf.DUMMYFUNCTION("""COMPUTED_VALUE"""),"บิ๊กซี MINI")</f>
        <v>บิ๊กซี MINI</v>
      </c>
      <c r="F605" s="1" t="str">
        <f>IFERROR(__xludf.DUMMYFUNCTION("""COMPUTED_VALUE"""),"291105")</f>
        <v>291105</v>
      </c>
      <c r="G605" s="1" t="str">
        <f>IFERROR(__xludf.DUMMYFUNCTION("""COMPUTED_VALUE"""),"นายสราวุฒิ พณิชยกุล")</f>
        <v>นายสราวุฒิ พณิชยกุล</v>
      </c>
      <c r="H605" s="1" t="str">
        <f>IFERROR(__xludf.DUMMYFUNCTION("""COMPUTED_VALUE"""),"392433")</f>
        <v>392433</v>
      </c>
      <c r="I605" s="1" t="str">
        <f>IFERROR(__xludf.DUMMYFUNCTION("""COMPUTED_VALUE"""),"นายพรธิวา ใจอ่อน")</f>
        <v>นายพรธิวา ใจอ่อน</v>
      </c>
      <c r="J605" s="3">
        <f>IFERROR(__xludf.DUMMYFUNCTION("""COMPUTED_VALUE"""),295886.0)</f>
        <v>295886</v>
      </c>
      <c r="K605" s="3" t="str">
        <f>IFERROR(__xludf.DUMMYFUNCTION("""COMPUTED_VALUE"""),"นายจิระพงษ์ โพธิ์นิล")</f>
        <v>นายจิระพงษ์ โพธิ์นิล</v>
      </c>
      <c r="L605" s="1" t="str">
        <f>IFERROR(__xludf.DUMMYFUNCTION("""COMPUTED_VALUE"""),"นายจิระพงษ์ โพธิ์นิล")</f>
        <v>นายจิระพงษ์ โพธิ์นิล</v>
      </c>
      <c r="M605" s="1" t="str">
        <f>IFERROR(__xludf.DUMMYFUNCTION("""COMPUTED_VALUE"""),"0933290754")</f>
        <v>0933290754</v>
      </c>
      <c r="N605" s="3">
        <f>IFERROR(__xludf.DUMMYFUNCTION("""COMPUTED_VALUE"""),21622.0)</f>
        <v>21622</v>
      </c>
      <c r="O605" s="3" t="str">
        <f>IFERROR(__xludf.DUMMYFUNCTION("""COMPUTED_VALUE"""),"MBC ตลาดบ้านดอน")</f>
        <v>MBC ตลาดบ้านดอน</v>
      </c>
      <c r="P605" s="4">
        <f>IFERROR(__xludf.DUMMYFUNCTION("""COMPUTED_VALUE"""),42272.0)</f>
        <v>42272</v>
      </c>
      <c r="Q605" s="3" t="str">
        <f>IFERROR(__xludf.DUMMYFUNCTION("""COMPUTED_VALUE"""),"I")</f>
        <v>I</v>
      </c>
      <c r="R605" s="3" t="str">
        <f>IFERROR(__xludf.DUMMYFUNCTION("""COMPUTED_VALUE"""),"Small Format")</f>
        <v>Small Format</v>
      </c>
      <c r="S605" s="3" t="str">
        <f>IFERROR(__xludf.DUMMYFUNCTION("""COMPUTED_VALUE"""),"BCM")</f>
        <v>BCM</v>
      </c>
      <c r="T605" s="3" t="str">
        <f>IFERROR(__xludf.DUMMYFUNCTION("""COMPUTED_VALUE"""),"#N/A")</f>
        <v>#N/A</v>
      </c>
      <c r="U605" s="3" t="str">
        <f>IFERROR(__xludf.DUMMYFUNCTION("""COMPUTED_VALUE"""),"#N/A")</f>
        <v>#N/A</v>
      </c>
      <c r="V605" s="3" t="str">
        <f>IFERROR(__xludf.DUMMYFUNCTION("""COMPUTED_VALUE"""),"N")</f>
        <v>N</v>
      </c>
      <c r="W605" s="3">
        <f>IFERROR(__xludf.DUMMYFUNCTION("""COMPUTED_VALUE"""),361197.0)</f>
        <v>361197</v>
      </c>
      <c r="X605" s="3" t="str">
        <f>IFERROR(__xludf.DUMMYFUNCTION("""COMPUTED_VALUE"""),"178/1 หมู่ 7 ตำบลอุดมทรัพย์ อำเภอวังน้ำเขียว จังหวัดนครราชสีมา 30370")</f>
        <v>178/1 หมู่ 7 ตำบลอุดมทรัพย์ อำเภอวังน้ำเขียว จังหวัดนครราชสีมา 30370</v>
      </c>
      <c r="Y605" s="3"/>
      <c r="Z605" s="3" t="str">
        <f>IFERROR(__xludf.DUMMYFUNCTION("""COMPUTED_VALUE"""),"อุดมทรัพย์")</f>
        <v>อุดมทรัพย์</v>
      </c>
      <c r="AA605" s="3" t="str">
        <f>IFERROR(__xludf.DUMMYFUNCTION("""COMPUTED_VALUE"""),"วังน้ำเขียว")</f>
        <v>วังน้ำเขียว</v>
      </c>
      <c r="AB605" s="3" t="str">
        <f>IFERROR(__xludf.DUMMYFUNCTION("""COMPUTED_VALUE"""),"นครราชสีมา")</f>
        <v>นครราชสีมา</v>
      </c>
      <c r="AC605" s="3">
        <f>IFERROR(__xludf.DUMMYFUNCTION("""COMPUTED_VALUE"""),30370.0)</f>
        <v>30370</v>
      </c>
      <c r="AD605" s="3">
        <f>IFERROR(__xludf.DUMMYFUNCTION("""COMPUTED_VALUE"""),14.561117)</f>
        <v>14.561117</v>
      </c>
      <c r="AE605" s="3">
        <f>IFERROR(__xludf.DUMMYFUNCTION("""COMPUTED_VALUE"""),101.976089)</f>
        <v>101.976089</v>
      </c>
      <c r="AF605" s="3" t="str">
        <f>IFERROR(__xludf.DUMMYFUNCTION("""COMPUTED_VALUE"""),"MBC BCP วังน้ำเขียว-21372")</f>
        <v>MBC BCP วังน้ำเขียว-21372</v>
      </c>
      <c r="AG605" s="3" t="str">
        <f>IFERROR(__xludf.DUMMYFUNCTION("""COMPUTED_VALUE"""),"ตะวันออกเฉียงเหนือ")</f>
        <v>ตะวันออกเฉียงเหนือ</v>
      </c>
      <c r="AH605" s="3" t="str">
        <f>IFERROR(__xludf.DUMMYFUNCTION("""COMPUTED_VALUE"""),"#N/A")</f>
        <v>#N/A</v>
      </c>
      <c r="AI605" s="3" t="str">
        <f>IFERROR(__xludf.DUMMYFUNCTION("""COMPUTED_VALUE"""),"Out of warranty")</f>
        <v>Out of warranty</v>
      </c>
      <c r="AJ605" s="3">
        <f>IFERROR(__xludf.DUMMYFUNCTION("""COMPUTED_VALUE"""),124.0)</f>
        <v>124</v>
      </c>
      <c r="AK605" s="3" t="str">
        <f>IFERROR(__xludf.DUMMYFUNCTION("""COMPUTED_VALUE"""),"MMS11")</f>
        <v>MMS11</v>
      </c>
      <c r="AL605" s="3"/>
    </row>
    <row r="606" ht="15.75" customHeight="1">
      <c r="A606" s="1" t="str">
        <f>IFERROR(__xludf.DUMMYFUNCTION("""COMPUTED_VALUE"""),"21373")</f>
        <v>21373</v>
      </c>
      <c r="B606" s="2">
        <f>IFERROR(__xludf.DUMMYFUNCTION("""COMPUTED_VALUE"""),21373.0)</f>
        <v>21373</v>
      </c>
      <c r="C606" s="3" t="str">
        <f>IFERROR(__xludf.DUMMYFUNCTION("""COMPUTED_VALUE"""),"MBC BCP เฉลิมพระเกียรติ")</f>
        <v>MBC BCP เฉลิมพระเกียรติ</v>
      </c>
      <c r="D606" s="3" t="str">
        <f>IFERROR(__xludf.DUMMYFUNCTION("""COMPUTED_VALUE"""),"BCM BCP CHALOEM PHRA KIAT")</f>
        <v>BCM BCP CHALOEM PHRA KIAT</v>
      </c>
      <c r="E606" s="1" t="str">
        <f>IFERROR(__xludf.DUMMYFUNCTION("""COMPUTED_VALUE"""),"บิ๊กซี MINI")</f>
        <v>บิ๊กซี MINI</v>
      </c>
      <c r="F606" s="1" t="str">
        <f>IFERROR(__xludf.DUMMYFUNCTION("""COMPUTED_VALUE"""),"296229")</f>
        <v>296229</v>
      </c>
      <c r="G606" s="1" t="str">
        <f>IFERROR(__xludf.DUMMYFUNCTION("""COMPUTED_VALUE"""),"นายทนงศักดิ์ บุญมา")</f>
        <v>นายทนงศักดิ์ บุญมา</v>
      </c>
      <c r="H606" s="1" t="str">
        <f>IFERROR(__xludf.DUMMYFUNCTION("""COMPUTED_VALUE"""),"291082")</f>
        <v>291082</v>
      </c>
      <c r="I606" s="1" t="str">
        <f>IFERROR(__xludf.DUMMYFUNCTION("""COMPUTED_VALUE"""),"น.ส.วจี กันเกตุ")</f>
        <v>น.ส.วจี กันเกตุ</v>
      </c>
      <c r="J606" s="3">
        <f>IFERROR(__xludf.DUMMYFUNCTION("""COMPUTED_VALUE"""),46214.0)</f>
        <v>46214</v>
      </c>
      <c r="K606" s="3" t="str">
        <f>IFERROR(__xludf.DUMMYFUNCTION("""COMPUTED_VALUE"""),"นายศักดิ์ชัย เด็ดดอกฟ้า")</f>
        <v>นายศักดิ์ชัย เด็ดดอกฟ้า</v>
      </c>
      <c r="L606" s="1" t="str">
        <f>IFERROR(__xludf.DUMMYFUNCTION("""COMPUTED_VALUE"""),"02 K.Sakchai D")</f>
        <v>02 K.Sakchai D</v>
      </c>
      <c r="M606" s="1" t="str">
        <f>IFERROR(__xludf.DUMMYFUNCTION("""COMPUTED_VALUE"""),"065-510-7376")</f>
        <v>065-510-7376</v>
      </c>
      <c r="N606" s="3">
        <f>IFERROR(__xludf.DUMMYFUNCTION("""COMPUTED_VALUE"""),21714.0)</f>
        <v>21714</v>
      </c>
      <c r="O606" s="3" t="str">
        <f>IFERROR(__xludf.DUMMYFUNCTION("""COMPUTED_VALUE"""),"MBC เอสโซ่ วัดโบสถ์")</f>
        <v>MBC เอสโซ่ วัดโบสถ์</v>
      </c>
      <c r="P606" s="4">
        <f>IFERROR(__xludf.DUMMYFUNCTION("""COMPUTED_VALUE"""),42273.0)</f>
        <v>42273</v>
      </c>
      <c r="Q606" s="3" t="str">
        <f>IFERROR(__xludf.DUMMYFUNCTION("""COMPUTED_VALUE"""),"I")</f>
        <v>I</v>
      </c>
      <c r="R606" s="3" t="str">
        <f>IFERROR(__xludf.DUMMYFUNCTION("""COMPUTED_VALUE"""),"Small Format")</f>
        <v>Small Format</v>
      </c>
      <c r="S606" s="3" t="str">
        <f>IFERROR(__xludf.DUMMYFUNCTION("""COMPUTED_VALUE"""),"BCM")</f>
        <v>BCM</v>
      </c>
      <c r="T606" s="3" t="str">
        <f>IFERROR(__xludf.DUMMYFUNCTION("""COMPUTED_VALUE"""),"#N/A")</f>
        <v>#N/A</v>
      </c>
      <c r="U606" s="3" t="str">
        <f>IFERROR(__xludf.DUMMYFUNCTION("""COMPUTED_VALUE"""),"#N/A")</f>
        <v>#N/A</v>
      </c>
      <c r="V606" s="3" t="str">
        <f>IFERROR(__xludf.DUMMYFUNCTION("""COMPUTED_VALUE"""),"N")</f>
        <v>N</v>
      </c>
      <c r="W606" s="3">
        <f>IFERROR(__xludf.DUMMYFUNCTION("""COMPUTED_VALUE"""),361128.0)</f>
        <v>361128</v>
      </c>
      <c r="X606" s="3" t="str">
        <f>IFERROR(__xludf.DUMMYFUNCTION("""COMPUTED_VALUE"""),"66/1 หมู่ 7 ตำบลห้วยบง อำเภอเฉลิมพระเกียรติ จังหวัดสระบุรี 18000")</f>
        <v>66/1 หมู่ 7 ตำบลห้วยบง อำเภอเฉลิมพระเกียรติ จังหวัดสระบุรี 18000</v>
      </c>
      <c r="Y606" s="3"/>
      <c r="Z606" s="3" t="str">
        <f>IFERROR(__xludf.DUMMYFUNCTION("""COMPUTED_VALUE"""),"ห้วยบง")</f>
        <v>ห้วยบง</v>
      </c>
      <c r="AA606" s="3" t="str">
        <f>IFERROR(__xludf.DUMMYFUNCTION("""COMPUTED_VALUE"""),"เฉลิมพระเกียรติ")</f>
        <v>เฉลิมพระเกียรติ</v>
      </c>
      <c r="AB606" s="3" t="str">
        <f>IFERROR(__xludf.DUMMYFUNCTION("""COMPUTED_VALUE"""),"สระบุรี")</f>
        <v>สระบุรี</v>
      </c>
      <c r="AC606" s="3">
        <f>IFERROR(__xludf.DUMMYFUNCTION("""COMPUTED_VALUE"""),18000.0)</f>
        <v>18000</v>
      </c>
      <c r="AD606" s="3">
        <f>IFERROR(__xludf.DUMMYFUNCTION("""COMPUTED_VALUE"""),14.5966467)</f>
        <v>14.5966467</v>
      </c>
      <c r="AE606" s="3">
        <f>IFERROR(__xludf.DUMMYFUNCTION("""COMPUTED_VALUE"""),100.8968063)</f>
        <v>100.8968063</v>
      </c>
      <c r="AF606" s="3" t="str">
        <f>IFERROR(__xludf.DUMMYFUNCTION("""COMPUTED_VALUE"""),"MBC BCP เฉลิมพระเกียรติ-21373")</f>
        <v>MBC BCP เฉลิมพระเกียรติ-21373</v>
      </c>
      <c r="AG606" s="3" t="str">
        <f>IFERROR(__xludf.DUMMYFUNCTION("""COMPUTED_VALUE"""),"กลาง")</f>
        <v>กลาง</v>
      </c>
      <c r="AH606" s="3" t="str">
        <f>IFERROR(__xludf.DUMMYFUNCTION("""COMPUTED_VALUE"""),"#N/A")</f>
        <v>#N/A</v>
      </c>
      <c r="AI606" s="3" t="str">
        <f>IFERROR(__xludf.DUMMYFUNCTION("""COMPUTED_VALUE"""),"Out of warranty")</f>
        <v>Out of warranty</v>
      </c>
      <c r="AJ606" s="3">
        <f>IFERROR(__xludf.DUMMYFUNCTION("""COMPUTED_VALUE"""),124.0)</f>
        <v>124</v>
      </c>
      <c r="AK606" s="3" t="str">
        <f>IFERROR(__xludf.DUMMYFUNCTION("""COMPUTED_VALUE"""),"MMS09")</f>
        <v>MMS09</v>
      </c>
      <c r="AL606" s="3"/>
    </row>
    <row r="607" ht="15.75" customHeight="1">
      <c r="A607" s="1" t="str">
        <f>IFERROR(__xludf.DUMMYFUNCTION("""COMPUTED_VALUE"""),"21374")</f>
        <v>21374</v>
      </c>
      <c r="B607" s="2">
        <f>IFERROR(__xludf.DUMMYFUNCTION("""COMPUTED_VALUE"""),21374.0)</f>
        <v>21374</v>
      </c>
      <c r="C607" s="3" t="str">
        <f>IFERROR(__xludf.DUMMYFUNCTION("""COMPUTED_VALUE"""),"MBC BCP ท่ามะกา")</f>
        <v>MBC BCP ท่ามะกา</v>
      </c>
      <c r="D607" s="3" t="str">
        <f>IFERROR(__xludf.DUMMYFUNCTION("""COMPUTED_VALUE"""),"MBC BCP THAMAKA")</f>
        <v>MBC BCP THAMAKA</v>
      </c>
      <c r="E607" s="1" t="str">
        <f>IFERROR(__xludf.DUMMYFUNCTION("""COMPUTED_VALUE"""),"บิ๊กซี MINI")</f>
        <v>บิ๊กซี MINI</v>
      </c>
      <c r="F607" s="1" t="str">
        <f>IFERROR(__xludf.DUMMYFUNCTION("""COMPUTED_VALUE"""),"250760")</f>
        <v>250760</v>
      </c>
      <c r="G607" s="1" t="str">
        <f>IFERROR(__xludf.DUMMYFUNCTION("""COMPUTED_VALUE"""),"นายประทวน สาราบรรณ์")</f>
        <v>นายประทวน สาราบรรณ์</v>
      </c>
      <c r="H607" s="1" t="str">
        <f>IFERROR(__xludf.DUMMYFUNCTION("""COMPUTED_VALUE"""),"284752")</f>
        <v>284752</v>
      </c>
      <c r="I607" s="1" t="str">
        <f>IFERROR(__xludf.DUMMYFUNCTION("""COMPUTED_VALUE"""),"น.ส.วีรนันท์ แสงใส")</f>
        <v>น.ส.วีรนันท์ แสงใส</v>
      </c>
      <c r="J607" s="3">
        <f>IFERROR(__xludf.DUMMYFUNCTION("""COMPUTED_VALUE"""),295541.0)</f>
        <v>295541</v>
      </c>
      <c r="K607" s="3" t="str">
        <f>IFERROR(__xludf.DUMMYFUNCTION("""COMPUTED_VALUE"""),"นายรพิพล ศรีมาตย์")</f>
        <v>นายรพิพล ศรีมาตย์</v>
      </c>
      <c r="L607" s="1" t="str">
        <f>IFERROR(__xludf.DUMMYFUNCTION("""COMPUTED_VALUE"""),"นายรพิพล ศรีมาตย์")</f>
        <v>นายรพิพล ศรีมาตย์</v>
      </c>
      <c r="M607" s="1" t="str">
        <f>IFERROR(__xludf.DUMMYFUNCTION("""COMPUTED_VALUE"""),"0613966115")</f>
        <v>0613966115</v>
      </c>
      <c r="N607" s="3">
        <f>IFERROR(__xludf.DUMMYFUNCTION("""COMPUTED_VALUE"""),21175.0)</f>
        <v>21175</v>
      </c>
      <c r="O607" s="3" t="str">
        <f>IFERROR(__xludf.DUMMYFUNCTION("""COMPUTED_VALUE"""),"MBC BCP กิ่งแก้ว")</f>
        <v>MBC BCP กิ่งแก้ว</v>
      </c>
      <c r="P607" s="4">
        <f>IFERROR(__xludf.DUMMYFUNCTION("""COMPUTED_VALUE"""),42277.0)</f>
        <v>42277</v>
      </c>
      <c r="Q607" s="3" t="str">
        <f>IFERROR(__xludf.DUMMYFUNCTION("""COMPUTED_VALUE"""),"I")</f>
        <v>I</v>
      </c>
      <c r="R607" s="3" t="str">
        <f>IFERROR(__xludf.DUMMYFUNCTION("""COMPUTED_VALUE"""),"Small Format")</f>
        <v>Small Format</v>
      </c>
      <c r="S607" s="3" t="str">
        <f>IFERROR(__xludf.DUMMYFUNCTION("""COMPUTED_VALUE"""),"BCM")</f>
        <v>BCM</v>
      </c>
      <c r="T607" s="3" t="str">
        <f>IFERROR(__xludf.DUMMYFUNCTION("""COMPUTED_VALUE"""),"#N/A")</f>
        <v>#N/A</v>
      </c>
      <c r="U607" s="3" t="str">
        <f>IFERROR(__xludf.DUMMYFUNCTION("""COMPUTED_VALUE"""),"#N/A")</f>
        <v>#N/A</v>
      </c>
      <c r="V607" s="3" t="str">
        <f>IFERROR(__xludf.DUMMYFUNCTION("""COMPUTED_VALUE"""),"N")</f>
        <v>N</v>
      </c>
      <c r="W607" s="3">
        <f>IFERROR(__xludf.DUMMYFUNCTION("""COMPUTED_VALUE"""),0.0)</f>
        <v>0</v>
      </c>
      <c r="X607" s="3" t="str">
        <f>IFERROR(__xludf.DUMMYFUNCTION("""COMPUTED_VALUE"""),"18/6 หมู่ 1 ตำบลท่ามะกา อำเภอท่ามะกา จังหวัดกาญจนบุรี 71120")</f>
        <v>18/6 หมู่ 1 ตำบลท่ามะกา อำเภอท่ามะกา จังหวัดกาญจนบุรี 71120</v>
      </c>
      <c r="Y607" s="3"/>
      <c r="Z607" s="3" t="str">
        <f>IFERROR(__xludf.DUMMYFUNCTION("""COMPUTED_VALUE"""),"ท่ามะกา")</f>
        <v>ท่ามะกา</v>
      </c>
      <c r="AA607" s="3" t="str">
        <f>IFERROR(__xludf.DUMMYFUNCTION("""COMPUTED_VALUE"""),"ท่ามะกา")</f>
        <v>ท่ามะกา</v>
      </c>
      <c r="AB607" s="3" t="str">
        <f>IFERROR(__xludf.DUMMYFUNCTION("""COMPUTED_VALUE"""),"กาญจนบุรี")</f>
        <v>กาญจนบุรี</v>
      </c>
      <c r="AC607" s="3">
        <f>IFERROR(__xludf.DUMMYFUNCTION("""COMPUTED_VALUE"""),71120.0)</f>
        <v>71120</v>
      </c>
      <c r="AD607" s="3" t="str">
        <f>IFERROR(__xludf.DUMMYFUNCTION("""COMPUTED_VALUE"""),"#N/A")</f>
        <v>#N/A</v>
      </c>
      <c r="AE607" s="3" t="str">
        <f>IFERROR(__xludf.DUMMYFUNCTION("""COMPUTED_VALUE"""),"#N/A")</f>
        <v>#N/A</v>
      </c>
      <c r="AF607" s="3" t="str">
        <f>IFERROR(__xludf.DUMMYFUNCTION("""COMPUTED_VALUE"""),"MBC BCP ท่ามะกา-21374")</f>
        <v>MBC BCP ท่ามะกา-21374</v>
      </c>
      <c r="AG607" s="3" t="str">
        <f>IFERROR(__xludf.DUMMYFUNCTION("""COMPUTED_VALUE"""),"ตะวันตก")</f>
        <v>ตะวันตก</v>
      </c>
      <c r="AH607" s="3" t="str">
        <f>IFERROR(__xludf.DUMMYFUNCTION("""COMPUTED_VALUE"""),"#N/A")</f>
        <v>#N/A</v>
      </c>
      <c r="AI607" s="3" t="str">
        <f>IFERROR(__xludf.DUMMYFUNCTION("""COMPUTED_VALUE"""),"Out of warranty")</f>
        <v>Out of warranty</v>
      </c>
      <c r="AJ607" s="3">
        <f>IFERROR(__xludf.DUMMYFUNCTION("""COMPUTED_VALUE"""),124.0)</f>
        <v>124</v>
      </c>
      <c r="AK607" s="3"/>
      <c r="AL607" s="3"/>
    </row>
    <row r="608" ht="15.75" customHeight="1">
      <c r="A608" s="1" t="str">
        <f>IFERROR(__xludf.DUMMYFUNCTION("""COMPUTED_VALUE"""),"21375")</f>
        <v>21375</v>
      </c>
      <c r="B608" s="2">
        <f>IFERROR(__xludf.DUMMYFUNCTION("""COMPUTED_VALUE"""),21375.0)</f>
        <v>21375</v>
      </c>
      <c r="C608" s="3" t="str">
        <f>IFERROR(__xludf.DUMMYFUNCTION("""COMPUTED_VALUE"""),"MBC BCP จรเข้ร้อง-อ่างทอง (ขาเข้า)")</f>
        <v>MBC BCP จรเข้ร้อง-อ่างทอง (ขาเข้า)</v>
      </c>
      <c r="D608" s="3" t="str">
        <f>IFERROR(__xludf.DUMMYFUNCTION("""COMPUTED_VALUE"""),"MBC BCP CHORAKHERONG-AT(IB)")</f>
        <v>MBC BCP CHORAKHERONG-AT(IB)</v>
      </c>
      <c r="E608" s="1" t="str">
        <f>IFERROR(__xludf.DUMMYFUNCTION("""COMPUTED_VALUE"""),"บิ๊กซี MINI")</f>
        <v>บิ๊กซี MINI</v>
      </c>
      <c r="F608" s="1" t="str">
        <f>IFERROR(__xludf.DUMMYFUNCTION("""COMPUTED_VALUE"""),"296229")</f>
        <v>296229</v>
      </c>
      <c r="G608" s="1" t="str">
        <f>IFERROR(__xludf.DUMMYFUNCTION("""COMPUTED_VALUE"""),"นายทนงศักดิ์ บุญมา")</f>
        <v>นายทนงศักดิ์ บุญมา</v>
      </c>
      <c r="H608" s="1" t="str">
        <f>IFERROR(__xludf.DUMMYFUNCTION("""COMPUTED_VALUE"""),"313033")</f>
        <v>313033</v>
      </c>
      <c r="I608" s="1" t="str">
        <f>IFERROR(__xludf.DUMMYFUNCTION("""COMPUTED_VALUE"""),"นายวันชัย ตรีโอสถ")</f>
        <v>นายวันชัย ตรีโอสถ</v>
      </c>
      <c r="J608" s="3">
        <f>IFERROR(__xludf.DUMMYFUNCTION("""COMPUTED_VALUE"""),46214.0)</f>
        <v>46214</v>
      </c>
      <c r="K608" s="3" t="str">
        <f>IFERROR(__xludf.DUMMYFUNCTION("""COMPUTED_VALUE"""),"นายศักดิ์ชัย เด็ดดอกฟ้า")</f>
        <v>นายศักดิ์ชัย เด็ดดอกฟ้า</v>
      </c>
      <c r="L608" s="1" t="str">
        <f>IFERROR(__xludf.DUMMYFUNCTION("""COMPUTED_VALUE"""),"02 K.Sakchai D")</f>
        <v>02 K.Sakchai D</v>
      </c>
      <c r="M608" s="1" t="str">
        <f>IFERROR(__xludf.DUMMYFUNCTION("""COMPUTED_VALUE"""),"065-510-7376")</f>
        <v>065-510-7376</v>
      </c>
      <c r="N608" s="3">
        <f>IFERROR(__xludf.DUMMYFUNCTION("""COMPUTED_VALUE"""),21441.0)</f>
        <v>21441</v>
      </c>
      <c r="O608" s="3" t="str">
        <f>IFERROR(__xludf.DUMMYFUNCTION("""COMPUTED_VALUE"""),"MBC บ้านกร่าง พิษณุโลก")</f>
        <v>MBC บ้านกร่าง พิษณุโลก</v>
      </c>
      <c r="P608" s="4">
        <f>IFERROR(__xludf.DUMMYFUNCTION("""COMPUTED_VALUE"""),42279.0)</f>
        <v>42279</v>
      </c>
      <c r="Q608" s="3" t="str">
        <f>IFERROR(__xludf.DUMMYFUNCTION("""COMPUTED_VALUE"""),"I")</f>
        <v>I</v>
      </c>
      <c r="R608" s="3" t="str">
        <f>IFERROR(__xludf.DUMMYFUNCTION("""COMPUTED_VALUE"""),"Small Format")</f>
        <v>Small Format</v>
      </c>
      <c r="S608" s="3" t="str">
        <f>IFERROR(__xludf.DUMMYFUNCTION("""COMPUTED_VALUE"""),"BCM")</f>
        <v>BCM</v>
      </c>
      <c r="T608" s="3" t="str">
        <f>IFERROR(__xludf.DUMMYFUNCTION("""COMPUTED_VALUE"""),"#N/A")</f>
        <v>#N/A</v>
      </c>
      <c r="U608" s="3" t="str">
        <f>IFERROR(__xludf.DUMMYFUNCTION("""COMPUTED_VALUE"""),"#N/A")</f>
        <v>#N/A</v>
      </c>
      <c r="V608" s="3" t="str">
        <f>IFERROR(__xludf.DUMMYFUNCTION("""COMPUTED_VALUE"""),"N")</f>
        <v>N</v>
      </c>
      <c r="W608" s="3">
        <f>IFERROR(__xludf.DUMMYFUNCTION("""COMPUTED_VALUE"""),0.0)</f>
        <v>0</v>
      </c>
      <c r="X608" s="3" t="str">
        <f>IFERROR(__xludf.DUMMYFUNCTION("""COMPUTED_VALUE"""),"66/12 หมู่ 1 ตำบลจรเข้ร้อง อำเภอไชโย จังหวัดอ่างทอง 14140")</f>
        <v>66/12 หมู่ 1 ตำบลจรเข้ร้อง อำเภอไชโย จังหวัดอ่างทอง 14140</v>
      </c>
      <c r="Y608" s="3"/>
      <c r="Z608" s="3" t="str">
        <f>IFERROR(__xludf.DUMMYFUNCTION("""COMPUTED_VALUE"""),"จรเข้ร้อง")</f>
        <v>จรเข้ร้อง</v>
      </c>
      <c r="AA608" s="3" t="str">
        <f>IFERROR(__xludf.DUMMYFUNCTION("""COMPUTED_VALUE"""),"ไชโย")</f>
        <v>ไชโย</v>
      </c>
      <c r="AB608" s="3" t="str">
        <f>IFERROR(__xludf.DUMMYFUNCTION("""COMPUTED_VALUE"""),"อ่างทอง")</f>
        <v>อ่างทอง</v>
      </c>
      <c r="AC608" s="3">
        <f>IFERROR(__xludf.DUMMYFUNCTION("""COMPUTED_VALUE"""),14140.0)</f>
        <v>14140</v>
      </c>
      <c r="AD608" s="3" t="str">
        <f>IFERROR(__xludf.DUMMYFUNCTION("""COMPUTED_VALUE"""),"#N/A")</f>
        <v>#N/A</v>
      </c>
      <c r="AE608" s="3" t="str">
        <f>IFERROR(__xludf.DUMMYFUNCTION("""COMPUTED_VALUE"""),"#N/A")</f>
        <v>#N/A</v>
      </c>
      <c r="AF608" s="3" t="str">
        <f>IFERROR(__xludf.DUMMYFUNCTION("""COMPUTED_VALUE"""),"MBC BCP จรเข้ร้อง-อ่างทอง (ขาเข้า)-21375")</f>
        <v>MBC BCP จรเข้ร้อง-อ่างทอง (ขาเข้า)-21375</v>
      </c>
      <c r="AG608" s="3" t="str">
        <f>IFERROR(__xludf.DUMMYFUNCTION("""COMPUTED_VALUE"""),"กลาง")</f>
        <v>กลาง</v>
      </c>
      <c r="AH608" s="3" t="str">
        <f>IFERROR(__xludf.DUMMYFUNCTION("""COMPUTED_VALUE"""),"#N/A")</f>
        <v>#N/A</v>
      </c>
      <c r="AI608" s="3" t="str">
        <f>IFERROR(__xludf.DUMMYFUNCTION("""COMPUTED_VALUE"""),"Out of warranty")</f>
        <v>Out of warranty</v>
      </c>
      <c r="AJ608" s="3">
        <f>IFERROR(__xludf.DUMMYFUNCTION("""COMPUTED_VALUE"""),124.0)</f>
        <v>124</v>
      </c>
      <c r="AK608" s="3"/>
      <c r="AL608" s="3"/>
    </row>
    <row r="609" ht="15.75" customHeight="1">
      <c r="A609" s="1" t="str">
        <f>IFERROR(__xludf.DUMMYFUNCTION("""COMPUTED_VALUE"""),"21376")</f>
        <v>21376</v>
      </c>
      <c r="B609" s="2">
        <f>IFERROR(__xludf.DUMMYFUNCTION("""COMPUTED_VALUE"""),21376.0)</f>
        <v>21376</v>
      </c>
      <c r="C609" s="3" t="str">
        <f>IFERROR(__xludf.DUMMYFUNCTION("""COMPUTED_VALUE"""),"MBC BCP พระราม2 กม.59 (ขาเข้า)")</f>
        <v>MBC BCP พระราม2 กม.59 (ขาเข้า)</v>
      </c>
      <c r="D609" s="3" t="str">
        <f>IFERROR(__xludf.DUMMYFUNCTION("""COMPUTED_VALUE"""),"BCM BCP RAMA2 KM 59(IN BOUND)")</f>
        <v>BCM BCP RAMA2 KM 59(IN BOUND)</v>
      </c>
      <c r="E609" s="1" t="str">
        <f>IFERROR(__xludf.DUMMYFUNCTION("""COMPUTED_VALUE"""),"บิ๊กซี MINI")</f>
        <v>บิ๊กซี MINI</v>
      </c>
      <c r="F609" s="1" t="str">
        <f>IFERROR(__xludf.DUMMYFUNCTION("""COMPUTED_VALUE"""),"2083447")</f>
        <v>2083447</v>
      </c>
      <c r="G609" s="1" t="str">
        <f>IFERROR(__xludf.DUMMYFUNCTION("""COMPUTED_VALUE"""),"นายอนุกูล ศรีลัดดา")</f>
        <v>นายอนุกูล ศรีลัดดา</v>
      </c>
      <c r="H609" s="1" t="str">
        <f>IFERROR(__xludf.DUMMYFUNCTION("""COMPUTED_VALUE"""),"391191")</f>
        <v>391191</v>
      </c>
      <c r="I609" s="1" t="str">
        <f>IFERROR(__xludf.DUMMYFUNCTION("""COMPUTED_VALUE"""),"นายวสันต์ สรงพรมทิพย์")</f>
        <v>นายวสันต์ สรงพรมทิพย์</v>
      </c>
      <c r="J609" s="3">
        <f>IFERROR(__xludf.DUMMYFUNCTION("""COMPUTED_VALUE"""),2451655.0)</f>
        <v>2451655</v>
      </c>
      <c r="K609" s="3" t="str">
        <f>IFERROR(__xludf.DUMMYFUNCTION("""COMPUTED_VALUE"""),"นายวิษณุพงษ์ ชินบุตร")</f>
        <v>นายวิษณุพงษ์ ชินบุตร</v>
      </c>
      <c r="L609" s="3" t="str">
        <f>IFERROR(__xludf.DUMMYFUNCTION("""COMPUTED_VALUE"""),"13 K.Wisanupong Ch")</f>
        <v>13 K.Wisanupong Ch</v>
      </c>
      <c r="M609" s="1" t="str">
        <f>IFERROR(__xludf.DUMMYFUNCTION("""COMPUTED_VALUE"""),"0843374693")</f>
        <v>0843374693</v>
      </c>
      <c r="N609" s="3">
        <f>IFERROR(__xludf.DUMMYFUNCTION("""COMPUTED_VALUE"""),22729.0)</f>
        <v>22729</v>
      </c>
      <c r="O609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609" s="4">
        <f>IFERROR(__xludf.DUMMYFUNCTION("""COMPUTED_VALUE"""),42284.0)</f>
        <v>42284</v>
      </c>
      <c r="Q609" s="3" t="str">
        <f>IFERROR(__xludf.DUMMYFUNCTION("""COMPUTED_VALUE"""),"A")</f>
        <v>A</v>
      </c>
      <c r="R609" s="3" t="str">
        <f>IFERROR(__xludf.DUMMYFUNCTION("""COMPUTED_VALUE"""),"Small Format")</f>
        <v>Small Format</v>
      </c>
      <c r="S609" s="3" t="str">
        <f>IFERROR(__xludf.DUMMYFUNCTION("""COMPUTED_VALUE"""),"BCM")</f>
        <v>BCM</v>
      </c>
      <c r="T609" s="3" t="str">
        <f>IFERROR(__xludf.DUMMYFUNCTION("""COMPUTED_VALUE"""),"#N/A")</f>
        <v>#N/A</v>
      </c>
      <c r="U609" s="3" t="str">
        <f>IFERROR(__xludf.DUMMYFUNCTION("""COMPUTED_VALUE"""),"#N/A")</f>
        <v>#N/A</v>
      </c>
      <c r="V609" s="3" t="str">
        <f>IFERROR(__xludf.DUMMYFUNCTION("""COMPUTED_VALUE"""),"N")</f>
        <v>N</v>
      </c>
      <c r="W609" s="3">
        <f>IFERROR(__xludf.DUMMYFUNCTION("""COMPUTED_VALUE"""),361131.0)</f>
        <v>361131</v>
      </c>
      <c r="X609" s="3" t="str">
        <f>IFERROR(__xludf.DUMMYFUNCTION("""COMPUTED_VALUE"""),"9/12 หมู่ 7 ตำบลบางแก้ว อำเภอเมืองสมุทรสงคราม จังหวัดสมุทรสงคราม 75000")</f>
        <v>9/12 หมู่ 7 ตำบลบางแก้ว อำเภอเมืองสมุทรสงคราม จังหวัดสมุทรสงคราม 75000</v>
      </c>
      <c r="Y609" s="3"/>
      <c r="Z609" s="3" t="str">
        <f>IFERROR(__xludf.DUMMYFUNCTION("""COMPUTED_VALUE"""),"บางแก้ว")</f>
        <v>บางแก้ว</v>
      </c>
      <c r="AA609" s="3" t="str">
        <f>IFERROR(__xludf.DUMMYFUNCTION("""COMPUTED_VALUE"""),"เมือง")</f>
        <v>เมือง</v>
      </c>
      <c r="AB609" s="3" t="str">
        <f>IFERROR(__xludf.DUMMYFUNCTION("""COMPUTED_VALUE"""),"สมุทรสงคราม")</f>
        <v>สมุทรสงคราม</v>
      </c>
      <c r="AC609" s="3">
        <f>IFERROR(__xludf.DUMMYFUNCTION("""COMPUTED_VALUE"""),75000.0)</f>
        <v>75000</v>
      </c>
      <c r="AD609" s="3">
        <f>IFERROR(__xludf.DUMMYFUNCTION("""COMPUTED_VALUE"""),13.420006)</f>
        <v>13.420006</v>
      </c>
      <c r="AE609" s="3">
        <f>IFERROR(__xludf.DUMMYFUNCTION("""COMPUTED_VALUE"""),100.0326888)</f>
        <v>100.0326888</v>
      </c>
      <c r="AF609" s="3" t="str">
        <f>IFERROR(__xludf.DUMMYFUNCTION("""COMPUTED_VALUE"""),"MBC BCP พระราม2 กม.59 (ขาเข้า)-21376")</f>
        <v>MBC BCP พระราม2 กม.59 (ขาเข้า)-21376</v>
      </c>
      <c r="AG609" s="3" t="str">
        <f>IFERROR(__xludf.DUMMYFUNCTION("""COMPUTED_VALUE"""),"กลาง")</f>
        <v>กลาง</v>
      </c>
      <c r="AH609" s="3" t="str">
        <f>IFERROR(__xludf.DUMMYFUNCTION("""COMPUTED_VALUE"""),"#N/A")</f>
        <v>#N/A</v>
      </c>
      <c r="AI609" s="3" t="str">
        <f>IFERROR(__xludf.DUMMYFUNCTION("""COMPUTED_VALUE"""),"Out of warranty")</f>
        <v>Out of warranty</v>
      </c>
      <c r="AJ609" s="3">
        <f>IFERROR(__xludf.DUMMYFUNCTION("""COMPUTED_VALUE"""),124.0)</f>
        <v>124</v>
      </c>
      <c r="AK609" s="3" t="str">
        <f>IFERROR(__xludf.DUMMYFUNCTION("""COMPUTED_VALUE"""),"MMS05")</f>
        <v>MMS05</v>
      </c>
      <c r="AL609" s="3"/>
    </row>
    <row r="610" ht="15.75" customHeight="1">
      <c r="A610" s="1" t="str">
        <f>IFERROR(__xludf.DUMMYFUNCTION("""COMPUTED_VALUE"""),"21377")</f>
        <v>21377</v>
      </c>
      <c r="B610" s="2">
        <f>IFERROR(__xludf.DUMMYFUNCTION("""COMPUTED_VALUE"""),21377.0)</f>
        <v>21377</v>
      </c>
      <c r="C610" s="3" t="str">
        <f>IFERROR(__xludf.DUMMYFUNCTION("""COMPUTED_VALUE"""),"MBC BCP ป่าแมต-เมืองแพร่")</f>
        <v>MBC BCP ป่าแมต-เมืองแพร่</v>
      </c>
      <c r="D610" s="3" t="str">
        <f>IFERROR(__xludf.DUMMYFUNCTION("""COMPUTED_VALUE"""),"MBC BCP PA MAET-MUEANG PHRAE")</f>
        <v>MBC BCP PA MAET-MUEANG PHRAE</v>
      </c>
      <c r="E610" s="1" t="str">
        <f>IFERROR(__xludf.DUMMYFUNCTION("""COMPUTED_VALUE"""),"บิ๊กซี MINI")</f>
        <v>บิ๊กซี MINI</v>
      </c>
      <c r="F610" s="1" t="str">
        <f>IFERROR(__xludf.DUMMYFUNCTION("""COMPUTED_VALUE"""),"296229")</f>
        <v>296229</v>
      </c>
      <c r="G610" s="1" t="str">
        <f>IFERROR(__xludf.DUMMYFUNCTION("""COMPUTED_VALUE"""),"นายทนงศักดิ์ บุญมา")</f>
        <v>นายทนงศักดิ์ บุญมา</v>
      </c>
      <c r="H610" s="1" t="str">
        <f>IFERROR(__xludf.DUMMYFUNCTION("""COMPUTED_VALUE"""),"318186")</f>
        <v>318186</v>
      </c>
      <c r="I610" s="1" t="str">
        <f>IFERROR(__xludf.DUMMYFUNCTION("""COMPUTED_VALUE"""),"น.ส.พนมวัลย์ เรืองรัตน์")</f>
        <v>น.ส.พนมวัลย์ เรืองรัตน์</v>
      </c>
      <c r="J610" s="3">
        <f>IFERROR(__xludf.DUMMYFUNCTION("""COMPUTED_VALUE"""),46214.0)</f>
        <v>46214</v>
      </c>
      <c r="K610" s="3" t="str">
        <f>IFERROR(__xludf.DUMMYFUNCTION("""COMPUTED_VALUE"""),"นายศักดิ์ชัย เด็ดดอกฟ้า")</f>
        <v>นายศักดิ์ชัย เด็ดดอกฟ้า</v>
      </c>
      <c r="L610" s="1" t="str">
        <f>IFERROR(__xludf.DUMMYFUNCTION("""COMPUTED_VALUE"""),"02 K.Sakchai D")</f>
        <v>02 K.Sakchai D</v>
      </c>
      <c r="M610" s="1" t="str">
        <f>IFERROR(__xludf.DUMMYFUNCTION("""COMPUTED_VALUE"""),"065-510-7376")</f>
        <v>065-510-7376</v>
      </c>
      <c r="N610" s="3">
        <f>IFERROR(__xludf.DUMMYFUNCTION("""COMPUTED_VALUE"""),21441.0)</f>
        <v>21441</v>
      </c>
      <c r="O610" s="3" t="str">
        <f>IFERROR(__xludf.DUMMYFUNCTION("""COMPUTED_VALUE"""),"MBC บ้านกร่าง พิษณุโลก")</f>
        <v>MBC บ้านกร่าง พิษณุโลก</v>
      </c>
      <c r="P610" s="4">
        <f>IFERROR(__xludf.DUMMYFUNCTION("""COMPUTED_VALUE"""),42284.0)</f>
        <v>42284</v>
      </c>
      <c r="Q610" s="3" t="str">
        <f>IFERROR(__xludf.DUMMYFUNCTION("""COMPUTED_VALUE"""),"I")</f>
        <v>I</v>
      </c>
      <c r="R610" s="3" t="str">
        <f>IFERROR(__xludf.DUMMYFUNCTION("""COMPUTED_VALUE"""),"Small Format")</f>
        <v>Small Format</v>
      </c>
      <c r="S610" s="3" t="str">
        <f>IFERROR(__xludf.DUMMYFUNCTION("""COMPUTED_VALUE"""),"BCM")</f>
        <v>BCM</v>
      </c>
      <c r="T610" s="3" t="str">
        <f>IFERROR(__xludf.DUMMYFUNCTION("""COMPUTED_VALUE"""),"#N/A")</f>
        <v>#N/A</v>
      </c>
      <c r="U610" s="3" t="str">
        <f>IFERROR(__xludf.DUMMYFUNCTION("""COMPUTED_VALUE"""),"#N/A")</f>
        <v>#N/A</v>
      </c>
      <c r="V610" s="3" t="str">
        <f>IFERROR(__xludf.DUMMYFUNCTION("""COMPUTED_VALUE"""),"N")</f>
        <v>N</v>
      </c>
      <c r="W610" s="3">
        <f>IFERROR(__xludf.DUMMYFUNCTION("""COMPUTED_VALUE"""),0.0)</f>
        <v>0</v>
      </c>
      <c r="X610" s="3" t="str">
        <f>IFERROR(__xludf.DUMMYFUNCTION("""COMPUTED_VALUE"""),"156/1 หมู่ 7 ตำบลป่าแมต อำเภอเมืองแพร่ จังหวัดแพร่ 54000")</f>
        <v>156/1 หมู่ 7 ตำบลป่าแมต อำเภอเมืองแพร่ จังหวัดแพร่ 54000</v>
      </c>
      <c r="Y610" s="3"/>
      <c r="Z610" s="3" t="str">
        <f>IFERROR(__xludf.DUMMYFUNCTION("""COMPUTED_VALUE"""),"ป่าแมต")</f>
        <v>ป่าแมต</v>
      </c>
      <c r="AA610" s="3" t="str">
        <f>IFERROR(__xludf.DUMMYFUNCTION("""COMPUTED_VALUE"""),"เมือง")</f>
        <v>เมือง</v>
      </c>
      <c r="AB610" s="3" t="str">
        <f>IFERROR(__xludf.DUMMYFUNCTION("""COMPUTED_VALUE"""),"แพร่")</f>
        <v>แพร่</v>
      </c>
      <c r="AC610" s="3">
        <f>IFERROR(__xludf.DUMMYFUNCTION("""COMPUTED_VALUE"""),54000.0)</f>
        <v>54000</v>
      </c>
      <c r="AD610" s="3" t="str">
        <f>IFERROR(__xludf.DUMMYFUNCTION("""COMPUTED_VALUE"""),"#N/A")</f>
        <v>#N/A</v>
      </c>
      <c r="AE610" s="3" t="str">
        <f>IFERROR(__xludf.DUMMYFUNCTION("""COMPUTED_VALUE"""),"#N/A")</f>
        <v>#N/A</v>
      </c>
      <c r="AF610" s="3" t="str">
        <f>IFERROR(__xludf.DUMMYFUNCTION("""COMPUTED_VALUE"""),"MBC BCP ป่าแมต-เมืองแพร่-21377")</f>
        <v>MBC BCP ป่าแมต-เมืองแพร่-21377</v>
      </c>
      <c r="AG610" s="3" t="str">
        <f>IFERROR(__xludf.DUMMYFUNCTION("""COMPUTED_VALUE"""),"เหนือ")</f>
        <v>เหนือ</v>
      </c>
      <c r="AH610" s="3" t="str">
        <f>IFERROR(__xludf.DUMMYFUNCTION("""COMPUTED_VALUE"""),"#N/A")</f>
        <v>#N/A</v>
      </c>
      <c r="AI610" s="3" t="str">
        <f>IFERROR(__xludf.DUMMYFUNCTION("""COMPUTED_VALUE"""),"Out of warranty")</f>
        <v>Out of warranty</v>
      </c>
      <c r="AJ610" s="3">
        <f>IFERROR(__xludf.DUMMYFUNCTION("""COMPUTED_VALUE"""),124.0)</f>
        <v>124</v>
      </c>
      <c r="AK610" s="3"/>
      <c r="AL610" s="3"/>
    </row>
    <row r="611" ht="15.75" customHeight="1">
      <c r="A611" s="1" t="str">
        <f>IFERROR(__xludf.DUMMYFUNCTION("""COMPUTED_VALUE"""),"21378")</f>
        <v>21378</v>
      </c>
      <c r="B611" s="2">
        <f>IFERROR(__xludf.DUMMYFUNCTION("""COMPUTED_VALUE"""),21378.0)</f>
        <v>21378</v>
      </c>
      <c r="C611" s="3" t="str">
        <f>IFERROR(__xludf.DUMMYFUNCTION("""COMPUTED_VALUE"""),"MBC BCP หนองแสง-นครพนม")</f>
        <v>MBC BCP หนองแสง-นครพนม</v>
      </c>
      <c r="D611" s="3" t="str">
        <f>IFERROR(__xludf.DUMMYFUNCTION("""COMPUTED_VALUE"""),"BCM BCP NONG SAENG-N.PHANOM")</f>
        <v>BCM BCP NONG SAENG-N.PHANOM</v>
      </c>
      <c r="E611" s="1" t="str">
        <f>IFERROR(__xludf.DUMMYFUNCTION("""COMPUTED_VALUE"""),"บิ๊กซี MINI")</f>
        <v>บิ๊กซี MINI</v>
      </c>
      <c r="F611" s="1" t="str">
        <f>IFERROR(__xludf.DUMMYFUNCTION("""COMPUTED_VALUE"""),"291105")</f>
        <v>291105</v>
      </c>
      <c r="G611" s="1" t="str">
        <f>IFERROR(__xludf.DUMMYFUNCTION("""COMPUTED_VALUE"""),"นายสราวุฒิ พณิชยกุล")</f>
        <v>นายสราวุฒิ พณิชยกุล</v>
      </c>
      <c r="H611" s="1" t="str">
        <f>IFERROR(__xludf.DUMMYFUNCTION("""COMPUTED_VALUE"""),"392885")</f>
        <v>392885</v>
      </c>
      <c r="I611" s="1" t="str">
        <f>IFERROR(__xludf.DUMMYFUNCTION("""COMPUTED_VALUE"""),"น.ส.วราพร จันปลิว")</f>
        <v>น.ส.วราพร จันปลิว</v>
      </c>
      <c r="J611" s="3">
        <f>IFERROR(__xludf.DUMMYFUNCTION("""COMPUTED_VALUE"""),295886.0)</f>
        <v>295886</v>
      </c>
      <c r="K611" s="3" t="str">
        <f>IFERROR(__xludf.DUMMYFUNCTION("""COMPUTED_VALUE"""),"นายจิระพงษ์ โพธิ์นิล")</f>
        <v>นายจิระพงษ์ โพธิ์นิล</v>
      </c>
      <c r="L611" s="1" t="str">
        <f>IFERROR(__xludf.DUMMYFUNCTION("""COMPUTED_VALUE"""),"นายจิระพงษ์ โพธิ์นิล")</f>
        <v>นายจิระพงษ์ โพธิ์นิล</v>
      </c>
      <c r="M611" s="1" t="str">
        <f>IFERROR(__xludf.DUMMYFUNCTION("""COMPUTED_VALUE"""),"0933290754")</f>
        <v>0933290754</v>
      </c>
      <c r="N611" s="3">
        <f>IFERROR(__xludf.DUMMYFUNCTION("""COMPUTED_VALUE"""),21622.0)</f>
        <v>21622</v>
      </c>
      <c r="O611" s="3" t="str">
        <f>IFERROR(__xludf.DUMMYFUNCTION("""COMPUTED_VALUE"""),"MBC ตลาดบ้านดอน")</f>
        <v>MBC ตลาดบ้านดอน</v>
      </c>
      <c r="P611" s="4">
        <f>IFERROR(__xludf.DUMMYFUNCTION("""COMPUTED_VALUE"""),42293.0)</f>
        <v>42293</v>
      </c>
      <c r="Q611" s="3" t="str">
        <f>IFERROR(__xludf.DUMMYFUNCTION("""COMPUTED_VALUE"""),"I")</f>
        <v>I</v>
      </c>
      <c r="R611" s="3" t="str">
        <f>IFERROR(__xludf.DUMMYFUNCTION("""COMPUTED_VALUE"""),"Small Format")</f>
        <v>Small Format</v>
      </c>
      <c r="S611" s="3" t="str">
        <f>IFERROR(__xludf.DUMMYFUNCTION("""COMPUTED_VALUE"""),"BCM")</f>
        <v>BCM</v>
      </c>
      <c r="T611" s="3" t="str">
        <f>IFERROR(__xludf.DUMMYFUNCTION("""COMPUTED_VALUE"""),"#N/A")</f>
        <v>#N/A</v>
      </c>
      <c r="U611" s="3" t="str">
        <f>IFERROR(__xludf.DUMMYFUNCTION("""COMPUTED_VALUE"""),"#N/A")</f>
        <v>#N/A</v>
      </c>
      <c r="V611" s="3" t="str">
        <f>IFERROR(__xludf.DUMMYFUNCTION("""COMPUTED_VALUE"""),"N")</f>
        <v>N</v>
      </c>
      <c r="W611" s="3">
        <f>IFERROR(__xludf.DUMMYFUNCTION("""COMPUTED_VALUE"""),361166.0)</f>
        <v>361166</v>
      </c>
      <c r="X611" s="3" t="str">
        <f>IFERROR(__xludf.DUMMYFUNCTION("""COMPUTED_VALUE"""),"252/3 ถนนนครพนม-ท่าอุเทน ตำบลหนองแสง อำเภอเมืองนครพนม จังหวัดนครพนม 48000")</f>
        <v>252/3 ถนนนครพนม-ท่าอุเทน ตำบลหนองแสง อำเภอเมืองนครพนม จังหวัดนครพนม 48000</v>
      </c>
      <c r="Y611" s="3" t="str">
        <f>IFERROR(__xludf.DUMMYFUNCTION("""COMPUTED_VALUE"""),"ถนนนครพนม-ท่าอุเทน")</f>
        <v>ถนนนครพนม-ท่าอุเทน</v>
      </c>
      <c r="Z611" s="3" t="str">
        <f>IFERROR(__xludf.DUMMYFUNCTION("""COMPUTED_VALUE"""),"หนองแสง")</f>
        <v>หนองแสง</v>
      </c>
      <c r="AA611" s="3" t="str">
        <f>IFERROR(__xludf.DUMMYFUNCTION("""COMPUTED_VALUE"""),"เมือง")</f>
        <v>เมือง</v>
      </c>
      <c r="AB611" s="3" t="str">
        <f>IFERROR(__xludf.DUMMYFUNCTION("""COMPUTED_VALUE"""),"นครพนม")</f>
        <v>นครพนม</v>
      </c>
      <c r="AC611" s="3">
        <f>IFERROR(__xludf.DUMMYFUNCTION("""COMPUTED_VALUE"""),48000.0)</f>
        <v>48000</v>
      </c>
      <c r="AD611" s="3">
        <f>IFERROR(__xludf.DUMMYFUNCTION("""COMPUTED_VALUE"""),17.423694)</f>
        <v>17.423694</v>
      </c>
      <c r="AE611" s="3">
        <f>IFERROR(__xludf.DUMMYFUNCTION("""COMPUTED_VALUE"""),104.768389)</f>
        <v>104.768389</v>
      </c>
      <c r="AF611" s="3" t="str">
        <f>IFERROR(__xludf.DUMMYFUNCTION("""COMPUTED_VALUE"""),"MBC BCP หนองแสง-นครพนม-21378")</f>
        <v>MBC BCP หนองแสง-นครพนม-21378</v>
      </c>
      <c r="AG611" s="3" t="str">
        <f>IFERROR(__xludf.DUMMYFUNCTION("""COMPUTED_VALUE"""),"ตะวันออกเฉียงเหนือ")</f>
        <v>ตะวันออกเฉียงเหนือ</v>
      </c>
      <c r="AH611" s="3" t="str">
        <f>IFERROR(__xludf.DUMMYFUNCTION("""COMPUTED_VALUE"""),"#N/A")</f>
        <v>#N/A</v>
      </c>
      <c r="AI611" s="3" t="str">
        <f>IFERROR(__xludf.DUMMYFUNCTION("""COMPUTED_VALUE"""),"Out of warranty")</f>
        <v>Out of warranty</v>
      </c>
      <c r="AJ611" s="3">
        <f>IFERROR(__xludf.DUMMYFUNCTION("""COMPUTED_VALUE"""),124.0)</f>
        <v>124</v>
      </c>
      <c r="AK611" s="3" t="str">
        <f>IFERROR(__xludf.DUMMYFUNCTION("""COMPUTED_VALUE"""),"MMS12")</f>
        <v>MMS12</v>
      </c>
      <c r="AL611" s="3"/>
    </row>
    <row r="612" ht="15.75" customHeight="1">
      <c r="A612" s="1" t="str">
        <f>IFERROR(__xludf.DUMMYFUNCTION("""COMPUTED_VALUE"""),"21379")</f>
        <v>21379</v>
      </c>
      <c r="B612" s="2">
        <f>IFERROR(__xludf.DUMMYFUNCTION("""COMPUTED_VALUE"""),21379.0)</f>
        <v>21379</v>
      </c>
      <c r="C612" s="3" t="str">
        <f>IFERROR(__xludf.DUMMYFUNCTION("""COMPUTED_VALUE"""),"MBC BCP สุขาภิบาล 3")</f>
        <v>MBC BCP สุขาภิบาล 3</v>
      </c>
      <c r="D612" s="3" t="str">
        <f>IFERROR(__xludf.DUMMYFUNCTION("""COMPUTED_VALUE"""),"BCM BCP SUKHAPHIBAN 3")</f>
        <v>BCM BCP SUKHAPHIBAN 3</v>
      </c>
      <c r="E612" s="1" t="str">
        <f>IFERROR(__xludf.DUMMYFUNCTION("""COMPUTED_VALUE"""),"บิ๊กซี MINI")</f>
        <v>บิ๊กซี MINI</v>
      </c>
      <c r="F612" s="1" t="str">
        <f>IFERROR(__xludf.DUMMYFUNCTION("""COMPUTED_VALUE"""),"291008")</f>
        <v>291008</v>
      </c>
      <c r="G612" s="1" t="str">
        <f>IFERROR(__xludf.DUMMYFUNCTION("""COMPUTED_VALUE"""),"น.ส.รัชดาพร อีศรัตน์")</f>
        <v>น.ส.รัชดาพร อีศรัตน์</v>
      </c>
      <c r="H612" s="1" t="str">
        <f>IFERROR(__xludf.DUMMYFUNCTION("""COMPUTED_VALUE"""),"228242")</f>
        <v>228242</v>
      </c>
      <c r="I612" s="1" t="str">
        <f>IFERROR(__xludf.DUMMYFUNCTION("""COMPUTED_VALUE"""),"นายสมชาย เยมรัมย์")</f>
        <v>นายสมชาย เยมรัมย์</v>
      </c>
      <c r="J612" s="3">
        <f>IFERROR(__xludf.DUMMYFUNCTION("""COMPUTED_VALUE"""),3510104.0)</f>
        <v>3510104</v>
      </c>
      <c r="K612" s="3" t="str">
        <f>IFERROR(__xludf.DUMMYFUNCTION("""COMPUTED_VALUE"""),"นายวิโรจน์ อับดุลสมัด")</f>
        <v>นายวิโรจน์ อับดุลสมัด</v>
      </c>
      <c r="L612" s="1" t="str">
        <f>IFERROR(__xludf.DUMMYFUNCTION("""COMPUTED_VALUE"""),"09 K.Wirode A")</f>
        <v>09 K.Wirode A</v>
      </c>
      <c r="M612" s="1" t="str">
        <f>IFERROR(__xludf.DUMMYFUNCTION("""COMPUTED_VALUE"""),"080-235-4465")</f>
        <v>080-235-4465</v>
      </c>
      <c r="N612" s="3">
        <f>IFERROR(__xludf.DUMMYFUNCTION("""COMPUTED_VALUE"""),21324.0)</f>
        <v>21324</v>
      </c>
      <c r="O612" s="3" t="str">
        <f>IFERROR(__xludf.DUMMYFUNCTION("""COMPUTED_VALUE"""),"MBC BCP สุวินทวงศ์")</f>
        <v>MBC BCP สุวินทวงศ์</v>
      </c>
      <c r="P612" s="4">
        <f>IFERROR(__xludf.DUMMYFUNCTION("""COMPUTED_VALUE"""),42296.0)</f>
        <v>42296</v>
      </c>
      <c r="Q612" s="3" t="str">
        <f>IFERROR(__xludf.DUMMYFUNCTION("""COMPUTED_VALUE"""),"A")</f>
        <v>A</v>
      </c>
      <c r="R612" s="3" t="str">
        <f>IFERROR(__xludf.DUMMYFUNCTION("""COMPUTED_VALUE"""),"Small Format")</f>
        <v>Small Format</v>
      </c>
      <c r="S612" s="3" t="str">
        <f>IFERROR(__xludf.DUMMYFUNCTION("""COMPUTED_VALUE"""),"BCM")</f>
        <v>BCM</v>
      </c>
      <c r="T612" s="3" t="str">
        <f>IFERROR(__xludf.DUMMYFUNCTION("""COMPUTED_VALUE"""),"#N/A")</f>
        <v>#N/A</v>
      </c>
      <c r="U612" s="3" t="str">
        <f>IFERROR(__xludf.DUMMYFUNCTION("""COMPUTED_VALUE"""),"#N/A")</f>
        <v>#N/A</v>
      </c>
      <c r="V612" s="3" t="str">
        <f>IFERROR(__xludf.DUMMYFUNCTION("""COMPUTED_VALUE"""),"N")</f>
        <v>N</v>
      </c>
      <c r="W612" s="3">
        <f>IFERROR(__xludf.DUMMYFUNCTION("""COMPUTED_VALUE"""),361117.0)</f>
        <v>361117</v>
      </c>
      <c r="X612" s="3" t="str">
        <f>IFERROR(__xludf.DUMMYFUNCTION("""COMPUTED_VALUE"""),"24/36 หมู่ 4 แขวงสะพานสูง เขตสะพานสูง กรุงเทพมหานคร 10240")</f>
        <v>24/36 หมู่ 4 แขวงสะพานสูง เขตสะพานสูง กรุงเทพมหานคร 10240</v>
      </c>
      <c r="Y612" s="3"/>
      <c r="Z612" s="3" t="str">
        <f>IFERROR(__xludf.DUMMYFUNCTION("""COMPUTED_VALUE"""),"สะพานสูง")</f>
        <v>สะพานสูง</v>
      </c>
      <c r="AA612" s="3" t="str">
        <f>IFERROR(__xludf.DUMMYFUNCTION("""COMPUTED_VALUE"""),"สะพานสูง")</f>
        <v>สะพานสูง</v>
      </c>
      <c r="AB612" s="3" t="str">
        <f>IFERROR(__xludf.DUMMYFUNCTION("""COMPUTED_VALUE"""),"กรุงเทพมหานคร")</f>
        <v>กรุงเทพมหานคร</v>
      </c>
      <c r="AC612" s="3">
        <f>IFERROR(__xludf.DUMMYFUNCTION("""COMPUTED_VALUE"""),10240.0)</f>
        <v>10240</v>
      </c>
      <c r="AD612" s="3">
        <f>IFERROR(__xludf.DUMMYFUNCTION("""COMPUTED_VALUE"""),13.7879953)</f>
        <v>13.7879953</v>
      </c>
      <c r="AE612" s="3">
        <f>IFERROR(__xludf.DUMMYFUNCTION("""COMPUTED_VALUE"""),100.6934087)</f>
        <v>100.6934087</v>
      </c>
      <c r="AF612" s="3" t="str">
        <f>IFERROR(__xludf.DUMMYFUNCTION("""COMPUTED_VALUE"""),"MBC BCP สุขาภิบาล 3-21379")</f>
        <v>MBC BCP สุขาภิบาล 3-21379</v>
      </c>
      <c r="AG612" s="3" t="str">
        <f>IFERROR(__xludf.DUMMYFUNCTION("""COMPUTED_VALUE"""),"กลาง")</f>
        <v>กลาง</v>
      </c>
      <c r="AH612" s="3" t="str">
        <f>IFERROR(__xludf.DUMMYFUNCTION("""COMPUTED_VALUE"""),"#N/A")</f>
        <v>#N/A</v>
      </c>
      <c r="AI612" s="3" t="str">
        <f>IFERROR(__xludf.DUMMYFUNCTION("""COMPUTED_VALUE"""),"Out of warranty")</f>
        <v>Out of warranty</v>
      </c>
      <c r="AJ612" s="3">
        <f>IFERROR(__xludf.DUMMYFUNCTION("""COMPUTED_VALUE"""),124.0)</f>
        <v>124</v>
      </c>
      <c r="AK612" s="3" t="str">
        <f>IFERROR(__xludf.DUMMYFUNCTION("""COMPUTED_VALUE"""),"MMS03")</f>
        <v>MMS03</v>
      </c>
      <c r="AL612" s="3"/>
    </row>
    <row r="613" ht="15.75" customHeight="1">
      <c r="A613" s="1" t="str">
        <f>IFERROR(__xludf.DUMMYFUNCTION("""COMPUTED_VALUE"""),"21380")</f>
        <v>21380</v>
      </c>
      <c r="B613" s="2">
        <f>IFERROR(__xludf.DUMMYFUNCTION("""COMPUTED_VALUE"""),21380.0)</f>
        <v>21380</v>
      </c>
      <c r="C613" s="3" t="str">
        <f>IFERROR(__xludf.DUMMYFUNCTION("""COMPUTED_VALUE"""),"MBC BCP เมืองสระแก้ว")</f>
        <v>MBC BCP เมืองสระแก้ว</v>
      </c>
      <c r="D613" s="3" t="str">
        <f>IFERROR(__xludf.DUMMYFUNCTION("""COMPUTED_VALUE"""),"MBC BCP MUEANG SAKAEO")</f>
        <v>MBC BCP MUEANG SAKAEO</v>
      </c>
      <c r="E613" s="1" t="str">
        <f>IFERROR(__xludf.DUMMYFUNCTION("""COMPUTED_VALUE"""),"บิ๊กซี MINI")</f>
        <v>บิ๊กซี MINI</v>
      </c>
      <c r="F613" s="1" t="str">
        <f>IFERROR(__xludf.DUMMYFUNCTION("""COMPUTED_VALUE"""),"250760")</f>
        <v>250760</v>
      </c>
      <c r="G613" s="1" t="str">
        <f>IFERROR(__xludf.DUMMYFUNCTION("""COMPUTED_VALUE"""),"นายประทวน สาราบรรณ์")</f>
        <v>นายประทวน สาราบรรณ์</v>
      </c>
      <c r="H613" s="1" t="str">
        <f>IFERROR(__xludf.DUMMYFUNCTION("""COMPUTED_VALUE"""),"002773")</f>
        <v>002773</v>
      </c>
      <c r="I613" s="1" t="str">
        <f>IFERROR(__xludf.DUMMYFUNCTION("""COMPUTED_VALUE"""),"น.ส.มลิวัลย์ บุญเต็ม")</f>
        <v>น.ส.มลิวัลย์ บุญเต็ม</v>
      </c>
      <c r="J613" s="3">
        <f>IFERROR(__xludf.DUMMYFUNCTION("""COMPUTED_VALUE"""),295541.0)</f>
        <v>295541</v>
      </c>
      <c r="K613" s="3" t="str">
        <f>IFERROR(__xludf.DUMMYFUNCTION("""COMPUTED_VALUE"""),"นายรพิพล ศรีมาตย์")</f>
        <v>นายรพิพล ศรีมาตย์</v>
      </c>
      <c r="L613" s="1" t="str">
        <f>IFERROR(__xludf.DUMMYFUNCTION("""COMPUTED_VALUE"""),"นายรพิพล ศรีมาตย์")</f>
        <v>นายรพิพล ศรีมาตย์</v>
      </c>
      <c r="M613" s="1" t="str">
        <f>IFERROR(__xludf.DUMMYFUNCTION("""COMPUTED_VALUE"""),"0613966115")</f>
        <v>0613966115</v>
      </c>
      <c r="N613" s="3">
        <f>IFERROR(__xludf.DUMMYFUNCTION("""COMPUTED_VALUE"""),21175.0)</f>
        <v>21175</v>
      </c>
      <c r="O613" s="3" t="str">
        <f>IFERROR(__xludf.DUMMYFUNCTION("""COMPUTED_VALUE"""),"MBC BCP กิ่งแก้ว")</f>
        <v>MBC BCP กิ่งแก้ว</v>
      </c>
      <c r="P613" s="4">
        <f>IFERROR(__xludf.DUMMYFUNCTION("""COMPUTED_VALUE"""),42303.0)</f>
        <v>42303</v>
      </c>
      <c r="Q613" s="3" t="str">
        <f>IFERROR(__xludf.DUMMYFUNCTION("""COMPUTED_VALUE"""),"I")</f>
        <v>I</v>
      </c>
      <c r="R613" s="3" t="str">
        <f>IFERROR(__xludf.DUMMYFUNCTION("""COMPUTED_VALUE"""),"Small Format")</f>
        <v>Small Format</v>
      </c>
      <c r="S613" s="3" t="str">
        <f>IFERROR(__xludf.DUMMYFUNCTION("""COMPUTED_VALUE"""),"BCM")</f>
        <v>BCM</v>
      </c>
      <c r="T613" s="3" t="str">
        <f>IFERROR(__xludf.DUMMYFUNCTION("""COMPUTED_VALUE"""),"#N/A")</f>
        <v>#N/A</v>
      </c>
      <c r="U613" s="3" t="str">
        <f>IFERROR(__xludf.DUMMYFUNCTION("""COMPUTED_VALUE"""),"#N/A")</f>
        <v>#N/A</v>
      </c>
      <c r="V613" s="3" t="str">
        <f>IFERROR(__xludf.DUMMYFUNCTION("""COMPUTED_VALUE"""),"N")</f>
        <v>N</v>
      </c>
      <c r="W613" s="3">
        <f>IFERROR(__xludf.DUMMYFUNCTION("""COMPUTED_VALUE"""),0.0)</f>
        <v>0</v>
      </c>
      <c r="X613" s="3" t="str">
        <f>IFERROR(__xludf.DUMMYFUNCTION("""COMPUTED_VALUE"""),"246/1 หมู่ 1 ตำบลสระขวัญ อำเภอเมืองสระแก้ว จังหวัดสระแก้ว 27000")</f>
        <v>246/1 หมู่ 1 ตำบลสระขวัญ อำเภอเมืองสระแก้ว จังหวัดสระแก้ว 27000</v>
      </c>
      <c r="Y613" s="3"/>
      <c r="Z613" s="3" t="str">
        <f>IFERROR(__xludf.DUMMYFUNCTION("""COMPUTED_VALUE"""),"สระขวัญ")</f>
        <v>สระขวัญ</v>
      </c>
      <c r="AA613" s="3" t="str">
        <f>IFERROR(__xludf.DUMMYFUNCTION("""COMPUTED_VALUE"""),"เมือง")</f>
        <v>เมือง</v>
      </c>
      <c r="AB613" s="3" t="str">
        <f>IFERROR(__xludf.DUMMYFUNCTION("""COMPUTED_VALUE"""),"สระแก้ว")</f>
        <v>สระแก้ว</v>
      </c>
      <c r="AC613" s="3">
        <f>IFERROR(__xludf.DUMMYFUNCTION("""COMPUTED_VALUE"""),27000.0)</f>
        <v>27000</v>
      </c>
      <c r="AD613" s="3" t="str">
        <f>IFERROR(__xludf.DUMMYFUNCTION("""COMPUTED_VALUE"""),"#N/A")</f>
        <v>#N/A</v>
      </c>
      <c r="AE613" s="3" t="str">
        <f>IFERROR(__xludf.DUMMYFUNCTION("""COMPUTED_VALUE"""),"#N/A")</f>
        <v>#N/A</v>
      </c>
      <c r="AF613" s="3" t="str">
        <f>IFERROR(__xludf.DUMMYFUNCTION("""COMPUTED_VALUE"""),"MBC BCP เมืองสระแก้ว-21380")</f>
        <v>MBC BCP เมืองสระแก้ว-21380</v>
      </c>
      <c r="AG613" s="3" t="str">
        <f>IFERROR(__xludf.DUMMYFUNCTION("""COMPUTED_VALUE"""),"ตะวันออก")</f>
        <v>ตะวันออก</v>
      </c>
      <c r="AH613" s="3" t="str">
        <f>IFERROR(__xludf.DUMMYFUNCTION("""COMPUTED_VALUE"""),"#N/A")</f>
        <v>#N/A</v>
      </c>
      <c r="AI613" s="3" t="str">
        <f>IFERROR(__xludf.DUMMYFUNCTION("""COMPUTED_VALUE"""),"Out of warranty")</f>
        <v>Out of warranty</v>
      </c>
      <c r="AJ613" s="3">
        <f>IFERROR(__xludf.DUMMYFUNCTION("""COMPUTED_VALUE"""),123.0)</f>
        <v>123</v>
      </c>
      <c r="AK613" s="3"/>
      <c r="AL613" s="3"/>
    </row>
    <row r="614" ht="15.75" customHeight="1">
      <c r="A614" s="1" t="str">
        <f>IFERROR(__xludf.DUMMYFUNCTION("""COMPUTED_VALUE"""),"21381")</f>
        <v>21381</v>
      </c>
      <c r="B614" s="2">
        <f>IFERROR(__xludf.DUMMYFUNCTION("""COMPUTED_VALUE"""),21381.0)</f>
        <v>21381</v>
      </c>
      <c r="C614" s="3" t="str">
        <f>IFERROR(__xludf.DUMMYFUNCTION("""COMPUTED_VALUE"""),"MBC BCP ท่าชนะ-สุราษฎร์ธานี")</f>
        <v>MBC BCP ท่าชนะ-สุราษฎร์ธานี</v>
      </c>
      <c r="D614" s="3" t="str">
        <f>IFERROR(__xludf.DUMMYFUNCTION("""COMPUTED_VALUE"""),"BCM BCP THA CHANA-SURATTHANI")</f>
        <v>BCM BCP THA CHANA-SURATTHANI</v>
      </c>
      <c r="E614" s="1" t="str">
        <f>IFERROR(__xludf.DUMMYFUNCTION("""COMPUTED_VALUE"""),"บิ๊กซี MINI")</f>
        <v>บิ๊กซี MINI</v>
      </c>
      <c r="F614" s="1" t="str">
        <f>IFERROR(__xludf.DUMMYFUNCTION("""COMPUTED_VALUE"""),"250760")</f>
        <v>250760</v>
      </c>
      <c r="G614" s="1" t="str">
        <f>IFERROR(__xludf.DUMMYFUNCTION("""COMPUTED_VALUE"""),"นายประทวน สาราบรรณ์")</f>
        <v>นายประทวน สาราบรรณ์</v>
      </c>
      <c r="H614" s="1" t="str">
        <f>IFERROR(__xludf.DUMMYFUNCTION("""COMPUTED_VALUE"""),"228389")</f>
        <v>228389</v>
      </c>
      <c r="I614" s="1" t="str">
        <f>IFERROR(__xludf.DUMMYFUNCTION("""COMPUTED_VALUE"""),"นายมณีรันดร์ ชัยชนะ")</f>
        <v>นายมณีรันดร์ ชัยชนะ</v>
      </c>
      <c r="J614" s="3">
        <f>IFERROR(__xludf.DUMMYFUNCTION("""COMPUTED_VALUE"""),25324.0)</f>
        <v>25324</v>
      </c>
      <c r="K614" s="3" t="str">
        <f>IFERROR(__xludf.DUMMYFUNCTION("""COMPUTED_VALUE"""),"นายวิเชฎฐ์ ติรัตนะประคม")</f>
        <v>นายวิเชฎฐ์ ติรัตนะประคม</v>
      </c>
      <c r="L614" s="1" t="str">
        <f>IFERROR(__xludf.DUMMYFUNCTION("""COMPUTED_VALUE"""),"14 K.Wichet T.")</f>
        <v>14 K.Wichet T.</v>
      </c>
      <c r="M614" s="1" t="str">
        <f>IFERROR(__xludf.DUMMYFUNCTION("""COMPUTED_VALUE"""),"061-417-6569 / 086-445-5636")</f>
        <v>061-417-6569 / 086-445-5636</v>
      </c>
      <c r="N614" s="3">
        <f>IFERROR(__xludf.DUMMYFUNCTION("""COMPUTED_VALUE"""),22658.0)</f>
        <v>22658</v>
      </c>
      <c r="O614" s="3" t="str">
        <f>IFERROR(__xludf.DUMMYFUNCTION("""COMPUTED_VALUE"""),"BCM ถ.วิรัชหงษ์หยก ภูเก็ต")</f>
        <v>BCM ถ.วิรัชหงษ์หยก ภูเก็ต</v>
      </c>
      <c r="P614" s="4">
        <f>IFERROR(__xludf.DUMMYFUNCTION("""COMPUTED_VALUE"""),42308.0)</f>
        <v>42308</v>
      </c>
      <c r="Q614" s="3" t="str">
        <f>IFERROR(__xludf.DUMMYFUNCTION("""COMPUTED_VALUE"""),"A")</f>
        <v>A</v>
      </c>
      <c r="R614" s="3" t="str">
        <f>IFERROR(__xludf.DUMMYFUNCTION("""COMPUTED_VALUE"""),"Small Format")</f>
        <v>Small Format</v>
      </c>
      <c r="S614" s="3" t="str">
        <f>IFERROR(__xludf.DUMMYFUNCTION("""COMPUTED_VALUE"""),"BCM")</f>
        <v>BCM</v>
      </c>
      <c r="T614" s="3" t="str">
        <f>IFERROR(__xludf.DUMMYFUNCTION("""COMPUTED_VALUE"""),"#N/A")</f>
        <v>#N/A</v>
      </c>
      <c r="U614" s="3" t="str">
        <f>IFERROR(__xludf.DUMMYFUNCTION("""COMPUTED_VALUE"""),"#N/A")</f>
        <v>#N/A</v>
      </c>
      <c r="V614" s="3" t="str">
        <f>IFERROR(__xludf.DUMMYFUNCTION("""COMPUTED_VALUE"""),"N")</f>
        <v>N</v>
      </c>
      <c r="W614" s="3">
        <f>IFERROR(__xludf.DUMMYFUNCTION("""COMPUTED_VALUE"""),361220.0)</f>
        <v>361220</v>
      </c>
      <c r="X614" s="3" t="str">
        <f>IFERROR(__xludf.DUMMYFUNCTION("""COMPUTED_VALUE"""),"86 หมู่ 10 ตำบลประสงค์ อำเภอท่าชนะ จังหวัดสุราษฎร์ธานี 84170")</f>
        <v>86 หมู่ 10 ตำบลประสงค์ อำเภอท่าชนะ จังหวัดสุราษฎร์ธานี 84170</v>
      </c>
      <c r="Y614" s="3"/>
      <c r="Z614" s="3" t="str">
        <f>IFERROR(__xludf.DUMMYFUNCTION("""COMPUTED_VALUE"""),"ประสงค์")</f>
        <v>ประสงค์</v>
      </c>
      <c r="AA614" s="3" t="str">
        <f>IFERROR(__xludf.DUMMYFUNCTION("""COMPUTED_VALUE"""),"ท่าชนะ")</f>
        <v>ท่าชนะ</v>
      </c>
      <c r="AB614" s="3" t="str">
        <f>IFERROR(__xludf.DUMMYFUNCTION("""COMPUTED_VALUE"""),"สุราษฎร์ธานี")</f>
        <v>สุราษฎร์ธานี</v>
      </c>
      <c r="AC614" s="3">
        <f>IFERROR(__xludf.DUMMYFUNCTION("""COMPUTED_VALUE"""),84170.0)</f>
        <v>84170</v>
      </c>
      <c r="AD614" s="3">
        <f>IFERROR(__xludf.DUMMYFUNCTION("""COMPUTED_VALUE"""),9.500244)</f>
        <v>9.500244</v>
      </c>
      <c r="AE614" s="3">
        <f>IFERROR(__xludf.DUMMYFUNCTION("""COMPUTED_VALUE"""),99.133024)</f>
        <v>99.133024</v>
      </c>
      <c r="AF614" s="3" t="str">
        <f>IFERROR(__xludf.DUMMYFUNCTION("""COMPUTED_VALUE"""),"MBC BCP ท่าชนะ-สุราษฎร์ธานี-21381")</f>
        <v>MBC BCP ท่าชนะ-สุราษฎร์ธานี-21381</v>
      </c>
      <c r="AG614" s="3" t="str">
        <f>IFERROR(__xludf.DUMMYFUNCTION("""COMPUTED_VALUE"""),"ใต้")</f>
        <v>ใต้</v>
      </c>
      <c r="AH614" s="3" t="str">
        <f>IFERROR(__xludf.DUMMYFUNCTION("""COMPUTED_VALUE"""),"#N/A")</f>
        <v>#N/A</v>
      </c>
      <c r="AI614" s="3" t="str">
        <f>IFERROR(__xludf.DUMMYFUNCTION("""COMPUTED_VALUE"""),"Out of warranty")</f>
        <v>Out of warranty</v>
      </c>
      <c r="AJ614" s="3">
        <f>IFERROR(__xludf.DUMMYFUNCTION("""COMPUTED_VALUE"""),123.0)</f>
        <v>123</v>
      </c>
      <c r="AK614" s="3" t="str">
        <f>IFERROR(__xludf.DUMMYFUNCTION("""COMPUTED_VALUE"""),"MMS14")</f>
        <v>MMS14</v>
      </c>
      <c r="AL614" s="3"/>
    </row>
    <row r="615" ht="15.75" customHeight="1">
      <c r="A615" s="1" t="str">
        <f>IFERROR(__xludf.DUMMYFUNCTION("""COMPUTED_VALUE"""),"21382")</f>
        <v>21382</v>
      </c>
      <c r="B615" s="2">
        <f>IFERROR(__xludf.DUMMYFUNCTION("""COMPUTED_VALUE"""),21382.0)</f>
        <v>21382</v>
      </c>
      <c r="C615" s="3" t="str">
        <f>IFERROR(__xludf.DUMMYFUNCTION("""COMPUTED_VALUE"""),"MBC BCP ศรีตรัง-กระบี่")</f>
        <v>MBC BCP ศรีตรัง-กระบี่</v>
      </c>
      <c r="D615" s="3" t="str">
        <f>IFERROR(__xludf.DUMMYFUNCTION("""COMPUTED_VALUE"""),"MBC BCP SRI TRANG-KRABI")</f>
        <v>MBC BCP SRI TRANG-KRABI</v>
      </c>
      <c r="E615" s="1" t="str">
        <f>IFERROR(__xludf.DUMMYFUNCTION("""COMPUTED_VALUE"""),"บิ๊กซี MINI")</f>
        <v>บิ๊กซี MINI</v>
      </c>
      <c r="F615" s="1" t="str">
        <f>IFERROR(__xludf.DUMMYFUNCTION("""COMPUTED_VALUE"""),"2010918")</f>
        <v>2010918</v>
      </c>
      <c r="G615" s="1" t="str">
        <f>IFERROR(__xludf.DUMMYFUNCTION("""COMPUTED_VALUE"""),"น.ส.สุดารัตน์ รัตนประดิษฐ์")</f>
        <v>น.ส.สุดารัตน์ รัตนประดิษฐ์</v>
      </c>
      <c r="H615" s="1" t="str">
        <f>IFERROR(__xludf.DUMMYFUNCTION("""COMPUTED_VALUE"""),"282500")</f>
        <v>282500</v>
      </c>
      <c r="I615" s="1" t="str">
        <f>IFERROR(__xludf.DUMMYFUNCTION("""COMPUTED_VALUE"""),"นายเจษฎ์พิพัฒ แก้วกุดั่น")</f>
        <v>นายเจษฎ์พิพัฒ แก้วกุดั่น</v>
      </c>
      <c r="J615" s="3">
        <f>IFERROR(__xludf.DUMMYFUNCTION("""COMPUTED_VALUE"""),2.0470331E7)</f>
        <v>20470331</v>
      </c>
      <c r="K615" s="3" t="str">
        <f>IFERROR(__xludf.DUMMYFUNCTION("""COMPUTED_VALUE"""),"นายสมชาย ลักษณะสุวรรณ")</f>
        <v>นายสมชาย ลักษณะสุวรรณ</v>
      </c>
      <c r="L615" s="3" t="str">
        <f>IFERROR(__xludf.DUMMYFUNCTION("""COMPUTED_VALUE"""),"15 K.Somchai L")</f>
        <v>15 K.Somchai L</v>
      </c>
      <c r="M615" s="1" t="str">
        <f>IFERROR(__xludf.DUMMYFUNCTION("""COMPUTED_VALUE"""),"0655107372")</f>
        <v>0655107372</v>
      </c>
      <c r="N615" s="3">
        <f>IFERROR(__xludf.DUMMYFUNCTION("""COMPUTED_VALUE"""),21723.0)</f>
        <v>21723</v>
      </c>
      <c r="O615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615" s="4">
        <f>IFERROR(__xludf.DUMMYFUNCTION("""COMPUTED_VALUE"""),42322.0)</f>
        <v>42322</v>
      </c>
      <c r="Q615" s="3" t="str">
        <f>IFERROR(__xludf.DUMMYFUNCTION("""COMPUTED_VALUE"""),"I")</f>
        <v>I</v>
      </c>
      <c r="R615" s="3" t="str">
        <f>IFERROR(__xludf.DUMMYFUNCTION("""COMPUTED_VALUE"""),"Small Format")</f>
        <v>Small Format</v>
      </c>
      <c r="S615" s="3" t="str">
        <f>IFERROR(__xludf.DUMMYFUNCTION("""COMPUTED_VALUE"""),"BCM")</f>
        <v>BCM</v>
      </c>
      <c r="T615" s="3" t="str">
        <f>IFERROR(__xludf.DUMMYFUNCTION("""COMPUTED_VALUE"""),"#N/A")</f>
        <v>#N/A</v>
      </c>
      <c r="U615" s="3" t="str">
        <f>IFERROR(__xludf.DUMMYFUNCTION("""COMPUTED_VALUE"""),"#N/A")</f>
        <v>#N/A</v>
      </c>
      <c r="V615" s="3" t="str">
        <f>IFERROR(__xludf.DUMMYFUNCTION("""COMPUTED_VALUE"""),"N")</f>
        <v>N</v>
      </c>
      <c r="W615" s="3">
        <f>IFERROR(__xludf.DUMMYFUNCTION("""COMPUTED_VALUE"""),0.0)</f>
        <v>0</v>
      </c>
      <c r="X615" s="3" t="str">
        <f>IFERROR(__xludf.DUMMYFUNCTION("""COMPUTED_VALUE"""),"168-170 ถนนศรีตรัง ตำบลกระบี่ใหญ่ อำเภอเมืองกระบี่ จังหวัดกระบี่ 81000")</f>
        <v>168-170 ถนนศรีตรัง ตำบลกระบี่ใหญ่ อำเภอเมืองกระบี่ จังหวัดกระบี่ 81000</v>
      </c>
      <c r="Y615" s="3" t="str">
        <f>IFERROR(__xludf.DUMMYFUNCTION("""COMPUTED_VALUE"""),"ถนนศรีตรัง")</f>
        <v>ถนนศรีตรัง</v>
      </c>
      <c r="Z615" s="3" t="str">
        <f>IFERROR(__xludf.DUMMYFUNCTION("""COMPUTED_VALUE"""),"กระบี่ใหญ่")</f>
        <v>กระบี่ใหญ่</v>
      </c>
      <c r="AA615" s="3" t="str">
        <f>IFERROR(__xludf.DUMMYFUNCTION("""COMPUTED_VALUE"""),"เมือง")</f>
        <v>เมือง</v>
      </c>
      <c r="AB615" s="3" t="str">
        <f>IFERROR(__xludf.DUMMYFUNCTION("""COMPUTED_VALUE"""),"กระบี่")</f>
        <v>กระบี่</v>
      </c>
      <c r="AC615" s="3">
        <f>IFERROR(__xludf.DUMMYFUNCTION("""COMPUTED_VALUE"""),81000.0)</f>
        <v>81000</v>
      </c>
      <c r="AD615" s="3" t="str">
        <f>IFERROR(__xludf.DUMMYFUNCTION("""COMPUTED_VALUE"""),"#N/A")</f>
        <v>#N/A</v>
      </c>
      <c r="AE615" s="3" t="str">
        <f>IFERROR(__xludf.DUMMYFUNCTION("""COMPUTED_VALUE"""),"#N/A")</f>
        <v>#N/A</v>
      </c>
      <c r="AF615" s="3" t="str">
        <f>IFERROR(__xludf.DUMMYFUNCTION("""COMPUTED_VALUE"""),"MBC BCP ศรีตรัง-กระบี่-21382")</f>
        <v>MBC BCP ศรีตรัง-กระบี่-21382</v>
      </c>
      <c r="AG615" s="3" t="str">
        <f>IFERROR(__xludf.DUMMYFUNCTION("""COMPUTED_VALUE"""),"ใต้")</f>
        <v>ใต้</v>
      </c>
      <c r="AH615" s="3" t="str">
        <f>IFERROR(__xludf.DUMMYFUNCTION("""COMPUTED_VALUE"""),"#N/A")</f>
        <v>#N/A</v>
      </c>
      <c r="AI615" s="3" t="str">
        <f>IFERROR(__xludf.DUMMYFUNCTION("""COMPUTED_VALUE"""),"Out of warranty")</f>
        <v>Out of warranty</v>
      </c>
      <c r="AJ615" s="3">
        <f>IFERROR(__xludf.DUMMYFUNCTION("""COMPUTED_VALUE"""),123.0)</f>
        <v>123</v>
      </c>
      <c r="AK615" s="3"/>
      <c r="AL615" s="3"/>
    </row>
    <row r="616" ht="15.75" customHeight="1">
      <c r="A616" s="1" t="str">
        <f>IFERROR(__xludf.DUMMYFUNCTION("""COMPUTED_VALUE"""),"21383")</f>
        <v>21383</v>
      </c>
      <c r="B616" s="2">
        <f>IFERROR(__xludf.DUMMYFUNCTION("""COMPUTED_VALUE"""),21383.0)</f>
        <v>21383</v>
      </c>
      <c r="C616" s="3" t="str">
        <f>IFERROR(__xludf.DUMMYFUNCTION("""COMPUTED_VALUE"""),"MBC BCP ปราสาท")</f>
        <v>MBC BCP ปราสาท</v>
      </c>
      <c r="D616" s="3" t="str">
        <f>IFERROR(__xludf.DUMMYFUNCTION("""COMPUTED_VALUE"""),"BCM BCP PRASAT")</f>
        <v>BCM BCP PRASAT</v>
      </c>
      <c r="E616" s="1" t="str">
        <f>IFERROR(__xludf.DUMMYFUNCTION("""COMPUTED_VALUE"""),"บิ๊กซี MINI")</f>
        <v>บิ๊กซี MINI</v>
      </c>
      <c r="F616" s="1" t="str">
        <f>IFERROR(__xludf.DUMMYFUNCTION("""COMPUTED_VALUE"""),"291105")</f>
        <v>291105</v>
      </c>
      <c r="G616" s="1" t="str">
        <f>IFERROR(__xludf.DUMMYFUNCTION("""COMPUTED_VALUE"""),"นายสราวุฒิ พณิชยกุล")</f>
        <v>นายสราวุฒิ พณิชยกุล</v>
      </c>
      <c r="H616" s="1" t="str">
        <f>IFERROR(__xludf.DUMMYFUNCTION("""COMPUTED_VALUE"""),"398146")</f>
        <v>398146</v>
      </c>
      <c r="I616" s="1" t="str">
        <f>IFERROR(__xludf.DUMMYFUNCTION("""COMPUTED_VALUE"""),"น.ส.กนกสิริ สุขหอม")</f>
        <v>น.ส.กนกสิริ สุขหอม</v>
      </c>
      <c r="J616" s="3">
        <f>IFERROR(__xludf.DUMMYFUNCTION("""COMPUTED_VALUE"""),2454781.0)</f>
        <v>2454781</v>
      </c>
      <c r="K616" s="3" t="str">
        <f>IFERROR(__xludf.DUMMYFUNCTION("""COMPUTED_VALUE"""),"นายฌานกฤช นันทะโคต")</f>
        <v>นายฌานกฤช นันทะโคต</v>
      </c>
      <c r="L616" s="1" t="str">
        <f>IFERROR(__xludf.DUMMYFUNCTION("""COMPUTED_VALUE"""),"05 K.Chanakrit N.")</f>
        <v>05 K.Chanakrit N.</v>
      </c>
      <c r="M616" s="1" t="str">
        <f>IFERROR(__xludf.DUMMYFUNCTION("""COMPUTED_VALUE"""),"090-978-9785 ,065-929-1320")</f>
        <v>090-978-9785 ,065-929-1320</v>
      </c>
      <c r="N616" s="3">
        <f>IFERROR(__xludf.DUMMYFUNCTION("""COMPUTED_VALUE"""),22195.0)</f>
        <v>22195</v>
      </c>
      <c r="O616" s="3" t="str">
        <f>IFERROR(__xludf.DUMMYFUNCTION("""COMPUTED_VALUE"""),"MBC กันทรลักษ์ ศรีสะเกษ")</f>
        <v>MBC กันทรลักษ์ ศรีสะเกษ</v>
      </c>
      <c r="P616" s="4">
        <f>IFERROR(__xludf.DUMMYFUNCTION("""COMPUTED_VALUE"""),42324.0)</f>
        <v>42324</v>
      </c>
      <c r="Q616" s="3" t="str">
        <f>IFERROR(__xludf.DUMMYFUNCTION("""COMPUTED_VALUE"""),"A")</f>
        <v>A</v>
      </c>
      <c r="R616" s="3" t="str">
        <f>IFERROR(__xludf.DUMMYFUNCTION("""COMPUTED_VALUE"""),"Small Format")</f>
        <v>Small Format</v>
      </c>
      <c r="S616" s="3" t="str">
        <f>IFERROR(__xludf.DUMMYFUNCTION("""COMPUTED_VALUE"""),"BCM")</f>
        <v>BCM</v>
      </c>
      <c r="T616" s="3" t="str">
        <f>IFERROR(__xludf.DUMMYFUNCTION("""COMPUTED_VALUE"""),"#N/A")</f>
        <v>#N/A</v>
      </c>
      <c r="U616" s="3" t="str">
        <f>IFERROR(__xludf.DUMMYFUNCTION("""COMPUTED_VALUE"""),"#N/A")</f>
        <v>#N/A</v>
      </c>
      <c r="V616" s="3" t="str">
        <f>IFERROR(__xludf.DUMMYFUNCTION("""COMPUTED_VALUE"""),"N")</f>
        <v>N</v>
      </c>
      <c r="W616" s="3">
        <f>IFERROR(__xludf.DUMMYFUNCTION("""COMPUTED_VALUE"""),361219.0)</f>
        <v>361219</v>
      </c>
      <c r="X616" s="3" t="str">
        <f>IFERROR(__xludf.DUMMYFUNCTION("""COMPUTED_VALUE"""),"172 หมู่ 1 ตำบลตานี อำเภอปราสาท จังหวัดสุรินทร์ 32140")</f>
        <v>172 หมู่ 1 ตำบลตานี อำเภอปราสาท จังหวัดสุรินทร์ 32140</v>
      </c>
      <c r="Y616" s="3"/>
      <c r="Z616" s="3" t="str">
        <f>IFERROR(__xludf.DUMMYFUNCTION("""COMPUTED_VALUE"""),"ตานี")</f>
        <v>ตานี</v>
      </c>
      <c r="AA616" s="3" t="str">
        <f>IFERROR(__xludf.DUMMYFUNCTION("""COMPUTED_VALUE"""),"ปราสาท")</f>
        <v>ปราสาท</v>
      </c>
      <c r="AB616" s="3" t="str">
        <f>IFERROR(__xludf.DUMMYFUNCTION("""COMPUTED_VALUE"""),"สุรินทร์")</f>
        <v>สุรินทร์</v>
      </c>
      <c r="AC616" s="3">
        <f>IFERROR(__xludf.DUMMYFUNCTION("""COMPUTED_VALUE"""),32140.0)</f>
        <v>32140</v>
      </c>
      <c r="AD616" s="3">
        <f>IFERROR(__xludf.DUMMYFUNCTION("""COMPUTED_VALUE"""),14.620734)</f>
        <v>14.620734</v>
      </c>
      <c r="AE616" s="3">
        <f>IFERROR(__xludf.DUMMYFUNCTION("""COMPUTED_VALUE"""),103.277578)</f>
        <v>103.277578</v>
      </c>
      <c r="AF616" s="3" t="str">
        <f>IFERROR(__xludf.DUMMYFUNCTION("""COMPUTED_VALUE"""),"MBC BCP ปราสาท-21383")</f>
        <v>MBC BCP ปราสาท-21383</v>
      </c>
      <c r="AG616" s="3" t="str">
        <f>IFERROR(__xludf.DUMMYFUNCTION("""COMPUTED_VALUE"""),"ตะวันออกเฉียงเหนือ")</f>
        <v>ตะวันออกเฉียงเหนือ</v>
      </c>
      <c r="AH616" s="3" t="str">
        <f>IFERROR(__xludf.DUMMYFUNCTION("""COMPUTED_VALUE"""),"#N/A")</f>
        <v>#N/A</v>
      </c>
      <c r="AI616" s="3" t="str">
        <f>IFERROR(__xludf.DUMMYFUNCTION("""COMPUTED_VALUE"""),"Out of warranty")</f>
        <v>Out of warranty</v>
      </c>
      <c r="AJ616" s="3">
        <f>IFERROR(__xludf.DUMMYFUNCTION("""COMPUTED_VALUE"""),123.0)</f>
        <v>123</v>
      </c>
      <c r="AK616" s="3" t="str">
        <f>IFERROR(__xludf.DUMMYFUNCTION("""COMPUTED_VALUE"""),"MMS13")</f>
        <v>MMS13</v>
      </c>
      <c r="AL616" s="3"/>
    </row>
    <row r="617" ht="15.75" customHeight="1">
      <c r="A617" s="1" t="str">
        <f>IFERROR(__xludf.DUMMYFUNCTION("""COMPUTED_VALUE"""),"21384")</f>
        <v>21384</v>
      </c>
      <c r="B617" s="2">
        <f>IFERROR(__xludf.DUMMYFUNCTION("""COMPUTED_VALUE"""),21384.0)</f>
        <v>21384</v>
      </c>
      <c r="C617" s="3" t="str">
        <f>IFERROR(__xludf.DUMMYFUNCTION("""COMPUTED_VALUE"""),"MBC BCP ศรีเทพ")</f>
        <v>MBC BCP ศรีเทพ</v>
      </c>
      <c r="D617" s="3" t="str">
        <f>IFERROR(__xludf.DUMMYFUNCTION("""COMPUTED_VALUE"""),"MBC BCP SI THEP")</f>
        <v>MBC BCP SI THEP</v>
      </c>
      <c r="E617" s="1" t="str">
        <f>IFERROR(__xludf.DUMMYFUNCTION("""COMPUTED_VALUE"""),"บิ๊กซี MINI")</f>
        <v>บิ๊กซี MINI</v>
      </c>
      <c r="F617" s="1" t="str">
        <f>IFERROR(__xludf.DUMMYFUNCTION("""COMPUTED_VALUE"""),"296229")</f>
        <v>296229</v>
      </c>
      <c r="G617" s="1" t="str">
        <f>IFERROR(__xludf.DUMMYFUNCTION("""COMPUTED_VALUE"""),"นายทนงศักดิ์ บุญมา")</f>
        <v>นายทนงศักดิ์ บุญมา</v>
      </c>
      <c r="H617" s="1" t="str">
        <f>IFERROR(__xludf.DUMMYFUNCTION("""COMPUTED_VALUE"""),"291082")</f>
        <v>291082</v>
      </c>
      <c r="I617" s="1" t="str">
        <f>IFERROR(__xludf.DUMMYFUNCTION("""COMPUTED_VALUE"""),"น.ส.วจี กันเกตุ")</f>
        <v>น.ส.วจี กันเกตุ</v>
      </c>
      <c r="J617" s="3">
        <f>IFERROR(__xludf.DUMMYFUNCTION("""COMPUTED_VALUE"""),46214.0)</f>
        <v>46214</v>
      </c>
      <c r="K617" s="3" t="str">
        <f>IFERROR(__xludf.DUMMYFUNCTION("""COMPUTED_VALUE"""),"นายศักดิ์ชัย เด็ดดอกฟ้า")</f>
        <v>นายศักดิ์ชัย เด็ดดอกฟ้า</v>
      </c>
      <c r="L617" s="1" t="str">
        <f>IFERROR(__xludf.DUMMYFUNCTION("""COMPUTED_VALUE"""),"02 K.Sakchai D")</f>
        <v>02 K.Sakchai D</v>
      </c>
      <c r="M617" s="1" t="str">
        <f>IFERROR(__xludf.DUMMYFUNCTION("""COMPUTED_VALUE"""),"065-510-7376")</f>
        <v>065-510-7376</v>
      </c>
      <c r="N617" s="3">
        <f>IFERROR(__xludf.DUMMYFUNCTION("""COMPUTED_VALUE"""),21441.0)</f>
        <v>21441</v>
      </c>
      <c r="O617" s="3" t="str">
        <f>IFERROR(__xludf.DUMMYFUNCTION("""COMPUTED_VALUE"""),"MBC บ้านกร่าง พิษณุโลก")</f>
        <v>MBC บ้านกร่าง พิษณุโลก</v>
      </c>
      <c r="P617" s="4">
        <f>IFERROR(__xludf.DUMMYFUNCTION("""COMPUTED_VALUE"""),42328.0)</f>
        <v>42328</v>
      </c>
      <c r="Q617" s="3" t="str">
        <f>IFERROR(__xludf.DUMMYFUNCTION("""COMPUTED_VALUE"""),"I")</f>
        <v>I</v>
      </c>
      <c r="R617" s="3" t="str">
        <f>IFERROR(__xludf.DUMMYFUNCTION("""COMPUTED_VALUE"""),"Small Format")</f>
        <v>Small Format</v>
      </c>
      <c r="S617" s="3" t="str">
        <f>IFERROR(__xludf.DUMMYFUNCTION("""COMPUTED_VALUE"""),"BCM")</f>
        <v>BCM</v>
      </c>
      <c r="T617" s="3" t="str">
        <f>IFERROR(__xludf.DUMMYFUNCTION("""COMPUTED_VALUE"""),"#N/A")</f>
        <v>#N/A</v>
      </c>
      <c r="U617" s="3" t="str">
        <f>IFERROR(__xludf.DUMMYFUNCTION("""COMPUTED_VALUE"""),"#N/A")</f>
        <v>#N/A</v>
      </c>
      <c r="V617" s="3" t="str">
        <f>IFERROR(__xludf.DUMMYFUNCTION("""COMPUTED_VALUE"""),"N")</f>
        <v>N</v>
      </c>
      <c r="W617" s="3">
        <f>IFERROR(__xludf.DUMMYFUNCTION("""COMPUTED_VALUE"""),0.0)</f>
        <v>0</v>
      </c>
      <c r="X617" s="3" t="str">
        <f>IFERROR(__xludf.DUMMYFUNCTION("""COMPUTED_VALUE"""),"56 หมู่ 6 ตำบลโคกสะอาด อำเภอศรีเทพ จังหวัดเพชรบูรณ์ 67170")</f>
        <v>56 หมู่ 6 ตำบลโคกสะอาด อำเภอศรีเทพ จังหวัดเพชรบูรณ์ 67170</v>
      </c>
      <c r="Y617" s="3"/>
      <c r="Z617" s="3" t="str">
        <f>IFERROR(__xludf.DUMMYFUNCTION("""COMPUTED_VALUE"""),"โคกสะอาด")</f>
        <v>โคกสะอาด</v>
      </c>
      <c r="AA617" s="3" t="str">
        <f>IFERROR(__xludf.DUMMYFUNCTION("""COMPUTED_VALUE"""),"ศรีเทพ")</f>
        <v>ศรีเทพ</v>
      </c>
      <c r="AB617" s="3" t="str">
        <f>IFERROR(__xludf.DUMMYFUNCTION("""COMPUTED_VALUE"""),"เพชรบูรณ์")</f>
        <v>เพชรบูรณ์</v>
      </c>
      <c r="AC617" s="3">
        <f>IFERROR(__xludf.DUMMYFUNCTION("""COMPUTED_VALUE"""),67170.0)</f>
        <v>67170</v>
      </c>
      <c r="AD617" s="3" t="str">
        <f>IFERROR(__xludf.DUMMYFUNCTION("""COMPUTED_VALUE"""),"#N/A")</f>
        <v>#N/A</v>
      </c>
      <c r="AE617" s="3" t="str">
        <f>IFERROR(__xludf.DUMMYFUNCTION("""COMPUTED_VALUE"""),"#N/A")</f>
        <v>#N/A</v>
      </c>
      <c r="AF617" s="3" t="str">
        <f>IFERROR(__xludf.DUMMYFUNCTION("""COMPUTED_VALUE"""),"MBC BCP ศรีเทพ-21384")</f>
        <v>MBC BCP ศรีเทพ-21384</v>
      </c>
      <c r="AG617" s="3" t="str">
        <f>IFERROR(__xludf.DUMMYFUNCTION("""COMPUTED_VALUE"""),"กลาง")</f>
        <v>กลาง</v>
      </c>
      <c r="AH617" s="3" t="str">
        <f>IFERROR(__xludf.DUMMYFUNCTION("""COMPUTED_VALUE"""),"#N/A")</f>
        <v>#N/A</v>
      </c>
      <c r="AI617" s="3" t="str">
        <f>IFERROR(__xludf.DUMMYFUNCTION("""COMPUTED_VALUE"""),"Out of warranty")</f>
        <v>Out of warranty</v>
      </c>
      <c r="AJ617" s="3">
        <f>IFERROR(__xludf.DUMMYFUNCTION("""COMPUTED_VALUE"""),123.0)</f>
        <v>123</v>
      </c>
      <c r="AK617" s="3"/>
      <c r="AL617" s="3"/>
    </row>
    <row r="618" ht="15.75" customHeight="1">
      <c r="A618" s="1" t="str">
        <f>IFERROR(__xludf.DUMMYFUNCTION("""COMPUTED_VALUE"""),"21385")</f>
        <v>21385</v>
      </c>
      <c r="B618" s="2">
        <f>IFERROR(__xludf.DUMMYFUNCTION("""COMPUTED_VALUE"""),21385.0)</f>
        <v>21385</v>
      </c>
      <c r="C618" s="3" t="str">
        <f>IFERROR(__xludf.DUMMYFUNCTION("""COMPUTED_VALUE"""),"MBC BCP ข่วงเปา-จอมทอง")</f>
        <v>MBC BCP ข่วงเปา-จอมทอง</v>
      </c>
      <c r="D618" s="3" t="str">
        <f>IFERROR(__xludf.DUMMYFUNCTION("""COMPUTED_VALUE"""),"MBC BCP KHUANG PAO-CHOM THONG")</f>
        <v>MBC BCP KHUANG PAO-CHOM THONG</v>
      </c>
      <c r="E618" s="1" t="str">
        <f>IFERROR(__xludf.DUMMYFUNCTION("""COMPUTED_VALUE"""),"บิ๊กซี MINI")</f>
        <v>บิ๊กซี MINI</v>
      </c>
      <c r="F618" s="1" t="str">
        <f>IFERROR(__xludf.DUMMYFUNCTION("""COMPUTED_VALUE"""),"296229")</f>
        <v>296229</v>
      </c>
      <c r="G618" s="1" t="str">
        <f>IFERROR(__xludf.DUMMYFUNCTION("""COMPUTED_VALUE"""),"นายทนงศักดิ์ บุญมา")</f>
        <v>นายทนงศักดิ์ บุญมา</v>
      </c>
      <c r="H618" s="1" t="str">
        <f>IFERROR(__xludf.DUMMYFUNCTION("""COMPUTED_VALUE"""),"254905")</f>
        <v>254905</v>
      </c>
      <c r="I618" s="1" t="str">
        <f>IFERROR(__xludf.DUMMYFUNCTION("""COMPUTED_VALUE"""),"น.ส.เนียรนิภา คงตระกูล")</f>
        <v>น.ส.เนียรนิภา คงตระกูล</v>
      </c>
      <c r="J618" s="3">
        <f>IFERROR(__xludf.DUMMYFUNCTION("""COMPUTED_VALUE"""),46214.0)</f>
        <v>46214</v>
      </c>
      <c r="K618" s="3" t="str">
        <f>IFERROR(__xludf.DUMMYFUNCTION("""COMPUTED_VALUE"""),"นายศักดิ์ชัย เด็ดดอกฟ้า")</f>
        <v>นายศักดิ์ชัย เด็ดดอกฟ้า</v>
      </c>
      <c r="L618" s="1" t="str">
        <f>IFERROR(__xludf.DUMMYFUNCTION("""COMPUTED_VALUE"""),"02 K.Sakchai D")</f>
        <v>02 K.Sakchai D</v>
      </c>
      <c r="M618" s="1" t="str">
        <f>IFERROR(__xludf.DUMMYFUNCTION("""COMPUTED_VALUE"""),"065-510-7376")</f>
        <v>065-510-7376</v>
      </c>
      <c r="N618" s="3">
        <f>IFERROR(__xludf.DUMMYFUNCTION("""COMPUTED_VALUE"""),21441.0)</f>
        <v>21441</v>
      </c>
      <c r="O618" s="3" t="str">
        <f>IFERROR(__xludf.DUMMYFUNCTION("""COMPUTED_VALUE"""),"MBC บ้านกร่าง พิษณุโลก")</f>
        <v>MBC บ้านกร่าง พิษณุโลก</v>
      </c>
      <c r="P618" s="4">
        <f>IFERROR(__xludf.DUMMYFUNCTION("""COMPUTED_VALUE"""),42331.0)</f>
        <v>42331</v>
      </c>
      <c r="Q618" s="3" t="str">
        <f>IFERROR(__xludf.DUMMYFUNCTION("""COMPUTED_VALUE"""),"I")</f>
        <v>I</v>
      </c>
      <c r="R618" s="3" t="str">
        <f>IFERROR(__xludf.DUMMYFUNCTION("""COMPUTED_VALUE"""),"Small Format")</f>
        <v>Small Format</v>
      </c>
      <c r="S618" s="3" t="str">
        <f>IFERROR(__xludf.DUMMYFUNCTION("""COMPUTED_VALUE"""),"BCM")</f>
        <v>BCM</v>
      </c>
      <c r="T618" s="3" t="str">
        <f>IFERROR(__xludf.DUMMYFUNCTION("""COMPUTED_VALUE"""),"#N/A")</f>
        <v>#N/A</v>
      </c>
      <c r="U618" s="3" t="str">
        <f>IFERROR(__xludf.DUMMYFUNCTION("""COMPUTED_VALUE"""),"#N/A")</f>
        <v>#N/A</v>
      </c>
      <c r="V618" s="3" t="str">
        <f>IFERROR(__xludf.DUMMYFUNCTION("""COMPUTED_VALUE"""),"N")</f>
        <v>N</v>
      </c>
      <c r="W618" s="3">
        <f>IFERROR(__xludf.DUMMYFUNCTION("""COMPUTED_VALUE"""),361140.0)</f>
        <v>361140</v>
      </c>
      <c r="X618" s="3" t="str">
        <f>IFERROR(__xludf.DUMMYFUNCTION("""COMPUTED_VALUE"""),"390/1 หมู่ 9 ตำบลข่วงเปา อำเภอจอมทอง จังหวัดเชียงใหม่ 50160")</f>
        <v>390/1 หมู่ 9 ตำบลข่วงเปา อำเภอจอมทอง จังหวัดเชียงใหม่ 50160</v>
      </c>
      <c r="Y618" s="3"/>
      <c r="Z618" s="3" t="str">
        <f>IFERROR(__xludf.DUMMYFUNCTION("""COMPUTED_VALUE"""),"ข่วงเปา")</f>
        <v>ข่วงเปา</v>
      </c>
      <c r="AA618" s="3" t="str">
        <f>IFERROR(__xludf.DUMMYFUNCTION("""COMPUTED_VALUE"""),"จอมทอง")</f>
        <v>จอมทอง</v>
      </c>
      <c r="AB618" s="3" t="str">
        <f>IFERROR(__xludf.DUMMYFUNCTION("""COMPUTED_VALUE"""),"เชียงใหม่")</f>
        <v>เชียงใหม่</v>
      </c>
      <c r="AC618" s="3">
        <f>IFERROR(__xludf.DUMMYFUNCTION("""COMPUTED_VALUE"""),50160.0)</f>
        <v>50160</v>
      </c>
      <c r="AD618" s="3" t="str">
        <f>IFERROR(__xludf.DUMMYFUNCTION("""COMPUTED_VALUE"""),"#N/A")</f>
        <v>#N/A</v>
      </c>
      <c r="AE618" s="3" t="str">
        <f>IFERROR(__xludf.DUMMYFUNCTION("""COMPUTED_VALUE"""),"#N/A")</f>
        <v>#N/A</v>
      </c>
      <c r="AF618" s="3" t="str">
        <f>IFERROR(__xludf.DUMMYFUNCTION("""COMPUTED_VALUE"""),"MBC BCP ข่วงเปา-จอมทอง-21385")</f>
        <v>MBC BCP ข่วงเปา-จอมทอง-21385</v>
      </c>
      <c r="AG618" s="3" t="str">
        <f>IFERROR(__xludf.DUMMYFUNCTION("""COMPUTED_VALUE"""),"เหนือ")</f>
        <v>เหนือ</v>
      </c>
      <c r="AH618" s="3" t="str">
        <f>IFERROR(__xludf.DUMMYFUNCTION("""COMPUTED_VALUE"""),"#N/A")</f>
        <v>#N/A</v>
      </c>
      <c r="AI618" s="3" t="str">
        <f>IFERROR(__xludf.DUMMYFUNCTION("""COMPUTED_VALUE"""),"Out of warranty")</f>
        <v>Out of warranty</v>
      </c>
      <c r="AJ618" s="3">
        <f>IFERROR(__xludf.DUMMYFUNCTION("""COMPUTED_VALUE"""),122.0)</f>
        <v>122</v>
      </c>
      <c r="AK618" s="3"/>
      <c r="AL618" s="3"/>
    </row>
    <row r="619" ht="15.75" customHeight="1">
      <c r="A619" s="1" t="str">
        <f>IFERROR(__xludf.DUMMYFUNCTION("""COMPUTED_VALUE"""),"21386")</f>
        <v>21386</v>
      </c>
      <c r="B619" s="2">
        <f>IFERROR(__xludf.DUMMYFUNCTION("""COMPUTED_VALUE"""),21386.0)</f>
        <v>21386</v>
      </c>
      <c r="C619" s="3" t="str">
        <f>IFERROR(__xludf.DUMMYFUNCTION("""COMPUTED_VALUE"""),"MBC จันทน์ 27")</f>
        <v>MBC จันทน์ 27</v>
      </c>
      <c r="D619" s="3" t="str">
        <f>IFERROR(__xludf.DUMMYFUNCTION("""COMPUTED_VALUE"""),"MBC CHAN 27")</f>
        <v>MBC CHAN 27</v>
      </c>
      <c r="E619" s="1" t="str">
        <f>IFERROR(__xludf.DUMMYFUNCTION("""COMPUTED_VALUE"""),"บิ๊กซี MINI")</f>
        <v>บิ๊กซี MINI</v>
      </c>
      <c r="F619" s="1" t="str">
        <f>IFERROR(__xludf.DUMMYFUNCTION("""COMPUTED_VALUE"""),"291008")</f>
        <v>291008</v>
      </c>
      <c r="G619" s="1" t="str">
        <f>IFERROR(__xludf.DUMMYFUNCTION("""COMPUTED_VALUE"""),"น.ส.รัชดาพร อีศรัตน์")</f>
        <v>น.ส.รัชดาพร อีศรัตน์</v>
      </c>
      <c r="H619" s="1" t="str">
        <f>IFERROR(__xludf.DUMMYFUNCTION("""COMPUTED_VALUE"""),"034068")</f>
        <v>034068</v>
      </c>
      <c r="I619" s="1" t="str">
        <f>IFERROR(__xludf.DUMMYFUNCTION("""COMPUTED_VALUE"""),"นายสมศักดิ์ ฐานทองดี")</f>
        <v>นายสมศักดิ์ ฐานทองดี</v>
      </c>
      <c r="J619" s="3">
        <f>IFERROR(__xludf.DUMMYFUNCTION("""COMPUTED_VALUE"""),3510104.0)</f>
        <v>3510104</v>
      </c>
      <c r="K619" s="3" t="str">
        <f>IFERROR(__xludf.DUMMYFUNCTION("""COMPUTED_VALUE"""),"นายวิโรจน์ อับดุลสมัด")</f>
        <v>นายวิโรจน์ อับดุลสมัด</v>
      </c>
      <c r="L619" s="1" t="str">
        <f>IFERROR(__xludf.DUMMYFUNCTION("""COMPUTED_VALUE"""),"09 K.Wirode A")</f>
        <v>09 K.Wirode A</v>
      </c>
      <c r="M619" s="1" t="str">
        <f>IFERROR(__xludf.DUMMYFUNCTION("""COMPUTED_VALUE"""),"080-235-4465")</f>
        <v>080-235-4465</v>
      </c>
      <c r="N619" s="3">
        <f>IFERROR(__xludf.DUMMYFUNCTION("""COMPUTED_VALUE"""),21324.0)</f>
        <v>21324</v>
      </c>
      <c r="O619" s="3" t="str">
        <f>IFERROR(__xludf.DUMMYFUNCTION("""COMPUTED_VALUE"""),"MBC BCP สุวินทวงศ์")</f>
        <v>MBC BCP สุวินทวงศ์</v>
      </c>
      <c r="P619" s="4">
        <f>IFERROR(__xludf.DUMMYFUNCTION("""COMPUTED_VALUE"""),42350.0)</f>
        <v>42350</v>
      </c>
      <c r="Q619" s="3" t="str">
        <f>IFERROR(__xludf.DUMMYFUNCTION("""COMPUTED_VALUE"""),"I")</f>
        <v>I</v>
      </c>
      <c r="R619" s="3" t="str">
        <f>IFERROR(__xludf.DUMMYFUNCTION("""COMPUTED_VALUE"""),"Small Format")</f>
        <v>Small Format</v>
      </c>
      <c r="S619" s="3" t="str">
        <f>IFERROR(__xludf.DUMMYFUNCTION("""COMPUTED_VALUE"""),"BCM")</f>
        <v>BCM</v>
      </c>
      <c r="T619" s="3" t="str">
        <f>IFERROR(__xludf.DUMMYFUNCTION("""COMPUTED_VALUE"""),"#N/A")</f>
        <v>#N/A</v>
      </c>
      <c r="U619" s="3" t="str">
        <f>IFERROR(__xludf.DUMMYFUNCTION("""COMPUTED_VALUE"""),"#N/A")</f>
        <v>#N/A</v>
      </c>
      <c r="V619" s="3" t="str">
        <f>IFERROR(__xludf.DUMMYFUNCTION("""COMPUTED_VALUE"""),"N")</f>
        <v>N</v>
      </c>
      <c r="W619" s="3">
        <f>IFERROR(__xludf.DUMMYFUNCTION("""COMPUTED_VALUE"""),0.0)</f>
        <v>0</v>
      </c>
      <c r="X619" s="3" t="str">
        <f>IFERROR(__xludf.DUMMYFUNCTION("""COMPUTED_VALUE"""),"33 ถนนจันทน์ แขวงทุ่งวัดดอน เขตสาทร กรุงเทพมหานคร 10120")</f>
        <v>33 ถนนจันทน์ แขวงทุ่งวัดดอน เขตสาทร กรุงเทพมหานคร 10120</v>
      </c>
      <c r="Y619" s="3" t="str">
        <f>IFERROR(__xludf.DUMMYFUNCTION("""COMPUTED_VALUE"""),"ถนนจันทน์")</f>
        <v>ถนนจันทน์</v>
      </c>
      <c r="Z619" s="3" t="str">
        <f>IFERROR(__xludf.DUMMYFUNCTION("""COMPUTED_VALUE"""),"ทุ่งวัดดอน")</f>
        <v>ทุ่งวัดดอน</v>
      </c>
      <c r="AA619" s="3" t="str">
        <f>IFERROR(__xludf.DUMMYFUNCTION("""COMPUTED_VALUE"""),"สาทร")</f>
        <v>สาทร</v>
      </c>
      <c r="AB619" s="3" t="str">
        <f>IFERROR(__xludf.DUMMYFUNCTION("""COMPUTED_VALUE"""),"กรุงเทพมหานคร")</f>
        <v>กรุงเทพมหานคร</v>
      </c>
      <c r="AC619" s="3">
        <f>IFERROR(__xludf.DUMMYFUNCTION("""COMPUTED_VALUE"""),10120.0)</f>
        <v>10120</v>
      </c>
      <c r="AD619" s="3" t="str">
        <f>IFERROR(__xludf.DUMMYFUNCTION("""COMPUTED_VALUE"""),"#N/A")</f>
        <v>#N/A</v>
      </c>
      <c r="AE619" s="3" t="str">
        <f>IFERROR(__xludf.DUMMYFUNCTION("""COMPUTED_VALUE"""),"#N/A")</f>
        <v>#N/A</v>
      </c>
      <c r="AF619" s="3" t="str">
        <f>IFERROR(__xludf.DUMMYFUNCTION("""COMPUTED_VALUE"""),"MBC จันทน์ 27-21386")</f>
        <v>MBC จันทน์ 27-21386</v>
      </c>
      <c r="AG619" s="3" t="str">
        <f>IFERROR(__xludf.DUMMYFUNCTION("""COMPUTED_VALUE"""),"กลาง")</f>
        <v>กลาง</v>
      </c>
      <c r="AH619" s="3" t="str">
        <f>IFERROR(__xludf.DUMMYFUNCTION("""COMPUTED_VALUE"""),"#N/A")</f>
        <v>#N/A</v>
      </c>
      <c r="AI619" s="3" t="str">
        <f>IFERROR(__xludf.DUMMYFUNCTION("""COMPUTED_VALUE"""),"Out of warranty")</f>
        <v>Out of warranty</v>
      </c>
      <c r="AJ619" s="3">
        <f>IFERROR(__xludf.DUMMYFUNCTION("""COMPUTED_VALUE"""),122.0)</f>
        <v>122</v>
      </c>
      <c r="AK619" s="3"/>
      <c r="AL619" s="3"/>
    </row>
    <row r="620" ht="15.75" customHeight="1">
      <c r="A620" s="1" t="str">
        <f>IFERROR(__xludf.DUMMYFUNCTION("""COMPUTED_VALUE"""),"21387")</f>
        <v>21387</v>
      </c>
      <c r="B620" s="2">
        <f>IFERROR(__xludf.DUMMYFUNCTION("""COMPUTED_VALUE"""),21387.0)</f>
        <v>21387</v>
      </c>
      <c r="C620" s="3" t="str">
        <f>IFERROR(__xludf.DUMMYFUNCTION("""COMPUTED_VALUE"""),"MBC BCP ท่าทราย-มหาชัย")</f>
        <v>MBC BCP ท่าทราย-มหาชัย</v>
      </c>
      <c r="D620" s="3" t="str">
        <f>IFERROR(__xludf.DUMMYFUNCTION("""COMPUTED_VALUE"""),"MBC BCP THA SAI - MAHACHAI")</f>
        <v>MBC BCP THA SAI - MAHACHAI</v>
      </c>
      <c r="E620" s="1" t="str">
        <f>IFERROR(__xludf.DUMMYFUNCTION("""COMPUTED_VALUE"""),"บิ๊กซี MINI")</f>
        <v>บิ๊กซี MINI</v>
      </c>
      <c r="F620" s="1" t="str">
        <f>IFERROR(__xludf.DUMMYFUNCTION("""COMPUTED_VALUE"""),"250760")</f>
        <v>250760</v>
      </c>
      <c r="G620" s="1" t="str">
        <f>IFERROR(__xludf.DUMMYFUNCTION("""COMPUTED_VALUE"""),"นายประทวน สาราบรรณ์")</f>
        <v>นายประทวน สาราบรรณ์</v>
      </c>
      <c r="H620" s="1" t="str">
        <f>IFERROR(__xludf.DUMMYFUNCTION("""COMPUTED_VALUE"""),"284752")</f>
        <v>284752</v>
      </c>
      <c r="I620" s="1" t="str">
        <f>IFERROR(__xludf.DUMMYFUNCTION("""COMPUTED_VALUE"""),"น.ส.วีรนันท์ แสงใส")</f>
        <v>น.ส.วีรนันท์ แสงใส</v>
      </c>
      <c r="J620" s="3">
        <f>IFERROR(__xludf.DUMMYFUNCTION("""COMPUTED_VALUE"""),295541.0)</f>
        <v>295541</v>
      </c>
      <c r="K620" s="3" t="str">
        <f>IFERROR(__xludf.DUMMYFUNCTION("""COMPUTED_VALUE"""),"นายรพิพล ศรีมาตย์")</f>
        <v>นายรพิพล ศรีมาตย์</v>
      </c>
      <c r="L620" s="1" t="str">
        <f>IFERROR(__xludf.DUMMYFUNCTION("""COMPUTED_VALUE"""),"นายรพิพล ศรีมาตย์")</f>
        <v>นายรพิพล ศรีมาตย์</v>
      </c>
      <c r="M620" s="1" t="str">
        <f>IFERROR(__xludf.DUMMYFUNCTION("""COMPUTED_VALUE"""),"0613966115")</f>
        <v>0613966115</v>
      </c>
      <c r="N620" s="3">
        <f>IFERROR(__xludf.DUMMYFUNCTION("""COMPUTED_VALUE"""),21175.0)</f>
        <v>21175</v>
      </c>
      <c r="O620" s="3" t="str">
        <f>IFERROR(__xludf.DUMMYFUNCTION("""COMPUTED_VALUE"""),"MBC BCP กิ่งแก้ว")</f>
        <v>MBC BCP กิ่งแก้ว</v>
      </c>
      <c r="P620" s="4">
        <f>IFERROR(__xludf.DUMMYFUNCTION("""COMPUTED_VALUE"""),42336.0)</f>
        <v>42336</v>
      </c>
      <c r="Q620" s="3" t="str">
        <f>IFERROR(__xludf.DUMMYFUNCTION("""COMPUTED_VALUE"""),"I")</f>
        <v>I</v>
      </c>
      <c r="R620" s="3" t="str">
        <f>IFERROR(__xludf.DUMMYFUNCTION("""COMPUTED_VALUE"""),"Small Format")</f>
        <v>Small Format</v>
      </c>
      <c r="S620" s="3" t="str">
        <f>IFERROR(__xludf.DUMMYFUNCTION("""COMPUTED_VALUE"""),"BCM")</f>
        <v>BCM</v>
      </c>
      <c r="T620" s="3" t="str">
        <f>IFERROR(__xludf.DUMMYFUNCTION("""COMPUTED_VALUE"""),"#N/A")</f>
        <v>#N/A</v>
      </c>
      <c r="U620" s="3" t="str">
        <f>IFERROR(__xludf.DUMMYFUNCTION("""COMPUTED_VALUE"""),"#N/A")</f>
        <v>#N/A</v>
      </c>
      <c r="V620" s="3" t="str">
        <f>IFERROR(__xludf.DUMMYFUNCTION("""COMPUTED_VALUE"""),"N")</f>
        <v>N</v>
      </c>
      <c r="W620" s="3">
        <f>IFERROR(__xludf.DUMMYFUNCTION("""COMPUTED_VALUE"""),0.0)</f>
        <v>0</v>
      </c>
      <c r="X620" s="3" t="str">
        <f>IFERROR(__xludf.DUMMYFUNCTION("""COMPUTED_VALUE"""),"47/10 หมู่ 8 ตำบลท่าทราย อำเภอเมืองสมุทรสาคร จังหวัดสมุทรสาคร 74000")</f>
        <v>47/10 หมู่ 8 ตำบลท่าทราย อำเภอเมืองสมุทรสาคร จังหวัดสมุทรสาคร 74000</v>
      </c>
      <c r="Y620" s="3"/>
      <c r="Z620" s="3" t="str">
        <f>IFERROR(__xludf.DUMMYFUNCTION("""COMPUTED_VALUE"""),"ท่าทราย")</f>
        <v>ท่าทราย</v>
      </c>
      <c r="AA620" s="3" t="str">
        <f>IFERROR(__xludf.DUMMYFUNCTION("""COMPUTED_VALUE"""),"เมือง")</f>
        <v>เมือง</v>
      </c>
      <c r="AB620" s="3" t="str">
        <f>IFERROR(__xludf.DUMMYFUNCTION("""COMPUTED_VALUE"""),"สมุทรสาคร")</f>
        <v>สมุทรสาคร</v>
      </c>
      <c r="AC620" s="3">
        <f>IFERROR(__xludf.DUMMYFUNCTION("""COMPUTED_VALUE"""),74000.0)</f>
        <v>74000</v>
      </c>
      <c r="AD620" s="3" t="str">
        <f>IFERROR(__xludf.DUMMYFUNCTION("""COMPUTED_VALUE"""),"#N/A")</f>
        <v>#N/A</v>
      </c>
      <c r="AE620" s="3" t="str">
        <f>IFERROR(__xludf.DUMMYFUNCTION("""COMPUTED_VALUE"""),"#N/A")</f>
        <v>#N/A</v>
      </c>
      <c r="AF620" s="3" t="str">
        <f>IFERROR(__xludf.DUMMYFUNCTION("""COMPUTED_VALUE"""),"MBC BCP ท่าทราย-มหาชัย-21387")</f>
        <v>MBC BCP ท่าทราย-มหาชัย-21387</v>
      </c>
      <c r="AG620" s="3" t="str">
        <f>IFERROR(__xludf.DUMMYFUNCTION("""COMPUTED_VALUE"""),"กลาง")</f>
        <v>กลาง</v>
      </c>
      <c r="AH620" s="3" t="str">
        <f>IFERROR(__xludf.DUMMYFUNCTION("""COMPUTED_VALUE"""),"#N/A")</f>
        <v>#N/A</v>
      </c>
      <c r="AI620" s="3" t="str">
        <f>IFERROR(__xludf.DUMMYFUNCTION("""COMPUTED_VALUE"""),"Out of warranty")</f>
        <v>Out of warranty</v>
      </c>
      <c r="AJ620" s="3">
        <f>IFERROR(__xludf.DUMMYFUNCTION("""COMPUTED_VALUE"""),122.0)</f>
        <v>122</v>
      </c>
      <c r="AK620" s="3"/>
      <c r="AL620" s="3"/>
    </row>
    <row r="621" ht="15.75" customHeight="1">
      <c r="A621" s="1" t="str">
        <f>IFERROR(__xludf.DUMMYFUNCTION("""COMPUTED_VALUE"""),"21388")</f>
        <v>21388</v>
      </c>
      <c r="B621" s="2">
        <f>IFERROR(__xludf.DUMMYFUNCTION("""COMPUTED_VALUE"""),21388.0)</f>
        <v>21388</v>
      </c>
      <c r="C621" s="3" t="str">
        <f>IFERROR(__xludf.DUMMYFUNCTION("""COMPUTED_VALUE"""),"MBC BCP นิคมพัฒนา")</f>
        <v>MBC BCP นิคมพัฒนา</v>
      </c>
      <c r="D621" s="3" t="str">
        <f>IFERROR(__xludf.DUMMYFUNCTION("""COMPUTED_VALUE"""),"MBC BCP NIKHOM PHATTHANA")</f>
        <v>MBC BCP NIKHOM PHATTHANA</v>
      </c>
      <c r="E621" s="1" t="str">
        <f>IFERROR(__xludf.DUMMYFUNCTION("""COMPUTED_VALUE"""),"บิ๊กซี MINI")</f>
        <v>บิ๊กซี MINI</v>
      </c>
      <c r="F621" s="1" t="str">
        <f>IFERROR(__xludf.DUMMYFUNCTION("""COMPUTED_VALUE"""),"250760")</f>
        <v>250760</v>
      </c>
      <c r="G621" s="1" t="str">
        <f>IFERROR(__xludf.DUMMYFUNCTION("""COMPUTED_VALUE"""),"นายประทวน สาราบรรณ์")</f>
        <v>นายประทวน สาราบรรณ์</v>
      </c>
      <c r="H621" s="1" t="str">
        <f>IFERROR(__xludf.DUMMYFUNCTION("""COMPUTED_VALUE"""),"359233")</f>
        <v>359233</v>
      </c>
      <c r="I621" s="1" t="str">
        <f>IFERROR(__xludf.DUMMYFUNCTION("""COMPUTED_VALUE"""),"น.ส.ปยุดา คำมีอ่อน")</f>
        <v>น.ส.ปยุดา คำมีอ่อน</v>
      </c>
      <c r="J621" s="3">
        <f>IFERROR(__xludf.DUMMYFUNCTION("""COMPUTED_VALUE"""),295541.0)</f>
        <v>295541</v>
      </c>
      <c r="K621" s="3" t="str">
        <f>IFERROR(__xludf.DUMMYFUNCTION("""COMPUTED_VALUE"""),"นายรพิพล ศรีมาตย์")</f>
        <v>นายรพิพล ศรีมาตย์</v>
      </c>
      <c r="L621" s="1" t="str">
        <f>IFERROR(__xludf.DUMMYFUNCTION("""COMPUTED_VALUE"""),"นายรพิพล ศรีมาตย์")</f>
        <v>นายรพิพล ศรีมาตย์</v>
      </c>
      <c r="M621" s="1" t="str">
        <f>IFERROR(__xludf.DUMMYFUNCTION("""COMPUTED_VALUE"""),"0613966115")</f>
        <v>0613966115</v>
      </c>
      <c r="N621" s="3">
        <f>IFERROR(__xludf.DUMMYFUNCTION("""COMPUTED_VALUE"""),21175.0)</f>
        <v>21175</v>
      </c>
      <c r="O621" s="3" t="str">
        <f>IFERROR(__xludf.DUMMYFUNCTION("""COMPUTED_VALUE"""),"MBC BCP กิ่งแก้ว")</f>
        <v>MBC BCP กิ่งแก้ว</v>
      </c>
      <c r="P621" s="4">
        <f>IFERROR(__xludf.DUMMYFUNCTION("""COMPUTED_VALUE"""),42349.0)</f>
        <v>42349</v>
      </c>
      <c r="Q621" s="3" t="str">
        <f>IFERROR(__xludf.DUMMYFUNCTION("""COMPUTED_VALUE"""),"I")</f>
        <v>I</v>
      </c>
      <c r="R621" s="3" t="str">
        <f>IFERROR(__xludf.DUMMYFUNCTION("""COMPUTED_VALUE"""),"Small Format")</f>
        <v>Small Format</v>
      </c>
      <c r="S621" s="3" t="str">
        <f>IFERROR(__xludf.DUMMYFUNCTION("""COMPUTED_VALUE"""),"BCM")</f>
        <v>BCM</v>
      </c>
      <c r="T621" s="3" t="str">
        <f>IFERROR(__xludf.DUMMYFUNCTION("""COMPUTED_VALUE"""),"#N/A")</f>
        <v>#N/A</v>
      </c>
      <c r="U621" s="3" t="str">
        <f>IFERROR(__xludf.DUMMYFUNCTION("""COMPUTED_VALUE"""),"#N/A")</f>
        <v>#N/A</v>
      </c>
      <c r="V621" s="3" t="str">
        <f>IFERROR(__xludf.DUMMYFUNCTION("""COMPUTED_VALUE"""),"N")</f>
        <v>N</v>
      </c>
      <c r="W621" s="3">
        <f>IFERROR(__xludf.DUMMYFUNCTION("""COMPUTED_VALUE"""),0.0)</f>
        <v>0</v>
      </c>
      <c r="X621" s="3" t="str">
        <f>IFERROR(__xludf.DUMMYFUNCTION("""COMPUTED_VALUE"""),"91/10 หมู่ 2 ตำบลนิคมพัฒนา อำเภอนิคมพัฒนา จังหวัดระยอง 21180")</f>
        <v>91/10 หมู่ 2 ตำบลนิคมพัฒนา อำเภอนิคมพัฒนา จังหวัดระยอง 21180</v>
      </c>
      <c r="Y621" s="3"/>
      <c r="Z621" s="3" t="str">
        <f>IFERROR(__xludf.DUMMYFUNCTION("""COMPUTED_VALUE"""),"นิคมพัฒนา")</f>
        <v>นิคมพัฒนา</v>
      </c>
      <c r="AA621" s="3" t="str">
        <f>IFERROR(__xludf.DUMMYFUNCTION("""COMPUTED_VALUE"""),"นิคมพัฒนา")</f>
        <v>นิคมพัฒนา</v>
      </c>
      <c r="AB621" s="3" t="str">
        <f>IFERROR(__xludf.DUMMYFUNCTION("""COMPUTED_VALUE"""),"ระยอง")</f>
        <v>ระยอง</v>
      </c>
      <c r="AC621" s="3">
        <f>IFERROR(__xludf.DUMMYFUNCTION("""COMPUTED_VALUE"""),21180.0)</f>
        <v>21180</v>
      </c>
      <c r="AD621" s="3" t="str">
        <f>IFERROR(__xludf.DUMMYFUNCTION("""COMPUTED_VALUE"""),"#N/A")</f>
        <v>#N/A</v>
      </c>
      <c r="AE621" s="3" t="str">
        <f>IFERROR(__xludf.DUMMYFUNCTION("""COMPUTED_VALUE"""),"#N/A")</f>
        <v>#N/A</v>
      </c>
      <c r="AF621" s="3" t="str">
        <f>IFERROR(__xludf.DUMMYFUNCTION("""COMPUTED_VALUE"""),"MBC BCP นิคมพัฒนา-21388")</f>
        <v>MBC BCP นิคมพัฒนา-21388</v>
      </c>
      <c r="AG621" s="3" t="str">
        <f>IFERROR(__xludf.DUMMYFUNCTION("""COMPUTED_VALUE"""),"ตะวันออก")</f>
        <v>ตะวันออก</v>
      </c>
      <c r="AH621" s="3" t="str">
        <f>IFERROR(__xludf.DUMMYFUNCTION("""COMPUTED_VALUE"""),"#N/A")</f>
        <v>#N/A</v>
      </c>
      <c r="AI621" s="3" t="str">
        <f>IFERROR(__xludf.DUMMYFUNCTION("""COMPUTED_VALUE"""),"Out of warranty")</f>
        <v>Out of warranty</v>
      </c>
      <c r="AJ621" s="3">
        <f>IFERROR(__xludf.DUMMYFUNCTION("""COMPUTED_VALUE"""),122.0)</f>
        <v>122</v>
      </c>
      <c r="AK621" s="3"/>
      <c r="AL621" s="3"/>
    </row>
    <row r="622" ht="15.75" customHeight="1">
      <c r="A622" s="1" t="str">
        <f>IFERROR(__xludf.DUMMYFUNCTION("""COMPUTED_VALUE"""),"21389")</f>
        <v>21389</v>
      </c>
      <c r="B622" s="2">
        <f>IFERROR(__xludf.DUMMYFUNCTION("""COMPUTED_VALUE"""),21389.0)</f>
        <v>21389</v>
      </c>
      <c r="C622" s="3" t="str">
        <f>IFERROR(__xludf.DUMMYFUNCTION("""COMPUTED_VALUE"""),"MBC ประชาสงเคราะห์")</f>
        <v>MBC ประชาสงเคราะห์</v>
      </c>
      <c r="D622" s="3" t="str">
        <f>IFERROR(__xludf.DUMMYFUNCTION("""COMPUTED_VALUE"""),"MBC PRACHASONGKHRO")</f>
        <v>MBC PRACHASONGKHRO</v>
      </c>
      <c r="E622" s="1" t="str">
        <f>IFERROR(__xludf.DUMMYFUNCTION("""COMPUTED_VALUE"""),"บิ๊กซี MINI")</f>
        <v>บิ๊กซี MINI</v>
      </c>
      <c r="F622" s="1" t="str">
        <f>IFERROR(__xludf.DUMMYFUNCTION("""COMPUTED_VALUE"""),"291008")</f>
        <v>291008</v>
      </c>
      <c r="G622" s="1" t="str">
        <f>IFERROR(__xludf.DUMMYFUNCTION("""COMPUTED_VALUE"""),"น.ส.รัชดาพร อีศรัตน์")</f>
        <v>น.ส.รัชดาพร อีศรัตน์</v>
      </c>
      <c r="H622" s="1" t="str">
        <f>IFERROR(__xludf.DUMMYFUNCTION("""COMPUTED_VALUE"""),"034068")</f>
        <v>034068</v>
      </c>
      <c r="I622" s="1" t="str">
        <f>IFERROR(__xludf.DUMMYFUNCTION("""COMPUTED_VALUE"""),"นายสมศักดิ์ ฐานทองดี")</f>
        <v>นายสมศักดิ์ ฐานทองดี</v>
      </c>
      <c r="J622" s="3">
        <f>IFERROR(__xludf.DUMMYFUNCTION("""COMPUTED_VALUE"""),3510104.0)</f>
        <v>3510104</v>
      </c>
      <c r="K622" s="3" t="str">
        <f>IFERROR(__xludf.DUMMYFUNCTION("""COMPUTED_VALUE"""),"นายวิโรจน์ อับดุลสมัด")</f>
        <v>นายวิโรจน์ อับดุลสมัด</v>
      </c>
      <c r="L622" s="1" t="str">
        <f>IFERROR(__xludf.DUMMYFUNCTION("""COMPUTED_VALUE"""),"09 K.Wirode A")</f>
        <v>09 K.Wirode A</v>
      </c>
      <c r="M622" s="1" t="str">
        <f>IFERROR(__xludf.DUMMYFUNCTION("""COMPUTED_VALUE"""),"080-235-4465")</f>
        <v>080-235-4465</v>
      </c>
      <c r="N622" s="3">
        <f>IFERROR(__xludf.DUMMYFUNCTION("""COMPUTED_VALUE"""),21324.0)</f>
        <v>21324</v>
      </c>
      <c r="O622" s="3" t="str">
        <f>IFERROR(__xludf.DUMMYFUNCTION("""COMPUTED_VALUE"""),"MBC BCP สุวินทวงศ์")</f>
        <v>MBC BCP สุวินทวงศ์</v>
      </c>
      <c r="P622" s="4">
        <f>IFERROR(__xludf.DUMMYFUNCTION("""COMPUTED_VALUE"""),42355.0)</f>
        <v>42355</v>
      </c>
      <c r="Q622" s="3" t="str">
        <f>IFERROR(__xludf.DUMMYFUNCTION("""COMPUTED_VALUE"""),"I")</f>
        <v>I</v>
      </c>
      <c r="R622" s="3" t="str">
        <f>IFERROR(__xludf.DUMMYFUNCTION("""COMPUTED_VALUE"""),"Small Format")</f>
        <v>Small Format</v>
      </c>
      <c r="S622" s="3" t="str">
        <f>IFERROR(__xludf.DUMMYFUNCTION("""COMPUTED_VALUE"""),"BCM")</f>
        <v>BCM</v>
      </c>
      <c r="T622" s="3" t="str">
        <f>IFERROR(__xludf.DUMMYFUNCTION("""COMPUTED_VALUE"""),"#N/A")</f>
        <v>#N/A</v>
      </c>
      <c r="U622" s="3" t="str">
        <f>IFERROR(__xludf.DUMMYFUNCTION("""COMPUTED_VALUE"""),"#N/A")</f>
        <v>#N/A</v>
      </c>
      <c r="V622" s="3" t="str">
        <f>IFERROR(__xludf.DUMMYFUNCTION("""COMPUTED_VALUE"""),"N")</f>
        <v>N</v>
      </c>
      <c r="W622" s="3">
        <f>IFERROR(__xludf.DUMMYFUNCTION("""COMPUTED_VALUE"""),0.0)</f>
        <v>0</v>
      </c>
      <c r="X622" s="3" t="str">
        <f>IFERROR(__xludf.DUMMYFUNCTION("""COMPUTED_VALUE"""),"380 ซอยสุทธิพร แขวงดินแดง เขตดินแดง กรุงเทพมหานคร 10400")</f>
        <v>380 ซอยสุทธิพร แขวงดินแดง เขตดินแดง กรุงเทพมหานคร 10400</v>
      </c>
      <c r="Y622" s="3" t="str">
        <f>IFERROR(__xludf.DUMMYFUNCTION("""COMPUTED_VALUE"""),"ซอยสุทธิพร")</f>
        <v>ซอยสุทธิพร</v>
      </c>
      <c r="Z622" s="3" t="str">
        <f>IFERROR(__xludf.DUMMYFUNCTION("""COMPUTED_VALUE"""),"ดินแดง")</f>
        <v>ดินแดง</v>
      </c>
      <c r="AA622" s="3" t="str">
        <f>IFERROR(__xludf.DUMMYFUNCTION("""COMPUTED_VALUE"""),"ดินแดง")</f>
        <v>ดินแดง</v>
      </c>
      <c r="AB622" s="3" t="str">
        <f>IFERROR(__xludf.DUMMYFUNCTION("""COMPUTED_VALUE"""),"กรุงเทพมหานคร")</f>
        <v>กรุงเทพมหานคร</v>
      </c>
      <c r="AC622" s="3">
        <f>IFERROR(__xludf.DUMMYFUNCTION("""COMPUTED_VALUE"""),10400.0)</f>
        <v>10400</v>
      </c>
      <c r="AD622" s="3" t="str">
        <f>IFERROR(__xludf.DUMMYFUNCTION("""COMPUTED_VALUE"""),"#N/A")</f>
        <v>#N/A</v>
      </c>
      <c r="AE622" s="3" t="str">
        <f>IFERROR(__xludf.DUMMYFUNCTION("""COMPUTED_VALUE"""),"#N/A")</f>
        <v>#N/A</v>
      </c>
      <c r="AF622" s="3" t="str">
        <f>IFERROR(__xludf.DUMMYFUNCTION("""COMPUTED_VALUE"""),"MBC ประชาสงเคราะห์-21389")</f>
        <v>MBC ประชาสงเคราะห์-21389</v>
      </c>
      <c r="AG622" s="3" t="str">
        <f>IFERROR(__xludf.DUMMYFUNCTION("""COMPUTED_VALUE"""),"กลาง")</f>
        <v>กลาง</v>
      </c>
      <c r="AH622" s="3" t="str">
        <f>IFERROR(__xludf.DUMMYFUNCTION("""COMPUTED_VALUE"""),"#N/A")</f>
        <v>#N/A</v>
      </c>
      <c r="AI622" s="3" t="str">
        <f>IFERROR(__xludf.DUMMYFUNCTION("""COMPUTED_VALUE"""),"Out of warranty")</f>
        <v>Out of warranty</v>
      </c>
      <c r="AJ622" s="3">
        <f>IFERROR(__xludf.DUMMYFUNCTION("""COMPUTED_VALUE"""),122.0)</f>
        <v>122</v>
      </c>
      <c r="AK622" s="3"/>
      <c r="AL622" s="3"/>
    </row>
    <row r="623" ht="15.75" customHeight="1">
      <c r="A623" s="1" t="str">
        <f>IFERROR(__xludf.DUMMYFUNCTION("""COMPUTED_VALUE"""),"21390")</f>
        <v>21390</v>
      </c>
      <c r="B623" s="2">
        <f>IFERROR(__xludf.DUMMYFUNCTION("""COMPUTED_VALUE"""),21390.0)</f>
        <v>21390</v>
      </c>
      <c r="C623" s="3" t="str">
        <f>IFERROR(__xludf.DUMMYFUNCTION("""COMPUTED_VALUE"""),"MBC BCP สันโป่ง-แม่ริม")</f>
        <v>MBC BCP สันโป่ง-แม่ริม</v>
      </c>
      <c r="D623" s="3" t="str">
        <f>IFERROR(__xludf.DUMMYFUNCTION("""COMPUTED_VALUE"""),"BCM BCP SANPONG-MAERIM")</f>
        <v>BCM BCP SANPONG-MAERIM</v>
      </c>
      <c r="E623" s="1" t="str">
        <f>IFERROR(__xludf.DUMMYFUNCTION("""COMPUTED_VALUE"""),"บิ๊กซี MINI")</f>
        <v>บิ๊กซี MINI</v>
      </c>
      <c r="F623" s="1" t="str">
        <f>IFERROR(__xludf.DUMMYFUNCTION("""COMPUTED_VALUE"""),"296229")</f>
        <v>296229</v>
      </c>
      <c r="G623" s="1" t="str">
        <f>IFERROR(__xludf.DUMMYFUNCTION("""COMPUTED_VALUE"""),"นายทนงศักดิ์ บุญมา")</f>
        <v>นายทนงศักดิ์ บุญมา</v>
      </c>
      <c r="H623" s="1" t="str">
        <f>IFERROR(__xludf.DUMMYFUNCTION("""COMPUTED_VALUE"""),"393402")</f>
        <v>393402</v>
      </c>
      <c r="I623" s="1" t="str">
        <f>IFERROR(__xludf.DUMMYFUNCTION("""COMPUTED_VALUE"""),"น.ส.ปารมิตา ใจตรง")</f>
        <v>น.ส.ปารมิตา ใจตรง</v>
      </c>
      <c r="J623" s="3">
        <f>IFERROR(__xludf.DUMMYFUNCTION("""COMPUTED_VALUE"""),2010016.0)</f>
        <v>2010016</v>
      </c>
      <c r="K623" s="3" t="str">
        <f>IFERROR(__xludf.DUMMYFUNCTION("""COMPUTED_VALUE"""),"นายตวงธรรม ใหม่ยศ")</f>
        <v>นายตวงธรรม ใหม่ยศ</v>
      </c>
      <c r="L623" s="1" t="str">
        <f>IFERROR(__xludf.DUMMYFUNCTION("""COMPUTED_VALUE"""),"01 K.Tuangtham M.")</f>
        <v>01 K.Tuangtham M.</v>
      </c>
      <c r="M623" s="1" t="str">
        <f>IFERROR(__xludf.DUMMYFUNCTION("""COMPUTED_VALUE"""),"063-976-595")</f>
        <v>063-976-595</v>
      </c>
      <c r="N623" s="3">
        <f>IFERROR(__xludf.DUMMYFUNCTION("""COMPUTED_VALUE"""),22574.0)</f>
        <v>22574</v>
      </c>
      <c r="O623" s="3" t="str">
        <f>IFERROR(__xludf.DUMMYFUNCTION("""COMPUTED_VALUE"""),"BCM ชุมชนศรีชุม ลำปาง")</f>
        <v>BCM ชุมชนศรีชุม ลำปาง</v>
      </c>
      <c r="P623" s="4">
        <f>IFERROR(__xludf.DUMMYFUNCTION("""COMPUTED_VALUE"""),42355.0)</f>
        <v>42355</v>
      </c>
      <c r="Q623" s="3" t="str">
        <f>IFERROR(__xludf.DUMMYFUNCTION("""COMPUTED_VALUE"""),"A")</f>
        <v>A</v>
      </c>
      <c r="R623" s="3" t="str">
        <f>IFERROR(__xludf.DUMMYFUNCTION("""COMPUTED_VALUE"""),"Small Format")</f>
        <v>Small Format</v>
      </c>
      <c r="S623" s="3" t="str">
        <f>IFERROR(__xludf.DUMMYFUNCTION("""COMPUTED_VALUE"""),"BCM")</f>
        <v>BCM</v>
      </c>
      <c r="T623" s="3" t="str">
        <f>IFERROR(__xludf.DUMMYFUNCTION("""COMPUTED_VALUE"""),"#N/A")</f>
        <v>#N/A</v>
      </c>
      <c r="U623" s="3" t="str">
        <f>IFERROR(__xludf.DUMMYFUNCTION("""COMPUTED_VALUE"""),"#N/A")</f>
        <v>#N/A</v>
      </c>
      <c r="V623" s="3" t="str">
        <f>IFERROR(__xludf.DUMMYFUNCTION("""COMPUTED_VALUE"""),"N")</f>
        <v>N</v>
      </c>
      <c r="W623" s="3">
        <f>IFERROR(__xludf.DUMMYFUNCTION("""COMPUTED_VALUE"""),361141.0)</f>
        <v>361141</v>
      </c>
      <c r="X623" s="3" t="str">
        <f>IFERROR(__xludf.DUMMYFUNCTION("""COMPUTED_VALUE"""),"158/4 หมู่ 2 ตำบลสันโป่ง อำเภอแม่ริม จังหวัดเชียงใหม่ 50180")</f>
        <v>158/4 หมู่ 2 ตำบลสันโป่ง อำเภอแม่ริม จังหวัดเชียงใหม่ 50180</v>
      </c>
      <c r="Y623" s="3"/>
      <c r="Z623" s="3" t="str">
        <f>IFERROR(__xludf.DUMMYFUNCTION("""COMPUTED_VALUE"""),"สันโป่ง")</f>
        <v>สันโป่ง</v>
      </c>
      <c r="AA623" s="3" t="str">
        <f>IFERROR(__xludf.DUMMYFUNCTION("""COMPUTED_VALUE"""),"แม่ริม")</f>
        <v>แม่ริม</v>
      </c>
      <c r="AB623" s="3" t="str">
        <f>IFERROR(__xludf.DUMMYFUNCTION("""COMPUTED_VALUE"""),"เชียงใหม่")</f>
        <v>เชียงใหม่</v>
      </c>
      <c r="AC623" s="3">
        <f>IFERROR(__xludf.DUMMYFUNCTION("""COMPUTED_VALUE"""),50180.0)</f>
        <v>50180</v>
      </c>
      <c r="AD623" s="3">
        <f>IFERROR(__xludf.DUMMYFUNCTION("""COMPUTED_VALUE"""),18.952526)</f>
        <v>18.952526</v>
      </c>
      <c r="AE623" s="3">
        <f>IFERROR(__xludf.DUMMYFUNCTION("""COMPUTED_VALUE"""),98.944216)</f>
        <v>98.944216</v>
      </c>
      <c r="AF623" s="3" t="str">
        <f>IFERROR(__xludf.DUMMYFUNCTION("""COMPUTED_VALUE"""),"MBC BCP สันโป่ง-แม่ริม-21390")</f>
        <v>MBC BCP สันโป่ง-แม่ริม-21390</v>
      </c>
      <c r="AG623" s="3" t="str">
        <f>IFERROR(__xludf.DUMMYFUNCTION("""COMPUTED_VALUE"""),"เหนือ")</f>
        <v>เหนือ</v>
      </c>
      <c r="AH623" s="3" t="str">
        <f>IFERROR(__xludf.DUMMYFUNCTION("""COMPUTED_VALUE"""),"#N/A")</f>
        <v>#N/A</v>
      </c>
      <c r="AI623" s="3" t="str">
        <f>IFERROR(__xludf.DUMMYFUNCTION("""COMPUTED_VALUE"""),"Out of warranty")</f>
        <v>Out of warranty</v>
      </c>
      <c r="AJ623" s="3">
        <f>IFERROR(__xludf.DUMMYFUNCTION("""COMPUTED_VALUE"""),122.0)</f>
        <v>122</v>
      </c>
      <c r="AK623" s="3" t="str">
        <f>IFERROR(__xludf.DUMMYFUNCTION("""COMPUTED_VALUE"""),"MMS10")</f>
        <v>MMS10</v>
      </c>
      <c r="AL623" s="3"/>
    </row>
    <row r="624" ht="15.75" customHeight="1">
      <c r="A624" s="1" t="str">
        <f>IFERROR(__xludf.DUMMYFUNCTION("""COMPUTED_VALUE"""),"21391")</f>
        <v>21391</v>
      </c>
      <c r="B624" s="2">
        <f>IFERROR(__xludf.DUMMYFUNCTION("""COMPUTED_VALUE"""),21391.0)</f>
        <v>21391</v>
      </c>
      <c r="C624" s="3" t="str">
        <f>IFERROR(__xludf.DUMMYFUNCTION("""COMPUTED_VALUE"""),"MBC BCP พล")</f>
        <v>MBC BCP พล</v>
      </c>
      <c r="D624" s="3" t="str">
        <f>IFERROR(__xludf.DUMMYFUNCTION("""COMPUTED_VALUE"""),"BCM BCP PHON")</f>
        <v>BCM BCP PHON</v>
      </c>
      <c r="E624" s="1" t="str">
        <f>IFERROR(__xludf.DUMMYFUNCTION("""COMPUTED_VALUE"""),"บิ๊กซี MINI")</f>
        <v>บิ๊กซี MINI</v>
      </c>
      <c r="F624" s="1" t="str">
        <f>IFERROR(__xludf.DUMMYFUNCTION("""COMPUTED_VALUE"""),"291105")</f>
        <v>291105</v>
      </c>
      <c r="G624" s="1" t="str">
        <f>IFERROR(__xludf.DUMMYFUNCTION("""COMPUTED_VALUE"""),"นายสราวุฒิ พณิชยกุล")</f>
        <v>นายสราวุฒิ พณิชยกุล</v>
      </c>
      <c r="H624" s="1" t="str">
        <f>IFERROR(__xludf.DUMMYFUNCTION("""COMPUTED_VALUE"""),"371396")</f>
        <v>371396</v>
      </c>
      <c r="I624" s="1" t="str">
        <f>IFERROR(__xludf.DUMMYFUNCTION("""COMPUTED_VALUE"""),"น.ส.สุภาวดี วิลัยพร")</f>
        <v>น.ส.สุภาวดี วิลัยพร</v>
      </c>
      <c r="J624" s="3">
        <f>IFERROR(__xludf.DUMMYFUNCTION("""COMPUTED_VALUE"""),15361.0)</f>
        <v>15361</v>
      </c>
      <c r="K624" s="3" t="str">
        <f>IFERROR(__xludf.DUMMYFUNCTION("""COMPUTED_VALUE"""),"นายสมบูรณ์ พรหมในเมือง")</f>
        <v>นายสมบูรณ์ พรหมในเมือง</v>
      </c>
      <c r="L624" s="1" t="str">
        <f>IFERROR(__xludf.DUMMYFUNCTION("""COMPUTED_VALUE"""),"04 K.Somboon P.")</f>
        <v>04 K.Somboon P.</v>
      </c>
      <c r="M624" s="1" t="str">
        <f>IFERROR(__xludf.DUMMYFUNCTION("""COMPUTED_VALUE"""),"087-965-3051")</f>
        <v>087-965-3051</v>
      </c>
      <c r="N624" s="3">
        <f>IFERROR(__xludf.DUMMYFUNCTION("""COMPUTED_VALUE"""),21869.0)</f>
        <v>21869</v>
      </c>
      <c r="O624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624" s="4">
        <f>IFERROR(__xludf.DUMMYFUNCTION("""COMPUTED_VALUE"""),42357.0)</f>
        <v>42357</v>
      </c>
      <c r="Q624" s="3" t="str">
        <f>IFERROR(__xludf.DUMMYFUNCTION("""COMPUTED_VALUE"""),"A")</f>
        <v>A</v>
      </c>
      <c r="R624" s="3" t="str">
        <f>IFERROR(__xludf.DUMMYFUNCTION("""COMPUTED_VALUE"""),"Small Format")</f>
        <v>Small Format</v>
      </c>
      <c r="S624" s="3" t="str">
        <f>IFERROR(__xludf.DUMMYFUNCTION("""COMPUTED_VALUE"""),"BCM")</f>
        <v>BCM</v>
      </c>
      <c r="T624" s="3" t="str">
        <f>IFERROR(__xludf.DUMMYFUNCTION("""COMPUTED_VALUE"""),"#N/A")</f>
        <v>#N/A</v>
      </c>
      <c r="U624" s="3" t="str">
        <f>IFERROR(__xludf.DUMMYFUNCTION("""COMPUTED_VALUE"""),"#N/A")</f>
        <v>#N/A</v>
      </c>
      <c r="V624" s="3" t="str">
        <f>IFERROR(__xludf.DUMMYFUNCTION("""COMPUTED_VALUE"""),"N")</f>
        <v>N</v>
      </c>
      <c r="W624" s="3">
        <f>IFERROR(__xludf.DUMMYFUNCTION("""COMPUTED_VALUE"""),361217.0)</f>
        <v>361217</v>
      </c>
      <c r="X624" s="3" t="str">
        <f>IFERROR(__xludf.DUMMYFUNCTION("""COMPUTED_VALUE"""),"158 หมู่ 8 ตำบลหนองแวงโสกพระ อำเภอพล จังหวัดขอนแก่น 40120")</f>
        <v>158 หมู่ 8 ตำบลหนองแวงโสกพระ อำเภอพล จังหวัดขอนแก่น 40120</v>
      </c>
      <c r="Y624" s="3"/>
      <c r="Z624" s="3" t="str">
        <f>IFERROR(__xludf.DUMMYFUNCTION("""COMPUTED_VALUE"""),"หนองแวงโสกพระ")</f>
        <v>หนองแวงโสกพระ</v>
      </c>
      <c r="AA624" s="3" t="str">
        <f>IFERROR(__xludf.DUMMYFUNCTION("""COMPUTED_VALUE"""),"พล")</f>
        <v>พล</v>
      </c>
      <c r="AB624" s="3" t="str">
        <f>IFERROR(__xludf.DUMMYFUNCTION("""COMPUTED_VALUE"""),"ขอนแก่น")</f>
        <v>ขอนแก่น</v>
      </c>
      <c r="AC624" s="3">
        <f>IFERROR(__xludf.DUMMYFUNCTION("""COMPUTED_VALUE"""),40120.0)</f>
        <v>40120</v>
      </c>
      <c r="AD624" s="3">
        <f>IFERROR(__xludf.DUMMYFUNCTION("""COMPUTED_VALUE"""),15.723353)</f>
        <v>15.723353</v>
      </c>
      <c r="AE624" s="3">
        <f>IFERROR(__xludf.DUMMYFUNCTION("""COMPUTED_VALUE"""),102.592452)</f>
        <v>102.592452</v>
      </c>
      <c r="AF624" s="3" t="str">
        <f>IFERROR(__xludf.DUMMYFUNCTION("""COMPUTED_VALUE"""),"MBC BCP พล-21391")</f>
        <v>MBC BCP พล-21391</v>
      </c>
      <c r="AG624" s="3" t="str">
        <f>IFERROR(__xludf.DUMMYFUNCTION("""COMPUTED_VALUE"""),"ตะวันออกเฉียงเหนือ")</f>
        <v>ตะวันออกเฉียงเหนือ</v>
      </c>
      <c r="AH624" s="3" t="str">
        <f>IFERROR(__xludf.DUMMYFUNCTION("""COMPUTED_VALUE"""),"#N/A")</f>
        <v>#N/A</v>
      </c>
      <c r="AI624" s="3" t="str">
        <f>IFERROR(__xludf.DUMMYFUNCTION("""COMPUTED_VALUE"""),"Out of warranty")</f>
        <v>Out of warranty</v>
      </c>
      <c r="AJ624" s="3">
        <f>IFERROR(__xludf.DUMMYFUNCTION("""COMPUTED_VALUE"""),122.0)</f>
        <v>122</v>
      </c>
      <c r="AK624" s="3" t="str">
        <f>IFERROR(__xludf.DUMMYFUNCTION("""COMPUTED_VALUE"""),"MMS11")</f>
        <v>MMS11</v>
      </c>
      <c r="AL624" s="3"/>
    </row>
    <row r="625" ht="15.75" customHeight="1">
      <c r="A625" s="1" t="str">
        <f>IFERROR(__xludf.DUMMYFUNCTION("""COMPUTED_VALUE"""),"21392")</f>
        <v>21392</v>
      </c>
      <c r="B625" s="2">
        <f>IFERROR(__xludf.DUMMYFUNCTION("""COMPUTED_VALUE"""),21392.0)</f>
        <v>21392</v>
      </c>
      <c r="C625" s="3" t="str">
        <f>IFERROR(__xludf.DUMMYFUNCTION("""COMPUTED_VALUE"""),"MBC BCP กะทู้-ภูเก็ต")</f>
        <v>MBC BCP กะทู้-ภูเก็ต</v>
      </c>
      <c r="D625" s="3" t="str">
        <f>IFERROR(__xludf.DUMMYFUNCTION("""COMPUTED_VALUE"""),"MBC BCP KATHU-PHUKET")</f>
        <v>MBC BCP KATHU-PHUKET</v>
      </c>
      <c r="E625" s="1" t="str">
        <f>IFERROR(__xludf.DUMMYFUNCTION("""COMPUTED_VALUE"""),"บิ๊กซี MINI")</f>
        <v>บิ๊กซี MINI</v>
      </c>
      <c r="F625" s="1" t="str">
        <f>IFERROR(__xludf.DUMMYFUNCTION("""COMPUTED_VALUE"""),"2010918")</f>
        <v>2010918</v>
      </c>
      <c r="G625" s="1" t="str">
        <f>IFERROR(__xludf.DUMMYFUNCTION("""COMPUTED_VALUE"""),"น.ส.สุดารัตน์ รัตนประดิษฐ์")</f>
        <v>น.ส.สุดารัตน์ รัตนประดิษฐ์</v>
      </c>
      <c r="H625" s="1" t="str">
        <f>IFERROR(__xludf.DUMMYFUNCTION("""COMPUTED_VALUE"""),"282500")</f>
        <v>282500</v>
      </c>
      <c r="I625" s="1" t="str">
        <f>IFERROR(__xludf.DUMMYFUNCTION("""COMPUTED_VALUE"""),"นายเจษฎ์พิพัฒ แก้วกุดั่น")</f>
        <v>นายเจษฎ์พิพัฒ แก้วกุดั่น</v>
      </c>
      <c r="J625" s="3">
        <f>IFERROR(__xludf.DUMMYFUNCTION("""COMPUTED_VALUE"""),2.0470331E7)</f>
        <v>20470331</v>
      </c>
      <c r="K625" s="3" t="str">
        <f>IFERROR(__xludf.DUMMYFUNCTION("""COMPUTED_VALUE"""),"นายสมชาย ลักษณะสุวรรณ")</f>
        <v>นายสมชาย ลักษณะสุวรรณ</v>
      </c>
      <c r="L625" s="1" t="str">
        <f>IFERROR(__xludf.DUMMYFUNCTION("""COMPUTED_VALUE"""),"15 K.Somchai L")</f>
        <v>15 K.Somchai L</v>
      </c>
      <c r="M625" s="1" t="str">
        <f>IFERROR(__xludf.DUMMYFUNCTION("""COMPUTED_VALUE"""),"0655107372")</f>
        <v>0655107372</v>
      </c>
      <c r="N625" s="3">
        <f>IFERROR(__xludf.DUMMYFUNCTION("""COMPUTED_VALUE"""),21723.0)</f>
        <v>21723</v>
      </c>
      <c r="O625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625" s="4">
        <f>IFERROR(__xludf.DUMMYFUNCTION("""COMPUTED_VALUE"""),42357.0)</f>
        <v>42357</v>
      </c>
      <c r="Q625" s="3" t="str">
        <f>IFERROR(__xludf.DUMMYFUNCTION("""COMPUTED_VALUE"""),"I")</f>
        <v>I</v>
      </c>
      <c r="R625" s="3" t="str">
        <f>IFERROR(__xludf.DUMMYFUNCTION("""COMPUTED_VALUE"""),"Small Format")</f>
        <v>Small Format</v>
      </c>
      <c r="S625" s="3" t="str">
        <f>IFERROR(__xludf.DUMMYFUNCTION("""COMPUTED_VALUE"""),"BCM")</f>
        <v>BCM</v>
      </c>
      <c r="T625" s="3" t="str">
        <f>IFERROR(__xludf.DUMMYFUNCTION("""COMPUTED_VALUE"""),"#N/A")</f>
        <v>#N/A</v>
      </c>
      <c r="U625" s="3" t="str">
        <f>IFERROR(__xludf.DUMMYFUNCTION("""COMPUTED_VALUE"""),"#N/A")</f>
        <v>#N/A</v>
      </c>
      <c r="V625" s="3" t="str">
        <f>IFERROR(__xludf.DUMMYFUNCTION("""COMPUTED_VALUE"""),"N")</f>
        <v>N</v>
      </c>
      <c r="W625" s="3">
        <f>IFERROR(__xludf.DUMMYFUNCTION("""COMPUTED_VALUE"""),0.0)</f>
        <v>0</v>
      </c>
      <c r="X625" s="3" t="str">
        <f>IFERROR(__xludf.DUMMYFUNCTION("""COMPUTED_VALUE"""),"2/75-76 หมู่ 2 ตำบลกะทู้ อำเภอกะทู้ จังหวัดภูเก็ต 83120")</f>
        <v>2/75-76 หมู่ 2 ตำบลกะทู้ อำเภอกะทู้ จังหวัดภูเก็ต 83120</v>
      </c>
      <c r="Y625" s="3"/>
      <c r="Z625" s="3" t="str">
        <f>IFERROR(__xludf.DUMMYFUNCTION("""COMPUTED_VALUE"""),"กะทู้")</f>
        <v>กะทู้</v>
      </c>
      <c r="AA625" s="3" t="str">
        <f>IFERROR(__xludf.DUMMYFUNCTION("""COMPUTED_VALUE"""),"กะทู้")</f>
        <v>กะทู้</v>
      </c>
      <c r="AB625" s="3" t="str">
        <f>IFERROR(__xludf.DUMMYFUNCTION("""COMPUTED_VALUE"""),"ภูเก็ต")</f>
        <v>ภูเก็ต</v>
      </c>
      <c r="AC625" s="3">
        <f>IFERROR(__xludf.DUMMYFUNCTION("""COMPUTED_VALUE"""),83120.0)</f>
        <v>83120</v>
      </c>
      <c r="AD625" s="3" t="str">
        <f>IFERROR(__xludf.DUMMYFUNCTION("""COMPUTED_VALUE"""),"#N/A")</f>
        <v>#N/A</v>
      </c>
      <c r="AE625" s="3" t="str">
        <f>IFERROR(__xludf.DUMMYFUNCTION("""COMPUTED_VALUE"""),"#N/A")</f>
        <v>#N/A</v>
      </c>
      <c r="AF625" s="3" t="str">
        <f>IFERROR(__xludf.DUMMYFUNCTION("""COMPUTED_VALUE"""),"MBC BCP กะทู้-ภูเก็ต-21392")</f>
        <v>MBC BCP กะทู้-ภูเก็ต-21392</v>
      </c>
      <c r="AG625" s="3" t="str">
        <f>IFERROR(__xludf.DUMMYFUNCTION("""COMPUTED_VALUE"""),"ใต้")</f>
        <v>ใต้</v>
      </c>
      <c r="AH625" s="3" t="str">
        <f>IFERROR(__xludf.DUMMYFUNCTION("""COMPUTED_VALUE"""),"#N/A")</f>
        <v>#N/A</v>
      </c>
      <c r="AI625" s="3" t="str">
        <f>IFERROR(__xludf.DUMMYFUNCTION("""COMPUTED_VALUE"""),"Out of warranty")</f>
        <v>Out of warranty</v>
      </c>
      <c r="AJ625" s="3">
        <f>IFERROR(__xludf.DUMMYFUNCTION("""COMPUTED_VALUE"""),122.0)</f>
        <v>122</v>
      </c>
      <c r="AK625" s="3"/>
      <c r="AL625" s="3"/>
    </row>
    <row r="626" ht="15.75" customHeight="1">
      <c r="A626" s="1" t="str">
        <f>IFERROR(__xludf.DUMMYFUNCTION("""COMPUTED_VALUE"""),"21393")</f>
        <v>21393</v>
      </c>
      <c r="B626" s="2">
        <f>IFERROR(__xludf.DUMMYFUNCTION("""COMPUTED_VALUE"""),21393.0)</f>
        <v>21393</v>
      </c>
      <c r="C626" s="3" t="str">
        <f>IFERROR(__xludf.DUMMYFUNCTION("""COMPUTED_VALUE"""),"MBC BCP ทุ่งตะโก 2")</f>
        <v>MBC BCP ทุ่งตะโก 2</v>
      </c>
      <c r="D626" s="3" t="str">
        <f>IFERROR(__xludf.DUMMYFUNCTION("""COMPUTED_VALUE"""),"BCM BCP THUNG TAKO 2")</f>
        <v>BCM BCP THUNG TAKO 2</v>
      </c>
      <c r="E626" s="1" t="str">
        <f>IFERROR(__xludf.DUMMYFUNCTION("""COMPUTED_VALUE"""),"บิ๊กซี MINI")</f>
        <v>บิ๊กซี MINI</v>
      </c>
      <c r="F626" s="1" t="str">
        <f>IFERROR(__xludf.DUMMYFUNCTION("""COMPUTED_VALUE"""),"250760")</f>
        <v>250760</v>
      </c>
      <c r="G626" s="1" t="str">
        <f>IFERROR(__xludf.DUMMYFUNCTION("""COMPUTED_VALUE"""),"นายประทวน สาราบรรณ์")</f>
        <v>นายประทวน สาราบรรณ์</v>
      </c>
      <c r="H626" s="1" t="str">
        <f>IFERROR(__xludf.DUMMYFUNCTION("""COMPUTED_VALUE"""),"228389")</f>
        <v>228389</v>
      </c>
      <c r="I626" s="1" t="str">
        <f>IFERROR(__xludf.DUMMYFUNCTION("""COMPUTED_VALUE"""),"นายมณีรันดร์ ชัยชนะ")</f>
        <v>นายมณีรันดร์ ชัยชนะ</v>
      </c>
      <c r="J626" s="3">
        <f>IFERROR(__xludf.DUMMYFUNCTION("""COMPUTED_VALUE"""),25324.0)</f>
        <v>25324</v>
      </c>
      <c r="K626" s="3" t="str">
        <f>IFERROR(__xludf.DUMMYFUNCTION("""COMPUTED_VALUE"""),"นายวิเชฎฐ์ ติรัตนะประคม")</f>
        <v>นายวิเชฎฐ์ ติรัตนะประคม</v>
      </c>
      <c r="L626" s="1" t="str">
        <f>IFERROR(__xludf.DUMMYFUNCTION("""COMPUTED_VALUE"""),"14 K.Wichet T.")</f>
        <v>14 K.Wichet T.</v>
      </c>
      <c r="M626" s="1" t="str">
        <f>IFERROR(__xludf.DUMMYFUNCTION("""COMPUTED_VALUE"""),"061-417-6569 / 086-445-5636")</f>
        <v>061-417-6569 / 086-445-5636</v>
      </c>
      <c r="N626" s="3">
        <f>IFERROR(__xludf.DUMMYFUNCTION("""COMPUTED_VALUE"""),22658.0)</f>
        <v>22658</v>
      </c>
      <c r="O626" s="3" t="str">
        <f>IFERROR(__xludf.DUMMYFUNCTION("""COMPUTED_VALUE"""),"BCM ถ.วิรัชหงษ์หยก ภูเก็ต")</f>
        <v>BCM ถ.วิรัชหงษ์หยก ภูเก็ต</v>
      </c>
      <c r="P626" s="4">
        <f>IFERROR(__xludf.DUMMYFUNCTION("""COMPUTED_VALUE"""),42359.0)</f>
        <v>42359</v>
      </c>
      <c r="Q626" s="3" t="str">
        <f>IFERROR(__xludf.DUMMYFUNCTION("""COMPUTED_VALUE"""),"A")</f>
        <v>A</v>
      </c>
      <c r="R626" s="3" t="str">
        <f>IFERROR(__xludf.DUMMYFUNCTION("""COMPUTED_VALUE"""),"Small Format")</f>
        <v>Small Format</v>
      </c>
      <c r="S626" s="3" t="str">
        <f>IFERROR(__xludf.DUMMYFUNCTION("""COMPUTED_VALUE"""),"BCM")</f>
        <v>BCM</v>
      </c>
      <c r="T626" s="3" t="str">
        <f>IFERROR(__xludf.DUMMYFUNCTION("""COMPUTED_VALUE"""),"#N/A")</f>
        <v>#N/A</v>
      </c>
      <c r="U626" s="3" t="str">
        <f>IFERROR(__xludf.DUMMYFUNCTION("""COMPUTED_VALUE"""),"#N/A")</f>
        <v>#N/A</v>
      </c>
      <c r="V626" s="3" t="str">
        <f>IFERROR(__xludf.DUMMYFUNCTION("""COMPUTED_VALUE"""),"N")</f>
        <v>N</v>
      </c>
      <c r="W626" s="3">
        <f>IFERROR(__xludf.DUMMYFUNCTION("""COMPUTED_VALUE"""),361172.0)</f>
        <v>361172</v>
      </c>
      <c r="X626" s="3" t="str">
        <f>IFERROR(__xludf.DUMMYFUNCTION("""COMPUTED_VALUE"""),"2 หมู่ 7 ตำบลตะโก อำเภอทุ่งตะโก จังหวัดชุมพร 86220")</f>
        <v>2 หมู่ 7 ตำบลตะโก อำเภอทุ่งตะโก จังหวัดชุมพร 86220</v>
      </c>
      <c r="Y626" s="3"/>
      <c r="Z626" s="3" t="str">
        <f>IFERROR(__xludf.DUMMYFUNCTION("""COMPUTED_VALUE"""),"ตะโก")</f>
        <v>ตะโก</v>
      </c>
      <c r="AA626" s="3" t="str">
        <f>IFERROR(__xludf.DUMMYFUNCTION("""COMPUTED_VALUE"""),"ทุ่งตะโก")</f>
        <v>ทุ่งตะโก</v>
      </c>
      <c r="AB626" s="3" t="str">
        <f>IFERROR(__xludf.DUMMYFUNCTION("""COMPUTED_VALUE"""),"ชุมพร")</f>
        <v>ชุมพร</v>
      </c>
      <c r="AC626" s="3">
        <f>IFERROR(__xludf.DUMMYFUNCTION("""COMPUTED_VALUE"""),86220.0)</f>
        <v>86220</v>
      </c>
      <c r="AD626" s="3">
        <f>IFERROR(__xludf.DUMMYFUNCTION("""COMPUTED_VALUE"""),10.053708)</f>
        <v>10.053708</v>
      </c>
      <c r="AE626" s="3">
        <f>IFERROR(__xludf.DUMMYFUNCTION("""COMPUTED_VALUE"""),99.0733062)</f>
        <v>99.0733062</v>
      </c>
      <c r="AF626" s="3" t="str">
        <f>IFERROR(__xludf.DUMMYFUNCTION("""COMPUTED_VALUE"""),"MBC BCP ทุ่งตะโก 2-21393")</f>
        <v>MBC BCP ทุ่งตะโก 2-21393</v>
      </c>
      <c r="AG626" s="3" t="str">
        <f>IFERROR(__xludf.DUMMYFUNCTION("""COMPUTED_VALUE"""),"ใต้")</f>
        <v>ใต้</v>
      </c>
      <c r="AH626" s="3" t="str">
        <f>IFERROR(__xludf.DUMMYFUNCTION("""COMPUTED_VALUE"""),"#N/A")</f>
        <v>#N/A</v>
      </c>
      <c r="AI626" s="3" t="str">
        <f>IFERROR(__xludf.DUMMYFUNCTION("""COMPUTED_VALUE"""),"Out of warranty")</f>
        <v>Out of warranty</v>
      </c>
      <c r="AJ626" s="3">
        <f>IFERROR(__xludf.DUMMYFUNCTION("""COMPUTED_VALUE"""),121.0)</f>
        <v>121</v>
      </c>
      <c r="AK626" s="3" t="str">
        <f>IFERROR(__xludf.DUMMYFUNCTION("""COMPUTED_VALUE"""),"MMS14")</f>
        <v>MMS14</v>
      </c>
      <c r="AL626" s="3"/>
    </row>
    <row r="627" ht="15.75" customHeight="1">
      <c r="A627" s="1" t="str">
        <f>IFERROR(__xludf.DUMMYFUNCTION("""COMPUTED_VALUE"""),"21394")</f>
        <v>21394</v>
      </c>
      <c r="B627" s="2">
        <f>IFERROR(__xludf.DUMMYFUNCTION("""COMPUTED_VALUE"""),21394.0)</f>
        <v>21394</v>
      </c>
      <c r="C627" s="3" t="str">
        <f>IFERROR(__xludf.DUMMYFUNCTION("""COMPUTED_VALUE"""),"MBC BCP แสงชูโต-กาญจนบุรี")</f>
        <v>MBC BCP แสงชูโต-กาญจนบุรี</v>
      </c>
      <c r="D627" s="3" t="str">
        <f>IFERROR(__xludf.DUMMYFUNCTION("""COMPUTED_VALUE"""),"BCM BCP S.CHUTO-KANCHANABURI")</f>
        <v>BCM BCP S.CHUTO-KANCHANABURI</v>
      </c>
      <c r="E627" s="1" t="str">
        <f>IFERROR(__xludf.DUMMYFUNCTION("""COMPUTED_VALUE"""),"บิ๊กซี MINI")</f>
        <v>บิ๊กซี MINI</v>
      </c>
      <c r="F627" s="1" t="str">
        <f>IFERROR(__xludf.DUMMYFUNCTION("""COMPUTED_VALUE"""),"2083447")</f>
        <v>2083447</v>
      </c>
      <c r="G627" s="1" t="str">
        <f>IFERROR(__xludf.DUMMYFUNCTION("""COMPUTED_VALUE"""),"นายอนุกูล ศรีลัดดา")</f>
        <v>นายอนุกูล ศรีลัดดา</v>
      </c>
      <c r="H627" s="1" t="str">
        <f>IFERROR(__xludf.DUMMYFUNCTION("""COMPUTED_VALUE"""),"391191")</f>
        <v>391191</v>
      </c>
      <c r="I627" s="1" t="str">
        <f>IFERROR(__xludf.DUMMYFUNCTION("""COMPUTED_VALUE"""),"นายวสันต์ สรงพรมทิพย์")</f>
        <v>นายวสันต์ สรงพรมทิพย์</v>
      </c>
      <c r="J627" s="3">
        <f>IFERROR(__xludf.DUMMYFUNCTION("""COMPUTED_VALUE"""),2451655.0)</f>
        <v>2451655</v>
      </c>
      <c r="K627" s="3" t="str">
        <f>IFERROR(__xludf.DUMMYFUNCTION("""COMPUTED_VALUE"""),"นายวิษณุพงษ์ ชินบุตร")</f>
        <v>นายวิษณุพงษ์ ชินบุตร</v>
      </c>
      <c r="L627" s="1" t="str">
        <f>IFERROR(__xludf.DUMMYFUNCTION("""COMPUTED_VALUE"""),"13 K.Wisanupong Ch")</f>
        <v>13 K.Wisanupong Ch</v>
      </c>
      <c r="M627" s="1" t="str">
        <f>IFERROR(__xludf.DUMMYFUNCTION("""COMPUTED_VALUE"""),"0843374693")</f>
        <v>0843374693</v>
      </c>
      <c r="N627" s="3">
        <f>IFERROR(__xludf.DUMMYFUNCTION("""COMPUTED_VALUE"""),21494.0)</f>
        <v>21494</v>
      </c>
      <c r="O627" s="3" t="str">
        <f>IFERROR(__xludf.DUMMYFUNCTION("""COMPUTED_VALUE"""),"MBC บ้านกรด")</f>
        <v>MBC บ้านกรด</v>
      </c>
      <c r="P627" s="4">
        <f>IFERROR(__xludf.DUMMYFUNCTION("""COMPUTED_VALUE"""),42359.0)</f>
        <v>42359</v>
      </c>
      <c r="Q627" s="3" t="str">
        <f>IFERROR(__xludf.DUMMYFUNCTION("""COMPUTED_VALUE"""),"I")</f>
        <v>I</v>
      </c>
      <c r="R627" s="3" t="str">
        <f>IFERROR(__xludf.DUMMYFUNCTION("""COMPUTED_VALUE"""),"Small Format")</f>
        <v>Small Format</v>
      </c>
      <c r="S627" s="3" t="str">
        <f>IFERROR(__xludf.DUMMYFUNCTION("""COMPUTED_VALUE"""),"BCM")</f>
        <v>BCM</v>
      </c>
      <c r="T627" s="3" t="str">
        <f>IFERROR(__xludf.DUMMYFUNCTION("""COMPUTED_VALUE"""),"#N/A")</f>
        <v>#N/A</v>
      </c>
      <c r="U627" s="3" t="str">
        <f>IFERROR(__xludf.DUMMYFUNCTION("""COMPUTED_VALUE"""),"#N/A")</f>
        <v>#N/A</v>
      </c>
      <c r="V627" s="3" t="str">
        <f>IFERROR(__xludf.DUMMYFUNCTION("""COMPUTED_VALUE"""),"N")</f>
        <v>N</v>
      </c>
      <c r="W627" s="3">
        <f>IFERROR(__xludf.DUMMYFUNCTION("""COMPUTED_VALUE"""),361152.0)</f>
        <v>361152</v>
      </c>
      <c r="X627" s="3" t="str">
        <f>IFERROR(__xludf.DUMMYFUNCTION("""COMPUTED_VALUE"""),"6/1 หมู่ 1 ตำบลท่าล้อ อำเภอท่าม่วง จังหวัดกาญจนบุรี 71000")</f>
        <v>6/1 หมู่ 1 ตำบลท่าล้อ อำเภอท่าม่วง จังหวัดกาญจนบุรี 71000</v>
      </c>
      <c r="Y627" s="3"/>
      <c r="Z627" s="3" t="str">
        <f>IFERROR(__xludf.DUMMYFUNCTION("""COMPUTED_VALUE"""),"ท่าล้อ")</f>
        <v>ท่าล้อ</v>
      </c>
      <c r="AA627" s="3" t="str">
        <f>IFERROR(__xludf.DUMMYFUNCTION("""COMPUTED_VALUE"""),"ท่าม่วง")</f>
        <v>ท่าม่วง</v>
      </c>
      <c r="AB627" s="3" t="str">
        <f>IFERROR(__xludf.DUMMYFUNCTION("""COMPUTED_VALUE"""),"กาญจนบุรี")</f>
        <v>กาญจนบุรี</v>
      </c>
      <c r="AC627" s="3">
        <f>IFERROR(__xludf.DUMMYFUNCTION("""COMPUTED_VALUE"""),71000.0)</f>
        <v>71000</v>
      </c>
      <c r="AD627" s="3">
        <f>IFERROR(__xludf.DUMMYFUNCTION("""COMPUTED_VALUE"""),13.994435)</f>
        <v>13.994435</v>
      </c>
      <c r="AE627" s="3">
        <f>IFERROR(__xludf.DUMMYFUNCTION("""COMPUTED_VALUE"""),99.560766)</f>
        <v>99.560766</v>
      </c>
      <c r="AF627" s="3" t="str">
        <f>IFERROR(__xludf.DUMMYFUNCTION("""COMPUTED_VALUE"""),"MBC BCP แสงชูโต-กาญจนบุรี-21394")</f>
        <v>MBC BCP แสงชูโต-กาญจนบุรี-21394</v>
      </c>
      <c r="AG627" s="3" t="str">
        <f>IFERROR(__xludf.DUMMYFUNCTION("""COMPUTED_VALUE"""),"ตะวันตก")</f>
        <v>ตะวันตก</v>
      </c>
      <c r="AH627" s="3" t="str">
        <f>IFERROR(__xludf.DUMMYFUNCTION("""COMPUTED_VALUE"""),"#N/A")</f>
        <v>#N/A</v>
      </c>
      <c r="AI627" s="3" t="str">
        <f>IFERROR(__xludf.DUMMYFUNCTION("""COMPUTED_VALUE"""),"Out of warranty")</f>
        <v>Out of warranty</v>
      </c>
      <c r="AJ627" s="3">
        <f>IFERROR(__xludf.DUMMYFUNCTION("""COMPUTED_VALUE"""),121.0)</f>
        <v>121</v>
      </c>
      <c r="AK627" s="3" t="str">
        <f>IFERROR(__xludf.DUMMYFUNCTION("""COMPUTED_VALUE"""),"MMS05")</f>
        <v>MMS05</v>
      </c>
      <c r="AL627" s="3"/>
    </row>
    <row r="628" ht="15.75" customHeight="1">
      <c r="A628" s="1" t="str">
        <f>IFERROR(__xludf.DUMMYFUNCTION("""COMPUTED_VALUE"""),"21395")</f>
        <v>21395</v>
      </c>
      <c r="B628" s="2">
        <f>IFERROR(__xludf.DUMMYFUNCTION("""COMPUTED_VALUE"""),21395.0)</f>
        <v>21395</v>
      </c>
      <c r="C628" s="3" t="str">
        <f>IFERROR(__xludf.DUMMYFUNCTION("""COMPUTED_VALUE"""),"MBC อ้อมใหญ่")</f>
        <v>MBC อ้อมใหญ่</v>
      </c>
      <c r="D628" s="3" t="str">
        <f>IFERROR(__xludf.DUMMYFUNCTION("""COMPUTED_VALUE"""),"MBC OM YAI")</f>
        <v>MBC OM YAI</v>
      </c>
      <c r="E628" s="1" t="str">
        <f>IFERROR(__xludf.DUMMYFUNCTION("""COMPUTED_VALUE"""),"บิ๊กซี MINI")</f>
        <v>บิ๊กซี MINI</v>
      </c>
      <c r="F628" s="1" t="str">
        <f>IFERROR(__xludf.DUMMYFUNCTION("""COMPUTED_VALUE"""),"2010918")</f>
        <v>2010918</v>
      </c>
      <c r="G628" s="1" t="str">
        <f>IFERROR(__xludf.DUMMYFUNCTION("""COMPUTED_VALUE"""),"น.ส.สุดารัตน์ รัตนประดิษฐ์")</f>
        <v>น.ส.สุดารัตน์ รัตนประดิษฐ์</v>
      </c>
      <c r="H628" s="1" t="str">
        <f>IFERROR(__xludf.DUMMYFUNCTION("""COMPUTED_VALUE"""),"284752")</f>
        <v>284752</v>
      </c>
      <c r="I628" s="1" t="str">
        <f>IFERROR(__xludf.DUMMYFUNCTION("""COMPUTED_VALUE"""),"น.ส.วีรนันท์ แสงใส")</f>
        <v>น.ส.วีรนันท์ แสงใส</v>
      </c>
      <c r="J628" s="3">
        <f>IFERROR(__xludf.DUMMYFUNCTION("""COMPUTED_VALUE"""),2.0470331E7)</f>
        <v>20470331</v>
      </c>
      <c r="K628" s="3" t="str">
        <f>IFERROR(__xludf.DUMMYFUNCTION("""COMPUTED_VALUE"""),"นายสมชาย ลักษณะสุวรรณ")</f>
        <v>นายสมชาย ลักษณะสุวรรณ</v>
      </c>
      <c r="L628" s="1" t="str">
        <f>IFERROR(__xludf.DUMMYFUNCTION("""COMPUTED_VALUE"""),"15 K.Somchai L")</f>
        <v>15 K.Somchai L</v>
      </c>
      <c r="M628" s="1" t="str">
        <f>IFERROR(__xludf.DUMMYFUNCTION("""COMPUTED_VALUE"""),"0655107372")</f>
        <v>0655107372</v>
      </c>
      <c r="N628" s="3">
        <f>IFERROR(__xludf.DUMMYFUNCTION("""COMPUTED_VALUE"""),21723.0)</f>
        <v>21723</v>
      </c>
      <c r="O628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628" s="4">
        <f>IFERROR(__xludf.DUMMYFUNCTION("""COMPUTED_VALUE"""),42366.0)</f>
        <v>42366</v>
      </c>
      <c r="Q628" s="3" t="str">
        <f>IFERROR(__xludf.DUMMYFUNCTION("""COMPUTED_VALUE"""),"I")</f>
        <v>I</v>
      </c>
      <c r="R628" s="3" t="str">
        <f>IFERROR(__xludf.DUMMYFUNCTION("""COMPUTED_VALUE"""),"Small Format")</f>
        <v>Small Format</v>
      </c>
      <c r="S628" s="3" t="str">
        <f>IFERROR(__xludf.DUMMYFUNCTION("""COMPUTED_VALUE"""),"BCM")</f>
        <v>BCM</v>
      </c>
      <c r="T628" s="3" t="str">
        <f>IFERROR(__xludf.DUMMYFUNCTION("""COMPUTED_VALUE"""),"#N/A")</f>
        <v>#N/A</v>
      </c>
      <c r="U628" s="3" t="str">
        <f>IFERROR(__xludf.DUMMYFUNCTION("""COMPUTED_VALUE"""),"#N/A")</f>
        <v>#N/A</v>
      </c>
      <c r="V628" s="3" t="str">
        <f>IFERROR(__xludf.DUMMYFUNCTION("""COMPUTED_VALUE"""),"N")</f>
        <v>N</v>
      </c>
      <c r="W628" s="3">
        <f>IFERROR(__xludf.DUMMYFUNCTION("""COMPUTED_VALUE"""),0.0)</f>
        <v>0</v>
      </c>
      <c r="X628" s="3" t="str">
        <f>IFERROR(__xludf.DUMMYFUNCTION("""COMPUTED_VALUE"""),"17/19 หมู่ 8 ตำบลอ้อมใหญ่ อำเภอสามพราน จังหวัดนครปฐม 73160")</f>
        <v>17/19 หมู่ 8 ตำบลอ้อมใหญ่ อำเภอสามพราน จังหวัดนครปฐม 73160</v>
      </c>
      <c r="Y628" s="3"/>
      <c r="Z628" s="3" t="str">
        <f>IFERROR(__xludf.DUMMYFUNCTION("""COMPUTED_VALUE"""),"อ้อมใหญ่")</f>
        <v>อ้อมใหญ่</v>
      </c>
      <c r="AA628" s="3" t="str">
        <f>IFERROR(__xludf.DUMMYFUNCTION("""COMPUTED_VALUE"""),"สามพราน")</f>
        <v>สามพราน</v>
      </c>
      <c r="AB628" s="3" t="str">
        <f>IFERROR(__xludf.DUMMYFUNCTION("""COMPUTED_VALUE"""),"นครปฐม")</f>
        <v>นครปฐม</v>
      </c>
      <c r="AC628" s="3">
        <f>IFERROR(__xludf.DUMMYFUNCTION("""COMPUTED_VALUE"""),73160.0)</f>
        <v>73160</v>
      </c>
      <c r="AD628" s="3" t="str">
        <f>IFERROR(__xludf.DUMMYFUNCTION("""COMPUTED_VALUE"""),"#N/A")</f>
        <v>#N/A</v>
      </c>
      <c r="AE628" s="3" t="str">
        <f>IFERROR(__xludf.DUMMYFUNCTION("""COMPUTED_VALUE"""),"#N/A")</f>
        <v>#N/A</v>
      </c>
      <c r="AF628" s="3" t="str">
        <f>IFERROR(__xludf.DUMMYFUNCTION("""COMPUTED_VALUE"""),"MBC อ้อมใหญ่-21395")</f>
        <v>MBC อ้อมใหญ่-21395</v>
      </c>
      <c r="AG628" s="3" t="str">
        <f>IFERROR(__xludf.DUMMYFUNCTION("""COMPUTED_VALUE"""),"กลาง")</f>
        <v>กลาง</v>
      </c>
      <c r="AH628" s="3" t="str">
        <f>IFERROR(__xludf.DUMMYFUNCTION("""COMPUTED_VALUE"""),"#N/A")</f>
        <v>#N/A</v>
      </c>
      <c r="AI628" s="3" t="str">
        <f>IFERROR(__xludf.DUMMYFUNCTION("""COMPUTED_VALUE"""),"Out of warranty")</f>
        <v>Out of warranty</v>
      </c>
      <c r="AJ628" s="3">
        <f>IFERROR(__xludf.DUMMYFUNCTION("""COMPUTED_VALUE"""),121.0)</f>
        <v>121</v>
      </c>
      <c r="AK628" s="3"/>
      <c r="AL628" s="3"/>
    </row>
    <row r="629" ht="15.75" customHeight="1">
      <c r="A629" s="1" t="str">
        <f>IFERROR(__xludf.DUMMYFUNCTION("""COMPUTED_VALUE"""),"21396")</f>
        <v>21396</v>
      </c>
      <c r="B629" s="2">
        <f>IFERROR(__xludf.DUMMYFUNCTION("""COMPUTED_VALUE"""),21396.0)</f>
        <v>21396</v>
      </c>
      <c r="C629" s="3" t="str">
        <f>IFERROR(__xludf.DUMMYFUNCTION("""COMPUTED_VALUE"""),"MBC BCP บ่อวิน")</f>
        <v>MBC BCP บ่อวิน</v>
      </c>
      <c r="D629" s="3" t="str">
        <f>IFERROR(__xludf.DUMMYFUNCTION("""COMPUTED_VALUE"""),"BCM BCP BOWIN")</f>
        <v>BCM BCP BOWIN</v>
      </c>
      <c r="E629" s="1" t="str">
        <f>IFERROR(__xludf.DUMMYFUNCTION("""COMPUTED_VALUE"""),"บิ๊กซี MINI")</f>
        <v>บิ๊กซี MINI</v>
      </c>
      <c r="F629" s="1" t="str">
        <f>IFERROR(__xludf.DUMMYFUNCTION("""COMPUTED_VALUE"""),"221716")</f>
        <v>221716</v>
      </c>
      <c r="G629" s="1" t="str">
        <f>IFERROR(__xludf.DUMMYFUNCTION("""COMPUTED_VALUE"""),"น.ส.เบญจพร โพธิสาร")</f>
        <v>น.ส.เบญจพร โพธิสาร</v>
      </c>
      <c r="H629" s="1" t="str">
        <f>IFERROR(__xludf.DUMMYFUNCTION("""COMPUTED_VALUE"""),"376139")</f>
        <v>376139</v>
      </c>
      <c r="I629" s="1" t="str">
        <f>IFERROR(__xludf.DUMMYFUNCTION("""COMPUTED_VALUE"""),"นายอนุชา อำไพ")</f>
        <v>นายอนุชา อำไพ</v>
      </c>
      <c r="J629" s="3">
        <f>IFERROR(__xludf.DUMMYFUNCTION("""COMPUTED_VALUE"""),3510104.0)</f>
        <v>3510104</v>
      </c>
      <c r="K629" s="3" t="str">
        <f>IFERROR(__xludf.DUMMYFUNCTION("""COMPUTED_VALUE"""),"นายวิโรจน์ อับดุลสมัด")</f>
        <v>นายวิโรจน์ อับดุลสมัด</v>
      </c>
      <c r="L629" s="1" t="str">
        <f>IFERROR(__xludf.DUMMYFUNCTION("""COMPUTED_VALUE"""),"09 K.Wirode A")</f>
        <v>09 K.Wirode A</v>
      </c>
      <c r="M629" s="1" t="str">
        <f>IFERROR(__xludf.DUMMYFUNCTION("""COMPUTED_VALUE"""),"080-235-4465")</f>
        <v>080-235-4465</v>
      </c>
      <c r="N629" s="3">
        <f>IFERROR(__xludf.DUMMYFUNCTION("""COMPUTED_VALUE"""),21324.0)</f>
        <v>21324</v>
      </c>
      <c r="O629" s="3" t="str">
        <f>IFERROR(__xludf.DUMMYFUNCTION("""COMPUTED_VALUE"""),"MBC BCP สุวินทวงศ์")</f>
        <v>MBC BCP สุวินทวงศ์</v>
      </c>
      <c r="P629" s="4">
        <f>IFERROR(__xludf.DUMMYFUNCTION("""COMPUTED_VALUE"""),42366.0)</f>
        <v>42366</v>
      </c>
      <c r="Q629" s="3" t="str">
        <f>IFERROR(__xludf.DUMMYFUNCTION("""COMPUTED_VALUE"""),"I")</f>
        <v>I</v>
      </c>
      <c r="R629" s="3" t="str">
        <f>IFERROR(__xludf.DUMMYFUNCTION("""COMPUTED_VALUE"""),"Small Format")</f>
        <v>Small Format</v>
      </c>
      <c r="S629" s="3" t="str">
        <f>IFERROR(__xludf.DUMMYFUNCTION("""COMPUTED_VALUE"""),"BCM")</f>
        <v>BCM</v>
      </c>
      <c r="T629" s="3" t="str">
        <f>IFERROR(__xludf.DUMMYFUNCTION("""COMPUTED_VALUE"""),"#N/A")</f>
        <v>#N/A</v>
      </c>
      <c r="U629" s="3" t="str">
        <f>IFERROR(__xludf.DUMMYFUNCTION("""COMPUTED_VALUE"""),"#N/A")</f>
        <v>#N/A</v>
      </c>
      <c r="V629" s="3" t="str">
        <f>IFERROR(__xludf.DUMMYFUNCTION("""COMPUTED_VALUE"""),"N")</f>
        <v>N</v>
      </c>
      <c r="W629" s="3">
        <f>IFERROR(__xludf.DUMMYFUNCTION("""COMPUTED_VALUE"""),361205.0)</f>
        <v>361205</v>
      </c>
      <c r="X629" s="3" t="str">
        <f>IFERROR(__xludf.DUMMYFUNCTION("""COMPUTED_VALUE"""),"88/12 หมู่ 3 ตำบลบ่อวิน อำเภอศรีราชา จังหวัดชลบุรี 20230")</f>
        <v>88/12 หมู่ 3 ตำบลบ่อวิน อำเภอศรีราชา จังหวัดชลบุรี 20230</v>
      </c>
      <c r="Y629" s="3"/>
      <c r="Z629" s="3" t="str">
        <f>IFERROR(__xludf.DUMMYFUNCTION("""COMPUTED_VALUE"""),"บ่อวิน")</f>
        <v>บ่อวิน</v>
      </c>
      <c r="AA629" s="3" t="str">
        <f>IFERROR(__xludf.DUMMYFUNCTION("""COMPUTED_VALUE"""),"ศรีราชา")</f>
        <v>ศรีราชา</v>
      </c>
      <c r="AB629" s="3" t="str">
        <f>IFERROR(__xludf.DUMMYFUNCTION("""COMPUTED_VALUE"""),"ชลบุรี")</f>
        <v>ชลบุรี</v>
      </c>
      <c r="AC629" s="3">
        <f>IFERROR(__xludf.DUMMYFUNCTION("""COMPUTED_VALUE"""),20230.0)</f>
        <v>20230</v>
      </c>
      <c r="AD629" s="3">
        <f>IFERROR(__xludf.DUMMYFUNCTION("""COMPUTED_VALUE"""),13.030397)</f>
        <v>13.030397</v>
      </c>
      <c r="AE629" s="3">
        <f>IFERROR(__xludf.DUMMYFUNCTION("""COMPUTED_VALUE"""),101.075)</f>
        <v>101.075</v>
      </c>
      <c r="AF629" s="3" t="str">
        <f>IFERROR(__xludf.DUMMYFUNCTION("""COMPUTED_VALUE"""),"MBC BCP บ่อวิน-21396")</f>
        <v>MBC BCP บ่อวิน-21396</v>
      </c>
      <c r="AG629" s="3" t="str">
        <f>IFERROR(__xludf.DUMMYFUNCTION("""COMPUTED_VALUE"""),"ตะวันออก")</f>
        <v>ตะวันออก</v>
      </c>
      <c r="AH629" s="3" t="str">
        <f>IFERROR(__xludf.DUMMYFUNCTION("""COMPUTED_VALUE"""),"#N/A")</f>
        <v>#N/A</v>
      </c>
      <c r="AI629" s="3" t="str">
        <f>IFERROR(__xludf.DUMMYFUNCTION("""COMPUTED_VALUE"""),"Out of warranty")</f>
        <v>Out of warranty</v>
      </c>
      <c r="AJ629" s="3">
        <f>IFERROR(__xludf.DUMMYFUNCTION("""COMPUTED_VALUE"""),121.0)</f>
        <v>121</v>
      </c>
      <c r="AK629" s="3" t="str">
        <f>IFERROR(__xludf.DUMMYFUNCTION("""COMPUTED_VALUE"""),"MMS07")</f>
        <v>MMS07</v>
      </c>
      <c r="AL629" s="3"/>
    </row>
    <row r="630" ht="15.75" customHeight="1">
      <c r="A630" s="1" t="str">
        <f>IFERROR(__xludf.DUMMYFUNCTION("""COMPUTED_VALUE"""),"21397")</f>
        <v>21397</v>
      </c>
      <c r="B630" s="2">
        <f>IFERROR(__xludf.DUMMYFUNCTION("""COMPUTED_VALUE"""),21397.0)</f>
        <v>21397</v>
      </c>
      <c r="C630" s="3" t="str">
        <f>IFERROR(__xludf.DUMMYFUNCTION("""COMPUTED_VALUE"""),"MBC ตลาดเตาปูน")</f>
        <v>MBC ตลาดเตาปูน</v>
      </c>
      <c r="D630" s="3" t="str">
        <f>IFERROR(__xludf.DUMMYFUNCTION("""COMPUTED_VALUE"""),"MBC TALAD TAOPUN")</f>
        <v>MBC TALAD TAOPUN</v>
      </c>
      <c r="E630" s="1" t="str">
        <f>IFERROR(__xludf.DUMMYFUNCTION("""COMPUTED_VALUE"""),"บิ๊กซี MINI")</f>
        <v>บิ๊กซี MINI</v>
      </c>
      <c r="F630" s="1" t="str">
        <f>IFERROR(__xludf.DUMMYFUNCTION("""COMPUTED_VALUE"""),"291008")</f>
        <v>291008</v>
      </c>
      <c r="G630" s="1" t="str">
        <f>IFERROR(__xludf.DUMMYFUNCTION("""COMPUTED_VALUE"""),"น.ส.รัชดาพร อีศรัตน์")</f>
        <v>น.ส.รัชดาพร อีศรัตน์</v>
      </c>
      <c r="H630" s="1" t="str">
        <f>IFERROR(__xludf.DUMMYFUNCTION("""COMPUTED_VALUE"""),"034068")</f>
        <v>034068</v>
      </c>
      <c r="I630" s="1" t="str">
        <f>IFERROR(__xludf.DUMMYFUNCTION("""COMPUTED_VALUE"""),"นายสมศักดิ์ ฐานทองดี")</f>
        <v>นายสมศักดิ์ ฐานทองดี</v>
      </c>
      <c r="J630" s="3">
        <f>IFERROR(__xludf.DUMMYFUNCTION("""COMPUTED_VALUE"""),3510104.0)</f>
        <v>3510104</v>
      </c>
      <c r="K630" s="3" t="str">
        <f>IFERROR(__xludf.DUMMYFUNCTION("""COMPUTED_VALUE"""),"นายวิโรจน์ อับดุลสมัด")</f>
        <v>นายวิโรจน์ อับดุลสมัด</v>
      </c>
      <c r="L630" s="1" t="str">
        <f>IFERROR(__xludf.DUMMYFUNCTION("""COMPUTED_VALUE"""),"09 K.Wirode A")</f>
        <v>09 K.Wirode A</v>
      </c>
      <c r="M630" s="1" t="str">
        <f>IFERROR(__xludf.DUMMYFUNCTION("""COMPUTED_VALUE"""),"080-235-4465")</f>
        <v>080-235-4465</v>
      </c>
      <c r="N630" s="3">
        <f>IFERROR(__xludf.DUMMYFUNCTION("""COMPUTED_VALUE"""),21324.0)</f>
        <v>21324</v>
      </c>
      <c r="O630" s="3" t="str">
        <f>IFERROR(__xludf.DUMMYFUNCTION("""COMPUTED_VALUE"""),"MBC BCP สุวินทวงศ์")</f>
        <v>MBC BCP สุวินทวงศ์</v>
      </c>
      <c r="P630" s="4">
        <f>IFERROR(__xludf.DUMMYFUNCTION("""COMPUTED_VALUE"""),42366.0)</f>
        <v>42366</v>
      </c>
      <c r="Q630" s="3" t="str">
        <f>IFERROR(__xludf.DUMMYFUNCTION("""COMPUTED_VALUE"""),"I")</f>
        <v>I</v>
      </c>
      <c r="R630" s="3" t="str">
        <f>IFERROR(__xludf.DUMMYFUNCTION("""COMPUTED_VALUE"""),"Small Format")</f>
        <v>Small Format</v>
      </c>
      <c r="S630" s="3" t="str">
        <f>IFERROR(__xludf.DUMMYFUNCTION("""COMPUTED_VALUE"""),"BCM")</f>
        <v>BCM</v>
      </c>
      <c r="T630" s="3" t="str">
        <f>IFERROR(__xludf.DUMMYFUNCTION("""COMPUTED_VALUE"""),"#N/A")</f>
        <v>#N/A</v>
      </c>
      <c r="U630" s="3" t="str">
        <f>IFERROR(__xludf.DUMMYFUNCTION("""COMPUTED_VALUE"""),"#N/A")</f>
        <v>#N/A</v>
      </c>
      <c r="V630" s="3" t="str">
        <f>IFERROR(__xludf.DUMMYFUNCTION("""COMPUTED_VALUE"""),"N")</f>
        <v>N</v>
      </c>
      <c r="W630" s="3">
        <f>IFERROR(__xludf.DUMMYFUNCTION("""COMPUTED_VALUE"""),0.0)</f>
        <v>0</v>
      </c>
      <c r="X630" s="3" t="str">
        <f>IFERROR(__xludf.DUMMYFUNCTION("""COMPUTED_VALUE"""),"48 ถนนกรุงเทพ-นนทบุรี แขวงบางซื่อ เขตบางซื่อ กรุงเทพมหานคร 10800")</f>
        <v>48 ถนนกรุงเทพ-นนทบุรี แขวงบางซื่อ เขตบางซื่อ กรุงเทพมหานคร 10800</v>
      </c>
      <c r="Y630" s="3" t="str">
        <f>IFERROR(__xludf.DUMMYFUNCTION("""COMPUTED_VALUE"""),"ถนนกรุงเทพ-นนทบุรี")</f>
        <v>ถนนกรุงเทพ-นนทบุรี</v>
      </c>
      <c r="Z630" s="3" t="str">
        <f>IFERROR(__xludf.DUMMYFUNCTION("""COMPUTED_VALUE"""),"บางซื่อ")</f>
        <v>บางซื่อ</v>
      </c>
      <c r="AA630" s="3" t="str">
        <f>IFERROR(__xludf.DUMMYFUNCTION("""COMPUTED_VALUE"""),"บางซื่อ")</f>
        <v>บางซื่อ</v>
      </c>
      <c r="AB630" s="3" t="str">
        <f>IFERROR(__xludf.DUMMYFUNCTION("""COMPUTED_VALUE"""),"กรุงเทพมหานคร")</f>
        <v>กรุงเทพมหานคร</v>
      </c>
      <c r="AC630" s="3">
        <f>IFERROR(__xludf.DUMMYFUNCTION("""COMPUTED_VALUE"""),10800.0)</f>
        <v>10800</v>
      </c>
      <c r="AD630" s="3" t="str">
        <f>IFERROR(__xludf.DUMMYFUNCTION("""COMPUTED_VALUE"""),"#N/A")</f>
        <v>#N/A</v>
      </c>
      <c r="AE630" s="3" t="str">
        <f>IFERROR(__xludf.DUMMYFUNCTION("""COMPUTED_VALUE"""),"#N/A")</f>
        <v>#N/A</v>
      </c>
      <c r="AF630" s="3" t="str">
        <f>IFERROR(__xludf.DUMMYFUNCTION("""COMPUTED_VALUE"""),"MBC ตลาดเตาปูน-21397")</f>
        <v>MBC ตลาดเตาปูน-21397</v>
      </c>
      <c r="AG630" s="3" t="str">
        <f>IFERROR(__xludf.DUMMYFUNCTION("""COMPUTED_VALUE"""),"กลาง")</f>
        <v>กลาง</v>
      </c>
      <c r="AH630" s="3" t="str">
        <f>IFERROR(__xludf.DUMMYFUNCTION("""COMPUTED_VALUE"""),"#N/A")</f>
        <v>#N/A</v>
      </c>
      <c r="AI630" s="3" t="str">
        <f>IFERROR(__xludf.DUMMYFUNCTION("""COMPUTED_VALUE"""),"Out of warranty")</f>
        <v>Out of warranty</v>
      </c>
      <c r="AJ630" s="3">
        <f>IFERROR(__xludf.DUMMYFUNCTION("""COMPUTED_VALUE"""),121.0)</f>
        <v>121</v>
      </c>
      <c r="AK630" s="3"/>
      <c r="AL630" s="3"/>
    </row>
    <row r="631" ht="15.75" customHeight="1">
      <c r="A631" s="1" t="str">
        <f>IFERROR(__xludf.DUMMYFUNCTION("""COMPUTED_VALUE"""),"21398")</f>
        <v>21398</v>
      </c>
      <c r="B631" s="2">
        <f>IFERROR(__xludf.DUMMYFUNCTION("""COMPUTED_VALUE"""),21398.0)</f>
        <v>21398</v>
      </c>
      <c r="C631" s="3" t="str">
        <f>IFERROR(__xludf.DUMMYFUNCTION("""COMPUTED_VALUE"""),"MBC BCP ซุปเปอร์ไฮเวย์")</f>
        <v>MBC BCP ซุปเปอร์ไฮเวย์</v>
      </c>
      <c r="D631" s="3" t="str">
        <f>IFERROR(__xludf.DUMMYFUNCTION("""COMPUTED_VALUE"""),"MBC BCP SUPER HIGHWAY")</f>
        <v>MBC BCP SUPER HIGHWAY</v>
      </c>
      <c r="E631" s="1" t="str">
        <f>IFERROR(__xludf.DUMMYFUNCTION("""COMPUTED_VALUE"""),"บิ๊กซี MINI")</f>
        <v>บิ๊กซี MINI</v>
      </c>
      <c r="F631" s="1" t="str">
        <f>IFERROR(__xludf.DUMMYFUNCTION("""COMPUTED_VALUE"""),"296229")</f>
        <v>296229</v>
      </c>
      <c r="G631" s="1" t="str">
        <f>IFERROR(__xludf.DUMMYFUNCTION("""COMPUTED_VALUE"""),"นายทนงศักดิ์ บุญมา")</f>
        <v>นายทนงศักดิ์ บุญมา</v>
      </c>
      <c r="H631" s="1" t="str">
        <f>IFERROR(__xludf.DUMMYFUNCTION("""COMPUTED_VALUE"""),"254905")</f>
        <v>254905</v>
      </c>
      <c r="I631" s="1" t="str">
        <f>IFERROR(__xludf.DUMMYFUNCTION("""COMPUTED_VALUE"""),"น.ส.เนียรนิภา คงตระกูล")</f>
        <v>น.ส.เนียรนิภา คงตระกูล</v>
      </c>
      <c r="J631" s="3">
        <f>IFERROR(__xludf.DUMMYFUNCTION("""COMPUTED_VALUE"""),46214.0)</f>
        <v>46214</v>
      </c>
      <c r="K631" s="3" t="str">
        <f>IFERROR(__xludf.DUMMYFUNCTION("""COMPUTED_VALUE"""),"นายศักดิ์ชัย เด็ดดอกฟ้า")</f>
        <v>นายศักดิ์ชัย เด็ดดอกฟ้า</v>
      </c>
      <c r="L631" s="1" t="str">
        <f>IFERROR(__xludf.DUMMYFUNCTION("""COMPUTED_VALUE"""),"02 K.Sakchai D")</f>
        <v>02 K.Sakchai D</v>
      </c>
      <c r="M631" s="1" t="str">
        <f>IFERROR(__xludf.DUMMYFUNCTION("""COMPUTED_VALUE"""),"065-510-7376")</f>
        <v>065-510-7376</v>
      </c>
      <c r="N631" s="3">
        <f>IFERROR(__xludf.DUMMYFUNCTION("""COMPUTED_VALUE"""),21441.0)</f>
        <v>21441</v>
      </c>
      <c r="O631" s="3" t="str">
        <f>IFERROR(__xludf.DUMMYFUNCTION("""COMPUTED_VALUE"""),"MBC บ้านกร่าง พิษณุโลก")</f>
        <v>MBC บ้านกร่าง พิษณุโลก</v>
      </c>
      <c r="P631" s="4">
        <f>IFERROR(__xludf.DUMMYFUNCTION("""COMPUTED_VALUE"""),42384.0)</f>
        <v>42384</v>
      </c>
      <c r="Q631" s="3" t="str">
        <f>IFERROR(__xludf.DUMMYFUNCTION("""COMPUTED_VALUE"""),"I")</f>
        <v>I</v>
      </c>
      <c r="R631" s="3" t="str">
        <f>IFERROR(__xludf.DUMMYFUNCTION("""COMPUTED_VALUE"""),"Small Format")</f>
        <v>Small Format</v>
      </c>
      <c r="S631" s="3" t="str">
        <f>IFERROR(__xludf.DUMMYFUNCTION("""COMPUTED_VALUE"""),"BCM")</f>
        <v>BCM</v>
      </c>
      <c r="T631" s="3" t="str">
        <f>IFERROR(__xludf.DUMMYFUNCTION("""COMPUTED_VALUE"""),"#N/A")</f>
        <v>#N/A</v>
      </c>
      <c r="U631" s="3" t="str">
        <f>IFERROR(__xludf.DUMMYFUNCTION("""COMPUTED_VALUE"""),"#N/A")</f>
        <v>#N/A</v>
      </c>
      <c r="V631" s="3" t="str">
        <f>IFERROR(__xludf.DUMMYFUNCTION("""COMPUTED_VALUE"""),"N")</f>
        <v>N</v>
      </c>
      <c r="W631" s="3">
        <f>IFERROR(__xludf.DUMMYFUNCTION("""COMPUTED_VALUE"""),0.0)</f>
        <v>0</v>
      </c>
      <c r="X631" s="3" t="str">
        <f>IFERROR(__xludf.DUMMYFUNCTION("""COMPUTED_VALUE"""),"85/1 หมู่ 2 ตำบลช้างเผือก อำเภอเมืองเชียงใหม่ จังหวัดเชียงใหม่ 50300")</f>
        <v>85/1 หมู่ 2 ตำบลช้างเผือก อำเภอเมืองเชียงใหม่ จังหวัดเชียงใหม่ 50300</v>
      </c>
      <c r="Y631" s="3"/>
      <c r="Z631" s="3" t="str">
        <f>IFERROR(__xludf.DUMMYFUNCTION("""COMPUTED_VALUE"""),"ช้างเผือก")</f>
        <v>ช้างเผือก</v>
      </c>
      <c r="AA631" s="3" t="str">
        <f>IFERROR(__xludf.DUMMYFUNCTION("""COMPUTED_VALUE"""),"เมือง")</f>
        <v>เมือง</v>
      </c>
      <c r="AB631" s="3" t="str">
        <f>IFERROR(__xludf.DUMMYFUNCTION("""COMPUTED_VALUE"""),"เชียงใหม่")</f>
        <v>เชียงใหม่</v>
      </c>
      <c r="AC631" s="3">
        <f>IFERROR(__xludf.DUMMYFUNCTION("""COMPUTED_VALUE"""),50300.0)</f>
        <v>50300</v>
      </c>
      <c r="AD631" s="3" t="str">
        <f>IFERROR(__xludf.DUMMYFUNCTION("""COMPUTED_VALUE"""),"#N/A")</f>
        <v>#N/A</v>
      </c>
      <c r="AE631" s="3" t="str">
        <f>IFERROR(__xludf.DUMMYFUNCTION("""COMPUTED_VALUE"""),"#N/A")</f>
        <v>#N/A</v>
      </c>
      <c r="AF631" s="3" t="str">
        <f>IFERROR(__xludf.DUMMYFUNCTION("""COMPUTED_VALUE"""),"MBC BCP ซุปเปอร์ไฮเวย์-21398")</f>
        <v>MBC BCP ซุปเปอร์ไฮเวย์-21398</v>
      </c>
      <c r="AG631" s="3" t="str">
        <f>IFERROR(__xludf.DUMMYFUNCTION("""COMPUTED_VALUE"""),"เหนือ")</f>
        <v>เหนือ</v>
      </c>
      <c r="AH631" s="3" t="str">
        <f>IFERROR(__xludf.DUMMYFUNCTION("""COMPUTED_VALUE"""),"#N/A")</f>
        <v>#N/A</v>
      </c>
      <c r="AI631" s="3" t="str">
        <f>IFERROR(__xludf.DUMMYFUNCTION("""COMPUTED_VALUE"""),"Out of warranty")</f>
        <v>Out of warranty</v>
      </c>
      <c r="AJ631" s="3">
        <f>IFERROR(__xludf.DUMMYFUNCTION("""COMPUTED_VALUE"""),121.0)</f>
        <v>121</v>
      </c>
      <c r="AK631" s="3"/>
      <c r="AL631" s="3"/>
    </row>
    <row r="632" ht="15.75" customHeight="1">
      <c r="A632" s="1" t="str">
        <f>IFERROR(__xludf.DUMMYFUNCTION("""COMPUTED_VALUE"""),"21399")</f>
        <v>21399</v>
      </c>
      <c r="B632" s="2">
        <f>IFERROR(__xludf.DUMMYFUNCTION("""COMPUTED_VALUE"""),21399.0)</f>
        <v>21399</v>
      </c>
      <c r="C632" s="3" t="str">
        <f>IFERROR(__xludf.DUMMYFUNCTION("""COMPUTED_VALUE"""),"MBC BCP เปลี่ยน-สิชล")</f>
        <v>MBC BCP เปลี่ยน-สิชล</v>
      </c>
      <c r="D632" s="3" t="str">
        <f>IFERROR(__xludf.DUMMYFUNCTION("""COMPUTED_VALUE"""),"BCM BCP PLIAN-SICHON")</f>
        <v>BCM BCP PLIAN-SICHON</v>
      </c>
      <c r="E632" s="1" t="str">
        <f>IFERROR(__xludf.DUMMYFUNCTION("""COMPUTED_VALUE"""),"บิ๊กซี MINI")</f>
        <v>บิ๊กซี MINI</v>
      </c>
      <c r="F632" s="1" t="str">
        <f>IFERROR(__xludf.DUMMYFUNCTION("""COMPUTED_VALUE"""),"250760")</f>
        <v>250760</v>
      </c>
      <c r="G632" s="1" t="str">
        <f>IFERROR(__xludf.DUMMYFUNCTION("""COMPUTED_VALUE"""),"นายประทวน สาราบรรณ์")</f>
        <v>นายประทวน สาราบรรณ์</v>
      </c>
      <c r="H632" s="1" t="str">
        <f>IFERROR(__xludf.DUMMYFUNCTION("""COMPUTED_VALUE"""),"356760")</f>
        <v>356760</v>
      </c>
      <c r="I632" s="1" t="str">
        <f>IFERROR(__xludf.DUMMYFUNCTION("""COMPUTED_VALUE"""),"นายภูมิภัทร แก้วพรรณราย")</f>
        <v>นายภูมิภัทร แก้วพรรณราย</v>
      </c>
      <c r="J632" s="3">
        <f>IFERROR(__xludf.DUMMYFUNCTION("""COMPUTED_VALUE"""),2.0470331E7)</f>
        <v>20470331</v>
      </c>
      <c r="K632" s="3" t="str">
        <f>IFERROR(__xludf.DUMMYFUNCTION("""COMPUTED_VALUE"""),"นายสมชาย ลักษณะสุวรรณ")</f>
        <v>นายสมชาย ลักษณะสุวรรณ</v>
      </c>
      <c r="L632" s="1" t="str">
        <f>IFERROR(__xludf.DUMMYFUNCTION("""COMPUTED_VALUE"""),"15 K.Somchai L")</f>
        <v>15 K.Somchai L</v>
      </c>
      <c r="M632" s="1" t="str">
        <f>IFERROR(__xludf.DUMMYFUNCTION("""COMPUTED_VALUE"""),"0655107372")</f>
        <v>0655107372</v>
      </c>
      <c r="N632" s="3">
        <f>IFERROR(__xludf.DUMMYFUNCTION("""COMPUTED_VALUE"""),21723.0)</f>
        <v>21723</v>
      </c>
      <c r="O632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632" s="4">
        <f>IFERROR(__xludf.DUMMYFUNCTION("""COMPUTED_VALUE"""),42384.0)</f>
        <v>42384</v>
      </c>
      <c r="Q632" s="3" t="str">
        <f>IFERROR(__xludf.DUMMYFUNCTION("""COMPUTED_VALUE"""),"I")</f>
        <v>I</v>
      </c>
      <c r="R632" s="3" t="str">
        <f>IFERROR(__xludf.DUMMYFUNCTION("""COMPUTED_VALUE"""),"Small Format")</f>
        <v>Small Format</v>
      </c>
      <c r="S632" s="3" t="str">
        <f>IFERROR(__xludf.DUMMYFUNCTION("""COMPUTED_VALUE"""),"BCM")</f>
        <v>BCM</v>
      </c>
      <c r="T632" s="3" t="str">
        <f>IFERROR(__xludf.DUMMYFUNCTION("""COMPUTED_VALUE"""),"#N/A")</f>
        <v>#N/A</v>
      </c>
      <c r="U632" s="3" t="str">
        <f>IFERROR(__xludf.DUMMYFUNCTION("""COMPUTED_VALUE"""),"#N/A")</f>
        <v>#N/A</v>
      </c>
      <c r="V632" s="3" t="str">
        <f>IFERROR(__xludf.DUMMYFUNCTION("""COMPUTED_VALUE"""),"N")</f>
        <v>N</v>
      </c>
      <c r="W632" s="3">
        <f>IFERROR(__xludf.DUMMYFUNCTION("""COMPUTED_VALUE"""),361227.0)</f>
        <v>361227</v>
      </c>
      <c r="X632" s="3" t="str">
        <f>IFERROR(__xludf.DUMMYFUNCTION("""COMPUTED_VALUE"""),"3/4 หมู่ 10 ตำบลเปลี่ยน อำเภอสิชล จังหวัดนครศรีธรรมราช 80120")</f>
        <v>3/4 หมู่ 10 ตำบลเปลี่ยน อำเภอสิชล จังหวัดนครศรีธรรมราช 80120</v>
      </c>
      <c r="Y632" s="3"/>
      <c r="Z632" s="3" t="str">
        <f>IFERROR(__xludf.DUMMYFUNCTION("""COMPUTED_VALUE"""),"เปลี่ยน")</f>
        <v>เปลี่ยน</v>
      </c>
      <c r="AA632" s="3" t="str">
        <f>IFERROR(__xludf.DUMMYFUNCTION("""COMPUTED_VALUE"""),"สิชล")</f>
        <v>สิชล</v>
      </c>
      <c r="AB632" s="3" t="str">
        <f>IFERROR(__xludf.DUMMYFUNCTION("""COMPUTED_VALUE"""),"นครศรีธรรมราช")</f>
        <v>นครศรีธรรมราช</v>
      </c>
      <c r="AC632" s="3">
        <f>IFERROR(__xludf.DUMMYFUNCTION("""COMPUTED_VALUE"""),80120.0)</f>
        <v>80120</v>
      </c>
      <c r="AD632" s="3">
        <f>IFERROR(__xludf.DUMMYFUNCTION("""COMPUTED_VALUE"""),8.846675)</f>
        <v>8.846675</v>
      </c>
      <c r="AE632" s="3">
        <f>IFERROR(__xludf.DUMMYFUNCTION("""COMPUTED_VALUE"""),99.900884)</f>
        <v>99.900884</v>
      </c>
      <c r="AF632" s="3" t="str">
        <f>IFERROR(__xludf.DUMMYFUNCTION("""COMPUTED_VALUE"""),"MBC BCP เปลี่ยน-สิชล-21399")</f>
        <v>MBC BCP เปลี่ยน-สิชล-21399</v>
      </c>
      <c r="AG632" s="3" t="str">
        <f>IFERROR(__xludf.DUMMYFUNCTION("""COMPUTED_VALUE"""),"ใต้")</f>
        <v>ใต้</v>
      </c>
      <c r="AH632" s="3" t="str">
        <f>IFERROR(__xludf.DUMMYFUNCTION("""COMPUTED_VALUE"""),"#N/A")</f>
        <v>#N/A</v>
      </c>
      <c r="AI632" s="3" t="str">
        <f>IFERROR(__xludf.DUMMYFUNCTION("""COMPUTED_VALUE"""),"Out of warranty")</f>
        <v>Out of warranty</v>
      </c>
      <c r="AJ632" s="3">
        <f>IFERROR(__xludf.DUMMYFUNCTION("""COMPUTED_VALUE"""),121.0)</f>
        <v>121</v>
      </c>
      <c r="AK632" s="3" t="str">
        <f>IFERROR(__xludf.DUMMYFUNCTION("""COMPUTED_VALUE"""),"MMS15")</f>
        <v>MMS15</v>
      </c>
      <c r="AL632" s="3"/>
    </row>
    <row r="633" ht="15.75" customHeight="1">
      <c r="A633" s="1" t="str">
        <f>IFERROR(__xludf.DUMMYFUNCTION("""COMPUTED_VALUE"""),"21400")</f>
        <v>21400</v>
      </c>
      <c r="B633" s="2">
        <f>IFERROR(__xludf.DUMMYFUNCTION("""COMPUTED_VALUE"""),21400.0)</f>
        <v>21400</v>
      </c>
      <c r="C633" s="3" t="str">
        <f>IFERROR(__xludf.DUMMYFUNCTION("""COMPUTED_VALUE"""),"MBC BCP ลำลูกกา คลอง 7")</f>
        <v>MBC BCP ลำลูกกา คลอง 7</v>
      </c>
      <c r="D633" s="3" t="str">
        <f>IFERROR(__xludf.DUMMYFUNCTION("""COMPUTED_VALUE"""),"BCM BCP LAMLUKKA KLONG 7")</f>
        <v>BCM BCP LAMLUKKA KLONG 7</v>
      </c>
      <c r="E633" s="1" t="str">
        <f>IFERROR(__xludf.DUMMYFUNCTION("""COMPUTED_VALUE"""),"บิ๊กซี MINI")</f>
        <v>บิ๊กซี MINI</v>
      </c>
      <c r="F633" s="1" t="str">
        <f>IFERROR(__xludf.DUMMYFUNCTION("""COMPUTED_VALUE"""),"2083447")</f>
        <v>2083447</v>
      </c>
      <c r="G633" s="1" t="str">
        <f>IFERROR(__xludf.DUMMYFUNCTION("""COMPUTED_VALUE"""),"นายอนุกูล ศรีลัดดา")</f>
        <v>นายอนุกูล ศรีลัดดา</v>
      </c>
      <c r="H633" s="1" t="str">
        <f>IFERROR(__xludf.DUMMYFUNCTION("""COMPUTED_VALUE"""),"373849")</f>
        <v>373849</v>
      </c>
      <c r="I633" s="1" t="str">
        <f>IFERROR(__xludf.DUMMYFUNCTION("""COMPUTED_VALUE"""),"น.ส.อรอุมา นิ่มวิศิษย์")</f>
        <v>น.ส.อรอุมา นิ่มวิศิษย์</v>
      </c>
      <c r="J633" s="3">
        <f>IFERROR(__xludf.DUMMYFUNCTION("""COMPUTED_VALUE"""),2451655.0)</f>
        <v>2451655</v>
      </c>
      <c r="K633" s="3" t="str">
        <f>IFERROR(__xludf.DUMMYFUNCTION("""COMPUTED_VALUE"""),"นายวิษณุพงษ์ ชินบุตร")</f>
        <v>นายวิษณุพงษ์ ชินบุตร</v>
      </c>
      <c r="L633" s="1" t="str">
        <f>IFERROR(__xludf.DUMMYFUNCTION("""COMPUTED_VALUE"""),"13 K.Wisanupong Ch")</f>
        <v>13 K.Wisanupong Ch</v>
      </c>
      <c r="M633" s="1" t="str">
        <f>IFERROR(__xludf.DUMMYFUNCTION("""COMPUTED_VALUE"""),"0843374693")</f>
        <v>0843374693</v>
      </c>
      <c r="N633" s="3">
        <f>IFERROR(__xludf.DUMMYFUNCTION("""COMPUTED_VALUE"""),21494.0)</f>
        <v>21494</v>
      </c>
      <c r="O633" s="3" t="str">
        <f>IFERROR(__xludf.DUMMYFUNCTION("""COMPUTED_VALUE"""),"MBC บ้านกรด")</f>
        <v>MBC บ้านกรด</v>
      </c>
      <c r="P633" s="4">
        <f>IFERROR(__xludf.DUMMYFUNCTION("""COMPUTED_VALUE"""),42400.0)</f>
        <v>42400</v>
      </c>
      <c r="Q633" s="3" t="str">
        <f>IFERROR(__xludf.DUMMYFUNCTION("""COMPUTED_VALUE"""),"I")</f>
        <v>I</v>
      </c>
      <c r="R633" s="3" t="str">
        <f>IFERROR(__xludf.DUMMYFUNCTION("""COMPUTED_VALUE"""),"Small Format")</f>
        <v>Small Format</v>
      </c>
      <c r="S633" s="3" t="str">
        <f>IFERROR(__xludf.DUMMYFUNCTION("""COMPUTED_VALUE"""),"BCM")</f>
        <v>BCM</v>
      </c>
      <c r="T633" s="3" t="str">
        <f>IFERROR(__xludf.DUMMYFUNCTION("""COMPUTED_VALUE"""),"#N/A")</f>
        <v>#N/A</v>
      </c>
      <c r="U633" s="3" t="str">
        <f>IFERROR(__xludf.DUMMYFUNCTION("""COMPUTED_VALUE"""),"#N/A")</f>
        <v>#N/A</v>
      </c>
      <c r="V633" s="3" t="str">
        <f>IFERROR(__xludf.DUMMYFUNCTION("""COMPUTED_VALUE"""),"N")</f>
        <v>N</v>
      </c>
      <c r="W633" s="3">
        <f>IFERROR(__xludf.DUMMYFUNCTION("""COMPUTED_VALUE"""),361146.0)</f>
        <v>361146</v>
      </c>
      <c r="X633" s="3" t="str">
        <f>IFERROR(__xludf.DUMMYFUNCTION("""COMPUTED_VALUE"""),"89/1 หมู่ 5 ตำบลบึงคำพร้อย อำเภอลำลูกกา จังหวัดปทุมธานี 12150")</f>
        <v>89/1 หมู่ 5 ตำบลบึงคำพร้อย อำเภอลำลูกกา จังหวัดปทุมธานี 12150</v>
      </c>
      <c r="Y633" s="3"/>
      <c r="Z633" s="3" t="str">
        <f>IFERROR(__xludf.DUMMYFUNCTION("""COMPUTED_VALUE"""),"บึงคำพร้อย")</f>
        <v>บึงคำพร้อย</v>
      </c>
      <c r="AA633" s="3" t="str">
        <f>IFERROR(__xludf.DUMMYFUNCTION("""COMPUTED_VALUE"""),"ลำลูกกา")</f>
        <v>ลำลูกกา</v>
      </c>
      <c r="AB633" s="3" t="str">
        <f>IFERROR(__xludf.DUMMYFUNCTION("""COMPUTED_VALUE"""),"ปทุมธานี")</f>
        <v>ปทุมธานี</v>
      </c>
      <c r="AC633" s="3">
        <f>IFERROR(__xludf.DUMMYFUNCTION("""COMPUTED_VALUE"""),12150.0)</f>
        <v>12150</v>
      </c>
      <c r="AD633" s="3">
        <f>IFERROR(__xludf.DUMMYFUNCTION("""COMPUTED_VALUE"""),13.935235)</f>
        <v>13.935235</v>
      </c>
      <c r="AE633" s="3">
        <f>IFERROR(__xludf.DUMMYFUNCTION("""COMPUTED_VALUE"""),100.747617)</f>
        <v>100.747617</v>
      </c>
      <c r="AF633" s="3" t="str">
        <f>IFERROR(__xludf.DUMMYFUNCTION("""COMPUTED_VALUE"""),"MBC BCP ลำลูกกา คลอง 7-21400")</f>
        <v>MBC BCP ลำลูกกา คลอง 7-21400</v>
      </c>
      <c r="AG633" s="3" t="str">
        <f>IFERROR(__xludf.DUMMYFUNCTION("""COMPUTED_VALUE"""),"กลาง")</f>
        <v>กลาง</v>
      </c>
      <c r="AH633" s="3" t="str">
        <f>IFERROR(__xludf.DUMMYFUNCTION("""COMPUTED_VALUE"""),"#N/A")</f>
        <v>#N/A</v>
      </c>
      <c r="AI633" s="3" t="str">
        <f>IFERROR(__xludf.DUMMYFUNCTION("""COMPUTED_VALUE"""),"Out of warranty")</f>
        <v>Out of warranty</v>
      </c>
      <c r="AJ633" s="3">
        <f>IFERROR(__xludf.DUMMYFUNCTION("""COMPUTED_VALUE"""),120.0)</f>
        <v>120</v>
      </c>
      <c r="AK633" s="3" t="str">
        <f>IFERROR(__xludf.DUMMYFUNCTION("""COMPUTED_VALUE"""),"MMS04")</f>
        <v>MMS04</v>
      </c>
      <c r="AL633" s="3"/>
    </row>
    <row r="634" ht="15.75" customHeight="1">
      <c r="A634" s="1" t="str">
        <f>IFERROR(__xludf.DUMMYFUNCTION("""COMPUTED_VALUE"""),"21401")</f>
        <v>21401</v>
      </c>
      <c r="B634" s="2">
        <f>IFERROR(__xludf.DUMMYFUNCTION("""COMPUTED_VALUE"""),21401.0)</f>
        <v>21401</v>
      </c>
      <c r="C634" s="3" t="str">
        <f>IFERROR(__xludf.DUMMYFUNCTION("""COMPUTED_VALUE"""),"MBC BCP ศรีนครินทร์-สมิติเวช")</f>
        <v>MBC BCP ศรีนครินทร์-สมิติเวช</v>
      </c>
      <c r="D634" s="3" t="str">
        <f>IFERROR(__xludf.DUMMYFUNCTION("""COMPUTED_VALUE"""),"BCM BCP SRINAKARIN-SAMITIVEJ")</f>
        <v>BCM BCP SRINAKARIN-SAMITIVEJ</v>
      </c>
      <c r="E634" s="1" t="str">
        <f>IFERROR(__xludf.DUMMYFUNCTION("""COMPUTED_VALUE"""),"บิ๊กซี MINI")</f>
        <v>บิ๊กซี MINI</v>
      </c>
      <c r="F634" s="1" t="str">
        <f>IFERROR(__xludf.DUMMYFUNCTION("""COMPUTED_VALUE"""),"291008")</f>
        <v>291008</v>
      </c>
      <c r="G634" s="1" t="str">
        <f>IFERROR(__xludf.DUMMYFUNCTION("""COMPUTED_VALUE"""),"น.ส.รัชดาพร อีศรัตน์")</f>
        <v>น.ส.รัชดาพร อีศรัตน์</v>
      </c>
      <c r="H634" s="1" t="str">
        <f>IFERROR(__xludf.DUMMYFUNCTION("""COMPUTED_VALUE"""),"468773")</f>
        <v>468773</v>
      </c>
      <c r="I634" s="1" t="str">
        <f>IFERROR(__xludf.DUMMYFUNCTION("""COMPUTED_VALUE"""),"น.ส.พรพรรณ แซ่แต้")</f>
        <v>น.ส.พรพรรณ แซ่แต้</v>
      </c>
      <c r="J634" s="3">
        <f>IFERROR(__xludf.DUMMYFUNCTION("""COMPUTED_VALUE"""),2452378.0)</f>
        <v>2452378</v>
      </c>
      <c r="K634" s="3" t="str">
        <f>IFERROR(__xludf.DUMMYFUNCTION("""COMPUTED_VALUE"""),"นายศักดิ์ดา พวงประดับ")</f>
        <v>นายศักดิ์ดา พวงประดับ</v>
      </c>
      <c r="L634" s="1" t="str">
        <f>IFERROR(__xludf.DUMMYFUNCTION("""COMPUTED_VALUE"""),"11 K.Sakda P.")</f>
        <v>11 K.Sakda P.</v>
      </c>
      <c r="M634" s="1" t="str">
        <f>IFERROR(__xludf.DUMMYFUNCTION("""COMPUTED_VALUE"""),"065-929-1279")</f>
        <v>065-929-1279</v>
      </c>
      <c r="N634" s="3">
        <f>IFERROR(__xludf.DUMMYFUNCTION("""COMPUTED_VALUE"""),21002.0)</f>
        <v>21002</v>
      </c>
      <c r="O634" s="3" t="str">
        <f>IFERROR(__xludf.DUMMYFUNCTION("""COMPUTED_VALUE"""),"MBC อุดมสุข")</f>
        <v>MBC อุดมสุข</v>
      </c>
      <c r="P634" s="4">
        <f>IFERROR(__xludf.DUMMYFUNCTION("""COMPUTED_VALUE"""),42419.0)</f>
        <v>42419</v>
      </c>
      <c r="Q634" s="3" t="str">
        <f>IFERROR(__xludf.DUMMYFUNCTION("""COMPUTED_VALUE"""),"A")</f>
        <v>A</v>
      </c>
      <c r="R634" s="3" t="str">
        <f>IFERROR(__xludf.DUMMYFUNCTION("""COMPUTED_VALUE"""),"Small Format")</f>
        <v>Small Format</v>
      </c>
      <c r="S634" s="3" t="str">
        <f>IFERROR(__xludf.DUMMYFUNCTION("""COMPUTED_VALUE"""),"BCM")</f>
        <v>BCM</v>
      </c>
      <c r="T634" s="3" t="str">
        <f>IFERROR(__xludf.DUMMYFUNCTION("""COMPUTED_VALUE"""),"#N/A")</f>
        <v>#N/A</v>
      </c>
      <c r="U634" s="3" t="str">
        <f>IFERROR(__xludf.DUMMYFUNCTION("""COMPUTED_VALUE"""),"#N/A")</f>
        <v>#N/A</v>
      </c>
      <c r="V634" s="3" t="str">
        <f>IFERROR(__xludf.DUMMYFUNCTION("""COMPUTED_VALUE"""),"N")</f>
        <v>N</v>
      </c>
      <c r="W634" s="3">
        <f>IFERROR(__xludf.DUMMYFUNCTION("""COMPUTED_VALUE"""),361124.0)</f>
        <v>361124</v>
      </c>
      <c r="X634" s="3" t="str">
        <f>IFERROR(__xludf.DUMMYFUNCTION("""COMPUTED_VALUE"""),"138/2 ถนนศรีนครินทร์ แขวงหัวหมาก เขตบางกะปิ กรุงเทพมหานคร 10240")</f>
        <v>138/2 ถนนศรีนครินทร์ แขวงหัวหมาก เขตบางกะปิ กรุงเทพมหานคร 10240</v>
      </c>
      <c r="Y634" s="3" t="str">
        <f>IFERROR(__xludf.DUMMYFUNCTION("""COMPUTED_VALUE"""),"ถนนศรีนครินทร์")</f>
        <v>ถนนศรีนครินทร์</v>
      </c>
      <c r="Z634" s="3" t="str">
        <f>IFERROR(__xludf.DUMMYFUNCTION("""COMPUTED_VALUE"""),"หัวหมาก")</f>
        <v>หัวหมาก</v>
      </c>
      <c r="AA634" s="3" t="str">
        <f>IFERROR(__xludf.DUMMYFUNCTION("""COMPUTED_VALUE"""),"บางกะปิ")</f>
        <v>บางกะปิ</v>
      </c>
      <c r="AB634" s="3" t="str">
        <f>IFERROR(__xludf.DUMMYFUNCTION("""COMPUTED_VALUE"""),"กรุงเทพมหานคร")</f>
        <v>กรุงเทพมหานคร</v>
      </c>
      <c r="AC634" s="3">
        <f>IFERROR(__xludf.DUMMYFUNCTION("""COMPUTED_VALUE"""),10240.0)</f>
        <v>10240</v>
      </c>
      <c r="AD634" s="3">
        <f>IFERROR(__xludf.DUMMYFUNCTION("""COMPUTED_VALUE"""),13.747154)</f>
        <v>13.747154</v>
      </c>
      <c r="AE634" s="3">
        <f>IFERROR(__xludf.DUMMYFUNCTION("""COMPUTED_VALUE"""),100.643639)</f>
        <v>100.643639</v>
      </c>
      <c r="AF634" s="3" t="str">
        <f>IFERROR(__xludf.DUMMYFUNCTION("""COMPUTED_VALUE"""),"MBC BCP ศรีนครินทร์-สมิติเวช-21401")</f>
        <v>MBC BCP ศรีนครินทร์-สมิติเวช-21401</v>
      </c>
      <c r="AG634" s="3" t="str">
        <f>IFERROR(__xludf.DUMMYFUNCTION("""COMPUTED_VALUE"""),"กลาง")</f>
        <v>กลาง</v>
      </c>
      <c r="AH634" s="3" t="str">
        <f>IFERROR(__xludf.DUMMYFUNCTION("""COMPUTED_VALUE"""),"#N/A")</f>
        <v>#N/A</v>
      </c>
      <c r="AI634" s="3" t="str">
        <f>IFERROR(__xludf.DUMMYFUNCTION("""COMPUTED_VALUE"""),"Out of warranty")</f>
        <v>Out of warranty</v>
      </c>
      <c r="AJ634" s="3">
        <f>IFERROR(__xludf.DUMMYFUNCTION("""COMPUTED_VALUE"""),120.0)</f>
        <v>120</v>
      </c>
      <c r="AK634" s="3" t="str">
        <f>IFERROR(__xludf.DUMMYFUNCTION("""COMPUTED_VALUE"""),"MMS03")</f>
        <v>MMS03</v>
      </c>
      <c r="AL634" s="3"/>
    </row>
    <row r="635" ht="15.75" customHeight="1">
      <c r="A635" s="1" t="str">
        <f>IFERROR(__xludf.DUMMYFUNCTION("""COMPUTED_VALUE"""),"21402")</f>
        <v>21402</v>
      </c>
      <c r="B635" s="2">
        <f>IFERROR(__xludf.DUMMYFUNCTION("""COMPUTED_VALUE"""),21402.0)</f>
        <v>21402</v>
      </c>
      <c r="C635" s="3" t="str">
        <f>IFERROR(__xludf.DUMMYFUNCTION("""COMPUTED_VALUE"""),"MBC BCP เทพารักษ์ กม.7 (ขาออก)")</f>
        <v>MBC BCP เทพารักษ์ กม.7 (ขาออก)</v>
      </c>
      <c r="D635" s="3" t="str">
        <f>IFERROR(__xludf.DUMMYFUNCTION("""COMPUTED_VALUE"""),"BCM BCP THEPHARAK KM.7(OB)")</f>
        <v>BCM BCP THEPHARAK KM.7(OB)</v>
      </c>
      <c r="E635" s="1" t="str">
        <f>IFERROR(__xludf.DUMMYFUNCTION("""COMPUTED_VALUE"""),"บิ๊กซี MINI")</f>
        <v>บิ๊กซี MINI</v>
      </c>
      <c r="F635" s="1" t="str">
        <f>IFERROR(__xludf.DUMMYFUNCTION("""COMPUTED_VALUE"""),"2083447")</f>
        <v>2083447</v>
      </c>
      <c r="G635" s="1" t="str">
        <f>IFERROR(__xludf.DUMMYFUNCTION("""COMPUTED_VALUE"""),"นายอนุกูล ศรีลัดดา")</f>
        <v>นายอนุกูล ศรีลัดดา</v>
      </c>
      <c r="H635" s="1" t="str">
        <f>IFERROR(__xludf.DUMMYFUNCTION("""COMPUTED_VALUE"""),"284752")</f>
        <v>284752</v>
      </c>
      <c r="I635" s="1" t="str">
        <f>IFERROR(__xludf.DUMMYFUNCTION("""COMPUTED_VALUE"""),"น.ส.วีรนันท์ แสงใส")</f>
        <v>น.ส.วีรนันท์ แสงใส</v>
      </c>
      <c r="J635" s="3">
        <f>IFERROR(__xludf.DUMMYFUNCTION("""COMPUTED_VALUE"""),2451655.0)</f>
        <v>2451655</v>
      </c>
      <c r="K635" s="3" t="str">
        <f>IFERROR(__xludf.DUMMYFUNCTION("""COMPUTED_VALUE"""),"นายวิษณุพงษ์ ชินบุตร")</f>
        <v>นายวิษณุพงษ์ ชินบุตร</v>
      </c>
      <c r="L635" s="1" t="str">
        <f>IFERROR(__xludf.DUMMYFUNCTION("""COMPUTED_VALUE"""),"13 K.Wisanupong Ch")</f>
        <v>13 K.Wisanupong Ch</v>
      </c>
      <c r="M635" s="1" t="str">
        <f>IFERROR(__xludf.DUMMYFUNCTION("""COMPUTED_VALUE"""),"0843374693")</f>
        <v>0843374693</v>
      </c>
      <c r="N635" s="3">
        <f>IFERROR(__xludf.DUMMYFUNCTION("""COMPUTED_VALUE"""),21494.0)</f>
        <v>21494</v>
      </c>
      <c r="O635" s="3" t="str">
        <f>IFERROR(__xludf.DUMMYFUNCTION("""COMPUTED_VALUE"""),"MBC บ้านกรด")</f>
        <v>MBC บ้านกรด</v>
      </c>
      <c r="P635" s="4">
        <f>IFERROR(__xludf.DUMMYFUNCTION("""COMPUTED_VALUE"""),42419.0)</f>
        <v>42419</v>
      </c>
      <c r="Q635" s="3" t="str">
        <f>IFERROR(__xludf.DUMMYFUNCTION("""COMPUTED_VALUE"""),"I")</f>
        <v>I</v>
      </c>
      <c r="R635" s="3" t="str">
        <f>IFERROR(__xludf.DUMMYFUNCTION("""COMPUTED_VALUE"""),"Small Format")</f>
        <v>Small Format</v>
      </c>
      <c r="S635" s="3" t="str">
        <f>IFERROR(__xludf.DUMMYFUNCTION("""COMPUTED_VALUE"""),"BCM")</f>
        <v>BCM</v>
      </c>
      <c r="T635" s="3" t="str">
        <f>IFERROR(__xludf.DUMMYFUNCTION("""COMPUTED_VALUE"""),"#N/A")</f>
        <v>#N/A</v>
      </c>
      <c r="U635" s="3" t="str">
        <f>IFERROR(__xludf.DUMMYFUNCTION("""COMPUTED_VALUE"""),"#N/A")</f>
        <v>#N/A</v>
      </c>
      <c r="V635" s="3" t="str">
        <f>IFERROR(__xludf.DUMMYFUNCTION("""COMPUTED_VALUE"""),"N")</f>
        <v>N</v>
      </c>
      <c r="W635" s="3">
        <f>IFERROR(__xludf.DUMMYFUNCTION("""COMPUTED_VALUE"""),361212.0)</f>
        <v>361212</v>
      </c>
      <c r="X635" s="3" t="str">
        <f>IFERROR(__xludf.DUMMYFUNCTION("""COMPUTED_VALUE"""),"7/10 หมู่ 1 ตำบลเทพารักษ์ อำเภอเมืองสมุทรปราการ จังหวัดสมุทรปราการ 10270")</f>
        <v>7/10 หมู่ 1 ตำบลเทพารักษ์ อำเภอเมืองสมุทรปราการ จังหวัดสมุทรปราการ 10270</v>
      </c>
      <c r="Y635" s="3"/>
      <c r="Z635" s="3" t="str">
        <f>IFERROR(__xludf.DUMMYFUNCTION("""COMPUTED_VALUE"""),"เทพารักษ์")</f>
        <v>เทพารักษ์</v>
      </c>
      <c r="AA635" s="3" t="str">
        <f>IFERROR(__xludf.DUMMYFUNCTION("""COMPUTED_VALUE"""),"เมืองสมุทรปราการ")</f>
        <v>เมืองสมุทรปราการ</v>
      </c>
      <c r="AB635" s="3" t="str">
        <f>IFERROR(__xludf.DUMMYFUNCTION("""COMPUTED_VALUE"""),"สมุทรปราการ")</f>
        <v>สมุทรปราการ</v>
      </c>
      <c r="AC635" s="3">
        <f>IFERROR(__xludf.DUMMYFUNCTION("""COMPUTED_VALUE"""),10270.0)</f>
        <v>10270</v>
      </c>
      <c r="AD635" s="3">
        <f>IFERROR(__xludf.DUMMYFUNCTION("""COMPUTED_VALUE"""),13.616862)</f>
        <v>13.616862</v>
      </c>
      <c r="AE635" s="3">
        <f>IFERROR(__xludf.DUMMYFUNCTION("""COMPUTED_VALUE"""),100.653919)</f>
        <v>100.653919</v>
      </c>
      <c r="AF635" s="3" t="str">
        <f>IFERROR(__xludf.DUMMYFUNCTION("""COMPUTED_VALUE"""),"MBC BCP เทพารักษ์ กม.7 (ขาออก)-21402")</f>
        <v>MBC BCP เทพารักษ์ กม.7 (ขาออก)-21402</v>
      </c>
      <c r="AG635" s="3" t="str">
        <f>IFERROR(__xludf.DUMMYFUNCTION("""COMPUTED_VALUE"""),"กลาง")</f>
        <v>กลาง</v>
      </c>
      <c r="AH635" s="3" t="str">
        <f>IFERROR(__xludf.DUMMYFUNCTION("""COMPUTED_VALUE"""),"#N/A")</f>
        <v>#N/A</v>
      </c>
      <c r="AI635" s="3" t="str">
        <f>IFERROR(__xludf.DUMMYFUNCTION("""COMPUTED_VALUE"""),"Out of warranty")</f>
        <v>Out of warranty</v>
      </c>
      <c r="AJ635" s="3">
        <f>IFERROR(__xludf.DUMMYFUNCTION("""COMPUTED_VALUE"""),120.0)</f>
        <v>120</v>
      </c>
      <c r="AK635" s="3" t="str">
        <f>IFERROR(__xludf.DUMMYFUNCTION("""COMPUTED_VALUE"""),"MMS02")</f>
        <v>MMS02</v>
      </c>
      <c r="AL635" s="3"/>
    </row>
    <row r="636" ht="15.75" customHeight="1">
      <c r="A636" s="1" t="str">
        <f>IFERROR(__xludf.DUMMYFUNCTION("""COMPUTED_VALUE"""),"21403")</f>
        <v>21403</v>
      </c>
      <c r="B636" s="2">
        <f>IFERROR(__xludf.DUMMYFUNCTION("""COMPUTED_VALUE"""),21403.0)</f>
        <v>21403</v>
      </c>
      <c r="C636" s="3" t="str">
        <f>IFERROR(__xludf.DUMMYFUNCTION("""COMPUTED_VALUE"""),"MBC BCP หมูม่น-เมืองอุดรธานี")</f>
        <v>MBC BCP หมูม่น-เมืองอุดรธานี</v>
      </c>
      <c r="D636" s="3" t="str">
        <f>IFERROR(__xludf.DUMMYFUNCTION("""COMPUTED_VALUE"""),"BCM BCP MU MON-MUEANG UDON")</f>
        <v>BCM BCP MU MON-MUEANG UDON</v>
      </c>
      <c r="E636" s="1" t="str">
        <f>IFERROR(__xludf.DUMMYFUNCTION("""COMPUTED_VALUE"""),"บิ๊กซี MINI")</f>
        <v>บิ๊กซี MINI</v>
      </c>
      <c r="F636" s="1" t="str">
        <f>IFERROR(__xludf.DUMMYFUNCTION("""COMPUTED_VALUE"""),"291105")</f>
        <v>291105</v>
      </c>
      <c r="G636" s="1" t="str">
        <f>IFERROR(__xludf.DUMMYFUNCTION("""COMPUTED_VALUE"""),"นายสราวุฒิ พณิชยกุล")</f>
        <v>นายสราวุฒิ พณิชยกุล</v>
      </c>
      <c r="H636" s="1" t="str">
        <f>IFERROR(__xludf.DUMMYFUNCTION("""COMPUTED_VALUE"""),"392005")</f>
        <v>392005</v>
      </c>
      <c r="I636" s="1" t="str">
        <f>IFERROR(__xludf.DUMMYFUNCTION("""COMPUTED_VALUE"""),"นายรัฐพล หาญลำยวง")</f>
        <v>นายรัฐพล หาญลำยวง</v>
      </c>
      <c r="J636" s="3">
        <f>IFERROR(__xludf.DUMMYFUNCTION("""COMPUTED_VALUE"""),295886.0)</f>
        <v>295886</v>
      </c>
      <c r="K636" s="3" t="str">
        <f>IFERROR(__xludf.DUMMYFUNCTION("""COMPUTED_VALUE"""),"นายจิระพงษ์ โพธิ์นิล")</f>
        <v>นายจิระพงษ์ โพธิ์นิล</v>
      </c>
      <c r="L636" s="1" t="str">
        <f>IFERROR(__xludf.DUMMYFUNCTION("""COMPUTED_VALUE"""),"นายจิระพงษ์ โพธิ์นิล")</f>
        <v>นายจิระพงษ์ โพธิ์นิล</v>
      </c>
      <c r="M636" s="1" t="str">
        <f>IFERROR(__xludf.DUMMYFUNCTION("""COMPUTED_VALUE"""),"0933290754")</f>
        <v>0933290754</v>
      </c>
      <c r="N636" s="3">
        <f>IFERROR(__xludf.DUMMYFUNCTION("""COMPUTED_VALUE"""),21622.0)</f>
        <v>21622</v>
      </c>
      <c r="O636" s="3" t="str">
        <f>IFERROR(__xludf.DUMMYFUNCTION("""COMPUTED_VALUE"""),"MBC ตลาดบ้านดอน")</f>
        <v>MBC ตลาดบ้านดอน</v>
      </c>
      <c r="P636" s="4">
        <f>IFERROR(__xludf.DUMMYFUNCTION("""COMPUTED_VALUE"""),42420.0)</f>
        <v>42420</v>
      </c>
      <c r="Q636" s="3" t="str">
        <f>IFERROR(__xludf.DUMMYFUNCTION("""COMPUTED_VALUE"""),"I")</f>
        <v>I</v>
      </c>
      <c r="R636" s="3" t="str">
        <f>IFERROR(__xludf.DUMMYFUNCTION("""COMPUTED_VALUE"""),"Small Format")</f>
        <v>Small Format</v>
      </c>
      <c r="S636" s="3" t="str">
        <f>IFERROR(__xludf.DUMMYFUNCTION("""COMPUTED_VALUE"""),"BCM")</f>
        <v>BCM</v>
      </c>
      <c r="T636" s="3" t="str">
        <f>IFERROR(__xludf.DUMMYFUNCTION("""COMPUTED_VALUE"""),"#N/A")</f>
        <v>#N/A</v>
      </c>
      <c r="U636" s="3" t="str">
        <f>IFERROR(__xludf.DUMMYFUNCTION("""COMPUTED_VALUE"""),"#N/A")</f>
        <v>#N/A</v>
      </c>
      <c r="V636" s="3" t="str">
        <f>IFERROR(__xludf.DUMMYFUNCTION("""COMPUTED_VALUE"""),"N")</f>
        <v>N</v>
      </c>
      <c r="W636" s="3">
        <f>IFERROR(__xludf.DUMMYFUNCTION("""COMPUTED_VALUE"""),361136.0)</f>
        <v>361136</v>
      </c>
      <c r="X636" s="3" t="str">
        <f>IFERROR(__xludf.DUMMYFUNCTION("""COMPUTED_VALUE"""),"7/2 หมู่ 11 ตำบลหมูม่น อำเภอเมืองอุดรธานี จังหวัดอุดรธานี 41000")</f>
        <v>7/2 หมู่ 11 ตำบลหมูม่น อำเภอเมืองอุดรธานี จังหวัดอุดรธานี 41000</v>
      </c>
      <c r="Y636" s="3"/>
      <c r="Z636" s="3" t="str">
        <f>IFERROR(__xludf.DUMMYFUNCTION("""COMPUTED_VALUE"""),"หมูม่น")</f>
        <v>หมูม่น</v>
      </c>
      <c r="AA636" s="3" t="str">
        <f>IFERROR(__xludf.DUMMYFUNCTION("""COMPUTED_VALUE"""),"เมือง")</f>
        <v>เมือง</v>
      </c>
      <c r="AB636" s="3" t="str">
        <f>IFERROR(__xludf.DUMMYFUNCTION("""COMPUTED_VALUE"""),"อุดรธานี")</f>
        <v>อุดรธานี</v>
      </c>
      <c r="AC636" s="3">
        <f>IFERROR(__xludf.DUMMYFUNCTION("""COMPUTED_VALUE"""),41000.0)</f>
        <v>41000</v>
      </c>
      <c r="AD636" s="3">
        <f>IFERROR(__xludf.DUMMYFUNCTION("""COMPUTED_VALUE"""),17.490202)</f>
        <v>17.490202</v>
      </c>
      <c r="AE636" s="3">
        <f>IFERROR(__xludf.DUMMYFUNCTION("""COMPUTED_VALUE"""),102.796614)</f>
        <v>102.796614</v>
      </c>
      <c r="AF636" s="3" t="str">
        <f>IFERROR(__xludf.DUMMYFUNCTION("""COMPUTED_VALUE"""),"MBC BCP หมูม่น-เมืองอุดรธานี-21403")</f>
        <v>MBC BCP หมูม่น-เมืองอุดรธานี-21403</v>
      </c>
      <c r="AG636" s="3" t="str">
        <f>IFERROR(__xludf.DUMMYFUNCTION("""COMPUTED_VALUE"""),"ตะวันออกเฉียงเหนือ")</f>
        <v>ตะวันออกเฉียงเหนือ</v>
      </c>
      <c r="AH636" s="3" t="str">
        <f>IFERROR(__xludf.DUMMYFUNCTION("""COMPUTED_VALUE"""),"#N/A")</f>
        <v>#N/A</v>
      </c>
      <c r="AI636" s="3" t="str">
        <f>IFERROR(__xludf.DUMMYFUNCTION("""COMPUTED_VALUE"""),"Out of warranty")</f>
        <v>Out of warranty</v>
      </c>
      <c r="AJ636" s="3">
        <f>IFERROR(__xludf.DUMMYFUNCTION("""COMPUTED_VALUE"""),120.0)</f>
        <v>120</v>
      </c>
      <c r="AK636" s="3" t="str">
        <f>IFERROR(__xludf.DUMMYFUNCTION("""COMPUTED_VALUE"""),"MMS12")</f>
        <v>MMS12</v>
      </c>
      <c r="AL636" s="3"/>
    </row>
    <row r="637" ht="15.75" customHeight="1">
      <c r="A637" s="1" t="str">
        <f>IFERROR(__xludf.DUMMYFUNCTION("""COMPUTED_VALUE"""),"21404")</f>
        <v>21404</v>
      </c>
      <c r="B637" s="2">
        <f>IFERROR(__xludf.DUMMYFUNCTION("""COMPUTED_VALUE"""),21404.0)</f>
        <v>21404</v>
      </c>
      <c r="C637" s="3" t="str">
        <f>IFERROR(__xludf.DUMMYFUNCTION("""COMPUTED_VALUE"""),"MBC BCP สตรีวิทยา 2")</f>
        <v>MBC BCP สตรีวิทยา 2</v>
      </c>
      <c r="D637" s="3" t="str">
        <f>IFERROR(__xludf.DUMMYFUNCTION("""COMPUTED_VALUE"""),"BCM BCP SATRIWITTHAYA 2")</f>
        <v>BCM BCP SATRIWITTHAYA 2</v>
      </c>
      <c r="E637" s="1" t="str">
        <f>IFERROR(__xludf.DUMMYFUNCTION("""COMPUTED_VALUE"""),"บิ๊กซี MINI")</f>
        <v>บิ๊กซี MINI</v>
      </c>
      <c r="F637" s="1" t="str">
        <f>IFERROR(__xludf.DUMMYFUNCTION("""COMPUTED_VALUE"""),"291008")</f>
        <v>291008</v>
      </c>
      <c r="G637" s="1" t="str">
        <f>IFERROR(__xludf.DUMMYFUNCTION("""COMPUTED_VALUE"""),"น.ส.รัชดาพร อีศรัตน์")</f>
        <v>น.ส.รัชดาพร อีศรัตน์</v>
      </c>
      <c r="H637" s="1" t="str">
        <f>IFERROR(__xludf.DUMMYFUNCTION("""COMPUTED_VALUE"""),"373540")</f>
        <v>373540</v>
      </c>
      <c r="I637" s="1" t="str">
        <f>IFERROR(__xludf.DUMMYFUNCTION("""COMPUTED_VALUE"""),"นายทศพร พึ่งพบ")</f>
        <v>นายทศพร พึ่งพบ</v>
      </c>
      <c r="J637" s="3">
        <f>IFERROR(__xludf.DUMMYFUNCTION("""COMPUTED_VALUE"""),2452378.0)</f>
        <v>2452378</v>
      </c>
      <c r="K637" s="3" t="str">
        <f>IFERROR(__xludf.DUMMYFUNCTION("""COMPUTED_VALUE"""),"นายศักดิ์ดา พวงประดับ")</f>
        <v>นายศักดิ์ดา พวงประดับ</v>
      </c>
      <c r="L637" s="1" t="str">
        <f>IFERROR(__xludf.DUMMYFUNCTION("""COMPUTED_VALUE"""),"11 K.Sakda P.")</f>
        <v>11 K.Sakda P.</v>
      </c>
      <c r="M637" s="1" t="str">
        <f>IFERROR(__xludf.DUMMYFUNCTION("""COMPUTED_VALUE"""),"065-929-1279")</f>
        <v>065-929-1279</v>
      </c>
      <c r="N637" s="3">
        <f>IFERROR(__xludf.DUMMYFUNCTION("""COMPUTED_VALUE"""),21002.0)</f>
        <v>21002</v>
      </c>
      <c r="O637" s="3" t="str">
        <f>IFERROR(__xludf.DUMMYFUNCTION("""COMPUTED_VALUE"""),"MBC อุดมสุข")</f>
        <v>MBC อุดมสุข</v>
      </c>
      <c r="P637" s="4">
        <f>IFERROR(__xludf.DUMMYFUNCTION("""COMPUTED_VALUE"""),42420.0)</f>
        <v>42420</v>
      </c>
      <c r="Q637" s="3" t="str">
        <f>IFERROR(__xludf.DUMMYFUNCTION("""COMPUTED_VALUE"""),"A")</f>
        <v>A</v>
      </c>
      <c r="R637" s="3" t="str">
        <f>IFERROR(__xludf.DUMMYFUNCTION("""COMPUTED_VALUE"""),"Small Format")</f>
        <v>Small Format</v>
      </c>
      <c r="S637" s="3" t="str">
        <f>IFERROR(__xludf.DUMMYFUNCTION("""COMPUTED_VALUE"""),"BCM")</f>
        <v>BCM</v>
      </c>
      <c r="T637" s="3" t="str">
        <f>IFERROR(__xludf.DUMMYFUNCTION("""COMPUTED_VALUE"""),"#N/A")</f>
        <v>#N/A</v>
      </c>
      <c r="U637" s="3" t="str">
        <f>IFERROR(__xludf.DUMMYFUNCTION("""COMPUTED_VALUE"""),"#N/A")</f>
        <v>#N/A</v>
      </c>
      <c r="V637" s="3" t="str">
        <f>IFERROR(__xludf.DUMMYFUNCTION("""COMPUTED_VALUE"""),"N")</f>
        <v>N</v>
      </c>
      <c r="W637" s="3">
        <f>IFERROR(__xludf.DUMMYFUNCTION("""COMPUTED_VALUE"""),361125.0)</f>
        <v>361125</v>
      </c>
      <c r="X637" s="3" t="str">
        <f>IFERROR(__xludf.DUMMYFUNCTION("""COMPUTED_VALUE"""),"392/1 ถนนสุคนธสวัสดิ์ แขวงลาดพร้าว เขตลาดพร้าว กรุงเทพมหานคร 10230")</f>
        <v>392/1 ถนนสุคนธสวัสดิ์ แขวงลาดพร้าว เขตลาดพร้าว กรุงเทพมหานคร 10230</v>
      </c>
      <c r="Y637" s="3" t="str">
        <f>IFERROR(__xludf.DUMMYFUNCTION("""COMPUTED_VALUE"""),"ถนนสุคนธสวัสดิ์")</f>
        <v>ถนนสุคนธสวัสดิ์</v>
      </c>
      <c r="Z637" s="3" t="str">
        <f>IFERROR(__xludf.DUMMYFUNCTION("""COMPUTED_VALUE"""),"ลาดพร้าว")</f>
        <v>ลาดพร้าว</v>
      </c>
      <c r="AA637" s="3" t="str">
        <f>IFERROR(__xludf.DUMMYFUNCTION("""COMPUTED_VALUE"""),"ลาดพร้าว")</f>
        <v>ลาดพร้าว</v>
      </c>
      <c r="AB637" s="3" t="str">
        <f>IFERROR(__xludf.DUMMYFUNCTION("""COMPUTED_VALUE"""),"กรุงเทพมหานคร")</f>
        <v>กรุงเทพมหานคร</v>
      </c>
      <c r="AC637" s="3">
        <f>IFERROR(__xludf.DUMMYFUNCTION("""COMPUTED_VALUE"""),10230.0)</f>
        <v>10230</v>
      </c>
      <c r="AD637" s="3">
        <f>IFERROR(__xludf.DUMMYFUNCTION("""COMPUTED_VALUE"""),13.825338)</f>
        <v>13.825338</v>
      </c>
      <c r="AE637" s="3">
        <f>IFERROR(__xludf.DUMMYFUNCTION("""COMPUTED_VALUE"""),100.619831)</f>
        <v>100.619831</v>
      </c>
      <c r="AF637" s="3" t="str">
        <f>IFERROR(__xludf.DUMMYFUNCTION("""COMPUTED_VALUE"""),"MBC BCP สตรีวิทยา 2-21404")</f>
        <v>MBC BCP สตรีวิทยา 2-21404</v>
      </c>
      <c r="AG637" s="3" t="str">
        <f>IFERROR(__xludf.DUMMYFUNCTION("""COMPUTED_VALUE"""),"กลาง")</f>
        <v>กลาง</v>
      </c>
      <c r="AH637" s="3" t="str">
        <f>IFERROR(__xludf.DUMMYFUNCTION("""COMPUTED_VALUE"""),"#N/A")</f>
        <v>#N/A</v>
      </c>
      <c r="AI637" s="3" t="str">
        <f>IFERROR(__xludf.DUMMYFUNCTION("""COMPUTED_VALUE"""),"Out of warranty")</f>
        <v>Out of warranty</v>
      </c>
      <c r="AJ637" s="3">
        <f>IFERROR(__xludf.DUMMYFUNCTION("""COMPUTED_VALUE"""),120.0)</f>
        <v>120</v>
      </c>
      <c r="AK637" s="3" t="str">
        <f>IFERROR(__xludf.DUMMYFUNCTION("""COMPUTED_VALUE"""),"MMS01")</f>
        <v>MMS01</v>
      </c>
      <c r="AL637" s="3"/>
    </row>
    <row r="638" ht="15.75" customHeight="1">
      <c r="A638" s="1" t="str">
        <f>IFERROR(__xludf.DUMMYFUNCTION("""COMPUTED_VALUE"""),"21405")</f>
        <v>21405</v>
      </c>
      <c r="B638" s="2">
        <f>IFERROR(__xludf.DUMMYFUNCTION("""COMPUTED_VALUE"""),21405.0)</f>
        <v>21405</v>
      </c>
      <c r="C638" s="3" t="str">
        <f>IFERROR(__xludf.DUMMYFUNCTION("""COMPUTED_VALUE"""),"MBC BCP บ่อวิน 2")</f>
        <v>MBC BCP บ่อวิน 2</v>
      </c>
      <c r="D638" s="3" t="str">
        <f>IFERROR(__xludf.DUMMYFUNCTION("""COMPUTED_VALUE"""),"MBC BCP BOWIN 2")</f>
        <v>MBC BCP BOWIN 2</v>
      </c>
      <c r="E638" s="1" t="str">
        <f>IFERROR(__xludf.DUMMYFUNCTION("""COMPUTED_VALUE"""),"บิ๊กซี MINI")</f>
        <v>บิ๊กซี MINI</v>
      </c>
      <c r="F638" s="1" t="str">
        <f>IFERROR(__xludf.DUMMYFUNCTION("""COMPUTED_VALUE"""),"250760")</f>
        <v>250760</v>
      </c>
      <c r="G638" s="1" t="str">
        <f>IFERROR(__xludf.DUMMYFUNCTION("""COMPUTED_VALUE"""),"นายประทวน สาราบรรณ์")</f>
        <v>นายประทวน สาราบรรณ์</v>
      </c>
      <c r="H638" s="1" t="str">
        <f>IFERROR(__xludf.DUMMYFUNCTION("""COMPUTED_VALUE"""),"034605")</f>
        <v>034605</v>
      </c>
      <c r="I638" s="1" t="str">
        <f>IFERROR(__xludf.DUMMYFUNCTION("""COMPUTED_VALUE"""),"นายธรรมรัตน์ สุขเจริญ")</f>
        <v>นายธรรมรัตน์ สุขเจริญ</v>
      </c>
      <c r="J638" s="3">
        <f>IFERROR(__xludf.DUMMYFUNCTION("""COMPUTED_VALUE"""),295541.0)</f>
        <v>295541</v>
      </c>
      <c r="K638" s="3" t="str">
        <f>IFERROR(__xludf.DUMMYFUNCTION("""COMPUTED_VALUE"""),"นายรพิพล ศรีมาตย์")</f>
        <v>นายรพิพล ศรีมาตย์</v>
      </c>
      <c r="L638" s="1" t="str">
        <f>IFERROR(__xludf.DUMMYFUNCTION("""COMPUTED_VALUE"""),"นายรพิพล ศรีมาตย์")</f>
        <v>นายรพิพล ศรีมาตย์</v>
      </c>
      <c r="M638" s="1" t="str">
        <f>IFERROR(__xludf.DUMMYFUNCTION("""COMPUTED_VALUE"""),"0613966115")</f>
        <v>0613966115</v>
      </c>
      <c r="N638" s="3">
        <f>IFERROR(__xludf.DUMMYFUNCTION("""COMPUTED_VALUE"""),21175.0)</f>
        <v>21175</v>
      </c>
      <c r="O638" s="3" t="str">
        <f>IFERROR(__xludf.DUMMYFUNCTION("""COMPUTED_VALUE"""),"MBC BCP กิ่งแก้ว")</f>
        <v>MBC BCP กิ่งแก้ว</v>
      </c>
      <c r="P638" s="4">
        <f>IFERROR(__xludf.DUMMYFUNCTION("""COMPUTED_VALUE"""),42420.0)</f>
        <v>42420</v>
      </c>
      <c r="Q638" s="3" t="str">
        <f>IFERROR(__xludf.DUMMYFUNCTION("""COMPUTED_VALUE"""),"I")</f>
        <v>I</v>
      </c>
      <c r="R638" s="3" t="str">
        <f>IFERROR(__xludf.DUMMYFUNCTION("""COMPUTED_VALUE"""),"Small Format")</f>
        <v>Small Format</v>
      </c>
      <c r="S638" s="3" t="str">
        <f>IFERROR(__xludf.DUMMYFUNCTION("""COMPUTED_VALUE"""),"BCM")</f>
        <v>BCM</v>
      </c>
      <c r="T638" s="3" t="str">
        <f>IFERROR(__xludf.DUMMYFUNCTION("""COMPUTED_VALUE"""),"#N/A")</f>
        <v>#N/A</v>
      </c>
      <c r="U638" s="3" t="str">
        <f>IFERROR(__xludf.DUMMYFUNCTION("""COMPUTED_VALUE"""),"#N/A")</f>
        <v>#N/A</v>
      </c>
      <c r="V638" s="3" t="str">
        <f>IFERROR(__xludf.DUMMYFUNCTION("""COMPUTED_VALUE"""),"N")</f>
        <v>N</v>
      </c>
      <c r="W638" s="3">
        <f>IFERROR(__xludf.DUMMYFUNCTION("""COMPUTED_VALUE"""),0.0)</f>
        <v>0</v>
      </c>
      <c r="X638" s="3" t="str">
        <f>IFERROR(__xludf.DUMMYFUNCTION("""COMPUTED_VALUE"""),"291/20 หมู่ 10 ตำบลเขาคันทรง อำเภอศรีราชา จังหวัดชลบุรี 20110")</f>
        <v>291/20 หมู่ 10 ตำบลเขาคันทรง อำเภอศรีราชา จังหวัดชลบุรี 20110</v>
      </c>
      <c r="Y638" s="3"/>
      <c r="Z638" s="3" t="str">
        <f>IFERROR(__xludf.DUMMYFUNCTION("""COMPUTED_VALUE"""),"เขาคันทรง")</f>
        <v>เขาคันทรง</v>
      </c>
      <c r="AA638" s="3" t="str">
        <f>IFERROR(__xludf.DUMMYFUNCTION("""COMPUTED_VALUE"""),"ศรีราชา")</f>
        <v>ศรีราชา</v>
      </c>
      <c r="AB638" s="3" t="str">
        <f>IFERROR(__xludf.DUMMYFUNCTION("""COMPUTED_VALUE"""),"ชลบุรี")</f>
        <v>ชลบุรี</v>
      </c>
      <c r="AC638" s="3">
        <f>IFERROR(__xludf.DUMMYFUNCTION("""COMPUTED_VALUE"""),20110.0)</f>
        <v>20110</v>
      </c>
      <c r="AD638" s="3" t="str">
        <f>IFERROR(__xludf.DUMMYFUNCTION("""COMPUTED_VALUE"""),"#N/A")</f>
        <v>#N/A</v>
      </c>
      <c r="AE638" s="3" t="str">
        <f>IFERROR(__xludf.DUMMYFUNCTION("""COMPUTED_VALUE"""),"#N/A")</f>
        <v>#N/A</v>
      </c>
      <c r="AF638" s="3" t="str">
        <f>IFERROR(__xludf.DUMMYFUNCTION("""COMPUTED_VALUE"""),"MBC BCP บ่อวิน 2-21405")</f>
        <v>MBC BCP บ่อวิน 2-21405</v>
      </c>
      <c r="AG638" s="3" t="str">
        <f>IFERROR(__xludf.DUMMYFUNCTION("""COMPUTED_VALUE"""),"ตะวันออก")</f>
        <v>ตะวันออก</v>
      </c>
      <c r="AH638" s="3" t="str">
        <f>IFERROR(__xludf.DUMMYFUNCTION("""COMPUTED_VALUE"""),"#N/A")</f>
        <v>#N/A</v>
      </c>
      <c r="AI638" s="3" t="str">
        <f>IFERROR(__xludf.DUMMYFUNCTION("""COMPUTED_VALUE"""),"Out of warranty")</f>
        <v>Out of warranty</v>
      </c>
      <c r="AJ638" s="3">
        <f>IFERROR(__xludf.DUMMYFUNCTION("""COMPUTED_VALUE"""),120.0)</f>
        <v>120</v>
      </c>
      <c r="AK638" s="3"/>
      <c r="AL638" s="3"/>
    </row>
    <row r="639" ht="15.75" customHeight="1">
      <c r="A639" s="1" t="str">
        <f>IFERROR(__xludf.DUMMYFUNCTION("""COMPUTED_VALUE"""),"21406")</f>
        <v>21406</v>
      </c>
      <c r="B639" s="2">
        <f>IFERROR(__xludf.DUMMYFUNCTION("""COMPUTED_VALUE"""),21406.0)</f>
        <v>21406</v>
      </c>
      <c r="C639" s="3" t="str">
        <f>IFERROR(__xludf.DUMMYFUNCTION("""COMPUTED_VALUE"""),"MBC BCP ประตูน้ำพระอินทร์ (ขาออก)")</f>
        <v>MBC BCP ประตูน้ำพระอินทร์ (ขาออก)</v>
      </c>
      <c r="D639" s="3" t="str">
        <f>IFERROR(__xludf.DUMMYFUNCTION("""COMPUTED_VALUE"""),"BCM BCP PRATHUNAM PHRA-IN(OUT")</f>
        <v>BCM BCP PRATHUNAM PHRA-IN(OUT</v>
      </c>
      <c r="E639" s="1" t="str">
        <f>IFERROR(__xludf.DUMMYFUNCTION("""COMPUTED_VALUE"""),"บิ๊กซี MINI")</f>
        <v>บิ๊กซี MINI</v>
      </c>
      <c r="F639" s="1" t="str">
        <f>IFERROR(__xludf.DUMMYFUNCTION("""COMPUTED_VALUE"""),"296229")</f>
        <v>296229</v>
      </c>
      <c r="G639" s="1" t="str">
        <f>IFERROR(__xludf.DUMMYFUNCTION("""COMPUTED_VALUE"""),"นายทนงศักดิ์ บุญมา")</f>
        <v>นายทนงศักดิ์ บุญมา</v>
      </c>
      <c r="H639" s="1" t="str">
        <f>IFERROR(__xludf.DUMMYFUNCTION("""COMPUTED_VALUE"""),"211363")</f>
        <v>211363</v>
      </c>
      <c r="I639" s="1" t="str">
        <f>IFERROR(__xludf.DUMMYFUNCTION("""COMPUTED_VALUE"""),"นายสามารถ บุญลับ")</f>
        <v>นายสามารถ บุญลับ</v>
      </c>
      <c r="J639" s="3">
        <f>IFERROR(__xludf.DUMMYFUNCTION("""COMPUTED_VALUE"""),46214.0)</f>
        <v>46214</v>
      </c>
      <c r="K639" s="3" t="str">
        <f>IFERROR(__xludf.DUMMYFUNCTION("""COMPUTED_VALUE"""),"นายศักดิ์ชัย เด็ดดอกฟ้า")</f>
        <v>นายศักดิ์ชัย เด็ดดอกฟ้า</v>
      </c>
      <c r="L639" s="1" t="str">
        <f>IFERROR(__xludf.DUMMYFUNCTION("""COMPUTED_VALUE"""),"02 K.Sakchai D")</f>
        <v>02 K.Sakchai D</v>
      </c>
      <c r="M639" s="1" t="str">
        <f>IFERROR(__xludf.DUMMYFUNCTION("""COMPUTED_VALUE"""),"065-510-7376")</f>
        <v>065-510-7376</v>
      </c>
      <c r="N639" s="3">
        <f>IFERROR(__xludf.DUMMYFUNCTION("""COMPUTED_VALUE"""),21714.0)</f>
        <v>21714</v>
      </c>
      <c r="O639" s="3" t="str">
        <f>IFERROR(__xludf.DUMMYFUNCTION("""COMPUTED_VALUE"""),"MBC เอสโซ่ วัดโบสถ์")</f>
        <v>MBC เอสโซ่ วัดโบสถ์</v>
      </c>
      <c r="P639" s="4">
        <f>IFERROR(__xludf.DUMMYFUNCTION("""COMPUTED_VALUE"""),42439.0)</f>
        <v>42439</v>
      </c>
      <c r="Q639" s="3" t="str">
        <f>IFERROR(__xludf.DUMMYFUNCTION("""COMPUTED_VALUE"""),"A")</f>
        <v>A</v>
      </c>
      <c r="R639" s="3" t="str">
        <f>IFERROR(__xludf.DUMMYFUNCTION("""COMPUTED_VALUE"""),"Small Format")</f>
        <v>Small Format</v>
      </c>
      <c r="S639" s="3" t="str">
        <f>IFERROR(__xludf.DUMMYFUNCTION("""COMPUTED_VALUE"""),"BCM")</f>
        <v>BCM</v>
      </c>
      <c r="T639" s="3" t="str">
        <f>IFERROR(__xludf.DUMMYFUNCTION("""COMPUTED_VALUE"""),"#N/A")</f>
        <v>#N/A</v>
      </c>
      <c r="U639" s="3" t="str">
        <f>IFERROR(__xludf.DUMMYFUNCTION("""COMPUTED_VALUE"""),"#N/A")</f>
        <v>#N/A</v>
      </c>
      <c r="V639" s="3" t="str">
        <f>IFERROR(__xludf.DUMMYFUNCTION("""COMPUTED_VALUE"""),"N")</f>
        <v>N</v>
      </c>
      <c r="W639" s="3">
        <f>IFERROR(__xludf.DUMMYFUNCTION("""COMPUTED_VALUE"""),361191.0)</f>
        <v>361191</v>
      </c>
      <c r="X639" s="3" t="str">
        <f>IFERROR(__xludf.DUMMYFUNCTION("""COMPUTED_VALUE"""),"98/1 หมู่ 6 ตำบลเชียงรากน้อย อำเภอบางปะอิน จังหวัดพระนครศรีอยุธยา 13180")</f>
        <v>98/1 หมู่ 6 ตำบลเชียงรากน้อย อำเภอบางปะอิน จังหวัดพระนครศรีอยุธยา 13180</v>
      </c>
      <c r="Y639" s="3"/>
      <c r="Z639" s="3" t="str">
        <f>IFERROR(__xludf.DUMMYFUNCTION("""COMPUTED_VALUE"""),"เชียงรากน้อย")</f>
        <v>เชียงรากน้อย</v>
      </c>
      <c r="AA639" s="3" t="str">
        <f>IFERROR(__xludf.DUMMYFUNCTION("""COMPUTED_VALUE"""),"บางปะอิน")</f>
        <v>บางปะอิน</v>
      </c>
      <c r="AB639" s="3" t="str">
        <f>IFERROR(__xludf.DUMMYFUNCTION("""COMPUTED_VALUE"""),"พระนครศรีอยุธยา")</f>
        <v>พระนครศรีอยุธยา</v>
      </c>
      <c r="AC639" s="3">
        <f>IFERROR(__xludf.DUMMYFUNCTION("""COMPUTED_VALUE"""),13180.0)</f>
        <v>13180</v>
      </c>
      <c r="AD639" s="3">
        <f>IFERROR(__xludf.DUMMYFUNCTION("""COMPUTED_VALUE"""),14.141588)</f>
        <v>14.141588</v>
      </c>
      <c r="AE639" s="3">
        <f>IFERROR(__xludf.DUMMYFUNCTION("""COMPUTED_VALUE"""),100.618085)</f>
        <v>100.618085</v>
      </c>
      <c r="AF639" s="3" t="str">
        <f>IFERROR(__xludf.DUMMYFUNCTION("""COMPUTED_VALUE"""),"MBC BCP ประตูน้ำพระอินทร์ (ขาออก)-21406")</f>
        <v>MBC BCP ประตูน้ำพระอินทร์ (ขาออก)-21406</v>
      </c>
      <c r="AG639" s="3" t="str">
        <f>IFERROR(__xludf.DUMMYFUNCTION("""COMPUTED_VALUE"""),"กลาง")</f>
        <v>กลาง</v>
      </c>
      <c r="AH639" s="3" t="str">
        <f>IFERROR(__xludf.DUMMYFUNCTION("""COMPUTED_VALUE"""),"#N/A")</f>
        <v>#N/A</v>
      </c>
      <c r="AI639" s="3" t="str">
        <f>IFERROR(__xludf.DUMMYFUNCTION("""COMPUTED_VALUE"""),"Out of warranty")</f>
        <v>Out of warranty</v>
      </c>
      <c r="AJ639" s="3">
        <f>IFERROR(__xludf.DUMMYFUNCTION("""COMPUTED_VALUE"""),119.0)</f>
        <v>119</v>
      </c>
      <c r="AK639" s="3" t="str">
        <f>IFERROR(__xludf.DUMMYFUNCTION("""COMPUTED_VALUE"""),"MMS04")</f>
        <v>MMS04</v>
      </c>
      <c r="AL639" s="3"/>
    </row>
    <row r="640" ht="15.75" customHeight="1">
      <c r="A640" s="1" t="str">
        <f>IFERROR(__xludf.DUMMYFUNCTION("""COMPUTED_VALUE"""),"21407")</f>
        <v>21407</v>
      </c>
      <c r="B640" s="2">
        <f>IFERROR(__xludf.DUMMYFUNCTION("""COMPUTED_VALUE"""),21407.0)</f>
        <v>21407</v>
      </c>
      <c r="C640" s="3" t="str">
        <f>IFERROR(__xludf.DUMMYFUNCTION("""COMPUTED_VALUE"""),"MBC BCP หนองมน")</f>
        <v>MBC BCP หนองมน</v>
      </c>
      <c r="D640" s="3" t="str">
        <f>IFERROR(__xludf.DUMMYFUNCTION("""COMPUTED_VALUE"""),"BCM BCP NONGMON")</f>
        <v>BCM BCP NONGMON</v>
      </c>
      <c r="E640" s="1" t="str">
        <f>IFERROR(__xludf.DUMMYFUNCTION("""COMPUTED_VALUE"""),"บิ๊กซี MINI")</f>
        <v>บิ๊กซี MINI</v>
      </c>
      <c r="F640" s="1" t="str">
        <f>IFERROR(__xludf.DUMMYFUNCTION("""COMPUTED_VALUE"""),"221716")</f>
        <v>221716</v>
      </c>
      <c r="G640" s="1" t="str">
        <f>IFERROR(__xludf.DUMMYFUNCTION("""COMPUTED_VALUE"""),"น.ส.เบญจพร โพธิสาร")</f>
        <v>น.ส.เบญจพร โพธิสาร</v>
      </c>
      <c r="H640" s="1" t="str">
        <f>IFERROR(__xludf.DUMMYFUNCTION("""COMPUTED_VALUE"""),"476018")</f>
        <v>476018</v>
      </c>
      <c r="I640" s="1" t="str">
        <f>IFERROR(__xludf.DUMMYFUNCTION("""COMPUTED_VALUE"""),"นายศราวุฒิ ชูพันดุง")</f>
        <v>นายศราวุฒิ ชูพันดุง</v>
      </c>
      <c r="J640" s="3">
        <f>IFERROR(__xludf.DUMMYFUNCTION("""COMPUTED_VALUE"""),3510104.0)</f>
        <v>3510104</v>
      </c>
      <c r="K640" s="3" t="str">
        <f>IFERROR(__xludf.DUMMYFUNCTION("""COMPUTED_VALUE"""),"นายวิโรจน์ อับดุลสมัด")</f>
        <v>นายวิโรจน์ อับดุลสมัด</v>
      </c>
      <c r="L640" s="3" t="str">
        <f>IFERROR(__xludf.DUMMYFUNCTION("""COMPUTED_VALUE"""),"09 K.Wirode A")</f>
        <v>09 K.Wirode A</v>
      </c>
      <c r="M640" s="1" t="str">
        <f>IFERROR(__xludf.DUMMYFUNCTION("""COMPUTED_VALUE"""),"080-235-4465")</f>
        <v>080-235-4465</v>
      </c>
      <c r="N640" s="3">
        <f>IFERROR(__xludf.DUMMYFUNCTION("""COMPUTED_VALUE"""),21324.0)</f>
        <v>21324</v>
      </c>
      <c r="O640" s="3" t="str">
        <f>IFERROR(__xludf.DUMMYFUNCTION("""COMPUTED_VALUE"""),"MBC BCP สุวินทวงศ์")</f>
        <v>MBC BCP สุวินทวงศ์</v>
      </c>
      <c r="P640" s="4">
        <f>IFERROR(__xludf.DUMMYFUNCTION("""COMPUTED_VALUE"""),42448.0)</f>
        <v>42448</v>
      </c>
      <c r="Q640" s="3" t="str">
        <f>IFERROR(__xludf.DUMMYFUNCTION("""COMPUTED_VALUE"""),"I")</f>
        <v>I</v>
      </c>
      <c r="R640" s="3" t="str">
        <f>IFERROR(__xludf.DUMMYFUNCTION("""COMPUTED_VALUE"""),"Small Format")</f>
        <v>Small Format</v>
      </c>
      <c r="S640" s="3" t="str">
        <f>IFERROR(__xludf.DUMMYFUNCTION("""COMPUTED_VALUE"""),"BCM")</f>
        <v>BCM</v>
      </c>
      <c r="T640" s="3" t="str">
        <f>IFERROR(__xludf.DUMMYFUNCTION("""COMPUTED_VALUE"""),"#N/A")</f>
        <v>#N/A</v>
      </c>
      <c r="U640" s="3" t="str">
        <f>IFERROR(__xludf.DUMMYFUNCTION("""COMPUTED_VALUE"""),"#N/A")</f>
        <v>#N/A</v>
      </c>
      <c r="V640" s="3" t="str">
        <f>IFERROR(__xludf.DUMMYFUNCTION("""COMPUTED_VALUE"""),"N")</f>
        <v>N</v>
      </c>
      <c r="W640" s="3">
        <f>IFERROR(__xludf.DUMMYFUNCTION("""COMPUTED_VALUE"""),361222.0)</f>
        <v>361222</v>
      </c>
      <c r="X640" s="3" t="str">
        <f>IFERROR(__xludf.DUMMYFUNCTION("""COMPUTED_VALUE"""),"413/1 ถนนสุขุมวิท ตำบลแสนสุข อำเภอเมืองชลบุรี จังหวัดชลบุรี 20130")</f>
        <v>413/1 ถนนสุขุมวิท ตำบลแสนสุข อำเภอเมืองชลบุรี จังหวัดชลบุรี 20130</v>
      </c>
      <c r="Y640" s="3" t="str">
        <f>IFERROR(__xludf.DUMMYFUNCTION("""COMPUTED_VALUE"""),"ถนนสุขุมวิท")</f>
        <v>ถนนสุขุมวิท</v>
      </c>
      <c r="Z640" s="3" t="str">
        <f>IFERROR(__xludf.DUMMYFUNCTION("""COMPUTED_VALUE"""),"แสนสุข")</f>
        <v>แสนสุข</v>
      </c>
      <c r="AA640" s="3" t="str">
        <f>IFERROR(__xludf.DUMMYFUNCTION("""COMPUTED_VALUE"""),"เมือง")</f>
        <v>เมือง</v>
      </c>
      <c r="AB640" s="3" t="str">
        <f>IFERROR(__xludf.DUMMYFUNCTION("""COMPUTED_VALUE"""),"ชลบุรี")</f>
        <v>ชลบุรี</v>
      </c>
      <c r="AC640" s="3">
        <f>IFERROR(__xludf.DUMMYFUNCTION("""COMPUTED_VALUE"""),20130.0)</f>
        <v>20130</v>
      </c>
      <c r="AD640" s="3">
        <f>IFERROR(__xludf.DUMMYFUNCTION("""COMPUTED_VALUE"""),13.27211)</f>
        <v>13.27211</v>
      </c>
      <c r="AE640" s="3">
        <f>IFERROR(__xludf.DUMMYFUNCTION("""COMPUTED_VALUE"""),100.93509)</f>
        <v>100.93509</v>
      </c>
      <c r="AF640" s="3" t="str">
        <f>IFERROR(__xludf.DUMMYFUNCTION("""COMPUTED_VALUE"""),"MBC BCP หนองมน-21407")</f>
        <v>MBC BCP หนองมน-21407</v>
      </c>
      <c r="AG640" s="3" t="str">
        <f>IFERROR(__xludf.DUMMYFUNCTION("""COMPUTED_VALUE"""),"ตะวันออก")</f>
        <v>ตะวันออก</v>
      </c>
      <c r="AH640" s="3" t="str">
        <f>IFERROR(__xludf.DUMMYFUNCTION("""COMPUTED_VALUE"""),"#N/A")</f>
        <v>#N/A</v>
      </c>
      <c r="AI640" s="3" t="str">
        <f>IFERROR(__xludf.DUMMYFUNCTION("""COMPUTED_VALUE"""),"Out of warranty")</f>
        <v>Out of warranty</v>
      </c>
      <c r="AJ640" s="3">
        <f>IFERROR(__xludf.DUMMYFUNCTION("""COMPUTED_VALUE"""),119.0)</f>
        <v>119</v>
      </c>
      <c r="AK640" s="3" t="str">
        <f>IFERROR(__xludf.DUMMYFUNCTION("""COMPUTED_VALUE"""),"MMS06")</f>
        <v>MMS06</v>
      </c>
      <c r="AL640" s="3"/>
    </row>
    <row r="641" ht="15.75" customHeight="1">
      <c r="A641" s="1" t="str">
        <f>IFERROR(__xludf.DUMMYFUNCTION("""COMPUTED_VALUE"""),"21408")</f>
        <v>21408</v>
      </c>
      <c r="B641" s="2">
        <f>IFERROR(__xludf.DUMMYFUNCTION("""COMPUTED_VALUE"""),21408.0)</f>
        <v>21408</v>
      </c>
      <c r="C641" s="3" t="str">
        <f>IFERROR(__xludf.DUMMYFUNCTION("""COMPUTED_VALUE"""),"MBC BCP โนนสูง-เมืองอุดรธานี")</f>
        <v>MBC BCP โนนสูง-เมืองอุดรธานี</v>
      </c>
      <c r="D641" s="3" t="str">
        <f>IFERROR(__xludf.DUMMYFUNCTION("""COMPUTED_VALUE"""),"BCM BCP NONSUNG-M UDON THANI")</f>
        <v>BCM BCP NONSUNG-M UDON THANI</v>
      </c>
      <c r="E641" s="1" t="str">
        <f>IFERROR(__xludf.DUMMYFUNCTION("""COMPUTED_VALUE"""),"บิ๊กซี MINI")</f>
        <v>บิ๊กซี MINI</v>
      </c>
      <c r="F641" s="1" t="str">
        <f>IFERROR(__xludf.DUMMYFUNCTION("""COMPUTED_VALUE"""),"291105")</f>
        <v>291105</v>
      </c>
      <c r="G641" s="1" t="str">
        <f>IFERROR(__xludf.DUMMYFUNCTION("""COMPUTED_VALUE"""),"นายสราวุฒิ พณิชยกุล")</f>
        <v>นายสราวุฒิ พณิชยกุล</v>
      </c>
      <c r="H641" s="1" t="str">
        <f>IFERROR(__xludf.DUMMYFUNCTION("""COMPUTED_VALUE"""),"392005")</f>
        <v>392005</v>
      </c>
      <c r="I641" s="1" t="str">
        <f>IFERROR(__xludf.DUMMYFUNCTION("""COMPUTED_VALUE"""),"นายรัฐพล หาญลำยวง")</f>
        <v>นายรัฐพล หาญลำยวง</v>
      </c>
      <c r="J641" s="3">
        <f>IFERROR(__xludf.DUMMYFUNCTION("""COMPUTED_VALUE"""),295886.0)</f>
        <v>295886</v>
      </c>
      <c r="K641" s="3" t="str">
        <f>IFERROR(__xludf.DUMMYFUNCTION("""COMPUTED_VALUE"""),"นายจิระพงษ์ โพธิ์นิล")</f>
        <v>นายจิระพงษ์ โพธิ์นิล</v>
      </c>
      <c r="L641" s="1" t="str">
        <f>IFERROR(__xludf.DUMMYFUNCTION("""COMPUTED_VALUE"""),"นายจิระพงษ์ โพธิ์นิล")</f>
        <v>นายจิระพงษ์ โพธิ์นิล</v>
      </c>
      <c r="M641" s="1" t="str">
        <f>IFERROR(__xludf.DUMMYFUNCTION("""COMPUTED_VALUE"""),"0933290754")</f>
        <v>0933290754</v>
      </c>
      <c r="N641" s="3">
        <f>IFERROR(__xludf.DUMMYFUNCTION("""COMPUTED_VALUE"""),21622.0)</f>
        <v>21622</v>
      </c>
      <c r="O641" s="3" t="str">
        <f>IFERROR(__xludf.DUMMYFUNCTION("""COMPUTED_VALUE"""),"MBC ตลาดบ้านดอน")</f>
        <v>MBC ตลาดบ้านดอน</v>
      </c>
      <c r="P641" s="4">
        <f>IFERROR(__xludf.DUMMYFUNCTION("""COMPUTED_VALUE"""),42469.0)</f>
        <v>42469</v>
      </c>
      <c r="Q641" s="3" t="str">
        <f>IFERROR(__xludf.DUMMYFUNCTION("""COMPUTED_VALUE"""),"I")</f>
        <v>I</v>
      </c>
      <c r="R641" s="3" t="str">
        <f>IFERROR(__xludf.DUMMYFUNCTION("""COMPUTED_VALUE"""),"Small Format")</f>
        <v>Small Format</v>
      </c>
      <c r="S641" s="3" t="str">
        <f>IFERROR(__xludf.DUMMYFUNCTION("""COMPUTED_VALUE"""),"BCM")</f>
        <v>BCM</v>
      </c>
      <c r="T641" s="3" t="str">
        <f>IFERROR(__xludf.DUMMYFUNCTION("""COMPUTED_VALUE"""),"#N/A")</f>
        <v>#N/A</v>
      </c>
      <c r="U641" s="3" t="str">
        <f>IFERROR(__xludf.DUMMYFUNCTION("""COMPUTED_VALUE"""),"#N/A")</f>
        <v>#N/A</v>
      </c>
      <c r="V641" s="3" t="str">
        <f>IFERROR(__xludf.DUMMYFUNCTION("""COMPUTED_VALUE"""),"N")</f>
        <v>N</v>
      </c>
      <c r="W641" s="3">
        <f>IFERROR(__xludf.DUMMYFUNCTION("""COMPUTED_VALUE"""),361218.0)</f>
        <v>361218</v>
      </c>
      <c r="X641" s="3" t="str">
        <f>IFERROR(__xludf.DUMMYFUNCTION("""COMPUTED_VALUE"""),"138/1 หมู่ 8 ตำบลโนนสูง อำเภอเมืองอุดรธานี จังหวัดอุดรธานี 41330")</f>
        <v>138/1 หมู่ 8 ตำบลโนนสูง อำเภอเมืองอุดรธานี จังหวัดอุดรธานี 41330</v>
      </c>
      <c r="Y641" s="3"/>
      <c r="Z641" s="3" t="str">
        <f>IFERROR(__xludf.DUMMYFUNCTION("""COMPUTED_VALUE"""),"โนนสูง")</f>
        <v>โนนสูง</v>
      </c>
      <c r="AA641" s="3" t="str">
        <f>IFERROR(__xludf.DUMMYFUNCTION("""COMPUTED_VALUE"""),"เมือง")</f>
        <v>เมือง</v>
      </c>
      <c r="AB641" s="3" t="str">
        <f>IFERROR(__xludf.DUMMYFUNCTION("""COMPUTED_VALUE"""),"อุดรธานี")</f>
        <v>อุดรธานี</v>
      </c>
      <c r="AC641" s="3">
        <f>IFERROR(__xludf.DUMMYFUNCTION("""COMPUTED_VALUE"""),41330.0)</f>
        <v>41330</v>
      </c>
      <c r="AD641" s="3">
        <f>IFERROR(__xludf.DUMMYFUNCTION("""COMPUTED_VALUE"""),17.3080891)</f>
        <v>17.3080891</v>
      </c>
      <c r="AE641" s="3">
        <f>IFERROR(__xludf.DUMMYFUNCTION("""COMPUTED_VALUE"""),102.8541087)</f>
        <v>102.8541087</v>
      </c>
      <c r="AF641" s="3" t="str">
        <f>IFERROR(__xludf.DUMMYFUNCTION("""COMPUTED_VALUE"""),"MBC BCP โนนสูง-เมืองอุดรธานี-21408")</f>
        <v>MBC BCP โนนสูง-เมืองอุดรธานี-21408</v>
      </c>
      <c r="AG641" s="3" t="str">
        <f>IFERROR(__xludf.DUMMYFUNCTION("""COMPUTED_VALUE"""),"ตะวันออกเฉียงเหนือ")</f>
        <v>ตะวันออกเฉียงเหนือ</v>
      </c>
      <c r="AH641" s="3" t="str">
        <f>IFERROR(__xludf.DUMMYFUNCTION("""COMPUTED_VALUE"""),"#N/A")</f>
        <v>#N/A</v>
      </c>
      <c r="AI641" s="3" t="str">
        <f>IFERROR(__xludf.DUMMYFUNCTION("""COMPUTED_VALUE"""),"Out of warranty")</f>
        <v>Out of warranty</v>
      </c>
      <c r="AJ641" s="3">
        <f>IFERROR(__xludf.DUMMYFUNCTION("""COMPUTED_VALUE"""),118.0)</f>
        <v>118</v>
      </c>
      <c r="AK641" s="3" t="str">
        <f>IFERROR(__xludf.DUMMYFUNCTION("""COMPUTED_VALUE"""),"MMS12")</f>
        <v>MMS12</v>
      </c>
      <c r="AL641" s="3"/>
    </row>
    <row r="642" ht="15.75" customHeight="1">
      <c r="A642" s="1" t="str">
        <f>IFERROR(__xludf.DUMMYFUNCTION("""COMPUTED_VALUE"""),"21409")</f>
        <v>21409</v>
      </c>
      <c r="B642" s="2">
        <f>IFERROR(__xludf.DUMMYFUNCTION("""COMPUTED_VALUE"""),21409.0)</f>
        <v>21409</v>
      </c>
      <c r="C642" s="3" t="str">
        <f>IFERROR(__xludf.DUMMYFUNCTION("""COMPUTED_VALUE"""),"MBC พระประแดง")</f>
        <v>MBC พระประแดง</v>
      </c>
      <c r="D642" s="3" t="str">
        <f>IFERROR(__xludf.DUMMYFUNCTION("""COMPUTED_VALUE"""),"BCM PHRAPRADAENG")</f>
        <v>BCM PHRAPRADAENG</v>
      </c>
      <c r="E642" s="1" t="str">
        <f>IFERROR(__xludf.DUMMYFUNCTION("""COMPUTED_VALUE"""),"บิ๊กซี MINI")</f>
        <v>บิ๊กซี MINI</v>
      </c>
      <c r="F642" s="1" t="str">
        <f>IFERROR(__xludf.DUMMYFUNCTION("""COMPUTED_VALUE"""),"2083447")</f>
        <v>2083447</v>
      </c>
      <c r="G642" s="1" t="str">
        <f>IFERROR(__xludf.DUMMYFUNCTION("""COMPUTED_VALUE"""),"นายอนุกูล ศรีลัดดา")</f>
        <v>นายอนุกูล ศรีลัดดา</v>
      </c>
      <c r="H642" s="1" t="str">
        <f>IFERROR(__xludf.DUMMYFUNCTION("""COMPUTED_VALUE"""),"379037")</f>
        <v>379037</v>
      </c>
      <c r="I642" s="1" t="str">
        <f>IFERROR(__xludf.DUMMYFUNCTION("""COMPUTED_VALUE"""),"นางแก้วใจ แก้วกาญจน์")</f>
        <v>นางแก้วใจ แก้วกาญจน์</v>
      </c>
      <c r="J642" s="3">
        <f>IFERROR(__xludf.DUMMYFUNCTION("""COMPUTED_VALUE"""),2451655.0)</f>
        <v>2451655</v>
      </c>
      <c r="K642" s="3" t="str">
        <f>IFERROR(__xludf.DUMMYFUNCTION("""COMPUTED_VALUE"""),"นายวิษณุพงษ์ ชินบุตร")</f>
        <v>นายวิษณุพงษ์ ชินบุตร</v>
      </c>
      <c r="L642" s="1" t="str">
        <f>IFERROR(__xludf.DUMMYFUNCTION("""COMPUTED_VALUE"""),"13 K.Wisanupong Ch")</f>
        <v>13 K.Wisanupong Ch</v>
      </c>
      <c r="M642" s="1" t="str">
        <f>IFERROR(__xludf.DUMMYFUNCTION("""COMPUTED_VALUE"""),"0843374693")</f>
        <v>0843374693</v>
      </c>
      <c r="N642" s="3">
        <f>IFERROR(__xludf.DUMMYFUNCTION("""COMPUTED_VALUE"""),22729.0)</f>
        <v>22729</v>
      </c>
      <c r="O642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642" s="4">
        <f>IFERROR(__xludf.DUMMYFUNCTION("""COMPUTED_VALUE"""),42490.0)</f>
        <v>42490</v>
      </c>
      <c r="Q642" s="3" t="str">
        <f>IFERROR(__xludf.DUMMYFUNCTION("""COMPUTED_VALUE"""),"A")</f>
        <v>A</v>
      </c>
      <c r="R642" s="3" t="str">
        <f>IFERROR(__xludf.DUMMYFUNCTION("""COMPUTED_VALUE"""),"Small Format")</f>
        <v>Small Format</v>
      </c>
      <c r="S642" s="3" t="str">
        <f>IFERROR(__xludf.DUMMYFUNCTION("""COMPUTED_VALUE"""),"BCM")</f>
        <v>BCM</v>
      </c>
      <c r="T642" s="3" t="str">
        <f>IFERROR(__xludf.DUMMYFUNCTION("""COMPUTED_VALUE"""),"#N/A")</f>
        <v>#N/A</v>
      </c>
      <c r="U642" s="3" t="str">
        <f>IFERROR(__xludf.DUMMYFUNCTION("""COMPUTED_VALUE"""),"#N/A")</f>
        <v>#N/A</v>
      </c>
      <c r="V642" s="3" t="str">
        <f>IFERROR(__xludf.DUMMYFUNCTION("""COMPUTED_VALUE"""),"N")</f>
        <v>N</v>
      </c>
      <c r="W642" s="3">
        <f>IFERROR(__xludf.DUMMYFUNCTION("""COMPUTED_VALUE"""),211323.0)</f>
        <v>211323</v>
      </c>
      <c r="X642" s="3" t="str">
        <f>IFERROR(__xludf.DUMMYFUNCTION("""COMPUTED_VALUE"""),"1104 ถนนนครเขื่อนขันธ์ ตำบลตลาด อำเภอพระประแดง จังหวัดสมุทรปราการ 10130")</f>
        <v>1104 ถนนนครเขื่อนขันธ์ ตำบลตลาด อำเภอพระประแดง จังหวัดสมุทรปราการ 10130</v>
      </c>
      <c r="Y642" s="3" t="str">
        <f>IFERROR(__xludf.DUMMYFUNCTION("""COMPUTED_VALUE"""),"ถนนนครเขื่อนขันธ์")</f>
        <v>ถนนนครเขื่อนขันธ์</v>
      </c>
      <c r="Z642" s="3" t="str">
        <f>IFERROR(__xludf.DUMMYFUNCTION("""COMPUTED_VALUE"""),"ตลาด")</f>
        <v>ตลาด</v>
      </c>
      <c r="AA642" s="3" t="str">
        <f>IFERROR(__xludf.DUMMYFUNCTION("""COMPUTED_VALUE"""),"พระประแดง")</f>
        <v>พระประแดง</v>
      </c>
      <c r="AB642" s="3" t="str">
        <f>IFERROR(__xludf.DUMMYFUNCTION("""COMPUTED_VALUE"""),"สมุทรปราการ")</f>
        <v>สมุทรปราการ</v>
      </c>
      <c r="AC642" s="3">
        <f>IFERROR(__xludf.DUMMYFUNCTION("""COMPUTED_VALUE"""),10130.0)</f>
        <v>10130</v>
      </c>
      <c r="AD642" s="3">
        <f>IFERROR(__xludf.DUMMYFUNCTION("""COMPUTED_VALUE"""),13.660093)</f>
        <v>13.660093</v>
      </c>
      <c r="AE642" s="3">
        <f>IFERROR(__xludf.DUMMYFUNCTION("""COMPUTED_VALUE"""),100.532312)</f>
        <v>100.532312</v>
      </c>
      <c r="AF642" s="3" t="str">
        <f>IFERROR(__xludf.DUMMYFUNCTION("""COMPUTED_VALUE"""),"MBC พระประแดง-21409")</f>
        <v>MBC พระประแดง-21409</v>
      </c>
      <c r="AG642" s="3" t="str">
        <f>IFERROR(__xludf.DUMMYFUNCTION("""COMPUTED_VALUE"""),"กลาง")</f>
        <v>กลาง</v>
      </c>
      <c r="AH642" s="3" t="str">
        <f>IFERROR(__xludf.DUMMYFUNCTION("""COMPUTED_VALUE"""),"#N/A")</f>
        <v>#N/A</v>
      </c>
      <c r="AI642" s="3" t="str">
        <f>IFERROR(__xludf.DUMMYFUNCTION("""COMPUTED_VALUE"""),"Out of warranty")</f>
        <v>Out of warranty</v>
      </c>
      <c r="AJ642" s="3">
        <f>IFERROR(__xludf.DUMMYFUNCTION("""COMPUTED_VALUE"""),117.0)</f>
        <v>117</v>
      </c>
      <c r="AK642" s="3" t="str">
        <f>IFERROR(__xludf.DUMMYFUNCTION("""COMPUTED_VALUE"""),"MMS02")</f>
        <v>MMS02</v>
      </c>
      <c r="AL642" s="3"/>
    </row>
    <row r="643" ht="15.75" customHeight="1">
      <c r="A643" s="1" t="str">
        <f>IFERROR(__xludf.DUMMYFUNCTION("""COMPUTED_VALUE"""),"21410")</f>
        <v>21410</v>
      </c>
      <c r="B643" s="2">
        <f>IFERROR(__xludf.DUMMYFUNCTION("""COMPUTED_VALUE"""),21410.0)</f>
        <v>21410</v>
      </c>
      <c r="C643" s="3" t="str">
        <f>IFERROR(__xludf.DUMMYFUNCTION("""COMPUTED_VALUE"""),"MBC หมู่บ้านดีเค")</f>
        <v>MBC หมู่บ้านดีเค</v>
      </c>
      <c r="D643" s="3" t="str">
        <f>IFERROR(__xludf.DUMMYFUNCTION("""COMPUTED_VALUE"""),"BCM MOOBAN DK")</f>
        <v>BCM MOOBAN DK</v>
      </c>
      <c r="E643" s="1" t="str">
        <f>IFERROR(__xludf.DUMMYFUNCTION("""COMPUTED_VALUE"""),"บิ๊กซี MINI")</f>
        <v>บิ๊กซี MINI</v>
      </c>
      <c r="F643" s="1" t="str">
        <f>IFERROR(__xludf.DUMMYFUNCTION("""COMPUTED_VALUE"""),"291008")</f>
        <v>291008</v>
      </c>
      <c r="G643" s="1" t="str">
        <f>IFERROR(__xludf.DUMMYFUNCTION("""COMPUTED_VALUE"""),"น.ส.รัชดาพร อีศรัตน์")</f>
        <v>น.ส.รัชดาพร อีศรัตน์</v>
      </c>
      <c r="H643" s="1" t="str">
        <f>IFERROR(__xludf.DUMMYFUNCTION("""COMPUTED_VALUE"""),"250921")</f>
        <v>250921</v>
      </c>
      <c r="I643" s="1" t="str">
        <f>IFERROR(__xludf.DUMMYFUNCTION("""COMPUTED_VALUE"""),"นายปรัชญาวัต ถิระสังวร")</f>
        <v>นายปรัชญาวัต ถิระสังวร</v>
      </c>
      <c r="J643" s="3">
        <f>IFERROR(__xludf.DUMMYFUNCTION("""COMPUTED_VALUE"""),2452378.0)</f>
        <v>2452378</v>
      </c>
      <c r="K643" s="3" t="str">
        <f>IFERROR(__xludf.DUMMYFUNCTION("""COMPUTED_VALUE"""),"นายศักดิ์ดา พวงประดับ")</f>
        <v>นายศักดิ์ดา พวงประดับ</v>
      </c>
      <c r="L643" s="1" t="str">
        <f>IFERROR(__xludf.DUMMYFUNCTION("""COMPUTED_VALUE"""),"11 K.Sakda P.")</f>
        <v>11 K.Sakda P.</v>
      </c>
      <c r="M643" s="1" t="str">
        <f>IFERROR(__xludf.DUMMYFUNCTION("""COMPUTED_VALUE"""),"065-929-1279")</f>
        <v>065-929-1279</v>
      </c>
      <c r="N643" s="3">
        <f>IFERROR(__xludf.DUMMYFUNCTION("""COMPUTED_VALUE"""),21002.0)</f>
        <v>21002</v>
      </c>
      <c r="O643" s="3" t="str">
        <f>IFERROR(__xludf.DUMMYFUNCTION("""COMPUTED_VALUE"""),"MBC อุดมสุข")</f>
        <v>MBC อุดมสุข</v>
      </c>
      <c r="P643" s="4">
        <f>IFERROR(__xludf.DUMMYFUNCTION("""COMPUTED_VALUE"""),42490.0)</f>
        <v>42490</v>
      </c>
      <c r="Q643" s="3" t="str">
        <f>IFERROR(__xludf.DUMMYFUNCTION("""COMPUTED_VALUE"""),"A")</f>
        <v>A</v>
      </c>
      <c r="R643" s="3" t="str">
        <f>IFERROR(__xludf.DUMMYFUNCTION("""COMPUTED_VALUE"""),"Small Format")</f>
        <v>Small Format</v>
      </c>
      <c r="S643" s="3" t="str">
        <f>IFERROR(__xludf.DUMMYFUNCTION("""COMPUTED_VALUE"""),"BCM")</f>
        <v>BCM</v>
      </c>
      <c r="T643" s="3" t="str">
        <f>IFERROR(__xludf.DUMMYFUNCTION("""COMPUTED_VALUE"""),"#N/A")</f>
        <v>#N/A</v>
      </c>
      <c r="U643" s="3" t="str">
        <f>IFERROR(__xludf.DUMMYFUNCTION("""COMPUTED_VALUE"""),"#N/A")</f>
        <v>#N/A</v>
      </c>
      <c r="V643" s="3" t="str">
        <f>IFERROR(__xludf.DUMMYFUNCTION("""COMPUTED_VALUE"""),"N")</f>
        <v>N</v>
      </c>
      <c r="W643" s="3">
        <f>IFERROR(__xludf.DUMMYFUNCTION("""COMPUTED_VALUE"""),211325.0)</f>
        <v>211325</v>
      </c>
      <c r="X643" s="3" t="str">
        <f>IFERROR(__xludf.DUMMYFUNCTION("""COMPUTED_VALUE"""),"166 ซอยพระยามนธาตุฯ แยก 35 แขวงบางบอน เขตบางบอน กรุงเทพมหานคร 10150")</f>
        <v>166 ซอยพระยามนธาตุฯ แยก 35 แขวงบางบอน เขตบางบอน กรุงเทพมหานคร 10150</v>
      </c>
      <c r="Y643" s="3" t="str">
        <f>IFERROR(__xludf.DUMMYFUNCTION("""COMPUTED_VALUE"""),"ซอยพระยามนธาตุฯ")</f>
        <v>ซอยพระยามนธาตุฯ</v>
      </c>
      <c r="Z643" s="3" t="str">
        <f>IFERROR(__xludf.DUMMYFUNCTION("""COMPUTED_VALUE"""),"แยก")</f>
        <v>แยก</v>
      </c>
      <c r="AA643" s="3" t="str">
        <f>IFERROR(__xludf.DUMMYFUNCTION("""COMPUTED_VALUE"""),"บางบอน")</f>
        <v>บางบอน</v>
      </c>
      <c r="AB643" s="3" t="str">
        <f>IFERROR(__xludf.DUMMYFUNCTION("""COMPUTED_VALUE"""),"กรุงเทพมหานคร")</f>
        <v>กรุงเทพมหานคร</v>
      </c>
      <c r="AC643" s="3">
        <f>IFERROR(__xludf.DUMMYFUNCTION("""COMPUTED_VALUE"""),10150.0)</f>
        <v>10150</v>
      </c>
      <c r="AD643" s="3">
        <f>IFERROR(__xludf.DUMMYFUNCTION("""COMPUTED_VALUE"""),13.654089)</f>
        <v>13.654089</v>
      </c>
      <c r="AE643" s="3">
        <f>IFERROR(__xludf.DUMMYFUNCTION("""COMPUTED_VALUE"""),100.411523)</f>
        <v>100.411523</v>
      </c>
      <c r="AF643" s="3" t="str">
        <f>IFERROR(__xludf.DUMMYFUNCTION("""COMPUTED_VALUE"""),"MBC หมู่บ้านดีเค-21410")</f>
        <v>MBC หมู่บ้านดีเค-21410</v>
      </c>
      <c r="AG643" s="3" t="str">
        <f>IFERROR(__xludf.DUMMYFUNCTION("""COMPUTED_VALUE"""),"กลาง")</f>
        <v>กลาง</v>
      </c>
      <c r="AH643" s="3" t="str">
        <f>IFERROR(__xludf.DUMMYFUNCTION("""COMPUTED_VALUE"""),"#N/A")</f>
        <v>#N/A</v>
      </c>
      <c r="AI643" s="3" t="str">
        <f>IFERROR(__xludf.DUMMYFUNCTION("""COMPUTED_VALUE"""),"Out of warranty")</f>
        <v>Out of warranty</v>
      </c>
      <c r="AJ643" s="3">
        <f>IFERROR(__xludf.DUMMYFUNCTION("""COMPUTED_VALUE"""),117.0)</f>
        <v>117</v>
      </c>
      <c r="AK643" s="3" t="str">
        <f>IFERROR(__xludf.DUMMYFUNCTION("""COMPUTED_VALUE"""),"MMS02")</f>
        <v>MMS02</v>
      </c>
      <c r="AL643" s="3"/>
    </row>
    <row r="644" ht="15.75" customHeight="1">
      <c r="A644" s="1" t="str">
        <f>IFERROR(__xludf.DUMMYFUNCTION("""COMPUTED_VALUE"""),"21411")</f>
        <v>21411</v>
      </c>
      <c r="B644" s="2">
        <f>IFERROR(__xludf.DUMMYFUNCTION("""COMPUTED_VALUE"""),21411.0)</f>
        <v>21411</v>
      </c>
      <c r="C644" s="3" t="str">
        <f>IFERROR(__xludf.DUMMYFUNCTION("""COMPUTED_VALUE"""),"MBC TCC กาแล ไนท์บาซาร์")</f>
        <v>MBC TCC กาแล ไนท์บาซาร์</v>
      </c>
      <c r="D644" s="3" t="str">
        <f>IFERROR(__xludf.DUMMYFUNCTION("""COMPUTED_VALUE"""),"BCM TCC KALAE NIGHT BAZAAR")</f>
        <v>BCM TCC KALAE NIGHT BAZAAR</v>
      </c>
      <c r="E644" s="1" t="str">
        <f>IFERROR(__xludf.DUMMYFUNCTION("""COMPUTED_VALUE"""),"บิ๊กซี MINI")</f>
        <v>บิ๊กซี MINI</v>
      </c>
      <c r="F644" s="1" t="str">
        <f>IFERROR(__xludf.DUMMYFUNCTION("""COMPUTED_VALUE"""),"296229")</f>
        <v>296229</v>
      </c>
      <c r="G644" s="1" t="str">
        <f>IFERROR(__xludf.DUMMYFUNCTION("""COMPUTED_VALUE"""),"นายทนงศักดิ์ บุญมา")</f>
        <v>นายทนงศักดิ์ บุญมา</v>
      </c>
      <c r="H644" s="1" t="str">
        <f>IFERROR(__xludf.DUMMYFUNCTION("""COMPUTED_VALUE"""),"318233")</f>
        <v>318233</v>
      </c>
      <c r="I644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644" s="3">
        <f>IFERROR(__xludf.DUMMYFUNCTION("""COMPUTED_VALUE"""),46214.0)</f>
        <v>46214</v>
      </c>
      <c r="K644" s="3" t="str">
        <f>IFERROR(__xludf.DUMMYFUNCTION("""COMPUTED_VALUE"""),"นายศักดิ์ชัย เด็ดดอกฟ้า")</f>
        <v>นายศักดิ์ชัย เด็ดดอกฟ้า</v>
      </c>
      <c r="L644" s="1" t="str">
        <f>IFERROR(__xludf.DUMMYFUNCTION("""COMPUTED_VALUE"""),"02 K.Sakchai D")</f>
        <v>02 K.Sakchai D</v>
      </c>
      <c r="M644" s="1" t="str">
        <f>IFERROR(__xludf.DUMMYFUNCTION("""COMPUTED_VALUE"""),"065-510-7376")</f>
        <v>065-510-7376</v>
      </c>
      <c r="N644" s="3">
        <f>IFERROR(__xludf.DUMMYFUNCTION("""COMPUTED_VALUE"""),21441.0)</f>
        <v>21441</v>
      </c>
      <c r="O644" s="3" t="str">
        <f>IFERROR(__xludf.DUMMYFUNCTION("""COMPUTED_VALUE"""),"MBC บ้านกร่าง พิษณุโลก")</f>
        <v>MBC บ้านกร่าง พิษณุโลก</v>
      </c>
      <c r="P644" s="4">
        <f>IFERROR(__xludf.DUMMYFUNCTION("""COMPUTED_VALUE"""),42490.0)</f>
        <v>42490</v>
      </c>
      <c r="Q644" s="3" t="str">
        <f>IFERROR(__xludf.DUMMYFUNCTION("""COMPUTED_VALUE"""),"I")</f>
        <v>I</v>
      </c>
      <c r="R644" s="3" t="str">
        <f>IFERROR(__xludf.DUMMYFUNCTION("""COMPUTED_VALUE"""),"Small Format")</f>
        <v>Small Format</v>
      </c>
      <c r="S644" s="3" t="str">
        <f>IFERROR(__xludf.DUMMYFUNCTION("""COMPUTED_VALUE"""),"BCM")</f>
        <v>BCM</v>
      </c>
      <c r="T644" s="3" t="str">
        <f>IFERROR(__xludf.DUMMYFUNCTION("""COMPUTED_VALUE"""),"#N/A")</f>
        <v>#N/A</v>
      </c>
      <c r="U644" s="3" t="str">
        <f>IFERROR(__xludf.DUMMYFUNCTION("""COMPUTED_VALUE"""),"#N/A")</f>
        <v>#N/A</v>
      </c>
      <c r="V644" s="3" t="str">
        <f>IFERROR(__xludf.DUMMYFUNCTION("""COMPUTED_VALUE"""),"N")</f>
        <v>N</v>
      </c>
      <c r="W644" s="3">
        <f>IFERROR(__xludf.DUMMYFUNCTION("""COMPUTED_VALUE"""),211328.0)</f>
        <v>211328</v>
      </c>
      <c r="X644" s="3" t="str">
        <f>IFERROR(__xludf.DUMMYFUNCTION("""COMPUTED_VALUE"""),"89/2 ถนนช้างคลาน ตำบลช้างคลาน อำเภอเมืองเชียงใหม่ จังหวัดเชียงใหม่ 50100")</f>
        <v>89/2 ถนนช้างคลาน ตำบลช้างคลาน อำเภอเมืองเชียงใหม่ จังหวัดเชียงใหม่ 50100</v>
      </c>
      <c r="Y644" s="3" t="str">
        <f>IFERROR(__xludf.DUMMYFUNCTION("""COMPUTED_VALUE"""),"ถนนช้างคลาน")</f>
        <v>ถนนช้างคลาน</v>
      </c>
      <c r="Z644" s="3" t="str">
        <f>IFERROR(__xludf.DUMMYFUNCTION("""COMPUTED_VALUE"""),"ช้างคลาน")</f>
        <v>ช้างคลาน</v>
      </c>
      <c r="AA644" s="3" t="str">
        <f>IFERROR(__xludf.DUMMYFUNCTION("""COMPUTED_VALUE"""),"เมือง")</f>
        <v>เมือง</v>
      </c>
      <c r="AB644" s="3" t="str">
        <f>IFERROR(__xludf.DUMMYFUNCTION("""COMPUTED_VALUE"""),"เชียงใหม่")</f>
        <v>เชียงใหม่</v>
      </c>
      <c r="AC644" s="3">
        <f>IFERROR(__xludf.DUMMYFUNCTION("""COMPUTED_VALUE"""),50100.0)</f>
        <v>50100</v>
      </c>
      <c r="AD644" s="3">
        <f>IFERROR(__xludf.DUMMYFUNCTION("""COMPUTED_VALUE"""),18.785529)</f>
        <v>18.785529</v>
      </c>
      <c r="AE644" s="3">
        <f>IFERROR(__xludf.DUMMYFUNCTION("""COMPUTED_VALUE"""),99.000983)</f>
        <v>99.000983</v>
      </c>
      <c r="AF644" s="3" t="str">
        <f>IFERROR(__xludf.DUMMYFUNCTION("""COMPUTED_VALUE"""),"MBC TCC กาแล ไนท์บาซาร์-21411")</f>
        <v>MBC TCC กาแล ไนท์บาซาร์-21411</v>
      </c>
      <c r="AG644" s="3" t="str">
        <f>IFERROR(__xludf.DUMMYFUNCTION("""COMPUTED_VALUE"""),"เหนือ")</f>
        <v>เหนือ</v>
      </c>
      <c r="AH644" s="3" t="str">
        <f>IFERROR(__xludf.DUMMYFUNCTION("""COMPUTED_VALUE"""),"#N/A")</f>
        <v>#N/A</v>
      </c>
      <c r="AI644" s="3" t="str">
        <f>IFERROR(__xludf.DUMMYFUNCTION("""COMPUTED_VALUE"""),"Out of warranty")</f>
        <v>Out of warranty</v>
      </c>
      <c r="AJ644" s="3">
        <f>IFERROR(__xludf.DUMMYFUNCTION("""COMPUTED_VALUE"""),117.0)</f>
        <v>117</v>
      </c>
      <c r="AK644" s="3" t="str">
        <f>IFERROR(__xludf.DUMMYFUNCTION("""COMPUTED_VALUE"""),"MMS10")</f>
        <v>MMS10</v>
      </c>
      <c r="AL644" s="3"/>
    </row>
    <row r="645" ht="15.75" customHeight="1">
      <c r="A645" s="1" t="str">
        <f>IFERROR(__xludf.DUMMYFUNCTION("""COMPUTED_VALUE"""),"21412")</f>
        <v>21412</v>
      </c>
      <c r="B645" s="2">
        <f>IFERROR(__xludf.DUMMYFUNCTION("""COMPUTED_VALUE"""),21412.0)</f>
        <v>21412</v>
      </c>
      <c r="C645" s="3" t="str">
        <f>IFERROR(__xludf.DUMMYFUNCTION("""COMPUTED_VALUE"""),"MBC โรงพยาบาลสวนดอก")</f>
        <v>MBC โรงพยาบาลสวนดอก</v>
      </c>
      <c r="D645" s="3" t="str">
        <f>IFERROR(__xludf.DUMMYFUNCTION("""COMPUTED_VALUE"""),"MBC SUANDOK HOSPITAL")</f>
        <v>MBC SUANDOK HOSPITAL</v>
      </c>
      <c r="E645" s="1" t="str">
        <f>IFERROR(__xludf.DUMMYFUNCTION("""COMPUTED_VALUE"""),"บิ๊กซี MINI")</f>
        <v>บิ๊กซี MINI</v>
      </c>
      <c r="F645" s="1" t="str">
        <f>IFERROR(__xludf.DUMMYFUNCTION("""COMPUTED_VALUE"""),"296229")</f>
        <v>296229</v>
      </c>
      <c r="G645" s="1" t="str">
        <f>IFERROR(__xludf.DUMMYFUNCTION("""COMPUTED_VALUE"""),"นายทนงศักดิ์ บุญมา")</f>
        <v>นายทนงศักดิ์ บุญมา</v>
      </c>
      <c r="H645" s="1" t="str">
        <f>IFERROR(__xludf.DUMMYFUNCTION("""COMPUTED_VALUE"""),"254905")</f>
        <v>254905</v>
      </c>
      <c r="I645" s="1" t="str">
        <f>IFERROR(__xludf.DUMMYFUNCTION("""COMPUTED_VALUE"""),"น.ส.เนียรนิภา คงตระกูล")</f>
        <v>น.ส.เนียรนิภา คงตระกูล</v>
      </c>
      <c r="J645" s="3">
        <f>IFERROR(__xludf.DUMMYFUNCTION("""COMPUTED_VALUE"""),46214.0)</f>
        <v>46214</v>
      </c>
      <c r="K645" s="3" t="str">
        <f>IFERROR(__xludf.DUMMYFUNCTION("""COMPUTED_VALUE"""),"นายศักดิ์ชัย เด็ดดอกฟ้า")</f>
        <v>นายศักดิ์ชัย เด็ดดอกฟ้า</v>
      </c>
      <c r="L645" s="3" t="str">
        <f>IFERROR(__xludf.DUMMYFUNCTION("""COMPUTED_VALUE"""),"02 K.Sakchai D")</f>
        <v>02 K.Sakchai D</v>
      </c>
      <c r="M645" s="1" t="str">
        <f>IFERROR(__xludf.DUMMYFUNCTION("""COMPUTED_VALUE"""),"065-510-7376")</f>
        <v>065-510-7376</v>
      </c>
      <c r="N645" s="3">
        <f>IFERROR(__xludf.DUMMYFUNCTION("""COMPUTED_VALUE"""),21441.0)</f>
        <v>21441</v>
      </c>
      <c r="O645" s="3" t="str">
        <f>IFERROR(__xludf.DUMMYFUNCTION("""COMPUTED_VALUE"""),"MBC บ้านกร่าง พิษณุโลก")</f>
        <v>MBC บ้านกร่าง พิษณุโลก</v>
      </c>
      <c r="P645" s="4">
        <f>IFERROR(__xludf.DUMMYFUNCTION("""COMPUTED_VALUE"""),42521.0)</f>
        <v>42521</v>
      </c>
      <c r="Q645" s="3" t="str">
        <f>IFERROR(__xludf.DUMMYFUNCTION("""COMPUTED_VALUE"""),"I")</f>
        <v>I</v>
      </c>
      <c r="R645" s="3" t="str">
        <f>IFERROR(__xludf.DUMMYFUNCTION("""COMPUTED_VALUE"""),"Small Format")</f>
        <v>Small Format</v>
      </c>
      <c r="S645" s="3" t="str">
        <f>IFERROR(__xludf.DUMMYFUNCTION("""COMPUTED_VALUE"""),"BCM")</f>
        <v>BCM</v>
      </c>
      <c r="T645" s="3" t="str">
        <f>IFERROR(__xludf.DUMMYFUNCTION("""COMPUTED_VALUE"""),"#N/A")</f>
        <v>#N/A</v>
      </c>
      <c r="U645" s="3" t="str">
        <f>IFERROR(__xludf.DUMMYFUNCTION("""COMPUTED_VALUE"""),"#N/A")</f>
        <v>#N/A</v>
      </c>
      <c r="V645" s="3" t="str">
        <f>IFERROR(__xludf.DUMMYFUNCTION("""COMPUTED_VALUE"""),"N")</f>
        <v>N</v>
      </c>
      <c r="W645" s="3">
        <f>IFERROR(__xludf.DUMMYFUNCTION("""COMPUTED_VALUE"""),0.0)</f>
        <v>0</v>
      </c>
      <c r="X645" s="3" t="str">
        <f>IFERROR(__xludf.DUMMYFUNCTION("""COMPUTED_VALUE"""),"85 ถนนสุเทพ ตำบลสุเทพ อำเภอเมืองเชียงใหม่ จังหวัดเชียงใหม่ 50200")</f>
        <v>85 ถนนสุเทพ ตำบลสุเทพ อำเภอเมืองเชียงใหม่ จังหวัดเชียงใหม่ 50200</v>
      </c>
      <c r="Y645" s="3" t="str">
        <f>IFERROR(__xludf.DUMMYFUNCTION("""COMPUTED_VALUE"""),"ถนนสุเทพ")</f>
        <v>ถนนสุเทพ</v>
      </c>
      <c r="Z645" s="3" t="str">
        <f>IFERROR(__xludf.DUMMYFUNCTION("""COMPUTED_VALUE"""),"สุเทพ")</f>
        <v>สุเทพ</v>
      </c>
      <c r="AA645" s="3" t="str">
        <f>IFERROR(__xludf.DUMMYFUNCTION("""COMPUTED_VALUE"""),"เมือง")</f>
        <v>เมือง</v>
      </c>
      <c r="AB645" s="3" t="str">
        <f>IFERROR(__xludf.DUMMYFUNCTION("""COMPUTED_VALUE"""),"เชียงใหม่")</f>
        <v>เชียงใหม่</v>
      </c>
      <c r="AC645" s="3">
        <f>IFERROR(__xludf.DUMMYFUNCTION("""COMPUTED_VALUE"""),50200.0)</f>
        <v>50200</v>
      </c>
      <c r="AD645" s="3" t="str">
        <f>IFERROR(__xludf.DUMMYFUNCTION("""COMPUTED_VALUE"""),"#N/A")</f>
        <v>#N/A</v>
      </c>
      <c r="AE645" s="3" t="str">
        <f>IFERROR(__xludf.DUMMYFUNCTION("""COMPUTED_VALUE"""),"#N/A")</f>
        <v>#N/A</v>
      </c>
      <c r="AF645" s="3" t="str">
        <f>IFERROR(__xludf.DUMMYFUNCTION("""COMPUTED_VALUE"""),"MBC โรงพยาบาลสวนดอก-21412")</f>
        <v>MBC โรงพยาบาลสวนดอก-21412</v>
      </c>
      <c r="AG645" s="3" t="str">
        <f>IFERROR(__xludf.DUMMYFUNCTION("""COMPUTED_VALUE"""),"เหนือ")</f>
        <v>เหนือ</v>
      </c>
      <c r="AH645" s="3" t="str">
        <f>IFERROR(__xludf.DUMMYFUNCTION("""COMPUTED_VALUE"""),"#N/A")</f>
        <v>#N/A</v>
      </c>
      <c r="AI645" s="3" t="str">
        <f>IFERROR(__xludf.DUMMYFUNCTION("""COMPUTED_VALUE"""),"Out of warranty")</f>
        <v>Out of warranty</v>
      </c>
      <c r="AJ645" s="3">
        <f>IFERROR(__xludf.DUMMYFUNCTION("""COMPUTED_VALUE"""),116.0)</f>
        <v>116</v>
      </c>
      <c r="AK645" s="3"/>
      <c r="AL645" s="3"/>
    </row>
    <row r="646" ht="15.75" customHeight="1">
      <c r="A646" s="1" t="str">
        <f>IFERROR(__xludf.DUMMYFUNCTION("""COMPUTED_VALUE"""),"21413")</f>
        <v>21413</v>
      </c>
      <c r="B646" s="2">
        <f>IFERROR(__xludf.DUMMYFUNCTION("""COMPUTED_VALUE"""),21413.0)</f>
        <v>21413</v>
      </c>
      <c r="C646" s="3" t="str">
        <f>IFERROR(__xludf.DUMMYFUNCTION("""COMPUTED_VALUE"""),"MBC CTX รามอินทรา ซอย40")</f>
        <v>MBC CTX รามอินทรา ซอย40</v>
      </c>
      <c r="D646" s="3" t="str">
        <f>IFERROR(__xludf.DUMMYFUNCTION("""COMPUTED_VALUE"""),"BCM CTX RAMINTRA SOI40")</f>
        <v>BCM CTX RAMINTRA SOI40</v>
      </c>
      <c r="E646" s="1" t="str">
        <f>IFERROR(__xludf.DUMMYFUNCTION("""COMPUTED_VALUE"""),"บิ๊กซี MINI")</f>
        <v>บิ๊กซี MINI</v>
      </c>
      <c r="F646" s="1" t="str">
        <f>IFERROR(__xludf.DUMMYFUNCTION("""COMPUTED_VALUE"""),"291008")</f>
        <v>291008</v>
      </c>
      <c r="G646" s="1" t="str">
        <f>IFERROR(__xludf.DUMMYFUNCTION("""COMPUTED_VALUE"""),"น.ส.รัชดาพร อีศรัตน์")</f>
        <v>น.ส.รัชดาพร อีศรัตน์</v>
      </c>
      <c r="H646" s="1" t="str">
        <f>IFERROR(__xludf.DUMMYFUNCTION("""COMPUTED_VALUE"""),"288639")</f>
        <v>288639</v>
      </c>
      <c r="I646" s="1" t="str">
        <f>IFERROR(__xludf.DUMMYFUNCTION("""COMPUTED_VALUE"""),"น.ส.สมหญิง สีชมภู")</f>
        <v>น.ส.สมหญิง สีชมภู</v>
      </c>
      <c r="J646" s="3">
        <f>IFERROR(__xludf.DUMMYFUNCTION("""COMPUTED_VALUE"""),3510104.0)</f>
        <v>3510104</v>
      </c>
      <c r="K646" s="3" t="str">
        <f>IFERROR(__xludf.DUMMYFUNCTION("""COMPUTED_VALUE"""),"นายวิโรจน์ อับดุลสมัด")</f>
        <v>นายวิโรจน์ อับดุลสมัด</v>
      </c>
      <c r="L646" s="1" t="str">
        <f>IFERROR(__xludf.DUMMYFUNCTION("""COMPUTED_VALUE"""),"09 K.Wirode A")</f>
        <v>09 K.Wirode A</v>
      </c>
      <c r="M646" s="1" t="str">
        <f>IFERROR(__xludf.DUMMYFUNCTION("""COMPUTED_VALUE"""),"080-235-4465")</f>
        <v>080-235-4465</v>
      </c>
      <c r="N646" s="3">
        <f>IFERROR(__xludf.DUMMYFUNCTION("""COMPUTED_VALUE"""),21324.0)</f>
        <v>21324</v>
      </c>
      <c r="O646" s="3" t="str">
        <f>IFERROR(__xludf.DUMMYFUNCTION("""COMPUTED_VALUE"""),"MBC BCP สุวินทวงศ์")</f>
        <v>MBC BCP สุวินทวงศ์</v>
      </c>
      <c r="P646" s="4">
        <f>IFERROR(__xludf.DUMMYFUNCTION("""COMPUTED_VALUE"""),42551.0)</f>
        <v>42551</v>
      </c>
      <c r="Q646" s="3" t="str">
        <f>IFERROR(__xludf.DUMMYFUNCTION("""COMPUTED_VALUE"""),"A")</f>
        <v>A</v>
      </c>
      <c r="R646" s="3" t="str">
        <f>IFERROR(__xludf.DUMMYFUNCTION("""COMPUTED_VALUE"""),"Small Format")</f>
        <v>Small Format</v>
      </c>
      <c r="S646" s="3" t="str">
        <f>IFERROR(__xludf.DUMMYFUNCTION("""COMPUTED_VALUE"""),"BCM")</f>
        <v>BCM</v>
      </c>
      <c r="T646" s="3" t="str">
        <f>IFERROR(__xludf.DUMMYFUNCTION("""COMPUTED_VALUE"""),"#N/A")</f>
        <v>#N/A</v>
      </c>
      <c r="U646" s="3" t="str">
        <f>IFERROR(__xludf.DUMMYFUNCTION("""COMPUTED_VALUE"""),"#N/A")</f>
        <v>#N/A</v>
      </c>
      <c r="V646" s="3" t="str">
        <f>IFERROR(__xludf.DUMMYFUNCTION("""COMPUTED_VALUE"""),"N")</f>
        <v>N</v>
      </c>
      <c r="W646" s="3">
        <f>IFERROR(__xludf.DUMMYFUNCTION("""COMPUTED_VALUE"""),211329.0)</f>
        <v>211329</v>
      </c>
      <c r="X646" s="3" t="str">
        <f>IFERROR(__xludf.DUMMYFUNCTION("""COMPUTED_VALUE"""),"55/14 ถนนรามอินทรา แขวงนวลจันทร์ เขตบึงกุ่ม กรุงเทพมหานคร 10230")</f>
        <v>55/14 ถนนรามอินทรา แขวงนวลจันทร์ เขตบึงกุ่ม กรุงเทพมหานคร 10230</v>
      </c>
      <c r="Y646" s="3" t="str">
        <f>IFERROR(__xludf.DUMMYFUNCTION("""COMPUTED_VALUE"""),"ถนนรามอินทรา")</f>
        <v>ถนนรามอินทรา</v>
      </c>
      <c r="Z646" s="3" t="str">
        <f>IFERROR(__xludf.DUMMYFUNCTION("""COMPUTED_VALUE"""),"นวลจันทร์")</f>
        <v>นวลจันทร์</v>
      </c>
      <c r="AA646" s="3" t="str">
        <f>IFERROR(__xludf.DUMMYFUNCTION("""COMPUTED_VALUE"""),"บึงกุ่ม")</f>
        <v>บึงกุ่ม</v>
      </c>
      <c r="AB646" s="3" t="str">
        <f>IFERROR(__xludf.DUMMYFUNCTION("""COMPUTED_VALUE"""),"กรุงเทพมหานคร")</f>
        <v>กรุงเทพมหานคร</v>
      </c>
      <c r="AC646" s="3">
        <f>IFERROR(__xludf.DUMMYFUNCTION("""COMPUTED_VALUE"""),10230.0)</f>
        <v>10230</v>
      </c>
      <c r="AD646" s="3">
        <f>IFERROR(__xludf.DUMMYFUNCTION("""COMPUTED_VALUE"""),13.8467)</f>
        <v>13.8467</v>
      </c>
      <c r="AE646" s="3">
        <f>IFERROR(__xludf.DUMMYFUNCTION("""COMPUTED_VALUE"""),100.64734)</f>
        <v>100.64734</v>
      </c>
      <c r="AF646" s="3" t="str">
        <f>IFERROR(__xludf.DUMMYFUNCTION("""COMPUTED_VALUE"""),"MBC CTX รามอินทรา ซอย40-21413")</f>
        <v>MBC CTX รามอินทรา ซอย40-21413</v>
      </c>
      <c r="AG646" s="3" t="str">
        <f>IFERROR(__xludf.DUMMYFUNCTION("""COMPUTED_VALUE"""),"กลาง")</f>
        <v>กลาง</v>
      </c>
      <c r="AH646" s="3" t="str">
        <f>IFERROR(__xludf.DUMMYFUNCTION("""COMPUTED_VALUE"""),"#N/A")</f>
        <v>#N/A</v>
      </c>
      <c r="AI646" s="3" t="str">
        <f>IFERROR(__xludf.DUMMYFUNCTION("""COMPUTED_VALUE"""),"Out of warranty")</f>
        <v>Out of warranty</v>
      </c>
      <c r="AJ646" s="3">
        <f>IFERROR(__xludf.DUMMYFUNCTION("""COMPUTED_VALUE"""),115.0)</f>
        <v>115</v>
      </c>
      <c r="AK646" s="3" t="str">
        <f>IFERROR(__xludf.DUMMYFUNCTION("""COMPUTED_VALUE"""),"MMS01")</f>
        <v>MMS01</v>
      </c>
      <c r="AL646" s="3"/>
    </row>
    <row r="647" ht="15.75" customHeight="1">
      <c r="A647" s="1" t="str">
        <f>IFERROR(__xludf.DUMMYFUNCTION("""COMPUTED_VALUE"""),"21414")</f>
        <v>21414</v>
      </c>
      <c r="B647" s="2">
        <f>IFERROR(__xludf.DUMMYFUNCTION("""COMPUTED_VALUE"""),21414.0)</f>
        <v>21414</v>
      </c>
      <c r="C647" s="3" t="str">
        <f>IFERROR(__xludf.DUMMYFUNCTION("""COMPUTED_VALUE"""),"MBC CTX พัทยากลาง")</f>
        <v>MBC CTX พัทยากลาง</v>
      </c>
      <c r="D647" s="3" t="str">
        <f>IFERROR(__xludf.DUMMYFUNCTION("""COMPUTED_VALUE"""),"BCM CTX PATTAYA KLANG")</f>
        <v>BCM CTX PATTAYA KLANG</v>
      </c>
      <c r="E647" s="1" t="str">
        <f>IFERROR(__xludf.DUMMYFUNCTION("""COMPUTED_VALUE"""),"บิ๊กซี MINI")</f>
        <v>บิ๊กซี MINI</v>
      </c>
      <c r="F647" s="1" t="str">
        <f>IFERROR(__xludf.DUMMYFUNCTION("""COMPUTED_VALUE"""),"221716")</f>
        <v>221716</v>
      </c>
      <c r="G647" s="1" t="str">
        <f>IFERROR(__xludf.DUMMYFUNCTION("""COMPUTED_VALUE"""),"น.ส.เบญจพร โพธิสาร")</f>
        <v>น.ส.เบญจพร โพธิสาร</v>
      </c>
      <c r="H647" s="1" t="str">
        <f>IFERROR(__xludf.DUMMYFUNCTION("""COMPUTED_VALUE"""),"313065")</f>
        <v>313065</v>
      </c>
      <c r="I647" s="1" t="str">
        <f>IFERROR(__xludf.DUMMYFUNCTION("""COMPUTED_VALUE"""),"นายจิรายุทธ กันทา")</f>
        <v>นายจิรายุทธ กันทา</v>
      </c>
      <c r="J647" s="3">
        <f>IFERROR(__xludf.DUMMYFUNCTION("""COMPUTED_VALUE"""),1.3461215E7)</f>
        <v>13461215</v>
      </c>
      <c r="K647" s="3" t="str">
        <f>IFERROR(__xludf.DUMMYFUNCTION("""COMPUTED_VALUE"""),"นายธีรภัทร สังข์เงิน")</f>
        <v>นายธีรภัทร สังข์เงิน</v>
      </c>
      <c r="L647" s="1" t="str">
        <f>IFERROR(__xludf.DUMMYFUNCTION("""COMPUTED_VALUE"""),"06 K.Teerapat")</f>
        <v>06 K.Teerapat</v>
      </c>
      <c r="M647" s="1" t="str">
        <f>IFERROR(__xludf.DUMMYFUNCTION("""COMPUTED_VALUE"""),"063-601-6803")</f>
        <v>063-601-6803</v>
      </c>
      <c r="N647" s="3">
        <f>IFERROR(__xludf.DUMMYFUNCTION("""COMPUTED_VALUE"""),22115.0)</f>
        <v>22115</v>
      </c>
      <c r="O647" s="3" t="str">
        <f>IFERROR(__xludf.DUMMYFUNCTION("""COMPUTED_VALUE"""),"MBC เลี่ยงหนองมน ชลบุรี")</f>
        <v>MBC เลี่ยงหนองมน ชลบุรี</v>
      </c>
      <c r="P647" s="4">
        <f>IFERROR(__xludf.DUMMYFUNCTION("""COMPUTED_VALUE"""),42551.0)</f>
        <v>42551</v>
      </c>
      <c r="Q647" s="3" t="str">
        <f>IFERROR(__xludf.DUMMYFUNCTION("""COMPUTED_VALUE"""),"A")</f>
        <v>A</v>
      </c>
      <c r="R647" s="3" t="str">
        <f>IFERROR(__xludf.DUMMYFUNCTION("""COMPUTED_VALUE"""),"Small Format")</f>
        <v>Small Format</v>
      </c>
      <c r="S647" s="3" t="str">
        <f>IFERROR(__xludf.DUMMYFUNCTION("""COMPUTED_VALUE"""),"BCM")</f>
        <v>BCM</v>
      </c>
      <c r="T647" s="3" t="str">
        <f>IFERROR(__xludf.DUMMYFUNCTION("""COMPUTED_VALUE"""),"#N/A")</f>
        <v>#N/A</v>
      </c>
      <c r="U647" s="3" t="str">
        <f>IFERROR(__xludf.DUMMYFUNCTION("""COMPUTED_VALUE"""),"#N/A")</f>
        <v>#N/A</v>
      </c>
      <c r="V647" s="3" t="str">
        <f>IFERROR(__xludf.DUMMYFUNCTION("""COMPUTED_VALUE"""),"N")</f>
        <v>N</v>
      </c>
      <c r="W647" s="3">
        <f>IFERROR(__xludf.DUMMYFUNCTION("""COMPUTED_VALUE"""),211330.0)</f>
        <v>211330</v>
      </c>
      <c r="X647" s="3" t="str">
        <f>IFERROR(__xludf.DUMMYFUNCTION("""COMPUTED_VALUE"""),"144/33 หมู่ 9 ตำบลหนองปรือ อำเภอบางละมุง จังหวัดชลบุรี 20150")</f>
        <v>144/33 หมู่ 9 ตำบลหนองปรือ อำเภอบางละมุง จังหวัดชลบุรี 20150</v>
      </c>
      <c r="Y647" s="3"/>
      <c r="Z647" s="3" t="str">
        <f>IFERROR(__xludf.DUMMYFUNCTION("""COMPUTED_VALUE"""),"หนองปรือ")</f>
        <v>หนองปรือ</v>
      </c>
      <c r="AA647" s="3" t="str">
        <f>IFERROR(__xludf.DUMMYFUNCTION("""COMPUTED_VALUE"""),"บางละมุง")</f>
        <v>บางละมุง</v>
      </c>
      <c r="AB647" s="3" t="str">
        <f>IFERROR(__xludf.DUMMYFUNCTION("""COMPUTED_VALUE"""),"ชลบุรี")</f>
        <v>ชลบุรี</v>
      </c>
      <c r="AC647" s="3">
        <f>IFERROR(__xludf.DUMMYFUNCTION("""COMPUTED_VALUE"""),20150.0)</f>
        <v>20150</v>
      </c>
      <c r="AD647" s="3">
        <f>IFERROR(__xludf.DUMMYFUNCTION("""COMPUTED_VALUE"""),12.928277)</f>
        <v>12.928277</v>
      </c>
      <c r="AE647" s="3">
        <f>IFERROR(__xludf.DUMMYFUNCTION("""COMPUTED_VALUE"""),100.899987)</f>
        <v>100.899987</v>
      </c>
      <c r="AF647" s="3" t="str">
        <f>IFERROR(__xludf.DUMMYFUNCTION("""COMPUTED_VALUE"""),"MBC CTX พัทยากลาง-21414")</f>
        <v>MBC CTX พัทยากลาง-21414</v>
      </c>
      <c r="AG647" s="3" t="str">
        <f>IFERROR(__xludf.DUMMYFUNCTION("""COMPUTED_VALUE"""),"ตะวันออก")</f>
        <v>ตะวันออก</v>
      </c>
      <c r="AH647" s="3" t="str">
        <f>IFERROR(__xludf.DUMMYFUNCTION("""COMPUTED_VALUE"""),"#N/A")</f>
        <v>#N/A</v>
      </c>
      <c r="AI647" s="3" t="str">
        <f>IFERROR(__xludf.DUMMYFUNCTION("""COMPUTED_VALUE"""),"Out of warranty")</f>
        <v>Out of warranty</v>
      </c>
      <c r="AJ647" s="3">
        <f>IFERROR(__xludf.DUMMYFUNCTION("""COMPUTED_VALUE"""),115.0)</f>
        <v>115</v>
      </c>
      <c r="AK647" s="3" t="str">
        <f>IFERROR(__xludf.DUMMYFUNCTION("""COMPUTED_VALUE"""),"MMS06")</f>
        <v>MMS06</v>
      </c>
      <c r="AL647" s="3"/>
    </row>
    <row r="648" ht="15.75" customHeight="1">
      <c r="A648" s="1" t="str">
        <f>IFERROR(__xludf.DUMMYFUNCTION("""COMPUTED_VALUE"""),"21415")</f>
        <v>21415</v>
      </c>
      <c r="B648" s="2">
        <f>IFERROR(__xludf.DUMMYFUNCTION("""COMPUTED_VALUE"""),21415.0)</f>
        <v>21415</v>
      </c>
      <c r="C648" s="3" t="str">
        <f>IFERROR(__xludf.DUMMYFUNCTION("""COMPUTED_VALUE"""),"MBC TCC สุริวงศ์บุ๊คเซ็นเตอร์")</f>
        <v>MBC TCC สุริวงศ์บุ๊คเซ็นเตอร์</v>
      </c>
      <c r="D648" s="3" t="str">
        <f>IFERROR(__xludf.DUMMYFUNCTION("""COMPUTED_VALUE"""),"BCM TCC SURIWONG BOOK CENTER")</f>
        <v>BCM TCC SURIWONG BOOK CENTER</v>
      </c>
      <c r="E648" s="1" t="str">
        <f>IFERROR(__xludf.DUMMYFUNCTION("""COMPUTED_VALUE"""),"บิ๊กซี MINI")</f>
        <v>บิ๊กซี MINI</v>
      </c>
      <c r="F648" s="1" t="str">
        <f>IFERROR(__xludf.DUMMYFUNCTION("""COMPUTED_VALUE"""),"296229")</f>
        <v>296229</v>
      </c>
      <c r="G648" s="1" t="str">
        <f>IFERROR(__xludf.DUMMYFUNCTION("""COMPUTED_VALUE"""),"นายทนงศักดิ์ บุญมา")</f>
        <v>นายทนงศักดิ์ บุญมา</v>
      </c>
      <c r="H648" s="1" t="str">
        <f>IFERROR(__xludf.DUMMYFUNCTION("""COMPUTED_VALUE"""),"393402")</f>
        <v>393402</v>
      </c>
      <c r="I648" s="1" t="str">
        <f>IFERROR(__xludf.DUMMYFUNCTION("""COMPUTED_VALUE"""),"น.ส.ปารมิตา ใจตรง")</f>
        <v>น.ส.ปารมิตา ใจตรง</v>
      </c>
      <c r="J648" s="3">
        <f>IFERROR(__xludf.DUMMYFUNCTION("""COMPUTED_VALUE"""),2010016.0)</f>
        <v>2010016</v>
      </c>
      <c r="K648" s="3" t="str">
        <f>IFERROR(__xludf.DUMMYFUNCTION("""COMPUTED_VALUE"""),"นายตวงธรรม ใหม่ยศ")</f>
        <v>นายตวงธรรม ใหม่ยศ</v>
      </c>
      <c r="L648" s="1" t="str">
        <f>IFERROR(__xludf.DUMMYFUNCTION("""COMPUTED_VALUE"""),"01 K.Tuangtham M.")</f>
        <v>01 K.Tuangtham M.</v>
      </c>
      <c r="M648" s="1" t="str">
        <f>IFERROR(__xludf.DUMMYFUNCTION("""COMPUTED_VALUE"""),"063-976-595")</f>
        <v>063-976-595</v>
      </c>
      <c r="N648" s="3">
        <f>IFERROR(__xludf.DUMMYFUNCTION("""COMPUTED_VALUE"""),22574.0)</f>
        <v>22574</v>
      </c>
      <c r="O648" s="3" t="str">
        <f>IFERROR(__xludf.DUMMYFUNCTION("""COMPUTED_VALUE"""),"BCM ชุมชนศรีชุม ลำปาง")</f>
        <v>BCM ชุมชนศรีชุม ลำปาง</v>
      </c>
      <c r="P648" s="4">
        <f>IFERROR(__xludf.DUMMYFUNCTION("""COMPUTED_VALUE"""),42551.0)</f>
        <v>42551</v>
      </c>
      <c r="Q648" s="3" t="str">
        <f>IFERROR(__xludf.DUMMYFUNCTION("""COMPUTED_VALUE"""),"A")</f>
        <v>A</v>
      </c>
      <c r="R648" s="3" t="str">
        <f>IFERROR(__xludf.DUMMYFUNCTION("""COMPUTED_VALUE"""),"Small Format")</f>
        <v>Small Format</v>
      </c>
      <c r="S648" s="3" t="str">
        <f>IFERROR(__xludf.DUMMYFUNCTION("""COMPUTED_VALUE"""),"BCM")</f>
        <v>BCM</v>
      </c>
      <c r="T648" s="3" t="str">
        <f>IFERROR(__xludf.DUMMYFUNCTION("""COMPUTED_VALUE"""),"#N/A")</f>
        <v>#N/A</v>
      </c>
      <c r="U648" s="3" t="str">
        <f>IFERROR(__xludf.DUMMYFUNCTION("""COMPUTED_VALUE"""),"#N/A")</f>
        <v>#N/A</v>
      </c>
      <c r="V648" s="3" t="str">
        <f>IFERROR(__xludf.DUMMYFUNCTION("""COMPUTED_VALUE"""),"N")</f>
        <v>N</v>
      </c>
      <c r="W648" s="3">
        <f>IFERROR(__xludf.DUMMYFUNCTION("""COMPUTED_VALUE"""),211332.0)</f>
        <v>211332</v>
      </c>
      <c r="X648" s="3" t="str">
        <f>IFERROR(__xludf.DUMMYFUNCTION("""COMPUTED_VALUE"""),"54,54/1-7 อาคารสุริวงศ์บุ๊คเซ็นเตอร์ ห้องเลขที่ SW107 ถนนศรีดอนไชย ตำบลหายยา อำเภอเมืองเชียงใหม่ จังหวัดเชียงใหม่ 50100")</f>
        <v>54,54/1-7 อาคารสุริวงศ์บุ๊คเซ็นเตอร์ ห้องเลขที่ SW107 ถนนศรีดอนไชย ตำบลหายยา อำเภอเมืองเชียงใหม่ จังหวัดเชียงใหม่ 50100</v>
      </c>
      <c r="Y648" s="3"/>
      <c r="Z648" s="3" t="str">
        <f>IFERROR(__xludf.DUMMYFUNCTION("""COMPUTED_VALUE"""),"หายยา")</f>
        <v>หายยา</v>
      </c>
      <c r="AA648" s="3" t="str">
        <f>IFERROR(__xludf.DUMMYFUNCTION("""COMPUTED_VALUE"""),"เมือง")</f>
        <v>เมือง</v>
      </c>
      <c r="AB648" s="3" t="str">
        <f>IFERROR(__xludf.DUMMYFUNCTION("""COMPUTED_VALUE"""),"เชียงใหม่")</f>
        <v>เชียงใหม่</v>
      </c>
      <c r="AC648" s="3">
        <f>IFERROR(__xludf.DUMMYFUNCTION("""COMPUTED_VALUE"""),50100.0)</f>
        <v>50100</v>
      </c>
      <c r="AD648" s="3">
        <f>IFERROR(__xludf.DUMMYFUNCTION("""COMPUTED_VALUE"""),18.78073)</f>
        <v>18.78073</v>
      </c>
      <c r="AE648" s="3">
        <f>IFERROR(__xludf.DUMMYFUNCTION("""COMPUTED_VALUE"""),98.997614)</f>
        <v>98.997614</v>
      </c>
      <c r="AF648" s="3" t="str">
        <f>IFERROR(__xludf.DUMMYFUNCTION("""COMPUTED_VALUE"""),"MBC TCC สุริวงศ์บุ๊คเซ็นเตอร์-21415")</f>
        <v>MBC TCC สุริวงศ์บุ๊คเซ็นเตอร์-21415</v>
      </c>
      <c r="AG648" s="3" t="str">
        <f>IFERROR(__xludf.DUMMYFUNCTION("""COMPUTED_VALUE"""),"เหนือ")</f>
        <v>เหนือ</v>
      </c>
      <c r="AH648" s="3" t="str">
        <f>IFERROR(__xludf.DUMMYFUNCTION("""COMPUTED_VALUE"""),"#N/A")</f>
        <v>#N/A</v>
      </c>
      <c r="AI648" s="3" t="str">
        <f>IFERROR(__xludf.DUMMYFUNCTION("""COMPUTED_VALUE"""),"Out of warranty")</f>
        <v>Out of warranty</v>
      </c>
      <c r="AJ648" s="3">
        <f>IFERROR(__xludf.DUMMYFUNCTION("""COMPUTED_VALUE"""),115.0)</f>
        <v>115</v>
      </c>
      <c r="AK648" s="3" t="str">
        <f>IFERROR(__xludf.DUMMYFUNCTION("""COMPUTED_VALUE"""),"MMS10")</f>
        <v>MMS10</v>
      </c>
      <c r="AL648" s="3"/>
    </row>
    <row r="649" ht="15.75" customHeight="1">
      <c r="A649" s="1" t="str">
        <f>IFERROR(__xludf.DUMMYFUNCTION("""COMPUTED_VALUE"""),"21417")</f>
        <v>21417</v>
      </c>
      <c r="B649" s="2">
        <f>IFERROR(__xludf.DUMMYFUNCTION("""COMPUTED_VALUE"""),21417.0)</f>
        <v>21417</v>
      </c>
      <c r="C649" s="3" t="str">
        <f>IFERROR(__xludf.DUMMYFUNCTION("""COMPUTED_VALUE"""),"MBC หัวกุญแจ บ้านบึง")</f>
        <v>MBC หัวกุญแจ บ้านบึง</v>
      </c>
      <c r="D649" s="3" t="str">
        <f>IFERROR(__xludf.DUMMYFUNCTION("""COMPUTED_VALUE"""),"BCM HUA KUNJAE BANBUENG")</f>
        <v>BCM HUA KUNJAE BANBUENG</v>
      </c>
      <c r="E649" s="1" t="str">
        <f>IFERROR(__xludf.DUMMYFUNCTION("""COMPUTED_VALUE"""),"บิ๊กซี MINI")</f>
        <v>บิ๊กซี MINI</v>
      </c>
      <c r="F649" s="1" t="str">
        <f>IFERROR(__xludf.DUMMYFUNCTION("""COMPUTED_VALUE"""),"221716")</f>
        <v>221716</v>
      </c>
      <c r="G649" s="1" t="str">
        <f>IFERROR(__xludf.DUMMYFUNCTION("""COMPUTED_VALUE"""),"น.ส.เบญจพร โพธิสาร")</f>
        <v>น.ส.เบญจพร โพธิสาร</v>
      </c>
      <c r="H649" s="1" t="str">
        <f>IFERROR(__xludf.DUMMYFUNCTION("""COMPUTED_VALUE"""),"376139")</f>
        <v>376139</v>
      </c>
      <c r="I649" s="1" t="str">
        <f>IFERROR(__xludf.DUMMYFUNCTION("""COMPUTED_VALUE"""),"นายอนุชา อำไพ")</f>
        <v>นายอนุชา อำไพ</v>
      </c>
      <c r="J649" s="3">
        <f>IFERROR(__xludf.DUMMYFUNCTION("""COMPUTED_VALUE"""),296942.0)</f>
        <v>296942</v>
      </c>
      <c r="K649" s="3" t="str">
        <f>IFERROR(__xludf.DUMMYFUNCTION("""COMPUTED_VALUE"""),"นายปิยะ รักษากิจ")</f>
        <v>นายปิยะ รักษากิจ</v>
      </c>
      <c r="L649" s="1" t="str">
        <f>IFERROR(__xludf.DUMMYFUNCTION("""COMPUTED_VALUE"""),"07 K.Piya R.")</f>
        <v>07 K.Piya R.</v>
      </c>
      <c r="M649" s="1" t="str">
        <f>IFERROR(__xludf.DUMMYFUNCTION("""COMPUTED_VALUE"""),"097-919-5476")</f>
        <v>097-919-5476</v>
      </c>
      <c r="N649" s="3">
        <f>IFERROR(__xludf.DUMMYFUNCTION("""COMPUTED_VALUE"""),21332.0)</f>
        <v>21332</v>
      </c>
      <c r="O649" s="3" t="str">
        <f>IFERROR(__xludf.DUMMYFUNCTION("""COMPUTED_VALUE"""),"MBC BCP อ่อนนุช 17/1")</f>
        <v>MBC BCP อ่อนนุช 17/1</v>
      </c>
      <c r="P649" s="4">
        <f>IFERROR(__xludf.DUMMYFUNCTION("""COMPUTED_VALUE"""),42563.0)</f>
        <v>42563</v>
      </c>
      <c r="Q649" s="3" t="str">
        <f>IFERROR(__xludf.DUMMYFUNCTION("""COMPUTED_VALUE"""),"A")</f>
        <v>A</v>
      </c>
      <c r="R649" s="3" t="str">
        <f>IFERROR(__xludf.DUMMYFUNCTION("""COMPUTED_VALUE"""),"Small Format")</f>
        <v>Small Format</v>
      </c>
      <c r="S649" s="3" t="str">
        <f>IFERROR(__xludf.DUMMYFUNCTION("""COMPUTED_VALUE"""),"BCM")</f>
        <v>BCM</v>
      </c>
      <c r="T649" s="3" t="str">
        <f>IFERROR(__xludf.DUMMYFUNCTION("""COMPUTED_VALUE"""),"#N/A")</f>
        <v>#N/A</v>
      </c>
      <c r="U649" s="3" t="str">
        <f>IFERROR(__xludf.DUMMYFUNCTION("""COMPUTED_VALUE"""),"#N/A")</f>
        <v>#N/A</v>
      </c>
      <c r="V649" s="3" t="str">
        <f>IFERROR(__xludf.DUMMYFUNCTION("""COMPUTED_VALUE"""),"N")</f>
        <v>N</v>
      </c>
      <c r="W649" s="3">
        <f>IFERROR(__xludf.DUMMYFUNCTION("""COMPUTED_VALUE"""),211334.0)</f>
        <v>211334</v>
      </c>
      <c r="X649" s="3" t="str">
        <f>IFERROR(__xludf.DUMMYFUNCTION("""COMPUTED_VALUE"""),"200/44 หมู่ 1 ตำบลคลองกิ่ว อำเภอบ้านบึง จังหวัดชลบุรี 20220")</f>
        <v>200/44 หมู่ 1 ตำบลคลองกิ่ว อำเภอบ้านบึง จังหวัดชลบุรี 20220</v>
      </c>
      <c r="Y649" s="3"/>
      <c r="Z649" s="3" t="str">
        <f>IFERROR(__xludf.DUMMYFUNCTION("""COMPUTED_VALUE"""),"คลองกิ่ว")</f>
        <v>คลองกิ่ว</v>
      </c>
      <c r="AA649" s="3" t="str">
        <f>IFERROR(__xludf.DUMMYFUNCTION("""COMPUTED_VALUE"""),"บ้านบึง")</f>
        <v>บ้านบึง</v>
      </c>
      <c r="AB649" s="3" t="str">
        <f>IFERROR(__xludf.DUMMYFUNCTION("""COMPUTED_VALUE"""),"ชลบุรี")</f>
        <v>ชลบุรี</v>
      </c>
      <c r="AC649" s="3">
        <f>IFERROR(__xludf.DUMMYFUNCTION("""COMPUTED_VALUE"""),20220.0)</f>
        <v>20220</v>
      </c>
      <c r="AD649" s="3">
        <f>IFERROR(__xludf.DUMMYFUNCTION("""COMPUTED_VALUE"""),13.253938)</f>
        <v>13.253938</v>
      </c>
      <c r="AE649" s="3">
        <f>IFERROR(__xludf.DUMMYFUNCTION("""COMPUTED_VALUE"""),101.154994)</f>
        <v>101.154994</v>
      </c>
      <c r="AF649" s="3" t="str">
        <f>IFERROR(__xludf.DUMMYFUNCTION("""COMPUTED_VALUE"""),"MBC หัวกุญแจ บ้านบึง-21417")</f>
        <v>MBC หัวกุญแจ บ้านบึง-21417</v>
      </c>
      <c r="AG649" s="3" t="str">
        <f>IFERROR(__xludf.DUMMYFUNCTION("""COMPUTED_VALUE"""),"ตะวันออก")</f>
        <v>ตะวันออก</v>
      </c>
      <c r="AH649" s="3" t="str">
        <f>IFERROR(__xludf.DUMMYFUNCTION("""COMPUTED_VALUE"""),"#N/A")</f>
        <v>#N/A</v>
      </c>
      <c r="AI649" s="3" t="str">
        <f>IFERROR(__xludf.DUMMYFUNCTION("""COMPUTED_VALUE"""),"Out of warranty")</f>
        <v>Out of warranty</v>
      </c>
      <c r="AJ649" s="3">
        <f>IFERROR(__xludf.DUMMYFUNCTION("""COMPUTED_VALUE"""),115.0)</f>
        <v>115</v>
      </c>
      <c r="AK649" s="3" t="str">
        <f>IFERROR(__xludf.DUMMYFUNCTION("""COMPUTED_VALUE"""),"MMS07")</f>
        <v>MMS07</v>
      </c>
      <c r="AL649" s="3"/>
    </row>
    <row r="650" ht="15.75" customHeight="1">
      <c r="A650" s="1" t="str">
        <f>IFERROR(__xludf.DUMMYFUNCTION("""COMPUTED_VALUE"""),"21418")</f>
        <v>21418</v>
      </c>
      <c r="B650" s="2">
        <f>IFERROR(__xludf.DUMMYFUNCTION("""COMPUTED_VALUE"""),21418.0)</f>
        <v>21418</v>
      </c>
      <c r="C650" s="3" t="str">
        <f>IFERROR(__xludf.DUMMYFUNCTION("""COMPUTED_VALUE"""),"MBC CTX ฟ้าฮ่าม เชียงใหม่")</f>
        <v>MBC CTX ฟ้าฮ่าม เชียงใหม่</v>
      </c>
      <c r="D650" s="3" t="str">
        <f>IFERROR(__xludf.DUMMYFUNCTION("""COMPUTED_VALUE"""),"BCM CTX FAHAM CHIANGMAI")</f>
        <v>BCM CTX FAHAM CHIANGMAI</v>
      </c>
      <c r="E650" s="1" t="str">
        <f>IFERROR(__xludf.DUMMYFUNCTION("""COMPUTED_VALUE"""),"บิ๊กซี MINI")</f>
        <v>บิ๊กซี MINI</v>
      </c>
      <c r="F650" s="1" t="str">
        <f>IFERROR(__xludf.DUMMYFUNCTION("""COMPUTED_VALUE"""),"296229")</f>
        <v>296229</v>
      </c>
      <c r="G650" s="1" t="str">
        <f>IFERROR(__xludf.DUMMYFUNCTION("""COMPUTED_VALUE"""),"นายทนงศักดิ์ บุญมา")</f>
        <v>นายทนงศักดิ์ บุญมา</v>
      </c>
      <c r="H650" s="1" t="str">
        <f>IFERROR(__xludf.DUMMYFUNCTION("""COMPUTED_VALUE"""),"392003")</f>
        <v>392003</v>
      </c>
      <c r="I650" s="1" t="str">
        <f>IFERROR(__xludf.DUMMYFUNCTION("""COMPUTED_VALUE"""),"นายวรภพ เศษสูงเนิน")</f>
        <v>นายวรภพ เศษสูงเนิน</v>
      </c>
      <c r="J650" s="3">
        <f>IFERROR(__xludf.DUMMYFUNCTION("""COMPUTED_VALUE"""),2010016.0)</f>
        <v>2010016</v>
      </c>
      <c r="K650" s="3" t="str">
        <f>IFERROR(__xludf.DUMMYFUNCTION("""COMPUTED_VALUE"""),"นายตวงธรรม ใหม่ยศ")</f>
        <v>นายตวงธรรม ใหม่ยศ</v>
      </c>
      <c r="L650" s="1" t="str">
        <f>IFERROR(__xludf.DUMMYFUNCTION("""COMPUTED_VALUE"""),"01 K.Tuangtham M.")</f>
        <v>01 K.Tuangtham M.</v>
      </c>
      <c r="M650" s="1" t="str">
        <f>IFERROR(__xludf.DUMMYFUNCTION("""COMPUTED_VALUE"""),"063-976-595")</f>
        <v>063-976-595</v>
      </c>
      <c r="N650" s="3">
        <f>IFERROR(__xludf.DUMMYFUNCTION("""COMPUTED_VALUE"""),22574.0)</f>
        <v>22574</v>
      </c>
      <c r="O650" s="3" t="str">
        <f>IFERROR(__xludf.DUMMYFUNCTION("""COMPUTED_VALUE"""),"BCM ชุมชนศรีชุม ลำปาง")</f>
        <v>BCM ชุมชนศรีชุม ลำปาง</v>
      </c>
      <c r="P650" s="4">
        <f>IFERROR(__xludf.DUMMYFUNCTION("""COMPUTED_VALUE"""),42564.0)</f>
        <v>42564</v>
      </c>
      <c r="Q650" s="3" t="str">
        <f>IFERROR(__xludf.DUMMYFUNCTION("""COMPUTED_VALUE"""),"A")</f>
        <v>A</v>
      </c>
      <c r="R650" s="3" t="str">
        <f>IFERROR(__xludf.DUMMYFUNCTION("""COMPUTED_VALUE"""),"Small Format")</f>
        <v>Small Format</v>
      </c>
      <c r="S650" s="3" t="str">
        <f>IFERROR(__xludf.DUMMYFUNCTION("""COMPUTED_VALUE"""),"BCM")</f>
        <v>BCM</v>
      </c>
      <c r="T650" s="3" t="str">
        <f>IFERROR(__xludf.DUMMYFUNCTION("""COMPUTED_VALUE"""),"#N/A")</f>
        <v>#N/A</v>
      </c>
      <c r="U650" s="3" t="str">
        <f>IFERROR(__xludf.DUMMYFUNCTION("""COMPUTED_VALUE"""),"#N/A")</f>
        <v>#N/A</v>
      </c>
      <c r="V650" s="3" t="str">
        <f>IFERROR(__xludf.DUMMYFUNCTION("""COMPUTED_VALUE"""),"N")</f>
        <v>N</v>
      </c>
      <c r="W650" s="3">
        <f>IFERROR(__xludf.DUMMYFUNCTION("""COMPUTED_VALUE"""),211335.0)</f>
        <v>211335</v>
      </c>
      <c r="X650" s="3" t="str">
        <f>IFERROR(__xludf.DUMMYFUNCTION("""COMPUTED_VALUE"""),"171/8 หมู่ 3 ตำบลฟ้าฮ่าม อำเภอเมืองเชียงใหม่ จังหวัดเชียงใหม่ 50000")</f>
        <v>171/8 หมู่ 3 ตำบลฟ้าฮ่าม อำเภอเมืองเชียงใหม่ จังหวัดเชียงใหม่ 50000</v>
      </c>
      <c r="Y650" s="3"/>
      <c r="Z650" s="3" t="str">
        <f>IFERROR(__xludf.DUMMYFUNCTION("""COMPUTED_VALUE"""),"ฟ้าฮ่าม")</f>
        <v>ฟ้าฮ่าม</v>
      </c>
      <c r="AA650" s="3" t="str">
        <f>IFERROR(__xludf.DUMMYFUNCTION("""COMPUTED_VALUE"""),"เมือง")</f>
        <v>เมือง</v>
      </c>
      <c r="AB650" s="3" t="str">
        <f>IFERROR(__xludf.DUMMYFUNCTION("""COMPUTED_VALUE"""),"เชียงใหม่")</f>
        <v>เชียงใหม่</v>
      </c>
      <c r="AC650" s="3">
        <f>IFERROR(__xludf.DUMMYFUNCTION("""COMPUTED_VALUE"""),50000.0)</f>
        <v>50000</v>
      </c>
      <c r="AD650" s="3">
        <f>IFERROR(__xludf.DUMMYFUNCTION("""COMPUTED_VALUE"""),18.819242)</f>
        <v>18.819242</v>
      </c>
      <c r="AE650" s="3">
        <f>IFERROR(__xludf.DUMMYFUNCTION("""COMPUTED_VALUE"""),99.011277)</f>
        <v>99.011277</v>
      </c>
      <c r="AF650" s="3" t="str">
        <f>IFERROR(__xludf.DUMMYFUNCTION("""COMPUTED_VALUE"""),"MBC CTX ฟ้าฮ่าม เชียงใหม่-21418")</f>
        <v>MBC CTX ฟ้าฮ่าม เชียงใหม่-21418</v>
      </c>
      <c r="AG650" s="3" t="str">
        <f>IFERROR(__xludf.DUMMYFUNCTION("""COMPUTED_VALUE"""),"เหนือ")</f>
        <v>เหนือ</v>
      </c>
      <c r="AH650" s="3" t="str">
        <f>IFERROR(__xludf.DUMMYFUNCTION("""COMPUTED_VALUE"""),"#N/A")</f>
        <v>#N/A</v>
      </c>
      <c r="AI650" s="3" t="str">
        <f>IFERROR(__xludf.DUMMYFUNCTION("""COMPUTED_VALUE"""),"Out of warranty")</f>
        <v>Out of warranty</v>
      </c>
      <c r="AJ650" s="3">
        <f>IFERROR(__xludf.DUMMYFUNCTION("""COMPUTED_VALUE"""),115.0)</f>
        <v>115</v>
      </c>
      <c r="AK650" s="3" t="str">
        <f>IFERROR(__xludf.DUMMYFUNCTION("""COMPUTED_VALUE"""),"MMS10")</f>
        <v>MMS10</v>
      </c>
      <c r="AL650" s="3"/>
    </row>
    <row r="651" ht="15.75" customHeight="1">
      <c r="A651" s="1" t="str">
        <f>IFERROR(__xludf.DUMMYFUNCTION("""COMPUTED_VALUE"""),"21419")</f>
        <v>21419</v>
      </c>
      <c r="B651" s="2">
        <f>IFERROR(__xludf.DUMMYFUNCTION("""COMPUTED_VALUE"""),21419.0)</f>
        <v>21419</v>
      </c>
      <c r="C651" s="3" t="str">
        <f>IFERROR(__xludf.DUMMYFUNCTION("""COMPUTED_VALUE"""),"MBC ตลาดศรีย่าน")</f>
        <v>MBC ตลาดศรีย่าน</v>
      </c>
      <c r="D651" s="3" t="str">
        <f>IFERROR(__xludf.DUMMYFUNCTION("""COMPUTED_VALUE"""),"BCM TALAD SRIYAN")</f>
        <v>BCM TALAD SRIYAN</v>
      </c>
      <c r="E651" s="1" t="str">
        <f>IFERROR(__xludf.DUMMYFUNCTION("""COMPUTED_VALUE"""),"บิ๊กซี MINI")</f>
        <v>บิ๊กซี MINI</v>
      </c>
      <c r="F651" s="1" t="str">
        <f>IFERROR(__xludf.DUMMYFUNCTION("""COMPUTED_VALUE"""),"291008")</f>
        <v>291008</v>
      </c>
      <c r="G651" s="1" t="str">
        <f>IFERROR(__xludf.DUMMYFUNCTION("""COMPUTED_VALUE"""),"น.ส.รัชดาพร อีศรัตน์")</f>
        <v>น.ส.รัชดาพร อีศรัตน์</v>
      </c>
      <c r="H651" s="1" t="str">
        <f>IFERROR(__xludf.DUMMYFUNCTION("""COMPUTED_VALUE"""),"291101")</f>
        <v>291101</v>
      </c>
      <c r="I651" s="1" t="str">
        <f>IFERROR(__xludf.DUMMYFUNCTION("""COMPUTED_VALUE"""),"นายจักรพงศ์ โพธิ์ศรี")</f>
        <v>นายจักรพงศ์ โพธิ์ศรี</v>
      </c>
      <c r="J651" s="3">
        <f>IFERROR(__xludf.DUMMYFUNCTION("""COMPUTED_VALUE"""),296608.0)</f>
        <v>296608</v>
      </c>
      <c r="K651" s="3" t="str">
        <f>IFERROR(__xludf.DUMMYFUNCTION("""COMPUTED_VALUE"""),"นายภาคภูมิ เพ็ชรนิล")</f>
        <v>นายภาคภูมิ เพ็ชรนิล</v>
      </c>
      <c r="L651" s="1" t="str">
        <f>IFERROR(__xludf.DUMMYFUNCTION("""COMPUTED_VALUE"""),"10 K.Phakphoom P.")</f>
        <v>10 K.Phakphoom P.</v>
      </c>
      <c r="M651" s="1" t="str">
        <f>IFERROR(__xludf.DUMMYFUNCTION("""COMPUTED_VALUE"""),"063-8955329")</f>
        <v>063-8955329</v>
      </c>
      <c r="N651" s="3">
        <f>IFERROR(__xludf.DUMMYFUNCTION("""COMPUTED_VALUE"""),22584.0)</f>
        <v>22584</v>
      </c>
      <c r="O651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651" s="4">
        <f>IFERROR(__xludf.DUMMYFUNCTION("""COMPUTED_VALUE"""),42569.0)</f>
        <v>42569</v>
      </c>
      <c r="Q651" s="3" t="str">
        <f>IFERROR(__xludf.DUMMYFUNCTION("""COMPUTED_VALUE"""),"A")</f>
        <v>A</v>
      </c>
      <c r="R651" s="3" t="str">
        <f>IFERROR(__xludf.DUMMYFUNCTION("""COMPUTED_VALUE"""),"Small Format")</f>
        <v>Small Format</v>
      </c>
      <c r="S651" s="3" t="str">
        <f>IFERROR(__xludf.DUMMYFUNCTION("""COMPUTED_VALUE"""),"BCM")</f>
        <v>BCM</v>
      </c>
      <c r="T651" s="3" t="str">
        <f>IFERROR(__xludf.DUMMYFUNCTION("""COMPUTED_VALUE"""),"#N/A")</f>
        <v>#N/A</v>
      </c>
      <c r="U651" s="3" t="str">
        <f>IFERROR(__xludf.DUMMYFUNCTION("""COMPUTED_VALUE"""),"#N/A")</f>
        <v>#N/A</v>
      </c>
      <c r="V651" s="3" t="str">
        <f>IFERROR(__xludf.DUMMYFUNCTION("""COMPUTED_VALUE"""),"N")</f>
        <v>N</v>
      </c>
      <c r="W651" s="3">
        <f>IFERROR(__xludf.DUMMYFUNCTION("""COMPUTED_VALUE"""),211324.0)</f>
        <v>211324</v>
      </c>
      <c r="X651" s="3" t="str">
        <f>IFERROR(__xludf.DUMMYFUNCTION("""COMPUTED_VALUE"""),"151/3 ถนนนครไชยศรี แขวงถนนนครไชยศรี เขตดุสิต กรุงเทพมหานคร 10300")</f>
        <v>151/3 ถนนนครไชยศรี แขวงถนนนครไชยศรี เขตดุสิต กรุงเทพมหานคร 10300</v>
      </c>
      <c r="Y651" s="3" t="str">
        <f>IFERROR(__xludf.DUMMYFUNCTION("""COMPUTED_VALUE"""),"ถนนนครไชยศรี")</f>
        <v>ถนนนครไชยศรี</v>
      </c>
      <c r="Z651" s="3" t="str">
        <f>IFERROR(__xludf.DUMMYFUNCTION("""COMPUTED_VALUE"""),"ถนนนครไชยศรี")</f>
        <v>ถนนนครไชยศรี</v>
      </c>
      <c r="AA651" s="3" t="str">
        <f>IFERROR(__xludf.DUMMYFUNCTION("""COMPUTED_VALUE"""),"ดุสิต")</f>
        <v>ดุสิต</v>
      </c>
      <c r="AB651" s="3" t="str">
        <f>IFERROR(__xludf.DUMMYFUNCTION("""COMPUTED_VALUE"""),"กรุงเทพมหานคร")</f>
        <v>กรุงเทพมหานคร</v>
      </c>
      <c r="AC651" s="3">
        <f>IFERROR(__xludf.DUMMYFUNCTION("""COMPUTED_VALUE"""),10300.0)</f>
        <v>10300</v>
      </c>
      <c r="AD651" s="3">
        <f>IFERROR(__xludf.DUMMYFUNCTION("""COMPUTED_VALUE"""),13.784791)</f>
        <v>13.784791</v>
      </c>
      <c r="AE651" s="3">
        <f>IFERROR(__xludf.DUMMYFUNCTION("""COMPUTED_VALUE"""),100.5129069)</f>
        <v>100.5129069</v>
      </c>
      <c r="AF651" s="3" t="str">
        <f>IFERROR(__xludf.DUMMYFUNCTION("""COMPUTED_VALUE"""),"MBC ตลาดศรีย่าน-21419")</f>
        <v>MBC ตลาดศรีย่าน-21419</v>
      </c>
      <c r="AG651" s="3" t="str">
        <f>IFERROR(__xludf.DUMMYFUNCTION("""COMPUTED_VALUE"""),"กลาง")</f>
        <v>กลาง</v>
      </c>
      <c r="AH651" s="3" t="str">
        <f>IFERROR(__xludf.DUMMYFUNCTION("""COMPUTED_VALUE"""),"#N/A")</f>
        <v>#N/A</v>
      </c>
      <c r="AI651" s="3" t="str">
        <f>IFERROR(__xludf.DUMMYFUNCTION("""COMPUTED_VALUE"""),"Out of warranty")</f>
        <v>Out of warranty</v>
      </c>
      <c r="AJ651" s="3">
        <f>IFERROR(__xludf.DUMMYFUNCTION("""COMPUTED_VALUE"""),115.0)</f>
        <v>115</v>
      </c>
      <c r="AK651" s="3" t="str">
        <f>IFERROR(__xludf.DUMMYFUNCTION("""COMPUTED_VALUE"""),"MMS01")</f>
        <v>MMS01</v>
      </c>
      <c r="AL651" s="3"/>
    </row>
    <row r="652" ht="15.75" customHeight="1">
      <c r="A652" s="1" t="str">
        <f>IFERROR(__xludf.DUMMYFUNCTION("""COMPUTED_VALUE"""),"21420")</f>
        <v>21420</v>
      </c>
      <c r="B652" s="2">
        <f>IFERROR(__xludf.DUMMYFUNCTION("""COMPUTED_VALUE"""),21420.0)</f>
        <v>21420</v>
      </c>
      <c r="C652" s="3" t="str">
        <f>IFERROR(__xludf.DUMMYFUNCTION("""COMPUTED_VALUE"""),"MBC ตลาดวังน้ำเย็น")</f>
        <v>MBC ตลาดวังน้ำเย็น</v>
      </c>
      <c r="D652" s="3" t="str">
        <f>IFERROR(__xludf.DUMMYFUNCTION("""COMPUTED_VALUE"""),"BCM TALAD WANGNAMYEN")</f>
        <v>BCM TALAD WANGNAMYEN</v>
      </c>
      <c r="E652" s="1" t="str">
        <f>IFERROR(__xludf.DUMMYFUNCTION("""COMPUTED_VALUE"""),"บิ๊กซี MINI")</f>
        <v>บิ๊กซี MINI</v>
      </c>
      <c r="F652" s="1" t="str">
        <f>IFERROR(__xludf.DUMMYFUNCTION("""COMPUTED_VALUE"""),"2083447")</f>
        <v>2083447</v>
      </c>
      <c r="G652" s="1" t="str">
        <f>IFERROR(__xludf.DUMMYFUNCTION("""COMPUTED_VALUE"""),"นายอนุกูล ศรีลัดดา")</f>
        <v>นายอนุกูล ศรีลัดดา</v>
      </c>
      <c r="H652" s="1" t="str">
        <f>IFERROR(__xludf.DUMMYFUNCTION("""COMPUTED_VALUE"""),"259808")</f>
        <v>259808</v>
      </c>
      <c r="I652" s="1" t="str">
        <f>IFERROR(__xludf.DUMMYFUNCTION("""COMPUTED_VALUE"""),"น.ส.สกุลรัตน์ พิกุลแก้ว")</f>
        <v>น.ส.สกุลรัตน์ พิกุลแก้ว</v>
      </c>
      <c r="J652" s="3">
        <f>IFERROR(__xludf.DUMMYFUNCTION("""COMPUTED_VALUE"""),510143.0)</f>
        <v>510143</v>
      </c>
      <c r="K652" s="3" t="str">
        <f>IFERROR(__xludf.DUMMYFUNCTION("""COMPUTED_VALUE"""),"นายธีระวัฒน์ บุญสิทธิ์")</f>
        <v>นายธีระวัฒน์ บุญสิทธิ์</v>
      </c>
      <c r="L652" s="1" t="str">
        <f>IFERROR(__xludf.DUMMYFUNCTION("""COMPUTED_VALUE"""),"12 K.Theerawat B.")</f>
        <v>12 K.Theerawat B.</v>
      </c>
      <c r="M652" s="1" t="str">
        <f>IFERROR(__xludf.DUMMYFUNCTION("""COMPUTED_VALUE"""),"0655107379")</f>
        <v>0655107379</v>
      </c>
      <c r="N652" s="3">
        <f>IFERROR(__xludf.DUMMYFUNCTION("""COMPUTED_VALUE"""),21062.0)</f>
        <v>21062</v>
      </c>
      <c r="O652" s="3" t="str">
        <f>IFERROR(__xludf.DUMMYFUNCTION("""COMPUTED_VALUE"""),"MBC นิคมนวนคร")</f>
        <v>MBC นิคมนวนคร</v>
      </c>
      <c r="P652" s="4">
        <f>IFERROR(__xludf.DUMMYFUNCTION("""COMPUTED_VALUE"""),42582.0)</f>
        <v>42582</v>
      </c>
      <c r="Q652" s="3" t="str">
        <f>IFERROR(__xludf.DUMMYFUNCTION("""COMPUTED_VALUE"""),"A")</f>
        <v>A</v>
      </c>
      <c r="R652" s="3" t="str">
        <f>IFERROR(__xludf.DUMMYFUNCTION("""COMPUTED_VALUE"""),"Small Format")</f>
        <v>Small Format</v>
      </c>
      <c r="S652" s="3" t="str">
        <f>IFERROR(__xludf.DUMMYFUNCTION("""COMPUTED_VALUE"""),"BCM")</f>
        <v>BCM</v>
      </c>
      <c r="T652" s="3" t="str">
        <f>IFERROR(__xludf.DUMMYFUNCTION("""COMPUTED_VALUE"""),"#N/A")</f>
        <v>#N/A</v>
      </c>
      <c r="U652" s="3" t="str">
        <f>IFERROR(__xludf.DUMMYFUNCTION("""COMPUTED_VALUE"""),"#N/A")</f>
        <v>#N/A</v>
      </c>
      <c r="V652" s="3" t="str">
        <f>IFERROR(__xludf.DUMMYFUNCTION("""COMPUTED_VALUE"""),"N")</f>
        <v>N</v>
      </c>
      <c r="W652" s="3">
        <f>IFERROR(__xludf.DUMMYFUNCTION("""COMPUTED_VALUE"""),211337.0)</f>
        <v>211337</v>
      </c>
      <c r="X652" s="3" t="str">
        <f>IFERROR(__xludf.DUMMYFUNCTION("""COMPUTED_VALUE"""),"481 หมู่ 1 ตำบลวังน้ำเย็น อำเภอวังน้ำเย็น จังหวัดสระแก้ว 27210")</f>
        <v>481 หมู่ 1 ตำบลวังน้ำเย็น อำเภอวังน้ำเย็น จังหวัดสระแก้ว 27210</v>
      </c>
      <c r="Y652" s="3"/>
      <c r="Z652" s="3" t="str">
        <f>IFERROR(__xludf.DUMMYFUNCTION("""COMPUTED_VALUE"""),"วังน้ำเย็น")</f>
        <v>วังน้ำเย็น</v>
      </c>
      <c r="AA652" s="3" t="str">
        <f>IFERROR(__xludf.DUMMYFUNCTION("""COMPUTED_VALUE"""),"วังน้ำเย็น")</f>
        <v>วังน้ำเย็น</v>
      </c>
      <c r="AB652" s="3" t="str">
        <f>IFERROR(__xludf.DUMMYFUNCTION("""COMPUTED_VALUE"""),"สระแก้ว")</f>
        <v>สระแก้ว</v>
      </c>
      <c r="AC652" s="3">
        <f>IFERROR(__xludf.DUMMYFUNCTION("""COMPUTED_VALUE"""),27210.0)</f>
        <v>27210</v>
      </c>
      <c r="AD652" s="3">
        <f>IFERROR(__xludf.DUMMYFUNCTION("""COMPUTED_VALUE"""),13.515065)</f>
        <v>13.515065</v>
      </c>
      <c r="AE652" s="3">
        <f>IFERROR(__xludf.DUMMYFUNCTION("""COMPUTED_VALUE"""),102.175751)</f>
        <v>102.175751</v>
      </c>
      <c r="AF652" s="3" t="str">
        <f>IFERROR(__xludf.DUMMYFUNCTION("""COMPUTED_VALUE"""),"MBC ตลาดวังน้ำเย็น-21420")</f>
        <v>MBC ตลาดวังน้ำเย็น-21420</v>
      </c>
      <c r="AG652" s="3" t="str">
        <f>IFERROR(__xludf.DUMMYFUNCTION("""COMPUTED_VALUE"""),"ตะวันออก")</f>
        <v>ตะวันออก</v>
      </c>
      <c r="AH652" s="3" t="str">
        <f>IFERROR(__xludf.DUMMYFUNCTION("""COMPUTED_VALUE"""),"#N/A")</f>
        <v>#N/A</v>
      </c>
      <c r="AI652" s="3" t="str">
        <f>IFERROR(__xludf.DUMMYFUNCTION("""COMPUTED_VALUE"""),"Out of warranty")</f>
        <v>Out of warranty</v>
      </c>
      <c r="AJ652" s="3">
        <f>IFERROR(__xludf.DUMMYFUNCTION("""COMPUTED_VALUE"""),114.0)</f>
        <v>114</v>
      </c>
      <c r="AK652" s="3" t="str">
        <f>IFERROR(__xludf.DUMMYFUNCTION("""COMPUTED_VALUE"""),"MMS08")</f>
        <v>MMS08</v>
      </c>
      <c r="AL652" s="3"/>
    </row>
    <row r="653" ht="15.75" customHeight="1">
      <c r="A653" s="1" t="str">
        <f>IFERROR(__xludf.DUMMYFUNCTION("""COMPUTED_VALUE"""),"21421")</f>
        <v>21421</v>
      </c>
      <c r="B653" s="2">
        <f>IFERROR(__xludf.DUMMYFUNCTION("""COMPUTED_VALUE"""),21421.0)</f>
        <v>21421</v>
      </c>
      <c r="C653" s="3" t="str">
        <f>IFERROR(__xludf.DUMMYFUNCTION("""COMPUTED_VALUE"""),"BCM CTX บายพาสชลบุรี")</f>
        <v>BCM CTX บายพาสชลบุรี</v>
      </c>
      <c r="D653" s="3" t="str">
        <f>IFERROR(__xludf.DUMMYFUNCTION("""COMPUTED_VALUE"""),"BCM CTX BYPASS CHONBURI")</f>
        <v>BCM CTX BYPASS CHONBURI</v>
      </c>
      <c r="E653" s="1" t="str">
        <f>IFERROR(__xludf.DUMMYFUNCTION("""COMPUTED_VALUE"""),"บิ๊กซี MINI")</f>
        <v>บิ๊กซี MINI</v>
      </c>
      <c r="F653" s="1" t="str">
        <f>IFERROR(__xludf.DUMMYFUNCTION("""COMPUTED_VALUE"""),"250760")</f>
        <v>250760</v>
      </c>
      <c r="G653" s="1" t="str">
        <f>IFERROR(__xludf.DUMMYFUNCTION("""COMPUTED_VALUE"""),"นายประทวน สาราบรรณ์")</f>
        <v>นายประทวน สาราบรรณ์</v>
      </c>
      <c r="H653" s="1" t="str">
        <f>IFERROR(__xludf.DUMMYFUNCTION("""COMPUTED_VALUE"""),"034605")</f>
        <v>034605</v>
      </c>
      <c r="I653" s="1" t="str">
        <f>IFERROR(__xludf.DUMMYFUNCTION("""COMPUTED_VALUE"""),"นายธรรมรัตน์ สุขเจริญ")</f>
        <v>นายธรรมรัตน์ สุขเจริญ</v>
      </c>
      <c r="J653" s="3">
        <f>IFERROR(__xludf.DUMMYFUNCTION("""COMPUTED_VALUE"""),295541.0)</f>
        <v>295541</v>
      </c>
      <c r="K653" s="3" t="str">
        <f>IFERROR(__xludf.DUMMYFUNCTION("""COMPUTED_VALUE"""),"นายรพิพล ศรีมาตย์")</f>
        <v>นายรพิพล ศรีมาตย์</v>
      </c>
      <c r="L653" s="1" t="str">
        <f>IFERROR(__xludf.DUMMYFUNCTION("""COMPUTED_VALUE"""),"นายรพิพล ศรีมาตย์")</f>
        <v>นายรพิพล ศรีมาตย์</v>
      </c>
      <c r="M653" s="1" t="str">
        <f>IFERROR(__xludf.DUMMYFUNCTION("""COMPUTED_VALUE"""),"0613966115")</f>
        <v>0613966115</v>
      </c>
      <c r="N653" s="3">
        <f>IFERROR(__xludf.DUMMYFUNCTION("""COMPUTED_VALUE"""),21175.0)</f>
        <v>21175</v>
      </c>
      <c r="O653" s="3" t="str">
        <f>IFERROR(__xludf.DUMMYFUNCTION("""COMPUTED_VALUE"""),"MBC BCP กิ่งแก้ว")</f>
        <v>MBC BCP กิ่งแก้ว</v>
      </c>
      <c r="P653" s="4">
        <f>IFERROR(__xludf.DUMMYFUNCTION("""COMPUTED_VALUE"""),42578.0)</f>
        <v>42578</v>
      </c>
      <c r="Q653" s="3" t="str">
        <f>IFERROR(__xludf.DUMMYFUNCTION("""COMPUTED_VALUE"""),"I")</f>
        <v>I</v>
      </c>
      <c r="R653" s="3" t="str">
        <f>IFERROR(__xludf.DUMMYFUNCTION("""COMPUTED_VALUE"""),"Small Format")</f>
        <v>Small Format</v>
      </c>
      <c r="S653" s="3" t="str">
        <f>IFERROR(__xludf.DUMMYFUNCTION("""COMPUTED_VALUE"""),"BCM")</f>
        <v>BCM</v>
      </c>
      <c r="T653" s="3" t="str">
        <f>IFERROR(__xludf.DUMMYFUNCTION("""COMPUTED_VALUE"""),"#N/A")</f>
        <v>#N/A</v>
      </c>
      <c r="U653" s="3" t="str">
        <f>IFERROR(__xludf.DUMMYFUNCTION("""COMPUTED_VALUE"""),"#N/A")</f>
        <v>#N/A</v>
      </c>
      <c r="V653" s="3" t="str">
        <f>IFERROR(__xludf.DUMMYFUNCTION("""COMPUTED_VALUE"""),"N")</f>
        <v>N</v>
      </c>
      <c r="W653" s="3">
        <f>IFERROR(__xludf.DUMMYFUNCTION("""COMPUTED_VALUE"""),211331.0)</f>
        <v>211331</v>
      </c>
      <c r="X653" s="3" t="str">
        <f>IFERROR(__xludf.DUMMYFUNCTION("""COMPUTED_VALUE"""),"6/59 หมู่ 2 ตำบลบ้านสวน อำเภอเมืองชลบุรี จังหวัดชลบุรี 20000")</f>
        <v>6/59 หมู่ 2 ตำบลบ้านสวน อำเภอเมืองชลบุรี จังหวัดชลบุรี 20000</v>
      </c>
      <c r="Y653" s="3"/>
      <c r="Z653" s="3" t="str">
        <f>IFERROR(__xludf.DUMMYFUNCTION("""COMPUTED_VALUE"""),"บ้านสวน")</f>
        <v>บ้านสวน</v>
      </c>
      <c r="AA653" s="3" t="str">
        <f>IFERROR(__xludf.DUMMYFUNCTION("""COMPUTED_VALUE"""),"เมือง")</f>
        <v>เมือง</v>
      </c>
      <c r="AB653" s="3" t="str">
        <f>IFERROR(__xludf.DUMMYFUNCTION("""COMPUTED_VALUE"""),"ชลบุรี")</f>
        <v>ชลบุรี</v>
      </c>
      <c r="AC653" s="3">
        <f>IFERROR(__xludf.DUMMYFUNCTION("""COMPUTED_VALUE"""),20000.0)</f>
        <v>20000</v>
      </c>
      <c r="AD653" s="3">
        <f>IFERROR(__xludf.DUMMYFUNCTION("""COMPUTED_VALUE"""),13.34224)</f>
        <v>13.34224</v>
      </c>
      <c r="AE653" s="3">
        <f>IFERROR(__xludf.DUMMYFUNCTION("""COMPUTED_VALUE"""),100.99503)</f>
        <v>100.99503</v>
      </c>
      <c r="AF653" s="3" t="str">
        <f>IFERROR(__xludf.DUMMYFUNCTION("""COMPUTED_VALUE"""),"BCM CTX บายพาสชลบุรี-21421")</f>
        <v>BCM CTX บายพาสชลบุรี-21421</v>
      </c>
      <c r="AG653" s="3" t="str">
        <f>IFERROR(__xludf.DUMMYFUNCTION("""COMPUTED_VALUE"""),"ตะวันออก")</f>
        <v>ตะวันออก</v>
      </c>
      <c r="AH653" s="3" t="str">
        <f>IFERROR(__xludf.DUMMYFUNCTION("""COMPUTED_VALUE"""),"#N/A")</f>
        <v>#N/A</v>
      </c>
      <c r="AI653" s="3" t="str">
        <f>IFERROR(__xludf.DUMMYFUNCTION("""COMPUTED_VALUE"""),"Out of warranty")</f>
        <v>Out of warranty</v>
      </c>
      <c r="AJ653" s="3">
        <f>IFERROR(__xludf.DUMMYFUNCTION("""COMPUTED_VALUE"""),114.0)</f>
        <v>114</v>
      </c>
      <c r="AK653" s="3"/>
      <c r="AL653" s="3"/>
    </row>
    <row r="654" ht="15.75" customHeight="1">
      <c r="A654" s="1" t="str">
        <f>IFERROR(__xludf.DUMMYFUNCTION("""COMPUTED_VALUE"""),"21422")</f>
        <v>21422</v>
      </c>
      <c r="B654" s="2">
        <f>IFERROR(__xludf.DUMMYFUNCTION("""COMPUTED_VALUE"""),21422.0)</f>
        <v>21422</v>
      </c>
      <c r="C654" s="3" t="str">
        <f>IFERROR(__xludf.DUMMYFUNCTION("""COMPUTED_VALUE"""),"MBC ตลาดลาดพร้าว สะพาน2")</f>
        <v>MBC ตลาดลาดพร้าว สะพาน2</v>
      </c>
      <c r="D654" s="3" t="str">
        <f>IFERROR(__xludf.DUMMYFUNCTION("""COMPUTED_VALUE"""),"MBC TALAD LADPRAO SAPAN2")</f>
        <v>MBC TALAD LADPRAO SAPAN2</v>
      </c>
      <c r="E654" s="1" t="str">
        <f>IFERROR(__xludf.DUMMYFUNCTION("""COMPUTED_VALUE"""),"บิ๊กซี MINI")</f>
        <v>บิ๊กซี MINI</v>
      </c>
      <c r="F654" s="1" t="str">
        <f>IFERROR(__xludf.DUMMYFUNCTION("""COMPUTED_VALUE"""),"291008")</f>
        <v>291008</v>
      </c>
      <c r="G654" s="1" t="str">
        <f>IFERROR(__xludf.DUMMYFUNCTION("""COMPUTED_VALUE"""),"น.ส.รัชดาพร อีศรัตน์")</f>
        <v>น.ส.รัชดาพร อีศรัตน์</v>
      </c>
      <c r="H654" s="1" t="str">
        <f>IFERROR(__xludf.DUMMYFUNCTION("""COMPUTED_VALUE"""),"034068")</f>
        <v>034068</v>
      </c>
      <c r="I654" s="1" t="str">
        <f>IFERROR(__xludf.DUMMYFUNCTION("""COMPUTED_VALUE"""),"นายสมศักดิ์ ฐานทองดี")</f>
        <v>นายสมศักดิ์ ฐานทองดี</v>
      </c>
      <c r="J654" s="3">
        <f>IFERROR(__xludf.DUMMYFUNCTION("""COMPUTED_VALUE"""),3510104.0)</f>
        <v>3510104</v>
      </c>
      <c r="K654" s="3" t="str">
        <f>IFERROR(__xludf.DUMMYFUNCTION("""COMPUTED_VALUE"""),"นายวิโรจน์ อับดุลสมัด")</f>
        <v>นายวิโรจน์ อับดุลสมัด</v>
      </c>
      <c r="L654" s="1" t="str">
        <f>IFERROR(__xludf.DUMMYFUNCTION("""COMPUTED_VALUE"""),"09 K.Wirode A")</f>
        <v>09 K.Wirode A</v>
      </c>
      <c r="M654" s="1" t="str">
        <f>IFERROR(__xludf.DUMMYFUNCTION("""COMPUTED_VALUE"""),"080-235-4465")</f>
        <v>080-235-4465</v>
      </c>
      <c r="N654" s="3">
        <f>IFERROR(__xludf.DUMMYFUNCTION("""COMPUTED_VALUE"""),21324.0)</f>
        <v>21324</v>
      </c>
      <c r="O654" s="3" t="str">
        <f>IFERROR(__xludf.DUMMYFUNCTION("""COMPUTED_VALUE"""),"MBC BCP สุวินทวงศ์")</f>
        <v>MBC BCP สุวินทวงศ์</v>
      </c>
      <c r="P654" s="4">
        <f>IFERROR(__xludf.DUMMYFUNCTION("""COMPUTED_VALUE"""),42612.0)</f>
        <v>42612</v>
      </c>
      <c r="Q654" s="3" t="str">
        <f>IFERROR(__xludf.DUMMYFUNCTION("""COMPUTED_VALUE"""),"I")</f>
        <v>I</v>
      </c>
      <c r="R654" s="3" t="str">
        <f>IFERROR(__xludf.DUMMYFUNCTION("""COMPUTED_VALUE"""),"Small Format")</f>
        <v>Small Format</v>
      </c>
      <c r="S654" s="3" t="str">
        <f>IFERROR(__xludf.DUMMYFUNCTION("""COMPUTED_VALUE"""),"BCM")</f>
        <v>BCM</v>
      </c>
      <c r="T654" s="3" t="str">
        <f>IFERROR(__xludf.DUMMYFUNCTION("""COMPUTED_VALUE"""),"#N/A")</f>
        <v>#N/A</v>
      </c>
      <c r="U654" s="3" t="str">
        <f>IFERROR(__xludf.DUMMYFUNCTION("""COMPUTED_VALUE"""),"#N/A")</f>
        <v>#N/A</v>
      </c>
      <c r="V654" s="3" t="str">
        <f>IFERROR(__xludf.DUMMYFUNCTION("""COMPUTED_VALUE"""),"N")</f>
        <v>N</v>
      </c>
      <c r="W654" s="3">
        <f>IFERROR(__xludf.DUMMYFUNCTION("""COMPUTED_VALUE"""),0.0)</f>
        <v>0</v>
      </c>
      <c r="X654" s="3" t="str">
        <f>IFERROR(__xludf.DUMMYFUNCTION("""COMPUTED_VALUE"""),"2041,2043 ถนนลาดพร้าว แขวงสะพานสอง เขตวังทองหลาง กรุงเทพมหานคร 10310")</f>
        <v>2041,2043 ถนนลาดพร้าว แขวงสะพานสอง เขตวังทองหลาง กรุงเทพมหานคร 10310</v>
      </c>
      <c r="Y654" s="3" t="str">
        <f>IFERROR(__xludf.DUMMYFUNCTION("""COMPUTED_VALUE"""),"ถนนลาดพร้าว")</f>
        <v>ถนนลาดพร้าว</v>
      </c>
      <c r="Z654" s="3" t="str">
        <f>IFERROR(__xludf.DUMMYFUNCTION("""COMPUTED_VALUE"""),"สะพานสอง")</f>
        <v>สะพานสอง</v>
      </c>
      <c r="AA654" s="3" t="str">
        <f>IFERROR(__xludf.DUMMYFUNCTION("""COMPUTED_VALUE"""),"วังทองหลาง")</f>
        <v>วังทองหลาง</v>
      </c>
      <c r="AB654" s="3" t="str">
        <f>IFERROR(__xludf.DUMMYFUNCTION("""COMPUTED_VALUE"""),"กรุงเทพมหานคร")</f>
        <v>กรุงเทพมหานคร</v>
      </c>
      <c r="AC654" s="3">
        <f>IFERROR(__xludf.DUMMYFUNCTION("""COMPUTED_VALUE"""),10310.0)</f>
        <v>10310</v>
      </c>
      <c r="AD654" s="3" t="str">
        <f>IFERROR(__xludf.DUMMYFUNCTION("""COMPUTED_VALUE"""),"#N/A")</f>
        <v>#N/A</v>
      </c>
      <c r="AE654" s="3" t="str">
        <f>IFERROR(__xludf.DUMMYFUNCTION("""COMPUTED_VALUE"""),"#N/A")</f>
        <v>#N/A</v>
      </c>
      <c r="AF654" s="3" t="str">
        <f>IFERROR(__xludf.DUMMYFUNCTION("""COMPUTED_VALUE"""),"MBC ตลาดลาดพร้าว สะพาน2-21422")</f>
        <v>MBC ตลาดลาดพร้าว สะพาน2-21422</v>
      </c>
      <c r="AG654" s="3" t="str">
        <f>IFERROR(__xludf.DUMMYFUNCTION("""COMPUTED_VALUE"""),"กลาง")</f>
        <v>กลาง</v>
      </c>
      <c r="AH654" s="3" t="str">
        <f>IFERROR(__xludf.DUMMYFUNCTION("""COMPUTED_VALUE"""),"#N/A")</f>
        <v>#N/A</v>
      </c>
      <c r="AI654" s="3" t="str">
        <f>IFERROR(__xludf.DUMMYFUNCTION("""COMPUTED_VALUE"""),"Out of warranty")</f>
        <v>Out of warranty</v>
      </c>
      <c r="AJ654" s="3">
        <f>IFERROR(__xludf.DUMMYFUNCTION("""COMPUTED_VALUE"""),113.0)</f>
        <v>113</v>
      </c>
      <c r="AK654" s="3"/>
      <c r="AL654" s="3"/>
    </row>
    <row r="655" ht="15.75" customHeight="1">
      <c r="A655" s="1" t="str">
        <f>IFERROR(__xludf.DUMMYFUNCTION("""COMPUTED_VALUE"""),"21423")</f>
        <v>21423</v>
      </c>
      <c r="B655" s="2">
        <f>IFERROR(__xludf.DUMMYFUNCTION("""COMPUTED_VALUE"""),21423.0)</f>
        <v>21423</v>
      </c>
      <c r="C655" s="3" t="str">
        <f>IFERROR(__xludf.DUMMYFUNCTION("""COMPUTED_VALUE"""),"MBC ตลาดมีนบุรี")</f>
        <v>MBC ตลาดมีนบุรี</v>
      </c>
      <c r="D655" s="3" t="str">
        <f>IFERROR(__xludf.DUMMYFUNCTION("""COMPUTED_VALUE"""),"BCM TALAD MINBURI")</f>
        <v>BCM TALAD MINBURI</v>
      </c>
      <c r="E655" s="1" t="str">
        <f>IFERROR(__xludf.DUMMYFUNCTION("""COMPUTED_VALUE"""),"บิ๊กซี MINI")</f>
        <v>บิ๊กซี MINI</v>
      </c>
      <c r="F655" s="1" t="str">
        <f>IFERROR(__xludf.DUMMYFUNCTION("""COMPUTED_VALUE"""),"291008")</f>
        <v>291008</v>
      </c>
      <c r="G655" s="1" t="str">
        <f>IFERROR(__xludf.DUMMYFUNCTION("""COMPUTED_VALUE"""),"น.ส.รัชดาพร อีศรัตน์")</f>
        <v>น.ส.รัชดาพร อีศรัตน์</v>
      </c>
      <c r="H655" s="1" t="str">
        <f>IFERROR(__xludf.DUMMYFUNCTION("""COMPUTED_VALUE"""),"228242")</f>
        <v>228242</v>
      </c>
      <c r="I655" s="1" t="str">
        <f>IFERROR(__xludf.DUMMYFUNCTION("""COMPUTED_VALUE"""),"นายสมชาย เยมรัมย์")</f>
        <v>นายสมชาย เยมรัมย์</v>
      </c>
      <c r="J655" s="3">
        <f>IFERROR(__xludf.DUMMYFUNCTION("""COMPUTED_VALUE"""),3510104.0)</f>
        <v>3510104</v>
      </c>
      <c r="K655" s="3" t="str">
        <f>IFERROR(__xludf.DUMMYFUNCTION("""COMPUTED_VALUE"""),"นายวิโรจน์ อับดุลสมัด")</f>
        <v>นายวิโรจน์ อับดุลสมัด</v>
      </c>
      <c r="L655" s="1" t="str">
        <f>IFERROR(__xludf.DUMMYFUNCTION("""COMPUTED_VALUE"""),"09 K.Wirode A")</f>
        <v>09 K.Wirode A</v>
      </c>
      <c r="M655" s="1" t="str">
        <f>IFERROR(__xludf.DUMMYFUNCTION("""COMPUTED_VALUE"""),"080-235-4465")</f>
        <v>080-235-4465</v>
      </c>
      <c r="N655" s="3">
        <f>IFERROR(__xludf.DUMMYFUNCTION("""COMPUTED_VALUE"""),21324.0)</f>
        <v>21324</v>
      </c>
      <c r="O655" s="3" t="str">
        <f>IFERROR(__xludf.DUMMYFUNCTION("""COMPUTED_VALUE"""),"MBC BCP สุวินทวงศ์")</f>
        <v>MBC BCP สุวินทวงศ์</v>
      </c>
      <c r="P655" s="4">
        <f>IFERROR(__xludf.DUMMYFUNCTION("""COMPUTED_VALUE"""),42613.0)</f>
        <v>42613</v>
      </c>
      <c r="Q655" s="3" t="str">
        <f>IFERROR(__xludf.DUMMYFUNCTION("""COMPUTED_VALUE"""),"A")</f>
        <v>A</v>
      </c>
      <c r="R655" s="3" t="str">
        <f>IFERROR(__xludf.DUMMYFUNCTION("""COMPUTED_VALUE"""),"Small Format")</f>
        <v>Small Format</v>
      </c>
      <c r="S655" s="3" t="str">
        <f>IFERROR(__xludf.DUMMYFUNCTION("""COMPUTED_VALUE"""),"BCM")</f>
        <v>BCM</v>
      </c>
      <c r="T655" s="3" t="str">
        <f>IFERROR(__xludf.DUMMYFUNCTION("""COMPUTED_VALUE"""),"#N/A")</f>
        <v>#N/A</v>
      </c>
      <c r="U655" s="3" t="str">
        <f>IFERROR(__xludf.DUMMYFUNCTION("""COMPUTED_VALUE"""),"#N/A")</f>
        <v>#N/A</v>
      </c>
      <c r="V655" s="3" t="str">
        <f>IFERROR(__xludf.DUMMYFUNCTION("""COMPUTED_VALUE"""),"N")</f>
        <v>N</v>
      </c>
      <c r="W655" s="3">
        <f>IFERROR(__xludf.DUMMYFUNCTION("""COMPUTED_VALUE"""),211338.0)</f>
        <v>211338</v>
      </c>
      <c r="X655" s="3" t="str">
        <f>IFERROR(__xludf.DUMMYFUNCTION("""COMPUTED_VALUE"""),"235 ถนนสีหบุรานุกิจ แขวงมีนบุรี เขตมีนบุรี กรุงเทพมหานคร 10510")</f>
        <v>235 ถนนสีหบุรานุกิจ แขวงมีนบุรี เขตมีนบุรี กรุงเทพมหานคร 10510</v>
      </c>
      <c r="Y655" s="3" t="str">
        <f>IFERROR(__xludf.DUMMYFUNCTION("""COMPUTED_VALUE"""),"ถนนสีหบุรานุกิจ")</f>
        <v>ถนนสีหบุรานุกิจ</v>
      </c>
      <c r="Z655" s="3" t="str">
        <f>IFERROR(__xludf.DUMMYFUNCTION("""COMPUTED_VALUE"""),"มีนบุรี")</f>
        <v>มีนบุรี</v>
      </c>
      <c r="AA655" s="3" t="str">
        <f>IFERROR(__xludf.DUMMYFUNCTION("""COMPUTED_VALUE"""),"มีนบุรี")</f>
        <v>มีนบุรี</v>
      </c>
      <c r="AB655" s="3" t="str">
        <f>IFERROR(__xludf.DUMMYFUNCTION("""COMPUTED_VALUE"""),"กรุงเทพมหานคร")</f>
        <v>กรุงเทพมหานคร</v>
      </c>
      <c r="AC655" s="3">
        <f>IFERROR(__xludf.DUMMYFUNCTION("""COMPUTED_VALUE"""),10510.0)</f>
        <v>10510</v>
      </c>
      <c r="AD655" s="3">
        <f>IFERROR(__xludf.DUMMYFUNCTION("""COMPUTED_VALUE"""),13.812746)</f>
        <v>13.812746</v>
      </c>
      <c r="AE655" s="3">
        <f>IFERROR(__xludf.DUMMYFUNCTION("""COMPUTED_VALUE"""),100.728038)</f>
        <v>100.728038</v>
      </c>
      <c r="AF655" s="3" t="str">
        <f>IFERROR(__xludf.DUMMYFUNCTION("""COMPUTED_VALUE"""),"MBC ตลาดมีนบุรี-21423")</f>
        <v>MBC ตลาดมีนบุรี-21423</v>
      </c>
      <c r="AG655" s="3" t="str">
        <f>IFERROR(__xludf.DUMMYFUNCTION("""COMPUTED_VALUE"""),"กลาง")</f>
        <v>กลาง</v>
      </c>
      <c r="AH655" s="3" t="str">
        <f>IFERROR(__xludf.DUMMYFUNCTION("""COMPUTED_VALUE"""),"#N/A")</f>
        <v>#N/A</v>
      </c>
      <c r="AI655" s="3" t="str">
        <f>IFERROR(__xludf.DUMMYFUNCTION("""COMPUTED_VALUE"""),"Out of warranty")</f>
        <v>Out of warranty</v>
      </c>
      <c r="AJ655" s="3">
        <f>IFERROR(__xludf.DUMMYFUNCTION("""COMPUTED_VALUE"""),113.0)</f>
        <v>113</v>
      </c>
      <c r="AK655" s="3" t="str">
        <f>IFERROR(__xludf.DUMMYFUNCTION("""COMPUTED_VALUE"""),"MMS01")</f>
        <v>MMS01</v>
      </c>
      <c r="AL655" s="3"/>
    </row>
    <row r="656" ht="15.75" customHeight="1">
      <c r="A656" s="1" t="str">
        <f>IFERROR(__xludf.DUMMYFUNCTION("""COMPUTED_VALUE"""),"21424")</f>
        <v>21424</v>
      </c>
      <c r="B656" s="2">
        <f>IFERROR(__xludf.DUMMYFUNCTION("""COMPUTED_VALUE"""),21424.0)</f>
        <v>21424</v>
      </c>
      <c r="C656" s="3" t="str">
        <f>IFERROR(__xludf.DUMMYFUNCTION("""COMPUTED_VALUE"""),"MBC CTX แม่ริม")</f>
        <v>MBC CTX แม่ริม</v>
      </c>
      <c r="D656" s="3" t="str">
        <f>IFERROR(__xludf.DUMMYFUNCTION("""COMPUTED_VALUE"""),"BCM CTX MAE RIM")</f>
        <v>BCM CTX MAE RIM</v>
      </c>
      <c r="E656" s="1" t="str">
        <f>IFERROR(__xludf.DUMMYFUNCTION("""COMPUTED_VALUE"""),"บิ๊กซี MINI")</f>
        <v>บิ๊กซี MINI</v>
      </c>
      <c r="F656" s="1" t="str">
        <f>IFERROR(__xludf.DUMMYFUNCTION("""COMPUTED_VALUE"""),"296229")</f>
        <v>296229</v>
      </c>
      <c r="G656" s="1" t="str">
        <f>IFERROR(__xludf.DUMMYFUNCTION("""COMPUTED_VALUE"""),"นายทนงศักดิ์ บุญมา")</f>
        <v>นายทนงศักดิ์ บุญมา</v>
      </c>
      <c r="H656" s="1" t="str">
        <f>IFERROR(__xludf.DUMMYFUNCTION("""COMPUTED_VALUE"""),"393402")</f>
        <v>393402</v>
      </c>
      <c r="I656" s="1" t="str">
        <f>IFERROR(__xludf.DUMMYFUNCTION("""COMPUTED_VALUE"""),"น.ส.ปารมิตา ใจตรง")</f>
        <v>น.ส.ปารมิตา ใจตรง</v>
      </c>
      <c r="J656" s="3">
        <f>IFERROR(__xludf.DUMMYFUNCTION("""COMPUTED_VALUE"""),2010016.0)</f>
        <v>2010016</v>
      </c>
      <c r="K656" s="3" t="str">
        <f>IFERROR(__xludf.DUMMYFUNCTION("""COMPUTED_VALUE"""),"นายตวงธรรม ใหม่ยศ")</f>
        <v>นายตวงธรรม ใหม่ยศ</v>
      </c>
      <c r="L656" s="1" t="str">
        <f>IFERROR(__xludf.DUMMYFUNCTION("""COMPUTED_VALUE"""),"01 K.Tuangtham M.")</f>
        <v>01 K.Tuangtham M.</v>
      </c>
      <c r="M656" s="1" t="str">
        <f>IFERROR(__xludf.DUMMYFUNCTION("""COMPUTED_VALUE"""),"063-976-595")</f>
        <v>063-976-595</v>
      </c>
      <c r="N656" s="3">
        <f>IFERROR(__xludf.DUMMYFUNCTION("""COMPUTED_VALUE"""),22574.0)</f>
        <v>22574</v>
      </c>
      <c r="O656" s="3" t="str">
        <f>IFERROR(__xludf.DUMMYFUNCTION("""COMPUTED_VALUE"""),"BCM ชุมชนศรีชุม ลำปาง")</f>
        <v>BCM ชุมชนศรีชุม ลำปาง</v>
      </c>
      <c r="P656" s="4">
        <f>IFERROR(__xludf.DUMMYFUNCTION("""COMPUTED_VALUE"""),42631.0)</f>
        <v>42631</v>
      </c>
      <c r="Q656" s="3" t="str">
        <f>IFERROR(__xludf.DUMMYFUNCTION("""COMPUTED_VALUE"""),"A")</f>
        <v>A</v>
      </c>
      <c r="R656" s="3" t="str">
        <f>IFERROR(__xludf.DUMMYFUNCTION("""COMPUTED_VALUE"""),"Small Format")</f>
        <v>Small Format</v>
      </c>
      <c r="S656" s="3" t="str">
        <f>IFERROR(__xludf.DUMMYFUNCTION("""COMPUTED_VALUE"""),"BCM")</f>
        <v>BCM</v>
      </c>
      <c r="T656" s="3" t="str">
        <f>IFERROR(__xludf.DUMMYFUNCTION("""COMPUTED_VALUE"""),"#N/A")</f>
        <v>#N/A</v>
      </c>
      <c r="U656" s="3" t="str">
        <f>IFERROR(__xludf.DUMMYFUNCTION("""COMPUTED_VALUE"""),"#N/A")</f>
        <v>#N/A</v>
      </c>
      <c r="V656" s="3" t="str">
        <f>IFERROR(__xludf.DUMMYFUNCTION("""COMPUTED_VALUE"""),"N")</f>
        <v>N</v>
      </c>
      <c r="W656" s="3">
        <f>IFERROR(__xludf.DUMMYFUNCTION("""COMPUTED_VALUE"""),211341.0)</f>
        <v>211341</v>
      </c>
      <c r="X656" s="3" t="str">
        <f>IFERROR(__xludf.DUMMYFUNCTION("""COMPUTED_VALUE"""),"270/2 หมู่ 1 ตำบลริมใต้ อำเภอแม่ริม จังหวัดเชียงใหม่ 50180")</f>
        <v>270/2 หมู่ 1 ตำบลริมใต้ อำเภอแม่ริม จังหวัดเชียงใหม่ 50180</v>
      </c>
      <c r="Y656" s="3"/>
      <c r="Z656" s="3" t="str">
        <f>IFERROR(__xludf.DUMMYFUNCTION("""COMPUTED_VALUE"""),"ริมใต้")</f>
        <v>ริมใต้</v>
      </c>
      <c r="AA656" s="3" t="str">
        <f>IFERROR(__xludf.DUMMYFUNCTION("""COMPUTED_VALUE"""),"แม่ริม")</f>
        <v>แม่ริม</v>
      </c>
      <c r="AB656" s="3" t="str">
        <f>IFERROR(__xludf.DUMMYFUNCTION("""COMPUTED_VALUE"""),"เชียงใหม่")</f>
        <v>เชียงใหม่</v>
      </c>
      <c r="AC656" s="3">
        <f>IFERROR(__xludf.DUMMYFUNCTION("""COMPUTED_VALUE"""),50180.0)</f>
        <v>50180</v>
      </c>
      <c r="AD656" s="3">
        <f>IFERROR(__xludf.DUMMYFUNCTION("""COMPUTED_VALUE"""),18.9179668)</f>
        <v>18.9179668</v>
      </c>
      <c r="AE656" s="3">
        <f>IFERROR(__xludf.DUMMYFUNCTION("""COMPUTED_VALUE"""),98.9438722)</f>
        <v>98.9438722</v>
      </c>
      <c r="AF656" s="3" t="str">
        <f>IFERROR(__xludf.DUMMYFUNCTION("""COMPUTED_VALUE"""),"MBC CTX แม่ริม-21424")</f>
        <v>MBC CTX แม่ริม-21424</v>
      </c>
      <c r="AG656" s="3" t="str">
        <f>IFERROR(__xludf.DUMMYFUNCTION("""COMPUTED_VALUE"""),"เหนือ")</f>
        <v>เหนือ</v>
      </c>
      <c r="AH656" s="3" t="str">
        <f>IFERROR(__xludf.DUMMYFUNCTION("""COMPUTED_VALUE"""),"#N/A")</f>
        <v>#N/A</v>
      </c>
      <c r="AI656" s="3" t="str">
        <f>IFERROR(__xludf.DUMMYFUNCTION("""COMPUTED_VALUE"""),"Out of warranty")</f>
        <v>Out of warranty</v>
      </c>
      <c r="AJ656" s="3">
        <f>IFERROR(__xludf.DUMMYFUNCTION("""COMPUTED_VALUE"""),113.0)</f>
        <v>113</v>
      </c>
      <c r="AK656" s="3" t="str">
        <f>IFERROR(__xludf.DUMMYFUNCTION("""COMPUTED_VALUE"""),"MMS10")</f>
        <v>MMS10</v>
      </c>
      <c r="AL656" s="3"/>
    </row>
    <row r="657" ht="15.75" customHeight="1">
      <c r="A657" s="1" t="str">
        <f>IFERROR(__xludf.DUMMYFUNCTION("""COMPUTED_VALUE"""),"21425")</f>
        <v>21425</v>
      </c>
      <c r="B657" s="2">
        <f>IFERROR(__xludf.DUMMYFUNCTION("""COMPUTED_VALUE"""),21425.0)</f>
        <v>21425</v>
      </c>
      <c r="C657" s="3" t="str">
        <f>IFERROR(__xludf.DUMMYFUNCTION("""COMPUTED_VALUE"""),"MBC หนองแค สระบุรี")</f>
        <v>MBC หนองแค สระบุรี</v>
      </c>
      <c r="D657" s="3" t="str">
        <f>IFERROR(__xludf.DUMMYFUNCTION("""COMPUTED_VALUE"""),"BCM NONGKAE SARABURI")</f>
        <v>BCM NONGKAE SARABURI</v>
      </c>
      <c r="E657" s="1" t="str">
        <f>IFERROR(__xludf.DUMMYFUNCTION("""COMPUTED_VALUE"""),"บิ๊กซี MINI")</f>
        <v>บิ๊กซี MINI</v>
      </c>
      <c r="F657" s="1" t="str">
        <f>IFERROR(__xludf.DUMMYFUNCTION("""COMPUTED_VALUE"""),"296229")</f>
        <v>296229</v>
      </c>
      <c r="G657" s="1" t="str">
        <f>IFERROR(__xludf.DUMMYFUNCTION("""COMPUTED_VALUE"""),"นายทนงศักดิ์ บุญมา")</f>
        <v>นายทนงศักดิ์ บุญมา</v>
      </c>
      <c r="H657" s="1" t="str">
        <f>IFERROR(__xludf.DUMMYFUNCTION("""COMPUTED_VALUE"""),"318233")</f>
        <v>318233</v>
      </c>
      <c r="I657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657" s="3">
        <f>IFERROR(__xludf.DUMMYFUNCTION("""COMPUTED_VALUE"""),46214.0)</f>
        <v>46214</v>
      </c>
      <c r="K657" s="3" t="str">
        <f>IFERROR(__xludf.DUMMYFUNCTION("""COMPUTED_VALUE"""),"นายศักดิ์ชัย เด็ดดอกฟ้า")</f>
        <v>นายศักดิ์ชัย เด็ดดอกฟ้า</v>
      </c>
      <c r="L657" s="1" t="str">
        <f>IFERROR(__xludf.DUMMYFUNCTION("""COMPUTED_VALUE"""),"02 K.Sakchai D")</f>
        <v>02 K.Sakchai D</v>
      </c>
      <c r="M657" s="1" t="str">
        <f>IFERROR(__xludf.DUMMYFUNCTION("""COMPUTED_VALUE"""),"065-510-7376")</f>
        <v>065-510-7376</v>
      </c>
      <c r="N657" s="3">
        <f>IFERROR(__xludf.DUMMYFUNCTION("""COMPUTED_VALUE"""),21714.0)</f>
        <v>21714</v>
      </c>
      <c r="O657" s="3" t="str">
        <f>IFERROR(__xludf.DUMMYFUNCTION("""COMPUTED_VALUE"""),"MBC เอสโซ่ วัดโบสถ์")</f>
        <v>MBC เอสโซ่ วัดโบสถ์</v>
      </c>
      <c r="P657" s="4">
        <f>IFERROR(__xludf.DUMMYFUNCTION("""COMPUTED_VALUE"""),42664.0)</f>
        <v>42664</v>
      </c>
      <c r="Q657" s="3" t="str">
        <f>IFERROR(__xludf.DUMMYFUNCTION("""COMPUTED_VALUE"""),"A")</f>
        <v>A</v>
      </c>
      <c r="R657" s="3" t="str">
        <f>IFERROR(__xludf.DUMMYFUNCTION("""COMPUTED_VALUE"""),"Small Format")</f>
        <v>Small Format</v>
      </c>
      <c r="S657" s="3" t="str">
        <f>IFERROR(__xludf.DUMMYFUNCTION("""COMPUTED_VALUE"""),"BCM")</f>
        <v>BCM</v>
      </c>
      <c r="T657" s="3" t="str">
        <f>IFERROR(__xludf.DUMMYFUNCTION("""COMPUTED_VALUE"""),"#N/A")</f>
        <v>#N/A</v>
      </c>
      <c r="U657" s="3" t="str">
        <f>IFERROR(__xludf.DUMMYFUNCTION("""COMPUTED_VALUE"""),"#N/A")</f>
        <v>#N/A</v>
      </c>
      <c r="V657" s="3" t="str">
        <f>IFERROR(__xludf.DUMMYFUNCTION("""COMPUTED_VALUE"""),"N")</f>
        <v>N</v>
      </c>
      <c r="W657" s="3">
        <f>IFERROR(__xludf.DUMMYFUNCTION("""COMPUTED_VALUE"""),211343.0)</f>
        <v>211343</v>
      </c>
      <c r="X657" s="3" t="str">
        <f>IFERROR(__xludf.DUMMYFUNCTION("""COMPUTED_VALUE"""),"118,120,122 ถนนเศรษฐสัมพันธ์ ตำบลหนองแค อำเภอหนองแค จังหวัดสระบุรี 18140")</f>
        <v>118,120,122 ถนนเศรษฐสัมพันธ์ ตำบลหนองแค อำเภอหนองแค จังหวัดสระบุรี 18140</v>
      </c>
      <c r="Y657" s="3" t="str">
        <f>IFERROR(__xludf.DUMMYFUNCTION("""COMPUTED_VALUE"""),"ถนนเศรษฐสัมพันธ์")</f>
        <v>ถนนเศรษฐสัมพันธ์</v>
      </c>
      <c r="Z657" s="3" t="str">
        <f>IFERROR(__xludf.DUMMYFUNCTION("""COMPUTED_VALUE"""),"หนองแค")</f>
        <v>หนองแค</v>
      </c>
      <c r="AA657" s="3" t="str">
        <f>IFERROR(__xludf.DUMMYFUNCTION("""COMPUTED_VALUE"""),"หนองแค")</f>
        <v>หนองแค</v>
      </c>
      <c r="AB657" s="3" t="str">
        <f>IFERROR(__xludf.DUMMYFUNCTION("""COMPUTED_VALUE"""),"สระบุรี")</f>
        <v>สระบุรี</v>
      </c>
      <c r="AC657" s="3">
        <f>IFERROR(__xludf.DUMMYFUNCTION("""COMPUTED_VALUE"""),18140.0)</f>
        <v>18140</v>
      </c>
      <c r="AD657" s="3">
        <f>IFERROR(__xludf.DUMMYFUNCTION("""COMPUTED_VALUE"""),14.3421)</f>
        <v>14.3421</v>
      </c>
      <c r="AE657" s="3">
        <f>IFERROR(__xludf.DUMMYFUNCTION("""COMPUTED_VALUE"""),100.867)</f>
        <v>100.867</v>
      </c>
      <c r="AF657" s="3" t="str">
        <f>IFERROR(__xludf.DUMMYFUNCTION("""COMPUTED_VALUE"""),"MBC หนองแค สระบุรี-21425")</f>
        <v>MBC หนองแค สระบุรี-21425</v>
      </c>
      <c r="AG657" s="3" t="str">
        <f>IFERROR(__xludf.DUMMYFUNCTION("""COMPUTED_VALUE"""),"กลาง")</f>
        <v>กลาง</v>
      </c>
      <c r="AH657" s="3" t="str">
        <f>IFERROR(__xludf.DUMMYFUNCTION("""COMPUTED_VALUE"""),"#N/A")</f>
        <v>#N/A</v>
      </c>
      <c r="AI657" s="3" t="str">
        <f>IFERROR(__xludf.DUMMYFUNCTION("""COMPUTED_VALUE"""),"Out of warranty")</f>
        <v>Out of warranty</v>
      </c>
      <c r="AJ657" s="3">
        <f>IFERROR(__xludf.DUMMYFUNCTION("""COMPUTED_VALUE"""),111.0)</f>
        <v>111</v>
      </c>
      <c r="AK657" s="3" t="str">
        <f>IFERROR(__xludf.DUMMYFUNCTION("""COMPUTED_VALUE"""),"MMS09")</f>
        <v>MMS09</v>
      </c>
      <c r="AL657" s="3"/>
    </row>
    <row r="658" ht="15.75" customHeight="1">
      <c r="A658" s="1" t="str">
        <f>IFERROR(__xludf.DUMMYFUNCTION("""COMPUTED_VALUE"""),"21426")</f>
        <v>21426</v>
      </c>
      <c r="B658" s="2">
        <f>IFERROR(__xludf.DUMMYFUNCTION("""COMPUTED_VALUE"""),21426.0)</f>
        <v>21426</v>
      </c>
      <c r="C658" s="3" t="str">
        <f>IFERROR(__xludf.DUMMYFUNCTION("""COMPUTED_VALUE"""),"MBC เกาะโพธิ์ ชลบุรี")</f>
        <v>MBC เกาะโพธิ์ ชลบุรี</v>
      </c>
      <c r="D658" s="3" t="str">
        <f>IFERROR(__xludf.DUMMYFUNCTION("""COMPUTED_VALUE"""),"BCM KOH PHO CHONBURI")</f>
        <v>BCM KOH PHO CHONBURI</v>
      </c>
      <c r="E658" s="1" t="str">
        <f>IFERROR(__xludf.DUMMYFUNCTION("""COMPUTED_VALUE"""),"บิ๊กซี MINI")</f>
        <v>บิ๊กซี MINI</v>
      </c>
      <c r="F658" s="1" t="str">
        <f>IFERROR(__xludf.DUMMYFUNCTION("""COMPUTED_VALUE"""),"221716")</f>
        <v>221716</v>
      </c>
      <c r="G658" s="1" t="str">
        <f>IFERROR(__xludf.DUMMYFUNCTION("""COMPUTED_VALUE"""),"น.ส.เบญจพร โพธิสาร")</f>
        <v>น.ส.เบญจพร โพธิสาร</v>
      </c>
      <c r="H658" s="1" t="str">
        <f>IFERROR(__xludf.DUMMYFUNCTION("""COMPUTED_VALUE"""),"2452265")</f>
        <v>2452265</v>
      </c>
      <c r="I658" s="1" t="str">
        <f>IFERROR(__xludf.DUMMYFUNCTION("""COMPUTED_VALUE"""),"นายพิทยา จันทร์ประเทศ")</f>
        <v>นายพิทยา จันทร์ประเทศ</v>
      </c>
      <c r="J658" s="3">
        <f>IFERROR(__xludf.DUMMYFUNCTION("""COMPUTED_VALUE"""),296942.0)</f>
        <v>296942</v>
      </c>
      <c r="K658" s="3" t="str">
        <f>IFERROR(__xludf.DUMMYFUNCTION("""COMPUTED_VALUE"""),"นายปิยะ รักษากิจ")</f>
        <v>นายปิยะ รักษากิจ</v>
      </c>
      <c r="L658" s="1" t="str">
        <f>IFERROR(__xludf.DUMMYFUNCTION("""COMPUTED_VALUE"""),"07 K.Piya R.")</f>
        <v>07 K.Piya R.</v>
      </c>
      <c r="M658" s="1" t="str">
        <f>IFERROR(__xludf.DUMMYFUNCTION("""COMPUTED_VALUE"""),"097-919-5476")</f>
        <v>097-919-5476</v>
      </c>
      <c r="N658" s="3">
        <f>IFERROR(__xludf.DUMMYFUNCTION("""COMPUTED_VALUE"""),21332.0)</f>
        <v>21332</v>
      </c>
      <c r="O658" s="3" t="str">
        <f>IFERROR(__xludf.DUMMYFUNCTION("""COMPUTED_VALUE"""),"MBC BCP อ่อนนุช 17/1")</f>
        <v>MBC BCP อ่อนนุช 17/1</v>
      </c>
      <c r="P658" s="4">
        <f>IFERROR(__xludf.DUMMYFUNCTION("""COMPUTED_VALUE"""),42664.0)</f>
        <v>42664</v>
      </c>
      <c r="Q658" s="3" t="str">
        <f>IFERROR(__xludf.DUMMYFUNCTION("""COMPUTED_VALUE"""),"A")</f>
        <v>A</v>
      </c>
      <c r="R658" s="3" t="str">
        <f>IFERROR(__xludf.DUMMYFUNCTION("""COMPUTED_VALUE"""),"Small Format")</f>
        <v>Small Format</v>
      </c>
      <c r="S658" s="3" t="str">
        <f>IFERROR(__xludf.DUMMYFUNCTION("""COMPUTED_VALUE"""),"BCM")</f>
        <v>BCM</v>
      </c>
      <c r="T658" s="3" t="str">
        <f>IFERROR(__xludf.DUMMYFUNCTION("""COMPUTED_VALUE"""),"#N/A")</f>
        <v>#N/A</v>
      </c>
      <c r="U658" s="3" t="str">
        <f>IFERROR(__xludf.DUMMYFUNCTION("""COMPUTED_VALUE"""),"#N/A")</f>
        <v>#N/A</v>
      </c>
      <c r="V658" s="3" t="str">
        <f>IFERROR(__xludf.DUMMYFUNCTION("""COMPUTED_VALUE"""),"N")</f>
        <v>N</v>
      </c>
      <c r="W658" s="3">
        <f>IFERROR(__xludf.DUMMYFUNCTION("""COMPUTED_VALUE"""),211287.0)</f>
        <v>211287</v>
      </c>
      <c r="X658" s="3" t="str">
        <f>IFERROR(__xludf.DUMMYFUNCTION("""COMPUTED_VALUE"""),"129 หมู่ 4 ถนนเกาะโพธิ์-สามแยก ตำบลท่าบุญมี อำเภอเกาะจันทร์ จังหวัดชลบุรี 20240")</f>
        <v>129 หมู่ 4 ถนนเกาะโพธิ์-สามแยก ตำบลท่าบุญมี อำเภอเกาะจันทร์ จังหวัดชลบุรี 20240</v>
      </c>
      <c r="Y658" s="3"/>
      <c r="Z658" s="3" t="str">
        <f>IFERROR(__xludf.DUMMYFUNCTION("""COMPUTED_VALUE"""),"ท่าบุญมี")</f>
        <v>ท่าบุญมี</v>
      </c>
      <c r="AA658" s="3" t="str">
        <f>IFERROR(__xludf.DUMMYFUNCTION("""COMPUTED_VALUE"""),"เกาะจันทร์")</f>
        <v>เกาะจันทร์</v>
      </c>
      <c r="AB658" s="3" t="str">
        <f>IFERROR(__xludf.DUMMYFUNCTION("""COMPUTED_VALUE"""),"ชลบุรี")</f>
        <v>ชลบุรี</v>
      </c>
      <c r="AC658" s="3">
        <f>IFERROR(__xludf.DUMMYFUNCTION("""COMPUTED_VALUE"""),20240.0)</f>
        <v>20240</v>
      </c>
      <c r="AD658" s="3">
        <f>IFERROR(__xludf.DUMMYFUNCTION("""COMPUTED_VALUE"""),13.387479)</f>
        <v>13.387479</v>
      </c>
      <c r="AE658" s="3">
        <f>IFERROR(__xludf.DUMMYFUNCTION("""COMPUTED_VALUE"""),101.284599)</f>
        <v>101.284599</v>
      </c>
      <c r="AF658" s="3" t="str">
        <f>IFERROR(__xludf.DUMMYFUNCTION("""COMPUTED_VALUE"""),"MBC เกาะโพธิ์ ชลบุรี-21426")</f>
        <v>MBC เกาะโพธิ์ ชลบุรี-21426</v>
      </c>
      <c r="AG658" s="3" t="str">
        <f>IFERROR(__xludf.DUMMYFUNCTION("""COMPUTED_VALUE"""),"ตะวันออก")</f>
        <v>ตะวันออก</v>
      </c>
      <c r="AH658" s="3" t="str">
        <f>IFERROR(__xludf.DUMMYFUNCTION("""COMPUTED_VALUE"""),"#N/A")</f>
        <v>#N/A</v>
      </c>
      <c r="AI658" s="3" t="str">
        <f>IFERROR(__xludf.DUMMYFUNCTION("""COMPUTED_VALUE"""),"Out of warranty")</f>
        <v>Out of warranty</v>
      </c>
      <c r="AJ658" s="3">
        <f>IFERROR(__xludf.DUMMYFUNCTION("""COMPUTED_VALUE"""),111.0)</f>
        <v>111</v>
      </c>
      <c r="AK658" s="3" t="str">
        <f>IFERROR(__xludf.DUMMYFUNCTION("""COMPUTED_VALUE"""),"MMS07")</f>
        <v>MMS07</v>
      </c>
      <c r="AL658" s="3"/>
    </row>
    <row r="659" ht="15.75" customHeight="1">
      <c r="A659" s="1" t="str">
        <f>IFERROR(__xludf.DUMMYFUNCTION("""COMPUTED_VALUE"""),"21427")</f>
        <v>21427</v>
      </c>
      <c r="B659" s="2">
        <f>IFERROR(__xludf.DUMMYFUNCTION("""COMPUTED_VALUE"""),21427.0)</f>
        <v>21427</v>
      </c>
      <c r="C659" s="3" t="str">
        <f>IFERROR(__xludf.DUMMYFUNCTION("""COMPUTED_VALUE"""),"MBC เฉลิมไทย ชลบุรี")</f>
        <v>MBC เฉลิมไทย ชลบุรี</v>
      </c>
      <c r="D659" s="3" t="str">
        <f>IFERROR(__xludf.DUMMYFUNCTION("""COMPUTED_VALUE"""),"MBC CHALOEMTHAI CHONBURI")</f>
        <v>MBC CHALOEMTHAI CHONBURI</v>
      </c>
      <c r="E659" s="1" t="str">
        <f>IFERROR(__xludf.DUMMYFUNCTION("""COMPUTED_VALUE"""),"บิ๊กซี MINI")</f>
        <v>บิ๊กซี MINI</v>
      </c>
      <c r="F659" s="1" t="str">
        <f>IFERROR(__xludf.DUMMYFUNCTION("""COMPUTED_VALUE"""),"250760")</f>
        <v>250760</v>
      </c>
      <c r="G659" s="1" t="str">
        <f>IFERROR(__xludf.DUMMYFUNCTION("""COMPUTED_VALUE"""),"นายประทวน สาราบรรณ์")</f>
        <v>นายประทวน สาราบรรณ์</v>
      </c>
      <c r="H659" s="1" t="str">
        <f>IFERROR(__xludf.DUMMYFUNCTION("""COMPUTED_VALUE"""),"034605")</f>
        <v>034605</v>
      </c>
      <c r="I659" s="1" t="str">
        <f>IFERROR(__xludf.DUMMYFUNCTION("""COMPUTED_VALUE"""),"นายธรรมรัตน์ สุขเจริญ")</f>
        <v>นายธรรมรัตน์ สุขเจริญ</v>
      </c>
      <c r="J659" s="3">
        <f>IFERROR(__xludf.DUMMYFUNCTION("""COMPUTED_VALUE"""),295541.0)</f>
        <v>295541</v>
      </c>
      <c r="K659" s="3" t="str">
        <f>IFERROR(__xludf.DUMMYFUNCTION("""COMPUTED_VALUE"""),"นายรพิพล ศรีมาตย์")</f>
        <v>นายรพิพล ศรีมาตย์</v>
      </c>
      <c r="L659" s="1" t="str">
        <f>IFERROR(__xludf.DUMMYFUNCTION("""COMPUTED_VALUE"""),"นายรพิพล ศรีมาตย์")</f>
        <v>นายรพิพล ศรีมาตย์</v>
      </c>
      <c r="M659" s="1" t="str">
        <f>IFERROR(__xludf.DUMMYFUNCTION("""COMPUTED_VALUE"""),"0613966115")</f>
        <v>0613966115</v>
      </c>
      <c r="N659" s="3">
        <f>IFERROR(__xludf.DUMMYFUNCTION("""COMPUTED_VALUE"""),21175.0)</f>
        <v>21175</v>
      </c>
      <c r="O659" s="3" t="str">
        <f>IFERROR(__xludf.DUMMYFUNCTION("""COMPUTED_VALUE"""),"MBC BCP กิ่งแก้ว")</f>
        <v>MBC BCP กิ่งแก้ว</v>
      </c>
      <c r="P659" s="4">
        <f>IFERROR(__xludf.DUMMYFUNCTION("""COMPUTED_VALUE"""),42667.0)</f>
        <v>42667</v>
      </c>
      <c r="Q659" s="3" t="str">
        <f>IFERROR(__xludf.DUMMYFUNCTION("""COMPUTED_VALUE"""),"I")</f>
        <v>I</v>
      </c>
      <c r="R659" s="3" t="str">
        <f>IFERROR(__xludf.DUMMYFUNCTION("""COMPUTED_VALUE"""),"Small Format")</f>
        <v>Small Format</v>
      </c>
      <c r="S659" s="3" t="str">
        <f>IFERROR(__xludf.DUMMYFUNCTION("""COMPUTED_VALUE"""),"BCM")</f>
        <v>BCM</v>
      </c>
      <c r="T659" s="3" t="str">
        <f>IFERROR(__xludf.DUMMYFUNCTION("""COMPUTED_VALUE"""),"#N/A")</f>
        <v>#N/A</v>
      </c>
      <c r="U659" s="3" t="str">
        <f>IFERROR(__xludf.DUMMYFUNCTION("""COMPUTED_VALUE"""),"#N/A")</f>
        <v>#N/A</v>
      </c>
      <c r="V659" s="3" t="str">
        <f>IFERROR(__xludf.DUMMYFUNCTION("""COMPUTED_VALUE"""),"N")</f>
        <v>N</v>
      </c>
      <c r="W659" s="3">
        <f>IFERROR(__xludf.DUMMYFUNCTION("""COMPUTED_VALUE"""),0.0)</f>
        <v>0</v>
      </c>
      <c r="X659" s="3" t="str">
        <f>IFERROR(__xludf.DUMMYFUNCTION("""COMPUTED_VALUE"""),"697/155ข ถนนสุขุมวิท ตำบลมะขามหย่ง อำเภอเมืองชลบุรี จังหวัดชลบุรี 20000")</f>
        <v>697/155ข ถนนสุขุมวิท ตำบลมะขามหย่ง อำเภอเมืองชลบุรี จังหวัดชลบุรี 20000</v>
      </c>
      <c r="Y659" s="3" t="str">
        <f>IFERROR(__xludf.DUMMYFUNCTION("""COMPUTED_VALUE"""),"ถนนสุขุมวิท")</f>
        <v>ถนนสุขุมวิท</v>
      </c>
      <c r="Z659" s="3" t="str">
        <f>IFERROR(__xludf.DUMMYFUNCTION("""COMPUTED_VALUE"""),"มะขามหย่ง")</f>
        <v>มะขามหย่ง</v>
      </c>
      <c r="AA659" s="3" t="str">
        <f>IFERROR(__xludf.DUMMYFUNCTION("""COMPUTED_VALUE"""),"เมือง")</f>
        <v>เมือง</v>
      </c>
      <c r="AB659" s="3" t="str">
        <f>IFERROR(__xludf.DUMMYFUNCTION("""COMPUTED_VALUE"""),"ชลบุรี")</f>
        <v>ชลบุรี</v>
      </c>
      <c r="AC659" s="3">
        <f>IFERROR(__xludf.DUMMYFUNCTION("""COMPUTED_VALUE"""),20000.0)</f>
        <v>20000</v>
      </c>
      <c r="AD659" s="3" t="str">
        <f>IFERROR(__xludf.DUMMYFUNCTION("""COMPUTED_VALUE"""),"#N/A")</f>
        <v>#N/A</v>
      </c>
      <c r="AE659" s="3" t="str">
        <f>IFERROR(__xludf.DUMMYFUNCTION("""COMPUTED_VALUE"""),"#N/A")</f>
        <v>#N/A</v>
      </c>
      <c r="AF659" s="3" t="str">
        <f>IFERROR(__xludf.DUMMYFUNCTION("""COMPUTED_VALUE"""),"MBC เฉลิมไทย ชลบุรี-21427")</f>
        <v>MBC เฉลิมไทย ชลบุรี-21427</v>
      </c>
      <c r="AG659" s="3" t="str">
        <f>IFERROR(__xludf.DUMMYFUNCTION("""COMPUTED_VALUE"""),"ตะวันออก")</f>
        <v>ตะวันออก</v>
      </c>
      <c r="AH659" s="3" t="str">
        <f>IFERROR(__xludf.DUMMYFUNCTION("""COMPUTED_VALUE"""),"#N/A")</f>
        <v>#N/A</v>
      </c>
      <c r="AI659" s="3" t="str">
        <f>IFERROR(__xludf.DUMMYFUNCTION("""COMPUTED_VALUE"""),"Out of warranty")</f>
        <v>Out of warranty</v>
      </c>
      <c r="AJ659" s="3">
        <f>IFERROR(__xludf.DUMMYFUNCTION("""COMPUTED_VALUE"""),111.0)</f>
        <v>111</v>
      </c>
      <c r="AK659" s="3"/>
      <c r="AL659" s="3"/>
    </row>
    <row r="660" ht="15.75" customHeight="1">
      <c r="A660" s="1" t="str">
        <f>IFERROR(__xludf.DUMMYFUNCTION("""COMPUTED_VALUE"""),"21428")</f>
        <v>21428</v>
      </c>
      <c r="B660" s="2">
        <f>IFERROR(__xludf.DUMMYFUNCTION("""COMPUTED_VALUE"""),21428.0)</f>
        <v>21428</v>
      </c>
      <c r="C660" s="3" t="str">
        <f>IFERROR(__xludf.DUMMYFUNCTION("""COMPUTED_VALUE"""),"MBC CTX สันทราย")</f>
        <v>MBC CTX สันทราย</v>
      </c>
      <c r="D660" s="3" t="str">
        <f>IFERROR(__xludf.DUMMYFUNCTION("""COMPUTED_VALUE"""),"BCM CTX SANSAI")</f>
        <v>BCM CTX SANSAI</v>
      </c>
      <c r="E660" s="1" t="str">
        <f>IFERROR(__xludf.DUMMYFUNCTION("""COMPUTED_VALUE"""),"บิ๊กซี MINI")</f>
        <v>บิ๊กซี MINI</v>
      </c>
      <c r="F660" s="1" t="str">
        <f>IFERROR(__xludf.DUMMYFUNCTION("""COMPUTED_VALUE"""),"296229")</f>
        <v>296229</v>
      </c>
      <c r="G660" s="1" t="str">
        <f>IFERROR(__xludf.DUMMYFUNCTION("""COMPUTED_VALUE"""),"นายทนงศักดิ์ บุญมา")</f>
        <v>นายทนงศักดิ์ บุญมา</v>
      </c>
      <c r="H660" s="1" t="str">
        <f>IFERROR(__xludf.DUMMYFUNCTION("""COMPUTED_VALUE"""),"392003")</f>
        <v>392003</v>
      </c>
      <c r="I660" s="1" t="str">
        <f>IFERROR(__xludf.DUMMYFUNCTION("""COMPUTED_VALUE"""),"นายวรภพ เศษสูงเนิน")</f>
        <v>นายวรภพ เศษสูงเนิน</v>
      </c>
      <c r="J660" s="3">
        <f>IFERROR(__xludf.DUMMYFUNCTION("""COMPUTED_VALUE"""),46214.0)</f>
        <v>46214</v>
      </c>
      <c r="K660" s="3" t="str">
        <f>IFERROR(__xludf.DUMMYFUNCTION("""COMPUTED_VALUE"""),"นายศักดิ์ชัย เด็ดดอกฟ้า")</f>
        <v>นายศักดิ์ชัย เด็ดดอกฟ้า</v>
      </c>
      <c r="L660" s="1" t="str">
        <f>IFERROR(__xludf.DUMMYFUNCTION("""COMPUTED_VALUE"""),"02 K.Sakchai D")</f>
        <v>02 K.Sakchai D</v>
      </c>
      <c r="M660" s="1" t="str">
        <f>IFERROR(__xludf.DUMMYFUNCTION("""COMPUTED_VALUE"""),"065-510-7376")</f>
        <v>065-510-7376</v>
      </c>
      <c r="N660" s="3">
        <f>IFERROR(__xludf.DUMMYFUNCTION("""COMPUTED_VALUE"""),21441.0)</f>
        <v>21441</v>
      </c>
      <c r="O660" s="3" t="str">
        <f>IFERROR(__xludf.DUMMYFUNCTION("""COMPUTED_VALUE"""),"MBC บ้านกร่าง พิษณุโลก")</f>
        <v>MBC บ้านกร่าง พิษณุโลก</v>
      </c>
      <c r="P660" s="4">
        <f>IFERROR(__xludf.DUMMYFUNCTION("""COMPUTED_VALUE"""),42698.0)</f>
        <v>42698</v>
      </c>
      <c r="Q660" s="3" t="str">
        <f>IFERROR(__xludf.DUMMYFUNCTION("""COMPUTED_VALUE"""),"I")</f>
        <v>I</v>
      </c>
      <c r="R660" s="3" t="str">
        <f>IFERROR(__xludf.DUMMYFUNCTION("""COMPUTED_VALUE"""),"Small Format")</f>
        <v>Small Format</v>
      </c>
      <c r="S660" s="3" t="str">
        <f>IFERROR(__xludf.DUMMYFUNCTION("""COMPUTED_VALUE"""),"BCM")</f>
        <v>BCM</v>
      </c>
      <c r="T660" s="3" t="str">
        <f>IFERROR(__xludf.DUMMYFUNCTION("""COMPUTED_VALUE"""),"#N/A")</f>
        <v>#N/A</v>
      </c>
      <c r="U660" s="3" t="str">
        <f>IFERROR(__xludf.DUMMYFUNCTION("""COMPUTED_VALUE"""),"#N/A")</f>
        <v>#N/A</v>
      </c>
      <c r="V660" s="3" t="str">
        <f>IFERROR(__xludf.DUMMYFUNCTION("""COMPUTED_VALUE"""),"N")</f>
        <v>N</v>
      </c>
      <c r="W660" s="3">
        <f>IFERROR(__xludf.DUMMYFUNCTION("""COMPUTED_VALUE"""),211349.0)</f>
        <v>211349</v>
      </c>
      <c r="X660" s="3" t="str">
        <f>IFERROR(__xludf.DUMMYFUNCTION("""COMPUTED_VALUE"""),"261 หมู่ 2 ตำบลสันพระเนตร อำเภอสันทราย จังหวัดเชียงใหม่ 50210")</f>
        <v>261 หมู่ 2 ตำบลสันพระเนตร อำเภอสันทราย จังหวัดเชียงใหม่ 50210</v>
      </c>
      <c r="Y660" s="3"/>
      <c r="Z660" s="3" t="str">
        <f>IFERROR(__xludf.DUMMYFUNCTION("""COMPUTED_VALUE"""),"สันพระเนตร")</f>
        <v>สันพระเนตร</v>
      </c>
      <c r="AA660" s="3" t="str">
        <f>IFERROR(__xludf.DUMMYFUNCTION("""COMPUTED_VALUE"""),"สันทราย")</f>
        <v>สันทราย</v>
      </c>
      <c r="AB660" s="3" t="str">
        <f>IFERROR(__xludf.DUMMYFUNCTION("""COMPUTED_VALUE"""),"เชียงใหม่")</f>
        <v>เชียงใหม่</v>
      </c>
      <c r="AC660" s="3">
        <f>IFERROR(__xludf.DUMMYFUNCTION("""COMPUTED_VALUE"""),50210.0)</f>
        <v>50210</v>
      </c>
      <c r="AD660" s="3">
        <f>IFERROR(__xludf.DUMMYFUNCTION("""COMPUTED_VALUE"""),18.813504)</f>
        <v>18.813504</v>
      </c>
      <c r="AE660" s="3">
        <f>IFERROR(__xludf.DUMMYFUNCTION("""COMPUTED_VALUE"""),99.032681)</f>
        <v>99.032681</v>
      </c>
      <c r="AF660" s="3" t="str">
        <f>IFERROR(__xludf.DUMMYFUNCTION("""COMPUTED_VALUE"""),"MBC CTX สันทราย-21428")</f>
        <v>MBC CTX สันทราย-21428</v>
      </c>
      <c r="AG660" s="3" t="str">
        <f>IFERROR(__xludf.DUMMYFUNCTION("""COMPUTED_VALUE"""),"เหนือ")</f>
        <v>เหนือ</v>
      </c>
      <c r="AH660" s="3" t="str">
        <f>IFERROR(__xludf.DUMMYFUNCTION("""COMPUTED_VALUE"""),"#N/A")</f>
        <v>#N/A</v>
      </c>
      <c r="AI660" s="3" t="str">
        <f>IFERROR(__xludf.DUMMYFUNCTION("""COMPUTED_VALUE"""),"Out of warranty")</f>
        <v>Out of warranty</v>
      </c>
      <c r="AJ660" s="3">
        <f>IFERROR(__xludf.DUMMYFUNCTION("""COMPUTED_VALUE"""),110.0)</f>
        <v>110</v>
      </c>
      <c r="AK660" s="3"/>
      <c r="AL660" s="3"/>
    </row>
    <row r="661" ht="15.75" customHeight="1">
      <c r="A661" s="1" t="str">
        <f>IFERROR(__xludf.DUMMYFUNCTION("""COMPUTED_VALUE"""),"21429")</f>
        <v>21429</v>
      </c>
      <c r="B661" s="2">
        <f>IFERROR(__xludf.DUMMYFUNCTION("""COMPUTED_VALUE"""),21429.0)</f>
        <v>21429</v>
      </c>
      <c r="C661" s="3" t="str">
        <f>IFERROR(__xludf.DUMMYFUNCTION("""COMPUTED_VALUE"""),"MBC TCC ตะวันนา 2")</f>
        <v>MBC TCC ตะวันนา 2</v>
      </c>
      <c r="D661" s="3" t="str">
        <f>IFERROR(__xludf.DUMMYFUNCTION("""COMPUTED_VALUE"""),"BCM TCC TAWANNA 2")</f>
        <v>BCM TCC TAWANNA 2</v>
      </c>
      <c r="E661" s="1" t="str">
        <f>IFERROR(__xludf.DUMMYFUNCTION("""COMPUTED_VALUE"""),"บิ๊กซี MINI")</f>
        <v>บิ๊กซี MINI</v>
      </c>
      <c r="F661" s="1" t="str">
        <f>IFERROR(__xludf.DUMMYFUNCTION("""COMPUTED_VALUE"""),"291008")</f>
        <v>291008</v>
      </c>
      <c r="G661" s="1" t="str">
        <f>IFERROR(__xludf.DUMMYFUNCTION("""COMPUTED_VALUE"""),"น.ส.รัชดาพร อีศรัตน์")</f>
        <v>น.ส.รัชดาพร อีศรัตน์</v>
      </c>
      <c r="H661" s="1" t="str">
        <f>IFERROR(__xludf.DUMMYFUNCTION("""COMPUTED_VALUE"""),"228242")</f>
        <v>228242</v>
      </c>
      <c r="I661" s="1" t="str">
        <f>IFERROR(__xludf.DUMMYFUNCTION("""COMPUTED_VALUE"""),"นายสมชาย เยมรัมย์")</f>
        <v>นายสมชาย เยมรัมย์</v>
      </c>
      <c r="J661" s="3">
        <f>IFERROR(__xludf.DUMMYFUNCTION("""COMPUTED_VALUE"""),3510104.0)</f>
        <v>3510104</v>
      </c>
      <c r="K661" s="3" t="str">
        <f>IFERROR(__xludf.DUMMYFUNCTION("""COMPUTED_VALUE"""),"นายวิโรจน์ อับดุลสมัด")</f>
        <v>นายวิโรจน์ อับดุลสมัด</v>
      </c>
      <c r="L661" s="1" t="str">
        <f>IFERROR(__xludf.DUMMYFUNCTION("""COMPUTED_VALUE"""),"09 K.Wirode A")</f>
        <v>09 K.Wirode A</v>
      </c>
      <c r="M661" s="1" t="str">
        <f>IFERROR(__xludf.DUMMYFUNCTION("""COMPUTED_VALUE"""),"080-235-4465")</f>
        <v>080-235-4465</v>
      </c>
      <c r="N661" s="3">
        <f>IFERROR(__xludf.DUMMYFUNCTION("""COMPUTED_VALUE"""),21324.0)</f>
        <v>21324</v>
      </c>
      <c r="O661" s="3" t="str">
        <f>IFERROR(__xludf.DUMMYFUNCTION("""COMPUTED_VALUE"""),"MBC BCP สุวินทวงศ์")</f>
        <v>MBC BCP สุวินทวงศ์</v>
      </c>
      <c r="P661" s="4">
        <f>IFERROR(__xludf.DUMMYFUNCTION("""COMPUTED_VALUE"""),42674.0)</f>
        <v>42674</v>
      </c>
      <c r="Q661" s="3" t="str">
        <f>IFERROR(__xludf.DUMMYFUNCTION("""COMPUTED_VALUE"""),"A")</f>
        <v>A</v>
      </c>
      <c r="R661" s="3" t="str">
        <f>IFERROR(__xludf.DUMMYFUNCTION("""COMPUTED_VALUE"""),"Small Format")</f>
        <v>Small Format</v>
      </c>
      <c r="S661" s="3" t="str">
        <f>IFERROR(__xludf.DUMMYFUNCTION("""COMPUTED_VALUE"""),"BCM")</f>
        <v>BCM</v>
      </c>
      <c r="T661" s="3" t="str">
        <f>IFERROR(__xludf.DUMMYFUNCTION("""COMPUTED_VALUE"""),"#N/A")</f>
        <v>#N/A</v>
      </c>
      <c r="U661" s="3" t="str">
        <f>IFERROR(__xludf.DUMMYFUNCTION("""COMPUTED_VALUE"""),"#N/A")</f>
        <v>#N/A</v>
      </c>
      <c r="V661" s="3" t="str">
        <f>IFERROR(__xludf.DUMMYFUNCTION("""COMPUTED_VALUE"""),"N")</f>
        <v>N</v>
      </c>
      <c r="W661" s="3">
        <f>IFERROR(__xludf.DUMMYFUNCTION("""COMPUTED_VALUE"""),211346.0)</f>
        <v>211346</v>
      </c>
      <c r="X661" s="3" t="str">
        <f>IFERROR(__xludf.DUMMYFUNCTION("""COMPUTED_VALUE"""),"อาคารตะวันนา มาร์เก็ต เลขที่ 3508 ถนนลาดพร้าว แขวงคลองจั่น เขตบางกะปิ กรุงเทพมหานคร 10240")</f>
        <v>อาคารตะวันนา มาร์เก็ต เลขที่ 3508 ถนนลาดพร้าว แขวงคลองจั่น เขตบางกะปิ กรุงเทพมหานคร 10240</v>
      </c>
      <c r="Y661" s="3" t="str">
        <f>IFERROR(__xludf.DUMMYFUNCTION("""COMPUTED_VALUE"""),"ถนนลาดพร้าว")</f>
        <v>ถนนลาดพร้าว</v>
      </c>
      <c r="Z661" s="3" t="str">
        <f>IFERROR(__xludf.DUMMYFUNCTION("""COMPUTED_VALUE"""),"เลขที่")</f>
        <v>เลขที่</v>
      </c>
      <c r="AA661" s="3" t="str">
        <f>IFERROR(__xludf.DUMMYFUNCTION("""COMPUTED_VALUE"""),"บางกะปิ")</f>
        <v>บางกะปิ</v>
      </c>
      <c r="AB661" s="3" t="str">
        <f>IFERROR(__xludf.DUMMYFUNCTION("""COMPUTED_VALUE"""),"กรุงเทพมหานคร")</f>
        <v>กรุงเทพมหานคร</v>
      </c>
      <c r="AC661" s="3">
        <f>IFERROR(__xludf.DUMMYFUNCTION("""COMPUTED_VALUE"""),10240.0)</f>
        <v>10240</v>
      </c>
      <c r="AD661" s="3">
        <f>IFERROR(__xludf.DUMMYFUNCTION("""COMPUTED_VALUE"""),13.769058)</f>
        <v>13.769058</v>
      </c>
      <c r="AE661" s="3">
        <f>IFERROR(__xludf.DUMMYFUNCTION("""COMPUTED_VALUE"""),100.639293)</f>
        <v>100.639293</v>
      </c>
      <c r="AF661" s="3" t="str">
        <f>IFERROR(__xludf.DUMMYFUNCTION("""COMPUTED_VALUE"""),"MBC TCC ตะวันนา 2-21429")</f>
        <v>MBC TCC ตะวันนา 2-21429</v>
      </c>
      <c r="AG661" s="3" t="str">
        <f>IFERROR(__xludf.DUMMYFUNCTION("""COMPUTED_VALUE"""),"กลาง")</f>
        <v>กลาง</v>
      </c>
      <c r="AH661" s="3" t="str">
        <f>IFERROR(__xludf.DUMMYFUNCTION("""COMPUTED_VALUE"""),"#N/A")</f>
        <v>#N/A</v>
      </c>
      <c r="AI661" s="3" t="str">
        <f>IFERROR(__xludf.DUMMYFUNCTION("""COMPUTED_VALUE"""),"Out of warranty")</f>
        <v>Out of warranty</v>
      </c>
      <c r="AJ661" s="3">
        <f>IFERROR(__xludf.DUMMYFUNCTION("""COMPUTED_VALUE"""),111.0)</f>
        <v>111</v>
      </c>
      <c r="AK661" s="3" t="str">
        <f>IFERROR(__xludf.DUMMYFUNCTION("""COMPUTED_VALUE"""),"MMS03")</f>
        <v>MMS03</v>
      </c>
      <c r="AL661" s="3"/>
    </row>
    <row r="662" ht="15.75" customHeight="1">
      <c r="A662" s="1" t="str">
        <f>IFERROR(__xludf.DUMMYFUNCTION("""COMPUTED_VALUE"""),"21430")</f>
        <v>21430</v>
      </c>
      <c r="B662" s="2">
        <f>IFERROR(__xludf.DUMMYFUNCTION("""COMPUTED_VALUE"""),21430.0)</f>
        <v>21430</v>
      </c>
      <c r="C662" s="3" t="str">
        <f>IFERROR(__xludf.DUMMYFUNCTION("""COMPUTED_VALUE"""),"MBC TCC อาคารพลับพลาไชย")</f>
        <v>MBC TCC อาคารพลับพลาไชย</v>
      </c>
      <c r="D662" s="3" t="str">
        <f>IFERROR(__xludf.DUMMYFUNCTION("""COMPUTED_VALUE"""),"BCM TCC PLAB PLA CHAI BUILDING")</f>
        <v>BCM TCC PLAB PLA CHAI BUILDING</v>
      </c>
      <c r="E662" s="1" t="str">
        <f>IFERROR(__xludf.DUMMYFUNCTION("""COMPUTED_VALUE"""),"บิ๊กซี MINI")</f>
        <v>บิ๊กซี MINI</v>
      </c>
      <c r="F662" s="1" t="str">
        <f>IFERROR(__xludf.DUMMYFUNCTION("""COMPUTED_VALUE"""),"291008")</f>
        <v>291008</v>
      </c>
      <c r="G662" s="1" t="str">
        <f>IFERROR(__xludf.DUMMYFUNCTION("""COMPUTED_VALUE"""),"น.ส.รัชดาพร อีศรัตน์")</f>
        <v>น.ส.รัชดาพร อีศรัตน์</v>
      </c>
      <c r="H662" s="1" t="str">
        <f>IFERROR(__xludf.DUMMYFUNCTION("""COMPUTED_VALUE"""),"359002")</f>
        <v>359002</v>
      </c>
      <c r="I662" s="1" t="str">
        <f>IFERROR(__xludf.DUMMYFUNCTION("""COMPUTED_VALUE"""),"น.ส.นิตยา สมจิตร")</f>
        <v>น.ส.นิตยา สมจิตร</v>
      </c>
      <c r="J662" s="3">
        <f>IFERROR(__xludf.DUMMYFUNCTION("""COMPUTED_VALUE"""),3510104.0)</f>
        <v>3510104</v>
      </c>
      <c r="K662" s="3" t="str">
        <f>IFERROR(__xludf.DUMMYFUNCTION("""COMPUTED_VALUE"""),"นายวิโรจน์ อับดุลสมัด")</f>
        <v>นายวิโรจน์ อับดุลสมัด</v>
      </c>
      <c r="L662" s="1" t="str">
        <f>IFERROR(__xludf.DUMMYFUNCTION("""COMPUTED_VALUE"""),"09 K.Wirode A")</f>
        <v>09 K.Wirode A</v>
      </c>
      <c r="M662" s="1" t="str">
        <f>IFERROR(__xludf.DUMMYFUNCTION("""COMPUTED_VALUE"""),"080-235-4465")</f>
        <v>080-235-4465</v>
      </c>
      <c r="N662" s="3">
        <f>IFERROR(__xludf.DUMMYFUNCTION("""COMPUTED_VALUE"""),21324.0)</f>
        <v>21324</v>
      </c>
      <c r="O662" s="3" t="str">
        <f>IFERROR(__xludf.DUMMYFUNCTION("""COMPUTED_VALUE"""),"MBC BCP สุวินทวงศ์")</f>
        <v>MBC BCP สุวินทวงศ์</v>
      </c>
      <c r="P662" s="4">
        <f>IFERROR(__xludf.DUMMYFUNCTION("""COMPUTED_VALUE"""),42704.0)</f>
        <v>42704</v>
      </c>
      <c r="Q662" s="3" t="str">
        <f>IFERROR(__xludf.DUMMYFUNCTION("""COMPUTED_VALUE"""),"A")</f>
        <v>A</v>
      </c>
      <c r="R662" s="3" t="str">
        <f>IFERROR(__xludf.DUMMYFUNCTION("""COMPUTED_VALUE"""),"Small Format")</f>
        <v>Small Format</v>
      </c>
      <c r="S662" s="3" t="str">
        <f>IFERROR(__xludf.DUMMYFUNCTION("""COMPUTED_VALUE"""),"BCM")</f>
        <v>BCM</v>
      </c>
      <c r="T662" s="3" t="str">
        <f>IFERROR(__xludf.DUMMYFUNCTION("""COMPUTED_VALUE"""),"#N/A")</f>
        <v>#N/A</v>
      </c>
      <c r="U662" s="3" t="str">
        <f>IFERROR(__xludf.DUMMYFUNCTION("""COMPUTED_VALUE"""),"#N/A")</f>
        <v>#N/A</v>
      </c>
      <c r="V662" s="3" t="str">
        <f>IFERROR(__xludf.DUMMYFUNCTION("""COMPUTED_VALUE"""),"N")</f>
        <v>N</v>
      </c>
      <c r="W662" s="3">
        <f>IFERROR(__xludf.DUMMYFUNCTION("""COMPUTED_VALUE"""),211348.0)</f>
        <v>211348</v>
      </c>
      <c r="X662" s="3" t="str">
        <f>IFERROR(__xludf.DUMMYFUNCTION("""COMPUTED_VALUE"""),"อาคาร พลับพลาไชย ห้องเลขที่ 314 ชั้น 1 เลขที่ 9/1 ถนนเสือป่า แขวงป้อมปราบ เขตป้อมปราบศัตรูพ่าย กรุงเทพมหานคร 10100")</f>
        <v>อาคาร พลับพลาไชย ห้องเลขที่ 314 ชั้น 1 เลขที่ 9/1 ถนนเสือป่า แขวงป้อมปราบ เขตป้อมปราบศัตรูพ่าย กรุงเทพมหานคร 10100</v>
      </c>
      <c r="Y662" s="3" t="str">
        <f>IFERROR(__xludf.DUMMYFUNCTION("""COMPUTED_VALUE"""),"ถนนเสือป่า")</f>
        <v>ถนนเสือป่า</v>
      </c>
      <c r="Z662" s="3" t="str">
        <f>IFERROR(__xludf.DUMMYFUNCTION("""COMPUTED_VALUE"""),"ห้องเลขที่")</f>
        <v>ห้องเลขที่</v>
      </c>
      <c r="AA662" s="3" t="str">
        <f>IFERROR(__xludf.DUMMYFUNCTION("""COMPUTED_VALUE"""),"ป้อมปราบศัตรูพ่าย")</f>
        <v>ป้อมปราบศัตรูพ่าย</v>
      </c>
      <c r="AB662" s="3" t="str">
        <f>IFERROR(__xludf.DUMMYFUNCTION("""COMPUTED_VALUE"""),"กรุงเทพมหานคร")</f>
        <v>กรุงเทพมหานคร</v>
      </c>
      <c r="AC662" s="3">
        <f>IFERROR(__xludf.DUMMYFUNCTION("""COMPUTED_VALUE"""),10100.0)</f>
        <v>10100</v>
      </c>
      <c r="AD662" s="3">
        <f>IFERROR(__xludf.DUMMYFUNCTION("""COMPUTED_VALUE"""),13.745508)</f>
        <v>13.745508</v>
      </c>
      <c r="AE662" s="3">
        <f>IFERROR(__xludf.DUMMYFUNCTION("""COMPUTED_VALUE"""),100.511066)</f>
        <v>100.511066</v>
      </c>
      <c r="AF662" s="3" t="str">
        <f>IFERROR(__xludf.DUMMYFUNCTION("""COMPUTED_VALUE"""),"MBC TCC อาคารพลับพลาไชย-21430")</f>
        <v>MBC TCC อาคารพลับพลาไชย-21430</v>
      </c>
      <c r="AG662" s="3" t="str">
        <f>IFERROR(__xludf.DUMMYFUNCTION("""COMPUTED_VALUE"""),"กลาง")</f>
        <v>กลาง</v>
      </c>
      <c r="AH662" s="3" t="str">
        <f>IFERROR(__xludf.DUMMYFUNCTION("""COMPUTED_VALUE"""),"#N/A")</f>
        <v>#N/A</v>
      </c>
      <c r="AI662" s="3" t="str">
        <f>IFERROR(__xludf.DUMMYFUNCTION("""COMPUTED_VALUE"""),"Out of warranty")</f>
        <v>Out of warranty</v>
      </c>
      <c r="AJ662" s="3">
        <f>IFERROR(__xludf.DUMMYFUNCTION("""COMPUTED_VALUE"""),110.0)</f>
        <v>110</v>
      </c>
      <c r="AK662" s="3" t="str">
        <f>IFERROR(__xludf.DUMMYFUNCTION("""COMPUTED_VALUE"""),"MMS02")</f>
        <v>MMS02</v>
      </c>
      <c r="AL662" s="3"/>
    </row>
    <row r="663" ht="15.75" customHeight="1">
      <c r="A663" s="1" t="str">
        <f>IFERROR(__xludf.DUMMYFUNCTION("""COMPUTED_VALUE"""),"21431")</f>
        <v>21431</v>
      </c>
      <c r="B663" s="2">
        <f>IFERROR(__xludf.DUMMYFUNCTION("""COMPUTED_VALUE"""),21431.0)</f>
        <v>21431</v>
      </c>
      <c r="C663" s="3" t="str">
        <f>IFERROR(__xludf.DUMMYFUNCTION("""COMPUTED_VALUE"""),"MBC TCC ตะวันนา 1")</f>
        <v>MBC TCC ตะวันนา 1</v>
      </c>
      <c r="D663" s="3" t="str">
        <f>IFERROR(__xludf.DUMMYFUNCTION("""COMPUTED_VALUE"""),"BCM TCC TAWANNA 1")</f>
        <v>BCM TCC TAWANNA 1</v>
      </c>
      <c r="E663" s="1" t="str">
        <f>IFERROR(__xludf.DUMMYFUNCTION("""COMPUTED_VALUE"""),"บิ๊กซี MINI")</f>
        <v>บิ๊กซี MINI</v>
      </c>
      <c r="F663" s="1" t="str">
        <f>IFERROR(__xludf.DUMMYFUNCTION("""COMPUTED_VALUE"""),"291008")</f>
        <v>291008</v>
      </c>
      <c r="G663" s="1" t="str">
        <f>IFERROR(__xludf.DUMMYFUNCTION("""COMPUTED_VALUE"""),"น.ส.รัชดาพร อีศรัตน์")</f>
        <v>น.ส.รัชดาพร อีศรัตน์</v>
      </c>
      <c r="H663" s="1" t="str">
        <f>IFERROR(__xludf.DUMMYFUNCTION("""COMPUTED_VALUE"""),"228242")</f>
        <v>228242</v>
      </c>
      <c r="I663" s="1" t="str">
        <f>IFERROR(__xludf.DUMMYFUNCTION("""COMPUTED_VALUE"""),"นายสมชาย เยมรัมย์")</f>
        <v>นายสมชาย เยมรัมย์</v>
      </c>
      <c r="J663" s="3">
        <f>IFERROR(__xludf.DUMMYFUNCTION("""COMPUTED_VALUE"""),3510104.0)</f>
        <v>3510104</v>
      </c>
      <c r="K663" s="3" t="str">
        <f>IFERROR(__xludf.DUMMYFUNCTION("""COMPUTED_VALUE"""),"นายวิโรจน์ อับดุลสมัด")</f>
        <v>นายวิโรจน์ อับดุลสมัด</v>
      </c>
      <c r="L663" s="1" t="str">
        <f>IFERROR(__xludf.DUMMYFUNCTION("""COMPUTED_VALUE"""),"09 K.Wirode A")</f>
        <v>09 K.Wirode A</v>
      </c>
      <c r="M663" s="1" t="str">
        <f>IFERROR(__xludf.DUMMYFUNCTION("""COMPUTED_VALUE"""),"080-235-4465")</f>
        <v>080-235-4465</v>
      </c>
      <c r="N663" s="3">
        <f>IFERROR(__xludf.DUMMYFUNCTION("""COMPUTED_VALUE"""),21324.0)</f>
        <v>21324</v>
      </c>
      <c r="O663" s="3" t="str">
        <f>IFERROR(__xludf.DUMMYFUNCTION("""COMPUTED_VALUE"""),"MBC BCP สุวินทวงศ์")</f>
        <v>MBC BCP สุวินทวงศ์</v>
      </c>
      <c r="P663" s="4">
        <f>IFERROR(__xludf.DUMMYFUNCTION("""COMPUTED_VALUE"""),42685.0)</f>
        <v>42685</v>
      </c>
      <c r="Q663" s="3" t="str">
        <f>IFERROR(__xludf.DUMMYFUNCTION("""COMPUTED_VALUE"""),"A")</f>
        <v>A</v>
      </c>
      <c r="R663" s="3" t="str">
        <f>IFERROR(__xludf.DUMMYFUNCTION("""COMPUTED_VALUE"""),"Small Format")</f>
        <v>Small Format</v>
      </c>
      <c r="S663" s="3" t="str">
        <f>IFERROR(__xludf.DUMMYFUNCTION("""COMPUTED_VALUE"""),"BCM")</f>
        <v>BCM</v>
      </c>
      <c r="T663" s="3" t="str">
        <f>IFERROR(__xludf.DUMMYFUNCTION("""COMPUTED_VALUE"""),"#N/A")</f>
        <v>#N/A</v>
      </c>
      <c r="U663" s="3" t="str">
        <f>IFERROR(__xludf.DUMMYFUNCTION("""COMPUTED_VALUE"""),"#N/A")</f>
        <v>#N/A</v>
      </c>
      <c r="V663" s="3" t="str">
        <f>IFERROR(__xludf.DUMMYFUNCTION("""COMPUTED_VALUE"""),"N")</f>
        <v>N</v>
      </c>
      <c r="W663" s="3">
        <f>IFERROR(__xludf.DUMMYFUNCTION("""COMPUTED_VALUE"""),211345.0)</f>
        <v>211345</v>
      </c>
      <c r="X663" s="3" t="str">
        <f>IFERROR(__xludf.DUMMYFUNCTION("""COMPUTED_VALUE"""),"อาคารตะวันนา 1 เลขที่ 3500 ถนนลาดพร้าว แขวงคลองจั่น เขตบางกะปิ กรุงเทพมหานคร 10240")</f>
        <v>อาคารตะวันนา 1 เลขที่ 3500 ถนนลาดพร้าว แขวงคลองจั่น เขตบางกะปิ กรุงเทพมหานคร 10240</v>
      </c>
      <c r="Y663" s="3" t="str">
        <f>IFERROR(__xludf.DUMMYFUNCTION("""COMPUTED_VALUE"""),"ถนนลาดพร้าว")</f>
        <v>ถนนลาดพร้าว</v>
      </c>
      <c r="Z663" s="3" t="str">
        <f>IFERROR(__xludf.DUMMYFUNCTION("""COMPUTED_VALUE"""),"เลขที่")</f>
        <v>เลขที่</v>
      </c>
      <c r="AA663" s="3" t="str">
        <f>IFERROR(__xludf.DUMMYFUNCTION("""COMPUTED_VALUE"""),"บางกะปิ")</f>
        <v>บางกะปิ</v>
      </c>
      <c r="AB663" s="3" t="str">
        <f>IFERROR(__xludf.DUMMYFUNCTION("""COMPUTED_VALUE"""),"กรุงเทพมหานคร")</f>
        <v>กรุงเทพมหานคร</v>
      </c>
      <c r="AC663" s="3">
        <f>IFERROR(__xludf.DUMMYFUNCTION("""COMPUTED_VALUE"""),10240.0)</f>
        <v>10240</v>
      </c>
      <c r="AD663" s="3">
        <f>IFERROR(__xludf.DUMMYFUNCTION("""COMPUTED_VALUE"""),13.767828)</f>
        <v>13.767828</v>
      </c>
      <c r="AE663" s="3">
        <f>IFERROR(__xludf.DUMMYFUNCTION("""COMPUTED_VALUE"""),100.641126)</f>
        <v>100.641126</v>
      </c>
      <c r="AF663" s="3" t="str">
        <f>IFERROR(__xludf.DUMMYFUNCTION("""COMPUTED_VALUE"""),"MBC TCC ตะวันนา 1-21431")</f>
        <v>MBC TCC ตะวันนา 1-21431</v>
      </c>
      <c r="AG663" s="3" t="str">
        <f>IFERROR(__xludf.DUMMYFUNCTION("""COMPUTED_VALUE"""),"กลาง")</f>
        <v>กลาง</v>
      </c>
      <c r="AH663" s="3" t="str">
        <f>IFERROR(__xludf.DUMMYFUNCTION("""COMPUTED_VALUE"""),"#N/A")</f>
        <v>#N/A</v>
      </c>
      <c r="AI663" s="3" t="str">
        <f>IFERROR(__xludf.DUMMYFUNCTION("""COMPUTED_VALUE"""),"Out of warranty")</f>
        <v>Out of warranty</v>
      </c>
      <c r="AJ663" s="3">
        <f>IFERROR(__xludf.DUMMYFUNCTION("""COMPUTED_VALUE"""),111.0)</f>
        <v>111</v>
      </c>
      <c r="AK663" s="3" t="str">
        <f>IFERROR(__xludf.DUMMYFUNCTION("""COMPUTED_VALUE"""),"MMS03")</f>
        <v>MMS03</v>
      </c>
      <c r="AL663" s="3"/>
    </row>
    <row r="664" ht="15.75" customHeight="1">
      <c r="A664" s="1" t="str">
        <f>IFERROR(__xludf.DUMMYFUNCTION("""COMPUTED_VALUE"""),"21432")</f>
        <v>21432</v>
      </c>
      <c r="B664" s="2">
        <f>IFERROR(__xludf.DUMMYFUNCTION("""COMPUTED_VALUE"""),21432.0)</f>
        <v>21432</v>
      </c>
      <c r="C664" s="3" t="str">
        <f>IFERROR(__xludf.DUMMYFUNCTION("""COMPUTED_VALUE"""),"MBC CTX พัทยาใต้")</f>
        <v>MBC CTX พัทยาใต้</v>
      </c>
      <c r="D664" s="3" t="str">
        <f>IFERROR(__xludf.DUMMYFUNCTION("""COMPUTED_VALUE"""),"MBC CTX PATTAYA SOUTH")</f>
        <v>MBC CTX PATTAYA SOUTH</v>
      </c>
      <c r="E664" s="1" t="str">
        <f>IFERROR(__xludf.DUMMYFUNCTION("""COMPUTED_VALUE"""),"บิ๊กซี MINI")</f>
        <v>บิ๊กซี MINI</v>
      </c>
      <c r="F664" s="1" t="str">
        <f>IFERROR(__xludf.DUMMYFUNCTION("""COMPUTED_VALUE"""),"250760")</f>
        <v>250760</v>
      </c>
      <c r="G664" s="1" t="str">
        <f>IFERROR(__xludf.DUMMYFUNCTION("""COMPUTED_VALUE"""),"นายประทวน สาราบรรณ์")</f>
        <v>นายประทวน สาราบรรณ์</v>
      </c>
      <c r="H664" s="1" t="str">
        <f>IFERROR(__xludf.DUMMYFUNCTION("""COMPUTED_VALUE"""),"034605")</f>
        <v>034605</v>
      </c>
      <c r="I664" s="1" t="str">
        <f>IFERROR(__xludf.DUMMYFUNCTION("""COMPUTED_VALUE"""),"นายธรรมรัตน์ สุขเจริญ")</f>
        <v>นายธรรมรัตน์ สุขเจริญ</v>
      </c>
      <c r="J664" s="3">
        <f>IFERROR(__xludf.DUMMYFUNCTION("""COMPUTED_VALUE"""),295541.0)</f>
        <v>295541</v>
      </c>
      <c r="K664" s="3" t="str">
        <f>IFERROR(__xludf.DUMMYFUNCTION("""COMPUTED_VALUE"""),"นายรพิพล ศรีมาตย์")</f>
        <v>นายรพิพล ศรีมาตย์</v>
      </c>
      <c r="L664" s="1" t="str">
        <f>IFERROR(__xludf.DUMMYFUNCTION("""COMPUTED_VALUE"""),"นายรพิพล ศรีมาตย์")</f>
        <v>นายรพิพล ศรีมาตย์</v>
      </c>
      <c r="M664" s="1" t="str">
        <f>IFERROR(__xludf.DUMMYFUNCTION("""COMPUTED_VALUE"""),"0613966115")</f>
        <v>0613966115</v>
      </c>
      <c r="N664" s="3">
        <f>IFERROR(__xludf.DUMMYFUNCTION("""COMPUTED_VALUE"""),21175.0)</f>
        <v>21175</v>
      </c>
      <c r="O664" s="3" t="str">
        <f>IFERROR(__xludf.DUMMYFUNCTION("""COMPUTED_VALUE"""),"MBC BCP กิ่งแก้ว")</f>
        <v>MBC BCP กิ่งแก้ว</v>
      </c>
      <c r="P664" s="4">
        <f>IFERROR(__xludf.DUMMYFUNCTION("""COMPUTED_VALUE"""),42691.0)</f>
        <v>42691</v>
      </c>
      <c r="Q664" s="3" t="str">
        <f>IFERROR(__xludf.DUMMYFUNCTION("""COMPUTED_VALUE"""),"I")</f>
        <v>I</v>
      </c>
      <c r="R664" s="3" t="str">
        <f>IFERROR(__xludf.DUMMYFUNCTION("""COMPUTED_VALUE"""),"Small Format")</f>
        <v>Small Format</v>
      </c>
      <c r="S664" s="3" t="str">
        <f>IFERROR(__xludf.DUMMYFUNCTION("""COMPUTED_VALUE"""),"BCM")</f>
        <v>BCM</v>
      </c>
      <c r="T664" s="3" t="str">
        <f>IFERROR(__xludf.DUMMYFUNCTION("""COMPUTED_VALUE"""),"#N/A")</f>
        <v>#N/A</v>
      </c>
      <c r="U664" s="3" t="str">
        <f>IFERROR(__xludf.DUMMYFUNCTION("""COMPUTED_VALUE"""),"#N/A")</f>
        <v>#N/A</v>
      </c>
      <c r="V664" s="3" t="str">
        <f>IFERROR(__xludf.DUMMYFUNCTION("""COMPUTED_VALUE"""),"N")</f>
        <v>N</v>
      </c>
      <c r="W664" s="3">
        <f>IFERROR(__xludf.DUMMYFUNCTION("""COMPUTED_VALUE"""),0.0)</f>
        <v>0</v>
      </c>
      <c r="X664" s="3" t="str">
        <f>IFERROR(__xludf.DUMMYFUNCTION("""COMPUTED_VALUE"""),"151/4 หมู่ 11 ตำบลหนองปรือ อำเภอบางละมุง จังหวัดชลบุรี 20150")</f>
        <v>151/4 หมู่ 11 ตำบลหนองปรือ อำเภอบางละมุง จังหวัดชลบุรี 20150</v>
      </c>
      <c r="Y664" s="3"/>
      <c r="Z664" s="3" t="str">
        <f>IFERROR(__xludf.DUMMYFUNCTION("""COMPUTED_VALUE"""),"หนองปรือ")</f>
        <v>หนองปรือ</v>
      </c>
      <c r="AA664" s="3" t="str">
        <f>IFERROR(__xludf.DUMMYFUNCTION("""COMPUTED_VALUE"""),"บางละมุง")</f>
        <v>บางละมุง</v>
      </c>
      <c r="AB664" s="3" t="str">
        <f>IFERROR(__xludf.DUMMYFUNCTION("""COMPUTED_VALUE"""),"ชลบุรี")</f>
        <v>ชลบุรี</v>
      </c>
      <c r="AC664" s="3">
        <f>IFERROR(__xludf.DUMMYFUNCTION("""COMPUTED_VALUE"""),20150.0)</f>
        <v>20150</v>
      </c>
      <c r="AD664" s="3" t="str">
        <f>IFERROR(__xludf.DUMMYFUNCTION("""COMPUTED_VALUE"""),"#N/A")</f>
        <v>#N/A</v>
      </c>
      <c r="AE664" s="3" t="str">
        <f>IFERROR(__xludf.DUMMYFUNCTION("""COMPUTED_VALUE"""),"#N/A")</f>
        <v>#N/A</v>
      </c>
      <c r="AF664" s="3" t="str">
        <f>IFERROR(__xludf.DUMMYFUNCTION("""COMPUTED_VALUE"""),"MBC CTX พัทยาใต้-21432")</f>
        <v>MBC CTX พัทยาใต้-21432</v>
      </c>
      <c r="AG664" s="3" t="str">
        <f>IFERROR(__xludf.DUMMYFUNCTION("""COMPUTED_VALUE"""),"ตะวันออก")</f>
        <v>ตะวันออก</v>
      </c>
      <c r="AH664" s="3" t="str">
        <f>IFERROR(__xludf.DUMMYFUNCTION("""COMPUTED_VALUE"""),"#N/A")</f>
        <v>#N/A</v>
      </c>
      <c r="AI664" s="3" t="str">
        <f>IFERROR(__xludf.DUMMYFUNCTION("""COMPUTED_VALUE"""),"Out of warranty")</f>
        <v>Out of warranty</v>
      </c>
      <c r="AJ664" s="3">
        <f>IFERROR(__xludf.DUMMYFUNCTION("""COMPUTED_VALUE"""),111.0)</f>
        <v>111</v>
      </c>
      <c r="AK664" s="3"/>
      <c r="AL664" s="3"/>
    </row>
    <row r="665" ht="15.75" customHeight="1">
      <c r="A665" s="1" t="str">
        <f>IFERROR(__xludf.DUMMYFUNCTION("""COMPUTED_VALUE"""),"21433")</f>
        <v>21433</v>
      </c>
      <c r="B665" s="2">
        <f>IFERROR(__xludf.DUMMYFUNCTION("""COMPUTED_VALUE"""),21433.0)</f>
        <v>21433</v>
      </c>
      <c r="C665" s="3" t="str">
        <f>IFERROR(__xludf.DUMMYFUNCTION("""COMPUTED_VALUE"""),"MBC CTX โรจนะ 2")</f>
        <v>MBC CTX โรจนะ 2</v>
      </c>
      <c r="D665" s="3" t="str">
        <f>IFERROR(__xludf.DUMMYFUNCTION("""COMPUTED_VALUE"""),"BCM CTX ROJANA 2")</f>
        <v>BCM CTX ROJANA 2</v>
      </c>
      <c r="E665" s="1" t="str">
        <f>IFERROR(__xludf.DUMMYFUNCTION("""COMPUTED_VALUE"""),"บิ๊กซี MINI")</f>
        <v>บิ๊กซี MINI</v>
      </c>
      <c r="F665" s="1" t="str">
        <f>IFERROR(__xludf.DUMMYFUNCTION("""COMPUTED_VALUE"""),"296229")</f>
        <v>296229</v>
      </c>
      <c r="G665" s="1" t="str">
        <f>IFERROR(__xludf.DUMMYFUNCTION("""COMPUTED_VALUE"""),"นายทนงศักดิ์ บุญมา")</f>
        <v>นายทนงศักดิ์ บุญมา</v>
      </c>
      <c r="H665" s="1" t="str">
        <f>IFERROR(__xludf.DUMMYFUNCTION("""COMPUTED_VALUE"""),"211363")</f>
        <v>211363</v>
      </c>
      <c r="I665" s="1" t="str">
        <f>IFERROR(__xludf.DUMMYFUNCTION("""COMPUTED_VALUE"""),"นายสามารถ บุญลับ")</f>
        <v>นายสามารถ บุญลับ</v>
      </c>
      <c r="J665" s="3">
        <f>IFERROR(__xludf.DUMMYFUNCTION("""COMPUTED_VALUE"""),46214.0)</f>
        <v>46214</v>
      </c>
      <c r="K665" s="3" t="str">
        <f>IFERROR(__xludf.DUMMYFUNCTION("""COMPUTED_VALUE"""),"นายศักดิ์ชัย เด็ดดอกฟ้า")</f>
        <v>นายศักดิ์ชัย เด็ดดอกฟ้า</v>
      </c>
      <c r="L665" s="1" t="str">
        <f>IFERROR(__xludf.DUMMYFUNCTION("""COMPUTED_VALUE"""),"02 K.Sakchai D")</f>
        <v>02 K.Sakchai D</v>
      </c>
      <c r="M665" s="1" t="str">
        <f>IFERROR(__xludf.DUMMYFUNCTION("""COMPUTED_VALUE"""),"065-510-7376")</f>
        <v>065-510-7376</v>
      </c>
      <c r="N665" s="3">
        <f>IFERROR(__xludf.DUMMYFUNCTION("""COMPUTED_VALUE"""),21714.0)</f>
        <v>21714</v>
      </c>
      <c r="O665" s="3" t="str">
        <f>IFERROR(__xludf.DUMMYFUNCTION("""COMPUTED_VALUE"""),"MBC เอสโซ่ วัดโบสถ์")</f>
        <v>MBC เอสโซ่ วัดโบสถ์</v>
      </c>
      <c r="P665" s="4">
        <f>IFERROR(__xludf.DUMMYFUNCTION("""COMPUTED_VALUE"""),42710.0)</f>
        <v>42710</v>
      </c>
      <c r="Q665" s="3" t="str">
        <f>IFERROR(__xludf.DUMMYFUNCTION("""COMPUTED_VALUE"""),"A")</f>
        <v>A</v>
      </c>
      <c r="R665" s="3" t="str">
        <f>IFERROR(__xludf.DUMMYFUNCTION("""COMPUTED_VALUE"""),"Small Format")</f>
        <v>Small Format</v>
      </c>
      <c r="S665" s="3" t="str">
        <f>IFERROR(__xludf.DUMMYFUNCTION("""COMPUTED_VALUE"""),"BCM")</f>
        <v>BCM</v>
      </c>
      <c r="T665" s="3" t="str">
        <f>IFERROR(__xludf.DUMMYFUNCTION("""COMPUTED_VALUE"""),"#N/A")</f>
        <v>#N/A</v>
      </c>
      <c r="U665" s="3" t="str">
        <f>IFERROR(__xludf.DUMMYFUNCTION("""COMPUTED_VALUE"""),"#N/A")</f>
        <v>#N/A</v>
      </c>
      <c r="V665" s="3" t="str">
        <f>IFERROR(__xludf.DUMMYFUNCTION("""COMPUTED_VALUE"""),"N")</f>
        <v>N</v>
      </c>
      <c r="W665" s="3">
        <f>IFERROR(__xludf.DUMMYFUNCTION("""COMPUTED_VALUE"""),211352.0)</f>
        <v>211352</v>
      </c>
      <c r="X665" s="3" t="str">
        <f>IFERROR(__xludf.DUMMYFUNCTION("""COMPUTED_VALUE"""),"65 หมู่ 3 ตำบลสามเรือน อำเภอบางปะอิน จังหวัดพระนครศรีอยุธยา 13160")</f>
        <v>65 หมู่ 3 ตำบลสามเรือน อำเภอบางปะอิน จังหวัดพระนครศรีอยุธยา 13160</v>
      </c>
      <c r="Y665" s="3"/>
      <c r="Z665" s="3" t="str">
        <f>IFERROR(__xludf.DUMMYFUNCTION("""COMPUTED_VALUE"""),"สามเรือน")</f>
        <v>สามเรือน</v>
      </c>
      <c r="AA665" s="3" t="str">
        <f>IFERROR(__xludf.DUMMYFUNCTION("""COMPUTED_VALUE"""),"บางปะอิน")</f>
        <v>บางปะอิน</v>
      </c>
      <c r="AB665" s="3" t="str">
        <f>IFERROR(__xludf.DUMMYFUNCTION("""COMPUTED_VALUE"""),"พระนครศรีอยุธยา")</f>
        <v>พระนครศรีอยุธยา</v>
      </c>
      <c r="AC665" s="3">
        <f>IFERROR(__xludf.DUMMYFUNCTION("""COMPUTED_VALUE"""),13160.0)</f>
        <v>13160</v>
      </c>
      <c r="AD665" s="3">
        <f>IFERROR(__xludf.DUMMYFUNCTION("""COMPUTED_VALUE"""),14.303567)</f>
        <v>14.303567</v>
      </c>
      <c r="AE665" s="3">
        <f>IFERROR(__xludf.DUMMYFUNCTION("""COMPUTED_VALUE"""),100.651047)</f>
        <v>100.651047</v>
      </c>
      <c r="AF665" s="3" t="str">
        <f>IFERROR(__xludf.DUMMYFUNCTION("""COMPUTED_VALUE"""),"MBC CTX โรจนะ 2-21433")</f>
        <v>MBC CTX โรจนะ 2-21433</v>
      </c>
      <c r="AG665" s="3" t="str">
        <f>IFERROR(__xludf.DUMMYFUNCTION("""COMPUTED_VALUE"""),"กลาง")</f>
        <v>กลาง</v>
      </c>
      <c r="AH665" s="3" t="str">
        <f>IFERROR(__xludf.DUMMYFUNCTION("""COMPUTED_VALUE"""),"#N/A")</f>
        <v>#N/A</v>
      </c>
      <c r="AI665" s="3" t="str">
        <f>IFERROR(__xludf.DUMMYFUNCTION("""COMPUTED_VALUE"""),"Out of warranty")</f>
        <v>Out of warranty</v>
      </c>
      <c r="AJ665" s="3">
        <f>IFERROR(__xludf.DUMMYFUNCTION("""COMPUTED_VALUE"""),110.0)</f>
        <v>110</v>
      </c>
      <c r="AK665" s="3" t="str">
        <f>IFERROR(__xludf.DUMMYFUNCTION("""COMPUTED_VALUE"""),"MMS04")</f>
        <v>MMS04</v>
      </c>
      <c r="AL665" s="3"/>
    </row>
    <row r="666" ht="15.75" customHeight="1">
      <c r="A666" s="1" t="str">
        <f>IFERROR(__xludf.DUMMYFUNCTION("""COMPUTED_VALUE"""),"21434")</f>
        <v>21434</v>
      </c>
      <c r="B666" s="2">
        <f>IFERROR(__xludf.DUMMYFUNCTION("""COMPUTED_VALUE"""),21434.0)</f>
        <v>21434</v>
      </c>
      <c r="C666" s="3" t="str">
        <f>IFERROR(__xludf.DUMMYFUNCTION("""COMPUTED_VALUE"""),"MBC TCC น่ำเฮง")</f>
        <v>MBC TCC น่ำเฮง</v>
      </c>
      <c r="D666" s="3" t="str">
        <f>IFERROR(__xludf.DUMMYFUNCTION("""COMPUTED_VALUE"""),"BCM TCC NUM HENG")</f>
        <v>BCM TCC NUM HENG</v>
      </c>
      <c r="E666" s="1" t="str">
        <f>IFERROR(__xludf.DUMMYFUNCTION("""COMPUTED_VALUE"""),"บิ๊กซี MINI")</f>
        <v>บิ๊กซี MINI</v>
      </c>
      <c r="F666" s="1" t="str">
        <f>IFERROR(__xludf.DUMMYFUNCTION("""COMPUTED_VALUE"""),"291008")</f>
        <v>291008</v>
      </c>
      <c r="G666" s="1" t="str">
        <f>IFERROR(__xludf.DUMMYFUNCTION("""COMPUTED_VALUE"""),"น.ส.รัชดาพร อีศรัตน์")</f>
        <v>น.ส.รัชดาพร อีศรัตน์</v>
      </c>
      <c r="H666" s="1" t="str">
        <f>IFERROR(__xludf.DUMMYFUNCTION("""COMPUTED_VALUE"""),"034068")</f>
        <v>034068</v>
      </c>
      <c r="I666" s="1" t="str">
        <f>IFERROR(__xludf.DUMMYFUNCTION("""COMPUTED_VALUE"""),"นายสมศักดิ์ ฐานทองดี")</f>
        <v>นายสมศักดิ์ ฐานทองดี</v>
      </c>
      <c r="J666" s="3">
        <f>IFERROR(__xludf.DUMMYFUNCTION("""COMPUTED_VALUE"""),296608.0)</f>
        <v>296608</v>
      </c>
      <c r="K666" s="3" t="str">
        <f>IFERROR(__xludf.DUMMYFUNCTION("""COMPUTED_VALUE"""),"นายภาคภูมิ เพ็ชรนิล")</f>
        <v>นายภาคภูมิ เพ็ชรนิล</v>
      </c>
      <c r="L666" s="1" t="str">
        <f>IFERROR(__xludf.DUMMYFUNCTION("""COMPUTED_VALUE"""),"10 K.Phakphoom P.")</f>
        <v>10 K.Phakphoom P.</v>
      </c>
      <c r="M666" s="1" t="str">
        <f>IFERROR(__xludf.DUMMYFUNCTION("""COMPUTED_VALUE"""),"063-8955329")</f>
        <v>063-8955329</v>
      </c>
      <c r="N666" s="3">
        <f>IFERROR(__xludf.DUMMYFUNCTION("""COMPUTED_VALUE"""),22584.0)</f>
        <v>22584</v>
      </c>
      <c r="O666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666" s="4">
        <f>IFERROR(__xludf.DUMMYFUNCTION("""COMPUTED_VALUE"""),42726.0)</f>
        <v>42726</v>
      </c>
      <c r="Q666" s="3" t="str">
        <f>IFERROR(__xludf.DUMMYFUNCTION("""COMPUTED_VALUE"""),"A")</f>
        <v>A</v>
      </c>
      <c r="R666" s="3" t="str">
        <f>IFERROR(__xludf.DUMMYFUNCTION("""COMPUTED_VALUE"""),"Small Format")</f>
        <v>Small Format</v>
      </c>
      <c r="S666" s="3" t="str">
        <f>IFERROR(__xludf.DUMMYFUNCTION("""COMPUTED_VALUE"""),"BCM")</f>
        <v>BCM</v>
      </c>
      <c r="T666" s="3" t="str">
        <f>IFERROR(__xludf.DUMMYFUNCTION("""COMPUTED_VALUE"""),"#N/A")</f>
        <v>#N/A</v>
      </c>
      <c r="U666" s="3" t="str">
        <f>IFERROR(__xludf.DUMMYFUNCTION("""COMPUTED_VALUE"""),"#N/A")</f>
        <v>#N/A</v>
      </c>
      <c r="V666" s="3" t="str">
        <f>IFERROR(__xludf.DUMMYFUNCTION("""COMPUTED_VALUE"""),"N")</f>
        <v>N</v>
      </c>
      <c r="W666" s="3">
        <f>IFERROR(__xludf.DUMMYFUNCTION("""COMPUTED_VALUE"""),211344.0)</f>
        <v>211344</v>
      </c>
      <c r="X666" s="3" t="str">
        <f>IFERROR(__xludf.DUMMYFUNCTION("""COMPUTED_VALUE"""),"258 ถนนงามวงศ์วาน ตำบลบางเขน อำเภอเมืองนนทบุรี จังหวัดนนทบุรี 11000")</f>
        <v>258 ถนนงามวงศ์วาน ตำบลบางเขน อำเภอเมืองนนทบุรี จังหวัดนนทบุรี 11000</v>
      </c>
      <c r="Y666" s="3"/>
      <c r="Z666" s="3" t="str">
        <f>IFERROR(__xludf.DUMMYFUNCTION("""COMPUTED_VALUE"""),"บางเขน")</f>
        <v>บางเขน</v>
      </c>
      <c r="AA666" s="3" t="str">
        <f>IFERROR(__xludf.DUMMYFUNCTION("""COMPUTED_VALUE"""),"เมืองนนทบุรี")</f>
        <v>เมืองนนทบุรี</v>
      </c>
      <c r="AB666" s="3" t="str">
        <f>IFERROR(__xludf.DUMMYFUNCTION("""COMPUTED_VALUE"""),"นนทบุรี")</f>
        <v>นนทบุรี</v>
      </c>
      <c r="AC666" s="3">
        <f>IFERROR(__xludf.DUMMYFUNCTION("""COMPUTED_VALUE"""),11000.0)</f>
        <v>11000</v>
      </c>
      <c r="AD666" s="3">
        <f>IFERROR(__xludf.DUMMYFUNCTION("""COMPUTED_VALUE"""),13.856969)</f>
        <v>13.856969</v>
      </c>
      <c r="AE666" s="3">
        <f>IFERROR(__xludf.DUMMYFUNCTION("""COMPUTED_VALUE"""),100.537217)</f>
        <v>100.537217</v>
      </c>
      <c r="AF666" s="3" t="str">
        <f>IFERROR(__xludf.DUMMYFUNCTION("""COMPUTED_VALUE"""),"MBC TCC น่ำเฮง-21434")</f>
        <v>MBC TCC น่ำเฮง-21434</v>
      </c>
      <c r="AG666" s="3" t="str">
        <f>IFERROR(__xludf.DUMMYFUNCTION("""COMPUTED_VALUE"""),"กลาง")</f>
        <v>กลาง</v>
      </c>
      <c r="AH666" s="3" t="str">
        <f>IFERROR(__xludf.DUMMYFUNCTION("""COMPUTED_VALUE"""),"#N/A")</f>
        <v>#N/A</v>
      </c>
      <c r="AI666" s="3" t="str">
        <f>IFERROR(__xludf.DUMMYFUNCTION("""COMPUTED_VALUE"""),"Out of warranty")</f>
        <v>Out of warranty</v>
      </c>
      <c r="AJ666" s="3">
        <f>IFERROR(__xludf.DUMMYFUNCTION("""COMPUTED_VALUE"""),109.0)</f>
        <v>109</v>
      </c>
      <c r="AK666" s="3" t="str">
        <f>IFERROR(__xludf.DUMMYFUNCTION("""COMPUTED_VALUE"""),"MMS01")</f>
        <v>MMS01</v>
      </c>
      <c r="AL666" s="3"/>
    </row>
    <row r="667" ht="15.75" customHeight="1">
      <c r="A667" s="1" t="str">
        <f>IFERROR(__xludf.DUMMYFUNCTION("""COMPUTED_VALUE"""),"21435")</f>
        <v>21435</v>
      </c>
      <c r="B667" s="2">
        <f>IFERROR(__xludf.DUMMYFUNCTION("""COMPUTED_VALUE"""),21435.0)</f>
        <v>21435</v>
      </c>
      <c r="C667" s="3" t="str">
        <f>IFERROR(__xludf.DUMMYFUNCTION("""COMPUTED_VALUE"""),"MBC ซอยประชุม ถนนสุรวงศ์")</f>
        <v>MBC ซอยประชุม ถนนสุรวงศ์</v>
      </c>
      <c r="D667" s="3" t="str">
        <f>IFERROR(__xludf.DUMMYFUNCTION("""COMPUTED_VALUE"""),"BCM SOI PRACHUM SURAWONG ROAD")</f>
        <v>BCM SOI PRACHUM SURAWONG ROAD</v>
      </c>
      <c r="E667" s="1" t="str">
        <f>IFERROR(__xludf.DUMMYFUNCTION("""COMPUTED_VALUE"""),"บิ๊กซี MINI")</f>
        <v>บิ๊กซี MINI</v>
      </c>
      <c r="F667" s="1" t="str">
        <f>IFERROR(__xludf.DUMMYFUNCTION("""COMPUTED_VALUE"""),"291008")</f>
        <v>291008</v>
      </c>
      <c r="G667" s="1" t="str">
        <f>IFERROR(__xludf.DUMMYFUNCTION("""COMPUTED_VALUE"""),"น.ส.รัชดาพร อีศรัตน์")</f>
        <v>น.ส.รัชดาพร อีศรัตน์</v>
      </c>
      <c r="H667" s="1" t="str">
        <f>IFERROR(__xludf.DUMMYFUNCTION("""COMPUTED_VALUE"""),"359002")</f>
        <v>359002</v>
      </c>
      <c r="I667" s="1" t="str">
        <f>IFERROR(__xludf.DUMMYFUNCTION("""COMPUTED_VALUE"""),"น.ส.นิตยา สมจิตร")</f>
        <v>น.ส.นิตยา สมจิตร</v>
      </c>
      <c r="J667" s="3">
        <f>IFERROR(__xludf.DUMMYFUNCTION("""COMPUTED_VALUE"""),3510104.0)</f>
        <v>3510104</v>
      </c>
      <c r="K667" s="3" t="str">
        <f>IFERROR(__xludf.DUMMYFUNCTION("""COMPUTED_VALUE"""),"นายวิโรจน์ อับดุลสมัด")</f>
        <v>นายวิโรจน์ อับดุลสมัด</v>
      </c>
      <c r="L667" s="1" t="str">
        <f>IFERROR(__xludf.DUMMYFUNCTION("""COMPUTED_VALUE"""),"09 K.Wirode A")</f>
        <v>09 K.Wirode A</v>
      </c>
      <c r="M667" s="1" t="str">
        <f>IFERROR(__xludf.DUMMYFUNCTION("""COMPUTED_VALUE"""),"080-235-4465")</f>
        <v>080-235-4465</v>
      </c>
      <c r="N667" s="3">
        <f>IFERROR(__xludf.DUMMYFUNCTION("""COMPUTED_VALUE"""),21324.0)</f>
        <v>21324</v>
      </c>
      <c r="O667" s="3" t="str">
        <f>IFERROR(__xludf.DUMMYFUNCTION("""COMPUTED_VALUE"""),"MBC BCP สุวินทวงศ์")</f>
        <v>MBC BCP สุวินทวงศ์</v>
      </c>
      <c r="P667" s="4">
        <f>IFERROR(__xludf.DUMMYFUNCTION("""COMPUTED_VALUE"""),42730.0)</f>
        <v>42730</v>
      </c>
      <c r="Q667" s="3" t="str">
        <f>IFERROR(__xludf.DUMMYFUNCTION("""COMPUTED_VALUE"""),"A")</f>
        <v>A</v>
      </c>
      <c r="R667" s="3" t="str">
        <f>IFERROR(__xludf.DUMMYFUNCTION("""COMPUTED_VALUE"""),"Small Format")</f>
        <v>Small Format</v>
      </c>
      <c r="S667" s="3" t="str">
        <f>IFERROR(__xludf.DUMMYFUNCTION("""COMPUTED_VALUE"""),"BCM")</f>
        <v>BCM</v>
      </c>
      <c r="T667" s="3" t="str">
        <f>IFERROR(__xludf.DUMMYFUNCTION("""COMPUTED_VALUE"""),"#N/A")</f>
        <v>#N/A</v>
      </c>
      <c r="U667" s="3" t="str">
        <f>IFERROR(__xludf.DUMMYFUNCTION("""COMPUTED_VALUE"""),"#N/A")</f>
        <v>#N/A</v>
      </c>
      <c r="V667" s="3" t="str">
        <f>IFERROR(__xludf.DUMMYFUNCTION("""COMPUTED_VALUE"""),"N")</f>
        <v>N</v>
      </c>
      <c r="W667" s="3">
        <f>IFERROR(__xludf.DUMMYFUNCTION("""COMPUTED_VALUE"""),211351.0)</f>
        <v>211351</v>
      </c>
      <c r="X667" s="3" t="str">
        <f>IFERROR(__xludf.DUMMYFUNCTION("""COMPUTED_VALUE"""),"1,3,5,197/7 ซอยประชุม ถนนสุรวงศ์ แขวงสุริยวงศ์ เขตบางรัก กรุงเทพมหานคร 10500")</f>
        <v>1,3,5,197/7 ซอยประชุม ถนนสุรวงศ์ แขวงสุริยวงศ์ เขตบางรัก กรุงเทพมหานคร 10500</v>
      </c>
      <c r="Y667" s="3" t="str">
        <f>IFERROR(__xludf.DUMMYFUNCTION("""COMPUTED_VALUE"""),"ซอยประชุม")</f>
        <v>ซอยประชุม</v>
      </c>
      <c r="Z667" s="3" t="str">
        <f>IFERROR(__xludf.DUMMYFUNCTION("""COMPUTED_VALUE"""),"สุริยวงศ์")</f>
        <v>สุริยวงศ์</v>
      </c>
      <c r="AA667" s="3" t="str">
        <f>IFERROR(__xludf.DUMMYFUNCTION("""COMPUTED_VALUE"""),"บางรัก")</f>
        <v>บางรัก</v>
      </c>
      <c r="AB667" s="3" t="str">
        <f>IFERROR(__xludf.DUMMYFUNCTION("""COMPUTED_VALUE"""),"กรุงเทพมหานคร")</f>
        <v>กรุงเทพมหานคร</v>
      </c>
      <c r="AC667" s="3">
        <f>IFERROR(__xludf.DUMMYFUNCTION("""COMPUTED_VALUE"""),10500.0)</f>
        <v>10500</v>
      </c>
      <c r="AD667" s="3">
        <f>IFERROR(__xludf.DUMMYFUNCTION("""COMPUTED_VALUE"""),13.72706)</f>
        <v>13.72706</v>
      </c>
      <c r="AE667" s="3">
        <f>IFERROR(__xludf.DUMMYFUNCTION("""COMPUTED_VALUE"""),100.522535)</f>
        <v>100.522535</v>
      </c>
      <c r="AF667" s="3" t="str">
        <f>IFERROR(__xludf.DUMMYFUNCTION("""COMPUTED_VALUE"""),"MBC ซอยประชุม ถนนสุรวงศ์-21435")</f>
        <v>MBC ซอยประชุม ถนนสุรวงศ์-21435</v>
      </c>
      <c r="AG667" s="3" t="str">
        <f>IFERROR(__xludf.DUMMYFUNCTION("""COMPUTED_VALUE"""),"กลาง")</f>
        <v>กลาง</v>
      </c>
      <c r="AH667" s="3" t="str">
        <f>IFERROR(__xludf.DUMMYFUNCTION("""COMPUTED_VALUE"""),"#N/A")</f>
        <v>#N/A</v>
      </c>
      <c r="AI667" s="3" t="str">
        <f>IFERROR(__xludf.DUMMYFUNCTION("""COMPUTED_VALUE"""),"Out of warranty")</f>
        <v>Out of warranty</v>
      </c>
      <c r="AJ667" s="3">
        <f>IFERROR(__xludf.DUMMYFUNCTION("""COMPUTED_VALUE"""),109.0)</f>
        <v>109</v>
      </c>
      <c r="AK667" s="3" t="str">
        <f>IFERROR(__xludf.DUMMYFUNCTION("""COMPUTED_VALUE"""),"MMS02")</f>
        <v>MMS02</v>
      </c>
      <c r="AL667" s="3"/>
    </row>
    <row r="668" ht="15.75" customHeight="1">
      <c r="A668" s="1" t="str">
        <f>IFERROR(__xludf.DUMMYFUNCTION("""COMPUTED_VALUE"""),"21436")</f>
        <v>21436</v>
      </c>
      <c r="B668" s="2">
        <f>IFERROR(__xludf.DUMMYFUNCTION("""COMPUTED_VALUE"""),21436.0)</f>
        <v>21436</v>
      </c>
      <c r="C668" s="3" t="str">
        <f>IFERROR(__xludf.DUMMYFUNCTION("""COMPUTED_VALUE"""),"MBC โรงพยาบาลกรุงเทพ พิษณุโลก")</f>
        <v>MBC โรงพยาบาลกรุงเทพ พิษณุโลก</v>
      </c>
      <c r="D668" s="3" t="str">
        <f>IFERROR(__xludf.DUMMYFUNCTION("""COMPUTED_VALUE"""),"BCM BKK HOSPITAL")</f>
        <v>BCM BKK HOSPITAL</v>
      </c>
      <c r="E668" s="1" t="str">
        <f>IFERROR(__xludf.DUMMYFUNCTION("""COMPUTED_VALUE"""),"บิ๊กซี MINI")</f>
        <v>บิ๊กซี MINI</v>
      </c>
      <c r="F668" s="1" t="str">
        <f>IFERROR(__xludf.DUMMYFUNCTION("""COMPUTED_VALUE"""),"296229")</f>
        <v>296229</v>
      </c>
      <c r="G668" s="1" t="str">
        <f>IFERROR(__xludf.DUMMYFUNCTION("""COMPUTED_VALUE"""),"นายทนงศักดิ์ บุญมา")</f>
        <v>นายทนงศักดิ์ บุญมา</v>
      </c>
      <c r="H668" s="1" t="str">
        <f>IFERROR(__xludf.DUMMYFUNCTION("""COMPUTED_VALUE"""),"373680")</f>
        <v>373680</v>
      </c>
      <c r="I668" s="1" t="str">
        <f>IFERROR(__xludf.DUMMYFUNCTION("""COMPUTED_VALUE"""),"นายวสันต์ พรรณราย")</f>
        <v>นายวสันต์ พรรณราย</v>
      </c>
      <c r="J668" s="3">
        <f>IFERROR(__xludf.DUMMYFUNCTION("""COMPUTED_VALUE"""),46214.0)</f>
        <v>46214</v>
      </c>
      <c r="K668" s="3" t="str">
        <f>IFERROR(__xludf.DUMMYFUNCTION("""COMPUTED_VALUE"""),"นายศักดิ์ชัย เด็ดดอกฟ้า")</f>
        <v>นายศักดิ์ชัย เด็ดดอกฟ้า</v>
      </c>
      <c r="L668" s="1" t="str">
        <f>IFERROR(__xludf.DUMMYFUNCTION("""COMPUTED_VALUE"""),"02 K.Sakchai D")</f>
        <v>02 K.Sakchai D</v>
      </c>
      <c r="M668" s="1" t="str">
        <f>IFERROR(__xludf.DUMMYFUNCTION("""COMPUTED_VALUE"""),"065-510-7376")</f>
        <v>065-510-7376</v>
      </c>
      <c r="N668" s="3">
        <f>IFERROR(__xludf.DUMMYFUNCTION("""COMPUTED_VALUE"""),21714.0)</f>
        <v>21714</v>
      </c>
      <c r="O668" s="3" t="str">
        <f>IFERROR(__xludf.DUMMYFUNCTION("""COMPUTED_VALUE"""),"MBC เอสโซ่ วัดโบสถ์")</f>
        <v>MBC เอสโซ่ วัดโบสถ์</v>
      </c>
      <c r="P668" s="4">
        <f>IFERROR(__xludf.DUMMYFUNCTION("""COMPUTED_VALUE"""),42727.0)</f>
        <v>42727</v>
      </c>
      <c r="Q668" s="3" t="str">
        <f>IFERROR(__xludf.DUMMYFUNCTION("""COMPUTED_VALUE"""),"A")</f>
        <v>A</v>
      </c>
      <c r="R668" s="3" t="str">
        <f>IFERROR(__xludf.DUMMYFUNCTION("""COMPUTED_VALUE"""),"Small Format")</f>
        <v>Small Format</v>
      </c>
      <c r="S668" s="3" t="str">
        <f>IFERROR(__xludf.DUMMYFUNCTION("""COMPUTED_VALUE"""),"BCM")</f>
        <v>BCM</v>
      </c>
      <c r="T668" s="3" t="str">
        <f>IFERROR(__xludf.DUMMYFUNCTION("""COMPUTED_VALUE"""),"#N/A")</f>
        <v>#N/A</v>
      </c>
      <c r="U668" s="3" t="str">
        <f>IFERROR(__xludf.DUMMYFUNCTION("""COMPUTED_VALUE"""),"#N/A")</f>
        <v>#N/A</v>
      </c>
      <c r="V668" s="3" t="str">
        <f>IFERROR(__xludf.DUMMYFUNCTION("""COMPUTED_VALUE"""),"N")</f>
        <v>N</v>
      </c>
      <c r="W668" s="3">
        <f>IFERROR(__xludf.DUMMYFUNCTION("""COMPUTED_VALUE"""),211354.0)</f>
        <v>211354</v>
      </c>
      <c r="X668" s="3" t="str">
        <f>IFERROR(__xludf.DUMMYFUNCTION("""COMPUTED_VALUE"""),"575/9 ถนนพระองค์ดำ ตำบลในเมือง อำเภอเมืองพิษณุโลก จังหวัดพิษณุโลก 65000")</f>
        <v>575/9 ถนนพระองค์ดำ ตำบลในเมือง อำเภอเมืองพิษณุโลก จังหวัดพิษณุโลก 65000</v>
      </c>
      <c r="Y668" s="3" t="str">
        <f>IFERROR(__xludf.DUMMYFUNCTION("""COMPUTED_VALUE"""),"ถนนพระองค์ดำ")</f>
        <v>ถนนพระองค์ดำ</v>
      </c>
      <c r="Z668" s="3" t="str">
        <f>IFERROR(__xludf.DUMMYFUNCTION("""COMPUTED_VALUE"""),"ในเมือง")</f>
        <v>ในเมือง</v>
      </c>
      <c r="AA668" s="3" t="str">
        <f>IFERROR(__xludf.DUMMYFUNCTION("""COMPUTED_VALUE"""),"เมือง")</f>
        <v>เมือง</v>
      </c>
      <c r="AB668" s="3" t="str">
        <f>IFERROR(__xludf.DUMMYFUNCTION("""COMPUTED_VALUE"""),"พิษณุโลก")</f>
        <v>พิษณุโลก</v>
      </c>
      <c r="AC668" s="3">
        <f>IFERROR(__xludf.DUMMYFUNCTION("""COMPUTED_VALUE"""),65000.0)</f>
        <v>65000</v>
      </c>
      <c r="AD668" s="3">
        <f>IFERROR(__xludf.DUMMYFUNCTION("""COMPUTED_VALUE"""),16.816498)</f>
        <v>16.816498</v>
      </c>
      <c r="AE668" s="3">
        <f>IFERROR(__xludf.DUMMYFUNCTION("""COMPUTED_VALUE"""),100.272489)</f>
        <v>100.272489</v>
      </c>
      <c r="AF668" s="3" t="str">
        <f>IFERROR(__xludf.DUMMYFUNCTION("""COMPUTED_VALUE"""),"MBC โรงพยาบาลกรุงเทพ พิษณุโลก-21436")</f>
        <v>MBC โรงพยาบาลกรุงเทพ พิษณุโลก-21436</v>
      </c>
      <c r="AG668" s="3" t="str">
        <f>IFERROR(__xludf.DUMMYFUNCTION("""COMPUTED_VALUE"""),"กลาง")</f>
        <v>กลาง</v>
      </c>
      <c r="AH668" s="3" t="str">
        <f>IFERROR(__xludf.DUMMYFUNCTION("""COMPUTED_VALUE"""),"#N/A")</f>
        <v>#N/A</v>
      </c>
      <c r="AI668" s="3" t="str">
        <f>IFERROR(__xludf.DUMMYFUNCTION("""COMPUTED_VALUE"""),"Out of warranty")</f>
        <v>Out of warranty</v>
      </c>
      <c r="AJ668" s="3">
        <f>IFERROR(__xludf.DUMMYFUNCTION("""COMPUTED_VALUE"""),109.0)</f>
        <v>109</v>
      </c>
      <c r="AK668" s="3" t="str">
        <f>IFERROR(__xludf.DUMMYFUNCTION("""COMPUTED_VALUE"""),"MMS09")</f>
        <v>MMS09</v>
      </c>
      <c r="AL668" s="3"/>
    </row>
    <row r="669" ht="15.75" customHeight="1">
      <c r="A669" s="1" t="str">
        <f>IFERROR(__xludf.DUMMYFUNCTION("""COMPUTED_VALUE"""),"21437")</f>
        <v>21437</v>
      </c>
      <c r="B669" s="2">
        <f>IFERROR(__xludf.DUMMYFUNCTION("""COMPUTED_VALUE"""),21437.0)</f>
        <v>21437</v>
      </c>
      <c r="C669" s="3" t="str">
        <f>IFERROR(__xludf.DUMMYFUNCTION("""COMPUTED_VALUE"""),"MBC CTX คลองหลวง")</f>
        <v>MBC CTX คลองหลวง</v>
      </c>
      <c r="D669" s="3" t="str">
        <f>IFERROR(__xludf.DUMMYFUNCTION("""COMPUTED_VALUE"""),"MBC CTX KLONG LUANG")</f>
        <v>MBC CTX KLONG LUANG</v>
      </c>
      <c r="E669" s="1" t="str">
        <f>IFERROR(__xludf.DUMMYFUNCTION("""COMPUTED_VALUE"""),"บิ๊กซี MINI")</f>
        <v>บิ๊กซี MINI</v>
      </c>
      <c r="F669" s="1" t="str">
        <f>IFERROR(__xludf.DUMMYFUNCTION("""COMPUTED_VALUE"""),"291008")</f>
        <v>291008</v>
      </c>
      <c r="G669" s="1" t="str">
        <f>IFERROR(__xludf.DUMMYFUNCTION("""COMPUTED_VALUE"""),"น.ส.รัชดาพร อีศรัตน์")</f>
        <v>น.ส.รัชดาพร อีศรัตน์</v>
      </c>
      <c r="H669" s="1" t="str">
        <f>IFERROR(__xludf.DUMMYFUNCTION("""COMPUTED_VALUE"""),"288639")</f>
        <v>288639</v>
      </c>
      <c r="I669" s="1" t="str">
        <f>IFERROR(__xludf.DUMMYFUNCTION("""COMPUTED_VALUE"""),"น.ส.สมหญิง สีชมภู")</f>
        <v>น.ส.สมหญิง สีชมภู</v>
      </c>
      <c r="J669" s="3">
        <f>IFERROR(__xludf.DUMMYFUNCTION("""COMPUTED_VALUE"""),3510104.0)</f>
        <v>3510104</v>
      </c>
      <c r="K669" s="3" t="str">
        <f>IFERROR(__xludf.DUMMYFUNCTION("""COMPUTED_VALUE"""),"นายวิโรจน์ อับดุลสมัด")</f>
        <v>นายวิโรจน์ อับดุลสมัด</v>
      </c>
      <c r="L669" s="1" t="str">
        <f>IFERROR(__xludf.DUMMYFUNCTION("""COMPUTED_VALUE"""),"09 K.Wirode A")</f>
        <v>09 K.Wirode A</v>
      </c>
      <c r="M669" s="1" t="str">
        <f>IFERROR(__xludf.DUMMYFUNCTION("""COMPUTED_VALUE"""),"080-235-4465")</f>
        <v>080-235-4465</v>
      </c>
      <c r="N669" s="3">
        <f>IFERROR(__xludf.DUMMYFUNCTION("""COMPUTED_VALUE"""),21324.0)</f>
        <v>21324</v>
      </c>
      <c r="O669" s="3" t="str">
        <f>IFERROR(__xludf.DUMMYFUNCTION("""COMPUTED_VALUE"""),"MBC BCP สุวินทวงศ์")</f>
        <v>MBC BCP สุวินทวงศ์</v>
      </c>
      <c r="P669" s="4">
        <f>IFERROR(__xludf.DUMMYFUNCTION("""COMPUTED_VALUE"""),42722.0)</f>
        <v>42722</v>
      </c>
      <c r="Q669" s="3" t="str">
        <f>IFERROR(__xludf.DUMMYFUNCTION("""COMPUTED_VALUE"""),"I")</f>
        <v>I</v>
      </c>
      <c r="R669" s="3" t="str">
        <f>IFERROR(__xludf.DUMMYFUNCTION("""COMPUTED_VALUE"""),"Small Format")</f>
        <v>Small Format</v>
      </c>
      <c r="S669" s="3" t="str">
        <f>IFERROR(__xludf.DUMMYFUNCTION("""COMPUTED_VALUE"""),"BCM")</f>
        <v>BCM</v>
      </c>
      <c r="T669" s="3" t="str">
        <f>IFERROR(__xludf.DUMMYFUNCTION("""COMPUTED_VALUE"""),"#N/A")</f>
        <v>#N/A</v>
      </c>
      <c r="U669" s="3" t="str">
        <f>IFERROR(__xludf.DUMMYFUNCTION("""COMPUTED_VALUE"""),"#N/A")</f>
        <v>#N/A</v>
      </c>
      <c r="V669" s="3" t="str">
        <f>IFERROR(__xludf.DUMMYFUNCTION("""COMPUTED_VALUE"""),"N")</f>
        <v>N</v>
      </c>
      <c r="W669" s="3">
        <f>IFERROR(__xludf.DUMMYFUNCTION("""COMPUTED_VALUE"""),211339.0)</f>
        <v>211339</v>
      </c>
      <c r="X669" s="3" t="str">
        <f>IFERROR(__xludf.DUMMYFUNCTION("""COMPUTED_VALUE"""),"10/10 หมู่ 14 ตำบลคลองหนึ่ง อำเภอคลองหลวง จังหวัดปทุมธานี 12120")</f>
        <v>10/10 หมู่ 14 ตำบลคลองหนึ่ง อำเภอคลองหลวง จังหวัดปทุมธานี 12120</v>
      </c>
      <c r="Y669" s="3"/>
      <c r="Z669" s="3" t="str">
        <f>IFERROR(__xludf.DUMMYFUNCTION("""COMPUTED_VALUE"""),"คลองหนึ่ง")</f>
        <v>คลองหนึ่ง</v>
      </c>
      <c r="AA669" s="3" t="str">
        <f>IFERROR(__xludf.DUMMYFUNCTION("""COMPUTED_VALUE"""),"คลองหลวง")</f>
        <v>คลองหลวง</v>
      </c>
      <c r="AB669" s="3" t="str">
        <f>IFERROR(__xludf.DUMMYFUNCTION("""COMPUTED_VALUE"""),"ปทุมธานี")</f>
        <v>ปทุมธานี</v>
      </c>
      <c r="AC669" s="3">
        <f>IFERROR(__xludf.DUMMYFUNCTION("""COMPUTED_VALUE"""),12120.0)</f>
        <v>12120</v>
      </c>
      <c r="AD669" s="3" t="str">
        <f>IFERROR(__xludf.DUMMYFUNCTION("""COMPUTED_VALUE"""),"#N/A")</f>
        <v>#N/A</v>
      </c>
      <c r="AE669" s="3" t="str">
        <f>IFERROR(__xludf.DUMMYFUNCTION("""COMPUTED_VALUE"""),"#N/A")</f>
        <v>#N/A</v>
      </c>
      <c r="AF669" s="3" t="str">
        <f>IFERROR(__xludf.DUMMYFUNCTION("""COMPUTED_VALUE"""),"MBC CTX คลองหลวง-21437")</f>
        <v>MBC CTX คลองหลวง-21437</v>
      </c>
      <c r="AG669" s="3" t="str">
        <f>IFERROR(__xludf.DUMMYFUNCTION("""COMPUTED_VALUE"""),"กลาง")</f>
        <v>กลาง</v>
      </c>
      <c r="AH669" s="3" t="str">
        <f>IFERROR(__xludf.DUMMYFUNCTION("""COMPUTED_VALUE"""),"#N/A")</f>
        <v>#N/A</v>
      </c>
      <c r="AI669" s="3" t="str">
        <f>IFERROR(__xludf.DUMMYFUNCTION("""COMPUTED_VALUE"""),"Out of warranty")</f>
        <v>Out of warranty</v>
      </c>
      <c r="AJ669" s="3">
        <f>IFERROR(__xludf.DUMMYFUNCTION("""COMPUTED_VALUE"""),110.0)</f>
        <v>110</v>
      </c>
      <c r="AK669" s="3"/>
      <c r="AL669" s="3"/>
    </row>
    <row r="670" ht="15.75" customHeight="1">
      <c r="A670" s="1" t="str">
        <f>IFERROR(__xludf.DUMMYFUNCTION("""COMPUTED_VALUE"""),"21438")</f>
        <v>21438</v>
      </c>
      <c r="B670" s="2">
        <f>IFERROR(__xludf.DUMMYFUNCTION("""COMPUTED_VALUE"""),21438.0)</f>
        <v>21438</v>
      </c>
      <c r="C670" s="3" t="str">
        <f>IFERROR(__xludf.DUMMYFUNCTION("""COMPUTED_VALUE"""),"MBC เคหะหนองหอย")</f>
        <v>MBC เคหะหนองหอย</v>
      </c>
      <c r="D670" s="3" t="str">
        <f>IFERROR(__xludf.DUMMYFUNCTION("""COMPUTED_VALUE"""),"BCM KEHA NONG HOI")</f>
        <v>BCM KEHA NONG HOI</v>
      </c>
      <c r="E670" s="1" t="str">
        <f>IFERROR(__xludf.DUMMYFUNCTION("""COMPUTED_VALUE"""),"บิ๊กซี MINI")</f>
        <v>บิ๊กซี MINI</v>
      </c>
      <c r="F670" s="1" t="str">
        <f>IFERROR(__xludf.DUMMYFUNCTION("""COMPUTED_VALUE"""),"296229")</f>
        <v>296229</v>
      </c>
      <c r="G670" s="1" t="str">
        <f>IFERROR(__xludf.DUMMYFUNCTION("""COMPUTED_VALUE"""),"นายทนงศักดิ์ บุญมา")</f>
        <v>นายทนงศักดิ์ บุญมา</v>
      </c>
      <c r="H670" s="1" t="str">
        <f>IFERROR(__xludf.DUMMYFUNCTION("""COMPUTED_VALUE"""),"393402")</f>
        <v>393402</v>
      </c>
      <c r="I670" s="1" t="str">
        <f>IFERROR(__xludf.DUMMYFUNCTION("""COMPUTED_VALUE"""),"น.ส.ปารมิตา ใจตรง")</f>
        <v>น.ส.ปารมิตา ใจตรง</v>
      </c>
      <c r="J670" s="3">
        <f>IFERROR(__xludf.DUMMYFUNCTION("""COMPUTED_VALUE"""),2010016.0)</f>
        <v>2010016</v>
      </c>
      <c r="K670" s="3" t="str">
        <f>IFERROR(__xludf.DUMMYFUNCTION("""COMPUTED_VALUE"""),"นายตวงธรรม ใหม่ยศ")</f>
        <v>นายตวงธรรม ใหม่ยศ</v>
      </c>
      <c r="L670" s="1" t="str">
        <f>IFERROR(__xludf.DUMMYFUNCTION("""COMPUTED_VALUE"""),"01 K.Tuangtham M.")</f>
        <v>01 K.Tuangtham M.</v>
      </c>
      <c r="M670" s="1" t="str">
        <f>IFERROR(__xludf.DUMMYFUNCTION("""COMPUTED_VALUE"""),"063-976-595")</f>
        <v>063-976-595</v>
      </c>
      <c r="N670" s="3">
        <f>IFERROR(__xludf.DUMMYFUNCTION("""COMPUTED_VALUE"""),22574.0)</f>
        <v>22574</v>
      </c>
      <c r="O670" s="3" t="str">
        <f>IFERROR(__xludf.DUMMYFUNCTION("""COMPUTED_VALUE"""),"BCM ชุมชนศรีชุม ลำปาง")</f>
        <v>BCM ชุมชนศรีชุม ลำปาง</v>
      </c>
      <c r="P670" s="4">
        <f>IFERROR(__xludf.DUMMYFUNCTION("""COMPUTED_VALUE"""),42805.0)</f>
        <v>42805</v>
      </c>
      <c r="Q670" s="3" t="str">
        <f>IFERROR(__xludf.DUMMYFUNCTION("""COMPUTED_VALUE"""),"A")</f>
        <v>A</v>
      </c>
      <c r="R670" s="3" t="str">
        <f>IFERROR(__xludf.DUMMYFUNCTION("""COMPUTED_VALUE"""),"Small Format")</f>
        <v>Small Format</v>
      </c>
      <c r="S670" s="3" t="str">
        <f>IFERROR(__xludf.DUMMYFUNCTION("""COMPUTED_VALUE"""),"BCM")</f>
        <v>BCM</v>
      </c>
      <c r="T670" s="3" t="str">
        <f>IFERROR(__xludf.DUMMYFUNCTION("""COMPUTED_VALUE"""),"#N/A")</f>
        <v>#N/A</v>
      </c>
      <c r="U670" s="3" t="str">
        <f>IFERROR(__xludf.DUMMYFUNCTION("""COMPUTED_VALUE"""),"#N/A")</f>
        <v>#N/A</v>
      </c>
      <c r="V670" s="3" t="str">
        <f>IFERROR(__xludf.DUMMYFUNCTION("""COMPUTED_VALUE"""),"N")</f>
        <v>N</v>
      </c>
      <c r="W670" s="3">
        <f>IFERROR(__xludf.DUMMYFUNCTION("""COMPUTED_VALUE"""),211342.0)</f>
        <v>211342</v>
      </c>
      <c r="X670" s="3" t="str">
        <f>IFERROR(__xludf.DUMMYFUNCTION("""COMPUTED_VALUE"""),"543/118, 543/119, 543/120 ซอยหมู่บ้านการเคหะ ถนนลำพูน ตำบลหนองหอย อำเภอเมืองเชียงใหม่ จังหวัดเชียงใหม่ 50000")</f>
        <v>543/118, 543/119, 543/120 ซอยหมู่บ้านการเคหะ ถนนลำพูน ตำบลหนองหอย อำเภอเมืองเชียงใหม่ จังหวัดเชียงใหม่ 50000</v>
      </c>
      <c r="Y670" s="3"/>
      <c r="Z670" s="3" t="str">
        <f>IFERROR(__xludf.DUMMYFUNCTION("""COMPUTED_VALUE"""),"หนองหอย")</f>
        <v>หนองหอย</v>
      </c>
      <c r="AA670" s="3" t="str">
        <f>IFERROR(__xludf.DUMMYFUNCTION("""COMPUTED_VALUE"""),"เมือง")</f>
        <v>เมือง</v>
      </c>
      <c r="AB670" s="3" t="str">
        <f>IFERROR(__xludf.DUMMYFUNCTION("""COMPUTED_VALUE"""),"เชียงใหม่")</f>
        <v>เชียงใหม่</v>
      </c>
      <c r="AC670" s="3">
        <f>IFERROR(__xludf.DUMMYFUNCTION("""COMPUTED_VALUE"""),50000.0)</f>
        <v>50000</v>
      </c>
      <c r="AD670" s="3">
        <f>IFERROR(__xludf.DUMMYFUNCTION("""COMPUTED_VALUE"""),18.762257)</f>
        <v>18.762257</v>
      </c>
      <c r="AE670" s="3">
        <f>IFERROR(__xludf.DUMMYFUNCTION("""COMPUTED_VALUE"""),99.011215)</f>
        <v>99.011215</v>
      </c>
      <c r="AF670" s="3" t="str">
        <f>IFERROR(__xludf.DUMMYFUNCTION("""COMPUTED_VALUE"""),"MBC เคหะหนองหอย-21438")</f>
        <v>MBC เคหะหนองหอย-21438</v>
      </c>
      <c r="AG670" s="3" t="str">
        <f>IFERROR(__xludf.DUMMYFUNCTION("""COMPUTED_VALUE"""),"เหนือ")</f>
        <v>เหนือ</v>
      </c>
      <c r="AH670" s="3" t="str">
        <f>IFERROR(__xludf.DUMMYFUNCTION("""COMPUTED_VALUE"""),"#N/A")</f>
        <v>#N/A</v>
      </c>
      <c r="AI670" s="3" t="str">
        <f>IFERROR(__xludf.DUMMYFUNCTION("""COMPUTED_VALUE"""),"Out of warranty")</f>
        <v>Out of warranty</v>
      </c>
      <c r="AJ670" s="3">
        <f>IFERROR(__xludf.DUMMYFUNCTION("""COMPUTED_VALUE"""),107.0)</f>
        <v>107</v>
      </c>
      <c r="AK670" s="3" t="str">
        <f>IFERROR(__xludf.DUMMYFUNCTION("""COMPUTED_VALUE"""),"MMS10")</f>
        <v>MMS10</v>
      </c>
      <c r="AL670" s="3"/>
    </row>
    <row r="671" ht="15.75" customHeight="1">
      <c r="A671" s="1" t="str">
        <f>IFERROR(__xludf.DUMMYFUNCTION("""COMPUTED_VALUE"""),"21439")</f>
        <v>21439</v>
      </c>
      <c r="B671" s="2">
        <f>IFERROR(__xludf.DUMMYFUNCTION("""COMPUTED_VALUE"""),21439.0)</f>
        <v>21439</v>
      </c>
      <c r="C671" s="3" t="str">
        <f>IFERROR(__xludf.DUMMYFUNCTION("""COMPUTED_VALUE"""),"MBC หมู่บ้านหรรษา")</f>
        <v>MBC หมู่บ้านหรรษา</v>
      </c>
      <c r="D671" s="3" t="str">
        <f>IFERROR(__xludf.DUMMYFUNCTION("""COMPUTED_VALUE"""),"BCM MOOBAN HANSA")</f>
        <v>BCM MOOBAN HANSA</v>
      </c>
      <c r="E671" s="1" t="str">
        <f>IFERROR(__xludf.DUMMYFUNCTION("""COMPUTED_VALUE"""),"บิ๊กซี MINI")</f>
        <v>บิ๊กซี MINI</v>
      </c>
      <c r="F671" s="1" t="str">
        <f>IFERROR(__xludf.DUMMYFUNCTION("""COMPUTED_VALUE"""),"291008")</f>
        <v>291008</v>
      </c>
      <c r="G671" s="1" t="str">
        <f>IFERROR(__xludf.DUMMYFUNCTION("""COMPUTED_VALUE"""),"น.ส.รัชดาพร อีศรัตน์")</f>
        <v>น.ส.รัชดาพร อีศรัตน์</v>
      </c>
      <c r="H671" s="1" t="str">
        <f>IFERROR(__xludf.DUMMYFUNCTION("""COMPUTED_VALUE"""),"250921")</f>
        <v>250921</v>
      </c>
      <c r="I671" s="1" t="str">
        <f>IFERROR(__xludf.DUMMYFUNCTION("""COMPUTED_VALUE"""),"นายปรัชญาวัต ถิระสังวร")</f>
        <v>นายปรัชญาวัต ถิระสังวร</v>
      </c>
      <c r="J671" s="3">
        <f>IFERROR(__xludf.DUMMYFUNCTION("""COMPUTED_VALUE"""),2452378.0)</f>
        <v>2452378</v>
      </c>
      <c r="K671" s="3" t="str">
        <f>IFERROR(__xludf.DUMMYFUNCTION("""COMPUTED_VALUE"""),"นายศักดิ์ดา พวงประดับ")</f>
        <v>นายศักดิ์ดา พวงประดับ</v>
      </c>
      <c r="L671" s="1" t="str">
        <f>IFERROR(__xludf.DUMMYFUNCTION("""COMPUTED_VALUE"""),"11 K.Sakda P.")</f>
        <v>11 K.Sakda P.</v>
      </c>
      <c r="M671" s="1" t="str">
        <f>IFERROR(__xludf.DUMMYFUNCTION("""COMPUTED_VALUE"""),"065-929-1279")</f>
        <v>065-929-1279</v>
      </c>
      <c r="N671" s="3">
        <f>IFERROR(__xludf.DUMMYFUNCTION("""COMPUTED_VALUE"""),21002.0)</f>
        <v>21002</v>
      </c>
      <c r="O671" s="3" t="str">
        <f>IFERROR(__xludf.DUMMYFUNCTION("""COMPUTED_VALUE"""),"MBC อุดมสุข")</f>
        <v>MBC อุดมสุข</v>
      </c>
      <c r="P671" s="4">
        <f>IFERROR(__xludf.DUMMYFUNCTION("""COMPUTED_VALUE"""),42734.0)</f>
        <v>42734</v>
      </c>
      <c r="Q671" s="3" t="str">
        <f>IFERROR(__xludf.DUMMYFUNCTION("""COMPUTED_VALUE"""),"A")</f>
        <v>A</v>
      </c>
      <c r="R671" s="3" t="str">
        <f>IFERROR(__xludf.DUMMYFUNCTION("""COMPUTED_VALUE"""),"Small Format")</f>
        <v>Small Format</v>
      </c>
      <c r="S671" s="3" t="str">
        <f>IFERROR(__xludf.DUMMYFUNCTION("""COMPUTED_VALUE"""),"BCM")</f>
        <v>BCM</v>
      </c>
      <c r="T671" s="3" t="str">
        <f>IFERROR(__xludf.DUMMYFUNCTION("""COMPUTED_VALUE"""),"#N/A")</f>
        <v>#N/A</v>
      </c>
      <c r="U671" s="3" t="str">
        <f>IFERROR(__xludf.DUMMYFUNCTION("""COMPUTED_VALUE"""),"#N/A")</f>
        <v>#N/A</v>
      </c>
      <c r="V671" s="3" t="str">
        <f>IFERROR(__xludf.DUMMYFUNCTION("""COMPUTED_VALUE"""),"N")</f>
        <v>N</v>
      </c>
      <c r="W671" s="3">
        <f>IFERROR(__xludf.DUMMYFUNCTION("""COMPUTED_VALUE"""),211358.0)</f>
        <v>211358</v>
      </c>
      <c r="X671" s="3" t="str">
        <f>IFERROR(__xludf.DUMMYFUNCTION("""COMPUTED_VALUE"""),"1027,1029,1031 ถนนเพชรเกษม แขวงหนองค้างพลู เขตหนองแขม กรุงเทพมหานคร 10160")</f>
        <v>1027,1029,1031 ถนนเพชรเกษม แขวงหนองค้างพลู เขตหนองแขม กรุงเทพมหานคร 10160</v>
      </c>
      <c r="Y671" s="3" t="str">
        <f>IFERROR(__xludf.DUMMYFUNCTION("""COMPUTED_VALUE"""),"ถนนเพชรเกษม")</f>
        <v>ถนนเพชรเกษม</v>
      </c>
      <c r="Z671" s="3" t="str">
        <f>IFERROR(__xludf.DUMMYFUNCTION("""COMPUTED_VALUE"""),"หนองค้างพลู")</f>
        <v>หนองค้างพลู</v>
      </c>
      <c r="AA671" s="3" t="str">
        <f>IFERROR(__xludf.DUMMYFUNCTION("""COMPUTED_VALUE"""),"หนองแขม")</f>
        <v>หนองแขม</v>
      </c>
      <c r="AB671" s="3" t="str">
        <f>IFERROR(__xludf.DUMMYFUNCTION("""COMPUTED_VALUE"""),"กรุงเทพมหานคร")</f>
        <v>กรุงเทพมหานคร</v>
      </c>
      <c r="AC671" s="3">
        <f>IFERROR(__xludf.DUMMYFUNCTION("""COMPUTED_VALUE"""),10160.0)</f>
        <v>10160</v>
      </c>
      <c r="AD671" s="3">
        <f>IFERROR(__xludf.DUMMYFUNCTION("""COMPUTED_VALUE"""),13.704749)</f>
        <v>13.704749</v>
      </c>
      <c r="AE671" s="3">
        <f>IFERROR(__xludf.DUMMYFUNCTION("""COMPUTED_VALUE"""),100.335375)</f>
        <v>100.335375</v>
      </c>
      <c r="AF671" s="3" t="str">
        <f>IFERROR(__xludf.DUMMYFUNCTION("""COMPUTED_VALUE"""),"MBC หมู่บ้านหรรษา-21439")</f>
        <v>MBC หมู่บ้านหรรษา-21439</v>
      </c>
      <c r="AG671" s="3" t="str">
        <f>IFERROR(__xludf.DUMMYFUNCTION("""COMPUTED_VALUE"""),"กลาง")</f>
        <v>กลาง</v>
      </c>
      <c r="AH671" s="3" t="str">
        <f>IFERROR(__xludf.DUMMYFUNCTION("""COMPUTED_VALUE"""),"#N/A")</f>
        <v>#N/A</v>
      </c>
      <c r="AI671" s="3" t="str">
        <f>IFERROR(__xludf.DUMMYFUNCTION("""COMPUTED_VALUE"""),"Out of warranty")</f>
        <v>Out of warranty</v>
      </c>
      <c r="AJ671" s="3">
        <f>IFERROR(__xludf.DUMMYFUNCTION("""COMPUTED_VALUE"""),109.0)</f>
        <v>109</v>
      </c>
      <c r="AK671" s="3" t="str">
        <f>IFERROR(__xludf.DUMMYFUNCTION("""COMPUTED_VALUE"""),"MMS05")</f>
        <v>MMS05</v>
      </c>
      <c r="AL671" s="3"/>
    </row>
    <row r="672" ht="15.75" customHeight="1">
      <c r="A672" s="1" t="str">
        <f>IFERROR(__xludf.DUMMYFUNCTION("""COMPUTED_VALUE"""),"21440")</f>
        <v>21440</v>
      </c>
      <c r="B672" s="2">
        <f>IFERROR(__xludf.DUMMYFUNCTION("""COMPUTED_VALUE"""),21440.0)</f>
        <v>21440</v>
      </c>
      <c r="C672" s="3" t="str">
        <f>IFERROR(__xludf.DUMMYFUNCTION("""COMPUTED_VALUE"""),"MBC ตลาดบ้านกาด แม่วาง")</f>
        <v>MBC ตลาดบ้านกาด แม่วาง</v>
      </c>
      <c r="D672" s="3" t="str">
        <f>IFERROR(__xludf.DUMMYFUNCTION("""COMPUTED_VALUE"""),"BCM TALAD BAN KAD MAEWANG")</f>
        <v>BCM TALAD BAN KAD MAEWANG</v>
      </c>
      <c r="E672" s="1" t="str">
        <f>IFERROR(__xludf.DUMMYFUNCTION("""COMPUTED_VALUE"""),"บิ๊กซี MINI")</f>
        <v>บิ๊กซี MINI</v>
      </c>
      <c r="F672" s="1" t="str">
        <f>IFERROR(__xludf.DUMMYFUNCTION("""COMPUTED_VALUE"""),"296229")</f>
        <v>296229</v>
      </c>
      <c r="G672" s="1" t="str">
        <f>IFERROR(__xludf.DUMMYFUNCTION("""COMPUTED_VALUE"""),"นายทนงศักดิ์ บุญมา")</f>
        <v>นายทนงศักดิ์ บุญมา</v>
      </c>
      <c r="H672" s="1" t="str">
        <f>IFERROR(__xludf.DUMMYFUNCTION("""COMPUTED_VALUE"""),"392003")</f>
        <v>392003</v>
      </c>
      <c r="I672" s="1" t="str">
        <f>IFERROR(__xludf.DUMMYFUNCTION("""COMPUTED_VALUE"""),"นายวรภพ เศษสูงเนิน")</f>
        <v>นายวรภพ เศษสูงเนิน</v>
      </c>
      <c r="J672" s="3">
        <f>IFERROR(__xludf.DUMMYFUNCTION("""COMPUTED_VALUE"""),2010016.0)</f>
        <v>2010016</v>
      </c>
      <c r="K672" s="3" t="str">
        <f>IFERROR(__xludf.DUMMYFUNCTION("""COMPUTED_VALUE"""),"นายตวงธรรม ใหม่ยศ")</f>
        <v>นายตวงธรรม ใหม่ยศ</v>
      </c>
      <c r="L672" s="1" t="str">
        <f>IFERROR(__xludf.DUMMYFUNCTION("""COMPUTED_VALUE"""),"01 K.Tuangtham M.")</f>
        <v>01 K.Tuangtham M.</v>
      </c>
      <c r="M672" s="1" t="str">
        <f>IFERROR(__xludf.DUMMYFUNCTION("""COMPUTED_VALUE"""),"063-976-595")</f>
        <v>063-976-595</v>
      </c>
      <c r="N672" s="3">
        <f>IFERROR(__xludf.DUMMYFUNCTION("""COMPUTED_VALUE"""),22574.0)</f>
        <v>22574</v>
      </c>
      <c r="O672" s="3" t="str">
        <f>IFERROR(__xludf.DUMMYFUNCTION("""COMPUTED_VALUE"""),"BCM ชุมชนศรีชุม ลำปาง")</f>
        <v>BCM ชุมชนศรีชุม ลำปาง</v>
      </c>
      <c r="P672" s="4">
        <f>IFERROR(__xludf.DUMMYFUNCTION("""COMPUTED_VALUE"""),42731.0)</f>
        <v>42731</v>
      </c>
      <c r="Q672" s="3" t="str">
        <f>IFERROR(__xludf.DUMMYFUNCTION("""COMPUTED_VALUE"""),"A")</f>
        <v>A</v>
      </c>
      <c r="R672" s="3" t="str">
        <f>IFERROR(__xludf.DUMMYFUNCTION("""COMPUTED_VALUE"""),"Small Format")</f>
        <v>Small Format</v>
      </c>
      <c r="S672" s="3" t="str">
        <f>IFERROR(__xludf.DUMMYFUNCTION("""COMPUTED_VALUE"""),"BCM")</f>
        <v>BCM</v>
      </c>
      <c r="T672" s="3" t="str">
        <f>IFERROR(__xludf.DUMMYFUNCTION("""COMPUTED_VALUE"""),"#N/A")</f>
        <v>#N/A</v>
      </c>
      <c r="U672" s="3" t="str">
        <f>IFERROR(__xludf.DUMMYFUNCTION("""COMPUTED_VALUE"""),"#N/A")</f>
        <v>#N/A</v>
      </c>
      <c r="V672" s="3" t="str">
        <f>IFERROR(__xludf.DUMMYFUNCTION("""COMPUTED_VALUE"""),"N")</f>
        <v>N</v>
      </c>
      <c r="W672" s="3">
        <f>IFERROR(__xludf.DUMMYFUNCTION("""COMPUTED_VALUE"""),211363.0)</f>
        <v>211363</v>
      </c>
      <c r="X672" s="3" t="str">
        <f>IFERROR(__xludf.DUMMYFUNCTION("""COMPUTED_VALUE"""),"476 หมู่ 5 ตำบลบ้านกาด อำเภอแม่วาง จังหวัดเชียงใหม่ 50360")</f>
        <v>476 หมู่ 5 ตำบลบ้านกาด อำเภอแม่วาง จังหวัดเชียงใหม่ 50360</v>
      </c>
      <c r="Y672" s="3"/>
      <c r="Z672" s="3" t="str">
        <f>IFERROR(__xludf.DUMMYFUNCTION("""COMPUTED_VALUE"""),"บ้านกาด")</f>
        <v>บ้านกาด</v>
      </c>
      <c r="AA672" s="3" t="str">
        <f>IFERROR(__xludf.DUMMYFUNCTION("""COMPUTED_VALUE"""),"แม่วาง")</f>
        <v>แม่วาง</v>
      </c>
      <c r="AB672" s="3" t="str">
        <f>IFERROR(__xludf.DUMMYFUNCTION("""COMPUTED_VALUE"""),"เชียงใหม่")</f>
        <v>เชียงใหม่</v>
      </c>
      <c r="AC672" s="3">
        <f>IFERROR(__xludf.DUMMYFUNCTION("""COMPUTED_VALUE"""),50360.0)</f>
        <v>50360</v>
      </c>
      <c r="AD672" s="3">
        <f>IFERROR(__xludf.DUMMYFUNCTION("""COMPUTED_VALUE"""),18.599453)</f>
        <v>18.599453</v>
      </c>
      <c r="AE672" s="3">
        <f>IFERROR(__xludf.DUMMYFUNCTION("""COMPUTED_VALUE"""),98.821366)</f>
        <v>98.821366</v>
      </c>
      <c r="AF672" s="3" t="str">
        <f>IFERROR(__xludf.DUMMYFUNCTION("""COMPUTED_VALUE"""),"MBC ตลาดบ้านกาด แม่วาง-21440")</f>
        <v>MBC ตลาดบ้านกาด แม่วาง-21440</v>
      </c>
      <c r="AG672" s="3" t="str">
        <f>IFERROR(__xludf.DUMMYFUNCTION("""COMPUTED_VALUE"""),"เหนือ")</f>
        <v>เหนือ</v>
      </c>
      <c r="AH672" s="3" t="str">
        <f>IFERROR(__xludf.DUMMYFUNCTION("""COMPUTED_VALUE"""),"#N/A")</f>
        <v>#N/A</v>
      </c>
      <c r="AI672" s="3" t="str">
        <f>IFERROR(__xludf.DUMMYFUNCTION("""COMPUTED_VALUE"""),"Out of warranty")</f>
        <v>Out of warranty</v>
      </c>
      <c r="AJ672" s="3">
        <f>IFERROR(__xludf.DUMMYFUNCTION("""COMPUTED_VALUE"""),109.0)</f>
        <v>109</v>
      </c>
      <c r="AK672" s="3" t="str">
        <f>IFERROR(__xludf.DUMMYFUNCTION("""COMPUTED_VALUE"""),"MMS10")</f>
        <v>MMS10</v>
      </c>
      <c r="AL672" s="3"/>
    </row>
    <row r="673" ht="15.75" customHeight="1">
      <c r="A673" s="1" t="str">
        <f>IFERROR(__xludf.DUMMYFUNCTION("""COMPUTED_VALUE"""),"21441")</f>
        <v>21441</v>
      </c>
      <c r="B673" s="2">
        <f>IFERROR(__xludf.DUMMYFUNCTION("""COMPUTED_VALUE"""),21441.0)</f>
        <v>21441</v>
      </c>
      <c r="C673" s="3" t="str">
        <f>IFERROR(__xludf.DUMMYFUNCTION("""COMPUTED_VALUE"""),"MBC บ้านกร่าง พิษณุโลก")</f>
        <v>MBC บ้านกร่าง พิษณุโลก</v>
      </c>
      <c r="D673" s="3" t="str">
        <f>IFERROR(__xludf.DUMMYFUNCTION("""COMPUTED_VALUE"""),"BCM BAN KRANG PHITSANULOK")</f>
        <v>BCM BAN KRANG PHITSANULOK</v>
      </c>
      <c r="E673" s="1" t="str">
        <f>IFERROR(__xludf.DUMMYFUNCTION("""COMPUTED_VALUE"""),"บิ๊กซี MINI")</f>
        <v>บิ๊กซี MINI</v>
      </c>
      <c r="F673" s="1" t="str">
        <f>IFERROR(__xludf.DUMMYFUNCTION("""COMPUTED_VALUE"""),"296229")</f>
        <v>296229</v>
      </c>
      <c r="G673" s="1" t="str">
        <f>IFERROR(__xludf.DUMMYFUNCTION("""COMPUTED_VALUE"""),"นายทนงศักดิ์ บุญมา")</f>
        <v>นายทนงศักดิ์ บุญมา</v>
      </c>
      <c r="H673" s="1" t="str">
        <f>IFERROR(__xludf.DUMMYFUNCTION("""COMPUTED_VALUE"""),"373680")</f>
        <v>373680</v>
      </c>
      <c r="I673" s="1" t="str">
        <f>IFERROR(__xludf.DUMMYFUNCTION("""COMPUTED_VALUE"""),"นายวสันต์ พรรณราย")</f>
        <v>นายวสันต์ พรรณราย</v>
      </c>
      <c r="J673" s="3">
        <f>IFERROR(__xludf.DUMMYFUNCTION("""COMPUTED_VALUE"""),46214.0)</f>
        <v>46214</v>
      </c>
      <c r="K673" s="3" t="str">
        <f>IFERROR(__xludf.DUMMYFUNCTION("""COMPUTED_VALUE"""),"นายศักดิ์ชัย เด็ดดอกฟ้า")</f>
        <v>นายศักดิ์ชัย เด็ดดอกฟ้า</v>
      </c>
      <c r="L673" s="1" t="str">
        <f>IFERROR(__xludf.DUMMYFUNCTION("""COMPUTED_VALUE"""),"02 K.Sakchai D")</f>
        <v>02 K.Sakchai D</v>
      </c>
      <c r="M673" s="1" t="str">
        <f>IFERROR(__xludf.DUMMYFUNCTION("""COMPUTED_VALUE"""),"065-510-7376")</f>
        <v>065-510-7376</v>
      </c>
      <c r="N673" s="3">
        <f>IFERROR(__xludf.DUMMYFUNCTION("""COMPUTED_VALUE"""),21714.0)</f>
        <v>21714</v>
      </c>
      <c r="O673" s="3" t="str">
        <f>IFERROR(__xludf.DUMMYFUNCTION("""COMPUTED_VALUE"""),"MBC เอสโซ่ วัดโบสถ์")</f>
        <v>MBC เอสโซ่ วัดโบสถ์</v>
      </c>
      <c r="P673" s="4">
        <f>IFERROR(__xludf.DUMMYFUNCTION("""COMPUTED_VALUE"""),42730.0)</f>
        <v>42730</v>
      </c>
      <c r="Q673" s="3" t="str">
        <f>IFERROR(__xludf.DUMMYFUNCTION("""COMPUTED_VALUE"""),"A")</f>
        <v>A</v>
      </c>
      <c r="R673" s="3" t="str">
        <f>IFERROR(__xludf.DUMMYFUNCTION("""COMPUTED_VALUE"""),"Small Format")</f>
        <v>Small Format</v>
      </c>
      <c r="S673" s="3" t="str">
        <f>IFERROR(__xludf.DUMMYFUNCTION("""COMPUTED_VALUE"""),"BCM")</f>
        <v>BCM</v>
      </c>
      <c r="T673" s="3" t="str">
        <f>IFERROR(__xludf.DUMMYFUNCTION("""COMPUTED_VALUE"""),"#N/A")</f>
        <v>#N/A</v>
      </c>
      <c r="U673" s="3" t="str">
        <f>IFERROR(__xludf.DUMMYFUNCTION("""COMPUTED_VALUE"""),"#N/A")</f>
        <v>#N/A</v>
      </c>
      <c r="V673" s="3" t="str">
        <f>IFERROR(__xludf.DUMMYFUNCTION("""COMPUTED_VALUE"""),"N")</f>
        <v>N</v>
      </c>
      <c r="W673" s="3">
        <f>IFERROR(__xludf.DUMMYFUNCTION("""COMPUTED_VALUE"""),211355.0)</f>
        <v>211355</v>
      </c>
      <c r="X673" s="3" t="str">
        <f>IFERROR(__xludf.DUMMYFUNCTION("""COMPUTED_VALUE"""),"15/15,93/3 หมู่ 11 ตำบลบ้านกร่าง อำเภอเมืองพิษณุโลก จังหวัดพิษณุโลก 65000")</f>
        <v>15/15,93/3 หมู่ 11 ตำบลบ้านกร่าง อำเภอเมืองพิษณุโลก จังหวัดพิษณุโลก 65000</v>
      </c>
      <c r="Y673" s="3"/>
      <c r="Z673" s="3" t="str">
        <f>IFERROR(__xludf.DUMMYFUNCTION("""COMPUTED_VALUE"""),"บ้านกร่าง")</f>
        <v>บ้านกร่าง</v>
      </c>
      <c r="AA673" s="3" t="str">
        <f>IFERROR(__xludf.DUMMYFUNCTION("""COMPUTED_VALUE"""),"เมือง")</f>
        <v>เมือง</v>
      </c>
      <c r="AB673" s="3" t="str">
        <f>IFERROR(__xludf.DUMMYFUNCTION("""COMPUTED_VALUE"""),"พิษณุโลก")</f>
        <v>พิษณุโลก</v>
      </c>
      <c r="AC673" s="3">
        <f>IFERROR(__xludf.DUMMYFUNCTION("""COMPUTED_VALUE"""),65000.0)</f>
        <v>65000</v>
      </c>
      <c r="AD673" s="3">
        <f>IFERROR(__xludf.DUMMYFUNCTION("""COMPUTED_VALUE"""),16.8795)</f>
        <v>16.8795</v>
      </c>
      <c r="AE673" s="3">
        <f>IFERROR(__xludf.DUMMYFUNCTION("""COMPUTED_VALUE"""),100.204906)</f>
        <v>100.204906</v>
      </c>
      <c r="AF673" s="3" t="str">
        <f>IFERROR(__xludf.DUMMYFUNCTION("""COMPUTED_VALUE"""),"MBC บ้านกร่าง พิษณุโลก-21441")</f>
        <v>MBC บ้านกร่าง พิษณุโลก-21441</v>
      </c>
      <c r="AG673" s="3" t="str">
        <f>IFERROR(__xludf.DUMMYFUNCTION("""COMPUTED_VALUE"""),"กลาง")</f>
        <v>กลาง</v>
      </c>
      <c r="AH673" s="3" t="str">
        <f>IFERROR(__xludf.DUMMYFUNCTION("""COMPUTED_VALUE"""),"#N/A")</f>
        <v>#N/A</v>
      </c>
      <c r="AI673" s="3" t="str">
        <f>IFERROR(__xludf.DUMMYFUNCTION("""COMPUTED_VALUE"""),"Out of warranty")</f>
        <v>Out of warranty</v>
      </c>
      <c r="AJ673" s="3">
        <f>IFERROR(__xludf.DUMMYFUNCTION("""COMPUTED_VALUE"""),109.0)</f>
        <v>109</v>
      </c>
      <c r="AK673" s="3" t="str">
        <f>IFERROR(__xludf.DUMMYFUNCTION("""COMPUTED_VALUE"""),"MMS09")</f>
        <v>MMS09</v>
      </c>
      <c r="AL673" s="3"/>
    </row>
    <row r="674" ht="15.75" customHeight="1">
      <c r="A674" s="1" t="str">
        <f>IFERROR(__xludf.DUMMYFUNCTION("""COMPUTED_VALUE"""),"21442")</f>
        <v>21442</v>
      </c>
      <c r="B674" s="2">
        <f>IFERROR(__xludf.DUMMYFUNCTION("""COMPUTED_VALUE"""),21442.0)</f>
        <v>21442</v>
      </c>
      <c r="C674" s="3" t="str">
        <f>IFERROR(__xludf.DUMMYFUNCTION("""COMPUTED_VALUE"""),"MBC ตลาดประตูก่อม")</f>
        <v>MBC ตลาดประตูก่อม</v>
      </c>
      <c r="D674" s="3" t="str">
        <f>IFERROR(__xludf.DUMMYFUNCTION("""COMPUTED_VALUE"""),"BCM TALAD PRATUKOM")</f>
        <v>BCM TALAD PRATUKOM</v>
      </c>
      <c r="E674" s="1" t="str">
        <f>IFERROR(__xludf.DUMMYFUNCTION("""COMPUTED_VALUE"""),"บิ๊กซี MINI")</f>
        <v>บิ๊กซี MINI</v>
      </c>
      <c r="F674" s="1" t="str">
        <f>IFERROR(__xludf.DUMMYFUNCTION("""COMPUTED_VALUE"""),"296229")</f>
        <v>296229</v>
      </c>
      <c r="G674" s="1" t="str">
        <f>IFERROR(__xludf.DUMMYFUNCTION("""COMPUTED_VALUE"""),"นายทนงศักดิ์ บุญมา")</f>
        <v>นายทนงศักดิ์ บุญมา</v>
      </c>
      <c r="H674" s="1" t="str">
        <f>IFERROR(__xludf.DUMMYFUNCTION("""COMPUTED_VALUE"""),"393402")</f>
        <v>393402</v>
      </c>
      <c r="I674" s="1" t="str">
        <f>IFERROR(__xludf.DUMMYFUNCTION("""COMPUTED_VALUE"""),"น.ส.ปารมิตา ใจตรง")</f>
        <v>น.ส.ปารมิตา ใจตรง</v>
      </c>
      <c r="J674" s="3">
        <f>IFERROR(__xludf.DUMMYFUNCTION("""COMPUTED_VALUE"""),2010016.0)</f>
        <v>2010016</v>
      </c>
      <c r="K674" s="3" t="str">
        <f>IFERROR(__xludf.DUMMYFUNCTION("""COMPUTED_VALUE"""),"นายตวงธรรม ใหม่ยศ")</f>
        <v>นายตวงธรรม ใหม่ยศ</v>
      </c>
      <c r="L674" s="1" t="str">
        <f>IFERROR(__xludf.DUMMYFUNCTION("""COMPUTED_VALUE"""),"01 K.Tuangtham M.")</f>
        <v>01 K.Tuangtham M.</v>
      </c>
      <c r="M674" s="1" t="str">
        <f>IFERROR(__xludf.DUMMYFUNCTION("""COMPUTED_VALUE"""),"063-976-595")</f>
        <v>063-976-595</v>
      </c>
      <c r="N674" s="3">
        <f>IFERROR(__xludf.DUMMYFUNCTION("""COMPUTED_VALUE"""),22574.0)</f>
        <v>22574</v>
      </c>
      <c r="O674" s="3" t="str">
        <f>IFERROR(__xludf.DUMMYFUNCTION("""COMPUTED_VALUE"""),"BCM ชุมชนศรีชุม ลำปาง")</f>
        <v>BCM ชุมชนศรีชุม ลำปาง</v>
      </c>
      <c r="P674" s="4">
        <f>IFERROR(__xludf.DUMMYFUNCTION("""COMPUTED_VALUE"""),42926.0)</f>
        <v>42926</v>
      </c>
      <c r="Q674" s="3" t="str">
        <f>IFERROR(__xludf.DUMMYFUNCTION("""COMPUTED_VALUE"""),"A")</f>
        <v>A</v>
      </c>
      <c r="R674" s="3" t="str">
        <f>IFERROR(__xludf.DUMMYFUNCTION("""COMPUTED_VALUE"""),"Small Format")</f>
        <v>Small Format</v>
      </c>
      <c r="S674" s="3" t="str">
        <f>IFERROR(__xludf.DUMMYFUNCTION("""COMPUTED_VALUE"""),"BCM")</f>
        <v>BCM</v>
      </c>
      <c r="T674" s="3" t="str">
        <f>IFERROR(__xludf.DUMMYFUNCTION("""COMPUTED_VALUE"""),"#N/A")</f>
        <v>#N/A</v>
      </c>
      <c r="U674" s="3" t="str">
        <f>IFERROR(__xludf.DUMMYFUNCTION("""COMPUTED_VALUE"""),"#N/A")</f>
        <v>#N/A</v>
      </c>
      <c r="V674" s="3" t="str">
        <f>IFERROR(__xludf.DUMMYFUNCTION("""COMPUTED_VALUE"""),"N")</f>
        <v>N</v>
      </c>
      <c r="W674" s="3">
        <f>IFERROR(__xludf.DUMMYFUNCTION("""COMPUTED_VALUE"""),211364.0)</f>
        <v>211364</v>
      </c>
      <c r="X674" s="3" t="str">
        <f>IFERROR(__xludf.DUMMYFUNCTION("""COMPUTED_VALUE"""),"68/2-5 ถนนสุริยวงศ์ ตำบลหายยา อำเภอเมืองเชียงใหม่ จังหวัดเชียงใหม่ 50100")</f>
        <v>68/2-5 ถนนสุริยวงศ์ ตำบลหายยา อำเภอเมืองเชียงใหม่ จังหวัดเชียงใหม่ 50100</v>
      </c>
      <c r="Y674" s="3" t="str">
        <f>IFERROR(__xludf.DUMMYFUNCTION("""COMPUTED_VALUE"""),"ถนนสุริยวงศ์")</f>
        <v>ถนนสุริยวงศ์</v>
      </c>
      <c r="Z674" s="3" t="str">
        <f>IFERROR(__xludf.DUMMYFUNCTION("""COMPUTED_VALUE"""),"หายยา")</f>
        <v>หายยา</v>
      </c>
      <c r="AA674" s="3" t="str">
        <f>IFERROR(__xludf.DUMMYFUNCTION("""COMPUTED_VALUE"""),"เมือง")</f>
        <v>เมือง</v>
      </c>
      <c r="AB674" s="3" t="str">
        <f>IFERROR(__xludf.DUMMYFUNCTION("""COMPUTED_VALUE"""),"เชียงใหม่")</f>
        <v>เชียงใหม่</v>
      </c>
      <c r="AC674" s="3">
        <f>IFERROR(__xludf.DUMMYFUNCTION("""COMPUTED_VALUE"""),50100.0)</f>
        <v>50100</v>
      </c>
      <c r="AD674" s="3">
        <f>IFERROR(__xludf.DUMMYFUNCTION("""COMPUTED_VALUE"""),18.774927)</f>
        <v>18.774927</v>
      </c>
      <c r="AE674" s="3">
        <f>IFERROR(__xludf.DUMMYFUNCTION("""COMPUTED_VALUE"""),98.989922)</f>
        <v>98.989922</v>
      </c>
      <c r="AF674" s="3" t="str">
        <f>IFERROR(__xludf.DUMMYFUNCTION("""COMPUTED_VALUE"""),"MBC ตลาดประตูก่อม-21442")</f>
        <v>MBC ตลาดประตูก่อม-21442</v>
      </c>
      <c r="AG674" s="3" t="str">
        <f>IFERROR(__xludf.DUMMYFUNCTION("""COMPUTED_VALUE"""),"เหนือ")</f>
        <v>เหนือ</v>
      </c>
      <c r="AH674" s="3" t="str">
        <f>IFERROR(__xludf.DUMMYFUNCTION("""COMPUTED_VALUE"""),"#N/A")</f>
        <v>#N/A</v>
      </c>
      <c r="AI674" s="3" t="str">
        <f>IFERROR(__xludf.DUMMYFUNCTION("""COMPUTED_VALUE"""),"Out of warranty")</f>
        <v>Out of warranty</v>
      </c>
      <c r="AJ674" s="3">
        <f>IFERROR(__xludf.DUMMYFUNCTION("""COMPUTED_VALUE"""),103.0)</f>
        <v>103</v>
      </c>
      <c r="AK674" s="3" t="str">
        <f>IFERROR(__xludf.DUMMYFUNCTION("""COMPUTED_VALUE"""),"MMS10")</f>
        <v>MMS10</v>
      </c>
      <c r="AL674" s="3"/>
    </row>
    <row r="675" ht="15.75" customHeight="1">
      <c r="A675" s="1" t="str">
        <f>IFERROR(__xludf.DUMMYFUNCTION("""COMPUTED_VALUE"""),"21443")</f>
        <v>21443</v>
      </c>
      <c r="B675" s="2">
        <f>IFERROR(__xludf.DUMMYFUNCTION("""COMPUTED_VALUE"""),21443.0)</f>
        <v>21443</v>
      </c>
      <c r="C675" s="3" t="str">
        <f>IFERROR(__xludf.DUMMYFUNCTION("""COMPUTED_VALUE"""),"MBC พญาเสือ")</f>
        <v>MBC พญาเสือ</v>
      </c>
      <c r="D675" s="3" t="str">
        <f>IFERROR(__xludf.DUMMYFUNCTION("""COMPUTED_VALUE"""),"BCM PHRAYA SUE")</f>
        <v>BCM PHRAYA SUE</v>
      </c>
      <c r="E675" s="1" t="str">
        <f>IFERROR(__xludf.DUMMYFUNCTION("""COMPUTED_VALUE"""),"บิ๊กซี MINI")</f>
        <v>บิ๊กซี MINI</v>
      </c>
      <c r="F675" s="1" t="str">
        <f>IFERROR(__xludf.DUMMYFUNCTION("""COMPUTED_VALUE"""),"296229")</f>
        <v>296229</v>
      </c>
      <c r="G675" s="1" t="str">
        <f>IFERROR(__xludf.DUMMYFUNCTION("""COMPUTED_VALUE"""),"นายทนงศักดิ์ บุญมา")</f>
        <v>นายทนงศักดิ์ บุญมา</v>
      </c>
      <c r="H675" s="1" t="str">
        <f>IFERROR(__xludf.DUMMYFUNCTION("""COMPUTED_VALUE"""),"373680")</f>
        <v>373680</v>
      </c>
      <c r="I675" s="1" t="str">
        <f>IFERROR(__xludf.DUMMYFUNCTION("""COMPUTED_VALUE"""),"นายวสันต์ พรรณราย")</f>
        <v>นายวสันต์ พรรณราย</v>
      </c>
      <c r="J675" s="3">
        <f>IFERROR(__xludf.DUMMYFUNCTION("""COMPUTED_VALUE"""),46214.0)</f>
        <v>46214</v>
      </c>
      <c r="K675" s="3" t="str">
        <f>IFERROR(__xludf.DUMMYFUNCTION("""COMPUTED_VALUE"""),"นายศักดิ์ชัย เด็ดดอกฟ้า")</f>
        <v>นายศักดิ์ชัย เด็ดดอกฟ้า</v>
      </c>
      <c r="L675" s="1" t="str">
        <f>IFERROR(__xludf.DUMMYFUNCTION("""COMPUTED_VALUE"""),"02 K.Sakchai D")</f>
        <v>02 K.Sakchai D</v>
      </c>
      <c r="M675" s="1" t="str">
        <f>IFERROR(__xludf.DUMMYFUNCTION("""COMPUTED_VALUE"""),"065-510-7376")</f>
        <v>065-510-7376</v>
      </c>
      <c r="N675" s="3">
        <f>IFERROR(__xludf.DUMMYFUNCTION("""COMPUTED_VALUE"""),21714.0)</f>
        <v>21714</v>
      </c>
      <c r="O675" s="3" t="str">
        <f>IFERROR(__xludf.DUMMYFUNCTION("""COMPUTED_VALUE"""),"MBC เอสโซ่ วัดโบสถ์")</f>
        <v>MBC เอสโซ่ วัดโบสถ์</v>
      </c>
      <c r="P675" s="4">
        <f>IFERROR(__xludf.DUMMYFUNCTION("""COMPUTED_VALUE"""),42734.0)</f>
        <v>42734</v>
      </c>
      <c r="Q675" s="3" t="str">
        <f>IFERROR(__xludf.DUMMYFUNCTION("""COMPUTED_VALUE"""),"A")</f>
        <v>A</v>
      </c>
      <c r="R675" s="3" t="str">
        <f>IFERROR(__xludf.DUMMYFUNCTION("""COMPUTED_VALUE"""),"Small Format")</f>
        <v>Small Format</v>
      </c>
      <c r="S675" s="3" t="str">
        <f>IFERROR(__xludf.DUMMYFUNCTION("""COMPUTED_VALUE"""),"BCM")</f>
        <v>BCM</v>
      </c>
      <c r="T675" s="3" t="str">
        <f>IFERROR(__xludf.DUMMYFUNCTION("""COMPUTED_VALUE"""),"#N/A")</f>
        <v>#N/A</v>
      </c>
      <c r="U675" s="3" t="str">
        <f>IFERROR(__xludf.DUMMYFUNCTION("""COMPUTED_VALUE"""),"#N/A")</f>
        <v>#N/A</v>
      </c>
      <c r="V675" s="3" t="str">
        <f>IFERROR(__xludf.DUMMYFUNCTION("""COMPUTED_VALUE"""),"N")</f>
        <v>N</v>
      </c>
      <c r="W675" s="3">
        <f>IFERROR(__xludf.DUMMYFUNCTION("""COMPUTED_VALUE"""),211361.0)</f>
        <v>211361</v>
      </c>
      <c r="X675" s="3" t="str">
        <f>IFERROR(__xludf.DUMMYFUNCTION("""COMPUTED_VALUE"""),"287/9-13 ถนนพญาเสือ ตำบลในเมือง อำเภอเมืองพิษณุโลก จังหวัดพิษณุโลก 65000")</f>
        <v>287/9-13 ถนนพญาเสือ ตำบลในเมือง อำเภอเมืองพิษณุโลก จังหวัดพิษณุโลก 65000</v>
      </c>
      <c r="Y675" s="3" t="str">
        <f>IFERROR(__xludf.DUMMYFUNCTION("""COMPUTED_VALUE"""),"ถนนพญาเสือ")</f>
        <v>ถนนพญาเสือ</v>
      </c>
      <c r="Z675" s="3" t="str">
        <f>IFERROR(__xludf.DUMMYFUNCTION("""COMPUTED_VALUE"""),"ในเมือง")</f>
        <v>ในเมือง</v>
      </c>
      <c r="AA675" s="3" t="str">
        <f>IFERROR(__xludf.DUMMYFUNCTION("""COMPUTED_VALUE"""),"เมือง")</f>
        <v>เมือง</v>
      </c>
      <c r="AB675" s="3" t="str">
        <f>IFERROR(__xludf.DUMMYFUNCTION("""COMPUTED_VALUE"""),"พิษณุโลก")</f>
        <v>พิษณุโลก</v>
      </c>
      <c r="AC675" s="3">
        <f>IFERROR(__xludf.DUMMYFUNCTION("""COMPUTED_VALUE"""),65000.0)</f>
        <v>65000</v>
      </c>
      <c r="AD675" s="3">
        <f>IFERROR(__xludf.DUMMYFUNCTION("""COMPUTED_VALUE"""),16.825823)</f>
        <v>16.825823</v>
      </c>
      <c r="AE675" s="3">
        <f>IFERROR(__xludf.DUMMYFUNCTION("""COMPUTED_VALUE"""),100.269302)</f>
        <v>100.269302</v>
      </c>
      <c r="AF675" s="3" t="str">
        <f>IFERROR(__xludf.DUMMYFUNCTION("""COMPUTED_VALUE"""),"MBC พญาเสือ-21443")</f>
        <v>MBC พญาเสือ-21443</v>
      </c>
      <c r="AG675" s="3" t="str">
        <f>IFERROR(__xludf.DUMMYFUNCTION("""COMPUTED_VALUE"""),"กลาง")</f>
        <v>กลาง</v>
      </c>
      <c r="AH675" s="3" t="str">
        <f>IFERROR(__xludf.DUMMYFUNCTION("""COMPUTED_VALUE"""),"#N/A")</f>
        <v>#N/A</v>
      </c>
      <c r="AI675" s="3" t="str">
        <f>IFERROR(__xludf.DUMMYFUNCTION("""COMPUTED_VALUE"""),"Out of warranty")</f>
        <v>Out of warranty</v>
      </c>
      <c r="AJ675" s="3">
        <f>IFERROR(__xludf.DUMMYFUNCTION("""COMPUTED_VALUE"""),109.0)</f>
        <v>109</v>
      </c>
      <c r="AK675" s="3" t="str">
        <f>IFERROR(__xludf.DUMMYFUNCTION("""COMPUTED_VALUE"""),"MMS09")</f>
        <v>MMS09</v>
      </c>
      <c r="AL675" s="3"/>
    </row>
    <row r="676" ht="15.75" customHeight="1">
      <c r="A676" s="1" t="str">
        <f>IFERROR(__xludf.DUMMYFUNCTION("""COMPUTED_VALUE"""),"21444")</f>
        <v>21444</v>
      </c>
      <c r="B676" s="2">
        <f>IFERROR(__xludf.DUMMYFUNCTION("""COMPUTED_VALUE"""),21444.0)</f>
        <v>21444</v>
      </c>
      <c r="C676" s="3" t="str">
        <f>IFERROR(__xludf.DUMMYFUNCTION("""COMPUTED_VALUE"""),"MBC มหาวิทยาลัยนเรศวร")</f>
        <v>MBC มหาวิทยาลัยนเรศวร</v>
      </c>
      <c r="D676" s="3" t="str">
        <f>IFERROR(__xludf.DUMMYFUNCTION("""COMPUTED_VALUE"""),"BCM NARAESUAN U.")</f>
        <v>BCM NARAESUAN U.</v>
      </c>
      <c r="E676" s="1" t="str">
        <f>IFERROR(__xludf.DUMMYFUNCTION("""COMPUTED_VALUE"""),"บิ๊กซี MINI")</f>
        <v>บิ๊กซี MINI</v>
      </c>
      <c r="F676" s="1" t="str">
        <f>IFERROR(__xludf.DUMMYFUNCTION("""COMPUTED_VALUE"""),"296229")</f>
        <v>296229</v>
      </c>
      <c r="G676" s="1" t="str">
        <f>IFERROR(__xludf.DUMMYFUNCTION("""COMPUTED_VALUE"""),"นายทนงศักดิ์ บุญมา")</f>
        <v>นายทนงศักดิ์ บุญมา</v>
      </c>
      <c r="H676" s="1" t="str">
        <f>IFERROR(__xludf.DUMMYFUNCTION("""COMPUTED_VALUE"""),"318186")</f>
        <v>318186</v>
      </c>
      <c r="I676" s="1" t="str">
        <f>IFERROR(__xludf.DUMMYFUNCTION("""COMPUTED_VALUE"""),"น.ส.พนมวัลย์ เรืองรัตน์")</f>
        <v>น.ส.พนมวัลย์ เรืองรัตน์</v>
      </c>
      <c r="J676" s="3">
        <f>IFERROR(__xludf.DUMMYFUNCTION("""COMPUTED_VALUE"""),46214.0)</f>
        <v>46214</v>
      </c>
      <c r="K676" s="3" t="str">
        <f>IFERROR(__xludf.DUMMYFUNCTION("""COMPUTED_VALUE"""),"นายศักดิ์ชัย เด็ดดอกฟ้า")</f>
        <v>นายศักดิ์ชัย เด็ดดอกฟ้า</v>
      </c>
      <c r="L676" s="1" t="str">
        <f>IFERROR(__xludf.DUMMYFUNCTION("""COMPUTED_VALUE"""),"02 K.Sakchai D")</f>
        <v>02 K.Sakchai D</v>
      </c>
      <c r="M676" s="1" t="str">
        <f>IFERROR(__xludf.DUMMYFUNCTION("""COMPUTED_VALUE"""),"065-510-7376")</f>
        <v>065-510-7376</v>
      </c>
      <c r="N676" s="3">
        <f>IFERROR(__xludf.DUMMYFUNCTION("""COMPUTED_VALUE"""),21441.0)</f>
        <v>21441</v>
      </c>
      <c r="O676" s="3" t="str">
        <f>IFERROR(__xludf.DUMMYFUNCTION("""COMPUTED_VALUE"""),"MBC บ้านกร่าง พิษณุโลก")</f>
        <v>MBC บ้านกร่าง พิษณุโลก</v>
      </c>
      <c r="P676" s="4">
        <f>IFERROR(__xludf.DUMMYFUNCTION("""COMPUTED_VALUE"""),42734.0)</f>
        <v>42734</v>
      </c>
      <c r="Q676" s="3" t="str">
        <f>IFERROR(__xludf.DUMMYFUNCTION("""COMPUTED_VALUE"""),"I")</f>
        <v>I</v>
      </c>
      <c r="R676" s="3" t="str">
        <f>IFERROR(__xludf.DUMMYFUNCTION("""COMPUTED_VALUE"""),"Small Format")</f>
        <v>Small Format</v>
      </c>
      <c r="S676" s="3" t="str">
        <f>IFERROR(__xludf.DUMMYFUNCTION("""COMPUTED_VALUE"""),"BCM")</f>
        <v>BCM</v>
      </c>
      <c r="T676" s="3" t="str">
        <f>IFERROR(__xludf.DUMMYFUNCTION("""COMPUTED_VALUE"""),"#N/A")</f>
        <v>#N/A</v>
      </c>
      <c r="U676" s="3" t="str">
        <f>IFERROR(__xludf.DUMMYFUNCTION("""COMPUTED_VALUE"""),"#N/A")</f>
        <v>#N/A</v>
      </c>
      <c r="V676" s="3" t="str">
        <f>IFERROR(__xludf.DUMMYFUNCTION("""COMPUTED_VALUE"""),"N")</f>
        <v>N</v>
      </c>
      <c r="W676" s="3">
        <f>IFERROR(__xludf.DUMMYFUNCTION("""COMPUTED_VALUE"""),211362.0)</f>
        <v>211362</v>
      </c>
      <c r="X676" s="3" t="str">
        <f>IFERROR(__xludf.DUMMYFUNCTION("""COMPUTED_VALUE"""),"218,218/2 หมู่ 7 ตำบลท่าโพธิ์ อำเภอเมืองพิษณุโลก จังหวัดพิษณุโลก 65000")</f>
        <v>218,218/2 หมู่ 7 ตำบลท่าโพธิ์ อำเภอเมืองพิษณุโลก จังหวัดพิษณุโลก 65000</v>
      </c>
      <c r="Y676" s="3"/>
      <c r="Z676" s="3" t="str">
        <f>IFERROR(__xludf.DUMMYFUNCTION("""COMPUTED_VALUE"""),"ท่าโพธิ์")</f>
        <v>ท่าโพธิ์</v>
      </c>
      <c r="AA676" s="3" t="str">
        <f>IFERROR(__xludf.DUMMYFUNCTION("""COMPUTED_VALUE"""),"เมือง")</f>
        <v>เมือง</v>
      </c>
      <c r="AB676" s="3" t="str">
        <f>IFERROR(__xludf.DUMMYFUNCTION("""COMPUTED_VALUE"""),"พิษณุโลก")</f>
        <v>พิษณุโลก</v>
      </c>
      <c r="AC676" s="3">
        <f>IFERROR(__xludf.DUMMYFUNCTION("""COMPUTED_VALUE"""),65000.0)</f>
        <v>65000</v>
      </c>
      <c r="AD676" s="3">
        <f>IFERROR(__xludf.DUMMYFUNCTION("""COMPUTED_VALUE"""),16.753868)</f>
        <v>16.753868</v>
      </c>
      <c r="AE676" s="3">
        <f>IFERROR(__xludf.DUMMYFUNCTION("""COMPUTED_VALUE"""),100.196642)</f>
        <v>100.196642</v>
      </c>
      <c r="AF676" s="3" t="str">
        <f>IFERROR(__xludf.DUMMYFUNCTION("""COMPUTED_VALUE"""),"MBC มหาวิทยาลัยนเรศวร-21444")</f>
        <v>MBC มหาวิทยาลัยนเรศวร-21444</v>
      </c>
      <c r="AG676" s="3" t="str">
        <f>IFERROR(__xludf.DUMMYFUNCTION("""COMPUTED_VALUE"""),"กลาง")</f>
        <v>กลาง</v>
      </c>
      <c r="AH676" s="3" t="str">
        <f>IFERROR(__xludf.DUMMYFUNCTION("""COMPUTED_VALUE"""),"#N/A")</f>
        <v>#N/A</v>
      </c>
      <c r="AI676" s="3" t="str">
        <f>IFERROR(__xludf.DUMMYFUNCTION("""COMPUTED_VALUE"""),"Out of warranty")</f>
        <v>Out of warranty</v>
      </c>
      <c r="AJ676" s="3">
        <f>IFERROR(__xludf.DUMMYFUNCTION("""COMPUTED_VALUE"""),109.0)</f>
        <v>109</v>
      </c>
      <c r="AK676" s="3"/>
      <c r="AL676" s="3"/>
    </row>
    <row r="677" ht="15.75" customHeight="1">
      <c r="A677" s="1" t="str">
        <f>IFERROR(__xludf.DUMMYFUNCTION("""COMPUTED_VALUE"""),"21445")</f>
        <v>21445</v>
      </c>
      <c r="B677" s="2">
        <f>IFERROR(__xludf.DUMMYFUNCTION("""COMPUTED_VALUE"""),21445.0)</f>
        <v>21445</v>
      </c>
      <c r="C677" s="3" t="str">
        <f>IFERROR(__xludf.DUMMYFUNCTION("""COMPUTED_VALUE"""),"MBC แสงเพ็ชร")</f>
        <v>MBC แสงเพ็ชร</v>
      </c>
      <c r="D677" s="3" t="str">
        <f>IFERROR(__xludf.DUMMYFUNCTION("""COMPUTED_VALUE"""),"MBC SEANG PHET")</f>
        <v>MBC SEANG PHET</v>
      </c>
      <c r="E677" s="1" t="str">
        <f>IFERROR(__xludf.DUMMYFUNCTION("""COMPUTED_VALUE"""),"บิ๊กซี MINI")</f>
        <v>บิ๊กซี MINI</v>
      </c>
      <c r="F677" s="1" t="str">
        <f>IFERROR(__xludf.DUMMYFUNCTION("""COMPUTED_VALUE"""),"2010918")</f>
        <v>2010918</v>
      </c>
      <c r="G677" s="1" t="str">
        <f>IFERROR(__xludf.DUMMYFUNCTION("""COMPUTED_VALUE"""),"น.ส.สุดารัตน์ รัตนประดิษฐ์")</f>
        <v>น.ส.สุดารัตน์ รัตนประดิษฐ์</v>
      </c>
      <c r="H677" s="1" t="str">
        <f>IFERROR(__xludf.DUMMYFUNCTION("""COMPUTED_VALUE"""),"228389")</f>
        <v>228389</v>
      </c>
      <c r="I677" s="1" t="str">
        <f>IFERROR(__xludf.DUMMYFUNCTION("""COMPUTED_VALUE"""),"นายมณีรันดร์ ชัยชนะ")</f>
        <v>นายมณีรันดร์ ชัยชนะ</v>
      </c>
      <c r="J677" s="3">
        <f>IFERROR(__xludf.DUMMYFUNCTION("""COMPUTED_VALUE"""),2.0470331E7)</f>
        <v>20470331</v>
      </c>
      <c r="K677" s="3" t="str">
        <f>IFERROR(__xludf.DUMMYFUNCTION("""COMPUTED_VALUE"""),"นายสมชาย ลักษณะสุวรรณ")</f>
        <v>นายสมชาย ลักษณะสุวรรณ</v>
      </c>
      <c r="L677" s="1" t="str">
        <f>IFERROR(__xludf.DUMMYFUNCTION("""COMPUTED_VALUE"""),"15 K.Somchai L")</f>
        <v>15 K.Somchai L</v>
      </c>
      <c r="M677" s="1" t="str">
        <f>IFERROR(__xludf.DUMMYFUNCTION("""COMPUTED_VALUE"""),"0655107372")</f>
        <v>0655107372</v>
      </c>
      <c r="N677" s="3">
        <f>IFERROR(__xludf.DUMMYFUNCTION("""COMPUTED_VALUE"""),21723.0)</f>
        <v>21723</v>
      </c>
      <c r="O677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677" s="4">
        <f>IFERROR(__xludf.DUMMYFUNCTION("""COMPUTED_VALUE"""),42734.0)</f>
        <v>42734</v>
      </c>
      <c r="Q677" s="3" t="str">
        <f>IFERROR(__xludf.DUMMYFUNCTION("""COMPUTED_VALUE"""),"I")</f>
        <v>I</v>
      </c>
      <c r="R677" s="3" t="str">
        <f>IFERROR(__xludf.DUMMYFUNCTION("""COMPUTED_VALUE"""),"Small Format")</f>
        <v>Small Format</v>
      </c>
      <c r="S677" s="3" t="str">
        <f>IFERROR(__xludf.DUMMYFUNCTION("""COMPUTED_VALUE"""),"BCM")</f>
        <v>BCM</v>
      </c>
      <c r="T677" s="3" t="str">
        <f>IFERROR(__xludf.DUMMYFUNCTION("""COMPUTED_VALUE"""),"#N/A")</f>
        <v>#N/A</v>
      </c>
      <c r="U677" s="3" t="str">
        <f>IFERROR(__xludf.DUMMYFUNCTION("""COMPUTED_VALUE"""),"#N/A")</f>
        <v>#N/A</v>
      </c>
      <c r="V677" s="3" t="str">
        <f>IFERROR(__xludf.DUMMYFUNCTION("""COMPUTED_VALUE"""),"N")</f>
        <v>N</v>
      </c>
      <c r="W677" s="3">
        <f>IFERROR(__xludf.DUMMYFUNCTION("""COMPUTED_VALUE"""),0.0)</f>
        <v>0</v>
      </c>
      <c r="X677" s="3" t="str">
        <f>IFERROR(__xludf.DUMMYFUNCTION("""COMPUTED_VALUE"""),"359/37-39 หมู่ 4 ถนนชนเกษม ตำบลมะขามเตี้ย อำเภอเมืองสุราษฎร์ธานี จังหวัดสุราษฎร์ธานี 84000")</f>
        <v>359/37-39 หมู่ 4 ถนนชนเกษม ตำบลมะขามเตี้ย อำเภอเมืองสุราษฎร์ธานี จังหวัดสุราษฎร์ธานี 84000</v>
      </c>
      <c r="Y677" s="3"/>
      <c r="Z677" s="3" t="str">
        <f>IFERROR(__xludf.DUMMYFUNCTION("""COMPUTED_VALUE"""),"มะขามเตี้ย")</f>
        <v>มะขามเตี้ย</v>
      </c>
      <c r="AA677" s="3" t="str">
        <f>IFERROR(__xludf.DUMMYFUNCTION("""COMPUTED_VALUE"""),"เมือง")</f>
        <v>เมือง</v>
      </c>
      <c r="AB677" s="3" t="str">
        <f>IFERROR(__xludf.DUMMYFUNCTION("""COMPUTED_VALUE"""),"สุราษฎร์ธานี")</f>
        <v>สุราษฎร์ธานี</v>
      </c>
      <c r="AC677" s="3">
        <f>IFERROR(__xludf.DUMMYFUNCTION("""COMPUTED_VALUE"""),84000.0)</f>
        <v>84000</v>
      </c>
      <c r="AD677" s="3" t="str">
        <f>IFERROR(__xludf.DUMMYFUNCTION("""COMPUTED_VALUE"""),"#N/A")</f>
        <v>#N/A</v>
      </c>
      <c r="AE677" s="3" t="str">
        <f>IFERROR(__xludf.DUMMYFUNCTION("""COMPUTED_VALUE"""),"#N/A")</f>
        <v>#N/A</v>
      </c>
      <c r="AF677" s="3" t="str">
        <f>IFERROR(__xludf.DUMMYFUNCTION("""COMPUTED_VALUE"""),"MBC แสงเพ็ชร-21445")</f>
        <v>MBC แสงเพ็ชร-21445</v>
      </c>
      <c r="AG677" s="3" t="str">
        <f>IFERROR(__xludf.DUMMYFUNCTION("""COMPUTED_VALUE"""),"ใต้")</f>
        <v>ใต้</v>
      </c>
      <c r="AH677" s="3" t="str">
        <f>IFERROR(__xludf.DUMMYFUNCTION("""COMPUTED_VALUE"""),"#N/A")</f>
        <v>#N/A</v>
      </c>
      <c r="AI677" s="3" t="str">
        <f>IFERROR(__xludf.DUMMYFUNCTION("""COMPUTED_VALUE"""),"Out of warranty")</f>
        <v>Out of warranty</v>
      </c>
      <c r="AJ677" s="3">
        <f>IFERROR(__xludf.DUMMYFUNCTION("""COMPUTED_VALUE"""),109.0)</f>
        <v>109</v>
      </c>
      <c r="AK677" s="3"/>
      <c r="AL677" s="3"/>
    </row>
    <row r="678" ht="15.75" customHeight="1">
      <c r="A678" s="1" t="str">
        <f>IFERROR(__xludf.DUMMYFUNCTION("""COMPUTED_VALUE"""),"21446")</f>
        <v>21446</v>
      </c>
      <c r="B678" s="2">
        <f>IFERROR(__xludf.DUMMYFUNCTION("""COMPUTED_VALUE"""),21446.0)</f>
        <v>21446</v>
      </c>
      <c r="C678" s="3" t="str">
        <f>IFERROR(__xludf.DUMMYFUNCTION("""COMPUTED_VALUE"""),"MBC ตลาดหนองบอนแดง")</f>
        <v>MBC ตลาดหนองบอนแดง</v>
      </c>
      <c r="D678" s="3" t="str">
        <f>IFERROR(__xludf.DUMMYFUNCTION("""COMPUTED_VALUE"""),"BCM TALAD NONGBONDANG")</f>
        <v>BCM TALAD NONGBONDANG</v>
      </c>
      <c r="E678" s="1" t="str">
        <f>IFERROR(__xludf.DUMMYFUNCTION("""COMPUTED_VALUE"""),"บิ๊กซี MINI")</f>
        <v>บิ๊กซี MINI</v>
      </c>
      <c r="F678" s="1" t="str">
        <f>IFERROR(__xludf.DUMMYFUNCTION("""COMPUTED_VALUE"""),"221716")</f>
        <v>221716</v>
      </c>
      <c r="G678" s="1" t="str">
        <f>IFERROR(__xludf.DUMMYFUNCTION("""COMPUTED_VALUE"""),"น.ส.เบญจพร โพธิสาร")</f>
        <v>น.ส.เบญจพร โพธิสาร</v>
      </c>
      <c r="H678" s="1" t="str">
        <f>IFERROR(__xludf.DUMMYFUNCTION("""COMPUTED_VALUE"""),"2452265")</f>
        <v>2452265</v>
      </c>
      <c r="I678" s="1" t="str">
        <f>IFERROR(__xludf.DUMMYFUNCTION("""COMPUTED_VALUE"""),"นายพิทยา จันทร์ประเทศ")</f>
        <v>นายพิทยา จันทร์ประเทศ</v>
      </c>
      <c r="J678" s="3">
        <f>IFERROR(__xludf.DUMMYFUNCTION("""COMPUTED_VALUE"""),296942.0)</f>
        <v>296942</v>
      </c>
      <c r="K678" s="3" t="str">
        <f>IFERROR(__xludf.DUMMYFUNCTION("""COMPUTED_VALUE"""),"นายปิยะ รักษากิจ")</f>
        <v>นายปิยะ รักษากิจ</v>
      </c>
      <c r="L678" s="1" t="str">
        <f>IFERROR(__xludf.DUMMYFUNCTION("""COMPUTED_VALUE"""),"07 K.Piya R.")</f>
        <v>07 K.Piya R.</v>
      </c>
      <c r="M678" s="1" t="str">
        <f>IFERROR(__xludf.DUMMYFUNCTION("""COMPUTED_VALUE"""),"097-919-5476")</f>
        <v>097-919-5476</v>
      </c>
      <c r="N678" s="3">
        <f>IFERROR(__xludf.DUMMYFUNCTION("""COMPUTED_VALUE"""),21332.0)</f>
        <v>21332</v>
      </c>
      <c r="O678" s="3" t="str">
        <f>IFERROR(__xludf.DUMMYFUNCTION("""COMPUTED_VALUE"""),"MBC BCP อ่อนนุช 17/1")</f>
        <v>MBC BCP อ่อนนุช 17/1</v>
      </c>
      <c r="P678" s="4">
        <f>IFERROR(__xludf.DUMMYFUNCTION("""COMPUTED_VALUE"""),42762.0)</f>
        <v>42762</v>
      </c>
      <c r="Q678" s="3" t="str">
        <f>IFERROR(__xludf.DUMMYFUNCTION("""COMPUTED_VALUE"""),"A")</f>
        <v>A</v>
      </c>
      <c r="R678" s="3" t="str">
        <f>IFERROR(__xludf.DUMMYFUNCTION("""COMPUTED_VALUE"""),"Small Format")</f>
        <v>Small Format</v>
      </c>
      <c r="S678" s="3" t="str">
        <f>IFERROR(__xludf.DUMMYFUNCTION("""COMPUTED_VALUE"""),"BCM")</f>
        <v>BCM</v>
      </c>
      <c r="T678" s="3" t="str">
        <f>IFERROR(__xludf.DUMMYFUNCTION("""COMPUTED_VALUE"""),"#N/A")</f>
        <v>#N/A</v>
      </c>
      <c r="U678" s="3" t="str">
        <f>IFERROR(__xludf.DUMMYFUNCTION("""COMPUTED_VALUE"""),"#N/A")</f>
        <v>#N/A</v>
      </c>
      <c r="V678" s="3" t="str">
        <f>IFERROR(__xludf.DUMMYFUNCTION("""COMPUTED_VALUE"""),"N")</f>
        <v>N</v>
      </c>
      <c r="W678" s="3">
        <f>IFERROR(__xludf.DUMMYFUNCTION("""COMPUTED_VALUE"""),211367.0)</f>
        <v>211367</v>
      </c>
      <c r="X678" s="3" t="str">
        <f>IFERROR(__xludf.DUMMYFUNCTION("""COMPUTED_VALUE"""),"25/8-10 หมู่ 2 ตำบลหนองบอนแดง อำเภอบ้านบึง จังหวัดชลบุรี 20170")</f>
        <v>25/8-10 หมู่ 2 ตำบลหนองบอนแดง อำเภอบ้านบึง จังหวัดชลบุรี 20170</v>
      </c>
      <c r="Y678" s="3"/>
      <c r="Z678" s="3" t="str">
        <f>IFERROR(__xludf.DUMMYFUNCTION("""COMPUTED_VALUE"""),"หนองบอนแดง")</f>
        <v>หนองบอนแดง</v>
      </c>
      <c r="AA678" s="3" t="str">
        <f>IFERROR(__xludf.DUMMYFUNCTION("""COMPUTED_VALUE"""),"บ้านบึง")</f>
        <v>บ้านบึง</v>
      </c>
      <c r="AB678" s="3" t="str">
        <f>IFERROR(__xludf.DUMMYFUNCTION("""COMPUTED_VALUE"""),"ชลบุรี")</f>
        <v>ชลบุรี</v>
      </c>
      <c r="AC678" s="3">
        <f>IFERROR(__xludf.DUMMYFUNCTION("""COMPUTED_VALUE"""),20170.0)</f>
        <v>20170</v>
      </c>
      <c r="AD678" s="3">
        <f>IFERROR(__xludf.DUMMYFUNCTION("""COMPUTED_VALUE"""),13.346879)</f>
        <v>13.346879</v>
      </c>
      <c r="AE678" s="3">
        <f>IFERROR(__xludf.DUMMYFUNCTION("""COMPUTED_VALUE"""),101.152387)</f>
        <v>101.152387</v>
      </c>
      <c r="AF678" s="3" t="str">
        <f>IFERROR(__xludf.DUMMYFUNCTION("""COMPUTED_VALUE"""),"MBC ตลาดหนองบอนแดง-21446")</f>
        <v>MBC ตลาดหนองบอนแดง-21446</v>
      </c>
      <c r="AG678" s="3" t="str">
        <f>IFERROR(__xludf.DUMMYFUNCTION("""COMPUTED_VALUE"""),"ตะวันออก")</f>
        <v>ตะวันออก</v>
      </c>
      <c r="AH678" s="3" t="str">
        <f>IFERROR(__xludf.DUMMYFUNCTION("""COMPUTED_VALUE"""),"#N/A")</f>
        <v>#N/A</v>
      </c>
      <c r="AI678" s="3" t="str">
        <f>IFERROR(__xludf.DUMMYFUNCTION("""COMPUTED_VALUE"""),"Out of warranty")</f>
        <v>Out of warranty</v>
      </c>
      <c r="AJ678" s="3">
        <f>IFERROR(__xludf.DUMMYFUNCTION("""COMPUTED_VALUE"""),108.0)</f>
        <v>108</v>
      </c>
      <c r="AK678" s="3" t="str">
        <f>IFERROR(__xludf.DUMMYFUNCTION("""COMPUTED_VALUE"""),"MMS07")</f>
        <v>MMS07</v>
      </c>
      <c r="AL678" s="3"/>
    </row>
    <row r="679" ht="15.75" customHeight="1">
      <c r="A679" s="1" t="str">
        <f>IFERROR(__xludf.DUMMYFUNCTION("""COMPUTED_VALUE"""),"21447")</f>
        <v>21447</v>
      </c>
      <c r="B679" s="2">
        <f>IFERROR(__xludf.DUMMYFUNCTION("""COMPUTED_VALUE"""),21447.0)</f>
        <v>21447</v>
      </c>
      <c r="C679" s="3" t="str">
        <f>IFERROR(__xludf.DUMMYFUNCTION("""COMPUTED_VALUE"""),"MBC สัตหีบพลาซ่า")</f>
        <v>MBC สัตหีบพลาซ่า</v>
      </c>
      <c r="D679" s="3" t="str">
        <f>IFERROR(__xludf.DUMMYFUNCTION("""COMPUTED_VALUE"""),"BCM SATTAHIP PLAZA")</f>
        <v>BCM SATTAHIP PLAZA</v>
      </c>
      <c r="E679" s="1" t="str">
        <f>IFERROR(__xludf.DUMMYFUNCTION("""COMPUTED_VALUE"""),"บิ๊กซี MINI")</f>
        <v>บิ๊กซี MINI</v>
      </c>
      <c r="F679" s="1" t="str">
        <f>IFERROR(__xludf.DUMMYFUNCTION("""COMPUTED_VALUE"""),"221716")</f>
        <v>221716</v>
      </c>
      <c r="G679" s="1" t="str">
        <f>IFERROR(__xludf.DUMMYFUNCTION("""COMPUTED_VALUE"""),"น.ส.เบญจพร โพธิสาร")</f>
        <v>น.ส.เบญจพร โพธิสาร</v>
      </c>
      <c r="H679" s="1" t="str">
        <f>IFERROR(__xludf.DUMMYFUNCTION("""COMPUTED_VALUE"""),"313065")</f>
        <v>313065</v>
      </c>
      <c r="I679" s="1" t="str">
        <f>IFERROR(__xludf.DUMMYFUNCTION("""COMPUTED_VALUE"""),"นายจิรายุทธ กันทา")</f>
        <v>นายจิรายุทธ กันทา</v>
      </c>
      <c r="J679" s="3">
        <f>IFERROR(__xludf.DUMMYFUNCTION("""COMPUTED_VALUE"""),1.3461215E7)</f>
        <v>13461215</v>
      </c>
      <c r="K679" s="3" t="str">
        <f>IFERROR(__xludf.DUMMYFUNCTION("""COMPUTED_VALUE"""),"นายธีรภัทร สังข์เงิน")</f>
        <v>นายธีรภัทร สังข์เงิน</v>
      </c>
      <c r="L679" s="1" t="str">
        <f>IFERROR(__xludf.DUMMYFUNCTION("""COMPUTED_VALUE"""),"06 K.Teerapat")</f>
        <v>06 K.Teerapat</v>
      </c>
      <c r="M679" s="1" t="str">
        <f>IFERROR(__xludf.DUMMYFUNCTION("""COMPUTED_VALUE"""),"063-601-6803")</f>
        <v>063-601-6803</v>
      </c>
      <c r="N679" s="3">
        <f>IFERROR(__xludf.DUMMYFUNCTION("""COMPUTED_VALUE"""),22115.0)</f>
        <v>22115</v>
      </c>
      <c r="O679" s="3" t="str">
        <f>IFERROR(__xludf.DUMMYFUNCTION("""COMPUTED_VALUE"""),"MBC เลี่ยงหนองมน ชลบุรี")</f>
        <v>MBC เลี่ยงหนองมน ชลบุรี</v>
      </c>
      <c r="P679" s="4">
        <f>IFERROR(__xludf.DUMMYFUNCTION("""COMPUTED_VALUE"""),42803.0)</f>
        <v>42803</v>
      </c>
      <c r="Q679" s="3" t="str">
        <f>IFERROR(__xludf.DUMMYFUNCTION("""COMPUTED_VALUE"""),"A")</f>
        <v>A</v>
      </c>
      <c r="R679" s="3" t="str">
        <f>IFERROR(__xludf.DUMMYFUNCTION("""COMPUTED_VALUE"""),"Small Format")</f>
        <v>Small Format</v>
      </c>
      <c r="S679" s="3" t="str">
        <f>IFERROR(__xludf.DUMMYFUNCTION("""COMPUTED_VALUE"""),"BCM")</f>
        <v>BCM</v>
      </c>
      <c r="T679" s="3" t="str">
        <f>IFERROR(__xludf.DUMMYFUNCTION("""COMPUTED_VALUE"""),"#N/A")</f>
        <v>#N/A</v>
      </c>
      <c r="U679" s="3" t="str">
        <f>IFERROR(__xludf.DUMMYFUNCTION("""COMPUTED_VALUE"""),"#N/A")</f>
        <v>#N/A</v>
      </c>
      <c r="V679" s="3" t="str">
        <f>IFERROR(__xludf.DUMMYFUNCTION("""COMPUTED_VALUE"""),"N")</f>
        <v>N</v>
      </c>
      <c r="W679" s="3">
        <f>IFERROR(__xludf.DUMMYFUNCTION("""COMPUTED_VALUE"""),211353.0)</f>
        <v>211353</v>
      </c>
      <c r="X679" s="3" t="str">
        <f>IFERROR(__xludf.DUMMYFUNCTION("""COMPUTED_VALUE"""),"เลขที่ 98/155 หมู่ 9 ตำบลสัตหีบ อำเภอสัตหีบ จังหวัดชลบุรี 20180")</f>
        <v>เลขที่ 98/155 หมู่ 9 ตำบลสัตหีบ อำเภอสัตหีบ จังหวัดชลบุรี 20180</v>
      </c>
      <c r="Y679" s="3"/>
      <c r="Z679" s="3" t="str">
        <f>IFERROR(__xludf.DUMMYFUNCTION("""COMPUTED_VALUE"""),"หมู่")</f>
        <v>หมู่</v>
      </c>
      <c r="AA679" s="3" t="str">
        <f>IFERROR(__xludf.DUMMYFUNCTION("""COMPUTED_VALUE"""),"สัตหีบ")</f>
        <v>สัตหีบ</v>
      </c>
      <c r="AB679" s="3" t="str">
        <f>IFERROR(__xludf.DUMMYFUNCTION("""COMPUTED_VALUE"""),"ชลบุรี")</f>
        <v>ชลบุรี</v>
      </c>
      <c r="AC679" s="3">
        <f>IFERROR(__xludf.DUMMYFUNCTION("""COMPUTED_VALUE"""),20180.0)</f>
        <v>20180</v>
      </c>
      <c r="AD679" s="3">
        <f>IFERROR(__xludf.DUMMYFUNCTION("""COMPUTED_VALUE"""),12.72712)</f>
        <v>12.72712</v>
      </c>
      <c r="AE679" s="3">
        <f>IFERROR(__xludf.DUMMYFUNCTION("""COMPUTED_VALUE"""),100.889688)</f>
        <v>100.889688</v>
      </c>
      <c r="AF679" s="3" t="str">
        <f>IFERROR(__xludf.DUMMYFUNCTION("""COMPUTED_VALUE"""),"MBC สัตหีบพลาซ่า-21447")</f>
        <v>MBC สัตหีบพลาซ่า-21447</v>
      </c>
      <c r="AG679" s="3" t="str">
        <f>IFERROR(__xludf.DUMMYFUNCTION("""COMPUTED_VALUE"""),"ตะวันออก")</f>
        <v>ตะวันออก</v>
      </c>
      <c r="AH679" s="3" t="str">
        <f>IFERROR(__xludf.DUMMYFUNCTION("""COMPUTED_VALUE"""),"#N/A")</f>
        <v>#N/A</v>
      </c>
      <c r="AI679" s="3" t="str">
        <f>IFERROR(__xludf.DUMMYFUNCTION("""COMPUTED_VALUE"""),"Out of warranty")</f>
        <v>Out of warranty</v>
      </c>
      <c r="AJ679" s="3">
        <f>IFERROR(__xludf.DUMMYFUNCTION("""COMPUTED_VALUE"""),107.0)</f>
        <v>107</v>
      </c>
      <c r="AK679" s="3" t="str">
        <f>IFERROR(__xludf.DUMMYFUNCTION("""COMPUTED_VALUE"""),"MMS08")</f>
        <v>MMS08</v>
      </c>
      <c r="AL679" s="3"/>
    </row>
    <row r="680" ht="15.75" customHeight="1">
      <c r="A680" s="1" t="str">
        <f>IFERROR(__xludf.DUMMYFUNCTION("""COMPUTED_VALUE"""),"21448")</f>
        <v>21448</v>
      </c>
      <c r="B680" s="2">
        <f>IFERROR(__xludf.DUMMYFUNCTION("""COMPUTED_VALUE"""),21448.0)</f>
        <v>21448</v>
      </c>
      <c r="C680" s="3" t="str">
        <f>IFERROR(__xludf.DUMMYFUNCTION("""COMPUTED_VALUE"""),"MBC แยกสามพร้าว")</f>
        <v>MBC แยกสามพร้าว</v>
      </c>
      <c r="D680" s="3" t="str">
        <f>IFERROR(__xludf.DUMMYFUNCTION("""COMPUTED_VALUE"""),"MBC YAEK SAMPRAO")</f>
        <v>MBC YAEK SAMPRAO</v>
      </c>
      <c r="E680" s="1" t="str">
        <f>IFERROR(__xludf.DUMMYFUNCTION("""COMPUTED_VALUE"""),"บิ๊กซี MINI")</f>
        <v>บิ๊กซี MINI</v>
      </c>
      <c r="F680" s="1" t="str">
        <f>IFERROR(__xludf.DUMMYFUNCTION("""COMPUTED_VALUE"""),"291100")</f>
        <v>291100</v>
      </c>
      <c r="G680" s="1" t="str">
        <f>IFERROR(__xludf.DUMMYFUNCTION("""COMPUTED_VALUE"""),"น.ส.จารุณี ฮวบอินทร์")</f>
        <v>น.ส.จารุณี ฮวบอินทร์</v>
      </c>
      <c r="H680" s="1" t="str">
        <f>IFERROR(__xludf.DUMMYFUNCTION("""COMPUTED_VALUE"""),"034043")</f>
        <v>034043</v>
      </c>
      <c r="I680" s="1" t="str">
        <f>IFERROR(__xludf.DUMMYFUNCTION("""COMPUTED_VALUE"""),"นายพันธ์ทอง จันปลิว")</f>
        <v>นายพันธ์ทอง จันปลิว</v>
      </c>
      <c r="J680" s="3">
        <f>IFERROR(__xludf.DUMMYFUNCTION("""COMPUTED_VALUE"""),295886.0)</f>
        <v>295886</v>
      </c>
      <c r="K680" s="3" t="str">
        <f>IFERROR(__xludf.DUMMYFUNCTION("""COMPUTED_VALUE"""),"นายจิระพงษ์ โพธิ์นิล")</f>
        <v>นายจิระพงษ์ โพธิ์นิล</v>
      </c>
      <c r="L680" s="1" t="str">
        <f>IFERROR(__xludf.DUMMYFUNCTION("""COMPUTED_VALUE"""),"นายจิระพงษ์ โพธิ์นิล")</f>
        <v>นายจิระพงษ์ โพธิ์นิล</v>
      </c>
      <c r="M680" s="1" t="str">
        <f>IFERROR(__xludf.DUMMYFUNCTION("""COMPUTED_VALUE"""),"0933290754")</f>
        <v>0933290754</v>
      </c>
      <c r="N680" s="3">
        <f>IFERROR(__xludf.DUMMYFUNCTION("""COMPUTED_VALUE"""),21465.0)</f>
        <v>21465</v>
      </c>
      <c r="O680" s="3" t="str">
        <f>IFERROR(__xludf.DUMMYFUNCTION("""COMPUTED_VALUE"""),"MBC สถานีตำรวจอุดร")</f>
        <v>MBC สถานีตำรวจอุดร</v>
      </c>
      <c r="P680" s="4">
        <f>IFERROR(__xludf.DUMMYFUNCTION("""COMPUTED_VALUE"""),42803.0)</f>
        <v>42803</v>
      </c>
      <c r="Q680" s="3" t="str">
        <f>IFERROR(__xludf.DUMMYFUNCTION("""COMPUTED_VALUE"""),"I")</f>
        <v>I</v>
      </c>
      <c r="R680" s="3" t="str">
        <f>IFERROR(__xludf.DUMMYFUNCTION("""COMPUTED_VALUE"""),"Small Format")</f>
        <v>Small Format</v>
      </c>
      <c r="S680" s="3" t="str">
        <f>IFERROR(__xludf.DUMMYFUNCTION("""COMPUTED_VALUE"""),"BCM")</f>
        <v>BCM</v>
      </c>
      <c r="T680" s="3" t="str">
        <f>IFERROR(__xludf.DUMMYFUNCTION("""COMPUTED_VALUE"""),"#N/A")</f>
        <v>#N/A</v>
      </c>
      <c r="U680" s="3" t="str">
        <f>IFERROR(__xludf.DUMMYFUNCTION("""COMPUTED_VALUE"""),"#N/A")</f>
        <v>#N/A</v>
      </c>
      <c r="V680" s="3" t="str">
        <f>IFERROR(__xludf.DUMMYFUNCTION("""COMPUTED_VALUE"""),"N")</f>
        <v>N</v>
      </c>
      <c r="W680" s="3">
        <f>IFERROR(__xludf.DUMMYFUNCTION("""COMPUTED_VALUE"""),211373.0)</f>
        <v>211373</v>
      </c>
      <c r="X680" s="3" t="str">
        <f>IFERROR(__xludf.DUMMYFUNCTION("""COMPUTED_VALUE"""),"229/14 หมู่ 6 ซอยบ้านเดื่อ ตำบลหมากแข้ง อำเภอเมืองอุดรธานี จังหวัดอุดรธานี 41000")</f>
        <v>229/14 หมู่ 6 ซอยบ้านเดื่อ ตำบลหมากแข้ง อำเภอเมืองอุดรธานี จังหวัดอุดรธานี 41000</v>
      </c>
      <c r="Y680" s="3"/>
      <c r="Z680" s="3" t="str">
        <f>IFERROR(__xludf.DUMMYFUNCTION("""COMPUTED_VALUE"""),"หมากแข้ง")</f>
        <v>หมากแข้ง</v>
      </c>
      <c r="AA680" s="3" t="str">
        <f>IFERROR(__xludf.DUMMYFUNCTION("""COMPUTED_VALUE"""),"เมือง")</f>
        <v>เมือง</v>
      </c>
      <c r="AB680" s="3" t="str">
        <f>IFERROR(__xludf.DUMMYFUNCTION("""COMPUTED_VALUE"""),"อุดรธานี")</f>
        <v>อุดรธานี</v>
      </c>
      <c r="AC680" s="3">
        <f>IFERROR(__xludf.DUMMYFUNCTION("""COMPUTED_VALUE"""),41000.0)</f>
        <v>41000</v>
      </c>
      <c r="AD680" s="3">
        <f>IFERROR(__xludf.DUMMYFUNCTION("""COMPUTED_VALUE"""),17.4266918)</f>
        <v>17.4266918</v>
      </c>
      <c r="AE680" s="3">
        <f>IFERROR(__xludf.DUMMYFUNCTION("""COMPUTED_VALUE"""),102.81003)</f>
        <v>102.81003</v>
      </c>
      <c r="AF680" s="3" t="str">
        <f>IFERROR(__xludf.DUMMYFUNCTION("""COMPUTED_VALUE"""),"MBC แยกสามพร้าว-21448")</f>
        <v>MBC แยกสามพร้าว-21448</v>
      </c>
      <c r="AG680" s="3" t="str">
        <f>IFERROR(__xludf.DUMMYFUNCTION("""COMPUTED_VALUE"""),"ตะวันออกเฉียงเหนือ")</f>
        <v>ตะวันออกเฉียงเหนือ</v>
      </c>
      <c r="AH680" s="3" t="str">
        <f>IFERROR(__xludf.DUMMYFUNCTION("""COMPUTED_VALUE"""),"#N/A")</f>
        <v>#N/A</v>
      </c>
      <c r="AI680" s="3" t="str">
        <f>IFERROR(__xludf.DUMMYFUNCTION("""COMPUTED_VALUE"""),"Out of warranty")</f>
        <v>Out of warranty</v>
      </c>
      <c r="AJ680" s="3">
        <f>IFERROR(__xludf.DUMMYFUNCTION("""COMPUTED_VALUE"""),107.0)</f>
        <v>107</v>
      </c>
      <c r="AK680" s="3"/>
      <c r="AL680" s="3"/>
    </row>
    <row r="681" ht="15.75" customHeight="1">
      <c r="A681" s="1" t="str">
        <f>IFERROR(__xludf.DUMMYFUNCTION("""COMPUTED_VALUE"""),"21449")</f>
        <v>21449</v>
      </c>
      <c r="B681" s="2">
        <f>IFERROR(__xludf.DUMMYFUNCTION("""COMPUTED_VALUE"""),21449.0)</f>
        <v>21449</v>
      </c>
      <c r="C681" s="3" t="str">
        <f>IFERROR(__xludf.DUMMYFUNCTION("""COMPUTED_VALUE"""),"MBC ตลาดโกทา")</f>
        <v>MBC ตลาดโกทา</v>
      </c>
      <c r="D681" s="3" t="str">
        <f>IFERROR(__xludf.DUMMYFUNCTION("""COMPUTED_VALUE"""),"MBC TALAD KOTHA")</f>
        <v>MBC TALAD KOTHA</v>
      </c>
      <c r="E681" s="1" t="str">
        <f>IFERROR(__xludf.DUMMYFUNCTION("""COMPUTED_VALUE"""),"บิ๊กซี MINI")</f>
        <v>บิ๊กซี MINI</v>
      </c>
      <c r="F681" s="1" t="str">
        <f>IFERROR(__xludf.DUMMYFUNCTION("""COMPUTED_VALUE"""),"291100")</f>
        <v>291100</v>
      </c>
      <c r="G681" s="1" t="str">
        <f>IFERROR(__xludf.DUMMYFUNCTION("""COMPUTED_VALUE"""),"น.ส.จารุณี ฮวบอินทร์")</f>
        <v>น.ส.จารุณี ฮวบอินทร์</v>
      </c>
      <c r="H681" s="1" t="str">
        <f>IFERROR(__xludf.DUMMYFUNCTION("""COMPUTED_VALUE"""),"305119")</f>
        <v>305119</v>
      </c>
      <c r="I681" s="1" t="str">
        <f>IFERROR(__xludf.DUMMYFUNCTION("""COMPUTED_VALUE"""),"นายไชยกร ลีพิบูลย์สวัสดิ์")</f>
        <v>นายไชยกร ลีพิบูลย์สวัสดิ์</v>
      </c>
      <c r="J681" s="3">
        <f>IFERROR(__xludf.DUMMYFUNCTION("""COMPUTED_VALUE"""),295886.0)</f>
        <v>295886</v>
      </c>
      <c r="K681" s="3" t="str">
        <f>IFERROR(__xludf.DUMMYFUNCTION("""COMPUTED_VALUE"""),"นายจิระพงษ์ โพธิ์นิล")</f>
        <v>นายจิระพงษ์ โพธิ์นิล</v>
      </c>
      <c r="L681" s="1" t="str">
        <f>IFERROR(__xludf.DUMMYFUNCTION("""COMPUTED_VALUE"""),"นายจิระพงษ์ โพธิ์นิล")</f>
        <v>นายจิระพงษ์ โพธิ์นิล</v>
      </c>
      <c r="M681" s="1" t="str">
        <f>IFERROR(__xludf.DUMMYFUNCTION("""COMPUTED_VALUE"""),"0933290754")</f>
        <v>0933290754</v>
      </c>
      <c r="N681" s="3">
        <f>IFERROR(__xludf.DUMMYFUNCTION("""COMPUTED_VALUE"""),21465.0)</f>
        <v>21465</v>
      </c>
      <c r="O681" s="3" t="str">
        <f>IFERROR(__xludf.DUMMYFUNCTION("""COMPUTED_VALUE"""),"MBC สถานีตำรวจอุดร")</f>
        <v>MBC สถานีตำรวจอุดร</v>
      </c>
      <c r="P681" s="4">
        <f>IFERROR(__xludf.DUMMYFUNCTION("""COMPUTED_VALUE"""),42810.0)</f>
        <v>42810</v>
      </c>
      <c r="Q681" s="3" t="str">
        <f>IFERROR(__xludf.DUMMYFUNCTION("""COMPUTED_VALUE"""),"I")</f>
        <v>I</v>
      </c>
      <c r="R681" s="3" t="str">
        <f>IFERROR(__xludf.DUMMYFUNCTION("""COMPUTED_VALUE"""),"Small Format")</f>
        <v>Small Format</v>
      </c>
      <c r="S681" s="3" t="str">
        <f>IFERROR(__xludf.DUMMYFUNCTION("""COMPUTED_VALUE"""),"BCM")</f>
        <v>BCM</v>
      </c>
      <c r="T681" s="3" t="str">
        <f>IFERROR(__xludf.DUMMYFUNCTION("""COMPUTED_VALUE"""),"#N/A")</f>
        <v>#N/A</v>
      </c>
      <c r="U681" s="3" t="str">
        <f>IFERROR(__xludf.DUMMYFUNCTION("""COMPUTED_VALUE"""),"#N/A")</f>
        <v>#N/A</v>
      </c>
      <c r="V681" s="3" t="str">
        <f>IFERROR(__xludf.DUMMYFUNCTION("""COMPUTED_VALUE"""),"N")</f>
        <v>N</v>
      </c>
      <c r="W681" s="3">
        <f>IFERROR(__xludf.DUMMYFUNCTION("""COMPUTED_VALUE"""),211374.0)</f>
        <v>211374</v>
      </c>
      <c r="X681" s="3" t="str">
        <f>IFERROR(__xludf.DUMMYFUNCTION("""COMPUTED_VALUE"""),"574 หมู่ 15 ตำบลศิลา อำเภอเมืองขอนแก่น จังหวัดขอนแก่น 40000")</f>
        <v>574 หมู่ 15 ตำบลศิลา อำเภอเมืองขอนแก่น จังหวัดขอนแก่น 40000</v>
      </c>
      <c r="Y681" s="3"/>
      <c r="Z681" s="3" t="str">
        <f>IFERROR(__xludf.DUMMYFUNCTION("""COMPUTED_VALUE"""),"ศิลา")</f>
        <v>ศิลา</v>
      </c>
      <c r="AA681" s="3" t="str">
        <f>IFERROR(__xludf.DUMMYFUNCTION("""COMPUTED_VALUE"""),"เมือง")</f>
        <v>เมือง</v>
      </c>
      <c r="AB681" s="3" t="str">
        <f>IFERROR(__xludf.DUMMYFUNCTION("""COMPUTED_VALUE"""),"ขอนแก่น")</f>
        <v>ขอนแก่น</v>
      </c>
      <c r="AC681" s="3">
        <f>IFERROR(__xludf.DUMMYFUNCTION("""COMPUTED_VALUE"""),40000.0)</f>
        <v>40000</v>
      </c>
      <c r="AD681" s="3" t="str">
        <f>IFERROR(__xludf.DUMMYFUNCTION("""COMPUTED_VALUE"""),"#N/A")</f>
        <v>#N/A</v>
      </c>
      <c r="AE681" s="3" t="str">
        <f>IFERROR(__xludf.DUMMYFUNCTION("""COMPUTED_VALUE"""),"#N/A")</f>
        <v>#N/A</v>
      </c>
      <c r="AF681" s="3" t="str">
        <f>IFERROR(__xludf.DUMMYFUNCTION("""COMPUTED_VALUE"""),"MBC ตลาดโกทา-21449")</f>
        <v>MBC ตลาดโกทา-21449</v>
      </c>
      <c r="AG681" s="3" t="str">
        <f>IFERROR(__xludf.DUMMYFUNCTION("""COMPUTED_VALUE"""),"ตะวันออกเฉียงเหนือ")</f>
        <v>ตะวันออกเฉียงเหนือ</v>
      </c>
      <c r="AH681" s="3" t="str">
        <f>IFERROR(__xludf.DUMMYFUNCTION("""COMPUTED_VALUE"""),"#N/A")</f>
        <v>#N/A</v>
      </c>
      <c r="AI681" s="3" t="str">
        <f>IFERROR(__xludf.DUMMYFUNCTION("""COMPUTED_VALUE"""),"Out of warranty")</f>
        <v>Out of warranty</v>
      </c>
      <c r="AJ681" s="3">
        <f>IFERROR(__xludf.DUMMYFUNCTION("""COMPUTED_VALUE"""),107.0)</f>
        <v>107</v>
      </c>
      <c r="AK681" s="3"/>
      <c r="AL681" s="3"/>
    </row>
    <row r="682" ht="15.75" customHeight="1">
      <c r="A682" s="1" t="str">
        <f>IFERROR(__xludf.DUMMYFUNCTION("""COMPUTED_VALUE"""),"21450")</f>
        <v>21450</v>
      </c>
      <c r="B682" s="2">
        <f>IFERROR(__xludf.DUMMYFUNCTION("""COMPUTED_VALUE"""),21450.0)</f>
        <v>21450</v>
      </c>
      <c r="C682" s="3" t="str">
        <f>IFERROR(__xludf.DUMMYFUNCTION("""COMPUTED_VALUE"""),"MBC โรงพยาบาลรวมแพทย์")</f>
        <v>MBC โรงพยาบาลรวมแพทย์</v>
      </c>
      <c r="D682" s="3" t="str">
        <f>IFERROR(__xludf.DUMMYFUNCTION("""COMPUTED_VALUE"""),"BCM RUAMPHAT HOSPITAL")</f>
        <v>BCM RUAMPHAT HOSPITAL</v>
      </c>
      <c r="E682" s="1" t="str">
        <f>IFERROR(__xludf.DUMMYFUNCTION("""COMPUTED_VALUE"""),"บิ๊กซี MINI")</f>
        <v>บิ๊กซี MINI</v>
      </c>
      <c r="F682" s="1" t="str">
        <f>IFERROR(__xludf.DUMMYFUNCTION("""COMPUTED_VALUE"""),"296229")</f>
        <v>296229</v>
      </c>
      <c r="G682" s="1" t="str">
        <f>IFERROR(__xludf.DUMMYFUNCTION("""COMPUTED_VALUE"""),"นายทนงศักดิ์ บุญมา")</f>
        <v>นายทนงศักดิ์ บุญมา</v>
      </c>
      <c r="H682" s="1" t="str">
        <f>IFERROR(__xludf.DUMMYFUNCTION("""COMPUTED_VALUE"""),"373680")</f>
        <v>373680</v>
      </c>
      <c r="I682" s="1" t="str">
        <f>IFERROR(__xludf.DUMMYFUNCTION("""COMPUTED_VALUE"""),"นายวสันต์ พรรณราย")</f>
        <v>นายวสันต์ พรรณราย</v>
      </c>
      <c r="J682" s="3">
        <f>IFERROR(__xludf.DUMMYFUNCTION("""COMPUTED_VALUE"""),46214.0)</f>
        <v>46214</v>
      </c>
      <c r="K682" s="3" t="str">
        <f>IFERROR(__xludf.DUMMYFUNCTION("""COMPUTED_VALUE"""),"นายศักดิ์ชัย เด็ดดอกฟ้า")</f>
        <v>นายศักดิ์ชัย เด็ดดอกฟ้า</v>
      </c>
      <c r="L682" s="1" t="str">
        <f>IFERROR(__xludf.DUMMYFUNCTION("""COMPUTED_VALUE"""),"02 K.Sakchai D")</f>
        <v>02 K.Sakchai D</v>
      </c>
      <c r="M682" s="1" t="str">
        <f>IFERROR(__xludf.DUMMYFUNCTION("""COMPUTED_VALUE"""),"065-510-7376")</f>
        <v>065-510-7376</v>
      </c>
      <c r="N682" s="3">
        <f>IFERROR(__xludf.DUMMYFUNCTION("""COMPUTED_VALUE"""),21714.0)</f>
        <v>21714</v>
      </c>
      <c r="O682" s="3" t="str">
        <f>IFERROR(__xludf.DUMMYFUNCTION("""COMPUTED_VALUE"""),"MBC เอสโซ่ วัดโบสถ์")</f>
        <v>MBC เอสโซ่ วัดโบสถ์</v>
      </c>
      <c r="P682" s="4">
        <f>IFERROR(__xludf.DUMMYFUNCTION("""COMPUTED_VALUE"""),42817.0)</f>
        <v>42817</v>
      </c>
      <c r="Q682" s="3" t="str">
        <f>IFERROR(__xludf.DUMMYFUNCTION("""COMPUTED_VALUE"""),"A")</f>
        <v>A</v>
      </c>
      <c r="R682" s="3" t="str">
        <f>IFERROR(__xludf.DUMMYFUNCTION("""COMPUTED_VALUE"""),"Small Format")</f>
        <v>Small Format</v>
      </c>
      <c r="S682" s="3" t="str">
        <f>IFERROR(__xludf.DUMMYFUNCTION("""COMPUTED_VALUE"""),"BCM")</f>
        <v>BCM</v>
      </c>
      <c r="T682" s="3" t="str">
        <f>IFERROR(__xludf.DUMMYFUNCTION("""COMPUTED_VALUE"""),"#N/A")</f>
        <v>#N/A</v>
      </c>
      <c r="U682" s="3" t="str">
        <f>IFERROR(__xludf.DUMMYFUNCTION("""COMPUTED_VALUE"""),"#N/A")</f>
        <v>#N/A</v>
      </c>
      <c r="V682" s="3" t="str">
        <f>IFERROR(__xludf.DUMMYFUNCTION("""COMPUTED_VALUE"""),"N")</f>
        <v>N</v>
      </c>
      <c r="W682" s="3">
        <f>IFERROR(__xludf.DUMMYFUNCTION("""COMPUTED_VALUE"""),211376.0)</f>
        <v>211376</v>
      </c>
      <c r="X682" s="3" t="str">
        <f>IFERROR(__xludf.DUMMYFUNCTION("""COMPUTED_VALUE"""),"214/19 ถนนบรมไตรโลกนารถ ตำบลในเมือง อำเภอเมืองพิษณุโลก จังหวัดพิษณุโลก 65000")</f>
        <v>214/19 ถนนบรมไตรโลกนารถ ตำบลในเมือง อำเภอเมืองพิษณุโลก จังหวัดพิษณุโลก 65000</v>
      </c>
      <c r="Y682" s="3" t="str">
        <f>IFERROR(__xludf.DUMMYFUNCTION("""COMPUTED_VALUE"""),"ถนนบรมไตรโลกนารถ")</f>
        <v>ถนนบรมไตรโลกนารถ</v>
      </c>
      <c r="Z682" s="3" t="str">
        <f>IFERROR(__xludf.DUMMYFUNCTION("""COMPUTED_VALUE"""),"ในเมือง")</f>
        <v>ในเมือง</v>
      </c>
      <c r="AA682" s="3" t="str">
        <f>IFERROR(__xludf.DUMMYFUNCTION("""COMPUTED_VALUE"""),"เมือง")</f>
        <v>เมือง</v>
      </c>
      <c r="AB682" s="3" t="str">
        <f>IFERROR(__xludf.DUMMYFUNCTION("""COMPUTED_VALUE"""),"พิษณุโลก")</f>
        <v>พิษณุโลก</v>
      </c>
      <c r="AC682" s="3">
        <f>IFERROR(__xludf.DUMMYFUNCTION("""COMPUTED_VALUE"""),65000.0)</f>
        <v>65000</v>
      </c>
      <c r="AD682" s="3">
        <f>IFERROR(__xludf.DUMMYFUNCTION("""COMPUTED_VALUE"""),16.810267)</f>
        <v>16.810267</v>
      </c>
      <c r="AE682" s="3">
        <f>IFERROR(__xludf.DUMMYFUNCTION("""COMPUTED_VALUE"""),100.259674)</f>
        <v>100.259674</v>
      </c>
      <c r="AF682" s="3" t="str">
        <f>IFERROR(__xludf.DUMMYFUNCTION("""COMPUTED_VALUE"""),"MBC โรงพยาบาลรวมแพทย์-21450")</f>
        <v>MBC โรงพยาบาลรวมแพทย์-21450</v>
      </c>
      <c r="AG682" s="3" t="str">
        <f>IFERROR(__xludf.DUMMYFUNCTION("""COMPUTED_VALUE"""),"กลาง")</f>
        <v>กลาง</v>
      </c>
      <c r="AH682" s="3" t="str">
        <f>IFERROR(__xludf.DUMMYFUNCTION("""COMPUTED_VALUE"""),"#N/A")</f>
        <v>#N/A</v>
      </c>
      <c r="AI682" s="3" t="str">
        <f>IFERROR(__xludf.DUMMYFUNCTION("""COMPUTED_VALUE"""),"Out of warranty")</f>
        <v>Out of warranty</v>
      </c>
      <c r="AJ682" s="3">
        <f>IFERROR(__xludf.DUMMYFUNCTION("""COMPUTED_VALUE"""),106.0)</f>
        <v>106</v>
      </c>
      <c r="AK682" s="3" t="str">
        <f>IFERROR(__xludf.DUMMYFUNCTION("""COMPUTED_VALUE"""),"MMS09")</f>
        <v>MMS09</v>
      </c>
      <c r="AL682" s="3"/>
    </row>
    <row r="683" ht="15.75" customHeight="1">
      <c r="A683" s="1" t="str">
        <f>IFERROR(__xludf.DUMMYFUNCTION("""COMPUTED_VALUE"""),"21451")</f>
        <v>21451</v>
      </c>
      <c r="B683" s="2">
        <f>IFERROR(__xludf.DUMMYFUNCTION("""COMPUTED_VALUE"""),21451.0)</f>
        <v>21451</v>
      </c>
      <c r="C683" s="3" t="str">
        <f>IFERROR(__xludf.DUMMYFUNCTION("""COMPUTED_VALUE"""),"MBC เอสโซ่องครักษ์")</f>
        <v>MBC เอสโซ่องครักษ์</v>
      </c>
      <c r="D683" s="3" t="str">
        <f>IFERROR(__xludf.DUMMYFUNCTION("""COMPUTED_VALUE"""),"BCM ESSO ONGKARAK")</f>
        <v>BCM ESSO ONGKARAK</v>
      </c>
      <c r="E683" s="1" t="str">
        <f>IFERROR(__xludf.DUMMYFUNCTION("""COMPUTED_VALUE"""),"บิ๊กซี MINI")</f>
        <v>บิ๊กซี MINI</v>
      </c>
      <c r="F683" s="1" t="str">
        <f>IFERROR(__xludf.DUMMYFUNCTION("""COMPUTED_VALUE"""),"2083447")</f>
        <v>2083447</v>
      </c>
      <c r="G683" s="1" t="str">
        <f>IFERROR(__xludf.DUMMYFUNCTION("""COMPUTED_VALUE"""),"นายอนุกูล ศรีลัดดา")</f>
        <v>นายอนุกูล ศรีลัดดา</v>
      </c>
      <c r="H683" s="1" t="str">
        <f>IFERROR(__xludf.DUMMYFUNCTION("""COMPUTED_VALUE"""),"254957")</f>
        <v>254957</v>
      </c>
      <c r="I683" s="1" t="str">
        <f>IFERROR(__xludf.DUMMYFUNCTION("""COMPUTED_VALUE"""),"น.ส.ศิริพร รุ่งธัญญา")</f>
        <v>น.ส.ศิริพร รุ่งธัญญา</v>
      </c>
      <c r="J683" s="3">
        <f>IFERROR(__xludf.DUMMYFUNCTION("""COMPUTED_VALUE"""),510143.0)</f>
        <v>510143</v>
      </c>
      <c r="K683" s="3" t="str">
        <f>IFERROR(__xludf.DUMMYFUNCTION("""COMPUTED_VALUE"""),"นายธีระวัฒน์ บุญสิทธิ์")</f>
        <v>นายธีระวัฒน์ บุญสิทธิ์</v>
      </c>
      <c r="L683" s="1" t="str">
        <f>IFERROR(__xludf.DUMMYFUNCTION("""COMPUTED_VALUE"""),"12 K.Theerawat B.")</f>
        <v>12 K.Theerawat B.</v>
      </c>
      <c r="M683" s="1" t="str">
        <f>IFERROR(__xludf.DUMMYFUNCTION("""COMPUTED_VALUE"""),"0655107379")</f>
        <v>0655107379</v>
      </c>
      <c r="N683" s="3">
        <f>IFERROR(__xludf.DUMMYFUNCTION("""COMPUTED_VALUE"""),21062.0)</f>
        <v>21062</v>
      </c>
      <c r="O683" s="3" t="str">
        <f>IFERROR(__xludf.DUMMYFUNCTION("""COMPUTED_VALUE"""),"MBC นิคมนวนคร")</f>
        <v>MBC นิคมนวนคร</v>
      </c>
      <c r="P683" s="4">
        <f>IFERROR(__xludf.DUMMYFUNCTION("""COMPUTED_VALUE"""),42833.0)</f>
        <v>42833</v>
      </c>
      <c r="Q683" s="3" t="str">
        <f>IFERROR(__xludf.DUMMYFUNCTION("""COMPUTED_VALUE"""),"A")</f>
        <v>A</v>
      </c>
      <c r="R683" s="3" t="str">
        <f>IFERROR(__xludf.DUMMYFUNCTION("""COMPUTED_VALUE"""),"Small Format")</f>
        <v>Small Format</v>
      </c>
      <c r="S683" s="3" t="str">
        <f>IFERROR(__xludf.DUMMYFUNCTION("""COMPUTED_VALUE"""),"BCM")</f>
        <v>BCM</v>
      </c>
      <c r="T683" s="3" t="str">
        <f>IFERROR(__xludf.DUMMYFUNCTION("""COMPUTED_VALUE"""),"#N/A")</f>
        <v>#N/A</v>
      </c>
      <c r="U683" s="3" t="str">
        <f>IFERROR(__xludf.DUMMYFUNCTION("""COMPUTED_VALUE"""),"#N/A")</f>
        <v>#N/A</v>
      </c>
      <c r="V683" s="3" t="str">
        <f>IFERROR(__xludf.DUMMYFUNCTION("""COMPUTED_VALUE"""),"N")</f>
        <v>N</v>
      </c>
      <c r="W683" s="3">
        <f>IFERROR(__xludf.DUMMYFUNCTION("""COMPUTED_VALUE"""),211384.0)</f>
        <v>211384</v>
      </c>
      <c r="X683" s="3" t="str">
        <f>IFERROR(__xludf.DUMMYFUNCTION("""COMPUTED_VALUE"""),"41/8 หมู่ 4 ตำบลทรายมูล อำเภอองครักษ์ จังหวัดนครนายก 26120")</f>
        <v>41/8 หมู่ 4 ตำบลทรายมูล อำเภอองครักษ์ จังหวัดนครนายก 26120</v>
      </c>
      <c r="Y683" s="3"/>
      <c r="Z683" s="3" t="str">
        <f>IFERROR(__xludf.DUMMYFUNCTION("""COMPUTED_VALUE"""),"ทรายมูล")</f>
        <v>ทรายมูล</v>
      </c>
      <c r="AA683" s="3" t="str">
        <f>IFERROR(__xludf.DUMMYFUNCTION("""COMPUTED_VALUE"""),"องครักษ์")</f>
        <v>องครักษ์</v>
      </c>
      <c r="AB683" s="3" t="str">
        <f>IFERROR(__xludf.DUMMYFUNCTION("""COMPUTED_VALUE"""),"นครนายก")</f>
        <v>นครนายก</v>
      </c>
      <c r="AC683" s="3">
        <f>IFERROR(__xludf.DUMMYFUNCTION("""COMPUTED_VALUE"""),26120.0)</f>
        <v>26120</v>
      </c>
      <c r="AD683" s="3">
        <f>IFERROR(__xludf.DUMMYFUNCTION("""COMPUTED_VALUE"""),14.142553)</f>
        <v>14.142553</v>
      </c>
      <c r="AE683" s="3">
        <f>IFERROR(__xludf.DUMMYFUNCTION("""COMPUTED_VALUE"""),100.985623)</f>
        <v>100.985623</v>
      </c>
      <c r="AF683" s="3" t="str">
        <f>IFERROR(__xludf.DUMMYFUNCTION("""COMPUTED_VALUE"""),"MBC เอสโซ่องครักษ์-21451")</f>
        <v>MBC เอสโซ่องครักษ์-21451</v>
      </c>
      <c r="AG683" s="3" t="str">
        <f>IFERROR(__xludf.DUMMYFUNCTION("""COMPUTED_VALUE"""),"กลาง")</f>
        <v>กลาง</v>
      </c>
      <c r="AH683" s="3" t="str">
        <f>IFERROR(__xludf.DUMMYFUNCTION("""COMPUTED_VALUE"""),"#N/A")</f>
        <v>#N/A</v>
      </c>
      <c r="AI683" s="3" t="str">
        <f>IFERROR(__xludf.DUMMYFUNCTION("""COMPUTED_VALUE"""),"Out of warranty")</f>
        <v>Out of warranty</v>
      </c>
      <c r="AJ683" s="3">
        <f>IFERROR(__xludf.DUMMYFUNCTION("""COMPUTED_VALUE"""),106.0)</f>
        <v>106</v>
      </c>
      <c r="AK683" s="3" t="str">
        <f>IFERROR(__xludf.DUMMYFUNCTION("""COMPUTED_VALUE"""),"MMS04")</f>
        <v>MMS04</v>
      </c>
      <c r="AL683" s="3"/>
    </row>
    <row r="684" ht="15.75" customHeight="1">
      <c r="A684" s="1" t="str">
        <f>IFERROR(__xludf.DUMMYFUNCTION("""COMPUTED_VALUE"""),"21452")</f>
        <v>21452</v>
      </c>
      <c r="B684" s="2">
        <f>IFERROR(__xludf.DUMMYFUNCTION("""COMPUTED_VALUE"""),21452.0)</f>
        <v>21452</v>
      </c>
      <c r="C684" s="3" t="str">
        <f>IFERROR(__xludf.DUMMYFUNCTION("""COMPUTED_VALUE"""),"MBC ตลาดพุนพิน")</f>
        <v>MBC ตลาดพุนพิน</v>
      </c>
      <c r="D684" s="3" t="str">
        <f>IFERROR(__xludf.DUMMYFUNCTION("""COMPUTED_VALUE"""),"BCM TALAD PHUNPHIN")</f>
        <v>BCM TALAD PHUNPHIN</v>
      </c>
      <c r="E684" s="1" t="str">
        <f>IFERROR(__xludf.DUMMYFUNCTION("""COMPUTED_VALUE"""),"บิ๊กซี MINI")</f>
        <v>บิ๊กซี MINI</v>
      </c>
      <c r="F684" s="1" t="str">
        <f>IFERROR(__xludf.DUMMYFUNCTION("""COMPUTED_VALUE"""),"250760")</f>
        <v>250760</v>
      </c>
      <c r="G684" s="1" t="str">
        <f>IFERROR(__xludf.DUMMYFUNCTION("""COMPUTED_VALUE"""),"นายประทวน สาราบรรณ์")</f>
        <v>นายประทวน สาราบรรณ์</v>
      </c>
      <c r="H684" s="1" t="str">
        <f>IFERROR(__xludf.DUMMYFUNCTION("""COMPUTED_VALUE"""),"228389")</f>
        <v>228389</v>
      </c>
      <c r="I684" s="1" t="str">
        <f>IFERROR(__xludf.DUMMYFUNCTION("""COMPUTED_VALUE"""),"นายมณีรันดร์ ชัยชนะ")</f>
        <v>นายมณีรันดร์ ชัยชนะ</v>
      </c>
      <c r="J684" s="3">
        <f>IFERROR(__xludf.DUMMYFUNCTION("""COMPUTED_VALUE"""),25324.0)</f>
        <v>25324</v>
      </c>
      <c r="K684" s="3" t="str">
        <f>IFERROR(__xludf.DUMMYFUNCTION("""COMPUTED_VALUE"""),"นายวิเชฎฐ์ ติรัตนะประคม")</f>
        <v>นายวิเชฎฐ์ ติรัตนะประคม</v>
      </c>
      <c r="L684" s="3" t="str">
        <f>IFERROR(__xludf.DUMMYFUNCTION("""COMPUTED_VALUE"""),"14 K.Wichet T.")</f>
        <v>14 K.Wichet T.</v>
      </c>
      <c r="M684" s="1" t="str">
        <f>IFERROR(__xludf.DUMMYFUNCTION("""COMPUTED_VALUE"""),"061-417-6569 / 086-445-5636")</f>
        <v>061-417-6569 / 086-445-5636</v>
      </c>
      <c r="N684" s="3">
        <f>IFERROR(__xludf.DUMMYFUNCTION("""COMPUTED_VALUE"""),22658.0)</f>
        <v>22658</v>
      </c>
      <c r="O684" s="3" t="str">
        <f>IFERROR(__xludf.DUMMYFUNCTION("""COMPUTED_VALUE"""),"BCM ถ.วิรัชหงษ์หยก ภูเก็ต")</f>
        <v>BCM ถ.วิรัชหงษ์หยก ภูเก็ต</v>
      </c>
      <c r="P684" s="4">
        <f>IFERROR(__xludf.DUMMYFUNCTION("""COMPUTED_VALUE"""),42855.0)</f>
        <v>42855</v>
      </c>
      <c r="Q684" s="3" t="str">
        <f>IFERROR(__xludf.DUMMYFUNCTION("""COMPUTED_VALUE"""),"A")</f>
        <v>A</v>
      </c>
      <c r="R684" s="3" t="str">
        <f>IFERROR(__xludf.DUMMYFUNCTION("""COMPUTED_VALUE"""),"Small Format")</f>
        <v>Small Format</v>
      </c>
      <c r="S684" s="3" t="str">
        <f>IFERROR(__xludf.DUMMYFUNCTION("""COMPUTED_VALUE"""),"BCM")</f>
        <v>BCM</v>
      </c>
      <c r="T684" s="3" t="str">
        <f>IFERROR(__xludf.DUMMYFUNCTION("""COMPUTED_VALUE"""),"#N/A")</f>
        <v>#N/A</v>
      </c>
      <c r="U684" s="3" t="str">
        <f>IFERROR(__xludf.DUMMYFUNCTION("""COMPUTED_VALUE"""),"#N/A")</f>
        <v>#N/A</v>
      </c>
      <c r="V684" s="3" t="str">
        <f>IFERROR(__xludf.DUMMYFUNCTION("""COMPUTED_VALUE"""),"N")</f>
        <v>N</v>
      </c>
      <c r="W684" s="3">
        <f>IFERROR(__xludf.DUMMYFUNCTION("""COMPUTED_VALUE"""),211382.0)</f>
        <v>211382</v>
      </c>
      <c r="X684" s="3" t="str">
        <f>IFERROR(__xludf.DUMMYFUNCTION("""COMPUTED_VALUE"""),"16/1 ถนนศรีพุนพิน ตำบลท่าข้าม อำเภอพุนพิน จังหวัดสุราษฎร์ธานี 84130")</f>
        <v>16/1 ถนนศรีพุนพิน ตำบลท่าข้าม อำเภอพุนพิน จังหวัดสุราษฎร์ธานี 84130</v>
      </c>
      <c r="Y684" s="3" t="str">
        <f>IFERROR(__xludf.DUMMYFUNCTION("""COMPUTED_VALUE"""),"ถนนศรีพุนพิน")</f>
        <v>ถนนศรีพุนพิน</v>
      </c>
      <c r="Z684" s="3" t="str">
        <f>IFERROR(__xludf.DUMMYFUNCTION("""COMPUTED_VALUE"""),"ท่าข้าม")</f>
        <v>ท่าข้าม</v>
      </c>
      <c r="AA684" s="3" t="str">
        <f>IFERROR(__xludf.DUMMYFUNCTION("""COMPUTED_VALUE"""),"พุนพิน")</f>
        <v>พุนพิน</v>
      </c>
      <c r="AB684" s="3" t="str">
        <f>IFERROR(__xludf.DUMMYFUNCTION("""COMPUTED_VALUE"""),"สุราษฎร์ธานี")</f>
        <v>สุราษฎร์ธานี</v>
      </c>
      <c r="AC684" s="3">
        <f>IFERROR(__xludf.DUMMYFUNCTION("""COMPUTED_VALUE"""),84130.0)</f>
        <v>84130</v>
      </c>
      <c r="AD684" s="3">
        <f>IFERROR(__xludf.DUMMYFUNCTION("""COMPUTED_VALUE"""),9.1069995)</f>
        <v>9.1069995</v>
      </c>
      <c r="AE684" s="3">
        <f>IFERROR(__xludf.DUMMYFUNCTION("""COMPUTED_VALUE"""),99.2313496)</f>
        <v>99.2313496</v>
      </c>
      <c r="AF684" s="3" t="str">
        <f>IFERROR(__xludf.DUMMYFUNCTION("""COMPUTED_VALUE"""),"MBC ตลาดพุนพิน-21452")</f>
        <v>MBC ตลาดพุนพิน-21452</v>
      </c>
      <c r="AG684" s="3" t="str">
        <f>IFERROR(__xludf.DUMMYFUNCTION("""COMPUTED_VALUE"""),"ใต้")</f>
        <v>ใต้</v>
      </c>
      <c r="AH684" s="3" t="str">
        <f>IFERROR(__xludf.DUMMYFUNCTION("""COMPUTED_VALUE"""),"#N/A")</f>
        <v>#N/A</v>
      </c>
      <c r="AI684" s="3" t="str">
        <f>IFERROR(__xludf.DUMMYFUNCTION("""COMPUTED_VALUE"""),"Out of warranty")</f>
        <v>Out of warranty</v>
      </c>
      <c r="AJ684" s="3">
        <f>IFERROR(__xludf.DUMMYFUNCTION("""COMPUTED_VALUE"""),105.0)</f>
        <v>105</v>
      </c>
      <c r="AK684" s="3" t="str">
        <f>IFERROR(__xludf.DUMMYFUNCTION("""COMPUTED_VALUE"""),"MMS14")</f>
        <v>MMS14</v>
      </c>
      <c r="AL684" s="3"/>
    </row>
    <row r="685" ht="15.75" customHeight="1">
      <c r="A685" s="1" t="str">
        <f>IFERROR(__xludf.DUMMYFUNCTION("""COMPUTED_VALUE"""),"21453")</f>
        <v>21453</v>
      </c>
      <c r="B685" s="2">
        <f>IFERROR(__xludf.DUMMYFUNCTION("""COMPUTED_VALUE"""),21453.0)</f>
        <v>21453</v>
      </c>
      <c r="C685" s="3" t="str">
        <f>IFERROR(__xludf.DUMMYFUNCTION("""COMPUTED_VALUE"""),"MBC โรงพยาบาล ลำพูน")</f>
        <v>MBC โรงพยาบาล ลำพูน</v>
      </c>
      <c r="D685" s="3" t="str">
        <f>IFERROR(__xludf.DUMMYFUNCTION("""COMPUTED_VALUE"""),"BCM LAMPHUN HOSPITAL")</f>
        <v>BCM LAMPHUN HOSPITAL</v>
      </c>
      <c r="E685" s="1" t="str">
        <f>IFERROR(__xludf.DUMMYFUNCTION("""COMPUTED_VALUE"""),"บิ๊กซี MINI")</f>
        <v>บิ๊กซี MINI</v>
      </c>
      <c r="F685" s="1" t="str">
        <f>IFERROR(__xludf.DUMMYFUNCTION("""COMPUTED_VALUE"""),"296229")</f>
        <v>296229</v>
      </c>
      <c r="G685" s="1" t="str">
        <f>IFERROR(__xludf.DUMMYFUNCTION("""COMPUTED_VALUE"""),"นายทนงศักดิ์ บุญมา")</f>
        <v>นายทนงศักดิ์ บุญมา</v>
      </c>
      <c r="H685" s="1" t="str">
        <f>IFERROR(__xludf.DUMMYFUNCTION("""COMPUTED_VALUE"""),"392003")</f>
        <v>392003</v>
      </c>
      <c r="I685" s="1" t="str">
        <f>IFERROR(__xludf.DUMMYFUNCTION("""COMPUTED_VALUE"""),"นายวรภพ เศษสูงเนิน")</f>
        <v>นายวรภพ เศษสูงเนิน</v>
      </c>
      <c r="J685" s="3">
        <f>IFERROR(__xludf.DUMMYFUNCTION("""COMPUTED_VALUE"""),2010016.0)</f>
        <v>2010016</v>
      </c>
      <c r="K685" s="3" t="str">
        <f>IFERROR(__xludf.DUMMYFUNCTION("""COMPUTED_VALUE"""),"นายตวงธรรม ใหม่ยศ")</f>
        <v>นายตวงธรรม ใหม่ยศ</v>
      </c>
      <c r="L685" s="3" t="str">
        <f>IFERROR(__xludf.DUMMYFUNCTION("""COMPUTED_VALUE"""),"01 K.Tuangtham M.")</f>
        <v>01 K.Tuangtham M.</v>
      </c>
      <c r="M685" s="1" t="str">
        <f>IFERROR(__xludf.DUMMYFUNCTION("""COMPUTED_VALUE"""),"063-976-595")</f>
        <v>063-976-595</v>
      </c>
      <c r="N685" s="3">
        <f>IFERROR(__xludf.DUMMYFUNCTION("""COMPUTED_VALUE"""),22574.0)</f>
        <v>22574</v>
      </c>
      <c r="O685" s="3" t="str">
        <f>IFERROR(__xludf.DUMMYFUNCTION("""COMPUTED_VALUE"""),"BCM ชุมชนศรีชุม ลำปาง")</f>
        <v>BCM ชุมชนศรีชุม ลำปาง</v>
      </c>
      <c r="P685" s="4">
        <f>IFERROR(__xludf.DUMMYFUNCTION("""COMPUTED_VALUE"""),42855.0)</f>
        <v>42855</v>
      </c>
      <c r="Q685" s="3" t="str">
        <f>IFERROR(__xludf.DUMMYFUNCTION("""COMPUTED_VALUE"""),"A")</f>
        <v>A</v>
      </c>
      <c r="R685" s="3" t="str">
        <f>IFERROR(__xludf.DUMMYFUNCTION("""COMPUTED_VALUE"""),"Small Format")</f>
        <v>Small Format</v>
      </c>
      <c r="S685" s="3" t="str">
        <f>IFERROR(__xludf.DUMMYFUNCTION("""COMPUTED_VALUE"""),"BCM")</f>
        <v>BCM</v>
      </c>
      <c r="T685" s="3" t="str">
        <f>IFERROR(__xludf.DUMMYFUNCTION("""COMPUTED_VALUE"""),"#N/A")</f>
        <v>#N/A</v>
      </c>
      <c r="U685" s="3" t="str">
        <f>IFERROR(__xludf.DUMMYFUNCTION("""COMPUTED_VALUE"""),"#N/A")</f>
        <v>#N/A</v>
      </c>
      <c r="V685" s="3" t="str">
        <f>IFERROR(__xludf.DUMMYFUNCTION("""COMPUTED_VALUE"""),"N")</f>
        <v>N</v>
      </c>
      <c r="W685" s="3">
        <f>IFERROR(__xludf.DUMMYFUNCTION("""COMPUTED_VALUE"""),211389.0)</f>
        <v>211389</v>
      </c>
      <c r="X685" s="3" t="str">
        <f>IFERROR(__xludf.DUMMYFUNCTION("""COMPUTED_VALUE"""),"166 หมู่ 6 ตำบลเหมืองง่า อำเภอเมืองลำพูน จังหวัดลำพูน 51000")</f>
        <v>166 หมู่ 6 ตำบลเหมืองง่า อำเภอเมืองลำพูน จังหวัดลำพูน 51000</v>
      </c>
      <c r="Y685" s="3"/>
      <c r="Z685" s="3" t="str">
        <f>IFERROR(__xludf.DUMMYFUNCTION("""COMPUTED_VALUE"""),"เหมืองง่า")</f>
        <v>เหมืองง่า</v>
      </c>
      <c r="AA685" s="3" t="str">
        <f>IFERROR(__xludf.DUMMYFUNCTION("""COMPUTED_VALUE"""),"เมือง")</f>
        <v>เมือง</v>
      </c>
      <c r="AB685" s="3" t="str">
        <f>IFERROR(__xludf.DUMMYFUNCTION("""COMPUTED_VALUE"""),"ลำพูน")</f>
        <v>ลำพูน</v>
      </c>
      <c r="AC685" s="3">
        <f>IFERROR(__xludf.DUMMYFUNCTION("""COMPUTED_VALUE"""),51000.0)</f>
        <v>51000</v>
      </c>
      <c r="AD685" s="3">
        <f>IFERROR(__xludf.DUMMYFUNCTION("""COMPUTED_VALUE"""),18.58296)</f>
        <v>18.58296</v>
      </c>
      <c r="AE685" s="3">
        <f>IFERROR(__xludf.DUMMYFUNCTION("""COMPUTED_VALUE"""),98.99502)</f>
        <v>98.99502</v>
      </c>
      <c r="AF685" s="3" t="str">
        <f>IFERROR(__xludf.DUMMYFUNCTION("""COMPUTED_VALUE"""),"MBC โรงพยาบาล ลำพูน-21453")</f>
        <v>MBC โรงพยาบาล ลำพูน-21453</v>
      </c>
      <c r="AG685" s="3" t="str">
        <f>IFERROR(__xludf.DUMMYFUNCTION("""COMPUTED_VALUE"""),"เหนือ")</f>
        <v>เหนือ</v>
      </c>
      <c r="AH685" s="3" t="str">
        <f>IFERROR(__xludf.DUMMYFUNCTION("""COMPUTED_VALUE"""),"#N/A")</f>
        <v>#N/A</v>
      </c>
      <c r="AI685" s="3" t="str">
        <f>IFERROR(__xludf.DUMMYFUNCTION("""COMPUTED_VALUE"""),"Out of warranty")</f>
        <v>Out of warranty</v>
      </c>
      <c r="AJ685" s="3">
        <f>IFERROR(__xludf.DUMMYFUNCTION("""COMPUTED_VALUE"""),105.0)</f>
        <v>105</v>
      </c>
      <c r="AK685" s="3" t="str">
        <f>IFERROR(__xludf.DUMMYFUNCTION("""COMPUTED_VALUE"""),"MMS10")</f>
        <v>MMS10</v>
      </c>
      <c r="AL685" s="3"/>
    </row>
    <row r="686" ht="15.75" customHeight="1">
      <c r="A686" s="1" t="str">
        <f>IFERROR(__xludf.DUMMYFUNCTION("""COMPUTED_VALUE"""),"21454")</f>
        <v>21454</v>
      </c>
      <c r="B686" s="2">
        <f>IFERROR(__xludf.DUMMYFUNCTION("""COMPUTED_VALUE"""),21454.0)</f>
        <v>21454</v>
      </c>
      <c r="C686" s="3" t="str">
        <f>IFERROR(__xludf.DUMMYFUNCTION("""COMPUTED_VALUE"""),"MBC ถนนคนเดิน ลำพูน")</f>
        <v>MBC ถนนคนเดิน ลำพูน</v>
      </c>
      <c r="D686" s="3" t="str">
        <f>IFERROR(__xludf.DUMMYFUNCTION("""COMPUTED_VALUE"""),"MBC STREET WALK LAMPHUN")</f>
        <v>MBC STREET WALK LAMPHUN</v>
      </c>
      <c r="E686" s="1" t="str">
        <f>IFERROR(__xludf.DUMMYFUNCTION("""COMPUTED_VALUE"""),"บิ๊กซี MINI")</f>
        <v>บิ๊กซี MINI</v>
      </c>
      <c r="F686" s="1" t="str">
        <f>IFERROR(__xludf.DUMMYFUNCTION("""COMPUTED_VALUE"""),"296229")</f>
        <v>296229</v>
      </c>
      <c r="G686" s="1" t="str">
        <f>IFERROR(__xludf.DUMMYFUNCTION("""COMPUTED_VALUE"""),"นายทนงศักดิ์ บุญมา")</f>
        <v>นายทนงศักดิ์ บุญมา</v>
      </c>
      <c r="H686" s="1" t="str">
        <f>IFERROR(__xludf.DUMMYFUNCTION("""COMPUTED_VALUE"""),"254905")</f>
        <v>254905</v>
      </c>
      <c r="I686" s="1" t="str">
        <f>IFERROR(__xludf.DUMMYFUNCTION("""COMPUTED_VALUE"""),"น.ส.เนียรนิภา คงตระกูล")</f>
        <v>น.ส.เนียรนิภา คงตระกูล</v>
      </c>
      <c r="J686" s="3">
        <f>IFERROR(__xludf.DUMMYFUNCTION("""COMPUTED_VALUE"""),46214.0)</f>
        <v>46214</v>
      </c>
      <c r="K686" s="3" t="str">
        <f>IFERROR(__xludf.DUMMYFUNCTION("""COMPUTED_VALUE"""),"นายศักดิ์ชัย เด็ดดอกฟ้า")</f>
        <v>นายศักดิ์ชัย เด็ดดอกฟ้า</v>
      </c>
      <c r="L686" s="1" t="str">
        <f>IFERROR(__xludf.DUMMYFUNCTION("""COMPUTED_VALUE"""),"02 K.Sakchai D")</f>
        <v>02 K.Sakchai D</v>
      </c>
      <c r="M686" s="1" t="str">
        <f>IFERROR(__xludf.DUMMYFUNCTION("""COMPUTED_VALUE"""),"065-510-7376")</f>
        <v>065-510-7376</v>
      </c>
      <c r="N686" s="3">
        <f>IFERROR(__xludf.DUMMYFUNCTION("""COMPUTED_VALUE"""),21441.0)</f>
        <v>21441</v>
      </c>
      <c r="O686" s="3" t="str">
        <f>IFERROR(__xludf.DUMMYFUNCTION("""COMPUTED_VALUE"""),"MBC บ้านกร่าง พิษณุโลก")</f>
        <v>MBC บ้านกร่าง พิษณุโลก</v>
      </c>
      <c r="P686" s="4">
        <f>IFERROR(__xludf.DUMMYFUNCTION("""COMPUTED_VALUE"""),42941.0)</f>
        <v>42941</v>
      </c>
      <c r="Q686" s="3" t="str">
        <f>IFERROR(__xludf.DUMMYFUNCTION("""COMPUTED_VALUE"""),"I")</f>
        <v>I</v>
      </c>
      <c r="R686" s="3" t="str">
        <f>IFERROR(__xludf.DUMMYFUNCTION("""COMPUTED_VALUE"""),"Small Format")</f>
        <v>Small Format</v>
      </c>
      <c r="S686" s="3" t="str">
        <f>IFERROR(__xludf.DUMMYFUNCTION("""COMPUTED_VALUE"""),"BCM")</f>
        <v>BCM</v>
      </c>
      <c r="T686" s="3" t="str">
        <f>IFERROR(__xludf.DUMMYFUNCTION("""COMPUTED_VALUE"""),"#N/A")</f>
        <v>#N/A</v>
      </c>
      <c r="U686" s="3" t="str">
        <f>IFERROR(__xludf.DUMMYFUNCTION("""COMPUTED_VALUE"""),"#N/A")</f>
        <v>#N/A</v>
      </c>
      <c r="V686" s="3" t="str">
        <f>IFERROR(__xludf.DUMMYFUNCTION("""COMPUTED_VALUE"""),"N")</f>
        <v>N</v>
      </c>
      <c r="W686" s="3">
        <f>IFERROR(__xludf.DUMMYFUNCTION("""COMPUTED_VALUE"""),0.0)</f>
        <v>0</v>
      </c>
      <c r="X686" s="3" t="str">
        <f>IFERROR(__xludf.DUMMYFUNCTION("""COMPUTED_VALUE"""),"42,46 ถนนไชยมงคล ตำบลในเมือง อำเภอเมืองลำพูน จังหวัดลำพูน 51000")</f>
        <v>42,46 ถนนไชยมงคล ตำบลในเมือง อำเภอเมืองลำพูน จังหวัดลำพูน 51000</v>
      </c>
      <c r="Y686" s="3" t="str">
        <f>IFERROR(__xludf.DUMMYFUNCTION("""COMPUTED_VALUE"""),"ถนนไชยมงคล")</f>
        <v>ถนนไชยมงคล</v>
      </c>
      <c r="Z686" s="3" t="str">
        <f>IFERROR(__xludf.DUMMYFUNCTION("""COMPUTED_VALUE"""),"ในเมือง")</f>
        <v>ในเมือง</v>
      </c>
      <c r="AA686" s="3" t="str">
        <f>IFERROR(__xludf.DUMMYFUNCTION("""COMPUTED_VALUE"""),"เมือง")</f>
        <v>เมือง</v>
      </c>
      <c r="AB686" s="3" t="str">
        <f>IFERROR(__xludf.DUMMYFUNCTION("""COMPUTED_VALUE"""),"ลำพูน")</f>
        <v>ลำพูน</v>
      </c>
      <c r="AC686" s="3">
        <f>IFERROR(__xludf.DUMMYFUNCTION("""COMPUTED_VALUE"""),51000.0)</f>
        <v>51000</v>
      </c>
      <c r="AD686" s="3" t="str">
        <f>IFERROR(__xludf.DUMMYFUNCTION("""COMPUTED_VALUE"""),"#N/A")</f>
        <v>#N/A</v>
      </c>
      <c r="AE686" s="3" t="str">
        <f>IFERROR(__xludf.DUMMYFUNCTION("""COMPUTED_VALUE"""),"#N/A")</f>
        <v>#N/A</v>
      </c>
      <c r="AF686" s="3" t="str">
        <f>IFERROR(__xludf.DUMMYFUNCTION("""COMPUTED_VALUE"""),"MBC ถนนคนเดิน ลำพูน-21454")</f>
        <v>MBC ถนนคนเดิน ลำพูน-21454</v>
      </c>
      <c r="AG686" s="3" t="str">
        <f>IFERROR(__xludf.DUMMYFUNCTION("""COMPUTED_VALUE"""),"เหนือ")</f>
        <v>เหนือ</v>
      </c>
      <c r="AH686" s="3" t="str">
        <f>IFERROR(__xludf.DUMMYFUNCTION("""COMPUTED_VALUE"""),"#N/A")</f>
        <v>#N/A</v>
      </c>
      <c r="AI686" s="3" t="str">
        <f>IFERROR(__xludf.DUMMYFUNCTION("""COMPUTED_VALUE"""),"Out of warranty")</f>
        <v>Out of warranty</v>
      </c>
      <c r="AJ686" s="3">
        <f>IFERROR(__xludf.DUMMYFUNCTION("""COMPUTED_VALUE"""),102.0)</f>
        <v>102</v>
      </c>
      <c r="AK686" s="3"/>
      <c r="AL686" s="3"/>
    </row>
    <row r="687" ht="15.75" customHeight="1">
      <c r="A687" s="1" t="str">
        <f>IFERROR(__xludf.DUMMYFUNCTION("""COMPUTED_VALUE"""),"21455")</f>
        <v>21455</v>
      </c>
      <c r="B687" s="2">
        <f>IFERROR(__xludf.DUMMYFUNCTION("""COMPUTED_VALUE"""),21455.0)</f>
        <v>21455</v>
      </c>
      <c r="C687" s="3" t="str">
        <f>IFERROR(__xludf.DUMMYFUNCTION("""COMPUTED_VALUE"""),"MBC ตลาดต้นพยอม 2")</f>
        <v>MBC ตลาดต้นพยอม 2</v>
      </c>
      <c r="D687" s="3" t="str">
        <f>IFERROR(__xludf.DUMMYFUNCTION("""COMPUTED_VALUE"""),"BCM TALAD TONPAYOM 2")</f>
        <v>BCM TALAD TONPAYOM 2</v>
      </c>
      <c r="E687" s="1" t="str">
        <f>IFERROR(__xludf.DUMMYFUNCTION("""COMPUTED_VALUE"""),"บิ๊กซี MINI")</f>
        <v>บิ๊กซี MINI</v>
      </c>
      <c r="F687" s="1" t="str">
        <f>IFERROR(__xludf.DUMMYFUNCTION("""COMPUTED_VALUE"""),"296229")</f>
        <v>296229</v>
      </c>
      <c r="G687" s="1" t="str">
        <f>IFERROR(__xludf.DUMMYFUNCTION("""COMPUTED_VALUE"""),"นายทนงศักดิ์ บุญมา")</f>
        <v>นายทนงศักดิ์ บุญมา</v>
      </c>
      <c r="H687" s="1" t="str">
        <f>IFERROR(__xludf.DUMMYFUNCTION("""COMPUTED_VALUE"""),"393402")</f>
        <v>393402</v>
      </c>
      <c r="I687" s="1" t="str">
        <f>IFERROR(__xludf.DUMMYFUNCTION("""COMPUTED_VALUE"""),"น.ส.ปารมิตา ใจตรง")</f>
        <v>น.ส.ปารมิตา ใจตรง</v>
      </c>
      <c r="J687" s="3">
        <f>IFERROR(__xludf.DUMMYFUNCTION("""COMPUTED_VALUE"""),2010016.0)</f>
        <v>2010016</v>
      </c>
      <c r="K687" s="3" t="str">
        <f>IFERROR(__xludf.DUMMYFUNCTION("""COMPUTED_VALUE"""),"นายตวงธรรม ใหม่ยศ")</f>
        <v>นายตวงธรรม ใหม่ยศ</v>
      </c>
      <c r="L687" s="1" t="str">
        <f>IFERROR(__xludf.DUMMYFUNCTION("""COMPUTED_VALUE"""),"01 K.Tuangtham M.")</f>
        <v>01 K.Tuangtham M.</v>
      </c>
      <c r="M687" s="1" t="str">
        <f>IFERROR(__xludf.DUMMYFUNCTION("""COMPUTED_VALUE"""),"063-976-595")</f>
        <v>063-976-595</v>
      </c>
      <c r="N687" s="3">
        <f>IFERROR(__xludf.DUMMYFUNCTION("""COMPUTED_VALUE"""),22574.0)</f>
        <v>22574</v>
      </c>
      <c r="O687" s="3" t="str">
        <f>IFERROR(__xludf.DUMMYFUNCTION("""COMPUTED_VALUE"""),"BCM ชุมชนศรีชุม ลำปาง")</f>
        <v>BCM ชุมชนศรีชุม ลำปาง</v>
      </c>
      <c r="P687" s="4">
        <f>IFERROR(__xludf.DUMMYFUNCTION("""COMPUTED_VALUE"""),42863.0)</f>
        <v>42863</v>
      </c>
      <c r="Q687" s="3" t="str">
        <f>IFERROR(__xludf.DUMMYFUNCTION("""COMPUTED_VALUE"""),"A")</f>
        <v>A</v>
      </c>
      <c r="R687" s="3" t="str">
        <f>IFERROR(__xludf.DUMMYFUNCTION("""COMPUTED_VALUE"""),"Small Format")</f>
        <v>Small Format</v>
      </c>
      <c r="S687" s="3" t="str">
        <f>IFERROR(__xludf.DUMMYFUNCTION("""COMPUTED_VALUE"""),"BCM")</f>
        <v>BCM</v>
      </c>
      <c r="T687" s="3" t="str">
        <f>IFERROR(__xludf.DUMMYFUNCTION("""COMPUTED_VALUE"""),"#N/A")</f>
        <v>#N/A</v>
      </c>
      <c r="U687" s="3" t="str">
        <f>IFERROR(__xludf.DUMMYFUNCTION("""COMPUTED_VALUE"""),"#N/A")</f>
        <v>#N/A</v>
      </c>
      <c r="V687" s="3" t="str">
        <f>IFERROR(__xludf.DUMMYFUNCTION("""COMPUTED_VALUE"""),"N")</f>
        <v>N</v>
      </c>
      <c r="W687" s="3">
        <f>IFERROR(__xludf.DUMMYFUNCTION("""COMPUTED_VALUE"""),211357.0)</f>
        <v>211357</v>
      </c>
      <c r="X687" s="3" t="str">
        <f>IFERROR(__xludf.DUMMYFUNCTION("""COMPUTED_VALUE"""),"4/21 ถนนเวียงพิงค์ ตำบลช้างคลาน อำเภอเมืองเชียงใหม่ จังหวัดเชียงใหม่ 50100")</f>
        <v>4/21 ถนนเวียงพิงค์ ตำบลช้างคลาน อำเภอเมืองเชียงใหม่ จังหวัดเชียงใหม่ 50100</v>
      </c>
      <c r="Y687" s="3" t="str">
        <f>IFERROR(__xludf.DUMMYFUNCTION("""COMPUTED_VALUE"""),"ถนนเวียงพิงค์")</f>
        <v>ถนนเวียงพิงค์</v>
      </c>
      <c r="Z687" s="3" t="str">
        <f>IFERROR(__xludf.DUMMYFUNCTION("""COMPUTED_VALUE"""),"ช้างคลาน")</f>
        <v>ช้างคลาน</v>
      </c>
      <c r="AA687" s="3" t="str">
        <f>IFERROR(__xludf.DUMMYFUNCTION("""COMPUTED_VALUE"""),"เมือง")</f>
        <v>เมือง</v>
      </c>
      <c r="AB687" s="3" t="str">
        <f>IFERROR(__xludf.DUMMYFUNCTION("""COMPUTED_VALUE"""),"เชียงใหม่")</f>
        <v>เชียงใหม่</v>
      </c>
      <c r="AC687" s="3">
        <f>IFERROR(__xludf.DUMMYFUNCTION("""COMPUTED_VALUE"""),50100.0)</f>
        <v>50100</v>
      </c>
      <c r="AD687" s="3">
        <f>IFERROR(__xludf.DUMMYFUNCTION("""COMPUTED_VALUE"""),18.772498)</f>
        <v>18.772498</v>
      </c>
      <c r="AE687" s="3">
        <f>IFERROR(__xludf.DUMMYFUNCTION("""COMPUTED_VALUE"""),98.993129)</f>
        <v>98.993129</v>
      </c>
      <c r="AF687" s="3" t="str">
        <f>IFERROR(__xludf.DUMMYFUNCTION("""COMPUTED_VALUE"""),"MBC ตลาดต้นพยอม 2-21455")</f>
        <v>MBC ตลาดต้นพยอม 2-21455</v>
      </c>
      <c r="AG687" s="3" t="str">
        <f>IFERROR(__xludf.DUMMYFUNCTION("""COMPUTED_VALUE"""),"เหนือ")</f>
        <v>เหนือ</v>
      </c>
      <c r="AH687" s="3" t="str">
        <f>IFERROR(__xludf.DUMMYFUNCTION("""COMPUTED_VALUE"""),"#N/A")</f>
        <v>#N/A</v>
      </c>
      <c r="AI687" s="3" t="str">
        <f>IFERROR(__xludf.DUMMYFUNCTION("""COMPUTED_VALUE"""),"Out of warranty")</f>
        <v>Out of warranty</v>
      </c>
      <c r="AJ687" s="3">
        <f>IFERROR(__xludf.DUMMYFUNCTION("""COMPUTED_VALUE"""),105.0)</f>
        <v>105</v>
      </c>
      <c r="AK687" s="3" t="str">
        <f>IFERROR(__xludf.DUMMYFUNCTION("""COMPUTED_VALUE"""),"MMS10")</f>
        <v>MMS10</v>
      </c>
      <c r="AL687" s="3"/>
    </row>
    <row r="688" ht="15.75" customHeight="1">
      <c r="A688" s="1" t="str">
        <f>IFERROR(__xludf.DUMMYFUNCTION("""COMPUTED_VALUE"""),"21456")</f>
        <v>21456</v>
      </c>
      <c r="B688" s="2">
        <f>IFERROR(__xludf.DUMMYFUNCTION("""COMPUTED_VALUE"""),21456.0)</f>
        <v>21456</v>
      </c>
      <c r="C688" s="3" t="str">
        <f>IFERROR(__xludf.DUMMYFUNCTION("""COMPUTED_VALUE"""),"MBC หนองสาหร่าย")</f>
        <v>MBC หนองสาหร่าย</v>
      </c>
      <c r="D688" s="3" t="str">
        <f>IFERROR(__xludf.DUMMYFUNCTION("""COMPUTED_VALUE"""),"BCM NONGSARAI")</f>
        <v>BCM NONGSARAI</v>
      </c>
      <c r="E688" s="1" t="str">
        <f>IFERROR(__xludf.DUMMYFUNCTION("""COMPUTED_VALUE"""),"บิ๊กซี MINI")</f>
        <v>บิ๊กซี MINI</v>
      </c>
      <c r="F688" s="1" t="str">
        <f>IFERROR(__xludf.DUMMYFUNCTION("""COMPUTED_VALUE"""),"291105")</f>
        <v>291105</v>
      </c>
      <c r="G688" s="1" t="str">
        <f>IFERROR(__xludf.DUMMYFUNCTION("""COMPUTED_VALUE"""),"นายสราวุฒิ พณิชยกุล")</f>
        <v>นายสราวุฒิ พณิชยกุล</v>
      </c>
      <c r="H688" s="1" t="str">
        <f>IFERROR(__xludf.DUMMYFUNCTION("""COMPUTED_VALUE"""),"281315")</f>
        <v>281315</v>
      </c>
      <c r="I688" s="1" t="str">
        <f>IFERROR(__xludf.DUMMYFUNCTION("""COMPUTED_VALUE"""),"นายกิตติพงษ์ มั่นคง")</f>
        <v>นายกิตติพงษ์ มั่นคง</v>
      </c>
      <c r="J688" s="3">
        <f>IFERROR(__xludf.DUMMYFUNCTION("""COMPUTED_VALUE"""),15361.0)</f>
        <v>15361</v>
      </c>
      <c r="K688" s="3" t="str">
        <f>IFERROR(__xludf.DUMMYFUNCTION("""COMPUTED_VALUE"""),"นายสมบูรณ์ พรหมในเมือง")</f>
        <v>นายสมบูรณ์ พรหมในเมือง</v>
      </c>
      <c r="L688" s="1" t="str">
        <f>IFERROR(__xludf.DUMMYFUNCTION("""COMPUTED_VALUE"""),"04 K.Somboon P.")</f>
        <v>04 K.Somboon P.</v>
      </c>
      <c r="M688" s="1" t="str">
        <f>IFERROR(__xludf.DUMMYFUNCTION("""COMPUTED_VALUE"""),"087-965-3051")</f>
        <v>087-965-3051</v>
      </c>
      <c r="N688" s="3">
        <f>IFERROR(__xludf.DUMMYFUNCTION("""COMPUTED_VALUE"""),21869.0)</f>
        <v>21869</v>
      </c>
      <c r="O688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688" s="4">
        <f>IFERROR(__xludf.DUMMYFUNCTION("""COMPUTED_VALUE"""),42876.0)</f>
        <v>42876</v>
      </c>
      <c r="Q688" s="3" t="str">
        <f>IFERROR(__xludf.DUMMYFUNCTION("""COMPUTED_VALUE"""),"A")</f>
        <v>A</v>
      </c>
      <c r="R688" s="3" t="str">
        <f>IFERROR(__xludf.DUMMYFUNCTION("""COMPUTED_VALUE"""),"Small Format")</f>
        <v>Small Format</v>
      </c>
      <c r="S688" s="3" t="str">
        <f>IFERROR(__xludf.DUMMYFUNCTION("""COMPUTED_VALUE"""),"BCM")</f>
        <v>BCM</v>
      </c>
      <c r="T688" s="3" t="str">
        <f>IFERROR(__xludf.DUMMYFUNCTION("""COMPUTED_VALUE"""),"#N/A")</f>
        <v>#N/A</v>
      </c>
      <c r="U688" s="3" t="str">
        <f>IFERROR(__xludf.DUMMYFUNCTION("""COMPUTED_VALUE"""),"#N/A")</f>
        <v>#N/A</v>
      </c>
      <c r="V688" s="3" t="str">
        <f>IFERROR(__xludf.DUMMYFUNCTION("""COMPUTED_VALUE"""),"N")</f>
        <v>N</v>
      </c>
      <c r="W688" s="3">
        <f>IFERROR(__xludf.DUMMYFUNCTION("""COMPUTED_VALUE"""),211400.0)</f>
        <v>211400</v>
      </c>
      <c r="X688" s="3" t="str">
        <f>IFERROR(__xludf.DUMMYFUNCTION("""COMPUTED_VALUE"""),"49 ถนนนิคมลำตะคอง หนองสาหร่าย อำเภอปากช่อง จังหวัดนครราชสีมา 30130")</f>
        <v>49 ถนนนิคมลำตะคอง หนองสาหร่าย อำเภอปากช่อง จังหวัดนครราชสีมา 30130</v>
      </c>
      <c r="Y688" s="3" t="str">
        <f>IFERROR(__xludf.DUMMYFUNCTION("""COMPUTED_VALUE"""),"ถนนนิคมลำตะคอง")</f>
        <v>ถนนนิคมลำตะคอง</v>
      </c>
      <c r="Z688" s="3" t="str">
        <f>IFERROR(__xludf.DUMMYFUNCTION("""COMPUTED_VALUE"""),"หนองสาหร่าย")</f>
        <v>หนองสาหร่าย</v>
      </c>
      <c r="AA688" s="3" t="str">
        <f>IFERROR(__xludf.DUMMYFUNCTION("""COMPUTED_VALUE"""),"ปากช่อง")</f>
        <v>ปากช่อง</v>
      </c>
      <c r="AB688" s="3" t="str">
        <f>IFERROR(__xludf.DUMMYFUNCTION("""COMPUTED_VALUE"""),"นครราชสีมา")</f>
        <v>นครราชสีมา</v>
      </c>
      <c r="AC688" s="3">
        <f>IFERROR(__xludf.DUMMYFUNCTION("""COMPUTED_VALUE"""),30130.0)</f>
        <v>30130</v>
      </c>
      <c r="AD688" s="3">
        <f>IFERROR(__xludf.DUMMYFUNCTION("""COMPUTED_VALUE"""),14.718313)</f>
        <v>14.718313</v>
      </c>
      <c r="AE688" s="3">
        <f>IFERROR(__xludf.DUMMYFUNCTION("""COMPUTED_VALUE"""),101.435462)</f>
        <v>101.435462</v>
      </c>
      <c r="AF688" s="3" t="str">
        <f>IFERROR(__xludf.DUMMYFUNCTION("""COMPUTED_VALUE"""),"MBC หนองสาหร่าย-21456")</f>
        <v>MBC หนองสาหร่าย-21456</v>
      </c>
      <c r="AG688" s="3" t="str">
        <f>IFERROR(__xludf.DUMMYFUNCTION("""COMPUTED_VALUE"""),"ตะวันออกเฉียงเหนือ")</f>
        <v>ตะวันออกเฉียงเหนือ</v>
      </c>
      <c r="AH688" s="3" t="str">
        <f>IFERROR(__xludf.DUMMYFUNCTION("""COMPUTED_VALUE"""),"#N/A")</f>
        <v>#N/A</v>
      </c>
      <c r="AI688" s="3" t="str">
        <f>IFERROR(__xludf.DUMMYFUNCTION("""COMPUTED_VALUE"""),"Out of warranty")</f>
        <v>Out of warranty</v>
      </c>
      <c r="AJ688" s="3">
        <f>IFERROR(__xludf.DUMMYFUNCTION("""COMPUTED_VALUE"""),104.0)</f>
        <v>104</v>
      </c>
      <c r="AK688" s="3" t="str">
        <f>IFERROR(__xludf.DUMMYFUNCTION("""COMPUTED_VALUE"""),"MMS11")</f>
        <v>MMS11</v>
      </c>
      <c r="AL688" s="3"/>
    </row>
    <row r="689" ht="15.75" customHeight="1">
      <c r="A689" s="1" t="str">
        <f>IFERROR(__xludf.DUMMYFUNCTION("""COMPUTED_VALUE"""),"21457")</f>
        <v>21457</v>
      </c>
      <c r="B689" s="2">
        <f>IFERROR(__xludf.DUMMYFUNCTION("""COMPUTED_VALUE"""),21457.0)</f>
        <v>21457</v>
      </c>
      <c r="C689" s="3" t="str">
        <f>IFERROR(__xludf.DUMMYFUNCTION("""COMPUTED_VALUE"""),"MBC วิทยาลัยสารพัดช่างนครราชสีมา")</f>
        <v>MBC วิทยาลัยสารพัดช่างนครราชสีมา</v>
      </c>
      <c r="D689" s="3" t="str">
        <f>IFERROR(__xludf.DUMMYFUNCTION("""COMPUTED_VALUE"""),"BCM NAKHONRATCHASIMAPOLYTHENIC")</f>
        <v>BCM NAKHONRATCHASIMAPOLYTHENIC</v>
      </c>
      <c r="E689" s="1" t="str">
        <f>IFERROR(__xludf.DUMMYFUNCTION("""COMPUTED_VALUE"""),"บิ๊กซี MINI")</f>
        <v>บิ๊กซี MINI</v>
      </c>
      <c r="F689" s="1" t="str">
        <f>IFERROR(__xludf.DUMMYFUNCTION("""COMPUTED_VALUE"""),"291105")</f>
        <v>291105</v>
      </c>
      <c r="G689" s="1" t="str">
        <f>IFERROR(__xludf.DUMMYFUNCTION("""COMPUTED_VALUE"""),"นายสราวุฒิ พณิชยกุล")</f>
        <v>นายสราวุฒิ พณิชยกุล</v>
      </c>
      <c r="H689" s="1" t="str">
        <f>IFERROR(__xludf.DUMMYFUNCTION("""COMPUTED_VALUE"""),"281315")</f>
        <v>281315</v>
      </c>
      <c r="I689" s="1" t="str">
        <f>IFERROR(__xludf.DUMMYFUNCTION("""COMPUTED_VALUE"""),"นายกิตติพงษ์ มั่นคง")</f>
        <v>นายกิตติพงษ์ มั่นคง</v>
      </c>
      <c r="J689" s="3">
        <f>IFERROR(__xludf.DUMMYFUNCTION("""COMPUTED_VALUE"""),15361.0)</f>
        <v>15361</v>
      </c>
      <c r="K689" s="3" t="str">
        <f>IFERROR(__xludf.DUMMYFUNCTION("""COMPUTED_VALUE"""),"นายสมบูรณ์ พรหมในเมือง")</f>
        <v>นายสมบูรณ์ พรหมในเมือง</v>
      </c>
      <c r="L689" s="1" t="str">
        <f>IFERROR(__xludf.DUMMYFUNCTION("""COMPUTED_VALUE"""),"04 K.Somboon P.")</f>
        <v>04 K.Somboon P.</v>
      </c>
      <c r="M689" s="1" t="str">
        <f>IFERROR(__xludf.DUMMYFUNCTION("""COMPUTED_VALUE"""),"087-965-3051")</f>
        <v>087-965-3051</v>
      </c>
      <c r="N689" s="3">
        <f>IFERROR(__xludf.DUMMYFUNCTION("""COMPUTED_VALUE"""),21869.0)</f>
        <v>21869</v>
      </c>
      <c r="O689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689" s="4">
        <f>IFERROR(__xludf.DUMMYFUNCTION("""COMPUTED_VALUE"""),42880.0)</f>
        <v>42880</v>
      </c>
      <c r="Q689" s="3" t="str">
        <f>IFERROR(__xludf.DUMMYFUNCTION("""COMPUTED_VALUE"""),"A")</f>
        <v>A</v>
      </c>
      <c r="R689" s="3" t="str">
        <f>IFERROR(__xludf.DUMMYFUNCTION("""COMPUTED_VALUE"""),"Small Format")</f>
        <v>Small Format</v>
      </c>
      <c r="S689" s="3" t="str">
        <f>IFERROR(__xludf.DUMMYFUNCTION("""COMPUTED_VALUE"""),"BCM")</f>
        <v>BCM</v>
      </c>
      <c r="T689" s="3" t="str">
        <f>IFERROR(__xludf.DUMMYFUNCTION("""COMPUTED_VALUE"""),"#N/A")</f>
        <v>#N/A</v>
      </c>
      <c r="U689" s="3" t="str">
        <f>IFERROR(__xludf.DUMMYFUNCTION("""COMPUTED_VALUE"""),"#N/A")</f>
        <v>#N/A</v>
      </c>
      <c r="V689" s="3" t="str">
        <f>IFERROR(__xludf.DUMMYFUNCTION("""COMPUTED_VALUE"""),"N")</f>
        <v>N</v>
      </c>
      <c r="W689" s="3">
        <f>IFERROR(__xludf.DUMMYFUNCTION("""COMPUTED_VALUE"""),211401.0)</f>
        <v>211401</v>
      </c>
      <c r="X689" s="3" t="str">
        <f>IFERROR(__xludf.DUMMYFUNCTION("""COMPUTED_VALUE"""),"671/35 หมุ่ 8 ตำบลหมื่นไวย อำเภอเมืองนครราชสีมา จังหวัดนครราชสีมา 30000")</f>
        <v>671/35 หมุ่ 8 ตำบลหมื่นไวย อำเภอเมืองนครราชสีมา จังหวัดนครราชสีมา 30000</v>
      </c>
      <c r="Y689" s="3"/>
      <c r="Z689" s="3" t="str">
        <f>IFERROR(__xludf.DUMMYFUNCTION("""COMPUTED_VALUE"""),"หมื่นไวย")</f>
        <v>หมื่นไวย</v>
      </c>
      <c r="AA689" s="3" t="str">
        <f>IFERROR(__xludf.DUMMYFUNCTION("""COMPUTED_VALUE"""),"เมือง")</f>
        <v>เมือง</v>
      </c>
      <c r="AB689" s="3" t="str">
        <f>IFERROR(__xludf.DUMMYFUNCTION("""COMPUTED_VALUE"""),"นครราชสีมา")</f>
        <v>นครราชสีมา</v>
      </c>
      <c r="AC689" s="3">
        <f>IFERROR(__xludf.DUMMYFUNCTION("""COMPUTED_VALUE"""),30000.0)</f>
        <v>30000</v>
      </c>
      <c r="AD689" s="3">
        <f>IFERROR(__xludf.DUMMYFUNCTION("""COMPUTED_VALUE"""),14.999879)</f>
        <v>14.999879</v>
      </c>
      <c r="AE689" s="3">
        <f>IFERROR(__xludf.DUMMYFUNCTION("""COMPUTED_VALUE"""),102.108464)</f>
        <v>102.108464</v>
      </c>
      <c r="AF689" s="3" t="str">
        <f>IFERROR(__xludf.DUMMYFUNCTION("""COMPUTED_VALUE"""),"MBC วิทยาลัยสารพัดช่างนครราชสีมา-21457")</f>
        <v>MBC วิทยาลัยสารพัดช่างนครราชสีมา-21457</v>
      </c>
      <c r="AG689" s="3" t="str">
        <f>IFERROR(__xludf.DUMMYFUNCTION("""COMPUTED_VALUE"""),"ตะวันออกเฉียงเหนือ")</f>
        <v>ตะวันออกเฉียงเหนือ</v>
      </c>
      <c r="AH689" s="3" t="str">
        <f>IFERROR(__xludf.DUMMYFUNCTION("""COMPUTED_VALUE"""),"#N/A")</f>
        <v>#N/A</v>
      </c>
      <c r="AI689" s="3" t="str">
        <f>IFERROR(__xludf.DUMMYFUNCTION("""COMPUTED_VALUE"""),"Out of warranty")</f>
        <v>Out of warranty</v>
      </c>
      <c r="AJ689" s="3">
        <f>IFERROR(__xludf.DUMMYFUNCTION("""COMPUTED_VALUE"""),104.0)</f>
        <v>104</v>
      </c>
      <c r="AK689" s="3" t="str">
        <f>IFERROR(__xludf.DUMMYFUNCTION("""COMPUTED_VALUE"""),"MMS11")</f>
        <v>MMS11</v>
      </c>
      <c r="AL689" s="3"/>
    </row>
    <row r="690" ht="15.75" customHeight="1">
      <c r="A690" s="1" t="str">
        <f>IFERROR(__xludf.DUMMYFUNCTION("""COMPUTED_VALUE"""),"21458")</f>
        <v>21458</v>
      </c>
      <c r="B690" s="2">
        <f>IFERROR(__xludf.DUMMYFUNCTION("""COMPUTED_VALUE"""),21458.0)</f>
        <v>21458</v>
      </c>
      <c r="C690" s="3" t="str">
        <f>IFERROR(__xludf.DUMMYFUNCTION("""COMPUTED_VALUE"""),"MBC ศิริพลาซ่า")</f>
        <v>MBC ศิริพลาซ่า</v>
      </c>
      <c r="D690" s="3" t="str">
        <f>IFERROR(__xludf.DUMMYFUNCTION("""COMPUTED_VALUE"""),"BCM SIRI PLAZA")</f>
        <v>BCM SIRI PLAZA</v>
      </c>
      <c r="E690" s="1" t="str">
        <f>IFERROR(__xludf.DUMMYFUNCTION("""COMPUTED_VALUE"""),"บิ๊กซี MINI")</f>
        <v>บิ๊กซี MINI</v>
      </c>
      <c r="F690" s="1" t="str">
        <f>IFERROR(__xludf.DUMMYFUNCTION("""COMPUTED_VALUE"""),"291105")</f>
        <v>291105</v>
      </c>
      <c r="G690" s="1" t="str">
        <f>IFERROR(__xludf.DUMMYFUNCTION("""COMPUTED_VALUE"""),"นายสราวุฒิ พณิชยกุล")</f>
        <v>นายสราวุฒิ พณิชยกุล</v>
      </c>
      <c r="H690" s="1" t="str">
        <f>IFERROR(__xludf.DUMMYFUNCTION("""COMPUTED_VALUE"""),"281315")</f>
        <v>281315</v>
      </c>
      <c r="I690" s="1" t="str">
        <f>IFERROR(__xludf.DUMMYFUNCTION("""COMPUTED_VALUE"""),"นายกิตติพงษ์ มั่นคง")</f>
        <v>นายกิตติพงษ์ มั่นคง</v>
      </c>
      <c r="J690" s="3">
        <f>IFERROR(__xludf.DUMMYFUNCTION("""COMPUTED_VALUE"""),15361.0)</f>
        <v>15361</v>
      </c>
      <c r="K690" s="3" t="str">
        <f>IFERROR(__xludf.DUMMYFUNCTION("""COMPUTED_VALUE"""),"นายสมบูรณ์ พรหมในเมือง")</f>
        <v>นายสมบูรณ์ พรหมในเมือง</v>
      </c>
      <c r="L690" s="1" t="str">
        <f>IFERROR(__xludf.DUMMYFUNCTION("""COMPUTED_VALUE"""),"04 K.Somboon P.")</f>
        <v>04 K.Somboon P.</v>
      </c>
      <c r="M690" s="1" t="str">
        <f>IFERROR(__xludf.DUMMYFUNCTION("""COMPUTED_VALUE"""),"087-965-3051")</f>
        <v>087-965-3051</v>
      </c>
      <c r="N690" s="3">
        <f>IFERROR(__xludf.DUMMYFUNCTION("""COMPUTED_VALUE"""),21869.0)</f>
        <v>21869</v>
      </c>
      <c r="O690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690" s="4">
        <f>IFERROR(__xludf.DUMMYFUNCTION("""COMPUTED_VALUE"""),42886.0)</f>
        <v>42886</v>
      </c>
      <c r="Q690" s="3" t="str">
        <f>IFERROR(__xludf.DUMMYFUNCTION("""COMPUTED_VALUE"""),"A")</f>
        <v>A</v>
      </c>
      <c r="R690" s="3" t="str">
        <f>IFERROR(__xludf.DUMMYFUNCTION("""COMPUTED_VALUE"""),"Small Format")</f>
        <v>Small Format</v>
      </c>
      <c r="S690" s="3" t="str">
        <f>IFERROR(__xludf.DUMMYFUNCTION("""COMPUTED_VALUE"""),"BCM")</f>
        <v>BCM</v>
      </c>
      <c r="T690" s="3" t="str">
        <f>IFERROR(__xludf.DUMMYFUNCTION("""COMPUTED_VALUE"""),"#N/A")</f>
        <v>#N/A</v>
      </c>
      <c r="U690" s="3" t="str">
        <f>IFERROR(__xludf.DUMMYFUNCTION("""COMPUTED_VALUE"""),"#N/A")</f>
        <v>#N/A</v>
      </c>
      <c r="V690" s="3" t="str">
        <f>IFERROR(__xludf.DUMMYFUNCTION("""COMPUTED_VALUE"""),"N")</f>
        <v>N</v>
      </c>
      <c r="W690" s="3">
        <f>IFERROR(__xludf.DUMMYFUNCTION("""COMPUTED_VALUE"""),211380.0)</f>
        <v>211380</v>
      </c>
      <c r="X690" s="3" t="str">
        <f>IFERROR(__xludf.DUMMYFUNCTION("""COMPUTED_VALUE"""),"237,237/1-3 หมู่ 15 ตำบลสุงเนิน อำเภอสูงเนิน จังหวัดนครราชสีมา 30170")</f>
        <v>237,237/1-3 หมู่ 15 ตำบลสุงเนิน อำเภอสูงเนิน จังหวัดนครราชสีมา 30170</v>
      </c>
      <c r="Y690" s="3"/>
      <c r="Z690" s="3" t="str">
        <f>IFERROR(__xludf.DUMMYFUNCTION("""COMPUTED_VALUE"""),"สุงเนิน")</f>
        <v>สุงเนิน</v>
      </c>
      <c r="AA690" s="3" t="str">
        <f>IFERROR(__xludf.DUMMYFUNCTION("""COMPUTED_VALUE"""),"สูงเนิน")</f>
        <v>สูงเนิน</v>
      </c>
      <c r="AB690" s="3" t="str">
        <f>IFERROR(__xludf.DUMMYFUNCTION("""COMPUTED_VALUE"""),"นครราชสีมา")</f>
        <v>นครราชสีมา</v>
      </c>
      <c r="AC690" s="3">
        <f>IFERROR(__xludf.DUMMYFUNCTION("""COMPUTED_VALUE"""),30170.0)</f>
        <v>30170</v>
      </c>
      <c r="AD690" s="3">
        <f>IFERROR(__xludf.DUMMYFUNCTION("""COMPUTED_VALUE"""),14.885659)</f>
        <v>14.885659</v>
      </c>
      <c r="AE690" s="3">
        <f>IFERROR(__xludf.DUMMYFUNCTION("""COMPUTED_VALUE"""),101.851157)</f>
        <v>101.851157</v>
      </c>
      <c r="AF690" s="3" t="str">
        <f>IFERROR(__xludf.DUMMYFUNCTION("""COMPUTED_VALUE"""),"MBC ศิริพลาซ่า-21458")</f>
        <v>MBC ศิริพลาซ่า-21458</v>
      </c>
      <c r="AG690" s="3" t="str">
        <f>IFERROR(__xludf.DUMMYFUNCTION("""COMPUTED_VALUE"""),"ตะวันออกเฉียงเหนือ")</f>
        <v>ตะวันออกเฉียงเหนือ</v>
      </c>
      <c r="AH690" s="3" t="str">
        <f>IFERROR(__xludf.DUMMYFUNCTION("""COMPUTED_VALUE"""),"#N/A")</f>
        <v>#N/A</v>
      </c>
      <c r="AI690" s="3" t="str">
        <f>IFERROR(__xludf.DUMMYFUNCTION("""COMPUTED_VALUE"""),"Out of warranty")</f>
        <v>Out of warranty</v>
      </c>
      <c r="AJ690" s="3">
        <f>IFERROR(__xludf.DUMMYFUNCTION("""COMPUTED_VALUE"""),104.0)</f>
        <v>104</v>
      </c>
      <c r="AK690" s="3" t="str">
        <f>IFERROR(__xludf.DUMMYFUNCTION("""COMPUTED_VALUE"""),"MMS11")</f>
        <v>MMS11</v>
      </c>
      <c r="AL690" s="3"/>
    </row>
    <row r="691" ht="15.75" customHeight="1">
      <c r="A691" s="1" t="str">
        <f>IFERROR(__xludf.DUMMYFUNCTION("""COMPUTED_VALUE"""),"21459")</f>
        <v>21459</v>
      </c>
      <c r="B691" s="2">
        <f>IFERROR(__xludf.DUMMYFUNCTION("""COMPUTED_VALUE"""),21459.0)</f>
        <v>21459</v>
      </c>
      <c r="C691" s="3" t="str">
        <f>IFERROR(__xludf.DUMMYFUNCTION("""COMPUTED_VALUE"""),"MBC ตลาดบ้านห้วย")</f>
        <v>MBC ตลาดบ้านห้วย</v>
      </c>
      <c r="D691" s="3" t="str">
        <f>IFERROR(__xludf.DUMMYFUNCTION("""COMPUTED_VALUE"""),"BCM TALAD BANHUAY")</f>
        <v>BCM TALAD BANHUAY</v>
      </c>
      <c r="E691" s="1" t="str">
        <f>IFERROR(__xludf.DUMMYFUNCTION("""COMPUTED_VALUE"""),"บิ๊กซี MINI")</f>
        <v>บิ๊กซี MINI</v>
      </c>
      <c r="F691" s="1" t="str">
        <f>IFERROR(__xludf.DUMMYFUNCTION("""COMPUTED_VALUE"""),"291105")</f>
        <v>291105</v>
      </c>
      <c r="G691" s="1" t="str">
        <f>IFERROR(__xludf.DUMMYFUNCTION("""COMPUTED_VALUE"""),"นายสราวุฒิ พณิชยกุล")</f>
        <v>นายสราวุฒิ พณิชยกุล</v>
      </c>
      <c r="H691" s="1" t="str">
        <f>IFERROR(__xludf.DUMMYFUNCTION("""COMPUTED_VALUE"""),"392005")</f>
        <v>392005</v>
      </c>
      <c r="I691" s="1" t="str">
        <f>IFERROR(__xludf.DUMMYFUNCTION("""COMPUTED_VALUE"""),"นายรัฐพล หาญลำยวง")</f>
        <v>นายรัฐพล หาญลำยวง</v>
      </c>
      <c r="J691" s="3">
        <f>IFERROR(__xludf.DUMMYFUNCTION("""COMPUTED_VALUE"""),296868.0)</f>
        <v>296868</v>
      </c>
      <c r="K691" s="3" t="str">
        <f>IFERROR(__xludf.DUMMYFUNCTION("""COMPUTED_VALUE"""),"นายพีระพงษ์ แก้วดวงดี")</f>
        <v>นายพีระพงษ์ แก้วดวงดี</v>
      </c>
      <c r="L691" s="1" t="str">
        <f>IFERROR(__xludf.DUMMYFUNCTION("""COMPUTED_VALUE"""),"03 K.Peerapong K.")</f>
        <v>03 K.Peerapong K.</v>
      </c>
      <c r="M691" s="1" t="str">
        <f>IFERROR(__xludf.DUMMYFUNCTION("""COMPUTED_VALUE"""),"089-002-6599")</f>
        <v>089-002-6599</v>
      </c>
      <c r="N691" s="3">
        <f>IFERROR(__xludf.DUMMYFUNCTION("""COMPUTED_VALUE"""),21946.0)</f>
        <v>21946</v>
      </c>
      <c r="O691" s="3" t="str">
        <f>IFERROR(__xludf.DUMMYFUNCTION("""COMPUTED_VALUE"""),"MBC เซกา บึงกาฬ")</f>
        <v>MBC เซกา บึงกาฬ</v>
      </c>
      <c r="P691" s="4">
        <f>IFERROR(__xludf.DUMMYFUNCTION("""COMPUTED_VALUE"""),42916.0)</f>
        <v>42916</v>
      </c>
      <c r="Q691" s="3" t="str">
        <f>IFERROR(__xludf.DUMMYFUNCTION("""COMPUTED_VALUE"""),"A")</f>
        <v>A</v>
      </c>
      <c r="R691" s="3" t="str">
        <f>IFERROR(__xludf.DUMMYFUNCTION("""COMPUTED_VALUE"""),"Small Format")</f>
        <v>Small Format</v>
      </c>
      <c r="S691" s="3" t="str">
        <f>IFERROR(__xludf.DUMMYFUNCTION("""COMPUTED_VALUE"""),"BCM")</f>
        <v>BCM</v>
      </c>
      <c r="T691" s="3" t="str">
        <f>IFERROR(__xludf.DUMMYFUNCTION("""COMPUTED_VALUE"""),"#N/A")</f>
        <v>#N/A</v>
      </c>
      <c r="U691" s="3" t="str">
        <f>IFERROR(__xludf.DUMMYFUNCTION("""COMPUTED_VALUE"""),"#N/A")</f>
        <v>#N/A</v>
      </c>
      <c r="V691" s="3" t="str">
        <f>IFERROR(__xludf.DUMMYFUNCTION("""COMPUTED_VALUE"""),"N")</f>
        <v>N</v>
      </c>
      <c r="W691" s="3">
        <f>IFERROR(__xludf.DUMMYFUNCTION("""COMPUTED_VALUE"""),211378.0)</f>
        <v>211378</v>
      </c>
      <c r="X691" s="3" t="str">
        <f>IFERROR(__xludf.DUMMYFUNCTION("""COMPUTED_VALUE"""),"169/9,166/7 ถนนอุดรดุษฎี ตำบลหมากแข้ง อำเภอเมืองอุดรธานี จังหวัดอุดรธานี 41000")</f>
        <v>169/9,166/7 ถนนอุดรดุษฎี ตำบลหมากแข้ง อำเภอเมืองอุดรธานี จังหวัดอุดรธานี 41000</v>
      </c>
      <c r="Y691" s="3" t="str">
        <f>IFERROR(__xludf.DUMMYFUNCTION("""COMPUTED_VALUE"""),"ถนนอุดรดุษฎี")</f>
        <v>ถนนอุดรดุษฎี</v>
      </c>
      <c r="Z691" s="3" t="str">
        <f>IFERROR(__xludf.DUMMYFUNCTION("""COMPUTED_VALUE"""),"หมากแข้ง")</f>
        <v>หมากแข้ง</v>
      </c>
      <c r="AA691" s="3" t="str">
        <f>IFERROR(__xludf.DUMMYFUNCTION("""COMPUTED_VALUE"""),"เมือง")</f>
        <v>เมือง</v>
      </c>
      <c r="AB691" s="3" t="str">
        <f>IFERROR(__xludf.DUMMYFUNCTION("""COMPUTED_VALUE"""),"อุดรธานี")</f>
        <v>อุดรธานี</v>
      </c>
      <c r="AC691" s="3">
        <f>IFERROR(__xludf.DUMMYFUNCTION("""COMPUTED_VALUE"""),41000.0)</f>
        <v>41000</v>
      </c>
      <c r="AD691" s="3">
        <f>IFERROR(__xludf.DUMMYFUNCTION("""COMPUTED_VALUE"""),17.4166302)</f>
        <v>17.4166302</v>
      </c>
      <c r="AE691" s="3">
        <f>IFERROR(__xludf.DUMMYFUNCTION("""COMPUTED_VALUE"""),102.7914009)</f>
        <v>102.7914009</v>
      </c>
      <c r="AF691" s="3" t="str">
        <f>IFERROR(__xludf.DUMMYFUNCTION("""COMPUTED_VALUE"""),"MBC ตลาดบ้านห้วย-21459")</f>
        <v>MBC ตลาดบ้านห้วย-21459</v>
      </c>
      <c r="AG691" s="3" t="str">
        <f>IFERROR(__xludf.DUMMYFUNCTION("""COMPUTED_VALUE"""),"ตะวันออกเฉียงเหนือ")</f>
        <v>ตะวันออกเฉียงเหนือ</v>
      </c>
      <c r="AH691" s="3" t="str">
        <f>IFERROR(__xludf.DUMMYFUNCTION("""COMPUTED_VALUE"""),"#N/A")</f>
        <v>#N/A</v>
      </c>
      <c r="AI691" s="3" t="str">
        <f>IFERROR(__xludf.DUMMYFUNCTION("""COMPUTED_VALUE"""),"Out of warranty")</f>
        <v>Out of warranty</v>
      </c>
      <c r="AJ691" s="3">
        <f>IFERROR(__xludf.DUMMYFUNCTION("""COMPUTED_VALUE"""),103.0)</f>
        <v>103</v>
      </c>
      <c r="AK691" s="3" t="str">
        <f>IFERROR(__xludf.DUMMYFUNCTION("""COMPUTED_VALUE"""),"MMS12")</f>
        <v>MMS12</v>
      </c>
      <c r="AL691" s="3"/>
    </row>
    <row r="692" ht="15.75" customHeight="1">
      <c r="A692" s="1" t="str">
        <f>IFERROR(__xludf.DUMMYFUNCTION("""COMPUTED_VALUE"""),"21460")</f>
        <v>21460</v>
      </c>
      <c r="B692" s="2">
        <f>IFERROR(__xludf.DUMMYFUNCTION("""COMPUTED_VALUE"""),21460.0)</f>
        <v>21460</v>
      </c>
      <c r="C692" s="3" t="str">
        <f>IFERROR(__xludf.DUMMYFUNCTION("""COMPUTED_VALUE"""),"MBC ซอยจินตคาม")</f>
        <v>MBC ซอยจินตคาม</v>
      </c>
      <c r="D692" s="3" t="str">
        <f>IFERROR(__xludf.DUMMYFUNCTION("""COMPUTED_VALUE"""),"BCM SOI JINTRAKHAM")</f>
        <v>BCM SOI JINTRAKHAM</v>
      </c>
      <c r="E692" s="1" t="str">
        <f>IFERROR(__xludf.DUMMYFUNCTION("""COMPUTED_VALUE"""),"บิ๊กซี MINI")</f>
        <v>บิ๊กซี MINI</v>
      </c>
      <c r="F692" s="1" t="str">
        <f>IFERROR(__xludf.DUMMYFUNCTION("""COMPUTED_VALUE"""),"291105")</f>
        <v>291105</v>
      </c>
      <c r="G692" s="1" t="str">
        <f>IFERROR(__xludf.DUMMYFUNCTION("""COMPUTED_VALUE"""),"นายสราวุฒิ พณิชยกุล")</f>
        <v>นายสราวุฒิ พณิชยกุล</v>
      </c>
      <c r="H692" s="1" t="str">
        <f>IFERROR(__xludf.DUMMYFUNCTION("""COMPUTED_VALUE"""),"392005")</f>
        <v>392005</v>
      </c>
      <c r="I692" s="1" t="str">
        <f>IFERROR(__xludf.DUMMYFUNCTION("""COMPUTED_VALUE"""),"นายรัฐพล หาญลำยวง")</f>
        <v>นายรัฐพล หาญลำยวง</v>
      </c>
      <c r="J692" s="3">
        <f>IFERROR(__xludf.DUMMYFUNCTION("""COMPUTED_VALUE"""),296868.0)</f>
        <v>296868</v>
      </c>
      <c r="K692" s="3" t="str">
        <f>IFERROR(__xludf.DUMMYFUNCTION("""COMPUTED_VALUE"""),"นายพีระพงษ์ แก้วดวงดี")</f>
        <v>นายพีระพงษ์ แก้วดวงดี</v>
      </c>
      <c r="L692" s="1" t="str">
        <f>IFERROR(__xludf.DUMMYFUNCTION("""COMPUTED_VALUE"""),"03 K.Peerapong K.")</f>
        <v>03 K.Peerapong K.</v>
      </c>
      <c r="M692" s="1" t="str">
        <f>IFERROR(__xludf.DUMMYFUNCTION("""COMPUTED_VALUE"""),"089-002-6599")</f>
        <v>089-002-6599</v>
      </c>
      <c r="N692" s="3">
        <f>IFERROR(__xludf.DUMMYFUNCTION("""COMPUTED_VALUE"""),21946.0)</f>
        <v>21946</v>
      </c>
      <c r="O692" s="3" t="str">
        <f>IFERROR(__xludf.DUMMYFUNCTION("""COMPUTED_VALUE"""),"MBC เซกา บึงกาฬ")</f>
        <v>MBC เซกา บึงกาฬ</v>
      </c>
      <c r="P692" s="4">
        <f>IFERROR(__xludf.DUMMYFUNCTION("""COMPUTED_VALUE"""),42882.0)</f>
        <v>42882</v>
      </c>
      <c r="Q692" s="3" t="str">
        <f>IFERROR(__xludf.DUMMYFUNCTION("""COMPUTED_VALUE"""),"A")</f>
        <v>A</v>
      </c>
      <c r="R692" s="3" t="str">
        <f>IFERROR(__xludf.DUMMYFUNCTION("""COMPUTED_VALUE"""),"Small Format")</f>
        <v>Small Format</v>
      </c>
      <c r="S692" s="3" t="str">
        <f>IFERROR(__xludf.DUMMYFUNCTION("""COMPUTED_VALUE"""),"BCM")</f>
        <v>BCM</v>
      </c>
      <c r="T692" s="3" t="str">
        <f>IFERROR(__xludf.DUMMYFUNCTION("""COMPUTED_VALUE"""),"#N/A")</f>
        <v>#N/A</v>
      </c>
      <c r="U692" s="3" t="str">
        <f>IFERROR(__xludf.DUMMYFUNCTION("""COMPUTED_VALUE"""),"#N/A")</f>
        <v>#N/A</v>
      </c>
      <c r="V692" s="3" t="str">
        <f>IFERROR(__xludf.DUMMYFUNCTION("""COMPUTED_VALUE"""),"N")</f>
        <v>N</v>
      </c>
      <c r="W692" s="3">
        <f>IFERROR(__xludf.DUMMYFUNCTION("""COMPUTED_VALUE"""),211360.0)</f>
        <v>211360</v>
      </c>
      <c r="X692" s="3" t="str">
        <f>IFERROR(__xludf.DUMMYFUNCTION("""COMPUTED_VALUE"""),"477/6 หมู่ 7 ซอยบ้านดอนอุดม ตำบลหมากแข้ง อำเภอเมืองอุดรธานี จังหวัดอุดรธานี 41000")</f>
        <v>477/6 หมู่ 7 ซอยบ้านดอนอุดม ตำบลหมากแข้ง อำเภอเมืองอุดรธานี จังหวัดอุดรธานี 41000</v>
      </c>
      <c r="Y692" s="3"/>
      <c r="Z692" s="3" t="str">
        <f>IFERROR(__xludf.DUMMYFUNCTION("""COMPUTED_VALUE"""),"หมากแข้ง")</f>
        <v>หมากแข้ง</v>
      </c>
      <c r="AA692" s="3" t="str">
        <f>IFERROR(__xludf.DUMMYFUNCTION("""COMPUTED_VALUE"""),"เมือง")</f>
        <v>เมือง</v>
      </c>
      <c r="AB692" s="3" t="str">
        <f>IFERROR(__xludf.DUMMYFUNCTION("""COMPUTED_VALUE"""),"อุดรธานี")</f>
        <v>อุดรธานี</v>
      </c>
      <c r="AC692" s="3">
        <f>IFERROR(__xludf.DUMMYFUNCTION("""COMPUTED_VALUE"""),41000.0)</f>
        <v>41000</v>
      </c>
      <c r="AD692" s="3">
        <f>IFERROR(__xludf.DUMMYFUNCTION("""COMPUTED_VALUE"""),17.39497)</f>
        <v>17.39497</v>
      </c>
      <c r="AE692" s="3">
        <f>IFERROR(__xludf.DUMMYFUNCTION("""COMPUTED_VALUE"""),102.791472)</f>
        <v>102.791472</v>
      </c>
      <c r="AF692" s="3" t="str">
        <f>IFERROR(__xludf.DUMMYFUNCTION("""COMPUTED_VALUE"""),"MBC ซอยจินตคาม-21460")</f>
        <v>MBC ซอยจินตคาม-21460</v>
      </c>
      <c r="AG692" s="3" t="str">
        <f>IFERROR(__xludf.DUMMYFUNCTION("""COMPUTED_VALUE"""),"ตะวันออกเฉียงเหนือ")</f>
        <v>ตะวันออกเฉียงเหนือ</v>
      </c>
      <c r="AH692" s="3" t="str">
        <f>IFERROR(__xludf.DUMMYFUNCTION("""COMPUTED_VALUE"""),"#N/A")</f>
        <v>#N/A</v>
      </c>
      <c r="AI692" s="3" t="str">
        <f>IFERROR(__xludf.DUMMYFUNCTION("""COMPUTED_VALUE"""),"Out of warranty")</f>
        <v>Out of warranty</v>
      </c>
      <c r="AJ692" s="3">
        <f>IFERROR(__xludf.DUMMYFUNCTION("""COMPUTED_VALUE"""),104.0)</f>
        <v>104</v>
      </c>
      <c r="AK692" s="3" t="str">
        <f>IFERROR(__xludf.DUMMYFUNCTION("""COMPUTED_VALUE"""),"MMS12")</f>
        <v>MMS12</v>
      </c>
      <c r="AL692" s="3"/>
    </row>
    <row r="693" ht="15.75" customHeight="1">
      <c r="A693" s="1" t="str">
        <f>IFERROR(__xludf.DUMMYFUNCTION("""COMPUTED_VALUE"""),"21461")</f>
        <v>21461</v>
      </c>
      <c r="B693" s="2">
        <f>IFERROR(__xludf.DUMMYFUNCTION("""COMPUTED_VALUE"""),21461.0)</f>
        <v>21461</v>
      </c>
      <c r="C693" s="3" t="str">
        <f>IFERROR(__xludf.DUMMYFUNCTION("""COMPUTED_VALUE"""),"MBC เอกาทศรฐ")</f>
        <v>MBC เอกาทศรฐ</v>
      </c>
      <c r="D693" s="3" t="str">
        <f>IFERROR(__xludf.DUMMYFUNCTION("""COMPUTED_VALUE"""),"BCM EKATHOTSAROTH")</f>
        <v>BCM EKATHOTSAROTH</v>
      </c>
      <c r="E693" s="1" t="str">
        <f>IFERROR(__xludf.DUMMYFUNCTION("""COMPUTED_VALUE"""),"บิ๊กซี MINI")</f>
        <v>บิ๊กซี MINI</v>
      </c>
      <c r="F693" s="1" t="str">
        <f>IFERROR(__xludf.DUMMYFUNCTION("""COMPUTED_VALUE"""),"296229")</f>
        <v>296229</v>
      </c>
      <c r="G693" s="1" t="str">
        <f>IFERROR(__xludf.DUMMYFUNCTION("""COMPUTED_VALUE"""),"นายทนงศักดิ์ บุญมา")</f>
        <v>นายทนงศักดิ์ บุญมา</v>
      </c>
      <c r="H693" s="1" t="str">
        <f>IFERROR(__xludf.DUMMYFUNCTION("""COMPUTED_VALUE"""),"373680")</f>
        <v>373680</v>
      </c>
      <c r="I693" s="1" t="str">
        <f>IFERROR(__xludf.DUMMYFUNCTION("""COMPUTED_VALUE"""),"นายวสันต์ พรรณราย")</f>
        <v>นายวสันต์ พรรณราย</v>
      </c>
      <c r="J693" s="3">
        <f>IFERROR(__xludf.DUMMYFUNCTION("""COMPUTED_VALUE"""),46214.0)</f>
        <v>46214</v>
      </c>
      <c r="K693" s="3" t="str">
        <f>IFERROR(__xludf.DUMMYFUNCTION("""COMPUTED_VALUE"""),"นายศักดิ์ชัย เด็ดดอกฟ้า")</f>
        <v>นายศักดิ์ชัย เด็ดดอกฟ้า</v>
      </c>
      <c r="L693" s="1" t="str">
        <f>IFERROR(__xludf.DUMMYFUNCTION("""COMPUTED_VALUE"""),"02 K.Sakchai D")</f>
        <v>02 K.Sakchai D</v>
      </c>
      <c r="M693" s="1" t="str">
        <f>IFERROR(__xludf.DUMMYFUNCTION("""COMPUTED_VALUE"""),"065-510-7376")</f>
        <v>065-510-7376</v>
      </c>
      <c r="N693" s="3">
        <f>IFERROR(__xludf.DUMMYFUNCTION("""COMPUTED_VALUE"""),21714.0)</f>
        <v>21714</v>
      </c>
      <c r="O693" s="3" t="str">
        <f>IFERROR(__xludf.DUMMYFUNCTION("""COMPUTED_VALUE"""),"MBC เอสโซ่ วัดโบสถ์")</f>
        <v>MBC เอสโซ่ วัดโบสถ์</v>
      </c>
      <c r="P693" s="4">
        <f>IFERROR(__xludf.DUMMYFUNCTION("""COMPUTED_VALUE"""),42896.0)</f>
        <v>42896</v>
      </c>
      <c r="Q693" s="3" t="str">
        <f>IFERROR(__xludf.DUMMYFUNCTION("""COMPUTED_VALUE"""),"A")</f>
        <v>A</v>
      </c>
      <c r="R693" s="3" t="str">
        <f>IFERROR(__xludf.DUMMYFUNCTION("""COMPUTED_VALUE"""),"Small Format")</f>
        <v>Small Format</v>
      </c>
      <c r="S693" s="3" t="str">
        <f>IFERROR(__xludf.DUMMYFUNCTION("""COMPUTED_VALUE"""),"BCM")</f>
        <v>BCM</v>
      </c>
      <c r="T693" s="3" t="str">
        <f>IFERROR(__xludf.DUMMYFUNCTION("""COMPUTED_VALUE"""),"#N/A")</f>
        <v>#N/A</v>
      </c>
      <c r="U693" s="3" t="str">
        <f>IFERROR(__xludf.DUMMYFUNCTION("""COMPUTED_VALUE"""),"#N/A")</f>
        <v>#N/A</v>
      </c>
      <c r="V693" s="3" t="str">
        <f>IFERROR(__xludf.DUMMYFUNCTION("""COMPUTED_VALUE"""),"N")</f>
        <v>N</v>
      </c>
      <c r="W693" s="3">
        <f>IFERROR(__xludf.DUMMYFUNCTION("""COMPUTED_VALUE"""),211386.0)</f>
        <v>211386</v>
      </c>
      <c r="X693" s="3" t="str">
        <f>IFERROR(__xludf.DUMMYFUNCTION("""COMPUTED_VALUE"""),"26/33 ถนน เอกาทศรฐ ตำบลในเมือง อำเภอเมืองพิษณุโลก จังหวัดพิษณุโลก 65000")</f>
        <v>26/33 ถนน เอกาทศรฐ ตำบลในเมือง อำเภอเมืองพิษณุโลก จังหวัดพิษณุโลก 65000</v>
      </c>
      <c r="Y693" s="3" t="str">
        <f>IFERROR(__xludf.DUMMYFUNCTION("""COMPUTED_VALUE"""),"ถนน")</f>
        <v>ถนน</v>
      </c>
      <c r="Z693" s="3" t="str">
        <f>IFERROR(__xludf.DUMMYFUNCTION("""COMPUTED_VALUE"""),"เอกาทศรฐ")</f>
        <v>เอกาทศรฐ</v>
      </c>
      <c r="AA693" s="3" t="str">
        <f>IFERROR(__xludf.DUMMYFUNCTION("""COMPUTED_VALUE"""),"เมือง")</f>
        <v>เมือง</v>
      </c>
      <c r="AB693" s="3" t="str">
        <f>IFERROR(__xludf.DUMMYFUNCTION("""COMPUTED_VALUE"""),"พิษณุโลก")</f>
        <v>พิษณุโลก</v>
      </c>
      <c r="AC693" s="3">
        <f>IFERROR(__xludf.DUMMYFUNCTION("""COMPUTED_VALUE"""),65000.0)</f>
        <v>65000</v>
      </c>
      <c r="AD693" s="3">
        <f>IFERROR(__xludf.DUMMYFUNCTION("""COMPUTED_VALUE"""),16.827258)</f>
        <v>16.827258</v>
      </c>
      <c r="AE693" s="3">
        <f>IFERROR(__xludf.DUMMYFUNCTION("""COMPUTED_VALUE"""),100.265187)</f>
        <v>100.265187</v>
      </c>
      <c r="AF693" s="3" t="str">
        <f>IFERROR(__xludf.DUMMYFUNCTION("""COMPUTED_VALUE"""),"MBC เอกาทศรฐ-21461")</f>
        <v>MBC เอกาทศรฐ-21461</v>
      </c>
      <c r="AG693" s="3" t="str">
        <f>IFERROR(__xludf.DUMMYFUNCTION("""COMPUTED_VALUE"""),"กลาง")</f>
        <v>กลาง</v>
      </c>
      <c r="AH693" s="3" t="str">
        <f>IFERROR(__xludf.DUMMYFUNCTION("""COMPUTED_VALUE"""),"#N/A")</f>
        <v>#N/A</v>
      </c>
      <c r="AI693" s="3" t="str">
        <f>IFERROR(__xludf.DUMMYFUNCTION("""COMPUTED_VALUE"""),"Out of warranty")</f>
        <v>Out of warranty</v>
      </c>
      <c r="AJ693" s="3">
        <f>IFERROR(__xludf.DUMMYFUNCTION("""COMPUTED_VALUE"""),104.0)</f>
        <v>104</v>
      </c>
      <c r="AK693" s="3" t="str">
        <f>IFERROR(__xludf.DUMMYFUNCTION("""COMPUTED_VALUE"""),"MMS09")</f>
        <v>MMS09</v>
      </c>
      <c r="AL693" s="3"/>
    </row>
    <row r="694" ht="15.75" customHeight="1">
      <c r="A694" s="1" t="str">
        <f>IFERROR(__xludf.DUMMYFUNCTION("""COMPUTED_VALUE"""),"21462")</f>
        <v>21462</v>
      </c>
      <c r="B694" s="2">
        <f>IFERROR(__xludf.DUMMYFUNCTION("""COMPUTED_VALUE"""),21462.0)</f>
        <v>21462</v>
      </c>
      <c r="C694" s="3" t="str">
        <f>IFERROR(__xludf.DUMMYFUNCTION("""COMPUTED_VALUE"""),"MBC พุมเรียง")</f>
        <v>MBC พุมเรียง</v>
      </c>
      <c r="D694" s="3" t="str">
        <f>IFERROR(__xludf.DUMMYFUNCTION("""COMPUTED_VALUE"""),"BCM PHUMRIENG")</f>
        <v>BCM PHUMRIENG</v>
      </c>
      <c r="E694" s="1" t="str">
        <f>IFERROR(__xludf.DUMMYFUNCTION("""COMPUTED_VALUE"""),"บิ๊กซี MINI")</f>
        <v>บิ๊กซี MINI</v>
      </c>
      <c r="F694" s="1" t="str">
        <f>IFERROR(__xludf.DUMMYFUNCTION("""COMPUTED_VALUE"""),"250760")</f>
        <v>250760</v>
      </c>
      <c r="G694" s="1" t="str">
        <f>IFERROR(__xludf.DUMMYFUNCTION("""COMPUTED_VALUE"""),"นายประทวน สาราบรรณ์")</f>
        <v>นายประทวน สาราบรรณ์</v>
      </c>
      <c r="H694" s="1" t="str">
        <f>IFERROR(__xludf.DUMMYFUNCTION("""COMPUTED_VALUE"""),"228389")</f>
        <v>228389</v>
      </c>
      <c r="I694" s="1" t="str">
        <f>IFERROR(__xludf.DUMMYFUNCTION("""COMPUTED_VALUE"""),"นายมณีรันดร์ ชัยชนะ")</f>
        <v>นายมณีรันดร์ ชัยชนะ</v>
      </c>
      <c r="J694" s="3">
        <f>IFERROR(__xludf.DUMMYFUNCTION("""COMPUTED_VALUE"""),25324.0)</f>
        <v>25324</v>
      </c>
      <c r="K694" s="3" t="str">
        <f>IFERROR(__xludf.DUMMYFUNCTION("""COMPUTED_VALUE"""),"นายวิเชฎฐ์ ติรัตนะประคม")</f>
        <v>นายวิเชฎฐ์ ติรัตนะประคม</v>
      </c>
      <c r="L694" s="1" t="str">
        <f>IFERROR(__xludf.DUMMYFUNCTION("""COMPUTED_VALUE"""),"14 K.Wichet T.")</f>
        <v>14 K.Wichet T.</v>
      </c>
      <c r="M694" s="1" t="str">
        <f>IFERROR(__xludf.DUMMYFUNCTION("""COMPUTED_VALUE"""),"061-417-6569 / 086-445-5636")</f>
        <v>061-417-6569 / 086-445-5636</v>
      </c>
      <c r="N694" s="3">
        <f>IFERROR(__xludf.DUMMYFUNCTION("""COMPUTED_VALUE"""),22658.0)</f>
        <v>22658</v>
      </c>
      <c r="O694" s="3" t="str">
        <f>IFERROR(__xludf.DUMMYFUNCTION("""COMPUTED_VALUE"""),"BCM ถ.วิรัชหงษ์หยก ภูเก็ต")</f>
        <v>BCM ถ.วิรัชหงษ์หยก ภูเก็ต</v>
      </c>
      <c r="P694" s="4">
        <f>IFERROR(__xludf.DUMMYFUNCTION("""COMPUTED_VALUE"""),42928.0)</f>
        <v>42928</v>
      </c>
      <c r="Q694" s="3" t="str">
        <f>IFERROR(__xludf.DUMMYFUNCTION("""COMPUTED_VALUE"""),"A")</f>
        <v>A</v>
      </c>
      <c r="R694" s="3" t="str">
        <f>IFERROR(__xludf.DUMMYFUNCTION("""COMPUTED_VALUE"""),"Small Format")</f>
        <v>Small Format</v>
      </c>
      <c r="S694" s="3" t="str">
        <f>IFERROR(__xludf.DUMMYFUNCTION("""COMPUTED_VALUE"""),"BCM")</f>
        <v>BCM</v>
      </c>
      <c r="T694" s="3" t="str">
        <f>IFERROR(__xludf.DUMMYFUNCTION("""COMPUTED_VALUE"""),"#N/A")</f>
        <v>#N/A</v>
      </c>
      <c r="U694" s="3" t="str">
        <f>IFERROR(__xludf.DUMMYFUNCTION("""COMPUTED_VALUE"""),"#N/A")</f>
        <v>#N/A</v>
      </c>
      <c r="V694" s="3" t="str">
        <f>IFERROR(__xludf.DUMMYFUNCTION("""COMPUTED_VALUE"""),"N")</f>
        <v>N</v>
      </c>
      <c r="W694" s="3">
        <f>IFERROR(__xludf.DUMMYFUNCTION("""COMPUTED_VALUE"""),211392.0)</f>
        <v>211392</v>
      </c>
      <c r="X694" s="3" t="str">
        <f>IFERROR(__xludf.DUMMYFUNCTION("""COMPUTED_VALUE"""),"333 หมู่ 3 ตำบลพุมเรียง อำเภอไชยา จังหวัดสุราษฎร์ธานี 84110")</f>
        <v>333 หมู่ 3 ตำบลพุมเรียง อำเภอไชยา จังหวัดสุราษฎร์ธานี 84110</v>
      </c>
      <c r="Y694" s="3"/>
      <c r="Z694" s="3" t="str">
        <f>IFERROR(__xludf.DUMMYFUNCTION("""COMPUTED_VALUE"""),"พุมเรียง")</f>
        <v>พุมเรียง</v>
      </c>
      <c r="AA694" s="3" t="str">
        <f>IFERROR(__xludf.DUMMYFUNCTION("""COMPUTED_VALUE"""),"ไชยา")</f>
        <v>ไชยา</v>
      </c>
      <c r="AB694" s="3" t="str">
        <f>IFERROR(__xludf.DUMMYFUNCTION("""COMPUTED_VALUE"""),"สุราษฎร์ธานี")</f>
        <v>สุราษฎร์ธานี</v>
      </c>
      <c r="AC694" s="3">
        <f>IFERROR(__xludf.DUMMYFUNCTION("""COMPUTED_VALUE"""),84110.0)</f>
        <v>84110</v>
      </c>
      <c r="AD694" s="3">
        <f>IFERROR(__xludf.DUMMYFUNCTION("""COMPUTED_VALUE"""),9.386194)</f>
        <v>9.386194</v>
      </c>
      <c r="AE694" s="3">
        <f>IFERROR(__xludf.DUMMYFUNCTION("""COMPUTED_VALUE"""),99.253855)</f>
        <v>99.253855</v>
      </c>
      <c r="AF694" s="3" t="str">
        <f>IFERROR(__xludf.DUMMYFUNCTION("""COMPUTED_VALUE"""),"MBC พุมเรียง-21462")</f>
        <v>MBC พุมเรียง-21462</v>
      </c>
      <c r="AG694" s="3" t="str">
        <f>IFERROR(__xludf.DUMMYFUNCTION("""COMPUTED_VALUE"""),"ใต้")</f>
        <v>ใต้</v>
      </c>
      <c r="AH694" s="3" t="str">
        <f>IFERROR(__xludf.DUMMYFUNCTION("""COMPUTED_VALUE"""),"#N/A")</f>
        <v>#N/A</v>
      </c>
      <c r="AI694" s="3" t="str">
        <f>IFERROR(__xludf.DUMMYFUNCTION("""COMPUTED_VALUE"""),"Out of warranty")</f>
        <v>Out of warranty</v>
      </c>
      <c r="AJ694" s="3">
        <f>IFERROR(__xludf.DUMMYFUNCTION("""COMPUTED_VALUE"""),103.0)</f>
        <v>103</v>
      </c>
      <c r="AK694" s="3" t="str">
        <f>IFERROR(__xludf.DUMMYFUNCTION("""COMPUTED_VALUE"""),"MMS14")</f>
        <v>MMS14</v>
      </c>
      <c r="AL694" s="3"/>
    </row>
    <row r="695" ht="15.75" customHeight="1">
      <c r="A695" s="1" t="str">
        <f>IFERROR(__xludf.DUMMYFUNCTION("""COMPUTED_VALUE"""),"21463")</f>
        <v>21463</v>
      </c>
      <c r="B695" s="2">
        <f>IFERROR(__xludf.DUMMYFUNCTION("""COMPUTED_VALUE"""),21463.0)</f>
        <v>21463</v>
      </c>
      <c r="C695" s="3" t="str">
        <f>IFERROR(__xludf.DUMMYFUNCTION("""COMPUTED_VALUE"""),"MBC พันธุ์ทิพย์บางกะปิ")</f>
        <v>MBC พันธุ์ทิพย์บางกะปิ</v>
      </c>
      <c r="D695" s="3" t="str">
        <f>IFERROR(__xludf.DUMMYFUNCTION("""COMPUTED_VALUE"""),"BCM PANTIP BANGKAPI")</f>
        <v>BCM PANTIP BANGKAPI</v>
      </c>
      <c r="E695" s="1" t="str">
        <f>IFERROR(__xludf.DUMMYFUNCTION("""COMPUTED_VALUE"""),"บิ๊กซี MINI")</f>
        <v>บิ๊กซี MINI</v>
      </c>
      <c r="F695" s="1" t="str">
        <f>IFERROR(__xludf.DUMMYFUNCTION("""COMPUTED_VALUE"""),"291008")</f>
        <v>291008</v>
      </c>
      <c r="G695" s="1" t="str">
        <f>IFERROR(__xludf.DUMMYFUNCTION("""COMPUTED_VALUE"""),"น.ส.รัชดาพร อีศรัตน์")</f>
        <v>น.ส.รัชดาพร อีศรัตน์</v>
      </c>
      <c r="H695" s="1" t="str">
        <f>IFERROR(__xludf.DUMMYFUNCTION("""COMPUTED_VALUE"""),"228242")</f>
        <v>228242</v>
      </c>
      <c r="I695" s="1" t="str">
        <f>IFERROR(__xludf.DUMMYFUNCTION("""COMPUTED_VALUE"""),"นายสมชาย เยมรัมย์")</f>
        <v>นายสมชาย เยมรัมย์</v>
      </c>
      <c r="J695" s="3">
        <f>IFERROR(__xludf.DUMMYFUNCTION("""COMPUTED_VALUE"""),3510104.0)</f>
        <v>3510104</v>
      </c>
      <c r="K695" s="3" t="str">
        <f>IFERROR(__xludf.DUMMYFUNCTION("""COMPUTED_VALUE"""),"นายวิโรจน์ อับดุลสมัด")</f>
        <v>นายวิโรจน์ อับดุลสมัด</v>
      </c>
      <c r="L695" s="1" t="str">
        <f>IFERROR(__xludf.DUMMYFUNCTION("""COMPUTED_VALUE"""),"09 K.Wirode A")</f>
        <v>09 K.Wirode A</v>
      </c>
      <c r="M695" s="1" t="str">
        <f>IFERROR(__xludf.DUMMYFUNCTION("""COMPUTED_VALUE"""),"080-235-4465")</f>
        <v>080-235-4465</v>
      </c>
      <c r="N695" s="3">
        <f>IFERROR(__xludf.DUMMYFUNCTION("""COMPUTED_VALUE"""),21324.0)</f>
        <v>21324</v>
      </c>
      <c r="O695" s="3" t="str">
        <f>IFERROR(__xludf.DUMMYFUNCTION("""COMPUTED_VALUE"""),"MBC BCP สุวินทวงศ์")</f>
        <v>MBC BCP สุวินทวงศ์</v>
      </c>
      <c r="P695" s="4">
        <f>IFERROR(__xludf.DUMMYFUNCTION("""COMPUTED_VALUE"""),43146.0)</f>
        <v>43146</v>
      </c>
      <c r="Q695" s="3" t="str">
        <f>IFERROR(__xludf.DUMMYFUNCTION("""COMPUTED_VALUE"""),"A")</f>
        <v>A</v>
      </c>
      <c r="R695" s="3" t="str">
        <f>IFERROR(__xludf.DUMMYFUNCTION("""COMPUTED_VALUE"""),"Small Format")</f>
        <v>Small Format</v>
      </c>
      <c r="S695" s="3" t="str">
        <f>IFERROR(__xludf.DUMMYFUNCTION("""COMPUTED_VALUE"""),"BCM")</f>
        <v>BCM</v>
      </c>
      <c r="T695" s="3" t="str">
        <f>IFERROR(__xludf.DUMMYFUNCTION("""COMPUTED_VALUE"""),"#N/A")</f>
        <v>#N/A</v>
      </c>
      <c r="U695" s="3" t="str">
        <f>IFERROR(__xludf.DUMMYFUNCTION("""COMPUTED_VALUE"""),"#N/A")</f>
        <v>#N/A</v>
      </c>
      <c r="V695" s="3" t="str">
        <f>IFERROR(__xludf.DUMMYFUNCTION("""COMPUTED_VALUE"""),"N")</f>
        <v>N</v>
      </c>
      <c r="W695" s="3">
        <f>IFERROR(__xludf.DUMMYFUNCTION("""COMPUTED_VALUE"""),211426.0)</f>
        <v>211426</v>
      </c>
      <c r="X695" s="3" t="str">
        <f>IFERROR(__xludf.DUMMYFUNCTION("""COMPUTED_VALUE"""),"อาคารศูนย์การค้าพันธุ์ทิพย์ บางกระปิ ห้องเลขที่PG01 ชั้นG เลขที่3191 ถนนลาดพร้าว แขวงคลองจั่น เขตบางกะปิ กรุงเทพมหานคร 10240")</f>
        <v>อาคารศูนย์การค้าพันธุ์ทิพย์ บางกระปิ ห้องเลขที่PG01 ชั้นG เลขที่3191 ถนนลาดพร้าว แขวงคลองจั่น เขตบางกะปิ กรุงเทพมหานคร 10240</v>
      </c>
      <c r="Y695" s="3" t="str">
        <f>IFERROR(__xludf.DUMMYFUNCTION("""COMPUTED_VALUE"""),"ถนนลาดพร้าว")</f>
        <v>ถนนลาดพร้าว</v>
      </c>
      <c r="Z695" s="3" t="str">
        <f>IFERROR(__xludf.DUMMYFUNCTION("""COMPUTED_VALUE"""),"ห้องเลขที่PG01")</f>
        <v>ห้องเลขที่PG01</v>
      </c>
      <c r="AA695" s="3" t="str">
        <f>IFERROR(__xludf.DUMMYFUNCTION("""COMPUTED_VALUE"""),"แขวงคลองจั่น")</f>
        <v>แขวงคลองจั่น</v>
      </c>
      <c r="AB695" s="3" t="str">
        <f>IFERROR(__xludf.DUMMYFUNCTION("""COMPUTED_VALUE"""),"กรุงเทพมหานคร")</f>
        <v>กรุงเทพมหานคร</v>
      </c>
      <c r="AC695" s="3">
        <f>IFERROR(__xludf.DUMMYFUNCTION("""COMPUTED_VALUE"""),10240.0)</f>
        <v>10240</v>
      </c>
      <c r="AD695" s="3">
        <f>IFERROR(__xludf.DUMMYFUNCTION("""COMPUTED_VALUE"""),13.766533)</f>
        <v>13.766533</v>
      </c>
      <c r="AE695" s="3">
        <f>IFERROR(__xludf.DUMMYFUNCTION("""COMPUTED_VALUE"""),100.646577)</f>
        <v>100.646577</v>
      </c>
      <c r="AF695" s="3" t="str">
        <f>IFERROR(__xludf.DUMMYFUNCTION("""COMPUTED_VALUE"""),"MBC พันธุ์ทิพย์บางกะปิ-21463")</f>
        <v>MBC พันธุ์ทิพย์บางกะปิ-21463</v>
      </c>
      <c r="AG695" s="3" t="str">
        <f>IFERROR(__xludf.DUMMYFUNCTION("""COMPUTED_VALUE"""),"กลาง")</f>
        <v>กลาง</v>
      </c>
      <c r="AH695" s="3" t="str">
        <f>IFERROR(__xludf.DUMMYFUNCTION("""COMPUTED_VALUE"""),"#N/A")</f>
        <v>#N/A</v>
      </c>
      <c r="AI695" s="3" t="str">
        <f>IFERROR(__xludf.DUMMYFUNCTION("""COMPUTED_VALUE"""),"Out of warranty")</f>
        <v>Out of warranty</v>
      </c>
      <c r="AJ695" s="3">
        <f>IFERROR(__xludf.DUMMYFUNCTION("""COMPUTED_VALUE"""),96.0)</f>
        <v>96</v>
      </c>
      <c r="AK695" s="3" t="str">
        <f>IFERROR(__xludf.DUMMYFUNCTION("""COMPUTED_VALUE"""),"MMS03")</f>
        <v>MMS03</v>
      </c>
      <c r="AL695" s="3"/>
    </row>
    <row r="696" ht="15.75" customHeight="1">
      <c r="A696" s="1" t="str">
        <f>IFERROR(__xludf.DUMMYFUNCTION("""COMPUTED_VALUE"""),"21464")</f>
        <v>21464</v>
      </c>
      <c r="B696" s="2">
        <f>IFERROR(__xludf.DUMMYFUNCTION("""COMPUTED_VALUE"""),21464.0)</f>
        <v>21464</v>
      </c>
      <c r="C696" s="3" t="str">
        <f>IFERROR(__xludf.DUMMYFUNCTION("""COMPUTED_VALUE"""),"MBC ฟู้ด รีพับลิค หัวทะเล")</f>
        <v>MBC ฟู้ด รีพับลิค หัวทะเล</v>
      </c>
      <c r="D696" s="3" t="str">
        <f>IFERROR(__xludf.DUMMYFUNCTION("""COMPUTED_VALUE"""),"BCM FOOD REPUBLIC HUATHALAE")</f>
        <v>BCM FOOD REPUBLIC HUATHALAE</v>
      </c>
      <c r="E696" s="1" t="str">
        <f>IFERROR(__xludf.DUMMYFUNCTION("""COMPUTED_VALUE"""),"บิ๊กซี MINI")</f>
        <v>บิ๊กซี MINI</v>
      </c>
      <c r="F696" s="1" t="str">
        <f>IFERROR(__xludf.DUMMYFUNCTION("""COMPUTED_VALUE"""),"291105")</f>
        <v>291105</v>
      </c>
      <c r="G696" s="1" t="str">
        <f>IFERROR(__xludf.DUMMYFUNCTION("""COMPUTED_VALUE"""),"นายสราวุฒิ พณิชยกุล")</f>
        <v>นายสราวุฒิ พณิชยกุล</v>
      </c>
      <c r="H696" s="1" t="str">
        <f>IFERROR(__xludf.DUMMYFUNCTION("""COMPUTED_VALUE"""),"281315")</f>
        <v>281315</v>
      </c>
      <c r="I696" s="1" t="str">
        <f>IFERROR(__xludf.DUMMYFUNCTION("""COMPUTED_VALUE"""),"นายกิตติพงษ์ มั่นคง")</f>
        <v>นายกิตติพงษ์ มั่นคง</v>
      </c>
      <c r="J696" s="3">
        <f>IFERROR(__xludf.DUMMYFUNCTION("""COMPUTED_VALUE"""),295886.0)</f>
        <v>295886</v>
      </c>
      <c r="K696" s="3" t="str">
        <f>IFERROR(__xludf.DUMMYFUNCTION("""COMPUTED_VALUE"""),"นายจิระพงษ์ โพธิ์นิล")</f>
        <v>นายจิระพงษ์ โพธิ์นิล</v>
      </c>
      <c r="L696" s="1" t="str">
        <f>IFERROR(__xludf.DUMMYFUNCTION("""COMPUTED_VALUE"""),"นายจิระพงษ์ โพธิ์นิล")</f>
        <v>นายจิระพงษ์ โพธิ์นิล</v>
      </c>
      <c r="M696" s="1" t="str">
        <f>IFERROR(__xludf.DUMMYFUNCTION("""COMPUTED_VALUE"""),"0933290754")</f>
        <v>0933290754</v>
      </c>
      <c r="N696" s="3">
        <f>IFERROR(__xludf.DUMMYFUNCTION("""COMPUTED_VALUE"""),21622.0)</f>
        <v>21622</v>
      </c>
      <c r="O696" s="3" t="str">
        <f>IFERROR(__xludf.DUMMYFUNCTION("""COMPUTED_VALUE"""),"MBC ตลาดบ้านดอน")</f>
        <v>MBC ตลาดบ้านดอน</v>
      </c>
      <c r="P696" s="4">
        <f>IFERROR(__xludf.DUMMYFUNCTION("""COMPUTED_VALUE"""),42904.0)</f>
        <v>42904</v>
      </c>
      <c r="Q696" s="3" t="str">
        <f>IFERROR(__xludf.DUMMYFUNCTION("""COMPUTED_VALUE"""),"I")</f>
        <v>I</v>
      </c>
      <c r="R696" s="3" t="str">
        <f>IFERROR(__xludf.DUMMYFUNCTION("""COMPUTED_VALUE"""),"Small Format")</f>
        <v>Small Format</v>
      </c>
      <c r="S696" s="3" t="str">
        <f>IFERROR(__xludf.DUMMYFUNCTION("""COMPUTED_VALUE"""),"BCM")</f>
        <v>BCM</v>
      </c>
      <c r="T696" s="3" t="str">
        <f>IFERROR(__xludf.DUMMYFUNCTION("""COMPUTED_VALUE"""),"#N/A")</f>
        <v>#N/A</v>
      </c>
      <c r="U696" s="3" t="str">
        <f>IFERROR(__xludf.DUMMYFUNCTION("""COMPUTED_VALUE"""),"#N/A")</f>
        <v>#N/A</v>
      </c>
      <c r="V696" s="3" t="str">
        <f>IFERROR(__xludf.DUMMYFUNCTION("""COMPUTED_VALUE"""),"N")</f>
        <v>N</v>
      </c>
      <c r="W696" s="3">
        <f>IFERROR(__xludf.DUMMYFUNCTION("""COMPUTED_VALUE"""),211418.0)</f>
        <v>211418</v>
      </c>
      <c r="X696" s="3" t="str">
        <f>IFERROR(__xludf.DUMMYFUNCTION("""COMPUTED_VALUE"""),"777/14 หมู่ 8 ตำบลหนองบัวศาลา อำเภอเมืองนครราชสีมา จังหวัดนครราชสีมา 30000")</f>
        <v>777/14 หมู่ 8 ตำบลหนองบัวศาลา อำเภอเมืองนครราชสีมา จังหวัดนครราชสีมา 30000</v>
      </c>
      <c r="Y696" s="3"/>
      <c r="Z696" s="3" t="str">
        <f>IFERROR(__xludf.DUMMYFUNCTION("""COMPUTED_VALUE"""),"หนองบัวศาลา")</f>
        <v>หนองบัวศาลา</v>
      </c>
      <c r="AA696" s="3" t="str">
        <f>IFERROR(__xludf.DUMMYFUNCTION("""COMPUTED_VALUE"""),"เมือง")</f>
        <v>เมือง</v>
      </c>
      <c r="AB696" s="3" t="str">
        <f>IFERROR(__xludf.DUMMYFUNCTION("""COMPUTED_VALUE"""),"นครราชสีมา")</f>
        <v>นครราชสีมา</v>
      </c>
      <c r="AC696" s="3">
        <f>IFERROR(__xludf.DUMMYFUNCTION("""COMPUTED_VALUE"""),30000.0)</f>
        <v>30000</v>
      </c>
      <c r="AD696" s="3">
        <f>IFERROR(__xludf.DUMMYFUNCTION("""COMPUTED_VALUE"""),14.950469)</f>
        <v>14.950469</v>
      </c>
      <c r="AE696" s="3">
        <f>IFERROR(__xludf.DUMMYFUNCTION("""COMPUTED_VALUE"""),102.149306)</f>
        <v>102.149306</v>
      </c>
      <c r="AF696" s="3" t="str">
        <f>IFERROR(__xludf.DUMMYFUNCTION("""COMPUTED_VALUE"""),"MBC ฟู้ด รีพับลิค หัวทะเล-21464")</f>
        <v>MBC ฟู้ด รีพับลิค หัวทะเล-21464</v>
      </c>
      <c r="AG696" s="3" t="str">
        <f>IFERROR(__xludf.DUMMYFUNCTION("""COMPUTED_VALUE"""),"ตะวันออกเฉียงเหนือ")</f>
        <v>ตะวันออกเฉียงเหนือ</v>
      </c>
      <c r="AH696" s="3" t="str">
        <f>IFERROR(__xludf.DUMMYFUNCTION("""COMPUTED_VALUE"""),"#N/A")</f>
        <v>#N/A</v>
      </c>
      <c r="AI696" s="3" t="str">
        <f>IFERROR(__xludf.DUMMYFUNCTION("""COMPUTED_VALUE"""),"Out of warranty")</f>
        <v>Out of warranty</v>
      </c>
      <c r="AJ696" s="3">
        <f>IFERROR(__xludf.DUMMYFUNCTION("""COMPUTED_VALUE"""),104.0)</f>
        <v>104</v>
      </c>
      <c r="AK696" s="3" t="str">
        <f>IFERROR(__xludf.DUMMYFUNCTION("""COMPUTED_VALUE"""),"MMS11")</f>
        <v>MMS11</v>
      </c>
      <c r="AL696" s="3"/>
    </row>
    <row r="697" ht="15.75" customHeight="1">
      <c r="A697" s="1" t="str">
        <f>IFERROR(__xludf.DUMMYFUNCTION("""COMPUTED_VALUE"""),"21465")</f>
        <v>21465</v>
      </c>
      <c r="B697" s="2">
        <f>IFERROR(__xludf.DUMMYFUNCTION("""COMPUTED_VALUE"""),21465.0)</f>
        <v>21465</v>
      </c>
      <c r="C697" s="3" t="str">
        <f>IFERROR(__xludf.DUMMYFUNCTION("""COMPUTED_VALUE"""),"MBC สถานีตำรวจอุดร")</f>
        <v>MBC สถานีตำรวจอุดร</v>
      </c>
      <c r="D697" s="3" t="str">
        <f>IFERROR(__xludf.DUMMYFUNCTION("""COMPUTED_VALUE"""),"BCM UDON POLICE STATION")</f>
        <v>BCM UDON POLICE STATION</v>
      </c>
      <c r="E697" s="1" t="str">
        <f>IFERROR(__xludf.DUMMYFUNCTION("""COMPUTED_VALUE"""),"บิ๊กซี MINI")</f>
        <v>บิ๊กซี MINI</v>
      </c>
      <c r="F697" s="1" t="str">
        <f>IFERROR(__xludf.DUMMYFUNCTION("""COMPUTED_VALUE"""),"291105")</f>
        <v>291105</v>
      </c>
      <c r="G697" s="1" t="str">
        <f>IFERROR(__xludf.DUMMYFUNCTION("""COMPUTED_VALUE"""),"นายสราวุฒิ พณิชยกุล")</f>
        <v>นายสราวุฒิ พณิชยกุล</v>
      </c>
      <c r="H697" s="1" t="str">
        <f>IFERROR(__xludf.DUMMYFUNCTION("""COMPUTED_VALUE"""),"392005")</f>
        <v>392005</v>
      </c>
      <c r="I697" s="1" t="str">
        <f>IFERROR(__xludf.DUMMYFUNCTION("""COMPUTED_VALUE"""),"นายรัฐพล หาญลำยวง")</f>
        <v>นายรัฐพล หาญลำยวง</v>
      </c>
      <c r="J697" s="3">
        <f>IFERROR(__xludf.DUMMYFUNCTION("""COMPUTED_VALUE"""),296868.0)</f>
        <v>296868</v>
      </c>
      <c r="K697" s="3" t="str">
        <f>IFERROR(__xludf.DUMMYFUNCTION("""COMPUTED_VALUE"""),"นายพีระพงษ์ แก้วดวงดี")</f>
        <v>นายพีระพงษ์ แก้วดวงดี</v>
      </c>
      <c r="L697" s="1" t="str">
        <f>IFERROR(__xludf.DUMMYFUNCTION("""COMPUTED_VALUE"""),"03 K.Peerapong K.")</f>
        <v>03 K.Peerapong K.</v>
      </c>
      <c r="M697" s="1" t="str">
        <f>IFERROR(__xludf.DUMMYFUNCTION("""COMPUTED_VALUE"""),"089-002-6599")</f>
        <v>089-002-6599</v>
      </c>
      <c r="N697" s="3">
        <f>IFERROR(__xludf.DUMMYFUNCTION("""COMPUTED_VALUE"""),21946.0)</f>
        <v>21946</v>
      </c>
      <c r="O697" s="3" t="str">
        <f>IFERROR(__xludf.DUMMYFUNCTION("""COMPUTED_VALUE"""),"MBC เซกา บึงกาฬ")</f>
        <v>MBC เซกา บึงกาฬ</v>
      </c>
      <c r="P697" s="4">
        <f>IFERROR(__xludf.DUMMYFUNCTION("""COMPUTED_VALUE"""),42904.0)</f>
        <v>42904</v>
      </c>
      <c r="Q697" s="3" t="str">
        <f>IFERROR(__xludf.DUMMYFUNCTION("""COMPUTED_VALUE"""),"A")</f>
        <v>A</v>
      </c>
      <c r="R697" s="3" t="str">
        <f>IFERROR(__xludf.DUMMYFUNCTION("""COMPUTED_VALUE"""),"Small Format")</f>
        <v>Small Format</v>
      </c>
      <c r="S697" s="3" t="str">
        <f>IFERROR(__xludf.DUMMYFUNCTION("""COMPUTED_VALUE"""),"BCM")</f>
        <v>BCM</v>
      </c>
      <c r="T697" s="3" t="str">
        <f>IFERROR(__xludf.DUMMYFUNCTION("""COMPUTED_VALUE"""),"#N/A")</f>
        <v>#N/A</v>
      </c>
      <c r="U697" s="3" t="str">
        <f>IFERROR(__xludf.DUMMYFUNCTION("""COMPUTED_VALUE"""),"#N/A")</f>
        <v>#N/A</v>
      </c>
      <c r="V697" s="3" t="str">
        <f>IFERROR(__xludf.DUMMYFUNCTION("""COMPUTED_VALUE"""),"N")</f>
        <v>N</v>
      </c>
      <c r="W697" s="3">
        <f>IFERROR(__xludf.DUMMYFUNCTION("""COMPUTED_VALUE"""),211388.0)</f>
        <v>211388</v>
      </c>
      <c r="X697" s="3" t="str">
        <f>IFERROR(__xludf.DUMMYFUNCTION("""COMPUTED_VALUE"""),"43/30-32 ถนนศรีสุข ตำบลหมากแข้ง อำเภอเมืองอุดรธานี จังหวัดอุดรธานี 41000")</f>
        <v>43/30-32 ถนนศรีสุข ตำบลหมากแข้ง อำเภอเมืองอุดรธานี จังหวัดอุดรธานี 41000</v>
      </c>
      <c r="Y697" s="3" t="str">
        <f>IFERROR(__xludf.DUMMYFUNCTION("""COMPUTED_VALUE"""),"ถนนศรีสุข")</f>
        <v>ถนนศรีสุข</v>
      </c>
      <c r="Z697" s="3" t="str">
        <f>IFERROR(__xludf.DUMMYFUNCTION("""COMPUTED_VALUE"""),"หมากแข้ง")</f>
        <v>หมากแข้ง</v>
      </c>
      <c r="AA697" s="3" t="str">
        <f>IFERROR(__xludf.DUMMYFUNCTION("""COMPUTED_VALUE"""),"เมือง")</f>
        <v>เมือง</v>
      </c>
      <c r="AB697" s="3" t="str">
        <f>IFERROR(__xludf.DUMMYFUNCTION("""COMPUTED_VALUE"""),"อุดรธานี")</f>
        <v>อุดรธานี</v>
      </c>
      <c r="AC697" s="3">
        <f>IFERROR(__xludf.DUMMYFUNCTION("""COMPUTED_VALUE"""),41000.0)</f>
        <v>41000</v>
      </c>
      <c r="AD697" s="3">
        <f>IFERROR(__xludf.DUMMYFUNCTION("""COMPUTED_VALUE"""),17.4046714)</f>
        <v>17.4046714</v>
      </c>
      <c r="AE697" s="3">
        <f>IFERROR(__xludf.DUMMYFUNCTION("""COMPUTED_VALUE"""),102.7874737)</f>
        <v>102.7874737</v>
      </c>
      <c r="AF697" s="3" t="str">
        <f>IFERROR(__xludf.DUMMYFUNCTION("""COMPUTED_VALUE"""),"MBC สถานีตำรวจอุดร-21465")</f>
        <v>MBC สถานีตำรวจอุดร-21465</v>
      </c>
      <c r="AG697" s="3" t="str">
        <f>IFERROR(__xludf.DUMMYFUNCTION("""COMPUTED_VALUE"""),"ตะวันออกเฉียงเหนือ")</f>
        <v>ตะวันออกเฉียงเหนือ</v>
      </c>
      <c r="AH697" s="3" t="str">
        <f>IFERROR(__xludf.DUMMYFUNCTION("""COMPUTED_VALUE"""),"#N/A")</f>
        <v>#N/A</v>
      </c>
      <c r="AI697" s="3" t="str">
        <f>IFERROR(__xludf.DUMMYFUNCTION("""COMPUTED_VALUE"""),"Out of warranty")</f>
        <v>Out of warranty</v>
      </c>
      <c r="AJ697" s="3">
        <f>IFERROR(__xludf.DUMMYFUNCTION("""COMPUTED_VALUE"""),104.0)</f>
        <v>104</v>
      </c>
      <c r="AK697" s="3" t="str">
        <f>IFERROR(__xludf.DUMMYFUNCTION("""COMPUTED_VALUE"""),"MMS12")</f>
        <v>MMS12</v>
      </c>
      <c r="AL697" s="3"/>
    </row>
    <row r="698" ht="15.75" customHeight="1">
      <c r="A698" s="1" t="str">
        <f>IFERROR(__xludf.DUMMYFUNCTION("""COMPUTED_VALUE"""),"21466")</f>
        <v>21466</v>
      </c>
      <c r="B698" s="2">
        <f>IFERROR(__xludf.DUMMYFUNCTION("""COMPUTED_VALUE"""),21466.0)</f>
        <v>21466</v>
      </c>
      <c r="C698" s="3" t="str">
        <f>IFERROR(__xludf.DUMMYFUNCTION("""COMPUTED_VALUE"""),"MBC ตลาดท่าอิฐ 2")</f>
        <v>MBC ตลาดท่าอิฐ 2</v>
      </c>
      <c r="D698" s="3" t="str">
        <f>IFERROR(__xludf.DUMMYFUNCTION("""COMPUTED_VALUE"""),"BCM TALAD TRAIT 2")</f>
        <v>BCM TALAD TRAIT 2</v>
      </c>
      <c r="E698" s="1" t="str">
        <f>IFERROR(__xludf.DUMMYFUNCTION("""COMPUTED_VALUE"""),"บิ๊กซี MINI")</f>
        <v>บิ๊กซี MINI</v>
      </c>
      <c r="F698" s="1" t="str">
        <f>IFERROR(__xludf.DUMMYFUNCTION("""COMPUTED_VALUE"""),"291008")</f>
        <v>291008</v>
      </c>
      <c r="G698" s="1" t="str">
        <f>IFERROR(__xludf.DUMMYFUNCTION("""COMPUTED_VALUE"""),"น.ส.รัชดาพร อีศรัตน์")</f>
        <v>น.ส.รัชดาพร อีศรัตน์</v>
      </c>
      <c r="H698" s="1" t="str">
        <f>IFERROR(__xludf.DUMMYFUNCTION("""COMPUTED_VALUE"""),"359054")</f>
        <v>359054</v>
      </c>
      <c r="I698" s="1" t="str">
        <f>IFERROR(__xludf.DUMMYFUNCTION("""COMPUTED_VALUE"""),"น.ส.กรรณิการ์ พุทธวงค์")</f>
        <v>น.ส.กรรณิการ์ พุทธวงค์</v>
      </c>
      <c r="J698" s="3">
        <f>IFERROR(__xludf.DUMMYFUNCTION("""COMPUTED_VALUE"""),296728.0)</f>
        <v>296728</v>
      </c>
      <c r="K698" s="3" t="str">
        <f>IFERROR(__xludf.DUMMYFUNCTION("""COMPUTED_VALUE"""),"นายธิติ บัวทองรังสิมา")</f>
        <v>นายธิติ บัวทองรังสิมา</v>
      </c>
      <c r="L698" s="1" t="str">
        <f>IFERROR(__xludf.DUMMYFUNCTION("""COMPUTED_VALUE"""),"นายธิติ บัวทองรังสิมา")</f>
        <v>นายธิติ บัวทองรังสิมา</v>
      </c>
      <c r="M698" s="1" t="str">
        <f>IFERROR(__xludf.DUMMYFUNCTION("""COMPUTED_VALUE"""),"0920849994")</f>
        <v>0920849994</v>
      </c>
      <c r="N698" s="3">
        <f>IFERROR(__xludf.DUMMYFUNCTION("""COMPUTED_VALUE"""),21012.0)</f>
        <v>21012</v>
      </c>
      <c r="O698" s="3" t="str">
        <f>IFERROR(__xludf.DUMMYFUNCTION("""COMPUTED_VALUE"""),"MBC ท่าอิฐ")</f>
        <v>MBC ท่าอิฐ</v>
      </c>
      <c r="P698" s="4">
        <f>IFERROR(__xludf.DUMMYFUNCTION("""COMPUTED_VALUE"""),42978.0)</f>
        <v>42978</v>
      </c>
      <c r="Q698" s="3" t="str">
        <f>IFERROR(__xludf.DUMMYFUNCTION("""COMPUTED_VALUE"""),"I")</f>
        <v>I</v>
      </c>
      <c r="R698" s="3" t="str">
        <f>IFERROR(__xludf.DUMMYFUNCTION("""COMPUTED_VALUE"""),"Small Format")</f>
        <v>Small Format</v>
      </c>
      <c r="S698" s="3" t="str">
        <f>IFERROR(__xludf.DUMMYFUNCTION("""COMPUTED_VALUE"""),"BCM")</f>
        <v>BCM</v>
      </c>
      <c r="T698" s="3" t="str">
        <f>IFERROR(__xludf.DUMMYFUNCTION("""COMPUTED_VALUE"""),"#N/A")</f>
        <v>#N/A</v>
      </c>
      <c r="U698" s="3" t="str">
        <f>IFERROR(__xludf.DUMMYFUNCTION("""COMPUTED_VALUE"""),"#N/A")</f>
        <v>#N/A</v>
      </c>
      <c r="V698" s="3" t="str">
        <f>IFERROR(__xludf.DUMMYFUNCTION("""COMPUTED_VALUE"""),"N")</f>
        <v>N</v>
      </c>
      <c r="W698" s="3">
        <f>IFERROR(__xludf.DUMMYFUNCTION("""COMPUTED_VALUE"""),211413.0)</f>
        <v>211413</v>
      </c>
      <c r="X698" s="3" t="str">
        <f>IFERROR(__xludf.DUMMYFUNCTION("""COMPUTED_VALUE"""),"99/147 หมู่ 2 ตำบลไทรม้า อำเภอเมืองนนทบุรี จังหวัดนนทบุรี 11000")</f>
        <v>99/147 หมู่ 2 ตำบลไทรม้า อำเภอเมืองนนทบุรี จังหวัดนนทบุรี 11000</v>
      </c>
      <c r="Y698" s="3"/>
      <c r="Z698" s="3" t="str">
        <f>IFERROR(__xludf.DUMMYFUNCTION("""COMPUTED_VALUE"""),"ไทรม้า")</f>
        <v>ไทรม้า</v>
      </c>
      <c r="AA698" s="3" t="str">
        <f>IFERROR(__xludf.DUMMYFUNCTION("""COMPUTED_VALUE"""),"เมืองนนทบุรี")</f>
        <v>เมืองนนทบุรี</v>
      </c>
      <c r="AB698" s="3" t="str">
        <f>IFERROR(__xludf.DUMMYFUNCTION("""COMPUTED_VALUE"""),"นนทบุรี")</f>
        <v>นนทบุรี</v>
      </c>
      <c r="AC698" s="3">
        <f>IFERROR(__xludf.DUMMYFUNCTION("""COMPUTED_VALUE"""),11000.0)</f>
        <v>11000</v>
      </c>
      <c r="AD698" s="3">
        <f>IFERROR(__xludf.DUMMYFUNCTION("""COMPUTED_VALUE"""),13.887998)</f>
        <v>13.887998</v>
      </c>
      <c r="AE698" s="3">
        <f>IFERROR(__xludf.DUMMYFUNCTION("""COMPUTED_VALUE"""),100.460909)</f>
        <v>100.460909</v>
      </c>
      <c r="AF698" s="3" t="str">
        <f>IFERROR(__xludf.DUMMYFUNCTION("""COMPUTED_VALUE"""),"MBC ตลาดท่าอิฐ 2-21466")</f>
        <v>MBC ตลาดท่าอิฐ 2-21466</v>
      </c>
      <c r="AG698" s="3" t="str">
        <f>IFERROR(__xludf.DUMMYFUNCTION("""COMPUTED_VALUE"""),"กลาง")</f>
        <v>กลาง</v>
      </c>
      <c r="AH698" s="3" t="str">
        <f>IFERROR(__xludf.DUMMYFUNCTION("""COMPUTED_VALUE"""),"#N/A")</f>
        <v>#N/A</v>
      </c>
      <c r="AI698" s="3" t="str">
        <f>IFERROR(__xludf.DUMMYFUNCTION("""COMPUTED_VALUE"""),"Out of warranty")</f>
        <v>Out of warranty</v>
      </c>
      <c r="AJ698" s="3">
        <f>IFERROR(__xludf.DUMMYFUNCTION("""COMPUTED_VALUE"""),101.0)</f>
        <v>101</v>
      </c>
      <c r="AK698" s="3" t="str">
        <f>IFERROR(__xludf.DUMMYFUNCTION("""COMPUTED_VALUE"""),"MMS01")</f>
        <v>MMS01</v>
      </c>
      <c r="AL698" s="3"/>
    </row>
    <row r="699" ht="15.75" customHeight="1">
      <c r="A699" s="1" t="str">
        <f>IFERROR(__xludf.DUMMYFUNCTION("""COMPUTED_VALUE"""),"21467")</f>
        <v>21467</v>
      </c>
      <c r="B699" s="2">
        <f>IFERROR(__xludf.DUMMYFUNCTION("""COMPUTED_VALUE"""),21467.0)</f>
        <v>21467</v>
      </c>
      <c r="C699" s="3" t="str">
        <f>IFERROR(__xludf.DUMMYFUNCTION("""COMPUTED_VALUE"""),"MBC เอื้ออาทร กระทุ่มแบน 2")</f>
        <v>MBC เอื้ออาทร กระทุ่มแบน 2</v>
      </c>
      <c r="D699" s="3" t="str">
        <f>IFERROR(__xludf.DUMMYFUNCTION("""COMPUTED_VALUE"""),"BCM UR ARTHORN KRATUMBAN 2")</f>
        <v>BCM UR ARTHORN KRATUMBAN 2</v>
      </c>
      <c r="E699" s="1" t="str">
        <f>IFERROR(__xludf.DUMMYFUNCTION("""COMPUTED_VALUE"""),"บิ๊กซี MINI")</f>
        <v>บิ๊กซี MINI</v>
      </c>
      <c r="F699" s="1" t="str">
        <f>IFERROR(__xludf.DUMMYFUNCTION("""COMPUTED_VALUE"""),"2083447")</f>
        <v>2083447</v>
      </c>
      <c r="G699" s="1" t="str">
        <f>IFERROR(__xludf.DUMMYFUNCTION("""COMPUTED_VALUE"""),"นายอนุกูล ศรีลัดดา")</f>
        <v>นายอนุกูล ศรีลัดดา</v>
      </c>
      <c r="H699" s="1" t="str">
        <f>IFERROR(__xludf.DUMMYFUNCTION("""COMPUTED_VALUE"""),"2455053")</f>
        <v>2455053</v>
      </c>
      <c r="I699" s="1" t="str">
        <f>IFERROR(__xludf.DUMMYFUNCTION("""COMPUTED_VALUE"""),"นายพันธมิตร โพธิ")</f>
        <v>นายพันธมิตร โพธิ</v>
      </c>
      <c r="J699" s="3">
        <f>IFERROR(__xludf.DUMMYFUNCTION("""COMPUTED_VALUE"""),2451655.0)</f>
        <v>2451655</v>
      </c>
      <c r="K699" s="3" t="str">
        <f>IFERROR(__xludf.DUMMYFUNCTION("""COMPUTED_VALUE"""),"นายวิษณุพงษ์ ชินบุตร")</f>
        <v>นายวิษณุพงษ์ ชินบุตร</v>
      </c>
      <c r="L699" s="1" t="str">
        <f>IFERROR(__xludf.DUMMYFUNCTION("""COMPUTED_VALUE"""),"13 K.Wisanupong Ch")</f>
        <v>13 K.Wisanupong Ch</v>
      </c>
      <c r="M699" s="1" t="str">
        <f>IFERROR(__xludf.DUMMYFUNCTION("""COMPUTED_VALUE"""),"0843374693")</f>
        <v>0843374693</v>
      </c>
      <c r="N699" s="3">
        <f>IFERROR(__xludf.DUMMYFUNCTION("""COMPUTED_VALUE"""),22729.0)</f>
        <v>22729</v>
      </c>
      <c r="O699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699" s="4">
        <f>IFERROR(__xludf.DUMMYFUNCTION("""COMPUTED_VALUE"""),42911.0)</f>
        <v>42911</v>
      </c>
      <c r="Q699" s="3" t="str">
        <f>IFERROR(__xludf.DUMMYFUNCTION("""COMPUTED_VALUE"""),"A")</f>
        <v>A</v>
      </c>
      <c r="R699" s="3" t="str">
        <f>IFERROR(__xludf.DUMMYFUNCTION("""COMPUTED_VALUE"""),"Small Format")</f>
        <v>Small Format</v>
      </c>
      <c r="S699" s="3" t="str">
        <f>IFERROR(__xludf.DUMMYFUNCTION("""COMPUTED_VALUE"""),"BCM")</f>
        <v>BCM</v>
      </c>
      <c r="T699" s="3" t="str">
        <f>IFERROR(__xludf.DUMMYFUNCTION("""COMPUTED_VALUE"""),"#N/A")</f>
        <v>#N/A</v>
      </c>
      <c r="U699" s="3" t="str">
        <f>IFERROR(__xludf.DUMMYFUNCTION("""COMPUTED_VALUE"""),"#N/A")</f>
        <v>#N/A</v>
      </c>
      <c r="V699" s="3" t="str">
        <f>IFERROR(__xludf.DUMMYFUNCTION("""COMPUTED_VALUE"""),"N")</f>
        <v>N</v>
      </c>
      <c r="W699" s="3">
        <f>IFERROR(__xludf.DUMMYFUNCTION("""COMPUTED_VALUE"""),211366.0)</f>
        <v>211366</v>
      </c>
      <c r="X699" s="3" t="str">
        <f>IFERROR(__xludf.DUMMYFUNCTION("""COMPUTED_VALUE"""),"29/2 หมู่ 5 ตำบลสวนหลวง อำเภอกระทุ่มแบน จังหวัดสมุทรสาคร 74110")</f>
        <v>29/2 หมู่ 5 ตำบลสวนหลวง อำเภอกระทุ่มแบน จังหวัดสมุทรสาคร 74110</v>
      </c>
      <c r="Y699" s="3"/>
      <c r="Z699" s="3" t="str">
        <f>IFERROR(__xludf.DUMMYFUNCTION("""COMPUTED_VALUE"""),"สวนหลวง")</f>
        <v>สวนหลวง</v>
      </c>
      <c r="AA699" s="3" t="str">
        <f>IFERROR(__xludf.DUMMYFUNCTION("""COMPUTED_VALUE"""),"กระทุ่มแบน")</f>
        <v>กระทุ่มแบน</v>
      </c>
      <c r="AB699" s="3" t="str">
        <f>IFERROR(__xludf.DUMMYFUNCTION("""COMPUTED_VALUE"""),"สมุทรสาคร")</f>
        <v>สมุทรสาคร</v>
      </c>
      <c r="AC699" s="3">
        <f>IFERROR(__xludf.DUMMYFUNCTION("""COMPUTED_VALUE"""),74110.0)</f>
        <v>74110</v>
      </c>
      <c r="AD699" s="3">
        <f>IFERROR(__xludf.DUMMYFUNCTION("""COMPUTED_VALUE"""),13.67269)</f>
        <v>13.67269</v>
      </c>
      <c r="AE699" s="3">
        <f>IFERROR(__xludf.DUMMYFUNCTION("""COMPUTED_VALUE"""),100.309947)</f>
        <v>100.309947</v>
      </c>
      <c r="AF699" s="3" t="str">
        <f>IFERROR(__xludf.DUMMYFUNCTION("""COMPUTED_VALUE"""),"MBC เอื้ออาทร กระทุ่มแบน 2-21467")</f>
        <v>MBC เอื้ออาทร กระทุ่มแบน 2-21467</v>
      </c>
      <c r="AG699" s="3" t="str">
        <f>IFERROR(__xludf.DUMMYFUNCTION("""COMPUTED_VALUE"""),"กลาง")</f>
        <v>กลาง</v>
      </c>
      <c r="AH699" s="3" t="str">
        <f>IFERROR(__xludf.DUMMYFUNCTION("""COMPUTED_VALUE"""),"#N/A")</f>
        <v>#N/A</v>
      </c>
      <c r="AI699" s="3" t="str">
        <f>IFERROR(__xludf.DUMMYFUNCTION("""COMPUTED_VALUE"""),"Out of warranty")</f>
        <v>Out of warranty</v>
      </c>
      <c r="AJ699" s="3">
        <f>IFERROR(__xludf.DUMMYFUNCTION("""COMPUTED_VALUE"""),103.0)</f>
        <v>103</v>
      </c>
      <c r="AK699" s="3" t="str">
        <f>IFERROR(__xludf.DUMMYFUNCTION("""COMPUTED_VALUE"""),"MMS05")</f>
        <v>MMS05</v>
      </c>
      <c r="AL699" s="3"/>
    </row>
    <row r="700" ht="15.75" customHeight="1">
      <c r="A700" s="1" t="str">
        <f>IFERROR(__xludf.DUMMYFUNCTION("""COMPUTED_VALUE"""),"21468")</f>
        <v>21468</v>
      </c>
      <c r="B700" s="2">
        <f>IFERROR(__xludf.DUMMYFUNCTION("""COMPUTED_VALUE"""),21468.0)</f>
        <v>21468</v>
      </c>
      <c r="C700" s="3" t="str">
        <f>IFERROR(__xludf.DUMMYFUNCTION("""COMPUTED_VALUE"""),"MBC ราชภัฏสุราษฎร์ธานี")</f>
        <v>MBC ราชภัฏสุราษฎร์ธานี</v>
      </c>
      <c r="D700" s="3" t="str">
        <f>IFERROR(__xludf.DUMMYFUNCTION("""COMPUTED_VALUE"""),"BCM SURATTHANI RAJBHAT UNI")</f>
        <v>BCM SURATTHANI RAJBHAT UNI</v>
      </c>
      <c r="E700" s="1" t="str">
        <f>IFERROR(__xludf.DUMMYFUNCTION("""COMPUTED_VALUE"""),"บิ๊กซี MINI")</f>
        <v>บิ๊กซี MINI</v>
      </c>
      <c r="F700" s="1" t="str">
        <f>IFERROR(__xludf.DUMMYFUNCTION("""COMPUTED_VALUE"""),"250760")</f>
        <v>250760</v>
      </c>
      <c r="G700" s="1" t="str">
        <f>IFERROR(__xludf.DUMMYFUNCTION("""COMPUTED_VALUE"""),"นายประทวน สาราบรรณ์")</f>
        <v>นายประทวน สาราบรรณ์</v>
      </c>
      <c r="H700" s="1" t="str">
        <f>IFERROR(__xludf.DUMMYFUNCTION("""COMPUTED_VALUE"""),"228389")</f>
        <v>228389</v>
      </c>
      <c r="I700" s="1" t="str">
        <f>IFERROR(__xludf.DUMMYFUNCTION("""COMPUTED_VALUE"""),"นายมณีรันดร์ ชัยชนะ")</f>
        <v>นายมณีรันดร์ ชัยชนะ</v>
      </c>
      <c r="J700" s="3">
        <f>IFERROR(__xludf.DUMMYFUNCTION("""COMPUTED_VALUE"""),25324.0)</f>
        <v>25324</v>
      </c>
      <c r="K700" s="3" t="str">
        <f>IFERROR(__xludf.DUMMYFUNCTION("""COMPUTED_VALUE"""),"นายวิเชฎฐ์ ติรัตนะประคม")</f>
        <v>นายวิเชฎฐ์ ติรัตนะประคม</v>
      </c>
      <c r="L700" s="3" t="str">
        <f>IFERROR(__xludf.DUMMYFUNCTION("""COMPUTED_VALUE"""),"14 K.Wichet T.")</f>
        <v>14 K.Wichet T.</v>
      </c>
      <c r="M700" s="1" t="str">
        <f>IFERROR(__xludf.DUMMYFUNCTION("""COMPUTED_VALUE"""),"061-417-6569 / 086-445-5636")</f>
        <v>061-417-6569 / 086-445-5636</v>
      </c>
      <c r="N700" s="3">
        <f>IFERROR(__xludf.DUMMYFUNCTION("""COMPUTED_VALUE"""),22658.0)</f>
        <v>22658</v>
      </c>
      <c r="O700" s="3" t="str">
        <f>IFERROR(__xludf.DUMMYFUNCTION("""COMPUTED_VALUE"""),"BCM ถ.วิรัชหงษ์หยก ภูเก็ต")</f>
        <v>BCM ถ.วิรัชหงษ์หยก ภูเก็ต</v>
      </c>
      <c r="P700" s="4">
        <f>IFERROR(__xludf.DUMMYFUNCTION("""COMPUTED_VALUE"""),42911.0)</f>
        <v>42911</v>
      </c>
      <c r="Q700" s="3" t="str">
        <f>IFERROR(__xludf.DUMMYFUNCTION("""COMPUTED_VALUE"""),"A")</f>
        <v>A</v>
      </c>
      <c r="R700" s="3" t="str">
        <f>IFERROR(__xludf.DUMMYFUNCTION("""COMPUTED_VALUE"""),"Small Format")</f>
        <v>Small Format</v>
      </c>
      <c r="S700" s="3" t="str">
        <f>IFERROR(__xludf.DUMMYFUNCTION("""COMPUTED_VALUE"""),"BCM")</f>
        <v>BCM</v>
      </c>
      <c r="T700" s="3" t="str">
        <f>IFERROR(__xludf.DUMMYFUNCTION("""COMPUTED_VALUE"""),"#N/A")</f>
        <v>#N/A</v>
      </c>
      <c r="U700" s="3" t="str">
        <f>IFERROR(__xludf.DUMMYFUNCTION("""COMPUTED_VALUE"""),"#N/A")</f>
        <v>#N/A</v>
      </c>
      <c r="V700" s="3" t="str">
        <f>IFERROR(__xludf.DUMMYFUNCTION("""COMPUTED_VALUE"""),"N")</f>
        <v>N</v>
      </c>
      <c r="W700" s="3">
        <f>IFERROR(__xludf.DUMMYFUNCTION("""COMPUTED_VALUE"""),211377.0)</f>
        <v>211377</v>
      </c>
      <c r="X700" s="3" t="str">
        <f>IFERROR(__xludf.DUMMYFUNCTION("""COMPUTED_VALUE"""),"41/13 หมู่ 1 ตำบลขุนทะเล อำเภอเมืองสุราษฎร์ธานี จังหวัดสุราษฎร์ธานี 84100")</f>
        <v>41/13 หมู่ 1 ตำบลขุนทะเล อำเภอเมืองสุราษฎร์ธานี จังหวัดสุราษฎร์ธานี 84100</v>
      </c>
      <c r="Y700" s="3"/>
      <c r="Z700" s="3" t="str">
        <f>IFERROR(__xludf.DUMMYFUNCTION("""COMPUTED_VALUE"""),"ขุนทะเล")</f>
        <v>ขุนทะเล</v>
      </c>
      <c r="AA700" s="3" t="str">
        <f>IFERROR(__xludf.DUMMYFUNCTION("""COMPUTED_VALUE"""),"เมือง")</f>
        <v>เมือง</v>
      </c>
      <c r="AB700" s="3" t="str">
        <f>IFERROR(__xludf.DUMMYFUNCTION("""COMPUTED_VALUE"""),"สุราษฎร์ธานี")</f>
        <v>สุราษฎร์ธานี</v>
      </c>
      <c r="AC700" s="3">
        <f>IFERROR(__xludf.DUMMYFUNCTION("""COMPUTED_VALUE"""),84100.0)</f>
        <v>84100</v>
      </c>
      <c r="AD700" s="3">
        <f>IFERROR(__xludf.DUMMYFUNCTION("""COMPUTED_VALUE"""),9.078641)</f>
        <v>9.078641</v>
      </c>
      <c r="AE700" s="3">
        <f>IFERROR(__xludf.DUMMYFUNCTION("""COMPUTED_VALUE"""),99.362546)</f>
        <v>99.362546</v>
      </c>
      <c r="AF700" s="3" t="str">
        <f>IFERROR(__xludf.DUMMYFUNCTION("""COMPUTED_VALUE"""),"MBC ราชภัฏสุราษฎร์ธานี-21468")</f>
        <v>MBC ราชภัฏสุราษฎร์ธานี-21468</v>
      </c>
      <c r="AG700" s="3" t="str">
        <f>IFERROR(__xludf.DUMMYFUNCTION("""COMPUTED_VALUE"""),"ใต้")</f>
        <v>ใต้</v>
      </c>
      <c r="AH700" s="3" t="str">
        <f>IFERROR(__xludf.DUMMYFUNCTION("""COMPUTED_VALUE"""),"#N/A")</f>
        <v>#N/A</v>
      </c>
      <c r="AI700" s="3" t="str">
        <f>IFERROR(__xludf.DUMMYFUNCTION("""COMPUTED_VALUE"""),"Out of warranty")</f>
        <v>Out of warranty</v>
      </c>
      <c r="AJ700" s="3">
        <f>IFERROR(__xludf.DUMMYFUNCTION("""COMPUTED_VALUE"""),103.0)</f>
        <v>103</v>
      </c>
      <c r="AK700" s="3" t="str">
        <f>IFERROR(__xludf.DUMMYFUNCTION("""COMPUTED_VALUE"""),"MMS14")</f>
        <v>MMS14</v>
      </c>
      <c r="AL700" s="3"/>
    </row>
    <row r="701" ht="15.75" customHeight="1">
      <c r="A701" s="1" t="str">
        <f>IFERROR(__xludf.DUMMYFUNCTION("""COMPUTED_VALUE"""),"21469")</f>
        <v>21469</v>
      </c>
      <c r="B701" s="2">
        <f>IFERROR(__xludf.DUMMYFUNCTION("""COMPUTED_VALUE"""),21469.0)</f>
        <v>21469</v>
      </c>
      <c r="C701" s="3" t="str">
        <f>IFERROR(__xludf.DUMMYFUNCTION("""COMPUTED_VALUE"""),"MBC โป่งไผ่")</f>
        <v>MBC โป่งไผ่</v>
      </c>
      <c r="D701" s="3" t="str">
        <f>IFERROR(__xludf.DUMMYFUNCTION("""COMPUTED_VALUE"""),"BCM PONGPAI")</f>
        <v>BCM PONGPAI</v>
      </c>
      <c r="E701" s="1" t="str">
        <f>IFERROR(__xludf.DUMMYFUNCTION("""COMPUTED_VALUE"""),"บิ๊กซี MINI")</f>
        <v>บิ๊กซี MINI</v>
      </c>
      <c r="F701" s="1" t="str">
        <f>IFERROR(__xludf.DUMMYFUNCTION("""COMPUTED_VALUE"""),"250760")</f>
        <v>250760</v>
      </c>
      <c r="G701" s="1" t="str">
        <f>IFERROR(__xludf.DUMMYFUNCTION("""COMPUTED_VALUE"""),"นายประทวน สาราบรรณ์")</f>
        <v>นายประทวน สาราบรรณ์</v>
      </c>
      <c r="H701" s="1" t="str">
        <f>IFERROR(__xludf.DUMMYFUNCTION("""COMPUTED_VALUE"""),"002773")</f>
        <v>002773</v>
      </c>
      <c r="I701" s="1" t="str">
        <f>IFERROR(__xludf.DUMMYFUNCTION("""COMPUTED_VALUE"""),"น.ส.มลิวัลย์ บุญเต็ม")</f>
        <v>น.ส.มลิวัลย์ บุญเต็ม</v>
      </c>
      <c r="J701" s="3">
        <f>IFERROR(__xludf.DUMMYFUNCTION("""COMPUTED_VALUE"""),295541.0)</f>
        <v>295541</v>
      </c>
      <c r="K701" s="3" t="str">
        <f>IFERROR(__xludf.DUMMYFUNCTION("""COMPUTED_VALUE"""),"นายรพิพล ศรีมาตย์")</f>
        <v>นายรพิพล ศรีมาตย์</v>
      </c>
      <c r="L701" s="1" t="str">
        <f>IFERROR(__xludf.DUMMYFUNCTION("""COMPUTED_VALUE"""),"นายรพิพล ศรีมาตย์")</f>
        <v>นายรพิพล ศรีมาตย์</v>
      </c>
      <c r="M701" s="1" t="str">
        <f>IFERROR(__xludf.DUMMYFUNCTION("""COMPUTED_VALUE"""),"0613966115")</f>
        <v>0613966115</v>
      </c>
      <c r="N701" s="3">
        <f>IFERROR(__xludf.DUMMYFUNCTION("""COMPUTED_VALUE"""),21175.0)</f>
        <v>21175</v>
      </c>
      <c r="O701" s="3" t="str">
        <f>IFERROR(__xludf.DUMMYFUNCTION("""COMPUTED_VALUE"""),"MBC BCP กิ่งแก้ว")</f>
        <v>MBC BCP กิ่งแก้ว</v>
      </c>
      <c r="P701" s="4">
        <f>IFERROR(__xludf.DUMMYFUNCTION("""COMPUTED_VALUE"""),42913.0)</f>
        <v>42913</v>
      </c>
      <c r="Q701" s="3" t="str">
        <f>IFERROR(__xludf.DUMMYFUNCTION("""COMPUTED_VALUE"""),"I")</f>
        <v>I</v>
      </c>
      <c r="R701" s="3" t="str">
        <f>IFERROR(__xludf.DUMMYFUNCTION("""COMPUTED_VALUE"""),"Small Format")</f>
        <v>Small Format</v>
      </c>
      <c r="S701" s="3" t="str">
        <f>IFERROR(__xludf.DUMMYFUNCTION("""COMPUTED_VALUE"""),"BCM")</f>
        <v>BCM</v>
      </c>
      <c r="T701" s="3" t="str">
        <f>IFERROR(__xludf.DUMMYFUNCTION("""COMPUTED_VALUE"""),"#N/A")</f>
        <v>#N/A</v>
      </c>
      <c r="U701" s="3" t="str">
        <f>IFERROR(__xludf.DUMMYFUNCTION("""COMPUTED_VALUE"""),"#N/A")</f>
        <v>#N/A</v>
      </c>
      <c r="V701" s="3" t="str">
        <f>IFERROR(__xludf.DUMMYFUNCTION("""COMPUTED_VALUE"""),"N")</f>
        <v>N</v>
      </c>
      <c r="W701" s="3">
        <f>IFERROR(__xludf.DUMMYFUNCTION("""COMPUTED_VALUE"""),211417.0)</f>
        <v>211417</v>
      </c>
      <c r="X701" s="3" t="str">
        <f>IFERROR(__xludf.DUMMYFUNCTION("""COMPUTED_VALUE"""),"725 หมู่ 7 ตำบลท่าตูม อำเภอศรีมหาโพธิ จังหวัดปราจีนบุรี 25140")</f>
        <v>725 หมู่ 7 ตำบลท่าตูม อำเภอศรีมหาโพธิ จังหวัดปราจีนบุรี 25140</v>
      </c>
      <c r="Y701" s="3"/>
      <c r="Z701" s="3" t="str">
        <f>IFERROR(__xludf.DUMMYFUNCTION("""COMPUTED_VALUE"""),"ท่าตูม")</f>
        <v>ท่าตูม</v>
      </c>
      <c r="AA701" s="3" t="str">
        <f>IFERROR(__xludf.DUMMYFUNCTION("""COMPUTED_VALUE"""),"ศรีมหาโพธิ")</f>
        <v>ศรีมหาโพธิ</v>
      </c>
      <c r="AB701" s="3" t="str">
        <f>IFERROR(__xludf.DUMMYFUNCTION("""COMPUTED_VALUE"""),"ปราจีนบุรี")</f>
        <v>ปราจีนบุรี</v>
      </c>
      <c r="AC701" s="3">
        <f>IFERROR(__xludf.DUMMYFUNCTION("""COMPUTED_VALUE"""),25140.0)</f>
        <v>25140</v>
      </c>
      <c r="AD701" s="3">
        <f>IFERROR(__xludf.DUMMYFUNCTION("""COMPUTED_VALUE"""),13.906002)</f>
        <v>13.906002</v>
      </c>
      <c r="AE701" s="3">
        <f>IFERROR(__xludf.DUMMYFUNCTION("""COMPUTED_VALUE"""),101.556552)</f>
        <v>101.556552</v>
      </c>
      <c r="AF701" s="3" t="str">
        <f>IFERROR(__xludf.DUMMYFUNCTION("""COMPUTED_VALUE"""),"MBC โป่งไผ่-21469")</f>
        <v>MBC โป่งไผ่-21469</v>
      </c>
      <c r="AG701" s="3" t="str">
        <f>IFERROR(__xludf.DUMMYFUNCTION("""COMPUTED_VALUE"""),"ตะวันออก")</f>
        <v>ตะวันออก</v>
      </c>
      <c r="AH701" s="3" t="str">
        <f>IFERROR(__xludf.DUMMYFUNCTION("""COMPUTED_VALUE"""),"#N/A")</f>
        <v>#N/A</v>
      </c>
      <c r="AI701" s="3" t="str">
        <f>IFERROR(__xludf.DUMMYFUNCTION("""COMPUTED_VALUE"""),"Out of warranty")</f>
        <v>Out of warranty</v>
      </c>
      <c r="AJ701" s="3">
        <f>IFERROR(__xludf.DUMMYFUNCTION("""COMPUTED_VALUE"""),103.0)</f>
        <v>103</v>
      </c>
      <c r="AK701" s="3"/>
      <c r="AL701" s="3"/>
    </row>
    <row r="702" ht="15.75" customHeight="1">
      <c r="A702" s="1" t="str">
        <f>IFERROR(__xludf.DUMMYFUNCTION("""COMPUTED_VALUE"""),"21470")</f>
        <v>21470</v>
      </c>
      <c r="B702" s="2">
        <f>IFERROR(__xludf.DUMMYFUNCTION("""COMPUTED_VALUE"""),21470.0)</f>
        <v>21470</v>
      </c>
      <c r="C702" s="3" t="str">
        <f>IFERROR(__xludf.DUMMYFUNCTION("""COMPUTED_VALUE"""),"MBC บ้านกอก")</f>
        <v>MBC บ้านกอก</v>
      </c>
      <c r="D702" s="3" t="str">
        <f>IFERROR(__xludf.DUMMYFUNCTION("""COMPUTED_VALUE"""),"MBC BANKOK")</f>
        <v>MBC BANKOK</v>
      </c>
      <c r="E702" s="1" t="str">
        <f>IFERROR(__xludf.DUMMYFUNCTION("""COMPUTED_VALUE"""),"บิ๊กซี MINI")</f>
        <v>บิ๊กซี MINI</v>
      </c>
      <c r="F702" s="1" t="str">
        <f>IFERROR(__xludf.DUMMYFUNCTION("""COMPUTED_VALUE"""),"291100")</f>
        <v>291100</v>
      </c>
      <c r="G702" s="1" t="str">
        <f>IFERROR(__xludf.DUMMYFUNCTION("""COMPUTED_VALUE"""),"น.ส.จารุณี ฮวบอินทร์")</f>
        <v>น.ส.จารุณี ฮวบอินทร์</v>
      </c>
      <c r="H702" s="1" t="str">
        <f>IFERROR(__xludf.DUMMYFUNCTION("""COMPUTED_VALUE"""),"305119")</f>
        <v>305119</v>
      </c>
      <c r="I702" s="1" t="str">
        <f>IFERROR(__xludf.DUMMYFUNCTION("""COMPUTED_VALUE"""),"นายไชยกร ลีพิบูลย์สวัสดิ์")</f>
        <v>นายไชยกร ลีพิบูลย์สวัสดิ์</v>
      </c>
      <c r="J702" s="3">
        <f>IFERROR(__xludf.DUMMYFUNCTION("""COMPUTED_VALUE"""),295886.0)</f>
        <v>295886</v>
      </c>
      <c r="K702" s="3" t="str">
        <f>IFERROR(__xludf.DUMMYFUNCTION("""COMPUTED_VALUE"""),"นายจิระพงษ์ โพธิ์นิล")</f>
        <v>นายจิระพงษ์ โพธิ์นิล</v>
      </c>
      <c r="L702" s="3" t="str">
        <f>IFERROR(__xludf.DUMMYFUNCTION("""COMPUTED_VALUE"""),"นายจิระพงษ์ โพธิ์นิล")</f>
        <v>นายจิระพงษ์ โพธิ์นิล</v>
      </c>
      <c r="M702" s="1" t="str">
        <f>IFERROR(__xludf.DUMMYFUNCTION("""COMPUTED_VALUE"""),"0933290754")</f>
        <v>0933290754</v>
      </c>
      <c r="N702" s="3">
        <f>IFERROR(__xludf.DUMMYFUNCTION("""COMPUTED_VALUE"""),21465.0)</f>
        <v>21465</v>
      </c>
      <c r="O702" s="3" t="str">
        <f>IFERROR(__xludf.DUMMYFUNCTION("""COMPUTED_VALUE"""),"MBC สถานีตำรวจอุดร")</f>
        <v>MBC สถานีตำรวจอุดร</v>
      </c>
      <c r="P702" s="4">
        <f>IFERROR(__xludf.DUMMYFUNCTION("""COMPUTED_VALUE"""),42922.0)</f>
        <v>42922</v>
      </c>
      <c r="Q702" s="3" t="str">
        <f>IFERROR(__xludf.DUMMYFUNCTION("""COMPUTED_VALUE"""),"I")</f>
        <v>I</v>
      </c>
      <c r="R702" s="3" t="str">
        <f>IFERROR(__xludf.DUMMYFUNCTION("""COMPUTED_VALUE"""),"Small Format")</f>
        <v>Small Format</v>
      </c>
      <c r="S702" s="3" t="str">
        <f>IFERROR(__xludf.DUMMYFUNCTION("""COMPUTED_VALUE"""),"BCM")</f>
        <v>BCM</v>
      </c>
      <c r="T702" s="3" t="str">
        <f>IFERROR(__xludf.DUMMYFUNCTION("""COMPUTED_VALUE"""),"#N/A")</f>
        <v>#N/A</v>
      </c>
      <c r="U702" s="3" t="str">
        <f>IFERROR(__xludf.DUMMYFUNCTION("""COMPUTED_VALUE"""),"#N/A")</f>
        <v>#N/A</v>
      </c>
      <c r="V702" s="3" t="str">
        <f>IFERROR(__xludf.DUMMYFUNCTION("""COMPUTED_VALUE"""),"N")</f>
        <v>N</v>
      </c>
      <c r="W702" s="3">
        <f>IFERROR(__xludf.DUMMYFUNCTION("""COMPUTED_VALUE"""),0.0)</f>
        <v>0</v>
      </c>
      <c r="X702" s="3" t="str">
        <f>IFERROR(__xludf.DUMMYFUNCTION("""COMPUTED_VALUE"""),"199/208-210 หมู่ 17 ตำบลในเมือง อำเภอเมืองขอนแก่น จังหวัดขอนแก่น 40000")</f>
        <v>199/208-210 หมู่ 17 ตำบลในเมือง อำเภอเมืองขอนแก่น จังหวัดขอนแก่น 40000</v>
      </c>
      <c r="Y702" s="3"/>
      <c r="Z702" s="3" t="str">
        <f>IFERROR(__xludf.DUMMYFUNCTION("""COMPUTED_VALUE"""),"ในเมือง")</f>
        <v>ในเมือง</v>
      </c>
      <c r="AA702" s="3" t="str">
        <f>IFERROR(__xludf.DUMMYFUNCTION("""COMPUTED_VALUE"""),"เมือง")</f>
        <v>เมือง</v>
      </c>
      <c r="AB702" s="3" t="str">
        <f>IFERROR(__xludf.DUMMYFUNCTION("""COMPUTED_VALUE"""),"ขอนแก่น")</f>
        <v>ขอนแก่น</v>
      </c>
      <c r="AC702" s="3">
        <f>IFERROR(__xludf.DUMMYFUNCTION("""COMPUTED_VALUE"""),40000.0)</f>
        <v>40000</v>
      </c>
      <c r="AD702" s="3" t="str">
        <f>IFERROR(__xludf.DUMMYFUNCTION("""COMPUTED_VALUE"""),"#N/A")</f>
        <v>#N/A</v>
      </c>
      <c r="AE702" s="3" t="str">
        <f>IFERROR(__xludf.DUMMYFUNCTION("""COMPUTED_VALUE"""),"#N/A")</f>
        <v>#N/A</v>
      </c>
      <c r="AF702" s="3" t="str">
        <f>IFERROR(__xludf.DUMMYFUNCTION("""COMPUTED_VALUE"""),"MBC บ้านกอก-21470")</f>
        <v>MBC บ้านกอก-21470</v>
      </c>
      <c r="AG702" s="3" t="str">
        <f>IFERROR(__xludf.DUMMYFUNCTION("""COMPUTED_VALUE"""),"ตะวันออกเฉียงเหนือ")</f>
        <v>ตะวันออกเฉียงเหนือ</v>
      </c>
      <c r="AH702" s="3" t="str">
        <f>IFERROR(__xludf.DUMMYFUNCTION("""COMPUTED_VALUE"""),"#N/A")</f>
        <v>#N/A</v>
      </c>
      <c r="AI702" s="3" t="str">
        <f>IFERROR(__xludf.DUMMYFUNCTION("""COMPUTED_VALUE"""),"Out of warranty")</f>
        <v>Out of warranty</v>
      </c>
      <c r="AJ702" s="3">
        <f>IFERROR(__xludf.DUMMYFUNCTION("""COMPUTED_VALUE"""),103.0)</f>
        <v>103</v>
      </c>
      <c r="AK702" s="3"/>
      <c r="AL702" s="3"/>
    </row>
    <row r="703" ht="15.75" customHeight="1">
      <c r="A703" s="1" t="str">
        <f>IFERROR(__xludf.DUMMYFUNCTION("""COMPUTED_VALUE"""),"21471")</f>
        <v>21471</v>
      </c>
      <c r="B703" s="2">
        <f>IFERROR(__xludf.DUMMYFUNCTION("""COMPUTED_VALUE"""),21471.0)</f>
        <v>21471</v>
      </c>
      <c r="C703" s="3" t="str">
        <f>IFERROR(__xludf.DUMMYFUNCTION("""COMPUTED_VALUE"""),"MBC นเรศวร 2")</f>
        <v>MBC นเรศวร 2</v>
      </c>
      <c r="D703" s="3" t="str">
        <f>IFERROR(__xludf.DUMMYFUNCTION("""COMPUTED_VALUE"""),"BCM NARESUAN 2")</f>
        <v>BCM NARESUAN 2</v>
      </c>
      <c r="E703" s="1" t="str">
        <f>IFERROR(__xludf.DUMMYFUNCTION("""COMPUTED_VALUE"""),"บิ๊กซี MINI")</f>
        <v>บิ๊กซี MINI</v>
      </c>
      <c r="F703" s="1" t="str">
        <f>IFERROR(__xludf.DUMMYFUNCTION("""COMPUTED_VALUE"""),"296229")</f>
        <v>296229</v>
      </c>
      <c r="G703" s="1" t="str">
        <f>IFERROR(__xludf.DUMMYFUNCTION("""COMPUTED_VALUE"""),"นายทนงศักดิ์ บุญมา")</f>
        <v>นายทนงศักดิ์ บุญมา</v>
      </c>
      <c r="H703" s="1" t="str">
        <f>IFERROR(__xludf.DUMMYFUNCTION("""COMPUTED_VALUE"""),"373680")</f>
        <v>373680</v>
      </c>
      <c r="I703" s="1" t="str">
        <f>IFERROR(__xludf.DUMMYFUNCTION("""COMPUTED_VALUE"""),"นายวสันต์ พรรณราย")</f>
        <v>นายวสันต์ พรรณราย</v>
      </c>
      <c r="J703" s="3">
        <f>IFERROR(__xludf.DUMMYFUNCTION("""COMPUTED_VALUE"""),46214.0)</f>
        <v>46214</v>
      </c>
      <c r="K703" s="3" t="str">
        <f>IFERROR(__xludf.DUMMYFUNCTION("""COMPUTED_VALUE"""),"นายศักดิ์ชัย เด็ดดอกฟ้า")</f>
        <v>นายศักดิ์ชัย เด็ดดอกฟ้า</v>
      </c>
      <c r="L703" s="1" t="str">
        <f>IFERROR(__xludf.DUMMYFUNCTION("""COMPUTED_VALUE"""),"02 K.Sakchai D")</f>
        <v>02 K.Sakchai D</v>
      </c>
      <c r="M703" s="1" t="str">
        <f>IFERROR(__xludf.DUMMYFUNCTION("""COMPUTED_VALUE"""),"065-510-7376")</f>
        <v>065-510-7376</v>
      </c>
      <c r="N703" s="3">
        <f>IFERROR(__xludf.DUMMYFUNCTION("""COMPUTED_VALUE"""),21714.0)</f>
        <v>21714</v>
      </c>
      <c r="O703" s="3" t="str">
        <f>IFERROR(__xludf.DUMMYFUNCTION("""COMPUTED_VALUE"""),"MBC เอสโซ่ วัดโบสถ์")</f>
        <v>MBC เอสโซ่ วัดโบสถ์</v>
      </c>
      <c r="P703" s="4">
        <f>IFERROR(__xludf.DUMMYFUNCTION("""COMPUTED_VALUE"""),42914.0)</f>
        <v>42914</v>
      </c>
      <c r="Q703" s="3" t="str">
        <f>IFERROR(__xludf.DUMMYFUNCTION("""COMPUTED_VALUE"""),"A")</f>
        <v>A</v>
      </c>
      <c r="R703" s="3" t="str">
        <f>IFERROR(__xludf.DUMMYFUNCTION("""COMPUTED_VALUE"""),"Small Format")</f>
        <v>Small Format</v>
      </c>
      <c r="S703" s="3" t="str">
        <f>IFERROR(__xludf.DUMMYFUNCTION("""COMPUTED_VALUE"""),"BCM")</f>
        <v>BCM</v>
      </c>
      <c r="T703" s="3" t="str">
        <f>IFERROR(__xludf.DUMMYFUNCTION("""COMPUTED_VALUE"""),"#N/A")</f>
        <v>#N/A</v>
      </c>
      <c r="U703" s="3" t="str">
        <f>IFERROR(__xludf.DUMMYFUNCTION("""COMPUTED_VALUE"""),"#N/A")</f>
        <v>#N/A</v>
      </c>
      <c r="V703" s="3" t="str">
        <f>IFERROR(__xludf.DUMMYFUNCTION("""COMPUTED_VALUE"""),"N")</f>
        <v>N</v>
      </c>
      <c r="W703" s="3">
        <f>IFERROR(__xludf.DUMMYFUNCTION("""COMPUTED_VALUE"""),211405.0)</f>
        <v>211405</v>
      </c>
      <c r="X703" s="3" t="str">
        <f>IFERROR(__xludf.DUMMYFUNCTION("""COMPUTED_VALUE"""),"97/1 หมู่ 7 ตำบลท่าโพธิ์ อำเภอเมืองพิษณุโลก จังหวัดพิษณุโลก 65000")</f>
        <v>97/1 หมู่ 7 ตำบลท่าโพธิ์ อำเภอเมืองพิษณุโลก จังหวัดพิษณุโลก 65000</v>
      </c>
      <c r="Y703" s="3"/>
      <c r="Z703" s="3" t="str">
        <f>IFERROR(__xludf.DUMMYFUNCTION("""COMPUTED_VALUE"""),"ท่าโพธิ์")</f>
        <v>ท่าโพธิ์</v>
      </c>
      <c r="AA703" s="3" t="str">
        <f>IFERROR(__xludf.DUMMYFUNCTION("""COMPUTED_VALUE"""),"เมือง")</f>
        <v>เมือง</v>
      </c>
      <c r="AB703" s="3" t="str">
        <f>IFERROR(__xludf.DUMMYFUNCTION("""COMPUTED_VALUE"""),"พิษณุโลก")</f>
        <v>พิษณุโลก</v>
      </c>
      <c r="AC703" s="3">
        <f>IFERROR(__xludf.DUMMYFUNCTION("""COMPUTED_VALUE"""),65000.0)</f>
        <v>65000</v>
      </c>
      <c r="AD703" s="3">
        <f>IFERROR(__xludf.DUMMYFUNCTION("""COMPUTED_VALUE"""),16.74601)</f>
        <v>16.74601</v>
      </c>
      <c r="AE703" s="3">
        <f>IFERROR(__xludf.DUMMYFUNCTION("""COMPUTED_VALUE"""),100.202316)</f>
        <v>100.202316</v>
      </c>
      <c r="AF703" s="3" t="str">
        <f>IFERROR(__xludf.DUMMYFUNCTION("""COMPUTED_VALUE"""),"MBC นเรศวร 2-21471")</f>
        <v>MBC นเรศวร 2-21471</v>
      </c>
      <c r="AG703" s="3" t="str">
        <f>IFERROR(__xludf.DUMMYFUNCTION("""COMPUTED_VALUE"""),"กลาง")</f>
        <v>กลาง</v>
      </c>
      <c r="AH703" s="3" t="str">
        <f>IFERROR(__xludf.DUMMYFUNCTION("""COMPUTED_VALUE"""),"#N/A")</f>
        <v>#N/A</v>
      </c>
      <c r="AI703" s="3" t="str">
        <f>IFERROR(__xludf.DUMMYFUNCTION("""COMPUTED_VALUE"""),"Out of warranty")</f>
        <v>Out of warranty</v>
      </c>
      <c r="AJ703" s="3">
        <f>IFERROR(__xludf.DUMMYFUNCTION("""COMPUTED_VALUE"""),103.0)</f>
        <v>103</v>
      </c>
      <c r="AK703" s="3" t="str">
        <f>IFERROR(__xludf.DUMMYFUNCTION("""COMPUTED_VALUE"""),"MMS09")</f>
        <v>MMS09</v>
      </c>
      <c r="AL703" s="3"/>
    </row>
    <row r="704" ht="15.75" customHeight="1">
      <c r="A704" s="1" t="str">
        <f>IFERROR(__xludf.DUMMYFUNCTION("""COMPUTED_VALUE"""),"21472")</f>
        <v>21472</v>
      </c>
      <c r="B704" s="2">
        <f>IFERROR(__xludf.DUMMYFUNCTION("""COMPUTED_VALUE"""),21472.0)</f>
        <v>21472</v>
      </c>
      <c r="C704" s="3" t="str">
        <f>IFERROR(__xludf.DUMMYFUNCTION("""COMPUTED_VALUE"""),"MBC บางแสน-อ่างศิลา 2")</f>
        <v>MBC บางแสน-อ่างศิลา 2</v>
      </c>
      <c r="D704" s="3" t="str">
        <f>IFERROR(__xludf.DUMMYFUNCTION("""COMPUTED_VALUE"""),"MBC BANGSAEN ANGSILA 2")</f>
        <v>MBC BANGSAEN ANGSILA 2</v>
      </c>
      <c r="E704" s="1" t="str">
        <f>IFERROR(__xludf.DUMMYFUNCTION("""COMPUTED_VALUE"""),"บิ๊กซี MINI")</f>
        <v>บิ๊กซี MINI</v>
      </c>
      <c r="F704" s="1" t="str">
        <f>IFERROR(__xludf.DUMMYFUNCTION("""COMPUTED_VALUE"""),"250760")</f>
        <v>250760</v>
      </c>
      <c r="G704" s="1" t="str">
        <f>IFERROR(__xludf.DUMMYFUNCTION("""COMPUTED_VALUE"""),"นายประทวน สาราบรรณ์")</f>
        <v>นายประทวน สาราบรรณ์</v>
      </c>
      <c r="H704" s="1" t="str">
        <f>IFERROR(__xludf.DUMMYFUNCTION("""COMPUTED_VALUE"""),"034605")</f>
        <v>034605</v>
      </c>
      <c r="I704" s="1" t="str">
        <f>IFERROR(__xludf.DUMMYFUNCTION("""COMPUTED_VALUE"""),"นายธรรมรัตน์ สุขเจริญ")</f>
        <v>นายธรรมรัตน์ สุขเจริญ</v>
      </c>
      <c r="J704" s="3">
        <f>IFERROR(__xludf.DUMMYFUNCTION("""COMPUTED_VALUE"""),295541.0)</f>
        <v>295541</v>
      </c>
      <c r="K704" s="3" t="str">
        <f>IFERROR(__xludf.DUMMYFUNCTION("""COMPUTED_VALUE"""),"นายรพิพล ศรีมาตย์")</f>
        <v>นายรพิพล ศรีมาตย์</v>
      </c>
      <c r="L704" s="1" t="str">
        <f>IFERROR(__xludf.DUMMYFUNCTION("""COMPUTED_VALUE"""),"นายรพิพล ศรีมาตย์")</f>
        <v>นายรพิพล ศรีมาตย์</v>
      </c>
      <c r="M704" s="1" t="str">
        <f>IFERROR(__xludf.DUMMYFUNCTION("""COMPUTED_VALUE"""),"0613966115")</f>
        <v>0613966115</v>
      </c>
      <c r="N704" s="3">
        <f>IFERROR(__xludf.DUMMYFUNCTION("""COMPUTED_VALUE"""),21175.0)</f>
        <v>21175</v>
      </c>
      <c r="O704" s="3" t="str">
        <f>IFERROR(__xludf.DUMMYFUNCTION("""COMPUTED_VALUE"""),"MBC BCP กิ่งแก้ว")</f>
        <v>MBC BCP กิ่งแก้ว</v>
      </c>
      <c r="P704" s="4">
        <f>IFERROR(__xludf.DUMMYFUNCTION("""COMPUTED_VALUE"""),42912.0)</f>
        <v>42912</v>
      </c>
      <c r="Q704" s="3" t="str">
        <f>IFERROR(__xludf.DUMMYFUNCTION("""COMPUTED_VALUE"""),"I")</f>
        <v>I</v>
      </c>
      <c r="R704" s="3" t="str">
        <f>IFERROR(__xludf.DUMMYFUNCTION("""COMPUTED_VALUE"""),"Small Format")</f>
        <v>Small Format</v>
      </c>
      <c r="S704" s="3" t="str">
        <f>IFERROR(__xludf.DUMMYFUNCTION("""COMPUTED_VALUE"""),"BCM")</f>
        <v>BCM</v>
      </c>
      <c r="T704" s="3" t="str">
        <f>IFERROR(__xludf.DUMMYFUNCTION("""COMPUTED_VALUE"""),"#N/A")</f>
        <v>#N/A</v>
      </c>
      <c r="U704" s="3" t="str">
        <f>IFERROR(__xludf.DUMMYFUNCTION("""COMPUTED_VALUE"""),"#N/A")</f>
        <v>#N/A</v>
      </c>
      <c r="V704" s="3" t="str">
        <f>IFERROR(__xludf.DUMMYFUNCTION("""COMPUTED_VALUE"""),"N")</f>
        <v>N</v>
      </c>
      <c r="W704" s="3">
        <f>IFERROR(__xludf.DUMMYFUNCTION("""COMPUTED_VALUE"""),0.0)</f>
        <v>0</v>
      </c>
      <c r="X704" s="3" t="str">
        <f>IFERROR(__xludf.DUMMYFUNCTION("""COMPUTED_VALUE"""),"90/378-379 หมู่ 3 ตำบลเสม็ด อำเภอเมืองชลบุรี จังหวัดชลบุรี 20000")</f>
        <v>90/378-379 หมู่ 3 ตำบลเสม็ด อำเภอเมืองชลบุรี จังหวัดชลบุรี 20000</v>
      </c>
      <c r="Y704" s="3"/>
      <c r="Z704" s="3" t="str">
        <f>IFERROR(__xludf.DUMMYFUNCTION("""COMPUTED_VALUE"""),"เสม็ด")</f>
        <v>เสม็ด</v>
      </c>
      <c r="AA704" s="3" t="str">
        <f>IFERROR(__xludf.DUMMYFUNCTION("""COMPUTED_VALUE"""),"เมือง")</f>
        <v>เมือง</v>
      </c>
      <c r="AB704" s="3" t="str">
        <f>IFERROR(__xludf.DUMMYFUNCTION("""COMPUTED_VALUE"""),"ชลบุรี")</f>
        <v>ชลบุรี</v>
      </c>
      <c r="AC704" s="3">
        <f>IFERROR(__xludf.DUMMYFUNCTION("""COMPUTED_VALUE"""),20000.0)</f>
        <v>20000</v>
      </c>
      <c r="AD704" s="3" t="str">
        <f>IFERROR(__xludf.DUMMYFUNCTION("""COMPUTED_VALUE"""),"#N/A")</f>
        <v>#N/A</v>
      </c>
      <c r="AE704" s="3" t="str">
        <f>IFERROR(__xludf.DUMMYFUNCTION("""COMPUTED_VALUE"""),"#N/A")</f>
        <v>#N/A</v>
      </c>
      <c r="AF704" s="3" t="str">
        <f>IFERROR(__xludf.DUMMYFUNCTION("""COMPUTED_VALUE"""),"MBC บางแสน-อ่างศิลา 2-21472")</f>
        <v>MBC บางแสน-อ่างศิลา 2-21472</v>
      </c>
      <c r="AG704" s="3" t="str">
        <f>IFERROR(__xludf.DUMMYFUNCTION("""COMPUTED_VALUE"""),"ตะวันออก")</f>
        <v>ตะวันออก</v>
      </c>
      <c r="AH704" s="3" t="str">
        <f>IFERROR(__xludf.DUMMYFUNCTION("""COMPUTED_VALUE"""),"#N/A")</f>
        <v>#N/A</v>
      </c>
      <c r="AI704" s="3" t="str">
        <f>IFERROR(__xludf.DUMMYFUNCTION("""COMPUTED_VALUE"""),"Out of warranty")</f>
        <v>Out of warranty</v>
      </c>
      <c r="AJ704" s="3">
        <f>IFERROR(__xludf.DUMMYFUNCTION("""COMPUTED_VALUE"""),103.0)</f>
        <v>103</v>
      </c>
      <c r="AK704" s="3"/>
      <c r="AL704" s="3"/>
    </row>
    <row r="705" ht="15.75" customHeight="1">
      <c r="A705" s="1" t="str">
        <f>IFERROR(__xludf.DUMMYFUNCTION("""COMPUTED_VALUE"""),"21473")</f>
        <v>21473</v>
      </c>
      <c r="B705" s="2">
        <f>IFERROR(__xludf.DUMMYFUNCTION("""COMPUTED_VALUE"""),21473.0)</f>
        <v>21473</v>
      </c>
      <c r="C705" s="3" t="str">
        <f>IFERROR(__xludf.DUMMYFUNCTION("""COMPUTED_VALUE"""),"MBC หมู่บ้านพรธิสาร 4")</f>
        <v>MBC หมู่บ้านพรธิสาร 4</v>
      </c>
      <c r="D705" s="3" t="str">
        <f>IFERROR(__xludf.DUMMYFUNCTION("""COMPUTED_VALUE"""),"BCM MOOBAN PORNTISAN 4")</f>
        <v>BCM MOOBAN PORNTISAN 4</v>
      </c>
      <c r="E705" s="1" t="str">
        <f>IFERROR(__xludf.DUMMYFUNCTION("""COMPUTED_VALUE"""),"บิ๊กซี MINI")</f>
        <v>บิ๊กซี MINI</v>
      </c>
      <c r="F705" s="1" t="str">
        <f>IFERROR(__xludf.DUMMYFUNCTION("""COMPUTED_VALUE"""),"2083447")</f>
        <v>2083447</v>
      </c>
      <c r="G705" s="1" t="str">
        <f>IFERROR(__xludf.DUMMYFUNCTION("""COMPUTED_VALUE"""),"นายอนุกูล ศรีลัดดา")</f>
        <v>นายอนุกูล ศรีลัดดา</v>
      </c>
      <c r="H705" s="1" t="str">
        <f>IFERROR(__xludf.DUMMYFUNCTION("""COMPUTED_VALUE"""),"373849")</f>
        <v>373849</v>
      </c>
      <c r="I705" s="1" t="str">
        <f>IFERROR(__xludf.DUMMYFUNCTION("""COMPUTED_VALUE"""),"น.ส.อรอุมา นิ่มวิศิษย์")</f>
        <v>น.ส.อรอุมา นิ่มวิศิษย์</v>
      </c>
      <c r="J705" s="3">
        <f>IFERROR(__xludf.DUMMYFUNCTION("""COMPUTED_VALUE"""),510143.0)</f>
        <v>510143</v>
      </c>
      <c r="K705" s="3" t="str">
        <f>IFERROR(__xludf.DUMMYFUNCTION("""COMPUTED_VALUE"""),"นายธีระวัฒน์ บุญสิทธิ์")</f>
        <v>นายธีระวัฒน์ บุญสิทธิ์</v>
      </c>
      <c r="L705" s="1" t="str">
        <f>IFERROR(__xludf.DUMMYFUNCTION("""COMPUTED_VALUE"""),"12 K.Theerawat B.")</f>
        <v>12 K.Theerawat B.</v>
      </c>
      <c r="M705" s="1" t="str">
        <f>IFERROR(__xludf.DUMMYFUNCTION("""COMPUTED_VALUE"""),"0655107379")</f>
        <v>0655107379</v>
      </c>
      <c r="N705" s="3">
        <f>IFERROR(__xludf.DUMMYFUNCTION("""COMPUTED_VALUE"""),21062.0)</f>
        <v>21062</v>
      </c>
      <c r="O705" s="3" t="str">
        <f>IFERROR(__xludf.DUMMYFUNCTION("""COMPUTED_VALUE"""),"MBC นิคมนวนคร")</f>
        <v>MBC นิคมนวนคร</v>
      </c>
      <c r="P705" s="4">
        <f>IFERROR(__xludf.DUMMYFUNCTION("""COMPUTED_VALUE"""),42941.0)</f>
        <v>42941</v>
      </c>
      <c r="Q705" s="3" t="str">
        <f>IFERROR(__xludf.DUMMYFUNCTION("""COMPUTED_VALUE"""),"A")</f>
        <v>A</v>
      </c>
      <c r="R705" s="3" t="str">
        <f>IFERROR(__xludf.DUMMYFUNCTION("""COMPUTED_VALUE"""),"Small Format")</f>
        <v>Small Format</v>
      </c>
      <c r="S705" s="3" t="str">
        <f>IFERROR(__xludf.DUMMYFUNCTION("""COMPUTED_VALUE"""),"BCM")</f>
        <v>BCM</v>
      </c>
      <c r="T705" s="3" t="str">
        <f>IFERROR(__xludf.DUMMYFUNCTION("""COMPUTED_VALUE"""),"#N/A")</f>
        <v>#N/A</v>
      </c>
      <c r="U705" s="3" t="str">
        <f>IFERROR(__xludf.DUMMYFUNCTION("""COMPUTED_VALUE"""),"#N/A")</f>
        <v>#N/A</v>
      </c>
      <c r="V705" s="3" t="str">
        <f>IFERROR(__xludf.DUMMYFUNCTION("""COMPUTED_VALUE"""),"N")</f>
        <v>N</v>
      </c>
      <c r="W705" s="3">
        <f>IFERROR(__xludf.DUMMYFUNCTION("""COMPUTED_VALUE"""),211414.0)</f>
        <v>211414</v>
      </c>
      <c r="X705" s="3" t="str">
        <f>IFERROR(__xludf.DUMMYFUNCTION("""COMPUTED_VALUE"""),"39/3 หมู่ 1 ตำบลคลองเจ็ด อำเภอคลองหลวง จังหวัดปทุมธานี 12120")</f>
        <v>39/3 หมู่ 1 ตำบลคลองเจ็ด อำเภอคลองหลวง จังหวัดปทุมธานี 12120</v>
      </c>
      <c r="Y705" s="3"/>
      <c r="Z705" s="3" t="str">
        <f>IFERROR(__xludf.DUMMYFUNCTION("""COMPUTED_VALUE"""),"คลองเจ็ด")</f>
        <v>คลองเจ็ด</v>
      </c>
      <c r="AA705" s="3" t="str">
        <f>IFERROR(__xludf.DUMMYFUNCTION("""COMPUTED_VALUE"""),"คลองหลวง")</f>
        <v>คลองหลวง</v>
      </c>
      <c r="AB705" s="3" t="str">
        <f>IFERROR(__xludf.DUMMYFUNCTION("""COMPUTED_VALUE"""),"ปทุมธานี")</f>
        <v>ปทุมธานี</v>
      </c>
      <c r="AC705" s="3">
        <f>IFERROR(__xludf.DUMMYFUNCTION("""COMPUTED_VALUE"""),12120.0)</f>
        <v>12120</v>
      </c>
      <c r="AD705" s="3">
        <f>IFERROR(__xludf.DUMMYFUNCTION("""COMPUTED_VALUE"""),14.04061)</f>
        <v>14.04061</v>
      </c>
      <c r="AE705" s="3">
        <f>IFERROR(__xludf.DUMMYFUNCTION("""COMPUTED_VALUE"""),100.744689)</f>
        <v>100.744689</v>
      </c>
      <c r="AF705" s="3" t="str">
        <f>IFERROR(__xludf.DUMMYFUNCTION("""COMPUTED_VALUE"""),"MBC หมู่บ้านพรธิสาร 4-21473")</f>
        <v>MBC หมู่บ้านพรธิสาร 4-21473</v>
      </c>
      <c r="AG705" s="3" t="str">
        <f>IFERROR(__xludf.DUMMYFUNCTION("""COMPUTED_VALUE"""),"กลาง")</f>
        <v>กลาง</v>
      </c>
      <c r="AH705" s="3" t="str">
        <f>IFERROR(__xludf.DUMMYFUNCTION("""COMPUTED_VALUE"""),"#N/A")</f>
        <v>#N/A</v>
      </c>
      <c r="AI705" s="3" t="str">
        <f>IFERROR(__xludf.DUMMYFUNCTION("""COMPUTED_VALUE"""),"Out of warranty")</f>
        <v>Out of warranty</v>
      </c>
      <c r="AJ705" s="3">
        <f>IFERROR(__xludf.DUMMYFUNCTION("""COMPUTED_VALUE"""),102.0)</f>
        <v>102</v>
      </c>
      <c r="AK705" s="3" t="str">
        <f>IFERROR(__xludf.DUMMYFUNCTION("""COMPUTED_VALUE"""),"MMS04")</f>
        <v>MMS04</v>
      </c>
      <c r="AL705" s="3"/>
    </row>
    <row r="706" ht="15.75" customHeight="1">
      <c r="A706" s="1" t="str">
        <f>IFERROR(__xludf.DUMMYFUNCTION("""COMPUTED_VALUE"""),"21474")</f>
        <v>21474</v>
      </c>
      <c r="B706" s="2">
        <f>IFERROR(__xludf.DUMMYFUNCTION("""COMPUTED_VALUE"""),21474.0)</f>
        <v>21474</v>
      </c>
      <c r="C706" s="3" t="str">
        <f>IFERROR(__xludf.DUMMYFUNCTION("""COMPUTED_VALUE"""),"MBC ชุมชน จุกกะเฌอ")</f>
        <v>MBC ชุมชน จุกกะเฌอ</v>
      </c>
      <c r="D706" s="3" t="str">
        <f>IFERROR(__xludf.DUMMYFUNCTION("""COMPUTED_VALUE"""),"BCM CHUMCHON CHUKKACHER")</f>
        <v>BCM CHUMCHON CHUKKACHER</v>
      </c>
      <c r="E706" s="1" t="str">
        <f>IFERROR(__xludf.DUMMYFUNCTION("""COMPUTED_VALUE"""),"บิ๊กซี MINI")</f>
        <v>บิ๊กซี MINI</v>
      </c>
      <c r="F706" s="1" t="str">
        <f>IFERROR(__xludf.DUMMYFUNCTION("""COMPUTED_VALUE"""),"221716")</f>
        <v>221716</v>
      </c>
      <c r="G706" s="1" t="str">
        <f>IFERROR(__xludf.DUMMYFUNCTION("""COMPUTED_VALUE"""),"น.ส.เบญจพร โพธิสาร")</f>
        <v>น.ส.เบญจพร โพธิสาร</v>
      </c>
      <c r="H706" s="1" t="str">
        <f>IFERROR(__xludf.DUMMYFUNCTION("""COMPUTED_VALUE"""),"291061")</f>
        <v>291061</v>
      </c>
      <c r="I706" s="1" t="str">
        <f>IFERROR(__xludf.DUMMYFUNCTION("""COMPUTED_VALUE"""),"นายสมศักดิ์ เสียงก้อง")</f>
        <v>นายสมศักดิ์ เสียงก้อง</v>
      </c>
      <c r="J706" s="3">
        <f>IFERROR(__xludf.DUMMYFUNCTION("""COMPUTED_VALUE"""),296942.0)</f>
        <v>296942</v>
      </c>
      <c r="K706" s="3" t="str">
        <f>IFERROR(__xludf.DUMMYFUNCTION("""COMPUTED_VALUE"""),"นายปิยะ รักษากิจ")</f>
        <v>นายปิยะ รักษากิจ</v>
      </c>
      <c r="L706" s="3" t="str">
        <f>IFERROR(__xludf.DUMMYFUNCTION("""COMPUTED_VALUE"""),"07 K.Piya R.")</f>
        <v>07 K.Piya R.</v>
      </c>
      <c r="M706" s="1" t="str">
        <f>IFERROR(__xludf.DUMMYFUNCTION("""COMPUTED_VALUE"""),"097-919-5476")</f>
        <v>097-919-5476</v>
      </c>
      <c r="N706" s="3">
        <f>IFERROR(__xludf.DUMMYFUNCTION("""COMPUTED_VALUE"""),21332.0)</f>
        <v>21332</v>
      </c>
      <c r="O706" s="3" t="str">
        <f>IFERROR(__xludf.DUMMYFUNCTION("""COMPUTED_VALUE"""),"MBC BCP อ่อนนุช 17/1")</f>
        <v>MBC BCP อ่อนนุช 17/1</v>
      </c>
      <c r="P706" s="4">
        <f>IFERROR(__xludf.DUMMYFUNCTION("""COMPUTED_VALUE"""),42915.0)</f>
        <v>42915</v>
      </c>
      <c r="Q706" s="3" t="str">
        <f>IFERROR(__xludf.DUMMYFUNCTION("""COMPUTED_VALUE"""),"A")</f>
        <v>A</v>
      </c>
      <c r="R706" s="3" t="str">
        <f>IFERROR(__xludf.DUMMYFUNCTION("""COMPUTED_VALUE"""),"Small Format")</f>
        <v>Small Format</v>
      </c>
      <c r="S706" s="3" t="str">
        <f>IFERROR(__xludf.DUMMYFUNCTION("""COMPUTED_VALUE"""),"BCM")</f>
        <v>BCM</v>
      </c>
      <c r="T706" s="3" t="str">
        <f>IFERROR(__xludf.DUMMYFUNCTION("""COMPUTED_VALUE"""),"#N/A")</f>
        <v>#N/A</v>
      </c>
      <c r="U706" s="3" t="str">
        <f>IFERROR(__xludf.DUMMYFUNCTION("""COMPUTED_VALUE"""),"#N/A")</f>
        <v>#N/A</v>
      </c>
      <c r="V706" s="3" t="str">
        <f>IFERROR(__xludf.DUMMYFUNCTION("""COMPUTED_VALUE"""),"N")</f>
        <v>N</v>
      </c>
      <c r="W706" s="3">
        <f>IFERROR(__xludf.DUMMYFUNCTION("""COMPUTED_VALUE"""),211415.0)</f>
        <v>211415</v>
      </c>
      <c r="X706" s="3" t="str">
        <f>IFERROR(__xludf.DUMMYFUNCTION("""COMPUTED_VALUE"""),"37 หมู่ 1 ตำบลบึง อำเภอศรีราชา จังหวัดชลบุรี 20230")</f>
        <v>37 หมู่ 1 ตำบลบึง อำเภอศรีราชา จังหวัดชลบุรี 20230</v>
      </c>
      <c r="Y706" s="3"/>
      <c r="Z706" s="3" t="str">
        <f>IFERROR(__xludf.DUMMYFUNCTION("""COMPUTED_VALUE"""),"บึง")</f>
        <v>บึง</v>
      </c>
      <c r="AA706" s="3" t="str">
        <f>IFERROR(__xludf.DUMMYFUNCTION("""COMPUTED_VALUE"""),"ศรีราชา")</f>
        <v>ศรีราชา</v>
      </c>
      <c r="AB706" s="3" t="str">
        <f>IFERROR(__xludf.DUMMYFUNCTION("""COMPUTED_VALUE"""),"ชลบุรี")</f>
        <v>ชลบุรี</v>
      </c>
      <c r="AC706" s="3">
        <f>IFERROR(__xludf.DUMMYFUNCTION("""COMPUTED_VALUE"""),20230.0)</f>
        <v>20230</v>
      </c>
      <c r="AD706" s="3">
        <f>IFERROR(__xludf.DUMMYFUNCTION("""COMPUTED_VALUE"""),13.087869)</f>
        <v>13.087869</v>
      </c>
      <c r="AE706" s="3">
        <f>IFERROR(__xludf.DUMMYFUNCTION("""COMPUTED_VALUE"""),100.97464)</f>
        <v>100.97464</v>
      </c>
      <c r="AF706" s="3" t="str">
        <f>IFERROR(__xludf.DUMMYFUNCTION("""COMPUTED_VALUE"""),"MBC ชุมชน จุกกะเฌอ-21474")</f>
        <v>MBC ชุมชน จุกกะเฌอ-21474</v>
      </c>
      <c r="AG706" s="3" t="str">
        <f>IFERROR(__xludf.DUMMYFUNCTION("""COMPUTED_VALUE"""),"ตะวันออก")</f>
        <v>ตะวันออก</v>
      </c>
      <c r="AH706" s="3" t="str">
        <f>IFERROR(__xludf.DUMMYFUNCTION("""COMPUTED_VALUE"""),"#N/A")</f>
        <v>#N/A</v>
      </c>
      <c r="AI706" s="3" t="str">
        <f>IFERROR(__xludf.DUMMYFUNCTION("""COMPUTED_VALUE"""),"Out of warranty")</f>
        <v>Out of warranty</v>
      </c>
      <c r="AJ706" s="3">
        <f>IFERROR(__xludf.DUMMYFUNCTION("""COMPUTED_VALUE"""),103.0)</f>
        <v>103</v>
      </c>
      <c r="AK706" s="3" t="str">
        <f>IFERROR(__xludf.DUMMYFUNCTION("""COMPUTED_VALUE"""),"MMS06")</f>
        <v>MMS06</v>
      </c>
      <c r="AL706" s="3"/>
    </row>
    <row r="707" ht="15.75" customHeight="1">
      <c r="A707" s="1" t="str">
        <f>IFERROR(__xludf.DUMMYFUNCTION("""COMPUTED_VALUE"""),"21475")</f>
        <v>21475</v>
      </c>
      <c r="B707" s="2">
        <f>IFERROR(__xludf.DUMMYFUNCTION("""COMPUTED_VALUE"""),21475.0)</f>
        <v>21475</v>
      </c>
      <c r="C707" s="3" t="str">
        <f>IFERROR(__xludf.DUMMYFUNCTION("""COMPUTED_VALUE"""),"MBC หมู่บ้านภัทรนิเวศน์")</f>
        <v>MBC หมู่บ้านภัทรนิเวศน์</v>
      </c>
      <c r="D707" s="3" t="str">
        <f>IFERROR(__xludf.DUMMYFUNCTION("""COMPUTED_VALUE"""),"BCM MOOBAN PHATTARANIWET")</f>
        <v>BCM MOOBAN PHATTARANIWET</v>
      </c>
      <c r="E707" s="1" t="str">
        <f>IFERROR(__xludf.DUMMYFUNCTION("""COMPUTED_VALUE"""),"บิ๊กซี MINI")</f>
        <v>บิ๊กซี MINI</v>
      </c>
      <c r="F707" s="1" t="str">
        <f>IFERROR(__xludf.DUMMYFUNCTION("""COMPUTED_VALUE"""),"2083447")</f>
        <v>2083447</v>
      </c>
      <c r="G707" s="1" t="str">
        <f>IFERROR(__xludf.DUMMYFUNCTION("""COMPUTED_VALUE"""),"นายอนุกูล ศรีลัดดา")</f>
        <v>นายอนุกูล ศรีลัดดา</v>
      </c>
      <c r="H707" s="1" t="str">
        <f>IFERROR(__xludf.DUMMYFUNCTION("""COMPUTED_VALUE"""),"373849")</f>
        <v>373849</v>
      </c>
      <c r="I707" s="1" t="str">
        <f>IFERROR(__xludf.DUMMYFUNCTION("""COMPUTED_VALUE"""),"น.ส.อรอุมา นิ่มวิศิษย์")</f>
        <v>น.ส.อรอุมา นิ่มวิศิษย์</v>
      </c>
      <c r="J707" s="3">
        <f>IFERROR(__xludf.DUMMYFUNCTION("""COMPUTED_VALUE"""),510143.0)</f>
        <v>510143</v>
      </c>
      <c r="K707" s="3" t="str">
        <f>IFERROR(__xludf.DUMMYFUNCTION("""COMPUTED_VALUE"""),"นายธีระวัฒน์ บุญสิทธิ์")</f>
        <v>นายธีระวัฒน์ บุญสิทธิ์</v>
      </c>
      <c r="L707" s="1" t="str">
        <f>IFERROR(__xludf.DUMMYFUNCTION("""COMPUTED_VALUE"""),"12 K.Theerawat B.")</f>
        <v>12 K.Theerawat B.</v>
      </c>
      <c r="M707" s="1" t="str">
        <f>IFERROR(__xludf.DUMMYFUNCTION("""COMPUTED_VALUE"""),"0655107379")</f>
        <v>0655107379</v>
      </c>
      <c r="N707" s="3">
        <f>IFERROR(__xludf.DUMMYFUNCTION("""COMPUTED_VALUE"""),21062.0)</f>
        <v>21062</v>
      </c>
      <c r="O707" s="3" t="str">
        <f>IFERROR(__xludf.DUMMYFUNCTION("""COMPUTED_VALUE"""),"MBC นิคมนวนคร")</f>
        <v>MBC นิคมนวนคร</v>
      </c>
      <c r="P707" s="4">
        <f>IFERROR(__xludf.DUMMYFUNCTION("""COMPUTED_VALUE"""),42931.0)</f>
        <v>42931</v>
      </c>
      <c r="Q707" s="3" t="str">
        <f>IFERROR(__xludf.DUMMYFUNCTION("""COMPUTED_VALUE"""),"A")</f>
        <v>A</v>
      </c>
      <c r="R707" s="3" t="str">
        <f>IFERROR(__xludf.DUMMYFUNCTION("""COMPUTED_VALUE"""),"Small Format")</f>
        <v>Small Format</v>
      </c>
      <c r="S707" s="3" t="str">
        <f>IFERROR(__xludf.DUMMYFUNCTION("""COMPUTED_VALUE"""),"BCM")</f>
        <v>BCM</v>
      </c>
      <c r="T707" s="3" t="str">
        <f>IFERROR(__xludf.DUMMYFUNCTION("""COMPUTED_VALUE"""),"#N/A")</f>
        <v>#N/A</v>
      </c>
      <c r="U707" s="3" t="str">
        <f>IFERROR(__xludf.DUMMYFUNCTION("""COMPUTED_VALUE"""),"#N/A")</f>
        <v>#N/A</v>
      </c>
      <c r="V707" s="3" t="str">
        <f>IFERROR(__xludf.DUMMYFUNCTION("""COMPUTED_VALUE"""),"N")</f>
        <v>N</v>
      </c>
      <c r="W707" s="3">
        <f>IFERROR(__xludf.DUMMYFUNCTION("""COMPUTED_VALUE"""),211393.0)</f>
        <v>211393</v>
      </c>
      <c r="X707" s="3" t="str">
        <f>IFERROR(__xludf.DUMMYFUNCTION("""COMPUTED_VALUE"""),"160/318-320,160/322 หมู่ 8 ตำบลหน้าไม้ อำเภอลาดหลุมแก้ว จังหวัดปทุมธานี 12140")</f>
        <v>160/318-320,160/322 หมู่ 8 ตำบลหน้าไม้ อำเภอลาดหลุมแก้ว จังหวัดปทุมธานี 12140</v>
      </c>
      <c r="Y707" s="3"/>
      <c r="Z707" s="3" t="str">
        <f>IFERROR(__xludf.DUMMYFUNCTION("""COMPUTED_VALUE"""),"หน้าไม้")</f>
        <v>หน้าไม้</v>
      </c>
      <c r="AA707" s="3" t="str">
        <f>IFERROR(__xludf.DUMMYFUNCTION("""COMPUTED_VALUE"""),"ลาดหลุมแก้ว")</f>
        <v>ลาดหลุมแก้ว</v>
      </c>
      <c r="AB707" s="3" t="str">
        <f>IFERROR(__xludf.DUMMYFUNCTION("""COMPUTED_VALUE"""),"ปทุมธานี")</f>
        <v>ปทุมธานี</v>
      </c>
      <c r="AC707" s="3">
        <f>IFERROR(__xludf.DUMMYFUNCTION("""COMPUTED_VALUE"""),12140.0)</f>
        <v>12140</v>
      </c>
      <c r="AD707" s="3">
        <f>IFERROR(__xludf.DUMMYFUNCTION("""COMPUTED_VALUE"""),14.033178)</f>
        <v>14.033178</v>
      </c>
      <c r="AE707" s="3">
        <f>IFERROR(__xludf.DUMMYFUNCTION("""COMPUTED_VALUE"""),100.384398)</f>
        <v>100.384398</v>
      </c>
      <c r="AF707" s="3" t="str">
        <f>IFERROR(__xludf.DUMMYFUNCTION("""COMPUTED_VALUE"""),"MBC หมู่บ้านภัทรนิเวศน์-21475")</f>
        <v>MBC หมู่บ้านภัทรนิเวศน์-21475</v>
      </c>
      <c r="AG707" s="3" t="str">
        <f>IFERROR(__xludf.DUMMYFUNCTION("""COMPUTED_VALUE"""),"กลาง")</f>
        <v>กลาง</v>
      </c>
      <c r="AH707" s="3" t="str">
        <f>IFERROR(__xludf.DUMMYFUNCTION("""COMPUTED_VALUE"""),"#N/A")</f>
        <v>#N/A</v>
      </c>
      <c r="AI707" s="3" t="str">
        <f>IFERROR(__xludf.DUMMYFUNCTION("""COMPUTED_VALUE"""),"Out of warranty")</f>
        <v>Out of warranty</v>
      </c>
      <c r="AJ707" s="3">
        <f>IFERROR(__xludf.DUMMYFUNCTION("""COMPUTED_VALUE"""),103.0)</f>
        <v>103</v>
      </c>
      <c r="AK707" s="3" t="str">
        <f>IFERROR(__xludf.DUMMYFUNCTION("""COMPUTED_VALUE"""),"MMS04")</f>
        <v>MMS04</v>
      </c>
      <c r="AL707" s="3"/>
    </row>
    <row r="708" ht="15.75" customHeight="1">
      <c r="A708" s="1" t="str">
        <f>IFERROR(__xludf.DUMMYFUNCTION("""COMPUTED_VALUE"""),"21476")</f>
        <v>21476</v>
      </c>
      <c r="B708" s="2">
        <f>IFERROR(__xludf.DUMMYFUNCTION("""COMPUTED_VALUE"""),21476.0)</f>
        <v>21476</v>
      </c>
      <c r="C708" s="3" t="str">
        <f>IFERROR(__xludf.DUMMYFUNCTION("""COMPUTED_VALUE"""),"MBC บรมไตรโลกนารถ 2")</f>
        <v>MBC บรมไตรโลกนารถ 2</v>
      </c>
      <c r="D708" s="3" t="str">
        <f>IFERROR(__xludf.DUMMYFUNCTION("""COMPUTED_VALUE"""),"MBC BAROMTRILOKANAT 2")</f>
        <v>MBC BAROMTRILOKANAT 2</v>
      </c>
      <c r="E708" s="1" t="str">
        <f>IFERROR(__xludf.DUMMYFUNCTION("""COMPUTED_VALUE"""),"บิ๊กซี MINI")</f>
        <v>บิ๊กซี MINI</v>
      </c>
      <c r="F708" s="1" t="str">
        <f>IFERROR(__xludf.DUMMYFUNCTION("""COMPUTED_VALUE"""),"296229")</f>
        <v>296229</v>
      </c>
      <c r="G708" s="1" t="str">
        <f>IFERROR(__xludf.DUMMYFUNCTION("""COMPUTED_VALUE"""),"นายทนงศักดิ์ บุญมา")</f>
        <v>นายทนงศักดิ์ บุญมา</v>
      </c>
      <c r="H708" s="1" t="str">
        <f>IFERROR(__xludf.DUMMYFUNCTION("""COMPUTED_VALUE"""),"318186")</f>
        <v>318186</v>
      </c>
      <c r="I708" s="1" t="str">
        <f>IFERROR(__xludf.DUMMYFUNCTION("""COMPUTED_VALUE"""),"น.ส.พนมวัลย์ เรืองรัตน์")</f>
        <v>น.ส.พนมวัลย์ เรืองรัตน์</v>
      </c>
      <c r="J708" s="3">
        <f>IFERROR(__xludf.DUMMYFUNCTION("""COMPUTED_VALUE"""),46214.0)</f>
        <v>46214</v>
      </c>
      <c r="K708" s="3" t="str">
        <f>IFERROR(__xludf.DUMMYFUNCTION("""COMPUTED_VALUE"""),"นายศักดิ์ชัย เด็ดดอกฟ้า")</f>
        <v>นายศักดิ์ชัย เด็ดดอกฟ้า</v>
      </c>
      <c r="L708" s="1" t="str">
        <f>IFERROR(__xludf.DUMMYFUNCTION("""COMPUTED_VALUE"""),"02 K.Sakchai D")</f>
        <v>02 K.Sakchai D</v>
      </c>
      <c r="M708" s="1" t="str">
        <f>IFERROR(__xludf.DUMMYFUNCTION("""COMPUTED_VALUE"""),"065-510-7376")</f>
        <v>065-510-7376</v>
      </c>
      <c r="N708" s="3">
        <f>IFERROR(__xludf.DUMMYFUNCTION("""COMPUTED_VALUE"""),21441.0)</f>
        <v>21441</v>
      </c>
      <c r="O708" s="3" t="str">
        <f>IFERROR(__xludf.DUMMYFUNCTION("""COMPUTED_VALUE"""),"MBC บ้านกร่าง พิษณุโลก")</f>
        <v>MBC บ้านกร่าง พิษณุโลก</v>
      </c>
      <c r="P708" s="4">
        <f>IFERROR(__xludf.DUMMYFUNCTION("""COMPUTED_VALUE"""),42931.0)</f>
        <v>42931</v>
      </c>
      <c r="Q708" s="3" t="str">
        <f>IFERROR(__xludf.DUMMYFUNCTION("""COMPUTED_VALUE"""),"I")</f>
        <v>I</v>
      </c>
      <c r="R708" s="3" t="str">
        <f>IFERROR(__xludf.DUMMYFUNCTION("""COMPUTED_VALUE"""),"Small Format")</f>
        <v>Small Format</v>
      </c>
      <c r="S708" s="3" t="str">
        <f>IFERROR(__xludf.DUMMYFUNCTION("""COMPUTED_VALUE"""),"BCM")</f>
        <v>BCM</v>
      </c>
      <c r="T708" s="3" t="str">
        <f>IFERROR(__xludf.DUMMYFUNCTION("""COMPUTED_VALUE"""),"#N/A")</f>
        <v>#N/A</v>
      </c>
      <c r="U708" s="3" t="str">
        <f>IFERROR(__xludf.DUMMYFUNCTION("""COMPUTED_VALUE"""),"#N/A")</f>
        <v>#N/A</v>
      </c>
      <c r="V708" s="3" t="str">
        <f>IFERROR(__xludf.DUMMYFUNCTION("""COMPUTED_VALUE"""),"N")</f>
        <v>N</v>
      </c>
      <c r="W708" s="3">
        <f>IFERROR(__xludf.DUMMYFUNCTION("""COMPUTED_VALUE"""),0.0)</f>
        <v>0</v>
      </c>
      <c r="X708" s="3" t="str">
        <f>IFERROR(__xludf.DUMMYFUNCTION("""COMPUTED_VALUE"""),"228/7 ถนนบรมไตรโลกนารถ 2 ตำบลในเมือง อำเภอเมืองพิษณุโลก จังหวัดพิษณุโลก 65000")</f>
        <v>228/7 ถนนบรมไตรโลกนารถ 2 ตำบลในเมือง อำเภอเมืองพิษณุโลก จังหวัดพิษณุโลก 65000</v>
      </c>
      <c r="Y708" s="3" t="str">
        <f>IFERROR(__xludf.DUMMYFUNCTION("""COMPUTED_VALUE"""),"ถนนบรมไตรโลกนารถ")</f>
        <v>ถนนบรมไตรโลกนารถ</v>
      </c>
      <c r="Z708" s="3" t="str">
        <f>IFERROR(__xludf.DUMMYFUNCTION("""COMPUTED_VALUE"""),"ในเมือง")</f>
        <v>ในเมือง</v>
      </c>
      <c r="AA708" s="3" t="str">
        <f>IFERROR(__xludf.DUMMYFUNCTION("""COMPUTED_VALUE"""),"เมือง")</f>
        <v>เมือง</v>
      </c>
      <c r="AB708" s="3" t="str">
        <f>IFERROR(__xludf.DUMMYFUNCTION("""COMPUTED_VALUE"""),"พิษณุโลก")</f>
        <v>พิษณุโลก</v>
      </c>
      <c r="AC708" s="3">
        <f>IFERROR(__xludf.DUMMYFUNCTION("""COMPUTED_VALUE"""),65000.0)</f>
        <v>65000</v>
      </c>
      <c r="AD708" s="3" t="str">
        <f>IFERROR(__xludf.DUMMYFUNCTION("""COMPUTED_VALUE"""),"#N/A")</f>
        <v>#N/A</v>
      </c>
      <c r="AE708" s="3" t="str">
        <f>IFERROR(__xludf.DUMMYFUNCTION("""COMPUTED_VALUE"""),"#N/A")</f>
        <v>#N/A</v>
      </c>
      <c r="AF708" s="3" t="str">
        <f>IFERROR(__xludf.DUMMYFUNCTION("""COMPUTED_VALUE"""),"MBC บรมไตรโลกนารถ 2-21476")</f>
        <v>MBC บรมไตรโลกนารถ 2-21476</v>
      </c>
      <c r="AG708" s="3" t="str">
        <f>IFERROR(__xludf.DUMMYFUNCTION("""COMPUTED_VALUE"""),"กลาง")</f>
        <v>กลาง</v>
      </c>
      <c r="AH708" s="3" t="str">
        <f>IFERROR(__xludf.DUMMYFUNCTION("""COMPUTED_VALUE"""),"#N/A")</f>
        <v>#N/A</v>
      </c>
      <c r="AI708" s="3" t="str">
        <f>IFERROR(__xludf.DUMMYFUNCTION("""COMPUTED_VALUE"""),"Out of warranty")</f>
        <v>Out of warranty</v>
      </c>
      <c r="AJ708" s="3">
        <f>IFERROR(__xludf.DUMMYFUNCTION("""COMPUTED_VALUE"""),103.0)</f>
        <v>103</v>
      </c>
      <c r="AK708" s="3"/>
      <c r="AL708" s="3"/>
    </row>
    <row r="709" ht="15.75" customHeight="1">
      <c r="A709" s="1" t="str">
        <f>IFERROR(__xludf.DUMMYFUNCTION("""COMPUTED_VALUE"""),"21477")</f>
        <v>21477</v>
      </c>
      <c r="B709" s="2">
        <f>IFERROR(__xludf.DUMMYFUNCTION("""COMPUTED_VALUE"""),21477.0)</f>
        <v>21477</v>
      </c>
      <c r="C709" s="3" t="str">
        <f>IFERROR(__xludf.DUMMYFUNCTION("""COMPUTED_VALUE"""),"MBC ประชาอุทิศ อุดรธานี")</f>
        <v>MBC ประชาอุทิศ อุดรธานี</v>
      </c>
      <c r="D709" s="3" t="str">
        <f>IFERROR(__xludf.DUMMYFUNCTION("""COMPUTED_VALUE"""),"BCM PRACHA-UTHIT UDONTHANI")</f>
        <v>BCM PRACHA-UTHIT UDONTHANI</v>
      </c>
      <c r="E709" s="1" t="str">
        <f>IFERROR(__xludf.DUMMYFUNCTION("""COMPUTED_VALUE"""),"บิ๊กซี MINI")</f>
        <v>บิ๊กซี MINI</v>
      </c>
      <c r="F709" s="1" t="str">
        <f>IFERROR(__xludf.DUMMYFUNCTION("""COMPUTED_VALUE"""),"291105")</f>
        <v>291105</v>
      </c>
      <c r="G709" s="1" t="str">
        <f>IFERROR(__xludf.DUMMYFUNCTION("""COMPUTED_VALUE"""),"นายสราวุฒิ พณิชยกุล")</f>
        <v>นายสราวุฒิ พณิชยกุล</v>
      </c>
      <c r="H709" s="1" t="str">
        <f>IFERROR(__xludf.DUMMYFUNCTION("""COMPUTED_VALUE"""),"392005")</f>
        <v>392005</v>
      </c>
      <c r="I709" s="1" t="str">
        <f>IFERROR(__xludf.DUMMYFUNCTION("""COMPUTED_VALUE"""),"นายรัฐพล หาญลำยวง")</f>
        <v>นายรัฐพล หาญลำยวง</v>
      </c>
      <c r="J709" s="3">
        <f>IFERROR(__xludf.DUMMYFUNCTION("""COMPUTED_VALUE"""),296868.0)</f>
        <v>296868</v>
      </c>
      <c r="K709" s="3" t="str">
        <f>IFERROR(__xludf.DUMMYFUNCTION("""COMPUTED_VALUE"""),"นายพีระพงษ์ แก้วดวงดี")</f>
        <v>นายพีระพงษ์ แก้วดวงดี</v>
      </c>
      <c r="L709" s="1" t="str">
        <f>IFERROR(__xludf.DUMMYFUNCTION("""COMPUTED_VALUE"""),"03 K.Peerapong K.")</f>
        <v>03 K.Peerapong K.</v>
      </c>
      <c r="M709" s="1" t="str">
        <f>IFERROR(__xludf.DUMMYFUNCTION("""COMPUTED_VALUE"""),"089-002-6599")</f>
        <v>089-002-6599</v>
      </c>
      <c r="N709" s="3">
        <f>IFERROR(__xludf.DUMMYFUNCTION("""COMPUTED_VALUE"""),21946.0)</f>
        <v>21946</v>
      </c>
      <c r="O709" s="3" t="str">
        <f>IFERROR(__xludf.DUMMYFUNCTION("""COMPUTED_VALUE"""),"MBC เซกา บึงกาฬ")</f>
        <v>MBC เซกา บึงกาฬ</v>
      </c>
      <c r="P709" s="4">
        <f>IFERROR(__xludf.DUMMYFUNCTION("""COMPUTED_VALUE"""),42933.0)</f>
        <v>42933</v>
      </c>
      <c r="Q709" s="3" t="str">
        <f>IFERROR(__xludf.DUMMYFUNCTION("""COMPUTED_VALUE"""),"A")</f>
        <v>A</v>
      </c>
      <c r="R709" s="3" t="str">
        <f>IFERROR(__xludf.DUMMYFUNCTION("""COMPUTED_VALUE"""),"Small Format")</f>
        <v>Small Format</v>
      </c>
      <c r="S709" s="3" t="str">
        <f>IFERROR(__xludf.DUMMYFUNCTION("""COMPUTED_VALUE"""),"BCM")</f>
        <v>BCM</v>
      </c>
      <c r="T709" s="3" t="str">
        <f>IFERROR(__xludf.DUMMYFUNCTION("""COMPUTED_VALUE"""),"#N/A")</f>
        <v>#N/A</v>
      </c>
      <c r="U709" s="3" t="str">
        <f>IFERROR(__xludf.DUMMYFUNCTION("""COMPUTED_VALUE"""),"#N/A")</f>
        <v>#N/A</v>
      </c>
      <c r="V709" s="3" t="str">
        <f>IFERROR(__xludf.DUMMYFUNCTION("""COMPUTED_VALUE"""),"N")</f>
        <v>N</v>
      </c>
      <c r="W709" s="3">
        <f>IFERROR(__xludf.DUMMYFUNCTION("""COMPUTED_VALUE"""),211375.0)</f>
        <v>211375</v>
      </c>
      <c r="X709" s="3" t="str">
        <f>IFERROR(__xludf.DUMMYFUNCTION("""COMPUTED_VALUE"""),"87/9 ถนนประชาอุทิศ ตำบลหมากแข้ง อำเภอเมืองอุดรธานี จังหวัดอุดรธานี 41000")</f>
        <v>87/9 ถนนประชาอุทิศ ตำบลหมากแข้ง อำเภอเมืองอุดรธานี จังหวัดอุดรธานี 41000</v>
      </c>
      <c r="Y709" s="3" t="str">
        <f>IFERROR(__xludf.DUMMYFUNCTION("""COMPUTED_VALUE"""),"ถนนประชาอุทิศ")</f>
        <v>ถนนประชาอุทิศ</v>
      </c>
      <c r="Z709" s="3" t="str">
        <f>IFERROR(__xludf.DUMMYFUNCTION("""COMPUTED_VALUE"""),"หมากแข้ง")</f>
        <v>หมากแข้ง</v>
      </c>
      <c r="AA709" s="3" t="str">
        <f>IFERROR(__xludf.DUMMYFUNCTION("""COMPUTED_VALUE"""),"เมือง")</f>
        <v>เมือง</v>
      </c>
      <c r="AB709" s="3" t="str">
        <f>IFERROR(__xludf.DUMMYFUNCTION("""COMPUTED_VALUE"""),"อุดรธานี")</f>
        <v>อุดรธานี</v>
      </c>
      <c r="AC709" s="3">
        <f>IFERROR(__xludf.DUMMYFUNCTION("""COMPUTED_VALUE"""),41000.0)</f>
        <v>41000</v>
      </c>
      <c r="AD709" s="3">
        <f>IFERROR(__xludf.DUMMYFUNCTION("""COMPUTED_VALUE"""),17.416373)</f>
        <v>17.416373</v>
      </c>
      <c r="AE709" s="3">
        <f>IFERROR(__xludf.DUMMYFUNCTION("""COMPUTED_VALUE"""),102.798276)</f>
        <v>102.798276</v>
      </c>
      <c r="AF709" s="3" t="str">
        <f>IFERROR(__xludf.DUMMYFUNCTION("""COMPUTED_VALUE"""),"MBC ประชาอุทิศ อุดรธานี-21477")</f>
        <v>MBC ประชาอุทิศ อุดรธานี-21477</v>
      </c>
      <c r="AG709" s="3" t="str">
        <f>IFERROR(__xludf.DUMMYFUNCTION("""COMPUTED_VALUE"""),"ตะวันออกเฉียงเหนือ")</f>
        <v>ตะวันออกเฉียงเหนือ</v>
      </c>
      <c r="AH709" s="3" t="str">
        <f>IFERROR(__xludf.DUMMYFUNCTION("""COMPUTED_VALUE"""),"#N/A")</f>
        <v>#N/A</v>
      </c>
      <c r="AI709" s="3" t="str">
        <f>IFERROR(__xludf.DUMMYFUNCTION("""COMPUTED_VALUE"""),"Out of warranty")</f>
        <v>Out of warranty</v>
      </c>
      <c r="AJ709" s="3">
        <f>IFERROR(__xludf.DUMMYFUNCTION("""COMPUTED_VALUE"""),103.0)</f>
        <v>103</v>
      </c>
      <c r="AK709" s="3" t="str">
        <f>IFERROR(__xludf.DUMMYFUNCTION("""COMPUTED_VALUE"""),"MMS12")</f>
        <v>MMS12</v>
      </c>
      <c r="AL709" s="3"/>
    </row>
    <row r="710" ht="15.75" customHeight="1">
      <c r="A710" s="1" t="str">
        <f>IFERROR(__xludf.DUMMYFUNCTION("""COMPUTED_VALUE"""),"21478")</f>
        <v>21478</v>
      </c>
      <c r="B710" s="2">
        <f>IFERROR(__xludf.DUMMYFUNCTION("""COMPUTED_VALUE"""),21478.0)</f>
        <v>21478</v>
      </c>
      <c r="C710" s="3" t="str">
        <f>IFERROR(__xludf.DUMMYFUNCTION("""COMPUTED_VALUE"""),"MBC ตลาดเจดีย์ แม่ครัว")</f>
        <v>MBC ตลาดเจดีย์ แม่ครัว</v>
      </c>
      <c r="D710" s="3" t="str">
        <f>IFERROR(__xludf.DUMMYFUNCTION("""COMPUTED_VALUE"""),"BCM TALAD CHEDEE MAEKRUA")</f>
        <v>BCM TALAD CHEDEE MAEKRUA</v>
      </c>
      <c r="E710" s="1" t="str">
        <f>IFERROR(__xludf.DUMMYFUNCTION("""COMPUTED_VALUE"""),"บิ๊กซี MINI")</f>
        <v>บิ๊กซี MINI</v>
      </c>
      <c r="F710" s="1" t="str">
        <f>IFERROR(__xludf.DUMMYFUNCTION("""COMPUTED_VALUE"""),"296229")</f>
        <v>296229</v>
      </c>
      <c r="G710" s="1" t="str">
        <f>IFERROR(__xludf.DUMMYFUNCTION("""COMPUTED_VALUE"""),"นายทนงศักดิ์ บุญมา")</f>
        <v>นายทนงศักดิ์ บุญมา</v>
      </c>
      <c r="H710" s="1" t="str">
        <f>IFERROR(__xludf.DUMMYFUNCTION("""COMPUTED_VALUE"""),"393402")</f>
        <v>393402</v>
      </c>
      <c r="I710" s="1" t="str">
        <f>IFERROR(__xludf.DUMMYFUNCTION("""COMPUTED_VALUE"""),"น.ส.ปารมิตา ใจตรง")</f>
        <v>น.ส.ปารมิตา ใจตรง</v>
      </c>
      <c r="J710" s="3">
        <f>IFERROR(__xludf.DUMMYFUNCTION("""COMPUTED_VALUE"""),46214.0)</f>
        <v>46214</v>
      </c>
      <c r="K710" s="3" t="str">
        <f>IFERROR(__xludf.DUMMYFUNCTION("""COMPUTED_VALUE"""),"นายศักดิ์ชัย เด็ดดอกฟ้า")</f>
        <v>นายศักดิ์ชัย เด็ดดอกฟ้า</v>
      </c>
      <c r="L710" s="1" t="str">
        <f>IFERROR(__xludf.DUMMYFUNCTION("""COMPUTED_VALUE"""),"02 K.Sakchai D")</f>
        <v>02 K.Sakchai D</v>
      </c>
      <c r="M710" s="1" t="str">
        <f>IFERROR(__xludf.DUMMYFUNCTION("""COMPUTED_VALUE"""),"065-510-7376")</f>
        <v>065-510-7376</v>
      </c>
      <c r="N710" s="3">
        <f>IFERROR(__xludf.DUMMYFUNCTION("""COMPUTED_VALUE"""),21714.0)</f>
        <v>21714</v>
      </c>
      <c r="O710" s="3" t="str">
        <f>IFERROR(__xludf.DUMMYFUNCTION("""COMPUTED_VALUE"""),"MBC เอสโซ่ วัดโบสถ์")</f>
        <v>MBC เอสโซ่ วัดโบสถ์</v>
      </c>
      <c r="P710" s="4">
        <f>IFERROR(__xludf.DUMMYFUNCTION("""COMPUTED_VALUE"""),42957.0)</f>
        <v>42957</v>
      </c>
      <c r="Q710" s="3" t="str">
        <f>IFERROR(__xludf.DUMMYFUNCTION("""COMPUTED_VALUE"""),"I")</f>
        <v>I</v>
      </c>
      <c r="R710" s="3" t="str">
        <f>IFERROR(__xludf.DUMMYFUNCTION("""COMPUTED_VALUE"""),"Small Format")</f>
        <v>Small Format</v>
      </c>
      <c r="S710" s="3" t="str">
        <f>IFERROR(__xludf.DUMMYFUNCTION("""COMPUTED_VALUE"""),"BCM")</f>
        <v>BCM</v>
      </c>
      <c r="T710" s="3" t="str">
        <f>IFERROR(__xludf.DUMMYFUNCTION("""COMPUTED_VALUE"""),"#N/A")</f>
        <v>#N/A</v>
      </c>
      <c r="U710" s="3" t="str">
        <f>IFERROR(__xludf.DUMMYFUNCTION("""COMPUTED_VALUE"""),"#N/A")</f>
        <v>#N/A</v>
      </c>
      <c r="V710" s="3" t="str">
        <f>IFERROR(__xludf.DUMMYFUNCTION("""COMPUTED_VALUE"""),"N")</f>
        <v>N</v>
      </c>
      <c r="W710" s="3">
        <f>IFERROR(__xludf.DUMMYFUNCTION("""COMPUTED_VALUE"""),211409.0)</f>
        <v>211409</v>
      </c>
      <c r="X710" s="3" t="str">
        <f>IFERROR(__xludf.DUMMYFUNCTION("""COMPUTED_VALUE"""),"332 หมู่ 3 ตำบลแม่แฝกใหม่ อำเภอสันทราย จังหวัดเชียงใหม่ 50290")</f>
        <v>332 หมู่ 3 ตำบลแม่แฝกใหม่ อำเภอสันทราย จังหวัดเชียงใหม่ 50290</v>
      </c>
      <c r="Y710" s="3"/>
      <c r="Z710" s="3" t="str">
        <f>IFERROR(__xludf.DUMMYFUNCTION("""COMPUTED_VALUE"""),"แม่แฝกใหม่")</f>
        <v>แม่แฝกใหม่</v>
      </c>
      <c r="AA710" s="3" t="str">
        <f>IFERROR(__xludf.DUMMYFUNCTION("""COMPUTED_VALUE"""),"สันทราย")</f>
        <v>สันทราย</v>
      </c>
      <c r="AB710" s="3" t="str">
        <f>IFERROR(__xludf.DUMMYFUNCTION("""COMPUTED_VALUE"""),"เชียงใหม่")</f>
        <v>เชียงใหม่</v>
      </c>
      <c r="AC710" s="3">
        <f>IFERROR(__xludf.DUMMYFUNCTION("""COMPUTED_VALUE"""),50290.0)</f>
        <v>50290</v>
      </c>
      <c r="AD710" s="3">
        <f>IFERROR(__xludf.DUMMYFUNCTION("""COMPUTED_VALUE"""),18.977361)</f>
        <v>18.977361</v>
      </c>
      <c r="AE710" s="3">
        <f>IFERROR(__xludf.DUMMYFUNCTION("""COMPUTED_VALUE"""),98.981644)</f>
        <v>98.981644</v>
      </c>
      <c r="AF710" s="3" t="str">
        <f>IFERROR(__xludf.DUMMYFUNCTION("""COMPUTED_VALUE"""),"MBC ตลาดเจดีย์ แม่ครัว-21478")</f>
        <v>MBC ตลาดเจดีย์ แม่ครัว-21478</v>
      </c>
      <c r="AG710" s="3" t="str">
        <f>IFERROR(__xludf.DUMMYFUNCTION("""COMPUTED_VALUE"""),"เหนือ")</f>
        <v>เหนือ</v>
      </c>
      <c r="AH710" s="3" t="str">
        <f>IFERROR(__xludf.DUMMYFUNCTION("""COMPUTED_VALUE"""),"#N/A")</f>
        <v>#N/A</v>
      </c>
      <c r="AI710" s="3" t="str">
        <f>IFERROR(__xludf.DUMMYFUNCTION("""COMPUTED_VALUE"""),"Out of warranty")</f>
        <v>Out of warranty</v>
      </c>
      <c r="AJ710" s="3">
        <f>IFERROR(__xludf.DUMMYFUNCTION("""COMPUTED_VALUE"""),102.0)</f>
        <v>102</v>
      </c>
      <c r="AK710" s="3" t="str">
        <f>IFERROR(__xludf.DUMMYFUNCTION("""COMPUTED_VALUE"""),"MMS10")</f>
        <v>MMS10</v>
      </c>
      <c r="AL710" s="3"/>
    </row>
    <row r="711" ht="15.75" customHeight="1">
      <c r="A711" s="1" t="str">
        <f>IFERROR(__xludf.DUMMYFUNCTION("""COMPUTED_VALUE"""),"21479")</f>
        <v>21479</v>
      </c>
      <c r="B711" s="2">
        <f>IFERROR(__xludf.DUMMYFUNCTION("""COMPUTED_VALUE"""),21479.0)</f>
        <v>21479</v>
      </c>
      <c r="C711" s="3" t="str">
        <f>IFERROR(__xludf.DUMMYFUNCTION("""COMPUTED_VALUE"""),"MBC ตลาดเดอะฟิวชั่นเอส")</f>
        <v>MBC ตลาดเดอะฟิวชั่นเอส</v>
      </c>
      <c r="D711" s="3" t="str">
        <f>IFERROR(__xludf.DUMMYFUNCTION("""COMPUTED_VALUE"""),"BCM TALAD THE FUSION S")</f>
        <v>BCM TALAD THE FUSION S</v>
      </c>
      <c r="E711" s="1" t="str">
        <f>IFERROR(__xludf.DUMMYFUNCTION("""COMPUTED_VALUE"""),"บิ๊กซี MINI")</f>
        <v>บิ๊กซี MINI</v>
      </c>
      <c r="F711" s="1" t="str">
        <f>IFERROR(__xludf.DUMMYFUNCTION("""COMPUTED_VALUE"""),"296229")</f>
        <v>296229</v>
      </c>
      <c r="G711" s="1" t="str">
        <f>IFERROR(__xludf.DUMMYFUNCTION("""COMPUTED_VALUE"""),"นายทนงศักดิ์ บุญมา")</f>
        <v>นายทนงศักดิ์ บุญมา</v>
      </c>
      <c r="H711" s="1" t="str">
        <f>IFERROR(__xludf.DUMMYFUNCTION("""COMPUTED_VALUE"""),"393402")</f>
        <v>393402</v>
      </c>
      <c r="I711" s="1" t="str">
        <f>IFERROR(__xludf.DUMMYFUNCTION("""COMPUTED_VALUE"""),"น.ส.ปารมิตา ใจตรง")</f>
        <v>น.ส.ปารมิตา ใจตรง</v>
      </c>
      <c r="J711" s="3">
        <f>IFERROR(__xludf.DUMMYFUNCTION("""COMPUTED_VALUE"""),2010016.0)</f>
        <v>2010016</v>
      </c>
      <c r="K711" s="3" t="str">
        <f>IFERROR(__xludf.DUMMYFUNCTION("""COMPUTED_VALUE"""),"นายตวงธรรม ใหม่ยศ")</f>
        <v>นายตวงธรรม ใหม่ยศ</v>
      </c>
      <c r="L711" s="1" t="str">
        <f>IFERROR(__xludf.DUMMYFUNCTION("""COMPUTED_VALUE"""),"01 K.Tuangtham M.")</f>
        <v>01 K.Tuangtham M.</v>
      </c>
      <c r="M711" s="1" t="str">
        <f>IFERROR(__xludf.DUMMYFUNCTION("""COMPUTED_VALUE"""),"063-976-595")</f>
        <v>063-976-595</v>
      </c>
      <c r="N711" s="3">
        <f>IFERROR(__xludf.DUMMYFUNCTION("""COMPUTED_VALUE"""),22574.0)</f>
        <v>22574</v>
      </c>
      <c r="O711" s="3" t="str">
        <f>IFERROR(__xludf.DUMMYFUNCTION("""COMPUTED_VALUE"""),"BCM ชุมชนศรีชุม ลำปาง")</f>
        <v>BCM ชุมชนศรีชุม ลำปาง</v>
      </c>
      <c r="P711" s="4">
        <f>IFERROR(__xludf.DUMMYFUNCTION("""COMPUTED_VALUE"""),42945.0)</f>
        <v>42945</v>
      </c>
      <c r="Q711" s="3" t="str">
        <f>IFERROR(__xludf.DUMMYFUNCTION("""COMPUTED_VALUE"""),"A")</f>
        <v>A</v>
      </c>
      <c r="R711" s="3" t="str">
        <f>IFERROR(__xludf.DUMMYFUNCTION("""COMPUTED_VALUE"""),"Small Format")</f>
        <v>Small Format</v>
      </c>
      <c r="S711" s="3" t="str">
        <f>IFERROR(__xludf.DUMMYFUNCTION("""COMPUTED_VALUE"""),"BCM")</f>
        <v>BCM</v>
      </c>
      <c r="T711" s="3" t="str">
        <f>IFERROR(__xludf.DUMMYFUNCTION("""COMPUTED_VALUE"""),"#N/A")</f>
        <v>#N/A</v>
      </c>
      <c r="U711" s="3" t="str">
        <f>IFERROR(__xludf.DUMMYFUNCTION("""COMPUTED_VALUE"""),"#N/A")</f>
        <v>#N/A</v>
      </c>
      <c r="V711" s="3" t="str">
        <f>IFERROR(__xludf.DUMMYFUNCTION("""COMPUTED_VALUE"""),"N")</f>
        <v>N</v>
      </c>
      <c r="W711" s="3">
        <f>IFERROR(__xludf.DUMMYFUNCTION("""COMPUTED_VALUE"""),211435.0)</f>
        <v>211435</v>
      </c>
      <c r="X711" s="3" t="str">
        <f>IFERROR(__xludf.DUMMYFUNCTION("""COMPUTED_VALUE"""),"99/64-65 ซอย 22 ถนนโชตนา ตำบลป่าตัน อำเภอเมืองเชียงใหม่ จังหวัดเชียงใหม่ 50300")</f>
        <v>99/64-65 ซอย 22 ถนนโชตนา ตำบลป่าตัน อำเภอเมืองเชียงใหม่ จังหวัดเชียงใหม่ 50300</v>
      </c>
      <c r="Y711" s="3" t="str">
        <f>IFERROR(__xludf.DUMMYFUNCTION("""COMPUTED_VALUE"""),"ซอย")</f>
        <v>ซอย</v>
      </c>
      <c r="Z711" s="3" t="str">
        <f>IFERROR(__xludf.DUMMYFUNCTION("""COMPUTED_VALUE"""),"ป่าตัน")</f>
        <v>ป่าตัน</v>
      </c>
      <c r="AA711" s="3" t="str">
        <f>IFERROR(__xludf.DUMMYFUNCTION("""COMPUTED_VALUE"""),"เมือง")</f>
        <v>เมือง</v>
      </c>
      <c r="AB711" s="3" t="str">
        <f>IFERROR(__xludf.DUMMYFUNCTION("""COMPUTED_VALUE"""),"เชียงใหม่")</f>
        <v>เชียงใหม่</v>
      </c>
      <c r="AC711" s="3">
        <f>IFERROR(__xludf.DUMMYFUNCTION("""COMPUTED_VALUE"""),50300.0)</f>
        <v>50300</v>
      </c>
      <c r="AD711" s="3">
        <f>IFERROR(__xludf.DUMMYFUNCTION("""COMPUTED_VALUE"""),18.83645)</f>
        <v>18.83645</v>
      </c>
      <c r="AE711" s="3">
        <f>IFERROR(__xludf.DUMMYFUNCTION("""COMPUTED_VALUE"""),98.983003)</f>
        <v>98.983003</v>
      </c>
      <c r="AF711" s="3" t="str">
        <f>IFERROR(__xludf.DUMMYFUNCTION("""COMPUTED_VALUE"""),"MBC ตลาดเดอะฟิวชั่นเอส-21479")</f>
        <v>MBC ตลาดเดอะฟิวชั่นเอส-21479</v>
      </c>
      <c r="AG711" s="3" t="str">
        <f>IFERROR(__xludf.DUMMYFUNCTION("""COMPUTED_VALUE"""),"เหนือ")</f>
        <v>เหนือ</v>
      </c>
      <c r="AH711" s="3" t="str">
        <f>IFERROR(__xludf.DUMMYFUNCTION("""COMPUTED_VALUE"""),"#N/A")</f>
        <v>#N/A</v>
      </c>
      <c r="AI711" s="3" t="str">
        <f>IFERROR(__xludf.DUMMYFUNCTION("""COMPUTED_VALUE"""),"Out of warranty")</f>
        <v>Out of warranty</v>
      </c>
      <c r="AJ711" s="3">
        <f>IFERROR(__xludf.DUMMYFUNCTION("""COMPUTED_VALUE"""),102.0)</f>
        <v>102</v>
      </c>
      <c r="AK711" s="3" t="str">
        <f>IFERROR(__xludf.DUMMYFUNCTION("""COMPUTED_VALUE"""),"MMS10")</f>
        <v>MMS10</v>
      </c>
      <c r="AL711" s="3"/>
    </row>
    <row r="712" ht="15.75" customHeight="1">
      <c r="A712" s="1" t="str">
        <f>IFERROR(__xludf.DUMMYFUNCTION("""COMPUTED_VALUE"""),"21480")</f>
        <v>21480</v>
      </c>
      <c r="B712" s="2">
        <f>IFERROR(__xludf.DUMMYFUNCTION("""COMPUTED_VALUE"""),21480.0)</f>
        <v>21480</v>
      </c>
      <c r="C712" s="3" t="str">
        <f>IFERROR(__xludf.DUMMYFUNCTION("""COMPUTED_VALUE"""),"MBC แปซิฟิก พลาซ่า")</f>
        <v>MBC แปซิฟิก พลาซ่า</v>
      </c>
      <c r="D712" s="3" t="str">
        <f>IFERROR(__xludf.DUMMYFUNCTION("""COMPUTED_VALUE"""),"BCM PACIFIC PLAZA")</f>
        <v>BCM PACIFIC PLAZA</v>
      </c>
      <c r="E712" s="1" t="str">
        <f>IFERROR(__xludf.DUMMYFUNCTION("""COMPUTED_VALUE"""),"บิ๊กซี MINI")</f>
        <v>บิ๊กซี MINI</v>
      </c>
      <c r="F712" s="1" t="str">
        <f>IFERROR(__xludf.DUMMYFUNCTION("""COMPUTED_VALUE"""),"250760")</f>
        <v>250760</v>
      </c>
      <c r="G712" s="1" t="str">
        <f>IFERROR(__xludf.DUMMYFUNCTION("""COMPUTED_VALUE"""),"นายประทวน สาราบรรณ์")</f>
        <v>นายประทวน สาราบรรณ์</v>
      </c>
      <c r="H712" s="1" t="str">
        <f>IFERROR(__xludf.DUMMYFUNCTION("""COMPUTED_VALUE"""),"228389")</f>
        <v>228389</v>
      </c>
      <c r="I712" s="1" t="str">
        <f>IFERROR(__xludf.DUMMYFUNCTION("""COMPUTED_VALUE"""),"นายมณีรันดร์ ชัยชนะ")</f>
        <v>นายมณีรันดร์ ชัยชนะ</v>
      </c>
      <c r="J712" s="3">
        <f>IFERROR(__xludf.DUMMYFUNCTION("""COMPUTED_VALUE"""),25324.0)</f>
        <v>25324</v>
      </c>
      <c r="K712" s="3" t="str">
        <f>IFERROR(__xludf.DUMMYFUNCTION("""COMPUTED_VALUE"""),"นายวิเชฎฐ์ ติรัตนะประคม")</f>
        <v>นายวิเชฎฐ์ ติรัตนะประคม</v>
      </c>
      <c r="L712" s="1" t="str">
        <f>IFERROR(__xludf.DUMMYFUNCTION("""COMPUTED_VALUE"""),"14 K.Wichet T.")</f>
        <v>14 K.Wichet T.</v>
      </c>
      <c r="M712" s="1" t="str">
        <f>IFERROR(__xludf.DUMMYFUNCTION("""COMPUTED_VALUE"""),"061-417-6569 / 086-445-5636")</f>
        <v>061-417-6569 / 086-445-5636</v>
      </c>
      <c r="N712" s="3">
        <f>IFERROR(__xludf.DUMMYFUNCTION("""COMPUTED_VALUE"""),22658.0)</f>
        <v>22658</v>
      </c>
      <c r="O712" s="3" t="str">
        <f>IFERROR(__xludf.DUMMYFUNCTION("""COMPUTED_VALUE"""),"BCM ถ.วิรัชหงษ์หยก ภูเก็ต")</f>
        <v>BCM ถ.วิรัชหงษ์หยก ภูเก็ต</v>
      </c>
      <c r="P712" s="4">
        <f>IFERROR(__xludf.DUMMYFUNCTION("""COMPUTED_VALUE"""),42945.0)</f>
        <v>42945</v>
      </c>
      <c r="Q712" s="3" t="str">
        <f>IFERROR(__xludf.DUMMYFUNCTION("""COMPUTED_VALUE"""),"A")</f>
        <v>A</v>
      </c>
      <c r="R712" s="3" t="str">
        <f>IFERROR(__xludf.DUMMYFUNCTION("""COMPUTED_VALUE"""),"Small Format")</f>
        <v>Small Format</v>
      </c>
      <c r="S712" s="3" t="str">
        <f>IFERROR(__xludf.DUMMYFUNCTION("""COMPUTED_VALUE"""),"BCM")</f>
        <v>BCM</v>
      </c>
      <c r="T712" s="3" t="str">
        <f>IFERROR(__xludf.DUMMYFUNCTION("""COMPUTED_VALUE"""),"#N/A")</f>
        <v>#N/A</v>
      </c>
      <c r="U712" s="3" t="str">
        <f>IFERROR(__xludf.DUMMYFUNCTION("""COMPUTED_VALUE"""),"#N/A")</f>
        <v>#N/A</v>
      </c>
      <c r="V712" s="3" t="str">
        <f>IFERROR(__xludf.DUMMYFUNCTION("""COMPUTED_VALUE"""),"N")</f>
        <v>N</v>
      </c>
      <c r="W712" s="3">
        <f>IFERROR(__xludf.DUMMYFUNCTION("""COMPUTED_VALUE"""),211440.0)</f>
        <v>211440</v>
      </c>
      <c r="X712" s="3" t="str">
        <f>IFERROR(__xludf.DUMMYFUNCTION("""COMPUTED_VALUE"""),"253/1 ถนนตลาดใหม่ ตำบลตลาด อำเภอเมืองสุราษฎร์ธานี จังหวัดสุราษฎร์ธานี 84000")</f>
        <v>253/1 ถนนตลาดใหม่ ตำบลตลาด อำเภอเมืองสุราษฎร์ธานี จังหวัดสุราษฎร์ธานี 84000</v>
      </c>
      <c r="Y712" s="3" t="str">
        <f>IFERROR(__xludf.DUMMYFUNCTION("""COMPUTED_VALUE"""),"ถนนตลาดใหม่")</f>
        <v>ถนนตลาดใหม่</v>
      </c>
      <c r="Z712" s="3" t="str">
        <f>IFERROR(__xludf.DUMMYFUNCTION("""COMPUTED_VALUE"""),"ตลาด")</f>
        <v>ตลาด</v>
      </c>
      <c r="AA712" s="3" t="str">
        <f>IFERROR(__xludf.DUMMYFUNCTION("""COMPUTED_VALUE"""),"เมือง")</f>
        <v>เมือง</v>
      </c>
      <c r="AB712" s="3" t="str">
        <f>IFERROR(__xludf.DUMMYFUNCTION("""COMPUTED_VALUE"""),"สุราษฎร์ธานี")</f>
        <v>สุราษฎร์ธานี</v>
      </c>
      <c r="AC712" s="3">
        <f>IFERROR(__xludf.DUMMYFUNCTION("""COMPUTED_VALUE"""),84000.0)</f>
        <v>84000</v>
      </c>
      <c r="AD712" s="3">
        <f>IFERROR(__xludf.DUMMYFUNCTION("""COMPUTED_VALUE"""),9.1406)</f>
        <v>9.1406</v>
      </c>
      <c r="AE712" s="3">
        <f>IFERROR(__xludf.DUMMYFUNCTION("""COMPUTED_VALUE"""),99.32426944)</f>
        <v>99.32426944</v>
      </c>
      <c r="AF712" s="3" t="str">
        <f>IFERROR(__xludf.DUMMYFUNCTION("""COMPUTED_VALUE"""),"MBC แปซิฟิก พลาซ่า-21480")</f>
        <v>MBC แปซิฟิก พลาซ่า-21480</v>
      </c>
      <c r="AG712" s="3" t="str">
        <f>IFERROR(__xludf.DUMMYFUNCTION("""COMPUTED_VALUE"""),"ใต้")</f>
        <v>ใต้</v>
      </c>
      <c r="AH712" s="3" t="str">
        <f>IFERROR(__xludf.DUMMYFUNCTION("""COMPUTED_VALUE"""),"#N/A")</f>
        <v>#N/A</v>
      </c>
      <c r="AI712" s="3" t="str">
        <f>IFERROR(__xludf.DUMMYFUNCTION("""COMPUTED_VALUE"""),"Out of warranty")</f>
        <v>Out of warranty</v>
      </c>
      <c r="AJ712" s="3">
        <f>IFERROR(__xludf.DUMMYFUNCTION("""COMPUTED_VALUE"""),102.0)</f>
        <v>102</v>
      </c>
      <c r="AK712" s="3" t="str">
        <f>IFERROR(__xludf.DUMMYFUNCTION("""COMPUTED_VALUE"""),"MMS14")</f>
        <v>MMS14</v>
      </c>
      <c r="AL712" s="3"/>
    </row>
    <row r="713" ht="15.75" customHeight="1">
      <c r="A713" s="1" t="str">
        <f>IFERROR(__xludf.DUMMYFUNCTION("""COMPUTED_VALUE"""),"21481")</f>
        <v>21481</v>
      </c>
      <c r="B713" s="2">
        <f>IFERROR(__xludf.DUMMYFUNCTION("""COMPUTED_VALUE"""),21481.0)</f>
        <v>21481</v>
      </c>
      <c r="C713" s="3" t="str">
        <f>IFERROR(__xludf.DUMMYFUNCTION("""COMPUTED_VALUE"""),"MBC ตลาดสระแก้ว สระแก้ว")</f>
        <v>MBC ตลาดสระแก้ว สระแก้ว</v>
      </c>
      <c r="D713" s="3" t="str">
        <f>IFERROR(__xludf.DUMMYFUNCTION("""COMPUTED_VALUE"""),"BCM TALAD SAKAEO SAKAEO")</f>
        <v>BCM TALAD SAKAEO SAKAEO</v>
      </c>
      <c r="E713" s="1" t="str">
        <f>IFERROR(__xludf.DUMMYFUNCTION("""COMPUTED_VALUE"""),"บิ๊กซี MINI")</f>
        <v>บิ๊กซี MINI</v>
      </c>
      <c r="F713" s="1" t="str">
        <f>IFERROR(__xludf.DUMMYFUNCTION("""COMPUTED_VALUE"""),"2083447")</f>
        <v>2083447</v>
      </c>
      <c r="G713" s="1" t="str">
        <f>IFERROR(__xludf.DUMMYFUNCTION("""COMPUTED_VALUE"""),"นายอนุกูล ศรีลัดดา")</f>
        <v>นายอนุกูล ศรีลัดดา</v>
      </c>
      <c r="H713" s="1" t="str">
        <f>IFERROR(__xludf.DUMMYFUNCTION("""COMPUTED_VALUE"""),"259808")</f>
        <v>259808</v>
      </c>
      <c r="I713" s="1" t="str">
        <f>IFERROR(__xludf.DUMMYFUNCTION("""COMPUTED_VALUE"""),"น.ส.สกุลรัตน์ พิกุลแก้ว")</f>
        <v>น.ส.สกุลรัตน์ พิกุลแก้ว</v>
      </c>
      <c r="J713" s="3">
        <f>IFERROR(__xludf.DUMMYFUNCTION("""COMPUTED_VALUE"""),510143.0)</f>
        <v>510143</v>
      </c>
      <c r="K713" s="3" t="str">
        <f>IFERROR(__xludf.DUMMYFUNCTION("""COMPUTED_VALUE"""),"นายธีระวัฒน์ บุญสิทธิ์")</f>
        <v>นายธีระวัฒน์ บุญสิทธิ์</v>
      </c>
      <c r="L713" s="1" t="str">
        <f>IFERROR(__xludf.DUMMYFUNCTION("""COMPUTED_VALUE"""),"12 K.Theerawat B.")</f>
        <v>12 K.Theerawat B.</v>
      </c>
      <c r="M713" s="1" t="str">
        <f>IFERROR(__xludf.DUMMYFUNCTION("""COMPUTED_VALUE"""),"0655107379")</f>
        <v>0655107379</v>
      </c>
      <c r="N713" s="3">
        <f>IFERROR(__xludf.DUMMYFUNCTION("""COMPUTED_VALUE"""),21062.0)</f>
        <v>21062</v>
      </c>
      <c r="O713" s="3" t="str">
        <f>IFERROR(__xludf.DUMMYFUNCTION("""COMPUTED_VALUE"""),"MBC นิคมนวนคร")</f>
        <v>MBC นิคมนวนคร</v>
      </c>
      <c r="P713" s="4">
        <f>IFERROR(__xludf.DUMMYFUNCTION("""COMPUTED_VALUE"""),42946.0)</f>
        <v>42946</v>
      </c>
      <c r="Q713" s="3" t="str">
        <f>IFERROR(__xludf.DUMMYFUNCTION("""COMPUTED_VALUE"""),"A")</f>
        <v>A</v>
      </c>
      <c r="R713" s="3" t="str">
        <f>IFERROR(__xludf.DUMMYFUNCTION("""COMPUTED_VALUE"""),"Small Format")</f>
        <v>Small Format</v>
      </c>
      <c r="S713" s="3" t="str">
        <f>IFERROR(__xludf.DUMMYFUNCTION("""COMPUTED_VALUE"""),"BCM")</f>
        <v>BCM</v>
      </c>
      <c r="T713" s="3" t="str">
        <f>IFERROR(__xludf.DUMMYFUNCTION("""COMPUTED_VALUE"""),"#N/A")</f>
        <v>#N/A</v>
      </c>
      <c r="U713" s="3" t="str">
        <f>IFERROR(__xludf.DUMMYFUNCTION("""COMPUTED_VALUE"""),"#N/A")</f>
        <v>#N/A</v>
      </c>
      <c r="V713" s="3" t="str">
        <f>IFERROR(__xludf.DUMMYFUNCTION("""COMPUTED_VALUE"""),"N")</f>
        <v>N</v>
      </c>
      <c r="W713" s="3">
        <f>IFERROR(__xludf.DUMMYFUNCTION("""COMPUTED_VALUE"""),211421.0)</f>
        <v>211421</v>
      </c>
      <c r="X713" s="3" t="str">
        <f>IFERROR(__xludf.DUMMYFUNCTION("""COMPUTED_VALUE"""),"45/1 ถนนเทศบาล 19 ตำบลสระแก้ว อำเภอเมืองสระแก้ว จังหวัดสระแก้ว 27000")</f>
        <v>45/1 ถนนเทศบาล 19 ตำบลสระแก้ว อำเภอเมืองสระแก้ว จังหวัดสระแก้ว 27000</v>
      </c>
      <c r="Y713" s="3" t="str">
        <f>IFERROR(__xludf.DUMMYFUNCTION("""COMPUTED_VALUE"""),"ถนนเทศบาล")</f>
        <v>ถนนเทศบาล</v>
      </c>
      <c r="Z713" s="3" t="str">
        <f>IFERROR(__xludf.DUMMYFUNCTION("""COMPUTED_VALUE"""),"สระแก้ว")</f>
        <v>สระแก้ว</v>
      </c>
      <c r="AA713" s="3" t="str">
        <f>IFERROR(__xludf.DUMMYFUNCTION("""COMPUTED_VALUE"""),"เมือง")</f>
        <v>เมือง</v>
      </c>
      <c r="AB713" s="3" t="str">
        <f>IFERROR(__xludf.DUMMYFUNCTION("""COMPUTED_VALUE"""),"สระแก้ว")</f>
        <v>สระแก้ว</v>
      </c>
      <c r="AC713" s="3">
        <f>IFERROR(__xludf.DUMMYFUNCTION("""COMPUTED_VALUE"""),27000.0)</f>
        <v>27000</v>
      </c>
      <c r="AD713" s="3">
        <f>IFERROR(__xludf.DUMMYFUNCTION("""COMPUTED_VALUE"""),13.819281)</f>
        <v>13.819281</v>
      </c>
      <c r="AE713" s="3">
        <f>IFERROR(__xludf.DUMMYFUNCTION("""COMPUTED_VALUE"""),102.069901)</f>
        <v>102.069901</v>
      </c>
      <c r="AF713" s="3" t="str">
        <f>IFERROR(__xludf.DUMMYFUNCTION("""COMPUTED_VALUE"""),"MBC ตลาดสระแก้ว สระแก้ว-21481")</f>
        <v>MBC ตลาดสระแก้ว สระแก้ว-21481</v>
      </c>
      <c r="AG713" s="3" t="str">
        <f>IFERROR(__xludf.DUMMYFUNCTION("""COMPUTED_VALUE"""),"ตะวันออก")</f>
        <v>ตะวันออก</v>
      </c>
      <c r="AH713" s="3" t="str">
        <f>IFERROR(__xludf.DUMMYFUNCTION("""COMPUTED_VALUE"""),"#N/A")</f>
        <v>#N/A</v>
      </c>
      <c r="AI713" s="3" t="str">
        <f>IFERROR(__xludf.DUMMYFUNCTION("""COMPUTED_VALUE"""),"Out of warranty")</f>
        <v>Out of warranty</v>
      </c>
      <c r="AJ713" s="3">
        <f>IFERROR(__xludf.DUMMYFUNCTION("""COMPUTED_VALUE"""),102.0)</f>
        <v>102</v>
      </c>
      <c r="AK713" s="3" t="str">
        <f>IFERROR(__xludf.DUMMYFUNCTION("""COMPUTED_VALUE"""),"MMS08")</f>
        <v>MMS08</v>
      </c>
      <c r="AL713" s="3"/>
    </row>
    <row r="714" ht="15.75" customHeight="1">
      <c r="A714" s="1" t="str">
        <f>IFERROR(__xludf.DUMMYFUNCTION("""COMPUTED_VALUE"""),"21482")</f>
        <v>21482</v>
      </c>
      <c r="B714" s="2">
        <f>IFERROR(__xludf.DUMMYFUNCTION("""COMPUTED_VALUE"""),21482.0)</f>
        <v>21482</v>
      </c>
      <c r="C714" s="3" t="str">
        <f>IFERROR(__xludf.DUMMYFUNCTION("""COMPUTED_VALUE"""),"MBC เตาถ่าน")</f>
        <v>MBC เตาถ่าน</v>
      </c>
      <c r="D714" s="3" t="str">
        <f>IFERROR(__xludf.DUMMYFUNCTION("""COMPUTED_VALUE"""),"BCM TAOTHAN")</f>
        <v>BCM TAOTHAN</v>
      </c>
      <c r="E714" s="1" t="str">
        <f>IFERROR(__xludf.DUMMYFUNCTION("""COMPUTED_VALUE"""),"บิ๊กซี MINI")</f>
        <v>บิ๊กซี MINI</v>
      </c>
      <c r="F714" s="1" t="str">
        <f>IFERROR(__xludf.DUMMYFUNCTION("""COMPUTED_VALUE"""),"221716")</f>
        <v>221716</v>
      </c>
      <c r="G714" s="1" t="str">
        <f>IFERROR(__xludf.DUMMYFUNCTION("""COMPUTED_VALUE"""),"น.ส.เบญจพร โพธิสาร")</f>
        <v>น.ส.เบญจพร โพธิสาร</v>
      </c>
      <c r="H714" s="1" t="str">
        <f>IFERROR(__xludf.DUMMYFUNCTION("""COMPUTED_VALUE"""),"313065")</f>
        <v>313065</v>
      </c>
      <c r="I714" s="1" t="str">
        <f>IFERROR(__xludf.DUMMYFUNCTION("""COMPUTED_VALUE"""),"นายจิรายุทธ กันทา")</f>
        <v>นายจิรายุทธ กันทา</v>
      </c>
      <c r="J714" s="3">
        <f>IFERROR(__xludf.DUMMYFUNCTION("""COMPUTED_VALUE"""),1.3461215E7)</f>
        <v>13461215</v>
      </c>
      <c r="K714" s="3" t="str">
        <f>IFERROR(__xludf.DUMMYFUNCTION("""COMPUTED_VALUE"""),"นายธีรภัทร สังข์เงิน")</f>
        <v>นายธีรภัทร สังข์เงิน</v>
      </c>
      <c r="L714" s="1" t="str">
        <f>IFERROR(__xludf.DUMMYFUNCTION("""COMPUTED_VALUE"""),"06 K.Teerapat")</f>
        <v>06 K.Teerapat</v>
      </c>
      <c r="M714" s="1" t="str">
        <f>IFERROR(__xludf.DUMMYFUNCTION("""COMPUTED_VALUE"""),"063-601-6803")</f>
        <v>063-601-6803</v>
      </c>
      <c r="N714" s="3">
        <f>IFERROR(__xludf.DUMMYFUNCTION("""COMPUTED_VALUE"""),22115.0)</f>
        <v>22115</v>
      </c>
      <c r="O714" s="3" t="str">
        <f>IFERROR(__xludf.DUMMYFUNCTION("""COMPUTED_VALUE"""),"MBC เลี่ยงหนองมน ชลบุรี")</f>
        <v>MBC เลี่ยงหนองมน ชลบุรี</v>
      </c>
      <c r="P714" s="4">
        <f>IFERROR(__xludf.DUMMYFUNCTION("""COMPUTED_VALUE"""),42956.0)</f>
        <v>42956</v>
      </c>
      <c r="Q714" s="3" t="str">
        <f>IFERROR(__xludf.DUMMYFUNCTION("""COMPUTED_VALUE"""),"A")</f>
        <v>A</v>
      </c>
      <c r="R714" s="3" t="str">
        <f>IFERROR(__xludf.DUMMYFUNCTION("""COMPUTED_VALUE"""),"Small Format")</f>
        <v>Small Format</v>
      </c>
      <c r="S714" s="3" t="str">
        <f>IFERROR(__xludf.DUMMYFUNCTION("""COMPUTED_VALUE"""),"BCM")</f>
        <v>BCM</v>
      </c>
      <c r="T714" s="3" t="str">
        <f>IFERROR(__xludf.DUMMYFUNCTION("""COMPUTED_VALUE"""),"#N/A")</f>
        <v>#N/A</v>
      </c>
      <c r="U714" s="3" t="str">
        <f>IFERROR(__xludf.DUMMYFUNCTION("""COMPUTED_VALUE"""),"#N/A")</f>
        <v>#N/A</v>
      </c>
      <c r="V714" s="3" t="str">
        <f>IFERROR(__xludf.DUMMYFUNCTION("""COMPUTED_VALUE"""),"N")</f>
        <v>N</v>
      </c>
      <c r="W714" s="3">
        <f>IFERROR(__xludf.DUMMYFUNCTION("""COMPUTED_VALUE"""),211381.0)</f>
        <v>211381</v>
      </c>
      <c r="X714" s="3" t="str">
        <f>IFERROR(__xludf.DUMMYFUNCTION("""COMPUTED_VALUE"""),"10/2 หมู่ 4 ตำบลสัตหีบ อำเภอสัตหีบ จังหวัดชลบุรี 20180")</f>
        <v>10/2 หมู่ 4 ตำบลสัตหีบ อำเภอสัตหีบ จังหวัดชลบุรี 20180</v>
      </c>
      <c r="Y714" s="3"/>
      <c r="Z714" s="3" t="str">
        <f>IFERROR(__xludf.DUMMYFUNCTION("""COMPUTED_VALUE"""),"สัตหีบ")</f>
        <v>สัตหีบ</v>
      </c>
      <c r="AA714" s="3" t="str">
        <f>IFERROR(__xludf.DUMMYFUNCTION("""COMPUTED_VALUE"""),"สัตหีบ")</f>
        <v>สัตหีบ</v>
      </c>
      <c r="AB714" s="3" t="str">
        <f>IFERROR(__xludf.DUMMYFUNCTION("""COMPUTED_VALUE"""),"ชลบุรี")</f>
        <v>ชลบุรี</v>
      </c>
      <c r="AC714" s="3">
        <f>IFERROR(__xludf.DUMMYFUNCTION("""COMPUTED_VALUE"""),20180.0)</f>
        <v>20180</v>
      </c>
      <c r="AD714" s="3">
        <f>IFERROR(__xludf.DUMMYFUNCTION("""COMPUTED_VALUE"""),12.704809)</f>
        <v>12.704809</v>
      </c>
      <c r="AE714" s="3">
        <f>IFERROR(__xludf.DUMMYFUNCTION("""COMPUTED_VALUE"""),100.889926)</f>
        <v>100.889926</v>
      </c>
      <c r="AF714" s="3" t="str">
        <f>IFERROR(__xludf.DUMMYFUNCTION("""COMPUTED_VALUE"""),"MBC เตาถ่าน-21482")</f>
        <v>MBC เตาถ่าน-21482</v>
      </c>
      <c r="AG714" s="3" t="str">
        <f>IFERROR(__xludf.DUMMYFUNCTION("""COMPUTED_VALUE"""),"ตะวันออก")</f>
        <v>ตะวันออก</v>
      </c>
      <c r="AH714" s="3" t="str">
        <f>IFERROR(__xludf.DUMMYFUNCTION("""COMPUTED_VALUE"""),"#N/A")</f>
        <v>#N/A</v>
      </c>
      <c r="AI714" s="3" t="str">
        <f>IFERROR(__xludf.DUMMYFUNCTION("""COMPUTED_VALUE"""),"Out of warranty")</f>
        <v>Out of warranty</v>
      </c>
      <c r="AJ714" s="3">
        <f>IFERROR(__xludf.DUMMYFUNCTION("""COMPUTED_VALUE"""),102.0)</f>
        <v>102</v>
      </c>
      <c r="AK714" s="3" t="str">
        <f>IFERROR(__xludf.DUMMYFUNCTION("""COMPUTED_VALUE"""),"MMS08")</f>
        <v>MMS08</v>
      </c>
      <c r="AL714" s="3"/>
    </row>
    <row r="715" ht="15.75" customHeight="1">
      <c r="A715" s="1" t="str">
        <f>IFERROR(__xludf.DUMMYFUNCTION("""COMPUTED_VALUE"""),"21483")</f>
        <v>21483</v>
      </c>
      <c r="B715" s="2">
        <f>IFERROR(__xludf.DUMMYFUNCTION("""COMPUTED_VALUE"""),21483.0)</f>
        <v>21483</v>
      </c>
      <c r="C715" s="3" t="str">
        <f>IFERROR(__xludf.DUMMYFUNCTION("""COMPUTED_VALUE"""),"MBC มาบมะยม")</f>
        <v>MBC มาบมะยม</v>
      </c>
      <c r="D715" s="3" t="str">
        <f>IFERROR(__xludf.DUMMYFUNCTION("""COMPUTED_VALUE"""),"BCM MABMAYOM")</f>
        <v>BCM MABMAYOM</v>
      </c>
      <c r="E715" s="1" t="str">
        <f>IFERROR(__xludf.DUMMYFUNCTION("""COMPUTED_VALUE"""),"บิ๊กซี MINI")</f>
        <v>บิ๊กซี MINI</v>
      </c>
      <c r="F715" s="1" t="str">
        <f>IFERROR(__xludf.DUMMYFUNCTION("""COMPUTED_VALUE"""),"221716")</f>
        <v>221716</v>
      </c>
      <c r="G715" s="1" t="str">
        <f>IFERROR(__xludf.DUMMYFUNCTION("""COMPUTED_VALUE"""),"น.ส.เบญจพร โพธิสาร")</f>
        <v>น.ส.เบญจพร โพธิสาร</v>
      </c>
      <c r="H715" s="1" t="str">
        <f>IFERROR(__xludf.DUMMYFUNCTION("""COMPUTED_VALUE"""),"476018")</f>
        <v>476018</v>
      </c>
      <c r="I715" s="1" t="str">
        <f>IFERROR(__xludf.DUMMYFUNCTION("""COMPUTED_VALUE"""),"นายศราวุฒิ ชูพันดุง")</f>
        <v>นายศราวุฒิ ชูพันดุง</v>
      </c>
      <c r="J715" s="3">
        <f>IFERROR(__xludf.DUMMYFUNCTION("""COMPUTED_VALUE"""),1.3461215E7)</f>
        <v>13461215</v>
      </c>
      <c r="K715" s="3" t="str">
        <f>IFERROR(__xludf.DUMMYFUNCTION("""COMPUTED_VALUE"""),"นายธีรภัทร สังข์เงิน")</f>
        <v>นายธีรภัทร สังข์เงิน</v>
      </c>
      <c r="L715" s="1" t="str">
        <f>IFERROR(__xludf.DUMMYFUNCTION("""COMPUTED_VALUE"""),"06 K.Teerapat")</f>
        <v>06 K.Teerapat</v>
      </c>
      <c r="M715" s="1" t="str">
        <f>IFERROR(__xludf.DUMMYFUNCTION("""COMPUTED_VALUE"""),"063-601-6803")</f>
        <v>063-601-6803</v>
      </c>
      <c r="N715" s="3">
        <f>IFERROR(__xludf.DUMMYFUNCTION("""COMPUTED_VALUE"""),22115.0)</f>
        <v>22115</v>
      </c>
      <c r="O715" s="3" t="str">
        <f>IFERROR(__xludf.DUMMYFUNCTION("""COMPUTED_VALUE"""),"MBC เลี่ยงหนองมน ชลบุรี")</f>
        <v>MBC เลี่ยงหนองมน ชลบุรี</v>
      </c>
      <c r="P715" s="4">
        <f>IFERROR(__xludf.DUMMYFUNCTION("""COMPUTED_VALUE"""),42956.0)</f>
        <v>42956</v>
      </c>
      <c r="Q715" s="3" t="str">
        <f>IFERROR(__xludf.DUMMYFUNCTION("""COMPUTED_VALUE"""),"A")</f>
        <v>A</v>
      </c>
      <c r="R715" s="3" t="str">
        <f>IFERROR(__xludf.DUMMYFUNCTION("""COMPUTED_VALUE"""),"Small Format")</f>
        <v>Small Format</v>
      </c>
      <c r="S715" s="3" t="str">
        <f>IFERROR(__xludf.DUMMYFUNCTION("""COMPUTED_VALUE"""),"BCM")</f>
        <v>BCM</v>
      </c>
      <c r="T715" s="3" t="str">
        <f>IFERROR(__xludf.DUMMYFUNCTION("""COMPUTED_VALUE"""),"#N/A")</f>
        <v>#N/A</v>
      </c>
      <c r="U715" s="3" t="str">
        <f>IFERROR(__xludf.DUMMYFUNCTION("""COMPUTED_VALUE"""),"#N/A")</f>
        <v>#N/A</v>
      </c>
      <c r="V715" s="3" t="str">
        <f>IFERROR(__xludf.DUMMYFUNCTION("""COMPUTED_VALUE"""),"N")</f>
        <v>N</v>
      </c>
      <c r="W715" s="3">
        <f>IFERROR(__xludf.DUMMYFUNCTION("""COMPUTED_VALUE"""),211410.0)</f>
        <v>211410</v>
      </c>
      <c r="X715" s="3" t="str">
        <f>IFERROR(__xludf.DUMMYFUNCTION("""COMPUTED_VALUE"""),"102/183-186 ถนนมาบมะยม ตำบลแสนสุข อำเภอเมืองชลบุรี จังหวัดชลบุรี 20130")</f>
        <v>102/183-186 ถนนมาบมะยม ตำบลแสนสุข อำเภอเมืองชลบุรี จังหวัดชลบุรี 20130</v>
      </c>
      <c r="Y715" s="3" t="str">
        <f>IFERROR(__xludf.DUMMYFUNCTION("""COMPUTED_VALUE"""),"ถนนมาบมะยม")</f>
        <v>ถนนมาบมะยม</v>
      </c>
      <c r="Z715" s="3" t="str">
        <f>IFERROR(__xludf.DUMMYFUNCTION("""COMPUTED_VALUE"""),"แสนสุข")</f>
        <v>แสนสุข</v>
      </c>
      <c r="AA715" s="3" t="str">
        <f>IFERROR(__xludf.DUMMYFUNCTION("""COMPUTED_VALUE"""),"เมือง")</f>
        <v>เมือง</v>
      </c>
      <c r="AB715" s="3" t="str">
        <f>IFERROR(__xludf.DUMMYFUNCTION("""COMPUTED_VALUE"""),"ชลบุรี")</f>
        <v>ชลบุรี</v>
      </c>
      <c r="AC715" s="3">
        <f>IFERROR(__xludf.DUMMYFUNCTION("""COMPUTED_VALUE"""),20130.0)</f>
        <v>20130</v>
      </c>
      <c r="AD715" s="3">
        <f>IFERROR(__xludf.DUMMYFUNCTION("""COMPUTED_VALUE"""),13.274837)</f>
        <v>13.274837</v>
      </c>
      <c r="AE715" s="3">
        <f>IFERROR(__xludf.DUMMYFUNCTION("""COMPUTED_VALUE"""),100.931376)</f>
        <v>100.931376</v>
      </c>
      <c r="AF715" s="3" t="str">
        <f>IFERROR(__xludf.DUMMYFUNCTION("""COMPUTED_VALUE"""),"MBC มาบมะยม-21483")</f>
        <v>MBC มาบมะยม-21483</v>
      </c>
      <c r="AG715" s="3" t="str">
        <f>IFERROR(__xludf.DUMMYFUNCTION("""COMPUTED_VALUE"""),"ตะวันออก")</f>
        <v>ตะวันออก</v>
      </c>
      <c r="AH715" s="3" t="str">
        <f>IFERROR(__xludf.DUMMYFUNCTION("""COMPUTED_VALUE"""),"#N/A")</f>
        <v>#N/A</v>
      </c>
      <c r="AI715" s="3" t="str">
        <f>IFERROR(__xludf.DUMMYFUNCTION("""COMPUTED_VALUE"""),"Out of warranty")</f>
        <v>Out of warranty</v>
      </c>
      <c r="AJ715" s="3">
        <f>IFERROR(__xludf.DUMMYFUNCTION("""COMPUTED_VALUE"""),102.0)</f>
        <v>102</v>
      </c>
      <c r="AK715" s="3" t="str">
        <f>IFERROR(__xludf.DUMMYFUNCTION("""COMPUTED_VALUE"""),"MMS06")</f>
        <v>MMS06</v>
      </c>
      <c r="AL715" s="3"/>
    </row>
    <row r="716" ht="15.75" customHeight="1">
      <c r="A716" s="1" t="str">
        <f>IFERROR(__xludf.DUMMYFUNCTION("""COMPUTED_VALUE"""),"21484")</f>
        <v>21484</v>
      </c>
      <c r="B716" s="2">
        <f>IFERROR(__xludf.DUMMYFUNCTION("""COMPUTED_VALUE"""),21484.0)</f>
        <v>21484</v>
      </c>
      <c r="C716" s="3" t="str">
        <f>IFERROR(__xludf.DUMMYFUNCTION("""COMPUTED_VALUE"""),"MBC โป่งสะเก็ด")</f>
        <v>MBC โป่งสะเก็ด</v>
      </c>
      <c r="D716" s="3" t="str">
        <f>IFERROR(__xludf.DUMMYFUNCTION("""COMPUTED_VALUE"""),"BCM PONGSAKED")</f>
        <v>BCM PONGSAKED</v>
      </c>
      <c r="E716" s="1" t="str">
        <f>IFERROR(__xludf.DUMMYFUNCTION("""COMPUTED_VALUE"""),"บิ๊กซี MINI")</f>
        <v>บิ๊กซี MINI</v>
      </c>
      <c r="F716" s="1" t="str">
        <f>IFERROR(__xludf.DUMMYFUNCTION("""COMPUTED_VALUE"""),"221716")</f>
        <v>221716</v>
      </c>
      <c r="G716" s="1" t="str">
        <f>IFERROR(__xludf.DUMMYFUNCTION("""COMPUTED_VALUE"""),"น.ส.เบญจพร โพธิสาร")</f>
        <v>น.ส.เบญจพร โพธิสาร</v>
      </c>
      <c r="H716" s="1" t="str">
        <f>IFERROR(__xludf.DUMMYFUNCTION("""COMPUTED_VALUE"""),"371384")</f>
        <v>371384</v>
      </c>
      <c r="I716" s="1" t="str">
        <f>IFERROR(__xludf.DUMMYFUNCTION("""COMPUTED_VALUE"""),"น.ส.นิลเนตร สิงห์ทอง")</f>
        <v>น.ส.นิลเนตร สิงห์ทอง</v>
      </c>
      <c r="J716" s="3">
        <f>IFERROR(__xludf.DUMMYFUNCTION("""COMPUTED_VALUE"""),2452376.0)</f>
        <v>2452376</v>
      </c>
      <c r="K716" s="3" t="str">
        <f>IFERROR(__xludf.DUMMYFUNCTION("""COMPUTED_VALUE"""),"นายภาคภูมิ ทวีกุล")</f>
        <v>นายภาคภูมิ ทวีกุล</v>
      </c>
      <c r="L716" s="1" t="str">
        <f>IFERROR(__xludf.DUMMYFUNCTION("""COMPUTED_VALUE"""),"08 K.Parkphum T.")</f>
        <v>08 K.Parkphum T.</v>
      </c>
      <c r="M716" s="1" t="str">
        <f>IFERROR(__xludf.DUMMYFUNCTION("""COMPUTED_VALUE"""),"097-919-5476")</f>
        <v>097-919-5476</v>
      </c>
      <c r="N716" s="3">
        <f>IFERROR(__xludf.DUMMYFUNCTION("""COMPUTED_VALUE"""),22028.0)</f>
        <v>22028</v>
      </c>
      <c r="O716" s="3" t="str">
        <f>IFERROR(__xludf.DUMMYFUNCTION("""COMPUTED_VALUE"""),"MBC ทํบมา ระยอง")</f>
        <v>MBC ทํบมา ระยอง</v>
      </c>
      <c r="P716" s="4">
        <f>IFERROR(__xludf.DUMMYFUNCTION("""COMPUTED_VALUE"""),42959.0)</f>
        <v>42959</v>
      </c>
      <c r="Q716" s="3" t="str">
        <f>IFERROR(__xludf.DUMMYFUNCTION("""COMPUTED_VALUE"""),"A")</f>
        <v>A</v>
      </c>
      <c r="R716" s="3" t="str">
        <f>IFERROR(__xludf.DUMMYFUNCTION("""COMPUTED_VALUE"""),"Small Format")</f>
        <v>Small Format</v>
      </c>
      <c r="S716" s="3" t="str">
        <f>IFERROR(__xludf.DUMMYFUNCTION("""COMPUTED_VALUE"""),"BCM")</f>
        <v>BCM</v>
      </c>
      <c r="T716" s="3" t="str">
        <f>IFERROR(__xludf.DUMMYFUNCTION("""COMPUTED_VALUE"""),"#N/A")</f>
        <v>#N/A</v>
      </c>
      <c r="U716" s="3" t="str">
        <f>IFERROR(__xludf.DUMMYFUNCTION("""COMPUTED_VALUE"""),"#N/A")</f>
        <v>#N/A</v>
      </c>
      <c r="V716" s="3" t="str">
        <f>IFERROR(__xludf.DUMMYFUNCTION("""COMPUTED_VALUE"""),"N")</f>
        <v>N</v>
      </c>
      <c r="W716" s="3">
        <f>IFERROR(__xludf.DUMMYFUNCTION("""COMPUTED_VALUE"""),211402.0)</f>
        <v>211402</v>
      </c>
      <c r="X716" s="3" t="str">
        <f>IFERROR(__xludf.DUMMYFUNCTION("""COMPUTED_VALUE"""),"256/636 หมู่ 3 ตำบลบ่อวิน อำเภอศรีราชา จังหวัดชลบุรี 20230")</f>
        <v>256/636 หมู่ 3 ตำบลบ่อวิน อำเภอศรีราชา จังหวัดชลบุรี 20230</v>
      </c>
      <c r="Y716" s="3"/>
      <c r="Z716" s="3" t="str">
        <f>IFERROR(__xludf.DUMMYFUNCTION("""COMPUTED_VALUE"""),"บ่อวิน")</f>
        <v>บ่อวิน</v>
      </c>
      <c r="AA716" s="3" t="str">
        <f>IFERROR(__xludf.DUMMYFUNCTION("""COMPUTED_VALUE"""),"ศรีราชา")</f>
        <v>ศรีราชา</v>
      </c>
      <c r="AB716" s="3" t="str">
        <f>IFERROR(__xludf.DUMMYFUNCTION("""COMPUTED_VALUE"""),"ชลบุรี")</f>
        <v>ชลบุรี</v>
      </c>
      <c r="AC716" s="3">
        <f>IFERROR(__xludf.DUMMYFUNCTION("""COMPUTED_VALUE"""),20230.0)</f>
        <v>20230</v>
      </c>
      <c r="AD716" s="3">
        <f>IFERROR(__xludf.DUMMYFUNCTION("""COMPUTED_VALUE"""),13.002633)</f>
        <v>13.002633</v>
      </c>
      <c r="AE716" s="3">
        <f>IFERROR(__xludf.DUMMYFUNCTION("""COMPUTED_VALUE"""),101.080935)</f>
        <v>101.080935</v>
      </c>
      <c r="AF716" s="3" t="str">
        <f>IFERROR(__xludf.DUMMYFUNCTION("""COMPUTED_VALUE"""),"MBC โป่งสะเก็ด-21484")</f>
        <v>MBC โป่งสะเก็ด-21484</v>
      </c>
      <c r="AG716" s="3" t="str">
        <f>IFERROR(__xludf.DUMMYFUNCTION("""COMPUTED_VALUE"""),"ตะวันออก")</f>
        <v>ตะวันออก</v>
      </c>
      <c r="AH716" s="3" t="str">
        <f>IFERROR(__xludf.DUMMYFUNCTION("""COMPUTED_VALUE"""),"#N/A")</f>
        <v>#N/A</v>
      </c>
      <c r="AI716" s="3" t="str">
        <f>IFERROR(__xludf.DUMMYFUNCTION("""COMPUTED_VALUE"""),"Out of warranty")</f>
        <v>Out of warranty</v>
      </c>
      <c r="AJ716" s="3">
        <f>IFERROR(__xludf.DUMMYFUNCTION("""COMPUTED_VALUE"""),102.0)</f>
        <v>102</v>
      </c>
      <c r="AK716" s="3" t="str">
        <f>IFERROR(__xludf.DUMMYFUNCTION("""COMPUTED_VALUE"""),"MMS07")</f>
        <v>MMS07</v>
      </c>
      <c r="AL716" s="3"/>
    </row>
    <row r="717" ht="15.75" customHeight="1">
      <c r="A717" s="1" t="str">
        <f>IFERROR(__xludf.DUMMYFUNCTION("""COMPUTED_VALUE"""),"21485")</f>
        <v>21485</v>
      </c>
      <c r="B717" s="2">
        <f>IFERROR(__xludf.DUMMYFUNCTION("""COMPUTED_VALUE"""),21485.0)</f>
        <v>21485</v>
      </c>
      <c r="C717" s="3" t="str">
        <f>IFERROR(__xludf.DUMMYFUNCTION("""COMPUTED_VALUE"""),"MBC มาบยางพร")</f>
        <v>MBC มาบยางพร</v>
      </c>
      <c r="D717" s="3" t="str">
        <f>IFERROR(__xludf.DUMMYFUNCTION("""COMPUTED_VALUE"""),"BCM MABYANGPORN")</f>
        <v>BCM MABYANGPORN</v>
      </c>
      <c r="E717" s="1" t="str">
        <f>IFERROR(__xludf.DUMMYFUNCTION("""COMPUTED_VALUE"""),"บิ๊กซี MINI")</f>
        <v>บิ๊กซี MINI</v>
      </c>
      <c r="F717" s="1" t="str">
        <f>IFERROR(__xludf.DUMMYFUNCTION("""COMPUTED_VALUE"""),"221716")</f>
        <v>221716</v>
      </c>
      <c r="G717" s="1" t="str">
        <f>IFERROR(__xludf.DUMMYFUNCTION("""COMPUTED_VALUE"""),"น.ส.เบญจพร โพธิสาร")</f>
        <v>น.ส.เบญจพร โพธิสาร</v>
      </c>
      <c r="H717" s="1" t="str">
        <f>IFERROR(__xludf.DUMMYFUNCTION("""COMPUTED_VALUE"""),"376139")</f>
        <v>376139</v>
      </c>
      <c r="I717" s="1" t="str">
        <f>IFERROR(__xludf.DUMMYFUNCTION("""COMPUTED_VALUE"""),"นายอนุชา อำไพ")</f>
        <v>นายอนุชา อำไพ</v>
      </c>
      <c r="J717" s="3">
        <f>IFERROR(__xludf.DUMMYFUNCTION("""COMPUTED_VALUE"""),296942.0)</f>
        <v>296942</v>
      </c>
      <c r="K717" s="3" t="str">
        <f>IFERROR(__xludf.DUMMYFUNCTION("""COMPUTED_VALUE"""),"นายปิยะ รักษากิจ")</f>
        <v>นายปิยะ รักษากิจ</v>
      </c>
      <c r="L717" s="1" t="str">
        <f>IFERROR(__xludf.DUMMYFUNCTION("""COMPUTED_VALUE"""),"07 K.Piya R.")</f>
        <v>07 K.Piya R.</v>
      </c>
      <c r="M717" s="1" t="str">
        <f>IFERROR(__xludf.DUMMYFUNCTION("""COMPUTED_VALUE"""),"097-919-5476")</f>
        <v>097-919-5476</v>
      </c>
      <c r="N717" s="3">
        <f>IFERROR(__xludf.DUMMYFUNCTION("""COMPUTED_VALUE"""),21332.0)</f>
        <v>21332</v>
      </c>
      <c r="O717" s="3" t="str">
        <f>IFERROR(__xludf.DUMMYFUNCTION("""COMPUTED_VALUE"""),"MBC BCP อ่อนนุช 17/1")</f>
        <v>MBC BCP อ่อนนุช 17/1</v>
      </c>
      <c r="P717" s="4">
        <f>IFERROR(__xludf.DUMMYFUNCTION("""COMPUTED_VALUE"""),42959.0)</f>
        <v>42959</v>
      </c>
      <c r="Q717" s="3" t="str">
        <f>IFERROR(__xludf.DUMMYFUNCTION("""COMPUTED_VALUE"""),"A")</f>
        <v>A</v>
      </c>
      <c r="R717" s="3" t="str">
        <f>IFERROR(__xludf.DUMMYFUNCTION("""COMPUTED_VALUE"""),"Small Format")</f>
        <v>Small Format</v>
      </c>
      <c r="S717" s="3" t="str">
        <f>IFERROR(__xludf.DUMMYFUNCTION("""COMPUTED_VALUE"""),"BCM")</f>
        <v>BCM</v>
      </c>
      <c r="T717" s="3" t="str">
        <f>IFERROR(__xludf.DUMMYFUNCTION("""COMPUTED_VALUE"""),"#N/A")</f>
        <v>#N/A</v>
      </c>
      <c r="U717" s="3" t="str">
        <f>IFERROR(__xludf.DUMMYFUNCTION("""COMPUTED_VALUE"""),"#N/A")</f>
        <v>#N/A</v>
      </c>
      <c r="V717" s="3" t="str">
        <f>IFERROR(__xludf.DUMMYFUNCTION("""COMPUTED_VALUE"""),"N")</f>
        <v>N</v>
      </c>
      <c r="W717" s="3">
        <f>IFERROR(__xludf.DUMMYFUNCTION("""COMPUTED_VALUE"""),211403.0)</f>
        <v>211403</v>
      </c>
      <c r="X717" s="3" t="str">
        <f>IFERROR(__xludf.DUMMYFUNCTION("""COMPUTED_VALUE"""),"126/34-36 หมู่ 7 ตำบลบ่อวิน อำเภอศรีราชา จังหวัดชลบุรี 20230")</f>
        <v>126/34-36 หมู่ 7 ตำบลบ่อวิน อำเภอศรีราชา จังหวัดชลบุรี 20230</v>
      </c>
      <c r="Y717" s="3"/>
      <c r="Z717" s="3" t="str">
        <f>IFERROR(__xludf.DUMMYFUNCTION("""COMPUTED_VALUE"""),"บ่อวิน")</f>
        <v>บ่อวิน</v>
      </c>
      <c r="AA717" s="3" t="str">
        <f>IFERROR(__xludf.DUMMYFUNCTION("""COMPUTED_VALUE"""),"ศรีราชา")</f>
        <v>ศรีราชา</v>
      </c>
      <c r="AB717" s="3" t="str">
        <f>IFERROR(__xludf.DUMMYFUNCTION("""COMPUTED_VALUE"""),"ชลบุรี")</f>
        <v>ชลบุรี</v>
      </c>
      <c r="AC717" s="3">
        <f>IFERROR(__xludf.DUMMYFUNCTION("""COMPUTED_VALUE"""),20230.0)</f>
        <v>20230</v>
      </c>
      <c r="AD717" s="3">
        <f>IFERROR(__xludf.DUMMYFUNCTION("""COMPUTED_VALUE"""),13.027029)</f>
        <v>13.027029</v>
      </c>
      <c r="AE717" s="3">
        <f>IFERROR(__xludf.DUMMYFUNCTION("""COMPUTED_VALUE"""),101.128092)</f>
        <v>101.128092</v>
      </c>
      <c r="AF717" s="3" t="str">
        <f>IFERROR(__xludf.DUMMYFUNCTION("""COMPUTED_VALUE"""),"MBC มาบยางพร-21485")</f>
        <v>MBC มาบยางพร-21485</v>
      </c>
      <c r="AG717" s="3" t="str">
        <f>IFERROR(__xludf.DUMMYFUNCTION("""COMPUTED_VALUE"""),"ตะวันออก")</f>
        <v>ตะวันออก</v>
      </c>
      <c r="AH717" s="3" t="str">
        <f>IFERROR(__xludf.DUMMYFUNCTION("""COMPUTED_VALUE"""),"#N/A")</f>
        <v>#N/A</v>
      </c>
      <c r="AI717" s="3" t="str">
        <f>IFERROR(__xludf.DUMMYFUNCTION("""COMPUTED_VALUE"""),"Out of warranty")</f>
        <v>Out of warranty</v>
      </c>
      <c r="AJ717" s="3">
        <f>IFERROR(__xludf.DUMMYFUNCTION("""COMPUTED_VALUE"""),102.0)</f>
        <v>102</v>
      </c>
      <c r="AK717" s="3" t="str">
        <f>IFERROR(__xludf.DUMMYFUNCTION("""COMPUTED_VALUE"""),"MMS07")</f>
        <v>MMS07</v>
      </c>
      <c r="AL717" s="3"/>
    </row>
    <row r="718" ht="15.75" customHeight="1">
      <c r="A718" s="1" t="str">
        <f>IFERROR(__xludf.DUMMYFUNCTION("""COMPUTED_VALUE"""),"21486")</f>
        <v>21486</v>
      </c>
      <c r="B718" s="2">
        <f>IFERROR(__xludf.DUMMYFUNCTION("""COMPUTED_VALUE"""),21486.0)</f>
        <v>21486</v>
      </c>
      <c r="C718" s="3" t="str">
        <f>IFERROR(__xludf.DUMMYFUNCTION("""COMPUTED_VALUE"""),"MBC กุสุมาลย์")</f>
        <v>MBC กุสุมาลย์</v>
      </c>
      <c r="D718" s="3" t="str">
        <f>IFERROR(__xludf.DUMMYFUNCTION("""COMPUTED_VALUE"""),"BCM KUSUMAN")</f>
        <v>BCM KUSUMAN</v>
      </c>
      <c r="E718" s="1" t="str">
        <f>IFERROR(__xludf.DUMMYFUNCTION("""COMPUTED_VALUE"""),"บิ๊กซี MINI")</f>
        <v>บิ๊กซี MINI</v>
      </c>
      <c r="F718" s="1" t="str">
        <f>IFERROR(__xludf.DUMMYFUNCTION("""COMPUTED_VALUE"""),"291105")</f>
        <v>291105</v>
      </c>
      <c r="G718" s="1" t="str">
        <f>IFERROR(__xludf.DUMMYFUNCTION("""COMPUTED_VALUE"""),"นายสราวุฒิ พณิชยกุล")</f>
        <v>นายสราวุฒิ พณิชยกุล</v>
      </c>
      <c r="H718" s="1" t="str">
        <f>IFERROR(__xludf.DUMMYFUNCTION("""COMPUTED_VALUE"""),"392885")</f>
        <v>392885</v>
      </c>
      <c r="I718" s="1" t="str">
        <f>IFERROR(__xludf.DUMMYFUNCTION("""COMPUTED_VALUE"""),"น.ส.วราพร จันปลิว")</f>
        <v>น.ส.วราพร จันปลิว</v>
      </c>
      <c r="J718" s="3">
        <f>IFERROR(__xludf.DUMMYFUNCTION("""COMPUTED_VALUE"""),296868.0)</f>
        <v>296868</v>
      </c>
      <c r="K718" s="3" t="str">
        <f>IFERROR(__xludf.DUMMYFUNCTION("""COMPUTED_VALUE"""),"นายพีระพงษ์ แก้วดวงดี")</f>
        <v>นายพีระพงษ์ แก้วดวงดี</v>
      </c>
      <c r="L718" s="1" t="str">
        <f>IFERROR(__xludf.DUMMYFUNCTION("""COMPUTED_VALUE"""),"03 K.Peerapong K.")</f>
        <v>03 K.Peerapong K.</v>
      </c>
      <c r="M718" s="1" t="str">
        <f>IFERROR(__xludf.DUMMYFUNCTION("""COMPUTED_VALUE"""),"089-002-6599")</f>
        <v>089-002-6599</v>
      </c>
      <c r="N718" s="3">
        <f>IFERROR(__xludf.DUMMYFUNCTION("""COMPUTED_VALUE"""),21946.0)</f>
        <v>21946</v>
      </c>
      <c r="O718" s="3" t="str">
        <f>IFERROR(__xludf.DUMMYFUNCTION("""COMPUTED_VALUE"""),"MBC เซกา บึงกาฬ")</f>
        <v>MBC เซกา บึงกาฬ</v>
      </c>
      <c r="P718" s="4">
        <f>IFERROR(__xludf.DUMMYFUNCTION("""COMPUTED_VALUE"""),42972.0)</f>
        <v>42972</v>
      </c>
      <c r="Q718" s="3" t="str">
        <f>IFERROR(__xludf.DUMMYFUNCTION("""COMPUTED_VALUE"""),"A")</f>
        <v>A</v>
      </c>
      <c r="R718" s="3" t="str">
        <f>IFERROR(__xludf.DUMMYFUNCTION("""COMPUTED_VALUE"""),"Small Format")</f>
        <v>Small Format</v>
      </c>
      <c r="S718" s="3" t="str">
        <f>IFERROR(__xludf.DUMMYFUNCTION("""COMPUTED_VALUE"""),"BCM")</f>
        <v>BCM</v>
      </c>
      <c r="T718" s="3" t="str">
        <f>IFERROR(__xludf.DUMMYFUNCTION("""COMPUTED_VALUE"""),"#N/A")</f>
        <v>#N/A</v>
      </c>
      <c r="U718" s="3" t="str">
        <f>IFERROR(__xludf.DUMMYFUNCTION("""COMPUTED_VALUE"""),"#N/A")</f>
        <v>#N/A</v>
      </c>
      <c r="V718" s="3" t="str">
        <f>IFERROR(__xludf.DUMMYFUNCTION("""COMPUTED_VALUE"""),"N")</f>
        <v>N</v>
      </c>
      <c r="W718" s="3">
        <f>IFERROR(__xludf.DUMMYFUNCTION("""COMPUTED_VALUE"""),211437.0)</f>
        <v>211437</v>
      </c>
      <c r="X718" s="3" t="str">
        <f>IFERROR(__xludf.DUMMYFUNCTION("""COMPUTED_VALUE"""),"95/1 หมู่ 1 ตำบลกุสุมาลย์ อำเภอกุสุมาลย์ จังหวัดสกลนคร 47210")</f>
        <v>95/1 หมู่ 1 ตำบลกุสุมาลย์ อำเภอกุสุมาลย์ จังหวัดสกลนคร 47210</v>
      </c>
      <c r="Y718" s="3"/>
      <c r="Z718" s="3" t="str">
        <f>IFERROR(__xludf.DUMMYFUNCTION("""COMPUTED_VALUE"""),"กุสุมาลย์")</f>
        <v>กุสุมาลย์</v>
      </c>
      <c r="AA718" s="3" t="str">
        <f>IFERROR(__xludf.DUMMYFUNCTION("""COMPUTED_VALUE"""),"กุสุมาลย์")</f>
        <v>กุสุมาลย์</v>
      </c>
      <c r="AB718" s="3" t="str">
        <f>IFERROR(__xludf.DUMMYFUNCTION("""COMPUTED_VALUE"""),"สกลนคร")</f>
        <v>สกลนคร</v>
      </c>
      <c r="AC718" s="3">
        <f>IFERROR(__xludf.DUMMYFUNCTION("""COMPUTED_VALUE"""),47210.0)</f>
        <v>47210</v>
      </c>
      <c r="AD718" s="3">
        <f>IFERROR(__xludf.DUMMYFUNCTION("""COMPUTED_VALUE"""),17.33230708)</f>
        <v>17.33230708</v>
      </c>
      <c r="AE718" s="3">
        <f>IFERROR(__xludf.DUMMYFUNCTION("""COMPUTED_VALUE"""),104.3265802)</f>
        <v>104.3265802</v>
      </c>
      <c r="AF718" s="3" t="str">
        <f>IFERROR(__xludf.DUMMYFUNCTION("""COMPUTED_VALUE"""),"MBC กุสุมาลย์-21486")</f>
        <v>MBC กุสุมาลย์-21486</v>
      </c>
      <c r="AG718" s="3" t="str">
        <f>IFERROR(__xludf.DUMMYFUNCTION("""COMPUTED_VALUE"""),"ตะวันออกเฉียงเหนือ")</f>
        <v>ตะวันออกเฉียงเหนือ</v>
      </c>
      <c r="AH718" s="3" t="str">
        <f>IFERROR(__xludf.DUMMYFUNCTION("""COMPUTED_VALUE"""),"#N/A")</f>
        <v>#N/A</v>
      </c>
      <c r="AI718" s="3" t="str">
        <f>IFERROR(__xludf.DUMMYFUNCTION("""COMPUTED_VALUE"""),"Out of warranty")</f>
        <v>Out of warranty</v>
      </c>
      <c r="AJ718" s="3">
        <f>IFERROR(__xludf.DUMMYFUNCTION("""COMPUTED_VALUE"""),101.0)</f>
        <v>101</v>
      </c>
      <c r="AK718" s="3" t="str">
        <f>IFERROR(__xludf.DUMMYFUNCTION("""COMPUTED_VALUE"""),"MMS12")</f>
        <v>MMS12</v>
      </c>
      <c r="AL718" s="3"/>
    </row>
    <row r="719" ht="15.75" customHeight="1">
      <c r="A719" s="1" t="str">
        <f>IFERROR(__xludf.DUMMYFUNCTION("""COMPUTED_VALUE"""),"21487")</f>
        <v>21487</v>
      </c>
      <c r="B719" s="2">
        <f>IFERROR(__xludf.DUMMYFUNCTION("""COMPUTED_VALUE"""),21487.0)</f>
        <v>21487</v>
      </c>
      <c r="C719" s="3" t="str">
        <f>IFERROR(__xludf.DUMMYFUNCTION("""COMPUTED_VALUE"""),"MBC บ้านคลอง")</f>
        <v>MBC บ้านคลอง</v>
      </c>
      <c r="D719" s="3" t="str">
        <f>IFERROR(__xludf.DUMMYFUNCTION("""COMPUTED_VALUE"""),"BCM BAN KLONG")</f>
        <v>BCM BAN KLONG</v>
      </c>
      <c r="E719" s="1" t="str">
        <f>IFERROR(__xludf.DUMMYFUNCTION("""COMPUTED_VALUE"""),"บิ๊กซี MINI")</f>
        <v>บิ๊กซี MINI</v>
      </c>
      <c r="F719" s="1" t="str">
        <f>IFERROR(__xludf.DUMMYFUNCTION("""COMPUTED_VALUE"""),"296229")</f>
        <v>296229</v>
      </c>
      <c r="G719" s="1" t="str">
        <f>IFERROR(__xludf.DUMMYFUNCTION("""COMPUTED_VALUE"""),"นายทนงศักดิ์ บุญมา")</f>
        <v>นายทนงศักดิ์ บุญมา</v>
      </c>
      <c r="H719" s="1" t="str">
        <f>IFERROR(__xludf.DUMMYFUNCTION("""COMPUTED_VALUE"""),"373680")</f>
        <v>373680</v>
      </c>
      <c r="I719" s="1" t="str">
        <f>IFERROR(__xludf.DUMMYFUNCTION("""COMPUTED_VALUE"""),"นายวสันต์ พรรณราย")</f>
        <v>นายวสันต์ พรรณราย</v>
      </c>
      <c r="J719" s="3">
        <f>IFERROR(__xludf.DUMMYFUNCTION("""COMPUTED_VALUE"""),46214.0)</f>
        <v>46214</v>
      </c>
      <c r="K719" s="3" t="str">
        <f>IFERROR(__xludf.DUMMYFUNCTION("""COMPUTED_VALUE"""),"นายศักดิ์ชัย เด็ดดอกฟ้า")</f>
        <v>นายศักดิ์ชัย เด็ดดอกฟ้า</v>
      </c>
      <c r="L719" s="1" t="str">
        <f>IFERROR(__xludf.DUMMYFUNCTION("""COMPUTED_VALUE"""),"02 K.Sakchai D")</f>
        <v>02 K.Sakchai D</v>
      </c>
      <c r="M719" s="1" t="str">
        <f>IFERROR(__xludf.DUMMYFUNCTION("""COMPUTED_VALUE"""),"065-510-7376")</f>
        <v>065-510-7376</v>
      </c>
      <c r="N719" s="3">
        <f>IFERROR(__xludf.DUMMYFUNCTION("""COMPUTED_VALUE"""),21714.0)</f>
        <v>21714</v>
      </c>
      <c r="O719" s="3" t="str">
        <f>IFERROR(__xludf.DUMMYFUNCTION("""COMPUTED_VALUE"""),"MBC เอสโซ่ วัดโบสถ์")</f>
        <v>MBC เอสโซ่ วัดโบสถ์</v>
      </c>
      <c r="P719" s="4">
        <f>IFERROR(__xludf.DUMMYFUNCTION("""COMPUTED_VALUE"""),43008.0)</f>
        <v>43008</v>
      </c>
      <c r="Q719" s="3" t="str">
        <f>IFERROR(__xludf.DUMMYFUNCTION("""COMPUTED_VALUE"""),"A")</f>
        <v>A</v>
      </c>
      <c r="R719" s="3" t="str">
        <f>IFERROR(__xludf.DUMMYFUNCTION("""COMPUTED_VALUE"""),"Small Format")</f>
        <v>Small Format</v>
      </c>
      <c r="S719" s="3" t="str">
        <f>IFERROR(__xludf.DUMMYFUNCTION("""COMPUTED_VALUE"""),"BCM")</f>
        <v>BCM</v>
      </c>
      <c r="T719" s="3" t="str">
        <f>IFERROR(__xludf.DUMMYFUNCTION("""COMPUTED_VALUE"""),"#N/A")</f>
        <v>#N/A</v>
      </c>
      <c r="U719" s="3" t="str">
        <f>IFERROR(__xludf.DUMMYFUNCTION("""COMPUTED_VALUE"""),"#N/A")</f>
        <v>#N/A</v>
      </c>
      <c r="V719" s="3" t="str">
        <f>IFERROR(__xludf.DUMMYFUNCTION("""COMPUTED_VALUE"""),"N")</f>
        <v>N</v>
      </c>
      <c r="W719" s="3">
        <f>IFERROR(__xludf.DUMMYFUNCTION("""COMPUTED_VALUE"""),211433.0)</f>
        <v>211433</v>
      </c>
      <c r="X719" s="3" t="str">
        <f>IFERROR(__xludf.DUMMYFUNCTION("""COMPUTED_VALUE"""),"224/42-44 ถนน สีหราชเดโชชัย ตำบลในเมือง อำเภอเมืองพิษณุโลก จังหวัดพิษณุโลก 65000")</f>
        <v>224/42-44 ถนน สีหราชเดโชชัย ตำบลในเมือง อำเภอเมืองพิษณุโลก จังหวัดพิษณุโลก 65000</v>
      </c>
      <c r="Y719" s="3" t="str">
        <f>IFERROR(__xludf.DUMMYFUNCTION("""COMPUTED_VALUE"""),"ถนน")</f>
        <v>ถนน</v>
      </c>
      <c r="Z719" s="3" t="str">
        <f>IFERROR(__xludf.DUMMYFUNCTION("""COMPUTED_VALUE"""),"สีหราชเดโชชัย")</f>
        <v>สีหราชเดโชชัย</v>
      </c>
      <c r="AA719" s="3" t="str">
        <f>IFERROR(__xludf.DUMMYFUNCTION("""COMPUTED_VALUE"""),"เมือง")</f>
        <v>เมือง</v>
      </c>
      <c r="AB719" s="3" t="str">
        <f>IFERROR(__xludf.DUMMYFUNCTION("""COMPUTED_VALUE"""),"พิษณุโลก")</f>
        <v>พิษณุโลก</v>
      </c>
      <c r="AC719" s="3">
        <f>IFERROR(__xludf.DUMMYFUNCTION("""COMPUTED_VALUE"""),65000.0)</f>
        <v>65000</v>
      </c>
      <c r="AD719" s="3">
        <f>IFERROR(__xludf.DUMMYFUNCTION("""COMPUTED_VALUE"""),16.824194)</f>
        <v>16.824194</v>
      </c>
      <c r="AE719" s="3">
        <f>IFERROR(__xludf.DUMMYFUNCTION("""COMPUTED_VALUE"""),100.246494)</f>
        <v>100.246494</v>
      </c>
      <c r="AF719" s="3" t="str">
        <f>IFERROR(__xludf.DUMMYFUNCTION("""COMPUTED_VALUE"""),"MBC บ้านคลอง-21487")</f>
        <v>MBC บ้านคลอง-21487</v>
      </c>
      <c r="AG719" s="3" t="str">
        <f>IFERROR(__xludf.DUMMYFUNCTION("""COMPUTED_VALUE"""),"กลาง")</f>
        <v>กลาง</v>
      </c>
      <c r="AH719" s="3" t="str">
        <f>IFERROR(__xludf.DUMMYFUNCTION("""COMPUTED_VALUE"""),"#N/A")</f>
        <v>#N/A</v>
      </c>
      <c r="AI719" s="3" t="str">
        <f>IFERROR(__xludf.DUMMYFUNCTION("""COMPUTED_VALUE"""),"Out of warranty")</f>
        <v>Out of warranty</v>
      </c>
      <c r="AJ719" s="3">
        <f>IFERROR(__xludf.DUMMYFUNCTION("""COMPUTED_VALUE"""),100.0)</f>
        <v>100</v>
      </c>
      <c r="AK719" s="3" t="str">
        <f>IFERROR(__xludf.DUMMYFUNCTION("""COMPUTED_VALUE"""),"MMS09")</f>
        <v>MMS09</v>
      </c>
      <c r="AL719" s="3"/>
    </row>
    <row r="720" ht="15.75" customHeight="1">
      <c r="A720" s="1" t="str">
        <f>IFERROR(__xludf.DUMMYFUNCTION("""COMPUTED_VALUE"""),"21488")</f>
        <v>21488</v>
      </c>
      <c r="B720" s="2">
        <f>IFERROR(__xludf.DUMMYFUNCTION("""COMPUTED_VALUE"""),21488.0)</f>
        <v>21488</v>
      </c>
      <c r="C720" s="3" t="str">
        <f>IFERROR(__xludf.DUMMYFUNCTION("""COMPUTED_VALUE"""),"MBC บัวทองธานี")</f>
        <v>MBC บัวทองธานี</v>
      </c>
      <c r="D720" s="3" t="str">
        <f>IFERROR(__xludf.DUMMYFUNCTION("""COMPUTED_VALUE"""),"MBC BUATHONG THANI")</f>
        <v>MBC BUATHONG THANI</v>
      </c>
      <c r="E720" s="1" t="str">
        <f>IFERROR(__xludf.DUMMYFUNCTION("""COMPUTED_VALUE"""),"บิ๊กซี MINI")</f>
        <v>บิ๊กซี MINI</v>
      </c>
      <c r="F720" s="1" t="str">
        <f>IFERROR(__xludf.DUMMYFUNCTION("""COMPUTED_VALUE"""),"291008")</f>
        <v>291008</v>
      </c>
      <c r="G720" s="1" t="str">
        <f>IFERROR(__xludf.DUMMYFUNCTION("""COMPUTED_VALUE"""),"น.ส.รัชดาพร อีศรัตน์")</f>
        <v>น.ส.รัชดาพร อีศรัตน์</v>
      </c>
      <c r="H720" s="1" t="str">
        <f>IFERROR(__xludf.DUMMYFUNCTION("""COMPUTED_VALUE"""),"228392")</f>
        <v>228392</v>
      </c>
      <c r="I720" s="1" t="str">
        <f>IFERROR(__xludf.DUMMYFUNCTION("""COMPUTED_VALUE"""),"นายพงษ์ประพันธ์ อุ่นประเสริฐ")</f>
        <v>นายพงษ์ประพันธ์ อุ่นประเสริฐ</v>
      </c>
      <c r="J720" s="3">
        <f>IFERROR(__xludf.DUMMYFUNCTION("""COMPUTED_VALUE"""),3510104.0)</f>
        <v>3510104</v>
      </c>
      <c r="K720" s="3" t="str">
        <f>IFERROR(__xludf.DUMMYFUNCTION("""COMPUTED_VALUE"""),"นายวิโรจน์ อับดุลสมัด")</f>
        <v>นายวิโรจน์ อับดุลสมัด</v>
      </c>
      <c r="L720" s="1" t="str">
        <f>IFERROR(__xludf.DUMMYFUNCTION("""COMPUTED_VALUE"""),"09 K.Wirode A")</f>
        <v>09 K.Wirode A</v>
      </c>
      <c r="M720" s="1" t="str">
        <f>IFERROR(__xludf.DUMMYFUNCTION("""COMPUTED_VALUE"""),"080-235-4465")</f>
        <v>080-235-4465</v>
      </c>
      <c r="N720" s="3">
        <f>IFERROR(__xludf.DUMMYFUNCTION("""COMPUTED_VALUE"""),21324.0)</f>
        <v>21324</v>
      </c>
      <c r="O720" s="3" t="str">
        <f>IFERROR(__xludf.DUMMYFUNCTION("""COMPUTED_VALUE"""),"MBC BCP สุวินทวงศ์")</f>
        <v>MBC BCP สุวินทวงศ์</v>
      </c>
      <c r="P720" s="4">
        <f>IFERROR(__xludf.DUMMYFUNCTION("""COMPUTED_VALUE"""),42978.0)</f>
        <v>42978</v>
      </c>
      <c r="Q720" s="3" t="str">
        <f>IFERROR(__xludf.DUMMYFUNCTION("""COMPUTED_VALUE"""),"I")</f>
        <v>I</v>
      </c>
      <c r="R720" s="3" t="str">
        <f>IFERROR(__xludf.DUMMYFUNCTION("""COMPUTED_VALUE"""),"Small Format")</f>
        <v>Small Format</v>
      </c>
      <c r="S720" s="3" t="str">
        <f>IFERROR(__xludf.DUMMYFUNCTION("""COMPUTED_VALUE"""),"BCM")</f>
        <v>BCM</v>
      </c>
      <c r="T720" s="3" t="str">
        <f>IFERROR(__xludf.DUMMYFUNCTION("""COMPUTED_VALUE"""),"#N/A")</f>
        <v>#N/A</v>
      </c>
      <c r="U720" s="3" t="str">
        <f>IFERROR(__xludf.DUMMYFUNCTION("""COMPUTED_VALUE"""),"#N/A")</f>
        <v>#N/A</v>
      </c>
      <c r="V720" s="3" t="str">
        <f>IFERROR(__xludf.DUMMYFUNCTION("""COMPUTED_VALUE"""),"N")</f>
        <v>N</v>
      </c>
      <c r="W720" s="3">
        <f>IFERROR(__xludf.DUMMYFUNCTION("""COMPUTED_VALUE"""),211443.0)</f>
        <v>211443</v>
      </c>
      <c r="X720" s="3" t="str">
        <f>IFERROR(__xludf.DUMMYFUNCTION("""COMPUTED_VALUE"""),"14/1411 หมู่ 13 ตำบลบางบัวทอง อำเภอบางบัวทอง จังหวัดนนทบุรี 11110")</f>
        <v>14/1411 หมู่ 13 ตำบลบางบัวทอง อำเภอบางบัวทอง จังหวัดนนทบุรี 11110</v>
      </c>
      <c r="Y720" s="3"/>
      <c r="Z720" s="3" t="str">
        <f>IFERROR(__xludf.DUMMYFUNCTION("""COMPUTED_VALUE"""),"บางบัวทอง")</f>
        <v>บางบัวทอง</v>
      </c>
      <c r="AA720" s="3" t="str">
        <f>IFERROR(__xludf.DUMMYFUNCTION("""COMPUTED_VALUE"""),"บางบัวทอง")</f>
        <v>บางบัวทอง</v>
      </c>
      <c r="AB720" s="3" t="str">
        <f>IFERROR(__xludf.DUMMYFUNCTION("""COMPUTED_VALUE"""),"นนทบุรี")</f>
        <v>นนทบุรี</v>
      </c>
      <c r="AC720" s="3">
        <f>IFERROR(__xludf.DUMMYFUNCTION("""COMPUTED_VALUE"""),11110.0)</f>
        <v>11110</v>
      </c>
      <c r="AD720" s="3">
        <f>IFERROR(__xludf.DUMMYFUNCTION("""COMPUTED_VALUE"""),13.93517)</f>
        <v>13.93517</v>
      </c>
      <c r="AE720" s="3">
        <f>IFERROR(__xludf.DUMMYFUNCTION("""COMPUTED_VALUE"""),100.4108)</f>
        <v>100.4108</v>
      </c>
      <c r="AF720" s="3" t="str">
        <f>IFERROR(__xludf.DUMMYFUNCTION("""COMPUTED_VALUE"""),"MBC บัวทองธานี-21488")</f>
        <v>MBC บัวทองธานี-21488</v>
      </c>
      <c r="AG720" s="3" t="str">
        <f>IFERROR(__xludf.DUMMYFUNCTION("""COMPUTED_VALUE"""),"กลาง")</f>
        <v>กลาง</v>
      </c>
      <c r="AH720" s="3" t="str">
        <f>IFERROR(__xludf.DUMMYFUNCTION("""COMPUTED_VALUE"""),"#N/A")</f>
        <v>#N/A</v>
      </c>
      <c r="AI720" s="3" t="str">
        <f>IFERROR(__xludf.DUMMYFUNCTION("""COMPUTED_VALUE"""),"Out of warranty")</f>
        <v>Out of warranty</v>
      </c>
      <c r="AJ720" s="3">
        <f>IFERROR(__xludf.DUMMYFUNCTION("""COMPUTED_VALUE"""),101.0)</f>
        <v>101</v>
      </c>
      <c r="AK720" s="3"/>
      <c r="AL720" s="3"/>
    </row>
    <row r="721" ht="15.75" customHeight="1">
      <c r="A721" s="1" t="str">
        <f>IFERROR(__xludf.DUMMYFUNCTION("""COMPUTED_VALUE"""),"21489")</f>
        <v>21489</v>
      </c>
      <c r="B721" s="2">
        <f>IFERROR(__xludf.DUMMYFUNCTION("""COMPUTED_VALUE"""),21489.0)</f>
        <v>21489</v>
      </c>
      <c r="C721" s="3" t="str">
        <f>IFERROR(__xludf.DUMMYFUNCTION("""COMPUTED_VALUE"""),"MBC สวนภูมิรักษ์")</f>
        <v>MBC สวนภูมิรักษ์</v>
      </c>
      <c r="D721" s="3" t="str">
        <f>IFERROR(__xludf.DUMMYFUNCTION("""COMPUTED_VALUE"""),"BCM PUMRAK PARK")</f>
        <v>BCM PUMRAK PARK</v>
      </c>
      <c r="E721" s="1" t="str">
        <f>IFERROR(__xludf.DUMMYFUNCTION("""COMPUTED_VALUE"""),"บิ๊กซี MINI")</f>
        <v>บิ๊กซี MINI</v>
      </c>
      <c r="F721" s="1" t="str">
        <f>IFERROR(__xludf.DUMMYFUNCTION("""COMPUTED_VALUE"""),"291105")</f>
        <v>291105</v>
      </c>
      <c r="G721" s="1" t="str">
        <f>IFERROR(__xludf.DUMMYFUNCTION("""COMPUTED_VALUE"""),"นายสราวุฒิ พณิชยกุล")</f>
        <v>นายสราวุฒิ พณิชยกุล</v>
      </c>
      <c r="H721" s="1" t="str">
        <f>IFERROR(__xludf.DUMMYFUNCTION("""COMPUTED_VALUE"""),"281315")</f>
        <v>281315</v>
      </c>
      <c r="I721" s="1" t="str">
        <f>IFERROR(__xludf.DUMMYFUNCTION("""COMPUTED_VALUE"""),"นายกิตติพงษ์ มั่นคง")</f>
        <v>นายกิตติพงษ์ มั่นคง</v>
      </c>
      <c r="J721" s="3">
        <f>IFERROR(__xludf.DUMMYFUNCTION("""COMPUTED_VALUE"""),15361.0)</f>
        <v>15361</v>
      </c>
      <c r="K721" s="3" t="str">
        <f>IFERROR(__xludf.DUMMYFUNCTION("""COMPUTED_VALUE"""),"นายสมบูรณ์ พรหมในเมือง")</f>
        <v>นายสมบูรณ์ พรหมในเมือง</v>
      </c>
      <c r="L721" s="1" t="str">
        <f>IFERROR(__xludf.DUMMYFUNCTION("""COMPUTED_VALUE"""),"04 K.Somboon P.")</f>
        <v>04 K.Somboon P.</v>
      </c>
      <c r="M721" s="1" t="str">
        <f>IFERROR(__xludf.DUMMYFUNCTION("""COMPUTED_VALUE"""),"087-965-3051")</f>
        <v>087-965-3051</v>
      </c>
      <c r="N721" s="3">
        <f>IFERROR(__xludf.DUMMYFUNCTION("""COMPUTED_VALUE"""),21869.0)</f>
        <v>21869</v>
      </c>
      <c r="O721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721" s="4">
        <f>IFERROR(__xludf.DUMMYFUNCTION("""COMPUTED_VALUE"""),42973.0)</f>
        <v>42973</v>
      </c>
      <c r="Q721" s="3" t="str">
        <f>IFERROR(__xludf.DUMMYFUNCTION("""COMPUTED_VALUE"""),"A")</f>
        <v>A</v>
      </c>
      <c r="R721" s="3" t="str">
        <f>IFERROR(__xludf.DUMMYFUNCTION("""COMPUTED_VALUE"""),"Small Format")</f>
        <v>Small Format</v>
      </c>
      <c r="S721" s="3" t="str">
        <f>IFERROR(__xludf.DUMMYFUNCTION("""COMPUTED_VALUE"""),"BCM")</f>
        <v>BCM</v>
      </c>
      <c r="T721" s="3" t="str">
        <f>IFERROR(__xludf.DUMMYFUNCTION("""COMPUTED_VALUE"""),"#N/A")</f>
        <v>#N/A</v>
      </c>
      <c r="U721" s="3" t="str">
        <f>IFERROR(__xludf.DUMMYFUNCTION("""COMPUTED_VALUE"""),"#N/A")</f>
        <v>#N/A</v>
      </c>
      <c r="V721" s="3" t="str">
        <f>IFERROR(__xludf.DUMMYFUNCTION("""COMPUTED_VALUE"""),"N")</f>
        <v>N</v>
      </c>
      <c r="W721" s="3">
        <f>IFERROR(__xludf.DUMMYFUNCTION("""COMPUTED_VALUE"""),211456.0)</f>
        <v>211456</v>
      </c>
      <c r="X721" s="3" t="str">
        <f>IFERROR(__xludf.DUMMYFUNCTION("""COMPUTED_VALUE"""),"1066,1068 ถนนมุขมนตรี ตำบลในเมือง อำเภอเมืองนครราชสีมา จังหวัดนครราชสีมา 30000")</f>
        <v>1066,1068 ถนนมุขมนตรี ตำบลในเมือง อำเภอเมืองนครราชสีมา จังหวัดนครราชสีมา 30000</v>
      </c>
      <c r="Y721" s="3" t="str">
        <f>IFERROR(__xludf.DUMMYFUNCTION("""COMPUTED_VALUE"""),"ถนนมุขมนตรี")</f>
        <v>ถนนมุขมนตรี</v>
      </c>
      <c r="Z721" s="3" t="str">
        <f>IFERROR(__xludf.DUMMYFUNCTION("""COMPUTED_VALUE"""),"ในเมือง")</f>
        <v>ในเมือง</v>
      </c>
      <c r="AA721" s="3" t="str">
        <f>IFERROR(__xludf.DUMMYFUNCTION("""COMPUTED_VALUE"""),"เมือง")</f>
        <v>เมือง</v>
      </c>
      <c r="AB721" s="3" t="str">
        <f>IFERROR(__xludf.DUMMYFUNCTION("""COMPUTED_VALUE"""),"นครราชสีมา")</f>
        <v>นครราชสีมา</v>
      </c>
      <c r="AC721" s="3">
        <f>IFERROR(__xludf.DUMMYFUNCTION("""COMPUTED_VALUE"""),30000.0)</f>
        <v>30000</v>
      </c>
      <c r="AD721" s="3">
        <f>IFERROR(__xludf.DUMMYFUNCTION("""COMPUTED_VALUE"""),14.972788)</f>
        <v>14.972788</v>
      </c>
      <c r="AE721" s="3">
        <f>IFERROR(__xludf.DUMMYFUNCTION("""COMPUTED_VALUE"""),102.072048)</f>
        <v>102.072048</v>
      </c>
      <c r="AF721" s="3" t="str">
        <f>IFERROR(__xludf.DUMMYFUNCTION("""COMPUTED_VALUE"""),"MBC สวนภูมิรักษ์-21489")</f>
        <v>MBC สวนภูมิรักษ์-21489</v>
      </c>
      <c r="AG721" s="3" t="str">
        <f>IFERROR(__xludf.DUMMYFUNCTION("""COMPUTED_VALUE"""),"ตะวันออกเฉียงเหนือ")</f>
        <v>ตะวันออกเฉียงเหนือ</v>
      </c>
      <c r="AH721" s="3" t="str">
        <f>IFERROR(__xludf.DUMMYFUNCTION("""COMPUTED_VALUE"""),"#N/A")</f>
        <v>#N/A</v>
      </c>
      <c r="AI721" s="3" t="str">
        <f>IFERROR(__xludf.DUMMYFUNCTION("""COMPUTED_VALUE"""),"Out of warranty")</f>
        <v>Out of warranty</v>
      </c>
      <c r="AJ721" s="3">
        <f>IFERROR(__xludf.DUMMYFUNCTION("""COMPUTED_VALUE"""),101.0)</f>
        <v>101</v>
      </c>
      <c r="AK721" s="3" t="str">
        <f>IFERROR(__xludf.DUMMYFUNCTION("""COMPUTED_VALUE"""),"MMS11")</f>
        <v>MMS11</v>
      </c>
      <c r="AL721" s="3"/>
    </row>
    <row r="722" ht="15.75" customHeight="1">
      <c r="A722" s="1" t="str">
        <f>IFERROR(__xludf.DUMMYFUNCTION("""COMPUTED_VALUE"""),"21490")</f>
        <v>21490</v>
      </c>
      <c r="B722" s="2">
        <f>IFERROR(__xludf.DUMMYFUNCTION("""COMPUTED_VALUE"""),21490.0)</f>
        <v>21490</v>
      </c>
      <c r="C722" s="3" t="str">
        <f>IFERROR(__xludf.DUMMYFUNCTION("""COMPUTED_VALUE"""),"MBC ตลาดใหม่ไทยเกษม")</f>
        <v>MBC ตลาดใหม่ไทยเกษม</v>
      </c>
      <c r="D722" s="3" t="str">
        <f>IFERROR(__xludf.DUMMYFUNCTION("""COMPUTED_VALUE"""),"BCM TALAD MAI THAIKASEM")</f>
        <v>BCM TALAD MAI THAIKASEM</v>
      </c>
      <c r="E722" s="1" t="str">
        <f>IFERROR(__xludf.DUMMYFUNCTION("""COMPUTED_VALUE"""),"บิ๊กซี MINI")</f>
        <v>บิ๊กซี MINI</v>
      </c>
      <c r="F722" s="1" t="str">
        <f>IFERROR(__xludf.DUMMYFUNCTION("""COMPUTED_VALUE"""),"296229")</f>
        <v>296229</v>
      </c>
      <c r="G722" s="1" t="str">
        <f>IFERROR(__xludf.DUMMYFUNCTION("""COMPUTED_VALUE"""),"นายทนงศักดิ์ บุญมา")</f>
        <v>นายทนงศักดิ์ บุญมา</v>
      </c>
      <c r="H722" s="1" t="str">
        <f>IFERROR(__xludf.DUMMYFUNCTION("""COMPUTED_VALUE"""),"318186")</f>
        <v>318186</v>
      </c>
      <c r="I722" s="1" t="str">
        <f>IFERROR(__xludf.DUMMYFUNCTION("""COMPUTED_VALUE"""),"น.ส.พนมวัลย์ เรืองรัตน์")</f>
        <v>น.ส.พนมวัลย์ เรืองรัตน์</v>
      </c>
      <c r="J722" s="3">
        <f>IFERROR(__xludf.DUMMYFUNCTION("""COMPUTED_VALUE"""),46214.0)</f>
        <v>46214</v>
      </c>
      <c r="K722" s="3" t="str">
        <f>IFERROR(__xludf.DUMMYFUNCTION("""COMPUTED_VALUE"""),"นายศักดิ์ชัย เด็ดดอกฟ้า")</f>
        <v>นายศักดิ์ชัย เด็ดดอกฟ้า</v>
      </c>
      <c r="L722" s="1" t="str">
        <f>IFERROR(__xludf.DUMMYFUNCTION("""COMPUTED_VALUE"""),"02 K.Sakchai D")</f>
        <v>02 K.Sakchai D</v>
      </c>
      <c r="M722" s="1" t="str">
        <f>IFERROR(__xludf.DUMMYFUNCTION("""COMPUTED_VALUE"""),"065-510-7376")</f>
        <v>065-510-7376</v>
      </c>
      <c r="N722" s="3">
        <f>IFERROR(__xludf.DUMMYFUNCTION("""COMPUTED_VALUE"""),21714.0)</f>
        <v>21714</v>
      </c>
      <c r="O722" s="3" t="str">
        <f>IFERROR(__xludf.DUMMYFUNCTION("""COMPUTED_VALUE"""),"MBC เอสโซ่ วัดโบสถ์")</f>
        <v>MBC เอสโซ่ วัดโบสถ์</v>
      </c>
      <c r="P722" s="4">
        <f>IFERROR(__xludf.DUMMYFUNCTION("""COMPUTED_VALUE"""),42976.0)</f>
        <v>42976</v>
      </c>
      <c r="Q722" s="3" t="str">
        <f>IFERROR(__xludf.DUMMYFUNCTION("""COMPUTED_VALUE"""),"A")</f>
        <v>A</v>
      </c>
      <c r="R722" s="3" t="str">
        <f>IFERROR(__xludf.DUMMYFUNCTION("""COMPUTED_VALUE"""),"Small Format")</f>
        <v>Small Format</v>
      </c>
      <c r="S722" s="3" t="str">
        <f>IFERROR(__xludf.DUMMYFUNCTION("""COMPUTED_VALUE"""),"BCM")</f>
        <v>BCM</v>
      </c>
      <c r="T722" s="3" t="str">
        <f>IFERROR(__xludf.DUMMYFUNCTION("""COMPUTED_VALUE"""),"#N/A")</f>
        <v>#N/A</v>
      </c>
      <c r="U722" s="3" t="str">
        <f>IFERROR(__xludf.DUMMYFUNCTION("""COMPUTED_VALUE"""),"#N/A")</f>
        <v>#N/A</v>
      </c>
      <c r="V722" s="3" t="str">
        <f>IFERROR(__xludf.DUMMYFUNCTION("""COMPUTED_VALUE"""),"N")</f>
        <v>N</v>
      </c>
      <c r="W722" s="3">
        <f>IFERROR(__xludf.DUMMYFUNCTION("""COMPUTED_VALUE"""),211448.0)</f>
        <v>211448</v>
      </c>
      <c r="X722" s="3" t="str">
        <f>IFERROR(__xludf.DUMMYFUNCTION("""COMPUTED_VALUE"""),"49/1-3 หมู่ 3 ตำบลรั้วใหญ่ อำเภอเมืองสุพรรณบุรี จังหวัดสุพรรณบุรี 72000")</f>
        <v>49/1-3 หมู่ 3 ตำบลรั้วใหญ่ อำเภอเมืองสุพรรณบุรี จังหวัดสุพรรณบุรี 72000</v>
      </c>
      <c r="Y722" s="3"/>
      <c r="Z722" s="3" t="str">
        <f>IFERROR(__xludf.DUMMYFUNCTION("""COMPUTED_VALUE"""),"รั้วใหญ่")</f>
        <v>รั้วใหญ่</v>
      </c>
      <c r="AA722" s="3" t="str">
        <f>IFERROR(__xludf.DUMMYFUNCTION("""COMPUTED_VALUE"""),"เมือง")</f>
        <v>เมือง</v>
      </c>
      <c r="AB722" s="3" t="str">
        <f>IFERROR(__xludf.DUMMYFUNCTION("""COMPUTED_VALUE"""),"สุพรรณบุรี")</f>
        <v>สุพรรณบุรี</v>
      </c>
      <c r="AC722" s="3">
        <f>IFERROR(__xludf.DUMMYFUNCTION("""COMPUTED_VALUE"""),72000.0)</f>
        <v>72000</v>
      </c>
      <c r="AD722" s="3">
        <f>IFERROR(__xludf.DUMMYFUNCTION("""COMPUTED_VALUE"""),14.460533)</f>
        <v>14.460533</v>
      </c>
      <c r="AE722" s="3">
        <f>IFERROR(__xludf.DUMMYFUNCTION("""COMPUTED_VALUE"""),100.115546)</f>
        <v>100.115546</v>
      </c>
      <c r="AF722" s="3" t="str">
        <f>IFERROR(__xludf.DUMMYFUNCTION("""COMPUTED_VALUE"""),"MBC ตลาดใหม่ไทยเกษม-21490")</f>
        <v>MBC ตลาดใหม่ไทยเกษม-21490</v>
      </c>
      <c r="AG722" s="3" t="str">
        <f>IFERROR(__xludf.DUMMYFUNCTION("""COMPUTED_VALUE"""),"กลาง")</f>
        <v>กลาง</v>
      </c>
      <c r="AH722" s="3" t="str">
        <f>IFERROR(__xludf.DUMMYFUNCTION("""COMPUTED_VALUE"""),"#N/A")</f>
        <v>#N/A</v>
      </c>
      <c r="AI722" s="3" t="str">
        <f>IFERROR(__xludf.DUMMYFUNCTION("""COMPUTED_VALUE"""),"Out of warranty")</f>
        <v>Out of warranty</v>
      </c>
      <c r="AJ722" s="3">
        <f>IFERROR(__xludf.DUMMYFUNCTION("""COMPUTED_VALUE"""),101.0)</f>
        <v>101</v>
      </c>
      <c r="AK722" s="3" t="str">
        <f>IFERROR(__xludf.DUMMYFUNCTION("""COMPUTED_VALUE"""),"MMS09")</f>
        <v>MMS09</v>
      </c>
      <c r="AL722" s="3"/>
    </row>
    <row r="723" ht="15.75" customHeight="1">
      <c r="A723" s="1" t="str">
        <f>IFERROR(__xludf.DUMMYFUNCTION("""COMPUTED_VALUE"""),"21491")</f>
        <v>21491</v>
      </c>
      <c r="B723" s="2">
        <f>IFERROR(__xludf.DUMMYFUNCTION("""COMPUTED_VALUE"""),21491.0)</f>
        <v>21491</v>
      </c>
      <c r="C723" s="3" t="str">
        <f>IFERROR(__xludf.DUMMYFUNCTION("""COMPUTED_VALUE"""),"MBC หมู่บ้านเซนสิริ แหลมฉบัง")</f>
        <v>MBC หมู่บ้านเซนสิริ แหลมฉบัง</v>
      </c>
      <c r="D723" s="3" t="str">
        <f>IFERROR(__xludf.DUMMYFUNCTION("""COMPUTED_VALUE"""),"BCM MOOBAN CENSIRI LAEMCHABANG")</f>
        <v>BCM MOOBAN CENSIRI LAEMCHABANG</v>
      </c>
      <c r="E723" s="1" t="str">
        <f>IFERROR(__xludf.DUMMYFUNCTION("""COMPUTED_VALUE"""),"บิ๊กซี MINI")</f>
        <v>บิ๊กซี MINI</v>
      </c>
      <c r="F723" s="1" t="str">
        <f>IFERROR(__xludf.DUMMYFUNCTION("""COMPUTED_VALUE"""),"221716")</f>
        <v>221716</v>
      </c>
      <c r="G723" s="1" t="str">
        <f>IFERROR(__xludf.DUMMYFUNCTION("""COMPUTED_VALUE"""),"น.ส.เบญจพร โพธิสาร")</f>
        <v>น.ส.เบญจพร โพธิสาร</v>
      </c>
      <c r="H723" s="1" t="str">
        <f>IFERROR(__xludf.DUMMYFUNCTION("""COMPUTED_VALUE"""),"291061")</f>
        <v>291061</v>
      </c>
      <c r="I723" s="1" t="str">
        <f>IFERROR(__xludf.DUMMYFUNCTION("""COMPUTED_VALUE"""),"นายสมศักดิ์ เสียงก้อง")</f>
        <v>นายสมศักดิ์ เสียงก้อง</v>
      </c>
      <c r="J723" s="3">
        <f>IFERROR(__xludf.DUMMYFUNCTION("""COMPUTED_VALUE"""),296942.0)</f>
        <v>296942</v>
      </c>
      <c r="K723" s="3" t="str">
        <f>IFERROR(__xludf.DUMMYFUNCTION("""COMPUTED_VALUE"""),"นายปิยะ รักษากิจ")</f>
        <v>นายปิยะ รักษากิจ</v>
      </c>
      <c r="L723" s="1" t="str">
        <f>IFERROR(__xludf.DUMMYFUNCTION("""COMPUTED_VALUE"""),"07 K.Piya R.")</f>
        <v>07 K.Piya R.</v>
      </c>
      <c r="M723" s="1" t="str">
        <f>IFERROR(__xludf.DUMMYFUNCTION("""COMPUTED_VALUE"""),"097-919-5476")</f>
        <v>097-919-5476</v>
      </c>
      <c r="N723" s="3">
        <f>IFERROR(__xludf.DUMMYFUNCTION("""COMPUTED_VALUE"""),21332.0)</f>
        <v>21332</v>
      </c>
      <c r="O723" s="3" t="str">
        <f>IFERROR(__xludf.DUMMYFUNCTION("""COMPUTED_VALUE"""),"MBC BCP อ่อนนุช 17/1")</f>
        <v>MBC BCP อ่อนนุช 17/1</v>
      </c>
      <c r="P723" s="4">
        <f>IFERROR(__xludf.DUMMYFUNCTION("""COMPUTED_VALUE"""),42974.0)</f>
        <v>42974</v>
      </c>
      <c r="Q723" s="3" t="str">
        <f>IFERROR(__xludf.DUMMYFUNCTION("""COMPUTED_VALUE"""),"A")</f>
        <v>A</v>
      </c>
      <c r="R723" s="3" t="str">
        <f>IFERROR(__xludf.DUMMYFUNCTION("""COMPUTED_VALUE"""),"Small Format")</f>
        <v>Small Format</v>
      </c>
      <c r="S723" s="3" t="str">
        <f>IFERROR(__xludf.DUMMYFUNCTION("""COMPUTED_VALUE"""),"BCM")</f>
        <v>BCM</v>
      </c>
      <c r="T723" s="3" t="str">
        <f>IFERROR(__xludf.DUMMYFUNCTION("""COMPUTED_VALUE"""),"#N/A")</f>
        <v>#N/A</v>
      </c>
      <c r="U723" s="3" t="str">
        <f>IFERROR(__xludf.DUMMYFUNCTION("""COMPUTED_VALUE"""),"#N/A")</f>
        <v>#N/A</v>
      </c>
      <c r="V723" s="3" t="str">
        <f>IFERROR(__xludf.DUMMYFUNCTION("""COMPUTED_VALUE"""),"N")</f>
        <v>N</v>
      </c>
      <c r="W723" s="3">
        <f>IFERROR(__xludf.DUMMYFUNCTION("""COMPUTED_VALUE"""),211396.0)</f>
        <v>211396</v>
      </c>
      <c r="X723" s="3" t="str">
        <f>IFERROR(__xludf.DUMMYFUNCTION("""COMPUTED_VALUE"""),"200/31-33 หมู่ 6 ตำบลทุ่งสุขลา อำเภอศรีราชา จังหวัดชลบุรี 20230")</f>
        <v>200/31-33 หมู่ 6 ตำบลทุ่งสุขลา อำเภอศรีราชา จังหวัดชลบุรี 20230</v>
      </c>
      <c r="Y723" s="3"/>
      <c r="Z723" s="3" t="str">
        <f>IFERROR(__xludf.DUMMYFUNCTION("""COMPUTED_VALUE"""),"ทุ่งสุขลา")</f>
        <v>ทุ่งสุขลา</v>
      </c>
      <c r="AA723" s="3" t="str">
        <f>IFERROR(__xludf.DUMMYFUNCTION("""COMPUTED_VALUE"""),"ศรีราชา")</f>
        <v>ศรีราชา</v>
      </c>
      <c r="AB723" s="3" t="str">
        <f>IFERROR(__xludf.DUMMYFUNCTION("""COMPUTED_VALUE"""),"ชลบุรี")</f>
        <v>ชลบุรี</v>
      </c>
      <c r="AC723" s="3">
        <f>IFERROR(__xludf.DUMMYFUNCTION("""COMPUTED_VALUE"""),20230.0)</f>
        <v>20230</v>
      </c>
      <c r="AD723" s="3">
        <f>IFERROR(__xludf.DUMMYFUNCTION("""COMPUTED_VALUE"""),13.122065)</f>
        <v>13.122065</v>
      </c>
      <c r="AE723" s="3">
        <f>IFERROR(__xludf.DUMMYFUNCTION("""COMPUTED_VALUE"""),100.927942)</f>
        <v>100.927942</v>
      </c>
      <c r="AF723" s="3" t="str">
        <f>IFERROR(__xludf.DUMMYFUNCTION("""COMPUTED_VALUE"""),"MBC หมู่บ้านเซนสิริ แหลมฉบัง-21491")</f>
        <v>MBC หมู่บ้านเซนสิริ แหลมฉบัง-21491</v>
      </c>
      <c r="AG723" s="3" t="str">
        <f>IFERROR(__xludf.DUMMYFUNCTION("""COMPUTED_VALUE"""),"ตะวันออก")</f>
        <v>ตะวันออก</v>
      </c>
      <c r="AH723" s="3" t="str">
        <f>IFERROR(__xludf.DUMMYFUNCTION("""COMPUTED_VALUE"""),"#N/A")</f>
        <v>#N/A</v>
      </c>
      <c r="AI723" s="3" t="str">
        <f>IFERROR(__xludf.DUMMYFUNCTION("""COMPUTED_VALUE"""),"Out of warranty")</f>
        <v>Out of warranty</v>
      </c>
      <c r="AJ723" s="3">
        <f>IFERROR(__xludf.DUMMYFUNCTION("""COMPUTED_VALUE"""),101.0)</f>
        <v>101</v>
      </c>
      <c r="AK723" s="3" t="str">
        <f>IFERROR(__xludf.DUMMYFUNCTION("""COMPUTED_VALUE"""),"MMS06")</f>
        <v>MMS06</v>
      </c>
      <c r="AL723" s="3"/>
    </row>
    <row r="724" ht="15.75" customHeight="1">
      <c r="A724" s="1" t="str">
        <f>IFERROR(__xludf.DUMMYFUNCTION("""COMPUTED_VALUE"""),"21492")</f>
        <v>21492</v>
      </c>
      <c r="B724" s="2">
        <f>IFERROR(__xludf.DUMMYFUNCTION("""COMPUTED_VALUE"""),21492.0)</f>
        <v>21492</v>
      </c>
      <c r="C724" s="3" t="str">
        <f>IFERROR(__xludf.DUMMYFUNCTION("""COMPUTED_VALUE"""),"MBC ท่าอุเทน")</f>
        <v>MBC ท่าอุเทน</v>
      </c>
      <c r="D724" s="3" t="str">
        <f>IFERROR(__xludf.DUMMYFUNCTION("""COMPUTED_VALUE"""),"BCM THA UTHEN")</f>
        <v>BCM THA UTHEN</v>
      </c>
      <c r="E724" s="1" t="str">
        <f>IFERROR(__xludf.DUMMYFUNCTION("""COMPUTED_VALUE"""),"บิ๊กซี MINI")</f>
        <v>บิ๊กซี MINI</v>
      </c>
      <c r="F724" s="1" t="str">
        <f>IFERROR(__xludf.DUMMYFUNCTION("""COMPUTED_VALUE"""),"291105")</f>
        <v>291105</v>
      </c>
      <c r="G724" s="1" t="str">
        <f>IFERROR(__xludf.DUMMYFUNCTION("""COMPUTED_VALUE"""),"นายสราวุฒิ พณิชยกุล")</f>
        <v>นายสราวุฒิ พณิชยกุล</v>
      </c>
      <c r="H724" s="1" t="str">
        <f>IFERROR(__xludf.DUMMYFUNCTION("""COMPUTED_VALUE"""),"392885")</f>
        <v>392885</v>
      </c>
      <c r="I724" s="1" t="str">
        <f>IFERROR(__xludf.DUMMYFUNCTION("""COMPUTED_VALUE"""),"น.ส.วราพร จันปลิว")</f>
        <v>น.ส.วราพร จันปลิว</v>
      </c>
      <c r="J724" s="3">
        <f>IFERROR(__xludf.DUMMYFUNCTION("""COMPUTED_VALUE"""),296868.0)</f>
        <v>296868</v>
      </c>
      <c r="K724" s="3" t="str">
        <f>IFERROR(__xludf.DUMMYFUNCTION("""COMPUTED_VALUE"""),"นายพีระพงษ์ แก้วดวงดี")</f>
        <v>นายพีระพงษ์ แก้วดวงดี</v>
      </c>
      <c r="L724" s="1" t="str">
        <f>IFERROR(__xludf.DUMMYFUNCTION("""COMPUTED_VALUE"""),"03 K.Peerapong K.")</f>
        <v>03 K.Peerapong K.</v>
      </c>
      <c r="M724" s="1" t="str">
        <f>IFERROR(__xludf.DUMMYFUNCTION("""COMPUTED_VALUE"""),"089-002-6599")</f>
        <v>089-002-6599</v>
      </c>
      <c r="N724" s="3">
        <f>IFERROR(__xludf.DUMMYFUNCTION("""COMPUTED_VALUE"""),21946.0)</f>
        <v>21946</v>
      </c>
      <c r="O724" s="3" t="str">
        <f>IFERROR(__xludf.DUMMYFUNCTION("""COMPUTED_VALUE"""),"MBC เซกา บึงกาฬ")</f>
        <v>MBC เซกา บึงกาฬ</v>
      </c>
      <c r="P724" s="4">
        <f>IFERROR(__xludf.DUMMYFUNCTION("""COMPUTED_VALUE"""),42993.0)</f>
        <v>42993</v>
      </c>
      <c r="Q724" s="3" t="str">
        <f>IFERROR(__xludf.DUMMYFUNCTION("""COMPUTED_VALUE"""),"A")</f>
        <v>A</v>
      </c>
      <c r="R724" s="3" t="str">
        <f>IFERROR(__xludf.DUMMYFUNCTION("""COMPUTED_VALUE"""),"Small Format")</f>
        <v>Small Format</v>
      </c>
      <c r="S724" s="3" t="str">
        <f>IFERROR(__xludf.DUMMYFUNCTION("""COMPUTED_VALUE"""),"BCM")</f>
        <v>BCM</v>
      </c>
      <c r="T724" s="3" t="str">
        <f>IFERROR(__xludf.DUMMYFUNCTION("""COMPUTED_VALUE"""),"#N/A")</f>
        <v>#N/A</v>
      </c>
      <c r="U724" s="3" t="str">
        <f>IFERROR(__xludf.DUMMYFUNCTION("""COMPUTED_VALUE"""),"#N/A")</f>
        <v>#N/A</v>
      </c>
      <c r="V724" s="3" t="str">
        <f>IFERROR(__xludf.DUMMYFUNCTION("""COMPUTED_VALUE"""),"N")</f>
        <v>N</v>
      </c>
      <c r="W724" s="3">
        <f>IFERROR(__xludf.DUMMYFUNCTION("""COMPUTED_VALUE"""),211438.0)</f>
        <v>211438</v>
      </c>
      <c r="X724" s="3" t="str">
        <f>IFERROR(__xludf.DUMMYFUNCTION("""COMPUTED_VALUE"""),"58/1,58/3-4 หมู่ 1 ตำบลท่าอุเทน อำเภอท่าอุเทน จังหวัดนครพนม 48120")</f>
        <v>58/1,58/3-4 หมู่ 1 ตำบลท่าอุเทน อำเภอท่าอุเทน จังหวัดนครพนม 48120</v>
      </c>
      <c r="Y724" s="3"/>
      <c r="Z724" s="3" t="str">
        <f>IFERROR(__xludf.DUMMYFUNCTION("""COMPUTED_VALUE"""),"ท่าอุเทน")</f>
        <v>ท่าอุเทน</v>
      </c>
      <c r="AA724" s="3" t="str">
        <f>IFERROR(__xludf.DUMMYFUNCTION("""COMPUTED_VALUE"""),"ท่าอุเทน")</f>
        <v>ท่าอุเทน</v>
      </c>
      <c r="AB724" s="3" t="str">
        <f>IFERROR(__xludf.DUMMYFUNCTION("""COMPUTED_VALUE"""),"นครพนม")</f>
        <v>นครพนม</v>
      </c>
      <c r="AC724" s="3">
        <f>IFERROR(__xludf.DUMMYFUNCTION("""COMPUTED_VALUE"""),48120.0)</f>
        <v>48120</v>
      </c>
      <c r="AD724" s="3">
        <f>IFERROR(__xludf.DUMMYFUNCTION("""COMPUTED_VALUE"""),17.57353466)</f>
        <v>17.57353466</v>
      </c>
      <c r="AE724" s="3">
        <f>IFERROR(__xludf.DUMMYFUNCTION("""COMPUTED_VALUE"""),104.602373)</f>
        <v>104.602373</v>
      </c>
      <c r="AF724" s="3" t="str">
        <f>IFERROR(__xludf.DUMMYFUNCTION("""COMPUTED_VALUE"""),"MBC ท่าอุเทน-21492")</f>
        <v>MBC ท่าอุเทน-21492</v>
      </c>
      <c r="AG724" s="3" t="str">
        <f>IFERROR(__xludf.DUMMYFUNCTION("""COMPUTED_VALUE"""),"ตะวันออกเฉียงเหนือ")</f>
        <v>ตะวันออกเฉียงเหนือ</v>
      </c>
      <c r="AH724" s="3" t="str">
        <f>IFERROR(__xludf.DUMMYFUNCTION("""COMPUTED_VALUE"""),"#N/A")</f>
        <v>#N/A</v>
      </c>
      <c r="AI724" s="3" t="str">
        <f>IFERROR(__xludf.DUMMYFUNCTION("""COMPUTED_VALUE"""),"Out of warranty")</f>
        <v>Out of warranty</v>
      </c>
      <c r="AJ724" s="3">
        <f>IFERROR(__xludf.DUMMYFUNCTION("""COMPUTED_VALUE"""),101.0)</f>
        <v>101</v>
      </c>
      <c r="AK724" s="3" t="str">
        <f>IFERROR(__xludf.DUMMYFUNCTION("""COMPUTED_VALUE"""),"MMS12")</f>
        <v>MMS12</v>
      </c>
      <c r="AL724" s="3"/>
    </row>
    <row r="725" ht="15.75" customHeight="1">
      <c r="A725" s="1" t="str">
        <f>IFERROR(__xludf.DUMMYFUNCTION("""COMPUTED_VALUE"""),"21493")</f>
        <v>21493</v>
      </c>
      <c r="B725" s="2">
        <f>IFERROR(__xludf.DUMMYFUNCTION("""COMPUTED_VALUE"""),21493.0)</f>
        <v>21493</v>
      </c>
      <c r="C725" s="3" t="str">
        <f>IFERROR(__xludf.DUMMYFUNCTION("""COMPUTED_VALUE"""),"MBC บ้านโนนทัน")</f>
        <v>MBC บ้านโนนทัน</v>
      </c>
      <c r="D725" s="3" t="str">
        <f>IFERROR(__xludf.DUMMYFUNCTION("""COMPUTED_VALUE"""),"BCM BAN NON THAN")</f>
        <v>BCM BAN NON THAN</v>
      </c>
      <c r="E725" s="1" t="str">
        <f>IFERROR(__xludf.DUMMYFUNCTION("""COMPUTED_VALUE"""),"บิ๊กซี MINI")</f>
        <v>บิ๊กซี MINI</v>
      </c>
      <c r="F725" s="1" t="str">
        <f>IFERROR(__xludf.DUMMYFUNCTION("""COMPUTED_VALUE"""),"291105")</f>
        <v>291105</v>
      </c>
      <c r="G725" s="1" t="str">
        <f>IFERROR(__xludf.DUMMYFUNCTION("""COMPUTED_VALUE"""),"นายสราวุฒิ พณิชยกุล")</f>
        <v>นายสราวุฒิ พณิชยกุล</v>
      </c>
      <c r="H725" s="1" t="str">
        <f>IFERROR(__xludf.DUMMYFUNCTION("""COMPUTED_VALUE"""),"305119")</f>
        <v>305119</v>
      </c>
      <c r="I725" s="1" t="str">
        <f>IFERROR(__xludf.DUMMYFUNCTION("""COMPUTED_VALUE"""),"นายไชยกร ลีพิบูลย์สวัสดิ์")</f>
        <v>นายไชยกร ลีพิบูลย์สวัสดิ์</v>
      </c>
      <c r="J725" s="3">
        <f>IFERROR(__xludf.DUMMYFUNCTION("""COMPUTED_VALUE"""),295886.0)</f>
        <v>295886</v>
      </c>
      <c r="K725" s="3" t="str">
        <f>IFERROR(__xludf.DUMMYFUNCTION("""COMPUTED_VALUE"""),"นายจิระพงษ์ โพธิ์นิล")</f>
        <v>นายจิระพงษ์ โพธิ์นิล</v>
      </c>
      <c r="L725" s="1" t="str">
        <f>IFERROR(__xludf.DUMMYFUNCTION("""COMPUTED_VALUE"""),"นายจิระพงษ์ โพธิ์นิล")</f>
        <v>นายจิระพงษ์ โพธิ์นิล</v>
      </c>
      <c r="M725" s="1" t="str">
        <f>IFERROR(__xludf.DUMMYFUNCTION("""COMPUTED_VALUE"""),"0933290754")</f>
        <v>0933290754</v>
      </c>
      <c r="N725" s="3">
        <f>IFERROR(__xludf.DUMMYFUNCTION("""COMPUTED_VALUE"""),21622.0)</f>
        <v>21622</v>
      </c>
      <c r="O725" s="3" t="str">
        <f>IFERROR(__xludf.DUMMYFUNCTION("""COMPUTED_VALUE"""),"MBC ตลาดบ้านดอน")</f>
        <v>MBC ตลาดบ้านดอน</v>
      </c>
      <c r="P725" s="4">
        <f>IFERROR(__xludf.DUMMYFUNCTION("""COMPUTED_VALUE"""),42977.0)</f>
        <v>42977</v>
      </c>
      <c r="Q725" s="3" t="str">
        <f>IFERROR(__xludf.DUMMYFUNCTION("""COMPUTED_VALUE"""),"I")</f>
        <v>I</v>
      </c>
      <c r="R725" s="3" t="str">
        <f>IFERROR(__xludf.DUMMYFUNCTION("""COMPUTED_VALUE"""),"Small Format")</f>
        <v>Small Format</v>
      </c>
      <c r="S725" s="3" t="str">
        <f>IFERROR(__xludf.DUMMYFUNCTION("""COMPUTED_VALUE"""),"BCM")</f>
        <v>BCM</v>
      </c>
      <c r="T725" s="3" t="str">
        <f>IFERROR(__xludf.DUMMYFUNCTION("""COMPUTED_VALUE"""),"#N/A")</f>
        <v>#N/A</v>
      </c>
      <c r="U725" s="3" t="str">
        <f>IFERROR(__xludf.DUMMYFUNCTION("""COMPUTED_VALUE"""),"#N/A")</f>
        <v>#N/A</v>
      </c>
      <c r="V725" s="3" t="str">
        <f>IFERROR(__xludf.DUMMYFUNCTION("""COMPUTED_VALUE"""),"N")</f>
        <v>N</v>
      </c>
      <c r="W725" s="3">
        <f>IFERROR(__xludf.DUMMYFUNCTION("""COMPUTED_VALUE"""),211420.0)</f>
        <v>211420</v>
      </c>
      <c r="X725" s="3" t="str">
        <f>IFERROR(__xludf.DUMMYFUNCTION("""COMPUTED_VALUE"""),"101/243 หมู่ 2 ตำบลในเมือง อำเภอเมืองขอนแก่น จังหวัดขอนแก่น 40000")</f>
        <v>101/243 หมู่ 2 ตำบลในเมือง อำเภอเมืองขอนแก่น จังหวัดขอนแก่น 40000</v>
      </c>
      <c r="Y725" s="3"/>
      <c r="Z725" s="3" t="str">
        <f>IFERROR(__xludf.DUMMYFUNCTION("""COMPUTED_VALUE"""),"ในเมือง")</f>
        <v>ในเมือง</v>
      </c>
      <c r="AA725" s="3" t="str">
        <f>IFERROR(__xludf.DUMMYFUNCTION("""COMPUTED_VALUE"""),"เมือง")</f>
        <v>เมือง</v>
      </c>
      <c r="AB725" s="3" t="str">
        <f>IFERROR(__xludf.DUMMYFUNCTION("""COMPUTED_VALUE"""),"ขอนแก่น")</f>
        <v>ขอนแก่น</v>
      </c>
      <c r="AC725" s="3">
        <f>IFERROR(__xludf.DUMMYFUNCTION("""COMPUTED_VALUE"""),40000.0)</f>
        <v>40000</v>
      </c>
      <c r="AD725" s="3">
        <f>IFERROR(__xludf.DUMMYFUNCTION("""COMPUTED_VALUE"""),16.418349)</f>
        <v>16.418349</v>
      </c>
      <c r="AE725" s="3">
        <f>IFERROR(__xludf.DUMMYFUNCTION("""COMPUTED_VALUE"""),102.849714)</f>
        <v>102.849714</v>
      </c>
      <c r="AF725" s="3" t="str">
        <f>IFERROR(__xludf.DUMMYFUNCTION("""COMPUTED_VALUE"""),"MBC บ้านโนนทัน-21493")</f>
        <v>MBC บ้านโนนทัน-21493</v>
      </c>
      <c r="AG725" s="3" t="str">
        <f>IFERROR(__xludf.DUMMYFUNCTION("""COMPUTED_VALUE"""),"ตะวันออกเฉียงเหนือ")</f>
        <v>ตะวันออกเฉียงเหนือ</v>
      </c>
      <c r="AH725" s="3" t="str">
        <f>IFERROR(__xludf.DUMMYFUNCTION("""COMPUTED_VALUE"""),"#N/A")</f>
        <v>#N/A</v>
      </c>
      <c r="AI725" s="3" t="str">
        <f>IFERROR(__xludf.DUMMYFUNCTION("""COMPUTED_VALUE"""),"Out of warranty")</f>
        <v>Out of warranty</v>
      </c>
      <c r="AJ725" s="3">
        <f>IFERROR(__xludf.DUMMYFUNCTION("""COMPUTED_VALUE"""),101.0)</f>
        <v>101</v>
      </c>
      <c r="AK725" s="3" t="str">
        <f>IFERROR(__xludf.DUMMYFUNCTION("""COMPUTED_VALUE"""),"MMS12")</f>
        <v>MMS12</v>
      </c>
      <c r="AL725" s="3"/>
    </row>
    <row r="726" ht="15.75" customHeight="1">
      <c r="A726" s="1" t="str">
        <f>IFERROR(__xludf.DUMMYFUNCTION("""COMPUTED_VALUE"""),"21494")</f>
        <v>21494</v>
      </c>
      <c r="B726" s="2">
        <f>IFERROR(__xludf.DUMMYFUNCTION("""COMPUTED_VALUE"""),21494.0)</f>
        <v>21494</v>
      </c>
      <c r="C726" s="3" t="str">
        <f>IFERROR(__xludf.DUMMYFUNCTION("""COMPUTED_VALUE"""),"MBC บ้านกรด")</f>
        <v>MBC บ้านกรด</v>
      </c>
      <c r="D726" s="3" t="str">
        <f>IFERROR(__xludf.DUMMYFUNCTION("""COMPUTED_VALUE"""),"BCM BAN KROD")</f>
        <v>BCM BAN KROD</v>
      </c>
      <c r="E726" s="1" t="str">
        <f>IFERROR(__xludf.DUMMYFUNCTION("""COMPUTED_VALUE"""),"บิ๊กซี MINI")</f>
        <v>บิ๊กซี MINI</v>
      </c>
      <c r="F726" s="1" t="str">
        <f>IFERROR(__xludf.DUMMYFUNCTION("""COMPUTED_VALUE"""),"296229")</f>
        <v>296229</v>
      </c>
      <c r="G726" s="1" t="str">
        <f>IFERROR(__xludf.DUMMYFUNCTION("""COMPUTED_VALUE"""),"นายทนงศักดิ์ บุญมา")</f>
        <v>นายทนงศักดิ์ บุญมา</v>
      </c>
      <c r="H726" s="1" t="str">
        <f>IFERROR(__xludf.DUMMYFUNCTION("""COMPUTED_VALUE"""),"211363")</f>
        <v>211363</v>
      </c>
      <c r="I726" s="1" t="str">
        <f>IFERROR(__xludf.DUMMYFUNCTION("""COMPUTED_VALUE"""),"นายสามารถ บุญลับ")</f>
        <v>นายสามารถ บุญลับ</v>
      </c>
      <c r="J726" s="3">
        <f>IFERROR(__xludf.DUMMYFUNCTION("""COMPUTED_VALUE"""),46214.0)</f>
        <v>46214</v>
      </c>
      <c r="K726" s="3" t="str">
        <f>IFERROR(__xludf.DUMMYFUNCTION("""COMPUTED_VALUE"""),"นายศักดิ์ชัย เด็ดดอกฟ้า")</f>
        <v>นายศักดิ์ชัย เด็ดดอกฟ้า</v>
      </c>
      <c r="L726" s="1" t="str">
        <f>IFERROR(__xludf.DUMMYFUNCTION("""COMPUTED_VALUE"""),"02 K.Sakchai D")</f>
        <v>02 K.Sakchai D</v>
      </c>
      <c r="M726" s="1" t="str">
        <f>IFERROR(__xludf.DUMMYFUNCTION("""COMPUTED_VALUE"""),"065-510-7376")</f>
        <v>065-510-7376</v>
      </c>
      <c r="N726" s="3">
        <f>IFERROR(__xludf.DUMMYFUNCTION("""COMPUTED_VALUE"""),21494.0)</f>
        <v>21494</v>
      </c>
      <c r="O726" s="3" t="str">
        <f>IFERROR(__xludf.DUMMYFUNCTION("""COMPUTED_VALUE"""),"MBC บ้านกรด")</f>
        <v>MBC บ้านกรด</v>
      </c>
      <c r="P726" s="4">
        <f>IFERROR(__xludf.DUMMYFUNCTION("""COMPUTED_VALUE"""),42977.0)</f>
        <v>42977</v>
      </c>
      <c r="Q726" s="3" t="str">
        <f>IFERROR(__xludf.DUMMYFUNCTION("""COMPUTED_VALUE"""),"I")</f>
        <v>I</v>
      </c>
      <c r="R726" s="3" t="str">
        <f>IFERROR(__xludf.DUMMYFUNCTION("""COMPUTED_VALUE"""),"Small Format")</f>
        <v>Small Format</v>
      </c>
      <c r="S726" s="3" t="str">
        <f>IFERROR(__xludf.DUMMYFUNCTION("""COMPUTED_VALUE"""),"BCM")</f>
        <v>BCM</v>
      </c>
      <c r="T726" s="3" t="str">
        <f>IFERROR(__xludf.DUMMYFUNCTION("""COMPUTED_VALUE"""),"#N/A")</f>
        <v>#N/A</v>
      </c>
      <c r="U726" s="3" t="str">
        <f>IFERROR(__xludf.DUMMYFUNCTION("""COMPUTED_VALUE"""),"#N/A")</f>
        <v>#N/A</v>
      </c>
      <c r="V726" s="3" t="str">
        <f>IFERROR(__xludf.DUMMYFUNCTION("""COMPUTED_VALUE"""),"N")</f>
        <v>N</v>
      </c>
      <c r="W726" s="3">
        <f>IFERROR(__xludf.DUMMYFUNCTION("""COMPUTED_VALUE"""),211447.0)</f>
        <v>211447</v>
      </c>
      <c r="X726" s="3" t="str">
        <f>IFERROR(__xludf.DUMMYFUNCTION("""COMPUTED_VALUE"""),"58 หมู่ 3 ตำบลบ้านกรด อำเภอบางปะอิน จังหวัดพระนครศรีอยุธยา 13160")</f>
        <v>58 หมู่ 3 ตำบลบ้านกรด อำเภอบางปะอิน จังหวัดพระนครศรีอยุธยา 13160</v>
      </c>
      <c r="Y726" s="3"/>
      <c r="Z726" s="3" t="str">
        <f>IFERROR(__xludf.DUMMYFUNCTION("""COMPUTED_VALUE"""),"บ้านกรด")</f>
        <v>บ้านกรด</v>
      </c>
      <c r="AA726" s="3" t="str">
        <f>IFERROR(__xludf.DUMMYFUNCTION("""COMPUTED_VALUE"""),"บางปะอิน")</f>
        <v>บางปะอิน</v>
      </c>
      <c r="AB726" s="3" t="str">
        <f>IFERROR(__xludf.DUMMYFUNCTION("""COMPUTED_VALUE"""),"พระนครศรีอยุธยา")</f>
        <v>พระนครศรีอยุธยา</v>
      </c>
      <c r="AC726" s="3">
        <f>IFERROR(__xludf.DUMMYFUNCTION("""COMPUTED_VALUE"""),13160.0)</f>
        <v>13160</v>
      </c>
      <c r="AD726" s="3">
        <f>IFERROR(__xludf.DUMMYFUNCTION("""COMPUTED_VALUE"""),14.315936)</f>
        <v>14.315936</v>
      </c>
      <c r="AE726" s="3">
        <f>IFERROR(__xludf.DUMMYFUNCTION("""COMPUTED_VALUE"""),100.60795)</f>
        <v>100.60795</v>
      </c>
      <c r="AF726" s="3" t="str">
        <f>IFERROR(__xludf.DUMMYFUNCTION("""COMPUTED_VALUE"""),"MBC บ้านกรด-21494")</f>
        <v>MBC บ้านกรด-21494</v>
      </c>
      <c r="AG726" s="3" t="str">
        <f>IFERROR(__xludf.DUMMYFUNCTION("""COMPUTED_VALUE"""),"กลาง")</f>
        <v>กลาง</v>
      </c>
      <c r="AH726" s="3" t="str">
        <f>IFERROR(__xludf.DUMMYFUNCTION("""COMPUTED_VALUE"""),"#N/A")</f>
        <v>#N/A</v>
      </c>
      <c r="AI726" s="3" t="str">
        <f>IFERROR(__xludf.DUMMYFUNCTION("""COMPUTED_VALUE"""),"Out of warranty")</f>
        <v>Out of warranty</v>
      </c>
      <c r="AJ726" s="3">
        <f>IFERROR(__xludf.DUMMYFUNCTION("""COMPUTED_VALUE"""),101.0)</f>
        <v>101</v>
      </c>
      <c r="AK726" s="3" t="str">
        <f>IFERROR(__xludf.DUMMYFUNCTION("""COMPUTED_VALUE"""),"MMS04")</f>
        <v>MMS04</v>
      </c>
      <c r="AL726" s="3"/>
    </row>
    <row r="727" ht="15.75" customHeight="1">
      <c r="A727" s="1" t="str">
        <f>IFERROR(__xludf.DUMMYFUNCTION("""COMPUTED_VALUE"""),"21495")</f>
        <v>21495</v>
      </c>
      <c r="B727" s="2">
        <f>IFERROR(__xludf.DUMMYFUNCTION("""COMPUTED_VALUE"""),21495.0)</f>
        <v>21495</v>
      </c>
      <c r="C727" s="3" t="str">
        <f>IFERROR(__xludf.DUMMYFUNCTION("""COMPUTED_VALUE"""),"MBC อภิบาลบัญชา")</f>
        <v>MBC อภิบาลบัญชา</v>
      </c>
      <c r="D727" s="3" t="str">
        <f>IFERROR(__xludf.DUMMYFUNCTION("""COMPUTED_VALUE"""),"BCM APHIBANBUNCHA")</f>
        <v>BCM APHIBANBUNCHA</v>
      </c>
      <c r="E727" s="1" t="str">
        <f>IFERROR(__xludf.DUMMYFUNCTION("""COMPUTED_VALUE"""),"บิ๊กซี MINI")</f>
        <v>บิ๊กซี MINI</v>
      </c>
      <c r="F727" s="1" t="str">
        <f>IFERROR(__xludf.DUMMYFUNCTION("""COMPUTED_VALUE"""),"291105")</f>
        <v>291105</v>
      </c>
      <c r="G727" s="1" t="str">
        <f>IFERROR(__xludf.DUMMYFUNCTION("""COMPUTED_VALUE"""),"นายสราวุฒิ พณิชยกุล")</f>
        <v>นายสราวุฒิ พณิชยกุล</v>
      </c>
      <c r="H727" s="1" t="str">
        <f>IFERROR(__xludf.DUMMYFUNCTION("""COMPUTED_VALUE"""),"392885")</f>
        <v>392885</v>
      </c>
      <c r="I727" s="1" t="str">
        <f>IFERROR(__xludf.DUMMYFUNCTION("""COMPUTED_VALUE"""),"น.ส.วราพร จันปลิว")</f>
        <v>น.ส.วราพร จันปลิว</v>
      </c>
      <c r="J727" s="3">
        <f>IFERROR(__xludf.DUMMYFUNCTION("""COMPUTED_VALUE"""),296868.0)</f>
        <v>296868</v>
      </c>
      <c r="K727" s="3" t="str">
        <f>IFERROR(__xludf.DUMMYFUNCTION("""COMPUTED_VALUE"""),"นายพีระพงษ์ แก้วดวงดี")</f>
        <v>นายพีระพงษ์ แก้วดวงดี</v>
      </c>
      <c r="L727" s="1" t="str">
        <f>IFERROR(__xludf.DUMMYFUNCTION("""COMPUTED_VALUE"""),"03 K.Peerapong K.")</f>
        <v>03 K.Peerapong K.</v>
      </c>
      <c r="M727" s="1" t="str">
        <f>IFERROR(__xludf.DUMMYFUNCTION("""COMPUTED_VALUE"""),"089-002-6599")</f>
        <v>089-002-6599</v>
      </c>
      <c r="N727" s="3">
        <f>IFERROR(__xludf.DUMMYFUNCTION("""COMPUTED_VALUE"""),21946.0)</f>
        <v>21946</v>
      </c>
      <c r="O727" s="3" t="str">
        <f>IFERROR(__xludf.DUMMYFUNCTION("""COMPUTED_VALUE"""),"MBC เซกา บึงกาฬ")</f>
        <v>MBC เซกา บึงกาฬ</v>
      </c>
      <c r="P727" s="4">
        <f>IFERROR(__xludf.DUMMYFUNCTION("""COMPUTED_VALUE"""),42993.0)</f>
        <v>42993</v>
      </c>
      <c r="Q727" s="3" t="str">
        <f>IFERROR(__xludf.DUMMYFUNCTION("""COMPUTED_VALUE"""),"A")</f>
        <v>A</v>
      </c>
      <c r="R727" s="3" t="str">
        <f>IFERROR(__xludf.DUMMYFUNCTION("""COMPUTED_VALUE"""),"Small Format")</f>
        <v>Small Format</v>
      </c>
      <c r="S727" s="3" t="str">
        <f>IFERROR(__xludf.DUMMYFUNCTION("""COMPUTED_VALUE"""),"BCM")</f>
        <v>BCM</v>
      </c>
      <c r="T727" s="3" t="str">
        <f>IFERROR(__xludf.DUMMYFUNCTION("""COMPUTED_VALUE"""),"#N/A")</f>
        <v>#N/A</v>
      </c>
      <c r="U727" s="3" t="str">
        <f>IFERROR(__xludf.DUMMYFUNCTION("""COMPUTED_VALUE"""),"#N/A")</f>
        <v>#N/A</v>
      </c>
      <c r="V727" s="3" t="str">
        <f>IFERROR(__xludf.DUMMYFUNCTION("""COMPUTED_VALUE"""),"N")</f>
        <v>N</v>
      </c>
      <c r="W727" s="3">
        <f>IFERROR(__xludf.DUMMYFUNCTION("""COMPUTED_VALUE"""),211439.0)</f>
        <v>211439</v>
      </c>
      <c r="X727" s="3" t="str">
        <f>IFERROR(__xludf.DUMMYFUNCTION("""COMPUTED_VALUE"""),"371/3 ถนนอภิบาลบัญชา ตำบลในเมือง อำเภอเมืองนครพนม จังหวัดนครพนม 48000")</f>
        <v>371/3 ถนนอภิบาลบัญชา ตำบลในเมือง อำเภอเมืองนครพนม จังหวัดนครพนม 48000</v>
      </c>
      <c r="Y727" s="3" t="str">
        <f>IFERROR(__xludf.DUMMYFUNCTION("""COMPUTED_VALUE"""),"ถนนอภิบาลบัญชา")</f>
        <v>ถนนอภิบาลบัญชา</v>
      </c>
      <c r="Z727" s="3" t="str">
        <f>IFERROR(__xludf.DUMMYFUNCTION("""COMPUTED_VALUE"""),"ในเมือง")</f>
        <v>ในเมือง</v>
      </c>
      <c r="AA727" s="3" t="str">
        <f>IFERROR(__xludf.DUMMYFUNCTION("""COMPUTED_VALUE"""),"เมือง")</f>
        <v>เมือง</v>
      </c>
      <c r="AB727" s="3" t="str">
        <f>IFERROR(__xludf.DUMMYFUNCTION("""COMPUTED_VALUE"""),"นครพนม")</f>
        <v>นครพนม</v>
      </c>
      <c r="AC727" s="3">
        <f>IFERROR(__xludf.DUMMYFUNCTION("""COMPUTED_VALUE"""),48000.0)</f>
        <v>48000</v>
      </c>
      <c r="AD727" s="3">
        <f>IFERROR(__xludf.DUMMYFUNCTION("""COMPUTED_VALUE"""),17.4019699)</f>
        <v>17.4019699</v>
      </c>
      <c r="AE727" s="3">
        <f>IFERROR(__xludf.DUMMYFUNCTION("""COMPUTED_VALUE"""),104.7836465)</f>
        <v>104.7836465</v>
      </c>
      <c r="AF727" s="3" t="str">
        <f>IFERROR(__xludf.DUMMYFUNCTION("""COMPUTED_VALUE"""),"MBC อภิบาลบัญชา-21495")</f>
        <v>MBC อภิบาลบัญชา-21495</v>
      </c>
      <c r="AG727" s="3" t="str">
        <f>IFERROR(__xludf.DUMMYFUNCTION("""COMPUTED_VALUE"""),"ตะวันออกเฉียงเหนือ")</f>
        <v>ตะวันออกเฉียงเหนือ</v>
      </c>
      <c r="AH727" s="3" t="str">
        <f>IFERROR(__xludf.DUMMYFUNCTION("""COMPUTED_VALUE"""),"#N/A")</f>
        <v>#N/A</v>
      </c>
      <c r="AI727" s="3" t="str">
        <f>IFERROR(__xludf.DUMMYFUNCTION("""COMPUTED_VALUE"""),"Out of warranty")</f>
        <v>Out of warranty</v>
      </c>
      <c r="AJ727" s="3">
        <f>IFERROR(__xludf.DUMMYFUNCTION("""COMPUTED_VALUE"""),101.0)</f>
        <v>101</v>
      </c>
      <c r="AK727" s="3" t="str">
        <f>IFERROR(__xludf.DUMMYFUNCTION("""COMPUTED_VALUE"""),"MMS12")</f>
        <v>MMS12</v>
      </c>
      <c r="AL727" s="3"/>
    </row>
    <row r="728" ht="15.75" customHeight="1">
      <c r="A728" s="1" t="str">
        <f>IFERROR(__xludf.DUMMYFUNCTION("""COMPUTED_VALUE"""),"21496")</f>
        <v>21496</v>
      </c>
      <c r="B728" s="2">
        <f>IFERROR(__xludf.DUMMYFUNCTION("""COMPUTED_VALUE"""),21496.0)</f>
        <v>21496</v>
      </c>
      <c r="C728" s="3" t="str">
        <f>IFERROR(__xludf.DUMMYFUNCTION("""COMPUTED_VALUE"""),"MBC ไร่กล้วย 2ศรีราชา")</f>
        <v>MBC ไร่กล้วย 2ศรีราชา</v>
      </c>
      <c r="D728" s="3" t="str">
        <f>IFERROR(__xludf.DUMMYFUNCTION("""COMPUTED_VALUE"""),"BCM RAIKLUAY2, SIRACHA")</f>
        <v>BCM RAIKLUAY2, SIRACHA</v>
      </c>
      <c r="E728" s="1" t="str">
        <f>IFERROR(__xludf.DUMMYFUNCTION("""COMPUTED_VALUE"""),"บิ๊กซี MINI")</f>
        <v>บิ๊กซี MINI</v>
      </c>
      <c r="F728" s="1" t="str">
        <f>IFERROR(__xludf.DUMMYFUNCTION("""COMPUTED_VALUE"""),"221716")</f>
        <v>221716</v>
      </c>
      <c r="G728" s="1" t="str">
        <f>IFERROR(__xludf.DUMMYFUNCTION("""COMPUTED_VALUE"""),"น.ส.เบญจพร โพธิสาร")</f>
        <v>น.ส.เบญจพร โพธิสาร</v>
      </c>
      <c r="H728" s="1" t="str">
        <f>IFERROR(__xludf.DUMMYFUNCTION("""COMPUTED_VALUE"""),"376139")</f>
        <v>376139</v>
      </c>
      <c r="I728" s="1" t="str">
        <f>IFERROR(__xludf.DUMMYFUNCTION("""COMPUTED_VALUE"""),"นายอนุชา อำไพ")</f>
        <v>นายอนุชา อำไพ</v>
      </c>
      <c r="J728" s="3">
        <f>IFERROR(__xludf.DUMMYFUNCTION("""COMPUTED_VALUE"""),296942.0)</f>
        <v>296942</v>
      </c>
      <c r="K728" s="3" t="str">
        <f>IFERROR(__xludf.DUMMYFUNCTION("""COMPUTED_VALUE"""),"นายปิยะ รักษากิจ")</f>
        <v>นายปิยะ รักษากิจ</v>
      </c>
      <c r="L728" s="1" t="str">
        <f>IFERROR(__xludf.DUMMYFUNCTION("""COMPUTED_VALUE"""),"07 K.Piya R.")</f>
        <v>07 K.Piya R.</v>
      </c>
      <c r="M728" s="1" t="str">
        <f>IFERROR(__xludf.DUMMYFUNCTION("""COMPUTED_VALUE"""),"097-919-5476")</f>
        <v>097-919-5476</v>
      </c>
      <c r="N728" s="3">
        <f>IFERROR(__xludf.DUMMYFUNCTION("""COMPUTED_VALUE"""),21332.0)</f>
        <v>21332</v>
      </c>
      <c r="O728" s="3" t="str">
        <f>IFERROR(__xludf.DUMMYFUNCTION("""COMPUTED_VALUE"""),"MBC BCP อ่อนนุช 17/1")</f>
        <v>MBC BCP อ่อนนุช 17/1</v>
      </c>
      <c r="P728" s="4">
        <f>IFERROR(__xludf.DUMMYFUNCTION("""COMPUTED_VALUE"""),42985.0)</f>
        <v>42985</v>
      </c>
      <c r="Q728" s="3" t="str">
        <f>IFERROR(__xludf.DUMMYFUNCTION("""COMPUTED_VALUE"""),"A")</f>
        <v>A</v>
      </c>
      <c r="R728" s="3" t="str">
        <f>IFERROR(__xludf.DUMMYFUNCTION("""COMPUTED_VALUE"""),"Small Format")</f>
        <v>Small Format</v>
      </c>
      <c r="S728" s="3" t="str">
        <f>IFERROR(__xludf.DUMMYFUNCTION("""COMPUTED_VALUE"""),"BCM")</f>
        <v>BCM</v>
      </c>
      <c r="T728" s="3" t="str">
        <f>IFERROR(__xludf.DUMMYFUNCTION("""COMPUTED_VALUE"""),"#N/A")</f>
        <v>#N/A</v>
      </c>
      <c r="U728" s="3" t="str">
        <f>IFERROR(__xludf.DUMMYFUNCTION("""COMPUTED_VALUE"""),"#N/A")</f>
        <v>#N/A</v>
      </c>
      <c r="V728" s="3" t="str">
        <f>IFERROR(__xludf.DUMMYFUNCTION("""COMPUTED_VALUE"""),"N")</f>
        <v>N</v>
      </c>
      <c r="W728" s="3">
        <f>IFERROR(__xludf.DUMMYFUNCTION("""COMPUTED_VALUE"""),211429.0)</f>
        <v>211429</v>
      </c>
      <c r="X728" s="3" t="str">
        <f>IFERROR(__xludf.DUMMYFUNCTION("""COMPUTED_VALUE"""),"100/60-61 หมู่ 5 ตำบลสุรศักดิ์ อำเภอศรีราชา จังหวัดชลบุรี 20110")</f>
        <v>100/60-61 หมู่ 5 ตำบลสุรศักดิ์ อำเภอศรีราชา จังหวัดชลบุรี 20110</v>
      </c>
      <c r="Y728" s="3"/>
      <c r="Z728" s="3" t="str">
        <f>IFERROR(__xludf.DUMMYFUNCTION("""COMPUTED_VALUE"""),"สุรศักดิ์")</f>
        <v>สุรศักดิ์</v>
      </c>
      <c r="AA728" s="3" t="str">
        <f>IFERROR(__xludf.DUMMYFUNCTION("""COMPUTED_VALUE"""),"ศรีราชา")</f>
        <v>ศรีราชา</v>
      </c>
      <c r="AB728" s="3" t="str">
        <f>IFERROR(__xludf.DUMMYFUNCTION("""COMPUTED_VALUE"""),"ชลบุรี")</f>
        <v>ชลบุรี</v>
      </c>
      <c r="AC728" s="3">
        <f>IFERROR(__xludf.DUMMYFUNCTION("""COMPUTED_VALUE"""),20110.0)</f>
        <v>20110</v>
      </c>
      <c r="AD728" s="3">
        <f>IFERROR(__xludf.DUMMYFUNCTION("""COMPUTED_VALUE"""),13.156442)</f>
        <v>13.156442</v>
      </c>
      <c r="AE728" s="3">
        <f>IFERROR(__xludf.DUMMYFUNCTION("""COMPUTED_VALUE"""),100.95853)</f>
        <v>100.95853</v>
      </c>
      <c r="AF728" s="3" t="str">
        <f>IFERROR(__xludf.DUMMYFUNCTION("""COMPUTED_VALUE"""),"MBC ไร่กล้วย 2ศรีราชา-21496")</f>
        <v>MBC ไร่กล้วย 2ศรีราชา-21496</v>
      </c>
      <c r="AG728" s="3" t="str">
        <f>IFERROR(__xludf.DUMMYFUNCTION("""COMPUTED_VALUE"""),"ตะวันออก")</f>
        <v>ตะวันออก</v>
      </c>
      <c r="AH728" s="3" t="str">
        <f>IFERROR(__xludf.DUMMYFUNCTION("""COMPUTED_VALUE"""),"#N/A")</f>
        <v>#N/A</v>
      </c>
      <c r="AI728" s="3" t="str">
        <f>IFERROR(__xludf.DUMMYFUNCTION("""COMPUTED_VALUE"""),"Out of warranty")</f>
        <v>Out of warranty</v>
      </c>
      <c r="AJ728" s="3">
        <f>IFERROR(__xludf.DUMMYFUNCTION("""COMPUTED_VALUE"""),101.0)</f>
        <v>101</v>
      </c>
      <c r="AK728" s="3" t="str">
        <f>IFERROR(__xludf.DUMMYFUNCTION("""COMPUTED_VALUE"""),"MMS06")</f>
        <v>MMS06</v>
      </c>
      <c r="AL728" s="3"/>
    </row>
    <row r="729" ht="15.75" customHeight="1">
      <c r="A729" s="1" t="str">
        <f>IFERROR(__xludf.DUMMYFUNCTION("""COMPUTED_VALUE"""),"21497")</f>
        <v>21497</v>
      </c>
      <c r="B729" s="2">
        <f>IFERROR(__xludf.DUMMYFUNCTION("""COMPUTED_VALUE"""),21497.0)</f>
        <v>21497</v>
      </c>
      <c r="C729" s="3" t="str">
        <f>IFERROR(__xludf.DUMMYFUNCTION("""COMPUTED_VALUE"""),"MBC ตลาดท่าทองใหม่")</f>
        <v>MBC ตลาดท่าทองใหม่</v>
      </c>
      <c r="D729" s="3" t="str">
        <f>IFERROR(__xludf.DUMMYFUNCTION("""COMPUTED_VALUE"""),"BCM TALAD THATHONGMAI")</f>
        <v>BCM TALAD THATHONGMAI</v>
      </c>
      <c r="E729" s="1" t="str">
        <f>IFERROR(__xludf.DUMMYFUNCTION("""COMPUTED_VALUE"""),"บิ๊กซี MINI")</f>
        <v>บิ๊กซี MINI</v>
      </c>
      <c r="F729" s="1" t="str">
        <f>IFERROR(__xludf.DUMMYFUNCTION("""COMPUTED_VALUE"""),"250760")</f>
        <v>250760</v>
      </c>
      <c r="G729" s="1" t="str">
        <f>IFERROR(__xludf.DUMMYFUNCTION("""COMPUTED_VALUE"""),"นายประทวน สาราบรรณ์")</f>
        <v>นายประทวน สาราบรรณ์</v>
      </c>
      <c r="H729" s="1" t="str">
        <f>IFERROR(__xludf.DUMMYFUNCTION("""COMPUTED_VALUE"""),"228389")</f>
        <v>228389</v>
      </c>
      <c r="I729" s="1" t="str">
        <f>IFERROR(__xludf.DUMMYFUNCTION("""COMPUTED_VALUE"""),"นายมณีรันดร์ ชัยชนะ")</f>
        <v>นายมณีรันดร์ ชัยชนะ</v>
      </c>
      <c r="J729" s="3">
        <f>IFERROR(__xludf.DUMMYFUNCTION("""COMPUTED_VALUE"""),25324.0)</f>
        <v>25324</v>
      </c>
      <c r="K729" s="3" t="str">
        <f>IFERROR(__xludf.DUMMYFUNCTION("""COMPUTED_VALUE"""),"นายวิเชฎฐ์ ติรัตนะประคม")</f>
        <v>นายวิเชฎฐ์ ติรัตนะประคม</v>
      </c>
      <c r="L729" s="3" t="str">
        <f>IFERROR(__xludf.DUMMYFUNCTION("""COMPUTED_VALUE"""),"14 K.Wichet T.")</f>
        <v>14 K.Wichet T.</v>
      </c>
      <c r="M729" s="1" t="str">
        <f>IFERROR(__xludf.DUMMYFUNCTION("""COMPUTED_VALUE"""),"061-417-6569 / 086-445-5636")</f>
        <v>061-417-6569 / 086-445-5636</v>
      </c>
      <c r="N729" s="3">
        <f>IFERROR(__xludf.DUMMYFUNCTION("""COMPUTED_VALUE"""),22658.0)</f>
        <v>22658</v>
      </c>
      <c r="O729" s="3" t="str">
        <f>IFERROR(__xludf.DUMMYFUNCTION("""COMPUTED_VALUE"""),"BCM ถ.วิรัชหงษ์หยก ภูเก็ต")</f>
        <v>BCM ถ.วิรัชหงษ์หยก ภูเก็ต</v>
      </c>
      <c r="P729" s="4">
        <f>IFERROR(__xludf.DUMMYFUNCTION("""COMPUTED_VALUE"""),42985.0)</f>
        <v>42985</v>
      </c>
      <c r="Q729" s="3" t="str">
        <f>IFERROR(__xludf.DUMMYFUNCTION("""COMPUTED_VALUE"""),"A")</f>
        <v>A</v>
      </c>
      <c r="R729" s="3" t="str">
        <f>IFERROR(__xludf.DUMMYFUNCTION("""COMPUTED_VALUE"""),"Small Format")</f>
        <v>Small Format</v>
      </c>
      <c r="S729" s="3" t="str">
        <f>IFERROR(__xludf.DUMMYFUNCTION("""COMPUTED_VALUE"""),"BCM")</f>
        <v>BCM</v>
      </c>
      <c r="T729" s="3" t="str">
        <f>IFERROR(__xludf.DUMMYFUNCTION("""COMPUTED_VALUE"""),"#N/A")</f>
        <v>#N/A</v>
      </c>
      <c r="U729" s="3" t="str">
        <f>IFERROR(__xludf.DUMMYFUNCTION("""COMPUTED_VALUE"""),"#N/A")</f>
        <v>#N/A</v>
      </c>
      <c r="V729" s="3" t="str">
        <f>IFERROR(__xludf.DUMMYFUNCTION("""COMPUTED_VALUE"""),"N")</f>
        <v>N</v>
      </c>
      <c r="W729" s="3">
        <f>IFERROR(__xludf.DUMMYFUNCTION("""COMPUTED_VALUE"""),211379.0)</f>
        <v>211379</v>
      </c>
      <c r="X729" s="3" t="str">
        <f>IFERROR(__xludf.DUMMYFUNCTION("""COMPUTED_VALUE"""),"101/1 หมู่ 2 ตำบลท่าทองใหม่ อำเภอกาญจนดิษฐ์ จังหวัดสุราษฎร์ธานี 84290")</f>
        <v>101/1 หมู่ 2 ตำบลท่าทองใหม่ อำเภอกาญจนดิษฐ์ จังหวัดสุราษฎร์ธานี 84290</v>
      </c>
      <c r="Y729" s="3"/>
      <c r="Z729" s="3" t="str">
        <f>IFERROR(__xludf.DUMMYFUNCTION("""COMPUTED_VALUE"""),"ท่าทองใหม่")</f>
        <v>ท่าทองใหม่</v>
      </c>
      <c r="AA729" s="3" t="str">
        <f>IFERROR(__xludf.DUMMYFUNCTION("""COMPUTED_VALUE"""),"กาญจนดิษฐ์")</f>
        <v>กาญจนดิษฐ์</v>
      </c>
      <c r="AB729" s="3" t="str">
        <f>IFERROR(__xludf.DUMMYFUNCTION("""COMPUTED_VALUE"""),"สุราษฎร์ธานี")</f>
        <v>สุราษฎร์ธานี</v>
      </c>
      <c r="AC729" s="3">
        <f>IFERROR(__xludf.DUMMYFUNCTION("""COMPUTED_VALUE"""),84290.0)</f>
        <v>84290</v>
      </c>
      <c r="AD729" s="3">
        <f>IFERROR(__xludf.DUMMYFUNCTION("""COMPUTED_VALUE"""),9.148474)</f>
        <v>9.148474</v>
      </c>
      <c r="AE729" s="3">
        <f>IFERROR(__xludf.DUMMYFUNCTION("""COMPUTED_VALUE"""),99.393537)</f>
        <v>99.393537</v>
      </c>
      <c r="AF729" s="3" t="str">
        <f>IFERROR(__xludf.DUMMYFUNCTION("""COMPUTED_VALUE"""),"MBC ตลาดท่าทองใหม่-21497")</f>
        <v>MBC ตลาดท่าทองใหม่-21497</v>
      </c>
      <c r="AG729" s="3" t="str">
        <f>IFERROR(__xludf.DUMMYFUNCTION("""COMPUTED_VALUE"""),"ใต้")</f>
        <v>ใต้</v>
      </c>
      <c r="AH729" s="3" t="str">
        <f>IFERROR(__xludf.DUMMYFUNCTION("""COMPUTED_VALUE"""),"#N/A")</f>
        <v>#N/A</v>
      </c>
      <c r="AI729" s="3" t="str">
        <f>IFERROR(__xludf.DUMMYFUNCTION("""COMPUTED_VALUE"""),"Out of warranty")</f>
        <v>Out of warranty</v>
      </c>
      <c r="AJ729" s="3">
        <f>IFERROR(__xludf.DUMMYFUNCTION("""COMPUTED_VALUE"""),101.0)</f>
        <v>101</v>
      </c>
      <c r="AK729" s="3" t="str">
        <f>IFERROR(__xludf.DUMMYFUNCTION("""COMPUTED_VALUE"""),"MMS14")</f>
        <v>MMS14</v>
      </c>
      <c r="AL729" s="3"/>
    </row>
    <row r="730" ht="15.75" customHeight="1">
      <c r="A730" s="1" t="str">
        <f>IFERROR(__xludf.DUMMYFUNCTION("""COMPUTED_VALUE"""),"21498")</f>
        <v>21498</v>
      </c>
      <c r="B730" s="2">
        <f>IFERROR(__xludf.DUMMYFUNCTION("""COMPUTED_VALUE"""),21498.0)</f>
        <v>21498</v>
      </c>
      <c r="C730" s="3" t="str">
        <f>IFERROR(__xludf.DUMMYFUNCTION("""COMPUTED_VALUE"""),"MBC บ้านค่าย")</f>
        <v>MBC บ้านค่าย</v>
      </c>
      <c r="D730" s="3" t="str">
        <f>IFERROR(__xludf.DUMMYFUNCTION("""COMPUTED_VALUE"""),"BCM BANKHAI")</f>
        <v>BCM BANKHAI</v>
      </c>
      <c r="E730" s="1" t="str">
        <f>IFERROR(__xludf.DUMMYFUNCTION("""COMPUTED_VALUE"""),"บิ๊กซี MINI")</f>
        <v>บิ๊กซี MINI</v>
      </c>
      <c r="F730" s="1" t="str">
        <f>IFERROR(__xludf.DUMMYFUNCTION("""COMPUTED_VALUE"""),"221716")</f>
        <v>221716</v>
      </c>
      <c r="G730" s="1" t="str">
        <f>IFERROR(__xludf.DUMMYFUNCTION("""COMPUTED_VALUE"""),"น.ส.เบญจพร โพธิสาร")</f>
        <v>น.ส.เบญจพร โพธิสาร</v>
      </c>
      <c r="H730" s="1" t="str">
        <f>IFERROR(__xludf.DUMMYFUNCTION("""COMPUTED_VALUE"""),"359233")</f>
        <v>359233</v>
      </c>
      <c r="I730" s="1" t="str">
        <f>IFERROR(__xludf.DUMMYFUNCTION("""COMPUTED_VALUE"""),"น.ส.ปยุดา คำมีอ่อน")</f>
        <v>น.ส.ปยุดา คำมีอ่อน</v>
      </c>
      <c r="J730" s="3">
        <f>IFERROR(__xludf.DUMMYFUNCTION("""COMPUTED_VALUE"""),2452376.0)</f>
        <v>2452376</v>
      </c>
      <c r="K730" s="3" t="str">
        <f>IFERROR(__xludf.DUMMYFUNCTION("""COMPUTED_VALUE"""),"นายภาคภูมิ ทวีกุล")</f>
        <v>นายภาคภูมิ ทวีกุล</v>
      </c>
      <c r="L730" s="1" t="str">
        <f>IFERROR(__xludf.DUMMYFUNCTION("""COMPUTED_VALUE"""),"08 K.Parkphum T.")</f>
        <v>08 K.Parkphum T.</v>
      </c>
      <c r="M730" s="1" t="str">
        <f>IFERROR(__xludf.DUMMYFUNCTION("""COMPUTED_VALUE"""),"097-919-5476")</f>
        <v>097-919-5476</v>
      </c>
      <c r="N730" s="3">
        <f>IFERROR(__xludf.DUMMYFUNCTION("""COMPUTED_VALUE"""),22028.0)</f>
        <v>22028</v>
      </c>
      <c r="O730" s="3" t="str">
        <f>IFERROR(__xludf.DUMMYFUNCTION("""COMPUTED_VALUE"""),"MBC ทํบมา ระยอง")</f>
        <v>MBC ทํบมา ระยอง</v>
      </c>
      <c r="P730" s="4">
        <f>IFERROR(__xludf.DUMMYFUNCTION("""COMPUTED_VALUE"""),42991.0)</f>
        <v>42991</v>
      </c>
      <c r="Q730" s="3" t="str">
        <f>IFERROR(__xludf.DUMMYFUNCTION("""COMPUTED_VALUE"""),"A")</f>
        <v>A</v>
      </c>
      <c r="R730" s="3" t="str">
        <f>IFERROR(__xludf.DUMMYFUNCTION("""COMPUTED_VALUE"""),"Small Format")</f>
        <v>Small Format</v>
      </c>
      <c r="S730" s="3" t="str">
        <f>IFERROR(__xludf.DUMMYFUNCTION("""COMPUTED_VALUE"""),"BCM")</f>
        <v>BCM</v>
      </c>
      <c r="T730" s="3" t="str">
        <f>IFERROR(__xludf.DUMMYFUNCTION("""COMPUTED_VALUE"""),"#N/A")</f>
        <v>#N/A</v>
      </c>
      <c r="U730" s="3" t="str">
        <f>IFERROR(__xludf.DUMMYFUNCTION("""COMPUTED_VALUE"""),"#N/A")</f>
        <v>#N/A</v>
      </c>
      <c r="V730" s="3" t="str">
        <f>IFERROR(__xludf.DUMMYFUNCTION("""COMPUTED_VALUE"""),"N")</f>
        <v>N</v>
      </c>
      <c r="W730" s="3">
        <f>IFERROR(__xludf.DUMMYFUNCTION("""COMPUTED_VALUE"""),211432.0)</f>
        <v>211432</v>
      </c>
      <c r="X730" s="3" t="str">
        <f>IFERROR(__xludf.DUMMYFUNCTION("""COMPUTED_VALUE"""),"92/5 หมู่2 ตำบลบ้านค่าย อำเภอบ้านค่าย จังหวัดระยอง 21120")</f>
        <v>92/5 หมู่2 ตำบลบ้านค่าย อำเภอบ้านค่าย จังหวัดระยอง 21120</v>
      </c>
      <c r="Y730" s="3"/>
      <c r="Z730" s="3" t="str">
        <f>IFERROR(__xludf.DUMMYFUNCTION("""COMPUTED_VALUE"""),"บ้านค่าย")</f>
        <v>บ้านค่าย</v>
      </c>
      <c r="AA730" s="3" t="str">
        <f>IFERROR(__xludf.DUMMYFUNCTION("""COMPUTED_VALUE"""),"บ้านค่าย")</f>
        <v>บ้านค่าย</v>
      </c>
      <c r="AB730" s="3" t="str">
        <f>IFERROR(__xludf.DUMMYFUNCTION("""COMPUTED_VALUE"""),"ระยอง")</f>
        <v>ระยอง</v>
      </c>
      <c r="AC730" s="3">
        <f>IFERROR(__xludf.DUMMYFUNCTION("""COMPUTED_VALUE"""),21120.0)</f>
        <v>21120</v>
      </c>
      <c r="AD730" s="3">
        <f>IFERROR(__xludf.DUMMYFUNCTION("""COMPUTED_VALUE"""),12.789512)</f>
        <v>12.789512</v>
      </c>
      <c r="AE730" s="3">
        <f>IFERROR(__xludf.DUMMYFUNCTION("""COMPUTED_VALUE"""),101.29754)</f>
        <v>101.29754</v>
      </c>
      <c r="AF730" s="3" t="str">
        <f>IFERROR(__xludf.DUMMYFUNCTION("""COMPUTED_VALUE"""),"MBC บ้านค่าย-21498")</f>
        <v>MBC บ้านค่าย-21498</v>
      </c>
      <c r="AG730" s="3" t="str">
        <f>IFERROR(__xludf.DUMMYFUNCTION("""COMPUTED_VALUE"""),"ตะวันออก")</f>
        <v>ตะวันออก</v>
      </c>
      <c r="AH730" s="3" t="str">
        <f>IFERROR(__xludf.DUMMYFUNCTION("""COMPUTED_VALUE"""),"#N/A")</f>
        <v>#N/A</v>
      </c>
      <c r="AI730" s="3" t="str">
        <f>IFERROR(__xludf.DUMMYFUNCTION("""COMPUTED_VALUE"""),"Out of warranty")</f>
        <v>Out of warranty</v>
      </c>
      <c r="AJ730" s="3">
        <f>IFERROR(__xludf.DUMMYFUNCTION("""COMPUTED_VALUE"""),101.0)</f>
        <v>101</v>
      </c>
      <c r="AK730" s="3" t="str">
        <f>IFERROR(__xludf.DUMMYFUNCTION("""COMPUTED_VALUE"""),"MMS08")</f>
        <v>MMS08</v>
      </c>
      <c r="AL730" s="3"/>
    </row>
    <row r="731" ht="15.75" customHeight="1">
      <c r="A731" s="1" t="str">
        <f>IFERROR(__xludf.DUMMYFUNCTION("""COMPUTED_VALUE"""),"21499")</f>
        <v>21499</v>
      </c>
      <c r="B731" s="2">
        <f>IFERROR(__xludf.DUMMYFUNCTION("""COMPUTED_VALUE"""),21499.0)</f>
        <v>21499</v>
      </c>
      <c r="C731" s="3" t="str">
        <f>IFERROR(__xludf.DUMMYFUNCTION("""COMPUTED_VALUE"""),"MBC นิคมอุตสาหกรรมสุรนารี")</f>
        <v>MBC นิคมอุตสาหกรรมสุรนารี</v>
      </c>
      <c r="D731" s="3" t="str">
        <f>IFERROR(__xludf.DUMMYFUNCTION("""COMPUTED_VALUE"""),"BCM NIKOMSURANARI")</f>
        <v>BCM NIKOMSURANARI</v>
      </c>
      <c r="E731" s="1" t="str">
        <f>IFERROR(__xludf.DUMMYFUNCTION("""COMPUTED_VALUE"""),"บิ๊กซี MINI")</f>
        <v>บิ๊กซี MINI</v>
      </c>
      <c r="F731" s="1" t="str">
        <f>IFERROR(__xludf.DUMMYFUNCTION("""COMPUTED_VALUE"""),"291105")</f>
        <v>291105</v>
      </c>
      <c r="G731" s="1" t="str">
        <f>IFERROR(__xludf.DUMMYFUNCTION("""COMPUTED_VALUE"""),"นายสราวุฒิ พณิชยกุล")</f>
        <v>นายสราวุฒิ พณิชยกุล</v>
      </c>
      <c r="H731" s="1" t="str">
        <f>IFERROR(__xludf.DUMMYFUNCTION("""COMPUTED_VALUE"""),"281315")</f>
        <v>281315</v>
      </c>
      <c r="I731" s="1" t="str">
        <f>IFERROR(__xludf.DUMMYFUNCTION("""COMPUTED_VALUE"""),"นายกิตติพงษ์ มั่นคง")</f>
        <v>นายกิตติพงษ์ มั่นคง</v>
      </c>
      <c r="J731" s="3">
        <f>IFERROR(__xludf.DUMMYFUNCTION("""COMPUTED_VALUE"""),15361.0)</f>
        <v>15361</v>
      </c>
      <c r="K731" s="3" t="str">
        <f>IFERROR(__xludf.DUMMYFUNCTION("""COMPUTED_VALUE"""),"นายสมบูรณ์ พรหมในเมือง")</f>
        <v>นายสมบูรณ์ พรหมในเมือง</v>
      </c>
      <c r="L731" s="1" t="str">
        <f>IFERROR(__xludf.DUMMYFUNCTION("""COMPUTED_VALUE"""),"04 K.Somboon P.")</f>
        <v>04 K.Somboon P.</v>
      </c>
      <c r="M731" s="1" t="str">
        <f>IFERROR(__xludf.DUMMYFUNCTION("""COMPUTED_VALUE"""),"087-965-3051")</f>
        <v>087-965-3051</v>
      </c>
      <c r="N731" s="3">
        <f>IFERROR(__xludf.DUMMYFUNCTION("""COMPUTED_VALUE"""),21869.0)</f>
        <v>21869</v>
      </c>
      <c r="O731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731" s="4">
        <f>IFERROR(__xludf.DUMMYFUNCTION("""COMPUTED_VALUE"""),42981.0)</f>
        <v>42981</v>
      </c>
      <c r="Q731" s="3" t="str">
        <f>IFERROR(__xludf.DUMMYFUNCTION("""COMPUTED_VALUE"""),"A")</f>
        <v>A</v>
      </c>
      <c r="R731" s="3" t="str">
        <f>IFERROR(__xludf.DUMMYFUNCTION("""COMPUTED_VALUE"""),"Small Format")</f>
        <v>Small Format</v>
      </c>
      <c r="S731" s="3" t="str">
        <f>IFERROR(__xludf.DUMMYFUNCTION("""COMPUTED_VALUE"""),"BCM")</f>
        <v>BCM</v>
      </c>
      <c r="T731" s="3" t="str">
        <f>IFERROR(__xludf.DUMMYFUNCTION("""COMPUTED_VALUE"""),"#N/A")</f>
        <v>#N/A</v>
      </c>
      <c r="U731" s="3" t="str">
        <f>IFERROR(__xludf.DUMMYFUNCTION("""COMPUTED_VALUE"""),"#N/A")</f>
        <v>#N/A</v>
      </c>
      <c r="V731" s="3" t="str">
        <f>IFERROR(__xludf.DUMMYFUNCTION("""COMPUTED_VALUE"""),"N")</f>
        <v>N</v>
      </c>
      <c r="W731" s="3">
        <f>IFERROR(__xludf.DUMMYFUNCTION("""COMPUTED_VALUE"""),211455.0)</f>
        <v>211455</v>
      </c>
      <c r="X731" s="3" t="str">
        <f>IFERROR(__xludf.DUMMYFUNCTION("""COMPUTED_VALUE"""),"563 หมู่ 6 ตำบลหนองระเวียง อำเภอเมืองนครราชสีมา จังหวัดนครราชสีมา 30000")</f>
        <v>563 หมู่ 6 ตำบลหนองระเวียง อำเภอเมืองนครราชสีมา จังหวัดนครราชสีมา 30000</v>
      </c>
      <c r="Y731" s="3"/>
      <c r="Z731" s="3" t="str">
        <f>IFERROR(__xludf.DUMMYFUNCTION("""COMPUTED_VALUE"""),"หนองระเวียง")</f>
        <v>หนองระเวียง</v>
      </c>
      <c r="AA731" s="3" t="str">
        <f>IFERROR(__xludf.DUMMYFUNCTION("""COMPUTED_VALUE"""),"เมือง")</f>
        <v>เมือง</v>
      </c>
      <c r="AB731" s="3" t="str">
        <f>IFERROR(__xludf.DUMMYFUNCTION("""COMPUTED_VALUE"""),"นครราชสีมา")</f>
        <v>นครราชสีมา</v>
      </c>
      <c r="AC731" s="3">
        <f>IFERROR(__xludf.DUMMYFUNCTION("""COMPUTED_VALUE"""),30000.0)</f>
        <v>30000</v>
      </c>
      <c r="AD731" s="3">
        <f>IFERROR(__xludf.DUMMYFUNCTION("""COMPUTED_VALUE"""),14.92254929)</f>
        <v>14.92254929</v>
      </c>
      <c r="AE731" s="3">
        <f>IFERROR(__xludf.DUMMYFUNCTION("""COMPUTED_VALUE"""),102.1818704)</f>
        <v>102.1818704</v>
      </c>
      <c r="AF731" s="3" t="str">
        <f>IFERROR(__xludf.DUMMYFUNCTION("""COMPUTED_VALUE"""),"MBC นิคมอุตสาหกรรมสุรนารี-21499")</f>
        <v>MBC นิคมอุตสาหกรรมสุรนารี-21499</v>
      </c>
      <c r="AG731" s="3" t="str">
        <f>IFERROR(__xludf.DUMMYFUNCTION("""COMPUTED_VALUE"""),"ตะวันออกเฉียงเหนือ")</f>
        <v>ตะวันออกเฉียงเหนือ</v>
      </c>
      <c r="AH731" s="3" t="str">
        <f>IFERROR(__xludf.DUMMYFUNCTION("""COMPUTED_VALUE"""),"#N/A")</f>
        <v>#N/A</v>
      </c>
      <c r="AI731" s="3" t="str">
        <f>IFERROR(__xludf.DUMMYFUNCTION("""COMPUTED_VALUE"""),"Out of warranty")</f>
        <v>Out of warranty</v>
      </c>
      <c r="AJ731" s="3">
        <f>IFERROR(__xludf.DUMMYFUNCTION("""COMPUTED_VALUE"""),101.0)</f>
        <v>101</v>
      </c>
      <c r="AK731" s="3" t="str">
        <f>IFERROR(__xludf.DUMMYFUNCTION("""COMPUTED_VALUE"""),"MMS11")</f>
        <v>MMS11</v>
      </c>
      <c r="AL731" s="3"/>
    </row>
    <row r="732" ht="15.75" customHeight="1">
      <c r="A732" s="1" t="str">
        <f>IFERROR(__xludf.DUMMYFUNCTION("""COMPUTED_VALUE"""),"21500")</f>
        <v>21500</v>
      </c>
      <c r="B732" s="2">
        <f>IFERROR(__xludf.DUMMYFUNCTION("""COMPUTED_VALUE"""),21500.0)</f>
        <v>21500</v>
      </c>
      <c r="C732" s="3" t="str">
        <f>IFERROR(__xludf.DUMMYFUNCTION("""COMPUTED_VALUE"""),"MBC นาเกลือ-บางละมุง")</f>
        <v>MBC นาเกลือ-บางละมุง</v>
      </c>
      <c r="D732" s="3" t="str">
        <f>IFERROR(__xludf.DUMMYFUNCTION("""COMPUTED_VALUE"""),"BCM NAKLUA - BANGLAMUNG")</f>
        <v>BCM NAKLUA - BANGLAMUNG</v>
      </c>
      <c r="E732" s="1" t="str">
        <f>IFERROR(__xludf.DUMMYFUNCTION("""COMPUTED_VALUE"""),"บิ๊กซี MINI")</f>
        <v>บิ๊กซี MINI</v>
      </c>
      <c r="F732" s="1" t="str">
        <f>IFERROR(__xludf.DUMMYFUNCTION("""COMPUTED_VALUE"""),"221716")</f>
        <v>221716</v>
      </c>
      <c r="G732" s="1" t="str">
        <f>IFERROR(__xludf.DUMMYFUNCTION("""COMPUTED_VALUE"""),"น.ส.เบญจพร โพธิสาร")</f>
        <v>น.ส.เบญจพร โพธิสาร</v>
      </c>
      <c r="H732" s="1" t="str">
        <f>IFERROR(__xludf.DUMMYFUNCTION("""COMPUTED_VALUE"""),"291061")</f>
        <v>291061</v>
      </c>
      <c r="I732" s="1" t="str">
        <f>IFERROR(__xludf.DUMMYFUNCTION("""COMPUTED_VALUE"""),"นายสมศักดิ์ เสียงก้อง")</f>
        <v>นายสมศักดิ์ เสียงก้อง</v>
      </c>
      <c r="J732" s="3">
        <f>IFERROR(__xludf.DUMMYFUNCTION("""COMPUTED_VALUE"""),296942.0)</f>
        <v>296942</v>
      </c>
      <c r="K732" s="3" t="str">
        <f>IFERROR(__xludf.DUMMYFUNCTION("""COMPUTED_VALUE"""),"นายปิยะ รักษากิจ")</f>
        <v>นายปิยะ รักษากิจ</v>
      </c>
      <c r="L732" s="1" t="str">
        <f>IFERROR(__xludf.DUMMYFUNCTION("""COMPUTED_VALUE"""),"07 K.Piya R.")</f>
        <v>07 K.Piya R.</v>
      </c>
      <c r="M732" s="1" t="str">
        <f>IFERROR(__xludf.DUMMYFUNCTION("""COMPUTED_VALUE"""),"097-919-5476")</f>
        <v>097-919-5476</v>
      </c>
      <c r="N732" s="3">
        <f>IFERROR(__xludf.DUMMYFUNCTION("""COMPUTED_VALUE"""),21332.0)</f>
        <v>21332</v>
      </c>
      <c r="O732" s="3" t="str">
        <f>IFERROR(__xludf.DUMMYFUNCTION("""COMPUTED_VALUE"""),"MBC BCP อ่อนนุช 17/1")</f>
        <v>MBC BCP อ่อนนุช 17/1</v>
      </c>
      <c r="P732" s="4">
        <f>IFERROR(__xludf.DUMMYFUNCTION("""COMPUTED_VALUE"""),42993.0)</f>
        <v>42993</v>
      </c>
      <c r="Q732" s="3" t="str">
        <f>IFERROR(__xludf.DUMMYFUNCTION("""COMPUTED_VALUE"""),"A")</f>
        <v>A</v>
      </c>
      <c r="R732" s="3" t="str">
        <f>IFERROR(__xludf.DUMMYFUNCTION("""COMPUTED_VALUE"""),"Small Format")</f>
        <v>Small Format</v>
      </c>
      <c r="S732" s="3" t="str">
        <f>IFERROR(__xludf.DUMMYFUNCTION("""COMPUTED_VALUE"""),"BCM")</f>
        <v>BCM</v>
      </c>
      <c r="T732" s="3" t="str">
        <f>IFERROR(__xludf.DUMMYFUNCTION("""COMPUTED_VALUE"""),"#N/A")</f>
        <v>#N/A</v>
      </c>
      <c r="U732" s="3" t="str">
        <f>IFERROR(__xludf.DUMMYFUNCTION("""COMPUTED_VALUE"""),"#N/A")</f>
        <v>#N/A</v>
      </c>
      <c r="V732" s="3" t="str">
        <f>IFERROR(__xludf.DUMMYFUNCTION("""COMPUTED_VALUE"""),"N")</f>
        <v>N</v>
      </c>
      <c r="W732" s="3">
        <f>IFERROR(__xludf.DUMMYFUNCTION("""COMPUTED_VALUE"""),211449.0)</f>
        <v>211449</v>
      </c>
      <c r="X732" s="3" t="str">
        <f>IFERROR(__xludf.DUMMYFUNCTION("""COMPUTED_VALUE"""),"116/11-13 หมู่ 5 ตำบลนาเกลือ อำเภอบางละมุง จังหวัดชลบุรี 20150")</f>
        <v>116/11-13 หมู่ 5 ตำบลนาเกลือ อำเภอบางละมุง จังหวัดชลบุรี 20150</v>
      </c>
      <c r="Y732" s="3"/>
      <c r="Z732" s="3" t="str">
        <f>IFERROR(__xludf.DUMMYFUNCTION("""COMPUTED_VALUE"""),"นาเกลือ")</f>
        <v>นาเกลือ</v>
      </c>
      <c r="AA732" s="3" t="str">
        <f>IFERROR(__xludf.DUMMYFUNCTION("""COMPUTED_VALUE"""),"บางละมุง")</f>
        <v>บางละมุง</v>
      </c>
      <c r="AB732" s="3" t="str">
        <f>IFERROR(__xludf.DUMMYFUNCTION("""COMPUTED_VALUE"""),"ชลบุรี")</f>
        <v>ชลบุรี</v>
      </c>
      <c r="AC732" s="3">
        <f>IFERROR(__xludf.DUMMYFUNCTION("""COMPUTED_VALUE"""),20150.0)</f>
        <v>20150</v>
      </c>
      <c r="AD732" s="3">
        <f>IFERROR(__xludf.DUMMYFUNCTION("""COMPUTED_VALUE"""),12.964482)</f>
        <v>12.964482</v>
      </c>
      <c r="AE732" s="3">
        <f>IFERROR(__xludf.DUMMYFUNCTION("""COMPUTED_VALUE"""),100.89711)</f>
        <v>100.89711</v>
      </c>
      <c r="AF732" s="3" t="str">
        <f>IFERROR(__xludf.DUMMYFUNCTION("""COMPUTED_VALUE"""),"MBC นาเกลือ-บางละมุง-21500")</f>
        <v>MBC นาเกลือ-บางละมุง-21500</v>
      </c>
      <c r="AG732" s="3" t="str">
        <f>IFERROR(__xludf.DUMMYFUNCTION("""COMPUTED_VALUE"""),"ตะวันออก")</f>
        <v>ตะวันออก</v>
      </c>
      <c r="AH732" s="3" t="str">
        <f>IFERROR(__xludf.DUMMYFUNCTION("""COMPUTED_VALUE"""),"#N/A")</f>
        <v>#N/A</v>
      </c>
      <c r="AI732" s="3" t="str">
        <f>IFERROR(__xludf.DUMMYFUNCTION("""COMPUTED_VALUE"""),"Out of warranty")</f>
        <v>Out of warranty</v>
      </c>
      <c r="AJ732" s="3">
        <f>IFERROR(__xludf.DUMMYFUNCTION("""COMPUTED_VALUE"""),101.0)</f>
        <v>101</v>
      </c>
      <c r="AK732" s="3" t="str">
        <f>IFERROR(__xludf.DUMMYFUNCTION("""COMPUTED_VALUE"""),"MMS06")</f>
        <v>MMS06</v>
      </c>
      <c r="AL732" s="3"/>
    </row>
    <row r="733" ht="15.75" customHeight="1">
      <c r="A733" s="1" t="str">
        <f>IFERROR(__xludf.DUMMYFUNCTION("""COMPUTED_VALUE"""),"21501")</f>
        <v>21501</v>
      </c>
      <c r="B733" s="2">
        <f>IFERROR(__xludf.DUMMYFUNCTION("""COMPUTED_VALUE"""),21501.0)</f>
        <v>21501</v>
      </c>
      <c r="C733" s="3" t="str">
        <f>IFERROR(__xludf.DUMMYFUNCTION("""COMPUTED_VALUE"""),"MBC แปลงยาว")</f>
        <v>MBC แปลงยาว</v>
      </c>
      <c r="D733" s="3" t="str">
        <f>IFERROR(__xludf.DUMMYFUNCTION("""COMPUTED_VALUE"""),"BCM PLAENGYAO")</f>
        <v>BCM PLAENGYAO</v>
      </c>
      <c r="E733" s="1" t="str">
        <f>IFERROR(__xludf.DUMMYFUNCTION("""COMPUTED_VALUE"""),"บิ๊กซี MINI")</f>
        <v>บิ๊กซี MINI</v>
      </c>
      <c r="F733" s="1" t="str">
        <f>IFERROR(__xludf.DUMMYFUNCTION("""COMPUTED_VALUE"""),"2083447")</f>
        <v>2083447</v>
      </c>
      <c r="G733" s="1" t="str">
        <f>IFERROR(__xludf.DUMMYFUNCTION("""COMPUTED_VALUE"""),"นายอนุกูล ศรีลัดดา")</f>
        <v>นายอนุกูล ศรีลัดดา</v>
      </c>
      <c r="H733" s="1" t="str">
        <f>IFERROR(__xludf.DUMMYFUNCTION("""COMPUTED_VALUE"""),"254957")</f>
        <v>254957</v>
      </c>
      <c r="I733" s="1" t="str">
        <f>IFERROR(__xludf.DUMMYFUNCTION("""COMPUTED_VALUE"""),"น.ส.ศิริพร รุ่งธัญญา")</f>
        <v>น.ส.ศิริพร รุ่งธัญญา</v>
      </c>
      <c r="J733" s="3">
        <f>IFERROR(__xludf.DUMMYFUNCTION("""COMPUTED_VALUE"""),510143.0)</f>
        <v>510143</v>
      </c>
      <c r="K733" s="3" t="str">
        <f>IFERROR(__xludf.DUMMYFUNCTION("""COMPUTED_VALUE"""),"นายธีระวัฒน์ บุญสิทธิ์")</f>
        <v>นายธีระวัฒน์ บุญสิทธิ์</v>
      </c>
      <c r="L733" s="1" t="str">
        <f>IFERROR(__xludf.DUMMYFUNCTION("""COMPUTED_VALUE"""),"12 K.Theerawat B.")</f>
        <v>12 K.Theerawat B.</v>
      </c>
      <c r="M733" s="1" t="str">
        <f>IFERROR(__xludf.DUMMYFUNCTION("""COMPUTED_VALUE"""),"0655107379")</f>
        <v>0655107379</v>
      </c>
      <c r="N733" s="3">
        <f>IFERROR(__xludf.DUMMYFUNCTION("""COMPUTED_VALUE"""),21062.0)</f>
        <v>21062</v>
      </c>
      <c r="O733" s="3" t="str">
        <f>IFERROR(__xludf.DUMMYFUNCTION("""COMPUTED_VALUE"""),"MBC นิคมนวนคร")</f>
        <v>MBC นิคมนวนคร</v>
      </c>
      <c r="P733" s="4">
        <f>IFERROR(__xludf.DUMMYFUNCTION("""COMPUTED_VALUE"""),42983.0)</f>
        <v>42983</v>
      </c>
      <c r="Q733" s="3" t="str">
        <f>IFERROR(__xludf.DUMMYFUNCTION("""COMPUTED_VALUE"""),"A")</f>
        <v>A</v>
      </c>
      <c r="R733" s="3" t="str">
        <f>IFERROR(__xludf.DUMMYFUNCTION("""COMPUTED_VALUE"""),"Small Format")</f>
        <v>Small Format</v>
      </c>
      <c r="S733" s="3" t="str">
        <f>IFERROR(__xludf.DUMMYFUNCTION("""COMPUTED_VALUE"""),"BCM")</f>
        <v>BCM</v>
      </c>
      <c r="T733" s="3" t="str">
        <f>IFERROR(__xludf.DUMMYFUNCTION("""COMPUTED_VALUE"""),"#N/A")</f>
        <v>#N/A</v>
      </c>
      <c r="U733" s="3" t="str">
        <f>IFERROR(__xludf.DUMMYFUNCTION("""COMPUTED_VALUE"""),"#N/A")</f>
        <v>#N/A</v>
      </c>
      <c r="V733" s="3" t="str">
        <f>IFERROR(__xludf.DUMMYFUNCTION("""COMPUTED_VALUE"""),"N")</f>
        <v>N</v>
      </c>
      <c r="W733" s="3">
        <f>IFERROR(__xludf.DUMMYFUNCTION("""COMPUTED_VALUE"""),211407.0)</f>
        <v>211407</v>
      </c>
      <c r="X733" s="3" t="str">
        <f>IFERROR(__xludf.DUMMYFUNCTION("""COMPUTED_VALUE"""),"91/1 หมู่ 7 ตำบลวังเย็น อำเภอแปลงยาว จังหวัดฉะเชิงเทรา 24190")</f>
        <v>91/1 หมู่ 7 ตำบลวังเย็น อำเภอแปลงยาว จังหวัดฉะเชิงเทรา 24190</v>
      </c>
      <c r="Y733" s="3"/>
      <c r="Z733" s="3" t="str">
        <f>IFERROR(__xludf.DUMMYFUNCTION("""COMPUTED_VALUE"""),"วังเย็น")</f>
        <v>วังเย็น</v>
      </c>
      <c r="AA733" s="3" t="str">
        <f>IFERROR(__xludf.DUMMYFUNCTION("""COMPUTED_VALUE"""),"แปลงยาว")</f>
        <v>แปลงยาว</v>
      </c>
      <c r="AB733" s="3" t="str">
        <f>IFERROR(__xludf.DUMMYFUNCTION("""COMPUTED_VALUE"""),"ฉะเชิงเทรา")</f>
        <v>ฉะเชิงเทรา</v>
      </c>
      <c r="AC733" s="3">
        <f>IFERROR(__xludf.DUMMYFUNCTION("""COMPUTED_VALUE"""),24190.0)</f>
        <v>24190</v>
      </c>
      <c r="AD733" s="3">
        <f>IFERROR(__xludf.DUMMYFUNCTION("""COMPUTED_VALUE"""),13.584155)</f>
        <v>13.584155</v>
      </c>
      <c r="AE733" s="3">
        <f>IFERROR(__xludf.DUMMYFUNCTION("""COMPUTED_VALUE"""),101.286562)</f>
        <v>101.286562</v>
      </c>
      <c r="AF733" s="3" t="str">
        <f>IFERROR(__xludf.DUMMYFUNCTION("""COMPUTED_VALUE"""),"MBC แปลงยาว-21501")</f>
        <v>MBC แปลงยาว-21501</v>
      </c>
      <c r="AG733" s="3" t="str">
        <f>IFERROR(__xludf.DUMMYFUNCTION("""COMPUTED_VALUE"""),"ตะวันออก")</f>
        <v>ตะวันออก</v>
      </c>
      <c r="AH733" s="3" t="str">
        <f>IFERROR(__xludf.DUMMYFUNCTION("""COMPUTED_VALUE"""),"#N/A")</f>
        <v>#N/A</v>
      </c>
      <c r="AI733" s="3" t="str">
        <f>IFERROR(__xludf.DUMMYFUNCTION("""COMPUTED_VALUE"""),"Out of warranty")</f>
        <v>Out of warranty</v>
      </c>
      <c r="AJ733" s="3">
        <f>IFERROR(__xludf.DUMMYFUNCTION("""COMPUTED_VALUE"""),101.0)</f>
        <v>101</v>
      </c>
      <c r="AK733" s="3" t="str">
        <f>IFERROR(__xludf.DUMMYFUNCTION("""COMPUTED_VALUE"""),"MMS07")</f>
        <v>MMS07</v>
      </c>
      <c r="AL733" s="3"/>
    </row>
    <row r="734" ht="15.75" customHeight="1">
      <c r="A734" s="1" t="str">
        <f>IFERROR(__xludf.DUMMYFUNCTION("""COMPUTED_VALUE"""),"21502")</f>
        <v>21502</v>
      </c>
      <c r="B734" s="2">
        <f>IFERROR(__xludf.DUMMYFUNCTION("""COMPUTED_VALUE"""),21502.0)</f>
        <v>21502</v>
      </c>
      <c r="C734" s="3" t="str">
        <f>IFERROR(__xludf.DUMMYFUNCTION("""COMPUTED_VALUE"""),"MBC ชุมชนหนองหว้า ซอย 5")</f>
        <v>MBC ชุมชนหนองหว้า ซอย 5</v>
      </c>
      <c r="D734" s="3" t="str">
        <f>IFERROR(__xludf.DUMMYFUNCTION("""COMPUTED_VALUE"""),"BCM CHUMCHON NONGWA SOI 5")</f>
        <v>BCM CHUMCHON NONGWA SOI 5</v>
      </c>
      <c r="E734" s="1" t="str">
        <f>IFERROR(__xludf.DUMMYFUNCTION("""COMPUTED_VALUE"""),"บิ๊กซี MINI")</f>
        <v>บิ๊กซี MINI</v>
      </c>
      <c r="F734" s="1" t="str">
        <f>IFERROR(__xludf.DUMMYFUNCTION("""COMPUTED_VALUE"""),"221716")</f>
        <v>221716</v>
      </c>
      <c r="G734" s="1" t="str">
        <f>IFERROR(__xludf.DUMMYFUNCTION("""COMPUTED_VALUE"""),"น.ส.เบญจพร โพธิสาร")</f>
        <v>น.ส.เบญจพร โพธิสาร</v>
      </c>
      <c r="H734" s="1" t="str">
        <f>IFERROR(__xludf.DUMMYFUNCTION("""COMPUTED_VALUE"""),"376139")</f>
        <v>376139</v>
      </c>
      <c r="I734" s="1" t="str">
        <f>IFERROR(__xludf.DUMMYFUNCTION("""COMPUTED_VALUE"""),"นายอนุชา อำไพ")</f>
        <v>นายอนุชา อำไพ</v>
      </c>
      <c r="J734" s="3">
        <f>IFERROR(__xludf.DUMMYFUNCTION("""COMPUTED_VALUE"""),296942.0)</f>
        <v>296942</v>
      </c>
      <c r="K734" s="3" t="str">
        <f>IFERROR(__xludf.DUMMYFUNCTION("""COMPUTED_VALUE"""),"นายปิยะ รักษากิจ")</f>
        <v>นายปิยะ รักษากิจ</v>
      </c>
      <c r="L734" s="1" t="str">
        <f>IFERROR(__xludf.DUMMYFUNCTION("""COMPUTED_VALUE"""),"07 K.Piya R.")</f>
        <v>07 K.Piya R.</v>
      </c>
      <c r="M734" s="1" t="str">
        <f>IFERROR(__xludf.DUMMYFUNCTION("""COMPUTED_VALUE"""),"097-919-5476")</f>
        <v>097-919-5476</v>
      </c>
      <c r="N734" s="3">
        <f>IFERROR(__xludf.DUMMYFUNCTION("""COMPUTED_VALUE"""),21332.0)</f>
        <v>21332</v>
      </c>
      <c r="O734" s="3" t="str">
        <f>IFERROR(__xludf.DUMMYFUNCTION("""COMPUTED_VALUE"""),"MBC BCP อ่อนนุช 17/1")</f>
        <v>MBC BCP อ่อนนุช 17/1</v>
      </c>
      <c r="P734" s="4">
        <f>IFERROR(__xludf.DUMMYFUNCTION("""COMPUTED_VALUE"""),42995.0)</f>
        <v>42995</v>
      </c>
      <c r="Q734" s="3" t="str">
        <f>IFERROR(__xludf.DUMMYFUNCTION("""COMPUTED_VALUE"""),"A")</f>
        <v>A</v>
      </c>
      <c r="R734" s="3" t="str">
        <f>IFERROR(__xludf.DUMMYFUNCTION("""COMPUTED_VALUE"""),"Small Format")</f>
        <v>Small Format</v>
      </c>
      <c r="S734" s="3" t="str">
        <f>IFERROR(__xludf.DUMMYFUNCTION("""COMPUTED_VALUE"""),"BCM")</f>
        <v>BCM</v>
      </c>
      <c r="T734" s="3" t="str">
        <f>IFERROR(__xludf.DUMMYFUNCTION("""COMPUTED_VALUE"""),"#N/A")</f>
        <v>#N/A</v>
      </c>
      <c r="U734" s="3" t="str">
        <f>IFERROR(__xludf.DUMMYFUNCTION("""COMPUTED_VALUE"""),"#N/A")</f>
        <v>#N/A</v>
      </c>
      <c r="V734" s="3" t="str">
        <f>IFERROR(__xludf.DUMMYFUNCTION("""COMPUTED_VALUE"""),"N")</f>
        <v>N</v>
      </c>
      <c r="W734" s="3">
        <f>IFERROR(__xludf.DUMMYFUNCTION("""COMPUTED_VALUE"""),211451.0)</f>
        <v>211451</v>
      </c>
      <c r="X734" s="3" t="str">
        <f>IFERROR(__xludf.DUMMYFUNCTION("""COMPUTED_VALUE"""),"29/15 หมู่ 8 ตำบลบึง อำเภอศรีราชา จังหวัดชลบุรี 20230")</f>
        <v>29/15 หมู่ 8 ตำบลบึง อำเภอศรีราชา จังหวัดชลบุรี 20230</v>
      </c>
      <c r="Y734" s="3"/>
      <c r="Z734" s="3" t="str">
        <f>IFERROR(__xludf.DUMMYFUNCTION("""COMPUTED_VALUE"""),"บึง")</f>
        <v>บึง</v>
      </c>
      <c r="AA734" s="3" t="str">
        <f>IFERROR(__xludf.DUMMYFUNCTION("""COMPUTED_VALUE"""),"ศรีราชา")</f>
        <v>ศรีราชา</v>
      </c>
      <c r="AB734" s="3" t="str">
        <f>IFERROR(__xludf.DUMMYFUNCTION("""COMPUTED_VALUE"""),"ชลบุรี")</f>
        <v>ชลบุรี</v>
      </c>
      <c r="AC734" s="3">
        <f>IFERROR(__xludf.DUMMYFUNCTION("""COMPUTED_VALUE"""),20230.0)</f>
        <v>20230</v>
      </c>
      <c r="AD734" s="3">
        <f>IFERROR(__xludf.DUMMYFUNCTION("""COMPUTED_VALUE"""),13.07367)</f>
        <v>13.07367</v>
      </c>
      <c r="AE734" s="3">
        <f>IFERROR(__xludf.DUMMYFUNCTION("""COMPUTED_VALUE"""),101.007086)</f>
        <v>101.007086</v>
      </c>
      <c r="AF734" s="3" t="str">
        <f>IFERROR(__xludf.DUMMYFUNCTION("""COMPUTED_VALUE"""),"MBC ชุมชนหนองหว้า ซอย 5-21502")</f>
        <v>MBC ชุมชนหนองหว้า ซอย 5-21502</v>
      </c>
      <c r="AG734" s="3" t="str">
        <f>IFERROR(__xludf.DUMMYFUNCTION("""COMPUTED_VALUE"""),"ตะวันออก")</f>
        <v>ตะวันออก</v>
      </c>
      <c r="AH734" s="3" t="str">
        <f>IFERROR(__xludf.DUMMYFUNCTION("""COMPUTED_VALUE"""),"#N/A")</f>
        <v>#N/A</v>
      </c>
      <c r="AI734" s="3" t="str">
        <f>IFERROR(__xludf.DUMMYFUNCTION("""COMPUTED_VALUE"""),"Out of warranty")</f>
        <v>Out of warranty</v>
      </c>
      <c r="AJ734" s="3">
        <f>IFERROR(__xludf.DUMMYFUNCTION("""COMPUTED_VALUE"""),101.0)</f>
        <v>101</v>
      </c>
      <c r="AK734" s="3" t="str">
        <f>IFERROR(__xludf.DUMMYFUNCTION("""COMPUTED_VALUE"""),"MMS07")</f>
        <v>MMS07</v>
      </c>
      <c r="AL734" s="3"/>
    </row>
    <row r="735" ht="15.75" customHeight="1">
      <c r="A735" s="1" t="str">
        <f>IFERROR(__xludf.DUMMYFUNCTION("""COMPUTED_VALUE"""),"21503")</f>
        <v>21503</v>
      </c>
      <c r="B735" s="2">
        <f>IFERROR(__xludf.DUMMYFUNCTION("""COMPUTED_VALUE"""),21503.0)</f>
        <v>21503</v>
      </c>
      <c r="C735" s="3" t="str">
        <f>IFERROR(__xludf.DUMMYFUNCTION("""COMPUTED_VALUE"""),"MBC ถนนโพธิ์ทอง")</f>
        <v>MBC ถนนโพธิ์ทอง</v>
      </c>
      <c r="D735" s="3" t="str">
        <f>IFERROR(__xludf.DUMMYFUNCTION("""COMPUTED_VALUE"""),"BCM THANON PHOTHONG")</f>
        <v>BCM THANON PHOTHONG</v>
      </c>
      <c r="E735" s="1" t="str">
        <f>IFERROR(__xludf.DUMMYFUNCTION("""COMPUTED_VALUE"""),"บิ๊กซี MINI")</f>
        <v>บิ๊กซี MINI</v>
      </c>
      <c r="F735" s="1" t="str">
        <f>IFERROR(__xludf.DUMMYFUNCTION("""COMPUTED_VALUE"""),"221716")</f>
        <v>221716</v>
      </c>
      <c r="G735" s="1" t="str">
        <f>IFERROR(__xludf.DUMMYFUNCTION("""COMPUTED_VALUE"""),"น.ส.เบญจพร โพธิสาร")</f>
        <v>น.ส.เบญจพร โพธิสาร</v>
      </c>
      <c r="H735" s="1" t="str">
        <f>IFERROR(__xludf.DUMMYFUNCTION("""COMPUTED_VALUE"""),"359233")</f>
        <v>359233</v>
      </c>
      <c r="I735" s="1" t="str">
        <f>IFERROR(__xludf.DUMMYFUNCTION("""COMPUTED_VALUE"""),"น.ส.ปยุดา คำมีอ่อน")</f>
        <v>น.ส.ปยุดา คำมีอ่อน</v>
      </c>
      <c r="J735" s="3">
        <f>IFERROR(__xludf.DUMMYFUNCTION("""COMPUTED_VALUE"""),2452376.0)</f>
        <v>2452376</v>
      </c>
      <c r="K735" s="3" t="str">
        <f>IFERROR(__xludf.DUMMYFUNCTION("""COMPUTED_VALUE"""),"นายภาคภูมิ ทวีกุล")</f>
        <v>นายภาคภูมิ ทวีกุล</v>
      </c>
      <c r="L735" s="1" t="str">
        <f>IFERROR(__xludf.DUMMYFUNCTION("""COMPUTED_VALUE"""),"08 K.Parkphum T.")</f>
        <v>08 K.Parkphum T.</v>
      </c>
      <c r="M735" s="1" t="str">
        <f>IFERROR(__xludf.DUMMYFUNCTION("""COMPUTED_VALUE"""),"097-919-5476")</f>
        <v>097-919-5476</v>
      </c>
      <c r="N735" s="3">
        <f>IFERROR(__xludf.DUMMYFUNCTION("""COMPUTED_VALUE"""),22028.0)</f>
        <v>22028</v>
      </c>
      <c r="O735" s="3" t="str">
        <f>IFERROR(__xludf.DUMMYFUNCTION("""COMPUTED_VALUE"""),"MBC ทํบมา ระยอง")</f>
        <v>MBC ทํบมา ระยอง</v>
      </c>
      <c r="P735" s="4">
        <f>IFERROR(__xludf.DUMMYFUNCTION("""COMPUTED_VALUE"""),42987.0)</f>
        <v>42987</v>
      </c>
      <c r="Q735" s="3" t="str">
        <f>IFERROR(__xludf.DUMMYFUNCTION("""COMPUTED_VALUE"""),"A")</f>
        <v>A</v>
      </c>
      <c r="R735" s="3" t="str">
        <f>IFERROR(__xludf.DUMMYFUNCTION("""COMPUTED_VALUE"""),"Small Format")</f>
        <v>Small Format</v>
      </c>
      <c r="S735" s="3" t="str">
        <f>IFERROR(__xludf.DUMMYFUNCTION("""COMPUTED_VALUE"""),"BCM")</f>
        <v>BCM</v>
      </c>
      <c r="T735" s="3" t="str">
        <f>IFERROR(__xludf.DUMMYFUNCTION("""COMPUTED_VALUE"""),"#N/A")</f>
        <v>#N/A</v>
      </c>
      <c r="U735" s="3" t="str">
        <f>IFERROR(__xludf.DUMMYFUNCTION("""COMPUTED_VALUE"""),"#N/A")</f>
        <v>#N/A</v>
      </c>
      <c r="V735" s="3" t="str">
        <f>IFERROR(__xludf.DUMMYFUNCTION("""COMPUTED_VALUE"""),"N")</f>
        <v>N</v>
      </c>
      <c r="W735" s="3">
        <f>IFERROR(__xludf.DUMMYFUNCTION("""COMPUTED_VALUE"""),211454.0)</f>
        <v>211454</v>
      </c>
      <c r="X735" s="3" t="str">
        <f>IFERROR(__xludf.DUMMYFUNCTION("""COMPUTED_VALUE"""),"88/14 ถนนโพธิ์ทอง ตำบลทางเกวียน อำเภอแกลง จังหวัดระยอง 21110")</f>
        <v>88/14 ถนนโพธิ์ทอง ตำบลทางเกวียน อำเภอแกลง จังหวัดระยอง 21110</v>
      </c>
      <c r="Y735" s="3" t="str">
        <f>IFERROR(__xludf.DUMMYFUNCTION("""COMPUTED_VALUE"""),"ถนนโพธิ์ทอง")</f>
        <v>ถนนโพธิ์ทอง</v>
      </c>
      <c r="Z735" s="3" t="str">
        <f>IFERROR(__xludf.DUMMYFUNCTION("""COMPUTED_VALUE"""),"ทางเกวียน")</f>
        <v>ทางเกวียน</v>
      </c>
      <c r="AA735" s="3" t="str">
        <f>IFERROR(__xludf.DUMMYFUNCTION("""COMPUTED_VALUE"""),"แกลง")</f>
        <v>แกลง</v>
      </c>
      <c r="AB735" s="3" t="str">
        <f>IFERROR(__xludf.DUMMYFUNCTION("""COMPUTED_VALUE"""),"ระยอง")</f>
        <v>ระยอง</v>
      </c>
      <c r="AC735" s="3">
        <f>IFERROR(__xludf.DUMMYFUNCTION("""COMPUTED_VALUE"""),21110.0)</f>
        <v>21110</v>
      </c>
      <c r="AD735" s="3">
        <f>IFERROR(__xludf.DUMMYFUNCTION("""COMPUTED_VALUE"""),12.786305)</f>
        <v>12.786305</v>
      </c>
      <c r="AE735" s="3">
        <f>IFERROR(__xludf.DUMMYFUNCTION("""COMPUTED_VALUE"""),101.662669)</f>
        <v>101.662669</v>
      </c>
      <c r="AF735" s="3" t="str">
        <f>IFERROR(__xludf.DUMMYFUNCTION("""COMPUTED_VALUE"""),"MBC ถนนโพธิ์ทอง-21503")</f>
        <v>MBC ถนนโพธิ์ทอง-21503</v>
      </c>
      <c r="AG735" s="3" t="str">
        <f>IFERROR(__xludf.DUMMYFUNCTION("""COMPUTED_VALUE"""),"ตะวันออก")</f>
        <v>ตะวันออก</v>
      </c>
      <c r="AH735" s="3" t="str">
        <f>IFERROR(__xludf.DUMMYFUNCTION("""COMPUTED_VALUE"""),"#N/A")</f>
        <v>#N/A</v>
      </c>
      <c r="AI735" s="3" t="str">
        <f>IFERROR(__xludf.DUMMYFUNCTION("""COMPUTED_VALUE"""),"Out of warranty")</f>
        <v>Out of warranty</v>
      </c>
      <c r="AJ735" s="3">
        <f>IFERROR(__xludf.DUMMYFUNCTION("""COMPUTED_VALUE"""),101.0)</f>
        <v>101</v>
      </c>
      <c r="AK735" s="3" t="str">
        <f>IFERROR(__xludf.DUMMYFUNCTION("""COMPUTED_VALUE"""),"MMS08")</f>
        <v>MMS08</v>
      </c>
      <c r="AL735" s="3"/>
    </row>
    <row r="736" ht="15.75" customHeight="1">
      <c r="A736" s="1" t="str">
        <f>IFERROR(__xludf.DUMMYFUNCTION("""COMPUTED_VALUE"""),"21504")</f>
        <v>21504</v>
      </c>
      <c r="B736" s="2">
        <f>IFERROR(__xludf.DUMMYFUNCTION("""COMPUTED_VALUE"""),21504.0)</f>
        <v>21504</v>
      </c>
      <c r="C736" s="3" t="str">
        <f>IFERROR(__xludf.DUMMYFUNCTION("""COMPUTED_VALUE"""),"MBC บ้านตูม")</f>
        <v>MBC บ้านตูม</v>
      </c>
      <c r="D736" s="3" t="str">
        <f>IFERROR(__xludf.DUMMYFUNCTION("""COMPUTED_VALUE"""),"MBC BAN TOOM")</f>
        <v>MBC BAN TOOM</v>
      </c>
      <c r="E736" s="1" t="str">
        <f>IFERROR(__xludf.DUMMYFUNCTION("""COMPUTED_VALUE"""),"บิ๊กซี MINI")</f>
        <v>บิ๊กซี MINI</v>
      </c>
      <c r="F736" s="1" t="str">
        <f>IFERROR(__xludf.DUMMYFUNCTION("""COMPUTED_VALUE"""),"291100")</f>
        <v>291100</v>
      </c>
      <c r="G736" s="1" t="str">
        <f>IFERROR(__xludf.DUMMYFUNCTION("""COMPUTED_VALUE"""),"น.ส.จารุณี ฮวบอินทร์")</f>
        <v>น.ส.จารุณี ฮวบอินทร์</v>
      </c>
      <c r="H736" s="1" t="str">
        <f>IFERROR(__xludf.DUMMYFUNCTION("""COMPUTED_VALUE"""),"305119")</f>
        <v>305119</v>
      </c>
      <c r="I736" s="1" t="str">
        <f>IFERROR(__xludf.DUMMYFUNCTION("""COMPUTED_VALUE"""),"นายไชยกร ลีพิบูลย์สวัสดิ์")</f>
        <v>นายไชยกร ลีพิบูลย์สวัสดิ์</v>
      </c>
      <c r="J736" s="3">
        <f>IFERROR(__xludf.DUMMYFUNCTION("""COMPUTED_VALUE"""),295886.0)</f>
        <v>295886</v>
      </c>
      <c r="K736" s="3" t="str">
        <f>IFERROR(__xludf.DUMMYFUNCTION("""COMPUTED_VALUE"""),"นายจิระพงษ์ โพธิ์นิล")</f>
        <v>นายจิระพงษ์ โพธิ์นิล</v>
      </c>
      <c r="L736" s="1" t="str">
        <f>IFERROR(__xludf.DUMMYFUNCTION("""COMPUTED_VALUE"""),"นายจิระพงษ์ โพธิ์นิล")</f>
        <v>นายจิระพงษ์ โพธิ์นิล</v>
      </c>
      <c r="M736" s="1" t="str">
        <f>IFERROR(__xludf.DUMMYFUNCTION("""COMPUTED_VALUE"""),"0933290754")</f>
        <v>0933290754</v>
      </c>
      <c r="N736" s="3">
        <f>IFERROR(__xludf.DUMMYFUNCTION("""COMPUTED_VALUE"""),21465.0)</f>
        <v>21465</v>
      </c>
      <c r="O736" s="3" t="str">
        <f>IFERROR(__xludf.DUMMYFUNCTION("""COMPUTED_VALUE"""),"MBC สถานีตำรวจอุดร")</f>
        <v>MBC สถานีตำรวจอุดร</v>
      </c>
      <c r="P736" s="4">
        <f>IFERROR(__xludf.DUMMYFUNCTION("""COMPUTED_VALUE"""),42994.0)</f>
        <v>42994</v>
      </c>
      <c r="Q736" s="3" t="str">
        <f>IFERROR(__xludf.DUMMYFUNCTION("""COMPUTED_VALUE"""),"I")</f>
        <v>I</v>
      </c>
      <c r="R736" s="3" t="str">
        <f>IFERROR(__xludf.DUMMYFUNCTION("""COMPUTED_VALUE"""),"Small Format")</f>
        <v>Small Format</v>
      </c>
      <c r="S736" s="3" t="str">
        <f>IFERROR(__xludf.DUMMYFUNCTION("""COMPUTED_VALUE"""),"BCM")</f>
        <v>BCM</v>
      </c>
      <c r="T736" s="3" t="str">
        <f>IFERROR(__xludf.DUMMYFUNCTION("""COMPUTED_VALUE"""),"#N/A")</f>
        <v>#N/A</v>
      </c>
      <c r="U736" s="3" t="str">
        <f>IFERROR(__xludf.DUMMYFUNCTION("""COMPUTED_VALUE"""),"#N/A")</f>
        <v>#N/A</v>
      </c>
      <c r="V736" s="3" t="str">
        <f>IFERROR(__xludf.DUMMYFUNCTION("""COMPUTED_VALUE"""),"N")</f>
        <v>N</v>
      </c>
      <c r="W736" s="3">
        <f>IFERROR(__xludf.DUMMYFUNCTION("""COMPUTED_VALUE"""),0.0)</f>
        <v>0</v>
      </c>
      <c r="X736" s="3" t="str">
        <f>IFERROR(__xludf.DUMMYFUNCTION("""COMPUTED_VALUE"""),"162/6-8 ถนนศรีธาตุประชาสันติ ตำบลในเมือง อำเภอเมืองขอนแก่น จังหวัดขอนแก่น 40000")</f>
        <v>162/6-8 ถนนศรีธาตุประชาสันติ ตำบลในเมือง อำเภอเมืองขอนแก่น จังหวัดขอนแก่น 40000</v>
      </c>
      <c r="Y736" s="3" t="str">
        <f>IFERROR(__xludf.DUMMYFUNCTION("""COMPUTED_VALUE"""),"ถนนศรีธาตุประชาสันติ")</f>
        <v>ถนนศรีธาตุประชาสันติ</v>
      </c>
      <c r="Z736" s="3" t="str">
        <f>IFERROR(__xludf.DUMMYFUNCTION("""COMPUTED_VALUE"""),"ในเมือง")</f>
        <v>ในเมือง</v>
      </c>
      <c r="AA736" s="3" t="str">
        <f>IFERROR(__xludf.DUMMYFUNCTION("""COMPUTED_VALUE"""),"เมือง")</f>
        <v>เมือง</v>
      </c>
      <c r="AB736" s="3" t="str">
        <f>IFERROR(__xludf.DUMMYFUNCTION("""COMPUTED_VALUE"""),"ขอนแก่น")</f>
        <v>ขอนแก่น</v>
      </c>
      <c r="AC736" s="3">
        <f>IFERROR(__xludf.DUMMYFUNCTION("""COMPUTED_VALUE"""),40000.0)</f>
        <v>40000</v>
      </c>
      <c r="AD736" s="3" t="str">
        <f>IFERROR(__xludf.DUMMYFUNCTION("""COMPUTED_VALUE"""),"#N/A")</f>
        <v>#N/A</v>
      </c>
      <c r="AE736" s="3" t="str">
        <f>IFERROR(__xludf.DUMMYFUNCTION("""COMPUTED_VALUE"""),"#N/A")</f>
        <v>#N/A</v>
      </c>
      <c r="AF736" s="3" t="str">
        <f>IFERROR(__xludf.DUMMYFUNCTION("""COMPUTED_VALUE"""),"MBC บ้านตูม-21504")</f>
        <v>MBC บ้านตูม-21504</v>
      </c>
      <c r="AG736" s="3" t="str">
        <f>IFERROR(__xludf.DUMMYFUNCTION("""COMPUTED_VALUE"""),"ตะวันออกเฉียงเหนือ")</f>
        <v>ตะวันออกเฉียงเหนือ</v>
      </c>
      <c r="AH736" s="3" t="str">
        <f>IFERROR(__xludf.DUMMYFUNCTION("""COMPUTED_VALUE"""),"#N/A")</f>
        <v>#N/A</v>
      </c>
      <c r="AI736" s="3" t="str">
        <f>IFERROR(__xludf.DUMMYFUNCTION("""COMPUTED_VALUE"""),"Out of warranty")</f>
        <v>Out of warranty</v>
      </c>
      <c r="AJ736" s="3">
        <f>IFERROR(__xludf.DUMMYFUNCTION("""COMPUTED_VALUE"""),101.0)</f>
        <v>101</v>
      </c>
      <c r="AK736" s="3"/>
      <c r="AL736" s="3"/>
    </row>
    <row r="737" ht="15.75" customHeight="1">
      <c r="A737" s="1" t="str">
        <f>IFERROR(__xludf.DUMMYFUNCTION("""COMPUTED_VALUE"""),"21505")</f>
        <v>21505</v>
      </c>
      <c r="B737" s="2">
        <f>IFERROR(__xludf.DUMMYFUNCTION("""COMPUTED_VALUE"""),21505.0)</f>
        <v>21505</v>
      </c>
      <c r="C737" s="3" t="str">
        <f>IFERROR(__xludf.DUMMYFUNCTION("""COMPUTED_VALUE"""),"MBC ประชารักษา")</f>
        <v>MBC ประชารักษา</v>
      </c>
      <c r="D737" s="3" t="str">
        <f>IFERROR(__xludf.DUMMYFUNCTION("""COMPUTED_VALUE"""),"BCM PRACHA RUKSA")</f>
        <v>BCM PRACHA RUKSA</v>
      </c>
      <c r="E737" s="1" t="str">
        <f>IFERROR(__xludf.DUMMYFUNCTION("""COMPUTED_VALUE"""),"บิ๊กซี MINI")</f>
        <v>บิ๊กซี MINI</v>
      </c>
      <c r="F737" s="1" t="str">
        <f>IFERROR(__xludf.DUMMYFUNCTION("""COMPUTED_VALUE"""),"291105")</f>
        <v>291105</v>
      </c>
      <c r="G737" s="1" t="str">
        <f>IFERROR(__xludf.DUMMYFUNCTION("""COMPUTED_VALUE"""),"นายสราวุฒิ พณิชยกุล")</f>
        <v>นายสราวุฒิ พณิชยกุล</v>
      </c>
      <c r="H737" s="1" t="str">
        <f>IFERROR(__xludf.DUMMYFUNCTION("""COMPUTED_VALUE"""),"392005")</f>
        <v>392005</v>
      </c>
      <c r="I737" s="1" t="str">
        <f>IFERROR(__xludf.DUMMYFUNCTION("""COMPUTED_VALUE"""),"นายรัฐพล หาญลำยวง")</f>
        <v>นายรัฐพล หาญลำยวง</v>
      </c>
      <c r="J737" s="3">
        <f>IFERROR(__xludf.DUMMYFUNCTION("""COMPUTED_VALUE"""),296868.0)</f>
        <v>296868</v>
      </c>
      <c r="K737" s="3" t="str">
        <f>IFERROR(__xludf.DUMMYFUNCTION("""COMPUTED_VALUE"""),"นายพีระพงษ์ แก้วดวงดี")</f>
        <v>นายพีระพงษ์ แก้วดวงดี</v>
      </c>
      <c r="L737" s="1" t="str">
        <f>IFERROR(__xludf.DUMMYFUNCTION("""COMPUTED_VALUE"""),"03 K.Peerapong K.")</f>
        <v>03 K.Peerapong K.</v>
      </c>
      <c r="M737" s="1" t="str">
        <f>IFERROR(__xludf.DUMMYFUNCTION("""COMPUTED_VALUE"""),"089-002-6599")</f>
        <v>089-002-6599</v>
      </c>
      <c r="N737" s="3">
        <f>IFERROR(__xludf.DUMMYFUNCTION("""COMPUTED_VALUE"""),21946.0)</f>
        <v>21946</v>
      </c>
      <c r="O737" s="3" t="str">
        <f>IFERROR(__xludf.DUMMYFUNCTION("""COMPUTED_VALUE"""),"MBC เซกา บึงกาฬ")</f>
        <v>MBC เซกา บึงกาฬ</v>
      </c>
      <c r="P737" s="4">
        <f>IFERROR(__xludf.DUMMYFUNCTION("""COMPUTED_VALUE"""),42995.0)</f>
        <v>42995</v>
      </c>
      <c r="Q737" s="3" t="str">
        <f>IFERROR(__xludf.DUMMYFUNCTION("""COMPUTED_VALUE"""),"A")</f>
        <v>A</v>
      </c>
      <c r="R737" s="3" t="str">
        <f>IFERROR(__xludf.DUMMYFUNCTION("""COMPUTED_VALUE"""),"Small Format")</f>
        <v>Small Format</v>
      </c>
      <c r="S737" s="3" t="str">
        <f>IFERROR(__xludf.DUMMYFUNCTION("""COMPUTED_VALUE"""),"BCM")</f>
        <v>BCM</v>
      </c>
      <c r="T737" s="3" t="str">
        <f>IFERROR(__xludf.DUMMYFUNCTION("""COMPUTED_VALUE"""),"#N/A")</f>
        <v>#N/A</v>
      </c>
      <c r="U737" s="3" t="str">
        <f>IFERROR(__xludf.DUMMYFUNCTION("""COMPUTED_VALUE"""),"#N/A")</f>
        <v>#N/A</v>
      </c>
      <c r="V737" s="3" t="str">
        <f>IFERROR(__xludf.DUMMYFUNCTION("""COMPUTED_VALUE"""),"N")</f>
        <v>N</v>
      </c>
      <c r="W737" s="3">
        <f>IFERROR(__xludf.DUMMYFUNCTION("""COMPUTED_VALUE"""),211460.0)</f>
        <v>211460</v>
      </c>
      <c r="X737" s="3" t="str">
        <f>IFERROR(__xludf.DUMMYFUNCTION("""COMPUTED_VALUE"""),"76/1-3 หมู่ 9 ซอยบ้านคลองเจริญ ตำบลหมากแข้ง อำเภอเมืองอุดรธานี จังหวัดอุดรธานี 41000")</f>
        <v>76/1-3 หมู่ 9 ซอยบ้านคลองเจริญ ตำบลหมากแข้ง อำเภอเมืองอุดรธานี จังหวัดอุดรธานี 41000</v>
      </c>
      <c r="Y737" s="3"/>
      <c r="Z737" s="3" t="str">
        <f>IFERROR(__xludf.DUMMYFUNCTION("""COMPUTED_VALUE"""),"หมากแข้ง")</f>
        <v>หมากแข้ง</v>
      </c>
      <c r="AA737" s="3" t="str">
        <f>IFERROR(__xludf.DUMMYFUNCTION("""COMPUTED_VALUE"""),"เมือง")</f>
        <v>เมือง</v>
      </c>
      <c r="AB737" s="3" t="str">
        <f>IFERROR(__xludf.DUMMYFUNCTION("""COMPUTED_VALUE"""),"อุดรธานี")</f>
        <v>อุดรธานี</v>
      </c>
      <c r="AC737" s="3">
        <f>IFERROR(__xludf.DUMMYFUNCTION("""COMPUTED_VALUE"""),41000.0)</f>
        <v>41000</v>
      </c>
      <c r="AD737" s="3">
        <f>IFERROR(__xludf.DUMMYFUNCTION("""COMPUTED_VALUE"""),17.40852437)</f>
        <v>17.40852437</v>
      </c>
      <c r="AE737" s="3">
        <f>IFERROR(__xludf.DUMMYFUNCTION("""COMPUTED_VALUE"""),102.771265)</f>
        <v>102.771265</v>
      </c>
      <c r="AF737" s="3" t="str">
        <f>IFERROR(__xludf.DUMMYFUNCTION("""COMPUTED_VALUE"""),"MBC ประชารักษา-21505")</f>
        <v>MBC ประชารักษา-21505</v>
      </c>
      <c r="AG737" s="3" t="str">
        <f>IFERROR(__xludf.DUMMYFUNCTION("""COMPUTED_VALUE"""),"ตะวันออกเฉียงเหนือ")</f>
        <v>ตะวันออกเฉียงเหนือ</v>
      </c>
      <c r="AH737" s="3" t="str">
        <f>IFERROR(__xludf.DUMMYFUNCTION("""COMPUTED_VALUE"""),"#N/A")</f>
        <v>#N/A</v>
      </c>
      <c r="AI737" s="3" t="str">
        <f>IFERROR(__xludf.DUMMYFUNCTION("""COMPUTED_VALUE"""),"Out of warranty")</f>
        <v>Out of warranty</v>
      </c>
      <c r="AJ737" s="3">
        <f>IFERROR(__xludf.DUMMYFUNCTION("""COMPUTED_VALUE"""),101.0)</f>
        <v>101</v>
      </c>
      <c r="AK737" s="3" t="str">
        <f>IFERROR(__xludf.DUMMYFUNCTION("""COMPUTED_VALUE"""),"MMS12")</f>
        <v>MMS12</v>
      </c>
      <c r="AL737" s="3"/>
    </row>
    <row r="738" ht="15.75" customHeight="1">
      <c r="A738" s="1" t="str">
        <f>IFERROR(__xludf.DUMMYFUNCTION("""COMPUTED_VALUE"""),"21506")</f>
        <v>21506</v>
      </c>
      <c r="B738" s="2">
        <f>IFERROR(__xludf.DUMMYFUNCTION("""COMPUTED_VALUE"""),21506.0)</f>
        <v>21506</v>
      </c>
      <c r="C738" s="3" t="str">
        <f>IFERROR(__xludf.DUMMYFUNCTION("""COMPUTED_VALUE"""),"MBC บางบ่อ")</f>
        <v>MBC บางบ่อ</v>
      </c>
      <c r="D738" s="3" t="str">
        <f>IFERROR(__xludf.DUMMYFUNCTION("""COMPUTED_VALUE"""),"BCM BANG BO")</f>
        <v>BCM BANG BO</v>
      </c>
      <c r="E738" s="1" t="str">
        <f>IFERROR(__xludf.DUMMYFUNCTION("""COMPUTED_VALUE"""),"บิ๊กซี MINI")</f>
        <v>บิ๊กซี MINI</v>
      </c>
      <c r="F738" s="1" t="str">
        <f>IFERROR(__xludf.DUMMYFUNCTION("""COMPUTED_VALUE"""),"2083447")</f>
        <v>2083447</v>
      </c>
      <c r="G738" s="1" t="str">
        <f>IFERROR(__xludf.DUMMYFUNCTION("""COMPUTED_VALUE"""),"นายอนุกูล ศรีลัดดา")</f>
        <v>นายอนุกูล ศรีลัดดา</v>
      </c>
      <c r="H738" s="1" t="str">
        <f>IFERROR(__xludf.DUMMYFUNCTION("""COMPUTED_VALUE"""),"284752")</f>
        <v>284752</v>
      </c>
      <c r="I738" s="1" t="str">
        <f>IFERROR(__xludf.DUMMYFUNCTION("""COMPUTED_VALUE"""),"น.ส.วีรนันท์ แสงใส")</f>
        <v>น.ส.วีรนันท์ แสงใส</v>
      </c>
      <c r="J738" s="3">
        <f>IFERROR(__xludf.DUMMYFUNCTION("""COMPUTED_VALUE"""),2451655.0)</f>
        <v>2451655</v>
      </c>
      <c r="K738" s="3" t="str">
        <f>IFERROR(__xludf.DUMMYFUNCTION("""COMPUTED_VALUE"""),"นายวิษณุพงษ์ ชินบุตร")</f>
        <v>นายวิษณุพงษ์ ชินบุตร</v>
      </c>
      <c r="L738" s="1" t="str">
        <f>IFERROR(__xludf.DUMMYFUNCTION("""COMPUTED_VALUE"""),"13 K.Wisanupong Ch")</f>
        <v>13 K.Wisanupong Ch</v>
      </c>
      <c r="M738" s="1" t="str">
        <f>IFERROR(__xludf.DUMMYFUNCTION("""COMPUTED_VALUE"""),"0843374693")</f>
        <v>0843374693</v>
      </c>
      <c r="N738" s="3">
        <f>IFERROR(__xludf.DUMMYFUNCTION("""COMPUTED_VALUE"""),22729.0)</f>
        <v>22729</v>
      </c>
      <c r="O738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738" s="4">
        <f>IFERROR(__xludf.DUMMYFUNCTION("""COMPUTED_VALUE"""),42995.0)</f>
        <v>42995</v>
      </c>
      <c r="Q738" s="3" t="str">
        <f>IFERROR(__xludf.DUMMYFUNCTION("""COMPUTED_VALUE"""),"A")</f>
        <v>A</v>
      </c>
      <c r="R738" s="3" t="str">
        <f>IFERROR(__xludf.DUMMYFUNCTION("""COMPUTED_VALUE"""),"Small Format")</f>
        <v>Small Format</v>
      </c>
      <c r="S738" s="3" t="str">
        <f>IFERROR(__xludf.DUMMYFUNCTION("""COMPUTED_VALUE"""),"BCM")</f>
        <v>BCM</v>
      </c>
      <c r="T738" s="3" t="str">
        <f>IFERROR(__xludf.DUMMYFUNCTION("""COMPUTED_VALUE"""),"#N/A")</f>
        <v>#N/A</v>
      </c>
      <c r="U738" s="3" t="str">
        <f>IFERROR(__xludf.DUMMYFUNCTION("""COMPUTED_VALUE"""),"#N/A")</f>
        <v>#N/A</v>
      </c>
      <c r="V738" s="3" t="str">
        <f>IFERROR(__xludf.DUMMYFUNCTION("""COMPUTED_VALUE"""),"N")</f>
        <v>N</v>
      </c>
      <c r="W738" s="3">
        <f>IFERROR(__xludf.DUMMYFUNCTION("""COMPUTED_VALUE"""),211465.0)</f>
        <v>211465</v>
      </c>
      <c r="X738" s="3" t="str">
        <f>IFERROR(__xludf.DUMMYFUNCTION("""COMPUTED_VALUE"""),"454 หมู่ 1 ตำบลบางบ่อ อำเภอบางบ่อ จังหวัดสมุทรปราการ 10560")</f>
        <v>454 หมู่ 1 ตำบลบางบ่อ อำเภอบางบ่อ จังหวัดสมุทรปราการ 10560</v>
      </c>
      <c r="Y738" s="3"/>
      <c r="Z738" s="3" t="str">
        <f>IFERROR(__xludf.DUMMYFUNCTION("""COMPUTED_VALUE"""),"บางบ่อ")</f>
        <v>บางบ่อ</v>
      </c>
      <c r="AA738" s="3" t="str">
        <f>IFERROR(__xludf.DUMMYFUNCTION("""COMPUTED_VALUE"""),"บางบ่อ")</f>
        <v>บางบ่อ</v>
      </c>
      <c r="AB738" s="3" t="str">
        <f>IFERROR(__xludf.DUMMYFUNCTION("""COMPUTED_VALUE"""),"สมุทรปราการ")</f>
        <v>สมุทรปราการ</v>
      </c>
      <c r="AC738" s="3">
        <f>IFERROR(__xludf.DUMMYFUNCTION("""COMPUTED_VALUE"""),10560.0)</f>
        <v>10560</v>
      </c>
      <c r="AD738" s="3">
        <f>IFERROR(__xludf.DUMMYFUNCTION("""COMPUTED_VALUE"""),13.585586)</f>
        <v>13.585586</v>
      </c>
      <c r="AE738" s="3">
        <f>IFERROR(__xludf.DUMMYFUNCTION("""COMPUTED_VALUE"""),100.836846)</f>
        <v>100.836846</v>
      </c>
      <c r="AF738" s="3" t="str">
        <f>IFERROR(__xludf.DUMMYFUNCTION("""COMPUTED_VALUE"""),"MBC บางบ่อ-21506")</f>
        <v>MBC บางบ่อ-21506</v>
      </c>
      <c r="AG738" s="3" t="str">
        <f>IFERROR(__xludf.DUMMYFUNCTION("""COMPUTED_VALUE"""),"กลาง")</f>
        <v>กลาง</v>
      </c>
      <c r="AH738" s="3" t="str">
        <f>IFERROR(__xludf.DUMMYFUNCTION("""COMPUTED_VALUE"""),"#N/A")</f>
        <v>#N/A</v>
      </c>
      <c r="AI738" s="3" t="str">
        <f>IFERROR(__xludf.DUMMYFUNCTION("""COMPUTED_VALUE"""),"Out of warranty")</f>
        <v>Out of warranty</v>
      </c>
      <c r="AJ738" s="3">
        <f>IFERROR(__xludf.DUMMYFUNCTION("""COMPUTED_VALUE"""),101.0)</f>
        <v>101</v>
      </c>
      <c r="AK738" s="3" t="str">
        <f>IFERROR(__xludf.DUMMYFUNCTION("""COMPUTED_VALUE"""),"MMS03")</f>
        <v>MMS03</v>
      </c>
      <c r="AL738" s="3"/>
    </row>
    <row r="739" ht="15.75" customHeight="1">
      <c r="A739" s="1" t="str">
        <f>IFERROR(__xludf.DUMMYFUNCTION("""COMPUTED_VALUE"""),"21507")</f>
        <v>21507</v>
      </c>
      <c r="B739" s="2">
        <f>IFERROR(__xludf.DUMMYFUNCTION("""COMPUTED_VALUE"""),21507.0)</f>
        <v>21507</v>
      </c>
      <c r="C739" s="3" t="str">
        <f>IFERROR(__xludf.DUMMYFUNCTION("""COMPUTED_VALUE"""),"MBC มี้ตติ้ง มอลล์ จรัญสนิทวงศ์")</f>
        <v>MBC มี้ตติ้ง มอลล์ จรัญสนิทวงศ์</v>
      </c>
      <c r="D739" s="3" t="str">
        <f>IFERROR(__xludf.DUMMYFUNCTION("""COMPUTED_VALUE"""),"BCM MEETING MALL CHARAN")</f>
        <v>BCM MEETING MALL CHARAN</v>
      </c>
      <c r="E739" s="1" t="str">
        <f>IFERROR(__xludf.DUMMYFUNCTION("""COMPUTED_VALUE"""),"บิ๊กซี MINI")</f>
        <v>บิ๊กซี MINI</v>
      </c>
      <c r="F739" s="1" t="str">
        <f>IFERROR(__xludf.DUMMYFUNCTION("""COMPUTED_VALUE"""),"291008")</f>
        <v>291008</v>
      </c>
      <c r="G739" s="1" t="str">
        <f>IFERROR(__xludf.DUMMYFUNCTION("""COMPUTED_VALUE"""),"น.ส.รัชดาพร อีศรัตน์")</f>
        <v>น.ส.รัชดาพร อีศรัตน์</v>
      </c>
      <c r="H739" s="1" t="str">
        <f>IFERROR(__xludf.DUMMYFUNCTION("""COMPUTED_VALUE"""),"291101")</f>
        <v>291101</v>
      </c>
      <c r="I739" s="1" t="str">
        <f>IFERROR(__xludf.DUMMYFUNCTION("""COMPUTED_VALUE"""),"นายจักรพงศ์ โพธิ์ศรี")</f>
        <v>นายจักรพงศ์ โพธิ์ศรี</v>
      </c>
      <c r="J739" s="3">
        <f>IFERROR(__xludf.DUMMYFUNCTION("""COMPUTED_VALUE"""),296608.0)</f>
        <v>296608</v>
      </c>
      <c r="K739" s="3" t="str">
        <f>IFERROR(__xludf.DUMMYFUNCTION("""COMPUTED_VALUE"""),"นายภาคภูมิ เพ็ชรนิล")</f>
        <v>นายภาคภูมิ เพ็ชรนิล</v>
      </c>
      <c r="L739" s="1" t="str">
        <f>IFERROR(__xludf.DUMMYFUNCTION("""COMPUTED_VALUE"""),"10 K.Phakphoom P.")</f>
        <v>10 K.Phakphoom P.</v>
      </c>
      <c r="M739" s="1" t="str">
        <f>IFERROR(__xludf.DUMMYFUNCTION("""COMPUTED_VALUE"""),"063-8955329")</f>
        <v>063-8955329</v>
      </c>
      <c r="N739" s="3">
        <f>IFERROR(__xludf.DUMMYFUNCTION("""COMPUTED_VALUE"""),22584.0)</f>
        <v>22584</v>
      </c>
      <c r="O739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739" s="4">
        <f>IFERROR(__xludf.DUMMYFUNCTION("""COMPUTED_VALUE"""),43007.0)</f>
        <v>43007</v>
      </c>
      <c r="Q739" s="3" t="str">
        <f>IFERROR(__xludf.DUMMYFUNCTION("""COMPUTED_VALUE"""),"A")</f>
        <v>A</v>
      </c>
      <c r="R739" s="3" t="str">
        <f>IFERROR(__xludf.DUMMYFUNCTION("""COMPUTED_VALUE"""),"Small Format")</f>
        <v>Small Format</v>
      </c>
      <c r="S739" s="3" t="str">
        <f>IFERROR(__xludf.DUMMYFUNCTION("""COMPUTED_VALUE"""),"BCM")</f>
        <v>BCM</v>
      </c>
      <c r="T739" s="3" t="str">
        <f>IFERROR(__xludf.DUMMYFUNCTION("""COMPUTED_VALUE"""),"#N/A")</f>
        <v>#N/A</v>
      </c>
      <c r="U739" s="3" t="str">
        <f>IFERROR(__xludf.DUMMYFUNCTION("""COMPUTED_VALUE"""),"#N/A")</f>
        <v>#N/A</v>
      </c>
      <c r="V739" s="3" t="str">
        <f>IFERROR(__xludf.DUMMYFUNCTION("""COMPUTED_VALUE"""),"N")</f>
        <v>N</v>
      </c>
      <c r="W739" s="3">
        <f>IFERROR(__xludf.DUMMYFUNCTION("""COMPUTED_VALUE"""),211442.0)</f>
        <v>211442</v>
      </c>
      <c r="X739" s="3" t="str">
        <f>IFERROR(__xludf.DUMMYFUNCTION("""COMPUTED_VALUE"""),"546,548,550,552 ถนนจรัญสนิทวงศ์ แขวงบางอ้อ เขตบางพลัด กรุงเทพมหานคร 10700")</f>
        <v>546,548,550,552 ถนนจรัญสนิทวงศ์ แขวงบางอ้อ เขตบางพลัด กรุงเทพมหานคร 10700</v>
      </c>
      <c r="Y739" s="3" t="str">
        <f>IFERROR(__xludf.DUMMYFUNCTION("""COMPUTED_VALUE"""),"ถนนจรัญสนิทวงศ์")</f>
        <v>ถนนจรัญสนิทวงศ์</v>
      </c>
      <c r="Z739" s="3" t="str">
        <f>IFERROR(__xludf.DUMMYFUNCTION("""COMPUTED_VALUE"""),"บางอ้อ")</f>
        <v>บางอ้อ</v>
      </c>
      <c r="AA739" s="3" t="str">
        <f>IFERROR(__xludf.DUMMYFUNCTION("""COMPUTED_VALUE"""),"บางพลัด")</f>
        <v>บางพลัด</v>
      </c>
      <c r="AB739" s="3" t="str">
        <f>IFERROR(__xludf.DUMMYFUNCTION("""COMPUTED_VALUE"""),"กรุงเทพมหานคร")</f>
        <v>กรุงเทพมหานคร</v>
      </c>
      <c r="AC739" s="3">
        <f>IFERROR(__xludf.DUMMYFUNCTION("""COMPUTED_VALUE"""),10700.0)</f>
        <v>10700</v>
      </c>
      <c r="AD739" s="3">
        <f>IFERROR(__xludf.DUMMYFUNCTION("""COMPUTED_VALUE"""),13.802415)</f>
        <v>13.802415</v>
      </c>
      <c r="AE739" s="3">
        <f>IFERROR(__xludf.DUMMYFUNCTION("""COMPUTED_VALUE"""),100.51192)</f>
        <v>100.51192</v>
      </c>
      <c r="AF739" s="3" t="str">
        <f>IFERROR(__xludf.DUMMYFUNCTION("""COMPUTED_VALUE"""),"MBC มี้ตติ้ง มอลล์ จรัญสนิทวงศ์-21507")</f>
        <v>MBC มี้ตติ้ง มอลล์ จรัญสนิทวงศ์-21507</v>
      </c>
      <c r="AG739" s="3" t="str">
        <f>IFERROR(__xludf.DUMMYFUNCTION("""COMPUTED_VALUE"""),"กลาง")</f>
        <v>กลาง</v>
      </c>
      <c r="AH739" s="3" t="str">
        <f>IFERROR(__xludf.DUMMYFUNCTION("""COMPUTED_VALUE"""),"#N/A")</f>
        <v>#N/A</v>
      </c>
      <c r="AI739" s="3" t="str">
        <f>IFERROR(__xludf.DUMMYFUNCTION("""COMPUTED_VALUE"""),"Out of warranty")</f>
        <v>Out of warranty</v>
      </c>
      <c r="AJ739" s="3">
        <f>IFERROR(__xludf.DUMMYFUNCTION("""COMPUTED_VALUE"""),100.0)</f>
        <v>100</v>
      </c>
      <c r="AK739" s="3" t="str">
        <f>IFERROR(__xludf.DUMMYFUNCTION("""COMPUTED_VALUE"""),"MMS01")</f>
        <v>MMS01</v>
      </c>
      <c r="AL739" s="3"/>
    </row>
    <row r="740" ht="15.75" customHeight="1">
      <c r="A740" s="1" t="str">
        <f>IFERROR(__xludf.DUMMYFUNCTION("""COMPUTED_VALUE"""),"21508")</f>
        <v>21508</v>
      </c>
      <c r="B740" s="2">
        <f>IFERROR(__xludf.DUMMYFUNCTION("""COMPUTED_VALUE"""),21508.0)</f>
        <v>21508</v>
      </c>
      <c r="C740" s="3" t="str">
        <f>IFERROR(__xludf.DUMMYFUNCTION("""COMPUTED_VALUE"""),"MBC ซอยเสือใหญ่ 2")</f>
        <v>MBC ซอยเสือใหญ่ 2</v>
      </c>
      <c r="D740" s="3" t="str">
        <f>IFERROR(__xludf.DUMMYFUNCTION("""COMPUTED_VALUE"""),"BCM SOI SUE YAI 2")</f>
        <v>BCM SOI SUE YAI 2</v>
      </c>
      <c r="E740" s="1" t="str">
        <f>IFERROR(__xludf.DUMMYFUNCTION("""COMPUTED_VALUE"""),"บิ๊กซี MINI")</f>
        <v>บิ๊กซี MINI</v>
      </c>
      <c r="F740" s="1" t="str">
        <f>IFERROR(__xludf.DUMMYFUNCTION("""COMPUTED_VALUE"""),"291008")</f>
        <v>291008</v>
      </c>
      <c r="G740" s="1" t="str">
        <f>IFERROR(__xludf.DUMMYFUNCTION("""COMPUTED_VALUE"""),"น.ส.รัชดาพร อีศรัตน์")</f>
        <v>น.ส.รัชดาพร อีศรัตน์</v>
      </c>
      <c r="H740" s="1" t="str">
        <f>IFERROR(__xludf.DUMMYFUNCTION("""COMPUTED_VALUE"""),"359002")</f>
        <v>359002</v>
      </c>
      <c r="I740" s="1" t="str">
        <f>IFERROR(__xludf.DUMMYFUNCTION("""COMPUTED_VALUE"""),"น.ส.นิตยา สมจิตร")</f>
        <v>น.ส.นิตยา สมจิตร</v>
      </c>
      <c r="J740" s="3">
        <f>IFERROR(__xludf.DUMMYFUNCTION("""COMPUTED_VALUE"""),3510104.0)</f>
        <v>3510104</v>
      </c>
      <c r="K740" s="3" t="str">
        <f>IFERROR(__xludf.DUMMYFUNCTION("""COMPUTED_VALUE"""),"นายวิโรจน์ อับดุลสมัด")</f>
        <v>นายวิโรจน์ อับดุลสมัด</v>
      </c>
      <c r="L740" s="3" t="str">
        <f>IFERROR(__xludf.DUMMYFUNCTION("""COMPUTED_VALUE"""),"09 K.Wirode A")</f>
        <v>09 K.Wirode A</v>
      </c>
      <c r="M740" s="1" t="str">
        <f>IFERROR(__xludf.DUMMYFUNCTION("""COMPUTED_VALUE"""),"080-235-4465")</f>
        <v>080-235-4465</v>
      </c>
      <c r="N740" s="3">
        <f>IFERROR(__xludf.DUMMYFUNCTION("""COMPUTED_VALUE"""),21324.0)</f>
        <v>21324</v>
      </c>
      <c r="O740" s="3" t="str">
        <f>IFERROR(__xludf.DUMMYFUNCTION("""COMPUTED_VALUE"""),"MBC BCP สุวินทวงศ์")</f>
        <v>MBC BCP สุวินทวงศ์</v>
      </c>
      <c r="P740" s="4">
        <f>IFERROR(__xludf.DUMMYFUNCTION("""COMPUTED_VALUE"""),43004.0)</f>
        <v>43004</v>
      </c>
      <c r="Q740" s="3" t="str">
        <f>IFERROR(__xludf.DUMMYFUNCTION("""COMPUTED_VALUE"""),"A")</f>
        <v>A</v>
      </c>
      <c r="R740" s="3" t="str">
        <f>IFERROR(__xludf.DUMMYFUNCTION("""COMPUTED_VALUE"""),"Small Format")</f>
        <v>Small Format</v>
      </c>
      <c r="S740" s="3" t="str">
        <f>IFERROR(__xludf.DUMMYFUNCTION("""COMPUTED_VALUE"""),"BCM")</f>
        <v>BCM</v>
      </c>
      <c r="T740" s="3" t="str">
        <f>IFERROR(__xludf.DUMMYFUNCTION("""COMPUTED_VALUE"""),"#N/A")</f>
        <v>#N/A</v>
      </c>
      <c r="U740" s="3" t="str">
        <f>IFERROR(__xludf.DUMMYFUNCTION("""COMPUTED_VALUE"""),"#N/A")</f>
        <v>#N/A</v>
      </c>
      <c r="V740" s="3" t="str">
        <f>IFERROR(__xludf.DUMMYFUNCTION("""COMPUTED_VALUE"""),"N")</f>
        <v>N</v>
      </c>
      <c r="W740" s="3">
        <f>IFERROR(__xludf.DUMMYFUNCTION("""COMPUTED_VALUE"""),211385.0)</f>
        <v>211385</v>
      </c>
      <c r="X740" s="3" t="str">
        <f>IFERROR(__xludf.DUMMYFUNCTION("""COMPUTED_VALUE"""),"303/4 ซอยลาดพร้าว 23 แขวงลาดยาว เขตจตุจักร กรุงเทพมหานคร 10900")</f>
        <v>303/4 ซอยลาดพร้าว 23 แขวงลาดยาว เขตจตุจักร กรุงเทพมหานคร 10900</v>
      </c>
      <c r="Y740" s="3" t="str">
        <f>IFERROR(__xludf.DUMMYFUNCTION("""COMPUTED_VALUE"""),"ซอยลาดพร้าว")</f>
        <v>ซอยลาดพร้าว</v>
      </c>
      <c r="Z740" s="3" t="str">
        <f>IFERROR(__xludf.DUMMYFUNCTION("""COMPUTED_VALUE"""),"ลาดยาว")</f>
        <v>ลาดยาว</v>
      </c>
      <c r="AA740" s="3" t="str">
        <f>IFERROR(__xludf.DUMMYFUNCTION("""COMPUTED_VALUE"""),"จตุจักร")</f>
        <v>จตุจักร</v>
      </c>
      <c r="AB740" s="3" t="str">
        <f>IFERROR(__xludf.DUMMYFUNCTION("""COMPUTED_VALUE"""),"กรุงเทพมหานคร")</f>
        <v>กรุงเทพมหานคร</v>
      </c>
      <c r="AC740" s="3">
        <f>IFERROR(__xludf.DUMMYFUNCTION("""COMPUTED_VALUE"""),10900.0)</f>
        <v>10900</v>
      </c>
      <c r="AD740" s="3">
        <f>IFERROR(__xludf.DUMMYFUNCTION("""COMPUTED_VALUE"""),13.823481)</f>
        <v>13.823481</v>
      </c>
      <c r="AE740" s="3">
        <f>IFERROR(__xludf.DUMMYFUNCTION("""COMPUTED_VALUE"""),100.585947)</f>
        <v>100.585947</v>
      </c>
      <c r="AF740" s="3" t="str">
        <f>IFERROR(__xludf.DUMMYFUNCTION("""COMPUTED_VALUE"""),"MBC ซอยเสือใหญ่ 2-21508")</f>
        <v>MBC ซอยเสือใหญ่ 2-21508</v>
      </c>
      <c r="AG740" s="3" t="str">
        <f>IFERROR(__xludf.DUMMYFUNCTION("""COMPUTED_VALUE"""),"กลาง")</f>
        <v>กลาง</v>
      </c>
      <c r="AH740" s="3" t="str">
        <f>IFERROR(__xludf.DUMMYFUNCTION("""COMPUTED_VALUE"""),"#N/A")</f>
        <v>#N/A</v>
      </c>
      <c r="AI740" s="3" t="str">
        <f>IFERROR(__xludf.DUMMYFUNCTION("""COMPUTED_VALUE"""),"Out of warranty")</f>
        <v>Out of warranty</v>
      </c>
      <c r="AJ740" s="3">
        <f>IFERROR(__xludf.DUMMYFUNCTION("""COMPUTED_VALUE"""),100.0)</f>
        <v>100</v>
      </c>
      <c r="AK740" s="3" t="str">
        <f>IFERROR(__xludf.DUMMYFUNCTION("""COMPUTED_VALUE"""),"MMS01")</f>
        <v>MMS01</v>
      </c>
      <c r="AL740" s="3"/>
    </row>
    <row r="741" ht="15.75" customHeight="1">
      <c r="A741" s="1" t="str">
        <f>IFERROR(__xludf.DUMMYFUNCTION("""COMPUTED_VALUE"""),"21509")</f>
        <v>21509</v>
      </c>
      <c r="B741" s="2">
        <f>IFERROR(__xludf.DUMMYFUNCTION("""COMPUTED_VALUE"""),21509.0)</f>
        <v>21509</v>
      </c>
      <c r="C741" s="3" t="str">
        <f>IFERROR(__xludf.DUMMYFUNCTION("""COMPUTED_VALUE"""),"MBC หน้าค่ายวิภาวดีรังสิตสุราษฎร์ธานี")</f>
        <v>MBC หน้าค่ายวิภาวดีรังสิตสุราษฎร์ธานี</v>
      </c>
      <c r="D741" s="3" t="str">
        <f>IFERROR(__xludf.DUMMYFUNCTION("""COMPUTED_VALUE"""),"BCM WIPHAWADIRUNGSIT CAMP")</f>
        <v>BCM WIPHAWADIRUNGSIT CAMP</v>
      </c>
      <c r="E741" s="1" t="str">
        <f>IFERROR(__xludf.DUMMYFUNCTION("""COMPUTED_VALUE"""),"บิ๊กซี MINI")</f>
        <v>บิ๊กซี MINI</v>
      </c>
      <c r="F741" s="1" t="str">
        <f>IFERROR(__xludf.DUMMYFUNCTION("""COMPUTED_VALUE"""),"250760")</f>
        <v>250760</v>
      </c>
      <c r="G741" s="1" t="str">
        <f>IFERROR(__xludf.DUMMYFUNCTION("""COMPUTED_VALUE"""),"นายประทวน สาราบรรณ์")</f>
        <v>นายประทวน สาราบรรณ์</v>
      </c>
      <c r="H741" s="1" t="str">
        <f>IFERROR(__xludf.DUMMYFUNCTION("""COMPUTED_VALUE"""),"228389")</f>
        <v>228389</v>
      </c>
      <c r="I741" s="1" t="str">
        <f>IFERROR(__xludf.DUMMYFUNCTION("""COMPUTED_VALUE"""),"นายมณีรันดร์ ชัยชนะ")</f>
        <v>นายมณีรันดร์ ชัยชนะ</v>
      </c>
      <c r="J741" s="3">
        <f>IFERROR(__xludf.DUMMYFUNCTION("""COMPUTED_VALUE"""),25324.0)</f>
        <v>25324</v>
      </c>
      <c r="K741" s="3" t="str">
        <f>IFERROR(__xludf.DUMMYFUNCTION("""COMPUTED_VALUE"""),"นายวิเชฎฐ์ ติรัตนะประคม")</f>
        <v>นายวิเชฎฐ์ ติรัตนะประคม</v>
      </c>
      <c r="L741" s="1" t="str">
        <f>IFERROR(__xludf.DUMMYFUNCTION("""COMPUTED_VALUE"""),"14 K.Wichet T.")</f>
        <v>14 K.Wichet T.</v>
      </c>
      <c r="M741" s="1" t="str">
        <f>IFERROR(__xludf.DUMMYFUNCTION("""COMPUTED_VALUE"""),"061-417-6569 / 086-445-5636")</f>
        <v>061-417-6569 / 086-445-5636</v>
      </c>
      <c r="N741" s="3">
        <f>IFERROR(__xludf.DUMMYFUNCTION("""COMPUTED_VALUE"""),22658.0)</f>
        <v>22658</v>
      </c>
      <c r="O741" s="3" t="str">
        <f>IFERROR(__xludf.DUMMYFUNCTION("""COMPUTED_VALUE"""),"BCM ถ.วิรัชหงษ์หยก ภูเก็ต")</f>
        <v>BCM ถ.วิรัชหงษ์หยก ภูเก็ต</v>
      </c>
      <c r="P741" s="4">
        <f>IFERROR(__xludf.DUMMYFUNCTION("""COMPUTED_VALUE"""),43004.0)</f>
        <v>43004</v>
      </c>
      <c r="Q741" s="3" t="str">
        <f>IFERROR(__xludf.DUMMYFUNCTION("""COMPUTED_VALUE"""),"A")</f>
        <v>A</v>
      </c>
      <c r="R741" s="3" t="str">
        <f>IFERROR(__xludf.DUMMYFUNCTION("""COMPUTED_VALUE"""),"Small Format")</f>
        <v>Small Format</v>
      </c>
      <c r="S741" s="3" t="str">
        <f>IFERROR(__xludf.DUMMYFUNCTION("""COMPUTED_VALUE"""),"BCM")</f>
        <v>BCM</v>
      </c>
      <c r="T741" s="3" t="str">
        <f>IFERROR(__xludf.DUMMYFUNCTION("""COMPUTED_VALUE"""),"#N/A")</f>
        <v>#N/A</v>
      </c>
      <c r="U741" s="3" t="str">
        <f>IFERROR(__xludf.DUMMYFUNCTION("""COMPUTED_VALUE"""),"#N/A")</f>
        <v>#N/A</v>
      </c>
      <c r="V741" s="3" t="str">
        <f>IFERROR(__xludf.DUMMYFUNCTION("""COMPUTED_VALUE"""),"N")</f>
        <v>N</v>
      </c>
      <c r="W741" s="3">
        <f>IFERROR(__xludf.DUMMYFUNCTION("""COMPUTED_VALUE"""),211481.0)</f>
        <v>211481</v>
      </c>
      <c r="X741" s="3" t="str">
        <f>IFERROR(__xludf.DUMMYFUNCTION("""COMPUTED_VALUE"""),"246/74 หมู่ 4 ถนนดอนนก ตำบลมะขามเตี้ย อำเภอเมืองสุราษฎร์ธานี จังหวัดสุราษฎร์ธานี 84000")</f>
        <v>246/74 หมู่ 4 ถนนดอนนก ตำบลมะขามเตี้ย อำเภอเมืองสุราษฎร์ธานี จังหวัดสุราษฎร์ธานี 84000</v>
      </c>
      <c r="Y741" s="3"/>
      <c r="Z741" s="3" t="str">
        <f>IFERROR(__xludf.DUMMYFUNCTION("""COMPUTED_VALUE"""),"มะขามเตี้ย")</f>
        <v>มะขามเตี้ย</v>
      </c>
      <c r="AA741" s="3" t="str">
        <f>IFERROR(__xludf.DUMMYFUNCTION("""COMPUTED_VALUE"""),"เมือง")</f>
        <v>เมือง</v>
      </c>
      <c r="AB741" s="3" t="str">
        <f>IFERROR(__xludf.DUMMYFUNCTION("""COMPUTED_VALUE"""),"สุราษฎร์ธานี")</f>
        <v>สุราษฎร์ธานี</v>
      </c>
      <c r="AC741" s="3">
        <f>IFERROR(__xludf.DUMMYFUNCTION("""COMPUTED_VALUE"""),84000.0)</f>
        <v>84000</v>
      </c>
      <c r="AD741" s="3">
        <f>IFERROR(__xludf.DUMMYFUNCTION("""COMPUTED_VALUE"""),9.133762)</f>
        <v>9.133762</v>
      </c>
      <c r="AE741" s="3">
        <f>IFERROR(__xludf.DUMMYFUNCTION("""COMPUTED_VALUE"""),99.344848)</f>
        <v>99.344848</v>
      </c>
      <c r="AF741" s="3" t="str">
        <f>IFERROR(__xludf.DUMMYFUNCTION("""COMPUTED_VALUE"""),"MBC หน้าค่ายวิภาวดีรังสิตสุราษฎร์ธานี-21509")</f>
        <v>MBC หน้าค่ายวิภาวดีรังสิตสุราษฎร์ธานี-21509</v>
      </c>
      <c r="AG741" s="3" t="str">
        <f>IFERROR(__xludf.DUMMYFUNCTION("""COMPUTED_VALUE"""),"ใต้")</f>
        <v>ใต้</v>
      </c>
      <c r="AH741" s="3" t="str">
        <f>IFERROR(__xludf.DUMMYFUNCTION("""COMPUTED_VALUE"""),"#N/A")</f>
        <v>#N/A</v>
      </c>
      <c r="AI741" s="3" t="str">
        <f>IFERROR(__xludf.DUMMYFUNCTION("""COMPUTED_VALUE"""),"Out of warranty")</f>
        <v>Out of warranty</v>
      </c>
      <c r="AJ741" s="3">
        <f>IFERROR(__xludf.DUMMYFUNCTION("""COMPUTED_VALUE"""),100.0)</f>
        <v>100</v>
      </c>
      <c r="AK741" s="3" t="str">
        <f>IFERROR(__xludf.DUMMYFUNCTION("""COMPUTED_VALUE"""),"MMS14")</f>
        <v>MMS14</v>
      </c>
      <c r="AL741" s="3"/>
    </row>
    <row r="742" ht="15.75" customHeight="1">
      <c r="A742" s="1" t="str">
        <f>IFERROR(__xludf.DUMMYFUNCTION("""COMPUTED_VALUE"""),"21510")</f>
        <v>21510</v>
      </c>
      <c r="B742" s="2">
        <f>IFERROR(__xludf.DUMMYFUNCTION("""COMPUTED_VALUE"""),21510.0)</f>
        <v>21510</v>
      </c>
      <c r="C742" s="3" t="str">
        <f>IFERROR(__xludf.DUMMYFUNCTION("""COMPUTED_VALUE"""),"MBC บ้านณรงค์ชัย")</f>
        <v>MBC บ้านณรงค์ชัย</v>
      </c>
      <c r="D742" s="3" t="str">
        <f>IFERROR(__xludf.DUMMYFUNCTION("""COMPUTED_VALUE"""),"BCM BANNARONGCHAI")</f>
        <v>BCM BANNARONGCHAI</v>
      </c>
      <c r="E742" s="1" t="str">
        <f>IFERROR(__xludf.DUMMYFUNCTION("""COMPUTED_VALUE"""),"บิ๊กซี MINI")</f>
        <v>บิ๊กซี MINI</v>
      </c>
      <c r="F742" s="1" t="str">
        <f>IFERROR(__xludf.DUMMYFUNCTION("""COMPUTED_VALUE"""),"296229")</f>
        <v>296229</v>
      </c>
      <c r="G742" s="1" t="str">
        <f>IFERROR(__xludf.DUMMYFUNCTION("""COMPUTED_VALUE"""),"นายทนงศักดิ์ บุญมา")</f>
        <v>นายทนงศักดิ์ บุญมา</v>
      </c>
      <c r="H742" s="1" t="str">
        <f>IFERROR(__xludf.DUMMYFUNCTION("""COMPUTED_VALUE"""),"211363")</f>
        <v>211363</v>
      </c>
      <c r="I742" s="1" t="str">
        <f>IFERROR(__xludf.DUMMYFUNCTION("""COMPUTED_VALUE"""),"นายสามารถ บุญลับ")</f>
        <v>นายสามารถ บุญลับ</v>
      </c>
      <c r="J742" s="3">
        <f>IFERROR(__xludf.DUMMYFUNCTION("""COMPUTED_VALUE"""),46214.0)</f>
        <v>46214</v>
      </c>
      <c r="K742" s="3" t="str">
        <f>IFERROR(__xludf.DUMMYFUNCTION("""COMPUTED_VALUE"""),"นายศักดิ์ชัย เด็ดดอกฟ้า")</f>
        <v>นายศักดิ์ชัย เด็ดดอกฟ้า</v>
      </c>
      <c r="L742" s="1" t="str">
        <f>IFERROR(__xludf.DUMMYFUNCTION("""COMPUTED_VALUE"""),"02 K.Sakchai D")</f>
        <v>02 K.Sakchai D</v>
      </c>
      <c r="M742" s="1" t="str">
        <f>IFERROR(__xludf.DUMMYFUNCTION("""COMPUTED_VALUE"""),"065-510-7376")</f>
        <v>065-510-7376</v>
      </c>
      <c r="N742" s="3">
        <f>IFERROR(__xludf.DUMMYFUNCTION("""COMPUTED_VALUE"""),21714.0)</f>
        <v>21714</v>
      </c>
      <c r="O742" s="3" t="str">
        <f>IFERROR(__xludf.DUMMYFUNCTION("""COMPUTED_VALUE"""),"MBC เอสโซ่ วัดโบสถ์")</f>
        <v>MBC เอสโซ่ วัดโบสถ์</v>
      </c>
      <c r="P742" s="4">
        <f>IFERROR(__xludf.DUMMYFUNCTION("""COMPUTED_VALUE"""),43004.0)</f>
        <v>43004</v>
      </c>
      <c r="Q742" s="3" t="str">
        <f>IFERROR(__xludf.DUMMYFUNCTION("""COMPUTED_VALUE"""),"A")</f>
        <v>A</v>
      </c>
      <c r="R742" s="3" t="str">
        <f>IFERROR(__xludf.DUMMYFUNCTION("""COMPUTED_VALUE"""),"Small Format")</f>
        <v>Small Format</v>
      </c>
      <c r="S742" s="3" t="str">
        <f>IFERROR(__xludf.DUMMYFUNCTION("""COMPUTED_VALUE"""),"BCM")</f>
        <v>BCM</v>
      </c>
      <c r="T742" s="3" t="str">
        <f>IFERROR(__xludf.DUMMYFUNCTION("""COMPUTED_VALUE"""),"#N/A")</f>
        <v>#N/A</v>
      </c>
      <c r="U742" s="3" t="str">
        <f>IFERROR(__xludf.DUMMYFUNCTION("""COMPUTED_VALUE"""),"#N/A")</f>
        <v>#N/A</v>
      </c>
      <c r="V742" s="3" t="str">
        <f>IFERROR(__xludf.DUMMYFUNCTION("""COMPUTED_VALUE"""),"N")</f>
        <v>N</v>
      </c>
      <c r="W742" s="3">
        <f>IFERROR(__xludf.DUMMYFUNCTION("""COMPUTED_VALUE"""),211466.0)</f>
        <v>211466</v>
      </c>
      <c r="X742" s="3" t="str">
        <f>IFERROR(__xludf.DUMMYFUNCTION("""COMPUTED_VALUE"""),"108/4-5 หมู่ 7 ตำบลบ้านสร้าง อำเภอบางปะอิน จังหวัดพระนครศรีอยุธยา 13170")</f>
        <v>108/4-5 หมู่ 7 ตำบลบ้านสร้าง อำเภอบางปะอิน จังหวัดพระนครศรีอยุธยา 13170</v>
      </c>
      <c r="Y742" s="3"/>
      <c r="Z742" s="3" t="str">
        <f>IFERROR(__xludf.DUMMYFUNCTION("""COMPUTED_VALUE"""),"บ้านสร้าง")</f>
        <v>บ้านสร้าง</v>
      </c>
      <c r="AA742" s="3" t="str">
        <f>IFERROR(__xludf.DUMMYFUNCTION("""COMPUTED_VALUE"""),"บางปะอิน")</f>
        <v>บางปะอิน</v>
      </c>
      <c r="AB742" s="3" t="str">
        <f>IFERROR(__xludf.DUMMYFUNCTION("""COMPUTED_VALUE"""),"พระนครศรีอยุธยา")</f>
        <v>พระนครศรีอยุธยา</v>
      </c>
      <c r="AC742" s="3">
        <f>IFERROR(__xludf.DUMMYFUNCTION("""COMPUTED_VALUE"""),13170.0)</f>
        <v>13170</v>
      </c>
      <c r="AD742" s="3">
        <f>IFERROR(__xludf.DUMMYFUNCTION("""COMPUTED_VALUE"""),14.293321)</f>
        <v>14.293321</v>
      </c>
      <c r="AE742" s="3">
        <f>IFERROR(__xludf.DUMMYFUNCTION("""COMPUTED_VALUE"""),100.661147)</f>
        <v>100.661147</v>
      </c>
      <c r="AF742" s="3" t="str">
        <f>IFERROR(__xludf.DUMMYFUNCTION("""COMPUTED_VALUE"""),"MBC บ้านณรงค์ชัย-21510")</f>
        <v>MBC บ้านณรงค์ชัย-21510</v>
      </c>
      <c r="AG742" s="3" t="str">
        <f>IFERROR(__xludf.DUMMYFUNCTION("""COMPUTED_VALUE"""),"กลาง")</f>
        <v>กลาง</v>
      </c>
      <c r="AH742" s="3" t="str">
        <f>IFERROR(__xludf.DUMMYFUNCTION("""COMPUTED_VALUE"""),"#N/A")</f>
        <v>#N/A</v>
      </c>
      <c r="AI742" s="3" t="str">
        <f>IFERROR(__xludf.DUMMYFUNCTION("""COMPUTED_VALUE"""),"Out of warranty")</f>
        <v>Out of warranty</v>
      </c>
      <c r="AJ742" s="3">
        <f>IFERROR(__xludf.DUMMYFUNCTION("""COMPUTED_VALUE"""),100.0)</f>
        <v>100</v>
      </c>
      <c r="AK742" s="3" t="str">
        <f>IFERROR(__xludf.DUMMYFUNCTION("""COMPUTED_VALUE"""),"MMS04")</f>
        <v>MMS04</v>
      </c>
      <c r="AL742" s="3"/>
    </row>
    <row r="743" ht="15.75" customHeight="1">
      <c r="A743" s="1" t="str">
        <f>IFERROR(__xludf.DUMMYFUNCTION("""COMPUTED_VALUE"""),"21511")</f>
        <v>21511</v>
      </c>
      <c r="B743" s="2">
        <f>IFERROR(__xludf.DUMMYFUNCTION("""COMPUTED_VALUE"""),21511.0)</f>
        <v>21511</v>
      </c>
      <c r="C743" s="3" t="str">
        <f>IFERROR(__xludf.DUMMYFUNCTION("""COMPUTED_VALUE"""),"MBC หมู่บ้านการเคหะนครราชสีมา")</f>
        <v>MBC หมู่บ้านการเคหะนครราชสีมา</v>
      </c>
      <c r="D743" s="3" t="str">
        <f>IFERROR(__xludf.DUMMYFUNCTION("""COMPUTED_VALUE"""),"BCM KEHA NAKHON RATCHASIMA")</f>
        <v>BCM KEHA NAKHON RATCHASIMA</v>
      </c>
      <c r="E743" s="1" t="str">
        <f>IFERROR(__xludf.DUMMYFUNCTION("""COMPUTED_VALUE"""),"บิ๊กซี MINI")</f>
        <v>บิ๊กซี MINI</v>
      </c>
      <c r="F743" s="1" t="str">
        <f>IFERROR(__xludf.DUMMYFUNCTION("""COMPUTED_VALUE"""),"291105")</f>
        <v>291105</v>
      </c>
      <c r="G743" s="1" t="str">
        <f>IFERROR(__xludf.DUMMYFUNCTION("""COMPUTED_VALUE"""),"นายสราวุฒิ พณิชยกุล")</f>
        <v>นายสราวุฒิ พณิชยกุล</v>
      </c>
      <c r="H743" s="1" t="str">
        <f>IFERROR(__xludf.DUMMYFUNCTION("""COMPUTED_VALUE"""),"281315")</f>
        <v>281315</v>
      </c>
      <c r="I743" s="1" t="str">
        <f>IFERROR(__xludf.DUMMYFUNCTION("""COMPUTED_VALUE"""),"นายกิตติพงษ์ มั่นคง")</f>
        <v>นายกิตติพงษ์ มั่นคง</v>
      </c>
      <c r="J743" s="3">
        <f>IFERROR(__xludf.DUMMYFUNCTION("""COMPUTED_VALUE"""),15361.0)</f>
        <v>15361</v>
      </c>
      <c r="K743" s="3" t="str">
        <f>IFERROR(__xludf.DUMMYFUNCTION("""COMPUTED_VALUE"""),"นายสมบูรณ์ พรหมในเมือง")</f>
        <v>นายสมบูรณ์ พรหมในเมือง</v>
      </c>
      <c r="L743" s="1" t="str">
        <f>IFERROR(__xludf.DUMMYFUNCTION("""COMPUTED_VALUE"""),"04 K.Somboon P.")</f>
        <v>04 K.Somboon P.</v>
      </c>
      <c r="M743" s="1" t="str">
        <f>IFERROR(__xludf.DUMMYFUNCTION("""COMPUTED_VALUE"""),"087-965-3051")</f>
        <v>087-965-3051</v>
      </c>
      <c r="N743" s="3">
        <f>IFERROR(__xludf.DUMMYFUNCTION("""COMPUTED_VALUE"""),21869.0)</f>
        <v>21869</v>
      </c>
      <c r="O743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743" s="4">
        <f>IFERROR(__xludf.DUMMYFUNCTION("""COMPUTED_VALUE"""),43004.0)</f>
        <v>43004</v>
      </c>
      <c r="Q743" s="3" t="str">
        <f>IFERROR(__xludf.DUMMYFUNCTION("""COMPUTED_VALUE"""),"A")</f>
        <v>A</v>
      </c>
      <c r="R743" s="3" t="str">
        <f>IFERROR(__xludf.DUMMYFUNCTION("""COMPUTED_VALUE"""),"Small Format")</f>
        <v>Small Format</v>
      </c>
      <c r="S743" s="3" t="str">
        <f>IFERROR(__xludf.DUMMYFUNCTION("""COMPUTED_VALUE"""),"BCM")</f>
        <v>BCM</v>
      </c>
      <c r="T743" s="3" t="str">
        <f>IFERROR(__xludf.DUMMYFUNCTION("""COMPUTED_VALUE"""),"#N/A")</f>
        <v>#N/A</v>
      </c>
      <c r="U743" s="3" t="str">
        <f>IFERROR(__xludf.DUMMYFUNCTION("""COMPUTED_VALUE"""),"#N/A")</f>
        <v>#N/A</v>
      </c>
      <c r="V743" s="3" t="str">
        <f>IFERROR(__xludf.DUMMYFUNCTION("""COMPUTED_VALUE"""),"N")</f>
        <v>N</v>
      </c>
      <c r="W743" s="3">
        <f>IFERROR(__xludf.DUMMYFUNCTION("""COMPUTED_VALUE"""),211475.0)</f>
        <v>211475</v>
      </c>
      <c r="X743" s="3" t="str">
        <f>IFERROR(__xludf.DUMMYFUNCTION("""COMPUTED_VALUE"""),"798/4-6 ซอยมิตรภาพ 15 ตำบลในเมือง อำเภอเมืองนครราชสีมา จังหวัดนครราชสีมา 30000")</f>
        <v>798/4-6 ซอยมิตรภาพ 15 ตำบลในเมือง อำเภอเมืองนครราชสีมา จังหวัดนครราชสีมา 30000</v>
      </c>
      <c r="Y743" s="3" t="str">
        <f>IFERROR(__xludf.DUMMYFUNCTION("""COMPUTED_VALUE"""),"ซอยมิตรภาพ")</f>
        <v>ซอยมิตรภาพ</v>
      </c>
      <c r="Z743" s="3" t="str">
        <f>IFERROR(__xludf.DUMMYFUNCTION("""COMPUTED_VALUE"""),"ในเมือง")</f>
        <v>ในเมือง</v>
      </c>
      <c r="AA743" s="3" t="str">
        <f>IFERROR(__xludf.DUMMYFUNCTION("""COMPUTED_VALUE"""),"เมือง")</f>
        <v>เมือง</v>
      </c>
      <c r="AB743" s="3" t="str">
        <f>IFERROR(__xludf.DUMMYFUNCTION("""COMPUTED_VALUE"""),"นครราชสีมา")</f>
        <v>นครราชสีมา</v>
      </c>
      <c r="AC743" s="3">
        <f>IFERROR(__xludf.DUMMYFUNCTION("""COMPUTED_VALUE"""),30000.0)</f>
        <v>30000</v>
      </c>
      <c r="AD743" s="3">
        <f>IFERROR(__xludf.DUMMYFUNCTION("""COMPUTED_VALUE"""),14.948728)</f>
        <v>14.948728</v>
      </c>
      <c r="AE743" s="3">
        <f>IFERROR(__xludf.DUMMYFUNCTION("""COMPUTED_VALUE"""),102.042491)</f>
        <v>102.042491</v>
      </c>
      <c r="AF743" s="3" t="str">
        <f>IFERROR(__xludf.DUMMYFUNCTION("""COMPUTED_VALUE"""),"MBC หมู่บ้านการเคหะนครราชสีมา-21511")</f>
        <v>MBC หมู่บ้านการเคหะนครราชสีมา-21511</v>
      </c>
      <c r="AG743" s="3" t="str">
        <f>IFERROR(__xludf.DUMMYFUNCTION("""COMPUTED_VALUE"""),"ตะวันออกเฉียงเหนือ")</f>
        <v>ตะวันออกเฉียงเหนือ</v>
      </c>
      <c r="AH743" s="3" t="str">
        <f>IFERROR(__xludf.DUMMYFUNCTION("""COMPUTED_VALUE"""),"#N/A")</f>
        <v>#N/A</v>
      </c>
      <c r="AI743" s="3" t="str">
        <f>IFERROR(__xludf.DUMMYFUNCTION("""COMPUTED_VALUE"""),"Out of warranty")</f>
        <v>Out of warranty</v>
      </c>
      <c r="AJ743" s="3">
        <f>IFERROR(__xludf.DUMMYFUNCTION("""COMPUTED_VALUE"""),100.0)</f>
        <v>100</v>
      </c>
      <c r="AK743" s="3" t="str">
        <f>IFERROR(__xludf.DUMMYFUNCTION("""COMPUTED_VALUE"""),"MMS11")</f>
        <v>MMS11</v>
      </c>
      <c r="AL743" s="3"/>
    </row>
    <row r="744" ht="15.75" customHeight="1">
      <c r="A744" s="1" t="str">
        <f>IFERROR(__xludf.DUMMYFUNCTION("""COMPUTED_VALUE"""),"21512")</f>
        <v>21512</v>
      </c>
      <c r="B744" s="2">
        <f>IFERROR(__xludf.DUMMYFUNCTION("""COMPUTED_VALUE"""),21512.0)</f>
        <v>21512</v>
      </c>
      <c r="C744" s="3" t="str">
        <f>IFERROR(__xludf.DUMMYFUNCTION("""COMPUTED_VALUE"""),"MBC ถนนสืบศิริ ซอย 1 นครราชสีมา")</f>
        <v>MBC ถนนสืบศิริ ซอย 1 นครราชสีมา</v>
      </c>
      <c r="D744" s="3" t="str">
        <f>IFERROR(__xludf.DUMMYFUNCTION("""COMPUTED_VALUE"""),"BCM THANON SUEBSIRI SOI1")</f>
        <v>BCM THANON SUEBSIRI SOI1</v>
      </c>
      <c r="E744" s="1" t="str">
        <f>IFERROR(__xludf.DUMMYFUNCTION("""COMPUTED_VALUE"""),"บิ๊กซี MINI")</f>
        <v>บิ๊กซี MINI</v>
      </c>
      <c r="F744" s="1" t="str">
        <f>IFERROR(__xludf.DUMMYFUNCTION("""COMPUTED_VALUE"""),"291105")</f>
        <v>291105</v>
      </c>
      <c r="G744" s="1" t="str">
        <f>IFERROR(__xludf.DUMMYFUNCTION("""COMPUTED_VALUE"""),"นายสราวุฒิ พณิชยกุล")</f>
        <v>นายสราวุฒิ พณิชยกุล</v>
      </c>
      <c r="H744" s="1" t="str">
        <f>IFERROR(__xludf.DUMMYFUNCTION("""COMPUTED_VALUE"""),"281315")</f>
        <v>281315</v>
      </c>
      <c r="I744" s="1" t="str">
        <f>IFERROR(__xludf.DUMMYFUNCTION("""COMPUTED_VALUE"""),"นายกิตติพงษ์ มั่นคง")</f>
        <v>นายกิตติพงษ์ มั่นคง</v>
      </c>
      <c r="J744" s="3">
        <f>IFERROR(__xludf.DUMMYFUNCTION("""COMPUTED_VALUE"""),295886.0)</f>
        <v>295886</v>
      </c>
      <c r="K744" s="3" t="str">
        <f>IFERROR(__xludf.DUMMYFUNCTION("""COMPUTED_VALUE"""),"นายจิระพงษ์ โพธิ์นิล")</f>
        <v>นายจิระพงษ์ โพธิ์นิล</v>
      </c>
      <c r="L744" s="1" t="str">
        <f>IFERROR(__xludf.DUMMYFUNCTION("""COMPUTED_VALUE"""),"นายจิระพงษ์ โพธิ์นิล")</f>
        <v>นายจิระพงษ์ โพธิ์นิล</v>
      </c>
      <c r="M744" s="1" t="str">
        <f>IFERROR(__xludf.DUMMYFUNCTION("""COMPUTED_VALUE"""),"0933290754")</f>
        <v>0933290754</v>
      </c>
      <c r="N744" s="3">
        <f>IFERROR(__xludf.DUMMYFUNCTION("""COMPUTED_VALUE"""),21622.0)</f>
        <v>21622</v>
      </c>
      <c r="O744" s="3" t="str">
        <f>IFERROR(__xludf.DUMMYFUNCTION("""COMPUTED_VALUE"""),"MBC ตลาดบ้านดอน")</f>
        <v>MBC ตลาดบ้านดอน</v>
      </c>
      <c r="P744" s="4">
        <f>IFERROR(__xludf.DUMMYFUNCTION("""COMPUTED_VALUE"""),43004.0)</f>
        <v>43004</v>
      </c>
      <c r="Q744" s="3" t="str">
        <f>IFERROR(__xludf.DUMMYFUNCTION("""COMPUTED_VALUE"""),"I")</f>
        <v>I</v>
      </c>
      <c r="R744" s="3" t="str">
        <f>IFERROR(__xludf.DUMMYFUNCTION("""COMPUTED_VALUE"""),"Small Format")</f>
        <v>Small Format</v>
      </c>
      <c r="S744" s="3" t="str">
        <f>IFERROR(__xludf.DUMMYFUNCTION("""COMPUTED_VALUE"""),"BCM")</f>
        <v>BCM</v>
      </c>
      <c r="T744" s="3" t="str">
        <f>IFERROR(__xludf.DUMMYFUNCTION("""COMPUTED_VALUE"""),"#N/A")</f>
        <v>#N/A</v>
      </c>
      <c r="U744" s="3" t="str">
        <f>IFERROR(__xludf.DUMMYFUNCTION("""COMPUTED_VALUE"""),"#N/A")</f>
        <v>#N/A</v>
      </c>
      <c r="V744" s="3" t="str">
        <f>IFERROR(__xludf.DUMMYFUNCTION("""COMPUTED_VALUE"""),"N")</f>
        <v>N</v>
      </c>
      <c r="W744" s="3">
        <f>IFERROR(__xludf.DUMMYFUNCTION("""COMPUTED_VALUE"""),211478.0)</f>
        <v>211478</v>
      </c>
      <c r="X744" s="3" t="str">
        <f>IFERROR(__xludf.DUMMYFUNCTION("""COMPUTED_VALUE"""),"47/1-3 ถนนสืบศิริ ตำบลในเมือง อำเภอเมืองนครราชสีมา จังหวัดนครราชสีมา 30000")</f>
        <v>47/1-3 ถนนสืบศิริ ตำบลในเมือง อำเภอเมืองนครราชสีมา จังหวัดนครราชสีมา 30000</v>
      </c>
      <c r="Y744" s="3" t="str">
        <f>IFERROR(__xludf.DUMMYFUNCTION("""COMPUTED_VALUE"""),"ถนนสืบศิริ")</f>
        <v>ถนนสืบศิริ</v>
      </c>
      <c r="Z744" s="3" t="str">
        <f>IFERROR(__xludf.DUMMYFUNCTION("""COMPUTED_VALUE"""),"ในเมือง")</f>
        <v>ในเมือง</v>
      </c>
      <c r="AA744" s="3" t="str">
        <f>IFERROR(__xludf.DUMMYFUNCTION("""COMPUTED_VALUE"""),"เมือง")</f>
        <v>เมือง</v>
      </c>
      <c r="AB744" s="3" t="str">
        <f>IFERROR(__xludf.DUMMYFUNCTION("""COMPUTED_VALUE"""),"นครราชสีมา")</f>
        <v>นครราชสีมา</v>
      </c>
      <c r="AC744" s="3">
        <f>IFERROR(__xludf.DUMMYFUNCTION("""COMPUTED_VALUE"""),30000.0)</f>
        <v>30000</v>
      </c>
      <c r="AD744" s="3">
        <f>IFERROR(__xludf.DUMMYFUNCTION("""COMPUTED_VALUE"""),14.97028)</f>
        <v>14.97028</v>
      </c>
      <c r="AE744" s="3">
        <f>IFERROR(__xludf.DUMMYFUNCTION("""COMPUTED_VALUE"""),102.067464)</f>
        <v>102.067464</v>
      </c>
      <c r="AF744" s="3" t="str">
        <f>IFERROR(__xludf.DUMMYFUNCTION("""COMPUTED_VALUE"""),"MBC ถนนสืบศิริ ซอย 1 นครราชสีมา-21512")</f>
        <v>MBC ถนนสืบศิริ ซอย 1 นครราชสีมา-21512</v>
      </c>
      <c r="AG744" s="3" t="str">
        <f>IFERROR(__xludf.DUMMYFUNCTION("""COMPUTED_VALUE"""),"ตะวันออกเฉียงเหนือ")</f>
        <v>ตะวันออกเฉียงเหนือ</v>
      </c>
      <c r="AH744" s="3" t="str">
        <f>IFERROR(__xludf.DUMMYFUNCTION("""COMPUTED_VALUE"""),"#N/A")</f>
        <v>#N/A</v>
      </c>
      <c r="AI744" s="3" t="str">
        <f>IFERROR(__xludf.DUMMYFUNCTION("""COMPUTED_VALUE"""),"Out of warranty")</f>
        <v>Out of warranty</v>
      </c>
      <c r="AJ744" s="3">
        <f>IFERROR(__xludf.DUMMYFUNCTION("""COMPUTED_VALUE"""),100.0)</f>
        <v>100</v>
      </c>
      <c r="AK744" s="3" t="str">
        <f>IFERROR(__xludf.DUMMYFUNCTION("""COMPUTED_VALUE"""),"MMS11")</f>
        <v>MMS11</v>
      </c>
      <c r="AL744" s="3"/>
    </row>
    <row r="745" ht="15.75" customHeight="1">
      <c r="A745" s="1" t="str">
        <f>IFERROR(__xludf.DUMMYFUNCTION("""COMPUTED_VALUE"""),"21513")</f>
        <v>21513</v>
      </c>
      <c r="B745" s="2">
        <f>IFERROR(__xludf.DUMMYFUNCTION("""COMPUTED_VALUE"""),21513.0)</f>
        <v>21513</v>
      </c>
      <c r="C745" s="3" t="str">
        <f>IFERROR(__xludf.DUMMYFUNCTION("""COMPUTED_VALUE"""),"MBC ปากกราน")</f>
        <v>MBC ปากกราน</v>
      </c>
      <c r="D745" s="3" t="str">
        <f>IFERROR(__xludf.DUMMYFUNCTION("""COMPUTED_VALUE"""),"BCM PAKKRAN")</f>
        <v>BCM PAKKRAN</v>
      </c>
      <c r="E745" s="1" t="str">
        <f>IFERROR(__xludf.DUMMYFUNCTION("""COMPUTED_VALUE"""),"บิ๊กซี MINI")</f>
        <v>บิ๊กซี MINI</v>
      </c>
      <c r="F745" s="1" t="str">
        <f>IFERROR(__xludf.DUMMYFUNCTION("""COMPUTED_VALUE"""),"296229")</f>
        <v>296229</v>
      </c>
      <c r="G745" s="1" t="str">
        <f>IFERROR(__xludf.DUMMYFUNCTION("""COMPUTED_VALUE"""),"นายทนงศักดิ์ บุญมา")</f>
        <v>นายทนงศักดิ์ บุญมา</v>
      </c>
      <c r="H745" s="1" t="str">
        <f>IFERROR(__xludf.DUMMYFUNCTION("""COMPUTED_VALUE"""),"211363")</f>
        <v>211363</v>
      </c>
      <c r="I745" s="1" t="str">
        <f>IFERROR(__xludf.DUMMYFUNCTION("""COMPUTED_VALUE"""),"นายสามารถ บุญลับ")</f>
        <v>นายสามารถ บุญลับ</v>
      </c>
      <c r="J745" s="3">
        <f>IFERROR(__xludf.DUMMYFUNCTION("""COMPUTED_VALUE"""),46214.0)</f>
        <v>46214</v>
      </c>
      <c r="K745" s="3" t="str">
        <f>IFERROR(__xludf.DUMMYFUNCTION("""COMPUTED_VALUE"""),"นายศักดิ์ชัย เด็ดดอกฟ้า")</f>
        <v>นายศักดิ์ชัย เด็ดดอกฟ้า</v>
      </c>
      <c r="L745" s="1" t="str">
        <f>IFERROR(__xludf.DUMMYFUNCTION("""COMPUTED_VALUE"""),"02 K.Sakchai D")</f>
        <v>02 K.Sakchai D</v>
      </c>
      <c r="M745" s="1" t="str">
        <f>IFERROR(__xludf.DUMMYFUNCTION("""COMPUTED_VALUE"""),"065-510-7376")</f>
        <v>065-510-7376</v>
      </c>
      <c r="N745" s="3">
        <f>IFERROR(__xludf.DUMMYFUNCTION("""COMPUTED_VALUE"""),21714.0)</f>
        <v>21714</v>
      </c>
      <c r="O745" s="3" t="str">
        <f>IFERROR(__xludf.DUMMYFUNCTION("""COMPUTED_VALUE"""),"MBC เอสโซ่ วัดโบสถ์")</f>
        <v>MBC เอสโซ่ วัดโบสถ์</v>
      </c>
      <c r="P745" s="4">
        <f>IFERROR(__xludf.DUMMYFUNCTION("""COMPUTED_VALUE"""),43004.0)</f>
        <v>43004</v>
      </c>
      <c r="Q745" s="3" t="str">
        <f>IFERROR(__xludf.DUMMYFUNCTION("""COMPUTED_VALUE"""),"A")</f>
        <v>A</v>
      </c>
      <c r="R745" s="3" t="str">
        <f>IFERROR(__xludf.DUMMYFUNCTION("""COMPUTED_VALUE"""),"Small Format")</f>
        <v>Small Format</v>
      </c>
      <c r="S745" s="3" t="str">
        <f>IFERROR(__xludf.DUMMYFUNCTION("""COMPUTED_VALUE"""),"BCM")</f>
        <v>BCM</v>
      </c>
      <c r="T745" s="3" t="str">
        <f>IFERROR(__xludf.DUMMYFUNCTION("""COMPUTED_VALUE"""),"#N/A")</f>
        <v>#N/A</v>
      </c>
      <c r="U745" s="3" t="str">
        <f>IFERROR(__xludf.DUMMYFUNCTION("""COMPUTED_VALUE"""),"#N/A")</f>
        <v>#N/A</v>
      </c>
      <c r="V745" s="3" t="str">
        <f>IFERROR(__xludf.DUMMYFUNCTION("""COMPUTED_VALUE"""),"N")</f>
        <v>N</v>
      </c>
      <c r="W745" s="3">
        <f>IFERROR(__xludf.DUMMYFUNCTION("""COMPUTED_VALUE"""),211446.0)</f>
        <v>211446</v>
      </c>
      <c r="X745" s="3" t="str">
        <f>IFERROR(__xludf.DUMMYFUNCTION("""COMPUTED_VALUE"""),"9/6-8 หมู่ 11 ตำบลปากกราน อำเภอพระนครศรีอยุธยา จังหวัดพระนครศรีอยุธยา 13000")</f>
        <v>9/6-8 หมู่ 11 ตำบลปากกราน อำเภอพระนครศรีอยุธยา จังหวัดพระนครศรีอยุธยา 13000</v>
      </c>
      <c r="Y745" s="3"/>
      <c r="Z745" s="3" t="str">
        <f>IFERROR(__xludf.DUMMYFUNCTION("""COMPUTED_VALUE"""),"ปากกราน")</f>
        <v>ปากกราน</v>
      </c>
      <c r="AA745" s="3" t="str">
        <f>IFERROR(__xludf.DUMMYFUNCTION("""COMPUTED_VALUE"""),"เมืองพระนครศรีอยุธยา")</f>
        <v>เมืองพระนครศรีอยุธยา</v>
      </c>
      <c r="AB745" s="3" t="str">
        <f>IFERROR(__xludf.DUMMYFUNCTION("""COMPUTED_VALUE"""),"พระนครศรีอยุธยา")</f>
        <v>พระนครศรีอยุธยา</v>
      </c>
      <c r="AC745" s="3">
        <f>IFERROR(__xludf.DUMMYFUNCTION("""COMPUTED_VALUE"""),13000.0)</f>
        <v>13000</v>
      </c>
      <c r="AD745" s="3">
        <f>IFERROR(__xludf.DUMMYFUNCTION("""COMPUTED_VALUE"""),14.333363)</f>
        <v>14.333363</v>
      </c>
      <c r="AE745" s="3">
        <f>IFERROR(__xludf.DUMMYFUNCTION("""COMPUTED_VALUE"""),100.546127)</f>
        <v>100.546127</v>
      </c>
      <c r="AF745" s="3" t="str">
        <f>IFERROR(__xludf.DUMMYFUNCTION("""COMPUTED_VALUE"""),"MBC ปากกราน-21513")</f>
        <v>MBC ปากกราน-21513</v>
      </c>
      <c r="AG745" s="3" t="str">
        <f>IFERROR(__xludf.DUMMYFUNCTION("""COMPUTED_VALUE"""),"กลาง")</f>
        <v>กลาง</v>
      </c>
      <c r="AH745" s="3" t="str">
        <f>IFERROR(__xludf.DUMMYFUNCTION("""COMPUTED_VALUE"""),"#N/A")</f>
        <v>#N/A</v>
      </c>
      <c r="AI745" s="3" t="str">
        <f>IFERROR(__xludf.DUMMYFUNCTION("""COMPUTED_VALUE"""),"Out of warranty")</f>
        <v>Out of warranty</v>
      </c>
      <c r="AJ745" s="3">
        <f>IFERROR(__xludf.DUMMYFUNCTION("""COMPUTED_VALUE"""),100.0)</f>
        <v>100</v>
      </c>
      <c r="AK745" s="3" t="str">
        <f>IFERROR(__xludf.DUMMYFUNCTION("""COMPUTED_VALUE"""),"MMS04")</f>
        <v>MMS04</v>
      </c>
      <c r="AL745" s="3"/>
    </row>
    <row r="746" ht="15.75" customHeight="1">
      <c r="A746" s="1" t="str">
        <f>IFERROR(__xludf.DUMMYFUNCTION("""COMPUTED_VALUE"""),"21514")</f>
        <v>21514</v>
      </c>
      <c r="B746" s="2">
        <f>IFERROR(__xludf.DUMMYFUNCTION("""COMPUTED_VALUE"""),21514.0)</f>
        <v>21514</v>
      </c>
      <c r="C746" s="3" t="str">
        <f>IFERROR(__xludf.DUMMYFUNCTION("""COMPUTED_VALUE"""),"MBC เคหะมาบตาพุด")</f>
        <v>MBC เคหะมาบตาพุด</v>
      </c>
      <c r="D746" s="3" t="str">
        <f>IFERROR(__xludf.DUMMYFUNCTION("""COMPUTED_VALUE"""),"BCM KEHA MAPTAPHUT")</f>
        <v>BCM KEHA MAPTAPHUT</v>
      </c>
      <c r="E746" s="1" t="str">
        <f>IFERROR(__xludf.DUMMYFUNCTION("""COMPUTED_VALUE"""),"บิ๊กซี MINI")</f>
        <v>บิ๊กซี MINI</v>
      </c>
      <c r="F746" s="1" t="str">
        <f>IFERROR(__xludf.DUMMYFUNCTION("""COMPUTED_VALUE"""),"221716")</f>
        <v>221716</v>
      </c>
      <c r="G746" s="1" t="str">
        <f>IFERROR(__xludf.DUMMYFUNCTION("""COMPUTED_VALUE"""),"น.ส.เบญจพร โพธิสาร")</f>
        <v>น.ส.เบญจพร โพธิสาร</v>
      </c>
      <c r="H746" s="1" t="str">
        <f>IFERROR(__xludf.DUMMYFUNCTION("""COMPUTED_VALUE"""),"359233")</f>
        <v>359233</v>
      </c>
      <c r="I746" s="1" t="str">
        <f>IFERROR(__xludf.DUMMYFUNCTION("""COMPUTED_VALUE"""),"น.ส.ปยุดา คำมีอ่อน")</f>
        <v>น.ส.ปยุดา คำมีอ่อน</v>
      </c>
      <c r="J746" s="3">
        <f>IFERROR(__xludf.DUMMYFUNCTION("""COMPUTED_VALUE"""),2452376.0)</f>
        <v>2452376</v>
      </c>
      <c r="K746" s="3" t="str">
        <f>IFERROR(__xludf.DUMMYFUNCTION("""COMPUTED_VALUE"""),"นายภาคภูมิ ทวีกุล")</f>
        <v>นายภาคภูมิ ทวีกุล</v>
      </c>
      <c r="L746" s="1" t="str">
        <f>IFERROR(__xludf.DUMMYFUNCTION("""COMPUTED_VALUE"""),"08 K.Parkphum T.")</f>
        <v>08 K.Parkphum T.</v>
      </c>
      <c r="M746" s="1" t="str">
        <f>IFERROR(__xludf.DUMMYFUNCTION("""COMPUTED_VALUE"""),"097-919-5476")</f>
        <v>097-919-5476</v>
      </c>
      <c r="N746" s="3">
        <f>IFERROR(__xludf.DUMMYFUNCTION("""COMPUTED_VALUE"""),22028.0)</f>
        <v>22028</v>
      </c>
      <c r="O746" s="3" t="str">
        <f>IFERROR(__xludf.DUMMYFUNCTION("""COMPUTED_VALUE"""),"MBC ทํบมา ระยอง")</f>
        <v>MBC ทํบมา ระยอง</v>
      </c>
      <c r="P746" s="4">
        <f>IFERROR(__xludf.DUMMYFUNCTION("""COMPUTED_VALUE"""),43005.0)</f>
        <v>43005</v>
      </c>
      <c r="Q746" s="3" t="str">
        <f>IFERROR(__xludf.DUMMYFUNCTION("""COMPUTED_VALUE"""),"A")</f>
        <v>A</v>
      </c>
      <c r="R746" s="3" t="str">
        <f>IFERROR(__xludf.DUMMYFUNCTION("""COMPUTED_VALUE"""),"Small Format")</f>
        <v>Small Format</v>
      </c>
      <c r="S746" s="3" t="str">
        <f>IFERROR(__xludf.DUMMYFUNCTION("""COMPUTED_VALUE"""),"BCM")</f>
        <v>BCM</v>
      </c>
      <c r="T746" s="3" t="str">
        <f>IFERROR(__xludf.DUMMYFUNCTION("""COMPUTED_VALUE"""),"#N/A")</f>
        <v>#N/A</v>
      </c>
      <c r="U746" s="3" t="str">
        <f>IFERROR(__xludf.DUMMYFUNCTION("""COMPUTED_VALUE"""),"#N/A")</f>
        <v>#N/A</v>
      </c>
      <c r="V746" s="3" t="str">
        <f>IFERROR(__xludf.DUMMYFUNCTION("""COMPUTED_VALUE"""),"N")</f>
        <v>N</v>
      </c>
      <c r="W746" s="3">
        <f>IFERROR(__xludf.DUMMYFUNCTION("""COMPUTED_VALUE"""),211473.0)</f>
        <v>211473</v>
      </c>
      <c r="X746" s="3" t="str">
        <f>IFERROR(__xludf.DUMMYFUNCTION("""COMPUTED_VALUE"""),"200/30 ถนนการเคหะชุมชน 1 ตำบลห้วยโป่ง อำเภอเมืองระยอง จังหวัดระยอง 21150")</f>
        <v>200/30 ถนนการเคหะชุมชน 1 ตำบลห้วยโป่ง อำเภอเมืองระยอง จังหวัดระยอง 21150</v>
      </c>
      <c r="Y746" s="3" t="str">
        <f>IFERROR(__xludf.DUMMYFUNCTION("""COMPUTED_VALUE"""),"ถนนการเคหะชุมชน")</f>
        <v>ถนนการเคหะชุมชน</v>
      </c>
      <c r="Z746" s="3" t="str">
        <f>IFERROR(__xludf.DUMMYFUNCTION("""COMPUTED_VALUE"""),"ห้วยโป่ง")</f>
        <v>ห้วยโป่ง</v>
      </c>
      <c r="AA746" s="3" t="str">
        <f>IFERROR(__xludf.DUMMYFUNCTION("""COMPUTED_VALUE"""),"เมือง")</f>
        <v>เมือง</v>
      </c>
      <c r="AB746" s="3" t="str">
        <f>IFERROR(__xludf.DUMMYFUNCTION("""COMPUTED_VALUE"""),"ระยอง")</f>
        <v>ระยอง</v>
      </c>
      <c r="AC746" s="3">
        <f>IFERROR(__xludf.DUMMYFUNCTION("""COMPUTED_VALUE"""),21150.0)</f>
        <v>21150</v>
      </c>
      <c r="AD746" s="3">
        <f>IFERROR(__xludf.DUMMYFUNCTION("""COMPUTED_VALUE"""),12.725832)</f>
        <v>12.725832</v>
      </c>
      <c r="AE746" s="3">
        <f>IFERROR(__xludf.DUMMYFUNCTION("""COMPUTED_VALUE"""),101.12402)</f>
        <v>101.12402</v>
      </c>
      <c r="AF746" s="3" t="str">
        <f>IFERROR(__xludf.DUMMYFUNCTION("""COMPUTED_VALUE"""),"MBC เคหะมาบตาพุด-21514")</f>
        <v>MBC เคหะมาบตาพุด-21514</v>
      </c>
      <c r="AG746" s="3" t="str">
        <f>IFERROR(__xludf.DUMMYFUNCTION("""COMPUTED_VALUE"""),"ตะวันออก")</f>
        <v>ตะวันออก</v>
      </c>
      <c r="AH746" s="3" t="str">
        <f>IFERROR(__xludf.DUMMYFUNCTION("""COMPUTED_VALUE"""),"#N/A")</f>
        <v>#N/A</v>
      </c>
      <c r="AI746" s="3" t="str">
        <f>IFERROR(__xludf.DUMMYFUNCTION("""COMPUTED_VALUE"""),"Out of warranty")</f>
        <v>Out of warranty</v>
      </c>
      <c r="AJ746" s="3">
        <f>IFERROR(__xludf.DUMMYFUNCTION("""COMPUTED_VALUE"""),100.0)</f>
        <v>100</v>
      </c>
      <c r="AK746" s="3" t="str">
        <f>IFERROR(__xludf.DUMMYFUNCTION("""COMPUTED_VALUE"""),"MMS07")</f>
        <v>MMS07</v>
      </c>
      <c r="AL746" s="3"/>
    </row>
    <row r="747" ht="15.75" customHeight="1">
      <c r="A747" s="1" t="str">
        <f>IFERROR(__xludf.DUMMYFUNCTION("""COMPUTED_VALUE"""),"21515")</f>
        <v>21515</v>
      </c>
      <c r="B747" s="2">
        <f>IFERROR(__xludf.DUMMYFUNCTION("""COMPUTED_VALUE"""),21515.0)</f>
        <v>21515</v>
      </c>
      <c r="C747" s="3" t="str">
        <f>IFERROR(__xludf.DUMMYFUNCTION("""COMPUTED_VALUE"""),"MBC ทุ่งสุขลา")</f>
        <v>MBC ทุ่งสุขลา</v>
      </c>
      <c r="D747" s="3" t="str">
        <f>IFERROR(__xludf.DUMMYFUNCTION("""COMPUTED_VALUE"""),"BCM THUNGSUKHALA")</f>
        <v>BCM THUNGSUKHALA</v>
      </c>
      <c r="E747" s="1" t="str">
        <f>IFERROR(__xludf.DUMMYFUNCTION("""COMPUTED_VALUE"""),"บิ๊กซี MINI")</f>
        <v>บิ๊กซี MINI</v>
      </c>
      <c r="F747" s="1" t="str">
        <f>IFERROR(__xludf.DUMMYFUNCTION("""COMPUTED_VALUE"""),"221716")</f>
        <v>221716</v>
      </c>
      <c r="G747" s="1" t="str">
        <f>IFERROR(__xludf.DUMMYFUNCTION("""COMPUTED_VALUE"""),"น.ส.เบญจพร โพธิสาร")</f>
        <v>น.ส.เบญจพร โพธิสาร</v>
      </c>
      <c r="H747" s="1" t="str">
        <f>IFERROR(__xludf.DUMMYFUNCTION("""COMPUTED_VALUE"""),"291061")</f>
        <v>291061</v>
      </c>
      <c r="I747" s="1" t="str">
        <f>IFERROR(__xludf.DUMMYFUNCTION("""COMPUTED_VALUE"""),"นายสมศักดิ์ เสียงก้อง")</f>
        <v>นายสมศักดิ์ เสียงก้อง</v>
      </c>
      <c r="J747" s="3">
        <f>IFERROR(__xludf.DUMMYFUNCTION("""COMPUTED_VALUE"""),296942.0)</f>
        <v>296942</v>
      </c>
      <c r="K747" s="3" t="str">
        <f>IFERROR(__xludf.DUMMYFUNCTION("""COMPUTED_VALUE"""),"นายปิยะ รักษากิจ")</f>
        <v>นายปิยะ รักษากิจ</v>
      </c>
      <c r="L747" s="1" t="str">
        <f>IFERROR(__xludf.DUMMYFUNCTION("""COMPUTED_VALUE"""),"07 K.Piya R.")</f>
        <v>07 K.Piya R.</v>
      </c>
      <c r="M747" s="1" t="str">
        <f>IFERROR(__xludf.DUMMYFUNCTION("""COMPUTED_VALUE"""),"097-919-5476")</f>
        <v>097-919-5476</v>
      </c>
      <c r="N747" s="3">
        <f>IFERROR(__xludf.DUMMYFUNCTION("""COMPUTED_VALUE"""),21332.0)</f>
        <v>21332</v>
      </c>
      <c r="O747" s="3" t="str">
        <f>IFERROR(__xludf.DUMMYFUNCTION("""COMPUTED_VALUE"""),"MBC BCP อ่อนนุช 17/1")</f>
        <v>MBC BCP อ่อนนุช 17/1</v>
      </c>
      <c r="P747" s="4">
        <f>IFERROR(__xludf.DUMMYFUNCTION("""COMPUTED_VALUE"""),43008.0)</f>
        <v>43008</v>
      </c>
      <c r="Q747" s="3" t="str">
        <f>IFERROR(__xludf.DUMMYFUNCTION("""COMPUTED_VALUE"""),"A")</f>
        <v>A</v>
      </c>
      <c r="R747" s="3" t="str">
        <f>IFERROR(__xludf.DUMMYFUNCTION("""COMPUTED_VALUE"""),"Small Format")</f>
        <v>Small Format</v>
      </c>
      <c r="S747" s="3" t="str">
        <f>IFERROR(__xludf.DUMMYFUNCTION("""COMPUTED_VALUE"""),"BCM")</f>
        <v>BCM</v>
      </c>
      <c r="T747" s="3" t="str">
        <f>IFERROR(__xludf.DUMMYFUNCTION("""COMPUTED_VALUE"""),"#N/A")</f>
        <v>#N/A</v>
      </c>
      <c r="U747" s="3" t="str">
        <f>IFERROR(__xludf.DUMMYFUNCTION("""COMPUTED_VALUE"""),"#N/A")</f>
        <v>#N/A</v>
      </c>
      <c r="V747" s="3" t="str">
        <f>IFERROR(__xludf.DUMMYFUNCTION("""COMPUTED_VALUE"""),"N")</f>
        <v>N</v>
      </c>
      <c r="W747" s="3">
        <f>IFERROR(__xludf.DUMMYFUNCTION("""COMPUTED_VALUE"""),211427.0)</f>
        <v>211427</v>
      </c>
      <c r="X747" s="3" t="str">
        <f>IFERROR(__xludf.DUMMYFUNCTION("""COMPUTED_VALUE"""),"205/82 หมู่ 8 ตำบลทุ่งสุขลา อำเภอศรีราชา จังหวัดชลบุรี 20230")</f>
        <v>205/82 หมู่ 8 ตำบลทุ่งสุขลา อำเภอศรีราชา จังหวัดชลบุรี 20230</v>
      </c>
      <c r="Y747" s="3"/>
      <c r="Z747" s="3" t="str">
        <f>IFERROR(__xludf.DUMMYFUNCTION("""COMPUTED_VALUE"""),"ทุ่งสุขลา")</f>
        <v>ทุ่งสุขลา</v>
      </c>
      <c r="AA747" s="3" t="str">
        <f>IFERROR(__xludf.DUMMYFUNCTION("""COMPUTED_VALUE"""),"ศรีราชา")</f>
        <v>ศรีราชา</v>
      </c>
      <c r="AB747" s="3" t="str">
        <f>IFERROR(__xludf.DUMMYFUNCTION("""COMPUTED_VALUE"""),"ชลบุรี")</f>
        <v>ชลบุรี</v>
      </c>
      <c r="AC747" s="3">
        <f>IFERROR(__xludf.DUMMYFUNCTION("""COMPUTED_VALUE"""),20230.0)</f>
        <v>20230</v>
      </c>
      <c r="AD747" s="3">
        <f>IFERROR(__xludf.DUMMYFUNCTION("""COMPUTED_VALUE"""),13.112252)</f>
        <v>13.112252</v>
      </c>
      <c r="AE747" s="3">
        <f>IFERROR(__xludf.DUMMYFUNCTION("""COMPUTED_VALUE"""),100.929589)</f>
        <v>100.929589</v>
      </c>
      <c r="AF747" s="3" t="str">
        <f>IFERROR(__xludf.DUMMYFUNCTION("""COMPUTED_VALUE"""),"MBC ทุ่งสุขลา-21515")</f>
        <v>MBC ทุ่งสุขลา-21515</v>
      </c>
      <c r="AG747" s="3" t="str">
        <f>IFERROR(__xludf.DUMMYFUNCTION("""COMPUTED_VALUE"""),"ตะวันออก")</f>
        <v>ตะวันออก</v>
      </c>
      <c r="AH747" s="3" t="str">
        <f>IFERROR(__xludf.DUMMYFUNCTION("""COMPUTED_VALUE"""),"#N/A")</f>
        <v>#N/A</v>
      </c>
      <c r="AI747" s="3" t="str">
        <f>IFERROR(__xludf.DUMMYFUNCTION("""COMPUTED_VALUE"""),"Out of warranty")</f>
        <v>Out of warranty</v>
      </c>
      <c r="AJ747" s="3">
        <f>IFERROR(__xludf.DUMMYFUNCTION("""COMPUTED_VALUE"""),100.0)</f>
        <v>100</v>
      </c>
      <c r="AK747" s="3" t="str">
        <f>IFERROR(__xludf.DUMMYFUNCTION("""COMPUTED_VALUE"""),"MMS06")</f>
        <v>MMS06</v>
      </c>
      <c r="AL747" s="3"/>
    </row>
    <row r="748" ht="15.75" customHeight="1">
      <c r="A748" s="1" t="str">
        <f>IFERROR(__xludf.DUMMYFUNCTION("""COMPUTED_VALUE"""),"21516")</f>
        <v>21516</v>
      </c>
      <c r="B748" s="2">
        <f>IFERROR(__xludf.DUMMYFUNCTION("""COMPUTED_VALUE"""),21516.0)</f>
        <v>21516</v>
      </c>
      <c r="C748" s="3" t="str">
        <f>IFERROR(__xludf.DUMMYFUNCTION("""COMPUTED_VALUE"""),"MBC ปากน้ำ ระยอง")</f>
        <v>MBC ปากน้ำ ระยอง</v>
      </c>
      <c r="D748" s="3" t="str">
        <f>IFERROR(__xludf.DUMMYFUNCTION("""COMPUTED_VALUE"""),"BCM PAKNAM RAYONG)")</f>
        <v>BCM PAKNAM RAYONG)</v>
      </c>
      <c r="E748" s="1" t="str">
        <f>IFERROR(__xludf.DUMMYFUNCTION("""COMPUTED_VALUE"""),"บิ๊กซี MINI")</f>
        <v>บิ๊กซี MINI</v>
      </c>
      <c r="F748" s="1" t="str">
        <f>IFERROR(__xludf.DUMMYFUNCTION("""COMPUTED_VALUE"""),"221716")</f>
        <v>221716</v>
      </c>
      <c r="G748" s="1" t="str">
        <f>IFERROR(__xludf.DUMMYFUNCTION("""COMPUTED_VALUE"""),"น.ส.เบญจพร โพธิสาร")</f>
        <v>น.ส.เบญจพร โพธิสาร</v>
      </c>
      <c r="H748" s="1" t="str">
        <f>IFERROR(__xludf.DUMMYFUNCTION("""COMPUTED_VALUE"""),"359233")</f>
        <v>359233</v>
      </c>
      <c r="I748" s="1" t="str">
        <f>IFERROR(__xludf.DUMMYFUNCTION("""COMPUTED_VALUE"""),"น.ส.ปยุดา คำมีอ่อน")</f>
        <v>น.ส.ปยุดา คำมีอ่อน</v>
      </c>
      <c r="J748" s="3">
        <f>IFERROR(__xludf.DUMMYFUNCTION("""COMPUTED_VALUE"""),2452376.0)</f>
        <v>2452376</v>
      </c>
      <c r="K748" s="3" t="str">
        <f>IFERROR(__xludf.DUMMYFUNCTION("""COMPUTED_VALUE"""),"นายภาคภูมิ ทวีกุล")</f>
        <v>นายภาคภูมิ ทวีกุล</v>
      </c>
      <c r="L748" s="3" t="str">
        <f>IFERROR(__xludf.DUMMYFUNCTION("""COMPUTED_VALUE"""),"08 K.Parkphum T.")</f>
        <v>08 K.Parkphum T.</v>
      </c>
      <c r="M748" s="1" t="str">
        <f>IFERROR(__xludf.DUMMYFUNCTION("""COMPUTED_VALUE"""),"097-919-5476")</f>
        <v>097-919-5476</v>
      </c>
      <c r="N748" s="3">
        <f>IFERROR(__xludf.DUMMYFUNCTION("""COMPUTED_VALUE"""),22028.0)</f>
        <v>22028</v>
      </c>
      <c r="O748" s="3" t="str">
        <f>IFERROR(__xludf.DUMMYFUNCTION("""COMPUTED_VALUE"""),"MBC ทํบมา ระยอง")</f>
        <v>MBC ทํบมา ระยอง</v>
      </c>
      <c r="P748" s="4">
        <f>IFERROR(__xludf.DUMMYFUNCTION("""COMPUTED_VALUE"""),43008.0)</f>
        <v>43008</v>
      </c>
      <c r="Q748" s="3" t="str">
        <f>IFERROR(__xludf.DUMMYFUNCTION("""COMPUTED_VALUE"""),"A")</f>
        <v>A</v>
      </c>
      <c r="R748" s="3" t="str">
        <f>IFERROR(__xludf.DUMMYFUNCTION("""COMPUTED_VALUE"""),"Small Format")</f>
        <v>Small Format</v>
      </c>
      <c r="S748" s="3" t="str">
        <f>IFERROR(__xludf.DUMMYFUNCTION("""COMPUTED_VALUE"""),"BCM")</f>
        <v>BCM</v>
      </c>
      <c r="T748" s="3" t="str">
        <f>IFERROR(__xludf.DUMMYFUNCTION("""COMPUTED_VALUE"""),"#N/A")</f>
        <v>#N/A</v>
      </c>
      <c r="U748" s="3" t="str">
        <f>IFERROR(__xludf.DUMMYFUNCTION("""COMPUTED_VALUE"""),"#N/A")</f>
        <v>#N/A</v>
      </c>
      <c r="V748" s="3" t="str">
        <f>IFERROR(__xludf.DUMMYFUNCTION("""COMPUTED_VALUE"""),"N")</f>
        <v>N</v>
      </c>
      <c r="W748" s="3">
        <f>IFERROR(__xludf.DUMMYFUNCTION("""COMPUTED_VALUE"""),211474.0)</f>
        <v>211474</v>
      </c>
      <c r="X748" s="3" t="str">
        <f>IFERROR(__xludf.DUMMYFUNCTION("""COMPUTED_VALUE"""),"18/3-5 ถนนอดุลย์ธรรมประภาส ตำบลเชิงเนิน อำเภอเมืองระยอง จังหวัดระยอง 21000")</f>
        <v>18/3-5 ถนนอดุลย์ธรรมประภาส ตำบลเชิงเนิน อำเภอเมืองระยอง จังหวัดระยอง 21000</v>
      </c>
      <c r="Y748" s="3" t="str">
        <f>IFERROR(__xludf.DUMMYFUNCTION("""COMPUTED_VALUE"""),"ถนนอดุลย์ธรรมประภาส")</f>
        <v>ถนนอดุลย์ธรรมประภาส</v>
      </c>
      <c r="Z748" s="3" t="str">
        <f>IFERROR(__xludf.DUMMYFUNCTION("""COMPUTED_VALUE"""),"เชิงเนิน")</f>
        <v>เชิงเนิน</v>
      </c>
      <c r="AA748" s="3" t="str">
        <f>IFERROR(__xludf.DUMMYFUNCTION("""COMPUTED_VALUE"""),"เมือง")</f>
        <v>เมือง</v>
      </c>
      <c r="AB748" s="3" t="str">
        <f>IFERROR(__xludf.DUMMYFUNCTION("""COMPUTED_VALUE"""),"ระยอง")</f>
        <v>ระยอง</v>
      </c>
      <c r="AC748" s="3">
        <f>IFERROR(__xludf.DUMMYFUNCTION("""COMPUTED_VALUE"""),21000.0)</f>
        <v>21000</v>
      </c>
      <c r="AD748" s="3">
        <f>IFERROR(__xludf.DUMMYFUNCTION("""COMPUTED_VALUE"""),12.671849)</f>
        <v>12.671849</v>
      </c>
      <c r="AE748" s="3">
        <f>IFERROR(__xludf.DUMMYFUNCTION("""COMPUTED_VALUE"""),101.269552)</f>
        <v>101.269552</v>
      </c>
      <c r="AF748" s="3" t="str">
        <f>IFERROR(__xludf.DUMMYFUNCTION("""COMPUTED_VALUE"""),"MBC ปากน้ำ ระยอง-21516")</f>
        <v>MBC ปากน้ำ ระยอง-21516</v>
      </c>
      <c r="AG748" s="3" t="str">
        <f>IFERROR(__xludf.DUMMYFUNCTION("""COMPUTED_VALUE"""),"ตะวันออก")</f>
        <v>ตะวันออก</v>
      </c>
      <c r="AH748" s="3" t="str">
        <f>IFERROR(__xludf.DUMMYFUNCTION("""COMPUTED_VALUE"""),"#N/A")</f>
        <v>#N/A</v>
      </c>
      <c r="AI748" s="3" t="str">
        <f>IFERROR(__xludf.DUMMYFUNCTION("""COMPUTED_VALUE"""),"Out of warranty")</f>
        <v>Out of warranty</v>
      </c>
      <c r="AJ748" s="3">
        <f>IFERROR(__xludf.DUMMYFUNCTION("""COMPUTED_VALUE"""),100.0)</f>
        <v>100</v>
      </c>
      <c r="AK748" s="3" t="str">
        <f>IFERROR(__xludf.DUMMYFUNCTION("""COMPUTED_VALUE"""),"MMS08")</f>
        <v>MMS08</v>
      </c>
      <c r="AL748" s="3"/>
    </row>
    <row r="749" ht="15.75" customHeight="1">
      <c r="A749" s="1" t="str">
        <f>IFERROR(__xludf.DUMMYFUNCTION("""COMPUTED_VALUE"""),"21517")</f>
        <v>21517</v>
      </c>
      <c r="B749" s="2">
        <f>IFERROR(__xludf.DUMMYFUNCTION("""COMPUTED_VALUE"""),21517.0)</f>
        <v>21517</v>
      </c>
      <c r="C749" s="3" t="str">
        <f>IFERROR(__xludf.DUMMYFUNCTION("""COMPUTED_VALUE"""),"MBC ดรีมแลนด์")</f>
        <v>MBC ดรีมแลนด์</v>
      </c>
      <c r="D749" s="3" t="str">
        <f>IFERROR(__xludf.DUMMYFUNCTION("""COMPUTED_VALUE"""),"MBC DREAMLAND")</f>
        <v>MBC DREAMLAND</v>
      </c>
      <c r="E749" s="1" t="str">
        <f>IFERROR(__xludf.DUMMYFUNCTION("""COMPUTED_VALUE"""),"บิ๊กซี MINI")</f>
        <v>บิ๊กซี MINI</v>
      </c>
      <c r="F749" s="1" t="str">
        <f>IFERROR(__xludf.DUMMYFUNCTION("""COMPUTED_VALUE"""),"296229")</f>
        <v>296229</v>
      </c>
      <c r="G749" s="1" t="str">
        <f>IFERROR(__xludf.DUMMYFUNCTION("""COMPUTED_VALUE"""),"นายทนงศักดิ์ บุญมา")</f>
        <v>นายทนงศักดิ์ บุญมา</v>
      </c>
      <c r="H749" s="1" t="str">
        <f>IFERROR(__xludf.DUMMYFUNCTION("""COMPUTED_VALUE"""),"291082")</f>
        <v>291082</v>
      </c>
      <c r="I749" s="1" t="str">
        <f>IFERROR(__xludf.DUMMYFUNCTION("""COMPUTED_VALUE"""),"น.ส.วจี กันเกตุ")</f>
        <v>น.ส.วจี กันเกตุ</v>
      </c>
      <c r="J749" s="3">
        <f>IFERROR(__xludf.DUMMYFUNCTION("""COMPUTED_VALUE"""),46214.0)</f>
        <v>46214</v>
      </c>
      <c r="K749" s="3" t="str">
        <f>IFERROR(__xludf.DUMMYFUNCTION("""COMPUTED_VALUE"""),"นายศักดิ์ชัย เด็ดดอกฟ้า")</f>
        <v>นายศักดิ์ชัย เด็ดดอกฟ้า</v>
      </c>
      <c r="L749" s="1" t="str">
        <f>IFERROR(__xludf.DUMMYFUNCTION("""COMPUTED_VALUE"""),"02 K.Sakchai D")</f>
        <v>02 K.Sakchai D</v>
      </c>
      <c r="M749" s="1" t="str">
        <f>IFERROR(__xludf.DUMMYFUNCTION("""COMPUTED_VALUE"""),"065-510-7376")</f>
        <v>065-510-7376</v>
      </c>
      <c r="N749" s="3">
        <f>IFERROR(__xludf.DUMMYFUNCTION("""COMPUTED_VALUE"""),21441.0)</f>
        <v>21441</v>
      </c>
      <c r="O749" s="3" t="str">
        <f>IFERROR(__xludf.DUMMYFUNCTION("""COMPUTED_VALUE"""),"MBC บ้านกร่าง พิษณุโลก")</f>
        <v>MBC บ้านกร่าง พิษณุโลก</v>
      </c>
      <c r="P749" s="4">
        <f>IFERROR(__xludf.DUMMYFUNCTION("""COMPUTED_VALUE"""),43013.0)</f>
        <v>43013</v>
      </c>
      <c r="Q749" s="3" t="str">
        <f>IFERROR(__xludf.DUMMYFUNCTION("""COMPUTED_VALUE"""),"I")</f>
        <v>I</v>
      </c>
      <c r="R749" s="3" t="str">
        <f>IFERROR(__xludf.DUMMYFUNCTION("""COMPUTED_VALUE"""),"Small Format")</f>
        <v>Small Format</v>
      </c>
      <c r="S749" s="3" t="str">
        <f>IFERROR(__xludf.DUMMYFUNCTION("""COMPUTED_VALUE"""),"BCM")</f>
        <v>BCM</v>
      </c>
      <c r="T749" s="3" t="str">
        <f>IFERROR(__xludf.DUMMYFUNCTION("""COMPUTED_VALUE"""),"#N/A")</f>
        <v>#N/A</v>
      </c>
      <c r="U749" s="3" t="str">
        <f>IFERROR(__xludf.DUMMYFUNCTION("""COMPUTED_VALUE"""),"#N/A")</f>
        <v>#N/A</v>
      </c>
      <c r="V749" s="3" t="str">
        <f>IFERROR(__xludf.DUMMYFUNCTION("""COMPUTED_VALUE"""),"N")</f>
        <v>N</v>
      </c>
      <c r="W749" s="3">
        <f>IFERROR(__xludf.DUMMYFUNCTION("""COMPUTED_VALUE"""),0.0)</f>
        <v>0</v>
      </c>
      <c r="X749" s="3" t="str">
        <f>IFERROR(__xludf.DUMMYFUNCTION("""COMPUTED_VALUE"""),"138/42-43 หมู่ 14 ตำบลวัดไทร อำเภอเมืองนครสวรรค์ จังหวัดนครสวรรค์ 60000")</f>
        <v>138/42-43 หมู่ 14 ตำบลวัดไทร อำเภอเมืองนครสวรรค์ จังหวัดนครสวรรค์ 60000</v>
      </c>
      <c r="Y749" s="3"/>
      <c r="Z749" s="3" t="str">
        <f>IFERROR(__xludf.DUMMYFUNCTION("""COMPUTED_VALUE"""),"วัดไทร")</f>
        <v>วัดไทร</v>
      </c>
      <c r="AA749" s="3" t="str">
        <f>IFERROR(__xludf.DUMMYFUNCTION("""COMPUTED_VALUE"""),"เมือง")</f>
        <v>เมือง</v>
      </c>
      <c r="AB749" s="3" t="str">
        <f>IFERROR(__xludf.DUMMYFUNCTION("""COMPUTED_VALUE"""),"นครสวรรค์")</f>
        <v>นครสวรรค์</v>
      </c>
      <c r="AC749" s="3">
        <f>IFERROR(__xludf.DUMMYFUNCTION("""COMPUTED_VALUE"""),60000.0)</f>
        <v>60000</v>
      </c>
      <c r="AD749" s="3" t="str">
        <f>IFERROR(__xludf.DUMMYFUNCTION("""COMPUTED_VALUE"""),"#N/A")</f>
        <v>#N/A</v>
      </c>
      <c r="AE749" s="3" t="str">
        <f>IFERROR(__xludf.DUMMYFUNCTION("""COMPUTED_VALUE"""),"#N/A")</f>
        <v>#N/A</v>
      </c>
      <c r="AF749" s="3" t="str">
        <f>IFERROR(__xludf.DUMMYFUNCTION("""COMPUTED_VALUE"""),"MBC ดรีมแลนด์-21517")</f>
        <v>MBC ดรีมแลนด์-21517</v>
      </c>
      <c r="AG749" s="3" t="str">
        <f>IFERROR(__xludf.DUMMYFUNCTION("""COMPUTED_VALUE"""),"กลาง")</f>
        <v>กลาง</v>
      </c>
      <c r="AH749" s="3" t="str">
        <f>IFERROR(__xludf.DUMMYFUNCTION("""COMPUTED_VALUE"""),"#N/A")</f>
        <v>#N/A</v>
      </c>
      <c r="AI749" s="3" t="str">
        <f>IFERROR(__xludf.DUMMYFUNCTION("""COMPUTED_VALUE"""),"Out of warranty")</f>
        <v>Out of warranty</v>
      </c>
      <c r="AJ749" s="3">
        <f>IFERROR(__xludf.DUMMYFUNCTION("""COMPUTED_VALUE"""),100.0)</f>
        <v>100</v>
      </c>
      <c r="AK749" s="3"/>
      <c r="AL749" s="3"/>
    </row>
    <row r="750" ht="15.75" customHeight="1">
      <c r="A750" s="1" t="str">
        <f>IFERROR(__xludf.DUMMYFUNCTION("""COMPUTED_VALUE"""),"21518")</f>
        <v>21518</v>
      </c>
      <c r="B750" s="2">
        <f>IFERROR(__xludf.DUMMYFUNCTION("""COMPUTED_VALUE"""),21518.0)</f>
        <v>21518</v>
      </c>
      <c r="C750" s="3" t="str">
        <f>IFERROR(__xludf.DUMMYFUNCTION("""COMPUTED_VALUE"""),"MBC กาญจนาภิเษก 39")</f>
        <v>MBC กาญจนาภิเษก 39</v>
      </c>
      <c r="D750" s="3" t="str">
        <f>IFERROR(__xludf.DUMMYFUNCTION("""COMPUTED_VALUE"""),"BCM KANCHANAPHISEK 39")</f>
        <v>BCM KANCHANAPHISEK 39</v>
      </c>
      <c r="E750" s="1" t="str">
        <f>IFERROR(__xludf.DUMMYFUNCTION("""COMPUTED_VALUE"""),"บิ๊กซี MINI")</f>
        <v>บิ๊กซี MINI</v>
      </c>
      <c r="F750" s="1" t="str">
        <f>IFERROR(__xludf.DUMMYFUNCTION("""COMPUTED_VALUE"""),"291008")</f>
        <v>291008</v>
      </c>
      <c r="G750" s="1" t="str">
        <f>IFERROR(__xludf.DUMMYFUNCTION("""COMPUTED_VALUE"""),"น.ส.รัชดาพร อีศรัตน์")</f>
        <v>น.ส.รัชดาพร อีศรัตน์</v>
      </c>
      <c r="H750" s="1" t="str">
        <f>IFERROR(__xludf.DUMMYFUNCTION("""COMPUTED_VALUE"""),"359054")</f>
        <v>359054</v>
      </c>
      <c r="I750" s="1" t="str">
        <f>IFERROR(__xludf.DUMMYFUNCTION("""COMPUTED_VALUE"""),"น.ส.กรรณิการ์ พุทธวงค์")</f>
        <v>น.ส.กรรณิการ์ พุทธวงค์</v>
      </c>
      <c r="J750" s="3">
        <f>IFERROR(__xludf.DUMMYFUNCTION("""COMPUTED_VALUE"""),2452378.0)</f>
        <v>2452378</v>
      </c>
      <c r="K750" s="3" t="str">
        <f>IFERROR(__xludf.DUMMYFUNCTION("""COMPUTED_VALUE"""),"นายศักดิ์ดา พวงประดับ")</f>
        <v>นายศักดิ์ดา พวงประดับ</v>
      </c>
      <c r="L750" s="1" t="str">
        <f>IFERROR(__xludf.DUMMYFUNCTION("""COMPUTED_VALUE"""),"11 K.Sakda P.")</f>
        <v>11 K.Sakda P.</v>
      </c>
      <c r="M750" s="1" t="str">
        <f>IFERROR(__xludf.DUMMYFUNCTION("""COMPUTED_VALUE"""),"065-929-1279")</f>
        <v>065-929-1279</v>
      </c>
      <c r="N750" s="3">
        <f>IFERROR(__xludf.DUMMYFUNCTION("""COMPUTED_VALUE"""),21002.0)</f>
        <v>21002</v>
      </c>
      <c r="O750" s="3" t="str">
        <f>IFERROR(__xludf.DUMMYFUNCTION("""COMPUTED_VALUE"""),"MBC อุดมสุข")</f>
        <v>MBC อุดมสุข</v>
      </c>
      <c r="P750" s="4">
        <f>IFERROR(__xludf.DUMMYFUNCTION("""COMPUTED_VALUE"""),43008.0)</f>
        <v>43008</v>
      </c>
      <c r="Q750" s="3" t="str">
        <f>IFERROR(__xludf.DUMMYFUNCTION("""COMPUTED_VALUE"""),"A")</f>
        <v>A</v>
      </c>
      <c r="R750" s="3" t="str">
        <f>IFERROR(__xludf.DUMMYFUNCTION("""COMPUTED_VALUE"""),"Small Format")</f>
        <v>Small Format</v>
      </c>
      <c r="S750" s="3" t="str">
        <f>IFERROR(__xludf.DUMMYFUNCTION("""COMPUTED_VALUE"""),"BCM")</f>
        <v>BCM</v>
      </c>
      <c r="T750" s="3" t="str">
        <f>IFERROR(__xludf.DUMMYFUNCTION("""COMPUTED_VALUE"""),"#N/A")</f>
        <v>#N/A</v>
      </c>
      <c r="U750" s="3" t="str">
        <f>IFERROR(__xludf.DUMMYFUNCTION("""COMPUTED_VALUE"""),"#N/A")</f>
        <v>#N/A</v>
      </c>
      <c r="V750" s="3" t="str">
        <f>IFERROR(__xludf.DUMMYFUNCTION("""COMPUTED_VALUE"""),"N")</f>
        <v>N</v>
      </c>
      <c r="W750" s="3">
        <f>IFERROR(__xludf.DUMMYFUNCTION("""COMPUTED_VALUE"""),211485.0)</f>
        <v>211485</v>
      </c>
      <c r="X750" s="3" t="str">
        <f>IFERROR(__xludf.DUMMYFUNCTION("""COMPUTED_VALUE"""),"1/1 ซอย 01 กาญจนาภิเษก 39 แขวงดอกไม้ เขตประเวศ กรุงเทพมหานคร 10250")</f>
        <v>1/1 ซอย 01 กาญจนาภิเษก 39 แขวงดอกไม้ เขตประเวศ กรุงเทพมหานคร 10250</v>
      </c>
      <c r="Y750" s="3" t="str">
        <f>IFERROR(__xludf.DUMMYFUNCTION("""COMPUTED_VALUE"""),"ซอย 01 กาญจนาภิเษก 39")</f>
        <v>ซอย 01 กาญจนาภิเษก 39</v>
      </c>
      <c r="Z750" s="3" t="str">
        <f>IFERROR(__xludf.DUMMYFUNCTION("""COMPUTED_VALUE"""),"ดอกไม้")</f>
        <v>ดอกไม้</v>
      </c>
      <c r="AA750" s="3" t="str">
        <f>IFERROR(__xludf.DUMMYFUNCTION("""COMPUTED_VALUE"""),"ประเวศ")</f>
        <v>ประเวศ</v>
      </c>
      <c r="AB750" s="3" t="str">
        <f>IFERROR(__xludf.DUMMYFUNCTION("""COMPUTED_VALUE"""),"กรุงเทพมหานคร")</f>
        <v>กรุงเทพมหานคร</v>
      </c>
      <c r="AC750" s="3">
        <f>IFERROR(__xludf.DUMMYFUNCTION("""COMPUTED_VALUE"""),10250.0)</f>
        <v>10250</v>
      </c>
      <c r="AD750" s="3">
        <f>IFERROR(__xludf.DUMMYFUNCTION("""COMPUTED_VALUE"""),13.683598)</f>
        <v>13.683598</v>
      </c>
      <c r="AE750" s="3">
        <f>IFERROR(__xludf.DUMMYFUNCTION("""COMPUTED_VALUE"""),100.702039)</f>
        <v>100.702039</v>
      </c>
      <c r="AF750" s="3" t="str">
        <f>IFERROR(__xludf.DUMMYFUNCTION("""COMPUTED_VALUE"""),"MBC กาญจนาภิเษก 39-21518")</f>
        <v>MBC กาญจนาภิเษก 39-21518</v>
      </c>
      <c r="AG750" s="3" t="str">
        <f>IFERROR(__xludf.DUMMYFUNCTION("""COMPUTED_VALUE"""),"กลาง")</f>
        <v>กลาง</v>
      </c>
      <c r="AH750" s="3" t="str">
        <f>IFERROR(__xludf.DUMMYFUNCTION("""COMPUTED_VALUE"""),"#N/A")</f>
        <v>#N/A</v>
      </c>
      <c r="AI750" s="3" t="str">
        <f>IFERROR(__xludf.DUMMYFUNCTION("""COMPUTED_VALUE"""),"Out of warranty")</f>
        <v>Out of warranty</v>
      </c>
      <c r="AJ750" s="3">
        <f>IFERROR(__xludf.DUMMYFUNCTION("""COMPUTED_VALUE"""),100.0)</f>
        <v>100</v>
      </c>
      <c r="AK750" s="3" t="str">
        <f>IFERROR(__xludf.DUMMYFUNCTION("""COMPUTED_VALUE"""),"MMS03")</f>
        <v>MMS03</v>
      </c>
      <c r="AL750" s="3"/>
    </row>
    <row r="751" ht="15.75" customHeight="1">
      <c r="A751" s="1" t="str">
        <f>IFERROR(__xludf.DUMMYFUNCTION("""COMPUTED_VALUE"""),"21519")</f>
        <v>21519</v>
      </c>
      <c r="B751" s="2">
        <f>IFERROR(__xludf.DUMMYFUNCTION("""COMPUTED_VALUE"""),21519.0)</f>
        <v>21519</v>
      </c>
      <c r="C751" s="3" t="str">
        <f>IFERROR(__xludf.DUMMYFUNCTION("""COMPUTED_VALUE"""),"MBC หมู่บ้านเปรมประชา")</f>
        <v>MBC หมู่บ้านเปรมประชา</v>
      </c>
      <c r="D751" s="3" t="str">
        <f>IFERROR(__xludf.DUMMYFUNCTION("""COMPUTED_VALUE"""),"BCM MOOBAN PREMPRACHA")</f>
        <v>BCM MOOBAN PREMPRACHA</v>
      </c>
      <c r="E751" s="1" t="str">
        <f>IFERROR(__xludf.DUMMYFUNCTION("""COMPUTED_VALUE"""),"บิ๊กซี MINI")</f>
        <v>บิ๊กซี MINI</v>
      </c>
      <c r="F751" s="1" t="str">
        <f>IFERROR(__xludf.DUMMYFUNCTION("""COMPUTED_VALUE"""),"296229")</f>
        <v>296229</v>
      </c>
      <c r="G751" s="1" t="str">
        <f>IFERROR(__xludf.DUMMYFUNCTION("""COMPUTED_VALUE"""),"นายทนงศักดิ์ บุญมา")</f>
        <v>นายทนงศักดิ์ บุญมา</v>
      </c>
      <c r="H751" s="1" t="str">
        <f>IFERROR(__xludf.DUMMYFUNCTION("""COMPUTED_VALUE"""),"211363")</f>
        <v>211363</v>
      </c>
      <c r="I751" s="1" t="str">
        <f>IFERROR(__xludf.DUMMYFUNCTION("""COMPUTED_VALUE"""),"นายสามารถ บุญลับ")</f>
        <v>นายสามารถ บุญลับ</v>
      </c>
      <c r="J751" s="3">
        <f>IFERROR(__xludf.DUMMYFUNCTION("""COMPUTED_VALUE"""),46214.0)</f>
        <v>46214</v>
      </c>
      <c r="K751" s="3" t="str">
        <f>IFERROR(__xludf.DUMMYFUNCTION("""COMPUTED_VALUE"""),"นายศักดิ์ชัย เด็ดดอกฟ้า")</f>
        <v>นายศักดิ์ชัย เด็ดดอกฟ้า</v>
      </c>
      <c r="L751" s="1" t="str">
        <f>IFERROR(__xludf.DUMMYFUNCTION("""COMPUTED_VALUE"""),"02 K.Sakchai D")</f>
        <v>02 K.Sakchai D</v>
      </c>
      <c r="M751" s="1" t="str">
        <f>IFERROR(__xludf.DUMMYFUNCTION("""COMPUTED_VALUE"""),"065-510-7376")</f>
        <v>065-510-7376</v>
      </c>
      <c r="N751" s="3">
        <f>IFERROR(__xludf.DUMMYFUNCTION("""COMPUTED_VALUE"""),21714.0)</f>
        <v>21714</v>
      </c>
      <c r="O751" s="3" t="str">
        <f>IFERROR(__xludf.DUMMYFUNCTION("""COMPUTED_VALUE"""),"MBC เอสโซ่ วัดโบสถ์")</f>
        <v>MBC เอสโซ่ วัดโบสถ์</v>
      </c>
      <c r="P751" s="4">
        <f>IFERROR(__xludf.DUMMYFUNCTION("""COMPUTED_VALUE"""),43008.0)</f>
        <v>43008</v>
      </c>
      <c r="Q751" s="3" t="str">
        <f>IFERROR(__xludf.DUMMYFUNCTION("""COMPUTED_VALUE"""),"A")</f>
        <v>A</v>
      </c>
      <c r="R751" s="3" t="str">
        <f>IFERROR(__xludf.DUMMYFUNCTION("""COMPUTED_VALUE"""),"Small Format")</f>
        <v>Small Format</v>
      </c>
      <c r="S751" s="3" t="str">
        <f>IFERROR(__xludf.DUMMYFUNCTION("""COMPUTED_VALUE"""),"BCM")</f>
        <v>BCM</v>
      </c>
      <c r="T751" s="3" t="str">
        <f>IFERROR(__xludf.DUMMYFUNCTION("""COMPUTED_VALUE"""),"#N/A")</f>
        <v>#N/A</v>
      </c>
      <c r="U751" s="3" t="str">
        <f>IFERROR(__xludf.DUMMYFUNCTION("""COMPUTED_VALUE"""),"#N/A")</f>
        <v>#N/A</v>
      </c>
      <c r="V751" s="3" t="str">
        <f>IFERROR(__xludf.DUMMYFUNCTION("""COMPUTED_VALUE"""),"N")</f>
        <v>N</v>
      </c>
      <c r="W751" s="3">
        <f>IFERROR(__xludf.DUMMYFUNCTION("""COMPUTED_VALUE"""),211487.0)</f>
        <v>211487</v>
      </c>
      <c r="X751" s="3" t="str">
        <f>IFERROR(__xludf.DUMMYFUNCTION("""COMPUTED_VALUE"""),"1/260-262 หมู่ 16 ตำบลบางกระสั้น อำเภอบางปะอิน จังหวัดพระนครศรีอยุธยา 13160")</f>
        <v>1/260-262 หมู่ 16 ตำบลบางกระสั้น อำเภอบางปะอิน จังหวัดพระนครศรีอยุธยา 13160</v>
      </c>
      <c r="Y751" s="3"/>
      <c r="Z751" s="3" t="str">
        <f>IFERROR(__xludf.DUMMYFUNCTION("""COMPUTED_VALUE"""),"บางกระสั้น")</f>
        <v>บางกระสั้น</v>
      </c>
      <c r="AA751" s="3" t="str">
        <f>IFERROR(__xludf.DUMMYFUNCTION("""COMPUTED_VALUE"""),"บางปะอิน")</f>
        <v>บางปะอิน</v>
      </c>
      <c r="AB751" s="3" t="str">
        <f>IFERROR(__xludf.DUMMYFUNCTION("""COMPUTED_VALUE"""),"พระนครศรีอยุธยา")</f>
        <v>พระนครศรีอยุธยา</v>
      </c>
      <c r="AC751" s="3">
        <f>IFERROR(__xludf.DUMMYFUNCTION("""COMPUTED_VALUE"""),13160.0)</f>
        <v>13160</v>
      </c>
      <c r="AD751" s="3">
        <f>IFERROR(__xludf.DUMMYFUNCTION("""COMPUTED_VALUE"""),14.181953)</f>
        <v>14.181953</v>
      </c>
      <c r="AE751" s="3">
        <f>IFERROR(__xludf.DUMMYFUNCTION("""COMPUTED_VALUE"""),100.572701)</f>
        <v>100.572701</v>
      </c>
      <c r="AF751" s="3" t="str">
        <f>IFERROR(__xludf.DUMMYFUNCTION("""COMPUTED_VALUE"""),"MBC หมู่บ้านเปรมประชา-21519")</f>
        <v>MBC หมู่บ้านเปรมประชา-21519</v>
      </c>
      <c r="AG751" s="3" t="str">
        <f>IFERROR(__xludf.DUMMYFUNCTION("""COMPUTED_VALUE"""),"กลาง")</f>
        <v>กลาง</v>
      </c>
      <c r="AH751" s="3" t="str">
        <f>IFERROR(__xludf.DUMMYFUNCTION("""COMPUTED_VALUE"""),"#N/A")</f>
        <v>#N/A</v>
      </c>
      <c r="AI751" s="3" t="str">
        <f>IFERROR(__xludf.DUMMYFUNCTION("""COMPUTED_VALUE"""),"Out of warranty")</f>
        <v>Out of warranty</v>
      </c>
      <c r="AJ751" s="3">
        <f>IFERROR(__xludf.DUMMYFUNCTION("""COMPUTED_VALUE"""),100.0)</f>
        <v>100</v>
      </c>
      <c r="AK751" s="3" t="str">
        <f>IFERROR(__xludf.DUMMYFUNCTION("""COMPUTED_VALUE"""),"MMS04")</f>
        <v>MMS04</v>
      </c>
      <c r="AL751" s="3"/>
    </row>
    <row r="752" ht="15.75" customHeight="1">
      <c r="A752" s="1" t="str">
        <f>IFERROR(__xludf.DUMMYFUNCTION("""COMPUTED_VALUE"""),"21520")</f>
        <v>21520</v>
      </c>
      <c r="B752" s="2">
        <f>IFERROR(__xludf.DUMMYFUNCTION("""COMPUTED_VALUE"""),21520.0)</f>
        <v>21520</v>
      </c>
      <c r="C752" s="3" t="str">
        <f>IFERROR(__xludf.DUMMYFUNCTION("""COMPUTED_VALUE"""),"MBC มาบยางพร 22")</f>
        <v>MBC มาบยางพร 22</v>
      </c>
      <c r="D752" s="3" t="str">
        <f>IFERROR(__xludf.DUMMYFUNCTION("""COMPUTED_VALUE"""),"BCM MABYANGPORN 22")</f>
        <v>BCM MABYANGPORN 22</v>
      </c>
      <c r="E752" s="1" t="str">
        <f>IFERROR(__xludf.DUMMYFUNCTION("""COMPUTED_VALUE"""),"บิ๊กซี MINI")</f>
        <v>บิ๊กซี MINI</v>
      </c>
      <c r="F752" s="1" t="str">
        <f>IFERROR(__xludf.DUMMYFUNCTION("""COMPUTED_VALUE"""),"221716")</f>
        <v>221716</v>
      </c>
      <c r="G752" s="1" t="str">
        <f>IFERROR(__xludf.DUMMYFUNCTION("""COMPUTED_VALUE"""),"น.ส.เบญจพร โพธิสาร")</f>
        <v>น.ส.เบญจพร โพธิสาร</v>
      </c>
      <c r="H752" s="1" t="str">
        <f>IFERROR(__xludf.DUMMYFUNCTION("""COMPUTED_VALUE"""),"371384")</f>
        <v>371384</v>
      </c>
      <c r="I752" s="1" t="str">
        <f>IFERROR(__xludf.DUMMYFUNCTION("""COMPUTED_VALUE"""),"น.ส.นิลเนตร สิงห์ทอง")</f>
        <v>น.ส.นิลเนตร สิงห์ทอง</v>
      </c>
      <c r="J752" s="3">
        <f>IFERROR(__xludf.DUMMYFUNCTION("""COMPUTED_VALUE"""),2452376.0)</f>
        <v>2452376</v>
      </c>
      <c r="K752" s="3" t="str">
        <f>IFERROR(__xludf.DUMMYFUNCTION("""COMPUTED_VALUE"""),"นายภาคภูมิ ทวีกุล")</f>
        <v>นายภาคภูมิ ทวีกุล</v>
      </c>
      <c r="L752" s="1" t="str">
        <f>IFERROR(__xludf.DUMMYFUNCTION("""COMPUTED_VALUE"""),"08 K.Parkphum T.")</f>
        <v>08 K.Parkphum T.</v>
      </c>
      <c r="M752" s="1" t="str">
        <f>IFERROR(__xludf.DUMMYFUNCTION("""COMPUTED_VALUE"""),"097-919-5476")</f>
        <v>097-919-5476</v>
      </c>
      <c r="N752" s="3">
        <f>IFERROR(__xludf.DUMMYFUNCTION("""COMPUTED_VALUE"""),22028.0)</f>
        <v>22028</v>
      </c>
      <c r="O752" s="3" t="str">
        <f>IFERROR(__xludf.DUMMYFUNCTION("""COMPUTED_VALUE"""),"MBC ทํบมา ระยอง")</f>
        <v>MBC ทํบมา ระยอง</v>
      </c>
      <c r="P752" s="4">
        <f>IFERROR(__xludf.DUMMYFUNCTION("""COMPUTED_VALUE"""),43016.0)</f>
        <v>43016</v>
      </c>
      <c r="Q752" s="3" t="str">
        <f>IFERROR(__xludf.DUMMYFUNCTION("""COMPUTED_VALUE"""),"A")</f>
        <v>A</v>
      </c>
      <c r="R752" s="3" t="str">
        <f>IFERROR(__xludf.DUMMYFUNCTION("""COMPUTED_VALUE"""),"Small Format")</f>
        <v>Small Format</v>
      </c>
      <c r="S752" s="3" t="str">
        <f>IFERROR(__xludf.DUMMYFUNCTION("""COMPUTED_VALUE"""),"BCM")</f>
        <v>BCM</v>
      </c>
      <c r="T752" s="3" t="str">
        <f>IFERROR(__xludf.DUMMYFUNCTION("""COMPUTED_VALUE"""),"#N/A")</f>
        <v>#N/A</v>
      </c>
      <c r="U752" s="3" t="str">
        <f>IFERROR(__xludf.DUMMYFUNCTION("""COMPUTED_VALUE"""),"#N/A")</f>
        <v>#N/A</v>
      </c>
      <c r="V752" s="3" t="str">
        <f>IFERROR(__xludf.DUMMYFUNCTION("""COMPUTED_VALUE"""),"N")</f>
        <v>N</v>
      </c>
      <c r="W752" s="3">
        <f>IFERROR(__xludf.DUMMYFUNCTION("""COMPUTED_VALUE"""),211430.0)</f>
        <v>211430</v>
      </c>
      <c r="X752" s="3" t="str">
        <f>IFERROR(__xludf.DUMMYFUNCTION("""COMPUTED_VALUE"""),"10/67-72 หมู่ 3 ตำบลมาบยางพร อำเภอปลวกแดง จังหวัดระยอง 21140")</f>
        <v>10/67-72 หมู่ 3 ตำบลมาบยางพร อำเภอปลวกแดง จังหวัดระยอง 21140</v>
      </c>
      <c r="Y752" s="3"/>
      <c r="Z752" s="3" t="str">
        <f>IFERROR(__xludf.DUMMYFUNCTION("""COMPUTED_VALUE"""),"มาบยางพร")</f>
        <v>มาบยางพร</v>
      </c>
      <c r="AA752" s="3" t="str">
        <f>IFERROR(__xludf.DUMMYFUNCTION("""COMPUTED_VALUE"""),"ปลวกแดง")</f>
        <v>ปลวกแดง</v>
      </c>
      <c r="AB752" s="3" t="str">
        <f>IFERROR(__xludf.DUMMYFUNCTION("""COMPUTED_VALUE"""),"ระยอง")</f>
        <v>ระยอง</v>
      </c>
      <c r="AC752" s="3">
        <f>IFERROR(__xludf.DUMMYFUNCTION("""COMPUTED_VALUE"""),21140.0)</f>
        <v>21140</v>
      </c>
      <c r="AD752" s="3">
        <f>IFERROR(__xludf.DUMMYFUNCTION("""COMPUTED_VALUE"""),12.988349)</f>
        <v>12.988349</v>
      </c>
      <c r="AE752" s="3">
        <f>IFERROR(__xludf.DUMMYFUNCTION("""COMPUTED_VALUE"""),101.137825)</f>
        <v>101.137825</v>
      </c>
      <c r="AF752" s="3" t="str">
        <f>IFERROR(__xludf.DUMMYFUNCTION("""COMPUTED_VALUE"""),"MBC มาบยางพร 22-21520")</f>
        <v>MBC มาบยางพร 22-21520</v>
      </c>
      <c r="AG752" s="3" t="str">
        <f>IFERROR(__xludf.DUMMYFUNCTION("""COMPUTED_VALUE"""),"ตะวันออก")</f>
        <v>ตะวันออก</v>
      </c>
      <c r="AH752" s="3" t="str">
        <f>IFERROR(__xludf.DUMMYFUNCTION("""COMPUTED_VALUE"""),"#N/A")</f>
        <v>#N/A</v>
      </c>
      <c r="AI752" s="3" t="str">
        <f>IFERROR(__xludf.DUMMYFUNCTION("""COMPUTED_VALUE"""),"Out of warranty")</f>
        <v>Out of warranty</v>
      </c>
      <c r="AJ752" s="3">
        <f>IFERROR(__xludf.DUMMYFUNCTION("""COMPUTED_VALUE"""),100.0)</f>
        <v>100</v>
      </c>
      <c r="AK752" s="3" t="str">
        <f>IFERROR(__xludf.DUMMYFUNCTION("""COMPUTED_VALUE"""),"MMS07")</f>
        <v>MMS07</v>
      </c>
      <c r="AL752" s="3"/>
    </row>
    <row r="753" ht="15.75" customHeight="1">
      <c r="A753" s="1" t="str">
        <f>IFERROR(__xludf.DUMMYFUNCTION("""COMPUTED_VALUE"""),"21521")</f>
        <v>21521</v>
      </c>
      <c r="B753" s="2">
        <f>IFERROR(__xludf.DUMMYFUNCTION("""COMPUTED_VALUE"""),21521.0)</f>
        <v>21521</v>
      </c>
      <c r="C753" s="3" t="str">
        <f>IFERROR(__xludf.DUMMYFUNCTION("""COMPUTED_VALUE"""),"MBC ถนนโฉลกรัฐ")</f>
        <v>MBC ถนนโฉลกรัฐ</v>
      </c>
      <c r="D753" s="3" t="str">
        <f>IFERROR(__xludf.DUMMYFUNCTION("""COMPUTED_VALUE"""),"BCM THANON CHALOKRAT")</f>
        <v>BCM THANON CHALOKRAT</v>
      </c>
      <c r="E753" s="1" t="str">
        <f>IFERROR(__xludf.DUMMYFUNCTION("""COMPUTED_VALUE"""),"บิ๊กซี MINI")</f>
        <v>บิ๊กซี MINI</v>
      </c>
      <c r="F753" s="1" t="str">
        <f>IFERROR(__xludf.DUMMYFUNCTION("""COMPUTED_VALUE"""),"250760")</f>
        <v>250760</v>
      </c>
      <c r="G753" s="1" t="str">
        <f>IFERROR(__xludf.DUMMYFUNCTION("""COMPUTED_VALUE"""),"นายประทวน สาราบรรณ์")</f>
        <v>นายประทวน สาราบรรณ์</v>
      </c>
      <c r="H753" s="1" t="str">
        <f>IFERROR(__xludf.DUMMYFUNCTION("""COMPUTED_VALUE"""),"228389")</f>
        <v>228389</v>
      </c>
      <c r="I753" s="1" t="str">
        <f>IFERROR(__xludf.DUMMYFUNCTION("""COMPUTED_VALUE"""),"นายมณีรันดร์ ชัยชนะ")</f>
        <v>นายมณีรันดร์ ชัยชนะ</v>
      </c>
      <c r="J753" s="3">
        <f>IFERROR(__xludf.DUMMYFUNCTION("""COMPUTED_VALUE"""),25324.0)</f>
        <v>25324</v>
      </c>
      <c r="K753" s="3" t="str">
        <f>IFERROR(__xludf.DUMMYFUNCTION("""COMPUTED_VALUE"""),"นายวิเชฎฐ์ ติรัตนะประคม")</f>
        <v>นายวิเชฎฐ์ ติรัตนะประคม</v>
      </c>
      <c r="L753" s="1" t="str">
        <f>IFERROR(__xludf.DUMMYFUNCTION("""COMPUTED_VALUE"""),"14 K.Wichet T.")</f>
        <v>14 K.Wichet T.</v>
      </c>
      <c r="M753" s="1" t="str">
        <f>IFERROR(__xludf.DUMMYFUNCTION("""COMPUTED_VALUE"""),"061-417-6569 / 086-445-5636")</f>
        <v>061-417-6569 / 086-445-5636</v>
      </c>
      <c r="N753" s="3">
        <f>IFERROR(__xludf.DUMMYFUNCTION("""COMPUTED_VALUE"""),22658.0)</f>
        <v>22658</v>
      </c>
      <c r="O753" s="3" t="str">
        <f>IFERROR(__xludf.DUMMYFUNCTION("""COMPUTED_VALUE"""),"BCM ถ.วิรัชหงษ์หยก ภูเก็ต")</f>
        <v>BCM ถ.วิรัชหงษ์หยก ภูเก็ต</v>
      </c>
      <c r="P753" s="4">
        <f>IFERROR(__xludf.DUMMYFUNCTION("""COMPUTED_VALUE"""),43035.0)</f>
        <v>43035</v>
      </c>
      <c r="Q753" s="3" t="str">
        <f>IFERROR(__xludf.DUMMYFUNCTION("""COMPUTED_VALUE"""),"A")</f>
        <v>A</v>
      </c>
      <c r="R753" s="3" t="str">
        <f>IFERROR(__xludf.DUMMYFUNCTION("""COMPUTED_VALUE"""),"Small Format")</f>
        <v>Small Format</v>
      </c>
      <c r="S753" s="3" t="str">
        <f>IFERROR(__xludf.DUMMYFUNCTION("""COMPUTED_VALUE"""),"BCM")</f>
        <v>BCM</v>
      </c>
      <c r="T753" s="3" t="str">
        <f>IFERROR(__xludf.DUMMYFUNCTION("""COMPUTED_VALUE"""),"#N/A")</f>
        <v>#N/A</v>
      </c>
      <c r="U753" s="3" t="str">
        <f>IFERROR(__xludf.DUMMYFUNCTION("""COMPUTED_VALUE"""),"#N/A")</f>
        <v>#N/A</v>
      </c>
      <c r="V753" s="3" t="str">
        <f>IFERROR(__xludf.DUMMYFUNCTION("""COMPUTED_VALUE"""),"N")</f>
        <v>N</v>
      </c>
      <c r="W753" s="3">
        <f>IFERROR(__xludf.DUMMYFUNCTION("""COMPUTED_VALUE"""),211461.0)</f>
        <v>211461</v>
      </c>
      <c r="X753" s="3" t="str">
        <f>IFERROR(__xludf.DUMMYFUNCTION("""COMPUTED_VALUE"""),"81/15 หมู่ 1 ถนนโฉลกรัฐ ตำบลบางกุ้ง อำเภอเมืองสุราษฎร์ธานี จังหวัดสุราษฎร์ธานี 84000")</f>
        <v>81/15 หมู่ 1 ถนนโฉลกรัฐ ตำบลบางกุ้ง อำเภอเมืองสุราษฎร์ธานี จังหวัดสุราษฎร์ธานี 84000</v>
      </c>
      <c r="Y753" s="3"/>
      <c r="Z753" s="3" t="str">
        <f>IFERROR(__xludf.DUMMYFUNCTION("""COMPUTED_VALUE"""),"บางกุ้ง")</f>
        <v>บางกุ้ง</v>
      </c>
      <c r="AA753" s="3" t="str">
        <f>IFERROR(__xludf.DUMMYFUNCTION("""COMPUTED_VALUE"""),"เมือง")</f>
        <v>เมือง</v>
      </c>
      <c r="AB753" s="3" t="str">
        <f>IFERROR(__xludf.DUMMYFUNCTION("""COMPUTED_VALUE"""),"สุราษฎร์ธานี")</f>
        <v>สุราษฎร์ธานี</v>
      </c>
      <c r="AC753" s="3">
        <f>IFERROR(__xludf.DUMMYFUNCTION("""COMPUTED_VALUE"""),84000.0)</f>
        <v>84000</v>
      </c>
      <c r="AD753" s="3">
        <f>IFERROR(__xludf.DUMMYFUNCTION("""COMPUTED_VALUE"""),9.145504)</f>
        <v>9.145504</v>
      </c>
      <c r="AE753" s="3">
        <f>IFERROR(__xludf.DUMMYFUNCTION("""COMPUTED_VALUE"""),99.362054)</f>
        <v>99.362054</v>
      </c>
      <c r="AF753" s="3" t="str">
        <f>IFERROR(__xludf.DUMMYFUNCTION("""COMPUTED_VALUE"""),"MBC ถนนโฉลกรัฐ-21521")</f>
        <v>MBC ถนนโฉลกรัฐ-21521</v>
      </c>
      <c r="AG753" s="3" t="str">
        <f>IFERROR(__xludf.DUMMYFUNCTION("""COMPUTED_VALUE"""),"ใต้")</f>
        <v>ใต้</v>
      </c>
      <c r="AH753" s="3" t="str">
        <f>IFERROR(__xludf.DUMMYFUNCTION("""COMPUTED_VALUE"""),"#N/A")</f>
        <v>#N/A</v>
      </c>
      <c r="AI753" s="3" t="str">
        <f>IFERROR(__xludf.DUMMYFUNCTION("""COMPUTED_VALUE"""),"Out of warranty")</f>
        <v>Out of warranty</v>
      </c>
      <c r="AJ753" s="3">
        <f>IFERROR(__xludf.DUMMYFUNCTION("""COMPUTED_VALUE"""),99.0)</f>
        <v>99</v>
      </c>
      <c r="AK753" s="3" t="str">
        <f>IFERROR(__xludf.DUMMYFUNCTION("""COMPUTED_VALUE"""),"MMS14")</f>
        <v>MMS14</v>
      </c>
      <c r="AL753" s="3"/>
    </row>
    <row r="754" ht="15.75" customHeight="1">
      <c r="A754" s="1" t="str">
        <f>IFERROR(__xludf.DUMMYFUNCTION("""COMPUTED_VALUE"""),"21522")</f>
        <v>21522</v>
      </c>
      <c r="B754" s="2">
        <f>IFERROR(__xludf.DUMMYFUNCTION("""COMPUTED_VALUE"""),21522.0)</f>
        <v>21522</v>
      </c>
      <c r="C754" s="3" t="str">
        <f>IFERROR(__xludf.DUMMYFUNCTION("""COMPUTED_VALUE"""),"MBC ตลาดโรงสี นาป่า")</f>
        <v>MBC ตลาดโรงสี นาป่า</v>
      </c>
      <c r="D754" s="3" t="str">
        <f>IFERROR(__xludf.DUMMYFUNCTION("""COMPUTED_VALUE"""),"BCM TALAD RONGSI NAPA")</f>
        <v>BCM TALAD RONGSI NAPA</v>
      </c>
      <c r="E754" s="1" t="str">
        <f>IFERROR(__xludf.DUMMYFUNCTION("""COMPUTED_VALUE"""),"บิ๊กซี MINI")</f>
        <v>บิ๊กซี MINI</v>
      </c>
      <c r="F754" s="1" t="str">
        <f>IFERROR(__xludf.DUMMYFUNCTION("""COMPUTED_VALUE"""),"221716")</f>
        <v>221716</v>
      </c>
      <c r="G754" s="1" t="str">
        <f>IFERROR(__xludf.DUMMYFUNCTION("""COMPUTED_VALUE"""),"น.ส.เบญจพร โพธิสาร")</f>
        <v>น.ส.เบญจพร โพธิสาร</v>
      </c>
      <c r="H754" s="1" t="str">
        <f>IFERROR(__xludf.DUMMYFUNCTION("""COMPUTED_VALUE"""),"034605")</f>
        <v>034605</v>
      </c>
      <c r="I754" s="1" t="str">
        <f>IFERROR(__xludf.DUMMYFUNCTION("""COMPUTED_VALUE"""),"นายธรรมรัตน์ สุขเจริญ")</f>
        <v>นายธรรมรัตน์ สุขเจริญ</v>
      </c>
      <c r="J754" s="3">
        <f>IFERROR(__xludf.DUMMYFUNCTION("""COMPUTED_VALUE"""),1.3461215E7)</f>
        <v>13461215</v>
      </c>
      <c r="K754" s="3" t="str">
        <f>IFERROR(__xludf.DUMMYFUNCTION("""COMPUTED_VALUE"""),"นายธีรภัทร สังข์เงิน")</f>
        <v>นายธีรภัทร สังข์เงิน</v>
      </c>
      <c r="L754" s="1" t="str">
        <f>IFERROR(__xludf.DUMMYFUNCTION("""COMPUTED_VALUE"""),"06 K.Teerapat")</f>
        <v>06 K.Teerapat</v>
      </c>
      <c r="M754" s="1" t="str">
        <f>IFERROR(__xludf.DUMMYFUNCTION("""COMPUTED_VALUE"""),"063-601-6803")</f>
        <v>063-601-6803</v>
      </c>
      <c r="N754" s="3">
        <f>IFERROR(__xludf.DUMMYFUNCTION("""COMPUTED_VALUE"""),22115.0)</f>
        <v>22115</v>
      </c>
      <c r="O754" s="3" t="str">
        <f>IFERROR(__xludf.DUMMYFUNCTION("""COMPUTED_VALUE"""),"MBC เลี่ยงหนองมน ชลบุรี")</f>
        <v>MBC เลี่ยงหนองมน ชลบุรี</v>
      </c>
      <c r="P754" s="4">
        <f>IFERROR(__xludf.DUMMYFUNCTION("""COMPUTED_VALUE"""),43025.0)</f>
        <v>43025</v>
      </c>
      <c r="Q754" s="3" t="str">
        <f>IFERROR(__xludf.DUMMYFUNCTION("""COMPUTED_VALUE"""),"A")</f>
        <v>A</v>
      </c>
      <c r="R754" s="3" t="str">
        <f>IFERROR(__xludf.DUMMYFUNCTION("""COMPUTED_VALUE"""),"Small Format")</f>
        <v>Small Format</v>
      </c>
      <c r="S754" s="3" t="str">
        <f>IFERROR(__xludf.DUMMYFUNCTION("""COMPUTED_VALUE"""),"BCM")</f>
        <v>BCM</v>
      </c>
      <c r="T754" s="3" t="str">
        <f>IFERROR(__xludf.DUMMYFUNCTION("""COMPUTED_VALUE"""),"#N/A")</f>
        <v>#N/A</v>
      </c>
      <c r="U754" s="3" t="str">
        <f>IFERROR(__xludf.DUMMYFUNCTION("""COMPUTED_VALUE"""),"#N/A")</f>
        <v>#N/A</v>
      </c>
      <c r="V754" s="3" t="str">
        <f>IFERROR(__xludf.DUMMYFUNCTION("""COMPUTED_VALUE"""),"N")</f>
        <v>N</v>
      </c>
      <c r="W754" s="3">
        <f>IFERROR(__xludf.DUMMYFUNCTION("""COMPUTED_VALUE"""),211470.0)</f>
        <v>211470</v>
      </c>
      <c r="X754" s="3" t="str">
        <f>IFERROR(__xludf.DUMMYFUNCTION("""COMPUTED_VALUE"""),"27/38-40 หมู่ 1 ตำบลนาป่า อำเภอเมืองชลบุรี จังหวัดชลบุรี 20000")</f>
        <v>27/38-40 หมู่ 1 ตำบลนาป่า อำเภอเมืองชลบุรี จังหวัดชลบุรี 20000</v>
      </c>
      <c r="Y754" s="3"/>
      <c r="Z754" s="3" t="str">
        <f>IFERROR(__xludf.DUMMYFUNCTION("""COMPUTED_VALUE"""),"นาป่า")</f>
        <v>นาป่า</v>
      </c>
      <c r="AA754" s="3" t="str">
        <f>IFERROR(__xludf.DUMMYFUNCTION("""COMPUTED_VALUE"""),"เมือง")</f>
        <v>เมือง</v>
      </c>
      <c r="AB754" s="3" t="str">
        <f>IFERROR(__xludf.DUMMYFUNCTION("""COMPUTED_VALUE"""),"ชลบุรี")</f>
        <v>ชลบุรี</v>
      </c>
      <c r="AC754" s="3">
        <f>IFERROR(__xludf.DUMMYFUNCTION("""COMPUTED_VALUE"""),20000.0)</f>
        <v>20000</v>
      </c>
      <c r="AD754" s="3">
        <f>IFERROR(__xludf.DUMMYFUNCTION("""COMPUTED_VALUE"""),13.396734)</f>
        <v>13.396734</v>
      </c>
      <c r="AE754" s="3">
        <f>IFERROR(__xludf.DUMMYFUNCTION("""COMPUTED_VALUE"""),101.025717)</f>
        <v>101.025717</v>
      </c>
      <c r="AF754" s="3" t="str">
        <f>IFERROR(__xludf.DUMMYFUNCTION("""COMPUTED_VALUE"""),"MBC ตลาดโรงสี นาป่า-21522")</f>
        <v>MBC ตลาดโรงสี นาป่า-21522</v>
      </c>
      <c r="AG754" s="3" t="str">
        <f>IFERROR(__xludf.DUMMYFUNCTION("""COMPUTED_VALUE"""),"ตะวันออก")</f>
        <v>ตะวันออก</v>
      </c>
      <c r="AH754" s="3" t="str">
        <f>IFERROR(__xludf.DUMMYFUNCTION("""COMPUTED_VALUE"""),"#N/A")</f>
        <v>#N/A</v>
      </c>
      <c r="AI754" s="3" t="str">
        <f>IFERROR(__xludf.DUMMYFUNCTION("""COMPUTED_VALUE"""),"Out of warranty")</f>
        <v>Out of warranty</v>
      </c>
      <c r="AJ754" s="3">
        <f>IFERROR(__xludf.DUMMYFUNCTION("""COMPUTED_VALUE"""),100.0)</f>
        <v>100</v>
      </c>
      <c r="AK754" s="3" t="str">
        <f>IFERROR(__xludf.DUMMYFUNCTION("""COMPUTED_VALUE"""),"MMS06")</f>
        <v>MMS06</v>
      </c>
      <c r="AL754" s="3"/>
    </row>
    <row r="755" ht="15.75" customHeight="1">
      <c r="A755" s="1" t="str">
        <f>IFERROR(__xludf.DUMMYFUNCTION("""COMPUTED_VALUE"""),"21523")</f>
        <v>21523</v>
      </c>
      <c r="B755" s="2">
        <f>IFERROR(__xludf.DUMMYFUNCTION("""COMPUTED_VALUE"""),21523.0)</f>
        <v>21523</v>
      </c>
      <c r="C755" s="3" t="str">
        <f>IFERROR(__xludf.DUMMYFUNCTION("""COMPUTED_VALUE"""),"MBC ตลาดทุ่งเสา หาดใหญ่")</f>
        <v>MBC ตลาดทุ่งเสา หาดใหญ่</v>
      </c>
      <c r="D755" s="3" t="str">
        <f>IFERROR(__xludf.DUMMYFUNCTION("""COMPUTED_VALUE"""),"BCM TALAD THUNG SAO HAT YAI")</f>
        <v>BCM TALAD THUNG SAO HAT YAI</v>
      </c>
      <c r="E755" s="1" t="str">
        <f>IFERROR(__xludf.DUMMYFUNCTION("""COMPUTED_VALUE"""),"บิ๊กซี MINI")</f>
        <v>บิ๊กซี MINI</v>
      </c>
      <c r="F755" s="1" t="str">
        <f>IFERROR(__xludf.DUMMYFUNCTION("""COMPUTED_VALUE"""),"250760")</f>
        <v>250760</v>
      </c>
      <c r="G755" s="1" t="str">
        <f>IFERROR(__xludf.DUMMYFUNCTION("""COMPUTED_VALUE"""),"นายประทวน สาราบรรณ์")</f>
        <v>นายประทวน สาราบรรณ์</v>
      </c>
      <c r="H755" s="1" t="str">
        <f>IFERROR(__xludf.DUMMYFUNCTION("""COMPUTED_VALUE"""),"394100")</f>
        <v>394100</v>
      </c>
      <c r="I755" s="1" t="str">
        <f>IFERROR(__xludf.DUMMYFUNCTION("""COMPUTED_VALUE"""),"นายไพโรจน์ ถิระผะลิกะ")</f>
        <v>นายไพโรจน์ ถิระผะลิกะ</v>
      </c>
      <c r="J755" s="3">
        <f>IFERROR(__xludf.DUMMYFUNCTION("""COMPUTED_VALUE"""),2.0470331E7)</f>
        <v>20470331</v>
      </c>
      <c r="K755" s="3" t="str">
        <f>IFERROR(__xludf.DUMMYFUNCTION("""COMPUTED_VALUE"""),"นายสมชาย ลักษณะสุวรรณ")</f>
        <v>นายสมชาย ลักษณะสุวรรณ</v>
      </c>
      <c r="L755" s="1" t="str">
        <f>IFERROR(__xludf.DUMMYFUNCTION("""COMPUTED_VALUE"""),"15 K.Somchai L")</f>
        <v>15 K.Somchai L</v>
      </c>
      <c r="M755" s="1" t="str">
        <f>IFERROR(__xludf.DUMMYFUNCTION("""COMPUTED_VALUE"""),"0655107372")</f>
        <v>0655107372</v>
      </c>
      <c r="N755" s="3">
        <f>IFERROR(__xludf.DUMMYFUNCTION("""COMPUTED_VALUE"""),21723.0)</f>
        <v>21723</v>
      </c>
      <c r="O755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755" s="4">
        <f>IFERROR(__xludf.DUMMYFUNCTION("""COMPUTED_VALUE"""),43033.0)</f>
        <v>43033</v>
      </c>
      <c r="Q755" s="3" t="str">
        <f>IFERROR(__xludf.DUMMYFUNCTION("""COMPUTED_VALUE"""),"A")</f>
        <v>A</v>
      </c>
      <c r="R755" s="3" t="str">
        <f>IFERROR(__xludf.DUMMYFUNCTION("""COMPUTED_VALUE"""),"Small Format")</f>
        <v>Small Format</v>
      </c>
      <c r="S755" s="3" t="str">
        <f>IFERROR(__xludf.DUMMYFUNCTION("""COMPUTED_VALUE"""),"BCM")</f>
        <v>BCM</v>
      </c>
      <c r="T755" s="3" t="str">
        <f>IFERROR(__xludf.DUMMYFUNCTION("""COMPUTED_VALUE"""),"#N/A")</f>
        <v>#N/A</v>
      </c>
      <c r="U755" s="3" t="str">
        <f>IFERROR(__xludf.DUMMYFUNCTION("""COMPUTED_VALUE"""),"#N/A")</f>
        <v>#N/A</v>
      </c>
      <c r="V755" s="3" t="str">
        <f>IFERROR(__xludf.DUMMYFUNCTION("""COMPUTED_VALUE"""),"N")</f>
        <v>N</v>
      </c>
      <c r="W755" s="3">
        <f>IFERROR(__xludf.DUMMYFUNCTION("""COMPUTED_VALUE"""),211484.0)</f>
        <v>211484</v>
      </c>
      <c r="X755" s="3" t="str">
        <f>IFERROR(__xludf.DUMMYFUNCTION("""COMPUTED_VALUE"""),"62 ถนนทุ่งเสา 1 ตำบลหาดใหญ่ อำเภอหาดใหญ่ จังหวัดสงขลา 90110")</f>
        <v>62 ถนนทุ่งเสา 1 ตำบลหาดใหญ่ อำเภอหาดใหญ่ จังหวัดสงขลา 90110</v>
      </c>
      <c r="Y755" s="3" t="str">
        <f>IFERROR(__xludf.DUMMYFUNCTION("""COMPUTED_VALUE"""),"ถนนทุ่งเสา")</f>
        <v>ถนนทุ่งเสา</v>
      </c>
      <c r="Z755" s="3" t="str">
        <f>IFERROR(__xludf.DUMMYFUNCTION("""COMPUTED_VALUE"""),"หาดใหญ่")</f>
        <v>หาดใหญ่</v>
      </c>
      <c r="AA755" s="3" t="str">
        <f>IFERROR(__xludf.DUMMYFUNCTION("""COMPUTED_VALUE"""),"หาดใหญ่")</f>
        <v>หาดใหญ่</v>
      </c>
      <c r="AB755" s="3" t="str">
        <f>IFERROR(__xludf.DUMMYFUNCTION("""COMPUTED_VALUE"""),"สงขลา")</f>
        <v>สงขลา</v>
      </c>
      <c r="AC755" s="3">
        <f>IFERROR(__xludf.DUMMYFUNCTION("""COMPUTED_VALUE"""),90110.0)</f>
        <v>90110</v>
      </c>
      <c r="AD755" s="3">
        <f>IFERROR(__xludf.DUMMYFUNCTION("""COMPUTED_VALUE"""),6.992168)</f>
        <v>6.992168</v>
      </c>
      <c r="AE755" s="3">
        <f>IFERROR(__xludf.DUMMYFUNCTION("""COMPUTED_VALUE"""),100.475737)</f>
        <v>100.475737</v>
      </c>
      <c r="AF755" s="3" t="str">
        <f>IFERROR(__xludf.DUMMYFUNCTION("""COMPUTED_VALUE"""),"MBC ตลาดทุ่งเสา หาดใหญ่-21523")</f>
        <v>MBC ตลาดทุ่งเสา หาดใหญ่-21523</v>
      </c>
      <c r="AG755" s="3" t="str">
        <f>IFERROR(__xludf.DUMMYFUNCTION("""COMPUTED_VALUE"""),"ใต้")</f>
        <v>ใต้</v>
      </c>
      <c r="AH755" s="3" t="str">
        <f>IFERROR(__xludf.DUMMYFUNCTION("""COMPUTED_VALUE"""),"#N/A")</f>
        <v>#N/A</v>
      </c>
      <c r="AI755" s="3" t="str">
        <f>IFERROR(__xludf.DUMMYFUNCTION("""COMPUTED_VALUE"""),"Out of warranty")</f>
        <v>Out of warranty</v>
      </c>
      <c r="AJ755" s="3">
        <f>IFERROR(__xludf.DUMMYFUNCTION("""COMPUTED_VALUE"""),99.0)</f>
        <v>99</v>
      </c>
      <c r="AK755" s="3" t="str">
        <f>IFERROR(__xludf.DUMMYFUNCTION("""COMPUTED_VALUE"""),"MMS16")</f>
        <v>MMS16</v>
      </c>
      <c r="AL755" s="3"/>
    </row>
    <row r="756" ht="15.75" customHeight="1">
      <c r="A756" s="1" t="str">
        <f>IFERROR(__xludf.DUMMYFUNCTION("""COMPUTED_VALUE"""),"21524")</f>
        <v>21524</v>
      </c>
      <c r="B756" s="2">
        <f>IFERROR(__xludf.DUMMYFUNCTION("""COMPUTED_VALUE"""),21524.0)</f>
        <v>21524</v>
      </c>
      <c r="C756" s="3" t="str">
        <f>IFERROR(__xludf.DUMMYFUNCTION("""COMPUTED_VALUE"""),"MBC หมู่บ้านการการุณรังษี")</f>
        <v>MBC หมู่บ้านการการุณรังษี</v>
      </c>
      <c r="D756" s="3" t="str">
        <f>IFERROR(__xludf.DUMMYFUNCTION("""COMPUTED_VALUE"""),"BCM MOOBAN KAN KARUN RANG SI")</f>
        <v>BCM MOOBAN KAN KARUN RANG SI</v>
      </c>
      <c r="E756" s="1" t="str">
        <f>IFERROR(__xludf.DUMMYFUNCTION("""COMPUTED_VALUE"""),"บิ๊กซี MINI")</f>
        <v>บิ๊กซี MINI</v>
      </c>
      <c r="F756" s="1" t="str">
        <f>IFERROR(__xludf.DUMMYFUNCTION("""COMPUTED_VALUE"""),"296229")</f>
        <v>296229</v>
      </c>
      <c r="G756" s="1" t="str">
        <f>IFERROR(__xludf.DUMMYFUNCTION("""COMPUTED_VALUE"""),"นายทนงศักดิ์ บุญมา")</f>
        <v>นายทนงศักดิ์ บุญมา</v>
      </c>
      <c r="H756" s="1" t="str">
        <f>IFERROR(__xludf.DUMMYFUNCTION("""COMPUTED_VALUE"""),"318186")</f>
        <v>318186</v>
      </c>
      <c r="I756" s="1" t="str">
        <f>IFERROR(__xludf.DUMMYFUNCTION("""COMPUTED_VALUE"""),"น.ส.พนมวัลย์ เรืองรัตน์")</f>
        <v>น.ส.พนมวัลย์ เรืองรัตน์</v>
      </c>
      <c r="J756" s="3">
        <f>IFERROR(__xludf.DUMMYFUNCTION("""COMPUTED_VALUE"""),46214.0)</f>
        <v>46214</v>
      </c>
      <c r="K756" s="3" t="str">
        <f>IFERROR(__xludf.DUMMYFUNCTION("""COMPUTED_VALUE"""),"นายศักดิ์ชัย เด็ดดอกฟ้า")</f>
        <v>นายศักดิ์ชัย เด็ดดอกฟ้า</v>
      </c>
      <c r="L756" s="1" t="str">
        <f>IFERROR(__xludf.DUMMYFUNCTION("""COMPUTED_VALUE"""),"02 K.Sakchai D")</f>
        <v>02 K.Sakchai D</v>
      </c>
      <c r="M756" s="1" t="str">
        <f>IFERROR(__xludf.DUMMYFUNCTION("""COMPUTED_VALUE"""),"065-510-7376")</f>
        <v>065-510-7376</v>
      </c>
      <c r="N756" s="3">
        <f>IFERROR(__xludf.DUMMYFUNCTION("""COMPUTED_VALUE"""),21714.0)</f>
        <v>21714</v>
      </c>
      <c r="O756" s="3" t="str">
        <f>IFERROR(__xludf.DUMMYFUNCTION("""COMPUTED_VALUE"""),"MBC เอสโซ่ วัดโบสถ์")</f>
        <v>MBC เอสโซ่ วัดโบสถ์</v>
      </c>
      <c r="P756" s="4">
        <f>IFERROR(__xludf.DUMMYFUNCTION("""COMPUTED_VALUE"""),43056.0)</f>
        <v>43056</v>
      </c>
      <c r="Q756" s="3" t="str">
        <f>IFERROR(__xludf.DUMMYFUNCTION("""COMPUTED_VALUE"""),"A")</f>
        <v>A</v>
      </c>
      <c r="R756" s="3" t="str">
        <f>IFERROR(__xludf.DUMMYFUNCTION("""COMPUTED_VALUE"""),"Small Format")</f>
        <v>Small Format</v>
      </c>
      <c r="S756" s="3" t="str">
        <f>IFERROR(__xludf.DUMMYFUNCTION("""COMPUTED_VALUE"""),"BCM")</f>
        <v>BCM</v>
      </c>
      <c r="T756" s="3" t="str">
        <f>IFERROR(__xludf.DUMMYFUNCTION("""COMPUTED_VALUE"""),"#N/A")</f>
        <v>#N/A</v>
      </c>
      <c r="U756" s="3" t="str">
        <f>IFERROR(__xludf.DUMMYFUNCTION("""COMPUTED_VALUE"""),"#N/A")</f>
        <v>#N/A</v>
      </c>
      <c r="V756" s="3" t="str">
        <f>IFERROR(__xludf.DUMMYFUNCTION("""COMPUTED_VALUE"""),"N")</f>
        <v>N</v>
      </c>
      <c r="W756" s="3">
        <f>IFERROR(__xludf.DUMMYFUNCTION("""COMPUTED_VALUE"""),211479.0)</f>
        <v>211479</v>
      </c>
      <c r="X756" s="3" t="str">
        <f>IFERROR(__xludf.DUMMYFUNCTION("""COMPUTED_VALUE"""),"238/199 หมู่1 ตำบลนครสวรรค์ตก อำเภอเมืองนครสวรรค์ จังหวัดนครสวรรค์ 60000")</f>
        <v>238/199 หมู่1 ตำบลนครสวรรค์ตก อำเภอเมืองนครสวรรค์ จังหวัดนครสวรรค์ 60000</v>
      </c>
      <c r="Y756" s="3"/>
      <c r="Z756" s="3" t="str">
        <f>IFERROR(__xludf.DUMMYFUNCTION("""COMPUTED_VALUE"""),"นครสวรรค์ตก")</f>
        <v>นครสวรรค์ตก</v>
      </c>
      <c r="AA756" s="3" t="str">
        <f>IFERROR(__xludf.DUMMYFUNCTION("""COMPUTED_VALUE"""),"เมือง")</f>
        <v>เมือง</v>
      </c>
      <c r="AB756" s="3" t="str">
        <f>IFERROR(__xludf.DUMMYFUNCTION("""COMPUTED_VALUE"""),"นครสวรรค์")</f>
        <v>นครสวรรค์</v>
      </c>
      <c r="AC756" s="3">
        <f>IFERROR(__xludf.DUMMYFUNCTION("""COMPUTED_VALUE"""),60000.0)</f>
        <v>60000</v>
      </c>
      <c r="AD756" s="3">
        <f>IFERROR(__xludf.DUMMYFUNCTION("""COMPUTED_VALUE"""),15.673141)</f>
        <v>15.673141</v>
      </c>
      <c r="AE756" s="3">
        <f>IFERROR(__xludf.DUMMYFUNCTION("""COMPUTED_VALUE"""),100.101325)</f>
        <v>100.101325</v>
      </c>
      <c r="AF756" s="3" t="str">
        <f>IFERROR(__xludf.DUMMYFUNCTION("""COMPUTED_VALUE"""),"MBC หมู่บ้านการการุณรังษี-21524")</f>
        <v>MBC หมู่บ้านการการุณรังษี-21524</v>
      </c>
      <c r="AG756" s="3" t="str">
        <f>IFERROR(__xludf.DUMMYFUNCTION("""COMPUTED_VALUE"""),"กลาง")</f>
        <v>กลาง</v>
      </c>
      <c r="AH756" s="3" t="str">
        <f>IFERROR(__xludf.DUMMYFUNCTION("""COMPUTED_VALUE"""),"#N/A")</f>
        <v>#N/A</v>
      </c>
      <c r="AI756" s="3" t="str">
        <f>IFERROR(__xludf.DUMMYFUNCTION("""COMPUTED_VALUE"""),"Out of warranty")</f>
        <v>Out of warranty</v>
      </c>
      <c r="AJ756" s="3">
        <f>IFERROR(__xludf.DUMMYFUNCTION("""COMPUTED_VALUE"""),99.0)</f>
        <v>99</v>
      </c>
      <c r="AK756" s="3" t="str">
        <f>IFERROR(__xludf.DUMMYFUNCTION("""COMPUTED_VALUE"""),"MMS09")</f>
        <v>MMS09</v>
      </c>
      <c r="AL756" s="3"/>
    </row>
    <row r="757" ht="15.75" customHeight="1">
      <c r="A757" s="1" t="str">
        <f>IFERROR(__xludf.DUMMYFUNCTION("""COMPUTED_VALUE"""),"21525")</f>
        <v>21525</v>
      </c>
      <c r="B757" s="2">
        <f>IFERROR(__xludf.DUMMYFUNCTION("""COMPUTED_VALUE"""),21525.0)</f>
        <v>21525</v>
      </c>
      <c r="C757" s="3" t="str">
        <f>IFERROR(__xludf.DUMMYFUNCTION("""COMPUTED_VALUE"""),"MBC หนองปลาหมอ")</f>
        <v>MBC หนองปลาหมอ</v>
      </c>
      <c r="D757" s="3" t="str">
        <f>IFERROR(__xludf.DUMMYFUNCTION("""COMPUTED_VALUE"""),"BCM NONG PLA MOR")</f>
        <v>BCM NONG PLA MOR</v>
      </c>
      <c r="E757" s="1" t="str">
        <f>IFERROR(__xludf.DUMMYFUNCTION("""COMPUTED_VALUE"""),"บิ๊กซี MINI")</f>
        <v>บิ๊กซี MINI</v>
      </c>
      <c r="F757" s="1" t="str">
        <f>IFERROR(__xludf.DUMMYFUNCTION("""COMPUTED_VALUE"""),"296229")</f>
        <v>296229</v>
      </c>
      <c r="G757" s="1" t="str">
        <f>IFERROR(__xludf.DUMMYFUNCTION("""COMPUTED_VALUE"""),"นายทนงศักดิ์ บุญมา")</f>
        <v>นายทนงศักดิ์ บุญมา</v>
      </c>
      <c r="H757" s="1" t="str">
        <f>IFERROR(__xludf.DUMMYFUNCTION("""COMPUTED_VALUE"""),"318233")</f>
        <v>318233</v>
      </c>
      <c r="I757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757" s="3">
        <f>IFERROR(__xludf.DUMMYFUNCTION("""COMPUTED_VALUE"""),46214.0)</f>
        <v>46214</v>
      </c>
      <c r="K757" s="3" t="str">
        <f>IFERROR(__xludf.DUMMYFUNCTION("""COMPUTED_VALUE"""),"นายศักดิ์ชัย เด็ดดอกฟ้า")</f>
        <v>นายศักดิ์ชัย เด็ดดอกฟ้า</v>
      </c>
      <c r="L757" s="1" t="str">
        <f>IFERROR(__xludf.DUMMYFUNCTION("""COMPUTED_VALUE"""),"02 K.Sakchai D")</f>
        <v>02 K.Sakchai D</v>
      </c>
      <c r="M757" s="1" t="str">
        <f>IFERROR(__xludf.DUMMYFUNCTION("""COMPUTED_VALUE"""),"065-510-7376")</f>
        <v>065-510-7376</v>
      </c>
      <c r="N757" s="3">
        <f>IFERROR(__xludf.DUMMYFUNCTION("""COMPUTED_VALUE"""),21714.0)</f>
        <v>21714</v>
      </c>
      <c r="O757" s="3" t="str">
        <f>IFERROR(__xludf.DUMMYFUNCTION("""COMPUTED_VALUE"""),"MBC เอสโซ่ วัดโบสถ์")</f>
        <v>MBC เอสโซ่ วัดโบสถ์</v>
      </c>
      <c r="P757" s="4">
        <f>IFERROR(__xludf.DUMMYFUNCTION("""COMPUTED_VALUE"""),43030.0)</f>
        <v>43030</v>
      </c>
      <c r="Q757" s="3" t="str">
        <f>IFERROR(__xludf.DUMMYFUNCTION("""COMPUTED_VALUE"""),"A")</f>
        <v>A</v>
      </c>
      <c r="R757" s="3" t="str">
        <f>IFERROR(__xludf.DUMMYFUNCTION("""COMPUTED_VALUE"""),"Small Format")</f>
        <v>Small Format</v>
      </c>
      <c r="S757" s="3" t="str">
        <f>IFERROR(__xludf.DUMMYFUNCTION("""COMPUTED_VALUE"""),"BCM")</f>
        <v>BCM</v>
      </c>
      <c r="T757" s="3" t="str">
        <f>IFERROR(__xludf.DUMMYFUNCTION("""COMPUTED_VALUE"""),"#N/A")</f>
        <v>#N/A</v>
      </c>
      <c r="U757" s="3" t="str">
        <f>IFERROR(__xludf.DUMMYFUNCTION("""COMPUTED_VALUE"""),"#N/A")</f>
        <v>#N/A</v>
      </c>
      <c r="V757" s="3" t="str">
        <f>IFERROR(__xludf.DUMMYFUNCTION("""COMPUTED_VALUE"""),"N")</f>
        <v>N</v>
      </c>
      <c r="W757" s="3">
        <f>IFERROR(__xludf.DUMMYFUNCTION("""COMPUTED_VALUE"""),211488.0)</f>
        <v>211488</v>
      </c>
      <c r="X757" s="3" t="str">
        <f>IFERROR(__xludf.DUMMYFUNCTION("""COMPUTED_VALUE"""),"112/11-33 หมู่7 ตำบลหนองปลาหมอ อำเภอหนองแค จังหวัดสระบุรี 18140")</f>
        <v>112/11-33 หมู่7 ตำบลหนองปลาหมอ อำเภอหนองแค จังหวัดสระบุรี 18140</v>
      </c>
      <c r="Y757" s="3"/>
      <c r="Z757" s="3" t="str">
        <f>IFERROR(__xludf.DUMMYFUNCTION("""COMPUTED_VALUE"""),"หนองปลาหมอ")</f>
        <v>หนองปลาหมอ</v>
      </c>
      <c r="AA757" s="3" t="str">
        <f>IFERROR(__xludf.DUMMYFUNCTION("""COMPUTED_VALUE"""),"หนองแค")</f>
        <v>หนองแค</v>
      </c>
      <c r="AB757" s="3" t="str">
        <f>IFERROR(__xludf.DUMMYFUNCTION("""COMPUTED_VALUE"""),"สระบุรี")</f>
        <v>สระบุรี</v>
      </c>
      <c r="AC757" s="3">
        <f>IFERROR(__xludf.DUMMYFUNCTION("""COMPUTED_VALUE"""),18140.0)</f>
        <v>18140</v>
      </c>
      <c r="AD757" s="3">
        <f>IFERROR(__xludf.DUMMYFUNCTION("""COMPUTED_VALUE"""),14.366393)</f>
        <v>14.366393</v>
      </c>
      <c r="AE757" s="3">
        <f>IFERROR(__xludf.DUMMYFUNCTION("""COMPUTED_VALUE"""),100.849735)</f>
        <v>100.849735</v>
      </c>
      <c r="AF757" s="3" t="str">
        <f>IFERROR(__xludf.DUMMYFUNCTION("""COMPUTED_VALUE"""),"MBC หนองปลาหมอ-21525")</f>
        <v>MBC หนองปลาหมอ-21525</v>
      </c>
      <c r="AG757" s="3" t="str">
        <f>IFERROR(__xludf.DUMMYFUNCTION("""COMPUTED_VALUE"""),"กลาง")</f>
        <v>กลาง</v>
      </c>
      <c r="AH757" s="3" t="str">
        <f>IFERROR(__xludf.DUMMYFUNCTION("""COMPUTED_VALUE"""),"#N/A")</f>
        <v>#N/A</v>
      </c>
      <c r="AI757" s="3" t="str">
        <f>IFERROR(__xludf.DUMMYFUNCTION("""COMPUTED_VALUE"""),"Out of warranty")</f>
        <v>Out of warranty</v>
      </c>
      <c r="AJ757" s="3">
        <f>IFERROR(__xludf.DUMMYFUNCTION("""COMPUTED_VALUE"""),99.0)</f>
        <v>99</v>
      </c>
      <c r="AK757" s="3" t="str">
        <f>IFERROR(__xludf.DUMMYFUNCTION("""COMPUTED_VALUE"""),"MMS09")</f>
        <v>MMS09</v>
      </c>
      <c r="AL757" s="3"/>
    </row>
    <row r="758" ht="15.75" customHeight="1">
      <c r="A758" s="1" t="str">
        <f>IFERROR(__xludf.DUMMYFUNCTION("""COMPUTED_VALUE"""),"21526")</f>
        <v>21526</v>
      </c>
      <c r="B758" s="2">
        <f>IFERROR(__xludf.DUMMYFUNCTION("""COMPUTED_VALUE"""),21526.0)</f>
        <v>21526</v>
      </c>
      <c r="C758" s="3" t="str">
        <f>IFERROR(__xludf.DUMMYFUNCTION("""COMPUTED_VALUE"""),"MBC วัดไร่ขิง")</f>
        <v>MBC วัดไร่ขิง</v>
      </c>
      <c r="D758" s="3" t="str">
        <f>IFERROR(__xludf.DUMMYFUNCTION("""COMPUTED_VALUE"""),"BCM WAT RAIKING")</f>
        <v>BCM WAT RAIKING</v>
      </c>
      <c r="E758" s="1" t="str">
        <f>IFERROR(__xludf.DUMMYFUNCTION("""COMPUTED_VALUE"""),"บิ๊กซี MINI")</f>
        <v>บิ๊กซี MINI</v>
      </c>
      <c r="F758" s="1" t="str">
        <f>IFERROR(__xludf.DUMMYFUNCTION("""COMPUTED_VALUE"""),"296229")</f>
        <v>296229</v>
      </c>
      <c r="G758" s="1" t="str">
        <f>IFERROR(__xludf.DUMMYFUNCTION("""COMPUTED_VALUE"""),"นายทนงศักดิ์ บุญมา")</f>
        <v>นายทนงศักดิ์ บุญมา</v>
      </c>
      <c r="H758" s="1" t="str">
        <f>IFERROR(__xludf.DUMMYFUNCTION("""COMPUTED_VALUE"""),"295245")</f>
        <v>295245</v>
      </c>
      <c r="I758" s="1" t="str">
        <f>IFERROR(__xludf.DUMMYFUNCTION("""COMPUTED_VALUE"""),"นายมานะ วงศ์สุโชโต")</f>
        <v>นายมานะ วงศ์สุโชโต</v>
      </c>
      <c r="J758" s="3">
        <f>IFERROR(__xludf.DUMMYFUNCTION("""COMPUTED_VALUE"""),46214.0)</f>
        <v>46214</v>
      </c>
      <c r="K758" s="3" t="str">
        <f>IFERROR(__xludf.DUMMYFUNCTION("""COMPUTED_VALUE"""),"นายศักดิ์ชัย เด็ดดอกฟ้า")</f>
        <v>นายศักดิ์ชัย เด็ดดอกฟ้า</v>
      </c>
      <c r="L758" s="1" t="str">
        <f>IFERROR(__xludf.DUMMYFUNCTION("""COMPUTED_VALUE"""),"02 K.Sakchai D")</f>
        <v>02 K.Sakchai D</v>
      </c>
      <c r="M758" s="1" t="str">
        <f>IFERROR(__xludf.DUMMYFUNCTION("""COMPUTED_VALUE"""),"065-510-7376")</f>
        <v>065-510-7376</v>
      </c>
      <c r="N758" s="3">
        <f>IFERROR(__xludf.DUMMYFUNCTION("""COMPUTED_VALUE"""),21714.0)</f>
        <v>21714</v>
      </c>
      <c r="O758" s="3" t="str">
        <f>IFERROR(__xludf.DUMMYFUNCTION("""COMPUTED_VALUE"""),"MBC เอสโซ่ วัดโบสถ์")</f>
        <v>MBC เอสโซ่ วัดโบสถ์</v>
      </c>
      <c r="P758" s="4">
        <f>IFERROR(__xludf.DUMMYFUNCTION("""COMPUTED_VALUE"""),43039.0)</f>
        <v>43039</v>
      </c>
      <c r="Q758" s="3" t="str">
        <f>IFERROR(__xludf.DUMMYFUNCTION("""COMPUTED_VALUE"""),"I")</f>
        <v>I</v>
      </c>
      <c r="R758" s="3" t="str">
        <f>IFERROR(__xludf.DUMMYFUNCTION("""COMPUTED_VALUE"""),"Small Format")</f>
        <v>Small Format</v>
      </c>
      <c r="S758" s="3" t="str">
        <f>IFERROR(__xludf.DUMMYFUNCTION("""COMPUTED_VALUE"""),"BCM")</f>
        <v>BCM</v>
      </c>
      <c r="T758" s="3" t="str">
        <f>IFERROR(__xludf.DUMMYFUNCTION("""COMPUTED_VALUE"""),"#N/A")</f>
        <v>#N/A</v>
      </c>
      <c r="U758" s="3" t="str">
        <f>IFERROR(__xludf.DUMMYFUNCTION("""COMPUTED_VALUE"""),"#N/A")</f>
        <v>#N/A</v>
      </c>
      <c r="V758" s="3" t="str">
        <f>IFERROR(__xludf.DUMMYFUNCTION("""COMPUTED_VALUE"""),"N")</f>
        <v>N</v>
      </c>
      <c r="W758" s="3">
        <f>IFERROR(__xludf.DUMMYFUNCTION("""COMPUTED_VALUE"""),211391.0)</f>
        <v>211391</v>
      </c>
      <c r="X758" s="3" t="str">
        <f>IFERROR(__xludf.DUMMYFUNCTION("""COMPUTED_VALUE"""),"71/3 หมู่ 6 ตำบลท่าตลาด อำเภอสามพราน จังหวัดนครปฐม 73110")</f>
        <v>71/3 หมู่ 6 ตำบลท่าตลาด อำเภอสามพราน จังหวัดนครปฐม 73110</v>
      </c>
      <c r="Y758" s="3"/>
      <c r="Z758" s="3" t="str">
        <f>IFERROR(__xludf.DUMMYFUNCTION("""COMPUTED_VALUE"""),"ท่าตลาด")</f>
        <v>ท่าตลาด</v>
      </c>
      <c r="AA758" s="3" t="str">
        <f>IFERROR(__xludf.DUMMYFUNCTION("""COMPUTED_VALUE"""),"สามพราน")</f>
        <v>สามพราน</v>
      </c>
      <c r="AB758" s="3" t="str">
        <f>IFERROR(__xludf.DUMMYFUNCTION("""COMPUTED_VALUE"""),"นครปฐม")</f>
        <v>นครปฐม</v>
      </c>
      <c r="AC758" s="3">
        <f>IFERROR(__xludf.DUMMYFUNCTION("""COMPUTED_VALUE"""),73110.0)</f>
        <v>73110</v>
      </c>
      <c r="AD758" s="3">
        <f>IFERROR(__xludf.DUMMYFUNCTION("""COMPUTED_VALUE"""),13.742643)</f>
        <v>13.742643</v>
      </c>
      <c r="AE758" s="3">
        <f>IFERROR(__xludf.DUMMYFUNCTION("""COMPUTED_VALUE"""),100.254734)</f>
        <v>100.254734</v>
      </c>
      <c r="AF758" s="3" t="str">
        <f>IFERROR(__xludf.DUMMYFUNCTION("""COMPUTED_VALUE"""),"MBC วัดไร่ขิง-21526")</f>
        <v>MBC วัดไร่ขิง-21526</v>
      </c>
      <c r="AG758" s="3" t="str">
        <f>IFERROR(__xludf.DUMMYFUNCTION("""COMPUTED_VALUE"""),"กลาง")</f>
        <v>กลาง</v>
      </c>
      <c r="AH758" s="3" t="str">
        <f>IFERROR(__xludf.DUMMYFUNCTION("""COMPUTED_VALUE"""),"#N/A")</f>
        <v>#N/A</v>
      </c>
      <c r="AI758" s="3" t="str">
        <f>IFERROR(__xludf.DUMMYFUNCTION("""COMPUTED_VALUE"""),"Out of warranty")</f>
        <v>Out of warranty</v>
      </c>
      <c r="AJ758" s="3">
        <f>IFERROR(__xludf.DUMMYFUNCTION("""COMPUTED_VALUE"""),99.0)</f>
        <v>99</v>
      </c>
      <c r="AK758" s="3" t="str">
        <f>IFERROR(__xludf.DUMMYFUNCTION("""COMPUTED_VALUE"""),"MMS05")</f>
        <v>MMS05</v>
      </c>
      <c r="AL758" s="3"/>
    </row>
    <row r="759" ht="15.75" customHeight="1">
      <c r="A759" s="1" t="str">
        <f>IFERROR(__xludf.DUMMYFUNCTION("""COMPUTED_VALUE"""),"21527")</f>
        <v>21527</v>
      </c>
      <c r="B759" s="2">
        <f>IFERROR(__xludf.DUMMYFUNCTION("""COMPUTED_VALUE"""),21527.0)</f>
        <v>21527</v>
      </c>
      <c r="C759" s="3" t="str">
        <f>IFERROR(__xludf.DUMMYFUNCTION("""COMPUTED_VALUE"""),"MBC วัดหนองเกตุใหญ่")</f>
        <v>MBC วัดหนองเกตุใหญ่</v>
      </c>
      <c r="D759" s="3" t="str">
        <f>IFERROR(__xludf.DUMMYFUNCTION("""COMPUTED_VALUE"""),"MBC WATNONGKETYAI")</f>
        <v>MBC WATNONGKETYAI</v>
      </c>
      <c r="E759" s="1" t="str">
        <f>IFERROR(__xludf.DUMMYFUNCTION("""COMPUTED_VALUE"""),"บิ๊กซี MINI")</f>
        <v>บิ๊กซี MINI</v>
      </c>
      <c r="F759" s="1" t="str">
        <f>IFERROR(__xludf.DUMMYFUNCTION("""COMPUTED_VALUE"""),"250760")</f>
        <v>250760</v>
      </c>
      <c r="G759" s="1" t="str">
        <f>IFERROR(__xludf.DUMMYFUNCTION("""COMPUTED_VALUE"""),"นายประทวน สาราบรรณ์")</f>
        <v>นายประทวน สาราบรรณ์</v>
      </c>
      <c r="H759" s="1" t="str">
        <f>IFERROR(__xludf.DUMMYFUNCTION("""COMPUTED_VALUE"""),"034605")</f>
        <v>034605</v>
      </c>
      <c r="I759" s="1" t="str">
        <f>IFERROR(__xludf.DUMMYFUNCTION("""COMPUTED_VALUE"""),"นายธรรมรัตน์ สุขเจริญ")</f>
        <v>นายธรรมรัตน์ สุขเจริญ</v>
      </c>
      <c r="J759" s="3">
        <f>IFERROR(__xludf.DUMMYFUNCTION("""COMPUTED_VALUE"""),295541.0)</f>
        <v>295541</v>
      </c>
      <c r="K759" s="3" t="str">
        <f>IFERROR(__xludf.DUMMYFUNCTION("""COMPUTED_VALUE"""),"นายรพิพล ศรีมาตย์")</f>
        <v>นายรพิพล ศรีมาตย์</v>
      </c>
      <c r="L759" s="1" t="str">
        <f>IFERROR(__xludf.DUMMYFUNCTION("""COMPUTED_VALUE"""),"นายรพิพล ศรีมาตย์")</f>
        <v>นายรพิพล ศรีมาตย์</v>
      </c>
      <c r="M759" s="1" t="str">
        <f>IFERROR(__xludf.DUMMYFUNCTION("""COMPUTED_VALUE"""),"0613966115")</f>
        <v>0613966115</v>
      </c>
      <c r="N759" s="3">
        <f>IFERROR(__xludf.DUMMYFUNCTION("""COMPUTED_VALUE"""),21175.0)</f>
        <v>21175</v>
      </c>
      <c r="O759" s="3" t="str">
        <f>IFERROR(__xludf.DUMMYFUNCTION("""COMPUTED_VALUE"""),"MBC BCP กิ่งแก้ว")</f>
        <v>MBC BCP กิ่งแก้ว</v>
      </c>
      <c r="P759" s="4">
        <f>IFERROR(__xludf.DUMMYFUNCTION("""COMPUTED_VALUE"""),43033.0)</f>
        <v>43033</v>
      </c>
      <c r="Q759" s="3" t="str">
        <f>IFERROR(__xludf.DUMMYFUNCTION("""COMPUTED_VALUE"""),"I")</f>
        <v>I</v>
      </c>
      <c r="R759" s="3" t="str">
        <f>IFERROR(__xludf.DUMMYFUNCTION("""COMPUTED_VALUE"""),"Small Format")</f>
        <v>Small Format</v>
      </c>
      <c r="S759" s="3" t="str">
        <f>IFERROR(__xludf.DUMMYFUNCTION("""COMPUTED_VALUE"""),"BCM")</f>
        <v>BCM</v>
      </c>
      <c r="T759" s="3" t="str">
        <f>IFERROR(__xludf.DUMMYFUNCTION("""COMPUTED_VALUE"""),"#N/A")</f>
        <v>#N/A</v>
      </c>
      <c r="U759" s="3" t="str">
        <f>IFERROR(__xludf.DUMMYFUNCTION("""COMPUTED_VALUE"""),"#N/A")</f>
        <v>#N/A</v>
      </c>
      <c r="V759" s="3" t="str">
        <f>IFERROR(__xludf.DUMMYFUNCTION("""COMPUTED_VALUE"""),"N")</f>
        <v>N</v>
      </c>
      <c r="W759" s="3">
        <f>IFERROR(__xludf.DUMMYFUNCTION("""COMPUTED_VALUE"""),211182.0)</f>
        <v>211182</v>
      </c>
      <c r="X759" s="3" t="str">
        <f>IFERROR(__xludf.DUMMYFUNCTION("""COMPUTED_VALUE"""),"36/17 หมู่7 ตำบลหนองปลาไหล อำเภอบางละมุง จังหวัดชลบุรี 20150")</f>
        <v>36/17 หมู่7 ตำบลหนองปลาไหล อำเภอบางละมุง จังหวัดชลบุรี 20150</v>
      </c>
      <c r="Y759" s="3"/>
      <c r="Z759" s="3" t="str">
        <f>IFERROR(__xludf.DUMMYFUNCTION("""COMPUTED_VALUE"""),"หนองปลาไหล")</f>
        <v>หนองปลาไหล</v>
      </c>
      <c r="AA759" s="3" t="str">
        <f>IFERROR(__xludf.DUMMYFUNCTION("""COMPUTED_VALUE"""),"บางละมุง")</f>
        <v>บางละมุง</v>
      </c>
      <c r="AB759" s="3" t="str">
        <f>IFERROR(__xludf.DUMMYFUNCTION("""COMPUTED_VALUE"""),"ชลบุรี")</f>
        <v>ชลบุรี</v>
      </c>
      <c r="AC759" s="3">
        <f>IFERROR(__xludf.DUMMYFUNCTION("""COMPUTED_VALUE"""),20150.0)</f>
        <v>20150</v>
      </c>
      <c r="AD759" s="3" t="str">
        <f>IFERROR(__xludf.DUMMYFUNCTION("""COMPUTED_VALUE"""),"#N/A")</f>
        <v>#N/A</v>
      </c>
      <c r="AE759" s="3" t="str">
        <f>IFERROR(__xludf.DUMMYFUNCTION("""COMPUTED_VALUE"""),"#N/A")</f>
        <v>#N/A</v>
      </c>
      <c r="AF759" s="3" t="str">
        <f>IFERROR(__xludf.DUMMYFUNCTION("""COMPUTED_VALUE"""),"MBC วัดหนองเกตุใหญ่-21527")</f>
        <v>MBC วัดหนองเกตุใหญ่-21527</v>
      </c>
      <c r="AG759" s="3" t="str">
        <f>IFERROR(__xludf.DUMMYFUNCTION("""COMPUTED_VALUE"""),"ตะวันออก")</f>
        <v>ตะวันออก</v>
      </c>
      <c r="AH759" s="3" t="str">
        <f>IFERROR(__xludf.DUMMYFUNCTION("""COMPUTED_VALUE"""),"#N/A")</f>
        <v>#N/A</v>
      </c>
      <c r="AI759" s="3" t="str">
        <f>IFERROR(__xludf.DUMMYFUNCTION("""COMPUTED_VALUE"""),"Out of warranty")</f>
        <v>Out of warranty</v>
      </c>
      <c r="AJ759" s="3">
        <f>IFERROR(__xludf.DUMMYFUNCTION("""COMPUTED_VALUE"""),99.0)</f>
        <v>99</v>
      </c>
      <c r="AK759" s="3"/>
      <c r="AL759" s="3"/>
    </row>
    <row r="760" ht="15.75" customHeight="1">
      <c r="A760" s="1" t="str">
        <f>IFERROR(__xludf.DUMMYFUNCTION("""COMPUTED_VALUE"""),"21528")</f>
        <v>21528</v>
      </c>
      <c r="B760" s="2">
        <f>IFERROR(__xludf.DUMMYFUNCTION("""COMPUTED_VALUE"""),21528.0)</f>
        <v>21528</v>
      </c>
      <c r="C760" s="3" t="str">
        <f>IFERROR(__xludf.DUMMYFUNCTION("""COMPUTED_VALUE"""),"MBC ซอยอุตสาหกรรม สุรนารี")</f>
        <v>MBC ซอยอุตสาหกรรม สุรนารี</v>
      </c>
      <c r="D760" s="3" t="str">
        <f>IFERROR(__xludf.DUMMYFUNCTION("""COMPUTED_VALUE"""),"BCM SURANAREE INDUSTRIAL ALLEY")</f>
        <v>BCM SURANAREE INDUSTRIAL ALLEY</v>
      </c>
      <c r="E760" s="1" t="str">
        <f>IFERROR(__xludf.DUMMYFUNCTION("""COMPUTED_VALUE"""),"บิ๊กซี MINI")</f>
        <v>บิ๊กซี MINI</v>
      </c>
      <c r="F760" s="1" t="str">
        <f>IFERROR(__xludf.DUMMYFUNCTION("""COMPUTED_VALUE"""),"291105")</f>
        <v>291105</v>
      </c>
      <c r="G760" s="1" t="str">
        <f>IFERROR(__xludf.DUMMYFUNCTION("""COMPUTED_VALUE"""),"นายสราวุฒิ พณิชยกุล")</f>
        <v>นายสราวุฒิ พณิชยกุล</v>
      </c>
      <c r="H760" s="1" t="str">
        <f>IFERROR(__xludf.DUMMYFUNCTION("""COMPUTED_VALUE"""),"281315")</f>
        <v>281315</v>
      </c>
      <c r="I760" s="1" t="str">
        <f>IFERROR(__xludf.DUMMYFUNCTION("""COMPUTED_VALUE"""),"นายกิตติพงษ์ มั่นคง")</f>
        <v>นายกิตติพงษ์ มั่นคง</v>
      </c>
      <c r="J760" s="3">
        <f>IFERROR(__xludf.DUMMYFUNCTION("""COMPUTED_VALUE"""),295886.0)</f>
        <v>295886</v>
      </c>
      <c r="K760" s="3" t="str">
        <f>IFERROR(__xludf.DUMMYFUNCTION("""COMPUTED_VALUE"""),"นายจิระพงษ์ โพธิ์นิล")</f>
        <v>นายจิระพงษ์ โพธิ์นิล</v>
      </c>
      <c r="L760" s="1" t="str">
        <f>IFERROR(__xludf.DUMMYFUNCTION("""COMPUTED_VALUE"""),"นายจิระพงษ์ โพธิ์นิล")</f>
        <v>นายจิระพงษ์ โพธิ์นิล</v>
      </c>
      <c r="M760" s="1" t="str">
        <f>IFERROR(__xludf.DUMMYFUNCTION("""COMPUTED_VALUE"""),"0933290754")</f>
        <v>0933290754</v>
      </c>
      <c r="N760" s="3">
        <f>IFERROR(__xludf.DUMMYFUNCTION("""COMPUTED_VALUE"""),21622.0)</f>
        <v>21622</v>
      </c>
      <c r="O760" s="3" t="str">
        <f>IFERROR(__xludf.DUMMYFUNCTION("""COMPUTED_VALUE"""),"MBC ตลาดบ้านดอน")</f>
        <v>MBC ตลาดบ้านดอน</v>
      </c>
      <c r="P760" s="4">
        <f>IFERROR(__xludf.DUMMYFUNCTION("""COMPUTED_VALUE"""),43033.0)</f>
        <v>43033</v>
      </c>
      <c r="Q760" s="3" t="str">
        <f>IFERROR(__xludf.DUMMYFUNCTION("""COMPUTED_VALUE"""),"I")</f>
        <v>I</v>
      </c>
      <c r="R760" s="3" t="str">
        <f>IFERROR(__xludf.DUMMYFUNCTION("""COMPUTED_VALUE"""),"Small Format")</f>
        <v>Small Format</v>
      </c>
      <c r="S760" s="3" t="str">
        <f>IFERROR(__xludf.DUMMYFUNCTION("""COMPUTED_VALUE"""),"BCM")</f>
        <v>BCM</v>
      </c>
      <c r="T760" s="3" t="str">
        <f>IFERROR(__xludf.DUMMYFUNCTION("""COMPUTED_VALUE"""),"#N/A")</f>
        <v>#N/A</v>
      </c>
      <c r="U760" s="3" t="str">
        <f>IFERROR(__xludf.DUMMYFUNCTION("""COMPUTED_VALUE"""),"#N/A")</f>
        <v>#N/A</v>
      </c>
      <c r="V760" s="3" t="str">
        <f>IFERROR(__xludf.DUMMYFUNCTION("""COMPUTED_VALUE"""),"N")</f>
        <v>N</v>
      </c>
      <c r="W760" s="3">
        <f>IFERROR(__xludf.DUMMYFUNCTION("""COMPUTED_VALUE"""),211489.0)</f>
        <v>211489</v>
      </c>
      <c r="X760" s="3" t="str">
        <f>IFERROR(__xludf.DUMMYFUNCTION("""COMPUTED_VALUE"""),"145,146 หมู่3 ตำบลบัวศาลา อำเภอเมืองนครราชสีมา จังหวัดนครราชสีมา 30000")</f>
        <v>145,146 หมู่3 ตำบลบัวศาลา อำเภอเมืองนครราชสีมา จังหวัดนครราชสีมา 30000</v>
      </c>
      <c r="Y760" s="3"/>
      <c r="Z760" s="3" t="str">
        <f>IFERROR(__xludf.DUMMYFUNCTION("""COMPUTED_VALUE"""),"บัวศาลา")</f>
        <v>บัวศาลา</v>
      </c>
      <c r="AA760" s="3" t="str">
        <f>IFERROR(__xludf.DUMMYFUNCTION("""COMPUTED_VALUE"""),"เมือง")</f>
        <v>เมือง</v>
      </c>
      <c r="AB760" s="3" t="str">
        <f>IFERROR(__xludf.DUMMYFUNCTION("""COMPUTED_VALUE"""),"นครราชสีมา")</f>
        <v>นครราชสีมา</v>
      </c>
      <c r="AC760" s="3">
        <f>IFERROR(__xludf.DUMMYFUNCTION("""COMPUTED_VALUE"""),30000.0)</f>
        <v>30000</v>
      </c>
      <c r="AD760" s="3">
        <f>IFERROR(__xludf.DUMMYFUNCTION("""COMPUTED_VALUE"""),14.918397)</f>
        <v>14.918397</v>
      </c>
      <c r="AE760" s="3">
        <f>IFERROR(__xludf.DUMMYFUNCTION("""COMPUTED_VALUE"""),102.158679)</f>
        <v>102.158679</v>
      </c>
      <c r="AF760" s="3" t="str">
        <f>IFERROR(__xludf.DUMMYFUNCTION("""COMPUTED_VALUE"""),"MBC ซอยอุตสาหกรรม สุรนารี-21528")</f>
        <v>MBC ซอยอุตสาหกรรม สุรนารี-21528</v>
      </c>
      <c r="AG760" s="3" t="str">
        <f>IFERROR(__xludf.DUMMYFUNCTION("""COMPUTED_VALUE"""),"ตะวันออกเฉียงเหนือ")</f>
        <v>ตะวันออกเฉียงเหนือ</v>
      </c>
      <c r="AH760" s="3" t="str">
        <f>IFERROR(__xludf.DUMMYFUNCTION("""COMPUTED_VALUE"""),"#N/A")</f>
        <v>#N/A</v>
      </c>
      <c r="AI760" s="3" t="str">
        <f>IFERROR(__xludf.DUMMYFUNCTION("""COMPUTED_VALUE"""),"Out of warranty")</f>
        <v>Out of warranty</v>
      </c>
      <c r="AJ760" s="3">
        <f>IFERROR(__xludf.DUMMYFUNCTION("""COMPUTED_VALUE"""),99.0)</f>
        <v>99</v>
      </c>
      <c r="AK760" s="3" t="str">
        <f>IFERROR(__xludf.DUMMYFUNCTION("""COMPUTED_VALUE"""),"MMS11")</f>
        <v>MMS11</v>
      </c>
      <c r="AL760" s="3"/>
    </row>
    <row r="761" ht="15.75" customHeight="1">
      <c r="A761" s="1" t="str">
        <f>IFERROR(__xludf.DUMMYFUNCTION("""COMPUTED_VALUE"""),"21529")</f>
        <v>21529</v>
      </c>
      <c r="B761" s="2">
        <f>IFERROR(__xludf.DUMMYFUNCTION("""COMPUTED_VALUE"""),21529.0)</f>
        <v>21529</v>
      </c>
      <c r="C761" s="3" t="str">
        <f>IFERROR(__xludf.DUMMYFUNCTION("""COMPUTED_VALUE"""),"MBC เคหะเอื้ออาทร ศิลา")</f>
        <v>MBC เคหะเอื้ออาทร ศิลา</v>
      </c>
      <c r="D761" s="3" t="str">
        <f>IFERROR(__xludf.DUMMYFUNCTION("""COMPUTED_VALUE"""),"BCM KEHA UEA AR THON SILA")</f>
        <v>BCM KEHA UEA AR THON SILA</v>
      </c>
      <c r="E761" s="1" t="str">
        <f>IFERROR(__xludf.DUMMYFUNCTION("""COMPUTED_VALUE"""),"บิ๊กซี MINI")</f>
        <v>บิ๊กซี MINI</v>
      </c>
      <c r="F761" s="1" t="str">
        <f>IFERROR(__xludf.DUMMYFUNCTION("""COMPUTED_VALUE"""),"291105")</f>
        <v>291105</v>
      </c>
      <c r="G761" s="1" t="str">
        <f>IFERROR(__xludf.DUMMYFUNCTION("""COMPUTED_VALUE"""),"นายสราวุฒิ พณิชยกุล")</f>
        <v>นายสราวุฒิ พณิชยกุล</v>
      </c>
      <c r="H761" s="1" t="str">
        <f>IFERROR(__xludf.DUMMYFUNCTION("""COMPUTED_VALUE"""),"305119")</f>
        <v>305119</v>
      </c>
      <c r="I761" s="1" t="str">
        <f>IFERROR(__xludf.DUMMYFUNCTION("""COMPUTED_VALUE"""),"นายไชยกร ลีพิบูลย์สวัสดิ์")</f>
        <v>นายไชยกร ลีพิบูลย์สวัสดิ์</v>
      </c>
      <c r="J761" s="3">
        <f>IFERROR(__xludf.DUMMYFUNCTION("""COMPUTED_VALUE"""),296868.0)</f>
        <v>296868</v>
      </c>
      <c r="K761" s="3" t="str">
        <f>IFERROR(__xludf.DUMMYFUNCTION("""COMPUTED_VALUE"""),"นายพีระพงษ์ แก้วดวงดี")</f>
        <v>นายพีระพงษ์ แก้วดวงดี</v>
      </c>
      <c r="L761" s="1" t="str">
        <f>IFERROR(__xludf.DUMMYFUNCTION("""COMPUTED_VALUE"""),"03 K.Peerapong K.")</f>
        <v>03 K.Peerapong K.</v>
      </c>
      <c r="M761" s="1" t="str">
        <f>IFERROR(__xludf.DUMMYFUNCTION("""COMPUTED_VALUE"""),"089-002-6599")</f>
        <v>089-002-6599</v>
      </c>
      <c r="N761" s="3">
        <f>IFERROR(__xludf.DUMMYFUNCTION("""COMPUTED_VALUE"""),21946.0)</f>
        <v>21946</v>
      </c>
      <c r="O761" s="3" t="str">
        <f>IFERROR(__xludf.DUMMYFUNCTION("""COMPUTED_VALUE"""),"MBC เซกา บึงกาฬ")</f>
        <v>MBC เซกา บึงกาฬ</v>
      </c>
      <c r="P761" s="4">
        <f>IFERROR(__xludf.DUMMYFUNCTION("""COMPUTED_VALUE"""),43036.0)</f>
        <v>43036</v>
      </c>
      <c r="Q761" s="3" t="str">
        <f>IFERROR(__xludf.DUMMYFUNCTION("""COMPUTED_VALUE"""),"A")</f>
        <v>A</v>
      </c>
      <c r="R761" s="3" t="str">
        <f>IFERROR(__xludf.DUMMYFUNCTION("""COMPUTED_VALUE"""),"Small Format")</f>
        <v>Small Format</v>
      </c>
      <c r="S761" s="3" t="str">
        <f>IFERROR(__xludf.DUMMYFUNCTION("""COMPUTED_VALUE"""),"BCM")</f>
        <v>BCM</v>
      </c>
      <c r="T761" s="3" t="str">
        <f>IFERROR(__xludf.DUMMYFUNCTION("""COMPUTED_VALUE"""),"#N/A")</f>
        <v>#N/A</v>
      </c>
      <c r="U761" s="3" t="str">
        <f>IFERROR(__xludf.DUMMYFUNCTION("""COMPUTED_VALUE"""),"#N/A")</f>
        <v>#N/A</v>
      </c>
      <c r="V761" s="3" t="str">
        <f>IFERROR(__xludf.DUMMYFUNCTION("""COMPUTED_VALUE"""),"N")</f>
        <v>N</v>
      </c>
      <c r="W761" s="3">
        <f>IFERROR(__xludf.DUMMYFUNCTION("""COMPUTED_VALUE"""),211500.0)</f>
        <v>211500</v>
      </c>
      <c r="X761" s="3" t="str">
        <f>IFERROR(__xludf.DUMMYFUNCTION("""COMPUTED_VALUE"""),"192/10-12 หมู่26 ตำบลศิลา อำเภอเมืองขอนแก่น จังหวัดขอนแก่น 40000")</f>
        <v>192/10-12 หมู่26 ตำบลศิลา อำเภอเมืองขอนแก่น จังหวัดขอนแก่น 40000</v>
      </c>
      <c r="Y761" s="3"/>
      <c r="Z761" s="3" t="str">
        <f>IFERROR(__xludf.DUMMYFUNCTION("""COMPUTED_VALUE"""),"ศิลา")</f>
        <v>ศิลา</v>
      </c>
      <c r="AA761" s="3" t="str">
        <f>IFERROR(__xludf.DUMMYFUNCTION("""COMPUTED_VALUE"""),"เมือง")</f>
        <v>เมือง</v>
      </c>
      <c r="AB761" s="3" t="str">
        <f>IFERROR(__xludf.DUMMYFUNCTION("""COMPUTED_VALUE"""),"ขอนแก่น")</f>
        <v>ขอนแก่น</v>
      </c>
      <c r="AC761" s="3">
        <f>IFERROR(__xludf.DUMMYFUNCTION("""COMPUTED_VALUE"""),40000.0)</f>
        <v>40000</v>
      </c>
      <c r="AD761" s="3">
        <f>IFERROR(__xludf.DUMMYFUNCTION("""COMPUTED_VALUE"""),16.47538249)</f>
        <v>16.47538249</v>
      </c>
      <c r="AE761" s="3">
        <f>IFERROR(__xludf.DUMMYFUNCTION("""COMPUTED_VALUE"""),102.853352)</f>
        <v>102.853352</v>
      </c>
      <c r="AF761" s="3" t="str">
        <f>IFERROR(__xludf.DUMMYFUNCTION("""COMPUTED_VALUE"""),"MBC เคหะเอื้ออาทร ศิลา-21529")</f>
        <v>MBC เคหะเอื้ออาทร ศิลา-21529</v>
      </c>
      <c r="AG761" s="3" t="str">
        <f>IFERROR(__xludf.DUMMYFUNCTION("""COMPUTED_VALUE"""),"ตะวันออกเฉียงเหนือ")</f>
        <v>ตะวันออกเฉียงเหนือ</v>
      </c>
      <c r="AH761" s="3" t="str">
        <f>IFERROR(__xludf.DUMMYFUNCTION("""COMPUTED_VALUE"""),"#N/A")</f>
        <v>#N/A</v>
      </c>
      <c r="AI761" s="3" t="str">
        <f>IFERROR(__xludf.DUMMYFUNCTION("""COMPUTED_VALUE"""),"Out of warranty")</f>
        <v>Out of warranty</v>
      </c>
      <c r="AJ761" s="3">
        <f>IFERROR(__xludf.DUMMYFUNCTION("""COMPUTED_VALUE"""),99.0)</f>
        <v>99</v>
      </c>
      <c r="AK761" s="3" t="str">
        <f>IFERROR(__xludf.DUMMYFUNCTION("""COMPUTED_VALUE"""),"MMS12")</f>
        <v>MMS12</v>
      </c>
      <c r="AL761" s="3"/>
    </row>
    <row r="762" ht="15.75" customHeight="1">
      <c r="A762" s="1" t="str">
        <f>IFERROR(__xludf.DUMMYFUNCTION("""COMPUTED_VALUE"""),"21530")</f>
        <v>21530</v>
      </c>
      <c r="B762" s="2">
        <f>IFERROR(__xludf.DUMMYFUNCTION("""COMPUTED_VALUE"""),21530.0)</f>
        <v>21530</v>
      </c>
      <c r="C762" s="3" t="str">
        <f>IFERROR(__xludf.DUMMYFUNCTION("""COMPUTED_VALUE"""),"MBC บ้านใหม่")</f>
        <v>MBC บ้านใหม่</v>
      </c>
      <c r="D762" s="3" t="str">
        <f>IFERROR(__xludf.DUMMYFUNCTION("""COMPUTED_VALUE"""),"BCM BAN MAI")</f>
        <v>BCM BAN MAI</v>
      </c>
      <c r="E762" s="1" t="str">
        <f>IFERROR(__xludf.DUMMYFUNCTION("""COMPUTED_VALUE"""),"บิ๊กซี MINI")</f>
        <v>บิ๊กซี MINI</v>
      </c>
      <c r="F762" s="1" t="str">
        <f>IFERROR(__xludf.DUMMYFUNCTION("""COMPUTED_VALUE"""),"2083447")</f>
        <v>2083447</v>
      </c>
      <c r="G762" s="1" t="str">
        <f>IFERROR(__xludf.DUMMYFUNCTION("""COMPUTED_VALUE"""),"นายอนุกูล ศรีลัดดา")</f>
        <v>นายอนุกูล ศรีลัดดา</v>
      </c>
      <c r="H762" s="1" t="str">
        <f>IFERROR(__xludf.DUMMYFUNCTION("""COMPUTED_VALUE"""),"254957")</f>
        <v>254957</v>
      </c>
      <c r="I762" s="1" t="str">
        <f>IFERROR(__xludf.DUMMYFUNCTION("""COMPUTED_VALUE"""),"น.ส.ศิริพร รุ่งธัญญา")</f>
        <v>น.ส.ศิริพร รุ่งธัญญา</v>
      </c>
      <c r="J762" s="3">
        <f>IFERROR(__xludf.DUMMYFUNCTION("""COMPUTED_VALUE"""),2451655.0)</f>
        <v>2451655</v>
      </c>
      <c r="K762" s="3" t="str">
        <f>IFERROR(__xludf.DUMMYFUNCTION("""COMPUTED_VALUE"""),"นายวิษณุพงษ์ ชินบุตร")</f>
        <v>นายวิษณุพงษ์ ชินบุตร</v>
      </c>
      <c r="L762" s="1" t="str">
        <f>IFERROR(__xludf.DUMMYFUNCTION("""COMPUTED_VALUE"""),"13 K.Wisanupong Ch")</f>
        <v>13 K.Wisanupong Ch</v>
      </c>
      <c r="M762" s="1" t="str">
        <f>IFERROR(__xludf.DUMMYFUNCTION("""COMPUTED_VALUE"""),"0843374693")</f>
        <v>0843374693</v>
      </c>
      <c r="N762" s="3">
        <f>IFERROR(__xludf.DUMMYFUNCTION("""COMPUTED_VALUE"""),21494.0)</f>
        <v>21494</v>
      </c>
      <c r="O762" s="3" t="str">
        <f>IFERROR(__xludf.DUMMYFUNCTION("""COMPUTED_VALUE"""),"MBC บ้านกรด")</f>
        <v>MBC บ้านกรด</v>
      </c>
      <c r="P762" s="4">
        <f>IFERROR(__xludf.DUMMYFUNCTION("""COMPUTED_VALUE"""),43036.0)</f>
        <v>43036</v>
      </c>
      <c r="Q762" s="3" t="str">
        <f>IFERROR(__xludf.DUMMYFUNCTION("""COMPUTED_VALUE"""),"I")</f>
        <v>I</v>
      </c>
      <c r="R762" s="3" t="str">
        <f>IFERROR(__xludf.DUMMYFUNCTION("""COMPUTED_VALUE"""),"Small Format")</f>
        <v>Small Format</v>
      </c>
      <c r="S762" s="3" t="str">
        <f>IFERROR(__xludf.DUMMYFUNCTION("""COMPUTED_VALUE"""),"BCM")</f>
        <v>BCM</v>
      </c>
      <c r="T762" s="3" t="str">
        <f>IFERROR(__xludf.DUMMYFUNCTION("""COMPUTED_VALUE"""),"#N/A")</f>
        <v>#N/A</v>
      </c>
      <c r="U762" s="3" t="str">
        <f>IFERROR(__xludf.DUMMYFUNCTION("""COMPUTED_VALUE"""),"#N/A")</f>
        <v>#N/A</v>
      </c>
      <c r="V762" s="3" t="str">
        <f>IFERROR(__xludf.DUMMYFUNCTION("""COMPUTED_VALUE"""),"N")</f>
        <v>N</v>
      </c>
      <c r="W762" s="3">
        <f>IFERROR(__xludf.DUMMYFUNCTION("""COMPUTED_VALUE"""),211372.0)</f>
        <v>211372</v>
      </c>
      <c r="X762" s="3" t="str">
        <f>IFERROR(__xludf.DUMMYFUNCTION("""COMPUTED_VALUE"""),"112/8-10 ถนนฉะเชิงเทรา-บางน้ำเปรี้ยว ตำบลหน้าเมือง อำเภอเมืองฉะเชิงเทรา จังหวัดฉะเชิงเทรา 24000")</f>
        <v>112/8-10 ถนนฉะเชิงเทรา-บางน้ำเปรี้ยว ตำบลหน้าเมือง อำเภอเมืองฉะเชิงเทรา จังหวัดฉะเชิงเทรา 24000</v>
      </c>
      <c r="Y762" s="3" t="str">
        <f>IFERROR(__xludf.DUMMYFUNCTION("""COMPUTED_VALUE"""),"ถนนฉะเชิงเทรา-บางน้ำเปรี้ยว")</f>
        <v>ถนนฉะเชิงเทรา-บางน้ำเปรี้ยว</v>
      </c>
      <c r="Z762" s="3" t="str">
        <f>IFERROR(__xludf.DUMMYFUNCTION("""COMPUTED_VALUE"""),"หน้าเมือง")</f>
        <v>หน้าเมือง</v>
      </c>
      <c r="AA762" s="3" t="str">
        <f>IFERROR(__xludf.DUMMYFUNCTION("""COMPUTED_VALUE"""),"เมือง")</f>
        <v>เมือง</v>
      </c>
      <c r="AB762" s="3" t="str">
        <f>IFERROR(__xludf.DUMMYFUNCTION("""COMPUTED_VALUE"""),"ฉะเชิงเทรา")</f>
        <v>ฉะเชิงเทรา</v>
      </c>
      <c r="AC762" s="3">
        <f>IFERROR(__xludf.DUMMYFUNCTION("""COMPUTED_VALUE"""),24000.0)</f>
        <v>24000</v>
      </c>
      <c r="AD762" s="3">
        <f>IFERROR(__xludf.DUMMYFUNCTION("""COMPUTED_VALUE"""),13.706889)</f>
        <v>13.706889</v>
      </c>
      <c r="AE762" s="3">
        <f>IFERROR(__xludf.DUMMYFUNCTION("""COMPUTED_VALUE"""),101.091625)</f>
        <v>101.091625</v>
      </c>
      <c r="AF762" s="3" t="str">
        <f>IFERROR(__xludf.DUMMYFUNCTION("""COMPUTED_VALUE"""),"MBC บ้านใหม่-21530")</f>
        <v>MBC บ้านใหม่-21530</v>
      </c>
      <c r="AG762" s="3" t="str">
        <f>IFERROR(__xludf.DUMMYFUNCTION("""COMPUTED_VALUE"""),"ตะวันออก")</f>
        <v>ตะวันออก</v>
      </c>
      <c r="AH762" s="3" t="str">
        <f>IFERROR(__xludf.DUMMYFUNCTION("""COMPUTED_VALUE"""),"#N/A")</f>
        <v>#N/A</v>
      </c>
      <c r="AI762" s="3" t="str">
        <f>IFERROR(__xludf.DUMMYFUNCTION("""COMPUTED_VALUE"""),"Out of warranty")</f>
        <v>Out of warranty</v>
      </c>
      <c r="AJ762" s="3">
        <f>IFERROR(__xludf.DUMMYFUNCTION("""COMPUTED_VALUE"""),99.0)</f>
        <v>99</v>
      </c>
      <c r="AK762" s="3" t="str">
        <f>IFERROR(__xludf.DUMMYFUNCTION("""COMPUTED_VALUE"""),"MMS07")</f>
        <v>MMS07</v>
      </c>
      <c r="AL762" s="3"/>
    </row>
    <row r="763" ht="15.75" customHeight="1">
      <c r="A763" s="1" t="str">
        <f>IFERROR(__xludf.DUMMYFUNCTION("""COMPUTED_VALUE"""),"21531")</f>
        <v>21531</v>
      </c>
      <c r="B763" s="2">
        <f>IFERROR(__xludf.DUMMYFUNCTION("""COMPUTED_VALUE"""),21531.0)</f>
        <v>21531</v>
      </c>
      <c r="C763" s="3" t="str">
        <f>IFERROR(__xludf.DUMMYFUNCTION("""COMPUTED_VALUE"""),"MBC ถนนบันเทิง")</f>
        <v>MBC ถนนบันเทิง</v>
      </c>
      <c r="D763" s="3" t="str">
        <f>IFERROR(__xludf.DUMMYFUNCTION("""COMPUTED_VALUE"""),"BCM THANON BANTHERNG")</f>
        <v>BCM THANON BANTHERNG</v>
      </c>
      <c r="E763" s="1" t="str">
        <f>IFERROR(__xludf.DUMMYFUNCTION("""COMPUTED_VALUE"""),"บิ๊กซี MINI")</f>
        <v>บิ๊กซี MINI</v>
      </c>
      <c r="F763" s="1" t="str">
        <f>IFERROR(__xludf.DUMMYFUNCTION("""COMPUTED_VALUE"""),"296229")</f>
        <v>296229</v>
      </c>
      <c r="G763" s="1" t="str">
        <f>IFERROR(__xludf.DUMMYFUNCTION("""COMPUTED_VALUE"""),"นายทนงศักดิ์ บุญมา")</f>
        <v>นายทนงศักดิ์ บุญมา</v>
      </c>
      <c r="H763" s="1" t="str">
        <f>IFERROR(__xludf.DUMMYFUNCTION("""COMPUTED_VALUE"""),"318233")</f>
        <v>318233</v>
      </c>
      <c r="I763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763" s="3">
        <f>IFERROR(__xludf.DUMMYFUNCTION("""COMPUTED_VALUE"""),46214.0)</f>
        <v>46214</v>
      </c>
      <c r="K763" s="3" t="str">
        <f>IFERROR(__xludf.DUMMYFUNCTION("""COMPUTED_VALUE"""),"นายศักดิ์ชัย เด็ดดอกฟ้า")</f>
        <v>นายศักดิ์ชัย เด็ดดอกฟ้า</v>
      </c>
      <c r="L763" s="1" t="str">
        <f>IFERROR(__xludf.DUMMYFUNCTION("""COMPUTED_VALUE"""),"02 K.Sakchai D")</f>
        <v>02 K.Sakchai D</v>
      </c>
      <c r="M763" s="1" t="str">
        <f>IFERROR(__xludf.DUMMYFUNCTION("""COMPUTED_VALUE"""),"065-510-7376")</f>
        <v>065-510-7376</v>
      </c>
      <c r="N763" s="3">
        <f>IFERROR(__xludf.DUMMYFUNCTION("""COMPUTED_VALUE"""),21714.0)</f>
        <v>21714</v>
      </c>
      <c r="O763" s="3" t="str">
        <f>IFERROR(__xludf.DUMMYFUNCTION("""COMPUTED_VALUE"""),"MBC เอสโซ่ วัดโบสถ์")</f>
        <v>MBC เอสโซ่ วัดโบสถ์</v>
      </c>
      <c r="P763" s="4">
        <f>IFERROR(__xludf.DUMMYFUNCTION("""COMPUTED_VALUE"""),43036.0)</f>
        <v>43036</v>
      </c>
      <c r="Q763" s="3" t="str">
        <f>IFERROR(__xludf.DUMMYFUNCTION("""COMPUTED_VALUE"""),"I")</f>
        <v>I</v>
      </c>
      <c r="R763" s="3" t="str">
        <f>IFERROR(__xludf.DUMMYFUNCTION("""COMPUTED_VALUE"""),"Small Format")</f>
        <v>Small Format</v>
      </c>
      <c r="S763" s="3" t="str">
        <f>IFERROR(__xludf.DUMMYFUNCTION("""COMPUTED_VALUE"""),"BCM")</f>
        <v>BCM</v>
      </c>
      <c r="T763" s="3" t="str">
        <f>IFERROR(__xludf.DUMMYFUNCTION("""COMPUTED_VALUE"""),"#N/A")</f>
        <v>#N/A</v>
      </c>
      <c r="U763" s="3" t="str">
        <f>IFERROR(__xludf.DUMMYFUNCTION("""COMPUTED_VALUE"""),"#N/A")</f>
        <v>#N/A</v>
      </c>
      <c r="V763" s="3" t="str">
        <f>IFERROR(__xludf.DUMMYFUNCTION("""COMPUTED_VALUE"""),"N")</f>
        <v>N</v>
      </c>
      <c r="W763" s="3">
        <f>IFERROR(__xludf.DUMMYFUNCTION("""COMPUTED_VALUE"""),211468.0)</f>
        <v>211468</v>
      </c>
      <c r="X763" s="3" t="str">
        <f>IFERROR(__xludf.DUMMYFUNCTION("""COMPUTED_VALUE"""),"237/105 ถนนพหลโยธิน ตำบลปากเพรียว อำเภอเมืองสระบุรี จังหวัดสระบุรี 18000")</f>
        <v>237/105 ถนนพหลโยธิน ตำบลปากเพรียว อำเภอเมืองสระบุรี จังหวัดสระบุรี 18000</v>
      </c>
      <c r="Y763" s="3" t="str">
        <f>IFERROR(__xludf.DUMMYFUNCTION("""COMPUTED_VALUE"""),"ถนนพหลโยธิน")</f>
        <v>ถนนพหลโยธิน</v>
      </c>
      <c r="Z763" s="3" t="str">
        <f>IFERROR(__xludf.DUMMYFUNCTION("""COMPUTED_VALUE"""),"ปากเพรียว")</f>
        <v>ปากเพรียว</v>
      </c>
      <c r="AA763" s="3" t="str">
        <f>IFERROR(__xludf.DUMMYFUNCTION("""COMPUTED_VALUE"""),"เมือง")</f>
        <v>เมือง</v>
      </c>
      <c r="AB763" s="3" t="str">
        <f>IFERROR(__xludf.DUMMYFUNCTION("""COMPUTED_VALUE"""),"สระบุรี")</f>
        <v>สระบุรี</v>
      </c>
      <c r="AC763" s="3">
        <f>IFERROR(__xludf.DUMMYFUNCTION("""COMPUTED_VALUE"""),18000.0)</f>
        <v>18000</v>
      </c>
      <c r="AD763" s="3">
        <f>IFERROR(__xludf.DUMMYFUNCTION("""COMPUTED_VALUE"""),14.51761)</f>
        <v>14.51761</v>
      </c>
      <c r="AE763" s="3">
        <f>IFERROR(__xludf.DUMMYFUNCTION("""COMPUTED_VALUE"""),100.907581)</f>
        <v>100.907581</v>
      </c>
      <c r="AF763" s="3" t="str">
        <f>IFERROR(__xludf.DUMMYFUNCTION("""COMPUTED_VALUE"""),"MBC ถนนบันเทิง-21531")</f>
        <v>MBC ถนนบันเทิง-21531</v>
      </c>
      <c r="AG763" s="3" t="str">
        <f>IFERROR(__xludf.DUMMYFUNCTION("""COMPUTED_VALUE"""),"กลาง")</f>
        <v>กลาง</v>
      </c>
      <c r="AH763" s="3" t="str">
        <f>IFERROR(__xludf.DUMMYFUNCTION("""COMPUTED_VALUE"""),"#N/A")</f>
        <v>#N/A</v>
      </c>
      <c r="AI763" s="3" t="str">
        <f>IFERROR(__xludf.DUMMYFUNCTION("""COMPUTED_VALUE"""),"Out of warranty")</f>
        <v>Out of warranty</v>
      </c>
      <c r="AJ763" s="3">
        <f>IFERROR(__xludf.DUMMYFUNCTION("""COMPUTED_VALUE"""),99.0)</f>
        <v>99</v>
      </c>
      <c r="AK763" s="3" t="str">
        <f>IFERROR(__xludf.DUMMYFUNCTION("""COMPUTED_VALUE"""),"MMS09")</f>
        <v>MMS09</v>
      </c>
      <c r="AL763" s="3"/>
    </row>
    <row r="764" ht="15.75" customHeight="1">
      <c r="A764" s="1" t="str">
        <f>IFERROR(__xludf.DUMMYFUNCTION("""COMPUTED_VALUE"""),"21532")</f>
        <v>21532</v>
      </c>
      <c r="B764" s="2">
        <f>IFERROR(__xludf.DUMMYFUNCTION("""COMPUTED_VALUE"""),21532.0)</f>
        <v>21532</v>
      </c>
      <c r="C764" s="3" t="str">
        <f>IFERROR(__xludf.DUMMYFUNCTION("""COMPUTED_VALUE"""),"MBC หมู่บ้านไม้หอม")</f>
        <v>MBC หมู่บ้านไม้หอม</v>
      </c>
      <c r="D764" s="3" t="str">
        <f>IFERROR(__xludf.DUMMYFUNCTION("""COMPUTED_VALUE"""),"BCM MAIHOM VILLA")</f>
        <v>BCM MAIHOM VILLA</v>
      </c>
      <c r="E764" s="1" t="str">
        <f>IFERROR(__xludf.DUMMYFUNCTION("""COMPUTED_VALUE"""),"บิ๊กซี MINI")</f>
        <v>บิ๊กซี MINI</v>
      </c>
      <c r="F764" s="1" t="str">
        <f>IFERROR(__xludf.DUMMYFUNCTION("""COMPUTED_VALUE"""),"296229")</f>
        <v>296229</v>
      </c>
      <c r="G764" s="1" t="str">
        <f>IFERROR(__xludf.DUMMYFUNCTION("""COMPUTED_VALUE"""),"นายทนงศักดิ์ บุญมา")</f>
        <v>นายทนงศักดิ์ บุญมา</v>
      </c>
      <c r="H764" s="1" t="str">
        <f>IFERROR(__xludf.DUMMYFUNCTION("""COMPUTED_VALUE"""),"318186")</f>
        <v>318186</v>
      </c>
      <c r="I764" s="1" t="str">
        <f>IFERROR(__xludf.DUMMYFUNCTION("""COMPUTED_VALUE"""),"น.ส.พนมวัลย์ เรืองรัตน์")</f>
        <v>น.ส.พนมวัลย์ เรืองรัตน์</v>
      </c>
      <c r="J764" s="3">
        <f>IFERROR(__xludf.DUMMYFUNCTION("""COMPUTED_VALUE"""),46214.0)</f>
        <v>46214</v>
      </c>
      <c r="K764" s="3" t="str">
        <f>IFERROR(__xludf.DUMMYFUNCTION("""COMPUTED_VALUE"""),"นายศักดิ์ชัย เด็ดดอกฟ้า")</f>
        <v>นายศักดิ์ชัย เด็ดดอกฟ้า</v>
      </c>
      <c r="L764" s="3" t="str">
        <f>IFERROR(__xludf.DUMMYFUNCTION("""COMPUTED_VALUE"""),"02 K.Sakchai D")</f>
        <v>02 K.Sakchai D</v>
      </c>
      <c r="M764" s="1" t="str">
        <f>IFERROR(__xludf.DUMMYFUNCTION("""COMPUTED_VALUE"""),"065-510-7376")</f>
        <v>065-510-7376</v>
      </c>
      <c r="N764" s="3">
        <f>IFERROR(__xludf.DUMMYFUNCTION("""COMPUTED_VALUE"""),21714.0)</f>
        <v>21714</v>
      </c>
      <c r="O764" s="3" t="str">
        <f>IFERROR(__xludf.DUMMYFUNCTION("""COMPUTED_VALUE"""),"MBC เอสโซ่ วัดโบสถ์")</f>
        <v>MBC เอสโซ่ วัดโบสถ์</v>
      </c>
      <c r="P764" s="4">
        <f>IFERROR(__xludf.DUMMYFUNCTION("""COMPUTED_VALUE"""),43036.0)</f>
        <v>43036</v>
      </c>
      <c r="Q764" s="3" t="str">
        <f>IFERROR(__xludf.DUMMYFUNCTION("""COMPUTED_VALUE"""),"A")</f>
        <v>A</v>
      </c>
      <c r="R764" s="3" t="str">
        <f>IFERROR(__xludf.DUMMYFUNCTION("""COMPUTED_VALUE"""),"Small Format")</f>
        <v>Small Format</v>
      </c>
      <c r="S764" s="3" t="str">
        <f>IFERROR(__xludf.DUMMYFUNCTION("""COMPUTED_VALUE"""),"BCM")</f>
        <v>BCM</v>
      </c>
      <c r="T764" s="3" t="str">
        <f>IFERROR(__xludf.DUMMYFUNCTION("""COMPUTED_VALUE"""),"#N/A")</f>
        <v>#N/A</v>
      </c>
      <c r="U764" s="3" t="str">
        <f>IFERROR(__xludf.DUMMYFUNCTION("""COMPUTED_VALUE"""),"#N/A")</f>
        <v>#N/A</v>
      </c>
      <c r="V764" s="3" t="str">
        <f>IFERROR(__xludf.DUMMYFUNCTION("""COMPUTED_VALUE"""),"N")</f>
        <v>N</v>
      </c>
      <c r="W764" s="3">
        <f>IFERROR(__xludf.DUMMYFUNCTION("""COMPUTED_VALUE"""),211498.0)</f>
        <v>211498</v>
      </c>
      <c r="X764" s="3" t="str">
        <f>IFERROR(__xludf.DUMMYFUNCTION("""COMPUTED_VALUE"""),"112/26 หมู่10 ตำบลวัดไทร อำเภอเมืองนครสวรรค์ จังหวัดนครสวรรค์ 60000")</f>
        <v>112/26 หมู่10 ตำบลวัดไทร อำเภอเมืองนครสวรรค์ จังหวัดนครสวรรค์ 60000</v>
      </c>
      <c r="Y764" s="3"/>
      <c r="Z764" s="3" t="str">
        <f>IFERROR(__xludf.DUMMYFUNCTION("""COMPUTED_VALUE"""),"วัดไทร")</f>
        <v>วัดไทร</v>
      </c>
      <c r="AA764" s="3" t="str">
        <f>IFERROR(__xludf.DUMMYFUNCTION("""COMPUTED_VALUE"""),"เมือง")</f>
        <v>เมือง</v>
      </c>
      <c r="AB764" s="3" t="str">
        <f>IFERROR(__xludf.DUMMYFUNCTION("""COMPUTED_VALUE"""),"นครสวรรค์")</f>
        <v>นครสวรรค์</v>
      </c>
      <c r="AC764" s="3">
        <f>IFERROR(__xludf.DUMMYFUNCTION("""COMPUTED_VALUE"""),60000.0)</f>
        <v>60000</v>
      </c>
      <c r="AD764" s="3">
        <f>IFERROR(__xludf.DUMMYFUNCTION("""COMPUTED_VALUE"""),15.717596)</f>
        <v>15.717596</v>
      </c>
      <c r="AE764" s="3">
        <f>IFERROR(__xludf.DUMMYFUNCTION("""COMPUTED_VALUE"""),100.111695)</f>
        <v>100.111695</v>
      </c>
      <c r="AF764" s="3" t="str">
        <f>IFERROR(__xludf.DUMMYFUNCTION("""COMPUTED_VALUE"""),"MBC หมู่บ้านไม้หอม-21532")</f>
        <v>MBC หมู่บ้านไม้หอม-21532</v>
      </c>
      <c r="AG764" s="3" t="str">
        <f>IFERROR(__xludf.DUMMYFUNCTION("""COMPUTED_VALUE"""),"กลาง")</f>
        <v>กลาง</v>
      </c>
      <c r="AH764" s="3" t="str">
        <f>IFERROR(__xludf.DUMMYFUNCTION("""COMPUTED_VALUE"""),"#N/A")</f>
        <v>#N/A</v>
      </c>
      <c r="AI764" s="3" t="str">
        <f>IFERROR(__xludf.DUMMYFUNCTION("""COMPUTED_VALUE"""),"Out of warranty")</f>
        <v>Out of warranty</v>
      </c>
      <c r="AJ764" s="3">
        <f>IFERROR(__xludf.DUMMYFUNCTION("""COMPUTED_VALUE"""),99.0)</f>
        <v>99</v>
      </c>
      <c r="AK764" s="3" t="str">
        <f>IFERROR(__xludf.DUMMYFUNCTION("""COMPUTED_VALUE"""),"MMS09")</f>
        <v>MMS09</v>
      </c>
      <c r="AL764" s="3"/>
    </row>
    <row r="765" ht="15.75" customHeight="1">
      <c r="A765" s="1" t="str">
        <f>IFERROR(__xludf.DUMMYFUNCTION("""COMPUTED_VALUE"""),"21533")</f>
        <v>21533</v>
      </c>
      <c r="B765" s="2">
        <f>IFERROR(__xludf.DUMMYFUNCTION("""COMPUTED_VALUE"""),21533.0)</f>
        <v>21533</v>
      </c>
      <c r="C765" s="3" t="str">
        <f>IFERROR(__xludf.DUMMYFUNCTION("""COMPUTED_VALUE"""),"MBC หมู่บ้านเดอะแกรน")</f>
        <v>MBC หมู่บ้านเดอะแกรน</v>
      </c>
      <c r="D765" s="3" t="str">
        <f>IFERROR(__xludf.DUMMYFUNCTION("""COMPUTED_VALUE"""),"BCM MOO BAN THE GRAND")</f>
        <v>BCM MOO BAN THE GRAND</v>
      </c>
      <c r="E765" s="1" t="str">
        <f>IFERROR(__xludf.DUMMYFUNCTION("""COMPUTED_VALUE"""),"บิ๊กซี MINI")</f>
        <v>บิ๊กซี MINI</v>
      </c>
      <c r="F765" s="1" t="str">
        <f>IFERROR(__xludf.DUMMYFUNCTION("""COMPUTED_VALUE"""),"296229")</f>
        <v>296229</v>
      </c>
      <c r="G765" s="1" t="str">
        <f>IFERROR(__xludf.DUMMYFUNCTION("""COMPUTED_VALUE"""),"นายทนงศักดิ์ บุญมา")</f>
        <v>นายทนงศักดิ์ บุญมา</v>
      </c>
      <c r="H765" s="1" t="str">
        <f>IFERROR(__xludf.DUMMYFUNCTION("""COMPUTED_VALUE"""),"211363")</f>
        <v>211363</v>
      </c>
      <c r="I765" s="1" t="str">
        <f>IFERROR(__xludf.DUMMYFUNCTION("""COMPUTED_VALUE"""),"นายสามารถ บุญลับ")</f>
        <v>นายสามารถ บุญลับ</v>
      </c>
      <c r="J765" s="3">
        <f>IFERROR(__xludf.DUMMYFUNCTION("""COMPUTED_VALUE"""),46214.0)</f>
        <v>46214</v>
      </c>
      <c r="K765" s="3" t="str">
        <f>IFERROR(__xludf.DUMMYFUNCTION("""COMPUTED_VALUE"""),"นายศักดิ์ชัย เด็ดดอกฟ้า")</f>
        <v>นายศักดิ์ชัย เด็ดดอกฟ้า</v>
      </c>
      <c r="L765" s="1" t="str">
        <f>IFERROR(__xludf.DUMMYFUNCTION("""COMPUTED_VALUE"""),"02 K.Sakchai D")</f>
        <v>02 K.Sakchai D</v>
      </c>
      <c r="M765" s="1" t="str">
        <f>IFERROR(__xludf.DUMMYFUNCTION("""COMPUTED_VALUE"""),"065-510-7376")</f>
        <v>065-510-7376</v>
      </c>
      <c r="N765" s="3">
        <f>IFERROR(__xludf.DUMMYFUNCTION("""COMPUTED_VALUE"""),21714.0)</f>
        <v>21714</v>
      </c>
      <c r="O765" s="3" t="str">
        <f>IFERROR(__xludf.DUMMYFUNCTION("""COMPUTED_VALUE"""),"MBC เอสโซ่ วัดโบสถ์")</f>
        <v>MBC เอสโซ่ วัดโบสถ์</v>
      </c>
      <c r="P765" s="4">
        <f>IFERROR(__xludf.DUMMYFUNCTION("""COMPUTED_VALUE"""),43069.0)</f>
        <v>43069</v>
      </c>
      <c r="Q765" s="3" t="str">
        <f>IFERROR(__xludf.DUMMYFUNCTION("""COMPUTED_VALUE"""),"A")</f>
        <v>A</v>
      </c>
      <c r="R765" s="3" t="str">
        <f>IFERROR(__xludf.DUMMYFUNCTION("""COMPUTED_VALUE"""),"Small Format")</f>
        <v>Small Format</v>
      </c>
      <c r="S765" s="3" t="str">
        <f>IFERROR(__xludf.DUMMYFUNCTION("""COMPUTED_VALUE"""),"BCM")</f>
        <v>BCM</v>
      </c>
      <c r="T765" s="3" t="str">
        <f>IFERROR(__xludf.DUMMYFUNCTION("""COMPUTED_VALUE"""),"#N/A")</f>
        <v>#N/A</v>
      </c>
      <c r="U765" s="3" t="str">
        <f>IFERROR(__xludf.DUMMYFUNCTION("""COMPUTED_VALUE"""),"#N/A")</f>
        <v>#N/A</v>
      </c>
      <c r="V765" s="3" t="str">
        <f>IFERROR(__xludf.DUMMYFUNCTION("""COMPUTED_VALUE"""),"N")</f>
        <v>N</v>
      </c>
      <c r="W765" s="3">
        <f>IFERROR(__xludf.DUMMYFUNCTION("""COMPUTED_VALUE"""),211467.0)</f>
        <v>211467</v>
      </c>
      <c r="X765" s="3" t="str">
        <f>IFERROR(__xludf.DUMMYFUNCTION("""COMPUTED_VALUE"""),"531 หมู่2 ตำบลสามเรือน อำเภอบางประอิน จังหวัดพระนครศรีอยุธยา 13160")</f>
        <v>531 หมู่2 ตำบลสามเรือน อำเภอบางประอิน จังหวัดพระนครศรีอยุธยา 13160</v>
      </c>
      <c r="Y765" s="3"/>
      <c r="Z765" s="3" t="str">
        <f>IFERROR(__xludf.DUMMYFUNCTION("""COMPUTED_VALUE"""),"สามเรือน")</f>
        <v>สามเรือน</v>
      </c>
      <c r="AA765" s="3" t="str">
        <f>IFERROR(__xludf.DUMMYFUNCTION("""COMPUTED_VALUE"""),"บางประอิน")</f>
        <v>บางประอิน</v>
      </c>
      <c r="AB765" s="3" t="str">
        <f>IFERROR(__xludf.DUMMYFUNCTION("""COMPUTED_VALUE"""),"พระนครศรีอยุธยา")</f>
        <v>พระนครศรีอยุธยา</v>
      </c>
      <c r="AC765" s="3">
        <f>IFERROR(__xludf.DUMMYFUNCTION("""COMPUTED_VALUE"""),13160.0)</f>
        <v>13160</v>
      </c>
      <c r="AD765" s="3">
        <f>IFERROR(__xludf.DUMMYFUNCTION("""COMPUTED_VALUE"""),14.304641)</f>
        <v>14.304641</v>
      </c>
      <c r="AE765" s="3">
        <f>IFERROR(__xludf.DUMMYFUNCTION("""COMPUTED_VALUE"""),100.636133)</f>
        <v>100.636133</v>
      </c>
      <c r="AF765" s="3" t="str">
        <f>IFERROR(__xludf.DUMMYFUNCTION("""COMPUTED_VALUE"""),"MBC หมู่บ้านเดอะแกรน-21533")</f>
        <v>MBC หมู่บ้านเดอะแกรน-21533</v>
      </c>
      <c r="AG765" s="3" t="str">
        <f>IFERROR(__xludf.DUMMYFUNCTION("""COMPUTED_VALUE"""),"กลาง")</f>
        <v>กลาง</v>
      </c>
      <c r="AH765" s="3" t="str">
        <f>IFERROR(__xludf.DUMMYFUNCTION("""COMPUTED_VALUE"""),"#N/A")</f>
        <v>#N/A</v>
      </c>
      <c r="AI765" s="3" t="str">
        <f>IFERROR(__xludf.DUMMYFUNCTION("""COMPUTED_VALUE"""),"Out of warranty")</f>
        <v>Out of warranty</v>
      </c>
      <c r="AJ765" s="3">
        <f>IFERROR(__xludf.DUMMYFUNCTION("""COMPUTED_VALUE"""),98.0)</f>
        <v>98</v>
      </c>
      <c r="AK765" s="3" t="str">
        <f>IFERROR(__xludf.DUMMYFUNCTION("""COMPUTED_VALUE"""),"MMS04")</f>
        <v>MMS04</v>
      </c>
      <c r="AL765" s="3"/>
    </row>
    <row r="766" ht="15.75" customHeight="1">
      <c r="A766" s="1" t="str">
        <f>IFERROR(__xludf.DUMMYFUNCTION("""COMPUTED_VALUE"""),"21534")</f>
        <v>21534</v>
      </c>
      <c r="B766" s="2">
        <f>IFERROR(__xludf.DUMMYFUNCTION("""COMPUTED_VALUE"""),21534.0)</f>
        <v>21534</v>
      </c>
      <c r="C766" s="3" t="str">
        <f>IFERROR(__xludf.DUMMYFUNCTION("""COMPUTED_VALUE"""),"MBC ถนนรัตนอุทิศ หาดใหญ่")</f>
        <v>MBC ถนนรัตนอุทิศ หาดใหญ่</v>
      </c>
      <c r="D766" s="3" t="str">
        <f>IFERROR(__xludf.DUMMYFUNCTION("""COMPUTED_VALUE"""),"BCM RATTANA UTHIT RD HAT YAI")</f>
        <v>BCM RATTANA UTHIT RD HAT YAI</v>
      </c>
      <c r="E766" s="1" t="str">
        <f>IFERROR(__xludf.DUMMYFUNCTION("""COMPUTED_VALUE"""),"บิ๊กซี MINI")</f>
        <v>บิ๊กซี MINI</v>
      </c>
      <c r="F766" s="1" t="str">
        <f>IFERROR(__xludf.DUMMYFUNCTION("""COMPUTED_VALUE"""),"250760")</f>
        <v>250760</v>
      </c>
      <c r="G766" s="1" t="str">
        <f>IFERROR(__xludf.DUMMYFUNCTION("""COMPUTED_VALUE"""),"นายประทวน สาราบรรณ์")</f>
        <v>นายประทวน สาราบรรณ์</v>
      </c>
      <c r="H766" s="1" t="str">
        <f>IFERROR(__xludf.DUMMYFUNCTION("""COMPUTED_VALUE"""),"394100")</f>
        <v>394100</v>
      </c>
      <c r="I766" s="1" t="str">
        <f>IFERROR(__xludf.DUMMYFUNCTION("""COMPUTED_VALUE"""),"นายไพโรจน์ ถิระผะลิกะ")</f>
        <v>นายไพโรจน์ ถิระผะลิกะ</v>
      </c>
      <c r="J766" s="3">
        <f>IFERROR(__xludf.DUMMYFUNCTION("""COMPUTED_VALUE"""),2.0470331E7)</f>
        <v>20470331</v>
      </c>
      <c r="K766" s="3" t="str">
        <f>IFERROR(__xludf.DUMMYFUNCTION("""COMPUTED_VALUE"""),"นายสมชาย ลักษณะสุวรรณ")</f>
        <v>นายสมชาย ลักษณะสุวรรณ</v>
      </c>
      <c r="L766" s="1" t="str">
        <f>IFERROR(__xludf.DUMMYFUNCTION("""COMPUTED_VALUE"""),"15 K.Somchai L")</f>
        <v>15 K.Somchai L</v>
      </c>
      <c r="M766" s="1" t="str">
        <f>IFERROR(__xludf.DUMMYFUNCTION("""COMPUTED_VALUE"""),"0655107372")</f>
        <v>0655107372</v>
      </c>
      <c r="N766" s="3">
        <f>IFERROR(__xludf.DUMMYFUNCTION("""COMPUTED_VALUE"""),21723.0)</f>
        <v>21723</v>
      </c>
      <c r="O766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766" s="4">
        <f>IFERROR(__xludf.DUMMYFUNCTION("""COMPUTED_VALUE"""),46037.0)</f>
        <v>46037</v>
      </c>
      <c r="Q766" s="3" t="str">
        <f>IFERROR(__xludf.DUMMYFUNCTION("""COMPUTED_VALUE"""),"A")</f>
        <v>A</v>
      </c>
      <c r="R766" s="3" t="str">
        <f>IFERROR(__xludf.DUMMYFUNCTION("""COMPUTED_VALUE"""),"Small Format")</f>
        <v>Small Format</v>
      </c>
      <c r="S766" s="3" t="str">
        <f>IFERROR(__xludf.DUMMYFUNCTION("""COMPUTED_VALUE"""),"BCM")</f>
        <v>BCM</v>
      </c>
      <c r="T766" s="3" t="str">
        <f>IFERROR(__xludf.DUMMYFUNCTION("""COMPUTED_VALUE"""),"#N/A")</f>
        <v>#N/A</v>
      </c>
      <c r="U766" s="3" t="str">
        <f>IFERROR(__xludf.DUMMYFUNCTION("""COMPUTED_VALUE"""),"#N/A")</f>
        <v>#N/A</v>
      </c>
      <c r="V766" s="3" t="str">
        <f>IFERROR(__xludf.DUMMYFUNCTION("""COMPUTED_VALUE"""),"N")</f>
        <v>N</v>
      </c>
      <c r="W766" s="3">
        <f>IFERROR(__xludf.DUMMYFUNCTION("""COMPUTED_VALUE"""),211504.0)</f>
        <v>211504</v>
      </c>
      <c r="X766" s="3" t="str">
        <f>IFERROR(__xludf.DUMMYFUNCTION("""COMPUTED_VALUE"""),"1 ซอย11 (รัตนอุทิศ) ตำบลหาดใหญ่ อำเภอหาดใหญ่ จังหวัดสงขลา 90110")</f>
        <v>1 ซอย11 (รัตนอุทิศ) ตำบลหาดใหญ่ อำเภอหาดใหญ่ จังหวัดสงขลา 90110</v>
      </c>
      <c r="Y766" s="3" t="str">
        <f>IFERROR(__xludf.DUMMYFUNCTION("""COMPUTED_VALUE"""),"ซอย11")</f>
        <v>ซอย11</v>
      </c>
      <c r="Z766" s="3" t="str">
        <f>IFERROR(__xludf.DUMMYFUNCTION("""COMPUTED_VALUE"""),"หาดใหญ่")</f>
        <v>หาดใหญ่</v>
      </c>
      <c r="AA766" s="3" t="str">
        <f>IFERROR(__xludf.DUMMYFUNCTION("""COMPUTED_VALUE"""),"หาดใหญ่")</f>
        <v>หาดใหญ่</v>
      </c>
      <c r="AB766" s="3" t="str">
        <f>IFERROR(__xludf.DUMMYFUNCTION("""COMPUTED_VALUE"""),"สงขลา")</f>
        <v>สงขลา</v>
      </c>
      <c r="AC766" s="3">
        <f>IFERROR(__xludf.DUMMYFUNCTION("""COMPUTED_VALUE"""),90110.0)</f>
        <v>90110</v>
      </c>
      <c r="AD766" s="3">
        <f>IFERROR(__xludf.DUMMYFUNCTION("""COMPUTED_VALUE"""),7.015943)</f>
        <v>7.015943</v>
      </c>
      <c r="AE766" s="3">
        <f>IFERROR(__xludf.DUMMYFUNCTION("""COMPUTED_VALUE"""),100.461967)</f>
        <v>100.461967</v>
      </c>
      <c r="AF766" s="3" t="str">
        <f>IFERROR(__xludf.DUMMYFUNCTION("""COMPUTED_VALUE"""),"MBC ถนนรัตนอุทิศ หาดใหญ่-21534")</f>
        <v>MBC ถนนรัตนอุทิศ หาดใหญ่-21534</v>
      </c>
      <c r="AG766" s="3" t="str">
        <f>IFERROR(__xludf.DUMMYFUNCTION("""COMPUTED_VALUE"""),"ใต้")</f>
        <v>ใต้</v>
      </c>
      <c r="AH766" s="3" t="str">
        <f>IFERROR(__xludf.DUMMYFUNCTION("""COMPUTED_VALUE"""),"#N/A")</f>
        <v>#N/A</v>
      </c>
      <c r="AI766" s="3" t="str">
        <f>IFERROR(__xludf.DUMMYFUNCTION("""COMPUTED_VALUE"""),"In warranty")</f>
        <v>In warranty</v>
      </c>
      <c r="AJ766" s="3">
        <f>IFERROR(__xludf.DUMMYFUNCTION("""COMPUTED_VALUE"""),1.0)</f>
        <v>1</v>
      </c>
      <c r="AK766" s="3" t="str">
        <f>IFERROR(__xludf.DUMMYFUNCTION("""COMPUTED_VALUE"""),"MMS16")</f>
        <v>MMS16</v>
      </c>
      <c r="AL766" s="3"/>
    </row>
    <row r="767" ht="15.75" customHeight="1">
      <c r="A767" s="1" t="str">
        <f>IFERROR(__xludf.DUMMYFUNCTION("""COMPUTED_VALUE"""),"21535")</f>
        <v>21535</v>
      </c>
      <c r="B767" s="2">
        <f>IFERROR(__xludf.DUMMYFUNCTION("""COMPUTED_VALUE"""),21535.0)</f>
        <v>21535</v>
      </c>
      <c r="C767" s="3" t="str">
        <f>IFERROR(__xludf.DUMMYFUNCTION("""COMPUTED_VALUE"""),"MBC ท่าขอนยาง")</f>
        <v>MBC ท่าขอนยาง</v>
      </c>
      <c r="D767" s="3" t="str">
        <f>IFERROR(__xludf.DUMMYFUNCTION("""COMPUTED_VALUE"""),"BCM THA KHON YANG")</f>
        <v>BCM THA KHON YANG</v>
      </c>
      <c r="E767" s="1" t="str">
        <f>IFERROR(__xludf.DUMMYFUNCTION("""COMPUTED_VALUE"""),"บิ๊กซี MINI")</f>
        <v>บิ๊กซี MINI</v>
      </c>
      <c r="F767" s="1" t="str">
        <f>IFERROR(__xludf.DUMMYFUNCTION("""COMPUTED_VALUE"""),"291105")</f>
        <v>291105</v>
      </c>
      <c r="G767" s="1" t="str">
        <f>IFERROR(__xludf.DUMMYFUNCTION("""COMPUTED_VALUE"""),"นายสราวุฒิ พณิชยกุล")</f>
        <v>นายสราวุฒิ พณิชยกุล</v>
      </c>
      <c r="H767" s="1" t="str">
        <f>IFERROR(__xludf.DUMMYFUNCTION("""COMPUTED_VALUE"""),"392433")</f>
        <v>392433</v>
      </c>
      <c r="I767" s="1" t="str">
        <f>IFERROR(__xludf.DUMMYFUNCTION("""COMPUTED_VALUE"""),"นายพรธิวา ใจอ่อน")</f>
        <v>นายพรธิวา ใจอ่อน</v>
      </c>
      <c r="J767" s="3">
        <f>IFERROR(__xludf.DUMMYFUNCTION("""COMPUTED_VALUE"""),2454781.0)</f>
        <v>2454781</v>
      </c>
      <c r="K767" s="3" t="str">
        <f>IFERROR(__xludf.DUMMYFUNCTION("""COMPUTED_VALUE"""),"นายฌานกฤช นันทะโคต")</f>
        <v>นายฌานกฤช นันทะโคต</v>
      </c>
      <c r="L767" s="1" t="str">
        <f>IFERROR(__xludf.DUMMYFUNCTION("""COMPUTED_VALUE"""),"05 K.Chanakrit N.")</f>
        <v>05 K.Chanakrit N.</v>
      </c>
      <c r="M767" s="1" t="str">
        <f>IFERROR(__xludf.DUMMYFUNCTION("""COMPUTED_VALUE"""),"090-978-9785 ,065-929-1320")</f>
        <v>090-978-9785 ,065-929-1320</v>
      </c>
      <c r="N767" s="3">
        <f>IFERROR(__xludf.DUMMYFUNCTION("""COMPUTED_VALUE"""),22195.0)</f>
        <v>22195</v>
      </c>
      <c r="O767" s="3" t="str">
        <f>IFERROR(__xludf.DUMMYFUNCTION("""COMPUTED_VALUE"""),"MBC กันทรลักษ์ ศรีสะเกษ")</f>
        <v>MBC กันทรลักษ์ ศรีสะเกษ</v>
      </c>
      <c r="P767" s="4">
        <f>IFERROR(__xludf.DUMMYFUNCTION("""COMPUTED_VALUE"""),43038.0)</f>
        <v>43038</v>
      </c>
      <c r="Q767" s="3" t="str">
        <f>IFERROR(__xludf.DUMMYFUNCTION("""COMPUTED_VALUE"""),"A")</f>
        <v>A</v>
      </c>
      <c r="R767" s="3" t="str">
        <f>IFERROR(__xludf.DUMMYFUNCTION("""COMPUTED_VALUE"""),"Small Format")</f>
        <v>Small Format</v>
      </c>
      <c r="S767" s="3" t="str">
        <f>IFERROR(__xludf.DUMMYFUNCTION("""COMPUTED_VALUE"""),"BCM")</f>
        <v>BCM</v>
      </c>
      <c r="T767" s="3" t="str">
        <f>IFERROR(__xludf.DUMMYFUNCTION("""COMPUTED_VALUE"""),"#N/A")</f>
        <v>#N/A</v>
      </c>
      <c r="U767" s="3" t="str">
        <f>IFERROR(__xludf.DUMMYFUNCTION("""COMPUTED_VALUE"""),"#N/A")</f>
        <v>#N/A</v>
      </c>
      <c r="V767" s="3" t="str">
        <f>IFERROR(__xludf.DUMMYFUNCTION("""COMPUTED_VALUE"""),"N")</f>
        <v>N</v>
      </c>
      <c r="W767" s="3">
        <f>IFERROR(__xludf.DUMMYFUNCTION("""COMPUTED_VALUE"""),211503.0)</f>
        <v>211503</v>
      </c>
      <c r="X767" s="3" t="str">
        <f>IFERROR(__xludf.DUMMYFUNCTION("""COMPUTED_VALUE"""),"398/6-9 หมู่1 ตำบลท่าขอนยาง อำเภอกันทรวิชัย จังหวัดมหาสารคาม 44150")</f>
        <v>398/6-9 หมู่1 ตำบลท่าขอนยาง อำเภอกันทรวิชัย จังหวัดมหาสารคาม 44150</v>
      </c>
      <c r="Y767" s="3"/>
      <c r="Z767" s="3" t="str">
        <f>IFERROR(__xludf.DUMMYFUNCTION("""COMPUTED_VALUE"""),"ท่าขอนยาง")</f>
        <v>ท่าขอนยาง</v>
      </c>
      <c r="AA767" s="3" t="str">
        <f>IFERROR(__xludf.DUMMYFUNCTION("""COMPUTED_VALUE"""),"กันทรวิชัย")</f>
        <v>กันทรวิชัย</v>
      </c>
      <c r="AB767" s="3" t="str">
        <f>IFERROR(__xludf.DUMMYFUNCTION("""COMPUTED_VALUE"""),"มหาสารคาม")</f>
        <v>มหาสารคาม</v>
      </c>
      <c r="AC767" s="3">
        <f>IFERROR(__xludf.DUMMYFUNCTION("""COMPUTED_VALUE"""),44150.0)</f>
        <v>44150</v>
      </c>
      <c r="AD767" s="3">
        <f>IFERROR(__xludf.DUMMYFUNCTION("""COMPUTED_VALUE"""),16.23666494)</f>
        <v>16.23666494</v>
      </c>
      <c r="AE767" s="3">
        <f>IFERROR(__xludf.DUMMYFUNCTION("""COMPUTED_VALUE"""),103.2648599)</f>
        <v>103.2648599</v>
      </c>
      <c r="AF767" s="3" t="str">
        <f>IFERROR(__xludf.DUMMYFUNCTION("""COMPUTED_VALUE"""),"MBC ท่าขอนยาง-21535")</f>
        <v>MBC ท่าขอนยาง-21535</v>
      </c>
      <c r="AG767" s="3" t="str">
        <f>IFERROR(__xludf.DUMMYFUNCTION("""COMPUTED_VALUE"""),"ตะวันออกเฉียงเหนือ")</f>
        <v>ตะวันออกเฉียงเหนือ</v>
      </c>
      <c r="AH767" s="3" t="str">
        <f>IFERROR(__xludf.DUMMYFUNCTION("""COMPUTED_VALUE"""),"#N/A")</f>
        <v>#N/A</v>
      </c>
      <c r="AI767" s="3" t="str">
        <f>IFERROR(__xludf.DUMMYFUNCTION("""COMPUTED_VALUE"""),"Out of warranty")</f>
        <v>Out of warranty</v>
      </c>
      <c r="AJ767" s="3">
        <f>IFERROR(__xludf.DUMMYFUNCTION("""COMPUTED_VALUE"""),99.0)</f>
        <v>99</v>
      </c>
      <c r="AK767" s="3" t="str">
        <f>IFERROR(__xludf.DUMMYFUNCTION("""COMPUTED_VALUE"""),"MMS13")</f>
        <v>MMS13</v>
      </c>
      <c r="AL767" s="3"/>
    </row>
    <row r="768" ht="15.75" customHeight="1">
      <c r="A768" s="1" t="str">
        <f>IFERROR(__xludf.DUMMYFUNCTION("""COMPUTED_VALUE"""),"21536")</f>
        <v>21536</v>
      </c>
      <c r="B768" s="2">
        <f>IFERROR(__xludf.DUMMYFUNCTION("""COMPUTED_VALUE"""),21536.0)</f>
        <v>21536</v>
      </c>
      <c r="C768" s="3" t="str">
        <f>IFERROR(__xludf.DUMMYFUNCTION("""COMPUTED_VALUE"""),"MBC ตลาดใหม่มุมเมือง")</f>
        <v>MBC ตลาดใหม่มุมเมือง</v>
      </c>
      <c r="D768" s="3" t="str">
        <f>IFERROR(__xludf.DUMMYFUNCTION("""COMPUTED_VALUE"""),"BCM TALAD MAI MUM MUANG")</f>
        <v>BCM TALAD MAI MUM MUANG</v>
      </c>
      <c r="E768" s="1" t="str">
        <f>IFERROR(__xludf.DUMMYFUNCTION("""COMPUTED_VALUE"""),"บิ๊กซี MINI")</f>
        <v>บิ๊กซี MINI</v>
      </c>
      <c r="F768" s="1" t="str">
        <f>IFERROR(__xludf.DUMMYFUNCTION("""COMPUTED_VALUE"""),"2010918")</f>
        <v>2010918</v>
      </c>
      <c r="G768" s="1" t="str">
        <f>IFERROR(__xludf.DUMMYFUNCTION("""COMPUTED_VALUE"""),"น.ส.สุดารัตน์ รัตนประดิษฐ์")</f>
        <v>น.ส.สุดารัตน์ รัตนประดิษฐ์</v>
      </c>
      <c r="H768" s="1" t="str">
        <f>IFERROR(__xludf.DUMMYFUNCTION("""COMPUTED_VALUE"""),"282500")</f>
        <v>282500</v>
      </c>
      <c r="I768" s="1" t="str">
        <f>IFERROR(__xludf.DUMMYFUNCTION("""COMPUTED_VALUE"""),"นายเจษฎ์พิพัฒ แก้วกุดั่น")</f>
        <v>นายเจษฎ์พิพัฒ แก้วกุดั่น</v>
      </c>
      <c r="J768" s="3">
        <f>IFERROR(__xludf.DUMMYFUNCTION("""COMPUTED_VALUE"""),2.0470331E7)</f>
        <v>20470331</v>
      </c>
      <c r="K768" s="3" t="str">
        <f>IFERROR(__xludf.DUMMYFUNCTION("""COMPUTED_VALUE"""),"นายสมชาย ลักษณะสุวรรณ")</f>
        <v>นายสมชาย ลักษณะสุวรรณ</v>
      </c>
      <c r="L768" s="1" t="str">
        <f>IFERROR(__xludf.DUMMYFUNCTION("""COMPUTED_VALUE"""),"15 K.Somchai L")</f>
        <v>15 K.Somchai L</v>
      </c>
      <c r="M768" s="1" t="str">
        <f>IFERROR(__xludf.DUMMYFUNCTION("""COMPUTED_VALUE"""),"0655107372")</f>
        <v>0655107372</v>
      </c>
      <c r="N768" s="3">
        <f>IFERROR(__xludf.DUMMYFUNCTION("""COMPUTED_VALUE"""),21723.0)</f>
        <v>21723</v>
      </c>
      <c r="O768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768" s="4">
        <f>IFERROR(__xludf.DUMMYFUNCTION("""COMPUTED_VALUE"""),43039.0)</f>
        <v>43039</v>
      </c>
      <c r="Q768" s="3" t="str">
        <f>IFERROR(__xludf.DUMMYFUNCTION("""COMPUTED_VALUE"""),"I")</f>
        <v>I</v>
      </c>
      <c r="R768" s="3" t="str">
        <f>IFERROR(__xludf.DUMMYFUNCTION("""COMPUTED_VALUE"""),"Small Format")</f>
        <v>Small Format</v>
      </c>
      <c r="S768" s="3" t="str">
        <f>IFERROR(__xludf.DUMMYFUNCTION("""COMPUTED_VALUE"""),"BCM")</f>
        <v>BCM</v>
      </c>
      <c r="T768" s="3" t="str">
        <f>IFERROR(__xludf.DUMMYFUNCTION("""COMPUTED_VALUE"""),"#N/A")</f>
        <v>#N/A</v>
      </c>
      <c r="U768" s="3" t="str">
        <f>IFERROR(__xludf.DUMMYFUNCTION("""COMPUTED_VALUE"""),"#N/A")</f>
        <v>#N/A</v>
      </c>
      <c r="V768" s="3" t="str">
        <f>IFERROR(__xludf.DUMMYFUNCTION("""COMPUTED_VALUE"""),"N")</f>
        <v>N</v>
      </c>
      <c r="W768" s="3">
        <f>IFERROR(__xludf.DUMMYFUNCTION("""COMPUTED_VALUE"""),211483.0)</f>
        <v>211483</v>
      </c>
      <c r="X768" s="3" t="str">
        <f>IFERROR(__xludf.DUMMYFUNCTION("""COMPUTED_VALUE"""),"17/79 หมู่2 ตำบลวิชิต อำเภอเมืองภูเก็ต จังหวัดภูเก็ต 83000")</f>
        <v>17/79 หมู่2 ตำบลวิชิต อำเภอเมืองภูเก็ต จังหวัดภูเก็ต 83000</v>
      </c>
      <c r="Y768" s="3"/>
      <c r="Z768" s="3" t="str">
        <f>IFERROR(__xludf.DUMMYFUNCTION("""COMPUTED_VALUE"""),"วิชิต")</f>
        <v>วิชิต</v>
      </c>
      <c r="AA768" s="3" t="str">
        <f>IFERROR(__xludf.DUMMYFUNCTION("""COMPUTED_VALUE"""),"เมือง")</f>
        <v>เมือง</v>
      </c>
      <c r="AB768" s="3" t="str">
        <f>IFERROR(__xludf.DUMMYFUNCTION("""COMPUTED_VALUE"""),"ภูเก็ต")</f>
        <v>ภูเก็ต</v>
      </c>
      <c r="AC768" s="3">
        <f>IFERROR(__xludf.DUMMYFUNCTION("""COMPUTED_VALUE"""),83000.0)</f>
        <v>83000</v>
      </c>
      <c r="AD768" s="3">
        <f>IFERROR(__xludf.DUMMYFUNCTION("""COMPUTED_VALUE"""),7.85809)</f>
        <v>7.85809</v>
      </c>
      <c r="AE768" s="3">
        <f>IFERROR(__xludf.DUMMYFUNCTION("""COMPUTED_VALUE"""),98.362779)</f>
        <v>98.362779</v>
      </c>
      <c r="AF768" s="3" t="str">
        <f>IFERROR(__xludf.DUMMYFUNCTION("""COMPUTED_VALUE"""),"MBC ตลาดใหม่มุมเมือง-21536")</f>
        <v>MBC ตลาดใหม่มุมเมือง-21536</v>
      </c>
      <c r="AG768" s="3" t="str">
        <f>IFERROR(__xludf.DUMMYFUNCTION("""COMPUTED_VALUE"""),"ใต้")</f>
        <v>ใต้</v>
      </c>
      <c r="AH768" s="3" t="str">
        <f>IFERROR(__xludf.DUMMYFUNCTION("""COMPUTED_VALUE"""),"#N/A")</f>
        <v>#N/A</v>
      </c>
      <c r="AI768" s="3" t="str">
        <f>IFERROR(__xludf.DUMMYFUNCTION("""COMPUTED_VALUE"""),"Out of warranty")</f>
        <v>Out of warranty</v>
      </c>
      <c r="AJ768" s="3">
        <f>IFERROR(__xludf.DUMMYFUNCTION("""COMPUTED_VALUE"""),99.0)</f>
        <v>99</v>
      </c>
      <c r="AK768" s="3"/>
      <c r="AL768" s="3"/>
    </row>
    <row r="769" ht="15.75" customHeight="1">
      <c r="A769" s="1" t="str">
        <f>IFERROR(__xludf.DUMMYFUNCTION("""COMPUTED_VALUE"""),"21537")</f>
        <v>21537</v>
      </c>
      <c r="B769" s="2">
        <f>IFERROR(__xludf.DUMMYFUNCTION("""COMPUTED_VALUE"""),21537.0)</f>
        <v>21537</v>
      </c>
      <c r="C769" s="3" t="str">
        <f>IFERROR(__xludf.DUMMYFUNCTION("""COMPUTED_VALUE"""),"MBC สบตุ๋ย")</f>
        <v>MBC สบตุ๋ย</v>
      </c>
      <c r="D769" s="3" t="str">
        <f>IFERROR(__xludf.DUMMYFUNCTION("""COMPUTED_VALUE"""),"BCM SOP TUI")</f>
        <v>BCM SOP TUI</v>
      </c>
      <c r="E769" s="1" t="str">
        <f>IFERROR(__xludf.DUMMYFUNCTION("""COMPUTED_VALUE"""),"บิ๊กซี MINI")</f>
        <v>บิ๊กซี MINI</v>
      </c>
      <c r="F769" s="1" t="str">
        <f>IFERROR(__xludf.DUMMYFUNCTION("""COMPUTED_VALUE"""),"296229")</f>
        <v>296229</v>
      </c>
      <c r="G769" s="1" t="str">
        <f>IFERROR(__xludf.DUMMYFUNCTION("""COMPUTED_VALUE"""),"นายทนงศักดิ์ บุญมา")</f>
        <v>นายทนงศักดิ์ บุญมา</v>
      </c>
      <c r="H769" s="1" t="str">
        <f>IFERROR(__xludf.DUMMYFUNCTION("""COMPUTED_VALUE"""),"372826")</f>
        <v>372826</v>
      </c>
      <c r="I769" s="1" t="str">
        <f>IFERROR(__xludf.DUMMYFUNCTION("""COMPUTED_VALUE"""),"นายพงศกร สุขแก้ว")</f>
        <v>นายพงศกร สุขแก้ว</v>
      </c>
      <c r="J769" s="3">
        <f>IFERROR(__xludf.DUMMYFUNCTION("""COMPUTED_VALUE"""),2010016.0)</f>
        <v>2010016</v>
      </c>
      <c r="K769" s="3" t="str">
        <f>IFERROR(__xludf.DUMMYFUNCTION("""COMPUTED_VALUE"""),"นายตวงธรรม ใหม่ยศ")</f>
        <v>นายตวงธรรม ใหม่ยศ</v>
      </c>
      <c r="L769" s="1" t="str">
        <f>IFERROR(__xludf.DUMMYFUNCTION("""COMPUTED_VALUE"""),"01 K.Tuangtham M.")</f>
        <v>01 K.Tuangtham M.</v>
      </c>
      <c r="M769" s="1" t="str">
        <f>IFERROR(__xludf.DUMMYFUNCTION("""COMPUTED_VALUE"""),"063-976-595")</f>
        <v>063-976-595</v>
      </c>
      <c r="N769" s="3">
        <f>IFERROR(__xludf.DUMMYFUNCTION("""COMPUTED_VALUE"""),22574.0)</f>
        <v>22574</v>
      </c>
      <c r="O769" s="3" t="str">
        <f>IFERROR(__xludf.DUMMYFUNCTION("""COMPUTED_VALUE"""),"BCM ชุมชนศรีชุม ลำปาง")</f>
        <v>BCM ชุมชนศรีชุม ลำปาง</v>
      </c>
      <c r="P769" s="4">
        <f>IFERROR(__xludf.DUMMYFUNCTION("""COMPUTED_VALUE"""),43046.0)</f>
        <v>43046</v>
      </c>
      <c r="Q769" s="3" t="str">
        <f>IFERROR(__xludf.DUMMYFUNCTION("""COMPUTED_VALUE"""),"A")</f>
        <v>A</v>
      </c>
      <c r="R769" s="3" t="str">
        <f>IFERROR(__xludf.DUMMYFUNCTION("""COMPUTED_VALUE"""),"Small Format")</f>
        <v>Small Format</v>
      </c>
      <c r="S769" s="3" t="str">
        <f>IFERROR(__xludf.DUMMYFUNCTION("""COMPUTED_VALUE"""),"BCM")</f>
        <v>BCM</v>
      </c>
      <c r="T769" s="3" t="str">
        <f>IFERROR(__xludf.DUMMYFUNCTION("""COMPUTED_VALUE"""),"#N/A")</f>
        <v>#N/A</v>
      </c>
      <c r="U769" s="3" t="str">
        <f>IFERROR(__xludf.DUMMYFUNCTION("""COMPUTED_VALUE"""),"#N/A")</f>
        <v>#N/A</v>
      </c>
      <c r="V769" s="3" t="str">
        <f>IFERROR(__xludf.DUMMYFUNCTION("""COMPUTED_VALUE"""),"N")</f>
        <v>N</v>
      </c>
      <c r="W769" s="3">
        <f>IFERROR(__xludf.DUMMYFUNCTION("""COMPUTED_VALUE"""),211480.0)</f>
        <v>211480</v>
      </c>
      <c r="X769" s="3" t="str">
        <f>IFERROR(__xludf.DUMMYFUNCTION("""COMPUTED_VALUE"""),"32/14-17 ถนนสุเรนทร์ ตำบลสบตุ๋ย อำเภอเมืองลำปาง จังหวัดลำปาง 52100")</f>
        <v>32/14-17 ถนนสุเรนทร์ ตำบลสบตุ๋ย อำเภอเมืองลำปาง จังหวัดลำปาง 52100</v>
      </c>
      <c r="Y769" s="3" t="str">
        <f>IFERROR(__xludf.DUMMYFUNCTION("""COMPUTED_VALUE"""),"ถนนสุเรนทร์")</f>
        <v>ถนนสุเรนทร์</v>
      </c>
      <c r="Z769" s="3" t="str">
        <f>IFERROR(__xludf.DUMMYFUNCTION("""COMPUTED_VALUE"""),"สบตุ๋ย")</f>
        <v>สบตุ๋ย</v>
      </c>
      <c r="AA769" s="3" t="str">
        <f>IFERROR(__xludf.DUMMYFUNCTION("""COMPUTED_VALUE"""),"เมือง")</f>
        <v>เมือง</v>
      </c>
      <c r="AB769" s="3" t="str">
        <f>IFERROR(__xludf.DUMMYFUNCTION("""COMPUTED_VALUE"""),"ลำปาง")</f>
        <v>ลำปาง</v>
      </c>
      <c r="AC769" s="3">
        <f>IFERROR(__xludf.DUMMYFUNCTION("""COMPUTED_VALUE"""),52100.0)</f>
        <v>52100</v>
      </c>
      <c r="AD769" s="3">
        <f>IFERROR(__xludf.DUMMYFUNCTION("""COMPUTED_VALUE"""),18.281692)</f>
        <v>18.281692</v>
      </c>
      <c r="AE769" s="3">
        <f>IFERROR(__xludf.DUMMYFUNCTION("""COMPUTED_VALUE"""),99.474028)</f>
        <v>99.474028</v>
      </c>
      <c r="AF769" s="3" t="str">
        <f>IFERROR(__xludf.DUMMYFUNCTION("""COMPUTED_VALUE"""),"MBC สบตุ๋ย-21537")</f>
        <v>MBC สบตุ๋ย-21537</v>
      </c>
      <c r="AG769" s="3" t="str">
        <f>IFERROR(__xludf.DUMMYFUNCTION("""COMPUTED_VALUE"""),"เหนือ")</f>
        <v>เหนือ</v>
      </c>
      <c r="AH769" s="3" t="str">
        <f>IFERROR(__xludf.DUMMYFUNCTION("""COMPUTED_VALUE"""),"#N/A")</f>
        <v>#N/A</v>
      </c>
      <c r="AI769" s="3" t="str">
        <f>IFERROR(__xludf.DUMMYFUNCTION("""COMPUTED_VALUE"""),"Out of warranty")</f>
        <v>Out of warranty</v>
      </c>
      <c r="AJ769" s="3">
        <f>IFERROR(__xludf.DUMMYFUNCTION("""COMPUTED_VALUE"""),99.0)</f>
        <v>99</v>
      </c>
      <c r="AK769" s="3" t="str">
        <f>IFERROR(__xludf.DUMMYFUNCTION("""COMPUTED_VALUE"""),"MMS10")</f>
        <v>MMS10</v>
      </c>
      <c r="AL769" s="3"/>
    </row>
    <row r="770" ht="15.75" customHeight="1">
      <c r="A770" s="1" t="str">
        <f>IFERROR(__xludf.DUMMYFUNCTION("""COMPUTED_VALUE"""),"21538")</f>
        <v>21538</v>
      </c>
      <c r="B770" s="2">
        <f>IFERROR(__xludf.DUMMYFUNCTION("""COMPUTED_VALUE"""),21538.0)</f>
        <v>21538</v>
      </c>
      <c r="C770" s="3" t="str">
        <f>IFERROR(__xludf.DUMMYFUNCTION("""COMPUTED_VALUE"""),"MBC เนินพระ")</f>
        <v>MBC เนินพระ</v>
      </c>
      <c r="D770" s="3" t="str">
        <f>IFERROR(__xludf.DUMMYFUNCTION("""COMPUTED_VALUE"""),"MBC NOENPRA")</f>
        <v>MBC NOENPRA</v>
      </c>
      <c r="E770" s="1" t="str">
        <f>IFERROR(__xludf.DUMMYFUNCTION("""COMPUTED_VALUE"""),"บิ๊กซี MINI")</f>
        <v>บิ๊กซี MINI</v>
      </c>
      <c r="F770" s="1" t="str">
        <f>IFERROR(__xludf.DUMMYFUNCTION("""COMPUTED_VALUE"""),"250760")</f>
        <v>250760</v>
      </c>
      <c r="G770" s="1" t="str">
        <f>IFERROR(__xludf.DUMMYFUNCTION("""COMPUTED_VALUE"""),"นายประทวน สาราบรรณ์")</f>
        <v>นายประทวน สาราบรรณ์</v>
      </c>
      <c r="H770" s="1" t="str">
        <f>IFERROR(__xludf.DUMMYFUNCTION("""COMPUTED_VALUE"""),"359233")</f>
        <v>359233</v>
      </c>
      <c r="I770" s="1" t="str">
        <f>IFERROR(__xludf.DUMMYFUNCTION("""COMPUTED_VALUE"""),"น.ส.ปยุดา คำมีอ่อน")</f>
        <v>น.ส.ปยุดา คำมีอ่อน</v>
      </c>
      <c r="J770" s="3">
        <f>IFERROR(__xludf.DUMMYFUNCTION("""COMPUTED_VALUE"""),295541.0)</f>
        <v>295541</v>
      </c>
      <c r="K770" s="3" t="str">
        <f>IFERROR(__xludf.DUMMYFUNCTION("""COMPUTED_VALUE"""),"นายรพิพล ศรีมาตย์")</f>
        <v>นายรพิพล ศรีมาตย์</v>
      </c>
      <c r="L770" s="1" t="str">
        <f>IFERROR(__xludf.DUMMYFUNCTION("""COMPUTED_VALUE"""),"นายรพิพล ศรีมาตย์")</f>
        <v>นายรพิพล ศรีมาตย์</v>
      </c>
      <c r="M770" s="1" t="str">
        <f>IFERROR(__xludf.DUMMYFUNCTION("""COMPUTED_VALUE"""),"0613966115")</f>
        <v>0613966115</v>
      </c>
      <c r="N770" s="3">
        <f>IFERROR(__xludf.DUMMYFUNCTION("""COMPUTED_VALUE"""),21175.0)</f>
        <v>21175</v>
      </c>
      <c r="O770" s="3" t="str">
        <f>IFERROR(__xludf.DUMMYFUNCTION("""COMPUTED_VALUE"""),"MBC BCP กิ่งแก้ว")</f>
        <v>MBC BCP กิ่งแก้ว</v>
      </c>
      <c r="P770" s="4">
        <f>IFERROR(__xludf.DUMMYFUNCTION("""COMPUTED_VALUE"""),43046.0)</f>
        <v>43046</v>
      </c>
      <c r="Q770" s="3" t="str">
        <f>IFERROR(__xludf.DUMMYFUNCTION("""COMPUTED_VALUE"""),"I")</f>
        <v>I</v>
      </c>
      <c r="R770" s="3" t="str">
        <f>IFERROR(__xludf.DUMMYFUNCTION("""COMPUTED_VALUE"""),"Small Format")</f>
        <v>Small Format</v>
      </c>
      <c r="S770" s="3" t="str">
        <f>IFERROR(__xludf.DUMMYFUNCTION("""COMPUTED_VALUE"""),"BCM")</f>
        <v>BCM</v>
      </c>
      <c r="T770" s="3" t="str">
        <f>IFERROR(__xludf.DUMMYFUNCTION("""COMPUTED_VALUE"""),"#N/A")</f>
        <v>#N/A</v>
      </c>
      <c r="U770" s="3" t="str">
        <f>IFERROR(__xludf.DUMMYFUNCTION("""COMPUTED_VALUE"""),"#N/A")</f>
        <v>#N/A</v>
      </c>
      <c r="V770" s="3" t="str">
        <f>IFERROR(__xludf.DUMMYFUNCTION("""COMPUTED_VALUE"""),"N")</f>
        <v>N</v>
      </c>
      <c r="W770" s="3">
        <f>IFERROR(__xludf.DUMMYFUNCTION("""COMPUTED_VALUE"""),0.0)</f>
        <v>0</v>
      </c>
      <c r="X770" s="3" t="str">
        <f>IFERROR(__xludf.DUMMYFUNCTION("""COMPUTED_VALUE"""),"9/139,9/158 หมู่2 ตำบลเนินพระ อำเภอเมืองระยอง จังหวัดระยอง 21000")</f>
        <v>9/139,9/158 หมู่2 ตำบลเนินพระ อำเภอเมืองระยอง จังหวัดระยอง 21000</v>
      </c>
      <c r="Y770" s="3"/>
      <c r="Z770" s="3" t="str">
        <f>IFERROR(__xludf.DUMMYFUNCTION("""COMPUTED_VALUE"""),"เนินพระ")</f>
        <v>เนินพระ</v>
      </c>
      <c r="AA770" s="3" t="str">
        <f>IFERROR(__xludf.DUMMYFUNCTION("""COMPUTED_VALUE"""),"เมือง")</f>
        <v>เมือง</v>
      </c>
      <c r="AB770" s="3" t="str">
        <f>IFERROR(__xludf.DUMMYFUNCTION("""COMPUTED_VALUE"""),"ระยอง")</f>
        <v>ระยอง</v>
      </c>
      <c r="AC770" s="3">
        <f>IFERROR(__xludf.DUMMYFUNCTION("""COMPUTED_VALUE"""),21000.0)</f>
        <v>21000</v>
      </c>
      <c r="AD770" s="3" t="str">
        <f>IFERROR(__xludf.DUMMYFUNCTION("""COMPUTED_VALUE"""),"#N/A")</f>
        <v>#N/A</v>
      </c>
      <c r="AE770" s="3" t="str">
        <f>IFERROR(__xludf.DUMMYFUNCTION("""COMPUTED_VALUE"""),"#N/A")</f>
        <v>#N/A</v>
      </c>
      <c r="AF770" s="3" t="str">
        <f>IFERROR(__xludf.DUMMYFUNCTION("""COMPUTED_VALUE"""),"MBC เนินพระ-21538")</f>
        <v>MBC เนินพระ-21538</v>
      </c>
      <c r="AG770" s="3" t="str">
        <f>IFERROR(__xludf.DUMMYFUNCTION("""COMPUTED_VALUE"""),"ตะวันออก")</f>
        <v>ตะวันออก</v>
      </c>
      <c r="AH770" s="3" t="str">
        <f>IFERROR(__xludf.DUMMYFUNCTION("""COMPUTED_VALUE"""),"#N/A")</f>
        <v>#N/A</v>
      </c>
      <c r="AI770" s="3" t="str">
        <f>IFERROR(__xludf.DUMMYFUNCTION("""COMPUTED_VALUE"""),"Out of warranty")</f>
        <v>Out of warranty</v>
      </c>
      <c r="AJ770" s="3">
        <f>IFERROR(__xludf.DUMMYFUNCTION("""COMPUTED_VALUE"""),99.0)</f>
        <v>99</v>
      </c>
      <c r="AK770" s="3"/>
      <c r="AL770" s="3"/>
    </row>
    <row r="771" ht="15.75" customHeight="1">
      <c r="A771" s="1" t="str">
        <f>IFERROR(__xludf.DUMMYFUNCTION("""COMPUTED_VALUE"""),"21539")</f>
        <v>21539</v>
      </c>
      <c r="B771" s="2">
        <f>IFERROR(__xludf.DUMMYFUNCTION("""COMPUTED_VALUE"""),21539.0)</f>
        <v>21539</v>
      </c>
      <c r="C771" s="3" t="str">
        <f>IFERROR(__xludf.DUMMYFUNCTION("""COMPUTED_VALUE"""),"MBC สีหราชเดโชชัย")</f>
        <v>MBC สีหราชเดโชชัย</v>
      </c>
      <c r="D771" s="3" t="str">
        <f>IFERROR(__xludf.DUMMYFUNCTION("""COMPUTED_VALUE"""),"BCM SRIHARAT DECHOCHAI")</f>
        <v>BCM SRIHARAT DECHOCHAI</v>
      </c>
      <c r="E771" s="1" t="str">
        <f>IFERROR(__xludf.DUMMYFUNCTION("""COMPUTED_VALUE"""),"บิ๊กซี MINI")</f>
        <v>บิ๊กซี MINI</v>
      </c>
      <c r="F771" s="1" t="str">
        <f>IFERROR(__xludf.DUMMYFUNCTION("""COMPUTED_VALUE"""),"291105")</f>
        <v>291105</v>
      </c>
      <c r="G771" s="1" t="str">
        <f>IFERROR(__xludf.DUMMYFUNCTION("""COMPUTED_VALUE"""),"นายสราวุฒิ พณิชยกุล")</f>
        <v>นายสราวุฒิ พณิชยกุล</v>
      </c>
      <c r="H771" s="1" t="str">
        <f>IFERROR(__xludf.DUMMYFUNCTION("""COMPUTED_VALUE"""),"305119")</f>
        <v>305119</v>
      </c>
      <c r="I771" s="1" t="str">
        <f>IFERROR(__xludf.DUMMYFUNCTION("""COMPUTED_VALUE"""),"นายไชยกร ลีพิบูลย์สวัสดิ์")</f>
        <v>นายไชยกร ลีพิบูลย์สวัสดิ์</v>
      </c>
      <c r="J771" s="3">
        <f>IFERROR(__xludf.DUMMYFUNCTION("""COMPUTED_VALUE"""),296868.0)</f>
        <v>296868</v>
      </c>
      <c r="K771" s="3" t="str">
        <f>IFERROR(__xludf.DUMMYFUNCTION("""COMPUTED_VALUE"""),"นายพีระพงษ์ แก้วดวงดี")</f>
        <v>นายพีระพงษ์ แก้วดวงดี</v>
      </c>
      <c r="L771" s="1" t="str">
        <f>IFERROR(__xludf.DUMMYFUNCTION("""COMPUTED_VALUE"""),"03 K.Peerapong K.")</f>
        <v>03 K.Peerapong K.</v>
      </c>
      <c r="M771" s="1" t="str">
        <f>IFERROR(__xludf.DUMMYFUNCTION("""COMPUTED_VALUE"""),"089-002-6599")</f>
        <v>089-002-6599</v>
      </c>
      <c r="N771" s="3">
        <f>IFERROR(__xludf.DUMMYFUNCTION("""COMPUTED_VALUE"""),21946.0)</f>
        <v>21946</v>
      </c>
      <c r="O771" s="3" t="str">
        <f>IFERROR(__xludf.DUMMYFUNCTION("""COMPUTED_VALUE"""),"MBC เซกา บึงกาฬ")</f>
        <v>MBC เซกา บึงกาฬ</v>
      </c>
      <c r="P771" s="4">
        <f>IFERROR(__xludf.DUMMYFUNCTION("""COMPUTED_VALUE"""),43046.0)</f>
        <v>43046</v>
      </c>
      <c r="Q771" s="3" t="str">
        <f>IFERROR(__xludf.DUMMYFUNCTION("""COMPUTED_VALUE"""),"A")</f>
        <v>A</v>
      </c>
      <c r="R771" s="3" t="str">
        <f>IFERROR(__xludf.DUMMYFUNCTION("""COMPUTED_VALUE"""),"Small Format")</f>
        <v>Small Format</v>
      </c>
      <c r="S771" s="3" t="str">
        <f>IFERROR(__xludf.DUMMYFUNCTION("""COMPUTED_VALUE"""),"BCM")</f>
        <v>BCM</v>
      </c>
      <c r="T771" s="3" t="str">
        <f>IFERROR(__xludf.DUMMYFUNCTION("""COMPUTED_VALUE"""),"#N/A")</f>
        <v>#N/A</v>
      </c>
      <c r="U771" s="3" t="str">
        <f>IFERROR(__xludf.DUMMYFUNCTION("""COMPUTED_VALUE"""),"#N/A")</f>
        <v>#N/A</v>
      </c>
      <c r="V771" s="3" t="str">
        <f>IFERROR(__xludf.DUMMYFUNCTION("""COMPUTED_VALUE"""),"N")</f>
        <v>N</v>
      </c>
      <c r="W771" s="3">
        <f>IFERROR(__xludf.DUMMYFUNCTION("""COMPUTED_VALUE"""),211518.0)</f>
        <v>211518</v>
      </c>
      <c r="X771" s="3" t="str">
        <f>IFERROR(__xludf.DUMMYFUNCTION("""COMPUTED_VALUE"""),"528/189,528/191/528,528/193 หมู่22 ตำบลบ้านเป็ด อำเภอเมืองขอนแก่น จังหวัดขอนแก่น 40000")</f>
        <v>528/189,528/191/528,528/193 หมู่22 ตำบลบ้านเป็ด อำเภอเมืองขอนแก่น จังหวัดขอนแก่น 40000</v>
      </c>
      <c r="Y771" s="3"/>
      <c r="Z771" s="3" t="str">
        <f>IFERROR(__xludf.DUMMYFUNCTION("""COMPUTED_VALUE"""),"บ้านเป็ด")</f>
        <v>บ้านเป็ด</v>
      </c>
      <c r="AA771" s="3" t="str">
        <f>IFERROR(__xludf.DUMMYFUNCTION("""COMPUTED_VALUE"""),"เมือง")</f>
        <v>เมือง</v>
      </c>
      <c r="AB771" s="3" t="str">
        <f>IFERROR(__xludf.DUMMYFUNCTION("""COMPUTED_VALUE"""),"ขอนแก่น")</f>
        <v>ขอนแก่น</v>
      </c>
      <c r="AC771" s="3">
        <f>IFERROR(__xludf.DUMMYFUNCTION("""COMPUTED_VALUE"""),40000.0)</f>
        <v>40000</v>
      </c>
      <c r="AD771" s="3">
        <f>IFERROR(__xludf.DUMMYFUNCTION("""COMPUTED_VALUE"""),16.45024008)</f>
        <v>16.45024008</v>
      </c>
      <c r="AE771" s="3">
        <f>IFERROR(__xludf.DUMMYFUNCTION("""COMPUTED_VALUE"""),102.7953594)</f>
        <v>102.7953594</v>
      </c>
      <c r="AF771" s="3" t="str">
        <f>IFERROR(__xludf.DUMMYFUNCTION("""COMPUTED_VALUE"""),"MBC สีหราชเดโชชัย-21539")</f>
        <v>MBC สีหราชเดโชชัย-21539</v>
      </c>
      <c r="AG771" s="3" t="str">
        <f>IFERROR(__xludf.DUMMYFUNCTION("""COMPUTED_VALUE"""),"ตะวันออกเฉียงเหนือ")</f>
        <v>ตะวันออกเฉียงเหนือ</v>
      </c>
      <c r="AH771" s="3" t="str">
        <f>IFERROR(__xludf.DUMMYFUNCTION("""COMPUTED_VALUE"""),"#N/A")</f>
        <v>#N/A</v>
      </c>
      <c r="AI771" s="3" t="str">
        <f>IFERROR(__xludf.DUMMYFUNCTION("""COMPUTED_VALUE"""),"Out of warranty")</f>
        <v>Out of warranty</v>
      </c>
      <c r="AJ771" s="3">
        <f>IFERROR(__xludf.DUMMYFUNCTION("""COMPUTED_VALUE"""),99.0)</f>
        <v>99</v>
      </c>
      <c r="AK771" s="3" t="str">
        <f>IFERROR(__xludf.DUMMYFUNCTION("""COMPUTED_VALUE"""),"MMS12")</f>
        <v>MMS12</v>
      </c>
      <c r="AL771" s="3"/>
    </row>
    <row r="772" ht="15.75" customHeight="1">
      <c r="A772" s="1" t="str">
        <f>IFERROR(__xludf.DUMMYFUNCTION("""COMPUTED_VALUE"""),"21540")</f>
        <v>21540</v>
      </c>
      <c r="B772" s="2">
        <f>IFERROR(__xludf.DUMMYFUNCTION("""COMPUTED_VALUE"""),21540.0)</f>
        <v>21540</v>
      </c>
      <c r="C772" s="3" t="str">
        <f>IFERROR(__xludf.DUMMYFUNCTION("""COMPUTED_VALUE"""),"MBC บ้านเก่า ซอย 5")</f>
        <v>MBC บ้านเก่า ซอย 5</v>
      </c>
      <c r="D772" s="3" t="str">
        <f>IFERROR(__xludf.DUMMYFUNCTION("""COMPUTED_VALUE"""),"BCM BAN KAO SOI 5")</f>
        <v>BCM BAN KAO SOI 5</v>
      </c>
      <c r="E772" s="1" t="str">
        <f>IFERROR(__xludf.DUMMYFUNCTION("""COMPUTED_VALUE"""),"บิ๊กซี MINI")</f>
        <v>บิ๊กซี MINI</v>
      </c>
      <c r="F772" s="1" t="str">
        <f>IFERROR(__xludf.DUMMYFUNCTION("""COMPUTED_VALUE"""),"221716")</f>
        <v>221716</v>
      </c>
      <c r="G772" s="1" t="str">
        <f>IFERROR(__xludf.DUMMYFUNCTION("""COMPUTED_VALUE"""),"น.ส.เบญจพร โพธิสาร")</f>
        <v>น.ส.เบญจพร โพธิสาร</v>
      </c>
      <c r="H772" s="1" t="str">
        <f>IFERROR(__xludf.DUMMYFUNCTION("""COMPUTED_VALUE"""),"034605")</f>
        <v>034605</v>
      </c>
      <c r="I772" s="1" t="str">
        <f>IFERROR(__xludf.DUMMYFUNCTION("""COMPUTED_VALUE"""),"นายธรรมรัตน์ สุขเจริญ")</f>
        <v>นายธรรมรัตน์ สุขเจริญ</v>
      </c>
      <c r="J772" s="3">
        <f>IFERROR(__xludf.DUMMYFUNCTION("""COMPUTED_VALUE"""),1.3461215E7)</f>
        <v>13461215</v>
      </c>
      <c r="K772" s="3" t="str">
        <f>IFERROR(__xludf.DUMMYFUNCTION("""COMPUTED_VALUE"""),"นายธีรภัทร สังข์เงิน")</f>
        <v>นายธีรภัทร สังข์เงิน</v>
      </c>
      <c r="L772" s="1" t="str">
        <f>IFERROR(__xludf.DUMMYFUNCTION("""COMPUTED_VALUE"""),"06 K.Teerapat")</f>
        <v>06 K.Teerapat</v>
      </c>
      <c r="M772" s="1" t="str">
        <f>IFERROR(__xludf.DUMMYFUNCTION("""COMPUTED_VALUE"""),"063-601-6803")</f>
        <v>063-601-6803</v>
      </c>
      <c r="N772" s="3">
        <f>IFERROR(__xludf.DUMMYFUNCTION("""COMPUTED_VALUE"""),22115.0)</f>
        <v>22115</v>
      </c>
      <c r="O772" s="3" t="str">
        <f>IFERROR(__xludf.DUMMYFUNCTION("""COMPUTED_VALUE"""),"MBC เลี่ยงหนองมน ชลบุรี")</f>
        <v>MBC เลี่ยงหนองมน ชลบุรี</v>
      </c>
      <c r="P772" s="4">
        <f>IFERROR(__xludf.DUMMYFUNCTION("""COMPUTED_VALUE"""),43078.0)</f>
        <v>43078</v>
      </c>
      <c r="Q772" s="3" t="str">
        <f>IFERROR(__xludf.DUMMYFUNCTION("""COMPUTED_VALUE"""),"A")</f>
        <v>A</v>
      </c>
      <c r="R772" s="3" t="str">
        <f>IFERROR(__xludf.DUMMYFUNCTION("""COMPUTED_VALUE"""),"Small Format")</f>
        <v>Small Format</v>
      </c>
      <c r="S772" s="3" t="str">
        <f>IFERROR(__xludf.DUMMYFUNCTION("""COMPUTED_VALUE"""),"BCM")</f>
        <v>BCM</v>
      </c>
      <c r="T772" s="3" t="str">
        <f>IFERROR(__xludf.DUMMYFUNCTION("""COMPUTED_VALUE"""),"#N/A")</f>
        <v>#N/A</v>
      </c>
      <c r="U772" s="3" t="str">
        <f>IFERROR(__xludf.DUMMYFUNCTION("""COMPUTED_VALUE"""),"#N/A")</f>
        <v>#N/A</v>
      </c>
      <c r="V772" s="3" t="str">
        <f>IFERROR(__xludf.DUMMYFUNCTION("""COMPUTED_VALUE"""),"N")</f>
        <v>N</v>
      </c>
      <c r="W772" s="3">
        <f>IFERROR(__xludf.DUMMYFUNCTION("""COMPUTED_VALUE"""),211511.0)</f>
        <v>211511</v>
      </c>
      <c r="X772" s="3" t="str">
        <f>IFERROR(__xludf.DUMMYFUNCTION("""COMPUTED_VALUE"""),"72/1-3 หมู่1 ตำบลบ้านเก่า อำเภอพานทอง จังหวัดชลบุรี 20160")</f>
        <v>72/1-3 หมู่1 ตำบลบ้านเก่า อำเภอพานทอง จังหวัดชลบุรี 20160</v>
      </c>
      <c r="Y772" s="3"/>
      <c r="Z772" s="3" t="str">
        <f>IFERROR(__xludf.DUMMYFUNCTION("""COMPUTED_VALUE"""),"บ้านเก่า")</f>
        <v>บ้านเก่า</v>
      </c>
      <c r="AA772" s="3" t="str">
        <f>IFERROR(__xludf.DUMMYFUNCTION("""COMPUTED_VALUE"""),"พานทอง")</f>
        <v>พานทอง</v>
      </c>
      <c r="AB772" s="3" t="str">
        <f>IFERROR(__xludf.DUMMYFUNCTION("""COMPUTED_VALUE"""),"ชลบุรี")</f>
        <v>ชลบุรี</v>
      </c>
      <c r="AC772" s="3">
        <f>IFERROR(__xludf.DUMMYFUNCTION("""COMPUTED_VALUE"""),20160.0)</f>
        <v>20160</v>
      </c>
      <c r="AD772" s="3">
        <f>IFERROR(__xludf.DUMMYFUNCTION("""COMPUTED_VALUE"""),13.449133)</f>
        <v>13.449133</v>
      </c>
      <c r="AE772" s="3">
        <f>IFERROR(__xludf.DUMMYFUNCTION("""COMPUTED_VALUE"""),101.02726)</f>
        <v>101.02726</v>
      </c>
      <c r="AF772" s="3" t="str">
        <f>IFERROR(__xludf.DUMMYFUNCTION("""COMPUTED_VALUE"""),"MBC บ้านเก่า ซอย 5-21540")</f>
        <v>MBC บ้านเก่า ซอย 5-21540</v>
      </c>
      <c r="AG772" s="3" t="str">
        <f>IFERROR(__xludf.DUMMYFUNCTION("""COMPUTED_VALUE"""),"ตะวันออก")</f>
        <v>ตะวันออก</v>
      </c>
      <c r="AH772" s="3" t="str">
        <f>IFERROR(__xludf.DUMMYFUNCTION("""COMPUTED_VALUE"""),"#N/A")</f>
        <v>#N/A</v>
      </c>
      <c r="AI772" s="3" t="str">
        <f>IFERROR(__xludf.DUMMYFUNCTION("""COMPUTED_VALUE"""),"Out of warranty")</f>
        <v>Out of warranty</v>
      </c>
      <c r="AJ772" s="3">
        <f>IFERROR(__xludf.DUMMYFUNCTION("""COMPUTED_VALUE"""),98.0)</f>
        <v>98</v>
      </c>
      <c r="AK772" s="3" t="str">
        <f>IFERROR(__xludf.DUMMYFUNCTION("""COMPUTED_VALUE"""),"MMS06")</f>
        <v>MMS06</v>
      </c>
      <c r="AL772" s="3"/>
    </row>
    <row r="773" ht="15.75" customHeight="1">
      <c r="A773" s="1" t="str">
        <f>IFERROR(__xludf.DUMMYFUNCTION("""COMPUTED_VALUE"""),"21541")</f>
        <v>21541</v>
      </c>
      <c r="B773" s="2">
        <f>IFERROR(__xludf.DUMMYFUNCTION("""COMPUTED_VALUE"""),21541.0)</f>
        <v>21541</v>
      </c>
      <c r="C773" s="3" t="str">
        <f>IFERROR(__xludf.DUMMYFUNCTION("""COMPUTED_VALUE"""),"MBC ถนนเทศาพัฒนา")</f>
        <v>MBC ถนนเทศาพัฒนา</v>
      </c>
      <c r="D773" s="3" t="str">
        <f>IFERROR(__xludf.DUMMYFUNCTION("""COMPUTED_VALUE"""),"BCM TANON TESAPATTANA")</f>
        <v>BCM TANON TESAPATTANA</v>
      </c>
      <c r="E773" s="1" t="str">
        <f>IFERROR(__xludf.DUMMYFUNCTION("""COMPUTED_VALUE"""),"บิ๊กซี MINI")</f>
        <v>บิ๊กซี MINI</v>
      </c>
      <c r="F773" s="1" t="str">
        <f>IFERROR(__xludf.DUMMYFUNCTION("""COMPUTED_VALUE"""),"250760")</f>
        <v>250760</v>
      </c>
      <c r="G773" s="1" t="str">
        <f>IFERROR(__xludf.DUMMYFUNCTION("""COMPUTED_VALUE"""),"นายประทวน สาราบรรณ์")</f>
        <v>นายประทวน สาราบรรณ์</v>
      </c>
      <c r="H773" s="1" t="str">
        <f>IFERROR(__xludf.DUMMYFUNCTION("""COMPUTED_VALUE"""),"394100")</f>
        <v>394100</v>
      </c>
      <c r="I773" s="1" t="str">
        <f>IFERROR(__xludf.DUMMYFUNCTION("""COMPUTED_VALUE"""),"นายไพโรจน์ ถิระผะลิกะ")</f>
        <v>นายไพโรจน์ ถิระผะลิกะ</v>
      </c>
      <c r="J773" s="3">
        <f>IFERROR(__xludf.DUMMYFUNCTION("""COMPUTED_VALUE"""),2.0470331E7)</f>
        <v>20470331</v>
      </c>
      <c r="K773" s="3" t="str">
        <f>IFERROR(__xludf.DUMMYFUNCTION("""COMPUTED_VALUE"""),"นายสมชาย ลักษณะสุวรรณ")</f>
        <v>นายสมชาย ลักษณะสุวรรณ</v>
      </c>
      <c r="L773" s="1" t="str">
        <f>IFERROR(__xludf.DUMMYFUNCTION("""COMPUTED_VALUE"""),"15 K.Somchai L")</f>
        <v>15 K.Somchai L</v>
      </c>
      <c r="M773" s="1" t="str">
        <f>IFERROR(__xludf.DUMMYFUNCTION("""COMPUTED_VALUE"""),"0655107372")</f>
        <v>0655107372</v>
      </c>
      <c r="N773" s="3">
        <f>IFERROR(__xludf.DUMMYFUNCTION("""COMPUTED_VALUE"""),21723.0)</f>
        <v>21723</v>
      </c>
      <c r="O773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773" s="4">
        <f>IFERROR(__xludf.DUMMYFUNCTION("""COMPUTED_VALUE"""),46053.0)</f>
        <v>46053</v>
      </c>
      <c r="Q773" s="3" t="str">
        <f>IFERROR(__xludf.DUMMYFUNCTION("""COMPUTED_VALUE"""),"A")</f>
        <v>A</v>
      </c>
      <c r="R773" s="3" t="str">
        <f>IFERROR(__xludf.DUMMYFUNCTION("""COMPUTED_VALUE"""),"Small Format")</f>
        <v>Small Format</v>
      </c>
      <c r="S773" s="3" t="str">
        <f>IFERROR(__xludf.DUMMYFUNCTION("""COMPUTED_VALUE"""),"BCM")</f>
        <v>BCM</v>
      </c>
      <c r="T773" s="3" t="str">
        <f>IFERROR(__xludf.DUMMYFUNCTION("""COMPUTED_VALUE"""),"#N/A")</f>
        <v>#N/A</v>
      </c>
      <c r="U773" s="3" t="str">
        <f>IFERROR(__xludf.DUMMYFUNCTION("""COMPUTED_VALUE"""),"#N/A")</f>
        <v>#N/A</v>
      </c>
      <c r="V773" s="3" t="str">
        <f>IFERROR(__xludf.DUMMYFUNCTION("""COMPUTED_VALUE"""),"N")</f>
        <v>N</v>
      </c>
      <c r="W773" s="3">
        <f>IFERROR(__xludf.DUMMYFUNCTION("""COMPUTED_VALUE"""),211524.0)</f>
        <v>211524</v>
      </c>
      <c r="X773" s="3" t="str">
        <f>IFERROR(__xludf.DUMMYFUNCTION("""COMPUTED_VALUE"""),"134 ถนนเทศาพัฒนา ตำบลหาดใหญ่ อำเภอหาดใหญ่ จังหวัดสงขลา 90110")</f>
        <v>134 ถนนเทศาพัฒนา ตำบลหาดใหญ่ อำเภอหาดใหญ่ จังหวัดสงขลา 90110</v>
      </c>
      <c r="Y773" s="3" t="str">
        <f>IFERROR(__xludf.DUMMYFUNCTION("""COMPUTED_VALUE"""),"ถนนเทศาพัฒนา")</f>
        <v>ถนนเทศาพัฒนา</v>
      </c>
      <c r="Z773" s="3" t="str">
        <f>IFERROR(__xludf.DUMMYFUNCTION("""COMPUTED_VALUE"""),"หาดใหญ่")</f>
        <v>หาดใหญ่</v>
      </c>
      <c r="AA773" s="3" t="str">
        <f>IFERROR(__xludf.DUMMYFUNCTION("""COMPUTED_VALUE"""),"หาดใหญ่")</f>
        <v>หาดใหญ่</v>
      </c>
      <c r="AB773" s="3" t="str">
        <f>IFERROR(__xludf.DUMMYFUNCTION("""COMPUTED_VALUE"""),"สงขลา")</f>
        <v>สงขลา</v>
      </c>
      <c r="AC773" s="3">
        <f>IFERROR(__xludf.DUMMYFUNCTION("""COMPUTED_VALUE"""),90110.0)</f>
        <v>90110</v>
      </c>
      <c r="AD773" s="3">
        <f>IFERROR(__xludf.DUMMYFUNCTION("""COMPUTED_VALUE"""),6.999009)</f>
        <v>6.999009</v>
      </c>
      <c r="AE773" s="3">
        <f>IFERROR(__xludf.DUMMYFUNCTION("""COMPUTED_VALUE"""),100.451091)</f>
        <v>100.451091</v>
      </c>
      <c r="AF773" s="3" t="str">
        <f>IFERROR(__xludf.DUMMYFUNCTION("""COMPUTED_VALUE"""),"MBC ถนนเทศาพัฒนา-21541")</f>
        <v>MBC ถนนเทศาพัฒนา-21541</v>
      </c>
      <c r="AG773" s="3" t="str">
        <f>IFERROR(__xludf.DUMMYFUNCTION("""COMPUTED_VALUE"""),"ใต้")</f>
        <v>ใต้</v>
      </c>
      <c r="AH773" s="3" t="str">
        <f>IFERROR(__xludf.DUMMYFUNCTION("""COMPUTED_VALUE"""),"#N/A")</f>
        <v>#N/A</v>
      </c>
      <c r="AI773" s="3" t="str">
        <f>IFERROR(__xludf.DUMMYFUNCTION("""COMPUTED_VALUE"""),"In warranty")</f>
        <v>In warranty</v>
      </c>
      <c r="AJ773" s="3">
        <f>IFERROR(__xludf.DUMMYFUNCTION("""COMPUTED_VALUE"""),0.0)</f>
        <v>0</v>
      </c>
      <c r="AK773" s="3" t="str">
        <f>IFERROR(__xludf.DUMMYFUNCTION("""COMPUTED_VALUE"""),"MMS16")</f>
        <v>MMS16</v>
      </c>
      <c r="AL773" s="3"/>
    </row>
    <row r="774" ht="15.75" customHeight="1">
      <c r="A774" s="1" t="str">
        <f>IFERROR(__xludf.DUMMYFUNCTION("""COMPUTED_VALUE"""),"21542")</f>
        <v>21542</v>
      </c>
      <c r="B774" s="2">
        <f>IFERROR(__xludf.DUMMYFUNCTION("""COMPUTED_VALUE"""),21542.0)</f>
        <v>21542</v>
      </c>
      <c r="C774" s="3" t="str">
        <f>IFERROR(__xludf.DUMMYFUNCTION("""COMPUTED_VALUE"""),"MBC สันทรายน้อย")</f>
        <v>MBC สันทรายน้อย</v>
      </c>
      <c r="D774" s="3" t="str">
        <f>IFERROR(__xludf.DUMMYFUNCTION("""COMPUTED_VALUE"""),"BCM SANSAINOI")</f>
        <v>BCM SANSAINOI</v>
      </c>
      <c r="E774" s="1" t="str">
        <f>IFERROR(__xludf.DUMMYFUNCTION("""COMPUTED_VALUE"""),"บิ๊กซี MINI")</f>
        <v>บิ๊กซี MINI</v>
      </c>
      <c r="F774" s="1" t="str">
        <f>IFERROR(__xludf.DUMMYFUNCTION("""COMPUTED_VALUE"""),"296229")</f>
        <v>296229</v>
      </c>
      <c r="G774" s="1" t="str">
        <f>IFERROR(__xludf.DUMMYFUNCTION("""COMPUTED_VALUE"""),"นายทนงศักดิ์ บุญมา")</f>
        <v>นายทนงศักดิ์ บุญมา</v>
      </c>
      <c r="H774" s="1" t="str">
        <f>IFERROR(__xludf.DUMMYFUNCTION("""COMPUTED_VALUE"""),"392003")</f>
        <v>392003</v>
      </c>
      <c r="I774" s="1" t="str">
        <f>IFERROR(__xludf.DUMMYFUNCTION("""COMPUTED_VALUE"""),"นายวรภพ เศษสูงเนิน")</f>
        <v>นายวรภพ เศษสูงเนิน</v>
      </c>
      <c r="J774" s="3">
        <f>IFERROR(__xludf.DUMMYFUNCTION("""COMPUTED_VALUE"""),46214.0)</f>
        <v>46214</v>
      </c>
      <c r="K774" s="3" t="str">
        <f>IFERROR(__xludf.DUMMYFUNCTION("""COMPUTED_VALUE"""),"นายศักดิ์ชัย เด็ดดอกฟ้า")</f>
        <v>นายศักดิ์ชัย เด็ดดอกฟ้า</v>
      </c>
      <c r="L774" s="1" t="str">
        <f>IFERROR(__xludf.DUMMYFUNCTION("""COMPUTED_VALUE"""),"02 K.Sakchai D")</f>
        <v>02 K.Sakchai D</v>
      </c>
      <c r="M774" s="1" t="str">
        <f>IFERROR(__xludf.DUMMYFUNCTION("""COMPUTED_VALUE"""),"065-510-7376")</f>
        <v>065-510-7376</v>
      </c>
      <c r="N774" s="3">
        <f>IFERROR(__xludf.DUMMYFUNCTION("""COMPUTED_VALUE"""),21441.0)</f>
        <v>21441</v>
      </c>
      <c r="O774" s="3" t="str">
        <f>IFERROR(__xludf.DUMMYFUNCTION("""COMPUTED_VALUE"""),"MBC บ้านกร่าง พิษณุโลก")</f>
        <v>MBC บ้านกร่าง พิษณุโลก</v>
      </c>
      <c r="P774" s="4">
        <f>IFERROR(__xludf.DUMMYFUNCTION("""COMPUTED_VALUE"""),43047.0)</f>
        <v>43047</v>
      </c>
      <c r="Q774" s="3" t="str">
        <f>IFERROR(__xludf.DUMMYFUNCTION("""COMPUTED_VALUE"""),"I")</f>
        <v>I</v>
      </c>
      <c r="R774" s="3" t="str">
        <f>IFERROR(__xludf.DUMMYFUNCTION("""COMPUTED_VALUE"""),"Small Format")</f>
        <v>Small Format</v>
      </c>
      <c r="S774" s="3" t="str">
        <f>IFERROR(__xludf.DUMMYFUNCTION("""COMPUTED_VALUE"""),"BCM")</f>
        <v>BCM</v>
      </c>
      <c r="T774" s="3" t="str">
        <f>IFERROR(__xludf.DUMMYFUNCTION("""COMPUTED_VALUE"""),"#N/A")</f>
        <v>#N/A</v>
      </c>
      <c r="U774" s="3" t="str">
        <f>IFERROR(__xludf.DUMMYFUNCTION("""COMPUTED_VALUE"""),"#N/A")</f>
        <v>#N/A</v>
      </c>
      <c r="V774" s="3" t="str">
        <f>IFERROR(__xludf.DUMMYFUNCTION("""COMPUTED_VALUE"""),"N")</f>
        <v>N</v>
      </c>
      <c r="W774" s="3">
        <f>IFERROR(__xludf.DUMMYFUNCTION("""COMPUTED_VALUE"""),211493.0)</f>
        <v>211493</v>
      </c>
      <c r="X774" s="3" t="str">
        <f>IFERROR(__xludf.DUMMYFUNCTION("""COMPUTED_VALUE"""),"14/1-3 หมู่6 ตำบลสันทรายน้อย อำเภอสันทราย จังหวัดเชียงใหม่ 50210")</f>
        <v>14/1-3 หมู่6 ตำบลสันทรายน้อย อำเภอสันทราย จังหวัดเชียงใหม่ 50210</v>
      </c>
      <c r="Y774" s="3"/>
      <c r="Z774" s="3" t="str">
        <f>IFERROR(__xludf.DUMMYFUNCTION("""COMPUTED_VALUE"""),"สันทรายน้อย")</f>
        <v>สันทรายน้อย</v>
      </c>
      <c r="AA774" s="3" t="str">
        <f>IFERROR(__xludf.DUMMYFUNCTION("""COMPUTED_VALUE"""),"สันทราย")</f>
        <v>สันทราย</v>
      </c>
      <c r="AB774" s="3" t="str">
        <f>IFERROR(__xludf.DUMMYFUNCTION("""COMPUTED_VALUE"""),"เชียงใหม่")</f>
        <v>เชียงใหม่</v>
      </c>
      <c r="AC774" s="3">
        <f>IFERROR(__xludf.DUMMYFUNCTION("""COMPUTED_VALUE"""),50210.0)</f>
        <v>50210</v>
      </c>
      <c r="AD774" s="3">
        <f>IFERROR(__xludf.DUMMYFUNCTION("""COMPUTED_VALUE"""),18.815527)</f>
        <v>18.815527</v>
      </c>
      <c r="AE774" s="3">
        <f>IFERROR(__xludf.DUMMYFUNCTION("""COMPUTED_VALUE"""),99.028983)</f>
        <v>99.028983</v>
      </c>
      <c r="AF774" s="3" t="str">
        <f>IFERROR(__xludf.DUMMYFUNCTION("""COMPUTED_VALUE"""),"MBC สันทรายน้อย-21542")</f>
        <v>MBC สันทรายน้อย-21542</v>
      </c>
      <c r="AG774" s="3" t="str">
        <f>IFERROR(__xludf.DUMMYFUNCTION("""COMPUTED_VALUE"""),"เหนือ")</f>
        <v>เหนือ</v>
      </c>
      <c r="AH774" s="3" t="str">
        <f>IFERROR(__xludf.DUMMYFUNCTION("""COMPUTED_VALUE"""),"#N/A")</f>
        <v>#N/A</v>
      </c>
      <c r="AI774" s="3" t="str">
        <f>IFERROR(__xludf.DUMMYFUNCTION("""COMPUTED_VALUE"""),"Out of warranty")</f>
        <v>Out of warranty</v>
      </c>
      <c r="AJ774" s="3">
        <f>IFERROR(__xludf.DUMMYFUNCTION("""COMPUTED_VALUE"""),99.0)</f>
        <v>99</v>
      </c>
      <c r="AK774" s="3"/>
      <c r="AL774" s="3"/>
    </row>
    <row r="775" ht="15.75" customHeight="1">
      <c r="A775" s="1" t="str">
        <f>IFERROR(__xludf.DUMMYFUNCTION("""COMPUTED_VALUE"""),"21543")</f>
        <v>21543</v>
      </c>
      <c r="B775" s="2">
        <f>IFERROR(__xludf.DUMMYFUNCTION("""COMPUTED_VALUE"""),21543.0)</f>
        <v>21543</v>
      </c>
      <c r="C775" s="3" t="str">
        <f>IFERROR(__xludf.DUMMYFUNCTION("""COMPUTED_VALUE"""),"MBC ทิวลิป สแควร์")</f>
        <v>MBC ทิวลิป สแควร์</v>
      </c>
      <c r="D775" s="3" t="str">
        <f>IFERROR(__xludf.DUMMYFUNCTION("""COMPUTED_VALUE"""),"BCM TULIPSQUARE")</f>
        <v>BCM TULIPSQUARE</v>
      </c>
      <c r="E775" s="1" t="str">
        <f>IFERROR(__xludf.DUMMYFUNCTION("""COMPUTED_VALUE"""),"บิ๊กซี MINI")</f>
        <v>บิ๊กซี MINI</v>
      </c>
      <c r="F775" s="1" t="str">
        <f>IFERROR(__xludf.DUMMYFUNCTION("""COMPUTED_VALUE"""),"2083447")</f>
        <v>2083447</v>
      </c>
      <c r="G775" s="1" t="str">
        <f>IFERROR(__xludf.DUMMYFUNCTION("""COMPUTED_VALUE"""),"นายอนุกูล ศรีลัดดา")</f>
        <v>นายอนุกูล ศรีลัดดา</v>
      </c>
      <c r="H775" s="1" t="str">
        <f>IFERROR(__xludf.DUMMYFUNCTION("""COMPUTED_VALUE"""),"2455053")</f>
        <v>2455053</v>
      </c>
      <c r="I775" s="1" t="str">
        <f>IFERROR(__xludf.DUMMYFUNCTION("""COMPUTED_VALUE"""),"นายพันธมิตร โพธิ")</f>
        <v>นายพันธมิตร โพธิ</v>
      </c>
      <c r="J775" s="3">
        <f>IFERROR(__xludf.DUMMYFUNCTION("""COMPUTED_VALUE"""),2451655.0)</f>
        <v>2451655</v>
      </c>
      <c r="K775" s="3" t="str">
        <f>IFERROR(__xludf.DUMMYFUNCTION("""COMPUTED_VALUE"""),"นายวิษณุพงษ์ ชินบุตร")</f>
        <v>นายวิษณุพงษ์ ชินบุตร</v>
      </c>
      <c r="L775" s="1" t="str">
        <f>IFERROR(__xludf.DUMMYFUNCTION("""COMPUTED_VALUE"""),"13 K.Wisanupong Ch")</f>
        <v>13 K.Wisanupong Ch</v>
      </c>
      <c r="M775" s="1" t="str">
        <f>IFERROR(__xludf.DUMMYFUNCTION("""COMPUTED_VALUE"""),"0843374693")</f>
        <v>0843374693</v>
      </c>
      <c r="N775" s="3">
        <f>IFERROR(__xludf.DUMMYFUNCTION("""COMPUTED_VALUE"""),22729.0)</f>
        <v>22729</v>
      </c>
      <c r="O775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775" s="4">
        <f>IFERROR(__xludf.DUMMYFUNCTION("""COMPUTED_VALUE"""),43085.0)</f>
        <v>43085</v>
      </c>
      <c r="Q775" s="3" t="str">
        <f>IFERROR(__xludf.DUMMYFUNCTION("""COMPUTED_VALUE"""),"A")</f>
        <v>A</v>
      </c>
      <c r="R775" s="3" t="str">
        <f>IFERROR(__xludf.DUMMYFUNCTION("""COMPUTED_VALUE"""),"Small Format")</f>
        <v>Small Format</v>
      </c>
      <c r="S775" s="3" t="str">
        <f>IFERROR(__xludf.DUMMYFUNCTION("""COMPUTED_VALUE"""),"BCM")</f>
        <v>BCM</v>
      </c>
      <c r="T775" s="3" t="str">
        <f>IFERROR(__xludf.DUMMYFUNCTION("""COMPUTED_VALUE"""),"#N/A")</f>
        <v>#N/A</v>
      </c>
      <c r="U775" s="3" t="str">
        <f>IFERROR(__xludf.DUMMYFUNCTION("""COMPUTED_VALUE"""),"#N/A")</f>
        <v>#N/A</v>
      </c>
      <c r="V775" s="3" t="str">
        <f>IFERROR(__xludf.DUMMYFUNCTION("""COMPUTED_VALUE"""),"N")</f>
        <v>N</v>
      </c>
      <c r="W775" s="3">
        <f>IFERROR(__xludf.DUMMYFUNCTION("""COMPUTED_VALUE"""),211508.0)</f>
        <v>211508</v>
      </c>
      <c r="X775" s="3" t="str">
        <f>IFERROR(__xludf.DUMMYFUNCTION("""COMPUTED_VALUE"""),"248/2 หมู่12 ตำบลอ้อมน้อย อำเภอกระทุ่มแบน จังหวัดสมุทรสาคร 74130")</f>
        <v>248/2 หมู่12 ตำบลอ้อมน้อย อำเภอกระทุ่มแบน จังหวัดสมุทรสาคร 74130</v>
      </c>
      <c r="Y775" s="3"/>
      <c r="Z775" s="3" t="str">
        <f>IFERROR(__xludf.DUMMYFUNCTION("""COMPUTED_VALUE"""),"อ้อมน้อย")</f>
        <v>อ้อมน้อย</v>
      </c>
      <c r="AA775" s="3" t="str">
        <f>IFERROR(__xludf.DUMMYFUNCTION("""COMPUTED_VALUE"""),"กระทุ่มแบน")</f>
        <v>กระทุ่มแบน</v>
      </c>
      <c r="AB775" s="3" t="str">
        <f>IFERROR(__xludf.DUMMYFUNCTION("""COMPUTED_VALUE"""),"สมุทรสาคร")</f>
        <v>สมุทรสาคร</v>
      </c>
      <c r="AC775" s="3">
        <f>IFERROR(__xludf.DUMMYFUNCTION("""COMPUTED_VALUE"""),74130.0)</f>
        <v>74130</v>
      </c>
      <c r="AD775" s="3">
        <f>IFERROR(__xludf.DUMMYFUNCTION("""COMPUTED_VALUE"""),13.70447)</f>
        <v>13.70447</v>
      </c>
      <c r="AE775" s="3">
        <f>IFERROR(__xludf.DUMMYFUNCTION("""COMPUTED_VALUE"""),100.322546)</f>
        <v>100.322546</v>
      </c>
      <c r="AF775" s="3" t="str">
        <f>IFERROR(__xludf.DUMMYFUNCTION("""COMPUTED_VALUE"""),"MBC ทิวลิป สแควร์-21543")</f>
        <v>MBC ทิวลิป สแควร์-21543</v>
      </c>
      <c r="AG775" s="3" t="str">
        <f>IFERROR(__xludf.DUMMYFUNCTION("""COMPUTED_VALUE"""),"กลาง")</f>
        <v>กลาง</v>
      </c>
      <c r="AH775" s="3" t="str">
        <f>IFERROR(__xludf.DUMMYFUNCTION("""COMPUTED_VALUE"""),"#N/A")</f>
        <v>#N/A</v>
      </c>
      <c r="AI775" s="3" t="str">
        <f>IFERROR(__xludf.DUMMYFUNCTION("""COMPUTED_VALUE"""),"Out of warranty")</f>
        <v>Out of warranty</v>
      </c>
      <c r="AJ775" s="3">
        <f>IFERROR(__xludf.DUMMYFUNCTION("""COMPUTED_VALUE"""),98.0)</f>
        <v>98</v>
      </c>
      <c r="AK775" s="3" t="str">
        <f>IFERROR(__xludf.DUMMYFUNCTION("""COMPUTED_VALUE"""),"MMS05")</f>
        <v>MMS05</v>
      </c>
      <c r="AL775" s="3"/>
    </row>
    <row r="776" ht="15.75" customHeight="1">
      <c r="A776" s="1" t="str">
        <f>IFERROR(__xludf.DUMMYFUNCTION("""COMPUTED_VALUE"""),"21544")</f>
        <v>21544</v>
      </c>
      <c r="B776" s="2">
        <f>IFERROR(__xludf.DUMMYFUNCTION("""COMPUTED_VALUE"""),21544.0)</f>
        <v>21544</v>
      </c>
      <c r="C776" s="3" t="str">
        <f>IFERROR(__xludf.DUMMYFUNCTION("""COMPUTED_VALUE"""),"MBC สุขประยูร นาป่า")</f>
        <v>MBC สุขประยูร นาป่า</v>
      </c>
      <c r="D776" s="3" t="str">
        <f>IFERROR(__xludf.DUMMYFUNCTION("""COMPUTED_VALUE"""),"BCM SUKPRAYUN NAPA")</f>
        <v>BCM SUKPRAYUN NAPA</v>
      </c>
      <c r="E776" s="1" t="str">
        <f>IFERROR(__xludf.DUMMYFUNCTION("""COMPUTED_VALUE"""),"บิ๊กซี MINI")</f>
        <v>บิ๊กซี MINI</v>
      </c>
      <c r="F776" s="1" t="str">
        <f>IFERROR(__xludf.DUMMYFUNCTION("""COMPUTED_VALUE"""),"221716")</f>
        <v>221716</v>
      </c>
      <c r="G776" s="1" t="str">
        <f>IFERROR(__xludf.DUMMYFUNCTION("""COMPUTED_VALUE"""),"น.ส.เบญจพร โพธิสาร")</f>
        <v>น.ส.เบญจพร โพธิสาร</v>
      </c>
      <c r="H776" s="1" t="str">
        <f>IFERROR(__xludf.DUMMYFUNCTION("""COMPUTED_VALUE"""),"034605")</f>
        <v>034605</v>
      </c>
      <c r="I776" s="1" t="str">
        <f>IFERROR(__xludf.DUMMYFUNCTION("""COMPUTED_VALUE"""),"นายธรรมรัตน์ สุขเจริญ")</f>
        <v>นายธรรมรัตน์ สุขเจริญ</v>
      </c>
      <c r="J776" s="3">
        <f>IFERROR(__xludf.DUMMYFUNCTION("""COMPUTED_VALUE"""),1.3461215E7)</f>
        <v>13461215</v>
      </c>
      <c r="K776" s="3" t="str">
        <f>IFERROR(__xludf.DUMMYFUNCTION("""COMPUTED_VALUE"""),"นายธีรภัทร สังข์เงิน")</f>
        <v>นายธีรภัทร สังข์เงิน</v>
      </c>
      <c r="L776" s="1" t="str">
        <f>IFERROR(__xludf.DUMMYFUNCTION("""COMPUTED_VALUE"""),"06 K.Teerapat")</f>
        <v>06 K.Teerapat</v>
      </c>
      <c r="M776" s="1" t="str">
        <f>IFERROR(__xludf.DUMMYFUNCTION("""COMPUTED_VALUE"""),"063-601-6803")</f>
        <v>063-601-6803</v>
      </c>
      <c r="N776" s="3">
        <f>IFERROR(__xludf.DUMMYFUNCTION("""COMPUTED_VALUE"""),22115.0)</f>
        <v>22115</v>
      </c>
      <c r="O776" s="3" t="str">
        <f>IFERROR(__xludf.DUMMYFUNCTION("""COMPUTED_VALUE"""),"MBC เลี่ยงหนองมน ชลบุรี")</f>
        <v>MBC เลี่ยงหนองมน ชลบุรี</v>
      </c>
      <c r="P776" s="4">
        <f>IFERROR(__xludf.DUMMYFUNCTION("""COMPUTED_VALUE"""),43092.0)</f>
        <v>43092</v>
      </c>
      <c r="Q776" s="3" t="str">
        <f>IFERROR(__xludf.DUMMYFUNCTION("""COMPUTED_VALUE"""),"A")</f>
        <v>A</v>
      </c>
      <c r="R776" s="3" t="str">
        <f>IFERROR(__xludf.DUMMYFUNCTION("""COMPUTED_VALUE"""),"Small Format")</f>
        <v>Small Format</v>
      </c>
      <c r="S776" s="3" t="str">
        <f>IFERROR(__xludf.DUMMYFUNCTION("""COMPUTED_VALUE"""),"BCM")</f>
        <v>BCM</v>
      </c>
      <c r="T776" s="3" t="str">
        <f>IFERROR(__xludf.DUMMYFUNCTION("""COMPUTED_VALUE"""),"#N/A")</f>
        <v>#N/A</v>
      </c>
      <c r="U776" s="3" t="str">
        <f>IFERROR(__xludf.DUMMYFUNCTION("""COMPUTED_VALUE"""),"#N/A")</f>
        <v>#N/A</v>
      </c>
      <c r="V776" s="3" t="str">
        <f>IFERROR(__xludf.DUMMYFUNCTION("""COMPUTED_VALUE"""),"N")</f>
        <v>N</v>
      </c>
      <c r="W776" s="3">
        <f>IFERROR(__xludf.DUMMYFUNCTION("""COMPUTED_VALUE"""),211491.0)</f>
        <v>211491</v>
      </c>
      <c r="X776" s="3" t="str">
        <f>IFERROR(__xludf.DUMMYFUNCTION("""COMPUTED_VALUE"""),"82/19-21 หมู่11 ตำบลนาป่า อำเภอเมืองชลบุรี จังหวัดชลบุรี 20000")</f>
        <v>82/19-21 หมู่11 ตำบลนาป่า อำเภอเมืองชลบุรี จังหวัดชลบุรี 20000</v>
      </c>
      <c r="Y776" s="3"/>
      <c r="Z776" s="3" t="str">
        <f>IFERROR(__xludf.DUMMYFUNCTION("""COMPUTED_VALUE"""),"นาป่า")</f>
        <v>นาป่า</v>
      </c>
      <c r="AA776" s="3" t="str">
        <f>IFERROR(__xludf.DUMMYFUNCTION("""COMPUTED_VALUE"""),"เมือง")</f>
        <v>เมือง</v>
      </c>
      <c r="AB776" s="3" t="str">
        <f>IFERROR(__xludf.DUMMYFUNCTION("""COMPUTED_VALUE"""),"ชลบุรี")</f>
        <v>ชลบุรี</v>
      </c>
      <c r="AC776" s="3">
        <f>IFERROR(__xludf.DUMMYFUNCTION("""COMPUTED_VALUE"""),20000.0)</f>
        <v>20000</v>
      </c>
      <c r="AD776" s="3">
        <f>IFERROR(__xludf.DUMMYFUNCTION("""COMPUTED_VALUE"""),13.394712)</f>
        <v>13.394712</v>
      </c>
      <c r="AE776" s="3">
        <f>IFERROR(__xludf.DUMMYFUNCTION("""COMPUTED_VALUE"""),101.022655)</f>
        <v>101.022655</v>
      </c>
      <c r="AF776" s="3" t="str">
        <f>IFERROR(__xludf.DUMMYFUNCTION("""COMPUTED_VALUE"""),"MBC สุขประยูร นาป่า-21544")</f>
        <v>MBC สุขประยูร นาป่า-21544</v>
      </c>
      <c r="AG776" s="3" t="str">
        <f>IFERROR(__xludf.DUMMYFUNCTION("""COMPUTED_VALUE"""),"ตะวันออก")</f>
        <v>ตะวันออก</v>
      </c>
      <c r="AH776" s="3" t="str">
        <f>IFERROR(__xludf.DUMMYFUNCTION("""COMPUTED_VALUE"""),"#N/A")</f>
        <v>#N/A</v>
      </c>
      <c r="AI776" s="3" t="str">
        <f>IFERROR(__xludf.DUMMYFUNCTION("""COMPUTED_VALUE"""),"Out of warranty")</f>
        <v>Out of warranty</v>
      </c>
      <c r="AJ776" s="3">
        <f>IFERROR(__xludf.DUMMYFUNCTION("""COMPUTED_VALUE"""),97.0)</f>
        <v>97</v>
      </c>
      <c r="AK776" s="3" t="str">
        <f>IFERROR(__xludf.DUMMYFUNCTION("""COMPUTED_VALUE"""),"MMS06")</f>
        <v>MMS06</v>
      </c>
      <c r="AL776" s="3"/>
    </row>
    <row r="777" ht="15.75" customHeight="1">
      <c r="A777" s="1" t="str">
        <f>IFERROR(__xludf.DUMMYFUNCTION("""COMPUTED_VALUE"""),"21545")</f>
        <v>21545</v>
      </c>
      <c r="B777" s="2">
        <f>IFERROR(__xludf.DUMMYFUNCTION("""COMPUTED_VALUE"""),21545.0)</f>
        <v>21545</v>
      </c>
      <c r="C777" s="3" t="str">
        <f>IFERROR(__xludf.DUMMYFUNCTION("""COMPUTED_VALUE"""),"MBC หมู่บ้านสินทวีพระราม 2 ซอย 43")</f>
        <v>MBC หมู่บ้านสินทวีพระราม 2 ซอย 43</v>
      </c>
      <c r="D777" s="3" t="str">
        <f>IFERROR(__xludf.DUMMYFUNCTION("""COMPUTED_VALUE"""),"BCM BANSINTHAWEE RAMA2 SOI43")</f>
        <v>BCM BANSINTHAWEE RAMA2 SOI43</v>
      </c>
      <c r="E777" s="1" t="str">
        <f>IFERROR(__xludf.DUMMYFUNCTION("""COMPUTED_VALUE"""),"บิ๊กซี MINI")</f>
        <v>บิ๊กซี MINI</v>
      </c>
      <c r="F777" s="1" t="str">
        <f>IFERROR(__xludf.DUMMYFUNCTION("""COMPUTED_VALUE"""),"291008")</f>
        <v>291008</v>
      </c>
      <c r="G777" s="1" t="str">
        <f>IFERROR(__xludf.DUMMYFUNCTION("""COMPUTED_VALUE"""),"น.ส.รัชดาพร อีศรัตน์")</f>
        <v>น.ส.รัชดาพร อีศรัตน์</v>
      </c>
      <c r="H777" s="1" t="str">
        <f>IFERROR(__xludf.DUMMYFUNCTION("""COMPUTED_VALUE"""),"254800")</f>
        <v>254800</v>
      </c>
      <c r="I777" s="1" t="str">
        <f>IFERROR(__xludf.DUMMYFUNCTION("""COMPUTED_VALUE"""),"น.ส.นัชมล กางกรณ์")</f>
        <v>น.ส.นัชมล กางกรณ์</v>
      </c>
      <c r="J777" s="3">
        <f>IFERROR(__xludf.DUMMYFUNCTION("""COMPUTED_VALUE"""),296608.0)</f>
        <v>296608</v>
      </c>
      <c r="K777" s="3" t="str">
        <f>IFERROR(__xludf.DUMMYFUNCTION("""COMPUTED_VALUE"""),"นายภาคภูมิ เพ็ชรนิล")</f>
        <v>นายภาคภูมิ เพ็ชรนิล</v>
      </c>
      <c r="L777" s="1" t="str">
        <f>IFERROR(__xludf.DUMMYFUNCTION("""COMPUTED_VALUE"""),"10 K.Phakphoom P.")</f>
        <v>10 K.Phakphoom P.</v>
      </c>
      <c r="M777" s="1" t="str">
        <f>IFERROR(__xludf.DUMMYFUNCTION("""COMPUTED_VALUE"""),"063-8955329")</f>
        <v>063-8955329</v>
      </c>
      <c r="N777" s="3">
        <f>IFERROR(__xludf.DUMMYFUNCTION("""COMPUTED_VALUE"""),22584.0)</f>
        <v>22584</v>
      </c>
      <c r="O777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777" s="4">
        <f>IFERROR(__xludf.DUMMYFUNCTION("""COMPUTED_VALUE"""),43098.0)</f>
        <v>43098</v>
      </c>
      <c r="Q777" s="3" t="str">
        <f>IFERROR(__xludf.DUMMYFUNCTION("""COMPUTED_VALUE"""),"A")</f>
        <v>A</v>
      </c>
      <c r="R777" s="3" t="str">
        <f>IFERROR(__xludf.DUMMYFUNCTION("""COMPUTED_VALUE"""),"Small Format")</f>
        <v>Small Format</v>
      </c>
      <c r="S777" s="3" t="str">
        <f>IFERROR(__xludf.DUMMYFUNCTION("""COMPUTED_VALUE"""),"BCM")</f>
        <v>BCM</v>
      </c>
      <c r="T777" s="3" t="str">
        <f>IFERROR(__xludf.DUMMYFUNCTION("""COMPUTED_VALUE"""),"#N/A")</f>
        <v>#N/A</v>
      </c>
      <c r="U777" s="3" t="str">
        <f>IFERROR(__xludf.DUMMYFUNCTION("""COMPUTED_VALUE"""),"#N/A")</f>
        <v>#N/A</v>
      </c>
      <c r="V777" s="3" t="str">
        <f>IFERROR(__xludf.DUMMYFUNCTION("""COMPUTED_VALUE"""),"N")</f>
        <v>N</v>
      </c>
      <c r="W777" s="3">
        <f>IFERROR(__xludf.DUMMYFUNCTION("""COMPUTED_VALUE"""),211441.0)</f>
        <v>211441</v>
      </c>
      <c r="X777" s="3" t="str">
        <f>IFERROR(__xludf.DUMMYFUNCTION("""COMPUTED_VALUE"""),"1463,1465,1467 ซอยพระรามที่2 ซอย43 แขวงบางมด เขตจอมทอง กรุงเทพมหานคร 10150")</f>
        <v>1463,1465,1467 ซอยพระรามที่2 ซอย43 แขวงบางมด เขตจอมทอง กรุงเทพมหานคร 10150</v>
      </c>
      <c r="Y777" s="3" t="str">
        <f>IFERROR(__xludf.DUMMYFUNCTION("""COMPUTED_VALUE"""),"ซอยพระรามที่2")</f>
        <v>ซอยพระรามที่2</v>
      </c>
      <c r="Z777" s="3" t="str">
        <f>IFERROR(__xludf.DUMMYFUNCTION("""COMPUTED_VALUE"""),"บางมด")</f>
        <v>บางมด</v>
      </c>
      <c r="AA777" s="3" t="str">
        <f>IFERROR(__xludf.DUMMYFUNCTION("""COMPUTED_VALUE"""),"จอมทอง")</f>
        <v>จอมทอง</v>
      </c>
      <c r="AB777" s="3" t="str">
        <f>IFERROR(__xludf.DUMMYFUNCTION("""COMPUTED_VALUE"""),"กรุงเทพมหานคร")</f>
        <v>กรุงเทพมหานคร</v>
      </c>
      <c r="AC777" s="3">
        <f>IFERROR(__xludf.DUMMYFUNCTION("""COMPUTED_VALUE"""),10150.0)</f>
        <v>10150</v>
      </c>
      <c r="AD777" s="3">
        <f>IFERROR(__xludf.DUMMYFUNCTION("""COMPUTED_VALUE"""),13.666757)</f>
        <v>13.666757</v>
      </c>
      <c r="AE777" s="3">
        <f>IFERROR(__xludf.DUMMYFUNCTION("""COMPUTED_VALUE"""),100.4578325)</f>
        <v>100.4578325</v>
      </c>
      <c r="AF777" s="3" t="str">
        <f>IFERROR(__xludf.DUMMYFUNCTION("""COMPUTED_VALUE"""),"MBC หมู่บ้านสินทวีพระราม 2 ซอย 43-21545")</f>
        <v>MBC หมู่บ้านสินทวีพระราม 2 ซอย 43-21545</v>
      </c>
      <c r="AG777" s="3" t="str">
        <f>IFERROR(__xludf.DUMMYFUNCTION("""COMPUTED_VALUE"""),"กลาง")</f>
        <v>กลาง</v>
      </c>
      <c r="AH777" s="3" t="str">
        <f>IFERROR(__xludf.DUMMYFUNCTION("""COMPUTED_VALUE"""),"#N/A")</f>
        <v>#N/A</v>
      </c>
      <c r="AI777" s="3" t="str">
        <f>IFERROR(__xludf.DUMMYFUNCTION("""COMPUTED_VALUE"""),"Out of warranty")</f>
        <v>Out of warranty</v>
      </c>
      <c r="AJ777" s="3">
        <f>IFERROR(__xludf.DUMMYFUNCTION("""COMPUTED_VALUE"""),97.0)</f>
        <v>97</v>
      </c>
      <c r="AK777" s="3" t="str">
        <f>IFERROR(__xludf.DUMMYFUNCTION("""COMPUTED_VALUE"""),"MMS02")</f>
        <v>MMS02</v>
      </c>
      <c r="AL777" s="3"/>
    </row>
    <row r="778" ht="15.75" customHeight="1">
      <c r="A778" s="1" t="str">
        <f>IFERROR(__xludf.DUMMYFUNCTION("""COMPUTED_VALUE"""),"21546")</f>
        <v>21546</v>
      </c>
      <c r="B778" s="2">
        <f>IFERROR(__xludf.DUMMYFUNCTION("""COMPUTED_VALUE"""),21546.0)</f>
        <v>21546</v>
      </c>
      <c r="C778" s="3" t="str">
        <f>IFERROR(__xludf.DUMMYFUNCTION("""COMPUTED_VALUE"""),"MBC แยกวังตาผิน")</f>
        <v>MBC แยกวังตาผิน</v>
      </c>
      <c r="D778" s="3" t="str">
        <f>IFERROR(__xludf.DUMMYFUNCTION("""COMPUTED_VALUE"""),"BCM YAK WANG TA PHIN")</f>
        <v>BCM YAK WANG TA PHIN</v>
      </c>
      <c r="E778" s="1" t="str">
        <f>IFERROR(__xludf.DUMMYFUNCTION("""COMPUTED_VALUE"""),"บิ๊กซี MINI")</f>
        <v>บิ๊กซี MINI</v>
      </c>
      <c r="F778" s="1" t="str">
        <f>IFERROR(__xludf.DUMMYFUNCTION("""COMPUTED_VALUE"""),"221716")</f>
        <v>221716</v>
      </c>
      <c r="G778" s="1" t="str">
        <f>IFERROR(__xludf.DUMMYFUNCTION("""COMPUTED_VALUE"""),"น.ส.เบญจพร โพธิสาร")</f>
        <v>น.ส.เบญจพร โพธิสาร</v>
      </c>
      <c r="H778" s="1" t="str">
        <f>IFERROR(__xludf.DUMMYFUNCTION("""COMPUTED_VALUE"""),"371384")</f>
        <v>371384</v>
      </c>
      <c r="I778" s="1" t="str">
        <f>IFERROR(__xludf.DUMMYFUNCTION("""COMPUTED_VALUE"""),"น.ส.นิลเนตร สิงห์ทอง")</f>
        <v>น.ส.นิลเนตร สิงห์ทอง</v>
      </c>
      <c r="J778" s="3">
        <f>IFERROR(__xludf.DUMMYFUNCTION("""COMPUTED_VALUE"""),2452376.0)</f>
        <v>2452376</v>
      </c>
      <c r="K778" s="3" t="str">
        <f>IFERROR(__xludf.DUMMYFUNCTION("""COMPUTED_VALUE"""),"นายภาคภูมิ ทวีกุล")</f>
        <v>นายภาคภูมิ ทวีกุล</v>
      </c>
      <c r="L778" s="1" t="str">
        <f>IFERROR(__xludf.DUMMYFUNCTION("""COMPUTED_VALUE"""),"08 K.Parkphum T.")</f>
        <v>08 K.Parkphum T.</v>
      </c>
      <c r="M778" s="1" t="str">
        <f>IFERROR(__xludf.DUMMYFUNCTION("""COMPUTED_VALUE"""),"097-919-5476")</f>
        <v>097-919-5476</v>
      </c>
      <c r="N778" s="3">
        <f>IFERROR(__xludf.DUMMYFUNCTION("""COMPUTED_VALUE"""),22028.0)</f>
        <v>22028</v>
      </c>
      <c r="O778" s="3" t="str">
        <f>IFERROR(__xludf.DUMMYFUNCTION("""COMPUTED_VALUE"""),"MBC ทํบมา ระยอง")</f>
        <v>MBC ทํบมา ระยอง</v>
      </c>
      <c r="P778" s="4">
        <f>IFERROR(__xludf.DUMMYFUNCTION("""COMPUTED_VALUE"""),43055.0)</f>
        <v>43055</v>
      </c>
      <c r="Q778" s="3" t="str">
        <f>IFERROR(__xludf.DUMMYFUNCTION("""COMPUTED_VALUE"""),"A")</f>
        <v>A</v>
      </c>
      <c r="R778" s="3" t="str">
        <f>IFERROR(__xludf.DUMMYFUNCTION("""COMPUTED_VALUE"""),"Small Format")</f>
        <v>Small Format</v>
      </c>
      <c r="S778" s="3" t="str">
        <f>IFERROR(__xludf.DUMMYFUNCTION("""COMPUTED_VALUE"""),"BCM")</f>
        <v>BCM</v>
      </c>
      <c r="T778" s="3" t="str">
        <f>IFERROR(__xludf.DUMMYFUNCTION("""COMPUTED_VALUE"""),"#N/A")</f>
        <v>#N/A</v>
      </c>
      <c r="U778" s="3" t="str">
        <f>IFERROR(__xludf.DUMMYFUNCTION("""COMPUTED_VALUE"""),"#N/A")</f>
        <v>#N/A</v>
      </c>
      <c r="V778" s="3" t="str">
        <f>IFERROR(__xludf.DUMMYFUNCTION("""COMPUTED_VALUE"""),"N")</f>
        <v>N</v>
      </c>
      <c r="W778" s="3">
        <f>IFERROR(__xludf.DUMMYFUNCTION("""COMPUTED_VALUE"""),211513.0)</f>
        <v>211513</v>
      </c>
      <c r="X778" s="3" t="str">
        <f>IFERROR(__xludf.DUMMYFUNCTION("""COMPUTED_VALUE"""),"2222,2222/1-2 หมู่4 ตำบลปลวกแดง อำเภอปลวกแดง จังหวัดระยอง 21140")</f>
        <v>2222,2222/1-2 หมู่4 ตำบลปลวกแดง อำเภอปลวกแดง จังหวัดระยอง 21140</v>
      </c>
      <c r="Y778" s="3"/>
      <c r="Z778" s="3" t="str">
        <f>IFERROR(__xludf.DUMMYFUNCTION("""COMPUTED_VALUE"""),"ปลวกแดง")</f>
        <v>ปลวกแดง</v>
      </c>
      <c r="AA778" s="3" t="str">
        <f>IFERROR(__xludf.DUMMYFUNCTION("""COMPUTED_VALUE"""),"ปลวกแดง")</f>
        <v>ปลวกแดง</v>
      </c>
      <c r="AB778" s="3" t="str">
        <f>IFERROR(__xludf.DUMMYFUNCTION("""COMPUTED_VALUE"""),"ระยอง")</f>
        <v>ระยอง</v>
      </c>
      <c r="AC778" s="3">
        <f>IFERROR(__xludf.DUMMYFUNCTION("""COMPUTED_VALUE"""),21140.0)</f>
        <v>21140</v>
      </c>
      <c r="AD778" s="3">
        <f>IFERROR(__xludf.DUMMYFUNCTION("""COMPUTED_VALUE"""),12.977029)</f>
        <v>12.977029</v>
      </c>
      <c r="AE778" s="3">
        <f>IFERROR(__xludf.DUMMYFUNCTION("""COMPUTED_VALUE"""),101.202943)</f>
        <v>101.202943</v>
      </c>
      <c r="AF778" s="3" t="str">
        <f>IFERROR(__xludf.DUMMYFUNCTION("""COMPUTED_VALUE"""),"MBC แยกวังตาผิน-21546")</f>
        <v>MBC แยกวังตาผิน-21546</v>
      </c>
      <c r="AG778" s="3" t="str">
        <f>IFERROR(__xludf.DUMMYFUNCTION("""COMPUTED_VALUE"""),"ตะวันออก")</f>
        <v>ตะวันออก</v>
      </c>
      <c r="AH778" s="3" t="str">
        <f>IFERROR(__xludf.DUMMYFUNCTION("""COMPUTED_VALUE"""),"#N/A")</f>
        <v>#N/A</v>
      </c>
      <c r="AI778" s="3" t="str">
        <f>IFERROR(__xludf.DUMMYFUNCTION("""COMPUTED_VALUE"""),"Out of warranty")</f>
        <v>Out of warranty</v>
      </c>
      <c r="AJ778" s="3">
        <f>IFERROR(__xludf.DUMMYFUNCTION("""COMPUTED_VALUE"""),99.0)</f>
        <v>99</v>
      </c>
      <c r="AK778" s="3" t="str">
        <f>IFERROR(__xludf.DUMMYFUNCTION("""COMPUTED_VALUE"""),"MMS07")</f>
        <v>MMS07</v>
      </c>
      <c r="AL778" s="3"/>
    </row>
    <row r="779" ht="15.75" customHeight="1">
      <c r="A779" s="1" t="str">
        <f>IFERROR(__xludf.DUMMYFUNCTION("""COMPUTED_VALUE"""),"21547")</f>
        <v>21547</v>
      </c>
      <c r="B779" s="2">
        <f>IFERROR(__xludf.DUMMYFUNCTION("""COMPUTED_VALUE"""),21547.0)</f>
        <v>21547</v>
      </c>
      <c r="C779" s="3" t="str">
        <f>IFERROR(__xludf.DUMMYFUNCTION("""COMPUTED_VALUE"""),"MBC โคกกรวด")</f>
        <v>MBC โคกกรวด</v>
      </c>
      <c r="D779" s="3" t="str">
        <f>IFERROR(__xludf.DUMMYFUNCTION("""COMPUTED_VALUE"""),"BCM KHOK KRUAT")</f>
        <v>BCM KHOK KRUAT</v>
      </c>
      <c r="E779" s="1" t="str">
        <f>IFERROR(__xludf.DUMMYFUNCTION("""COMPUTED_VALUE"""),"บิ๊กซี MINI")</f>
        <v>บิ๊กซี MINI</v>
      </c>
      <c r="F779" s="1" t="str">
        <f>IFERROR(__xludf.DUMMYFUNCTION("""COMPUTED_VALUE"""),"291105")</f>
        <v>291105</v>
      </c>
      <c r="G779" s="1" t="str">
        <f>IFERROR(__xludf.DUMMYFUNCTION("""COMPUTED_VALUE"""),"นายสราวุฒิ พณิชยกุล")</f>
        <v>นายสราวุฒิ พณิชยกุล</v>
      </c>
      <c r="H779" s="1" t="str">
        <f>IFERROR(__xludf.DUMMYFUNCTION("""COMPUTED_VALUE"""),"281315")</f>
        <v>281315</v>
      </c>
      <c r="I779" s="1" t="str">
        <f>IFERROR(__xludf.DUMMYFUNCTION("""COMPUTED_VALUE"""),"นายกิตติพงษ์ มั่นคง")</f>
        <v>นายกิตติพงษ์ มั่นคง</v>
      </c>
      <c r="J779" s="3">
        <f>IFERROR(__xludf.DUMMYFUNCTION("""COMPUTED_VALUE"""),15361.0)</f>
        <v>15361</v>
      </c>
      <c r="K779" s="3" t="str">
        <f>IFERROR(__xludf.DUMMYFUNCTION("""COMPUTED_VALUE"""),"นายสมบูรณ์ พรหมในเมือง")</f>
        <v>นายสมบูรณ์ พรหมในเมือง</v>
      </c>
      <c r="L779" s="1" t="str">
        <f>IFERROR(__xludf.DUMMYFUNCTION("""COMPUTED_VALUE"""),"04 K.Somboon P.")</f>
        <v>04 K.Somboon P.</v>
      </c>
      <c r="M779" s="1" t="str">
        <f>IFERROR(__xludf.DUMMYFUNCTION("""COMPUTED_VALUE"""),"087-965-3051")</f>
        <v>087-965-3051</v>
      </c>
      <c r="N779" s="3">
        <f>IFERROR(__xludf.DUMMYFUNCTION("""COMPUTED_VALUE"""),21869.0)</f>
        <v>21869</v>
      </c>
      <c r="O779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779" s="4">
        <f>IFERROR(__xludf.DUMMYFUNCTION("""COMPUTED_VALUE"""),43055.0)</f>
        <v>43055</v>
      </c>
      <c r="Q779" s="3" t="str">
        <f>IFERROR(__xludf.DUMMYFUNCTION("""COMPUTED_VALUE"""),"A")</f>
        <v>A</v>
      </c>
      <c r="R779" s="3" t="str">
        <f>IFERROR(__xludf.DUMMYFUNCTION("""COMPUTED_VALUE"""),"Small Format")</f>
        <v>Small Format</v>
      </c>
      <c r="S779" s="3" t="str">
        <f>IFERROR(__xludf.DUMMYFUNCTION("""COMPUTED_VALUE"""),"BCM")</f>
        <v>BCM</v>
      </c>
      <c r="T779" s="3" t="str">
        <f>IFERROR(__xludf.DUMMYFUNCTION("""COMPUTED_VALUE"""),"#N/A")</f>
        <v>#N/A</v>
      </c>
      <c r="U779" s="3" t="str">
        <f>IFERROR(__xludf.DUMMYFUNCTION("""COMPUTED_VALUE"""),"#N/A")</f>
        <v>#N/A</v>
      </c>
      <c r="V779" s="3" t="str">
        <f>IFERROR(__xludf.DUMMYFUNCTION("""COMPUTED_VALUE"""),"N")</f>
        <v>N</v>
      </c>
      <c r="W779" s="3">
        <f>IFERROR(__xludf.DUMMYFUNCTION("""COMPUTED_VALUE"""),211516.0)</f>
        <v>211516</v>
      </c>
      <c r="X779" s="3" t="str">
        <f>IFERROR(__xludf.DUMMYFUNCTION("""COMPUTED_VALUE"""),"599 หมู่1 ตำบลโคกกรวด อำเภอเมืองนครราชสีมา จังหวัดนครราชสีมา 30280")</f>
        <v>599 หมู่1 ตำบลโคกกรวด อำเภอเมืองนครราชสีมา จังหวัดนครราชสีมา 30280</v>
      </c>
      <c r="Y779" s="3"/>
      <c r="Z779" s="3" t="str">
        <f>IFERROR(__xludf.DUMMYFUNCTION("""COMPUTED_VALUE"""),"โคกกรวด")</f>
        <v>โคกกรวด</v>
      </c>
      <c r="AA779" s="3" t="str">
        <f>IFERROR(__xludf.DUMMYFUNCTION("""COMPUTED_VALUE"""),"เมือง")</f>
        <v>เมือง</v>
      </c>
      <c r="AB779" s="3" t="str">
        <f>IFERROR(__xludf.DUMMYFUNCTION("""COMPUTED_VALUE"""),"นครราชสีมา")</f>
        <v>นครราชสีมา</v>
      </c>
      <c r="AC779" s="3">
        <f>IFERROR(__xludf.DUMMYFUNCTION("""COMPUTED_VALUE"""),30280.0)</f>
        <v>30280</v>
      </c>
      <c r="AD779" s="3">
        <f>IFERROR(__xludf.DUMMYFUNCTION("""COMPUTED_VALUE"""),14.92902)</f>
        <v>14.92902</v>
      </c>
      <c r="AE779" s="3">
        <f>IFERROR(__xludf.DUMMYFUNCTION("""COMPUTED_VALUE"""),101.959176)</f>
        <v>101.959176</v>
      </c>
      <c r="AF779" s="3" t="str">
        <f>IFERROR(__xludf.DUMMYFUNCTION("""COMPUTED_VALUE"""),"MBC โคกกรวด-21547")</f>
        <v>MBC โคกกรวด-21547</v>
      </c>
      <c r="AG779" s="3" t="str">
        <f>IFERROR(__xludf.DUMMYFUNCTION("""COMPUTED_VALUE"""),"ตะวันออกเฉียงเหนือ")</f>
        <v>ตะวันออกเฉียงเหนือ</v>
      </c>
      <c r="AH779" s="3" t="str">
        <f>IFERROR(__xludf.DUMMYFUNCTION("""COMPUTED_VALUE"""),"#N/A")</f>
        <v>#N/A</v>
      </c>
      <c r="AI779" s="3" t="str">
        <f>IFERROR(__xludf.DUMMYFUNCTION("""COMPUTED_VALUE"""),"Out of warranty")</f>
        <v>Out of warranty</v>
      </c>
      <c r="AJ779" s="3">
        <f>IFERROR(__xludf.DUMMYFUNCTION("""COMPUTED_VALUE"""),99.0)</f>
        <v>99</v>
      </c>
      <c r="AK779" s="3" t="str">
        <f>IFERROR(__xludf.DUMMYFUNCTION("""COMPUTED_VALUE"""),"MMS11")</f>
        <v>MMS11</v>
      </c>
      <c r="AL779" s="3"/>
    </row>
    <row r="780" ht="15.75" customHeight="1">
      <c r="A780" s="1" t="str">
        <f>IFERROR(__xludf.DUMMYFUNCTION("""COMPUTED_VALUE"""),"21548")</f>
        <v>21548</v>
      </c>
      <c r="B780" s="2">
        <f>IFERROR(__xludf.DUMMYFUNCTION("""COMPUTED_VALUE"""),21548.0)</f>
        <v>21548</v>
      </c>
      <c r="C780" s="3" t="str">
        <f>IFERROR(__xludf.DUMMYFUNCTION("""COMPUTED_VALUE"""),"MBC ถนนถีนานนท์")</f>
        <v>MBC ถนนถีนานนท์</v>
      </c>
      <c r="D780" s="3" t="str">
        <f>IFERROR(__xludf.DUMMYFUNCTION("""COMPUTED_VALUE"""),"BCM TEENANON ROAD")</f>
        <v>BCM TEENANON ROAD</v>
      </c>
      <c r="E780" s="1" t="str">
        <f>IFERROR(__xludf.DUMMYFUNCTION("""COMPUTED_VALUE"""),"บิ๊กซี MINI")</f>
        <v>บิ๊กซี MINI</v>
      </c>
      <c r="F780" s="1" t="str">
        <f>IFERROR(__xludf.DUMMYFUNCTION("""COMPUTED_VALUE"""),"291105")</f>
        <v>291105</v>
      </c>
      <c r="G780" s="1" t="str">
        <f>IFERROR(__xludf.DUMMYFUNCTION("""COMPUTED_VALUE"""),"นายสราวุฒิ พณิชยกุล")</f>
        <v>นายสราวุฒิ พณิชยกุล</v>
      </c>
      <c r="H780" s="1" t="str">
        <f>IFERROR(__xludf.DUMMYFUNCTION("""COMPUTED_VALUE"""),"392433")</f>
        <v>392433</v>
      </c>
      <c r="I780" s="1" t="str">
        <f>IFERROR(__xludf.DUMMYFUNCTION("""COMPUTED_VALUE"""),"นายพรธิวา ใจอ่อน")</f>
        <v>นายพรธิวา ใจอ่อน</v>
      </c>
      <c r="J780" s="3">
        <f>IFERROR(__xludf.DUMMYFUNCTION("""COMPUTED_VALUE"""),2454781.0)</f>
        <v>2454781</v>
      </c>
      <c r="K780" s="3" t="str">
        <f>IFERROR(__xludf.DUMMYFUNCTION("""COMPUTED_VALUE"""),"นายฌานกฤช นันทะโคต")</f>
        <v>นายฌานกฤช นันทะโคต</v>
      </c>
      <c r="L780" s="1" t="str">
        <f>IFERROR(__xludf.DUMMYFUNCTION("""COMPUTED_VALUE"""),"05 K.Chanakrit N.")</f>
        <v>05 K.Chanakrit N.</v>
      </c>
      <c r="M780" s="1" t="str">
        <f>IFERROR(__xludf.DUMMYFUNCTION("""COMPUTED_VALUE"""),"090-978-9785 ,065-929-1320")</f>
        <v>090-978-9785 ,065-929-1320</v>
      </c>
      <c r="N780" s="3">
        <f>IFERROR(__xludf.DUMMYFUNCTION("""COMPUTED_VALUE"""),22195.0)</f>
        <v>22195</v>
      </c>
      <c r="O780" s="3" t="str">
        <f>IFERROR(__xludf.DUMMYFUNCTION("""COMPUTED_VALUE"""),"MBC กันทรลักษ์ ศรีสะเกษ")</f>
        <v>MBC กันทรลักษ์ ศรีสะเกษ</v>
      </c>
      <c r="P780" s="4">
        <f>IFERROR(__xludf.DUMMYFUNCTION("""COMPUTED_VALUE"""),43056.0)</f>
        <v>43056</v>
      </c>
      <c r="Q780" s="3" t="str">
        <f>IFERROR(__xludf.DUMMYFUNCTION("""COMPUTED_VALUE"""),"A")</f>
        <v>A</v>
      </c>
      <c r="R780" s="3" t="str">
        <f>IFERROR(__xludf.DUMMYFUNCTION("""COMPUTED_VALUE"""),"Small Format")</f>
        <v>Small Format</v>
      </c>
      <c r="S780" s="3" t="str">
        <f>IFERROR(__xludf.DUMMYFUNCTION("""COMPUTED_VALUE"""),"BCM")</f>
        <v>BCM</v>
      </c>
      <c r="T780" s="3" t="str">
        <f>IFERROR(__xludf.DUMMYFUNCTION("""COMPUTED_VALUE"""),"#N/A")</f>
        <v>#N/A</v>
      </c>
      <c r="U780" s="3" t="str">
        <f>IFERROR(__xludf.DUMMYFUNCTION("""COMPUTED_VALUE"""),"#N/A")</f>
        <v>#N/A</v>
      </c>
      <c r="V780" s="3" t="str">
        <f>IFERROR(__xludf.DUMMYFUNCTION("""COMPUTED_VALUE"""),"N")</f>
        <v>N</v>
      </c>
      <c r="W780" s="3">
        <f>IFERROR(__xludf.DUMMYFUNCTION("""COMPUTED_VALUE"""),211519.0)</f>
        <v>211519</v>
      </c>
      <c r="X780" s="3" t="str">
        <f>IFERROR(__xludf.DUMMYFUNCTION("""COMPUTED_VALUE"""),"52,52/1,52/2 ถนนถีนานนท์ ตำบลตลาด อำเภอเมืองมหาสารคาม จังหวัดมหาสารคาม 44000")</f>
        <v>52,52/1,52/2 ถนนถีนานนท์ ตำบลตลาด อำเภอเมืองมหาสารคาม จังหวัดมหาสารคาม 44000</v>
      </c>
      <c r="Y780" s="3" t="str">
        <f>IFERROR(__xludf.DUMMYFUNCTION("""COMPUTED_VALUE"""),"ถนนถีนานนท์")</f>
        <v>ถนนถีนานนท์</v>
      </c>
      <c r="Z780" s="3" t="str">
        <f>IFERROR(__xludf.DUMMYFUNCTION("""COMPUTED_VALUE"""),"ตลาด")</f>
        <v>ตลาด</v>
      </c>
      <c r="AA780" s="3" t="str">
        <f>IFERROR(__xludf.DUMMYFUNCTION("""COMPUTED_VALUE"""),"เมือง")</f>
        <v>เมือง</v>
      </c>
      <c r="AB780" s="3" t="str">
        <f>IFERROR(__xludf.DUMMYFUNCTION("""COMPUTED_VALUE"""),"มหาสารคาม")</f>
        <v>มหาสารคาม</v>
      </c>
      <c r="AC780" s="3">
        <f>IFERROR(__xludf.DUMMYFUNCTION("""COMPUTED_VALUE"""),44000.0)</f>
        <v>44000</v>
      </c>
      <c r="AD780" s="3">
        <f>IFERROR(__xludf.DUMMYFUNCTION("""COMPUTED_VALUE"""),16.19427709)</f>
        <v>16.19427709</v>
      </c>
      <c r="AE780" s="3">
        <f>IFERROR(__xludf.DUMMYFUNCTION("""COMPUTED_VALUE"""),103.2939523)</f>
        <v>103.2939523</v>
      </c>
      <c r="AF780" s="3" t="str">
        <f>IFERROR(__xludf.DUMMYFUNCTION("""COMPUTED_VALUE"""),"MBC ถนนถีนานนท์-21548")</f>
        <v>MBC ถนนถีนานนท์-21548</v>
      </c>
      <c r="AG780" s="3" t="str">
        <f>IFERROR(__xludf.DUMMYFUNCTION("""COMPUTED_VALUE"""),"ตะวันออกเฉียงเหนือ")</f>
        <v>ตะวันออกเฉียงเหนือ</v>
      </c>
      <c r="AH780" s="3" t="str">
        <f>IFERROR(__xludf.DUMMYFUNCTION("""COMPUTED_VALUE"""),"#N/A")</f>
        <v>#N/A</v>
      </c>
      <c r="AI780" s="3" t="str">
        <f>IFERROR(__xludf.DUMMYFUNCTION("""COMPUTED_VALUE"""),"Out of warranty")</f>
        <v>Out of warranty</v>
      </c>
      <c r="AJ780" s="3">
        <f>IFERROR(__xludf.DUMMYFUNCTION("""COMPUTED_VALUE"""),99.0)</f>
        <v>99</v>
      </c>
      <c r="AK780" s="3" t="str">
        <f>IFERROR(__xludf.DUMMYFUNCTION("""COMPUTED_VALUE"""),"MMS13")</f>
        <v>MMS13</v>
      </c>
      <c r="AL780" s="3"/>
    </row>
    <row r="781" ht="15.75" customHeight="1">
      <c r="A781" s="1" t="str">
        <f>IFERROR(__xludf.DUMMYFUNCTION("""COMPUTED_VALUE"""),"21549")</f>
        <v>21549</v>
      </c>
      <c r="B781" s="2">
        <f>IFERROR(__xludf.DUMMYFUNCTION("""COMPUTED_VALUE"""),21549.0)</f>
        <v>21549</v>
      </c>
      <c r="C781" s="3" t="str">
        <f>IFERROR(__xludf.DUMMYFUNCTION("""COMPUTED_VALUE"""),"MBC หมู่บ้านลากูน่าโฮม")</f>
        <v>MBC หมู่บ้านลากูน่าโฮม</v>
      </c>
      <c r="D781" s="3" t="str">
        <f>IFERROR(__xludf.DUMMYFUNCTION("""COMPUTED_VALUE"""),"BCM MOO BAN LAGUNA HOME")</f>
        <v>BCM MOO BAN LAGUNA HOME</v>
      </c>
      <c r="E781" s="1" t="str">
        <f>IFERROR(__xludf.DUMMYFUNCTION("""COMPUTED_VALUE"""),"บิ๊กซี MINI")</f>
        <v>บิ๊กซี MINI</v>
      </c>
      <c r="F781" s="1" t="str">
        <f>IFERROR(__xludf.DUMMYFUNCTION("""COMPUTED_VALUE"""),"296229")</f>
        <v>296229</v>
      </c>
      <c r="G781" s="1" t="str">
        <f>IFERROR(__xludf.DUMMYFUNCTION("""COMPUTED_VALUE"""),"นายทนงศักดิ์ บุญมา")</f>
        <v>นายทนงศักดิ์ บุญมา</v>
      </c>
      <c r="H781" s="1" t="str">
        <f>IFERROR(__xludf.DUMMYFUNCTION("""COMPUTED_VALUE"""),"392003")</f>
        <v>392003</v>
      </c>
      <c r="I781" s="1" t="str">
        <f>IFERROR(__xludf.DUMMYFUNCTION("""COMPUTED_VALUE"""),"นายวรภพ เศษสูงเนิน")</f>
        <v>นายวรภพ เศษสูงเนิน</v>
      </c>
      <c r="J781" s="3">
        <f>IFERROR(__xludf.DUMMYFUNCTION("""COMPUTED_VALUE"""),2010016.0)</f>
        <v>2010016</v>
      </c>
      <c r="K781" s="3" t="str">
        <f>IFERROR(__xludf.DUMMYFUNCTION("""COMPUTED_VALUE"""),"นายตวงธรรม ใหม่ยศ")</f>
        <v>นายตวงธรรม ใหม่ยศ</v>
      </c>
      <c r="L781" s="1" t="str">
        <f>IFERROR(__xludf.DUMMYFUNCTION("""COMPUTED_VALUE"""),"01 K.Tuangtham M.")</f>
        <v>01 K.Tuangtham M.</v>
      </c>
      <c r="M781" s="1" t="str">
        <f>IFERROR(__xludf.DUMMYFUNCTION("""COMPUTED_VALUE"""),"063-976-595")</f>
        <v>063-976-595</v>
      </c>
      <c r="N781" s="3">
        <f>IFERROR(__xludf.DUMMYFUNCTION("""COMPUTED_VALUE"""),22574.0)</f>
        <v>22574</v>
      </c>
      <c r="O781" s="3" t="str">
        <f>IFERROR(__xludf.DUMMYFUNCTION("""COMPUTED_VALUE"""),"BCM ชุมชนศรีชุม ลำปาง")</f>
        <v>BCM ชุมชนศรีชุม ลำปาง</v>
      </c>
      <c r="P781" s="4">
        <f>IFERROR(__xludf.DUMMYFUNCTION("""COMPUTED_VALUE"""),43056.0)</f>
        <v>43056</v>
      </c>
      <c r="Q781" s="3" t="str">
        <f>IFERROR(__xludf.DUMMYFUNCTION("""COMPUTED_VALUE"""),"A")</f>
        <v>A</v>
      </c>
      <c r="R781" s="3" t="str">
        <f>IFERROR(__xludf.DUMMYFUNCTION("""COMPUTED_VALUE"""),"Small Format")</f>
        <v>Small Format</v>
      </c>
      <c r="S781" s="3" t="str">
        <f>IFERROR(__xludf.DUMMYFUNCTION("""COMPUTED_VALUE"""),"BCM")</f>
        <v>BCM</v>
      </c>
      <c r="T781" s="3" t="str">
        <f>IFERROR(__xludf.DUMMYFUNCTION("""COMPUTED_VALUE"""),"#N/A")</f>
        <v>#N/A</v>
      </c>
      <c r="U781" s="3" t="str">
        <f>IFERROR(__xludf.DUMMYFUNCTION("""COMPUTED_VALUE"""),"#N/A")</f>
        <v>#N/A</v>
      </c>
      <c r="V781" s="3" t="str">
        <f>IFERROR(__xludf.DUMMYFUNCTION("""COMPUTED_VALUE"""),"N")</f>
        <v>N</v>
      </c>
      <c r="W781" s="3">
        <f>IFERROR(__xludf.DUMMYFUNCTION("""COMPUTED_VALUE"""),211525.0)</f>
        <v>211525</v>
      </c>
      <c r="X781" s="3" t="str">
        <f>IFERROR(__xludf.DUMMYFUNCTION("""COMPUTED_VALUE"""),"246/7-11 หมู่5 ตำบลสันทรายน้อย อำเภอสันทราย จังหวัดเชียงใหม่ 50210")</f>
        <v>246/7-11 หมู่5 ตำบลสันทรายน้อย อำเภอสันทราย จังหวัดเชียงใหม่ 50210</v>
      </c>
      <c r="Y781" s="3"/>
      <c r="Z781" s="3" t="str">
        <f>IFERROR(__xludf.DUMMYFUNCTION("""COMPUTED_VALUE"""),"สันทรายน้อย")</f>
        <v>สันทรายน้อย</v>
      </c>
      <c r="AA781" s="3" t="str">
        <f>IFERROR(__xludf.DUMMYFUNCTION("""COMPUTED_VALUE"""),"สันทราย")</f>
        <v>สันทราย</v>
      </c>
      <c r="AB781" s="3" t="str">
        <f>IFERROR(__xludf.DUMMYFUNCTION("""COMPUTED_VALUE"""),"เชียงใหม่")</f>
        <v>เชียงใหม่</v>
      </c>
      <c r="AC781" s="3">
        <f>IFERROR(__xludf.DUMMYFUNCTION("""COMPUTED_VALUE"""),50210.0)</f>
        <v>50210</v>
      </c>
      <c r="AD781" s="3">
        <f>IFERROR(__xludf.DUMMYFUNCTION("""COMPUTED_VALUE"""),18.828615)</f>
        <v>18.828615</v>
      </c>
      <c r="AE781" s="3">
        <f>IFERROR(__xludf.DUMMYFUNCTION("""COMPUTED_VALUE"""),99.024987)</f>
        <v>99.024987</v>
      </c>
      <c r="AF781" s="3" t="str">
        <f>IFERROR(__xludf.DUMMYFUNCTION("""COMPUTED_VALUE"""),"MBC หมู่บ้านลากูน่าโฮม-21549")</f>
        <v>MBC หมู่บ้านลากูน่าโฮม-21549</v>
      </c>
      <c r="AG781" s="3" t="str">
        <f>IFERROR(__xludf.DUMMYFUNCTION("""COMPUTED_VALUE"""),"เหนือ")</f>
        <v>เหนือ</v>
      </c>
      <c r="AH781" s="3" t="str">
        <f>IFERROR(__xludf.DUMMYFUNCTION("""COMPUTED_VALUE"""),"#N/A")</f>
        <v>#N/A</v>
      </c>
      <c r="AI781" s="3" t="str">
        <f>IFERROR(__xludf.DUMMYFUNCTION("""COMPUTED_VALUE"""),"Out of warranty")</f>
        <v>Out of warranty</v>
      </c>
      <c r="AJ781" s="3">
        <f>IFERROR(__xludf.DUMMYFUNCTION("""COMPUTED_VALUE"""),99.0)</f>
        <v>99</v>
      </c>
      <c r="AK781" s="3" t="str">
        <f>IFERROR(__xludf.DUMMYFUNCTION("""COMPUTED_VALUE"""),"MMS10")</f>
        <v>MMS10</v>
      </c>
      <c r="AL781" s="3"/>
    </row>
    <row r="782" ht="15.75" customHeight="1">
      <c r="A782" s="1" t="str">
        <f>IFERROR(__xludf.DUMMYFUNCTION("""COMPUTED_VALUE"""),"21550")</f>
        <v>21550</v>
      </c>
      <c r="B782" s="2">
        <f>IFERROR(__xludf.DUMMYFUNCTION("""COMPUTED_VALUE"""),21550.0)</f>
        <v>21550</v>
      </c>
      <c r="C782" s="3" t="str">
        <f>IFERROR(__xludf.DUMMYFUNCTION("""COMPUTED_VALUE"""),"MBC ตลาดชัชวาล คลอง 7")</f>
        <v>MBC ตลาดชัชวาล คลอง 7</v>
      </c>
      <c r="D782" s="3" t="str">
        <f>IFERROR(__xludf.DUMMYFUNCTION("""COMPUTED_VALUE"""),"BCM TALAD CHATCHAVAL KLONG 7")</f>
        <v>BCM TALAD CHATCHAVAL KLONG 7</v>
      </c>
      <c r="E782" s="1" t="str">
        <f>IFERROR(__xludf.DUMMYFUNCTION("""COMPUTED_VALUE"""),"บิ๊กซี MINI")</f>
        <v>บิ๊กซี MINI</v>
      </c>
      <c r="F782" s="1" t="str">
        <f>IFERROR(__xludf.DUMMYFUNCTION("""COMPUTED_VALUE"""),"2083447")</f>
        <v>2083447</v>
      </c>
      <c r="G782" s="1" t="str">
        <f>IFERROR(__xludf.DUMMYFUNCTION("""COMPUTED_VALUE"""),"นายอนุกูล ศรีลัดดา")</f>
        <v>นายอนุกูล ศรีลัดดา</v>
      </c>
      <c r="H782" s="1" t="str">
        <f>IFERROR(__xludf.DUMMYFUNCTION("""COMPUTED_VALUE"""),"373849")</f>
        <v>373849</v>
      </c>
      <c r="I782" s="1" t="str">
        <f>IFERROR(__xludf.DUMMYFUNCTION("""COMPUTED_VALUE"""),"น.ส.อรอุมา นิ่มวิศิษย์")</f>
        <v>น.ส.อรอุมา นิ่มวิศิษย์</v>
      </c>
      <c r="J782" s="3">
        <f>IFERROR(__xludf.DUMMYFUNCTION("""COMPUTED_VALUE"""),510143.0)</f>
        <v>510143</v>
      </c>
      <c r="K782" s="3" t="str">
        <f>IFERROR(__xludf.DUMMYFUNCTION("""COMPUTED_VALUE"""),"นายธีระวัฒน์ บุญสิทธิ์")</f>
        <v>นายธีระวัฒน์ บุญสิทธิ์</v>
      </c>
      <c r="L782" s="1" t="str">
        <f>IFERROR(__xludf.DUMMYFUNCTION("""COMPUTED_VALUE"""),"12 K.Theerawat B.")</f>
        <v>12 K.Theerawat B.</v>
      </c>
      <c r="M782" s="1" t="str">
        <f>IFERROR(__xludf.DUMMYFUNCTION("""COMPUTED_VALUE"""),"0655107379")</f>
        <v>0655107379</v>
      </c>
      <c r="N782" s="3">
        <f>IFERROR(__xludf.DUMMYFUNCTION("""COMPUTED_VALUE"""),21062.0)</f>
        <v>21062</v>
      </c>
      <c r="O782" s="3" t="str">
        <f>IFERROR(__xludf.DUMMYFUNCTION("""COMPUTED_VALUE"""),"MBC นิคมนวนคร")</f>
        <v>MBC นิคมนวนคร</v>
      </c>
      <c r="P782" s="4">
        <f>IFERROR(__xludf.DUMMYFUNCTION("""COMPUTED_VALUE"""),43066.0)</f>
        <v>43066</v>
      </c>
      <c r="Q782" s="3" t="str">
        <f>IFERROR(__xludf.DUMMYFUNCTION("""COMPUTED_VALUE"""),"A")</f>
        <v>A</v>
      </c>
      <c r="R782" s="3" t="str">
        <f>IFERROR(__xludf.DUMMYFUNCTION("""COMPUTED_VALUE"""),"Small Format")</f>
        <v>Small Format</v>
      </c>
      <c r="S782" s="3" t="str">
        <f>IFERROR(__xludf.DUMMYFUNCTION("""COMPUTED_VALUE"""),"BCM")</f>
        <v>BCM</v>
      </c>
      <c r="T782" s="3" t="str">
        <f>IFERROR(__xludf.DUMMYFUNCTION("""COMPUTED_VALUE"""),"#N/A")</f>
        <v>#N/A</v>
      </c>
      <c r="U782" s="3" t="str">
        <f>IFERROR(__xludf.DUMMYFUNCTION("""COMPUTED_VALUE"""),"#N/A")</f>
        <v>#N/A</v>
      </c>
      <c r="V782" s="3" t="str">
        <f>IFERROR(__xludf.DUMMYFUNCTION("""COMPUTED_VALUE"""),"N")</f>
        <v>N</v>
      </c>
      <c r="W782" s="3">
        <f>IFERROR(__xludf.DUMMYFUNCTION("""COMPUTED_VALUE"""),211394.0)</f>
        <v>211394</v>
      </c>
      <c r="X782" s="3" t="str">
        <f>IFERROR(__xludf.DUMMYFUNCTION("""COMPUTED_VALUE"""),"99/9-10, หมู่4 ตำบลบึงคำพร้อย อำเภอลำลูกกา จังหวัดปทุมธานี 12150")</f>
        <v>99/9-10, หมู่4 ตำบลบึงคำพร้อย อำเภอลำลูกกา จังหวัดปทุมธานี 12150</v>
      </c>
      <c r="Y782" s="3"/>
      <c r="Z782" s="3" t="str">
        <f>IFERROR(__xludf.DUMMYFUNCTION("""COMPUTED_VALUE"""),"บึงคำพร้อย")</f>
        <v>บึงคำพร้อย</v>
      </c>
      <c r="AA782" s="3" t="str">
        <f>IFERROR(__xludf.DUMMYFUNCTION("""COMPUTED_VALUE"""),"ลำลูกกา")</f>
        <v>ลำลูกกา</v>
      </c>
      <c r="AB782" s="3" t="str">
        <f>IFERROR(__xludf.DUMMYFUNCTION("""COMPUTED_VALUE"""),"ปทุมธานี")</f>
        <v>ปทุมธานี</v>
      </c>
      <c r="AC782" s="3">
        <f>IFERROR(__xludf.DUMMYFUNCTION("""COMPUTED_VALUE"""),12150.0)</f>
        <v>12150</v>
      </c>
      <c r="AD782" s="3">
        <f>IFERROR(__xludf.DUMMYFUNCTION("""COMPUTED_VALUE"""),13.964604)</f>
        <v>13.964604</v>
      </c>
      <c r="AE782" s="3">
        <f>IFERROR(__xludf.DUMMYFUNCTION("""COMPUTED_VALUE"""),100.746633)</f>
        <v>100.746633</v>
      </c>
      <c r="AF782" s="3" t="str">
        <f>IFERROR(__xludf.DUMMYFUNCTION("""COMPUTED_VALUE"""),"MBC ตลาดชัชวาล คลอง 7-21550")</f>
        <v>MBC ตลาดชัชวาล คลอง 7-21550</v>
      </c>
      <c r="AG782" s="3" t="str">
        <f>IFERROR(__xludf.DUMMYFUNCTION("""COMPUTED_VALUE"""),"กลาง")</f>
        <v>กลาง</v>
      </c>
      <c r="AH782" s="3" t="str">
        <f>IFERROR(__xludf.DUMMYFUNCTION("""COMPUTED_VALUE"""),"#N/A")</f>
        <v>#N/A</v>
      </c>
      <c r="AI782" s="3" t="str">
        <f>IFERROR(__xludf.DUMMYFUNCTION("""COMPUTED_VALUE"""),"Out of warranty")</f>
        <v>Out of warranty</v>
      </c>
      <c r="AJ782" s="3">
        <f>IFERROR(__xludf.DUMMYFUNCTION("""COMPUTED_VALUE"""),98.0)</f>
        <v>98</v>
      </c>
      <c r="AK782" s="3" t="str">
        <f>IFERROR(__xludf.DUMMYFUNCTION("""COMPUTED_VALUE"""),"MMS04")</f>
        <v>MMS04</v>
      </c>
      <c r="AL782" s="3"/>
    </row>
    <row r="783" ht="15.75" customHeight="1">
      <c r="A783" s="1" t="str">
        <f>IFERROR(__xludf.DUMMYFUNCTION("""COMPUTED_VALUE"""),"21551")</f>
        <v>21551</v>
      </c>
      <c r="B783" s="2">
        <f>IFERROR(__xludf.DUMMYFUNCTION("""COMPUTED_VALUE"""),21551.0)</f>
        <v>21551</v>
      </c>
      <c r="C783" s="3" t="str">
        <f>IFERROR(__xludf.DUMMYFUNCTION("""COMPUTED_VALUE"""),"MBC พุทธบูชา ซอย 36")</f>
        <v>MBC พุทธบูชา ซอย 36</v>
      </c>
      <c r="D783" s="3" t="str">
        <f>IFERROR(__xludf.DUMMYFUNCTION("""COMPUTED_VALUE"""),"BCM PHUTTABUCHA SOI 36")</f>
        <v>BCM PHUTTABUCHA SOI 36</v>
      </c>
      <c r="E783" s="1" t="str">
        <f>IFERROR(__xludf.DUMMYFUNCTION("""COMPUTED_VALUE"""),"บิ๊กซี MINI")</f>
        <v>บิ๊กซี MINI</v>
      </c>
      <c r="F783" s="1" t="str">
        <f>IFERROR(__xludf.DUMMYFUNCTION("""COMPUTED_VALUE"""),"291008")</f>
        <v>291008</v>
      </c>
      <c r="G783" s="1" t="str">
        <f>IFERROR(__xludf.DUMMYFUNCTION("""COMPUTED_VALUE"""),"น.ส.รัชดาพร อีศรัตน์")</f>
        <v>น.ส.รัชดาพร อีศรัตน์</v>
      </c>
      <c r="H783" s="1" t="str">
        <f>IFERROR(__xludf.DUMMYFUNCTION("""COMPUTED_VALUE"""),"254800")</f>
        <v>254800</v>
      </c>
      <c r="I783" s="1" t="str">
        <f>IFERROR(__xludf.DUMMYFUNCTION("""COMPUTED_VALUE"""),"น.ส.นัชมล กางกรณ์")</f>
        <v>น.ส.นัชมล กางกรณ์</v>
      </c>
      <c r="J783" s="3">
        <f>IFERROR(__xludf.DUMMYFUNCTION("""COMPUTED_VALUE"""),296728.0)</f>
        <v>296728</v>
      </c>
      <c r="K783" s="3" t="str">
        <f>IFERROR(__xludf.DUMMYFUNCTION("""COMPUTED_VALUE"""),"นายธิติ บัวทองรังสิมา")</f>
        <v>นายธิติ บัวทองรังสิมา</v>
      </c>
      <c r="L783" s="1" t="str">
        <f>IFERROR(__xludf.DUMMYFUNCTION("""COMPUTED_VALUE"""),"นายธิติ บัวทองรังสิมา")</f>
        <v>นายธิติ บัวทองรังสิมา</v>
      </c>
      <c r="M783" s="1" t="str">
        <f>IFERROR(__xludf.DUMMYFUNCTION("""COMPUTED_VALUE"""),"0920849994")</f>
        <v>0920849994</v>
      </c>
      <c r="N783" s="3">
        <f>IFERROR(__xludf.DUMMYFUNCTION("""COMPUTED_VALUE"""),21012.0)</f>
        <v>21012</v>
      </c>
      <c r="O783" s="3" t="str">
        <f>IFERROR(__xludf.DUMMYFUNCTION("""COMPUTED_VALUE"""),"MBC ท่าอิฐ")</f>
        <v>MBC ท่าอิฐ</v>
      </c>
      <c r="P783" s="4">
        <f>IFERROR(__xludf.DUMMYFUNCTION("""COMPUTED_VALUE"""),43136.0)</f>
        <v>43136</v>
      </c>
      <c r="Q783" s="3" t="str">
        <f>IFERROR(__xludf.DUMMYFUNCTION("""COMPUTED_VALUE"""),"I")</f>
        <v>I</v>
      </c>
      <c r="R783" s="3" t="str">
        <f>IFERROR(__xludf.DUMMYFUNCTION("""COMPUTED_VALUE"""),"Small Format")</f>
        <v>Small Format</v>
      </c>
      <c r="S783" s="3" t="str">
        <f>IFERROR(__xludf.DUMMYFUNCTION("""COMPUTED_VALUE"""),"BCM")</f>
        <v>BCM</v>
      </c>
      <c r="T783" s="3" t="str">
        <f>IFERROR(__xludf.DUMMYFUNCTION("""COMPUTED_VALUE"""),"#N/A")</f>
        <v>#N/A</v>
      </c>
      <c r="U783" s="3" t="str">
        <f>IFERROR(__xludf.DUMMYFUNCTION("""COMPUTED_VALUE"""),"#N/A")</f>
        <v>#N/A</v>
      </c>
      <c r="V783" s="3" t="str">
        <f>IFERROR(__xludf.DUMMYFUNCTION("""COMPUTED_VALUE"""),"N")</f>
        <v>N</v>
      </c>
      <c r="W783" s="3">
        <f>IFERROR(__xludf.DUMMYFUNCTION("""COMPUTED_VALUE"""),211371.0)</f>
        <v>211371</v>
      </c>
      <c r="X783" s="3" t="str">
        <f>IFERROR(__xludf.DUMMYFUNCTION("""COMPUTED_VALUE"""),"15 ซอยพุทธบูชา36 แขวงบางมด เขตทุ่งครุ กรุงเทพมหานคร 10140")</f>
        <v>15 ซอยพุทธบูชา36 แขวงบางมด เขตทุ่งครุ กรุงเทพมหานคร 10140</v>
      </c>
      <c r="Y783" s="3" t="str">
        <f>IFERROR(__xludf.DUMMYFUNCTION("""COMPUTED_VALUE"""),"ซอยพุทธบูชา36")</f>
        <v>ซอยพุทธบูชา36</v>
      </c>
      <c r="Z783" s="3" t="str">
        <f>IFERROR(__xludf.DUMMYFUNCTION("""COMPUTED_VALUE"""),"บางมด")</f>
        <v>บางมด</v>
      </c>
      <c r="AA783" s="3" t="str">
        <f>IFERROR(__xludf.DUMMYFUNCTION("""COMPUTED_VALUE"""),"ทุ่งครุ")</f>
        <v>ทุ่งครุ</v>
      </c>
      <c r="AB783" s="3" t="str">
        <f>IFERROR(__xludf.DUMMYFUNCTION("""COMPUTED_VALUE"""),"กรุงเทพมหานคร")</f>
        <v>กรุงเทพมหานคร</v>
      </c>
      <c r="AC783" s="3">
        <f>IFERROR(__xludf.DUMMYFUNCTION("""COMPUTED_VALUE"""),10140.0)</f>
        <v>10140</v>
      </c>
      <c r="AD783" s="3">
        <f>IFERROR(__xludf.DUMMYFUNCTION("""COMPUTED_VALUE"""),13.649033)</f>
        <v>13.649033</v>
      </c>
      <c r="AE783" s="3">
        <f>IFERROR(__xludf.DUMMYFUNCTION("""COMPUTED_VALUE"""),100.480853)</f>
        <v>100.480853</v>
      </c>
      <c r="AF783" s="3" t="str">
        <f>IFERROR(__xludf.DUMMYFUNCTION("""COMPUTED_VALUE"""),"MBC พุทธบูชา ซอย 36-21551")</f>
        <v>MBC พุทธบูชา ซอย 36-21551</v>
      </c>
      <c r="AG783" s="3" t="str">
        <f>IFERROR(__xludf.DUMMYFUNCTION("""COMPUTED_VALUE"""),"กลาง")</f>
        <v>กลาง</v>
      </c>
      <c r="AH783" s="3" t="str">
        <f>IFERROR(__xludf.DUMMYFUNCTION("""COMPUTED_VALUE"""),"#N/A")</f>
        <v>#N/A</v>
      </c>
      <c r="AI783" s="3" t="str">
        <f>IFERROR(__xludf.DUMMYFUNCTION("""COMPUTED_VALUE"""),"Out of warranty")</f>
        <v>Out of warranty</v>
      </c>
      <c r="AJ783" s="3">
        <f>IFERROR(__xludf.DUMMYFUNCTION("""COMPUTED_VALUE"""),96.0)</f>
        <v>96</v>
      </c>
      <c r="AK783" s="3" t="str">
        <f>IFERROR(__xludf.DUMMYFUNCTION("""COMPUTED_VALUE"""),"MMS02")</f>
        <v>MMS02</v>
      </c>
      <c r="AL783" s="3"/>
    </row>
    <row r="784" ht="15.75" customHeight="1">
      <c r="A784" s="1" t="str">
        <f>IFERROR(__xludf.DUMMYFUNCTION("""COMPUTED_VALUE"""),"21552")</f>
        <v>21552</v>
      </c>
      <c r="B784" s="2">
        <f>IFERROR(__xludf.DUMMYFUNCTION("""COMPUTED_VALUE"""),21552.0)</f>
        <v>21552</v>
      </c>
      <c r="C784" s="3" t="str">
        <f>IFERROR(__xludf.DUMMYFUNCTION("""COMPUTED_VALUE"""),"MBC หลิ่งมี่น เชียงใหม่")</f>
        <v>MBC หลิ่งมี่น เชียงใหม่</v>
      </c>
      <c r="D784" s="3" t="str">
        <f>IFERROR(__xludf.DUMMYFUNCTION("""COMPUTED_VALUE"""),"BCM LING MUEN")</f>
        <v>BCM LING MUEN</v>
      </c>
      <c r="E784" s="1" t="str">
        <f>IFERROR(__xludf.DUMMYFUNCTION("""COMPUTED_VALUE"""),"บิ๊กซี MINI")</f>
        <v>บิ๊กซี MINI</v>
      </c>
      <c r="F784" s="1" t="str">
        <f>IFERROR(__xludf.DUMMYFUNCTION("""COMPUTED_VALUE"""),"296229")</f>
        <v>296229</v>
      </c>
      <c r="G784" s="1" t="str">
        <f>IFERROR(__xludf.DUMMYFUNCTION("""COMPUTED_VALUE"""),"นายทนงศักดิ์ บุญมา")</f>
        <v>นายทนงศักดิ์ บุญมา</v>
      </c>
      <c r="H784" s="1" t="str">
        <f>IFERROR(__xludf.DUMMYFUNCTION("""COMPUTED_VALUE"""),"393402")</f>
        <v>393402</v>
      </c>
      <c r="I784" s="1" t="str">
        <f>IFERROR(__xludf.DUMMYFUNCTION("""COMPUTED_VALUE"""),"น.ส.ปารมิตา ใจตรง")</f>
        <v>น.ส.ปารมิตา ใจตรง</v>
      </c>
      <c r="J784" s="3">
        <f>IFERROR(__xludf.DUMMYFUNCTION("""COMPUTED_VALUE"""),2010016.0)</f>
        <v>2010016</v>
      </c>
      <c r="K784" s="3" t="str">
        <f>IFERROR(__xludf.DUMMYFUNCTION("""COMPUTED_VALUE"""),"นายตวงธรรม ใหม่ยศ")</f>
        <v>นายตวงธรรม ใหม่ยศ</v>
      </c>
      <c r="L784" s="1" t="str">
        <f>IFERROR(__xludf.DUMMYFUNCTION("""COMPUTED_VALUE"""),"01 K.Tuangtham M.")</f>
        <v>01 K.Tuangtham M.</v>
      </c>
      <c r="M784" s="1" t="str">
        <f>IFERROR(__xludf.DUMMYFUNCTION("""COMPUTED_VALUE"""),"063-976-595")</f>
        <v>063-976-595</v>
      </c>
      <c r="N784" s="3">
        <f>IFERROR(__xludf.DUMMYFUNCTION("""COMPUTED_VALUE"""),22574.0)</f>
        <v>22574</v>
      </c>
      <c r="O784" s="3" t="str">
        <f>IFERROR(__xludf.DUMMYFUNCTION("""COMPUTED_VALUE"""),"BCM ชุมชนศรีชุม ลำปาง")</f>
        <v>BCM ชุมชนศรีชุม ลำปาง</v>
      </c>
      <c r="P784" s="4">
        <f>IFERROR(__xludf.DUMMYFUNCTION("""COMPUTED_VALUE"""),43066.0)</f>
        <v>43066</v>
      </c>
      <c r="Q784" s="3" t="str">
        <f>IFERROR(__xludf.DUMMYFUNCTION("""COMPUTED_VALUE"""),"A")</f>
        <v>A</v>
      </c>
      <c r="R784" s="3" t="str">
        <f>IFERROR(__xludf.DUMMYFUNCTION("""COMPUTED_VALUE"""),"Small Format")</f>
        <v>Small Format</v>
      </c>
      <c r="S784" s="3" t="str">
        <f>IFERROR(__xludf.DUMMYFUNCTION("""COMPUTED_VALUE"""),"BCM")</f>
        <v>BCM</v>
      </c>
      <c r="T784" s="3" t="str">
        <f>IFERROR(__xludf.DUMMYFUNCTION("""COMPUTED_VALUE"""),"#N/A")</f>
        <v>#N/A</v>
      </c>
      <c r="U784" s="3" t="str">
        <f>IFERROR(__xludf.DUMMYFUNCTION("""COMPUTED_VALUE"""),"#N/A")</f>
        <v>#N/A</v>
      </c>
      <c r="V784" s="3" t="str">
        <f>IFERROR(__xludf.DUMMYFUNCTION("""COMPUTED_VALUE"""),"N")</f>
        <v>N</v>
      </c>
      <c r="W784" s="3">
        <f>IFERROR(__xludf.DUMMYFUNCTION("""COMPUTED_VALUE"""),211526.0)</f>
        <v>211526</v>
      </c>
      <c r="X784" s="3" t="str">
        <f>IFERROR(__xludf.DUMMYFUNCTION("""COMPUTED_VALUE"""),"461 หมู่10 ตำบลป่าไผ่ อำเภอสันทราย จังหวัดเชียงใหม่ 50210")</f>
        <v>461 หมู่10 ตำบลป่าไผ่ อำเภอสันทราย จังหวัดเชียงใหม่ 50210</v>
      </c>
      <c r="Y784" s="3"/>
      <c r="Z784" s="3" t="str">
        <f>IFERROR(__xludf.DUMMYFUNCTION("""COMPUTED_VALUE"""),"ป่าไผ่")</f>
        <v>ป่าไผ่</v>
      </c>
      <c r="AA784" s="3" t="str">
        <f>IFERROR(__xludf.DUMMYFUNCTION("""COMPUTED_VALUE"""),"สันทราย")</f>
        <v>สันทราย</v>
      </c>
      <c r="AB784" s="3" t="str">
        <f>IFERROR(__xludf.DUMMYFUNCTION("""COMPUTED_VALUE"""),"เชียงใหม่")</f>
        <v>เชียงใหม่</v>
      </c>
      <c r="AC784" s="3">
        <f>IFERROR(__xludf.DUMMYFUNCTION("""COMPUTED_VALUE"""),50210.0)</f>
        <v>50210</v>
      </c>
      <c r="AD784" s="3">
        <f>IFERROR(__xludf.DUMMYFUNCTION("""COMPUTED_VALUE"""),18.888751)</f>
        <v>18.888751</v>
      </c>
      <c r="AE784" s="3">
        <f>IFERROR(__xludf.DUMMYFUNCTION("""COMPUTED_VALUE"""),99.028788)</f>
        <v>99.028788</v>
      </c>
      <c r="AF784" s="3" t="str">
        <f>IFERROR(__xludf.DUMMYFUNCTION("""COMPUTED_VALUE"""),"MBC หลิ่งมี่น เชียงใหม่-21552")</f>
        <v>MBC หลิ่งมี่น เชียงใหม่-21552</v>
      </c>
      <c r="AG784" s="3" t="str">
        <f>IFERROR(__xludf.DUMMYFUNCTION("""COMPUTED_VALUE"""),"เหนือ")</f>
        <v>เหนือ</v>
      </c>
      <c r="AH784" s="3" t="str">
        <f>IFERROR(__xludf.DUMMYFUNCTION("""COMPUTED_VALUE"""),"#N/A")</f>
        <v>#N/A</v>
      </c>
      <c r="AI784" s="3" t="str">
        <f>IFERROR(__xludf.DUMMYFUNCTION("""COMPUTED_VALUE"""),"Out of warranty")</f>
        <v>Out of warranty</v>
      </c>
      <c r="AJ784" s="3">
        <f>IFERROR(__xludf.DUMMYFUNCTION("""COMPUTED_VALUE"""),98.0)</f>
        <v>98</v>
      </c>
      <c r="AK784" s="3" t="str">
        <f>IFERROR(__xludf.DUMMYFUNCTION("""COMPUTED_VALUE"""),"MMS10")</f>
        <v>MMS10</v>
      </c>
      <c r="AL784" s="3"/>
    </row>
    <row r="785" ht="15.75" customHeight="1">
      <c r="A785" s="1" t="str">
        <f>IFERROR(__xludf.DUMMYFUNCTION("""COMPUTED_VALUE"""),"21553")</f>
        <v>21553</v>
      </c>
      <c r="B785" s="2">
        <f>IFERROR(__xludf.DUMMYFUNCTION("""COMPUTED_VALUE"""),21553.0)</f>
        <v>21553</v>
      </c>
      <c r="C785" s="3" t="str">
        <f>IFERROR(__xludf.DUMMYFUNCTION("""COMPUTED_VALUE"""),"MBC บ้านเป็ด")</f>
        <v>MBC บ้านเป็ด</v>
      </c>
      <c r="D785" s="3" t="str">
        <f>IFERROR(__xludf.DUMMYFUNCTION("""COMPUTED_VALUE"""),"BCM BAN PED")</f>
        <v>BCM BAN PED</v>
      </c>
      <c r="E785" s="1" t="str">
        <f>IFERROR(__xludf.DUMMYFUNCTION("""COMPUTED_VALUE"""),"บิ๊กซี MINI")</f>
        <v>บิ๊กซี MINI</v>
      </c>
      <c r="F785" s="1" t="str">
        <f>IFERROR(__xludf.DUMMYFUNCTION("""COMPUTED_VALUE"""),"291105")</f>
        <v>291105</v>
      </c>
      <c r="G785" s="1" t="str">
        <f>IFERROR(__xludf.DUMMYFUNCTION("""COMPUTED_VALUE"""),"นายสราวุฒิ พณิชยกุล")</f>
        <v>นายสราวุฒิ พณิชยกุล</v>
      </c>
      <c r="H785" s="1" t="str">
        <f>IFERROR(__xludf.DUMMYFUNCTION("""COMPUTED_VALUE"""),"305119")</f>
        <v>305119</v>
      </c>
      <c r="I785" s="1" t="str">
        <f>IFERROR(__xludf.DUMMYFUNCTION("""COMPUTED_VALUE"""),"นายไชยกร ลีพิบูลย์สวัสดิ์")</f>
        <v>นายไชยกร ลีพิบูลย์สวัสดิ์</v>
      </c>
      <c r="J785" s="3">
        <f>IFERROR(__xludf.DUMMYFUNCTION("""COMPUTED_VALUE"""),296868.0)</f>
        <v>296868</v>
      </c>
      <c r="K785" s="3" t="str">
        <f>IFERROR(__xludf.DUMMYFUNCTION("""COMPUTED_VALUE"""),"นายพีระพงษ์ แก้วดวงดี")</f>
        <v>นายพีระพงษ์ แก้วดวงดี</v>
      </c>
      <c r="L785" s="1" t="str">
        <f>IFERROR(__xludf.DUMMYFUNCTION("""COMPUTED_VALUE"""),"03 K.Peerapong K.")</f>
        <v>03 K.Peerapong K.</v>
      </c>
      <c r="M785" s="1" t="str">
        <f>IFERROR(__xludf.DUMMYFUNCTION("""COMPUTED_VALUE"""),"089-002-6599")</f>
        <v>089-002-6599</v>
      </c>
      <c r="N785" s="3">
        <f>IFERROR(__xludf.DUMMYFUNCTION("""COMPUTED_VALUE"""),21946.0)</f>
        <v>21946</v>
      </c>
      <c r="O785" s="3" t="str">
        <f>IFERROR(__xludf.DUMMYFUNCTION("""COMPUTED_VALUE"""),"MBC เซกา บึงกาฬ")</f>
        <v>MBC เซกา บึงกาฬ</v>
      </c>
      <c r="P785" s="4">
        <f>IFERROR(__xludf.DUMMYFUNCTION("""COMPUTED_VALUE"""),43067.0)</f>
        <v>43067</v>
      </c>
      <c r="Q785" s="3" t="str">
        <f>IFERROR(__xludf.DUMMYFUNCTION("""COMPUTED_VALUE"""),"A")</f>
        <v>A</v>
      </c>
      <c r="R785" s="3" t="str">
        <f>IFERROR(__xludf.DUMMYFUNCTION("""COMPUTED_VALUE"""),"Small Format")</f>
        <v>Small Format</v>
      </c>
      <c r="S785" s="3" t="str">
        <f>IFERROR(__xludf.DUMMYFUNCTION("""COMPUTED_VALUE"""),"BCM")</f>
        <v>BCM</v>
      </c>
      <c r="T785" s="3" t="str">
        <f>IFERROR(__xludf.DUMMYFUNCTION("""COMPUTED_VALUE"""),"#N/A")</f>
        <v>#N/A</v>
      </c>
      <c r="U785" s="3" t="str">
        <f>IFERROR(__xludf.DUMMYFUNCTION("""COMPUTED_VALUE"""),"#N/A")</f>
        <v>#N/A</v>
      </c>
      <c r="V785" s="3" t="str">
        <f>IFERROR(__xludf.DUMMYFUNCTION("""COMPUTED_VALUE"""),"N")</f>
        <v>N</v>
      </c>
      <c r="W785" s="3">
        <f>IFERROR(__xludf.DUMMYFUNCTION("""COMPUTED_VALUE"""),211501.0)</f>
        <v>211501</v>
      </c>
      <c r="X785" s="3" t="str">
        <f>IFERROR(__xludf.DUMMYFUNCTION("""COMPUTED_VALUE"""),"401,402,403 หมู่2 ตำบลบ้านเป็ด อำเภอเมืองขอนแก่น จังหวัดขอนแก่น 40000")</f>
        <v>401,402,403 หมู่2 ตำบลบ้านเป็ด อำเภอเมืองขอนแก่น จังหวัดขอนแก่น 40000</v>
      </c>
      <c r="Y785" s="3"/>
      <c r="Z785" s="3" t="str">
        <f>IFERROR(__xludf.DUMMYFUNCTION("""COMPUTED_VALUE"""),"บ้านเป็ด")</f>
        <v>บ้านเป็ด</v>
      </c>
      <c r="AA785" s="3" t="str">
        <f>IFERROR(__xludf.DUMMYFUNCTION("""COMPUTED_VALUE"""),"เมือง")</f>
        <v>เมือง</v>
      </c>
      <c r="AB785" s="3" t="str">
        <f>IFERROR(__xludf.DUMMYFUNCTION("""COMPUTED_VALUE"""),"ขอนแก่น")</f>
        <v>ขอนแก่น</v>
      </c>
      <c r="AC785" s="3">
        <f>IFERROR(__xludf.DUMMYFUNCTION("""COMPUTED_VALUE"""),40000.0)</f>
        <v>40000</v>
      </c>
      <c r="AD785" s="3">
        <f>IFERROR(__xludf.DUMMYFUNCTION("""COMPUTED_VALUE"""),16.43595485)</f>
        <v>16.43595485</v>
      </c>
      <c r="AE785" s="3">
        <f>IFERROR(__xludf.DUMMYFUNCTION("""COMPUTED_VALUE"""),102.7551639)</f>
        <v>102.7551639</v>
      </c>
      <c r="AF785" s="3" t="str">
        <f>IFERROR(__xludf.DUMMYFUNCTION("""COMPUTED_VALUE"""),"MBC บ้านเป็ด-21553")</f>
        <v>MBC บ้านเป็ด-21553</v>
      </c>
      <c r="AG785" s="3" t="str">
        <f>IFERROR(__xludf.DUMMYFUNCTION("""COMPUTED_VALUE"""),"ตะวันออกเฉียงเหนือ")</f>
        <v>ตะวันออกเฉียงเหนือ</v>
      </c>
      <c r="AH785" s="3" t="str">
        <f>IFERROR(__xludf.DUMMYFUNCTION("""COMPUTED_VALUE"""),"#N/A")</f>
        <v>#N/A</v>
      </c>
      <c r="AI785" s="3" t="str">
        <f>IFERROR(__xludf.DUMMYFUNCTION("""COMPUTED_VALUE"""),"Out of warranty")</f>
        <v>Out of warranty</v>
      </c>
      <c r="AJ785" s="3">
        <f>IFERROR(__xludf.DUMMYFUNCTION("""COMPUTED_VALUE"""),98.0)</f>
        <v>98</v>
      </c>
      <c r="AK785" s="3" t="str">
        <f>IFERROR(__xludf.DUMMYFUNCTION("""COMPUTED_VALUE"""),"MMS12")</f>
        <v>MMS12</v>
      </c>
      <c r="AL785" s="3"/>
    </row>
    <row r="786" ht="15.75" customHeight="1">
      <c r="A786" s="1" t="str">
        <f>IFERROR(__xludf.DUMMYFUNCTION("""COMPUTED_VALUE"""),"21554")</f>
        <v>21554</v>
      </c>
      <c r="B786" s="2">
        <f>IFERROR(__xludf.DUMMYFUNCTION("""COMPUTED_VALUE"""),21554.0)</f>
        <v>21554</v>
      </c>
      <c r="C786" s="3" t="str">
        <f>IFERROR(__xludf.DUMMYFUNCTION("""COMPUTED_VALUE"""),"MBC ซอยทุ่งเจริญ 1")</f>
        <v>MBC ซอยทุ่งเจริญ 1</v>
      </c>
      <c r="D786" s="3" t="str">
        <f>IFERROR(__xludf.DUMMYFUNCTION("""COMPUTED_VALUE"""),"BCM SOI TUNGCHARERN 1")</f>
        <v>BCM SOI TUNGCHARERN 1</v>
      </c>
      <c r="E786" s="1" t="str">
        <f>IFERROR(__xludf.DUMMYFUNCTION("""COMPUTED_VALUE"""),"บิ๊กซี MINI")</f>
        <v>บิ๊กซี MINI</v>
      </c>
      <c r="F786" s="1" t="str">
        <f>IFERROR(__xludf.DUMMYFUNCTION("""COMPUTED_VALUE"""),"250760")</f>
        <v>250760</v>
      </c>
      <c r="G786" s="1" t="str">
        <f>IFERROR(__xludf.DUMMYFUNCTION("""COMPUTED_VALUE"""),"นายประทวน สาราบรรณ์")</f>
        <v>นายประทวน สาราบรรณ์</v>
      </c>
      <c r="H786" s="1" t="str">
        <f>IFERROR(__xludf.DUMMYFUNCTION("""COMPUTED_VALUE"""),"357284")</f>
        <v>357284</v>
      </c>
      <c r="I786" s="1" t="str">
        <f>IFERROR(__xludf.DUMMYFUNCTION("""COMPUTED_VALUE"""),"น.ส.เบญจวรรณ ปัณฑโมรา")</f>
        <v>น.ส.เบญจวรรณ ปัณฑโมรา</v>
      </c>
      <c r="J786" s="3">
        <f>IFERROR(__xludf.DUMMYFUNCTION("""COMPUTED_VALUE"""),25324.0)</f>
        <v>25324</v>
      </c>
      <c r="K786" s="3" t="str">
        <f>IFERROR(__xludf.DUMMYFUNCTION("""COMPUTED_VALUE"""),"นายวิเชฎฐ์ ติรัตนะประคม")</f>
        <v>นายวิเชฎฐ์ ติรัตนะประคม</v>
      </c>
      <c r="L786" s="1" t="str">
        <f>IFERROR(__xludf.DUMMYFUNCTION("""COMPUTED_VALUE"""),"14 K.Wichet T.")</f>
        <v>14 K.Wichet T.</v>
      </c>
      <c r="M786" s="1" t="str">
        <f>IFERROR(__xludf.DUMMYFUNCTION("""COMPUTED_VALUE"""),"061-417-6569 / 086-445-5636")</f>
        <v>061-417-6569 / 086-445-5636</v>
      </c>
      <c r="N786" s="3">
        <f>IFERROR(__xludf.DUMMYFUNCTION("""COMPUTED_VALUE"""),22658.0)</f>
        <v>22658</v>
      </c>
      <c r="O786" s="3" t="str">
        <f>IFERROR(__xludf.DUMMYFUNCTION("""COMPUTED_VALUE"""),"BCM ถ.วิรัชหงษ์หยก ภูเก็ต")</f>
        <v>BCM ถ.วิรัชหงษ์หยก ภูเก็ต</v>
      </c>
      <c r="P786" s="4">
        <f>IFERROR(__xludf.DUMMYFUNCTION("""COMPUTED_VALUE"""),43068.0)</f>
        <v>43068</v>
      </c>
      <c r="Q786" s="3" t="str">
        <f>IFERROR(__xludf.DUMMYFUNCTION("""COMPUTED_VALUE"""),"A")</f>
        <v>A</v>
      </c>
      <c r="R786" s="3" t="str">
        <f>IFERROR(__xludf.DUMMYFUNCTION("""COMPUTED_VALUE"""),"Small Format")</f>
        <v>Small Format</v>
      </c>
      <c r="S786" s="3" t="str">
        <f>IFERROR(__xludf.DUMMYFUNCTION("""COMPUTED_VALUE"""),"BCM")</f>
        <v>BCM</v>
      </c>
      <c r="T786" s="3" t="str">
        <f>IFERROR(__xludf.DUMMYFUNCTION("""COMPUTED_VALUE"""),"#N/A")</f>
        <v>#N/A</v>
      </c>
      <c r="U786" s="3" t="str">
        <f>IFERROR(__xludf.DUMMYFUNCTION("""COMPUTED_VALUE"""),"#N/A")</f>
        <v>#N/A</v>
      </c>
      <c r="V786" s="3" t="str">
        <f>IFERROR(__xludf.DUMMYFUNCTION("""COMPUTED_VALUE"""),"N")</f>
        <v>N</v>
      </c>
      <c r="W786" s="3">
        <f>IFERROR(__xludf.DUMMYFUNCTION("""COMPUTED_VALUE"""),211536.0)</f>
        <v>211536</v>
      </c>
      <c r="X786" s="3" t="str">
        <f>IFERROR(__xludf.DUMMYFUNCTION("""COMPUTED_VALUE"""),"55/315-317 หมู่6 ตำบลวิชิต อำเภอเมืองภูเก็ต จังหวัดภูเก็ต 83000")</f>
        <v>55/315-317 หมู่6 ตำบลวิชิต อำเภอเมืองภูเก็ต จังหวัดภูเก็ต 83000</v>
      </c>
      <c r="Y786" s="3"/>
      <c r="Z786" s="3" t="str">
        <f>IFERROR(__xludf.DUMMYFUNCTION("""COMPUTED_VALUE"""),"วิชิต")</f>
        <v>วิชิต</v>
      </c>
      <c r="AA786" s="3" t="str">
        <f>IFERROR(__xludf.DUMMYFUNCTION("""COMPUTED_VALUE"""),"เมือง")</f>
        <v>เมือง</v>
      </c>
      <c r="AB786" s="3" t="str">
        <f>IFERROR(__xludf.DUMMYFUNCTION("""COMPUTED_VALUE"""),"ภูเก็ต")</f>
        <v>ภูเก็ต</v>
      </c>
      <c r="AC786" s="3">
        <f>IFERROR(__xludf.DUMMYFUNCTION("""COMPUTED_VALUE"""),83000.0)</f>
        <v>83000</v>
      </c>
      <c r="AD786" s="3">
        <f>IFERROR(__xludf.DUMMYFUNCTION("""COMPUTED_VALUE"""),7.85272)</f>
        <v>7.85272</v>
      </c>
      <c r="AE786" s="3">
        <f>IFERROR(__xludf.DUMMYFUNCTION("""COMPUTED_VALUE"""),98.37602)</f>
        <v>98.37602</v>
      </c>
      <c r="AF786" s="3" t="str">
        <f>IFERROR(__xludf.DUMMYFUNCTION("""COMPUTED_VALUE"""),"MBC ซอยทุ่งเจริญ 1-21554")</f>
        <v>MBC ซอยทุ่งเจริญ 1-21554</v>
      </c>
      <c r="AG786" s="3" t="str">
        <f>IFERROR(__xludf.DUMMYFUNCTION("""COMPUTED_VALUE"""),"ใต้")</f>
        <v>ใต้</v>
      </c>
      <c r="AH786" s="3" t="str">
        <f>IFERROR(__xludf.DUMMYFUNCTION("""COMPUTED_VALUE"""),"#N/A")</f>
        <v>#N/A</v>
      </c>
      <c r="AI786" s="3" t="str">
        <f>IFERROR(__xludf.DUMMYFUNCTION("""COMPUTED_VALUE"""),"Out of warranty")</f>
        <v>Out of warranty</v>
      </c>
      <c r="AJ786" s="3">
        <f>IFERROR(__xludf.DUMMYFUNCTION("""COMPUTED_VALUE"""),98.0)</f>
        <v>98</v>
      </c>
      <c r="AK786" s="3" t="str">
        <f>IFERROR(__xludf.DUMMYFUNCTION("""COMPUTED_VALUE"""),"MMS15")</f>
        <v>MMS15</v>
      </c>
      <c r="AL786" s="3"/>
    </row>
    <row r="787" ht="15.75" customHeight="1">
      <c r="A787" s="1" t="str">
        <f>IFERROR(__xludf.DUMMYFUNCTION("""COMPUTED_VALUE"""),"21555")</f>
        <v>21555</v>
      </c>
      <c r="B787" s="2">
        <f>IFERROR(__xludf.DUMMYFUNCTION("""COMPUTED_VALUE"""),21555.0)</f>
        <v>21555</v>
      </c>
      <c r="C787" s="3" t="str">
        <f>IFERROR(__xludf.DUMMYFUNCTION("""COMPUTED_VALUE"""),"MBC คลองหลวง ซอย 19")</f>
        <v>MBC คลองหลวง ซอย 19</v>
      </c>
      <c r="D787" s="3" t="str">
        <f>IFERROR(__xludf.DUMMYFUNCTION("""COMPUTED_VALUE"""),"BCM KHONG LUANG SOI 19")</f>
        <v>BCM KHONG LUANG SOI 19</v>
      </c>
      <c r="E787" s="1" t="str">
        <f>IFERROR(__xludf.DUMMYFUNCTION("""COMPUTED_VALUE"""),"บิ๊กซี MINI")</f>
        <v>บิ๊กซี MINI</v>
      </c>
      <c r="F787" s="1" t="str">
        <f>IFERROR(__xludf.DUMMYFUNCTION("""COMPUTED_VALUE"""),"2083447")</f>
        <v>2083447</v>
      </c>
      <c r="G787" s="1" t="str">
        <f>IFERROR(__xludf.DUMMYFUNCTION("""COMPUTED_VALUE"""),"นายอนุกูล ศรีลัดดา")</f>
        <v>นายอนุกูล ศรีลัดดา</v>
      </c>
      <c r="H787" s="1" t="str">
        <f>IFERROR(__xludf.DUMMYFUNCTION("""COMPUTED_VALUE"""),"373849")</f>
        <v>373849</v>
      </c>
      <c r="I787" s="1" t="str">
        <f>IFERROR(__xludf.DUMMYFUNCTION("""COMPUTED_VALUE"""),"น.ส.อรอุมา นิ่มวิศิษย์")</f>
        <v>น.ส.อรอุมา นิ่มวิศิษย์</v>
      </c>
      <c r="J787" s="3">
        <f>IFERROR(__xludf.DUMMYFUNCTION("""COMPUTED_VALUE"""),510143.0)</f>
        <v>510143</v>
      </c>
      <c r="K787" s="3" t="str">
        <f>IFERROR(__xludf.DUMMYFUNCTION("""COMPUTED_VALUE"""),"นายธีระวัฒน์ บุญสิทธิ์")</f>
        <v>นายธีระวัฒน์ บุญสิทธิ์</v>
      </c>
      <c r="L787" s="3" t="str">
        <f>IFERROR(__xludf.DUMMYFUNCTION("""COMPUTED_VALUE"""),"12 K.Theerawat B.")</f>
        <v>12 K.Theerawat B.</v>
      </c>
      <c r="M787" s="1" t="str">
        <f>IFERROR(__xludf.DUMMYFUNCTION("""COMPUTED_VALUE"""),"0655107379")</f>
        <v>0655107379</v>
      </c>
      <c r="N787" s="3">
        <f>IFERROR(__xludf.DUMMYFUNCTION("""COMPUTED_VALUE"""),21062.0)</f>
        <v>21062</v>
      </c>
      <c r="O787" s="3" t="str">
        <f>IFERROR(__xludf.DUMMYFUNCTION("""COMPUTED_VALUE"""),"MBC นิคมนวนคร")</f>
        <v>MBC นิคมนวนคร</v>
      </c>
      <c r="P787" s="4">
        <f>IFERROR(__xludf.DUMMYFUNCTION("""COMPUTED_VALUE"""),43068.0)</f>
        <v>43068</v>
      </c>
      <c r="Q787" s="3" t="str">
        <f>IFERROR(__xludf.DUMMYFUNCTION("""COMPUTED_VALUE"""),"A")</f>
        <v>A</v>
      </c>
      <c r="R787" s="3" t="str">
        <f>IFERROR(__xludf.DUMMYFUNCTION("""COMPUTED_VALUE"""),"Small Format")</f>
        <v>Small Format</v>
      </c>
      <c r="S787" s="3" t="str">
        <f>IFERROR(__xludf.DUMMYFUNCTION("""COMPUTED_VALUE"""),"BCM")</f>
        <v>BCM</v>
      </c>
      <c r="T787" s="3" t="str">
        <f>IFERROR(__xludf.DUMMYFUNCTION("""COMPUTED_VALUE"""),"#N/A")</f>
        <v>#N/A</v>
      </c>
      <c r="U787" s="3" t="str">
        <f>IFERROR(__xludf.DUMMYFUNCTION("""COMPUTED_VALUE"""),"#N/A")</f>
        <v>#N/A</v>
      </c>
      <c r="V787" s="3" t="str">
        <f>IFERROR(__xludf.DUMMYFUNCTION("""COMPUTED_VALUE"""),"N")</f>
        <v>N</v>
      </c>
      <c r="W787" s="3">
        <f>IFERROR(__xludf.DUMMYFUNCTION("""COMPUTED_VALUE"""),211531.0)</f>
        <v>211531</v>
      </c>
      <c r="X787" s="3" t="str">
        <f>IFERROR(__xludf.DUMMYFUNCTION("""COMPUTED_VALUE"""),"51/142 หมู่3 ตำบลคลองหนึ่ง อำเภอคลองหลวง จังหวัดปทุมธานี 12120")</f>
        <v>51/142 หมู่3 ตำบลคลองหนึ่ง อำเภอคลองหลวง จังหวัดปทุมธานี 12120</v>
      </c>
      <c r="Y787" s="3"/>
      <c r="Z787" s="3" t="str">
        <f>IFERROR(__xludf.DUMMYFUNCTION("""COMPUTED_VALUE"""),"คลองหนึ่ง")</f>
        <v>คลองหนึ่ง</v>
      </c>
      <c r="AA787" s="3" t="str">
        <f>IFERROR(__xludf.DUMMYFUNCTION("""COMPUTED_VALUE"""),"คลองหลวง")</f>
        <v>คลองหลวง</v>
      </c>
      <c r="AB787" s="3" t="str">
        <f>IFERROR(__xludf.DUMMYFUNCTION("""COMPUTED_VALUE"""),"ปทุมธานี")</f>
        <v>ปทุมธานี</v>
      </c>
      <c r="AC787" s="3">
        <f>IFERROR(__xludf.DUMMYFUNCTION("""COMPUTED_VALUE"""),12120.0)</f>
        <v>12120</v>
      </c>
      <c r="AD787" s="3">
        <f>IFERROR(__xludf.DUMMYFUNCTION("""COMPUTED_VALUE"""),14.0195784)</f>
        <v>14.0195784</v>
      </c>
      <c r="AE787" s="3">
        <f>IFERROR(__xludf.DUMMYFUNCTION("""COMPUTED_VALUE"""),100.61455)</f>
        <v>100.61455</v>
      </c>
      <c r="AF787" s="3" t="str">
        <f>IFERROR(__xludf.DUMMYFUNCTION("""COMPUTED_VALUE"""),"MBC คลองหลวง ซอย 19-21555")</f>
        <v>MBC คลองหลวง ซอย 19-21555</v>
      </c>
      <c r="AG787" s="3" t="str">
        <f>IFERROR(__xludf.DUMMYFUNCTION("""COMPUTED_VALUE"""),"กลาง")</f>
        <v>กลาง</v>
      </c>
      <c r="AH787" s="3" t="str">
        <f>IFERROR(__xludf.DUMMYFUNCTION("""COMPUTED_VALUE"""),"#N/A")</f>
        <v>#N/A</v>
      </c>
      <c r="AI787" s="3" t="str">
        <f>IFERROR(__xludf.DUMMYFUNCTION("""COMPUTED_VALUE"""),"Out of warranty")</f>
        <v>Out of warranty</v>
      </c>
      <c r="AJ787" s="3">
        <f>IFERROR(__xludf.DUMMYFUNCTION("""COMPUTED_VALUE"""),98.0)</f>
        <v>98</v>
      </c>
      <c r="AK787" s="3" t="str">
        <f>IFERROR(__xludf.DUMMYFUNCTION("""COMPUTED_VALUE"""),"MMS04")</f>
        <v>MMS04</v>
      </c>
      <c r="AL787" s="3"/>
    </row>
    <row r="788" ht="15.75" customHeight="1">
      <c r="A788" s="1" t="str">
        <f>IFERROR(__xludf.DUMMYFUNCTION("""COMPUTED_VALUE"""),"21556")</f>
        <v>21556</v>
      </c>
      <c r="B788" s="2">
        <f>IFERROR(__xludf.DUMMYFUNCTION("""COMPUTED_VALUE"""),21556.0)</f>
        <v>21556</v>
      </c>
      <c r="C788" s="3" t="str">
        <f>IFERROR(__xludf.DUMMYFUNCTION("""COMPUTED_VALUE"""),"MBC ถนนทะเลหลวง ซอย 16")</f>
        <v>MBC ถนนทะเลหลวง ซอย 16</v>
      </c>
      <c r="D788" s="3" t="str">
        <f>IFERROR(__xludf.DUMMYFUNCTION("""COMPUTED_VALUE"""),"BCM THANON THALAELUANG SOI 16")</f>
        <v>BCM THANON THALAELUANG SOI 16</v>
      </c>
      <c r="E788" s="1" t="str">
        <f>IFERROR(__xludf.DUMMYFUNCTION("""COMPUTED_VALUE"""),"บิ๊กซี MINI")</f>
        <v>บิ๊กซี MINI</v>
      </c>
      <c r="F788" s="1" t="str">
        <f>IFERROR(__xludf.DUMMYFUNCTION("""COMPUTED_VALUE"""),"250760")</f>
        <v>250760</v>
      </c>
      <c r="G788" s="1" t="str">
        <f>IFERROR(__xludf.DUMMYFUNCTION("""COMPUTED_VALUE"""),"นายประทวน สาราบรรณ์")</f>
        <v>นายประทวน สาราบรรณ์</v>
      </c>
      <c r="H788" s="1" t="str">
        <f>IFERROR(__xludf.DUMMYFUNCTION("""COMPUTED_VALUE"""),"394185")</f>
        <v>394185</v>
      </c>
      <c r="I788" s="1" t="str">
        <f>IFERROR(__xludf.DUMMYFUNCTION("""COMPUTED_VALUE"""),"น.ส.ฐาปนี สุวรรณรัตน์")</f>
        <v>น.ส.ฐาปนี สุวรรณรัตน์</v>
      </c>
      <c r="J788" s="3">
        <f>IFERROR(__xludf.DUMMYFUNCTION("""COMPUTED_VALUE"""),2.0470331E7)</f>
        <v>20470331</v>
      </c>
      <c r="K788" s="3" t="str">
        <f>IFERROR(__xludf.DUMMYFUNCTION("""COMPUTED_VALUE"""),"นายสมชาย ลักษณะสุวรรณ")</f>
        <v>นายสมชาย ลักษณะสุวรรณ</v>
      </c>
      <c r="L788" s="1" t="str">
        <f>IFERROR(__xludf.DUMMYFUNCTION("""COMPUTED_VALUE"""),"15 K.Somchai L")</f>
        <v>15 K.Somchai L</v>
      </c>
      <c r="M788" s="1" t="str">
        <f>IFERROR(__xludf.DUMMYFUNCTION("""COMPUTED_VALUE"""),"0655107372")</f>
        <v>0655107372</v>
      </c>
      <c r="N788" s="3">
        <f>IFERROR(__xludf.DUMMYFUNCTION("""COMPUTED_VALUE"""),21723.0)</f>
        <v>21723</v>
      </c>
      <c r="O788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788" s="4">
        <f>IFERROR(__xludf.DUMMYFUNCTION("""COMPUTED_VALUE"""),43069.0)</f>
        <v>43069</v>
      </c>
      <c r="Q788" s="3" t="str">
        <f>IFERROR(__xludf.DUMMYFUNCTION("""COMPUTED_VALUE"""),"A")</f>
        <v>A</v>
      </c>
      <c r="R788" s="3" t="str">
        <f>IFERROR(__xludf.DUMMYFUNCTION("""COMPUTED_VALUE"""),"Small Format")</f>
        <v>Small Format</v>
      </c>
      <c r="S788" s="3" t="str">
        <f>IFERROR(__xludf.DUMMYFUNCTION("""COMPUTED_VALUE"""),"BCM")</f>
        <v>BCM</v>
      </c>
      <c r="T788" s="3" t="str">
        <f>IFERROR(__xludf.DUMMYFUNCTION("""COMPUTED_VALUE"""),"#N/A")</f>
        <v>#N/A</v>
      </c>
      <c r="U788" s="3" t="str">
        <f>IFERROR(__xludf.DUMMYFUNCTION("""COMPUTED_VALUE"""),"#N/A")</f>
        <v>#N/A</v>
      </c>
      <c r="V788" s="3" t="str">
        <f>IFERROR(__xludf.DUMMYFUNCTION("""COMPUTED_VALUE"""),"N")</f>
        <v>N</v>
      </c>
      <c r="W788" s="3">
        <f>IFERROR(__xludf.DUMMYFUNCTION("""COMPUTED_VALUE"""),211538.0)</f>
        <v>211538</v>
      </c>
      <c r="X788" s="3" t="str">
        <f>IFERROR(__xludf.DUMMYFUNCTION("""COMPUTED_VALUE"""),"92/1-92/2 ถนนทะเลหลวง ตำบลบ่อยาง อำเภอเมืองสงขลา จังหวัดสงขลา 90000")</f>
        <v>92/1-92/2 ถนนทะเลหลวง ตำบลบ่อยาง อำเภอเมืองสงขลา จังหวัดสงขลา 90000</v>
      </c>
      <c r="Y788" s="3" t="str">
        <f>IFERROR(__xludf.DUMMYFUNCTION("""COMPUTED_VALUE"""),"ถนนทะเลหลวง")</f>
        <v>ถนนทะเลหลวง</v>
      </c>
      <c r="Z788" s="3" t="str">
        <f>IFERROR(__xludf.DUMMYFUNCTION("""COMPUTED_VALUE"""),"บ่อยาง")</f>
        <v>บ่อยาง</v>
      </c>
      <c r="AA788" s="3" t="str">
        <f>IFERROR(__xludf.DUMMYFUNCTION("""COMPUTED_VALUE"""),"เมือง")</f>
        <v>เมือง</v>
      </c>
      <c r="AB788" s="3" t="str">
        <f>IFERROR(__xludf.DUMMYFUNCTION("""COMPUTED_VALUE"""),"สงขลา")</f>
        <v>สงขลา</v>
      </c>
      <c r="AC788" s="3">
        <f>IFERROR(__xludf.DUMMYFUNCTION("""COMPUTED_VALUE"""),90000.0)</f>
        <v>90000</v>
      </c>
      <c r="AD788" s="3">
        <f>IFERROR(__xludf.DUMMYFUNCTION("""COMPUTED_VALUE"""),7.193783)</f>
        <v>7.193783</v>
      </c>
      <c r="AE788" s="3">
        <f>IFERROR(__xludf.DUMMYFUNCTION("""COMPUTED_VALUE"""),100.598675)</f>
        <v>100.598675</v>
      </c>
      <c r="AF788" s="3" t="str">
        <f>IFERROR(__xludf.DUMMYFUNCTION("""COMPUTED_VALUE"""),"MBC ถนนทะเลหลวง ซอย 16-21556")</f>
        <v>MBC ถนนทะเลหลวง ซอย 16-21556</v>
      </c>
      <c r="AG788" s="3" t="str">
        <f>IFERROR(__xludf.DUMMYFUNCTION("""COMPUTED_VALUE"""),"ใต้")</f>
        <v>ใต้</v>
      </c>
      <c r="AH788" s="3" t="str">
        <f>IFERROR(__xludf.DUMMYFUNCTION("""COMPUTED_VALUE"""),"#N/A")</f>
        <v>#N/A</v>
      </c>
      <c r="AI788" s="3" t="str">
        <f>IFERROR(__xludf.DUMMYFUNCTION("""COMPUTED_VALUE"""),"Out of warranty")</f>
        <v>Out of warranty</v>
      </c>
      <c r="AJ788" s="3">
        <f>IFERROR(__xludf.DUMMYFUNCTION("""COMPUTED_VALUE"""),98.0)</f>
        <v>98</v>
      </c>
      <c r="AK788" s="3" t="str">
        <f>IFERROR(__xludf.DUMMYFUNCTION("""COMPUTED_VALUE"""),"MMS16")</f>
        <v>MMS16</v>
      </c>
      <c r="AL788" s="3"/>
    </row>
    <row r="789" ht="15.75" customHeight="1">
      <c r="A789" s="1" t="str">
        <f>IFERROR(__xludf.DUMMYFUNCTION("""COMPUTED_VALUE"""),"21557")</f>
        <v>21557</v>
      </c>
      <c r="B789" s="2">
        <f>IFERROR(__xludf.DUMMYFUNCTION("""COMPUTED_VALUE"""),21557.0)</f>
        <v>21557</v>
      </c>
      <c r="C789" s="3" t="str">
        <f>IFERROR(__xludf.DUMMYFUNCTION("""COMPUTED_VALUE"""),"MBC ตลาดรัษฎา")</f>
        <v>MBC ตลาดรัษฎา</v>
      </c>
      <c r="D789" s="3" t="str">
        <f>IFERROR(__xludf.DUMMYFUNCTION("""COMPUTED_VALUE"""),"BCM TALAD RATSADA")</f>
        <v>BCM TALAD RATSADA</v>
      </c>
      <c r="E789" s="1" t="str">
        <f>IFERROR(__xludf.DUMMYFUNCTION("""COMPUTED_VALUE"""),"บิ๊กซี MINI")</f>
        <v>บิ๊กซี MINI</v>
      </c>
      <c r="F789" s="1" t="str">
        <f>IFERROR(__xludf.DUMMYFUNCTION("""COMPUTED_VALUE"""),"296229")</f>
        <v>296229</v>
      </c>
      <c r="G789" s="1" t="str">
        <f>IFERROR(__xludf.DUMMYFUNCTION("""COMPUTED_VALUE"""),"นายทนงศักดิ์ บุญมา")</f>
        <v>นายทนงศักดิ์ บุญมา</v>
      </c>
      <c r="H789" s="1" t="str">
        <f>IFERROR(__xludf.DUMMYFUNCTION("""COMPUTED_VALUE"""),"372826")</f>
        <v>372826</v>
      </c>
      <c r="I789" s="1" t="str">
        <f>IFERROR(__xludf.DUMMYFUNCTION("""COMPUTED_VALUE"""),"นายพงศกร สุขแก้ว")</f>
        <v>นายพงศกร สุขแก้ว</v>
      </c>
      <c r="J789" s="3">
        <f>IFERROR(__xludf.DUMMYFUNCTION("""COMPUTED_VALUE"""),2010016.0)</f>
        <v>2010016</v>
      </c>
      <c r="K789" s="3" t="str">
        <f>IFERROR(__xludf.DUMMYFUNCTION("""COMPUTED_VALUE"""),"นายตวงธรรม ใหม่ยศ")</f>
        <v>นายตวงธรรม ใหม่ยศ</v>
      </c>
      <c r="L789" s="1" t="str">
        <f>IFERROR(__xludf.DUMMYFUNCTION("""COMPUTED_VALUE"""),"01 K.Tuangtham M.")</f>
        <v>01 K.Tuangtham M.</v>
      </c>
      <c r="M789" s="1" t="str">
        <f>IFERROR(__xludf.DUMMYFUNCTION("""COMPUTED_VALUE"""),"063-976-595")</f>
        <v>063-976-595</v>
      </c>
      <c r="N789" s="3">
        <f>IFERROR(__xludf.DUMMYFUNCTION("""COMPUTED_VALUE"""),22574.0)</f>
        <v>22574</v>
      </c>
      <c r="O789" s="3" t="str">
        <f>IFERROR(__xludf.DUMMYFUNCTION("""COMPUTED_VALUE"""),"BCM ชุมชนศรีชุม ลำปาง")</f>
        <v>BCM ชุมชนศรีชุม ลำปาง</v>
      </c>
      <c r="P789" s="4">
        <f>IFERROR(__xludf.DUMMYFUNCTION("""COMPUTED_VALUE"""),43078.0)</f>
        <v>43078</v>
      </c>
      <c r="Q789" s="3" t="str">
        <f>IFERROR(__xludf.DUMMYFUNCTION("""COMPUTED_VALUE"""),"A")</f>
        <v>A</v>
      </c>
      <c r="R789" s="3" t="str">
        <f>IFERROR(__xludf.DUMMYFUNCTION("""COMPUTED_VALUE"""),"Small Format")</f>
        <v>Small Format</v>
      </c>
      <c r="S789" s="3" t="str">
        <f>IFERROR(__xludf.DUMMYFUNCTION("""COMPUTED_VALUE"""),"BCM")</f>
        <v>BCM</v>
      </c>
      <c r="T789" s="3" t="str">
        <f>IFERROR(__xludf.DUMMYFUNCTION("""COMPUTED_VALUE"""),"#N/A")</f>
        <v>#N/A</v>
      </c>
      <c r="U789" s="3" t="str">
        <f>IFERROR(__xludf.DUMMYFUNCTION("""COMPUTED_VALUE"""),"#N/A")</f>
        <v>#N/A</v>
      </c>
      <c r="V789" s="3" t="str">
        <f>IFERROR(__xludf.DUMMYFUNCTION("""COMPUTED_VALUE"""),"N")</f>
        <v>N</v>
      </c>
      <c r="W789" s="3">
        <f>IFERROR(__xludf.DUMMYFUNCTION("""COMPUTED_VALUE"""),211492.0)</f>
        <v>211492</v>
      </c>
      <c r="X789" s="3" t="str">
        <f>IFERROR(__xludf.DUMMYFUNCTION("""COMPUTED_VALUE"""),"54/1 ถนนรัษฎา ตำบลเวียงเหนือ อำเภอเมืองลำปาง จังหวัดลำปาง 52000")</f>
        <v>54/1 ถนนรัษฎา ตำบลเวียงเหนือ อำเภอเมืองลำปาง จังหวัดลำปาง 52000</v>
      </c>
      <c r="Y789" s="3" t="str">
        <f>IFERROR(__xludf.DUMMYFUNCTION("""COMPUTED_VALUE"""),"ถนนรัษฎา")</f>
        <v>ถนนรัษฎา</v>
      </c>
      <c r="Z789" s="3" t="str">
        <f>IFERROR(__xludf.DUMMYFUNCTION("""COMPUTED_VALUE"""),"เวียงเหนือ")</f>
        <v>เวียงเหนือ</v>
      </c>
      <c r="AA789" s="3" t="str">
        <f>IFERROR(__xludf.DUMMYFUNCTION("""COMPUTED_VALUE"""),"เมือง")</f>
        <v>เมือง</v>
      </c>
      <c r="AB789" s="3" t="str">
        <f>IFERROR(__xludf.DUMMYFUNCTION("""COMPUTED_VALUE"""),"ลำปาง")</f>
        <v>ลำปาง</v>
      </c>
      <c r="AC789" s="3">
        <f>IFERROR(__xludf.DUMMYFUNCTION("""COMPUTED_VALUE"""),52000.0)</f>
        <v>52000</v>
      </c>
      <c r="AD789" s="3">
        <f>IFERROR(__xludf.DUMMYFUNCTION("""COMPUTED_VALUE"""),18.294316)</f>
        <v>18.294316</v>
      </c>
      <c r="AE789" s="3">
        <f>IFERROR(__xludf.DUMMYFUNCTION("""COMPUTED_VALUE"""),99.500197)</f>
        <v>99.500197</v>
      </c>
      <c r="AF789" s="3" t="str">
        <f>IFERROR(__xludf.DUMMYFUNCTION("""COMPUTED_VALUE"""),"MBC ตลาดรัษฎา-21557")</f>
        <v>MBC ตลาดรัษฎา-21557</v>
      </c>
      <c r="AG789" s="3" t="str">
        <f>IFERROR(__xludf.DUMMYFUNCTION("""COMPUTED_VALUE"""),"เหนือ")</f>
        <v>เหนือ</v>
      </c>
      <c r="AH789" s="3" t="str">
        <f>IFERROR(__xludf.DUMMYFUNCTION("""COMPUTED_VALUE"""),"#N/A")</f>
        <v>#N/A</v>
      </c>
      <c r="AI789" s="3" t="str">
        <f>IFERROR(__xludf.DUMMYFUNCTION("""COMPUTED_VALUE"""),"Out of warranty")</f>
        <v>Out of warranty</v>
      </c>
      <c r="AJ789" s="3">
        <f>IFERROR(__xludf.DUMMYFUNCTION("""COMPUTED_VALUE"""),98.0)</f>
        <v>98</v>
      </c>
      <c r="AK789" s="3" t="str">
        <f>IFERROR(__xludf.DUMMYFUNCTION("""COMPUTED_VALUE"""),"MMS10")</f>
        <v>MMS10</v>
      </c>
      <c r="AL789" s="3"/>
    </row>
    <row r="790" ht="15.75" customHeight="1">
      <c r="A790" s="1" t="str">
        <f>IFERROR(__xludf.DUMMYFUNCTION("""COMPUTED_VALUE"""),"21558")</f>
        <v>21558</v>
      </c>
      <c r="B790" s="2">
        <f>IFERROR(__xludf.DUMMYFUNCTION("""COMPUTED_VALUE"""),21558.0)</f>
        <v>21558</v>
      </c>
      <c r="C790" s="3" t="str">
        <f>IFERROR(__xludf.DUMMYFUNCTION("""COMPUTED_VALUE"""),"MBC วัดกำแพง")</f>
        <v>MBC วัดกำแพง</v>
      </c>
      <c r="D790" s="3" t="str">
        <f>IFERROR(__xludf.DUMMYFUNCTION("""COMPUTED_VALUE"""),"BCM WAT KAMPHAENG")</f>
        <v>BCM WAT KAMPHAENG</v>
      </c>
      <c r="E790" s="1" t="str">
        <f>IFERROR(__xludf.DUMMYFUNCTION("""COMPUTED_VALUE"""),"บิ๊กซี MINI")</f>
        <v>บิ๊กซี MINI</v>
      </c>
      <c r="F790" s="1" t="str">
        <f>IFERROR(__xludf.DUMMYFUNCTION("""COMPUTED_VALUE"""),"291008")</f>
        <v>291008</v>
      </c>
      <c r="G790" s="1" t="str">
        <f>IFERROR(__xludf.DUMMYFUNCTION("""COMPUTED_VALUE"""),"น.ส.รัชดาพร อีศรัตน์")</f>
        <v>น.ส.รัชดาพร อีศรัตน์</v>
      </c>
      <c r="H790" s="1" t="str">
        <f>IFERROR(__xludf.DUMMYFUNCTION("""COMPUTED_VALUE"""),"250921")</f>
        <v>250921</v>
      </c>
      <c r="I790" s="1" t="str">
        <f>IFERROR(__xludf.DUMMYFUNCTION("""COMPUTED_VALUE"""),"นายปรัชญาวัต ถิระสังวร")</f>
        <v>นายปรัชญาวัต ถิระสังวร</v>
      </c>
      <c r="J790" s="3">
        <f>IFERROR(__xludf.DUMMYFUNCTION("""COMPUTED_VALUE"""),296728.0)</f>
        <v>296728</v>
      </c>
      <c r="K790" s="3" t="str">
        <f>IFERROR(__xludf.DUMMYFUNCTION("""COMPUTED_VALUE"""),"นายธิติ บัวทองรังสิมา")</f>
        <v>นายธิติ บัวทองรังสิมา</v>
      </c>
      <c r="L790" s="1" t="str">
        <f>IFERROR(__xludf.DUMMYFUNCTION("""COMPUTED_VALUE"""),"นายธิติ บัวทองรังสิมา")</f>
        <v>นายธิติ บัวทองรังสิมา</v>
      </c>
      <c r="M790" s="1" t="str">
        <f>IFERROR(__xludf.DUMMYFUNCTION("""COMPUTED_VALUE"""),"0920849994")</f>
        <v>0920849994</v>
      </c>
      <c r="N790" s="3">
        <f>IFERROR(__xludf.DUMMYFUNCTION("""COMPUTED_VALUE"""),21012.0)</f>
        <v>21012</v>
      </c>
      <c r="O790" s="3" t="str">
        <f>IFERROR(__xludf.DUMMYFUNCTION("""COMPUTED_VALUE"""),"MBC ท่าอิฐ")</f>
        <v>MBC ท่าอิฐ</v>
      </c>
      <c r="P790" s="4">
        <f>IFERROR(__xludf.DUMMYFUNCTION("""COMPUTED_VALUE"""),43098.0)</f>
        <v>43098</v>
      </c>
      <c r="Q790" s="3" t="str">
        <f>IFERROR(__xludf.DUMMYFUNCTION("""COMPUTED_VALUE"""),"I")</f>
        <v>I</v>
      </c>
      <c r="R790" s="3" t="str">
        <f>IFERROR(__xludf.DUMMYFUNCTION("""COMPUTED_VALUE"""),"Small Format")</f>
        <v>Small Format</v>
      </c>
      <c r="S790" s="3" t="str">
        <f>IFERROR(__xludf.DUMMYFUNCTION("""COMPUTED_VALUE"""),"BCM")</f>
        <v>BCM</v>
      </c>
      <c r="T790" s="3" t="str">
        <f>IFERROR(__xludf.DUMMYFUNCTION("""COMPUTED_VALUE"""),"#N/A")</f>
        <v>#N/A</v>
      </c>
      <c r="U790" s="3" t="str">
        <f>IFERROR(__xludf.DUMMYFUNCTION("""COMPUTED_VALUE"""),"#N/A")</f>
        <v>#N/A</v>
      </c>
      <c r="V790" s="3" t="str">
        <f>IFERROR(__xludf.DUMMYFUNCTION("""COMPUTED_VALUE"""),"N")</f>
        <v>N</v>
      </c>
      <c r="W790" s="3">
        <f>IFERROR(__xludf.DUMMYFUNCTION("""COMPUTED_VALUE"""),211496.0)</f>
        <v>211496</v>
      </c>
      <c r="X790" s="3" t="str">
        <f>IFERROR(__xludf.DUMMYFUNCTION("""COMPUTED_VALUE"""),"59/2 ซอยพระรามที่2 ซอย50 แขวงแสมดำ เขตบางขุนเทียน กรุงเทพมหานคร 10150")</f>
        <v>59/2 ซอยพระรามที่2 ซอย50 แขวงแสมดำ เขตบางขุนเทียน กรุงเทพมหานคร 10150</v>
      </c>
      <c r="Y790" s="3" t="str">
        <f>IFERROR(__xludf.DUMMYFUNCTION("""COMPUTED_VALUE"""),"ซอยพระรามที่2")</f>
        <v>ซอยพระรามที่2</v>
      </c>
      <c r="Z790" s="3" t="str">
        <f>IFERROR(__xludf.DUMMYFUNCTION("""COMPUTED_VALUE"""),"แสมดำ")</f>
        <v>แสมดำ</v>
      </c>
      <c r="AA790" s="3" t="str">
        <f>IFERROR(__xludf.DUMMYFUNCTION("""COMPUTED_VALUE"""),"บางขุนเทียน")</f>
        <v>บางขุนเทียน</v>
      </c>
      <c r="AB790" s="3" t="str">
        <f>IFERROR(__xludf.DUMMYFUNCTION("""COMPUTED_VALUE"""),"กรุงเทพมหานคร")</f>
        <v>กรุงเทพมหานคร</v>
      </c>
      <c r="AC790" s="3">
        <f>IFERROR(__xludf.DUMMYFUNCTION("""COMPUTED_VALUE"""),10150.0)</f>
        <v>10150</v>
      </c>
      <c r="AD790" s="3">
        <f>IFERROR(__xludf.DUMMYFUNCTION("""COMPUTED_VALUE"""),13.667975)</f>
        <v>13.667975</v>
      </c>
      <c r="AE790" s="3">
        <f>IFERROR(__xludf.DUMMYFUNCTION("""COMPUTED_VALUE"""),100.442752)</f>
        <v>100.442752</v>
      </c>
      <c r="AF790" s="3" t="str">
        <f>IFERROR(__xludf.DUMMYFUNCTION("""COMPUTED_VALUE"""),"MBC วัดกำแพง-21558")</f>
        <v>MBC วัดกำแพง-21558</v>
      </c>
      <c r="AG790" s="3" t="str">
        <f>IFERROR(__xludf.DUMMYFUNCTION("""COMPUTED_VALUE"""),"กลาง")</f>
        <v>กลาง</v>
      </c>
      <c r="AH790" s="3" t="str">
        <f>IFERROR(__xludf.DUMMYFUNCTION("""COMPUTED_VALUE"""),"#N/A")</f>
        <v>#N/A</v>
      </c>
      <c r="AI790" s="3" t="str">
        <f>IFERROR(__xludf.DUMMYFUNCTION("""COMPUTED_VALUE"""),"Out of warranty")</f>
        <v>Out of warranty</v>
      </c>
      <c r="AJ790" s="3">
        <f>IFERROR(__xludf.DUMMYFUNCTION("""COMPUTED_VALUE"""),97.0)</f>
        <v>97</v>
      </c>
      <c r="AK790" s="3" t="str">
        <f>IFERROR(__xludf.DUMMYFUNCTION("""COMPUTED_VALUE"""),"MMS02")</f>
        <v>MMS02</v>
      </c>
      <c r="AL790" s="3"/>
    </row>
    <row r="791" ht="15.75" customHeight="1">
      <c r="A791" s="1" t="str">
        <f>IFERROR(__xludf.DUMMYFUNCTION("""COMPUTED_VALUE"""),"21559")</f>
        <v>21559</v>
      </c>
      <c r="B791" s="2">
        <f>IFERROR(__xludf.DUMMYFUNCTION("""COMPUTED_VALUE"""),21559.0)</f>
        <v>21559</v>
      </c>
      <c r="C791" s="3" t="str">
        <f>IFERROR(__xludf.DUMMYFUNCTION("""COMPUTED_VALUE"""),"MBC ซอยบุญคุ้ม")</f>
        <v>MBC ซอยบุญคุ้ม</v>
      </c>
      <c r="D791" s="3" t="str">
        <f>IFERROR(__xludf.DUMMYFUNCTION("""COMPUTED_VALUE"""),"BCM SOI BOON KHUM")</f>
        <v>BCM SOI BOON KHUM</v>
      </c>
      <c r="E791" s="1" t="str">
        <f>IFERROR(__xludf.DUMMYFUNCTION("""COMPUTED_VALUE"""),"บิ๊กซี MINI")</f>
        <v>บิ๊กซี MINI</v>
      </c>
      <c r="F791" s="1" t="str">
        <f>IFERROR(__xludf.DUMMYFUNCTION("""COMPUTED_VALUE"""),"2083447")</f>
        <v>2083447</v>
      </c>
      <c r="G791" s="1" t="str">
        <f>IFERROR(__xludf.DUMMYFUNCTION("""COMPUTED_VALUE"""),"นายอนุกูล ศรีลัดดา")</f>
        <v>นายอนุกูล ศรีลัดดา</v>
      </c>
      <c r="H791" s="1" t="str">
        <f>IFERROR(__xludf.DUMMYFUNCTION("""COMPUTED_VALUE"""),"373849")</f>
        <v>373849</v>
      </c>
      <c r="I791" s="1" t="str">
        <f>IFERROR(__xludf.DUMMYFUNCTION("""COMPUTED_VALUE"""),"น.ส.อรอุมา นิ่มวิศิษย์")</f>
        <v>น.ส.อรอุมา นิ่มวิศิษย์</v>
      </c>
      <c r="J791" s="3">
        <f>IFERROR(__xludf.DUMMYFUNCTION("""COMPUTED_VALUE"""),2451655.0)</f>
        <v>2451655</v>
      </c>
      <c r="K791" s="3" t="str">
        <f>IFERROR(__xludf.DUMMYFUNCTION("""COMPUTED_VALUE"""),"นายวิษณุพงษ์ ชินบุตร")</f>
        <v>นายวิษณุพงษ์ ชินบุตร</v>
      </c>
      <c r="L791" s="1" t="str">
        <f>IFERROR(__xludf.DUMMYFUNCTION("""COMPUTED_VALUE"""),"13 K.Wisanupong Ch")</f>
        <v>13 K.Wisanupong Ch</v>
      </c>
      <c r="M791" s="1" t="str">
        <f>IFERROR(__xludf.DUMMYFUNCTION("""COMPUTED_VALUE"""),"0843374693")</f>
        <v>0843374693</v>
      </c>
      <c r="N791" s="3">
        <f>IFERROR(__xludf.DUMMYFUNCTION("""COMPUTED_VALUE"""),21494.0)</f>
        <v>21494</v>
      </c>
      <c r="O791" s="3" t="str">
        <f>IFERROR(__xludf.DUMMYFUNCTION("""COMPUTED_VALUE"""),"MBC บ้านกรด")</f>
        <v>MBC บ้านกรด</v>
      </c>
      <c r="P791" s="4">
        <f>IFERROR(__xludf.DUMMYFUNCTION("""COMPUTED_VALUE"""),43069.0)</f>
        <v>43069</v>
      </c>
      <c r="Q791" s="3" t="str">
        <f>IFERROR(__xludf.DUMMYFUNCTION("""COMPUTED_VALUE"""),"I")</f>
        <v>I</v>
      </c>
      <c r="R791" s="3" t="str">
        <f>IFERROR(__xludf.DUMMYFUNCTION("""COMPUTED_VALUE"""),"Small Format")</f>
        <v>Small Format</v>
      </c>
      <c r="S791" s="3" t="str">
        <f>IFERROR(__xludf.DUMMYFUNCTION("""COMPUTED_VALUE"""),"BCM")</f>
        <v>BCM</v>
      </c>
      <c r="T791" s="3" t="str">
        <f>IFERROR(__xludf.DUMMYFUNCTION("""COMPUTED_VALUE"""),"#N/A")</f>
        <v>#N/A</v>
      </c>
      <c r="U791" s="3" t="str">
        <f>IFERROR(__xludf.DUMMYFUNCTION("""COMPUTED_VALUE"""),"#N/A")</f>
        <v>#N/A</v>
      </c>
      <c r="V791" s="3" t="str">
        <f>IFERROR(__xludf.DUMMYFUNCTION("""COMPUTED_VALUE"""),"N")</f>
        <v>N</v>
      </c>
      <c r="W791" s="3">
        <f>IFERROR(__xludf.DUMMYFUNCTION("""COMPUTED_VALUE"""),211445.0)</f>
        <v>211445</v>
      </c>
      <c r="X791" s="3" t="str">
        <f>IFERROR(__xludf.DUMMYFUNCTION("""COMPUTED_VALUE"""),"50,50/1-2 หมู่7 ตำบลคูคต อำเภอลำลูกกา จังหวัดปทุมธานี 12130")</f>
        <v>50,50/1-2 หมู่7 ตำบลคูคต อำเภอลำลูกกา จังหวัดปทุมธานี 12130</v>
      </c>
      <c r="Y791" s="3"/>
      <c r="Z791" s="3" t="str">
        <f>IFERROR(__xludf.DUMMYFUNCTION("""COMPUTED_VALUE"""),"คูคต")</f>
        <v>คูคต</v>
      </c>
      <c r="AA791" s="3" t="str">
        <f>IFERROR(__xludf.DUMMYFUNCTION("""COMPUTED_VALUE"""),"ลำลูกกา")</f>
        <v>ลำลูกกา</v>
      </c>
      <c r="AB791" s="3" t="str">
        <f>IFERROR(__xludf.DUMMYFUNCTION("""COMPUTED_VALUE"""),"ปทุมธานี")</f>
        <v>ปทุมธานี</v>
      </c>
      <c r="AC791" s="3">
        <f>IFERROR(__xludf.DUMMYFUNCTION("""COMPUTED_VALUE"""),12130.0)</f>
        <v>12130</v>
      </c>
      <c r="AD791" s="3">
        <f>IFERROR(__xludf.DUMMYFUNCTION("""COMPUTED_VALUE"""),13.969726)</f>
        <v>13.969726</v>
      </c>
      <c r="AE791" s="3">
        <f>IFERROR(__xludf.DUMMYFUNCTION("""COMPUTED_VALUE"""),100.634963)</f>
        <v>100.634963</v>
      </c>
      <c r="AF791" s="3" t="str">
        <f>IFERROR(__xludf.DUMMYFUNCTION("""COMPUTED_VALUE"""),"MBC ซอยบุญคุ้ม-21559")</f>
        <v>MBC ซอยบุญคุ้ม-21559</v>
      </c>
      <c r="AG791" s="3" t="str">
        <f>IFERROR(__xludf.DUMMYFUNCTION("""COMPUTED_VALUE"""),"กลาง")</f>
        <v>กลาง</v>
      </c>
      <c r="AH791" s="3" t="str">
        <f>IFERROR(__xludf.DUMMYFUNCTION("""COMPUTED_VALUE"""),"#N/A")</f>
        <v>#N/A</v>
      </c>
      <c r="AI791" s="3" t="str">
        <f>IFERROR(__xludf.DUMMYFUNCTION("""COMPUTED_VALUE"""),"Out of warranty")</f>
        <v>Out of warranty</v>
      </c>
      <c r="AJ791" s="3">
        <f>IFERROR(__xludf.DUMMYFUNCTION("""COMPUTED_VALUE"""),98.0)</f>
        <v>98</v>
      </c>
      <c r="AK791" s="3" t="str">
        <f>IFERROR(__xludf.DUMMYFUNCTION("""COMPUTED_VALUE"""),"MMS04")</f>
        <v>MMS04</v>
      </c>
      <c r="AL791" s="3"/>
    </row>
    <row r="792" ht="15.75" customHeight="1">
      <c r="A792" s="1" t="str">
        <f>IFERROR(__xludf.DUMMYFUNCTION("""COMPUTED_VALUE"""),"21560")</f>
        <v>21560</v>
      </c>
      <c r="B792" s="2">
        <f>IFERROR(__xludf.DUMMYFUNCTION("""COMPUTED_VALUE"""),21560.0)</f>
        <v>21560</v>
      </c>
      <c r="C792" s="3" t="str">
        <f>IFERROR(__xludf.DUMMYFUNCTION("""COMPUTED_VALUE"""),"MBC บุญศิริ")</f>
        <v>MBC บุญศิริ</v>
      </c>
      <c r="D792" s="3" t="str">
        <f>IFERROR(__xludf.DUMMYFUNCTION("""COMPUTED_VALUE"""),"BCM BOON SIRI")</f>
        <v>BCM BOON SIRI</v>
      </c>
      <c r="E792" s="1" t="str">
        <f>IFERROR(__xludf.DUMMYFUNCTION("""COMPUTED_VALUE"""),"บิ๊กซี MINI")</f>
        <v>บิ๊กซี MINI</v>
      </c>
      <c r="F792" s="1" t="str">
        <f>IFERROR(__xludf.DUMMYFUNCTION("""COMPUTED_VALUE"""),"2083447")</f>
        <v>2083447</v>
      </c>
      <c r="G792" s="1" t="str">
        <f>IFERROR(__xludf.DUMMYFUNCTION("""COMPUTED_VALUE"""),"นายอนุกูล ศรีลัดดา")</f>
        <v>นายอนุกูล ศรีลัดดา</v>
      </c>
      <c r="H792" s="1" t="str">
        <f>IFERROR(__xludf.DUMMYFUNCTION("""COMPUTED_VALUE"""),"379037")</f>
        <v>379037</v>
      </c>
      <c r="I792" s="1" t="str">
        <f>IFERROR(__xludf.DUMMYFUNCTION("""COMPUTED_VALUE"""),"นางแก้วใจ แก้วกาญจน์")</f>
        <v>นางแก้วใจ แก้วกาญจน์</v>
      </c>
      <c r="J792" s="3">
        <f>IFERROR(__xludf.DUMMYFUNCTION("""COMPUTED_VALUE"""),2451655.0)</f>
        <v>2451655</v>
      </c>
      <c r="K792" s="3" t="str">
        <f>IFERROR(__xludf.DUMMYFUNCTION("""COMPUTED_VALUE"""),"นายวิษณุพงษ์ ชินบุตร")</f>
        <v>นายวิษณุพงษ์ ชินบุตร</v>
      </c>
      <c r="L792" s="1" t="str">
        <f>IFERROR(__xludf.DUMMYFUNCTION("""COMPUTED_VALUE"""),"13 K.Wisanupong Ch")</f>
        <v>13 K.Wisanupong Ch</v>
      </c>
      <c r="M792" s="1" t="str">
        <f>IFERROR(__xludf.DUMMYFUNCTION("""COMPUTED_VALUE"""),"0843374693")</f>
        <v>0843374693</v>
      </c>
      <c r="N792" s="3">
        <f>IFERROR(__xludf.DUMMYFUNCTION("""COMPUTED_VALUE"""),22729.0)</f>
        <v>22729</v>
      </c>
      <c r="O792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792" s="4">
        <f>IFERROR(__xludf.DUMMYFUNCTION("""COMPUTED_VALUE"""),43069.0)</f>
        <v>43069</v>
      </c>
      <c r="Q792" s="3" t="str">
        <f>IFERROR(__xludf.DUMMYFUNCTION("""COMPUTED_VALUE"""),"A")</f>
        <v>A</v>
      </c>
      <c r="R792" s="3" t="str">
        <f>IFERROR(__xludf.DUMMYFUNCTION("""COMPUTED_VALUE"""),"Small Format")</f>
        <v>Small Format</v>
      </c>
      <c r="S792" s="3" t="str">
        <f>IFERROR(__xludf.DUMMYFUNCTION("""COMPUTED_VALUE"""),"BCM")</f>
        <v>BCM</v>
      </c>
      <c r="T792" s="3" t="str">
        <f>IFERROR(__xludf.DUMMYFUNCTION("""COMPUTED_VALUE"""),"#N/A")</f>
        <v>#N/A</v>
      </c>
      <c r="U792" s="3" t="str">
        <f>IFERROR(__xludf.DUMMYFUNCTION("""COMPUTED_VALUE"""),"#N/A")</f>
        <v>#N/A</v>
      </c>
      <c r="V792" s="3" t="str">
        <f>IFERROR(__xludf.DUMMYFUNCTION("""COMPUTED_VALUE"""),"N")</f>
        <v>N</v>
      </c>
      <c r="W792" s="3">
        <f>IFERROR(__xludf.DUMMYFUNCTION("""COMPUTED_VALUE"""),211506.0)</f>
        <v>211506</v>
      </c>
      <c r="X792" s="3" t="str">
        <f>IFERROR(__xludf.DUMMYFUNCTION("""COMPUTED_VALUE"""),"10 ซอย27 (บุญศิริ) ถนนสุขุมวิท ตำบลปากน้ำ อำเภอเมืองสมุทรปราการ จังหวัดสมุทรปราการ 10270")</f>
        <v>10 ซอย27 (บุญศิริ) ถนนสุขุมวิท ตำบลปากน้ำ อำเภอเมืองสมุทรปราการ จังหวัดสมุทรปราการ 10270</v>
      </c>
      <c r="Y792" s="3" t="str">
        <f>IFERROR(__xludf.DUMMYFUNCTION("""COMPUTED_VALUE"""),"ซอย27")</f>
        <v>ซอย27</v>
      </c>
      <c r="Z792" s="3" t="str">
        <f>IFERROR(__xludf.DUMMYFUNCTION("""COMPUTED_VALUE"""),"ปากน้ำ")</f>
        <v>ปากน้ำ</v>
      </c>
      <c r="AA792" s="3" t="str">
        <f>IFERROR(__xludf.DUMMYFUNCTION("""COMPUTED_VALUE"""),"เมืองสมุทรปราการ")</f>
        <v>เมืองสมุทรปราการ</v>
      </c>
      <c r="AB792" s="3" t="str">
        <f>IFERROR(__xludf.DUMMYFUNCTION("""COMPUTED_VALUE"""),"สมุทรปราการ")</f>
        <v>สมุทรปราการ</v>
      </c>
      <c r="AC792" s="3">
        <f>IFERROR(__xludf.DUMMYFUNCTION("""COMPUTED_VALUE"""),10270.0)</f>
        <v>10270</v>
      </c>
      <c r="AD792" s="3">
        <f>IFERROR(__xludf.DUMMYFUNCTION("""COMPUTED_VALUE"""),13.60815)</f>
        <v>13.60815</v>
      </c>
      <c r="AE792" s="3">
        <f>IFERROR(__xludf.DUMMYFUNCTION("""COMPUTED_VALUE"""),100.597524)</f>
        <v>100.597524</v>
      </c>
      <c r="AF792" s="3" t="str">
        <f>IFERROR(__xludf.DUMMYFUNCTION("""COMPUTED_VALUE"""),"MBC บุญศิริ-21560")</f>
        <v>MBC บุญศิริ-21560</v>
      </c>
      <c r="AG792" s="3" t="str">
        <f>IFERROR(__xludf.DUMMYFUNCTION("""COMPUTED_VALUE"""),"กลาง")</f>
        <v>กลาง</v>
      </c>
      <c r="AH792" s="3" t="str">
        <f>IFERROR(__xludf.DUMMYFUNCTION("""COMPUTED_VALUE"""),"#N/A")</f>
        <v>#N/A</v>
      </c>
      <c r="AI792" s="3" t="str">
        <f>IFERROR(__xludf.DUMMYFUNCTION("""COMPUTED_VALUE"""),"Out of warranty")</f>
        <v>Out of warranty</v>
      </c>
      <c r="AJ792" s="3">
        <f>IFERROR(__xludf.DUMMYFUNCTION("""COMPUTED_VALUE"""),98.0)</f>
        <v>98</v>
      </c>
      <c r="AK792" s="3" t="str">
        <f>IFERROR(__xludf.DUMMYFUNCTION("""COMPUTED_VALUE"""),"MMS02")</f>
        <v>MMS02</v>
      </c>
      <c r="AL792" s="3"/>
    </row>
    <row r="793" ht="15.75" customHeight="1">
      <c r="A793" s="1" t="str">
        <f>IFERROR(__xludf.DUMMYFUNCTION("""COMPUTED_VALUE"""),"21561")</f>
        <v>21561</v>
      </c>
      <c r="B793" s="2">
        <f>IFERROR(__xludf.DUMMYFUNCTION("""COMPUTED_VALUE"""),21561.0)</f>
        <v>21561</v>
      </c>
      <c r="C793" s="3" t="str">
        <f>IFERROR(__xludf.DUMMYFUNCTION("""COMPUTED_VALUE"""),"MBC เอกชัย 46")</f>
        <v>MBC เอกชัย 46</v>
      </c>
      <c r="D793" s="3" t="str">
        <f>IFERROR(__xludf.DUMMYFUNCTION("""COMPUTED_VALUE"""),"BCM EKKACHAI 46")</f>
        <v>BCM EKKACHAI 46</v>
      </c>
      <c r="E793" s="1" t="str">
        <f>IFERROR(__xludf.DUMMYFUNCTION("""COMPUTED_VALUE"""),"บิ๊กซี MINI")</f>
        <v>บิ๊กซี MINI</v>
      </c>
      <c r="F793" s="1" t="str">
        <f>IFERROR(__xludf.DUMMYFUNCTION("""COMPUTED_VALUE"""),"291008")</f>
        <v>291008</v>
      </c>
      <c r="G793" s="1" t="str">
        <f>IFERROR(__xludf.DUMMYFUNCTION("""COMPUTED_VALUE"""),"น.ส.รัชดาพร อีศรัตน์")</f>
        <v>น.ส.รัชดาพร อีศรัตน์</v>
      </c>
      <c r="H793" s="1" t="str">
        <f>IFERROR(__xludf.DUMMYFUNCTION("""COMPUTED_VALUE"""),"250921")</f>
        <v>250921</v>
      </c>
      <c r="I793" s="1" t="str">
        <f>IFERROR(__xludf.DUMMYFUNCTION("""COMPUTED_VALUE"""),"นายปรัชญาวัต ถิระสังวร")</f>
        <v>นายปรัชญาวัต ถิระสังวร</v>
      </c>
      <c r="J793" s="3">
        <f>IFERROR(__xludf.DUMMYFUNCTION("""COMPUTED_VALUE"""),2452378.0)</f>
        <v>2452378</v>
      </c>
      <c r="K793" s="3" t="str">
        <f>IFERROR(__xludf.DUMMYFUNCTION("""COMPUTED_VALUE"""),"นายศักดิ์ดา พวงประดับ")</f>
        <v>นายศักดิ์ดา พวงประดับ</v>
      </c>
      <c r="L793" s="1" t="str">
        <f>IFERROR(__xludf.DUMMYFUNCTION("""COMPUTED_VALUE"""),"11 K.Sakda P.")</f>
        <v>11 K.Sakda P.</v>
      </c>
      <c r="M793" s="1" t="str">
        <f>IFERROR(__xludf.DUMMYFUNCTION("""COMPUTED_VALUE"""),"065-929-1279")</f>
        <v>065-929-1279</v>
      </c>
      <c r="N793" s="3">
        <f>IFERROR(__xludf.DUMMYFUNCTION("""COMPUTED_VALUE"""),21002.0)</f>
        <v>21002</v>
      </c>
      <c r="O793" s="3" t="str">
        <f>IFERROR(__xludf.DUMMYFUNCTION("""COMPUTED_VALUE"""),"MBC อุดมสุข")</f>
        <v>MBC อุดมสุข</v>
      </c>
      <c r="P793" s="4">
        <f>IFERROR(__xludf.DUMMYFUNCTION("""COMPUTED_VALUE"""),43093.0)</f>
        <v>43093</v>
      </c>
      <c r="Q793" s="3" t="str">
        <f>IFERROR(__xludf.DUMMYFUNCTION("""COMPUTED_VALUE"""),"A")</f>
        <v>A</v>
      </c>
      <c r="R793" s="3" t="str">
        <f>IFERROR(__xludf.DUMMYFUNCTION("""COMPUTED_VALUE"""),"Small Format")</f>
        <v>Small Format</v>
      </c>
      <c r="S793" s="3" t="str">
        <f>IFERROR(__xludf.DUMMYFUNCTION("""COMPUTED_VALUE"""),"BCM")</f>
        <v>BCM</v>
      </c>
      <c r="T793" s="3" t="str">
        <f>IFERROR(__xludf.DUMMYFUNCTION("""COMPUTED_VALUE"""),"#N/A")</f>
        <v>#N/A</v>
      </c>
      <c r="U793" s="3" t="str">
        <f>IFERROR(__xludf.DUMMYFUNCTION("""COMPUTED_VALUE"""),"#N/A")</f>
        <v>#N/A</v>
      </c>
      <c r="V793" s="3" t="str">
        <f>IFERROR(__xludf.DUMMYFUNCTION("""COMPUTED_VALUE"""),"N")</f>
        <v>N</v>
      </c>
      <c r="W793" s="3">
        <f>IFERROR(__xludf.DUMMYFUNCTION("""COMPUTED_VALUE"""),211527.0)</f>
        <v>211527</v>
      </c>
      <c r="X793" s="3" t="str">
        <f>IFERROR(__xludf.DUMMYFUNCTION("""COMPUTED_VALUE"""),"370,372,374 ซอยเอกชัย46 แขวงบางบอน เขตบางบอน กรุงเทพมหานคร 10150")</f>
        <v>370,372,374 ซอยเอกชัย46 แขวงบางบอน เขตบางบอน กรุงเทพมหานคร 10150</v>
      </c>
      <c r="Y793" s="3" t="str">
        <f>IFERROR(__xludf.DUMMYFUNCTION("""COMPUTED_VALUE"""),"ซอยเอกชัย46")</f>
        <v>ซอยเอกชัย46</v>
      </c>
      <c r="Z793" s="3" t="str">
        <f>IFERROR(__xludf.DUMMYFUNCTION("""COMPUTED_VALUE"""),"บางบอน")</f>
        <v>บางบอน</v>
      </c>
      <c r="AA793" s="3" t="str">
        <f>IFERROR(__xludf.DUMMYFUNCTION("""COMPUTED_VALUE"""),"บางบอน")</f>
        <v>บางบอน</v>
      </c>
      <c r="AB793" s="3" t="str">
        <f>IFERROR(__xludf.DUMMYFUNCTION("""COMPUTED_VALUE"""),"กรุงเทพมหานคร")</f>
        <v>กรุงเทพมหานคร</v>
      </c>
      <c r="AC793" s="3">
        <f>IFERROR(__xludf.DUMMYFUNCTION("""COMPUTED_VALUE"""),10150.0)</f>
        <v>10150</v>
      </c>
      <c r="AD793" s="3">
        <f>IFERROR(__xludf.DUMMYFUNCTION("""COMPUTED_VALUE"""),13.683739)</f>
        <v>13.683739</v>
      </c>
      <c r="AE793" s="3">
        <f>IFERROR(__xludf.DUMMYFUNCTION("""COMPUTED_VALUE"""),100.4378756)</f>
        <v>100.4378756</v>
      </c>
      <c r="AF793" s="3" t="str">
        <f>IFERROR(__xludf.DUMMYFUNCTION("""COMPUTED_VALUE"""),"MBC เอกชัย 46-21561")</f>
        <v>MBC เอกชัย 46-21561</v>
      </c>
      <c r="AG793" s="3" t="str">
        <f>IFERROR(__xludf.DUMMYFUNCTION("""COMPUTED_VALUE"""),"กลาง")</f>
        <v>กลาง</v>
      </c>
      <c r="AH793" s="3" t="str">
        <f>IFERROR(__xludf.DUMMYFUNCTION("""COMPUTED_VALUE"""),"#N/A")</f>
        <v>#N/A</v>
      </c>
      <c r="AI793" s="3" t="str">
        <f>IFERROR(__xludf.DUMMYFUNCTION("""COMPUTED_VALUE"""),"Out of warranty")</f>
        <v>Out of warranty</v>
      </c>
      <c r="AJ793" s="3">
        <f>IFERROR(__xludf.DUMMYFUNCTION("""COMPUTED_VALUE"""),97.0)</f>
        <v>97</v>
      </c>
      <c r="AK793" s="3" t="str">
        <f>IFERROR(__xludf.DUMMYFUNCTION("""COMPUTED_VALUE"""),"MMS02")</f>
        <v>MMS02</v>
      </c>
      <c r="AL793" s="3"/>
    </row>
    <row r="794" ht="15.75" customHeight="1">
      <c r="A794" s="1" t="str">
        <f>IFERROR(__xludf.DUMMYFUNCTION("""COMPUTED_VALUE"""),"21562")</f>
        <v>21562</v>
      </c>
      <c r="B794" s="2">
        <f>IFERROR(__xludf.DUMMYFUNCTION("""COMPUTED_VALUE"""),21562.0)</f>
        <v>21562</v>
      </c>
      <c r="C794" s="3" t="str">
        <f>IFERROR(__xludf.DUMMYFUNCTION("""COMPUTED_VALUE"""),"MBC โพธิสาร")</f>
        <v>MBC โพธิสาร</v>
      </c>
      <c r="D794" s="3" t="str">
        <f>IFERROR(__xludf.DUMMYFUNCTION("""COMPUTED_VALUE"""),"BCM PHOTHISARN")</f>
        <v>BCM PHOTHISARN</v>
      </c>
      <c r="E794" s="1" t="str">
        <f>IFERROR(__xludf.DUMMYFUNCTION("""COMPUTED_VALUE"""),"บิ๊กซี MINI")</f>
        <v>บิ๊กซี MINI</v>
      </c>
      <c r="F794" s="1" t="str">
        <f>IFERROR(__xludf.DUMMYFUNCTION("""COMPUTED_VALUE"""),"291105")</f>
        <v>291105</v>
      </c>
      <c r="G794" s="1" t="str">
        <f>IFERROR(__xludf.DUMMYFUNCTION("""COMPUTED_VALUE"""),"นายสราวุฒิ พณิชยกุล")</f>
        <v>นายสราวุฒิ พณิชยกุล</v>
      </c>
      <c r="H794" s="1" t="str">
        <f>IFERROR(__xludf.DUMMYFUNCTION("""COMPUTED_VALUE"""),"305119")</f>
        <v>305119</v>
      </c>
      <c r="I794" s="1" t="str">
        <f>IFERROR(__xludf.DUMMYFUNCTION("""COMPUTED_VALUE"""),"นายไชยกร ลีพิบูลย์สวัสดิ์")</f>
        <v>นายไชยกร ลีพิบูลย์สวัสดิ์</v>
      </c>
      <c r="J794" s="3">
        <f>IFERROR(__xludf.DUMMYFUNCTION("""COMPUTED_VALUE"""),296868.0)</f>
        <v>296868</v>
      </c>
      <c r="K794" s="3" t="str">
        <f>IFERROR(__xludf.DUMMYFUNCTION("""COMPUTED_VALUE"""),"นายพีระพงษ์ แก้วดวงดี")</f>
        <v>นายพีระพงษ์ แก้วดวงดี</v>
      </c>
      <c r="L794" s="3" t="str">
        <f>IFERROR(__xludf.DUMMYFUNCTION("""COMPUTED_VALUE"""),"03 K.Peerapong K.")</f>
        <v>03 K.Peerapong K.</v>
      </c>
      <c r="M794" s="1" t="str">
        <f>IFERROR(__xludf.DUMMYFUNCTION("""COMPUTED_VALUE"""),"089-002-6599")</f>
        <v>089-002-6599</v>
      </c>
      <c r="N794" s="3">
        <f>IFERROR(__xludf.DUMMYFUNCTION("""COMPUTED_VALUE"""),21946.0)</f>
        <v>21946</v>
      </c>
      <c r="O794" s="3" t="str">
        <f>IFERROR(__xludf.DUMMYFUNCTION("""COMPUTED_VALUE"""),"MBC เซกา บึงกาฬ")</f>
        <v>MBC เซกา บึงกาฬ</v>
      </c>
      <c r="P794" s="4">
        <f>IFERROR(__xludf.DUMMYFUNCTION("""COMPUTED_VALUE"""),43078.0)</f>
        <v>43078</v>
      </c>
      <c r="Q794" s="3" t="str">
        <f>IFERROR(__xludf.DUMMYFUNCTION("""COMPUTED_VALUE"""),"A")</f>
        <v>A</v>
      </c>
      <c r="R794" s="3" t="str">
        <f>IFERROR(__xludf.DUMMYFUNCTION("""COMPUTED_VALUE"""),"Small Format")</f>
        <v>Small Format</v>
      </c>
      <c r="S794" s="3" t="str">
        <f>IFERROR(__xludf.DUMMYFUNCTION("""COMPUTED_VALUE"""),"BCM")</f>
        <v>BCM</v>
      </c>
      <c r="T794" s="3" t="str">
        <f>IFERROR(__xludf.DUMMYFUNCTION("""COMPUTED_VALUE"""),"#N/A")</f>
        <v>#N/A</v>
      </c>
      <c r="U794" s="3" t="str">
        <f>IFERROR(__xludf.DUMMYFUNCTION("""COMPUTED_VALUE"""),"#N/A")</f>
        <v>#N/A</v>
      </c>
      <c r="V794" s="3" t="str">
        <f>IFERROR(__xludf.DUMMYFUNCTION("""COMPUTED_VALUE"""),"N")</f>
        <v>N</v>
      </c>
      <c r="W794" s="3">
        <f>IFERROR(__xludf.DUMMYFUNCTION("""COMPUTED_VALUE"""),211458.0)</f>
        <v>211458</v>
      </c>
      <c r="X794" s="3" t="str">
        <f>IFERROR(__xludf.DUMMYFUNCTION("""COMPUTED_VALUE"""),"44/129 หมู่3 ตำบลในเมือง อำเภอเมืองขอนแก่น จังหวัดขอนแก่น 40000")</f>
        <v>44/129 หมู่3 ตำบลในเมือง อำเภอเมืองขอนแก่น จังหวัดขอนแก่น 40000</v>
      </c>
      <c r="Y794" s="3"/>
      <c r="Z794" s="3" t="str">
        <f>IFERROR(__xludf.DUMMYFUNCTION("""COMPUTED_VALUE"""),"ในเมือง")</f>
        <v>ในเมือง</v>
      </c>
      <c r="AA794" s="3" t="str">
        <f>IFERROR(__xludf.DUMMYFUNCTION("""COMPUTED_VALUE"""),"เมือง")</f>
        <v>เมือง</v>
      </c>
      <c r="AB794" s="3" t="str">
        <f>IFERROR(__xludf.DUMMYFUNCTION("""COMPUTED_VALUE"""),"ขอนแก่น")</f>
        <v>ขอนแก่น</v>
      </c>
      <c r="AC794" s="3">
        <f>IFERROR(__xludf.DUMMYFUNCTION("""COMPUTED_VALUE"""),40000.0)</f>
        <v>40000</v>
      </c>
      <c r="AD794" s="3">
        <f>IFERROR(__xludf.DUMMYFUNCTION("""COMPUTED_VALUE"""),16.41270548)</f>
        <v>16.41270548</v>
      </c>
      <c r="AE794" s="3">
        <f>IFERROR(__xludf.DUMMYFUNCTION("""COMPUTED_VALUE"""),102.8522893)</f>
        <v>102.8522893</v>
      </c>
      <c r="AF794" s="3" t="str">
        <f>IFERROR(__xludf.DUMMYFUNCTION("""COMPUTED_VALUE"""),"MBC โพธิสาร-21562")</f>
        <v>MBC โพธิสาร-21562</v>
      </c>
      <c r="AG794" s="3" t="str">
        <f>IFERROR(__xludf.DUMMYFUNCTION("""COMPUTED_VALUE"""),"ตะวันออกเฉียงเหนือ")</f>
        <v>ตะวันออกเฉียงเหนือ</v>
      </c>
      <c r="AH794" s="3" t="str">
        <f>IFERROR(__xludf.DUMMYFUNCTION("""COMPUTED_VALUE"""),"#N/A")</f>
        <v>#N/A</v>
      </c>
      <c r="AI794" s="3" t="str">
        <f>IFERROR(__xludf.DUMMYFUNCTION("""COMPUTED_VALUE"""),"Out of warranty")</f>
        <v>Out of warranty</v>
      </c>
      <c r="AJ794" s="3">
        <f>IFERROR(__xludf.DUMMYFUNCTION("""COMPUTED_VALUE"""),98.0)</f>
        <v>98</v>
      </c>
      <c r="AK794" s="3" t="str">
        <f>IFERROR(__xludf.DUMMYFUNCTION("""COMPUTED_VALUE"""),"MMS12")</f>
        <v>MMS12</v>
      </c>
      <c r="AL794" s="3"/>
    </row>
    <row r="795" ht="15.75" customHeight="1">
      <c r="A795" s="1" t="str">
        <f>IFERROR(__xludf.DUMMYFUNCTION("""COMPUTED_VALUE"""),"21563")</f>
        <v>21563</v>
      </c>
      <c r="B795" s="2">
        <f>IFERROR(__xludf.DUMMYFUNCTION("""COMPUTED_VALUE"""),21563.0)</f>
        <v>21563</v>
      </c>
      <c r="C795" s="3" t="str">
        <f>IFERROR(__xludf.DUMMYFUNCTION("""COMPUTED_VALUE"""),"MBC สันกำแพง")</f>
        <v>MBC สันกำแพง</v>
      </c>
      <c r="D795" s="3" t="str">
        <f>IFERROR(__xludf.DUMMYFUNCTION("""COMPUTED_VALUE"""),"BCM SAN KAMPHAENG")</f>
        <v>BCM SAN KAMPHAENG</v>
      </c>
      <c r="E795" s="1" t="str">
        <f>IFERROR(__xludf.DUMMYFUNCTION("""COMPUTED_VALUE"""),"บิ๊กซี MINI")</f>
        <v>บิ๊กซี MINI</v>
      </c>
      <c r="F795" s="1" t="str">
        <f>IFERROR(__xludf.DUMMYFUNCTION("""COMPUTED_VALUE"""),"296229")</f>
        <v>296229</v>
      </c>
      <c r="G795" s="1" t="str">
        <f>IFERROR(__xludf.DUMMYFUNCTION("""COMPUTED_VALUE"""),"นายทนงศักดิ์ บุญมา")</f>
        <v>นายทนงศักดิ์ บุญมา</v>
      </c>
      <c r="H795" s="1" t="str">
        <f>IFERROR(__xludf.DUMMYFUNCTION("""COMPUTED_VALUE"""),"392003")</f>
        <v>392003</v>
      </c>
      <c r="I795" s="1" t="str">
        <f>IFERROR(__xludf.DUMMYFUNCTION("""COMPUTED_VALUE"""),"นายวรภพ เศษสูงเนิน")</f>
        <v>นายวรภพ เศษสูงเนิน</v>
      </c>
      <c r="J795" s="3">
        <f>IFERROR(__xludf.DUMMYFUNCTION("""COMPUTED_VALUE"""),2010016.0)</f>
        <v>2010016</v>
      </c>
      <c r="K795" s="3" t="str">
        <f>IFERROR(__xludf.DUMMYFUNCTION("""COMPUTED_VALUE"""),"นายตวงธรรม ใหม่ยศ")</f>
        <v>นายตวงธรรม ใหม่ยศ</v>
      </c>
      <c r="L795" s="1" t="str">
        <f>IFERROR(__xludf.DUMMYFUNCTION("""COMPUTED_VALUE"""),"01 K.Tuangtham M.")</f>
        <v>01 K.Tuangtham M.</v>
      </c>
      <c r="M795" s="1" t="str">
        <f>IFERROR(__xludf.DUMMYFUNCTION("""COMPUTED_VALUE"""),"063-976-595")</f>
        <v>063-976-595</v>
      </c>
      <c r="N795" s="3">
        <f>IFERROR(__xludf.DUMMYFUNCTION("""COMPUTED_VALUE"""),22574.0)</f>
        <v>22574</v>
      </c>
      <c r="O795" s="3" t="str">
        <f>IFERROR(__xludf.DUMMYFUNCTION("""COMPUTED_VALUE"""),"BCM ชุมชนศรีชุม ลำปาง")</f>
        <v>BCM ชุมชนศรีชุม ลำปาง</v>
      </c>
      <c r="P795" s="4">
        <f>IFERROR(__xludf.DUMMYFUNCTION("""COMPUTED_VALUE"""),43078.0)</f>
        <v>43078</v>
      </c>
      <c r="Q795" s="3" t="str">
        <f>IFERROR(__xludf.DUMMYFUNCTION("""COMPUTED_VALUE"""),"A")</f>
        <v>A</v>
      </c>
      <c r="R795" s="3" t="str">
        <f>IFERROR(__xludf.DUMMYFUNCTION("""COMPUTED_VALUE"""),"Small Format")</f>
        <v>Small Format</v>
      </c>
      <c r="S795" s="3" t="str">
        <f>IFERROR(__xludf.DUMMYFUNCTION("""COMPUTED_VALUE"""),"BCM")</f>
        <v>BCM</v>
      </c>
      <c r="T795" s="3" t="str">
        <f>IFERROR(__xludf.DUMMYFUNCTION("""COMPUTED_VALUE"""),"#N/A")</f>
        <v>#N/A</v>
      </c>
      <c r="U795" s="3" t="str">
        <f>IFERROR(__xludf.DUMMYFUNCTION("""COMPUTED_VALUE"""),"#N/A")</f>
        <v>#N/A</v>
      </c>
      <c r="V795" s="3" t="str">
        <f>IFERROR(__xludf.DUMMYFUNCTION("""COMPUTED_VALUE"""),"N")</f>
        <v>N</v>
      </c>
      <c r="W795" s="3">
        <f>IFERROR(__xludf.DUMMYFUNCTION("""COMPUTED_VALUE"""),211499.0)</f>
        <v>211499</v>
      </c>
      <c r="X795" s="3" t="str">
        <f>IFERROR(__xludf.DUMMYFUNCTION("""COMPUTED_VALUE"""),"83 หมู่7 ตำบลสันกำแพง อำเภอสันกำแพง จังหวัดเชียงใหม่ 50130")</f>
        <v>83 หมู่7 ตำบลสันกำแพง อำเภอสันกำแพง จังหวัดเชียงใหม่ 50130</v>
      </c>
      <c r="Y795" s="3"/>
      <c r="Z795" s="3" t="str">
        <f>IFERROR(__xludf.DUMMYFUNCTION("""COMPUTED_VALUE"""),"สันกำแพง")</f>
        <v>สันกำแพง</v>
      </c>
      <c r="AA795" s="3" t="str">
        <f>IFERROR(__xludf.DUMMYFUNCTION("""COMPUTED_VALUE"""),"สันกำแพง")</f>
        <v>สันกำแพง</v>
      </c>
      <c r="AB795" s="3" t="str">
        <f>IFERROR(__xludf.DUMMYFUNCTION("""COMPUTED_VALUE"""),"เชียงใหม่")</f>
        <v>เชียงใหม่</v>
      </c>
      <c r="AC795" s="3">
        <f>IFERROR(__xludf.DUMMYFUNCTION("""COMPUTED_VALUE"""),50130.0)</f>
        <v>50130</v>
      </c>
      <c r="AD795" s="3">
        <f>IFERROR(__xludf.DUMMYFUNCTION("""COMPUTED_VALUE"""),18.743642)</f>
        <v>18.743642</v>
      </c>
      <c r="AE795" s="3">
        <f>IFERROR(__xludf.DUMMYFUNCTION("""COMPUTED_VALUE"""),99.121543)</f>
        <v>99.121543</v>
      </c>
      <c r="AF795" s="3" t="str">
        <f>IFERROR(__xludf.DUMMYFUNCTION("""COMPUTED_VALUE"""),"MBC สันกำแพง-21563")</f>
        <v>MBC สันกำแพง-21563</v>
      </c>
      <c r="AG795" s="3" t="str">
        <f>IFERROR(__xludf.DUMMYFUNCTION("""COMPUTED_VALUE"""),"เหนือ")</f>
        <v>เหนือ</v>
      </c>
      <c r="AH795" s="3" t="str">
        <f>IFERROR(__xludf.DUMMYFUNCTION("""COMPUTED_VALUE"""),"#N/A")</f>
        <v>#N/A</v>
      </c>
      <c r="AI795" s="3" t="str">
        <f>IFERROR(__xludf.DUMMYFUNCTION("""COMPUTED_VALUE"""),"Out of warranty")</f>
        <v>Out of warranty</v>
      </c>
      <c r="AJ795" s="3">
        <f>IFERROR(__xludf.DUMMYFUNCTION("""COMPUTED_VALUE"""),98.0)</f>
        <v>98</v>
      </c>
      <c r="AK795" s="3" t="str">
        <f>IFERROR(__xludf.DUMMYFUNCTION("""COMPUTED_VALUE"""),"MMS10")</f>
        <v>MMS10</v>
      </c>
      <c r="AL795" s="3"/>
    </row>
    <row r="796" ht="15.75" customHeight="1">
      <c r="A796" s="1" t="str">
        <f>IFERROR(__xludf.DUMMYFUNCTION("""COMPUTED_VALUE"""),"21564")</f>
        <v>21564</v>
      </c>
      <c r="B796" s="2">
        <f>IFERROR(__xludf.DUMMYFUNCTION("""COMPUTED_VALUE"""),21564.0)</f>
        <v>21564</v>
      </c>
      <c r="C796" s="3" t="str">
        <f>IFERROR(__xludf.DUMMYFUNCTION("""COMPUTED_VALUE"""),"MBC ลาดยาว")</f>
        <v>MBC ลาดยาว</v>
      </c>
      <c r="D796" s="3" t="str">
        <f>IFERROR(__xludf.DUMMYFUNCTION("""COMPUTED_VALUE"""),"MBC LAT YAO")</f>
        <v>MBC LAT YAO</v>
      </c>
      <c r="E796" s="1" t="str">
        <f>IFERROR(__xludf.DUMMYFUNCTION("""COMPUTED_VALUE"""),"บิ๊กซี MINI")</f>
        <v>บิ๊กซี MINI</v>
      </c>
      <c r="F796" s="1" t="str">
        <f>IFERROR(__xludf.DUMMYFUNCTION("""COMPUTED_VALUE"""),"296229")</f>
        <v>296229</v>
      </c>
      <c r="G796" s="1" t="str">
        <f>IFERROR(__xludf.DUMMYFUNCTION("""COMPUTED_VALUE"""),"นายทนงศักดิ์ บุญมา")</f>
        <v>นายทนงศักดิ์ บุญมา</v>
      </c>
      <c r="H796" s="1" t="str">
        <f>IFERROR(__xludf.DUMMYFUNCTION("""COMPUTED_VALUE"""),"291082")</f>
        <v>291082</v>
      </c>
      <c r="I796" s="1" t="str">
        <f>IFERROR(__xludf.DUMMYFUNCTION("""COMPUTED_VALUE"""),"น.ส.วจี กันเกตุ")</f>
        <v>น.ส.วจี กันเกตุ</v>
      </c>
      <c r="J796" s="3">
        <f>IFERROR(__xludf.DUMMYFUNCTION("""COMPUTED_VALUE"""),46214.0)</f>
        <v>46214</v>
      </c>
      <c r="K796" s="3" t="str">
        <f>IFERROR(__xludf.DUMMYFUNCTION("""COMPUTED_VALUE"""),"นายศักดิ์ชัย เด็ดดอกฟ้า")</f>
        <v>นายศักดิ์ชัย เด็ดดอกฟ้า</v>
      </c>
      <c r="L796" s="1" t="str">
        <f>IFERROR(__xludf.DUMMYFUNCTION("""COMPUTED_VALUE"""),"02 K.Sakchai D")</f>
        <v>02 K.Sakchai D</v>
      </c>
      <c r="M796" s="1" t="str">
        <f>IFERROR(__xludf.DUMMYFUNCTION("""COMPUTED_VALUE"""),"065-510-7376")</f>
        <v>065-510-7376</v>
      </c>
      <c r="N796" s="3">
        <f>IFERROR(__xludf.DUMMYFUNCTION("""COMPUTED_VALUE"""),21441.0)</f>
        <v>21441</v>
      </c>
      <c r="O796" s="3" t="str">
        <f>IFERROR(__xludf.DUMMYFUNCTION("""COMPUTED_VALUE"""),"MBC บ้านกร่าง พิษณุโลก")</f>
        <v>MBC บ้านกร่าง พิษณุโลก</v>
      </c>
      <c r="P796" s="4">
        <f>IFERROR(__xludf.DUMMYFUNCTION("""COMPUTED_VALUE"""),43096.0)</f>
        <v>43096</v>
      </c>
      <c r="Q796" s="3" t="str">
        <f>IFERROR(__xludf.DUMMYFUNCTION("""COMPUTED_VALUE"""),"I")</f>
        <v>I</v>
      </c>
      <c r="R796" s="3" t="str">
        <f>IFERROR(__xludf.DUMMYFUNCTION("""COMPUTED_VALUE"""),"Small Format")</f>
        <v>Small Format</v>
      </c>
      <c r="S796" s="3" t="str">
        <f>IFERROR(__xludf.DUMMYFUNCTION("""COMPUTED_VALUE"""),"BCM")</f>
        <v>BCM</v>
      </c>
      <c r="T796" s="3" t="str">
        <f>IFERROR(__xludf.DUMMYFUNCTION("""COMPUTED_VALUE"""),"#N/A")</f>
        <v>#N/A</v>
      </c>
      <c r="U796" s="3" t="str">
        <f>IFERROR(__xludf.DUMMYFUNCTION("""COMPUTED_VALUE"""),"#N/A")</f>
        <v>#N/A</v>
      </c>
      <c r="V796" s="3" t="str">
        <f>IFERROR(__xludf.DUMMYFUNCTION("""COMPUTED_VALUE"""),"N")</f>
        <v>N</v>
      </c>
      <c r="W796" s="3">
        <f>IFERROR(__xludf.DUMMYFUNCTION("""COMPUTED_VALUE"""),0.0)</f>
        <v>0</v>
      </c>
      <c r="X796" s="3" t="str">
        <f>IFERROR(__xludf.DUMMYFUNCTION("""COMPUTED_VALUE"""),"96/11-13 หมู่6 ตำบลลาดยาว อำเภอลาดยาว จังหวัดนครสวรรค์ 60150")</f>
        <v>96/11-13 หมู่6 ตำบลลาดยาว อำเภอลาดยาว จังหวัดนครสวรรค์ 60150</v>
      </c>
      <c r="Y796" s="3"/>
      <c r="Z796" s="3" t="str">
        <f>IFERROR(__xludf.DUMMYFUNCTION("""COMPUTED_VALUE"""),"ลาดยาว")</f>
        <v>ลาดยาว</v>
      </c>
      <c r="AA796" s="3" t="str">
        <f>IFERROR(__xludf.DUMMYFUNCTION("""COMPUTED_VALUE"""),"ลาดยาว")</f>
        <v>ลาดยาว</v>
      </c>
      <c r="AB796" s="3" t="str">
        <f>IFERROR(__xludf.DUMMYFUNCTION("""COMPUTED_VALUE"""),"นครสวรรค์")</f>
        <v>นครสวรรค์</v>
      </c>
      <c r="AC796" s="3">
        <f>IFERROR(__xludf.DUMMYFUNCTION("""COMPUTED_VALUE"""),60150.0)</f>
        <v>60150</v>
      </c>
      <c r="AD796" s="3" t="str">
        <f>IFERROR(__xludf.DUMMYFUNCTION("""COMPUTED_VALUE"""),"#N/A")</f>
        <v>#N/A</v>
      </c>
      <c r="AE796" s="3" t="str">
        <f>IFERROR(__xludf.DUMMYFUNCTION("""COMPUTED_VALUE"""),"#N/A")</f>
        <v>#N/A</v>
      </c>
      <c r="AF796" s="3" t="str">
        <f>IFERROR(__xludf.DUMMYFUNCTION("""COMPUTED_VALUE"""),"MBC ลาดยาว-21564")</f>
        <v>MBC ลาดยาว-21564</v>
      </c>
      <c r="AG796" s="3" t="str">
        <f>IFERROR(__xludf.DUMMYFUNCTION("""COMPUTED_VALUE"""),"กลาง")</f>
        <v>กลาง</v>
      </c>
      <c r="AH796" s="3" t="str">
        <f>IFERROR(__xludf.DUMMYFUNCTION("""COMPUTED_VALUE"""),"#N/A")</f>
        <v>#N/A</v>
      </c>
      <c r="AI796" s="3" t="str">
        <f>IFERROR(__xludf.DUMMYFUNCTION("""COMPUTED_VALUE"""),"Out of warranty")</f>
        <v>Out of warranty</v>
      </c>
      <c r="AJ796" s="3">
        <f>IFERROR(__xludf.DUMMYFUNCTION("""COMPUTED_VALUE"""),97.0)</f>
        <v>97</v>
      </c>
      <c r="AK796" s="3"/>
      <c r="AL796" s="3"/>
    </row>
    <row r="797" ht="15.75" customHeight="1">
      <c r="A797" s="1" t="str">
        <f>IFERROR(__xludf.DUMMYFUNCTION("""COMPUTED_VALUE"""),"21565")</f>
        <v>21565</v>
      </c>
      <c r="B797" s="2">
        <f>IFERROR(__xludf.DUMMYFUNCTION("""COMPUTED_VALUE"""),21565.0)</f>
        <v>21565</v>
      </c>
      <c r="C797" s="3" t="str">
        <f>IFERROR(__xludf.DUMMYFUNCTION("""COMPUTED_VALUE"""),"MBC ไทยธานี ซอย 39")</f>
        <v>MBC ไทยธานี ซอย 39</v>
      </c>
      <c r="D797" s="3" t="str">
        <f>IFERROR(__xludf.DUMMYFUNCTION("""COMPUTED_VALUE"""),"BCM THAI THANEE SOI 39")</f>
        <v>BCM THAI THANEE SOI 39</v>
      </c>
      <c r="E797" s="1" t="str">
        <f>IFERROR(__xludf.DUMMYFUNCTION("""COMPUTED_VALUE"""),"บิ๊กซี MINI")</f>
        <v>บิ๊กซี MINI</v>
      </c>
      <c r="F797" s="1" t="str">
        <f>IFERROR(__xludf.DUMMYFUNCTION("""COMPUTED_VALUE"""),"2083447")</f>
        <v>2083447</v>
      </c>
      <c r="G797" s="1" t="str">
        <f>IFERROR(__xludf.DUMMYFUNCTION("""COMPUTED_VALUE"""),"นายอนุกูล ศรีลัดดา")</f>
        <v>นายอนุกูล ศรีลัดดา</v>
      </c>
      <c r="H797" s="1" t="str">
        <f>IFERROR(__xludf.DUMMYFUNCTION("""COMPUTED_VALUE"""),"373849")</f>
        <v>373849</v>
      </c>
      <c r="I797" s="1" t="str">
        <f>IFERROR(__xludf.DUMMYFUNCTION("""COMPUTED_VALUE"""),"น.ส.อรอุมา นิ่มวิศิษย์")</f>
        <v>น.ส.อรอุมา นิ่มวิศิษย์</v>
      </c>
      <c r="J797" s="3">
        <f>IFERROR(__xludf.DUMMYFUNCTION("""COMPUTED_VALUE"""),510143.0)</f>
        <v>510143</v>
      </c>
      <c r="K797" s="3" t="str">
        <f>IFERROR(__xludf.DUMMYFUNCTION("""COMPUTED_VALUE"""),"นายธีระวัฒน์ บุญสิทธิ์")</f>
        <v>นายธีระวัฒน์ บุญสิทธิ์</v>
      </c>
      <c r="L797" s="1" t="str">
        <f>IFERROR(__xludf.DUMMYFUNCTION("""COMPUTED_VALUE"""),"12 K.Theerawat B.")</f>
        <v>12 K.Theerawat B.</v>
      </c>
      <c r="M797" s="1" t="str">
        <f>IFERROR(__xludf.DUMMYFUNCTION("""COMPUTED_VALUE"""),"0655107379")</f>
        <v>0655107379</v>
      </c>
      <c r="N797" s="3">
        <f>IFERROR(__xludf.DUMMYFUNCTION("""COMPUTED_VALUE"""),21062.0)</f>
        <v>21062</v>
      </c>
      <c r="O797" s="3" t="str">
        <f>IFERROR(__xludf.DUMMYFUNCTION("""COMPUTED_VALUE"""),"MBC นิคมนวนคร")</f>
        <v>MBC นิคมนวนคร</v>
      </c>
      <c r="P797" s="4">
        <f>IFERROR(__xludf.DUMMYFUNCTION("""COMPUTED_VALUE"""),43136.0)</f>
        <v>43136</v>
      </c>
      <c r="Q797" s="3" t="str">
        <f>IFERROR(__xludf.DUMMYFUNCTION("""COMPUTED_VALUE"""),"A")</f>
        <v>A</v>
      </c>
      <c r="R797" s="3" t="str">
        <f>IFERROR(__xludf.DUMMYFUNCTION("""COMPUTED_VALUE"""),"Small Format")</f>
        <v>Small Format</v>
      </c>
      <c r="S797" s="3" t="str">
        <f>IFERROR(__xludf.DUMMYFUNCTION("""COMPUTED_VALUE"""),"BCM")</f>
        <v>BCM</v>
      </c>
      <c r="T797" s="3" t="str">
        <f>IFERROR(__xludf.DUMMYFUNCTION("""COMPUTED_VALUE"""),"#N/A")</f>
        <v>#N/A</v>
      </c>
      <c r="U797" s="3" t="str">
        <f>IFERROR(__xludf.DUMMYFUNCTION("""COMPUTED_VALUE"""),"#N/A")</f>
        <v>#N/A</v>
      </c>
      <c r="V797" s="3" t="str">
        <f>IFERROR(__xludf.DUMMYFUNCTION("""COMPUTED_VALUE"""),"N")</f>
        <v>N</v>
      </c>
      <c r="W797" s="3">
        <f>IFERROR(__xludf.DUMMYFUNCTION("""COMPUTED_VALUE"""),211530.0)</f>
        <v>211530</v>
      </c>
      <c r="X797" s="3" t="str">
        <f>IFERROR(__xludf.DUMMYFUNCTION("""COMPUTED_VALUE"""),"84/42 หมู่19 ซอยไทยธานี39 ตำบลคลองหนึ่ง อำเภอคลองหลวง จังหวัดปทุมธานี 12120")</f>
        <v>84/42 หมู่19 ซอยไทยธานี39 ตำบลคลองหนึ่ง อำเภอคลองหลวง จังหวัดปทุมธานี 12120</v>
      </c>
      <c r="Y797" s="3"/>
      <c r="Z797" s="3" t="str">
        <f>IFERROR(__xludf.DUMMYFUNCTION("""COMPUTED_VALUE"""),"คลองหนึ่ง")</f>
        <v>คลองหนึ่ง</v>
      </c>
      <c r="AA797" s="3" t="str">
        <f>IFERROR(__xludf.DUMMYFUNCTION("""COMPUTED_VALUE"""),"คลองหลวง")</f>
        <v>คลองหลวง</v>
      </c>
      <c r="AB797" s="3" t="str">
        <f>IFERROR(__xludf.DUMMYFUNCTION("""COMPUTED_VALUE"""),"ปทุมธานี")</f>
        <v>ปทุมธานี</v>
      </c>
      <c r="AC797" s="3">
        <f>IFERROR(__xludf.DUMMYFUNCTION("""COMPUTED_VALUE"""),12120.0)</f>
        <v>12120</v>
      </c>
      <c r="AD797" s="3">
        <f>IFERROR(__xludf.DUMMYFUNCTION("""COMPUTED_VALUE"""),14.104699)</f>
        <v>14.104699</v>
      </c>
      <c r="AE797" s="3">
        <f>IFERROR(__xludf.DUMMYFUNCTION("""COMPUTED_VALUE"""),100.598739)</f>
        <v>100.598739</v>
      </c>
      <c r="AF797" s="3" t="str">
        <f>IFERROR(__xludf.DUMMYFUNCTION("""COMPUTED_VALUE"""),"MBC ไทยธานี ซอย 39-21565")</f>
        <v>MBC ไทยธานี ซอย 39-21565</v>
      </c>
      <c r="AG797" s="3" t="str">
        <f>IFERROR(__xludf.DUMMYFUNCTION("""COMPUTED_VALUE"""),"กลาง")</f>
        <v>กลาง</v>
      </c>
      <c r="AH797" s="3" t="str">
        <f>IFERROR(__xludf.DUMMYFUNCTION("""COMPUTED_VALUE"""),"#N/A")</f>
        <v>#N/A</v>
      </c>
      <c r="AI797" s="3" t="str">
        <f>IFERROR(__xludf.DUMMYFUNCTION("""COMPUTED_VALUE"""),"Out of warranty")</f>
        <v>Out of warranty</v>
      </c>
      <c r="AJ797" s="3">
        <f>IFERROR(__xludf.DUMMYFUNCTION("""COMPUTED_VALUE"""),96.0)</f>
        <v>96</v>
      </c>
      <c r="AK797" s="3" t="str">
        <f>IFERROR(__xludf.DUMMYFUNCTION("""COMPUTED_VALUE"""),"MMS04")</f>
        <v>MMS04</v>
      </c>
      <c r="AL797" s="3"/>
    </row>
    <row r="798" ht="15.75" customHeight="1">
      <c r="A798" s="1" t="str">
        <f>IFERROR(__xludf.DUMMYFUNCTION("""COMPUTED_VALUE"""),"21566")</f>
        <v>21566</v>
      </c>
      <c r="B798" s="2">
        <f>IFERROR(__xludf.DUMMYFUNCTION("""COMPUTED_VALUE"""),21566.0)</f>
        <v>21566</v>
      </c>
      <c r="C798" s="3" t="str">
        <f>IFERROR(__xludf.DUMMYFUNCTION("""COMPUTED_VALUE"""),"MBC ถนนรามอินทรา 39")</f>
        <v>MBC ถนนรามอินทรา 39</v>
      </c>
      <c r="D798" s="3" t="str">
        <f>IFERROR(__xludf.DUMMYFUNCTION("""COMPUTED_VALUE"""),"BCM THANON RAMA INTRA 39")</f>
        <v>BCM THANON RAMA INTRA 39</v>
      </c>
      <c r="E798" s="1" t="str">
        <f>IFERROR(__xludf.DUMMYFUNCTION("""COMPUTED_VALUE"""),"บิ๊กซี MINI")</f>
        <v>บิ๊กซี MINI</v>
      </c>
      <c r="F798" s="1" t="str">
        <f>IFERROR(__xludf.DUMMYFUNCTION("""COMPUTED_VALUE"""),"291008")</f>
        <v>291008</v>
      </c>
      <c r="G798" s="1" t="str">
        <f>IFERROR(__xludf.DUMMYFUNCTION("""COMPUTED_VALUE"""),"น.ส.รัชดาพร อีศรัตน์")</f>
        <v>น.ส.รัชดาพร อีศรัตน์</v>
      </c>
      <c r="H798" s="1" t="str">
        <f>IFERROR(__xludf.DUMMYFUNCTION("""COMPUTED_VALUE"""),"288639")</f>
        <v>288639</v>
      </c>
      <c r="I798" s="1" t="str">
        <f>IFERROR(__xludf.DUMMYFUNCTION("""COMPUTED_VALUE"""),"น.ส.สมหญิง สีชมภู")</f>
        <v>น.ส.สมหญิง สีชมภู</v>
      </c>
      <c r="J798" s="3">
        <f>IFERROR(__xludf.DUMMYFUNCTION("""COMPUTED_VALUE"""),3510104.0)</f>
        <v>3510104</v>
      </c>
      <c r="K798" s="3" t="str">
        <f>IFERROR(__xludf.DUMMYFUNCTION("""COMPUTED_VALUE"""),"นายวิโรจน์ อับดุลสมัด")</f>
        <v>นายวิโรจน์ อับดุลสมัด</v>
      </c>
      <c r="L798" s="1" t="str">
        <f>IFERROR(__xludf.DUMMYFUNCTION("""COMPUTED_VALUE"""),"09 K.Wirode A")</f>
        <v>09 K.Wirode A</v>
      </c>
      <c r="M798" s="1" t="str">
        <f>IFERROR(__xludf.DUMMYFUNCTION("""COMPUTED_VALUE"""),"080-235-4465")</f>
        <v>080-235-4465</v>
      </c>
      <c r="N798" s="3">
        <f>IFERROR(__xludf.DUMMYFUNCTION("""COMPUTED_VALUE"""),21324.0)</f>
        <v>21324</v>
      </c>
      <c r="O798" s="3" t="str">
        <f>IFERROR(__xludf.DUMMYFUNCTION("""COMPUTED_VALUE"""),"MBC BCP สุวินทวงศ์")</f>
        <v>MBC BCP สุวินทวงศ์</v>
      </c>
      <c r="P798" s="4">
        <f>IFERROR(__xludf.DUMMYFUNCTION("""COMPUTED_VALUE"""),43087.0)</f>
        <v>43087</v>
      </c>
      <c r="Q798" s="3" t="str">
        <f>IFERROR(__xludf.DUMMYFUNCTION("""COMPUTED_VALUE"""),"A")</f>
        <v>A</v>
      </c>
      <c r="R798" s="3" t="str">
        <f>IFERROR(__xludf.DUMMYFUNCTION("""COMPUTED_VALUE"""),"Small Format")</f>
        <v>Small Format</v>
      </c>
      <c r="S798" s="3" t="str">
        <f>IFERROR(__xludf.DUMMYFUNCTION("""COMPUTED_VALUE"""),"BCM")</f>
        <v>BCM</v>
      </c>
      <c r="T798" s="3" t="str">
        <f>IFERROR(__xludf.DUMMYFUNCTION("""COMPUTED_VALUE"""),"#N/A")</f>
        <v>#N/A</v>
      </c>
      <c r="U798" s="3" t="str">
        <f>IFERROR(__xludf.DUMMYFUNCTION("""COMPUTED_VALUE"""),"#N/A")</f>
        <v>#N/A</v>
      </c>
      <c r="V798" s="3" t="str">
        <f>IFERROR(__xludf.DUMMYFUNCTION("""COMPUTED_VALUE"""),"N")</f>
        <v>N</v>
      </c>
      <c r="W798" s="3">
        <f>IFERROR(__xludf.DUMMYFUNCTION("""COMPUTED_VALUE"""),211462.0)</f>
        <v>211462</v>
      </c>
      <c r="X798" s="3" t="str">
        <f>IFERROR(__xludf.DUMMYFUNCTION("""COMPUTED_VALUE"""),"45/1 ซอยรามอินทรา39 แขวงอนุสาวรีย์ เขตบางเขน กรุงเทพมหานคร 10220")</f>
        <v>45/1 ซอยรามอินทรา39 แขวงอนุสาวรีย์ เขตบางเขน กรุงเทพมหานคร 10220</v>
      </c>
      <c r="Y798" s="3" t="str">
        <f>IFERROR(__xludf.DUMMYFUNCTION("""COMPUTED_VALUE"""),"ซอยรามอินทรา39")</f>
        <v>ซอยรามอินทรา39</v>
      </c>
      <c r="Z798" s="3" t="str">
        <f>IFERROR(__xludf.DUMMYFUNCTION("""COMPUTED_VALUE"""),"อนุสาวรีย์")</f>
        <v>อนุสาวรีย์</v>
      </c>
      <c r="AA798" s="3" t="str">
        <f>IFERROR(__xludf.DUMMYFUNCTION("""COMPUTED_VALUE"""),"บางเขน")</f>
        <v>บางเขน</v>
      </c>
      <c r="AB798" s="3" t="str">
        <f>IFERROR(__xludf.DUMMYFUNCTION("""COMPUTED_VALUE"""),"กรุงเทพมหานคร")</f>
        <v>กรุงเทพมหานคร</v>
      </c>
      <c r="AC798" s="3">
        <f>IFERROR(__xludf.DUMMYFUNCTION("""COMPUTED_VALUE"""),10220.0)</f>
        <v>10220</v>
      </c>
      <c r="AD798" s="3">
        <f>IFERROR(__xludf.DUMMYFUNCTION("""COMPUTED_VALUE"""),13.859802)</f>
        <v>13.859802</v>
      </c>
      <c r="AE798" s="3">
        <f>IFERROR(__xludf.DUMMYFUNCTION("""COMPUTED_VALUE"""),100.627804)</f>
        <v>100.627804</v>
      </c>
      <c r="AF798" s="3" t="str">
        <f>IFERROR(__xludf.DUMMYFUNCTION("""COMPUTED_VALUE"""),"MBC ถนนรามอินทรา 39-21566")</f>
        <v>MBC ถนนรามอินทรา 39-21566</v>
      </c>
      <c r="AG798" s="3" t="str">
        <f>IFERROR(__xludf.DUMMYFUNCTION("""COMPUTED_VALUE"""),"กลาง")</f>
        <v>กลาง</v>
      </c>
      <c r="AH798" s="3" t="str">
        <f>IFERROR(__xludf.DUMMYFUNCTION("""COMPUTED_VALUE"""),"#N/A")</f>
        <v>#N/A</v>
      </c>
      <c r="AI798" s="3" t="str">
        <f>IFERROR(__xludf.DUMMYFUNCTION("""COMPUTED_VALUE"""),"Out of warranty")</f>
        <v>Out of warranty</v>
      </c>
      <c r="AJ798" s="3">
        <f>IFERROR(__xludf.DUMMYFUNCTION("""COMPUTED_VALUE"""),98.0)</f>
        <v>98</v>
      </c>
      <c r="AK798" s="3" t="str">
        <f>IFERROR(__xludf.DUMMYFUNCTION("""COMPUTED_VALUE"""),"MMS01")</f>
        <v>MMS01</v>
      </c>
      <c r="AL798" s="3"/>
    </row>
    <row r="799" ht="15.75" customHeight="1">
      <c r="A799" s="1" t="str">
        <f>IFERROR(__xludf.DUMMYFUNCTION("""COMPUTED_VALUE"""),"21567")</f>
        <v>21567</v>
      </c>
      <c r="B799" s="2">
        <f>IFERROR(__xludf.DUMMYFUNCTION("""COMPUTED_VALUE"""),21567.0)</f>
        <v>21567</v>
      </c>
      <c r="C799" s="3" t="str">
        <f>IFERROR(__xludf.DUMMYFUNCTION("""COMPUTED_VALUE"""),"MBC เคหะรัษฏาภูเก็ต")</f>
        <v>MBC เคหะรัษฏาภูเก็ต</v>
      </c>
      <c r="D799" s="3" t="str">
        <f>IFERROR(__xludf.DUMMYFUNCTION("""COMPUTED_VALUE"""),"BCM KAYHA RATSADA")</f>
        <v>BCM KAYHA RATSADA</v>
      </c>
      <c r="E799" s="1" t="str">
        <f>IFERROR(__xludf.DUMMYFUNCTION("""COMPUTED_VALUE"""),"บิ๊กซี MINI")</f>
        <v>บิ๊กซี MINI</v>
      </c>
      <c r="F799" s="1" t="str">
        <f>IFERROR(__xludf.DUMMYFUNCTION("""COMPUTED_VALUE"""),"250760")</f>
        <v>250760</v>
      </c>
      <c r="G799" s="1" t="str">
        <f>IFERROR(__xludf.DUMMYFUNCTION("""COMPUTED_VALUE"""),"นายประทวน สาราบรรณ์")</f>
        <v>นายประทวน สาราบรรณ์</v>
      </c>
      <c r="H799" s="1" t="str">
        <f>IFERROR(__xludf.DUMMYFUNCTION("""COMPUTED_VALUE"""),"357284")</f>
        <v>357284</v>
      </c>
      <c r="I799" s="1" t="str">
        <f>IFERROR(__xludf.DUMMYFUNCTION("""COMPUTED_VALUE"""),"น.ส.เบญจวรรณ ปัณฑโมรา")</f>
        <v>น.ส.เบญจวรรณ ปัณฑโมรา</v>
      </c>
      <c r="J799" s="3">
        <f>IFERROR(__xludf.DUMMYFUNCTION("""COMPUTED_VALUE"""),25324.0)</f>
        <v>25324</v>
      </c>
      <c r="K799" s="3" t="str">
        <f>IFERROR(__xludf.DUMMYFUNCTION("""COMPUTED_VALUE"""),"นายวิเชฎฐ์ ติรัตนะประคม")</f>
        <v>นายวิเชฎฐ์ ติรัตนะประคม</v>
      </c>
      <c r="L799" s="1" t="str">
        <f>IFERROR(__xludf.DUMMYFUNCTION("""COMPUTED_VALUE"""),"14 K.Wichet T.")</f>
        <v>14 K.Wichet T.</v>
      </c>
      <c r="M799" s="1" t="str">
        <f>IFERROR(__xludf.DUMMYFUNCTION("""COMPUTED_VALUE"""),"061-417-6569 / 086-445-5636")</f>
        <v>061-417-6569 / 086-445-5636</v>
      </c>
      <c r="N799" s="3">
        <f>IFERROR(__xludf.DUMMYFUNCTION("""COMPUTED_VALUE"""),22658.0)</f>
        <v>22658</v>
      </c>
      <c r="O799" s="3" t="str">
        <f>IFERROR(__xludf.DUMMYFUNCTION("""COMPUTED_VALUE"""),"BCM ถ.วิรัชหงษ์หยก ภูเก็ต")</f>
        <v>BCM ถ.วิรัชหงษ์หยก ภูเก็ต</v>
      </c>
      <c r="P799" s="4">
        <f>IFERROR(__xludf.DUMMYFUNCTION("""COMPUTED_VALUE"""),43120.0)</f>
        <v>43120</v>
      </c>
      <c r="Q799" s="3" t="str">
        <f>IFERROR(__xludf.DUMMYFUNCTION("""COMPUTED_VALUE"""),"A")</f>
        <v>A</v>
      </c>
      <c r="R799" s="3" t="str">
        <f>IFERROR(__xludf.DUMMYFUNCTION("""COMPUTED_VALUE"""),"Small Format")</f>
        <v>Small Format</v>
      </c>
      <c r="S799" s="3" t="str">
        <f>IFERROR(__xludf.DUMMYFUNCTION("""COMPUTED_VALUE"""),"BCM")</f>
        <v>BCM</v>
      </c>
      <c r="T799" s="3" t="str">
        <f>IFERROR(__xludf.DUMMYFUNCTION("""COMPUTED_VALUE"""),"#N/A")</f>
        <v>#N/A</v>
      </c>
      <c r="U799" s="3" t="str">
        <f>IFERROR(__xludf.DUMMYFUNCTION("""COMPUTED_VALUE"""),"#N/A")</f>
        <v>#N/A</v>
      </c>
      <c r="V799" s="3" t="str">
        <f>IFERROR(__xludf.DUMMYFUNCTION("""COMPUTED_VALUE"""),"N")</f>
        <v>N</v>
      </c>
      <c r="W799" s="3">
        <f>IFERROR(__xludf.DUMMYFUNCTION("""COMPUTED_VALUE"""),211495.0)</f>
        <v>211495</v>
      </c>
      <c r="X799" s="3" t="str">
        <f>IFERROR(__xludf.DUMMYFUNCTION("""COMPUTED_VALUE"""),"68/281-283 หมู่7 ตำบลรัษฏา อำเภอเมืองภูเก็ต จังหวัดภูเก็ต 83000")</f>
        <v>68/281-283 หมู่7 ตำบลรัษฏา อำเภอเมืองภูเก็ต จังหวัดภูเก็ต 83000</v>
      </c>
      <c r="Y799" s="3"/>
      <c r="Z799" s="3" t="str">
        <f>IFERROR(__xludf.DUMMYFUNCTION("""COMPUTED_VALUE"""),"รัษฏา")</f>
        <v>รัษฏา</v>
      </c>
      <c r="AA799" s="3" t="str">
        <f>IFERROR(__xludf.DUMMYFUNCTION("""COMPUTED_VALUE"""),"เมือง")</f>
        <v>เมือง</v>
      </c>
      <c r="AB799" s="3" t="str">
        <f>IFERROR(__xludf.DUMMYFUNCTION("""COMPUTED_VALUE"""),"ภูเก็ต")</f>
        <v>ภูเก็ต</v>
      </c>
      <c r="AC799" s="3">
        <f>IFERROR(__xludf.DUMMYFUNCTION("""COMPUTED_VALUE"""),83000.0)</f>
        <v>83000</v>
      </c>
      <c r="AD799" s="3">
        <f>IFERROR(__xludf.DUMMYFUNCTION("""COMPUTED_VALUE"""),7.882829)</f>
        <v>7.882829</v>
      </c>
      <c r="AE799" s="3">
        <f>IFERROR(__xludf.DUMMYFUNCTION("""COMPUTED_VALUE"""),98.410793)</f>
        <v>98.410793</v>
      </c>
      <c r="AF799" s="3" t="str">
        <f>IFERROR(__xludf.DUMMYFUNCTION("""COMPUTED_VALUE"""),"MBC เคหะรัษฏาภูเก็ต-21567")</f>
        <v>MBC เคหะรัษฏาภูเก็ต-21567</v>
      </c>
      <c r="AG799" s="3" t="str">
        <f>IFERROR(__xludf.DUMMYFUNCTION("""COMPUTED_VALUE"""),"ใต้")</f>
        <v>ใต้</v>
      </c>
      <c r="AH799" s="3" t="str">
        <f>IFERROR(__xludf.DUMMYFUNCTION("""COMPUTED_VALUE"""),"#N/A")</f>
        <v>#N/A</v>
      </c>
      <c r="AI799" s="3" t="str">
        <f>IFERROR(__xludf.DUMMYFUNCTION("""COMPUTED_VALUE"""),"Out of warranty")</f>
        <v>Out of warranty</v>
      </c>
      <c r="AJ799" s="3">
        <f>IFERROR(__xludf.DUMMYFUNCTION("""COMPUTED_VALUE"""),97.0)</f>
        <v>97</v>
      </c>
      <c r="AK799" s="3" t="str">
        <f>IFERROR(__xludf.DUMMYFUNCTION("""COMPUTED_VALUE"""),"MMS15")</f>
        <v>MMS15</v>
      </c>
      <c r="AL799" s="3"/>
    </row>
    <row r="800" ht="15.75" customHeight="1">
      <c r="A800" s="1" t="str">
        <f>IFERROR(__xludf.DUMMYFUNCTION("""COMPUTED_VALUE"""),"21568")</f>
        <v>21568</v>
      </c>
      <c r="B800" s="2">
        <f>IFERROR(__xludf.DUMMYFUNCTION("""COMPUTED_VALUE"""),21568.0)</f>
        <v>21568</v>
      </c>
      <c r="C800" s="3" t="str">
        <f>IFERROR(__xludf.DUMMYFUNCTION("""COMPUTED_VALUE"""),"MBC ไนท์บาร์ซ่าร์สวนหมาก")</f>
        <v>MBC ไนท์บาร์ซ่าร์สวนหมาก</v>
      </c>
      <c r="D800" s="3" t="str">
        <f>IFERROR(__xludf.DUMMYFUNCTION("""COMPUTED_VALUE"""),"BCM SUAN MAK NIGHT BARZAAR")</f>
        <v>BCM SUAN MAK NIGHT BARZAAR</v>
      </c>
      <c r="E800" s="1" t="str">
        <f>IFERROR(__xludf.DUMMYFUNCTION("""COMPUTED_VALUE"""),"บิ๊กซี MINI")</f>
        <v>บิ๊กซี MINI</v>
      </c>
      <c r="F800" s="1" t="str">
        <f>IFERROR(__xludf.DUMMYFUNCTION("""COMPUTED_VALUE"""),"291105")</f>
        <v>291105</v>
      </c>
      <c r="G800" s="1" t="str">
        <f>IFERROR(__xludf.DUMMYFUNCTION("""COMPUTED_VALUE"""),"นายสราวุฒิ พณิชยกุล")</f>
        <v>นายสราวุฒิ พณิชยกุล</v>
      </c>
      <c r="H800" s="1" t="str">
        <f>IFERROR(__xludf.DUMMYFUNCTION("""COMPUTED_VALUE"""),"281315")</f>
        <v>281315</v>
      </c>
      <c r="I800" s="1" t="str">
        <f>IFERROR(__xludf.DUMMYFUNCTION("""COMPUTED_VALUE"""),"นายกิตติพงษ์ มั่นคง")</f>
        <v>นายกิตติพงษ์ มั่นคง</v>
      </c>
      <c r="J800" s="3">
        <f>IFERROR(__xludf.DUMMYFUNCTION("""COMPUTED_VALUE"""),15361.0)</f>
        <v>15361</v>
      </c>
      <c r="K800" s="3" t="str">
        <f>IFERROR(__xludf.DUMMYFUNCTION("""COMPUTED_VALUE"""),"นายสมบูรณ์ พรหมในเมือง")</f>
        <v>นายสมบูรณ์ พรหมในเมือง</v>
      </c>
      <c r="L800" s="1" t="str">
        <f>IFERROR(__xludf.DUMMYFUNCTION("""COMPUTED_VALUE"""),"04 K.Somboon P.")</f>
        <v>04 K.Somboon P.</v>
      </c>
      <c r="M800" s="1" t="str">
        <f>IFERROR(__xludf.DUMMYFUNCTION("""COMPUTED_VALUE"""),"087-965-3051")</f>
        <v>087-965-3051</v>
      </c>
      <c r="N800" s="3">
        <f>IFERROR(__xludf.DUMMYFUNCTION("""COMPUTED_VALUE"""),21869.0)</f>
        <v>21869</v>
      </c>
      <c r="O800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800" s="4">
        <f>IFERROR(__xludf.DUMMYFUNCTION("""COMPUTED_VALUE"""),43094.0)</f>
        <v>43094</v>
      </c>
      <c r="Q800" s="3" t="str">
        <f>IFERROR(__xludf.DUMMYFUNCTION("""COMPUTED_VALUE"""),"A")</f>
        <v>A</v>
      </c>
      <c r="R800" s="3" t="str">
        <f>IFERROR(__xludf.DUMMYFUNCTION("""COMPUTED_VALUE"""),"Small Format")</f>
        <v>Small Format</v>
      </c>
      <c r="S800" s="3" t="str">
        <f>IFERROR(__xludf.DUMMYFUNCTION("""COMPUTED_VALUE"""),"BCM")</f>
        <v>BCM</v>
      </c>
      <c r="T800" s="3" t="str">
        <f>IFERROR(__xludf.DUMMYFUNCTION("""COMPUTED_VALUE"""),"#N/A")</f>
        <v>#N/A</v>
      </c>
      <c r="U800" s="3" t="str">
        <f>IFERROR(__xludf.DUMMYFUNCTION("""COMPUTED_VALUE"""),"#N/A")</f>
        <v>#N/A</v>
      </c>
      <c r="V800" s="3" t="str">
        <f>IFERROR(__xludf.DUMMYFUNCTION("""COMPUTED_VALUE"""),"N")</f>
        <v>N</v>
      </c>
      <c r="W800" s="3">
        <f>IFERROR(__xludf.DUMMYFUNCTION("""COMPUTED_VALUE"""),211534.0)</f>
        <v>211534</v>
      </c>
      <c r="X800" s="3" t="str">
        <f>IFERROR(__xludf.DUMMYFUNCTION("""COMPUTED_VALUE"""),"191 ถนนมหาดไทย ตำบลในเมือง อำเภอเมืองนครราชสีมา จังหวัดนครราชสีมา 30000")</f>
        <v>191 ถนนมหาดไทย ตำบลในเมือง อำเภอเมืองนครราชสีมา จังหวัดนครราชสีมา 30000</v>
      </c>
      <c r="Y800" s="3" t="str">
        <f>IFERROR(__xludf.DUMMYFUNCTION("""COMPUTED_VALUE"""),"ถนนมหาดไทย")</f>
        <v>ถนนมหาดไทย</v>
      </c>
      <c r="Z800" s="3" t="str">
        <f>IFERROR(__xludf.DUMMYFUNCTION("""COMPUTED_VALUE"""),"ในเมือง")</f>
        <v>ในเมือง</v>
      </c>
      <c r="AA800" s="3" t="str">
        <f>IFERROR(__xludf.DUMMYFUNCTION("""COMPUTED_VALUE"""),"เมือง")</f>
        <v>เมือง</v>
      </c>
      <c r="AB800" s="3" t="str">
        <f>IFERROR(__xludf.DUMMYFUNCTION("""COMPUTED_VALUE"""),"นครราชสีมา")</f>
        <v>นครราชสีมา</v>
      </c>
      <c r="AC800" s="3">
        <f>IFERROR(__xludf.DUMMYFUNCTION("""COMPUTED_VALUE"""),30000.0)</f>
        <v>30000</v>
      </c>
      <c r="AD800" s="3">
        <f>IFERROR(__xludf.DUMMYFUNCTION("""COMPUTED_VALUE"""),14.9733785)</f>
        <v>14.9733785</v>
      </c>
      <c r="AE800" s="3">
        <f>IFERROR(__xludf.DUMMYFUNCTION("""COMPUTED_VALUE"""),102.10389)</f>
        <v>102.10389</v>
      </c>
      <c r="AF800" s="3" t="str">
        <f>IFERROR(__xludf.DUMMYFUNCTION("""COMPUTED_VALUE"""),"MBC ไนท์บาร์ซ่าร์สวนหมาก-21568")</f>
        <v>MBC ไนท์บาร์ซ่าร์สวนหมาก-21568</v>
      </c>
      <c r="AG800" s="3" t="str">
        <f>IFERROR(__xludf.DUMMYFUNCTION("""COMPUTED_VALUE"""),"ตะวันออกเฉียงเหนือ")</f>
        <v>ตะวันออกเฉียงเหนือ</v>
      </c>
      <c r="AH800" s="3" t="str">
        <f>IFERROR(__xludf.DUMMYFUNCTION("""COMPUTED_VALUE"""),"#N/A")</f>
        <v>#N/A</v>
      </c>
      <c r="AI800" s="3" t="str">
        <f>IFERROR(__xludf.DUMMYFUNCTION("""COMPUTED_VALUE"""),"Out of warranty")</f>
        <v>Out of warranty</v>
      </c>
      <c r="AJ800" s="3">
        <f>IFERROR(__xludf.DUMMYFUNCTION("""COMPUTED_VALUE"""),97.0)</f>
        <v>97</v>
      </c>
      <c r="AK800" s="3" t="str">
        <f>IFERROR(__xludf.DUMMYFUNCTION("""COMPUTED_VALUE"""),"MMS11")</f>
        <v>MMS11</v>
      </c>
      <c r="AL800" s="3"/>
    </row>
    <row r="801" ht="15.75" customHeight="1">
      <c r="A801" s="1" t="str">
        <f>IFERROR(__xludf.DUMMYFUNCTION("""COMPUTED_VALUE"""),"21570")</f>
        <v>21570</v>
      </c>
      <c r="B801" s="2">
        <f>IFERROR(__xludf.DUMMYFUNCTION("""COMPUTED_VALUE"""),21570.0)</f>
        <v>21570</v>
      </c>
      <c r="C801" s="3" t="str">
        <f>IFERROR(__xludf.DUMMYFUNCTION("""COMPUTED_VALUE"""),"MBC เรวดี 43")</f>
        <v>MBC เรวดี 43</v>
      </c>
      <c r="D801" s="3" t="str">
        <f>IFERROR(__xludf.DUMMYFUNCTION("""COMPUTED_VALUE"""),"BCM RAWEDEE 43")</f>
        <v>BCM RAWEDEE 43</v>
      </c>
      <c r="E801" s="1" t="str">
        <f>IFERROR(__xludf.DUMMYFUNCTION("""COMPUTED_VALUE"""),"บิ๊กซี MINI")</f>
        <v>บิ๊กซี MINI</v>
      </c>
      <c r="F801" s="1" t="str">
        <f>IFERROR(__xludf.DUMMYFUNCTION("""COMPUTED_VALUE"""),"291008")</f>
        <v>291008</v>
      </c>
      <c r="G801" s="1" t="str">
        <f>IFERROR(__xludf.DUMMYFUNCTION("""COMPUTED_VALUE"""),"น.ส.รัชดาพร อีศรัตน์")</f>
        <v>น.ส.รัชดาพร อีศรัตน์</v>
      </c>
      <c r="H801" s="1" t="str">
        <f>IFERROR(__xludf.DUMMYFUNCTION("""COMPUTED_VALUE"""),"034068")</f>
        <v>034068</v>
      </c>
      <c r="I801" s="1" t="str">
        <f>IFERROR(__xludf.DUMMYFUNCTION("""COMPUTED_VALUE"""),"นายสมศักดิ์ ฐานทองดี")</f>
        <v>นายสมศักดิ์ ฐานทองดี</v>
      </c>
      <c r="J801" s="3">
        <f>IFERROR(__xludf.DUMMYFUNCTION("""COMPUTED_VALUE"""),296608.0)</f>
        <v>296608</v>
      </c>
      <c r="K801" s="3" t="str">
        <f>IFERROR(__xludf.DUMMYFUNCTION("""COMPUTED_VALUE"""),"นายภาคภูมิ เพ็ชรนิล")</f>
        <v>นายภาคภูมิ เพ็ชรนิล</v>
      </c>
      <c r="L801" s="1" t="str">
        <f>IFERROR(__xludf.DUMMYFUNCTION("""COMPUTED_VALUE"""),"10 K.Phakphoom P.")</f>
        <v>10 K.Phakphoom P.</v>
      </c>
      <c r="M801" s="1" t="str">
        <f>IFERROR(__xludf.DUMMYFUNCTION("""COMPUTED_VALUE"""),"063-8955329")</f>
        <v>063-8955329</v>
      </c>
      <c r="N801" s="3">
        <f>IFERROR(__xludf.DUMMYFUNCTION("""COMPUTED_VALUE"""),22584.0)</f>
        <v>22584</v>
      </c>
      <c r="O801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801" s="4">
        <f>IFERROR(__xludf.DUMMYFUNCTION("""COMPUTED_VALUE"""),43097.0)</f>
        <v>43097</v>
      </c>
      <c r="Q801" s="3" t="str">
        <f>IFERROR(__xludf.DUMMYFUNCTION("""COMPUTED_VALUE"""),"A")</f>
        <v>A</v>
      </c>
      <c r="R801" s="3" t="str">
        <f>IFERROR(__xludf.DUMMYFUNCTION("""COMPUTED_VALUE"""),"Small Format")</f>
        <v>Small Format</v>
      </c>
      <c r="S801" s="3" t="str">
        <f>IFERROR(__xludf.DUMMYFUNCTION("""COMPUTED_VALUE"""),"BCM")</f>
        <v>BCM</v>
      </c>
      <c r="T801" s="3" t="str">
        <f>IFERROR(__xludf.DUMMYFUNCTION("""COMPUTED_VALUE"""),"#N/A")</f>
        <v>#N/A</v>
      </c>
      <c r="U801" s="3" t="str">
        <f>IFERROR(__xludf.DUMMYFUNCTION("""COMPUTED_VALUE"""),"#N/A")</f>
        <v>#N/A</v>
      </c>
      <c r="V801" s="3" t="str">
        <f>IFERROR(__xludf.DUMMYFUNCTION("""COMPUTED_VALUE"""),"N")</f>
        <v>N</v>
      </c>
      <c r="W801" s="3">
        <f>IFERROR(__xludf.DUMMYFUNCTION("""COMPUTED_VALUE"""),211464.0)</f>
        <v>211464</v>
      </c>
      <c r="X801" s="3" t="str">
        <f>IFERROR(__xludf.DUMMYFUNCTION("""COMPUTED_VALUE"""),"353 ถนนเรวดี ตำบลตลาดขวัญ อำเภอเมืองนนทบุรี จังหวัดนนทบุรี 11000")</f>
        <v>353 ถนนเรวดี ตำบลตลาดขวัญ อำเภอเมืองนนทบุรี จังหวัดนนทบุรี 11000</v>
      </c>
      <c r="Y801" s="3" t="str">
        <f>IFERROR(__xludf.DUMMYFUNCTION("""COMPUTED_VALUE"""),"ถนนเรวดี")</f>
        <v>ถนนเรวดี</v>
      </c>
      <c r="Z801" s="3" t="str">
        <f>IFERROR(__xludf.DUMMYFUNCTION("""COMPUTED_VALUE"""),"ตลาดขวัญ")</f>
        <v>ตลาดขวัญ</v>
      </c>
      <c r="AA801" s="3" t="str">
        <f>IFERROR(__xludf.DUMMYFUNCTION("""COMPUTED_VALUE"""),"เมืองนนทบุรี")</f>
        <v>เมืองนนทบุรี</v>
      </c>
      <c r="AB801" s="3" t="str">
        <f>IFERROR(__xludf.DUMMYFUNCTION("""COMPUTED_VALUE"""),"นนทบุรี")</f>
        <v>นนทบุรี</v>
      </c>
      <c r="AC801" s="3">
        <f>IFERROR(__xludf.DUMMYFUNCTION("""COMPUTED_VALUE"""),11000.0)</f>
        <v>11000</v>
      </c>
      <c r="AD801" s="3">
        <f>IFERROR(__xludf.DUMMYFUNCTION("""COMPUTED_VALUE"""),13.855487)</f>
        <v>13.855487</v>
      </c>
      <c r="AE801" s="3">
        <f>IFERROR(__xludf.DUMMYFUNCTION("""COMPUTED_VALUE"""),100.507069)</f>
        <v>100.507069</v>
      </c>
      <c r="AF801" s="3" t="str">
        <f>IFERROR(__xludf.DUMMYFUNCTION("""COMPUTED_VALUE"""),"MBC เรวดี 43-21570")</f>
        <v>MBC เรวดี 43-21570</v>
      </c>
      <c r="AG801" s="3" t="str">
        <f>IFERROR(__xludf.DUMMYFUNCTION("""COMPUTED_VALUE"""),"กลาง")</f>
        <v>กลาง</v>
      </c>
      <c r="AH801" s="3" t="str">
        <f>IFERROR(__xludf.DUMMYFUNCTION("""COMPUTED_VALUE"""),"#N/A")</f>
        <v>#N/A</v>
      </c>
      <c r="AI801" s="3" t="str">
        <f>IFERROR(__xludf.DUMMYFUNCTION("""COMPUTED_VALUE"""),"Out of warranty")</f>
        <v>Out of warranty</v>
      </c>
      <c r="AJ801" s="3">
        <f>IFERROR(__xludf.DUMMYFUNCTION("""COMPUTED_VALUE"""),97.0)</f>
        <v>97</v>
      </c>
      <c r="AK801" s="3" t="str">
        <f>IFERROR(__xludf.DUMMYFUNCTION("""COMPUTED_VALUE"""),"MMS01")</f>
        <v>MMS01</v>
      </c>
      <c r="AL801" s="3"/>
    </row>
    <row r="802" ht="15.75" customHeight="1">
      <c r="A802" s="1" t="str">
        <f>IFERROR(__xludf.DUMMYFUNCTION("""COMPUTED_VALUE"""),"21571")</f>
        <v>21571</v>
      </c>
      <c r="B802" s="2">
        <f>IFERROR(__xludf.DUMMYFUNCTION("""COMPUTED_VALUE"""),21571.0)</f>
        <v>21571</v>
      </c>
      <c r="C802" s="3" t="str">
        <f>IFERROR(__xludf.DUMMYFUNCTION("""COMPUTED_VALUE"""),"MBC ตลาดบ้านจำเริญ")</f>
        <v>MBC ตลาดบ้านจำเริญ</v>
      </c>
      <c r="D802" s="3" t="str">
        <f>IFERROR(__xludf.DUMMYFUNCTION("""COMPUTED_VALUE"""),"BCM TALAD BAN JAMROEN")</f>
        <v>BCM TALAD BAN JAMROEN</v>
      </c>
      <c r="E802" s="1" t="str">
        <f>IFERROR(__xludf.DUMMYFUNCTION("""COMPUTED_VALUE"""),"บิ๊กซี MINI")</f>
        <v>บิ๊กซี MINI</v>
      </c>
      <c r="F802" s="1" t="str">
        <f>IFERROR(__xludf.DUMMYFUNCTION("""COMPUTED_VALUE"""),"291105")</f>
        <v>291105</v>
      </c>
      <c r="G802" s="1" t="str">
        <f>IFERROR(__xludf.DUMMYFUNCTION("""COMPUTED_VALUE"""),"นายสราวุฒิ พณิชยกุล")</f>
        <v>นายสราวุฒิ พณิชยกุล</v>
      </c>
      <c r="H802" s="1" t="str">
        <f>IFERROR(__xludf.DUMMYFUNCTION("""COMPUTED_VALUE"""),"371396")</f>
        <v>371396</v>
      </c>
      <c r="I802" s="1" t="str">
        <f>IFERROR(__xludf.DUMMYFUNCTION("""COMPUTED_VALUE"""),"น.ส.สุภาวดี วิลัยพร")</f>
        <v>น.ส.สุภาวดี วิลัยพร</v>
      </c>
      <c r="J802" s="3">
        <f>IFERROR(__xludf.DUMMYFUNCTION("""COMPUTED_VALUE"""),15361.0)</f>
        <v>15361</v>
      </c>
      <c r="K802" s="3" t="str">
        <f>IFERROR(__xludf.DUMMYFUNCTION("""COMPUTED_VALUE"""),"นายสมบูรณ์ พรหมในเมือง")</f>
        <v>นายสมบูรณ์ พรหมในเมือง</v>
      </c>
      <c r="L802" s="1" t="str">
        <f>IFERROR(__xludf.DUMMYFUNCTION("""COMPUTED_VALUE"""),"04 K.Somboon P.")</f>
        <v>04 K.Somboon P.</v>
      </c>
      <c r="M802" s="1" t="str">
        <f>IFERROR(__xludf.DUMMYFUNCTION("""COMPUTED_VALUE"""),"087-965-3051")</f>
        <v>087-965-3051</v>
      </c>
      <c r="N802" s="3">
        <f>IFERROR(__xludf.DUMMYFUNCTION("""COMPUTED_VALUE"""),21869.0)</f>
        <v>21869</v>
      </c>
      <c r="O802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802" s="4">
        <f>IFERROR(__xludf.DUMMYFUNCTION("""COMPUTED_VALUE"""),43095.0)</f>
        <v>43095</v>
      </c>
      <c r="Q802" s="3" t="str">
        <f>IFERROR(__xludf.DUMMYFUNCTION("""COMPUTED_VALUE"""),"A")</f>
        <v>A</v>
      </c>
      <c r="R802" s="3" t="str">
        <f>IFERROR(__xludf.DUMMYFUNCTION("""COMPUTED_VALUE"""),"Small Format")</f>
        <v>Small Format</v>
      </c>
      <c r="S802" s="3" t="str">
        <f>IFERROR(__xludf.DUMMYFUNCTION("""COMPUTED_VALUE"""),"BCM")</f>
        <v>BCM</v>
      </c>
      <c r="T802" s="3" t="str">
        <f>IFERROR(__xludf.DUMMYFUNCTION("""COMPUTED_VALUE"""),"#N/A")</f>
        <v>#N/A</v>
      </c>
      <c r="U802" s="3" t="str">
        <f>IFERROR(__xludf.DUMMYFUNCTION("""COMPUTED_VALUE"""),"#N/A")</f>
        <v>#N/A</v>
      </c>
      <c r="V802" s="3" t="str">
        <f>IFERROR(__xludf.DUMMYFUNCTION("""COMPUTED_VALUE"""),"N")</f>
        <v>N</v>
      </c>
      <c r="W802" s="3">
        <f>IFERROR(__xludf.DUMMYFUNCTION("""COMPUTED_VALUE"""),211459.0)</f>
        <v>211459</v>
      </c>
      <c r="X802" s="3" t="str">
        <f>IFERROR(__xludf.DUMMYFUNCTION("""COMPUTED_VALUE"""),"241 หมู่4 ตำบลบ้านขาม อำเภอน้ำพอง จังหวัดขอนแก่น 40140")</f>
        <v>241 หมู่4 ตำบลบ้านขาม อำเภอน้ำพอง จังหวัดขอนแก่น 40140</v>
      </c>
      <c r="Y802" s="3"/>
      <c r="Z802" s="3" t="str">
        <f>IFERROR(__xludf.DUMMYFUNCTION("""COMPUTED_VALUE"""),"บ้านขาม")</f>
        <v>บ้านขาม</v>
      </c>
      <c r="AA802" s="3" t="str">
        <f>IFERROR(__xludf.DUMMYFUNCTION("""COMPUTED_VALUE"""),"น้ำพอง")</f>
        <v>น้ำพอง</v>
      </c>
      <c r="AB802" s="3" t="str">
        <f>IFERROR(__xludf.DUMMYFUNCTION("""COMPUTED_VALUE"""),"ขอนแก่น")</f>
        <v>ขอนแก่น</v>
      </c>
      <c r="AC802" s="3">
        <f>IFERROR(__xludf.DUMMYFUNCTION("""COMPUTED_VALUE"""),40140.0)</f>
        <v>40140</v>
      </c>
      <c r="AD802" s="3">
        <f>IFERROR(__xludf.DUMMYFUNCTION("""COMPUTED_VALUE"""),16.570138)</f>
        <v>16.570138</v>
      </c>
      <c r="AE802" s="3">
        <f>IFERROR(__xludf.DUMMYFUNCTION("""COMPUTED_VALUE"""),102.953733)</f>
        <v>102.953733</v>
      </c>
      <c r="AF802" s="3" t="str">
        <f>IFERROR(__xludf.DUMMYFUNCTION("""COMPUTED_VALUE"""),"MBC ตลาดบ้านจำเริญ-21571")</f>
        <v>MBC ตลาดบ้านจำเริญ-21571</v>
      </c>
      <c r="AG802" s="3" t="str">
        <f>IFERROR(__xludf.DUMMYFUNCTION("""COMPUTED_VALUE"""),"ตะวันออกเฉียงเหนือ")</f>
        <v>ตะวันออกเฉียงเหนือ</v>
      </c>
      <c r="AH802" s="3" t="str">
        <f>IFERROR(__xludf.DUMMYFUNCTION("""COMPUTED_VALUE"""),"#N/A")</f>
        <v>#N/A</v>
      </c>
      <c r="AI802" s="3" t="str">
        <f>IFERROR(__xludf.DUMMYFUNCTION("""COMPUTED_VALUE"""),"Out of warranty")</f>
        <v>Out of warranty</v>
      </c>
      <c r="AJ802" s="3">
        <f>IFERROR(__xludf.DUMMYFUNCTION("""COMPUTED_VALUE"""),97.0)</f>
        <v>97</v>
      </c>
      <c r="AK802" s="3" t="str">
        <f>IFERROR(__xludf.DUMMYFUNCTION("""COMPUTED_VALUE"""),"MMS12")</f>
        <v>MMS12</v>
      </c>
      <c r="AL802" s="3"/>
    </row>
    <row r="803" ht="15.75" customHeight="1">
      <c r="A803" s="1" t="str">
        <f>IFERROR(__xludf.DUMMYFUNCTION("""COMPUTED_VALUE"""),"21572")</f>
        <v>21572</v>
      </c>
      <c r="B803" s="2">
        <f>IFERROR(__xludf.DUMMYFUNCTION("""COMPUTED_VALUE"""),21572.0)</f>
        <v>21572</v>
      </c>
      <c r="C803" s="3" t="str">
        <f>IFERROR(__xludf.DUMMYFUNCTION("""COMPUTED_VALUE"""),"MBC เดอะมิกซ์ มาบยางพร")</f>
        <v>MBC เดอะมิกซ์ มาบยางพร</v>
      </c>
      <c r="D803" s="3" t="str">
        <f>IFERROR(__xludf.DUMMYFUNCTION("""COMPUTED_VALUE"""),"BCM THE MIX MABYANGPORN")</f>
        <v>BCM THE MIX MABYANGPORN</v>
      </c>
      <c r="E803" s="1" t="str">
        <f>IFERROR(__xludf.DUMMYFUNCTION("""COMPUTED_VALUE"""),"บิ๊กซี MINI")</f>
        <v>บิ๊กซี MINI</v>
      </c>
      <c r="F803" s="1" t="str">
        <f>IFERROR(__xludf.DUMMYFUNCTION("""COMPUTED_VALUE"""),"221716")</f>
        <v>221716</v>
      </c>
      <c r="G803" s="1" t="str">
        <f>IFERROR(__xludf.DUMMYFUNCTION("""COMPUTED_VALUE"""),"น.ส.เบญจพร โพธิสาร")</f>
        <v>น.ส.เบญจพร โพธิสาร</v>
      </c>
      <c r="H803" s="1" t="str">
        <f>IFERROR(__xludf.DUMMYFUNCTION("""COMPUTED_VALUE"""),"371384")</f>
        <v>371384</v>
      </c>
      <c r="I803" s="1" t="str">
        <f>IFERROR(__xludf.DUMMYFUNCTION("""COMPUTED_VALUE"""),"น.ส.นิลเนตร สิงห์ทอง")</f>
        <v>น.ส.นิลเนตร สิงห์ทอง</v>
      </c>
      <c r="J803" s="3">
        <f>IFERROR(__xludf.DUMMYFUNCTION("""COMPUTED_VALUE"""),2452376.0)</f>
        <v>2452376</v>
      </c>
      <c r="K803" s="3" t="str">
        <f>IFERROR(__xludf.DUMMYFUNCTION("""COMPUTED_VALUE"""),"นายภาคภูมิ ทวีกุล")</f>
        <v>นายภาคภูมิ ทวีกุล</v>
      </c>
      <c r="L803" s="1" t="str">
        <f>IFERROR(__xludf.DUMMYFUNCTION("""COMPUTED_VALUE"""),"08 K.Parkphum T.")</f>
        <v>08 K.Parkphum T.</v>
      </c>
      <c r="M803" s="1" t="str">
        <f>IFERROR(__xludf.DUMMYFUNCTION("""COMPUTED_VALUE"""),"097-919-5476")</f>
        <v>097-919-5476</v>
      </c>
      <c r="N803" s="3">
        <f>IFERROR(__xludf.DUMMYFUNCTION("""COMPUTED_VALUE"""),22028.0)</f>
        <v>22028</v>
      </c>
      <c r="O803" s="3" t="str">
        <f>IFERROR(__xludf.DUMMYFUNCTION("""COMPUTED_VALUE"""),"MBC ทํบมา ระยอง")</f>
        <v>MBC ทํบมา ระยอง</v>
      </c>
      <c r="P803" s="4">
        <f>IFERROR(__xludf.DUMMYFUNCTION("""COMPUTED_VALUE"""),43097.0)</f>
        <v>43097</v>
      </c>
      <c r="Q803" s="3" t="str">
        <f>IFERROR(__xludf.DUMMYFUNCTION("""COMPUTED_VALUE"""),"A")</f>
        <v>A</v>
      </c>
      <c r="R803" s="3" t="str">
        <f>IFERROR(__xludf.DUMMYFUNCTION("""COMPUTED_VALUE"""),"Small Format")</f>
        <v>Small Format</v>
      </c>
      <c r="S803" s="3" t="str">
        <f>IFERROR(__xludf.DUMMYFUNCTION("""COMPUTED_VALUE"""),"BCM")</f>
        <v>BCM</v>
      </c>
      <c r="T803" s="3" t="str">
        <f>IFERROR(__xludf.DUMMYFUNCTION("""COMPUTED_VALUE"""),"#N/A")</f>
        <v>#N/A</v>
      </c>
      <c r="U803" s="3" t="str">
        <f>IFERROR(__xludf.DUMMYFUNCTION("""COMPUTED_VALUE"""),"#N/A")</f>
        <v>#N/A</v>
      </c>
      <c r="V803" s="3" t="str">
        <f>IFERROR(__xludf.DUMMYFUNCTION("""COMPUTED_VALUE"""),"N")</f>
        <v>N</v>
      </c>
      <c r="W803" s="3">
        <f>IFERROR(__xludf.DUMMYFUNCTION("""COMPUTED_VALUE"""),211532.0)</f>
        <v>211532</v>
      </c>
      <c r="X803" s="3" t="str">
        <f>IFERROR(__xludf.DUMMYFUNCTION("""COMPUTED_VALUE"""),"403/21 หมู่2 ตำบลมาบยางพร อำเภอปลวกแดง จังหวัดระยอง 21140")</f>
        <v>403/21 หมู่2 ตำบลมาบยางพร อำเภอปลวกแดง จังหวัดระยอง 21140</v>
      </c>
      <c r="Y803" s="3"/>
      <c r="Z803" s="3" t="str">
        <f>IFERROR(__xludf.DUMMYFUNCTION("""COMPUTED_VALUE"""),"มาบยางพร")</f>
        <v>มาบยางพร</v>
      </c>
      <c r="AA803" s="3" t="str">
        <f>IFERROR(__xludf.DUMMYFUNCTION("""COMPUTED_VALUE"""),"ปลวกแดง")</f>
        <v>ปลวกแดง</v>
      </c>
      <c r="AB803" s="3" t="str">
        <f>IFERROR(__xludf.DUMMYFUNCTION("""COMPUTED_VALUE"""),"ระยอง")</f>
        <v>ระยอง</v>
      </c>
      <c r="AC803" s="3">
        <f>IFERROR(__xludf.DUMMYFUNCTION("""COMPUTED_VALUE"""),21140.0)</f>
        <v>21140</v>
      </c>
      <c r="AD803" s="3">
        <f>IFERROR(__xludf.DUMMYFUNCTION("""COMPUTED_VALUE"""),12.982944)</f>
        <v>12.982944</v>
      </c>
      <c r="AE803" s="3">
        <f>IFERROR(__xludf.DUMMYFUNCTION("""COMPUTED_VALUE"""),101.151026)</f>
        <v>101.151026</v>
      </c>
      <c r="AF803" s="3" t="str">
        <f>IFERROR(__xludf.DUMMYFUNCTION("""COMPUTED_VALUE"""),"MBC เดอะมิกซ์ มาบยางพร-21572")</f>
        <v>MBC เดอะมิกซ์ มาบยางพร-21572</v>
      </c>
      <c r="AG803" s="3" t="str">
        <f>IFERROR(__xludf.DUMMYFUNCTION("""COMPUTED_VALUE"""),"ตะวันออก")</f>
        <v>ตะวันออก</v>
      </c>
      <c r="AH803" s="3" t="str">
        <f>IFERROR(__xludf.DUMMYFUNCTION("""COMPUTED_VALUE"""),"#N/A")</f>
        <v>#N/A</v>
      </c>
      <c r="AI803" s="3" t="str">
        <f>IFERROR(__xludf.DUMMYFUNCTION("""COMPUTED_VALUE"""),"Out of warranty")</f>
        <v>Out of warranty</v>
      </c>
      <c r="AJ803" s="3">
        <f>IFERROR(__xludf.DUMMYFUNCTION("""COMPUTED_VALUE"""),97.0)</f>
        <v>97</v>
      </c>
      <c r="AK803" s="3" t="str">
        <f>IFERROR(__xludf.DUMMYFUNCTION("""COMPUTED_VALUE"""),"MMS07")</f>
        <v>MMS07</v>
      </c>
      <c r="AL803" s="3"/>
    </row>
    <row r="804" ht="15.75" customHeight="1">
      <c r="A804" s="1" t="str">
        <f>IFERROR(__xludf.DUMMYFUNCTION("""COMPUTED_VALUE"""),"21573")</f>
        <v>21573</v>
      </c>
      <c r="B804" s="2">
        <f>IFERROR(__xludf.DUMMYFUNCTION("""COMPUTED_VALUE"""),21573.0)</f>
        <v>21573</v>
      </c>
      <c r="C804" s="3" t="str">
        <f>IFERROR(__xludf.DUMMYFUNCTION("""COMPUTED_VALUE"""),"MBC ตลาดรถไฟ อยุธยา")</f>
        <v>MBC ตลาดรถไฟ อยุธยา</v>
      </c>
      <c r="D804" s="3" t="str">
        <f>IFERROR(__xludf.DUMMYFUNCTION("""COMPUTED_VALUE"""),"BCM TALAD ROD FAI AYUTTHAYA")</f>
        <v>BCM TALAD ROD FAI AYUTTHAYA</v>
      </c>
      <c r="E804" s="1" t="str">
        <f>IFERROR(__xludf.DUMMYFUNCTION("""COMPUTED_VALUE"""),"บิ๊กซี MINI")</f>
        <v>บิ๊กซี MINI</v>
      </c>
      <c r="F804" s="1" t="str">
        <f>IFERROR(__xludf.DUMMYFUNCTION("""COMPUTED_VALUE"""),"296229")</f>
        <v>296229</v>
      </c>
      <c r="G804" s="1" t="str">
        <f>IFERROR(__xludf.DUMMYFUNCTION("""COMPUTED_VALUE"""),"นายทนงศักดิ์ บุญมา")</f>
        <v>นายทนงศักดิ์ บุญมา</v>
      </c>
      <c r="H804" s="1" t="str">
        <f>IFERROR(__xludf.DUMMYFUNCTION("""COMPUTED_VALUE"""),"318233")</f>
        <v>318233</v>
      </c>
      <c r="I804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804" s="3">
        <f>IFERROR(__xludf.DUMMYFUNCTION("""COMPUTED_VALUE"""),46214.0)</f>
        <v>46214</v>
      </c>
      <c r="K804" s="3" t="str">
        <f>IFERROR(__xludf.DUMMYFUNCTION("""COMPUTED_VALUE"""),"นายศักดิ์ชัย เด็ดดอกฟ้า")</f>
        <v>นายศักดิ์ชัย เด็ดดอกฟ้า</v>
      </c>
      <c r="L804" s="1" t="str">
        <f>IFERROR(__xludf.DUMMYFUNCTION("""COMPUTED_VALUE"""),"02 K.Sakchai D")</f>
        <v>02 K.Sakchai D</v>
      </c>
      <c r="M804" s="1" t="str">
        <f>IFERROR(__xludf.DUMMYFUNCTION("""COMPUTED_VALUE"""),"065-510-7376")</f>
        <v>065-510-7376</v>
      </c>
      <c r="N804" s="3">
        <f>IFERROR(__xludf.DUMMYFUNCTION("""COMPUTED_VALUE"""),21714.0)</f>
        <v>21714</v>
      </c>
      <c r="O804" s="3" t="str">
        <f>IFERROR(__xludf.DUMMYFUNCTION("""COMPUTED_VALUE"""),"MBC เอสโซ่ วัดโบสถ์")</f>
        <v>MBC เอสโซ่ วัดโบสถ์</v>
      </c>
      <c r="P804" s="4">
        <f>IFERROR(__xludf.DUMMYFUNCTION("""COMPUTED_VALUE"""),43092.0)</f>
        <v>43092</v>
      </c>
      <c r="Q804" s="3" t="str">
        <f>IFERROR(__xludf.DUMMYFUNCTION("""COMPUTED_VALUE"""),"A")</f>
        <v>A</v>
      </c>
      <c r="R804" s="3" t="str">
        <f>IFERROR(__xludf.DUMMYFUNCTION("""COMPUTED_VALUE"""),"Small Format")</f>
        <v>Small Format</v>
      </c>
      <c r="S804" s="3" t="str">
        <f>IFERROR(__xludf.DUMMYFUNCTION("""COMPUTED_VALUE"""),"BCM")</f>
        <v>BCM</v>
      </c>
      <c r="T804" s="3" t="str">
        <f>IFERROR(__xludf.DUMMYFUNCTION("""COMPUTED_VALUE"""),"#N/A")</f>
        <v>#N/A</v>
      </c>
      <c r="U804" s="3" t="str">
        <f>IFERROR(__xludf.DUMMYFUNCTION("""COMPUTED_VALUE"""),"#N/A")</f>
        <v>#N/A</v>
      </c>
      <c r="V804" s="3" t="str">
        <f>IFERROR(__xludf.DUMMYFUNCTION("""COMPUTED_VALUE"""),"N")</f>
        <v>N</v>
      </c>
      <c r="W804" s="3">
        <f>IFERROR(__xludf.DUMMYFUNCTION("""COMPUTED_VALUE"""),211547.0)</f>
        <v>211547</v>
      </c>
      <c r="X804" s="3" t="str">
        <f>IFERROR(__xludf.DUMMYFUNCTION("""COMPUTED_VALUE"""),"333/44 หมู่1 ตำบลหัวรอ อำเภอพระนครศรีอยุธยา จังหวัดพระนครศรีอยุธยา 13000")</f>
        <v>333/44 หมู่1 ตำบลหัวรอ อำเภอพระนครศรีอยุธยา จังหวัดพระนครศรีอยุธยา 13000</v>
      </c>
      <c r="Y804" s="3"/>
      <c r="Z804" s="3" t="str">
        <f>IFERROR(__xludf.DUMMYFUNCTION("""COMPUTED_VALUE"""),"หัวรอ")</f>
        <v>หัวรอ</v>
      </c>
      <c r="AA804" s="3" t="str">
        <f>IFERROR(__xludf.DUMMYFUNCTION("""COMPUTED_VALUE"""),"เมืองพระนครศรีอยุธยา")</f>
        <v>เมืองพระนครศรีอยุธยา</v>
      </c>
      <c r="AB804" s="3" t="str">
        <f>IFERROR(__xludf.DUMMYFUNCTION("""COMPUTED_VALUE"""),"พระนครศรีอยุธยา")</f>
        <v>พระนครศรีอยุธยา</v>
      </c>
      <c r="AC804" s="3">
        <f>IFERROR(__xludf.DUMMYFUNCTION("""COMPUTED_VALUE"""),13000.0)</f>
        <v>13000</v>
      </c>
      <c r="AD804" s="3">
        <f>IFERROR(__xludf.DUMMYFUNCTION("""COMPUTED_VALUE"""),14.366472)</f>
        <v>14.366472</v>
      </c>
      <c r="AE804" s="3">
        <f>IFERROR(__xludf.DUMMYFUNCTION("""COMPUTED_VALUE"""),100.583908)</f>
        <v>100.583908</v>
      </c>
      <c r="AF804" s="3" t="str">
        <f>IFERROR(__xludf.DUMMYFUNCTION("""COMPUTED_VALUE"""),"MBC ตลาดรถไฟ อยุธยา-21573")</f>
        <v>MBC ตลาดรถไฟ อยุธยา-21573</v>
      </c>
      <c r="AG804" s="3" t="str">
        <f>IFERROR(__xludf.DUMMYFUNCTION("""COMPUTED_VALUE"""),"กลาง")</f>
        <v>กลาง</v>
      </c>
      <c r="AH804" s="3" t="str">
        <f>IFERROR(__xludf.DUMMYFUNCTION("""COMPUTED_VALUE"""),"#N/A")</f>
        <v>#N/A</v>
      </c>
      <c r="AI804" s="3" t="str">
        <f>IFERROR(__xludf.DUMMYFUNCTION("""COMPUTED_VALUE"""),"Out of warranty")</f>
        <v>Out of warranty</v>
      </c>
      <c r="AJ804" s="3">
        <f>IFERROR(__xludf.DUMMYFUNCTION("""COMPUTED_VALUE"""),97.0)</f>
        <v>97</v>
      </c>
      <c r="AK804" s="3" t="str">
        <f>IFERROR(__xludf.DUMMYFUNCTION("""COMPUTED_VALUE"""),"MMS04")</f>
        <v>MMS04</v>
      </c>
      <c r="AL804" s="3"/>
    </row>
    <row r="805" ht="15.75" customHeight="1">
      <c r="A805" s="1" t="str">
        <f>IFERROR(__xludf.DUMMYFUNCTION("""COMPUTED_VALUE"""),"21574")</f>
        <v>21574</v>
      </c>
      <c r="B805" s="2">
        <f>IFERROR(__xludf.DUMMYFUNCTION("""COMPUTED_VALUE"""),21574.0)</f>
        <v>21574</v>
      </c>
      <c r="C805" s="3" t="str">
        <f>IFERROR(__xludf.DUMMYFUNCTION("""COMPUTED_VALUE"""),"MBC เอื้ออาทร บ้านเป็ด")</f>
        <v>MBC เอื้ออาทร บ้านเป็ด</v>
      </c>
      <c r="D805" s="3" t="str">
        <f>IFERROR(__xludf.DUMMYFUNCTION("""COMPUTED_VALUE"""),"BCM EUR ARTHON BAN PED")</f>
        <v>BCM EUR ARTHON BAN PED</v>
      </c>
      <c r="E805" s="1" t="str">
        <f>IFERROR(__xludf.DUMMYFUNCTION("""COMPUTED_VALUE"""),"บิ๊กซี MINI")</f>
        <v>บิ๊กซี MINI</v>
      </c>
      <c r="F805" s="1" t="str">
        <f>IFERROR(__xludf.DUMMYFUNCTION("""COMPUTED_VALUE"""),"291105")</f>
        <v>291105</v>
      </c>
      <c r="G805" s="1" t="str">
        <f>IFERROR(__xludf.DUMMYFUNCTION("""COMPUTED_VALUE"""),"นายสราวุฒิ พณิชยกุล")</f>
        <v>นายสราวุฒิ พณิชยกุล</v>
      </c>
      <c r="H805" s="1" t="str">
        <f>IFERROR(__xludf.DUMMYFUNCTION("""COMPUTED_VALUE"""),"305119")</f>
        <v>305119</v>
      </c>
      <c r="I805" s="1" t="str">
        <f>IFERROR(__xludf.DUMMYFUNCTION("""COMPUTED_VALUE"""),"นายไชยกร ลีพิบูลย์สวัสดิ์")</f>
        <v>นายไชยกร ลีพิบูลย์สวัสดิ์</v>
      </c>
      <c r="J805" s="3">
        <f>IFERROR(__xludf.DUMMYFUNCTION("""COMPUTED_VALUE"""),296868.0)</f>
        <v>296868</v>
      </c>
      <c r="K805" s="3" t="str">
        <f>IFERROR(__xludf.DUMMYFUNCTION("""COMPUTED_VALUE"""),"นายพีระพงษ์ แก้วดวงดี")</f>
        <v>นายพีระพงษ์ แก้วดวงดี</v>
      </c>
      <c r="L805" s="1" t="str">
        <f>IFERROR(__xludf.DUMMYFUNCTION("""COMPUTED_VALUE"""),"03 K.Peerapong K.")</f>
        <v>03 K.Peerapong K.</v>
      </c>
      <c r="M805" s="1" t="str">
        <f>IFERROR(__xludf.DUMMYFUNCTION("""COMPUTED_VALUE"""),"089-002-6599")</f>
        <v>089-002-6599</v>
      </c>
      <c r="N805" s="3">
        <f>IFERROR(__xludf.DUMMYFUNCTION("""COMPUTED_VALUE"""),21946.0)</f>
        <v>21946</v>
      </c>
      <c r="O805" s="3" t="str">
        <f>IFERROR(__xludf.DUMMYFUNCTION("""COMPUTED_VALUE"""),"MBC เซกา บึงกาฬ")</f>
        <v>MBC เซกา บึงกาฬ</v>
      </c>
      <c r="P805" s="4">
        <f>IFERROR(__xludf.DUMMYFUNCTION("""COMPUTED_VALUE"""),43094.0)</f>
        <v>43094</v>
      </c>
      <c r="Q805" s="3" t="str">
        <f>IFERROR(__xludf.DUMMYFUNCTION("""COMPUTED_VALUE"""),"A")</f>
        <v>A</v>
      </c>
      <c r="R805" s="3" t="str">
        <f>IFERROR(__xludf.DUMMYFUNCTION("""COMPUTED_VALUE"""),"Small Format")</f>
        <v>Small Format</v>
      </c>
      <c r="S805" s="3" t="str">
        <f>IFERROR(__xludf.DUMMYFUNCTION("""COMPUTED_VALUE"""),"BCM")</f>
        <v>BCM</v>
      </c>
      <c r="T805" s="3" t="str">
        <f>IFERROR(__xludf.DUMMYFUNCTION("""COMPUTED_VALUE"""),"#N/A")</f>
        <v>#N/A</v>
      </c>
      <c r="U805" s="3" t="str">
        <f>IFERROR(__xludf.DUMMYFUNCTION("""COMPUTED_VALUE"""),"#N/A")</f>
        <v>#N/A</v>
      </c>
      <c r="V805" s="3" t="str">
        <f>IFERROR(__xludf.DUMMYFUNCTION("""COMPUTED_VALUE"""),"N")</f>
        <v>N</v>
      </c>
      <c r="W805" s="3">
        <f>IFERROR(__xludf.DUMMYFUNCTION("""COMPUTED_VALUE"""),211535.0)</f>
        <v>211535</v>
      </c>
      <c r="X805" s="3" t="str">
        <f>IFERROR(__xludf.DUMMYFUNCTION("""COMPUTED_VALUE"""),"288/32-35 หมู่8 ตำบลบ้านเป็ด อำเภอเมืองขอนแก่น จังหวัดขอนแก่น 40000")</f>
        <v>288/32-35 หมู่8 ตำบลบ้านเป็ด อำเภอเมืองขอนแก่น จังหวัดขอนแก่น 40000</v>
      </c>
      <c r="Y805" s="3"/>
      <c r="Z805" s="3" t="str">
        <f>IFERROR(__xludf.DUMMYFUNCTION("""COMPUTED_VALUE"""),"บ้านเป็ด")</f>
        <v>บ้านเป็ด</v>
      </c>
      <c r="AA805" s="3" t="str">
        <f>IFERROR(__xludf.DUMMYFUNCTION("""COMPUTED_VALUE"""),"เมือง")</f>
        <v>เมือง</v>
      </c>
      <c r="AB805" s="3" t="str">
        <f>IFERROR(__xludf.DUMMYFUNCTION("""COMPUTED_VALUE"""),"ขอนแก่น")</f>
        <v>ขอนแก่น</v>
      </c>
      <c r="AC805" s="3">
        <f>IFERROR(__xludf.DUMMYFUNCTION("""COMPUTED_VALUE"""),40000.0)</f>
        <v>40000</v>
      </c>
      <c r="AD805" s="3">
        <f>IFERROR(__xludf.DUMMYFUNCTION("""COMPUTED_VALUE"""),16.42358607)</f>
        <v>16.42358607</v>
      </c>
      <c r="AE805" s="3">
        <f>IFERROR(__xludf.DUMMYFUNCTION("""COMPUTED_VALUE"""),102.7779199)</f>
        <v>102.7779199</v>
      </c>
      <c r="AF805" s="3" t="str">
        <f>IFERROR(__xludf.DUMMYFUNCTION("""COMPUTED_VALUE"""),"MBC เอื้ออาทร บ้านเป็ด-21574")</f>
        <v>MBC เอื้ออาทร บ้านเป็ด-21574</v>
      </c>
      <c r="AG805" s="3" t="str">
        <f>IFERROR(__xludf.DUMMYFUNCTION("""COMPUTED_VALUE"""),"ตะวันออกเฉียงเหนือ")</f>
        <v>ตะวันออกเฉียงเหนือ</v>
      </c>
      <c r="AH805" s="3" t="str">
        <f>IFERROR(__xludf.DUMMYFUNCTION("""COMPUTED_VALUE"""),"#N/A")</f>
        <v>#N/A</v>
      </c>
      <c r="AI805" s="3" t="str">
        <f>IFERROR(__xludf.DUMMYFUNCTION("""COMPUTED_VALUE"""),"Out of warranty")</f>
        <v>Out of warranty</v>
      </c>
      <c r="AJ805" s="3">
        <f>IFERROR(__xludf.DUMMYFUNCTION("""COMPUTED_VALUE"""),97.0)</f>
        <v>97</v>
      </c>
      <c r="AK805" s="3" t="str">
        <f>IFERROR(__xludf.DUMMYFUNCTION("""COMPUTED_VALUE"""),"MMS12")</f>
        <v>MMS12</v>
      </c>
      <c r="AL805" s="3"/>
    </row>
    <row r="806" ht="15.75" customHeight="1">
      <c r="A806" s="1" t="str">
        <f>IFERROR(__xludf.DUMMYFUNCTION("""COMPUTED_VALUE"""),"21575")</f>
        <v>21575</v>
      </c>
      <c r="B806" s="2">
        <f>IFERROR(__xludf.DUMMYFUNCTION("""COMPUTED_VALUE"""),21575.0)</f>
        <v>21575</v>
      </c>
      <c r="C806" s="3" t="str">
        <f>IFERROR(__xludf.DUMMYFUNCTION("""COMPUTED_VALUE"""),"MBC มาบยางพร 43")</f>
        <v>MBC มาบยางพร 43</v>
      </c>
      <c r="D806" s="3" t="str">
        <f>IFERROR(__xludf.DUMMYFUNCTION("""COMPUTED_VALUE"""),"BCM MABYANGPORN 43")</f>
        <v>BCM MABYANGPORN 43</v>
      </c>
      <c r="E806" s="1" t="str">
        <f>IFERROR(__xludf.DUMMYFUNCTION("""COMPUTED_VALUE"""),"บิ๊กซี MINI")</f>
        <v>บิ๊กซี MINI</v>
      </c>
      <c r="F806" s="1" t="str">
        <f>IFERROR(__xludf.DUMMYFUNCTION("""COMPUTED_VALUE"""),"221716")</f>
        <v>221716</v>
      </c>
      <c r="G806" s="1" t="str">
        <f>IFERROR(__xludf.DUMMYFUNCTION("""COMPUTED_VALUE"""),"น.ส.เบญจพร โพธิสาร")</f>
        <v>น.ส.เบญจพร โพธิสาร</v>
      </c>
      <c r="H806" s="1" t="str">
        <f>IFERROR(__xludf.DUMMYFUNCTION("""COMPUTED_VALUE"""),"371384")</f>
        <v>371384</v>
      </c>
      <c r="I806" s="1" t="str">
        <f>IFERROR(__xludf.DUMMYFUNCTION("""COMPUTED_VALUE"""),"น.ส.นิลเนตร สิงห์ทอง")</f>
        <v>น.ส.นิลเนตร สิงห์ทอง</v>
      </c>
      <c r="J806" s="3">
        <f>IFERROR(__xludf.DUMMYFUNCTION("""COMPUTED_VALUE"""),3510104.0)</f>
        <v>3510104</v>
      </c>
      <c r="K806" s="3" t="str">
        <f>IFERROR(__xludf.DUMMYFUNCTION("""COMPUTED_VALUE"""),"นายวิโรจน์ อับดุลสมัด")</f>
        <v>นายวิโรจน์ อับดุลสมัด</v>
      </c>
      <c r="L806" s="1" t="str">
        <f>IFERROR(__xludf.DUMMYFUNCTION("""COMPUTED_VALUE"""),"09 K.Wirode A")</f>
        <v>09 K.Wirode A</v>
      </c>
      <c r="M806" s="1" t="str">
        <f>IFERROR(__xludf.DUMMYFUNCTION("""COMPUTED_VALUE"""),"080-235-4465")</f>
        <v>080-235-4465</v>
      </c>
      <c r="N806" s="3">
        <f>IFERROR(__xludf.DUMMYFUNCTION("""COMPUTED_VALUE"""),21324.0)</f>
        <v>21324</v>
      </c>
      <c r="O806" s="3" t="str">
        <f>IFERROR(__xludf.DUMMYFUNCTION("""COMPUTED_VALUE"""),"MBC BCP สุวินทวงศ์")</f>
        <v>MBC BCP สุวินทวงศ์</v>
      </c>
      <c r="P806" s="4">
        <f>IFERROR(__xludf.DUMMYFUNCTION("""COMPUTED_VALUE"""),43095.0)</f>
        <v>43095</v>
      </c>
      <c r="Q806" s="3" t="str">
        <f>IFERROR(__xludf.DUMMYFUNCTION("""COMPUTED_VALUE"""),"I")</f>
        <v>I</v>
      </c>
      <c r="R806" s="3" t="str">
        <f>IFERROR(__xludf.DUMMYFUNCTION("""COMPUTED_VALUE"""),"Small Format")</f>
        <v>Small Format</v>
      </c>
      <c r="S806" s="3" t="str">
        <f>IFERROR(__xludf.DUMMYFUNCTION("""COMPUTED_VALUE"""),"BCM")</f>
        <v>BCM</v>
      </c>
      <c r="T806" s="3" t="str">
        <f>IFERROR(__xludf.DUMMYFUNCTION("""COMPUTED_VALUE"""),"#N/A")</f>
        <v>#N/A</v>
      </c>
      <c r="U806" s="3" t="str">
        <f>IFERROR(__xludf.DUMMYFUNCTION("""COMPUTED_VALUE"""),"#N/A")</f>
        <v>#N/A</v>
      </c>
      <c r="V806" s="3" t="str">
        <f>IFERROR(__xludf.DUMMYFUNCTION("""COMPUTED_VALUE"""),"N")</f>
        <v>N</v>
      </c>
      <c r="W806" s="3">
        <f>IFERROR(__xludf.DUMMYFUNCTION("""COMPUTED_VALUE"""),211549.0)</f>
        <v>211549</v>
      </c>
      <c r="X806" s="3" t="str">
        <f>IFERROR(__xludf.DUMMYFUNCTION("""COMPUTED_VALUE"""),"457/6-8 หมู่4 ตำบลมาบยางพร อำเภอปลวกแดง จังหวัดระยอง 21140")</f>
        <v>457/6-8 หมู่4 ตำบลมาบยางพร อำเภอปลวกแดง จังหวัดระยอง 21140</v>
      </c>
      <c r="Y806" s="3"/>
      <c r="Z806" s="3" t="str">
        <f>IFERROR(__xludf.DUMMYFUNCTION("""COMPUTED_VALUE"""),"มาบยางพร")</f>
        <v>มาบยางพร</v>
      </c>
      <c r="AA806" s="3" t="str">
        <f>IFERROR(__xludf.DUMMYFUNCTION("""COMPUTED_VALUE"""),"ปลวกแดง")</f>
        <v>ปลวกแดง</v>
      </c>
      <c r="AB806" s="3" t="str">
        <f>IFERROR(__xludf.DUMMYFUNCTION("""COMPUTED_VALUE"""),"ระยอง")</f>
        <v>ระยอง</v>
      </c>
      <c r="AC806" s="3">
        <f>IFERROR(__xludf.DUMMYFUNCTION("""COMPUTED_VALUE"""),21140.0)</f>
        <v>21140</v>
      </c>
      <c r="AD806" s="3">
        <f>IFERROR(__xludf.DUMMYFUNCTION("""COMPUTED_VALUE"""),13.019448)</f>
        <v>13.019448</v>
      </c>
      <c r="AE806" s="3">
        <f>IFERROR(__xludf.DUMMYFUNCTION("""COMPUTED_VALUE"""),101.112438)</f>
        <v>101.112438</v>
      </c>
      <c r="AF806" s="3" t="str">
        <f>IFERROR(__xludf.DUMMYFUNCTION("""COMPUTED_VALUE"""),"MBC มาบยางพร 43-21575")</f>
        <v>MBC มาบยางพร 43-21575</v>
      </c>
      <c r="AG806" s="3" t="str">
        <f>IFERROR(__xludf.DUMMYFUNCTION("""COMPUTED_VALUE"""),"ตะวันออก")</f>
        <v>ตะวันออก</v>
      </c>
      <c r="AH806" s="3" t="str">
        <f>IFERROR(__xludf.DUMMYFUNCTION("""COMPUTED_VALUE"""),"#N/A")</f>
        <v>#N/A</v>
      </c>
      <c r="AI806" s="3" t="str">
        <f>IFERROR(__xludf.DUMMYFUNCTION("""COMPUTED_VALUE"""),"Out of warranty")</f>
        <v>Out of warranty</v>
      </c>
      <c r="AJ806" s="3">
        <f>IFERROR(__xludf.DUMMYFUNCTION("""COMPUTED_VALUE"""),97.0)</f>
        <v>97</v>
      </c>
      <c r="AK806" s="3" t="str">
        <f>IFERROR(__xludf.DUMMYFUNCTION("""COMPUTED_VALUE"""),"MMS07")</f>
        <v>MMS07</v>
      </c>
      <c r="AL806" s="3"/>
    </row>
    <row r="807" ht="15.75" customHeight="1">
      <c r="A807" s="1" t="str">
        <f>IFERROR(__xludf.DUMMYFUNCTION("""COMPUTED_VALUE"""),"21576")</f>
        <v>21576</v>
      </c>
      <c r="B807" s="2">
        <f>IFERROR(__xludf.DUMMYFUNCTION("""COMPUTED_VALUE"""),21576.0)</f>
        <v>21576</v>
      </c>
      <c r="C807" s="3" t="str">
        <f>IFERROR(__xludf.DUMMYFUNCTION("""COMPUTED_VALUE"""),"MBC ป่าแดด")</f>
        <v>MBC ป่าแดด</v>
      </c>
      <c r="D807" s="3" t="str">
        <f>IFERROR(__xludf.DUMMYFUNCTION("""COMPUTED_VALUE"""),"BCM PA DAET")</f>
        <v>BCM PA DAET</v>
      </c>
      <c r="E807" s="1" t="str">
        <f>IFERROR(__xludf.DUMMYFUNCTION("""COMPUTED_VALUE"""),"บิ๊กซี MINI")</f>
        <v>บิ๊กซี MINI</v>
      </c>
      <c r="F807" s="1" t="str">
        <f>IFERROR(__xludf.DUMMYFUNCTION("""COMPUTED_VALUE"""),"296229")</f>
        <v>296229</v>
      </c>
      <c r="G807" s="1" t="str">
        <f>IFERROR(__xludf.DUMMYFUNCTION("""COMPUTED_VALUE"""),"นายทนงศักดิ์ บุญมา")</f>
        <v>นายทนงศักดิ์ บุญมา</v>
      </c>
      <c r="H807" s="1" t="str">
        <f>IFERROR(__xludf.DUMMYFUNCTION("""COMPUTED_VALUE"""),"393402")</f>
        <v>393402</v>
      </c>
      <c r="I807" s="1" t="str">
        <f>IFERROR(__xludf.DUMMYFUNCTION("""COMPUTED_VALUE"""),"น.ส.ปารมิตา ใจตรง")</f>
        <v>น.ส.ปารมิตา ใจตรง</v>
      </c>
      <c r="J807" s="3">
        <f>IFERROR(__xludf.DUMMYFUNCTION("""COMPUTED_VALUE"""),2010016.0)</f>
        <v>2010016</v>
      </c>
      <c r="K807" s="3" t="str">
        <f>IFERROR(__xludf.DUMMYFUNCTION("""COMPUTED_VALUE"""),"นายตวงธรรม ใหม่ยศ")</f>
        <v>นายตวงธรรม ใหม่ยศ</v>
      </c>
      <c r="L807" s="1" t="str">
        <f>IFERROR(__xludf.DUMMYFUNCTION("""COMPUTED_VALUE"""),"01 K.Tuangtham M.")</f>
        <v>01 K.Tuangtham M.</v>
      </c>
      <c r="M807" s="1" t="str">
        <f>IFERROR(__xludf.DUMMYFUNCTION("""COMPUTED_VALUE"""),"063-976-595")</f>
        <v>063-976-595</v>
      </c>
      <c r="N807" s="3">
        <f>IFERROR(__xludf.DUMMYFUNCTION("""COMPUTED_VALUE"""),22574.0)</f>
        <v>22574</v>
      </c>
      <c r="O807" s="3" t="str">
        <f>IFERROR(__xludf.DUMMYFUNCTION("""COMPUTED_VALUE"""),"BCM ชุมชนศรีชุม ลำปาง")</f>
        <v>BCM ชุมชนศรีชุม ลำปาง</v>
      </c>
      <c r="P807" s="4">
        <f>IFERROR(__xludf.DUMMYFUNCTION("""COMPUTED_VALUE"""),43096.0)</f>
        <v>43096</v>
      </c>
      <c r="Q807" s="3" t="str">
        <f>IFERROR(__xludf.DUMMYFUNCTION("""COMPUTED_VALUE"""),"A")</f>
        <v>A</v>
      </c>
      <c r="R807" s="3" t="str">
        <f>IFERROR(__xludf.DUMMYFUNCTION("""COMPUTED_VALUE"""),"Small Format")</f>
        <v>Small Format</v>
      </c>
      <c r="S807" s="3" t="str">
        <f>IFERROR(__xludf.DUMMYFUNCTION("""COMPUTED_VALUE"""),"BCM")</f>
        <v>BCM</v>
      </c>
      <c r="T807" s="3" t="str">
        <f>IFERROR(__xludf.DUMMYFUNCTION("""COMPUTED_VALUE"""),"#N/A")</f>
        <v>#N/A</v>
      </c>
      <c r="U807" s="3" t="str">
        <f>IFERROR(__xludf.DUMMYFUNCTION("""COMPUTED_VALUE"""),"#N/A")</f>
        <v>#N/A</v>
      </c>
      <c r="V807" s="3" t="str">
        <f>IFERROR(__xludf.DUMMYFUNCTION("""COMPUTED_VALUE"""),"N")</f>
        <v>N</v>
      </c>
      <c r="W807" s="3">
        <f>IFERROR(__xludf.DUMMYFUNCTION("""COMPUTED_VALUE"""),211555.0)</f>
        <v>211555</v>
      </c>
      <c r="X807" s="3" t="str">
        <f>IFERROR(__xludf.DUMMYFUNCTION("""COMPUTED_VALUE"""),"104/5-7 หมู่2 ตำบลป่าแดด อำเภอเมืองเชียงใหม่ จังหวัดเชียงใหม่ 50100")</f>
        <v>104/5-7 หมู่2 ตำบลป่าแดด อำเภอเมืองเชียงใหม่ จังหวัดเชียงใหม่ 50100</v>
      </c>
      <c r="Y807" s="3"/>
      <c r="Z807" s="3" t="str">
        <f>IFERROR(__xludf.DUMMYFUNCTION("""COMPUTED_VALUE"""),"ป่าแดด")</f>
        <v>ป่าแดด</v>
      </c>
      <c r="AA807" s="3" t="str">
        <f>IFERROR(__xludf.DUMMYFUNCTION("""COMPUTED_VALUE"""),"เมือง")</f>
        <v>เมือง</v>
      </c>
      <c r="AB807" s="3" t="str">
        <f>IFERROR(__xludf.DUMMYFUNCTION("""COMPUTED_VALUE"""),"เชียงใหม่")</f>
        <v>เชียงใหม่</v>
      </c>
      <c r="AC807" s="3">
        <f>IFERROR(__xludf.DUMMYFUNCTION("""COMPUTED_VALUE"""),50100.0)</f>
        <v>50100</v>
      </c>
      <c r="AD807" s="3">
        <f>IFERROR(__xludf.DUMMYFUNCTION("""COMPUTED_VALUE"""),18.760095)</f>
        <v>18.760095</v>
      </c>
      <c r="AE807" s="3">
        <f>IFERROR(__xludf.DUMMYFUNCTION("""COMPUTED_VALUE"""),98.996419)</f>
        <v>98.996419</v>
      </c>
      <c r="AF807" s="3" t="str">
        <f>IFERROR(__xludf.DUMMYFUNCTION("""COMPUTED_VALUE"""),"MBC ป่าแดด-21576")</f>
        <v>MBC ป่าแดด-21576</v>
      </c>
      <c r="AG807" s="3" t="str">
        <f>IFERROR(__xludf.DUMMYFUNCTION("""COMPUTED_VALUE"""),"เหนือ")</f>
        <v>เหนือ</v>
      </c>
      <c r="AH807" s="3" t="str">
        <f>IFERROR(__xludf.DUMMYFUNCTION("""COMPUTED_VALUE"""),"#N/A")</f>
        <v>#N/A</v>
      </c>
      <c r="AI807" s="3" t="str">
        <f>IFERROR(__xludf.DUMMYFUNCTION("""COMPUTED_VALUE"""),"Out of warranty")</f>
        <v>Out of warranty</v>
      </c>
      <c r="AJ807" s="3">
        <f>IFERROR(__xludf.DUMMYFUNCTION("""COMPUTED_VALUE"""),97.0)</f>
        <v>97</v>
      </c>
      <c r="AK807" s="3" t="str">
        <f>IFERROR(__xludf.DUMMYFUNCTION("""COMPUTED_VALUE"""),"MMS10")</f>
        <v>MMS10</v>
      </c>
      <c r="AL807" s="3"/>
    </row>
    <row r="808" ht="15.75" customHeight="1">
      <c r="A808" s="1" t="str">
        <f>IFERROR(__xludf.DUMMYFUNCTION("""COMPUTED_VALUE"""),"21577")</f>
        <v>21577</v>
      </c>
      <c r="B808" s="2">
        <f>IFERROR(__xludf.DUMMYFUNCTION("""COMPUTED_VALUE"""),21577.0)</f>
        <v>21577</v>
      </c>
      <c r="C808" s="3" t="str">
        <f>IFERROR(__xludf.DUMMYFUNCTION("""COMPUTED_VALUE"""),"MBC ถนนดอนนก")</f>
        <v>MBC ถนนดอนนก</v>
      </c>
      <c r="D808" s="3" t="str">
        <f>IFERROR(__xludf.DUMMYFUNCTION("""COMPUTED_VALUE"""),"BCM THANON DONNOK")</f>
        <v>BCM THANON DONNOK</v>
      </c>
      <c r="E808" s="1" t="str">
        <f>IFERROR(__xludf.DUMMYFUNCTION("""COMPUTED_VALUE"""),"บิ๊กซี MINI")</f>
        <v>บิ๊กซี MINI</v>
      </c>
      <c r="F808" s="1" t="str">
        <f>IFERROR(__xludf.DUMMYFUNCTION("""COMPUTED_VALUE"""),"250760")</f>
        <v>250760</v>
      </c>
      <c r="G808" s="1" t="str">
        <f>IFERROR(__xludf.DUMMYFUNCTION("""COMPUTED_VALUE"""),"นายประทวน สาราบรรณ์")</f>
        <v>นายประทวน สาราบรรณ์</v>
      </c>
      <c r="H808" s="1" t="str">
        <f>IFERROR(__xludf.DUMMYFUNCTION("""COMPUTED_VALUE"""),"228389")</f>
        <v>228389</v>
      </c>
      <c r="I808" s="1" t="str">
        <f>IFERROR(__xludf.DUMMYFUNCTION("""COMPUTED_VALUE"""),"นายมณีรันดร์ ชัยชนะ")</f>
        <v>นายมณีรันดร์ ชัยชนะ</v>
      </c>
      <c r="J808" s="3">
        <f>IFERROR(__xludf.DUMMYFUNCTION("""COMPUTED_VALUE"""),25324.0)</f>
        <v>25324</v>
      </c>
      <c r="K808" s="3" t="str">
        <f>IFERROR(__xludf.DUMMYFUNCTION("""COMPUTED_VALUE"""),"นายวิเชฎฐ์ ติรัตนะประคม")</f>
        <v>นายวิเชฎฐ์ ติรัตนะประคม</v>
      </c>
      <c r="L808" s="1" t="str">
        <f>IFERROR(__xludf.DUMMYFUNCTION("""COMPUTED_VALUE"""),"14 K.Wichet T.")</f>
        <v>14 K.Wichet T.</v>
      </c>
      <c r="M808" s="1" t="str">
        <f>IFERROR(__xludf.DUMMYFUNCTION("""COMPUTED_VALUE"""),"061-417-6569 / 086-445-5636")</f>
        <v>061-417-6569 / 086-445-5636</v>
      </c>
      <c r="N808" s="3">
        <f>IFERROR(__xludf.DUMMYFUNCTION("""COMPUTED_VALUE"""),22658.0)</f>
        <v>22658</v>
      </c>
      <c r="O808" s="3" t="str">
        <f>IFERROR(__xludf.DUMMYFUNCTION("""COMPUTED_VALUE"""),"BCM ถ.วิรัชหงษ์หยก ภูเก็ต")</f>
        <v>BCM ถ.วิรัชหงษ์หยก ภูเก็ต</v>
      </c>
      <c r="P808" s="4">
        <f>IFERROR(__xludf.DUMMYFUNCTION("""COMPUTED_VALUE"""),43155.0)</f>
        <v>43155</v>
      </c>
      <c r="Q808" s="3" t="str">
        <f>IFERROR(__xludf.DUMMYFUNCTION("""COMPUTED_VALUE"""),"A")</f>
        <v>A</v>
      </c>
      <c r="R808" s="3" t="str">
        <f>IFERROR(__xludf.DUMMYFUNCTION("""COMPUTED_VALUE"""),"Small Format")</f>
        <v>Small Format</v>
      </c>
      <c r="S808" s="3" t="str">
        <f>IFERROR(__xludf.DUMMYFUNCTION("""COMPUTED_VALUE"""),"BCM")</f>
        <v>BCM</v>
      </c>
      <c r="T808" s="3" t="str">
        <f>IFERROR(__xludf.DUMMYFUNCTION("""COMPUTED_VALUE"""),"#N/A")</f>
        <v>#N/A</v>
      </c>
      <c r="U808" s="3" t="str">
        <f>IFERROR(__xludf.DUMMYFUNCTION("""COMPUTED_VALUE"""),"#N/A")</f>
        <v>#N/A</v>
      </c>
      <c r="V808" s="3" t="str">
        <f>IFERROR(__xludf.DUMMYFUNCTION("""COMPUTED_VALUE"""),"N")</f>
        <v>N</v>
      </c>
      <c r="W808" s="3">
        <f>IFERROR(__xludf.DUMMYFUNCTION("""COMPUTED_VALUE"""),211556.0)</f>
        <v>211556</v>
      </c>
      <c r="X808" s="3" t="str">
        <f>IFERROR(__xludf.DUMMYFUNCTION("""COMPUTED_VALUE"""),"48/9-10 ถนนดอนนก ตำบลตลาด อำเภอเมืองสุราษฏร์ธานี จังหวัดสุราษฏร์ธานี 84000")</f>
        <v>48/9-10 ถนนดอนนก ตำบลตลาด อำเภอเมืองสุราษฏร์ธานี จังหวัดสุราษฏร์ธานี 84000</v>
      </c>
      <c r="Y808" s="3" t="str">
        <f>IFERROR(__xludf.DUMMYFUNCTION("""COMPUTED_VALUE"""),"ถนนดอนนก")</f>
        <v>ถนนดอนนก</v>
      </c>
      <c r="Z808" s="3" t="str">
        <f>IFERROR(__xludf.DUMMYFUNCTION("""COMPUTED_VALUE"""),"ตลาด")</f>
        <v>ตลาด</v>
      </c>
      <c r="AA808" s="3" t="str">
        <f>IFERROR(__xludf.DUMMYFUNCTION("""COMPUTED_VALUE"""),"เมือง")</f>
        <v>เมือง</v>
      </c>
      <c r="AB808" s="3" t="str">
        <f>IFERROR(__xludf.DUMMYFUNCTION("""COMPUTED_VALUE"""),"สุราษฎร์ธานี")</f>
        <v>สุราษฎร์ธานี</v>
      </c>
      <c r="AC808" s="3">
        <f>IFERROR(__xludf.DUMMYFUNCTION("""COMPUTED_VALUE"""),84000.0)</f>
        <v>84000</v>
      </c>
      <c r="AD808" s="3">
        <f>IFERROR(__xludf.DUMMYFUNCTION("""COMPUTED_VALUE"""),9.13511)</f>
        <v>9.13511</v>
      </c>
      <c r="AE808" s="3">
        <f>IFERROR(__xludf.DUMMYFUNCTION("""COMPUTED_VALUE"""),99.32381)</f>
        <v>99.32381</v>
      </c>
      <c r="AF808" s="3" t="str">
        <f>IFERROR(__xludf.DUMMYFUNCTION("""COMPUTED_VALUE"""),"MBC ถนนดอนนก-21577")</f>
        <v>MBC ถนนดอนนก-21577</v>
      </c>
      <c r="AG808" s="3" t="str">
        <f>IFERROR(__xludf.DUMMYFUNCTION("""COMPUTED_VALUE"""),"ใต้")</f>
        <v>ใต้</v>
      </c>
      <c r="AH808" s="3" t="str">
        <f>IFERROR(__xludf.DUMMYFUNCTION("""COMPUTED_VALUE"""),"#N/A")</f>
        <v>#N/A</v>
      </c>
      <c r="AI808" s="3" t="str">
        <f>IFERROR(__xludf.DUMMYFUNCTION("""COMPUTED_VALUE"""),"Out of warranty")</f>
        <v>Out of warranty</v>
      </c>
      <c r="AJ808" s="3">
        <f>IFERROR(__xludf.DUMMYFUNCTION("""COMPUTED_VALUE"""),95.0)</f>
        <v>95</v>
      </c>
      <c r="AK808" s="3" t="str">
        <f>IFERROR(__xludf.DUMMYFUNCTION("""COMPUTED_VALUE"""),"MMS14")</f>
        <v>MMS14</v>
      </c>
      <c r="AL808" s="3"/>
    </row>
    <row r="809" ht="15.75" customHeight="1">
      <c r="A809" s="1" t="str">
        <f>IFERROR(__xludf.DUMMYFUNCTION("""COMPUTED_VALUE"""),"21578")</f>
        <v>21578</v>
      </c>
      <c r="B809" s="2">
        <f>IFERROR(__xludf.DUMMYFUNCTION("""COMPUTED_VALUE"""),21578.0)</f>
        <v>21578</v>
      </c>
      <c r="C809" s="3" t="str">
        <f>IFERROR(__xludf.DUMMYFUNCTION("""COMPUTED_VALUE"""),"MBC พระพุทธบาท")</f>
        <v>MBC พระพุทธบาท</v>
      </c>
      <c r="D809" s="3" t="str">
        <f>IFERROR(__xludf.DUMMYFUNCTION("""COMPUTED_VALUE"""),"BCM PHRAPUTTABAT")</f>
        <v>BCM PHRAPUTTABAT</v>
      </c>
      <c r="E809" s="1" t="str">
        <f>IFERROR(__xludf.DUMMYFUNCTION("""COMPUTED_VALUE"""),"บิ๊กซี MINI")</f>
        <v>บิ๊กซี MINI</v>
      </c>
      <c r="F809" s="1" t="str">
        <f>IFERROR(__xludf.DUMMYFUNCTION("""COMPUTED_VALUE"""),"296229")</f>
        <v>296229</v>
      </c>
      <c r="G809" s="1" t="str">
        <f>IFERROR(__xludf.DUMMYFUNCTION("""COMPUTED_VALUE"""),"นายทนงศักดิ์ บุญมา")</f>
        <v>นายทนงศักดิ์ บุญมา</v>
      </c>
      <c r="H809" s="1" t="str">
        <f>IFERROR(__xludf.DUMMYFUNCTION("""COMPUTED_VALUE"""),"291082")</f>
        <v>291082</v>
      </c>
      <c r="I809" s="1" t="str">
        <f>IFERROR(__xludf.DUMMYFUNCTION("""COMPUTED_VALUE"""),"น.ส.วจี กันเกตุ")</f>
        <v>น.ส.วจี กันเกตุ</v>
      </c>
      <c r="J809" s="3">
        <f>IFERROR(__xludf.DUMMYFUNCTION("""COMPUTED_VALUE"""),46214.0)</f>
        <v>46214</v>
      </c>
      <c r="K809" s="3" t="str">
        <f>IFERROR(__xludf.DUMMYFUNCTION("""COMPUTED_VALUE"""),"นายศักดิ์ชัย เด็ดดอกฟ้า")</f>
        <v>นายศักดิ์ชัย เด็ดดอกฟ้า</v>
      </c>
      <c r="L809" s="1" t="str">
        <f>IFERROR(__xludf.DUMMYFUNCTION("""COMPUTED_VALUE"""),"02 K.Sakchai D")</f>
        <v>02 K.Sakchai D</v>
      </c>
      <c r="M809" s="1" t="str">
        <f>IFERROR(__xludf.DUMMYFUNCTION("""COMPUTED_VALUE"""),"065-510-7376")</f>
        <v>065-510-7376</v>
      </c>
      <c r="N809" s="3">
        <f>IFERROR(__xludf.DUMMYFUNCTION("""COMPUTED_VALUE"""),21714.0)</f>
        <v>21714</v>
      </c>
      <c r="O809" s="3" t="str">
        <f>IFERROR(__xludf.DUMMYFUNCTION("""COMPUTED_VALUE"""),"MBC เอสโซ่ วัดโบสถ์")</f>
        <v>MBC เอสโซ่ วัดโบสถ์</v>
      </c>
      <c r="P809" s="4">
        <f>IFERROR(__xludf.DUMMYFUNCTION("""COMPUTED_VALUE"""),43096.0)</f>
        <v>43096</v>
      </c>
      <c r="Q809" s="3" t="str">
        <f>IFERROR(__xludf.DUMMYFUNCTION("""COMPUTED_VALUE"""),"A")</f>
        <v>A</v>
      </c>
      <c r="R809" s="3" t="str">
        <f>IFERROR(__xludf.DUMMYFUNCTION("""COMPUTED_VALUE"""),"Small Format")</f>
        <v>Small Format</v>
      </c>
      <c r="S809" s="3" t="str">
        <f>IFERROR(__xludf.DUMMYFUNCTION("""COMPUTED_VALUE"""),"BCM")</f>
        <v>BCM</v>
      </c>
      <c r="T809" s="3" t="str">
        <f>IFERROR(__xludf.DUMMYFUNCTION("""COMPUTED_VALUE"""),"#N/A")</f>
        <v>#N/A</v>
      </c>
      <c r="U809" s="3" t="str">
        <f>IFERROR(__xludf.DUMMYFUNCTION("""COMPUTED_VALUE"""),"#N/A")</f>
        <v>#N/A</v>
      </c>
      <c r="V809" s="3" t="str">
        <f>IFERROR(__xludf.DUMMYFUNCTION("""COMPUTED_VALUE"""),"N")</f>
        <v>N</v>
      </c>
      <c r="W809" s="3">
        <f>IFERROR(__xludf.DUMMYFUNCTION("""COMPUTED_VALUE"""),211548.0)</f>
        <v>211548</v>
      </c>
      <c r="X809" s="3" t="str">
        <f>IFERROR(__xludf.DUMMYFUNCTION("""COMPUTED_VALUE"""),"124 หมู่1 ตำบลพระพุทธบาท อำเภอพระพุทธบาท จังหวัดสระบุรี 18120")</f>
        <v>124 หมู่1 ตำบลพระพุทธบาท อำเภอพระพุทธบาท จังหวัดสระบุรี 18120</v>
      </c>
      <c r="Y809" s="3"/>
      <c r="Z809" s="3" t="str">
        <f>IFERROR(__xludf.DUMMYFUNCTION("""COMPUTED_VALUE"""),"พระพุทธบาท")</f>
        <v>พระพุทธบาท</v>
      </c>
      <c r="AA809" s="3" t="str">
        <f>IFERROR(__xludf.DUMMYFUNCTION("""COMPUTED_VALUE"""),"พระพุทธบาท")</f>
        <v>พระพุทธบาท</v>
      </c>
      <c r="AB809" s="3" t="str">
        <f>IFERROR(__xludf.DUMMYFUNCTION("""COMPUTED_VALUE"""),"สระบุรี")</f>
        <v>สระบุรี</v>
      </c>
      <c r="AC809" s="3">
        <f>IFERROR(__xludf.DUMMYFUNCTION("""COMPUTED_VALUE"""),18120.0)</f>
        <v>18120</v>
      </c>
      <c r="AD809" s="3">
        <f>IFERROR(__xludf.DUMMYFUNCTION("""COMPUTED_VALUE"""),14.72244)</f>
        <v>14.72244</v>
      </c>
      <c r="AE809" s="3">
        <f>IFERROR(__xludf.DUMMYFUNCTION("""COMPUTED_VALUE"""),100.78793)</f>
        <v>100.78793</v>
      </c>
      <c r="AF809" s="3" t="str">
        <f>IFERROR(__xludf.DUMMYFUNCTION("""COMPUTED_VALUE"""),"MBC พระพุทธบาท-21578")</f>
        <v>MBC พระพุทธบาท-21578</v>
      </c>
      <c r="AG809" s="3" t="str">
        <f>IFERROR(__xludf.DUMMYFUNCTION("""COMPUTED_VALUE"""),"กลาง")</f>
        <v>กลาง</v>
      </c>
      <c r="AH809" s="3" t="str">
        <f>IFERROR(__xludf.DUMMYFUNCTION("""COMPUTED_VALUE"""),"#N/A")</f>
        <v>#N/A</v>
      </c>
      <c r="AI809" s="3" t="str">
        <f>IFERROR(__xludf.DUMMYFUNCTION("""COMPUTED_VALUE"""),"Out of warranty")</f>
        <v>Out of warranty</v>
      </c>
      <c r="AJ809" s="3">
        <f>IFERROR(__xludf.DUMMYFUNCTION("""COMPUTED_VALUE"""),97.0)</f>
        <v>97</v>
      </c>
      <c r="AK809" s="3" t="str">
        <f>IFERROR(__xludf.DUMMYFUNCTION("""COMPUTED_VALUE"""),"MMS09")</f>
        <v>MMS09</v>
      </c>
      <c r="AL809" s="3"/>
    </row>
    <row r="810" ht="15.75" customHeight="1">
      <c r="A810" s="1" t="str">
        <f>IFERROR(__xludf.DUMMYFUNCTION("""COMPUTED_VALUE"""),"21579")</f>
        <v>21579</v>
      </c>
      <c r="B810" s="2">
        <f>IFERROR(__xludf.DUMMYFUNCTION("""COMPUTED_VALUE"""),21579.0)</f>
        <v>21579</v>
      </c>
      <c r="C810" s="3" t="str">
        <f>IFERROR(__xludf.DUMMYFUNCTION("""COMPUTED_VALUE"""),"MBC ถนนนครสวรรค์")</f>
        <v>MBC ถนนนครสวรรค์</v>
      </c>
      <c r="D810" s="3" t="str">
        <f>IFERROR(__xludf.DUMMYFUNCTION("""COMPUTED_VALUE"""),"BCM NAKHONSAWAN RD")</f>
        <v>BCM NAKHONSAWAN RD</v>
      </c>
      <c r="E810" s="1" t="str">
        <f>IFERROR(__xludf.DUMMYFUNCTION("""COMPUTED_VALUE"""),"บิ๊กซี MINI")</f>
        <v>บิ๊กซี MINI</v>
      </c>
      <c r="F810" s="1" t="str">
        <f>IFERROR(__xludf.DUMMYFUNCTION("""COMPUTED_VALUE"""),"291105")</f>
        <v>291105</v>
      </c>
      <c r="G810" s="1" t="str">
        <f>IFERROR(__xludf.DUMMYFUNCTION("""COMPUTED_VALUE"""),"นายสราวุฒิ พณิชยกุล")</f>
        <v>นายสราวุฒิ พณิชยกุล</v>
      </c>
      <c r="H810" s="1" t="str">
        <f>IFERROR(__xludf.DUMMYFUNCTION("""COMPUTED_VALUE"""),"392433")</f>
        <v>392433</v>
      </c>
      <c r="I810" s="1" t="str">
        <f>IFERROR(__xludf.DUMMYFUNCTION("""COMPUTED_VALUE"""),"นายพรธิวา ใจอ่อน")</f>
        <v>นายพรธิวา ใจอ่อน</v>
      </c>
      <c r="J810" s="3">
        <f>IFERROR(__xludf.DUMMYFUNCTION("""COMPUTED_VALUE"""),2454781.0)</f>
        <v>2454781</v>
      </c>
      <c r="K810" s="3" t="str">
        <f>IFERROR(__xludf.DUMMYFUNCTION("""COMPUTED_VALUE"""),"นายฌานกฤช นันทะโคต")</f>
        <v>นายฌานกฤช นันทะโคต</v>
      </c>
      <c r="L810" s="1" t="str">
        <f>IFERROR(__xludf.DUMMYFUNCTION("""COMPUTED_VALUE"""),"05 K.Chanakrit N.")</f>
        <v>05 K.Chanakrit N.</v>
      </c>
      <c r="M810" s="1" t="str">
        <f>IFERROR(__xludf.DUMMYFUNCTION("""COMPUTED_VALUE"""),"090-978-9785 ,065-929-1320")</f>
        <v>090-978-9785 ,065-929-1320</v>
      </c>
      <c r="N810" s="3">
        <f>IFERROR(__xludf.DUMMYFUNCTION("""COMPUTED_VALUE"""),22195.0)</f>
        <v>22195</v>
      </c>
      <c r="O810" s="3" t="str">
        <f>IFERROR(__xludf.DUMMYFUNCTION("""COMPUTED_VALUE"""),"MBC กันทรลักษ์ ศรีสะเกษ")</f>
        <v>MBC กันทรลักษ์ ศรีสะเกษ</v>
      </c>
      <c r="P810" s="4">
        <f>IFERROR(__xludf.DUMMYFUNCTION("""COMPUTED_VALUE"""),43096.0)</f>
        <v>43096</v>
      </c>
      <c r="Q810" s="3" t="str">
        <f>IFERROR(__xludf.DUMMYFUNCTION("""COMPUTED_VALUE"""),"A")</f>
        <v>A</v>
      </c>
      <c r="R810" s="3" t="str">
        <f>IFERROR(__xludf.DUMMYFUNCTION("""COMPUTED_VALUE"""),"Small Format")</f>
        <v>Small Format</v>
      </c>
      <c r="S810" s="3" t="str">
        <f>IFERROR(__xludf.DUMMYFUNCTION("""COMPUTED_VALUE"""),"BCM")</f>
        <v>BCM</v>
      </c>
      <c r="T810" s="3" t="str">
        <f>IFERROR(__xludf.DUMMYFUNCTION("""COMPUTED_VALUE"""),"#N/A")</f>
        <v>#N/A</v>
      </c>
      <c r="U810" s="3" t="str">
        <f>IFERROR(__xludf.DUMMYFUNCTION("""COMPUTED_VALUE"""),"#N/A")</f>
        <v>#N/A</v>
      </c>
      <c r="V810" s="3" t="str">
        <f>IFERROR(__xludf.DUMMYFUNCTION("""COMPUTED_VALUE"""),"N")</f>
        <v>N</v>
      </c>
      <c r="W810" s="3">
        <f>IFERROR(__xludf.DUMMYFUNCTION("""COMPUTED_VALUE"""),211554.0)</f>
        <v>211554</v>
      </c>
      <c r="X810" s="3" t="str">
        <f>IFERROR(__xludf.DUMMYFUNCTION("""COMPUTED_VALUE"""),"159,159/1-3 ถนนนครสวรรค์ ตำบลตลาด อำเภอเมืองมหาสารคาม จังหวัดมหาสารคาม 44000")</f>
        <v>159,159/1-3 ถนนนครสวรรค์ ตำบลตลาด อำเภอเมืองมหาสารคาม จังหวัดมหาสารคาม 44000</v>
      </c>
      <c r="Y810" s="3" t="str">
        <f>IFERROR(__xludf.DUMMYFUNCTION("""COMPUTED_VALUE"""),"ถนนนครสวรรค์")</f>
        <v>ถนนนครสวรรค์</v>
      </c>
      <c r="Z810" s="3" t="str">
        <f>IFERROR(__xludf.DUMMYFUNCTION("""COMPUTED_VALUE"""),"ตลาด")</f>
        <v>ตลาด</v>
      </c>
      <c r="AA810" s="3" t="str">
        <f>IFERROR(__xludf.DUMMYFUNCTION("""COMPUTED_VALUE"""),"เมือง")</f>
        <v>เมือง</v>
      </c>
      <c r="AB810" s="3" t="str">
        <f>IFERROR(__xludf.DUMMYFUNCTION("""COMPUTED_VALUE"""),"มหาสารคาม")</f>
        <v>มหาสารคาม</v>
      </c>
      <c r="AC810" s="3">
        <f>IFERROR(__xludf.DUMMYFUNCTION("""COMPUTED_VALUE"""),44000.0)</f>
        <v>44000</v>
      </c>
      <c r="AD810" s="3">
        <f>IFERROR(__xludf.DUMMYFUNCTION("""COMPUTED_VALUE"""),16.1951975)</f>
        <v>16.1951975</v>
      </c>
      <c r="AE810" s="3">
        <f>IFERROR(__xludf.DUMMYFUNCTION("""COMPUTED_VALUE"""),103.289783)</f>
        <v>103.289783</v>
      </c>
      <c r="AF810" s="3" t="str">
        <f>IFERROR(__xludf.DUMMYFUNCTION("""COMPUTED_VALUE"""),"MBC ถนนนครสวรรค์-21579")</f>
        <v>MBC ถนนนครสวรรค์-21579</v>
      </c>
      <c r="AG810" s="3" t="str">
        <f>IFERROR(__xludf.DUMMYFUNCTION("""COMPUTED_VALUE"""),"ตะวันออกเฉียงเหนือ")</f>
        <v>ตะวันออกเฉียงเหนือ</v>
      </c>
      <c r="AH810" s="3" t="str">
        <f>IFERROR(__xludf.DUMMYFUNCTION("""COMPUTED_VALUE"""),"#N/A")</f>
        <v>#N/A</v>
      </c>
      <c r="AI810" s="3" t="str">
        <f>IFERROR(__xludf.DUMMYFUNCTION("""COMPUTED_VALUE"""),"Out of warranty")</f>
        <v>Out of warranty</v>
      </c>
      <c r="AJ810" s="3">
        <f>IFERROR(__xludf.DUMMYFUNCTION("""COMPUTED_VALUE"""),97.0)</f>
        <v>97</v>
      </c>
      <c r="AK810" s="3" t="str">
        <f>IFERROR(__xludf.DUMMYFUNCTION("""COMPUTED_VALUE"""),"MMS13")</f>
        <v>MMS13</v>
      </c>
      <c r="AL810" s="3"/>
    </row>
    <row r="811" ht="15.75" customHeight="1">
      <c r="A811" s="1" t="str">
        <f>IFERROR(__xludf.DUMMYFUNCTION("""COMPUTED_VALUE"""),"21580")</f>
        <v>21580</v>
      </c>
      <c r="B811" s="2">
        <f>IFERROR(__xludf.DUMMYFUNCTION("""COMPUTED_VALUE"""),21580.0)</f>
        <v>21580</v>
      </c>
      <c r="C811" s="3" t="str">
        <f>IFERROR(__xludf.DUMMYFUNCTION("""COMPUTED_VALUE"""),"MBC ตลาดสดกระทู้")</f>
        <v>MBC ตลาดสดกระทู้</v>
      </c>
      <c r="D811" s="3" t="str">
        <f>IFERROR(__xludf.DUMMYFUNCTION("""COMPUTED_VALUE"""),"BCM TALAD SOD KRATHU")</f>
        <v>BCM TALAD SOD KRATHU</v>
      </c>
      <c r="E811" s="1" t="str">
        <f>IFERROR(__xludf.DUMMYFUNCTION("""COMPUTED_VALUE"""),"บิ๊กซี MINI")</f>
        <v>บิ๊กซี MINI</v>
      </c>
      <c r="F811" s="1" t="str">
        <f>IFERROR(__xludf.DUMMYFUNCTION("""COMPUTED_VALUE"""),"250760")</f>
        <v>250760</v>
      </c>
      <c r="G811" s="1" t="str">
        <f>IFERROR(__xludf.DUMMYFUNCTION("""COMPUTED_VALUE"""),"นายประทวน สาราบรรณ์")</f>
        <v>นายประทวน สาราบรรณ์</v>
      </c>
      <c r="H811" s="1" t="str">
        <f>IFERROR(__xludf.DUMMYFUNCTION("""COMPUTED_VALUE"""),"357284")</f>
        <v>357284</v>
      </c>
      <c r="I811" s="1" t="str">
        <f>IFERROR(__xludf.DUMMYFUNCTION("""COMPUTED_VALUE"""),"น.ส.เบญจวรรณ ปัณฑโมรา")</f>
        <v>น.ส.เบญจวรรณ ปัณฑโมรา</v>
      </c>
      <c r="J811" s="3">
        <f>IFERROR(__xludf.DUMMYFUNCTION("""COMPUTED_VALUE"""),25324.0)</f>
        <v>25324</v>
      </c>
      <c r="K811" s="3" t="str">
        <f>IFERROR(__xludf.DUMMYFUNCTION("""COMPUTED_VALUE"""),"นายวิเชฎฐ์ ติรัตนะประคม")</f>
        <v>นายวิเชฎฐ์ ติรัตนะประคม</v>
      </c>
      <c r="L811" s="1" t="str">
        <f>IFERROR(__xludf.DUMMYFUNCTION("""COMPUTED_VALUE"""),"14 K.Wichet T.")</f>
        <v>14 K.Wichet T.</v>
      </c>
      <c r="M811" s="1" t="str">
        <f>IFERROR(__xludf.DUMMYFUNCTION("""COMPUTED_VALUE"""),"061-417-6569 / 086-445-5636")</f>
        <v>061-417-6569 / 086-445-5636</v>
      </c>
      <c r="N811" s="3">
        <f>IFERROR(__xludf.DUMMYFUNCTION("""COMPUTED_VALUE"""),22658.0)</f>
        <v>22658</v>
      </c>
      <c r="O811" s="3" t="str">
        <f>IFERROR(__xludf.DUMMYFUNCTION("""COMPUTED_VALUE"""),"BCM ถ.วิรัชหงษ์หยก ภูเก็ต")</f>
        <v>BCM ถ.วิรัชหงษ์หยก ภูเก็ต</v>
      </c>
      <c r="P811" s="4">
        <f>IFERROR(__xludf.DUMMYFUNCTION("""COMPUTED_VALUE"""),43120.0)</f>
        <v>43120</v>
      </c>
      <c r="Q811" s="3" t="str">
        <f>IFERROR(__xludf.DUMMYFUNCTION("""COMPUTED_VALUE"""),"A")</f>
        <v>A</v>
      </c>
      <c r="R811" s="3" t="str">
        <f>IFERROR(__xludf.DUMMYFUNCTION("""COMPUTED_VALUE"""),"Small Format")</f>
        <v>Small Format</v>
      </c>
      <c r="S811" s="3" t="str">
        <f>IFERROR(__xludf.DUMMYFUNCTION("""COMPUTED_VALUE"""),"BCM")</f>
        <v>BCM</v>
      </c>
      <c r="T811" s="3" t="str">
        <f>IFERROR(__xludf.DUMMYFUNCTION("""COMPUTED_VALUE"""),"#N/A")</f>
        <v>#N/A</v>
      </c>
      <c r="U811" s="3" t="str">
        <f>IFERROR(__xludf.DUMMYFUNCTION("""COMPUTED_VALUE"""),"#N/A")</f>
        <v>#N/A</v>
      </c>
      <c r="V811" s="3" t="str">
        <f>IFERROR(__xludf.DUMMYFUNCTION("""COMPUTED_VALUE"""),"N")</f>
        <v>N</v>
      </c>
      <c r="W811" s="3">
        <f>IFERROR(__xludf.DUMMYFUNCTION("""COMPUTED_VALUE"""),211557.0)</f>
        <v>211557</v>
      </c>
      <c r="X811" s="3" t="str">
        <f>IFERROR(__xludf.DUMMYFUNCTION("""COMPUTED_VALUE"""),"36/7 หมู่6 ตำบลกะทู้ อำเภอกะทู้ จังหวัดภูเก็ต 83150")</f>
        <v>36/7 หมู่6 ตำบลกะทู้ อำเภอกะทู้ จังหวัดภูเก็ต 83150</v>
      </c>
      <c r="Y811" s="3"/>
      <c r="Z811" s="3" t="str">
        <f>IFERROR(__xludf.DUMMYFUNCTION("""COMPUTED_VALUE"""),"กะทู้")</f>
        <v>กะทู้</v>
      </c>
      <c r="AA811" s="3" t="str">
        <f>IFERROR(__xludf.DUMMYFUNCTION("""COMPUTED_VALUE"""),"กะทู้")</f>
        <v>กะทู้</v>
      </c>
      <c r="AB811" s="3" t="str">
        <f>IFERROR(__xludf.DUMMYFUNCTION("""COMPUTED_VALUE"""),"ภูเก็ต")</f>
        <v>ภูเก็ต</v>
      </c>
      <c r="AC811" s="3">
        <f>IFERROR(__xludf.DUMMYFUNCTION("""COMPUTED_VALUE"""),83150.0)</f>
        <v>83150</v>
      </c>
      <c r="AD811" s="3">
        <f>IFERROR(__xludf.DUMMYFUNCTION("""COMPUTED_VALUE"""),7.91237)</f>
        <v>7.91237</v>
      </c>
      <c r="AE811" s="3">
        <f>IFERROR(__xludf.DUMMYFUNCTION("""COMPUTED_VALUE"""),98.33292)</f>
        <v>98.33292</v>
      </c>
      <c r="AF811" s="3" t="str">
        <f>IFERROR(__xludf.DUMMYFUNCTION("""COMPUTED_VALUE"""),"MBC ตลาดสดกระทู้-21580")</f>
        <v>MBC ตลาดสดกระทู้-21580</v>
      </c>
      <c r="AG811" s="3" t="str">
        <f>IFERROR(__xludf.DUMMYFUNCTION("""COMPUTED_VALUE"""),"ใต้")</f>
        <v>ใต้</v>
      </c>
      <c r="AH811" s="3" t="str">
        <f>IFERROR(__xludf.DUMMYFUNCTION("""COMPUTED_VALUE"""),"#N/A")</f>
        <v>#N/A</v>
      </c>
      <c r="AI811" s="3" t="str">
        <f>IFERROR(__xludf.DUMMYFUNCTION("""COMPUTED_VALUE"""),"Out of warranty")</f>
        <v>Out of warranty</v>
      </c>
      <c r="AJ811" s="3">
        <f>IFERROR(__xludf.DUMMYFUNCTION("""COMPUTED_VALUE"""),97.0)</f>
        <v>97</v>
      </c>
      <c r="AK811" s="3" t="str">
        <f>IFERROR(__xludf.DUMMYFUNCTION("""COMPUTED_VALUE"""),"MMS15")</f>
        <v>MMS15</v>
      </c>
      <c r="AL811" s="3"/>
    </row>
    <row r="812" ht="15.75" customHeight="1">
      <c r="A812" s="1" t="str">
        <f>IFERROR(__xludf.DUMMYFUNCTION("""COMPUTED_VALUE"""),"21581")</f>
        <v>21581</v>
      </c>
      <c r="B812" s="2">
        <f>IFERROR(__xludf.DUMMYFUNCTION("""COMPUTED_VALUE"""),21581.0)</f>
        <v>21581</v>
      </c>
      <c r="C812" s="3" t="str">
        <f>IFERROR(__xludf.DUMMYFUNCTION("""COMPUTED_VALUE"""),"MBC ซอยคลองบางวัด")</f>
        <v>MBC ซอยคลองบางวัด</v>
      </c>
      <c r="D812" s="3" t="str">
        <f>IFERROR(__xludf.DUMMYFUNCTION("""COMPUTED_VALUE"""),"BCM SOI KLONG BANG WAT")</f>
        <v>BCM SOI KLONG BANG WAT</v>
      </c>
      <c r="E812" s="1" t="str">
        <f>IFERROR(__xludf.DUMMYFUNCTION("""COMPUTED_VALUE"""),"บิ๊กซี MINI")</f>
        <v>บิ๊กซี MINI</v>
      </c>
      <c r="F812" s="1" t="str">
        <f>IFERROR(__xludf.DUMMYFUNCTION("""COMPUTED_VALUE"""),"250760")</f>
        <v>250760</v>
      </c>
      <c r="G812" s="1" t="str">
        <f>IFERROR(__xludf.DUMMYFUNCTION("""COMPUTED_VALUE"""),"นายประทวน สาราบรรณ์")</f>
        <v>นายประทวน สาราบรรณ์</v>
      </c>
      <c r="H812" s="1" t="str">
        <f>IFERROR(__xludf.DUMMYFUNCTION("""COMPUTED_VALUE"""),"357284")</f>
        <v>357284</v>
      </c>
      <c r="I812" s="1" t="str">
        <f>IFERROR(__xludf.DUMMYFUNCTION("""COMPUTED_VALUE"""),"น.ส.เบญจวรรณ ปัณฑโมรา")</f>
        <v>น.ส.เบญจวรรณ ปัณฑโมรา</v>
      </c>
      <c r="J812" s="3">
        <f>IFERROR(__xludf.DUMMYFUNCTION("""COMPUTED_VALUE"""),25324.0)</f>
        <v>25324</v>
      </c>
      <c r="K812" s="3" t="str">
        <f>IFERROR(__xludf.DUMMYFUNCTION("""COMPUTED_VALUE"""),"นายวิเชฎฐ์ ติรัตนะประคม")</f>
        <v>นายวิเชฎฐ์ ติรัตนะประคม</v>
      </c>
      <c r="L812" s="1" t="str">
        <f>IFERROR(__xludf.DUMMYFUNCTION("""COMPUTED_VALUE"""),"14 K.Wichet T.")</f>
        <v>14 K.Wichet T.</v>
      </c>
      <c r="M812" s="1" t="str">
        <f>IFERROR(__xludf.DUMMYFUNCTION("""COMPUTED_VALUE"""),"061-417-6569 / 086-445-5636")</f>
        <v>061-417-6569 / 086-445-5636</v>
      </c>
      <c r="N812" s="3">
        <f>IFERROR(__xludf.DUMMYFUNCTION("""COMPUTED_VALUE"""),22658.0)</f>
        <v>22658</v>
      </c>
      <c r="O812" s="3" t="str">
        <f>IFERROR(__xludf.DUMMYFUNCTION("""COMPUTED_VALUE"""),"BCM ถ.วิรัชหงษ์หยก ภูเก็ต")</f>
        <v>BCM ถ.วิรัชหงษ์หยก ภูเก็ต</v>
      </c>
      <c r="P812" s="4">
        <f>IFERROR(__xludf.DUMMYFUNCTION("""COMPUTED_VALUE"""),43121.0)</f>
        <v>43121</v>
      </c>
      <c r="Q812" s="3" t="str">
        <f>IFERROR(__xludf.DUMMYFUNCTION("""COMPUTED_VALUE"""),"A")</f>
        <v>A</v>
      </c>
      <c r="R812" s="3" t="str">
        <f>IFERROR(__xludf.DUMMYFUNCTION("""COMPUTED_VALUE"""),"Small Format")</f>
        <v>Small Format</v>
      </c>
      <c r="S812" s="3" t="str">
        <f>IFERROR(__xludf.DUMMYFUNCTION("""COMPUTED_VALUE"""),"BCM")</f>
        <v>BCM</v>
      </c>
      <c r="T812" s="3" t="str">
        <f>IFERROR(__xludf.DUMMYFUNCTION("""COMPUTED_VALUE"""),"#N/A")</f>
        <v>#N/A</v>
      </c>
      <c r="U812" s="3" t="str">
        <f>IFERROR(__xludf.DUMMYFUNCTION("""COMPUTED_VALUE"""),"#N/A")</f>
        <v>#N/A</v>
      </c>
      <c r="V812" s="3" t="str">
        <f>IFERROR(__xludf.DUMMYFUNCTION("""COMPUTED_VALUE"""),"N")</f>
        <v>N</v>
      </c>
      <c r="W812" s="3">
        <f>IFERROR(__xludf.DUMMYFUNCTION("""COMPUTED_VALUE"""),211558.0)</f>
        <v>211558</v>
      </c>
      <c r="X812" s="3" t="str">
        <f>IFERROR(__xludf.DUMMYFUNCTION("""COMPUTED_VALUE"""),"95/1-4 ถนนราชปาทานุสรณ์ ตำบลป่าตอง อำเภอกะทู้ จังหวัดภูเก็ต 83150")</f>
        <v>95/1-4 ถนนราชปาทานุสรณ์ ตำบลป่าตอง อำเภอกะทู้ จังหวัดภูเก็ต 83150</v>
      </c>
      <c r="Y812" s="3" t="str">
        <f>IFERROR(__xludf.DUMMYFUNCTION("""COMPUTED_VALUE"""),"ถนนราชปาทานุสรณ์")</f>
        <v>ถนนราชปาทานุสรณ์</v>
      </c>
      <c r="Z812" s="3" t="str">
        <f>IFERROR(__xludf.DUMMYFUNCTION("""COMPUTED_VALUE"""),"ป่าตอง")</f>
        <v>ป่าตอง</v>
      </c>
      <c r="AA812" s="3" t="str">
        <f>IFERROR(__xludf.DUMMYFUNCTION("""COMPUTED_VALUE"""),"กะทู้")</f>
        <v>กะทู้</v>
      </c>
      <c r="AB812" s="3" t="str">
        <f>IFERROR(__xludf.DUMMYFUNCTION("""COMPUTED_VALUE"""),"ภูเก็ต")</f>
        <v>ภูเก็ต</v>
      </c>
      <c r="AC812" s="3">
        <f>IFERROR(__xludf.DUMMYFUNCTION("""COMPUTED_VALUE"""),83150.0)</f>
        <v>83150</v>
      </c>
      <c r="AD812" s="3">
        <f>IFERROR(__xludf.DUMMYFUNCTION("""COMPUTED_VALUE"""),7.90025)</f>
        <v>7.90025</v>
      </c>
      <c r="AE812" s="3">
        <f>IFERROR(__xludf.DUMMYFUNCTION("""COMPUTED_VALUE"""),98.30744)</f>
        <v>98.30744</v>
      </c>
      <c r="AF812" s="3" t="str">
        <f>IFERROR(__xludf.DUMMYFUNCTION("""COMPUTED_VALUE"""),"MBC ซอยคลองบางวัด-21581")</f>
        <v>MBC ซอยคลองบางวัด-21581</v>
      </c>
      <c r="AG812" s="3" t="str">
        <f>IFERROR(__xludf.DUMMYFUNCTION("""COMPUTED_VALUE"""),"ใต้")</f>
        <v>ใต้</v>
      </c>
      <c r="AH812" s="3" t="str">
        <f>IFERROR(__xludf.DUMMYFUNCTION("""COMPUTED_VALUE"""),"#N/A")</f>
        <v>#N/A</v>
      </c>
      <c r="AI812" s="3" t="str">
        <f>IFERROR(__xludf.DUMMYFUNCTION("""COMPUTED_VALUE"""),"Out of warranty")</f>
        <v>Out of warranty</v>
      </c>
      <c r="AJ812" s="3">
        <f>IFERROR(__xludf.DUMMYFUNCTION("""COMPUTED_VALUE"""),96.0)</f>
        <v>96</v>
      </c>
      <c r="AK812" s="3" t="str">
        <f>IFERROR(__xludf.DUMMYFUNCTION("""COMPUTED_VALUE"""),"MMS15")</f>
        <v>MMS15</v>
      </c>
      <c r="AL812" s="3"/>
    </row>
    <row r="813" ht="15.75" customHeight="1">
      <c r="A813" s="1" t="str">
        <f>IFERROR(__xludf.DUMMYFUNCTION("""COMPUTED_VALUE"""),"21582")</f>
        <v>21582</v>
      </c>
      <c r="B813" s="2">
        <f>IFERROR(__xludf.DUMMYFUNCTION("""COMPUTED_VALUE"""),21582.0)</f>
        <v>21582</v>
      </c>
      <c r="C813" s="3" t="str">
        <f>IFERROR(__xludf.DUMMYFUNCTION("""COMPUTED_VALUE"""),"MBC ชลพฤกษ์")</f>
        <v>MBC ชลพฤกษ์</v>
      </c>
      <c r="D813" s="3" t="str">
        <f>IFERROR(__xludf.DUMMYFUNCTION("""COMPUTED_VALUE"""),"BCM CHONLAPRUK")</f>
        <v>BCM CHONLAPRUK</v>
      </c>
      <c r="E813" s="1" t="str">
        <f>IFERROR(__xludf.DUMMYFUNCTION("""COMPUTED_VALUE"""),"บิ๊กซี MINI")</f>
        <v>บิ๊กซี MINI</v>
      </c>
      <c r="F813" s="1" t="str">
        <f>IFERROR(__xludf.DUMMYFUNCTION("""COMPUTED_VALUE"""),"291105")</f>
        <v>291105</v>
      </c>
      <c r="G813" s="1" t="str">
        <f>IFERROR(__xludf.DUMMYFUNCTION("""COMPUTED_VALUE"""),"นายสราวุฒิ พณิชยกุล")</f>
        <v>นายสราวุฒิ พณิชยกุล</v>
      </c>
      <c r="H813" s="1" t="str">
        <f>IFERROR(__xludf.DUMMYFUNCTION("""COMPUTED_VALUE"""),"371396")</f>
        <v>371396</v>
      </c>
      <c r="I813" s="1" t="str">
        <f>IFERROR(__xludf.DUMMYFUNCTION("""COMPUTED_VALUE"""),"น.ส.สุภาวดี วิลัยพร")</f>
        <v>น.ส.สุภาวดี วิลัยพร</v>
      </c>
      <c r="J813" s="3">
        <f>IFERROR(__xludf.DUMMYFUNCTION("""COMPUTED_VALUE"""),15361.0)</f>
        <v>15361</v>
      </c>
      <c r="K813" s="3" t="str">
        <f>IFERROR(__xludf.DUMMYFUNCTION("""COMPUTED_VALUE"""),"นายสมบูรณ์ พรหมในเมือง")</f>
        <v>นายสมบูรณ์ พรหมในเมือง</v>
      </c>
      <c r="L813" s="1" t="str">
        <f>IFERROR(__xludf.DUMMYFUNCTION("""COMPUTED_VALUE"""),"04 K.Somboon P.")</f>
        <v>04 K.Somboon P.</v>
      </c>
      <c r="M813" s="1" t="str">
        <f>IFERROR(__xludf.DUMMYFUNCTION("""COMPUTED_VALUE"""),"087-965-3051")</f>
        <v>087-965-3051</v>
      </c>
      <c r="N813" s="3">
        <f>IFERROR(__xludf.DUMMYFUNCTION("""COMPUTED_VALUE"""),21869.0)</f>
        <v>21869</v>
      </c>
      <c r="O813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813" s="4">
        <f>IFERROR(__xludf.DUMMYFUNCTION("""COMPUTED_VALUE"""),43096.0)</f>
        <v>43096</v>
      </c>
      <c r="Q813" s="3" t="str">
        <f>IFERROR(__xludf.DUMMYFUNCTION("""COMPUTED_VALUE"""),"A")</f>
        <v>A</v>
      </c>
      <c r="R813" s="3" t="str">
        <f>IFERROR(__xludf.DUMMYFUNCTION("""COMPUTED_VALUE"""),"Small Format")</f>
        <v>Small Format</v>
      </c>
      <c r="S813" s="3" t="str">
        <f>IFERROR(__xludf.DUMMYFUNCTION("""COMPUTED_VALUE"""),"BCM")</f>
        <v>BCM</v>
      </c>
      <c r="T813" s="3" t="str">
        <f>IFERROR(__xludf.DUMMYFUNCTION("""COMPUTED_VALUE"""),"#N/A")</f>
        <v>#N/A</v>
      </c>
      <c r="U813" s="3" t="str">
        <f>IFERROR(__xludf.DUMMYFUNCTION("""COMPUTED_VALUE"""),"#N/A")</f>
        <v>#N/A</v>
      </c>
      <c r="V813" s="3" t="str">
        <f>IFERROR(__xludf.DUMMYFUNCTION("""COMPUTED_VALUE"""),"N")</f>
        <v>N</v>
      </c>
      <c r="W813" s="3">
        <f>IFERROR(__xludf.DUMMYFUNCTION("""COMPUTED_VALUE"""),211552.0)</f>
        <v>211552</v>
      </c>
      <c r="X813" s="3" t="str">
        <f>IFERROR(__xludf.DUMMYFUNCTION("""COMPUTED_VALUE"""),"125/2 หมู่7 ตำบลบ้านเป็ด อำเภอเมืองขอนแก่น จังหวัดขอนแก่น 40000")</f>
        <v>125/2 หมู่7 ตำบลบ้านเป็ด อำเภอเมืองขอนแก่น จังหวัดขอนแก่น 40000</v>
      </c>
      <c r="Y813" s="3"/>
      <c r="Z813" s="3" t="str">
        <f>IFERROR(__xludf.DUMMYFUNCTION("""COMPUTED_VALUE"""),"บ้านเป็ด")</f>
        <v>บ้านเป็ด</v>
      </c>
      <c r="AA813" s="3" t="str">
        <f>IFERROR(__xludf.DUMMYFUNCTION("""COMPUTED_VALUE"""),"เมือง")</f>
        <v>เมือง</v>
      </c>
      <c r="AB813" s="3" t="str">
        <f>IFERROR(__xludf.DUMMYFUNCTION("""COMPUTED_VALUE"""),"ขอนแก่น")</f>
        <v>ขอนแก่น</v>
      </c>
      <c r="AC813" s="3">
        <f>IFERROR(__xludf.DUMMYFUNCTION("""COMPUTED_VALUE"""),40000.0)</f>
        <v>40000</v>
      </c>
      <c r="AD813" s="3">
        <f>IFERROR(__xludf.DUMMYFUNCTION("""COMPUTED_VALUE"""),16.42490895)</f>
        <v>16.42490895</v>
      </c>
      <c r="AE813" s="3">
        <f>IFERROR(__xludf.DUMMYFUNCTION("""COMPUTED_VALUE"""),102.802047)</f>
        <v>102.802047</v>
      </c>
      <c r="AF813" s="3" t="str">
        <f>IFERROR(__xludf.DUMMYFUNCTION("""COMPUTED_VALUE"""),"MBC ชลพฤกษ์-21582")</f>
        <v>MBC ชลพฤกษ์-21582</v>
      </c>
      <c r="AG813" s="3" t="str">
        <f>IFERROR(__xludf.DUMMYFUNCTION("""COMPUTED_VALUE"""),"ตะวันออกเฉียงเหนือ")</f>
        <v>ตะวันออกเฉียงเหนือ</v>
      </c>
      <c r="AH813" s="3" t="str">
        <f>IFERROR(__xludf.DUMMYFUNCTION("""COMPUTED_VALUE"""),"#N/A")</f>
        <v>#N/A</v>
      </c>
      <c r="AI813" s="3" t="str">
        <f>IFERROR(__xludf.DUMMYFUNCTION("""COMPUTED_VALUE"""),"Out of warranty")</f>
        <v>Out of warranty</v>
      </c>
      <c r="AJ813" s="3">
        <f>IFERROR(__xludf.DUMMYFUNCTION("""COMPUTED_VALUE"""),97.0)</f>
        <v>97</v>
      </c>
      <c r="AK813" s="3" t="str">
        <f>IFERROR(__xludf.DUMMYFUNCTION("""COMPUTED_VALUE"""),"MMS12")</f>
        <v>MMS12</v>
      </c>
      <c r="AL813" s="3"/>
    </row>
    <row r="814" ht="15.75" customHeight="1">
      <c r="A814" s="1" t="str">
        <f>IFERROR(__xludf.DUMMYFUNCTION("""COMPUTED_VALUE"""),"21583")</f>
        <v>21583</v>
      </c>
      <c r="B814" s="2">
        <f>IFERROR(__xludf.DUMMYFUNCTION("""COMPUTED_VALUE"""),21583.0)</f>
        <v>21583</v>
      </c>
      <c r="C814" s="3" t="str">
        <f>IFERROR(__xludf.DUMMYFUNCTION("""COMPUTED_VALUE"""),"MBC ชุมชนศรีษะละเลิง")</f>
        <v>MBC ชุมชนศรีษะละเลิง</v>
      </c>
      <c r="D814" s="3" t="str">
        <f>IFERROR(__xludf.DUMMYFUNCTION("""COMPUTED_VALUE"""),"BCM CHUMCHON SISA LALOENG")</f>
        <v>BCM CHUMCHON SISA LALOENG</v>
      </c>
      <c r="E814" s="1" t="str">
        <f>IFERROR(__xludf.DUMMYFUNCTION("""COMPUTED_VALUE"""),"บิ๊กซี MINI")</f>
        <v>บิ๊กซี MINI</v>
      </c>
      <c r="F814" s="1" t="str">
        <f>IFERROR(__xludf.DUMMYFUNCTION("""COMPUTED_VALUE"""),"291105")</f>
        <v>291105</v>
      </c>
      <c r="G814" s="1" t="str">
        <f>IFERROR(__xludf.DUMMYFUNCTION("""COMPUTED_VALUE"""),"นายสราวุฒิ พณิชยกุล")</f>
        <v>นายสราวุฒิ พณิชยกุล</v>
      </c>
      <c r="H814" s="1" t="str">
        <f>IFERROR(__xludf.DUMMYFUNCTION("""COMPUTED_VALUE"""),"392433")</f>
        <v>392433</v>
      </c>
      <c r="I814" s="1" t="str">
        <f>IFERROR(__xludf.DUMMYFUNCTION("""COMPUTED_VALUE"""),"นายพรธิวา ใจอ่อน")</f>
        <v>นายพรธิวา ใจอ่อน</v>
      </c>
      <c r="J814" s="3">
        <f>IFERROR(__xludf.DUMMYFUNCTION("""COMPUTED_VALUE"""),295886.0)</f>
        <v>295886</v>
      </c>
      <c r="K814" s="3" t="str">
        <f>IFERROR(__xludf.DUMMYFUNCTION("""COMPUTED_VALUE"""),"นายจิระพงษ์ โพธิ์นิล")</f>
        <v>นายจิระพงษ์ โพธิ์นิล</v>
      </c>
      <c r="L814" s="1" t="str">
        <f>IFERROR(__xludf.DUMMYFUNCTION("""COMPUTED_VALUE"""),"นายจิระพงษ์ โพธิ์นิล")</f>
        <v>นายจิระพงษ์ โพธิ์นิล</v>
      </c>
      <c r="M814" s="1" t="str">
        <f>IFERROR(__xludf.DUMMYFUNCTION("""COMPUTED_VALUE"""),"0933290754")</f>
        <v>0933290754</v>
      </c>
      <c r="N814" s="3">
        <f>IFERROR(__xludf.DUMMYFUNCTION("""COMPUTED_VALUE"""),21622.0)</f>
        <v>21622</v>
      </c>
      <c r="O814" s="3" t="str">
        <f>IFERROR(__xludf.DUMMYFUNCTION("""COMPUTED_VALUE"""),"MBC ตลาดบ้านดอน")</f>
        <v>MBC ตลาดบ้านดอน</v>
      </c>
      <c r="P814" s="4">
        <f>IFERROR(__xludf.DUMMYFUNCTION("""COMPUTED_VALUE"""),43096.0)</f>
        <v>43096</v>
      </c>
      <c r="Q814" s="3" t="str">
        <f>IFERROR(__xludf.DUMMYFUNCTION("""COMPUTED_VALUE"""),"I")</f>
        <v>I</v>
      </c>
      <c r="R814" s="3" t="str">
        <f>IFERROR(__xludf.DUMMYFUNCTION("""COMPUTED_VALUE"""),"Small Format")</f>
        <v>Small Format</v>
      </c>
      <c r="S814" s="3" t="str">
        <f>IFERROR(__xludf.DUMMYFUNCTION("""COMPUTED_VALUE"""),"BCM")</f>
        <v>BCM</v>
      </c>
      <c r="T814" s="3" t="str">
        <f>IFERROR(__xludf.DUMMYFUNCTION("""COMPUTED_VALUE"""),"#N/A")</f>
        <v>#N/A</v>
      </c>
      <c r="U814" s="3" t="str">
        <f>IFERROR(__xludf.DUMMYFUNCTION("""COMPUTED_VALUE"""),"#N/A")</f>
        <v>#N/A</v>
      </c>
      <c r="V814" s="3" t="str">
        <f>IFERROR(__xludf.DUMMYFUNCTION("""COMPUTED_VALUE"""),"N")</f>
        <v>N</v>
      </c>
      <c r="W814" s="3">
        <f>IFERROR(__xludf.DUMMYFUNCTION("""COMPUTED_VALUE"""),211551.0)</f>
        <v>211551</v>
      </c>
      <c r="X814" s="3" t="str">
        <f>IFERROR(__xludf.DUMMYFUNCTION("""COMPUTED_VALUE"""),"341 หมู่10 ตำบลบ้านใหม่ อำเภอเมืองนครราชสีมา จังหวัดนครราชสีมา 30000")</f>
        <v>341 หมู่10 ตำบลบ้านใหม่ อำเภอเมืองนครราชสีมา จังหวัดนครราชสีมา 30000</v>
      </c>
      <c r="Y814" s="3"/>
      <c r="Z814" s="3" t="str">
        <f>IFERROR(__xludf.DUMMYFUNCTION("""COMPUTED_VALUE"""),"บ้านใหม่")</f>
        <v>บ้านใหม่</v>
      </c>
      <c r="AA814" s="3" t="str">
        <f>IFERROR(__xludf.DUMMYFUNCTION("""COMPUTED_VALUE"""),"เมือง")</f>
        <v>เมือง</v>
      </c>
      <c r="AB814" s="3" t="str">
        <f>IFERROR(__xludf.DUMMYFUNCTION("""COMPUTED_VALUE"""),"นครราชสีมา")</f>
        <v>นครราชสีมา</v>
      </c>
      <c r="AC814" s="3">
        <f>IFERROR(__xludf.DUMMYFUNCTION("""COMPUTED_VALUE"""),30000.0)</f>
        <v>30000</v>
      </c>
      <c r="AD814" s="3">
        <f>IFERROR(__xludf.DUMMYFUNCTION("""COMPUTED_VALUE"""),14.96948)</f>
        <v>14.96948</v>
      </c>
      <c r="AE814" s="3">
        <f>IFERROR(__xludf.DUMMYFUNCTION("""COMPUTED_VALUE"""),102.03942)</f>
        <v>102.03942</v>
      </c>
      <c r="AF814" s="3" t="str">
        <f>IFERROR(__xludf.DUMMYFUNCTION("""COMPUTED_VALUE"""),"MBC ชุมชนศรีษะละเลิง-21583")</f>
        <v>MBC ชุมชนศรีษะละเลิง-21583</v>
      </c>
      <c r="AG814" s="3" t="str">
        <f>IFERROR(__xludf.DUMMYFUNCTION("""COMPUTED_VALUE"""),"ตะวันออกเฉียงเหนือ")</f>
        <v>ตะวันออกเฉียงเหนือ</v>
      </c>
      <c r="AH814" s="3" t="str">
        <f>IFERROR(__xludf.DUMMYFUNCTION("""COMPUTED_VALUE"""),"#N/A")</f>
        <v>#N/A</v>
      </c>
      <c r="AI814" s="3" t="str">
        <f>IFERROR(__xludf.DUMMYFUNCTION("""COMPUTED_VALUE"""),"Out of warranty")</f>
        <v>Out of warranty</v>
      </c>
      <c r="AJ814" s="3">
        <f>IFERROR(__xludf.DUMMYFUNCTION("""COMPUTED_VALUE"""),97.0)</f>
        <v>97</v>
      </c>
      <c r="AK814" s="3" t="str">
        <f>IFERROR(__xludf.DUMMYFUNCTION("""COMPUTED_VALUE"""),"MMS11")</f>
        <v>MMS11</v>
      </c>
      <c r="AL814" s="3"/>
    </row>
    <row r="815" ht="15.75" customHeight="1">
      <c r="A815" s="1" t="str">
        <f>IFERROR(__xludf.DUMMYFUNCTION("""COMPUTED_VALUE"""),"21584")</f>
        <v>21584</v>
      </c>
      <c r="B815" s="2">
        <f>IFERROR(__xludf.DUMMYFUNCTION("""COMPUTED_VALUE"""),21584.0)</f>
        <v>21584</v>
      </c>
      <c r="C815" s="3" t="str">
        <f>IFERROR(__xludf.DUMMYFUNCTION("""COMPUTED_VALUE"""),"MBC หนองกระทุ่ม")</f>
        <v>MBC หนองกระทุ่ม</v>
      </c>
      <c r="D815" s="3" t="str">
        <f>IFERROR(__xludf.DUMMYFUNCTION("""COMPUTED_VALUE"""),"BCM NONG KRATHUM")</f>
        <v>BCM NONG KRATHUM</v>
      </c>
      <c r="E815" s="1" t="str">
        <f>IFERROR(__xludf.DUMMYFUNCTION("""COMPUTED_VALUE"""),"บิ๊กซี MINI")</f>
        <v>บิ๊กซี MINI</v>
      </c>
      <c r="F815" s="1" t="str">
        <f>IFERROR(__xludf.DUMMYFUNCTION("""COMPUTED_VALUE"""),"291105")</f>
        <v>291105</v>
      </c>
      <c r="G815" s="1" t="str">
        <f>IFERROR(__xludf.DUMMYFUNCTION("""COMPUTED_VALUE"""),"นายสราวุฒิ พณิชยกุล")</f>
        <v>นายสราวุฒิ พณิชยกุล</v>
      </c>
      <c r="H815" s="1" t="str">
        <f>IFERROR(__xludf.DUMMYFUNCTION("""COMPUTED_VALUE"""),"281315")</f>
        <v>281315</v>
      </c>
      <c r="I815" s="1" t="str">
        <f>IFERROR(__xludf.DUMMYFUNCTION("""COMPUTED_VALUE"""),"นายกิตติพงษ์ มั่นคง")</f>
        <v>นายกิตติพงษ์ มั่นคง</v>
      </c>
      <c r="J815" s="3">
        <f>IFERROR(__xludf.DUMMYFUNCTION("""COMPUTED_VALUE"""),15361.0)</f>
        <v>15361</v>
      </c>
      <c r="K815" s="3" t="str">
        <f>IFERROR(__xludf.DUMMYFUNCTION("""COMPUTED_VALUE"""),"นายสมบูรณ์ พรหมในเมือง")</f>
        <v>นายสมบูรณ์ พรหมในเมือง</v>
      </c>
      <c r="L815" s="1" t="str">
        <f>IFERROR(__xludf.DUMMYFUNCTION("""COMPUTED_VALUE"""),"04 K.Somboon P.")</f>
        <v>04 K.Somboon P.</v>
      </c>
      <c r="M815" s="1" t="str">
        <f>IFERROR(__xludf.DUMMYFUNCTION("""COMPUTED_VALUE"""),"087-965-3051")</f>
        <v>087-965-3051</v>
      </c>
      <c r="N815" s="3">
        <f>IFERROR(__xludf.DUMMYFUNCTION("""COMPUTED_VALUE"""),21869.0)</f>
        <v>21869</v>
      </c>
      <c r="O815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815" s="4">
        <f>IFERROR(__xludf.DUMMYFUNCTION("""COMPUTED_VALUE"""),43098.0)</f>
        <v>43098</v>
      </c>
      <c r="Q815" s="3" t="str">
        <f>IFERROR(__xludf.DUMMYFUNCTION("""COMPUTED_VALUE"""),"A")</f>
        <v>A</v>
      </c>
      <c r="R815" s="3" t="str">
        <f>IFERROR(__xludf.DUMMYFUNCTION("""COMPUTED_VALUE"""),"Small Format")</f>
        <v>Small Format</v>
      </c>
      <c r="S815" s="3" t="str">
        <f>IFERROR(__xludf.DUMMYFUNCTION("""COMPUTED_VALUE"""),"BCM")</f>
        <v>BCM</v>
      </c>
      <c r="T815" s="3" t="str">
        <f>IFERROR(__xludf.DUMMYFUNCTION("""COMPUTED_VALUE"""),"#N/A")</f>
        <v>#N/A</v>
      </c>
      <c r="U815" s="3" t="str">
        <f>IFERROR(__xludf.DUMMYFUNCTION("""COMPUTED_VALUE"""),"#N/A")</f>
        <v>#N/A</v>
      </c>
      <c r="V815" s="3" t="str">
        <f>IFERROR(__xludf.DUMMYFUNCTION("""COMPUTED_VALUE"""),"N")</f>
        <v>N</v>
      </c>
      <c r="W815" s="3">
        <f>IFERROR(__xludf.DUMMYFUNCTION("""COMPUTED_VALUE"""),211664.0)</f>
        <v>211664</v>
      </c>
      <c r="X815" s="3" t="str">
        <f>IFERROR(__xludf.DUMMYFUNCTION("""COMPUTED_VALUE"""),"518 หมู่2 ตำบลหนองกระทุ่ม อำเภอเมืองนครราชสีมา จังหวัดนครราชสีมา 30000")</f>
        <v>518 หมู่2 ตำบลหนองกระทุ่ม อำเภอเมืองนครราชสีมา จังหวัดนครราชสีมา 30000</v>
      </c>
      <c r="Y815" s="3"/>
      <c r="Z815" s="3" t="str">
        <f>IFERROR(__xludf.DUMMYFUNCTION("""COMPUTED_VALUE"""),"หนองกระทุ่ม")</f>
        <v>หนองกระทุ่ม</v>
      </c>
      <c r="AA815" s="3" t="str">
        <f>IFERROR(__xludf.DUMMYFUNCTION("""COMPUTED_VALUE"""),"เมือง")</f>
        <v>เมือง</v>
      </c>
      <c r="AB815" s="3" t="str">
        <f>IFERROR(__xludf.DUMMYFUNCTION("""COMPUTED_VALUE"""),"นครราชสีมา")</f>
        <v>นครราชสีมา</v>
      </c>
      <c r="AC815" s="3">
        <f>IFERROR(__xludf.DUMMYFUNCTION("""COMPUTED_VALUE"""),30000.0)</f>
        <v>30000</v>
      </c>
      <c r="AD815" s="3">
        <f>IFERROR(__xludf.DUMMYFUNCTION("""COMPUTED_VALUE"""),14.998682)</f>
        <v>14.998682</v>
      </c>
      <c r="AE815" s="3">
        <f>IFERROR(__xludf.DUMMYFUNCTION("""COMPUTED_VALUE"""),102.089685)</f>
        <v>102.089685</v>
      </c>
      <c r="AF815" s="3" t="str">
        <f>IFERROR(__xludf.DUMMYFUNCTION("""COMPUTED_VALUE"""),"MBC หนองกระทุ่ม-21584")</f>
        <v>MBC หนองกระทุ่ม-21584</v>
      </c>
      <c r="AG815" s="3" t="str">
        <f>IFERROR(__xludf.DUMMYFUNCTION("""COMPUTED_VALUE"""),"ตะวันออกเฉียงเหนือ")</f>
        <v>ตะวันออกเฉียงเหนือ</v>
      </c>
      <c r="AH815" s="3" t="str">
        <f>IFERROR(__xludf.DUMMYFUNCTION("""COMPUTED_VALUE"""),"#N/A")</f>
        <v>#N/A</v>
      </c>
      <c r="AI815" s="3" t="str">
        <f>IFERROR(__xludf.DUMMYFUNCTION("""COMPUTED_VALUE"""),"Out of warranty")</f>
        <v>Out of warranty</v>
      </c>
      <c r="AJ815" s="3">
        <f>IFERROR(__xludf.DUMMYFUNCTION("""COMPUTED_VALUE"""),97.0)</f>
        <v>97</v>
      </c>
      <c r="AK815" s="3" t="str">
        <f>IFERROR(__xludf.DUMMYFUNCTION("""COMPUTED_VALUE"""),"MMS11")</f>
        <v>MMS11</v>
      </c>
      <c r="AL815" s="3"/>
    </row>
    <row r="816" ht="15.75" customHeight="1">
      <c r="A816" s="1" t="str">
        <f>IFERROR(__xludf.DUMMYFUNCTION("""COMPUTED_VALUE"""),"21585")</f>
        <v>21585</v>
      </c>
      <c r="B816" s="2">
        <f>IFERROR(__xludf.DUMMYFUNCTION("""COMPUTED_VALUE"""),21585.0)</f>
        <v>21585</v>
      </c>
      <c r="C816" s="3" t="str">
        <f>IFERROR(__xludf.DUMMYFUNCTION("""COMPUTED_VALUE"""),"MBC บางทราย 2")</f>
        <v>MBC บางทราย 2</v>
      </c>
      <c r="D816" s="3" t="str">
        <f>IFERROR(__xludf.DUMMYFUNCTION("""COMPUTED_VALUE"""),"BCM BANGSAI 2")</f>
        <v>BCM BANGSAI 2</v>
      </c>
      <c r="E816" s="1" t="str">
        <f>IFERROR(__xludf.DUMMYFUNCTION("""COMPUTED_VALUE"""),"บิ๊กซี MINI")</f>
        <v>บิ๊กซี MINI</v>
      </c>
      <c r="F816" s="1" t="str">
        <f>IFERROR(__xludf.DUMMYFUNCTION("""COMPUTED_VALUE"""),"221716")</f>
        <v>221716</v>
      </c>
      <c r="G816" s="1" t="str">
        <f>IFERROR(__xludf.DUMMYFUNCTION("""COMPUTED_VALUE"""),"น.ส.เบญจพร โพธิสาร")</f>
        <v>น.ส.เบญจพร โพธิสาร</v>
      </c>
      <c r="H816" s="1" t="str">
        <f>IFERROR(__xludf.DUMMYFUNCTION("""COMPUTED_VALUE"""),"034605")</f>
        <v>034605</v>
      </c>
      <c r="I816" s="1" t="str">
        <f>IFERROR(__xludf.DUMMYFUNCTION("""COMPUTED_VALUE"""),"นายธรรมรัตน์ สุขเจริญ")</f>
        <v>นายธรรมรัตน์ สุขเจริญ</v>
      </c>
      <c r="J816" s="3">
        <f>IFERROR(__xludf.DUMMYFUNCTION("""COMPUTED_VALUE"""),1.3461215E7)</f>
        <v>13461215</v>
      </c>
      <c r="K816" s="3" t="str">
        <f>IFERROR(__xludf.DUMMYFUNCTION("""COMPUTED_VALUE"""),"นายธีรภัทร สังข์เงิน")</f>
        <v>นายธีรภัทร สังข์เงิน</v>
      </c>
      <c r="L816" s="1" t="str">
        <f>IFERROR(__xludf.DUMMYFUNCTION("""COMPUTED_VALUE"""),"06 K.Teerapat")</f>
        <v>06 K.Teerapat</v>
      </c>
      <c r="M816" s="1" t="str">
        <f>IFERROR(__xludf.DUMMYFUNCTION("""COMPUTED_VALUE"""),"063-601-6803")</f>
        <v>063-601-6803</v>
      </c>
      <c r="N816" s="3">
        <f>IFERROR(__xludf.DUMMYFUNCTION("""COMPUTED_VALUE"""),22115.0)</f>
        <v>22115</v>
      </c>
      <c r="O816" s="3" t="str">
        <f>IFERROR(__xludf.DUMMYFUNCTION("""COMPUTED_VALUE"""),"MBC เลี่ยงหนองมน ชลบุรี")</f>
        <v>MBC เลี่ยงหนองมน ชลบุรี</v>
      </c>
      <c r="P816" s="4">
        <f>IFERROR(__xludf.DUMMYFUNCTION("""COMPUTED_VALUE"""),43098.0)</f>
        <v>43098</v>
      </c>
      <c r="Q816" s="3" t="str">
        <f>IFERROR(__xludf.DUMMYFUNCTION("""COMPUTED_VALUE"""),"A")</f>
        <v>A</v>
      </c>
      <c r="R816" s="3" t="str">
        <f>IFERROR(__xludf.DUMMYFUNCTION("""COMPUTED_VALUE"""),"Small Format")</f>
        <v>Small Format</v>
      </c>
      <c r="S816" s="3" t="str">
        <f>IFERROR(__xludf.DUMMYFUNCTION("""COMPUTED_VALUE"""),"BCM")</f>
        <v>BCM</v>
      </c>
      <c r="T816" s="3" t="str">
        <f>IFERROR(__xludf.DUMMYFUNCTION("""COMPUTED_VALUE"""),"#N/A")</f>
        <v>#N/A</v>
      </c>
      <c r="U816" s="3" t="str">
        <f>IFERROR(__xludf.DUMMYFUNCTION("""COMPUTED_VALUE"""),"#N/A")</f>
        <v>#N/A</v>
      </c>
      <c r="V816" s="3" t="str">
        <f>IFERROR(__xludf.DUMMYFUNCTION("""COMPUTED_VALUE"""),"N")</f>
        <v>N</v>
      </c>
      <c r="W816" s="3">
        <f>IFERROR(__xludf.DUMMYFUNCTION("""COMPUTED_VALUE"""),211663.0)</f>
        <v>211663</v>
      </c>
      <c r="X816" s="3" t="str">
        <f>IFERROR(__xludf.DUMMYFUNCTION("""COMPUTED_VALUE"""),"171/31-33 หมู่6 ตำบลบางทราย อำเภอเมืองชลบุรี จังหวัดชลบุรี 20000")</f>
        <v>171/31-33 หมู่6 ตำบลบางทราย อำเภอเมืองชลบุรี จังหวัดชลบุรี 20000</v>
      </c>
      <c r="Y816" s="3"/>
      <c r="Z816" s="3" t="str">
        <f>IFERROR(__xludf.DUMMYFUNCTION("""COMPUTED_VALUE"""),"บางทราย")</f>
        <v>บางทราย</v>
      </c>
      <c r="AA816" s="3" t="str">
        <f>IFERROR(__xludf.DUMMYFUNCTION("""COMPUTED_VALUE"""),"เมือง")</f>
        <v>เมือง</v>
      </c>
      <c r="AB816" s="3" t="str">
        <f>IFERROR(__xludf.DUMMYFUNCTION("""COMPUTED_VALUE"""),"ชลบุรี")</f>
        <v>ชลบุรี</v>
      </c>
      <c r="AC816" s="3">
        <f>IFERROR(__xludf.DUMMYFUNCTION("""COMPUTED_VALUE"""),20000.0)</f>
        <v>20000</v>
      </c>
      <c r="AD816" s="3">
        <f>IFERROR(__xludf.DUMMYFUNCTION("""COMPUTED_VALUE"""),13.396329)</f>
        <v>13.396329</v>
      </c>
      <c r="AE816" s="3">
        <f>IFERROR(__xludf.DUMMYFUNCTION("""COMPUTED_VALUE"""),100.986012)</f>
        <v>100.986012</v>
      </c>
      <c r="AF816" s="3" t="str">
        <f>IFERROR(__xludf.DUMMYFUNCTION("""COMPUTED_VALUE"""),"MBC บางทราย 2-21585")</f>
        <v>MBC บางทราย 2-21585</v>
      </c>
      <c r="AG816" s="3" t="str">
        <f>IFERROR(__xludf.DUMMYFUNCTION("""COMPUTED_VALUE"""),"ตะวันออก")</f>
        <v>ตะวันออก</v>
      </c>
      <c r="AH816" s="3" t="str">
        <f>IFERROR(__xludf.DUMMYFUNCTION("""COMPUTED_VALUE"""),"#N/A")</f>
        <v>#N/A</v>
      </c>
      <c r="AI816" s="3" t="str">
        <f>IFERROR(__xludf.DUMMYFUNCTION("""COMPUTED_VALUE"""),"Out of warranty")</f>
        <v>Out of warranty</v>
      </c>
      <c r="AJ816" s="3">
        <f>IFERROR(__xludf.DUMMYFUNCTION("""COMPUTED_VALUE"""),97.0)</f>
        <v>97</v>
      </c>
      <c r="AK816" s="3" t="str">
        <f>IFERROR(__xludf.DUMMYFUNCTION("""COMPUTED_VALUE"""),"MMS06")</f>
        <v>MMS06</v>
      </c>
      <c r="AL816" s="3"/>
    </row>
    <row r="817" ht="15.75" customHeight="1">
      <c r="A817" s="1" t="str">
        <f>IFERROR(__xludf.DUMMYFUNCTION("""COMPUTED_VALUE"""),"21586")</f>
        <v>21586</v>
      </c>
      <c r="B817" s="2">
        <f>IFERROR(__xludf.DUMMYFUNCTION("""COMPUTED_VALUE"""),21586.0)</f>
        <v>21586</v>
      </c>
      <c r="C817" s="3" t="str">
        <f>IFERROR(__xludf.DUMMYFUNCTION("""COMPUTED_VALUE"""),"MBC ถนนเจริญเมือง")</f>
        <v>MBC ถนนเจริญเมือง</v>
      </c>
      <c r="D817" s="3" t="str">
        <f>IFERROR(__xludf.DUMMYFUNCTION("""COMPUTED_VALUE"""),"BCM THANON CHAROEN MUANG")</f>
        <v>BCM THANON CHAROEN MUANG</v>
      </c>
      <c r="E817" s="1" t="str">
        <f>IFERROR(__xludf.DUMMYFUNCTION("""COMPUTED_VALUE"""),"บิ๊กซี MINI")</f>
        <v>บิ๊กซี MINI</v>
      </c>
      <c r="F817" s="1" t="str">
        <f>IFERROR(__xludf.DUMMYFUNCTION("""COMPUTED_VALUE"""),"296229")</f>
        <v>296229</v>
      </c>
      <c r="G817" s="1" t="str">
        <f>IFERROR(__xludf.DUMMYFUNCTION("""COMPUTED_VALUE"""),"นายทนงศักดิ์ บุญมา")</f>
        <v>นายทนงศักดิ์ บุญมา</v>
      </c>
      <c r="H817" s="1" t="str">
        <f>IFERROR(__xludf.DUMMYFUNCTION("""COMPUTED_VALUE"""),"393402")</f>
        <v>393402</v>
      </c>
      <c r="I817" s="1" t="str">
        <f>IFERROR(__xludf.DUMMYFUNCTION("""COMPUTED_VALUE"""),"น.ส.ปารมิตา ใจตรง")</f>
        <v>น.ส.ปารมิตา ใจตรง</v>
      </c>
      <c r="J817" s="3">
        <f>IFERROR(__xludf.DUMMYFUNCTION("""COMPUTED_VALUE"""),2010016.0)</f>
        <v>2010016</v>
      </c>
      <c r="K817" s="3" t="str">
        <f>IFERROR(__xludf.DUMMYFUNCTION("""COMPUTED_VALUE"""),"นายตวงธรรม ใหม่ยศ")</f>
        <v>นายตวงธรรม ใหม่ยศ</v>
      </c>
      <c r="L817" s="1" t="str">
        <f>IFERROR(__xludf.DUMMYFUNCTION("""COMPUTED_VALUE"""),"01 K.Tuangtham M.")</f>
        <v>01 K.Tuangtham M.</v>
      </c>
      <c r="M817" s="1" t="str">
        <f>IFERROR(__xludf.DUMMYFUNCTION("""COMPUTED_VALUE"""),"063-976-595")</f>
        <v>063-976-595</v>
      </c>
      <c r="N817" s="3">
        <f>IFERROR(__xludf.DUMMYFUNCTION("""COMPUTED_VALUE"""),22574.0)</f>
        <v>22574</v>
      </c>
      <c r="O817" s="3" t="str">
        <f>IFERROR(__xludf.DUMMYFUNCTION("""COMPUTED_VALUE"""),"BCM ชุมชนศรีชุม ลำปาง")</f>
        <v>BCM ชุมชนศรีชุม ลำปาง</v>
      </c>
      <c r="P817" s="4">
        <f>IFERROR(__xludf.DUMMYFUNCTION("""COMPUTED_VALUE"""),43312.0)</f>
        <v>43312</v>
      </c>
      <c r="Q817" s="3" t="str">
        <f>IFERROR(__xludf.DUMMYFUNCTION("""COMPUTED_VALUE"""),"A")</f>
        <v>A</v>
      </c>
      <c r="R817" s="3" t="str">
        <f>IFERROR(__xludf.DUMMYFUNCTION("""COMPUTED_VALUE"""),"Small Format")</f>
        <v>Small Format</v>
      </c>
      <c r="S817" s="3" t="str">
        <f>IFERROR(__xludf.DUMMYFUNCTION("""COMPUTED_VALUE"""),"BCM")</f>
        <v>BCM</v>
      </c>
      <c r="T817" s="3" t="str">
        <f>IFERROR(__xludf.DUMMYFUNCTION("""COMPUTED_VALUE"""),"#N/A")</f>
        <v>#N/A</v>
      </c>
      <c r="U817" s="3" t="str">
        <f>IFERROR(__xludf.DUMMYFUNCTION("""COMPUTED_VALUE"""),"#N/A")</f>
        <v>#N/A</v>
      </c>
      <c r="V817" s="3" t="str">
        <f>IFERROR(__xludf.DUMMYFUNCTION("""COMPUTED_VALUE"""),"N")</f>
        <v>N</v>
      </c>
      <c r="W817" s="3">
        <f>IFERROR(__xludf.DUMMYFUNCTION("""COMPUTED_VALUE"""),211661.0)</f>
        <v>211661</v>
      </c>
      <c r="X817" s="3" t="str">
        <f>IFERROR(__xludf.DUMMYFUNCTION("""COMPUTED_VALUE"""),"212,214,216 ถนนเจริญเมือง ตำบลวัดเกต อำเภอเมืองเชียงใหม่ จังหวัดเชียงใหม่ 50000")</f>
        <v>212,214,216 ถนนเจริญเมือง ตำบลวัดเกต อำเภอเมืองเชียงใหม่ จังหวัดเชียงใหม่ 50000</v>
      </c>
      <c r="Y817" s="3" t="str">
        <f>IFERROR(__xludf.DUMMYFUNCTION("""COMPUTED_VALUE"""),"ถนนเจริญเมือง")</f>
        <v>ถนนเจริญเมือง</v>
      </c>
      <c r="Z817" s="3" t="str">
        <f>IFERROR(__xludf.DUMMYFUNCTION("""COMPUTED_VALUE"""),"วัดเกต")</f>
        <v>วัดเกต</v>
      </c>
      <c r="AA817" s="3" t="str">
        <f>IFERROR(__xludf.DUMMYFUNCTION("""COMPUTED_VALUE"""),"เมือง")</f>
        <v>เมือง</v>
      </c>
      <c r="AB817" s="3" t="str">
        <f>IFERROR(__xludf.DUMMYFUNCTION("""COMPUTED_VALUE"""),"เชียงใหม่")</f>
        <v>เชียงใหม่</v>
      </c>
      <c r="AC817" s="3">
        <f>IFERROR(__xludf.DUMMYFUNCTION("""COMPUTED_VALUE"""),50000.0)</f>
        <v>50000</v>
      </c>
      <c r="AD817" s="3">
        <f>IFERROR(__xludf.DUMMYFUNCTION("""COMPUTED_VALUE"""),18.78683)</f>
        <v>18.78683</v>
      </c>
      <c r="AE817" s="3">
        <f>IFERROR(__xludf.DUMMYFUNCTION("""COMPUTED_VALUE"""),99.009232)</f>
        <v>99.009232</v>
      </c>
      <c r="AF817" s="3" t="str">
        <f>IFERROR(__xludf.DUMMYFUNCTION("""COMPUTED_VALUE"""),"MBC ถนนเจริญเมือง-21586")</f>
        <v>MBC ถนนเจริญเมือง-21586</v>
      </c>
      <c r="AG817" s="3" t="str">
        <f>IFERROR(__xludf.DUMMYFUNCTION("""COMPUTED_VALUE"""),"เหนือ")</f>
        <v>เหนือ</v>
      </c>
      <c r="AH817" s="3" t="str">
        <f>IFERROR(__xludf.DUMMYFUNCTION("""COMPUTED_VALUE"""),"#N/A")</f>
        <v>#N/A</v>
      </c>
      <c r="AI817" s="3" t="str">
        <f>IFERROR(__xludf.DUMMYFUNCTION("""COMPUTED_VALUE"""),"Out of warranty")</f>
        <v>Out of warranty</v>
      </c>
      <c r="AJ817" s="3">
        <f>IFERROR(__xludf.DUMMYFUNCTION("""COMPUTED_VALUE"""),90.0)</f>
        <v>90</v>
      </c>
      <c r="AK817" s="3" t="str">
        <f>IFERROR(__xludf.DUMMYFUNCTION("""COMPUTED_VALUE"""),"MMS10")</f>
        <v>MMS10</v>
      </c>
      <c r="AL817" s="3"/>
    </row>
    <row r="818" ht="15.75" customHeight="1">
      <c r="A818" s="1" t="str">
        <f>IFERROR(__xludf.DUMMYFUNCTION("""COMPUTED_VALUE"""),"21587")</f>
        <v>21587</v>
      </c>
      <c r="B818" s="2">
        <f>IFERROR(__xludf.DUMMYFUNCTION("""COMPUTED_VALUE"""),21587.0)</f>
        <v>21587</v>
      </c>
      <c r="C818" s="3" t="str">
        <f>IFERROR(__xludf.DUMMYFUNCTION("""COMPUTED_VALUE"""),"MBC หมู่บ้านโฮมการ์เด้น วิลล์ 2")</f>
        <v>MBC หมู่บ้านโฮมการ์เด้น วิลล์ 2</v>
      </c>
      <c r="D818" s="3" t="str">
        <f>IFERROR(__xludf.DUMMYFUNCTION("""COMPUTED_VALUE"""),"BCM HOME GARDEN VILLE2 VILLAGE")</f>
        <v>BCM HOME GARDEN VILLE2 VILLAGE</v>
      </c>
      <c r="E818" s="1" t="str">
        <f>IFERROR(__xludf.DUMMYFUNCTION("""COMPUTED_VALUE"""),"บิ๊กซี MINI")</f>
        <v>บิ๊กซี MINI</v>
      </c>
      <c r="F818" s="1" t="str">
        <f>IFERROR(__xludf.DUMMYFUNCTION("""COMPUTED_VALUE"""),"291105")</f>
        <v>291105</v>
      </c>
      <c r="G818" s="1" t="str">
        <f>IFERROR(__xludf.DUMMYFUNCTION("""COMPUTED_VALUE"""),"นายสราวุฒิ พณิชยกุล")</f>
        <v>นายสราวุฒิ พณิชยกุล</v>
      </c>
      <c r="H818" s="1" t="str">
        <f>IFERROR(__xludf.DUMMYFUNCTION("""COMPUTED_VALUE"""),"281315")</f>
        <v>281315</v>
      </c>
      <c r="I818" s="1" t="str">
        <f>IFERROR(__xludf.DUMMYFUNCTION("""COMPUTED_VALUE"""),"นายกิตติพงษ์ มั่นคง")</f>
        <v>นายกิตติพงษ์ มั่นคง</v>
      </c>
      <c r="J818" s="3">
        <f>IFERROR(__xludf.DUMMYFUNCTION("""COMPUTED_VALUE"""),15361.0)</f>
        <v>15361</v>
      </c>
      <c r="K818" s="3" t="str">
        <f>IFERROR(__xludf.DUMMYFUNCTION("""COMPUTED_VALUE"""),"นายสมบูรณ์ พรหมในเมือง")</f>
        <v>นายสมบูรณ์ พรหมในเมือง</v>
      </c>
      <c r="L818" s="3" t="str">
        <f>IFERROR(__xludf.DUMMYFUNCTION("""COMPUTED_VALUE"""),"04 K.Somboon P.")</f>
        <v>04 K.Somboon P.</v>
      </c>
      <c r="M818" s="1" t="str">
        <f>IFERROR(__xludf.DUMMYFUNCTION("""COMPUTED_VALUE"""),"087-965-3051")</f>
        <v>087-965-3051</v>
      </c>
      <c r="N818" s="3">
        <f>IFERROR(__xludf.DUMMYFUNCTION("""COMPUTED_VALUE"""),21869.0)</f>
        <v>21869</v>
      </c>
      <c r="O818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818" s="4">
        <f>IFERROR(__xludf.DUMMYFUNCTION("""COMPUTED_VALUE"""),43140.0)</f>
        <v>43140</v>
      </c>
      <c r="Q818" s="3" t="str">
        <f>IFERROR(__xludf.DUMMYFUNCTION("""COMPUTED_VALUE"""),"A")</f>
        <v>A</v>
      </c>
      <c r="R818" s="3" t="str">
        <f>IFERROR(__xludf.DUMMYFUNCTION("""COMPUTED_VALUE"""),"Small Format")</f>
        <v>Small Format</v>
      </c>
      <c r="S818" s="3" t="str">
        <f>IFERROR(__xludf.DUMMYFUNCTION("""COMPUTED_VALUE"""),"BCM")</f>
        <v>BCM</v>
      </c>
      <c r="T818" s="3" t="str">
        <f>IFERROR(__xludf.DUMMYFUNCTION("""COMPUTED_VALUE"""),"#N/A")</f>
        <v>#N/A</v>
      </c>
      <c r="U818" s="3" t="str">
        <f>IFERROR(__xludf.DUMMYFUNCTION("""COMPUTED_VALUE"""),"#N/A")</f>
        <v>#N/A</v>
      </c>
      <c r="V818" s="3" t="str">
        <f>IFERROR(__xludf.DUMMYFUNCTION("""COMPUTED_VALUE"""),"N")</f>
        <v>N</v>
      </c>
      <c r="W818" s="3">
        <f>IFERROR(__xludf.DUMMYFUNCTION("""COMPUTED_VALUE"""),211476.0)</f>
        <v>211476</v>
      </c>
      <c r="X818" s="3" t="str">
        <f>IFERROR(__xludf.DUMMYFUNCTION("""COMPUTED_VALUE"""),"837 หมู่2 ตำบลสุรนารี อำเภอเมืองนครราชสีมา จังหวัดนครราชสีมา 30000")</f>
        <v>837 หมู่2 ตำบลสุรนารี อำเภอเมืองนครราชสีมา จังหวัดนครราชสีมา 30000</v>
      </c>
      <c r="Y818" s="3"/>
      <c r="Z818" s="3" t="str">
        <f>IFERROR(__xludf.DUMMYFUNCTION("""COMPUTED_VALUE"""),"สุรนารี")</f>
        <v>สุรนารี</v>
      </c>
      <c r="AA818" s="3" t="str">
        <f>IFERROR(__xludf.DUMMYFUNCTION("""COMPUTED_VALUE"""),"เมือง")</f>
        <v>เมือง</v>
      </c>
      <c r="AB818" s="3" t="str">
        <f>IFERROR(__xludf.DUMMYFUNCTION("""COMPUTED_VALUE"""),"นครราชสีมา")</f>
        <v>นครราชสีมา</v>
      </c>
      <c r="AC818" s="3">
        <f>IFERROR(__xludf.DUMMYFUNCTION("""COMPUTED_VALUE"""),30000.0)</f>
        <v>30000</v>
      </c>
      <c r="AD818" s="3">
        <f>IFERROR(__xludf.DUMMYFUNCTION("""COMPUTED_VALUE"""),14.938665)</f>
        <v>14.938665</v>
      </c>
      <c r="AE818" s="3">
        <f>IFERROR(__xludf.DUMMYFUNCTION("""COMPUTED_VALUE"""),102.022802)</f>
        <v>102.022802</v>
      </c>
      <c r="AF818" s="3" t="str">
        <f>IFERROR(__xludf.DUMMYFUNCTION("""COMPUTED_VALUE"""),"MBC หมู่บ้านโฮมการ์เด้น วิลล์ 2-21587")</f>
        <v>MBC หมู่บ้านโฮมการ์เด้น วิลล์ 2-21587</v>
      </c>
      <c r="AG818" s="3" t="str">
        <f>IFERROR(__xludf.DUMMYFUNCTION("""COMPUTED_VALUE"""),"ตะวันออกเฉียงเหนือ")</f>
        <v>ตะวันออกเฉียงเหนือ</v>
      </c>
      <c r="AH818" s="3" t="str">
        <f>IFERROR(__xludf.DUMMYFUNCTION("""COMPUTED_VALUE"""),"#N/A")</f>
        <v>#N/A</v>
      </c>
      <c r="AI818" s="3" t="str">
        <f>IFERROR(__xludf.DUMMYFUNCTION("""COMPUTED_VALUE"""),"Out of warranty")</f>
        <v>Out of warranty</v>
      </c>
      <c r="AJ818" s="3">
        <f>IFERROR(__xludf.DUMMYFUNCTION("""COMPUTED_VALUE"""),96.0)</f>
        <v>96</v>
      </c>
      <c r="AK818" s="3" t="str">
        <f>IFERROR(__xludf.DUMMYFUNCTION("""COMPUTED_VALUE"""),"MMS11")</f>
        <v>MMS11</v>
      </c>
      <c r="AL818" s="3"/>
    </row>
    <row r="819" ht="15.75" customHeight="1">
      <c r="A819" s="1" t="str">
        <f>IFERROR(__xludf.DUMMYFUNCTION("""COMPUTED_VALUE"""),"21588")</f>
        <v>21588</v>
      </c>
      <c r="B819" s="2">
        <f>IFERROR(__xludf.DUMMYFUNCTION("""COMPUTED_VALUE"""),21588.0)</f>
        <v>21588</v>
      </c>
      <c r="C819" s="3" t="str">
        <f>IFERROR(__xludf.DUMMYFUNCTION("""COMPUTED_VALUE"""),"MBC ถนนคลองเรียน 2 ซอย 2 หาดใหญ่")</f>
        <v>MBC ถนนคลองเรียน 2 ซอย 2 หาดใหญ่</v>
      </c>
      <c r="D819" s="3" t="str">
        <f>IFERROR(__xludf.DUMMYFUNCTION("""COMPUTED_VALUE"""),"BCM KLONG RIEN2 SOI2, HATYAI")</f>
        <v>BCM KLONG RIEN2 SOI2, HATYAI</v>
      </c>
      <c r="E819" s="1" t="str">
        <f>IFERROR(__xludf.DUMMYFUNCTION("""COMPUTED_VALUE"""),"บิ๊กซี MINI")</f>
        <v>บิ๊กซี MINI</v>
      </c>
      <c r="F819" s="1" t="str">
        <f>IFERROR(__xludf.DUMMYFUNCTION("""COMPUTED_VALUE"""),"250760")</f>
        <v>250760</v>
      </c>
      <c r="G819" s="1" t="str">
        <f>IFERROR(__xludf.DUMMYFUNCTION("""COMPUTED_VALUE"""),"นายประทวน สาราบรรณ์")</f>
        <v>นายประทวน สาราบรรณ์</v>
      </c>
      <c r="H819" s="1" t="str">
        <f>IFERROR(__xludf.DUMMYFUNCTION("""COMPUTED_VALUE"""),"394100")</f>
        <v>394100</v>
      </c>
      <c r="I819" s="1" t="str">
        <f>IFERROR(__xludf.DUMMYFUNCTION("""COMPUTED_VALUE"""),"นายไพโรจน์ ถิระผะลิกะ")</f>
        <v>นายไพโรจน์ ถิระผะลิกะ</v>
      </c>
      <c r="J819" s="3">
        <f>IFERROR(__xludf.DUMMYFUNCTION("""COMPUTED_VALUE"""),2.0470331E7)</f>
        <v>20470331</v>
      </c>
      <c r="K819" s="3" t="str">
        <f>IFERROR(__xludf.DUMMYFUNCTION("""COMPUTED_VALUE"""),"นายสมชาย ลักษณะสุวรรณ")</f>
        <v>นายสมชาย ลักษณะสุวรรณ</v>
      </c>
      <c r="L819" s="1" t="str">
        <f>IFERROR(__xludf.DUMMYFUNCTION("""COMPUTED_VALUE"""),"15 K.Somchai L")</f>
        <v>15 K.Somchai L</v>
      </c>
      <c r="M819" s="1" t="str">
        <f>IFERROR(__xludf.DUMMYFUNCTION("""COMPUTED_VALUE"""),"0655107372")</f>
        <v>0655107372</v>
      </c>
      <c r="N819" s="3">
        <f>IFERROR(__xludf.DUMMYFUNCTION("""COMPUTED_VALUE"""),21723.0)</f>
        <v>21723</v>
      </c>
      <c r="O819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819" s="4">
        <f>IFERROR(__xludf.DUMMYFUNCTION("""COMPUTED_VALUE"""),43118.0)</f>
        <v>43118</v>
      </c>
      <c r="Q819" s="3" t="str">
        <f>IFERROR(__xludf.DUMMYFUNCTION("""COMPUTED_VALUE"""),"A")</f>
        <v>A</v>
      </c>
      <c r="R819" s="3" t="str">
        <f>IFERROR(__xludf.DUMMYFUNCTION("""COMPUTED_VALUE"""),"Small Format")</f>
        <v>Small Format</v>
      </c>
      <c r="S819" s="3" t="str">
        <f>IFERROR(__xludf.DUMMYFUNCTION("""COMPUTED_VALUE"""),"BCM")</f>
        <v>BCM</v>
      </c>
      <c r="T819" s="3" t="str">
        <f>IFERROR(__xludf.DUMMYFUNCTION("""COMPUTED_VALUE"""),"#N/A")</f>
        <v>#N/A</v>
      </c>
      <c r="U819" s="3" t="str">
        <f>IFERROR(__xludf.DUMMYFUNCTION("""COMPUTED_VALUE"""),"#N/A")</f>
        <v>#N/A</v>
      </c>
      <c r="V819" s="3" t="str">
        <f>IFERROR(__xludf.DUMMYFUNCTION("""COMPUTED_VALUE"""),"N")</f>
        <v>N</v>
      </c>
      <c r="W819" s="3">
        <f>IFERROR(__xludf.DUMMYFUNCTION("""COMPUTED_VALUE"""),211668.0)</f>
        <v>211668</v>
      </c>
      <c r="X819" s="3" t="str">
        <f>IFERROR(__xludf.DUMMYFUNCTION("""COMPUTED_VALUE"""),"1 ซอย2 (คลองเรียน 2) ตำบลหาดใหญ่ อำเภอหาดใหญ่ จังหวัดสงขลา 90110")</f>
        <v>1 ซอย2 (คลองเรียน 2) ตำบลหาดใหญ่ อำเภอหาดใหญ่ จังหวัดสงขลา 90110</v>
      </c>
      <c r="Y819" s="3" t="str">
        <f>IFERROR(__xludf.DUMMYFUNCTION("""COMPUTED_VALUE"""),"ซอย2")</f>
        <v>ซอย2</v>
      </c>
      <c r="Z819" s="3" t="str">
        <f>IFERROR(__xludf.DUMMYFUNCTION("""COMPUTED_VALUE"""),"หาดใหญ่")</f>
        <v>หาดใหญ่</v>
      </c>
      <c r="AA819" s="3" t="str">
        <f>IFERROR(__xludf.DUMMYFUNCTION("""COMPUTED_VALUE"""),"หาดใหญ่")</f>
        <v>หาดใหญ่</v>
      </c>
      <c r="AB819" s="3" t="str">
        <f>IFERROR(__xludf.DUMMYFUNCTION("""COMPUTED_VALUE"""),"สงขลา")</f>
        <v>สงขลา</v>
      </c>
      <c r="AC819" s="3">
        <f>IFERROR(__xludf.DUMMYFUNCTION("""COMPUTED_VALUE"""),90110.0)</f>
        <v>90110</v>
      </c>
      <c r="AD819" s="3">
        <f>IFERROR(__xludf.DUMMYFUNCTION("""COMPUTED_VALUE"""),7.000352)</f>
        <v>7.000352</v>
      </c>
      <c r="AE819" s="3">
        <f>IFERROR(__xludf.DUMMYFUNCTION("""COMPUTED_VALUE"""),100.484395)</f>
        <v>100.484395</v>
      </c>
      <c r="AF819" s="3" t="str">
        <f>IFERROR(__xludf.DUMMYFUNCTION("""COMPUTED_VALUE"""),"MBC ถนนคลองเรียน 2 ซอย 2 หาดใหญ่-21588")</f>
        <v>MBC ถนนคลองเรียน 2 ซอย 2 หาดใหญ่-21588</v>
      </c>
      <c r="AG819" s="3" t="str">
        <f>IFERROR(__xludf.DUMMYFUNCTION("""COMPUTED_VALUE"""),"ใต้")</f>
        <v>ใต้</v>
      </c>
      <c r="AH819" s="3" t="str">
        <f>IFERROR(__xludf.DUMMYFUNCTION("""COMPUTED_VALUE"""),"#N/A")</f>
        <v>#N/A</v>
      </c>
      <c r="AI819" s="3" t="str">
        <f>IFERROR(__xludf.DUMMYFUNCTION("""COMPUTED_VALUE"""),"Out of warranty")</f>
        <v>Out of warranty</v>
      </c>
      <c r="AJ819" s="3">
        <f>IFERROR(__xludf.DUMMYFUNCTION("""COMPUTED_VALUE"""),97.0)</f>
        <v>97</v>
      </c>
      <c r="AK819" s="3" t="str">
        <f>IFERROR(__xludf.DUMMYFUNCTION("""COMPUTED_VALUE"""),"MMS16")</f>
        <v>MMS16</v>
      </c>
      <c r="AL819" s="3"/>
    </row>
    <row r="820" ht="15.75" customHeight="1">
      <c r="A820" s="1" t="str">
        <f>IFERROR(__xludf.DUMMYFUNCTION("""COMPUTED_VALUE"""),"21589")</f>
        <v>21589</v>
      </c>
      <c r="B820" s="2">
        <f>IFERROR(__xludf.DUMMYFUNCTION("""COMPUTED_VALUE"""),21589.0)</f>
        <v>21589</v>
      </c>
      <c r="C820" s="3" t="str">
        <f>IFERROR(__xludf.DUMMYFUNCTION("""COMPUTED_VALUE"""),"MBC สินธิวาธานี 2")</f>
        <v>MBC สินธิวาธานี 2</v>
      </c>
      <c r="D820" s="3" t="str">
        <f>IFERROR(__xludf.DUMMYFUNCTION("""COMPUTED_VALUE"""),"BCM SINTIWATHANI POINT 2")</f>
        <v>BCM SINTIWATHANI POINT 2</v>
      </c>
      <c r="E820" s="1" t="str">
        <f>IFERROR(__xludf.DUMMYFUNCTION("""COMPUTED_VALUE"""),"บิ๊กซี MINI")</f>
        <v>บิ๊กซี MINI</v>
      </c>
      <c r="F820" s="1" t="str">
        <f>IFERROR(__xludf.DUMMYFUNCTION("""COMPUTED_VALUE"""),"296229")</f>
        <v>296229</v>
      </c>
      <c r="G820" s="1" t="str">
        <f>IFERROR(__xludf.DUMMYFUNCTION("""COMPUTED_VALUE"""),"นายทนงศักดิ์ บุญมา")</f>
        <v>นายทนงศักดิ์ บุญมา</v>
      </c>
      <c r="H820" s="1" t="str">
        <f>IFERROR(__xludf.DUMMYFUNCTION("""COMPUTED_VALUE"""),"211363")</f>
        <v>211363</v>
      </c>
      <c r="I820" s="1" t="str">
        <f>IFERROR(__xludf.DUMMYFUNCTION("""COMPUTED_VALUE"""),"นายสามารถ บุญลับ")</f>
        <v>นายสามารถ บุญลับ</v>
      </c>
      <c r="J820" s="3">
        <f>IFERROR(__xludf.DUMMYFUNCTION("""COMPUTED_VALUE"""),46214.0)</f>
        <v>46214</v>
      </c>
      <c r="K820" s="3" t="str">
        <f>IFERROR(__xludf.DUMMYFUNCTION("""COMPUTED_VALUE"""),"นายศักดิ์ชัย เด็ดดอกฟ้า")</f>
        <v>นายศักดิ์ชัย เด็ดดอกฟ้า</v>
      </c>
      <c r="L820" s="1" t="str">
        <f>IFERROR(__xludf.DUMMYFUNCTION("""COMPUTED_VALUE"""),"02 K.Sakchai D")</f>
        <v>02 K.Sakchai D</v>
      </c>
      <c r="M820" s="1" t="str">
        <f>IFERROR(__xludf.DUMMYFUNCTION("""COMPUTED_VALUE"""),"065-510-7376")</f>
        <v>065-510-7376</v>
      </c>
      <c r="N820" s="3">
        <f>IFERROR(__xludf.DUMMYFUNCTION("""COMPUTED_VALUE"""),21714.0)</f>
        <v>21714</v>
      </c>
      <c r="O820" s="3" t="str">
        <f>IFERROR(__xludf.DUMMYFUNCTION("""COMPUTED_VALUE"""),"MBC เอสโซ่ วัดโบสถ์")</f>
        <v>MBC เอสโซ่ วัดโบสถ์</v>
      </c>
      <c r="P820" s="4">
        <f>IFERROR(__xludf.DUMMYFUNCTION("""COMPUTED_VALUE"""),43098.0)</f>
        <v>43098</v>
      </c>
      <c r="Q820" s="3" t="str">
        <f>IFERROR(__xludf.DUMMYFUNCTION("""COMPUTED_VALUE"""),"A")</f>
        <v>A</v>
      </c>
      <c r="R820" s="3" t="str">
        <f>IFERROR(__xludf.DUMMYFUNCTION("""COMPUTED_VALUE"""),"Small Format")</f>
        <v>Small Format</v>
      </c>
      <c r="S820" s="3" t="str">
        <f>IFERROR(__xludf.DUMMYFUNCTION("""COMPUTED_VALUE"""),"BCM")</f>
        <v>BCM</v>
      </c>
      <c r="T820" s="3" t="str">
        <f>IFERROR(__xludf.DUMMYFUNCTION("""COMPUTED_VALUE"""),"#N/A")</f>
        <v>#N/A</v>
      </c>
      <c r="U820" s="3" t="str">
        <f>IFERROR(__xludf.DUMMYFUNCTION("""COMPUTED_VALUE"""),"#N/A")</f>
        <v>#N/A</v>
      </c>
      <c r="V820" s="3" t="str">
        <f>IFERROR(__xludf.DUMMYFUNCTION("""COMPUTED_VALUE"""),"N")</f>
        <v>N</v>
      </c>
      <c r="W820" s="3">
        <f>IFERROR(__xludf.DUMMYFUNCTION("""COMPUTED_VALUE"""),211546.0)</f>
        <v>211546</v>
      </c>
      <c r="X820" s="3" t="str">
        <f>IFERROR(__xludf.DUMMYFUNCTION("""COMPUTED_VALUE"""),"310/85-87 หมู่2 ตำบลสามเรือน อำเภอบางปะอิน จังหวัดพระนครศรีอยุธยา 13160")</f>
        <v>310/85-87 หมู่2 ตำบลสามเรือน อำเภอบางปะอิน จังหวัดพระนครศรีอยุธยา 13160</v>
      </c>
      <c r="Y820" s="3"/>
      <c r="Z820" s="3" t="str">
        <f>IFERROR(__xludf.DUMMYFUNCTION("""COMPUTED_VALUE"""),"สามเรือน")</f>
        <v>สามเรือน</v>
      </c>
      <c r="AA820" s="3" t="str">
        <f>IFERROR(__xludf.DUMMYFUNCTION("""COMPUTED_VALUE"""),"บางปะอิน")</f>
        <v>บางปะอิน</v>
      </c>
      <c r="AB820" s="3" t="str">
        <f>IFERROR(__xludf.DUMMYFUNCTION("""COMPUTED_VALUE"""),"พระนครศรีอยุธยา")</f>
        <v>พระนครศรีอยุธยา</v>
      </c>
      <c r="AC820" s="3">
        <f>IFERROR(__xludf.DUMMYFUNCTION("""COMPUTED_VALUE"""),13160.0)</f>
        <v>13160</v>
      </c>
      <c r="AD820" s="3">
        <f>IFERROR(__xludf.DUMMYFUNCTION("""COMPUTED_VALUE"""),14.308888)</f>
        <v>14.308888</v>
      </c>
      <c r="AE820" s="3">
        <f>IFERROR(__xludf.DUMMYFUNCTION("""COMPUTED_VALUE"""),100.638947)</f>
        <v>100.638947</v>
      </c>
      <c r="AF820" s="3" t="str">
        <f>IFERROR(__xludf.DUMMYFUNCTION("""COMPUTED_VALUE"""),"MBC สินธิวาธานี 2-21589")</f>
        <v>MBC สินธิวาธานี 2-21589</v>
      </c>
      <c r="AG820" s="3" t="str">
        <f>IFERROR(__xludf.DUMMYFUNCTION("""COMPUTED_VALUE"""),"กลาง")</f>
        <v>กลาง</v>
      </c>
      <c r="AH820" s="3" t="str">
        <f>IFERROR(__xludf.DUMMYFUNCTION("""COMPUTED_VALUE"""),"#N/A")</f>
        <v>#N/A</v>
      </c>
      <c r="AI820" s="3" t="str">
        <f>IFERROR(__xludf.DUMMYFUNCTION("""COMPUTED_VALUE"""),"Out of warranty")</f>
        <v>Out of warranty</v>
      </c>
      <c r="AJ820" s="3">
        <f>IFERROR(__xludf.DUMMYFUNCTION("""COMPUTED_VALUE"""),97.0)</f>
        <v>97</v>
      </c>
      <c r="AK820" s="3" t="str">
        <f>IFERROR(__xludf.DUMMYFUNCTION("""COMPUTED_VALUE"""),"MMS04")</f>
        <v>MMS04</v>
      </c>
      <c r="AL820" s="3"/>
    </row>
    <row r="821" ht="15.75" customHeight="1">
      <c r="A821" s="1" t="str">
        <f>IFERROR(__xludf.DUMMYFUNCTION("""COMPUTED_VALUE"""),"21590")</f>
        <v>21590</v>
      </c>
      <c r="B821" s="2">
        <f>IFERROR(__xludf.DUMMYFUNCTION("""COMPUTED_VALUE"""),21590.0)</f>
        <v>21590</v>
      </c>
      <c r="C821" s="3" t="str">
        <f>IFERROR(__xludf.DUMMYFUNCTION("""COMPUTED_VALUE"""),"MBC เจริญสินธานี")</f>
        <v>MBC เจริญสินธานี</v>
      </c>
      <c r="D821" s="3" t="str">
        <f>IFERROR(__xludf.DUMMYFUNCTION("""COMPUTED_VALUE"""),"BCM CHAROENSIN THANI")</f>
        <v>BCM CHAROENSIN THANI</v>
      </c>
      <c r="E821" s="1" t="str">
        <f>IFERROR(__xludf.DUMMYFUNCTION("""COMPUTED_VALUE"""),"บิ๊กซี MINI")</f>
        <v>บิ๊กซี MINI</v>
      </c>
      <c r="F821" s="1" t="str">
        <f>IFERROR(__xludf.DUMMYFUNCTION("""COMPUTED_VALUE"""),"221716")</f>
        <v>221716</v>
      </c>
      <c r="G821" s="1" t="str">
        <f>IFERROR(__xludf.DUMMYFUNCTION("""COMPUTED_VALUE"""),"น.ส.เบญจพร โพธิสาร")</f>
        <v>น.ส.เบญจพร โพธิสาร</v>
      </c>
      <c r="H821" s="1" t="str">
        <f>IFERROR(__xludf.DUMMYFUNCTION("""COMPUTED_VALUE"""),"2452265")</f>
        <v>2452265</v>
      </c>
      <c r="I821" s="1" t="str">
        <f>IFERROR(__xludf.DUMMYFUNCTION("""COMPUTED_VALUE"""),"นายพิทยา จันทร์ประเทศ")</f>
        <v>นายพิทยา จันทร์ประเทศ</v>
      </c>
      <c r="J821" s="3">
        <f>IFERROR(__xludf.DUMMYFUNCTION("""COMPUTED_VALUE"""),296942.0)</f>
        <v>296942</v>
      </c>
      <c r="K821" s="3" t="str">
        <f>IFERROR(__xludf.DUMMYFUNCTION("""COMPUTED_VALUE"""),"นายปิยะ รักษากิจ")</f>
        <v>นายปิยะ รักษากิจ</v>
      </c>
      <c r="L821" s="1" t="str">
        <f>IFERROR(__xludf.DUMMYFUNCTION("""COMPUTED_VALUE"""),"07 K.Piya R.")</f>
        <v>07 K.Piya R.</v>
      </c>
      <c r="M821" s="1" t="str">
        <f>IFERROR(__xludf.DUMMYFUNCTION("""COMPUTED_VALUE"""),"097-919-5476")</f>
        <v>097-919-5476</v>
      </c>
      <c r="N821" s="3">
        <f>IFERROR(__xludf.DUMMYFUNCTION("""COMPUTED_VALUE"""),21332.0)</f>
        <v>21332</v>
      </c>
      <c r="O821" s="3" t="str">
        <f>IFERROR(__xludf.DUMMYFUNCTION("""COMPUTED_VALUE"""),"MBC BCP อ่อนนุช 17/1")</f>
        <v>MBC BCP อ่อนนุช 17/1</v>
      </c>
      <c r="P821" s="4">
        <f>IFERROR(__xludf.DUMMYFUNCTION("""COMPUTED_VALUE"""),43098.0)</f>
        <v>43098</v>
      </c>
      <c r="Q821" s="3" t="str">
        <f>IFERROR(__xludf.DUMMYFUNCTION("""COMPUTED_VALUE"""),"A")</f>
        <v>A</v>
      </c>
      <c r="R821" s="3" t="str">
        <f>IFERROR(__xludf.DUMMYFUNCTION("""COMPUTED_VALUE"""),"Small Format")</f>
        <v>Small Format</v>
      </c>
      <c r="S821" s="3" t="str">
        <f>IFERROR(__xludf.DUMMYFUNCTION("""COMPUTED_VALUE"""),"BCM")</f>
        <v>BCM</v>
      </c>
      <c r="T821" s="3" t="str">
        <f>IFERROR(__xludf.DUMMYFUNCTION("""COMPUTED_VALUE"""),"#N/A")</f>
        <v>#N/A</v>
      </c>
      <c r="U821" s="3" t="str">
        <f>IFERROR(__xludf.DUMMYFUNCTION("""COMPUTED_VALUE"""),"#N/A")</f>
        <v>#N/A</v>
      </c>
      <c r="V821" s="3" t="str">
        <f>IFERROR(__xludf.DUMMYFUNCTION("""COMPUTED_VALUE"""),"N")</f>
        <v>N</v>
      </c>
      <c r="W821" s="3">
        <f>IFERROR(__xludf.DUMMYFUNCTION("""COMPUTED_VALUE"""),211662.0)</f>
        <v>211662</v>
      </c>
      <c r="X821" s="3" t="str">
        <f>IFERROR(__xludf.DUMMYFUNCTION("""COMPUTED_VALUE"""),"189/27-29 หมู่10 ตำบลพานทอง อำเภอพานทอง จังหวัดชลบุรี 20160")</f>
        <v>189/27-29 หมู่10 ตำบลพานทอง อำเภอพานทอง จังหวัดชลบุรี 20160</v>
      </c>
      <c r="Y821" s="3"/>
      <c r="Z821" s="3" t="str">
        <f>IFERROR(__xludf.DUMMYFUNCTION("""COMPUTED_VALUE"""),"พานทอง")</f>
        <v>พานทอง</v>
      </c>
      <c r="AA821" s="3" t="str">
        <f>IFERROR(__xludf.DUMMYFUNCTION("""COMPUTED_VALUE"""),"พานทอง")</f>
        <v>พานทอง</v>
      </c>
      <c r="AB821" s="3" t="str">
        <f>IFERROR(__xludf.DUMMYFUNCTION("""COMPUTED_VALUE"""),"ชลบุรี")</f>
        <v>ชลบุรี</v>
      </c>
      <c r="AC821" s="3">
        <f>IFERROR(__xludf.DUMMYFUNCTION("""COMPUTED_VALUE"""),20160.0)</f>
        <v>20160</v>
      </c>
      <c r="AD821" s="3">
        <f>IFERROR(__xludf.DUMMYFUNCTION("""COMPUTED_VALUE"""),13.459521)</f>
        <v>13.459521</v>
      </c>
      <c r="AE821" s="3">
        <f>IFERROR(__xludf.DUMMYFUNCTION("""COMPUTED_VALUE"""),101.087496)</f>
        <v>101.087496</v>
      </c>
      <c r="AF821" s="3" t="str">
        <f>IFERROR(__xludf.DUMMYFUNCTION("""COMPUTED_VALUE"""),"MBC เจริญสินธานี-21590")</f>
        <v>MBC เจริญสินธานี-21590</v>
      </c>
      <c r="AG821" s="3" t="str">
        <f>IFERROR(__xludf.DUMMYFUNCTION("""COMPUTED_VALUE"""),"ตะวันออก")</f>
        <v>ตะวันออก</v>
      </c>
      <c r="AH821" s="3" t="str">
        <f>IFERROR(__xludf.DUMMYFUNCTION("""COMPUTED_VALUE"""),"#N/A")</f>
        <v>#N/A</v>
      </c>
      <c r="AI821" s="3" t="str">
        <f>IFERROR(__xludf.DUMMYFUNCTION("""COMPUTED_VALUE"""),"Out of warranty")</f>
        <v>Out of warranty</v>
      </c>
      <c r="AJ821" s="3">
        <f>IFERROR(__xludf.DUMMYFUNCTION("""COMPUTED_VALUE"""),97.0)</f>
        <v>97</v>
      </c>
      <c r="AK821" s="3" t="str">
        <f>IFERROR(__xludf.DUMMYFUNCTION("""COMPUTED_VALUE"""),"MMS07")</f>
        <v>MMS07</v>
      </c>
      <c r="AL821" s="3"/>
    </row>
    <row r="822" ht="15.75" customHeight="1">
      <c r="A822" s="1" t="str">
        <f>IFERROR(__xludf.DUMMYFUNCTION("""COMPUTED_VALUE"""),"21591")</f>
        <v>21591</v>
      </c>
      <c r="B822" s="2">
        <f>IFERROR(__xludf.DUMMYFUNCTION("""COMPUTED_VALUE"""),21591.0)</f>
        <v>21591</v>
      </c>
      <c r="C822" s="3" t="str">
        <f>IFERROR(__xludf.DUMMYFUNCTION("""COMPUTED_VALUE"""),"MBC ถนนศรีนวล")</f>
        <v>MBC ถนนศรีนวล</v>
      </c>
      <c r="D822" s="3" t="str">
        <f>IFERROR(__xludf.DUMMYFUNCTION("""COMPUTED_VALUE"""),"BCM THANON SRINUAN")</f>
        <v>BCM THANON SRINUAN</v>
      </c>
      <c r="E822" s="1" t="str">
        <f>IFERROR(__xludf.DUMMYFUNCTION("""COMPUTED_VALUE"""),"บิ๊กซี MINI")</f>
        <v>บิ๊กซี MINI</v>
      </c>
      <c r="F822" s="1" t="str">
        <f>IFERROR(__xludf.DUMMYFUNCTION("""COMPUTED_VALUE"""),"291105")</f>
        <v>291105</v>
      </c>
      <c r="G822" s="1" t="str">
        <f>IFERROR(__xludf.DUMMYFUNCTION("""COMPUTED_VALUE"""),"นายสราวุฒิ พณิชยกุล")</f>
        <v>นายสราวุฒิ พณิชยกุล</v>
      </c>
      <c r="H822" s="1" t="str">
        <f>IFERROR(__xludf.DUMMYFUNCTION("""COMPUTED_VALUE"""),"305119")</f>
        <v>305119</v>
      </c>
      <c r="I822" s="1" t="str">
        <f>IFERROR(__xludf.DUMMYFUNCTION("""COMPUTED_VALUE"""),"นายไชยกร ลีพิบูลย์สวัสดิ์")</f>
        <v>นายไชยกร ลีพิบูลย์สวัสดิ์</v>
      </c>
      <c r="J822" s="3">
        <f>IFERROR(__xludf.DUMMYFUNCTION("""COMPUTED_VALUE"""),296868.0)</f>
        <v>296868</v>
      </c>
      <c r="K822" s="3" t="str">
        <f>IFERROR(__xludf.DUMMYFUNCTION("""COMPUTED_VALUE"""),"นายพีระพงษ์ แก้วดวงดี")</f>
        <v>นายพีระพงษ์ แก้วดวงดี</v>
      </c>
      <c r="L822" s="1" t="str">
        <f>IFERROR(__xludf.DUMMYFUNCTION("""COMPUTED_VALUE"""),"03 K.Peerapong K.")</f>
        <v>03 K.Peerapong K.</v>
      </c>
      <c r="M822" s="1" t="str">
        <f>IFERROR(__xludf.DUMMYFUNCTION("""COMPUTED_VALUE"""),"089-002-6599")</f>
        <v>089-002-6599</v>
      </c>
      <c r="N822" s="3">
        <f>IFERROR(__xludf.DUMMYFUNCTION("""COMPUTED_VALUE"""),21946.0)</f>
        <v>21946</v>
      </c>
      <c r="O822" s="3" t="str">
        <f>IFERROR(__xludf.DUMMYFUNCTION("""COMPUTED_VALUE"""),"MBC เซกา บึงกาฬ")</f>
        <v>MBC เซกา บึงกาฬ</v>
      </c>
      <c r="P822" s="4">
        <f>IFERROR(__xludf.DUMMYFUNCTION("""COMPUTED_VALUE"""),43098.0)</f>
        <v>43098</v>
      </c>
      <c r="Q822" s="3" t="str">
        <f>IFERROR(__xludf.DUMMYFUNCTION("""COMPUTED_VALUE"""),"A")</f>
        <v>A</v>
      </c>
      <c r="R822" s="3" t="str">
        <f>IFERROR(__xludf.DUMMYFUNCTION("""COMPUTED_VALUE"""),"Small Format")</f>
        <v>Small Format</v>
      </c>
      <c r="S822" s="3" t="str">
        <f>IFERROR(__xludf.DUMMYFUNCTION("""COMPUTED_VALUE"""),"BCM")</f>
        <v>BCM</v>
      </c>
      <c r="T822" s="3" t="str">
        <f>IFERROR(__xludf.DUMMYFUNCTION("""COMPUTED_VALUE"""),"#N/A")</f>
        <v>#N/A</v>
      </c>
      <c r="U822" s="3" t="str">
        <f>IFERROR(__xludf.DUMMYFUNCTION("""COMPUTED_VALUE"""),"#N/A")</f>
        <v>#N/A</v>
      </c>
      <c r="V822" s="3" t="str">
        <f>IFERROR(__xludf.DUMMYFUNCTION("""COMPUTED_VALUE"""),"N")</f>
        <v>N</v>
      </c>
      <c r="W822" s="3">
        <f>IFERROR(__xludf.DUMMYFUNCTION("""COMPUTED_VALUE"""),211665.0)</f>
        <v>211665</v>
      </c>
      <c r="X822" s="3" t="str">
        <f>IFERROR(__xludf.DUMMYFUNCTION("""COMPUTED_VALUE"""),"74/11 ถนนศรีนวล ตำบลในเมือง อำเภอเมืองขอนแก่น จังหวัดขอนแก่น 40000")</f>
        <v>74/11 ถนนศรีนวล ตำบลในเมือง อำเภอเมืองขอนแก่น จังหวัดขอนแก่น 40000</v>
      </c>
      <c r="Y822" s="3" t="str">
        <f>IFERROR(__xludf.DUMMYFUNCTION("""COMPUTED_VALUE"""),"ถนนศรีนวล")</f>
        <v>ถนนศรีนวล</v>
      </c>
      <c r="Z822" s="3" t="str">
        <f>IFERROR(__xludf.DUMMYFUNCTION("""COMPUTED_VALUE"""),"ในเมือง")</f>
        <v>ในเมือง</v>
      </c>
      <c r="AA822" s="3" t="str">
        <f>IFERROR(__xludf.DUMMYFUNCTION("""COMPUTED_VALUE"""),"เมือง")</f>
        <v>เมือง</v>
      </c>
      <c r="AB822" s="3" t="str">
        <f>IFERROR(__xludf.DUMMYFUNCTION("""COMPUTED_VALUE"""),"ขอนแก่น")</f>
        <v>ขอนแก่น</v>
      </c>
      <c r="AC822" s="3">
        <f>IFERROR(__xludf.DUMMYFUNCTION("""COMPUTED_VALUE"""),40000.0)</f>
        <v>40000</v>
      </c>
      <c r="AD822" s="3">
        <f>IFERROR(__xludf.DUMMYFUNCTION("""COMPUTED_VALUE"""),16.4226783)</f>
        <v>16.4226783</v>
      </c>
      <c r="AE822" s="3">
        <f>IFERROR(__xludf.DUMMYFUNCTION("""COMPUTED_VALUE"""),102.8369671)</f>
        <v>102.8369671</v>
      </c>
      <c r="AF822" s="3" t="str">
        <f>IFERROR(__xludf.DUMMYFUNCTION("""COMPUTED_VALUE"""),"MBC ถนนศรีนวล-21591")</f>
        <v>MBC ถนนศรีนวล-21591</v>
      </c>
      <c r="AG822" s="3" t="str">
        <f>IFERROR(__xludf.DUMMYFUNCTION("""COMPUTED_VALUE"""),"ตะวันออกเฉียงเหนือ")</f>
        <v>ตะวันออกเฉียงเหนือ</v>
      </c>
      <c r="AH822" s="3" t="str">
        <f>IFERROR(__xludf.DUMMYFUNCTION("""COMPUTED_VALUE"""),"#N/A")</f>
        <v>#N/A</v>
      </c>
      <c r="AI822" s="3" t="str">
        <f>IFERROR(__xludf.DUMMYFUNCTION("""COMPUTED_VALUE"""),"Out of warranty")</f>
        <v>Out of warranty</v>
      </c>
      <c r="AJ822" s="3">
        <f>IFERROR(__xludf.DUMMYFUNCTION("""COMPUTED_VALUE"""),97.0)</f>
        <v>97</v>
      </c>
      <c r="AK822" s="3" t="str">
        <f>IFERROR(__xludf.DUMMYFUNCTION("""COMPUTED_VALUE"""),"MMS12")</f>
        <v>MMS12</v>
      </c>
      <c r="AL822" s="3"/>
    </row>
    <row r="823" ht="15.75" customHeight="1">
      <c r="A823" s="1" t="str">
        <f>IFERROR(__xludf.DUMMYFUNCTION("""COMPUTED_VALUE"""),"21592")</f>
        <v>21592</v>
      </c>
      <c r="B823" s="2">
        <f>IFERROR(__xludf.DUMMYFUNCTION("""COMPUTED_VALUE"""),21592.0)</f>
        <v>21592</v>
      </c>
      <c r="C823" s="3" t="str">
        <f>IFERROR(__xludf.DUMMYFUNCTION("""COMPUTED_VALUE"""),"MBC เพิ่มสิน ซอย 20")</f>
        <v>MBC เพิ่มสิน ซอย 20</v>
      </c>
      <c r="D823" s="3" t="str">
        <f>IFERROR(__xludf.DUMMYFUNCTION("""COMPUTED_VALUE"""),"BCM PHOEMSIN SOI 20")</f>
        <v>BCM PHOEMSIN SOI 20</v>
      </c>
      <c r="E823" s="1" t="str">
        <f>IFERROR(__xludf.DUMMYFUNCTION("""COMPUTED_VALUE"""),"บิ๊กซี MINI")</f>
        <v>บิ๊กซี MINI</v>
      </c>
      <c r="F823" s="1" t="str">
        <f>IFERROR(__xludf.DUMMYFUNCTION("""COMPUTED_VALUE"""),"291008")</f>
        <v>291008</v>
      </c>
      <c r="G823" s="1" t="str">
        <f>IFERROR(__xludf.DUMMYFUNCTION("""COMPUTED_VALUE"""),"น.ส.รัชดาพร อีศรัตน์")</f>
        <v>น.ส.รัชดาพร อีศรัตน์</v>
      </c>
      <c r="H823" s="1" t="str">
        <f>IFERROR(__xludf.DUMMYFUNCTION("""COMPUTED_VALUE"""),"373540")</f>
        <v>373540</v>
      </c>
      <c r="I823" s="1" t="str">
        <f>IFERROR(__xludf.DUMMYFUNCTION("""COMPUTED_VALUE"""),"นายทศพร พึ่งพบ")</f>
        <v>นายทศพร พึ่งพบ</v>
      </c>
      <c r="J823" s="3">
        <f>IFERROR(__xludf.DUMMYFUNCTION("""COMPUTED_VALUE"""),2452378.0)</f>
        <v>2452378</v>
      </c>
      <c r="K823" s="3" t="str">
        <f>IFERROR(__xludf.DUMMYFUNCTION("""COMPUTED_VALUE"""),"นายศักดิ์ดา พวงประดับ")</f>
        <v>นายศักดิ์ดา พวงประดับ</v>
      </c>
      <c r="L823" s="1" t="str">
        <f>IFERROR(__xludf.DUMMYFUNCTION("""COMPUTED_VALUE"""),"11 K.Sakda P.")</f>
        <v>11 K.Sakda P.</v>
      </c>
      <c r="M823" s="1" t="str">
        <f>IFERROR(__xludf.DUMMYFUNCTION("""COMPUTED_VALUE"""),"065-929-1279")</f>
        <v>065-929-1279</v>
      </c>
      <c r="N823" s="3">
        <f>IFERROR(__xludf.DUMMYFUNCTION("""COMPUTED_VALUE"""),21002.0)</f>
        <v>21002</v>
      </c>
      <c r="O823" s="3" t="str">
        <f>IFERROR(__xludf.DUMMYFUNCTION("""COMPUTED_VALUE"""),"MBC อุดมสุข")</f>
        <v>MBC อุดมสุข</v>
      </c>
      <c r="P823" s="4">
        <f>IFERROR(__xludf.DUMMYFUNCTION("""COMPUTED_VALUE"""),43391.0)</f>
        <v>43391</v>
      </c>
      <c r="Q823" s="3" t="str">
        <f>IFERROR(__xludf.DUMMYFUNCTION("""COMPUTED_VALUE"""),"A")</f>
        <v>A</v>
      </c>
      <c r="R823" s="3" t="str">
        <f>IFERROR(__xludf.DUMMYFUNCTION("""COMPUTED_VALUE"""),"Small Format")</f>
        <v>Small Format</v>
      </c>
      <c r="S823" s="3" t="str">
        <f>IFERROR(__xludf.DUMMYFUNCTION("""COMPUTED_VALUE"""),"BCM")</f>
        <v>BCM</v>
      </c>
      <c r="T823" s="3" t="str">
        <f>IFERROR(__xludf.DUMMYFUNCTION("""COMPUTED_VALUE"""),"#N/A")</f>
        <v>#N/A</v>
      </c>
      <c r="U823" s="3" t="str">
        <f>IFERROR(__xludf.DUMMYFUNCTION("""COMPUTED_VALUE"""),"#N/A")</f>
        <v>#N/A</v>
      </c>
      <c r="V823" s="3" t="str">
        <f>IFERROR(__xludf.DUMMYFUNCTION("""COMPUTED_VALUE"""),"N")</f>
        <v>N</v>
      </c>
      <c r="W823" s="3">
        <f>IFERROR(__xludf.DUMMYFUNCTION("""COMPUTED_VALUE"""),211542.0)</f>
        <v>211542</v>
      </c>
      <c r="X823" s="3" t="str">
        <f>IFERROR(__xludf.DUMMYFUNCTION("""COMPUTED_VALUE"""),"226/3 ซอยเพิ่มสิน20 แขวงคลองถนน เขตสายไหม กรุงเทพมหานคร 10220")</f>
        <v>226/3 ซอยเพิ่มสิน20 แขวงคลองถนน เขตสายไหม กรุงเทพมหานคร 10220</v>
      </c>
      <c r="Y823" s="3" t="str">
        <f>IFERROR(__xludf.DUMMYFUNCTION("""COMPUTED_VALUE"""),"ซอยเพิ่มสิน20")</f>
        <v>ซอยเพิ่มสิน20</v>
      </c>
      <c r="Z823" s="3" t="str">
        <f>IFERROR(__xludf.DUMMYFUNCTION("""COMPUTED_VALUE"""),"คลองถนน")</f>
        <v>คลองถนน</v>
      </c>
      <c r="AA823" s="3" t="str">
        <f>IFERROR(__xludf.DUMMYFUNCTION("""COMPUTED_VALUE"""),"สายไหม")</f>
        <v>สายไหม</v>
      </c>
      <c r="AB823" s="3" t="str">
        <f>IFERROR(__xludf.DUMMYFUNCTION("""COMPUTED_VALUE"""),"กรุงเทพมหานคร")</f>
        <v>กรุงเทพมหานคร</v>
      </c>
      <c r="AC823" s="3">
        <f>IFERROR(__xludf.DUMMYFUNCTION("""COMPUTED_VALUE"""),10220.0)</f>
        <v>10220</v>
      </c>
      <c r="AD823" s="3">
        <f>IFERROR(__xludf.DUMMYFUNCTION("""COMPUTED_VALUE"""),13.891446)</f>
        <v>13.891446</v>
      </c>
      <c r="AE823" s="3">
        <f>IFERROR(__xludf.DUMMYFUNCTION("""COMPUTED_VALUE"""),100.625313)</f>
        <v>100.625313</v>
      </c>
      <c r="AF823" s="3" t="str">
        <f>IFERROR(__xludf.DUMMYFUNCTION("""COMPUTED_VALUE"""),"MBC เพิ่มสิน ซอย 20-21592")</f>
        <v>MBC เพิ่มสิน ซอย 20-21592</v>
      </c>
      <c r="AG823" s="3" t="str">
        <f>IFERROR(__xludf.DUMMYFUNCTION("""COMPUTED_VALUE"""),"กลาง")</f>
        <v>กลาง</v>
      </c>
      <c r="AH823" s="3" t="str">
        <f>IFERROR(__xludf.DUMMYFUNCTION("""COMPUTED_VALUE"""),"#N/A")</f>
        <v>#N/A</v>
      </c>
      <c r="AI823" s="3" t="str">
        <f>IFERROR(__xludf.DUMMYFUNCTION("""COMPUTED_VALUE"""),"Out of warranty")</f>
        <v>Out of warranty</v>
      </c>
      <c r="AJ823" s="3">
        <f>IFERROR(__xludf.DUMMYFUNCTION("""COMPUTED_VALUE"""),88.0)</f>
        <v>88</v>
      </c>
      <c r="AK823" s="3" t="str">
        <f>IFERROR(__xludf.DUMMYFUNCTION("""COMPUTED_VALUE"""),"MMS01")</f>
        <v>MMS01</v>
      </c>
      <c r="AL823" s="3"/>
    </row>
    <row r="824" ht="15.75" customHeight="1">
      <c r="A824" s="1" t="str">
        <f>IFERROR(__xludf.DUMMYFUNCTION("""COMPUTED_VALUE"""),"21593")</f>
        <v>21593</v>
      </c>
      <c r="B824" s="2">
        <f>IFERROR(__xludf.DUMMYFUNCTION("""COMPUTED_VALUE"""),21593.0)</f>
        <v>21593</v>
      </c>
      <c r="C824" s="3" t="str">
        <f>IFERROR(__xludf.DUMMYFUNCTION("""COMPUTED_VALUE"""),"MBC หน้ามหาวิทยาลัยศิลปกร นครปฐม")</f>
        <v>MBC หน้ามหาวิทยาลัยศิลปกร นครปฐม</v>
      </c>
      <c r="D824" s="3" t="str">
        <f>IFERROR(__xludf.DUMMYFUNCTION("""COMPUTED_VALUE"""),"BCM NA SILPAKORN NAKHONPATHOM")</f>
        <v>BCM NA SILPAKORN NAKHONPATHOM</v>
      </c>
      <c r="E824" s="1" t="str">
        <f>IFERROR(__xludf.DUMMYFUNCTION("""COMPUTED_VALUE"""),"บิ๊กซี MINI")</f>
        <v>บิ๊กซี MINI</v>
      </c>
      <c r="F824" s="1" t="str">
        <f>IFERROR(__xludf.DUMMYFUNCTION("""COMPUTED_VALUE"""),"296229")</f>
        <v>296229</v>
      </c>
      <c r="G824" s="1" t="str">
        <f>IFERROR(__xludf.DUMMYFUNCTION("""COMPUTED_VALUE"""),"นายทนงศักดิ์ บุญมา")</f>
        <v>นายทนงศักดิ์ บุญมา</v>
      </c>
      <c r="H824" s="1" t="str">
        <f>IFERROR(__xludf.DUMMYFUNCTION("""COMPUTED_VALUE"""),"295245")</f>
        <v>295245</v>
      </c>
      <c r="I824" s="1" t="str">
        <f>IFERROR(__xludf.DUMMYFUNCTION("""COMPUTED_VALUE"""),"นายมานะ วงศ์สุโชโต")</f>
        <v>นายมานะ วงศ์สุโชโต</v>
      </c>
      <c r="J824" s="3">
        <f>IFERROR(__xludf.DUMMYFUNCTION("""COMPUTED_VALUE"""),46214.0)</f>
        <v>46214</v>
      </c>
      <c r="K824" s="3" t="str">
        <f>IFERROR(__xludf.DUMMYFUNCTION("""COMPUTED_VALUE"""),"นายศักดิ์ชัย เด็ดดอกฟ้า")</f>
        <v>นายศักดิ์ชัย เด็ดดอกฟ้า</v>
      </c>
      <c r="L824" s="1" t="str">
        <f>IFERROR(__xludf.DUMMYFUNCTION("""COMPUTED_VALUE"""),"02 K.Sakchai D")</f>
        <v>02 K.Sakchai D</v>
      </c>
      <c r="M824" s="1" t="str">
        <f>IFERROR(__xludf.DUMMYFUNCTION("""COMPUTED_VALUE"""),"065-510-7376")</f>
        <v>065-510-7376</v>
      </c>
      <c r="N824" s="3">
        <f>IFERROR(__xludf.DUMMYFUNCTION("""COMPUTED_VALUE"""),21714.0)</f>
        <v>21714</v>
      </c>
      <c r="O824" s="3" t="str">
        <f>IFERROR(__xludf.DUMMYFUNCTION("""COMPUTED_VALUE"""),"MBC เอสโซ่ วัดโบสถ์")</f>
        <v>MBC เอสโซ่ วัดโบสถ์</v>
      </c>
      <c r="P824" s="4">
        <f>IFERROR(__xludf.DUMMYFUNCTION("""COMPUTED_VALUE"""),43098.0)</f>
        <v>43098</v>
      </c>
      <c r="Q824" s="3" t="str">
        <f>IFERROR(__xludf.DUMMYFUNCTION("""COMPUTED_VALUE"""),"A")</f>
        <v>A</v>
      </c>
      <c r="R824" s="3" t="str">
        <f>IFERROR(__xludf.DUMMYFUNCTION("""COMPUTED_VALUE"""),"Small Format")</f>
        <v>Small Format</v>
      </c>
      <c r="S824" s="3" t="str">
        <f>IFERROR(__xludf.DUMMYFUNCTION("""COMPUTED_VALUE"""),"BCM")</f>
        <v>BCM</v>
      </c>
      <c r="T824" s="3" t="str">
        <f>IFERROR(__xludf.DUMMYFUNCTION("""COMPUTED_VALUE"""),"#N/A")</f>
        <v>#N/A</v>
      </c>
      <c r="U824" s="3" t="str">
        <f>IFERROR(__xludf.DUMMYFUNCTION("""COMPUTED_VALUE"""),"#N/A")</f>
        <v>#N/A</v>
      </c>
      <c r="V824" s="3" t="str">
        <f>IFERROR(__xludf.DUMMYFUNCTION("""COMPUTED_VALUE"""),"N")</f>
        <v>N</v>
      </c>
      <c r="W824" s="3">
        <f>IFERROR(__xludf.DUMMYFUNCTION("""COMPUTED_VALUE"""),211659.0)</f>
        <v>211659</v>
      </c>
      <c r="X824" s="3" t="str">
        <f>IFERROR(__xludf.DUMMYFUNCTION("""COMPUTED_VALUE"""),"56/8-10 ถนนจันทรคามพิทักษ์ ตำบลสนามจันทร์ อำเภอเมืองนครปฐม จังหวัดนครปฐม 73000")</f>
        <v>56/8-10 ถนนจันทรคามพิทักษ์ ตำบลสนามจันทร์ อำเภอเมืองนครปฐม จังหวัดนครปฐม 73000</v>
      </c>
      <c r="Y824" s="3" t="str">
        <f>IFERROR(__xludf.DUMMYFUNCTION("""COMPUTED_VALUE"""),"ถนนจันทรคามพิทักษ์")</f>
        <v>ถนนจันทรคามพิทักษ์</v>
      </c>
      <c r="Z824" s="3" t="str">
        <f>IFERROR(__xludf.DUMMYFUNCTION("""COMPUTED_VALUE"""),"สนามจันทร์")</f>
        <v>สนามจันทร์</v>
      </c>
      <c r="AA824" s="3" t="str">
        <f>IFERROR(__xludf.DUMMYFUNCTION("""COMPUTED_VALUE"""),"เมือง")</f>
        <v>เมือง</v>
      </c>
      <c r="AB824" s="3" t="str">
        <f>IFERROR(__xludf.DUMMYFUNCTION("""COMPUTED_VALUE"""),"นครปฐม")</f>
        <v>นครปฐม</v>
      </c>
      <c r="AC824" s="3">
        <f>IFERROR(__xludf.DUMMYFUNCTION("""COMPUTED_VALUE"""),73000.0)</f>
        <v>73000</v>
      </c>
      <c r="AD824" s="3">
        <f>IFERROR(__xludf.DUMMYFUNCTION("""COMPUTED_VALUE"""),13.810416)</f>
        <v>13.810416</v>
      </c>
      <c r="AE824" s="3">
        <f>IFERROR(__xludf.DUMMYFUNCTION("""COMPUTED_VALUE"""),100.040305)</f>
        <v>100.040305</v>
      </c>
      <c r="AF824" s="3" t="str">
        <f>IFERROR(__xludf.DUMMYFUNCTION("""COMPUTED_VALUE"""),"MBC หน้ามหาวิทยาลัยศิลปกร นครปฐม-21593")</f>
        <v>MBC หน้ามหาวิทยาลัยศิลปกร นครปฐม-21593</v>
      </c>
      <c r="AG824" s="3" t="str">
        <f>IFERROR(__xludf.DUMMYFUNCTION("""COMPUTED_VALUE"""),"กลาง")</f>
        <v>กลาง</v>
      </c>
      <c r="AH824" s="3" t="str">
        <f>IFERROR(__xludf.DUMMYFUNCTION("""COMPUTED_VALUE"""),"#N/A")</f>
        <v>#N/A</v>
      </c>
      <c r="AI824" s="3" t="str">
        <f>IFERROR(__xludf.DUMMYFUNCTION("""COMPUTED_VALUE"""),"Out of warranty")</f>
        <v>Out of warranty</v>
      </c>
      <c r="AJ824" s="3">
        <f>IFERROR(__xludf.DUMMYFUNCTION("""COMPUTED_VALUE"""),97.0)</f>
        <v>97</v>
      </c>
      <c r="AK824" s="3" t="str">
        <f>IFERROR(__xludf.DUMMYFUNCTION("""COMPUTED_VALUE"""),"MMS05")</f>
        <v>MMS05</v>
      </c>
      <c r="AL824" s="3"/>
    </row>
    <row r="825" ht="15.75" customHeight="1">
      <c r="A825" s="1" t="str">
        <f>IFERROR(__xludf.DUMMYFUNCTION("""COMPUTED_VALUE"""),"21594")</f>
        <v>21594</v>
      </c>
      <c r="B825" s="2">
        <f>IFERROR(__xludf.DUMMYFUNCTION("""COMPUTED_VALUE"""),21594.0)</f>
        <v>21594</v>
      </c>
      <c r="C825" s="3" t="str">
        <f>IFERROR(__xludf.DUMMYFUNCTION("""COMPUTED_VALUE"""),"MBC ซอยวัดโพธิ์ 24")</f>
        <v>MBC ซอยวัดโพธิ์ 24</v>
      </c>
      <c r="D825" s="3" t="str">
        <f>IFERROR(__xludf.DUMMYFUNCTION("""COMPUTED_VALUE"""),"BCM SOI WAT PHO 24")</f>
        <v>BCM SOI WAT PHO 24</v>
      </c>
      <c r="E825" s="1" t="str">
        <f>IFERROR(__xludf.DUMMYFUNCTION("""COMPUTED_VALUE"""),"บิ๊กซี MINI")</f>
        <v>บิ๊กซี MINI</v>
      </c>
      <c r="F825" s="1" t="str">
        <f>IFERROR(__xludf.DUMMYFUNCTION("""COMPUTED_VALUE"""),"250760")</f>
        <v>250760</v>
      </c>
      <c r="G825" s="1" t="str">
        <f>IFERROR(__xludf.DUMMYFUNCTION("""COMPUTED_VALUE"""),"นายประทวน สาราบรรณ์")</f>
        <v>นายประทวน สาราบรรณ์</v>
      </c>
      <c r="H825" s="1" t="str">
        <f>IFERROR(__xludf.DUMMYFUNCTION("""COMPUTED_VALUE"""),"228389")</f>
        <v>228389</v>
      </c>
      <c r="I825" s="1" t="str">
        <f>IFERROR(__xludf.DUMMYFUNCTION("""COMPUTED_VALUE"""),"นายมณีรันดร์ ชัยชนะ")</f>
        <v>นายมณีรันดร์ ชัยชนะ</v>
      </c>
      <c r="J825" s="3">
        <f>IFERROR(__xludf.DUMMYFUNCTION("""COMPUTED_VALUE"""),25324.0)</f>
        <v>25324</v>
      </c>
      <c r="K825" s="3" t="str">
        <f>IFERROR(__xludf.DUMMYFUNCTION("""COMPUTED_VALUE"""),"นายวิเชฎฐ์ ติรัตนะประคม")</f>
        <v>นายวิเชฎฐ์ ติรัตนะประคม</v>
      </c>
      <c r="L825" s="1" t="str">
        <f>IFERROR(__xludf.DUMMYFUNCTION("""COMPUTED_VALUE"""),"14 K.Wichet T.")</f>
        <v>14 K.Wichet T.</v>
      </c>
      <c r="M825" s="1" t="str">
        <f>IFERROR(__xludf.DUMMYFUNCTION("""COMPUTED_VALUE"""),"061-417-6569 / 086-445-5636")</f>
        <v>061-417-6569 / 086-445-5636</v>
      </c>
      <c r="N825" s="3">
        <f>IFERROR(__xludf.DUMMYFUNCTION("""COMPUTED_VALUE"""),22658.0)</f>
        <v>22658</v>
      </c>
      <c r="O825" s="3" t="str">
        <f>IFERROR(__xludf.DUMMYFUNCTION("""COMPUTED_VALUE"""),"BCM ถ.วิรัชหงษ์หยก ภูเก็ต")</f>
        <v>BCM ถ.วิรัชหงษ์หยก ภูเก็ต</v>
      </c>
      <c r="P825" s="4">
        <f>IFERROR(__xludf.DUMMYFUNCTION("""COMPUTED_VALUE"""),43122.0)</f>
        <v>43122</v>
      </c>
      <c r="Q825" s="3" t="str">
        <f>IFERROR(__xludf.DUMMYFUNCTION("""COMPUTED_VALUE"""),"A")</f>
        <v>A</v>
      </c>
      <c r="R825" s="3" t="str">
        <f>IFERROR(__xludf.DUMMYFUNCTION("""COMPUTED_VALUE"""),"Small Format")</f>
        <v>Small Format</v>
      </c>
      <c r="S825" s="3" t="str">
        <f>IFERROR(__xludf.DUMMYFUNCTION("""COMPUTED_VALUE"""),"BCM")</f>
        <v>BCM</v>
      </c>
      <c r="T825" s="3" t="str">
        <f>IFERROR(__xludf.DUMMYFUNCTION("""COMPUTED_VALUE"""),"#N/A")</f>
        <v>#N/A</v>
      </c>
      <c r="U825" s="3" t="str">
        <f>IFERROR(__xludf.DUMMYFUNCTION("""COMPUTED_VALUE"""),"#N/A")</f>
        <v>#N/A</v>
      </c>
      <c r="V825" s="3" t="str">
        <f>IFERROR(__xludf.DUMMYFUNCTION("""COMPUTED_VALUE"""),"N")</f>
        <v>N</v>
      </c>
      <c r="W825" s="3">
        <f>IFERROR(__xludf.DUMMYFUNCTION("""COMPUTED_VALUE"""),211522.0)</f>
        <v>211522</v>
      </c>
      <c r="X825" s="3" t="str">
        <f>IFERROR(__xludf.DUMMYFUNCTION("""COMPUTED_VALUE"""),"133/117 หมู่1 ถนนวัดโพธิ์-บางใหญ่ ตำบลมะขามเตี้ย อำเภอเมืองสุราษฎร์ธานี จังหวัดสุราษฎร์ธานี 84000")</f>
        <v>133/117 หมู่1 ถนนวัดโพธิ์-บางใหญ่ ตำบลมะขามเตี้ย อำเภอเมืองสุราษฎร์ธานี จังหวัดสุราษฎร์ธานี 84000</v>
      </c>
      <c r="Y825" s="3"/>
      <c r="Z825" s="3" t="str">
        <f>IFERROR(__xludf.DUMMYFUNCTION("""COMPUTED_VALUE"""),"มะขามเตี้ย")</f>
        <v>มะขามเตี้ย</v>
      </c>
      <c r="AA825" s="3" t="str">
        <f>IFERROR(__xludf.DUMMYFUNCTION("""COMPUTED_VALUE"""),"เมือง")</f>
        <v>เมือง</v>
      </c>
      <c r="AB825" s="3" t="str">
        <f>IFERROR(__xludf.DUMMYFUNCTION("""COMPUTED_VALUE"""),"สุราษฎร์ธานี")</f>
        <v>สุราษฎร์ธานี</v>
      </c>
      <c r="AC825" s="3">
        <f>IFERROR(__xludf.DUMMYFUNCTION("""COMPUTED_VALUE"""),84000.0)</f>
        <v>84000</v>
      </c>
      <c r="AD825" s="3">
        <f>IFERROR(__xludf.DUMMYFUNCTION("""COMPUTED_VALUE"""),9.121479)</f>
        <v>9.121479</v>
      </c>
      <c r="AE825" s="3">
        <f>IFERROR(__xludf.DUMMYFUNCTION("""COMPUTED_VALUE"""),99.327437)</f>
        <v>99.327437</v>
      </c>
      <c r="AF825" s="3" t="str">
        <f>IFERROR(__xludf.DUMMYFUNCTION("""COMPUTED_VALUE"""),"MBC ซอยวัดโพธิ์ 24-21594")</f>
        <v>MBC ซอยวัดโพธิ์ 24-21594</v>
      </c>
      <c r="AG825" s="3" t="str">
        <f>IFERROR(__xludf.DUMMYFUNCTION("""COMPUTED_VALUE"""),"ใต้")</f>
        <v>ใต้</v>
      </c>
      <c r="AH825" s="3" t="str">
        <f>IFERROR(__xludf.DUMMYFUNCTION("""COMPUTED_VALUE"""),"#N/A")</f>
        <v>#N/A</v>
      </c>
      <c r="AI825" s="3" t="str">
        <f>IFERROR(__xludf.DUMMYFUNCTION("""COMPUTED_VALUE"""),"Out of warranty")</f>
        <v>Out of warranty</v>
      </c>
      <c r="AJ825" s="3">
        <f>IFERROR(__xludf.DUMMYFUNCTION("""COMPUTED_VALUE"""),96.0)</f>
        <v>96</v>
      </c>
      <c r="AK825" s="3" t="str">
        <f>IFERROR(__xludf.DUMMYFUNCTION("""COMPUTED_VALUE"""),"MMS14")</f>
        <v>MMS14</v>
      </c>
      <c r="AL825" s="3"/>
    </row>
    <row r="826" ht="15.75" customHeight="1">
      <c r="A826" s="1" t="str">
        <f>IFERROR(__xludf.DUMMYFUNCTION("""COMPUTED_VALUE"""),"21595")</f>
        <v>21595</v>
      </c>
      <c r="B826" s="2">
        <f>IFERROR(__xludf.DUMMYFUNCTION("""COMPUTED_VALUE"""),21595.0)</f>
        <v>21595</v>
      </c>
      <c r="C826" s="3" t="str">
        <f>IFERROR(__xludf.DUMMYFUNCTION("""COMPUTED_VALUE"""),"MBC หนองข่า")</f>
        <v>MBC หนองข่า</v>
      </c>
      <c r="D826" s="3" t="str">
        <f>IFERROR(__xludf.DUMMYFUNCTION("""COMPUTED_VALUE"""),"BCM NONG KHA")</f>
        <v>BCM NONG KHA</v>
      </c>
      <c r="E826" s="1" t="str">
        <f>IFERROR(__xludf.DUMMYFUNCTION("""COMPUTED_VALUE"""),"บิ๊กซี MINI")</f>
        <v>บิ๊กซี MINI</v>
      </c>
      <c r="F826" s="1" t="str">
        <f>IFERROR(__xludf.DUMMYFUNCTION("""COMPUTED_VALUE"""),"291105")</f>
        <v>291105</v>
      </c>
      <c r="G826" s="1" t="str">
        <f>IFERROR(__xludf.DUMMYFUNCTION("""COMPUTED_VALUE"""),"นายสราวุฒิ พณิชยกุล")</f>
        <v>นายสราวุฒิ พณิชยกุล</v>
      </c>
      <c r="H826" s="1" t="str">
        <f>IFERROR(__xludf.DUMMYFUNCTION("""COMPUTED_VALUE"""),"392433")</f>
        <v>392433</v>
      </c>
      <c r="I826" s="1" t="str">
        <f>IFERROR(__xludf.DUMMYFUNCTION("""COMPUTED_VALUE"""),"นายพรธิวา ใจอ่อน")</f>
        <v>นายพรธิวา ใจอ่อน</v>
      </c>
      <c r="J826" s="3">
        <f>IFERROR(__xludf.DUMMYFUNCTION("""COMPUTED_VALUE"""),2454781.0)</f>
        <v>2454781</v>
      </c>
      <c r="K826" s="3" t="str">
        <f>IFERROR(__xludf.DUMMYFUNCTION("""COMPUTED_VALUE"""),"นายฌานกฤช นันทะโคต")</f>
        <v>นายฌานกฤช นันทะโคต</v>
      </c>
      <c r="L826" s="1" t="str">
        <f>IFERROR(__xludf.DUMMYFUNCTION("""COMPUTED_VALUE"""),"05 K.Chanakrit N.")</f>
        <v>05 K.Chanakrit N.</v>
      </c>
      <c r="M826" s="1" t="str">
        <f>IFERROR(__xludf.DUMMYFUNCTION("""COMPUTED_VALUE"""),"090-978-9785 ,065-929-1320")</f>
        <v>090-978-9785 ,065-929-1320</v>
      </c>
      <c r="N826" s="3">
        <f>IFERROR(__xludf.DUMMYFUNCTION("""COMPUTED_VALUE"""),22195.0)</f>
        <v>22195</v>
      </c>
      <c r="O826" s="3" t="str">
        <f>IFERROR(__xludf.DUMMYFUNCTION("""COMPUTED_VALUE"""),"MBC กันทรลักษ์ ศรีสะเกษ")</f>
        <v>MBC กันทรลักษ์ ศรีสะเกษ</v>
      </c>
      <c r="P826" s="4">
        <f>IFERROR(__xludf.DUMMYFUNCTION("""COMPUTED_VALUE"""),43127.0)</f>
        <v>43127</v>
      </c>
      <c r="Q826" s="3" t="str">
        <f>IFERROR(__xludf.DUMMYFUNCTION("""COMPUTED_VALUE"""),"A")</f>
        <v>A</v>
      </c>
      <c r="R826" s="3" t="str">
        <f>IFERROR(__xludf.DUMMYFUNCTION("""COMPUTED_VALUE"""),"Small Format")</f>
        <v>Small Format</v>
      </c>
      <c r="S826" s="3" t="str">
        <f>IFERROR(__xludf.DUMMYFUNCTION("""COMPUTED_VALUE"""),"BCM")</f>
        <v>BCM</v>
      </c>
      <c r="T826" s="3" t="str">
        <f>IFERROR(__xludf.DUMMYFUNCTION("""COMPUTED_VALUE"""),"#N/A")</f>
        <v>#N/A</v>
      </c>
      <c r="U826" s="3" t="str">
        <f>IFERROR(__xludf.DUMMYFUNCTION("""COMPUTED_VALUE"""),"#N/A")</f>
        <v>#N/A</v>
      </c>
      <c r="V826" s="3" t="str">
        <f>IFERROR(__xludf.DUMMYFUNCTION("""COMPUTED_VALUE"""),"N")</f>
        <v>N</v>
      </c>
      <c r="W826" s="3">
        <f>IFERROR(__xludf.DUMMYFUNCTION("""COMPUTED_VALUE"""),211559.0)</f>
        <v>211559</v>
      </c>
      <c r="X826" s="3" t="str">
        <f>IFERROR(__xludf.DUMMYFUNCTION("""COMPUTED_VALUE"""),"164/1 ถนนถีนานนท์ ตำบลตลาด อำเภอเมืองมหาสารคาม จังหวัดมหาสารคาม 44000")</f>
        <v>164/1 ถนนถีนานนท์ ตำบลตลาด อำเภอเมืองมหาสารคาม จังหวัดมหาสารคาม 44000</v>
      </c>
      <c r="Y826" s="3" t="str">
        <f>IFERROR(__xludf.DUMMYFUNCTION("""COMPUTED_VALUE"""),"ถนนถีนานนท์")</f>
        <v>ถนนถีนานนท์</v>
      </c>
      <c r="Z826" s="3" t="str">
        <f>IFERROR(__xludf.DUMMYFUNCTION("""COMPUTED_VALUE"""),"ตลาด")</f>
        <v>ตลาด</v>
      </c>
      <c r="AA826" s="3" t="str">
        <f>IFERROR(__xludf.DUMMYFUNCTION("""COMPUTED_VALUE"""),"เมือง")</f>
        <v>เมือง</v>
      </c>
      <c r="AB826" s="3" t="str">
        <f>IFERROR(__xludf.DUMMYFUNCTION("""COMPUTED_VALUE"""),"มหาสารคาม")</f>
        <v>มหาสารคาม</v>
      </c>
      <c r="AC826" s="3">
        <f>IFERROR(__xludf.DUMMYFUNCTION("""COMPUTED_VALUE"""),44000.0)</f>
        <v>44000</v>
      </c>
      <c r="AD826" s="3">
        <f>IFERROR(__xludf.DUMMYFUNCTION("""COMPUTED_VALUE"""),16.20729722)</f>
        <v>16.20729722</v>
      </c>
      <c r="AE826" s="3">
        <f>IFERROR(__xludf.DUMMYFUNCTION("""COMPUTED_VALUE"""),103.2864153)</f>
        <v>103.2864153</v>
      </c>
      <c r="AF826" s="3" t="str">
        <f>IFERROR(__xludf.DUMMYFUNCTION("""COMPUTED_VALUE"""),"MBC หนองข่า-21595")</f>
        <v>MBC หนองข่า-21595</v>
      </c>
      <c r="AG826" s="3" t="str">
        <f>IFERROR(__xludf.DUMMYFUNCTION("""COMPUTED_VALUE"""),"ตะวันออกเฉียงเหนือ")</f>
        <v>ตะวันออกเฉียงเหนือ</v>
      </c>
      <c r="AH826" s="3" t="str">
        <f>IFERROR(__xludf.DUMMYFUNCTION("""COMPUTED_VALUE"""),"#N/A")</f>
        <v>#N/A</v>
      </c>
      <c r="AI826" s="3" t="str">
        <f>IFERROR(__xludf.DUMMYFUNCTION("""COMPUTED_VALUE"""),"Out of warranty")</f>
        <v>Out of warranty</v>
      </c>
      <c r="AJ826" s="3">
        <f>IFERROR(__xludf.DUMMYFUNCTION("""COMPUTED_VALUE"""),96.0)</f>
        <v>96</v>
      </c>
      <c r="AK826" s="3" t="str">
        <f>IFERROR(__xludf.DUMMYFUNCTION("""COMPUTED_VALUE"""),"MMS13")</f>
        <v>MMS13</v>
      </c>
      <c r="AL826" s="3"/>
    </row>
    <row r="827" ht="15.75" customHeight="1">
      <c r="A827" s="1" t="str">
        <f>IFERROR(__xludf.DUMMYFUNCTION("""COMPUTED_VALUE"""),"21596")</f>
        <v>21596</v>
      </c>
      <c r="B827" s="2">
        <f>IFERROR(__xludf.DUMMYFUNCTION("""COMPUTED_VALUE"""),21596.0)</f>
        <v>21596</v>
      </c>
      <c r="C827" s="3" t="str">
        <f>IFERROR(__xludf.DUMMYFUNCTION("""COMPUTED_VALUE"""),"MBC ตลาดไทยศิริ")</f>
        <v>MBC ตลาดไทยศิริ</v>
      </c>
      <c r="D827" s="3" t="str">
        <f>IFERROR(__xludf.DUMMYFUNCTION("""COMPUTED_VALUE"""),"BCM TALAD THAISIRI")</f>
        <v>BCM TALAD THAISIRI</v>
      </c>
      <c r="E827" s="1" t="str">
        <f>IFERROR(__xludf.DUMMYFUNCTION("""COMPUTED_VALUE"""),"บิ๊กซี MINI")</f>
        <v>บิ๊กซี MINI</v>
      </c>
      <c r="F827" s="1" t="str">
        <f>IFERROR(__xludf.DUMMYFUNCTION("""COMPUTED_VALUE"""),"291105")</f>
        <v>291105</v>
      </c>
      <c r="G827" s="1" t="str">
        <f>IFERROR(__xludf.DUMMYFUNCTION("""COMPUTED_VALUE"""),"นายสราวุฒิ พณิชยกุล")</f>
        <v>นายสราวุฒิ พณิชยกุล</v>
      </c>
      <c r="H827" s="1" t="str">
        <f>IFERROR(__xludf.DUMMYFUNCTION("""COMPUTED_VALUE"""),"392885")</f>
        <v>392885</v>
      </c>
      <c r="I827" s="1" t="str">
        <f>IFERROR(__xludf.DUMMYFUNCTION("""COMPUTED_VALUE"""),"น.ส.วราพร จันปลิว")</f>
        <v>น.ส.วราพร จันปลิว</v>
      </c>
      <c r="J827" s="3">
        <f>IFERROR(__xludf.DUMMYFUNCTION("""COMPUTED_VALUE"""),296868.0)</f>
        <v>296868</v>
      </c>
      <c r="K827" s="3" t="str">
        <f>IFERROR(__xludf.DUMMYFUNCTION("""COMPUTED_VALUE"""),"นายพีระพงษ์ แก้วดวงดี")</f>
        <v>นายพีระพงษ์ แก้วดวงดี</v>
      </c>
      <c r="L827" s="1" t="str">
        <f>IFERROR(__xludf.DUMMYFUNCTION("""COMPUTED_VALUE"""),"03 K.Peerapong K.")</f>
        <v>03 K.Peerapong K.</v>
      </c>
      <c r="M827" s="1" t="str">
        <f>IFERROR(__xludf.DUMMYFUNCTION("""COMPUTED_VALUE"""),"089-002-6599")</f>
        <v>089-002-6599</v>
      </c>
      <c r="N827" s="3">
        <f>IFERROR(__xludf.DUMMYFUNCTION("""COMPUTED_VALUE"""),21946.0)</f>
        <v>21946</v>
      </c>
      <c r="O827" s="3" t="str">
        <f>IFERROR(__xludf.DUMMYFUNCTION("""COMPUTED_VALUE"""),"MBC เซกา บึงกาฬ")</f>
        <v>MBC เซกา บึงกาฬ</v>
      </c>
      <c r="P827" s="4">
        <f>IFERROR(__xludf.DUMMYFUNCTION("""COMPUTED_VALUE"""),43157.0)</f>
        <v>43157</v>
      </c>
      <c r="Q827" s="3" t="str">
        <f>IFERROR(__xludf.DUMMYFUNCTION("""COMPUTED_VALUE"""),"A")</f>
        <v>A</v>
      </c>
      <c r="R827" s="3" t="str">
        <f>IFERROR(__xludf.DUMMYFUNCTION("""COMPUTED_VALUE"""),"Small Format")</f>
        <v>Small Format</v>
      </c>
      <c r="S827" s="3" t="str">
        <f>IFERROR(__xludf.DUMMYFUNCTION("""COMPUTED_VALUE"""),"BCM")</f>
        <v>BCM</v>
      </c>
      <c r="T827" s="3" t="str">
        <f>IFERROR(__xludf.DUMMYFUNCTION("""COMPUTED_VALUE"""),"#N/A")</f>
        <v>#N/A</v>
      </c>
      <c r="U827" s="3" t="str">
        <f>IFERROR(__xludf.DUMMYFUNCTION("""COMPUTED_VALUE"""),"#N/A")</f>
        <v>#N/A</v>
      </c>
      <c r="V827" s="3" t="str">
        <f>IFERROR(__xludf.DUMMYFUNCTION("""COMPUTED_VALUE"""),"N")</f>
        <v>N</v>
      </c>
      <c r="W827" s="3">
        <f>IFERROR(__xludf.DUMMYFUNCTION("""COMPUTED_VALUE"""),211406.0)</f>
        <v>211406</v>
      </c>
      <c r="X827" s="3" t="str">
        <f>IFERROR(__xludf.DUMMYFUNCTION("""COMPUTED_VALUE"""),"36/5 หมู่2 ตำบลหนองบัว อำเภอเมืองอุดรธานี จังหวัดอุดรธานี 41000")</f>
        <v>36/5 หมู่2 ตำบลหนองบัว อำเภอเมืองอุดรธานี จังหวัดอุดรธานี 41000</v>
      </c>
      <c r="Y827" s="3"/>
      <c r="Z827" s="3" t="str">
        <f>IFERROR(__xludf.DUMMYFUNCTION("""COMPUTED_VALUE"""),"หนองบัว")</f>
        <v>หนองบัว</v>
      </c>
      <c r="AA827" s="3" t="str">
        <f>IFERROR(__xludf.DUMMYFUNCTION("""COMPUTED_VALUE"""),"เมือง")</f>
        <v>เมือง</v>
      </c>
      <c r="AB827" s="3" t="str">
        <f>IFERROR(__xludf.DUMMYFUNCTION("""COMPUTED_VALUE"""),"อุดรธานี")</f>
        <v>อุดรธานี</v>
      </c>
      <c r="AC827" s="3">
        <f>IFERROR(__xludf.DUMMYFUNCTION("""COMPUTED_VALUE"""),41000.0)</f>
        <v>41000</v>
      </c>
      <c r="AD827" s="3">
        <f>IFERROR(__xludf.DUMMYFUNCTION("""COMPUTED_VALUE"""),17.3768324)</f>
        <v>17.3768324</v>
      </c>
      <c r="AE827" s="3">
        <f>IFERROR(__xludf.DUMMYFUNCTION("""COMPUTED_VALUE"""),102.8453054)</f>
        <v>102.8453054</v>
      </c>
      <c r="AF827" s="3" t="str">
        <f>IFERROR(__xludf.DUMMYFUNCTION("""COMPUTED_VALUE"""),"MBC ตลาดไทยศิริ-21596")</f>
        <v>MBC ตลาดไทยศิริ-21596</v>
      </c>
      <c r="AG827" s="3" t="str">
        <f>IFERROR(__xludf.DUMMYFUNCTION("""COMPUTED_VALUE"""),"ตะวันออกเฉียงเหนือ")</f>
        <v>ตะวันออกเฉียงเหนือ</v>
      </c>
      <c r="AH827" s="3" t="str">
        <f>IFERROR(__xludf.DUMMYFUNCTION("""COMPUTED_VALUE"""),"#N/A")</f>
        <v>#N/A</v>
      </c>
      <c r="AI827" s="3" t="str">
        <f>IFERROR(__xludf.DUMMYFUNCTION("""COMPUTED_VALUE"""),"Out of warranty")</f>
        <v>Out of warranty</v>
      </c>
      <c r="AJ827" s="3">
        <f>IFERROR(__xludf.DUMMYFUNCTION("""COMPUTED_VALUE"""),95.0)</f>
        <v>95</v>
      </c>
      <c r="AK827" s="3" t="str">
        <f>IFERROR(__xludf.DUMMYFUNCTION("""COMPUTED_VALUE"""),"MMS12")</f>
        <v>MMS12</v>
      </c>
      <c r="AL827" s="3"/>
    </row>
    <row r="828" ht="15.75" customHeight="1">
      <c r="A828" s="1" t="str">
        <f>IFERROR(__xludf.DUMMYFUNCTION("""COMPUTED_VALUE"""),"21597")</f>
        <v>21597</v>
      </c>
      <c r="B828" s="2">
        <f>IFERROR(__xludf.DUMMYFUNCTION("""COMPUTED_VALUE"""),21597.0)</f>
        <v>21597</v>
      </c>
      <c r="C828" s="3" t="str">
        <f>IFERROR(__xludf.DUMMYFUNCTION("""COMPUTED_VALUE"""),"MBC บางพระ")</f>
        <v>MBC บางพระ</v>
      </c>
      <c r="D828" s="3" t="str">
        <f>IFERROR(__xludf.DUMMYFUNCTION("""COMPUTED_VALUE"""),"BCM BANGPHRA")</f>
        <v>BCM BANGPHRA</v>
      </c>
      <c r="E828" s="1" t="str">
        <f>IFERROR(__xludf.DUMMYFUNCTION("""COMPUTED_VALUE"""),"บิ๊กซี MINI")</f>
        <v>บิ๊กซี MINI</v>
      </c>
      <c r="F828" s="1" t="str">
        <f>IFERROR(__xludf.DUMMYFUNCTION("""COMPUTED_VALUE"""),"221716")</f>
        <v>221716</v>
      </c>
      <c r="G828" s="1" t="str">
        <f>IFERROR(__xludf.DUMMYFUNCTION("""COMPUTED_VALUE"""),"น.ส.เบญจพร โพธิสาร")</f>
        <v>น.ส.เบญจพร โพธิสาร</v>
      </c>
      <c r="H828" s="1" t="str">
        <f>IFERROR(__xludf.DUMMYFUNCTION("""COMPUTED_VALUE"""),"476018")</f>
        <v>476018</v>
      </c>
      <c r="I828" s="1" t="str">
        <f>IFERROR(__xludf.DUMMYFUNCTION("""COMPUTED_VALUE"""),"นายศราวุฒิ ชูพันดุง")</f>
        <v>นายศราวุฒิ ชูพันดุง</v>
      </c>
      <c r="J828" s="3">
        <f>IFERROR(__xludf.DUMMYFUNCTION("""COMPUTED_VALUE"""),1.3461215E7)</f>
        <v>13461215</v>
      </c>
      <c r="K828" s="3" t="str">
        <f>IFERROR(__xludf.DUMMYFUNCTION("""COMPUTED_VALUE"""),"นายธีรภัทร สังข์เงิน")</f>
        <v>นายธีรภัทร สังข์เงิน</v>
      </c>
      <c r="L828" s="1" t="str">
        <f>IFERROR(__xludf.DUMMYFUNCTION("""COMPUTED_VALUE"""),"06 K.Teerapat")</f>
        <v>06 K.Teerapat</v>
      </c>
      <c r="M828" s="1" t="str">
        <f>IFERROR(__xludf.DUMMYFUNCTION("""COMPUTED_VALUE"""),"063-601-6803")</f>
        <v>063-601-6803</v>
      </c>
      <c r="N828" s="3">
        <f>IFERROR(__xludf.DUMMYFUNCTION("""COMPUTED_VALUE"""),22115.0)</f>
        <v>22115</v>
      </c>
      <c r="O828" s="3" t="str">
        <f>IFERROR(__xludf.DUMMYFUNCTION("""COMPUTED_VALUE"""),"MBC เลี่ยงหนองมน ชลบุรี")</f>
        <v>MBC เลี่ยงหนองมน ชลบุรี</v>
      </c>
      <c r="P828" s="4">
        <f>IFERROR(__xludf.DUMMYFUNCTION("""COMPUTED_VALUE"""),43127.0)</f>
        <v>43127</v>
      </c>
      <c r="Q828" s="3" t="str">
        <f>IFERROR(__xludf.DUMMYFUNCTION("""COMPUTED_VALUE"""),"A")</f>
        <v>A</v>
      </c>
      <c r="R828" s="3" t="str">
        <f>IFERROR(__xludf.DUMMYFUNCTION("""COMPUTED_VALUE"""),"Small Format")</f>
        <v>Small Format</v>
      </c>
      <c r="S828" s="3" t="str">
        <f>IFERROR(__xludf.DUMMYFUNCTION("""COMPUTED_VALUE"""),"BCM")</f>
        <v>BCM</v>
      </c>
      <c r="T828" s="3" t="str">
        <f>IFERROR(__xludf.DUMMYFUNCTION("""COMPUTED_VALUE"""),"#N/A")</f>
        <v>#N/A</v>
      </c>
      <c r="U828" s="3" t="str">
        <f>IFERROR(__xludf.DUMMYFUNCTION("""COMPUTED_VALUE"""),"#N/A")</f>
        <v>#N/A</v>
      </c>
      <c r="V828" s="3" t="str">
        <f>IFERROR(__xludf.DUMMYFUNCTION("""COMPUTED_VALUE"""),"N")</f>
        <v>N</v>
      </c>
      <c r="W828" s="3">
        <f>IFERROR(__xludf.DUMMYFUNCTION("""COMPUTED_VALUE"""),211450.0)</f>
        <v>211450</v>
      </c>
      <c r="X828" s="3" t="str">
        <f>IFERROR(__xludf.DUMMYFUNCTION("""COMPUTED_VALUE"""),"19/153 หมู่6 ตำบลบางพระ อำเภอศรีราชา จังหวัดชลบุรี 20110")</f>
        <v>19/153 หมู่6 ตำบลบางพระ อำเภอศรีราชา จังหวัดชลบุรี 20110</v>
      </c>
      <c r="Y828" s="3"/>
      <c r="Z828" s="3" t="str">
        <f>IFERROR(__xludf.DUMMYFUNCTION("""COMPUTED_VALUE"""),"บางพระ")</f>
        <v>บางพระ</v>
      </c>
      <c r="AA828" s="3" t="str">
        <f>IFERROR(__xludf.DUMMYFUNCTION("""COMPUTED_VALUE"""),"ศรีราชา")</f>
        <v>ศรีราชา</v>
      </c>
      <c r="AB828" s="3" t="str">
        <f>IFERROR(__xludf.DUMMYFUNCTION("""COMPUTED_VALUE"""),"ชลบุรี")</f>
        <v>ชลบุรี</v>
      </c>
      <c r="AC828" s="3">
        <f>IFERROR(__xludf.DUMMYFUNCTION("""COMPUTED_VALUE"""),20110.0)</f>
        <v>20110</v>
      </c>
      <c r="AD828" s="3">
        <f>IFERROR(__xludf.DUMMYFUNCTION("""COMPUTED_VALUE"""),13.213497)</f>
        <v>13.213497</v>
      </c>
      <c r="AE828" s="3">
        <f>IFERROR(__xludf.DUMMYFUNCTION("""COMPUTED_VALUE"""),100.94666)</f>
        <v>100.94666</v>
      </c>
      <c r="AF828" s="3" t="str">
        <f>IFERROR(__xludf.DUMMYFUNCTION("""COMPUTED_VALUE"""),"MBC บางพระ-21597")</f>
        <v>MBC บางพระ-21597</v>
      </c>
      <c r="AG828" s="3" t="str">
        <f>IFERROR(__xludf.DUMMYFUNCTION("""COMPUTED_VALUE"""),"ตะวันออก")</f>
        <v>ตะวันออก</v>
      </c>
      <c r="AH828" s="3" t="str">
        <f>IFERROR(__xludf.DUMMYFUNCTION("""COMPUTED_VALUE"""),"#N/A")</f>
        <v>#N/A</v>
      </c>
      <c r="AI828" s="3" t="str">
        <f>IFERROR(__xludf.DUMMYFUNCTION("""COMPUTED_VALUE"""),"Out of warranty")</f>
        <v>Out of warranty</v>
      </c>
      <c r="AJ828" s="3">
        <f>IFERROR(__xludf.DUMMYFUNCTION("""COMPUTED_VALUE"""),96.0)</f>
        <v>96</v>
      </c>
      <c r="AK828" s="3" t="str">
        <f>IFERROR(__xludf.DUMMYFUNCTION("""COMPUTED_VALUE"""),"MMS06")</f>
        <v>MMS06</v>
      </c>
      <c r="AL828" s="3"/>
    </row>
    <row r="829" ht="15.75" customHeight="1">
      <c r="A829" s="1" t="str">
        <f>IFERROR(__xludf.DUMMYFUNCTION("""COMPUTED_VALUE"""),"21598")</f>
        <v>21598</v>
      </c>
      <c r="B829" s="2">
        <f>IFERROR(__xludf.DUMMYFUNCTION("""COMPUTED_VALUE"""),21598.0)</f>
        <v>21598</v>
      </c>
      <c r="C829" s="3" t="str">
        <f>IFERROR(__xludf.DUMMYFUNCTION("""COMPUTED_VALUE"""),"MBC แก่งขนุน")</f>
        <v>MBC แก่งขนุน</v>
      </c>
      <c r="D829" s="3" t="str">
        <f>IFERROR(__xludf.DUMMYFUNCTION("""COMPUTED_VALUE"""),"BCM KAENG KANUN")</f>
        <v>BCM KAENG KANUN</v>
      </c>
      <c r="E829" s="1" t="str">
        <f>IFERROR(__xludf.DUMMYFUNCTION("""COMPUTED_VALUE"""),"บิ๊กซี MINI")</f>
        <v>บิ๊กซี MINI</v>
      </c>
      <c r="F829" s="1" t="str">
        <f>IFERROR(__xludf.DUMMYFUNCTION("""COMPUTED_VALUE"""),"296229")</f>
        <v>296229</v>
      </c>
      <c r="G829" s="1" t="str">
        <f>IFERROR(__xludf.DUMMYFUNCTION("""COMPUTED_VALUE"""),"นายทนงศักดิ์ บุญมา")</f>
        <v>นายทนงศักดิ์ บุญมา</v>
      </c>
      <c r="H829" s="1" t="str">
        <f>IFERROR(__xludf.DUMMYFUNCTION("""COMPUTED_VALUE"""),"291082")</f>
        <v>291082</v>
      </c>
      <c r="I829" s="1" t="str">
        <f>IFERROR(__xludf.DUMMYFUNCTION("""COMPUTED_VALUE"""),"น.ส.วจี กันเกตุ")</f>
        <v>น.ส.วจี กันเกตุ</v>
      </c>
      <c r="J829" s="3">
        <f>IFERROR(__xludf.DUMMYFUNCTION("""COMPUTED_VALUE"""),46214.0)</f>
        <v>46214</v>
      </c>
      <c r="K829" s="3" t="str">
        <f>IFERROR(__xludf.DUMMYFUNCTION("""COMPUTED_VALUE"""),"นายศักดิ์ชัย เด็ดดอกฟ้า")</f>
        <v>นายศักดิ์ชัย เด็ดดอกฟ้า</v>
      </c>
      <c r="L829" s="1" t="str">
        <f>IFERROR(__xludf.DUMMYFUNCTION("""COMPUTED_VALUE"""),"02 K.Sakchai D")</f>
        <v>02 K.Sakchai D</v>
      </c>
      <c r="M829" s="1" t="str">
        <f>IFERROR(__xludf.DUMMYFUNCTION("""COMPUTED_VALUE"""),"065-510-7376")</f>
        <v>065-510-7376</v>
      </c>
      <c r="N829" s="3">
        <f>IFERROR(__xludf.DUMMYFUNCTION("""COMPUTED_VALUE"""),21714.0)</f>
        <v>21714</v>
      </c>
      <c r="O829" s="3" t="str">
        <f>IFERROR(__xludf.DUMMYFUNCTION("""COMPUTED_VALUE"""),"MBC เอสโซ่ วัดโบสถ์")</f>
        <v>MBC เอสโซ่ วัดโบสถ์</v>
      </c>
      <c r="P829" s="4">
        <f>IFERROR(__xludf.DUMMYFUNCTION("""COMPUTED_VALUE"""),43133.0)</f>
        <v>43133</v>
      </c>
      <c r="Q829" s="3" t="str">
        <f>IFERROR(__xludf.DUMMYFUNCTION("""COMPUTED_VALUE"""),"A")</f>
        <v>A</v>
      </c>
      <c r="R829" s="3" t="str">
        <f>IFERROR(__xludf.DUMMYFUNCTION("""COMPUTED_VALUE"""),"Small Format")</f>
        <v>Small Format</v>
      </c>
      <c r="S829" s="3" t="str">
        <f>IFERROR(__xludf.DUMMYFUNCTION("""COMPUTED_VALUE"""),"BCM")</f>
        <v>BCM</v>
      </c>
      <c r="T829" s="3" t="str">
        <f>IFERROR(__xludf.DUMMYFUNCTION("""COMPUTED_VALUE"""),"#N/A")</f>
        <v>#N/A</v>
      </c>
      <c r="U829" s="3" t="str">
        <f>IFERROR(__xludf.DUMMYFUNCTION("""COMPUTED_VALUE"""),"#N/A")</f>
        <v>#N/A</v>
      </c>
      <c r="V829" s="3" t="str">
        <f>IFERROR(__xludf.DUMMYFUNCTION("""COMPUTED_VALUE"""),"N")</f>
        <v>N</v>
      </c>
      <c r="W829" s="3">
        <f>IFERROR(__xludf.DUMMYFUNCTION("""COMPUTED_VALUE"""),211510.0)</f>
        <v>211510</v>
      </c>
      <c r="X829" s="3" t="str">
        <f>IFERROR(__xludf.DUMMYFUNCTION("""COMPUTED_VALUE"""),"249/199 ถนนเทศบาล4 ตำบลปากเพรียว อำเภอเมืองสระบุรี จังหวัดสระบุรี 18000")</f>
        <v>249/199 ถนนเทศบาล4 ตำบลปากเพรียว อำเภอเมืองสระบุรี จังหวัดสระบุรี 18000</v>
      </c>
      <c r="Y829" s="3" t="str">
        <f>IFERROR(__xludf.DUMMYFUNCTION("""COMPUTED_VALUE"""),"ถนนเทศบาล4")</f>
        <v>ถนนเทศบาล4</v>
      </c>
      <c r="Z829" s="3" t="str">
        <f>IFERROR(__xludf.DUMMYFUNCTION("""COMPUTED_VALUE"""),"ปากเพรียว")</f>
        <v>ปากเพรียว</v>
      </c>
      <c r="AA829" s="3" t="str">
        <f>IFERROR(__xludf.DUMMYFUNCTION("""COMPUTED_VALUE"""),"เมือง")</f>
        <v>เมือง</v>
      </c>
      <c r="AB829" s="3" t="str">
        <f>IFERROR(__xludf.DUMMYFUNCTION("""COMPUTED_VALUE"""),"สระบุรี")</f>
        <v>สระบุรี</v>
      </c>
      <c r="AC829" s="3">
        <f>IFERROR(__xludf.DUMMYFUNCTION("""COMPUTED_VALUE"""),18000.0)</f>
        <v>18000</v>
      </c>
      <c r="AD829" s="3">
        <f>IFERROR(__xludf.DUMMYFUNCTION("""COMPUTED_VALUE"""),14.546237)</f>
        <v>14.546237</v>
      </c>
      <c r="AE829" s="3">
        <f>IFERROR(__xludf.DUMMYFUNCTION("""COMPUTED_VALUE"""),100.922702)</f>
        <v>100.922702</v>
      </c>
      <c r="AF829" s="3" t="str">
        <f>IFERROR(__xludf.DUMMYFUNCTION("""COMPUTED_VALUE"""),"MBC แก่งขนุน-21598")</f>
        <v>MBC แก่งขนุน-21598</v>
      </c>
      <c r="AG829" s="3" t="str">
        <f>IFERROR(__xludf.DUMMYFUNCTION("""COMPUTED_VALUE"""),"กลาง")</f>
        <v>กลาง</v>
      </c>
      <c r="AH829" s="3" t="str">
        <f>IFERROR(__xludf.DUMMYFUNCTION("""COMPUTED_VALUE"""),"#N/A")</f>
        <v>#N/A</v>
      </c>
      <c r="AI829" s="3" t="str">
        <f>IFERROR(__xludf.DUMMYFUNCTION("""COMPUTED_VALUE"""),"Out of warranty")</f>
        <v>Out of warranty</v>
      </c>
      <c r="AJ829" s="3">
        <f>IFERROR(__xludf.DUMMYFUNCTION("""COMPUTED_VALUE"""),96.0)</f>
        <v>96</v>
      </c>
      <c r="AK829" s="3" t="str">
        <f>IFERROR(__xludf.DUMMYFUNCTION("""COMPUTED_VALUE"""),"MMS09")</f>
        <v>MMS09</v>
      </c>
      <c r="AL829" s="3"/>
    </row>
    <row r="830" ht="15.75" customHeight="1">
      <c r="A830" s="1" t="str">
        <f>IFERROR(__xludf.DUMMYFUNCTION("""COMPUTED_VALUE"""),"21599")</f>
        <v>21599</v>
      </c>
      <c r="B830" s="2">
        <f>IFERROR(__xludf.DUMMYFUNCTION("""COMPUTED_VALUE"""),21599.0)</f>
        <v>21599</v>
      </c>
      <c r="C830" s="3" t="str">
        <f>IFERROR(__xludf.DUMMYFUNCTION("""COMPUTED_VALUE"""),"MBC โนนม่วง")</f>
        <v>MBC โนนม่วง</v>
      </c>
      <c r="D830" s="3" t="str">
        <f>IFERROR(__xludf.DUMMYFUNCTION("""COMPUTED_VALUE"""),"BCM NON MUANG")</f>
        <v>BCM NON MUANG</v>
      </c>
      <c r="E830" s="1" t="str">
        <f>IFERROR(__xludf.DUMMYFUNCTION("""COMPUTED_VALUE"""),"บิ๊กซี MINI")</f>
        <v>บิ๊กซี MINI</v>
      </c>
      <c r="F830" s="1" t="str">
        <f>IFERROR(__xludf.DUMMYFUNCTION("""COMPUTED_VALUE"""),"291105")</f>
        <v>291105</v>
      </c>
      <c r="G830" s="1" t="str">
        <f>IFERROR(__xludf.DUMMYFUNCTION("""COMPUTED_VALUE"""),"นายสราวุฒิ พณิชยกุล")</f>
        <v>นายสราวุฒิ พณิชยกุล</v>
      </c>
      <c r="H830" s="1" t="str">
        <f>IFERROR(__xludf.DUMMYFUNCTION("""COMPUTED_VALUE"""),"305119")</f>
        <v>305119</v>
      </c>
      <c r="I830" s="1" t="str">
        <f>IFERROR(__xludf.DUMMYFUNCTION("""COMPUTED_VALUE"""),"นายไชยกร ลีพิบูลย์สวัสดิ์")</f>
        <v>นายไชยกร ลีพิบูลย์สวัสดิ์</v>
      </c>
      <c r="J830" s="3">
        <f>IFERROR(__xludf.DUMMYFUNCTION("""COMPUTED_VALUE"""),296868.0)</f>
        <v>296868</v>
      </c>
      <c r="K830" s="3" t="str">
        <f>IFERROR(__xludf.DUMMYFUNCTION("""COMPUTED_VALUE"""),"นายพีระพงษ์ แก้วดวงดี")</f>
        <v>นายพีระพงษ์ แก้วดวงดี</v>
      </c>
      <c r="L830" s="1" t="str">
        <f>IFERROR(__xludf.DUMMYFUNCTION("""COMPUTED_VALUE"""),"03 K.Peerapong K.")</f>
        <v>03 K.Peerapong K.</v>
      </c>
      <c r="M830" s="1" t="str">
        <f>IFERROR(__xludf.DUMMYFUNCTION("""COMPUTED_VALUE"""),"089-002-6599")</f>
        <v>089-002-6599</v>
      </c>
      <c r="N830" s="3">
        <f>IFERROR(__xludf.DUMMYFUNCTION("""COMPUTED_VALUE"""),21946.0)</f>
        <v>21946</v>
      </c>
      <c r="O830" s="3" t="str">
        <f>IFERROR(__xludf.DUMMYFUNCTION("""COMPUTED_VALUE"""),"MBC เซกา บึงกาฬ")</f>
        <v>MBC เซกา บึงกาฬ</v>
      </c>
      <c r="P830" s="4">
        <f>IFERROR(__xludf.DUMMYFUNCTION("""COMPUTED_VALUE"""),43142.0)</f>
        <v>43142</v>
      </c>
      <c r="Q830" s="3" t="str">
        <f>IFERROR(__xludf.DUMMYFUNCTION("""COMPUTED_VALUE"""),"A")</f>
        <v>A</v>
      </c>
      <c r="R830" s="3" t="str">
        <f>IFERROR(__xludf.DUMMYFUNCTION("""COMPUTED_VALUE"""),"Small Format")</f>
        <v>Small Format</v>
      </c>
      <c r="S830" s="3" t="str">
        <f>IFERROR(__xludf.DUMMYFUNCTION("""COMPUTED_VALUE"""),"BCM")</f>
        <v>BCM</v>
      </c>
      <c r="T830" s="3" t="str">
        <f>IFERROR(__xludf.DUMMYFUNCTION("""COMPUTED_VALUE"""),"#N/A")</f>
        <v>#N/A</v>
      </c>
      <c r="U830" s="3" t="str">
        <f>IFERROR(__xludf.DUMMYFUNCTION("""COMPUTED_VALUE"""),"#N/A")</f>
        <v>#N/A</v>
      </c>
      <c r="V830" s="3" t="str">
        <f>IFERROR(__xludf.DUMMYFUNCTION("""COMPUTED_VALUE"""),"N")</f>
        <v>N</v>
      </c>
      <c r="W830" s="3">
        <f>IFERROR(__xludf.DUMMYFUNCTION("""COMPUTED_VALUE"""),211553.0)</f>
        <v>211553</v>
      </c>
      <c r="X830" s="3" t="str">
        <f>IFERROR(__xludf.DUMMYFUNCTION("""COMPUTED_VALUE"""),"781 หมู่3 ตำบลศิลา อำเภอเมืองขอนแก่น จังหวัดขอนแก่น 40000")</f>
        <v>781 หมู่3 ตำบลศิลา อำเภอเมืองขอนแก่น จังหวัดขอนแก่น 40000</v>
      </c>
      <c r="Y830" s="3"/>
      <c r="Z830" s="3" t="str">
        <f>IFERROR(__xludf.DUMMYFUNCTION("""COMPUTED_VALUE"""),"ศิลา")</f>
        <v>ศิลา</v>
      </c>
      <c r="AA830" s="3" t="str">
        <f>IFERROR(__xludf.DUMMYFUNCTION("""COMPUTED_VALUE"""),"เมือง")</f>
        <v>เมือง</v>
      </c>
      <c r="AB830" s="3" t="str">
        <f>IFERROR(__xludf.DUMMYFUNCTION("""COMPUTED_VALUE"""),"ขอนแก่น")</f>
        <v>ขอนแก่น</v>
      </c>
      <c r="AC830" s="3">
        <f>IFERROR(__xludf.DUMMYFUNCTION("""COMPUTED_VALUE"""),40000.0)</f>
        <v>40000</v>
      </c>
      <c r="AD830" s="3">
        <f>IFERROR(__xludf.DUMMYFUNCTION("""COMPUTED_VALUE"""),16.49015182)</f>
        <v>16.49015182</v>
      </c>
      <c r="AE830" s="3">
        <f>IFERROR(__xludf.DUMMYFUNCTION("""COMPUTED_VALUE"""),102.8164519)</f>
        <v>102.8164519</v>
      </c>
      <c r="AF830" s="3" t="str">
        <f>IFERROR(__xludf.DUMMYFUNCTION("""COMPUTED_VALUE"""),"MBC โนนม่วง-21599")</f>
        <v>MBC โนนม่วง-21599</v>
      </c>
      <c r="AG830" s="3" t="str">
        <f>IFERROR(__xludf.DUMMYFUNCTION("""COMPUTED_VALUE"""),"ตะวันออกเฉียงเหนือ")</f>
        <v>ตะวันออกเฉียงเหนือ</v>
      </c>
      <c r="AH830" s="3" t="str">
        <f>IFERROR(__xludf.DUMMYFUNCTION("""COMPUTED_VALUE"""),"#N/A")</f>
        <v>#N/A</v>
      </c>
      <c r="AI830" s="3" t="str">
        <f>IFERROR(__xludf.DUMMYFUNCTION("""COMPUTED_VALUE"""),"Out of warranty")</f>
        <v>Out of warranty</v>
      </c>
      <c r="AJ830" s="3">
        <f>IFERROR(__xludf.DUMMYFUNCTION("""COMPUTED_VALUE"""),96.0)</f>
        <v>96</v>
      </c>
      <c r="AK830" s="3" t="str">
        <f>IFERROR(__xludf.DUMMYFUNCTION("""COMPUTED_VALUE"""),"MMS12")</f>
        <v>MMS12</v>
      </c>
      <c r="AL830" s="3"/>
    </row>
    <row r="831" ht="15.75" customHeight="1">
      <c r="A831" s="1" t="str">
        <f>IFERROR(__xludf.DUMMYFUNCTION("""COMPUTED_VALUE"""),"21600")</f>
        <v>21600</v>
      </c>
      <c r="B831" s="2">
        <f>IFERROR(__xludf.DUMMYFUNCTION("""COMPUTED_VALUE"""),21600.0)</f>
        <v>21600</v>
      </c>
      <c r="C831" s="3" t="str">
        <f>IFERROR(__xludf.DUMMYFUNCTION("""COMPUTED_VALUE"""),"MBC เทียนทะเล 20")</f>
        <v>MBC เทียนทะเล 20</v>
      </c>
      <c r="D831" s="3" t="str">
        <f>IFERROR(__xludf.DUMMYFUNCTION("""COMPUTED_VALUE"""),"BCM THIAN THALE 20")</f>
        <v>BCM THIAN THALE 20</v>
      </c>
      <c r="E831" s="1" t="str">
        <f>IFERROR(__xludf.DUMMYFUNCTION("""COMPUTED_VALUE"""),"บิ๊กซี MINI")</f>
        <v>บิ๊กซี MINI</v>
      </c>
      <c r="F831" s="1" t="str">
        <f>IFERROR(__xludf.DUMMYFUNCTION("""COMPUTED_VALUE"""),"291008")</f>
        <v>291008</v>
      </c>
      <c r="G831" s="1" t="str">
        <f>IFERROR(__xludf.DUMMYFUNCTION("""COMPUTED_VALUE"""),"น.ส.รัชดาพร อีศรัตน์")</f>
        <v>น.ส.รัชดาพร อีศรัตน์</v>
      </c>
      <c r="H831" s="1" t="str">
        <f>IFERROR(__xludf.DUMMYFUNCTION("""COMPUTED_VALUE"""),"254800")</f>
        <v>254800</v>
      </c>
      <c r="I831" s="1" t="str">
        <f>IFERROR(__xludf.DUMMYFUNCTION("""COMPUTED_VALUE"""),"น.ส.นัชมล กางกรณ์")</f>
        <v>น.ส.นัชมล กางกรณ์</v>
      </c>
      <c r="J831" s="3">
        <f>IFERROR(__xludf.DUMMYFUNCTION("""COMPUTED_VALUE"""),296608.0)</f>
        <v>296608</v>
      </c>
      <c r="K831" s="3" t="str">
        <f>IFERROR(__xludf.DUMMYFUNCTION("""COMPUTED_VALUE"""),"นายภาคภูมิ เพ็ชรนิล")</f>
        <v>นายภาคภูมิ เพ็ชรนิล</v>
      </c>
      <c r="L831" s="1" t="str">
        <f>IFERROR(__xludf.DUMMYFUNCTION("""COMPUTED_VALUE"""),"10 K.Phakphoom P.")</f>
        <v>10 K.Phakphoom P.</v>
      </c>
      <c r="M831" s="1" t="str">
        <f>IFERROR(__xludf.DUMMYFUNCTION("""COMPUTED_VALUE"""),"063-8955329")</f>
        <v>063-8955329</v>
      </c>
      <c r="N831" s="3">
        <f>IFERROR(__xludf.DUMMYFUNCTION("""COMPUTED_VALUE"""),22584.0)</f>
        <v>22584</v>
      </c>
      <c r="O831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831" s="4">
        <f>IFERROR(__xludf.DUMMYFUNCTION("""COMPUTED_VALUE"""),43143.0)</f>
        <v>43143</v>
      </c>
      <c r="Q831" s="3" t="str">
        <f>IFERROR(__xludf.DUMMYFUNCTION("""COMPUTED_VALUE"""),"A")</f>
        <v>A</v>
      </c>
      <c r="R831" s="3" t="str">
        <f>IFERROR(__xludf.DUMMYFUNCTION("""COMPUTED_VALUE"""),"Small Format")</f>
        <v>Small Format</v>
      </c>
      <c r="S831" s="3" t="str">
        <f>IFERROR(__xludf.DUMMYFUNCTION("""COMPUTED_VALUE"""),"BCM")</f>
        <v>BCM</v>
      </c>
      <c r="T831" s="3" t="str">
        <f>IFERROR(__xludf.DUMMYFUNCTION("""COMPUTED_VALUE"""),"#N/A")</f>
        <v>#N/A</v>
      </c>
      <c r="U831" s="3" t="str">
        <f>IFERROR(__xludf.DUMMYFUNCTION("""COMPUTED_VALUE"""),"#N/A")</f>
        <v>#N/A</v>
      </c>
      <c r="V831" s="3" t="str">
        <f>IFERROR(__xludf.DUMMYFUNCTION("""COMPUTED_VALUE"""),"N")</f>
        <v>N</v>
      </c>
      <c r="W831" s="3">
        <f>IFERROR(__xludf.DUMMYFUNCTION("""COMPUTED_VALUE"""),211497.0)</f>
        <v>211497</v>
      </c>
      <c r="X831" s="3" t="str">
        <f>IFERROR(__xludf.DUMMYFUNCTION("""COMPUTED_VALUE"""),"87/5 ซอยเทียนทะเล20 ถนนบางขุนเทียน-ชายทะเล แขวงแสมดำ เขตบางขุนเทียน กรุงเทพมหานคร 10150")</f>
        <v>87/5 ซอยเทียนทะเล20 ถนนบางขุนเทียน-ชายทะเล แขวงแสมดำ เขตบางขุนเทียน กรุงเทพมหานคร 10150</v>
      </c>
      <c r="Y831" s="3" t="str">
        <f>IFERROR(__xludf.DUMMYFUNCTION("""COMPUTED_VALUE"""),"ซอยเทียนทะเล20")</f>
        <v>ซอยเทียนทะเล20</v>
      </c>
      <c r="Z831" s="3" t="str">
        <f>IFERROR(__xludf.DUMMYFUNCTION("""COMPUTED_VALUE"""),"แสมดำ")</f>
        <v>แสมดำ</v>
      </c>
      <c r="AA831" s="3" t="str">
        <f>IFERROR(__xludf.DUMMYFUNCTION("""COMPUTED_VALUE"""),"บางขุนเทียน")</f>
        <v>บางขุนเทียน</v>
      </c>
      <c r="AB831" s="3" t="str">
        <f>IFERROR(__xludf.DUMMYFUNCTION("""COMPUTED_VALUE"""),"กรุงเทพมหานคร")</f>
        <v>กรุงเทพมหานคร</v>
      </c>
      <c r="AC831" s="3">
        <f>IFERROR(__xludf.DUMMYFUNCTION("""COMPUTED_VALUE"""),10150.0)</f>
        <v>10150</v>
      </c>
      <c r="AD831" s="3">
        <f>IFERROR(__xludf.DUMMYFUNCTION("""COMPUTED_VALUE"""),13.621415)</f>
        <v>13.621415</v>
      </c>
      <c r="AE831" s="3">
        <f>IFERROR(__xludf.DUMMYFUNCTION("""COMPUTED_VALUE"""),100.424675)</f>
        <v>100.424675</v>
      </c>
      <c r="AF831" s="3" t="str">
        <f>IFERROR(__xludf.DUMMYFUNCTION("""COMPUTED_VALUE"""),"MBC เทียนทะเล 20-21600")</f>
        <v>MBC เทียนทะเล 20-21600</v>
      </c>
      <c r="AG831" s="3" t="str">
        <f>IFERROR(__xludf.DUMMYFUNCTION("""COMPUTED_VALUE"""),"กลาง")</f>
        <v>กลาง</v>
      </c>
      <c r="AH831" s="3" t="str">
        <f>IFERROR(__xludf.DUMMYFUNCTION("""COMPUTED_VALUE"""),"#N/A")</f>
        <v>#N/A</v>
      </c>
      <c r="AI831" s="3" t="str">
        <f>IFERROR(__xludf.DUMMYFUNCTION("""COMPUTED_VALUE"""),"Out of warranty")</f>
        <v>Out of warranty</v>
      </c>
      <c r="AJ831" s="3">
        <f>IFERROR(__xludf.DUMMYFUNCTION("""COMPUTED_VALUE"""),96.0)</f>
        <v>96</v>
      </c>
      <c r="AK831" s="3" t="str">
        <f>IFERROR(__xludf.DUMMYFUNCTION("""COMPUTED_VALUE"""),"MMS02")</f>
        <v>MMS02</v>
      </c>
      <c r="AL831" s="3"/>
    </row>
    <row r="832" ht="15.75" customHeight="1">
      <c r="A832" s="1" t="str">
        <f>IFERROR(__xludf.DUMMYFUNCTION("""COMPUTED_VALUE"""),"21601")</f>
        <v>21601</v>
      </c>
      <c r="B832" s="2">
        <f>IFERROR(__xludf.DUMMYFUNCTION("""COMPUTED_VALUE"""),21601.0)</f>
        <v>21601</v>
      </c>
      <c r="C832" s="3" t="str">
        <f>IFERROR(__xludf.DUMMYFUNCTION("""COMPUTED_VALUE"""),"MBC หมู่บ้านหรรษา อุดรธานี")</f>
        <v>MBC หมู่บ้านหรรษา อุดรธานี</v>
      </c>
      <c r="D832" s="3" t="str">
        <f>IFERROR(__xludf.DUMMYFUNCTION("""COMPUTED_VALUE"""),"BCM MOO BAAN HANSA UDON THANI")</f>
        <v>BCM MOO BAAN HANSA UDON THANI</v>
      </c>
      <c r="E832" s="1" t="str">
        <f>IFERROR(__xludf.DUMMYFUNCTION("""COMPUTED_VALUE"""),"บิ๊กซี MINI")</f>
        <v>บิ๊กซี MINI</v>
      </c>
      <c r="F832" s="1" t="str">
        <f>IFERROR(__xludf.DUMMYFUNCTION("""COMPUTED_VALUE"""),"291105")</f>
        <v>291105</v>
      </c>
      <c r="G832" s="1" t="str">
        <f>IFERROR(__xludf.DUMMYFUNCTION("""COMPUTED_VALUE"""),"นายสราวุฒิ พณิชยกุล")</f>
        <v>นายสราวุฒิ พณิชยกุล</v>
      </c>
      <c r="H832" s="1" t="str">
        <f>IFERROR(__xludf.DUMMYFUNCTION("""COMPUTED_VALUE"""),"392005")</f>
        <v>392005</v>
      </c>
      <c r="I832" s="1" t="str">
        <f>IFERROR(__xludf.DUMMYFUNCTION("""COMPUTED_VALUE"""),"นายรัฐพล หาญลำยวง")</f>
        <v>นายรัฐพล หาญลำยวง</v>
      </c>
      <c r="J832" s="3">
        <f>IFERROR(__xludf.DUMMYFUNCTION("""COMPUTED_VALUE"""),296868.0)</f>
        <v>296868</v>
      </c>
      <c r="K832" s="3" t="str">
        <f>IFERROR(__xludf.DUMMYFUNCTION("""COMPUTED_VALUE"""),"นายพีระพงษ์ แก้วดวงดี")</f>
        <v>นายพีระพงษ์ แก้วดวงดี</v>
      </c>
      <c r="L832" s="1" t="str">
        <f>IFERROR(__xludf.DUMMYFUNCTION("""COMPUTED_VALUE"""),"03 K.Peerapong K.")</f>
        <v>03 K.Peerapong K.</v>
      </c>
      <c r="M832" s="1" t="str">
        <f>IFERROR(__xludf.DUMMYFUNCTION("""COMPUTED_VALUE"""),"089-002-6599")</f>
        <v>089-002-6599</v>
      </c>
      <c r="N832" s="3">
        <f>IFERROR(__xludf.DUMMYFUNCTION("""COMPUTED_VALUE"""),21946.0)</f>
        <v>21946</v>
      </c>
      <c r="O832" s="3" t="str">
        <f>IFERROR(__xludf.DUMMYFUNCTION("""COMPUTED_VALUE"""),"MBC เซกา บึงกาฬ")</f>
        <v>MBC เซกา บึงกาฬ</v>
      </c>
      <c r="P832" s="4">
        <f>IFERROR(__xludf.DUMMYFUNCTION("""COMPUTED_VALUE"""),43143.0)</f>
        <v>43143</v>
      </c>
      <c r="Q832" s="3" t="str">
        <f>IFERROR(__xludf.DUMMYFUNCTION("""COMPUTED_VALUE"""),"A")</f>
        <v>A</v>
      </c>
      <c r="R832" s="3" t="str">
        <f>IFERROR(__xludf.DUMMYFUNCTION("""COMPUTED_VALUE"""),"Small Format")</f>
        <v>Small Format</v>
      </c>
      <c r="S832" s="3" t="str">
        <f>IFERROR(__xludf.DUMMYFUNCTION("""COMPUTED_VALUE"""),"BCM")</f>
        <v>BCM</v>
      </c>
      <c r="T832" s="3" t="str">
        <f>IFERROR(__xludf.DUMMYFUNCTION("""COMPUTED_VALUE"""),"#N/A")</f>
        <v>#N/A</v>
      </c>
      <c r="U832" s="3" t="str">
        <f>IFERROR(__xludf.DUMMYFUNCTION("""COMPUTED_VALUE"""),"#N/A")</f>
        <v>#N/A</v>
      </c>
      <c r="V832" s="3" t="str">
        <f>IFERROR(__xludf.DUMMYFUNCTION("""COMPUTED_VALUE"""),"N")</f>
        <v>N</v>
      </c>
      <c r="W832" s="3">
        <f>IFERROR(__xludf.DUMMYFUNCTION("""COMPUTED_VALUE"""),211520.0)</f>
        <v>211520</v>
      </c>
      <c r="X832" s="3" t="str">
        <f>IFERROR(__xludf.DUMMYFUNCTION("""COMPUTED_VALUE"""),"687 หมู่4 ตำบลบ้านเลื่อม อำเภอเมืองอุดรธานี จังหวัดอุดรธานี 41000")</f>
        <v>687 หมู่4 ตำบลบ้านเลื่อม อำเภอเมืองอุดรธานี จังหวัดอุดรธานี 41000</v>
      </c>
      <c r="Y832" s="3"/>
      <c r="Z832" s="3" t="str">
        <f>IFERROR(__xludf.DUMMYFUNCTION("""COMPUTED_VALUE"""),"บ้านเลื่อม")</f>
        <v>บ้านเลื่อม</v>
      </c>
      <c r="AA832" s="3" t="str">
        <f>IFERROR(__xludf.DUMMYFUNCTION("""COMPUTED_VALUE"""),"เมือง")</f>
        <v>เมือง</v>
      </c>
      <c r="AB832" s="3" t="str">
        <f>IFERROR(__xludf.DUMMYFUNCTION("""COMPUTED_VALUE"""),"อุดรธานี")</f>
        <v>อุดรธานี</v>
      </c>
      <c r="AC832" s="3">
        <f>IFERROR(__xludf.DUMMYFUNCTION("""COMPUTED_VALUE"""),41000.0)</f>
        <v>41000</v>
      </c>
      <c r="AD832" s="3">
        <f>IFERROR(__xludf.DUMMYFUNCTION("""COMPUTED_VALUE"""),17.40834698)</f>
        <v>17.40834698</v>
      </c>
      <c r="AE832" s="3">
        <f>IFERROR(__xludf.DUMMYFUNCTION("""COMPUTED_VALUE"""),102.7533074)</f>
        <v>102.7533074</v>
      </c>
      <c r="AF832" s="3" t="str">
        <f>IFERROR(__xludf.DUMMYFUNCTION("""COMPUTED_VALUE"""),"MBC หมู่บ้านหรรษา อุดรธานี-21601")</f>
        <v>MBC หมู่บ้านหรรษา อุดรธานี-21601</v>
      </c>
      <c r="AG832" s="3" t="str">
        <f>IFERROR(__xludf.DUMMYFUNCTION("""COMPUTED_VALUE"""),"ตะวันออกเฉียงเหนือ")</f>
        <v>ตะวันออกเฉียงเหนือ</v>
      </c>
      <c r="AH832" s="3" t="str">
        <f>IFERROR(__xludf.DUMMYFUNCTION("""COMPUTED_VALUE"""),"#N/A")</f>
        <v>#N/A</v>
      </c>
      <c r="AI832" s="3" t="str">
        <f>IFERROR(__xludf.DUMMYFUNCTION("""COMPUTED_VALUE"""),"Out of warranty")</f>
        <v>Out of warranty</v>
      </c>
      <c r="AJ832" s="3">
        <f>IFERROR(__xludf.DUMMYFUNCTION("""COMPUTED_VALUE"""),96.0)</f>
        <v>96</v>
      </c>
      <c r="AK832" s="3" t="str">
        <f>IFERROR(__xludf.DUMMYFUNCTION("""COMPUTED_VALUE"""),"MMS12")</f>
        <v>MMS12</v>
      </c>
      <c r="AL832" s="3"/>
    </row>
    <row r="833" ht="15.75" customHeight="1">
      <c r="A833" s="1" t="str">
        <f>IFERROR(__xludf.DUMMYFUNCTION("""COMPUTED_VALUE"""),"21602")</f>
        <v>21602</v>
      </c>
      <c r="B833" s="2">
        <f>IFERROR(__xludf.DUMMYFUNCTION("""COMPUTED_VALUE"""),21602.0)</f>
        <v>21602</v>
      </c>
      <c r="C833" s="3" t="str">
        <f>IFERROR(__xludf.DUMMYFUNCTION("""COMPUTED_VALUE"""),"MBC เคหะชุมชนสุราษฎร์ธานี")</f>
        <v>MBC เคหะชุมชนสุราษฎร์ธานี</v>
      </c>
      <c r="D833" s="3" t="str">
        <f>IFERROR(__xludf.DUMMYFUNCTION("""COMPUTED_VALUE"""),"BCM KAYHA CHOMCHONSURATTHANI")</f>
        <v>BCM KAYHA CHOMCHONSURATTHANI</v>
      </c>
      <c r="E833" s="1" t="str">
        <f>IFERROR(__xludf.DUMMYFUNCTION("""COMPUTED_VALUE"""),"บิ๊กซี MINI")</f>
        <v>บิ๊กซี MINI</v>
      </c>
      <c r="F833" s="1" t="str">
        <f>IFERROR(__xludf.DUMMYFUNCTION("""COMPUTED_VALUE"""),"250760")</f>
        <v>250760</v>
      </c>
      <c r="G833" s="1" t="str">
        <f>IFERROR(__xludf.DUMMYFUNCTION("""COMPUTED_VALUE"""),"นายประทวน สาราบรรณ์")</f>
        <v>นายประทวน สาราบรรณ์</v>
      </c>
      <c r="H833" s="1" t="str">
        <f>IFERROR(__xludf.DUMMYFUNCTION("""COMPUTED_VALUE"""),"228389")</f>
        <v>228389</v>
      </c>
      <c r="I833" s="1" t="str">
        <f>IFERROR(__xludf.DUMMYFUNCTION("""COMPUTED_VALUE"""),"นายมณีรันดร์ ชัยชนะ")</f>
        <v>นายมณีรันดร์ ชัยชนะ</v>
      </c>
      <c r="J833" s="3">
        <f>IFERROR(__xludf.DUMMYFUNCTION("""COMPUTED_VALUE"""),25324.0)</f>
        <v>25324</v>
      </c>
      <c r="K833" s="3" t="str">
        <f>IFERROR(__xludf.DUMMYFUNCTION("""COMPUTED_VALUE"""),"นายวิเชฎฐ์ ติรัตนะประคม")</f>
        <v>นายวิเชฎฐ์ ติรัตนะประคม</v>
      </c>
      <c r="L833" s="1" t="str">
        <f>IFERROR(__xludf.DUMMYFUNCTION("""COMPUTED_VALUE"""),"14 K.Wichet T.")</f>
        <v>14 K.Wichet T.</v>
      </c>
      <c r="M833" s="1" t="str">
        <f>IFERROR(__xludf.DUMMYFUNCTION("""COMPUTED_VALUE"""),"061-417-6569 / 086-445-5636")</f>
        <v>061-417-6569 / 086-445-5636</v>
      </c>
      <c r="N833" s="3">
        <f>IFERROR(__xludf.DUMMYFUNCTION("""COMPUTED_VALUE"""),22658.0)</f>
        <v>22658</v>
      </c>
      <c r="O833" s="3" t="str">
        <f>IFERROR(__xludf.DUMMYFUNCTION("""COMPUTED_VALUE"""),"BCM ถ.วิรัชหงษ์หยก ภูเก็ต")</f>
        <v>BCM ถ.วิรัชหงษ์หยก ภูเก็ต</v>
      </c>
      <c r="P833" s="4">
        <f>IFERROR(__xludf.DUMMYFUNCTION("""COMPUTED_VALUE"""),43155.0)</f>
        <v>43155</v>
      </c>
      <c r="Q833" s="3" t="str">
        <f>IFERROR(__xludf.DUMMYFUNCTION("""COMPUTED_VALUE"""),"A")</f>
        <v>A</v>
      </c>
      <c r="R833" s="3" t="str">
        <f>IFERROR(__xludf.DUMMYFUNCTION("""COMPUTED_VALUE"""),"Small Format")</f>
        <v>Small Format</v>
      </c>
      <c r="S833" s="3" t="str">
        <f>IFERROR(__xludf.DUMMYFUNCTION("""COMPUTED_VALUE"""),"BCM")</f>
        <v>BCM</v>
      </c>
      <c r="T833" s="3" t="str">
        <f>IFERROR(__xludf.DUMMYFUNCTION("""COMPUTED_VALUE"""),"#N/A")</f>
        <v>#N/A</v>
      </c>
      <c r="U833" s="3" t="str">
        <f>IFERROR(__xludf.DUMMYFUNCTION("""COMPUTED_VALUE"""),"#N/A")</f>
        <v>#N/A</v>
      </c>
      <c r="V833" s="3" t="str">
        <f>IFERROR(__xludf.DUMMYFUNCTION("""COMPUTED_VALUE"""),"N")</f>
        <v>N</v>
      </c>
      <c r="W833" s="3">
        <f>IFERROR(__xludf.DUMMYFUNCTION("""COMPUTED_VALUE"""),211494.0)</f>
        <v>211494</v>
      </c>
      <c r="X833" s="3" t="str">
        <f>IFERROR(__xludf.DUMMYFUNCTION("""COMPUTED_VALUE"""),"70/205 หมู่2 ถนนนาเนียน ตำบลมะขามเตี้ย อำเภอเมืองสุราษฎร์ธานี จังหวัดสุราษฎร์ธานี 84000")</f>
        <v>70/205 หมู่2 ถนนนาเนียน ตำบลมะขามเตี้ย อำเภอเมืองสุราษฎร์ธานี จังหวัดสุราษฎร์ธานี 84000</v>
      </c>
      <c r="Y833" s="3"/>
      <c r="Z833" s="3" t="str">
        <f>IFERROR(__xludf.DUMMYFUNCTION("""COMPUTED_VALUE"""),"มะขามเตี้ย")</f>
        <v>มะขามเตี้ย</v>
      </c>
      <c r="AA833" s="3" t="str">
        <f>IFERROR(__xludf.DUMMYFUNCTION("""COMPUTED_VALUE"""),"เมือง")</f>
        <v>เมือง</v>
      </c>
      <c r="AB833" s="3" t="str">
        <f>IFERROR(__xludf.DUMMYFUNCTION("""COMPUTED_VALUE"""),"สุราษฎร์ธานี")</f>
        <v>สุราษฎร์ธานี</v>
      </c>
      <c r="AC833" s="3">
        <f>IFERROR(__xludf.DUMMYFUNCTION("""COMPUTED_VALUE"""),84000.0)</f>
        <v>84000</v>
      </c>
      <c r="AD833" s="3">
        <f>IFERROR(__xludf.DUMMYFUNCTION("""COMPUTED_VALUE"""),9.104942)</f>
        <v>9.104942</v>
      </c>
      <c r="AE833" s="3">
        <f>IFERROR(__xludf.DUMMYFUNCTION("""COMPUTED_VALUE"""),99.312769)</f>
        <v>99.312769</v>
      </c>
      <c r="AF833" s="3" t="str">
        <f>IFERROR(__xludf.DUMMYFUNCTION("""COMPUTED_VALUE"""),"MBC เคหะชุมชนสุราษฎร์ธานี-21602")</f>
        <v>MBC เคหะชุมชนสุราษฎร์ธานี-21602</v>
      </c>
      <c r="AG833" s="3" t="str">
        <f>IFERROR(__xludf.DUMMYFUNCTION("""COMPUTED_VALUE"""),"ใต้")</f>
        <v>ใต้</v>
      </c>
      <c r="AH833" s="3" t="str">
        <f>IFERROR(__xludf.DUMMYFUNCTION("""COMPUTED_VALUE"""),"#N/A")</f>
        <v>#N/A</v>
      </c>
      <c r="AI833" s="3" t="str">
        <f>IFERROR(__xludf.DUMMYFUNCTION("""COMPUTED_VALUE"""),"Out of warranty")</f>
        <v>Out of warranty</v>
      </c>
      <c r="AJ833" s="3">
        <f>IFERROR(__xludf.DUMMYFUNCTION("""COMPUTED_VALUE"""),95.0)</f>
        <v>95</v>
      </c>
      <c r="AK833" s="3" t="str">
        <f>IFERROR(__xludf.DUMMYFUNCTION("""COMPUTED_VALUE"""),"MMS14")</f>
        <v>MMS14</v>
      </c>
      <c r="AL833" s="3"/>
    </row>
    <row r="834" ht="15.75" customHeight="1">
      <c r="A834" s="1" t="str">
        <f>IFERROR(__xludf.DUMMYFUNCTION("""COMPUTED_VALUE"""),"21603")</f>
        <v>21603</v>
      </c>
      <c r="B834" s="2">
        <f>IFERROR(__xludf.DUMMYFUNCTION("""COMPUTED_VALUE"""),21603.0)</f>
        <v>21603</v>
      </c>
      <c r="C834" s="3" t="str">
        <f>IFERROR(__xludf.DUMMYFUNCTION("""COMPUTED_VALUE"""),"MBC ซอยมหาชัย")</f>
        <v>MBC ซอยมหาชัย</v>
      </c>
      <c r="D834" s="3" t="str">
        <f>IFERROR(__xludf.DUMMYFUNCTION("""COMPUTED_VALUE"""),"BCM SOI MAHACHAI")</f>
        <v>BCM SOI MAHACHAI</v>
      </c>
      <c r="E834" s="1" t="str">
        <f>IFERROR(__xludf.DUMMYFUNCTION("""COMPUTED_VALUE"""),"บิ๊กซี MINI")</f>
        <v>บิ๊กซี MINI</v>
      </c>
      <c r="F834" s="1" t="str">
        <f>IFERROR(__xludf.DUMMYFUNCTION("""COMPUTED_VALUE"""),"2083447")</f>
        <v>2083447</v>
      </c>
      <c r="G834" s="1" t="str">
        <f>IFERROR(__xludf.DUMMYFUNCTION("""COMPUTED_VALUE"""),"นายอนุกูล ศรีลัดดา")</f>
        <v>นายอนุกูล ศรีลัดดา</v>
      </c>
      <c r="H834" s="1" t="str">
        <f>IFERROR(__xludf.DUMMYFUNCTION("""COMPUTED_VALUE"""),"284752")</f>
        <v>284752</v>
      </c>
      <c r="I834" s="1" t="str">
        <f>IFERROR(__xludf.DUMMYFUNCTION("""COMPUTED_VALUE"""),"น.ส.วีรนันท์ แสงใส")</f>
        <v>น.ส.วีรนันท์ แสงใส</v>
      </c>
      <c r="J834" s="3">
        <f>IFERROR(__xludf.DUMMYFUNCTION("""COMPUTED_VALUE"""),2451655.0)</f>
        <v>2451655</v>
      </c>
      <c r="K834" s="3" t="str">
        <f>IFERROR(__xludf.DUMMYFUNCTION("""COMPUTED_VALUE"""),"นายวิษณุพงษ์ ชินบุตร")</f>
        <v>นายวิษณุพงษ์ ชินบุตร</v>
      </c>
      <c r="L834" s="1" t="str">
        <f>IFERROR(__xludf.DUMMYFUNCTION("""COMPUTED_VALUE"""),"13 K.Wisanupong Ch")</f>
        <v>13 K.Wisanupong Ch</v>
      </c>
      <c r="M834" s="1" t="str">
        <f>IFERROR(__xludf.DUMMYFUNCTION("""COMPUTED_VALUE"""),"0843374693")</f>
        <v>0843374693</v>
      </c>
      <c r="N834" s="3">
        <f>IFERROR(__xludf.DUMMYFUNCTION("""COMPUTED_VALUE"""),22729.0)</f>
        <v>22729</v>
      </c>
      <c r="O834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834" s="4">
        <f>IFERROR(__xludf.DUMMYFUNCTION("""COMPUTED_VALUE"""),43157.0)</f>
        <v>43157</v>
      </c>
      <c r="Q834" s="3" t="str">
        <f>IFERROR(__xludf.DUMMYFUNCTION("""COMPUTED_VALUE"""),"A")</f>
        <v>A</v>
      </c>
      <c r="R834" s="3" t="str">
        <f>IFERROR(__xludf.DUMMYFUNCTION("""COMPUTED_VALUE"""),"Small Format")</f>
        <v>Small Format</v>
      </c>
      <c r="S834" s="3" t="str">
        <f>IFERROR(__xludf.DUMMYFUNCTION("""COMPUTED_VALUE"""),"BCM")</f>
        <v>BCM</v>
      </c>
      <c r="T834" s="3" t="str">
        <f>IFERROR(__xludf.DUMMYFUNCTION("""COMPUTED_VALUE"""),"#N/A")</f>
        <v>#N/A</v>
      </c>
      <c r="U834" s="3" t="str">
        <f>IFERROR(__xludf.DUMMYFUNCTION("""COMPUTED_VALUE"""),"#N/A")</f>
        <v>#N/A</v>
      </c>
      <c r="V834" s="3" t="str">
        <f>IFERROR(__xludf.DUMMYFUNCTION("""COMPUTED_VALUE"""),"N")</f>
        <v>N</v>
      </c>
      <c r="W834" s="3">
        <f>IFERROR(__xludf.DUMMYFUNCTION("""COMPUTED_VALUE"""),211505.0)</f>
        <v>211505</v>
      </c>
      <c r="X834" s="3" t="str">
        <f>IFERROR(__xludf.DUMMYFUNCTION("""COMPUTED_VALUE"""),"59/7 หมู่13 ตำบลบางพลีใหญ่ อำเภอบางพลี จังหวัดสมุทรปราการ 10540")</f>
        <v>59/7 หมู่13 ตำบลบางพลีใหญ่ อำเภอบางพลี จังหวัดสมุทรปราการ 10540</v>
      </c>
      <c r="Y834" s="3"/>
      <c r="Z834" s="3" t="str">
        <f>IFERROR(__xludf.DUMMYFUNCTION("""COMPUTED_VALUE"""),"บางพลีใหญ่")</f>
        <v>บางพลีใหญ่</v>
      </c>
      <c r="AA834" s="3" t="str">
        <f>IFERROR(__xludf.DUMMYFUNCTION("""COMPUTED_VALUE"""),"บางพลี")</f>
        <v>บางพลี</v>
      </c>
      <c r="AB834" s="3" t="str">
        <f>IFERROR(__xludf.DUMMYFUNCTION("""COMPUTED_VALUE"""),"สมุทรปราการ")</f>
        <v>สมุทรปราการ</v>
      </c>
      <c r="AC834" s="3">
        <f>IFERROR(__xludf.DUMMYFUNCTION("""COMPUTED_VALUE"""),10540.0)</f>
        <v>10540</v>
      </c>
      <c r="AD834" s="3">
        <f>IFERROR(__xludf.DUMMYFUNCTION("""COMPUTED_VALUE"""),13.633153)</f>
        <v>13.633153</v>
      </c>
      <c r="AE834" s="3">
        <f>IFERROR(__xludf.DUMMYFUNCTION("""COMPUTED_VALUE"""),100.692217)</f>
        <v>100.692217</v>
      </c>
      <c r="AF834" s="3" t="str">
        <f>IFERROR(__xludf.DUMMYFUNCTION("""COMPUTED_VALUE"""),"MBC ซอยมหาชัย-21603")</f>
        <v>MBC ซอยมหาชัย-21603</v>
      </c>
      <c r="AG834" s="3" t="str">
        <f>IFERROR(__xludf.DUMMYFUNCTION("""COMPUTED_VALUE"""),"กลาง")</f>
        <v>กลาง</v>
      </c>
      <c r="AH834" s="3" t="str">
        <f>IFERROR(__xludf.DUMMYFUNCTION("""COMPUTED_VALUE"""),"#N/A")</f>
        <v>#N/A</v>
      </c>
      <c r="AI834" s="3" t="str">
        <f>IFERROR(__xludf.DUMMYFUNCTION("""COMPUTED_VALUE"""),"Out of warranty")</f>
        <v>Out of warranty</v>
      </c>
      <c r="AJ834" s="3">
        <f>IFERROR(__xludf.DUMMYFUNCTION("""COMPUTED_VALUE"""),95.0)</f>
        <v>95</v>
      </c>
      <c r="AK834" s="3" t="str">
        <f>IFERROR(__xludf.DUMMYFUNCTION("""COMPUTED_VALUE"""),"MMS03")</f>
        <v>MMS03</v>
      </c>
      <c r="AL834" s="3"/>
    </row>
    <row r="835" ht="15.75" customHeight="1">
      <c r="A835" s="1" t="str">
        <f>IFERROR(__xludf.DUMMYFUNCTION("""COMPUTED_VALUE"""),"21604")</f>
        <v>21604</v>
      </c>
      <c r="B835" s="2">
        <f>IFERROR(__xludf.DUMMYFUNCTION("""COMPUTED_VALUE"""),21604.0)</f>
        <v>21604</v>
      </c>
      <c r="C835" s="3" t="str">
        <f>IFERROR(__xludf.DUMMYFUNCTION("""COMPUTED_VALUE"""),"MBC เอื้ออาทร บางโฉลง")</f>
        <v>MBC เอื้ออาทร บางโฉลง</v>
      </c>
      <c r="D835" s="3" t="str">
        <f>IFERROR(__xludf.DUMMYFUNCTION("""COMPUTED_VALUE"""),"BCM AUR R-THORN BANGCHALONG")</f>
        <v>BCM AUR R-THORN BANGCHALONG</v>
      </c>
      <c r="E835" s="1" t="str">
        <f>IFERROR(__xludf.DUMMYFUNCTION("""COMPUTED_VALUE"""),"บิ๊กซี MINI")</f>
        <v>บิ๊กซี MINI</v>
      </c>
      <c r="F835" s="1" t="str">
        <f>IFERROR(__xludf.DUMMYFUNCTION("""COMPUTED_VALUE"""),"2083447")</f>
        <v>2083447</v>
      </c>
      <c r="G835" s="1" t="str">
        <f>IFERROR(__xludf.DUMMYFUNCTION("""COMPUTED_VALUE"""),"นายอนุกูล ศรีลัดดา")</f>
        <v>นายอนุกูล ศรีลัดดา</v>
      </c>
      <c r="H835" s="1" t="str">
        <f>IFERROR(__xludf.DUMMYFUNCTION("""COMPUTED_VALUE"""),"284752")</f>
        <v>284752</v>
      </c>
      <c r="I835" s="1" t="str">
        <f>IFERROR(__xludf.DUMMYFUNCTION("""COMPUTED_VALUE"""),"น.ส.วีรนันท์ แสงใส")</f>
        <v>น.ส.วีรนันท์ แสงใส</v>
      </c>
      <c r="J835" s="3">
        <f>IFERROR(__xludf.DUMMYFUNCTION("""COMPUTED_VALUE"""),2451655.0)</f>
        <v>2451655</v>
      </c>
      <c r="K835" s="3" t="str">
        <f>IFERROR(__xludf.DUMMYFUNCTION("""COMPUTED_VALUE"""),"นายวิษณุพงษ์ ชินบุตร")</f>
        <v>นายวิษณุพงษ์ ชินบุตร</v>
      </c>
      <c r="L835" s="1" t="str">
        <f>IFERROR(__xludf.DUMMYFUNCTION("""COMPUTED_VALUE"""),"13 K.Wisanupong Ch")</f>
        <v>13 K.Wisanupong Ch</v>
      </c>
      <c r="M835" s="1" t="str">
        <f>IFERROR(__xludf.DUMMYFUNCTION("""COMPUTED_VALUE"""),"0843374693")</f>
        <v>0843374693</v>
      </c>
      <c r="N835" s="3">
        <f>IFERROR(__xludf.DUMMYFUNCTION("""COMPUTED_VALUE"""),22729.0)</f>
        <v>22729</v>
      </c>
      <c r="O835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835" s="4">
        <f>IFERROR(__xludf.DUMMYFUNCTION("""COMPUTED_VALUE"""),43193.0)</f>
        <v>43193</v>
      </c>
      <c r="Q835" s="3" t="str">
        <f>IFERROR(__xludf.DUMMYFUNCTION("""COMPUTED_VALUE"""),"A")</f>
        <v>A</v>
      </c>
      <c r="R835" s="3" t="str">
        <f>IFERROR(__xludf.DUMMYFUNCTION("""COMPUTED_VALUE"""),"Small Format")</f>
        <v>Small Format</v>
      </c>
      <c r="S835" s="3" t="str">
        <f>IFERROR(__xludf.DUMMYFUNCTION("""COMPUTED_VALUE"""),"BCM")</f>
        <v>BCM</v>
      </c>
      <c r="T835" s="3" t="str">
        <f>IFERROR(__xludf.DUMMYFUNCTION("""COMPUTED_VALUE"""),"#N/A")</f>
        <v>#N/A</v>
      </c>
      <c r="U835" s="3" t="str">
        <f>IFERROR(__xludf.DUMMYFUNCTION("""COMPUTED_VALUE"""),"#N/A")</f>
        <v>#N/A</v>
      </c>
      <c r="V835" s="3" t="str">
        <f>IFERROR(__xludf.DUMMYFUNCTION("""COMPUTED_VALUE"""),"N")</f>
        <v>N</v>
      </c>
      <c r="W835" s="3">
        <f>IFERROR(__xludf.DUMMYFUNCTION("""COMPUTED_VALUE"""),211543.0)</f>
        <v>211543</v>
      </c>
      <c r="X835" s="3" t="str">
        <f>IFERROR(__xludf.DUMMYFUNCTION("""COMPUTED_VALUE"""),"70/31-33 หมู่1 ตำบลบางโฉลง อำเภอบางพลี จังหวัดสมุทรปราการ 10540")</f>
        <v>70/31-33 หมู่1 ตำบลบางโฉลง อำเภอบางพลี จังหวัดสมุทรปราการ 10540</v>
      </c>
      <c r="Y835" s="3"/>
      <c r="Z835" s="3" t="str">
        <f>IFERROR(__xludf.DUMMYFUNCTION("""COMPUTED_VALUE"""),"บางโฉลง")</f>
        <v>บางโฉลง</v>
      </c>
      <c r="AA835" s="3" t="str">
        <f>IFERROR(__xludf.DUMMYFUNCTION("""COMPUTED_VALUE"""),"บางพลี")</f>
        <v>บางพลี</v>
      </c>
      <c r="AB835" s="3" t="str">
        <f>IFERROR(__xludf.DUMMYFUNCTION("""COMPUTED_VALUE"""),"สมุทรปราการ")</f>
        <v>สมุทรปราการ</v>
      </c>
      <c r="AC835" s="3">
        <f>IFERROR(__xludf.DUMMYFUNCTION("""COMPUTED_VALUE"""),10540.0)</f>
        <v>10540</v>
      </c>
      <c r="AD835" s="3">
        <f>IFERROR(__xludf.DUMMYFUNCTION("""COMPUTED_VALUE"""),13.603197)</f>
        <v>13.603197</v>
      </c>
      <c r="AE835" s="3">
        <f>IFERROR(__xludf.DUMMYFUNCTION("""COMPUTED_VALUE"""),100.747408)</f>
        <v>100.747408</v>
      </c>
      <c r="AF835" s="3" t="str">
        <f>IFERROR(__xludf.DUMMYFUNCTION("""COMPUTED_VALUE"""),"MBC เอื้ออาทร บางโฉลง-21604")</f>
        <v>MBC เอื้ออาทร บางโฉลง-21604</v>
      </c>
      <c r="AG835" s="3" t="str">
        <f>IFERROR(__xludf.DUMMYFUNCTION("""COMPUTED_VALUE"""),"กลาง")</f>
        <v>กลาง</v>
      </c>
      <c r="AH835" s="3" t="str">
        <f>IFERROR(__xludf.DUMMYFUNCTION("""COMPUTED_VALUE"""),"#N/A")</f>
        <v>#N/A</v>
      </c>
      <c r="AI835" s="3" t="str">
        <f>IFERROR(__xludf.DUMMYFUNCTION("""COMPUTED_VALUE"""),"Out of warranty")</f>
        <v>Out of warranty</v>
      </c>
      <c r="AJ835" s="3">
        <f>IFERROR(__xludf.DUMMYFUNCTION("""COMPUTED_VALUE"""),94.0)</f>
        <v>94</v>
      </c>
      <c r="AK835" s="3" t="str">
        <f>IFERROR(__xludf.DUMMYFUNCTION("""COMPUTED_VALUE"""),"MMS03")</f>
        <v>MMS03</v>
      </c>
      <c r="AL835" s="3"/>
    </row>
    <row r="836" ht="15.75" customHeight="1">
      <c r="A836" s="1" t="str">
        <f>IFERROR(__xludf.DUMMYFUNCTION("""COMPUTED_VALUE"""),"21605")</f>
        <v>21605</v>
      </c>
      <c r="B836" s="2">
        <f>IFERROR(__xludf.DUMMYFUNCTION("""COMPUTED_VALUE"""),21605.0)</f>
        <v>21605</v>
      </c>
      <c r="C836" s="3" t="str">
        <f>IFERROR(__xludf.DUMMYFUNCTION("""COMPUTED_VALUE"""),"MBC หน้าโรงพยบาลมหาราช")</f>
        <v>MBC หน้าโรงพยบาลมหาราช</v>
      </c>
      <c r="D836" s="3" t="str">
        <f>IFERROR(__xludf.DUMMYFUNCTION("""COMPUTED_VALUE"""),"BCM NA MAHARAT HOSPITAL")</f>
        <v>BCM NA MAHARAT HOSPITAL</v>
      </c>
      <c r="E836" s="1" t="str">
        <f>IFERROR(__xludf.DUMMYFUNCTION("""COMPUTED_VALUE"""),"บิ๊กซี MINI")</f>
        <v>บิ๊กซี MINI</v>
      </c>
      <c r="F836" s="1" t="str">
        <f>IFERROR(__xludf.DUMMYFUNCTION("""COMPUTED_VALUE"""),"291105")</f>
        <v>291105</v>
      </c>
      <c r="G836" s="1" t="str">
        <f>IFERROR(__xludf.DUMMYFUNCTION("""COMPUTED_VALUE"""),"นายสราวุฒิ พณิชยกุล")</f>
        <v>นายสราวุฒิ พณิชยกุล</v>
      </c>
      <c r="H836" s="1" t="str">
        <f>IFERROR(__xludf.DUMMYFUNCTION("""COMPUTED_VALUE"""),"281315")</f>
        <v>281315</v>
      </c>
      <c r="I836" s="1" t="str">
        <f>IFERROR(__xludf.DUMMYFUNCTION("""COMPUTED_VALUE"""),"นายกิตติพงษ์ มั่นคง")</f>
        <v>นายกิตติพงษ์ มั่นคง</v>
      </c>
      <c r="J836" s="3">
        <f>IFERROR(__xludf.DUMMYFUNCTION("""COMPUTED_VALUE"""),15361.0)</f>
        <v>15361</v>
      </c>
      <c r="K836" s="3" t="str">
        <f>IFERROR(__xludf.DUMMYFUNCTION("""COMPUTED_VALUE"""),"นายสมบูรณ์ พรหมในเมือง")</f>
        <v>นายสมบูรณ์ พรหมในเมือง</v>
      </c>
      <c r="L836" s="1" t="str">
        <f>IFERROR(__xludf.DUMMYFUNCTION("""COMPUTED_VALUE"""),"04 K.Somboon P.")</f>
        <v>04 K.Somboon P.</v>
      </c>
      <c r="M836" s="1" t="str">
        <f>IFERROR(__xludf.DUMMYFUNCTION("""COMPUTED_VALUE"""),"087-965-3051")</f>
        <v>087-965-3051</v>
      </c>
      <c r="N836" s="3">
        <f>IFERROR(__xludf.DUMMYFUNCTION("""COMPUTED_VALUE"""),21869.0)</f>
        <v>21869</v>
      </c>
      <c r="O836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836" s="4">
        <f>IFERROR(__xludf.DUMMYFUNCTION("""COMPUTED_VALUE"""),43159.0)</f>
        <v>43159</v>
      </c>
      <c r="Q836" s="3" t="str">
        <f>IFERROR(__xludf.DUMMYFUNCTION("""COMPUTED_VALUE"""),"A")</f>
        <v>A</v>
      </c>
      <c r="R836" s="3" t="str">
        <f>IFERROR(__xludf.DUMMYFUNCTION("""COMPUTED_VALUE"""),"Small Format")</f>
        <v>Small Format</v>
      </c>
      <c r="S836" s="3" t="str">
        <f>IFERROR(__xludf.DUMMYFUNCTION("""COMPUTED_VALUE"""),"BCM")</f>
        <v>BCM</v>
      </c>
      <c r="T836" s="3" t="str">
        <f>IFERROR(__xludf.DUMMYFUNCTION("""COMPUTED_VALUE"""),"#N/A")</f>
        <v>#N/A</v>
      </c>
      <c r="U836" s="3" t="str">
        <f>IFERROR(__xludf.DUMMYFUNCTION("""COMPUTED_VALUE"""),"#N/A")</f>
        <v>#N/A</v>
      </c>
      <c r="V836" s="3" t="str">
        <f>IFERROR(__xludf.DUMMYFUNCTION("""COMPUTED_VALUE"""),"N")</f>
        <v>N</v>
      </c>
      <c r="W836" s="3">
        <f>IFERROR(__xludf.DUMMYFUNCTION("""COMPUTED_VALUE"""),211561.0)</f>
        <v>211561</v>
      </c>
      <c r="X836" s="3" t="str">
        <f>IFERROR(__xludf.DUMMYFUNCTION("""COMPUTED_VALUE"""),"419/1-3 ถนนช้างเผือก ตำบลในเมือง อำเภอเมืองนครราชสีมา จังหวัดนครราชสีมา 30000")</f>
        <v>419/1-3 ถนนช้างเผือก ตำบลในเมือง อำเภอเมืองนครราชสีมา จังหวัดนครราชสีมา 30000</v>
      </c>
      <c r="Y836" s="3" t="str">
        <f>IFERROR(__xludf.DUMMYFUNCTION("""COMPUTED_VALUE"""),"ถนนช้างเผือก")</f>
        <v>ถนนช้างเผือก</v>
      </c>
      <c r="Z836" s="3" t="str">
        <f>IFERROR(__xludf.DUMMYFUNCTION("""COMPUTED_VALUE"""),"ในเมือง")</f>
        <v>ในเมือง</v>
      </c>
      <c r="AA836" s="3" t="str">
        <f>IFERROR(__xludf.DUMMYFUNCTION("""COMPUTED_VALUE"""),"เมือง")</f>
        <v>เมือง</v>
      </c>
      <c r="AB836" s="3" t="str">
        <f>IFERROR(__xludf.DUMMYFUNCTION("""COMPUTED_VALUE"""),"นครราชสีมา")</f>
        <v>นครราชสีมา</v>
      </c>
      <c r="AC836" s="3">
        <f>IFERROR(__xludf.DUMMYFUNCTION("""COMPUTED_VALUE"""),30000.0)</f>
        <v>30000</v>
      </c>
      <c r="AD836" s="3">
        <f>IFERROR(__xludf.DUMMYFUNCTION("""COMPUTED_VALUE"""),14.985783)</f>
        <v>14.985783</v>
      </c>
      <c r="AE836" s="3">
        <f>IFERROR(__xludf.DUMMYFUNCTION("""COMPUTED_VALUE"""),102.104606)</f>
        <v>102.104606</v>
      </c>
      <c r="AF836" s="3" t="str">
        <f>IFERROR(__xludf.DUMMYFUNCTION("""COMPUTED_VALUE"""),"MBC หน้าโรงพยบาลมหาราช-21605")</f>
        <v>MBC หน้าโรงพยบาลมหาราช-21605</v>
      </c>
      <c r="AG836" s="3" t="str">
        <f>IFERROR(__xludf.DUMMYFUNCTION("""COMPUTED_VALUE"""),"ตะวันออกเฉียงเหนือ")</f>
        <v>ตะวันออกเฉียงเหนือ</v>
      </c>
      <c r="AH836" s="3" t="str">
        <f>IFERROR(__xludf.DUMMYFUNCTION("""COMPUTED_VALUE"""),"#N/A")</f>
        <v>#N/A</v>
      </c>
      <c r="AI836" s="3" t="str">
        <f>IFERROR(__xludf.DUMMYFUNCTION("""COMPUTED_VALUE"""),"Out of warranty")</f>
        <v>Out of warranty</v>
      </c>
      <c r="AJ836" s="3">
        <f>IFERROR(__xludf.DUMMYFUNCTION("""COMPUTED_VALUE"""),95.0)</f>
        <v>95</v>
      </c>
      <c r="AK836" s="3" t="str">
        <f>IFERROR(__xludf.DUMMYFUNCTION("""COMPUTED_VALUE"""),"MMS11")</f>
        <v>MMS11</v>
      </c>
      <c r="AL836" s="3"/>
    </row>
    <row r="837" ht="15.75" customHeight="1">
      <c r="A837" s="1" t="str">
        <f>IFERROR(__xludf.DUMMYFUNCTION("""COMPUTED_VALUE"""),"21606")</f>
        <v>21606</v>
      </c>
      <c r="B837" s="2">
        <f>IFERROR(__xludf.DUMMYFUNCTION("""COMPUTED_VALUE"""),21606.0)</f>
        <v>21606</v>
      </c>
      <c r="C837" s="3" t="str">
        <f>IFERROR(__xludf.DUMMYFUNCTION("""COMPUTED_VALUE"""),"MBC ถนนเทวัญ")</f>
        <v>MBC ถนนเทวัญ</v>
      </c>
      <c r="D837" s="3" t="str">
        <f>IFERROR(__xludf.DUMMYFUNCTION("""COMPUTED_VALUE"""),"BCM THANON TAEWAN")</f>
        <v>BCM THANON TAEWAN</v>
      </c>
      <c r="E837" s="1" t="str">
        <f>IFERROR(__xludf.DUMMYFUNCTION("""COMPUTED_VALUE"""),"บิ๊กซี MINI")</f>
        <v>บิ๊กซี MINI</v>
      </c>
      <c r="F837" s="1" t="str">
        <f>IFERROR(__xludf.DUMMYFUNCTION("""COMPUTED_VALUE"""),"296229")</f>
        <v>296229</v>
      </c>
      <c r="G837" s="1" t="str">
        <f>IFERROR(__xludf.DUMMYFUNCTION("""COMPUTED_VALUE"""),"นายทนงศักดิ์ บุญมา")</f>
        <v>นายทนงศักดิ์ บุญมา</v>
      </c>
      <c r="H837" s="1" t="str">
        <f>IFERROR(__xludf.DUMMYFUNCTION("""COMPUTED_VALUE"""),"392003")</f>
        <v>392003</v>
      </c>
      <c r="I837" s="1" t="str">
        <f>IFERROR(__xludf.DUMMYFUNCTION("""COMPUTED_VALUE"""),"นายวรภพ เศษสูงเนิน")</f>
        <v>นายวรภพ เศษสูงเนิน</v>
      </c>
      <c r="J837" s="3">
        <f>IFERROR(__xludf.DUMMYFUNCTION("""COMPUTED_VALUE"""),2010016.0)</f>
        <v>2010016</v>
      </c>
      <c r="K837" s="3" t="str">
        <f>IFERROR(__xludf.DUMMYFUNCTION("""COMPUTED_VALUE"""),"นายตวงธรรม ใหม่ยศ")</f>
        <v>นายตวงธรรม ใหม่ยศ</v>
      </c>
      <c r="L837" s="1" t="str">
        <f>IFERROR(__xludf.DUMMYFUNCTION("""COMPUTED_VALUE"""),"01 K.Tuangtham M.")</f>
        <v>01 K.Tuangtham M.</v>
      </c>
      <c r="M837" s="1" t="str">
        <f>IFERROR(__xludf.DUMMYFUNCTION("""COMPUTED_VALUE"""),"063-976-595")</f>
        <v>063-976-595</v>
      </c>
      <c r="N837" s="3">
        <f>IFERROR(__xludf.DUMMYFUNCTION("""COMPUTED_VALUE"""),22574.0)</f>
        <v>22574</v>
      </c>
      <c r="O837" s="3" t="str">
        <f>IFERROR(__xludf.DUMMYFUNCTION("""COMPUTED_VALUE"""),"BCM ชุมชนศรีชุม ลำปาง")</f>
        <v>BCM ชุมชนศรีชุม ลำปาง</v>
      </c>
      <c r="P837" s="4">
        <f>IFERROR(__xludf.DUMMYFUNCTION("""COMPUTED_VALUE"""),43268.0)</f>
        <v>43268</v>
      </c>
      <c r="Q837" s="3" t="str">
        <f>IFERROR(__xludf.DUMMYFUNCTION("""COMPUTED_VALUE"""),"A")</f>
        <v>A</v>
      </c>
      <c r="R837" s="3" t="str">
        <f>IFERROR(__xludf.DUMMYFUNCTION("""COMPUTED_VALUE"""),"Small Format")</f>
        <v>Small Format</v>
      </c>
      <c r="S837" s="3" t="str">
        <f>IFERROR(__xludf.DUMMYFUNCTION("""COMPUTED_VALUE"""),"BCM")</f>
        <v>BCM</v>
      </c>
      <c r="T837" s="3" t="str">
        <f>IFERROR(__xludf.DUMMYFUNCTION("""COMPUTED_VALUE"""),"#N/A")</f>
        <v>#N/A</v>
      </c>
      <c r="U837" s="3" t="str">
        <f>IFERROR(__xludf.DUMMYFUNCTION("""COMPUTED_VALUE"""),"#N/A")</f>
        <v>#N/A</v>
      </c>
      <c r="V837" s="3" t="str">
        <f>IFERROR(__xludf.DUMMYFUNCTION("""COMPUTED_VALUE"""),"N")</f>
        <v>N</v>
      </c>
      <c r="W837" s="3">
        <f>IFERROR(__xludf.DUMMYFUNCTION("""COMPUTED_VALUE"""),211562.0)</f>
        <v>211562</v>
      </c>
      <c r="X837" s="3" t="str">
        <f>IFERROR(__xludf.DUMMYFUNCTION("""COMPUTED_VALUE"""),"64,64/1-2 ถนนเทวัญ ตำบลช้างเผือก อำเภอเมืองเชียงใหม่ จังหวัดเชียงใหม่ 50300")</f>
        <v>64,64/1-2 ถนนเทวัญ ตำบลช้างเผือก อำเภอเมืองเชียงใหม่ จังหวัดเชียงใหม่ 50300</v>
      </c>
      <c r="Y837" s="3" t="str">
        <f>IFERROR(__xludf.DUMMYFUNCTION("""COMPUTED_VALUE"""),"ถนนเทวัญ")</f>
        <v>ถนนเทวัญ</v>
      </c>
      <c r="Z837" s="3" t="str">
        <f>IFERROR(__xludf.DUMMYFUNCTION("""COMPUTED_VALUE"""),"ช้างเผือก")</f>
        <v>ช้างเผือก</v>
      </c>
      <c r="AA837" s="3" t="str">
        <f>IFERROR(__xludf.DUMMYFUNCTION("""COMPUTED_VALUE"""),"เมือง")</f>
        <v>เมือง</v>
      </c>
      <c r="AB837" s="3" t="str">
        <f>IFERROR(__xludf.DUMMYFUNCTION("""COMPUTED_VALUE"""),"เชียงใหม่")</f>
        <v>เชียงใหม่</v>
      </c>
      <c r="AC837" s="3">
        <f>IFERROR(__xludf.DUMMYFUNCTION("""COMPUTED_VALUE"""),50300.0)</f>
        <v>50300</v>
      </c>
      <c r="AD837" s="3">
        <f>IFERROR(__xludf.DUMMYFUNCTION("""COMPUTED_VALUE"""),18.805093)</f>
        <v>18.805093</v>
      </c>
      <c r="AE837" s="3">
        <f>IFERROR(__xludf.DUMMYFUNCTION("""COMPUTED_VALUE"""),98.977407)</f>
        <v>98.977407</v>
      </c>
      <c r="AF837" s="3" t="str">
        <f>IFERROR(__xludf.DUMMYFUNCTION("""COMPUTED_VALUE"""),"MBC ถนนเทวัญ-21606")</f>
        <v>MBC ถนนเทวัญ-21606</v>
      </c>
      <c r="AG837" s="3" t="str">
        <f>IFERROR(__xludf.DUMMYFUNCTION("""COMPUTED_VALUE"""),"เหนือ")</f>
        <v>เหนือ</v>
      </c>
      <c r="AH837" s="3" t="str">
        <f>IFERROR(__xludf.DUMMYFUNCTION("""COMPUTED_VALUE"""),"#N/A")</f>
        <v>#N/A</v>
      </c>
      <c r="AI837" s="3" t="str">
        <f>IFERROR(__xludf.DUMMYFUNCTION("""COMPUTED_VALUE"""),"Out of warranty")</f>
        <v>Out of warranty</v>
      </c>
      <c r="AJ837" s="3">
        <f>IFERROR(__xludf.DUMMYFUNCTION("""COMPUTED_VALUE"""),92.0)</f>
        <v>92</v>
      </c>
      <c r="AK837" s="3" t="str">
        <f>IFERROR(__xludf.DUMMYFUNCTION("""COMPUTED_VALUE"""),"MMS10")</f>
        <v>MMS10</v>
      </c>
      <c r="AL837" s="3"/>
    </row>
    <row r="838" ht="15.75" customHeight="1">
      <c r="A838" s="1" t="str">
        <f>IFERROR(__xludf.DUMMYFUNCTION("""COMPUTED_VALUE"""),"21607")</f>
        <v>21607</v>
      </c>
      <c r="B838" s="2">
        <f>IFERROR(__xludf.DUMMYFUNCTION("""COMPUTED_VALUE"""),21607.0)</f>
        <v>21607</v>
      </c>
      <c r="C838" s="3" t="str">
        <f>IFERROR(__xludf.DUMMYFUNCTION("""COMPUTED_VALUE"""),"MBC หลังมหาวิทยาลัยสงขลานครินทร์")</f>
        <v>MBC หลังมหาวิทยาลัยสงขลานครินทร์</v>
      </c>
      <c r="D838" s="3" t="str">
        <f>IFERROR(__xludf.DUMMYFUNCTION("""COMPUTED_VALUE"""),"BCM LUNG MOR SONGKHLA-NAKARIN")</f>
        <v>BCM LUNG MOR SONGKHLA-NAKARIN</v>
      </c>
      <c r="E838" s="1" t="str">
        <f>IFERROR(__xludf.DUMMYFUNCTION("""COMPUTED_VALUE"""),"บิ๊กซี MINI")</f>
        <v>บิ๊กซี MINI</v>
      </c>
      <c r="F838" s="1" t="str">
        <f>IFERROR(__xludf.DUMMYFUNCTION("""COMPUTED_VALUE"""),"250760")</f>
        <v>250760</v>
      </c>
      <c r="G838" s="1" t="str">
        <f>IFERROR(__xludf.DUMMYFUNCTION("""COMPUTED_VALUE"""),"นายประทวน สาราบรรณ์")</f>
        <v>นายประทวน สาราบรรณ์</v>
      </c>
      <c r="H838" s="1" t="str">
        <f>IFERROR(__xludf.DUMMYFUNCTION("""COMPUTED_VALUE"""),"394100")</f>
        <v>394100</v>
      </c>
      <c r="I838" s="1" t="str">
        <f>IFERROR(__xludf.DUMMYFUNCTION("""COMPUTED_VALUE"""),"นายไพโรจน์ ถิระผะลิกะ")</f>
        <v>นายไพโรจน์ ถิระผะลิกะ</v>
      </c>
      <c r="J838" s="3">
        <f>IFERROR(__xludf.DUMMYFUNCTION("""COMPUTED_VALUE"""),2.0470331E7)</f>
        <v>20470331</v>
      </c>
      <c r="K838" s="3" t="str">
        <f>IFERROR(__xludf.DUMMYFUNCTION("""COMPUTED_VALUE"""),"นายสมชาย ลักษณะสุวรรณ")</f>
        <v>นายสมชาย ลักษณะสุวรรณ</v>
      </c>
      <c r="L838" s="1" t="str">
        <f>IFERROR(__xludf.DUMMYFUNCTION("""COMPUTED_VALUE"""),"15 K.Somchai L")</f>
        <v>15 K.Somchai L</v>
      </c>
      <c r="M838" s="1" t="str">
        <f>IFERROR(__xludf.DUMMYFUNCTION("""COMPUTED_VALUE"""),"0655107372")</f>
        <v>0655107372</v>
      </c>
      <c r="N838" s="3">
        <f>IFERROR(__xludf.DUMMYFUNCTION("""COMPUTED_VALUE"""),21723.0)</f>
        <v>21723</v>
      </c>
      <c r="O838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838" s="4">
        <f>IFERROR(__xludf.DUMMYFUNCTION("""COMPUTED_VALUE"""),43178.0)</f>
        <v>43178</v>
      </c>
      <c r="Q838" s="3" t="str">
        <f>IFERROR(__xludf.DUMMYFUNCTION("""COMPUTED_VALUE"""),"A")</f>
        <v>A</v>
      </c>
      <c r="R838" s="3" t="str">
        <f>IFERROR(__xludf.DUMMYFUNCTION("""COMPUTED_VALUE"""),"Small Format")</f>
        <v>Small Format</v>
      </c>
      <c r="S838" s="3" t="str">
        <f>IFERROR(__xludf.DUMMYFUNCTION("""COMPUTED_VALUE"""),"BCM")</f>
        <v>BCM</v>
      </c>
      <c r="T838" s="3" t="str">
        <f>IFERROR(__xludf.DUMMYFUNCTION("""COMPUTED_VALUE"""),"#N/A")</f>
        <v>#N/A</v>
      </c>
      <c r="U838" s="3" t="str">
        <f>IFERROR(__xludf.DUMMYFUNCTION("""COMPUTED_VALUE"""),"#N/A")</f>
        <v>#N/A</v>
      </c>
      <c r="V838" s="3" t="str">
        <f>IFERROR(__xludf.DUMMYFUNCTION("""COMPUTED_VALUE"""),"N")</f>
        <v>N</v>
      </c>
      <c r="W838" s="3">
        <f>IFERROR(__xludf.DUMMYFUNCTION("""COMPUTED_VALUE"""),211537.0)</f>
        <v>211537</v>
      </c>
      <c r="X838" s="3" t="str">
        <f>IFERROR(__xludf.DUMMYFUNCTION("""COMPUTED_VALUE"""),"276 ถนนทุ่งรี ตำบลคอหงส์ อำเภอหาดใหญ่ จังหวัดสงขลา 90110")</f>
        <v>276 ถนนทุ่งรี ตำบลคอหงส์ อำเภอหาดใหญ่ จังหวัดสงขลา 90110</v>
      </c>
      <c r="Y838" s="3" t="str">
        <f>IFERROR(__xludf.DUMMYFUNCTION("""COMPUTED_VALUE"""),"ถนนทุ่งรี")</f>
        <v>ถนนทุ่งรี</v>
      </c>
      <c r="Z838" s="3" t="str">
        <f>IFERROR(__xludf.DUMMYFUNCTION("""COMPUTED_VALUE"""),"คอหงส์")</f>
        <v>คอหงส์</v>
      </c>
      <c r="AA838" s="3" t="str">
        <f>IFERROR(__xludf.DUMMYFUNCTION("""COMPUTED_VALUE"""),"หาดใหญ่")</f>
        <v>หาดใหญ่</v>
      </c>
      <c r="AB838" s="3" t="str">
        <f>IFERROR(__xludf.DUMMYFUNCTION("""COMPUTED_VALUE"""),"สงขลา")</f>
        <v>สงขลา</v>
      </c>
      <c r="AC838" s="3">
        <f>IFERROR(__xludf.DUMMYFUNCTION("""COMPUTED_VALUE"""),90110.0)</f>
        <v>90110</v>
      </c>
      <c r="AD838" s="3">
        <f>IFERROR(__xludf.DUMMYFUNCTION("""COMPUTED_VALUE"""),7.000407)</f>
        <v>7.000407</v>
      </c>
      <c r="AE838" s="3">
        <f>IFERROR(__xludf.DUMMYFUNCTION("""COMPUTED_VALUE"""),100.4966277)</f>
        <v>100.4966277</v>
      </c>
      <c r="AF838" s="3" t="str">
        <f>IFERROR(__xludf.DUMMYFUNCTION("""COMPUTED_VALUE"""),"MBC หลังมหาวิทยาลัยสงขลานครินทร์-21607")</f>
        <v>MBC หลังมหาวิทยาลัยสงขลานครินทร์-21607</v>
      </c>
      <c r="AG838" s="3" t="str">
        <f>IFERROR(__xludf.DUMMYFUNCTION("""COMPUTED_VALUE"""),"ใต้")</f>
        <v>ใต้</v>
      </c>
      <c r="AH838" s="3" t="str">
        <f>IFERROR(__xludf.DUMMYFUNCTION("""COMPUTED_VALUE"""),"#N/A")</f>
        <v>#N/A</v>
      </c>
      <c r="AI838" s="3" t="str">
        <f>IFERROR(__xludf.DUMMYFUNCTION("""COMPUTED_VALUE"""),"Out of warranty")</f>
        <v>Out of warranty</v>
      </c>
      <c r="AJ838" s="3">
        <f>IFERROR(__xludf.DUMMYFUNCTION("""COMPUTED_VALUE"""),95.0)</f>
        <v>95</v>
      </c>
      <c r="AK838" s="3" t="str">
        <f>IFERROR(__xludf.DUMMYFUNCTION("""COMPUTED_VALUE"""),"MMS16")</f>
        <v>MMS16</v>
      </c>
      <c r="AL838" s="3"/>
    </row>
    <row r="839" ht="15.75" customHeight="1">
      <c r="A839" s="1" t="str">
        <f>IFERROR(__xludf.DUMMYFUNCTION("""COMPUTED_VALUE"""),"21608")</f>
        <v>21608</v>
      </c>
      <c r="B839" s="2">
        <f>IFERROR(__xludf.DUMMYFUNCTION("""COMPUTED_VALUE"""),21608.0)</f>
        <v>21608</v>
      </c>
      <c r="C839" s="3" t="str">
        <f>IFERROR(__xludf.DUMMYFUNCTION("""COMPUTED_VALUE"""),"MBC ถนนกาญจนวนิช ซอย 37")</f>
        <v>MBC ถนนกาญจนวนิช ซอย 37</v>
      </c>
      <c r="D839" s="3" t="str">
        <f>IFERROR(__xludf.DUMMYFUNCTION("""COMPUTED_VALUE"""),"BCM KARNCHANAVANICH ROAD SOI37")</f>
        <v>BCM KARNCHANAVANICH ROAD SOI37</v>
      </c>
      <c r="E839" s="1" t="str">
        <f>IFERROR(__xludf.DUMMYFUNCTION("""COMPUTED_VALUE"""),"บิ๊กซี MINI")</f>
        <v>บิ๊กซี MINI</v>
      </c>
      <c r="F839" s="1" t="str">
        <f>IFERROR(__xludf.DUMMYFUNCTION("""COMPUTED_VALUE"""),"250760")</f>
        <v>250760</v>
      </c>
      <c r="G839" s="1" t="str">
        <f>IFERROR(__xludf.DUMMYFUNCTION("""COMPUTED_VALUE"""),"นายประทวน สาราบรรณ์")</f>
        <v>นายประทวน สาราบรรณ์</v>
      </c>
      <c r="H839" s="1" t="str">
        <f>IFERROR(__xludf.DUMMYFUNCTION("""COMPUTED_VALUE"""),"394185")</f>
        <v>394185</v>
      </c>
      <c r="I839" s="1" t="str">
        <f>IFERROR(__xludf.DUMMYFUNCTION("""COMPUTED_VALUE"""),"น.ส.ฐาปนี สุวรรณรัตน์")</f>
        <v>น.ส.ฐาปนี สุวรรณรัตน์</v>
      </c>
      <c r="J839" s="3">
        <f>IFERROR(__xludf.DUMMYFUNCTION("""COMPUTED_VALUE"""),2.0470331E7)</f>
        <v>20470331</v>
      </c>
      <c r="K839" s="3" t="str">
        <f>IFERROR(__xludf.DUMMYFUNCTION("""COMPUTED_VALUE"""),"นายสมชาย ลักษณะสุวรรณ")</f>
        <v>นายสมชาย ลักษณะสุวรรณ</v>
      </c>
      <c r="L839" s="1" t="str">
        <f>IFERROR(__xludf.DUMMYFUNCTION("""COMPUTED_VALUE"""),"15 K.Somchai L")</f>
        <v>15 K.Somchai L</v>
      </c>
      <c r="M839" s="1" t="str">
        <f>IFERROR(__xludf.DUMMYFUNCTION("""COMPUTED_VALUE"""),"0655107372")</f>
        <v>0655107372</v>
      </c>
      <c r="N839" s="3">
        <f>IFERROR(__xludf.DUMMYFUNCTION("""COMPUTED_VALUE"""),21723.0)</f>
        <v>21723</v>
      </c>
      <c r="O839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839" s="4">
        <f>IFERROR(__xludf.DUMMYFUNCTION("""COMPUTED_VALUE"""),43178.0)</f>
        <v>43178</v>
      </c>
      <c r="Q839" s="3" t="str">
        <f>IFERROR(__xludf.DUMMYFUNCTION("""COMPUTED_VALUE"""),"A")</f>
        <v>A</v>
      </c>
      <c r="R839" s="3" t="str">
        <f>IFERROR(__xludf.DUMMYFUNCTION("""COMPUTED_VALUE"""),"Small Format")</f>
        <v>Small Format</v>
      </c>
      <c r="S839" s="3" t="str">
        <f>IFERROR(__xludf.DUMMYFUNCTION("""COMPUTED_VALUE"""),"BCM")</f>
        <v>BCM</v>
      </c>
      <c r="T839" s="3" t="str">
        <f>IFERROR(__xludf.DUMMYFUNCTION("""COMPUTED_VALUE"""),"#N/A")</f>
        <v>#N/A</v>
      </c>
      <c r="U839" s="3" t="str">
        <f>IFERROR(__xludf.DUMMYFUNCTION("""COMPUTED_VALUE"""),"#N/A")</f>
        <v>#N/A</v>
      </c>
      <c r="V839" s="3" t="str">
        <f>IFERROR(__xludf.DUMMYFUNCTION("""COMPUTED_VALUE"""),"N")</f>
        <v>N</v>
      </c>
      <c r="W839" s="3">
        <f>IFERROR(__xludf.DUMMYFUNCTION("""COMPUTED_VALUE"""),211540.0)</f>
        <v>211540</v>
      </c>
      <c r="X839" s="3" t="str">
        <f>IFERROR(__xludf.DUMMYFUNCTION("""COMPUTED_VALUE"""),"63/227 หมู่10 ตำบลเขารูปช้าง อำเภอเมืองสงขลา จังหวัดสงขลา 90000")</f>
        <v>63/227 หมู่10 ตำบลเขารูปช้าง อำเภอเมืองสงขลา จังหวัดสงขลา 90000</v>
      </c>
      <c r="Y839" s="3"/>
      <c r="Z839" s="3" t="str">
        <f>IFERROR(__xludf.DUMMYFUNCTION("""COMPUTED_VALUE"""),"เขารูปช้าง")</f>
        <v>เขารูปช้าง</v>
      </c>
      <c r="AA839" s="3" t="str">
        <f>IFERROR(__xludf.DUMMYFUNCTION("""COMPUTED_VALUE"""),"เมือง")</f>
        <v>เมือง</v>
      </c>
      <c r="AB839" s="3" t="str">
        <f>IFERROR(__xludf.DUMMYFUNCTION("""COMPUTED_VALUE"""),"สงขลา")</f>
        <v>สงขลา</v>
      </c>
      <c r="AC839" s="3">
        <f>IFERROR(__xludf.DUMMYFUNCTION("""COMPUTED_VALUE"""),90000.0)</f>
        <v>90000</v>
      </c>
      <c r="AD839" s="3">
        <f>IFERROR(__xludf.DUMMYFUNCTION("""COMPUTED_VALUE"""),7.15717)</f>
        <v>7.15717</v>
      </c>
      <c r="AE839" s="3">
        <f>IFERROR(__xludf.DUMMYFUNCTION("""COMPUTED_VALUE"""),100.60281)</f>
        <v>100.60281</v>
      </c>
      <c r="AF839" s="3" t="str">
        <f>IFERROR(__xludf.DUMMYFUNCTION("""COMPUTED_VALUE"""),"MBC ถนนกาญจนวนิช ซอย 37-21608")</f>
        <v>MBC ถนนกาญจนวนิช ซอย 37-21608</v>
      </c>
      <c r="AG839" s="3" t="str">
        <f>IFERROR(__xludf.DUMMYFUNCTION("""COMPUTED_VALUE"""),"ใต้")</f>
        <v>ใต้</v>
      </c>
      <c r="AH839" s="3" t="str">
        <f>IFERROR(__xludf.DUMMYFUNCTION("""COMPUTED_VALUE"""),"#N/A")</f>
        <v>#N/A</v>
      </c>
      <c r="AI839" s="3" t="str">
        <f>IFERROR(__xludf.DUMMYFUNCTION("""COMPUTED_VALUE"""),"Out of warranty")</f>
        <v>Out of warranty</v>
      </c>
      <c r="AJ839" s="3">
        <f>IFERROR(__xludf.DUMMYFUNCTION("""COMPUTED_VALUE"""),95.0)</f>
        <v>95</v>
      </c>
      <c r="AK839" s="3" t="str">
        <f>IFERROR(__xludf.DUMMYFUNCTION("""COMPUTED_VALUE"""),"MMS16")</f>
        <v>MMS16</v>
      </c>
      <c r="AL839" s="3"/>
    </row>
    <row r="840" ht="15.75" customHeight="1">
      <c r="A840" s="1" t="str">
        <f>IFERROR(__xludf.DUMMYFUNCTION("""COMPUTED_VALUE"""),"21609")</f>
        <v>21609</v>
      </c>
      <c r="B840" s="2">
        <f>IFERROR(__xludf.DUMMYFUNCTION("""COMPUTED_VALUE"""),21609.0)</f>
        <v>21609</v>
      </c>
      <c r="C840" s="3" t="str">
        <f>IFERROR(__xludf.DUMMYFUNCTION("""COMPUTED_VALUE"""),"MBC ซอยวัดท่าไม้")</f>
        <v>MBC ซอยวัดท่าไม้</v>
      </c>
      <c r="D840" s="3" t="str">
        <f>IFERROR(__xludf.DUMMYFUNCTION("""COMPUTED_VALUE"""),"BCM SOI WAT THA MAI")</f>
        <v>BCM SOI WAT THA MAI</v>
      </c>
      <c r="E840" s="1" t="str">
        <f>IFERROR(__xludf.DUMMYFUNCTION("""COMPUTED_VALUE"""),"บิ๊กซี MINI")</f>
        <v>บิ๊กซี MINI</v>
      </c>
      <c r="F840" s="1" t="str">
        <f>IFERROR(__xludf.DUMMYFUNCTION("""COMPUTED_VALUE"""),"2083447")</f>
        <v>2083447</v>
      </c>
      <c r="G840" s="1" t="str">
        <f>IFERROR(__xludf.DUMMYFUNCTION("""COMPUTED_VALUE"""),"นายอนุกูล ศรีลัดดา")</f>
        <v>นายอนุกูล ศรีลัดดา</v>
      </c>
      <c r="H840" s="1" t="str">
        <f>IFERROR(__xludf.DUMMYFUNCTION("""COMPUTED_VALUE"""),"379022")</f>
        <v>379022</v>
      </c>
      <c r="I840" s="1" t="str">
        <f>IFERROR(__xludf.DUMMYFUNCTION("""COMPUTED_VALUE"""),"นายพันธ์เทพ นุชเนตร")</f>
        <v>นายพันธ์เทพ นุชเนตร</v>
      </c>
      <c r="J840" s="3">
        <f>IFERROR(__xludf.DUMMYFUNCTION("""COMPUTED_VALUE"""),2451655.0)</f>
        <v>2451655</v>
      </c>
      <c r="K840" s="3" t="str">
        <f>IFERROR(__xludf.DUMMYFUNCTION("""COMPUTED_VALUE"""),"นายวิษณุพงษ์ ชินบุตร")</f>
        <v>นายวิษณุพงษ์ ชินบุตร</v>
      </c>
      <c r="L840" s="1" t="str">
        <f>IFERROR(__xludf.DUMMYFUNCTION("""COMPUTED_VALUE"""),"13 K.Wisanupong Ch")</f>
        <v>13 K.Wisanupong Ch</v>
      </c>
      <c r="M840" s="1" t="str">
        <f>IFERROR(__xludf.DUMMYFUNCTION("""COMPUTED_VALUE"""),"0843374693")</f>
        <v>0843374693</v>
      </c>
      <c r="N840" s="3">
        <f>IFERROR(__xludf.DUMMYFUNCTION("""COMPUTED_VALUE"""),21013.0)</f>
        <v>21013</v>
      </c>
      <c r="O840" s="3" t="str">
        <f>IFERROR(__xludf.DUMMYFUNCTION("""COMPUTED_VALUE"""),"MBC รังสิตคลอง2")</f>
        <v>MBC รังสิตคลอง2</v>
      </c>
      <c r="P840" s="4">
        <f>IFERROR(__xludf.DUMMYFUNCTION("""COMPUTED_VALUE"""),43185.0)</f>
        <v>43185</v>
      </c>
      <c r="Q840" s="3" t="str">
        <f>IFERROR(__xludf.DUMMYFUNCTION("""COMPUTED_VALUE"""),"I")</f>
        <v>I</v>
      </c>
      <c r="R840" s="3" t="str">
        <f>IFERROR(__xludf.DUMMYFUNCTION("""COMPUTED_VALUE"""),"Small Format")</f>
        <v>Small Format</v>
      </c>
      <c r="S840" s="3" t="str">
        <f>IFERROR(__xludf.DUMMYFUNCTION("""COMPUTED_VALUE"""),"BCM")</f>
        <v>BCM</v>
      </c>
      <c r="T840" s="3" t="str">
        <f>IFERROR(__xludf.DUMMYFUNCTION("""COMPUTED_VALUE"""),"#N/A")</f>
        <v>#N/A</v>
      </c>
      <c r="U840" s="3" t="str">
        <f>IFERROR(__xludf.DUMMYFUNCTION("""COMPUTED_VALUE"""),"#N/A")</f>
        <v>#N/A</v>
      </c>
      <c r="V840" s="3" t="str">
        <f>IFERROR(__xludf.DUMMYFUNCTION("""COMPUTED_VALUE"""),"N")</f>
        <v>N</v>
      </c>
      <c r="W840" s="3">
        <f>IFERROR(__xludf.DUMMYFUNCTION("""COMPUTED_VALUE"""),211560.0)</f>
        <v>211560</v>
      </c>
      <c r="X840" s="3" t="str">
        <f>IFERROR(__xludf.DUMMYFUNCTION("""COMPUTED_VALUE"""),"24/109 หมู่2 ตำบลอ้อมน้อย อำเภอกระทุ่มแบน จังหวัดสมุทรสาคร 74130")</f>
        <v>24/109 หมู่2 ตำบลอ้อมน้อย อำเภอกระทุ่มแบน จังหวัดสมุทรสาคร 74130</v>
      </c>
      <c r="Y840" s="3"/>
      <c r="Z840" s="3" t="str">
        <f>IFERROR(__xludf.DUMMYFUNCTION("""COMPUTED_VALUE"""),"อ้อมน้อย")</f>
        <v>อ้อมน้อย</v>
      </c>
      <c r="AA840" s="3" t="str">
        <f>IFERROR(__xludf.DUMMYFUNCTION("""COMPUTED_VALUE"""),"กระทุ่มแบน")</f>
        <v>กระทุ่มแบน</v>
      </c>
      <c r="AB840" s="3" t="str">
        <f>IFERROR(__xludf.DUMMYFUNCTION("""COMPUTED_VALUE"""),"สมุทรสาคร")</f>
        <v>สมุทรสาคร</v>
      </c>
      <c r="AC840" s="3">
        <f>IFERROR(__xludf.DUMMYFUNCTION("""COMPUTED_VALUE"""),74130.0)</f>
        <v>74130</v>
      </c>
      <c r="AD840" s="3">
        <f>IFERROR(__xludf.DUMMYFUNCTION("""COMPUTED_VALUE"""),13.677636)</f>
        <v>13.677636</v>
      </c>
      <c r="AE840" s="3">
        <f>IFERROR(__xludf.DUMMYFUNCTION("""COMPUTED_VALUE"""),100.276588)</f>
        <v>100.276588</v>
      </c>
      <c r="AF840" s="3" t="str">
        <f>IFERROR(__xludf.DUMMYFUNCTION("""COMPUTED_VALUE"""),"MBC ซอยวัดท่าไม้-21609")</f>
        <v>MBC ซอยวัดท่าไม้-21609</v>
      </c>
      <c r="AG840" s="3" t="str">
        <f>IFERROR(__xludf.DUMMYFUNCTION("""COMPUTED_VALUE"""),"กลาง")</f>
        <v>กลาง</v>
      </c>
      <c r="AH840" s="3" t="str">
        <f>IFERROR(__xludf.DUMMYFUNCTION("""COMPUTED_VALUE"""),"#N/A")</f>
        <v>#N/A</v>
      </c>
      <c r="AI840" s="3" t="str">
        <f>IFERROR(__xludf.DUMMYFUNCTION("""COMPUTED_VALUE"""),"Out of warranty")</f>
        <v>Out of warranty</v>
      </c>
      <c r="AJ840" s="3">
        <f>IFERROR(__xludf.DUMMYFUNCTION("""COMPUTED_VALUE"""),94.0)</f>
        <v>94</v>
      </c>
      <c r="AK840" s="3" t="str">
        <f>IFERROR(__xludf.DUMMYFUNCTION("""COMPUTED_VALUE"""),"MMS05")</f>
        <v>MMS05</v>
      </c>
      <c r="AL840" s="3"/>
    </row>
    <row r="841" ht="15.75" customHeight="1">
      <c r="A841" s="1" t="str">
        <f>IFERROR(__xludf.DUMMYFUNCTION("""COMPUTED_VALUE"""),"21610")</f>
        <v>21610</v>
      </c>
      <c r="B841" s="2">
        <f>IFERROR(__xludf.DUMMYFUNCTION("""COMPUTED_VALUE"""),21610.0)</f>
        <v>21610</v>
      </c>
      <c r="C841" s="3" t="str">
        <f>IFERROR(__xludf.DUMMYFUNCTION("""COMPUTED_VALUE"""),"MBC เดอะโฟริเอช")</f>
        <v>MBC เดอะโฟริเอช</v>
      </c>
      <c r="D841" s="3" t="str">
        <f>IFERROR(__xludf.DUMMYFUNCTION("""COMPUTED_VALUE"""),"BCM THE FORIEGE")</f>
        <v>BCM THE FORIEGE</v>
      </c>
      <c r="E841" s="1" t="str">
        <f>IFERROR(__xludf.DUMMYFUNCTION("""COMPUTED_VALUE"""),"บิ๊กซี MINI")</f>
        <v>บิ๊กซี MINI</v>
      </c>
      <c r="F841" s="1" t="str">
        <f>IFERROR(__xludf.DUMMYFUNCTION("""COMPUTED_VALUE"""),"2083447")</f>
        <v>2083447</v>
      </c>
      <c r="G841" s="1" t="str">
        <f>IFERROR(__xludf.DUMMYFUNCTION("""COMPUTED_VALUE"""),"นายอนุกูล ศรีลัดดา")</f>
        <v>นายอนุกูล ศรีลัดดา</v>
      </c>
      <c r="H841" s="1" t="str">
        <f>IFERROR(__xludf.DUMMYFUNCTION("""COMPUTED_VALUE"""),"373849")</f>
        <v>373849</v>
      </c>
      <c r="I841" s="1" t="str">
        <f>IFERROR(__xludf.DUMMYFUNCTION("""COMPUTED_VALUE"""),"น.ส.อรอุมา นิ่มวิศิษย์")</f>
        <v>น.ส.อรอุมา นิ่มวิศิษย์</v>
      </c>
      <c r="J841" s="3">
        <f>IFERROR(__xludf.DUMMYFUNCTION("""COMPUTED_VALUE"""),510143.0)</f>
        <v>510143</v>
      </c>
      <c r="K841" s="3" t="str">
        <f>IFERROR(__xludf.DUMMYFUNCTION("""COMPUTED_VALUE"""),"นายธีระวัฒน์ บุญสิทธิ์")</f>
        <v>นายธีระวัฒน์ บุญสิทธิ์</v>
      </c>
      <c r="L841" s="1" t="str">
        <f>IFERROR(__xludf.DUMMYFUNCTION("""COMPUTED_VALUE"""),"12 K.Theerawat B.")</f>
        <v>12 K.Theerawat B.</v>
      </c>
      <c r="M841" s="1" t="str">
        <f>IFERROR(__xludf.DUMMYFUNCTION("""COMPUTED_VALUE"""),"0655107379")</f>
        <v>0655107379</v>
      </c>
      <c r="N841" s="3">
        <f>IFERROR(__xludf.DUMMYFUNCTION("""COMPUTED_VALUE"""),21062.0)</f>
        <v>21062</v>
      </c>
      <c r="O841" s="3" t="str">
        <f>IFERROR(__xludf.DUMMYFUNCTION("""COMPUTED_VALUE"""),"MBC นิคมนวนคร")</f>
        <v>MBC นิคมนวนคร</v>
      </c>
      <c r="P841" s="4">
        <f>IFERROR(__xludf.DUMMYFUNCTION("""COMPUTED_VALUE"""),43281.0)</f>
        <v>43281</v>
      </c>
      <c r="Q841" s="3" t="str">
        <f>IFERROR(__xludf.DUMMYFUNCTION("""COMPUTED_VALUE"""),"A")</f>
        <v>A</v>
      </c>
      <c r="R841" s="3" t="str">
        <f>IFERROR(__xludf.DUMMYFUNCTION("""COMPUTED_VALUE"""),"Small Format")</f>
        <v>Small Format</v>
      </c>
      <c r="S841" s="3" t="str">
        <f>IFERROR(__xludf.DUMMYFUNCTION("""COMPUTED_VALUE"""),"BCM")</f>
        <v>BCM</v>
      </c>
      <c r="T841" s="3" t="str">
        <f>IFERROR(__xludf.DUMMYFUNCTION("""COMPUTED_VALUE"""),"#N/A")</f>
        <v>#N/A</v>
      </c>
      <c r="U841" s="3" t="str">
        <f>IFERROR(__xludf.DUMMYFUNCTION("""COMPUTED_VALUE"""),"#N/A")</f>
        <v>#N/A</v>
      </c>
      <c r="V841" s="3" t="str">
        <f>IFERROR(__xludf.DUMMYFUNCTION("""COMPUTED_VALUE"""),"N")</f>
        <v>N</v>
      </c>
      <c r="W841" s="3">
        <f>IFERROR(__xludf.DUMMYFUNCTION("""COMPUTED_VALUE"""),211545.0)</f>
        <v>211545</v>
      </c>
      <c r="X841" s="3" t="str">
        <f>IFERROR(__xludf.DUMMYFUNCTION("""COMPUTED_VALUE"""),"87/289 หมู่6 ตำบลลาดสวาย อำเภอลำลูกกา จังหวัดปทุมธานี12150")</f>
        <v>87/289 หมู่6 ตำบลลาดสวาย อำเภอลำลูกกา จังหวัดปทุมธานี12150</v>
      </c>
      <c r="Y841" s="3"/>
      <c r="Z841" s="3" t="str">
        <f>IFERROR(__xludf.DUMMYFUNCTION("""COMPUTED_VALUE"""),"ลาดสวาย")</f>
        <v>ลาดสวาย</v>
      </c>
      <c r="AA841" s="3" t="str">
        <f>IFERROR(__xludf.DUMMYFUNCTION("""COMPUTED_VALUE"""),"ลำลูกกา")</f>
        <v>ลำลูกกา</v>
      </c>
      <c r="AB841" s="3" t="str">
        <f>IFERROR(__xludf.DUMMYFUNCTION("""COMPUTED_VALUE"""),"ปทุมธานี")</f>
        <v>ปทุมธานี</v>
      </c>
      <c r="AC841" s="3">
        <f>IFERROR(__xludf.DUMMYFUNCTION("""COMPUTED_VALUE"""),12150.0)</f>
        <v>12150</v>
      </c>
      <c r="AD841" s="3">
        <f>IFERROR(__xludf.DUMMYFUNCTION("""COMPUTED_VALUE"""),13.971291)</f>
        <v>13.971291</v>
      </c>
      <c r="AE841" s="3">
        <f>IFERROR(__xludf.DUMMYFUNCTION("""COMPUTED_VALUE"""),100.684018)</f>
        <v>100.684018</v>
      </c>
      <c r="AF841" s="3" t="str">
        <f>IFERROR(__xludf.DUMMYFUNCTION("""COMPUTED_VALUE"""),"MBC เดอะโฟริเอช-21610")</f>
        <v>MBC เดอะโฟริเอช-21610</v>
      </c>
      <c r="AG841" s="3" t="str">
        <f>IFERROR(__xludf.DUMMYFUNCTION("""COMPUTED_VALUE"""),"กลาง")</f>
        <v>กลาง</v>
      </c>
      <c r="AH841" s="3" t="str">
        <f>IFERROR(__xludf.DUMMYFUNCTION("""COMPUTED_VALUE"""),"#N/A")</f>
        <v>#N/A</v>
      </c>
      <c r="AI841" s="3" t="str">
        <f>IFERROR(__xludf.DUMMYFUNCTION("""COMPUTED_VALUE"""),"Out of warranty")</f>
        <v>Out of warranty</v>
      </c>
      <c r="AJ841" s="3">
        <f>IFERROR(__xludf.DUMMYFUNCTION("""COMPUTED_VALUE"""),91.0)</f>
        <v>91</v>
      </c>
      <c r="AK841" s="3" t="str">
        <f>IFERROR(__xludf.DUMMYFUNCTION("""COMPUTED_VALUE"""),"MMS04")</f>
        <v>MMS04</v>
      </c>
      <c r="AL841" s="3"/>
    </row>
    <row r="842" ht="15.75" customHeight="1">
      <c r="A842" s="1" t="str">
        <f>IFERROR(__xludf.DUMMYFUNCTION("""COMPUTED_VALUE"""),"21611")</f>
        <v>21611</v>
      </c>
      <c r="B842" s="2">
        <f>IFERROR(__xludf.DUMMYFUNCTION("""COMPUTED_VALUE"""),21611.0)</f>
        <v>21611</v>
      </c>
      <c r="C842" s="3" t="str">
        <f>IFERROR(__xludf.DUMMYFUNCTION("""COMPUTED_VALUE"""),"MBC บ้านสุรศักดิ์")</f>
        <v>MBC บ้านสุรศักดิ์</v>
      </c>
      <c r="D842" s="3" t="str">
        <f>IFERROR(__xludf.DUMMYFUNCTION("""COMPUTED_VALUE"""),"BCM BAN SURASAK")</f>
        <v>BCM BAN SURASAK</v>
      </c>
      <c r="E842" s="1" t="str">
        <f>IFERROR(__xludf.DUMMYFUNCTION("""COMPUTED_VALUE"""),"บิ๊กซี MINI")</f>
        <v>บิ๊กซี MINI</v>
      </c>
      <c r="F842" s="1" t="str">
        <f>IFERROR(__xludf.DUMMYFUNCTION("""COMPUTED_VALUE"""),"221716")</f>
        <v>221716</v>
      </c>
      <c r="G842" s="1" t="str">
        <f>IFERROR(__xludf.DUMMYFUNCTION("""COMPUTED_VALUE"""),"น.ส.เบญจพร โพธิสาร")</f>
        <v>น.ส.เบญจพร โพธิสาร</v>
      </c>
      <c r="H842" s="1" t="str">
        <f>IFERROR(__xludf.DUMMYFUNCTION("""COMPUTED_VALUE"""),"376139")</f>
        <v>376139</v>
      </c>
      <c r="I842" s="1" t="str">
        <f>IFERROR(__xludf.DUMMYFUNCTION("""COMPUTED_VALUE"""),"นายอนุชา อำไพ")</f>
        <v>นายอนุชา อำไพ</v>
      </c>
      <c r="J842" s="3">
        <f>IFERROR(__xludf.DUMMYFUNCTION("""COMPUTED_VALUE"""),296942.0)</f>
        <v>296942</v>
      </c>
      <c r="K842" s="3" t="str">
        <f>IFERROR(__xludf.DUMMYFUNCTION("""COMPUTED_VALUE"""),"นายปิยะ รักษากิจ")</f>
        <v>นายปิยะ รักษากิจ</v>
      </c>
      <c r="L842" s="1" t="str">
        <f>IFERROR(__xludf.DUMMYFUNCTION("""COMPUTED_VALUE"""),"07 K.Piya R.")</f>
        <v>07 K.Piya R.</v>
      </c>
      <c r="M842" s="1" t="str">
        <f>IFERROR(__xludf.DUMMYFUNCTION("""COMPUTED_VALUE"""),"097-919-5476")</f>
        <v>097-919-5476</v>
      </c>
      <c r="N842" s="3">
        <f>IFERROR(__xludf.DUMMYFUNCTION("""COMPUTED_VALUE"""),21332.0)</f>
        <v>21332</v>
      </c>
      <c r="O842" s="3" t="str">
        <f>IFERROR(__xludf.DUMMYFUNCTION("""COMPUTED_VALUE"""),"MBC BCP อ่อนนุช 17/1")</f>
        <v>MBC BCP อ่อนนุช 17/1</v>
      </c>
      <c r="P842" s="4">
        <f>IFERROR(__xludf.DUMMYFUNCTION("""COMPUTED_VALUE"""),43190.0)</f>
        <v>43190</v>
      </c>
      <c r="Q842" s="3" t="str">
        <f>IFERROR(__xludf.DUMMYFUNCTION("""COMPUTED_VALUE"""),"A")</f>
        <v>A</v>
      </c>
      <c r="R842" s="3" t="str">
        <f>IFERROR(__xludf.DUMMYFUNCTION("""COMPUTED_VALUE"""),"Small Format")</f>
        <v>Small Format</v>
      </c>
      <c r="S842" s="3" t="str">
        <f>IFERROR(__xludf.DUMMYFUNCTION("""COMPUTED_VALUE"""),"BCM")</f>
        <v>BCM</v>
      </c>
      <c r="T842" s="3" t="str">
        <f>IFERROR(__xludf.DUMMYFUNCTION("""COMPUTED_VALUE"""),"#N/A")</f>
        <v>#N/A</v>
      </c>
      <c r="U842" s="3" t="str">
        <f>IFERROR(__xludf.DUMMYFUNCTION("""COMPUTED_VALUE"""),"#N/A")</f>
        <v>#N/A</v>
      </c>
      <c r="V842" s="3" t="str">
        <f>IFERROR(__xludf.DUMMYFUNCTION("""COMPUTED_VALUE"""),"N")</f>
        <v>N</v>
      </c>
      <c r="W842" s="3">
        <f>IFERROR(__xludf.DUMMYFUNCTION("""COMPUTED_VALUE"""),211428.0)</f>
        <v>211428</v>
      </c>
      <c r="X842" s="3" t="str">
        <f>IFERROR(__xludf.DUMMYFUNCTION("""COMPUTED_VALUE"""),"402/264 หมู่5 ตำบลเขาคันทรง อำเภอศรีราชา จังหวัดชลบุรี 20110")</f>
        <v>402/264 หมู่5 ตำบลเขาคันทรง อำเภอศรีราชา จังหวัดชลบุรี 20110</v>
      </c>
      <c r="Y842" s="3"/>
      <c r="Z842" s="3" t="str">
        <f>IFERROR(__xludf.DUMMYFUNCTION("""COMPUTED_VALUE"""),"เขาคันทรง")</f>
        <v>เขาคันทรง</v>
      </c>
      <c r="AA842" s="3" t="str">
        <f>IFERROR(__xludf.DUMMYFUNCTION("""COMPUTED_VALUE"""),"ศรีราชา")</f>
        <v>ศรีราชา</v>
      </c>
      <c r="AB842" s="3" t="str">
        <f>IFERROR(__xludf.DUMMYFUNCTION("""COMPUTED_VALUE"""),"ชลบุรี")</f>
        <v>ชลบุรี</v>
      </c>
      <c r="AC842" s="3">
        <f>IFERROR(__xludf.DUMMYFUNCTION("""COMPUTED_VALUE"""),20110.0)</f>
        <v>20110</v>
      </c>
      <c r="AD842" s="3">
        <f>IFERROR(__xludf.DUMMYFUNCTION("""COMPUTED_VALUE"""),13.066566)</f>
        <v>13.066566</v>
      </c>
      <c r="AE842" s="3">
        <f>IFERROR(__xludf.DUMMYFUNCTION("""COMPUTED_VALUE"""),101.170506)</f>
        <v>101.170506</v>
      </c>
      <c r="AF842" s="3" t="str">
        <f>IFERROR(__xludf.DUMMYFUNCTION("""COMPUTED_VALUE"""),"MBC บ้านสุรศักดิ์-21611")</f>
        <v>MBC บ้านสุรศักดิ์-21611</v>
      </c>
      <c r="AG842" s="3" t="str">
        <f>IFERROR(__xludf.DUMMYFUNCTION("""COMPUTED_VALUE"""),"ตะวันออก")</f>
        <v>ตะวันออก</v>
      </c>
      <c r="AH842" s="3" t="str">
        <f>IFERROR(__xludf.DUMMYFUNCTION("""COMPUTED_VALUE"""),"#N/A")</f>
        <v>#N/A</v>
      </c>
      <c r="AI842" s="3" t="str">
        <f>IFERROR(__xludf.DUMMYFUNCTION("""COMPUTED_VALUE"""),"Out of warranty")</f>
        <v>Out of warranty</v>
      </c>
      <c r="AJ842" s="3">
        <f>IFERROR(__xludf.DUMMYFUNCTION("""COMPUTED_VALUE"""),94.0)</f>
        <v>94</v>
      </c>
      <c r="AK842" s="3" t="str">
        <f>IFERROR(__xludf.DUMMYFUNCTION("""COMPUTED_VALUE"""),"MMS07")</f>
        <v>MMS07</v>
      </c>
      <c r="AL842" s="3"/>
    </row>
    <row r="843" ht="15.75" customHeight="1">
      <c r="A843" s="1" t="str">
        <f>IFERROR(__xludf.DUMMYFUNCTION("""COMPUTED_VALUE"""),"21612")</f>
        <v>21612</v>
      </c>
      <c r="B843" s="2">
        <f>IFERROR(__xludf.DUMMYFUNCTION("""COMPUTED_VALUE"""),21612.0)</f>
        <v>21612</v>
      </c>
      <c r="C843" s="3" t="str">
        <f>IFERROR(__xludf.DUMMYFUNCTION("""COMPUTED_VALUE"""),"MBC ถนนคลองเตยพัฒนา 1 หาดใหญ่")</f>
        <v>MBC ถนนคลองเตยพัฒนา 1 หาดใหญ่</v>
      </c>
      <c r="D843" s="3" t="str">
        <f>IFERROR(__xludf.DUMMYFUNCTION("""COMPUTED_VALUE"""),"BCM KLONGTOEY PATTANA1 HATYAI")</f>
        <v>BCM KLONGTOEY PATTANA1 HATYAI</v>
      </c>
      <c r="E843" s="1" t="str">
        <f>IFERROR(__xludf.DUMMYFUNCTION("""COMPUTED_VALUE"""),"บิ๊กซี MINI")</f>
        <v>บิ๊กซี MINI</v>
      </c>
      <c r="F843" s="1" t="str">
        <f>IFERROR(__xludf.DUMMYFUNCTION("""COMPUTED_VALUE"""),"250760")</f>
        <v>250760</v>
      </c>
      <c r="G843" s="1" t="str">
        <f>IFERROR(__xludf.DUMMYFUNCTION("""COMPUTED_VALUE"""),"นายประทวน สาราบรรณ์")</f>
        <v>นายประทวน สาราบรรณ์</v>
      </c>
      <c r="H843" s="1" t="str">
        <f>IFERROR(__xludf.DUMMYFUNCTION("""COMPUTED_VALUE"""),"394100")</f>
        <v>394100</v>
      </c>
      <c r="I843" s="1" t="str">
        <f>IFERROR(__xludf.DUMMYFUNCTION("""COMPUTED_VALUE"""),"นายไพโรจน์ ถิระผะลิกะ")</f>
        <v>นายไพโรจน์ ถิระผะลิกะ</v>
      </c>
      <c r="J843" s="3">
        <f>IFERROR(__xludf.DUMMYFUNCTION("""COMPUTED_VALUE"""),2.0470331E7)</f>
        <v>20470331</v>
      </c>
      <c r="K843" s="3" t="str">
        <f>IFERROR(__xludf.DUMMYFUNCTION("""COMPUTED_VALUE"""),"นายสมชาย ลักษณะสุวรรณ")</f>
        <v>นายสมชาย ลักษณะสุวรรณ</v>
      </c>
      <c r="L843" s="1" t="str">
        <f>IFERROR(__xludf.DUMMYFUNCTION("""COMPUTED_VALUE"""),"15 K.Somchai L")</f>
        <v>15 K.Somchai L</v>
      </c>
      <c r="M843" s="1" t="str">
        <f>IFERROR(__xludf.DUMMYFUNCTION("""COMPUTED_VALUE"""),"0655107372")</f>
        <v>0655107372</v>
      </c>
      <c r="N843" s="3">
        <f>IFERROR(__xludf.DUMMYFUNCTION("""COMPUTED_VALUE"""),21723.0)</f>
        <v>21723</v>
      </c>
      <c r="O843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843" s="4">
        <f>IFERROR(__xludf.DUMMYFUNCTION("""COMPUTED_VALUE"""),46053.0)</f>
        <v>46053</v>
      </c>
      <c r="Q843" s="3" t="str">
        <f>IFERROR(__xludf.DUMMYFUNCTION("""COMPUTED_VALUE"""),"A")</f>
        <v>A</v>
      </c>
      <c r="R843" s="3" t="str">
        <f>IFERROR(__xludf.DUMMYFUNCTION("""COMPUTED_VALUE"""),"Small Format")</f>
        <v>Small Format</v>
      </c>
      <c r="S843" s="3" t="str">
        <f>IFERROR(__xludf.DUMMYFUNCTION("""COMPUTED_VALUE"""),"BCM")</f>
        <v>BCM</v>
      </c>
      <c r="T843" s="3" t="str">
        <f>IFERROR(__xludf.DUMMYFUNCTION("""COMPUTED_VALUE"""),"#N/A")</f>
        <v>#N/A</v>
      </c>
      <c r="U843" s="3" t="str">
        <f>IFERROR(__xludf.DUMMYFUNCTION("""COMPUTED_VALUE"""),"#N/A")</f>
        <v>#N/A</v>
      </c>
      <c r="V843" s="3" t="str">
        <f>IFERROR(__xludf.DUMMYFUNCTION("""COMPUTED_VALUE"""),"N")</f>
        <v>N</v>
      </c>
      <c r="W843" s="3">
        <f>IFERROR(__xludf.DUMMYFUNCTION("""COMPUTED_VALUE"""),211667.0)</f>
        <v>211667</v>
      </c>
      <c r="X843" s="3" t="str">
        <f>IFERROR(__xludf.DUMMYFUNCTION("""COMPUTED_VALUE"""),"31/6 ถนนร่วมพัฒนา ตำบลคอหงส์ อำเภอหาดใหญ่ จังหวัดสงขลา 90110")</f>
        <v>31/6 ถนนร่วมพัฒนา ตำบลคอหงส์ อำเภอหาดใหญ่ จังหวัดสงขลา 90110</v>
      </c>
      <c r="Y843" s="3" t="str">
        <f>IFERROR(__xludf.DUMMYFUNCTION("""COMPUTED_VALUE"""),"ถนนร่วมพัฒนา")</f>
        <v>ถนนร่วมพัฒนา</v>
      </c>
      <c r="Z843" s="3" t="str">
        <f>IFERROR(__xludf.DUMMYFUNCTION("""COMPUTED_VALUE"""),"คอหงส์")</f>
        <v>คอหงส์</v>
      </c>
      <c r="AA843" s="3" t="str">
        <f>IFERROR(__xludf.DUMMYFUNCTION("""COMPUTED_VALUE"""),"หาดใหญ่")</f>
        <v>หาดใหญ่</v>
      </c>
      <c r="AB843" s="3" t="str">
        <f>IFERROR(__xludf.DUMMYFUNCTION("""COMPUTED_VALUE"""),"สงขลา")</f>
        <v>สงขลา</v>
      </c>
      <c r="AC843" s="3">
        <f>IFERROR(__xludf.DUMMYFUNCTION("""COMPUTED_VALUE"""),90110.0)</f>
        <v>90110</v>
      </c>
      <c r="AD843" s="3">
        <f>IFERROR(__xludf.DUMMYFUNCTION("""COMPUTED_VALUE"""),7.024227)</f>
        <v>7.024227</v>
      </c>
      <c r="AE843" s="3">
        <f>IFERROR(__xludf.DUMMYFUNCTION("""COMPUTED_VALUE"""),100.486778)</f>
        <v>100.486778</v>
      </c>
      <c r="AF843" s="3" t="str">
        <f>IFERROR(__xludf.DUMMYFUNCTION("""COMPUTED_VALUE"""),"MBC ถนนคลองเตยพัฒนา 1 หาดใหญ่-21612")</f>
        <v>MBC ถนนคลองเตยพัฒนา 1 หาดใหญ่-21612</v>
      </c>
      <c r="AG843" s="3" t="str">
        <f>IFERROR(__xludf.DUMMYFUNCTION("""COMPUTED_VALUE"""),"ใต้")</f>
        <v>ใต้</v>
      </c>
      <c r="AH843" s="3" t="str">
        <f>IFERROR(__xludf.DUMMYFUNCTION("""COMPUTED_VALUE"""),"#N/A")</f>
        <v>#N/A</v>
      </c>
      <c r="AI843" s="3" t="str">
        <f>IFERROR(__xludf.DUMMYFUNCTION("""COMPUTED_VALUE"""),"In warranty")</f>
        <v>In warranty</v>
      </c>
      <c r="AJ843" s="3">
        <f>IFERROR(__xludf.DUMMYFUNCTION("""COMPUTED_VALUE"""),0.0)</f>
        <v>0</v>
      </c>
      <c r="AK843" s="3" t="str">
        <f>IFERROR(__xludf.DUMMYFUNCTION("""COMPUTED_VALUE"""),"MMS16")</f>
        <v>MMS16</v>
      </c>
      <c r="AL843" s="3"/>
    </row>
    <row r="844" ht="15.75" customHeight="1">
      <c r="A844" s="1" t="str">
        <f>IFERROR(__xludf.DUMMYFUNCTION("""COMPUTED_VALUE"""),"21613")</f>
        <v>21613</v>
      </c>
      <c r="B844" s="2">
        <f>IFERROR(__xludf.DUMMYFUNCTION("""COMPUTED_VALUE"""),21613.0)</f>
        <v>21613</v>
      </c>
      <c r="C844" s="3" t="str">
        <f>IFERROR(__xludf.DUMMYFUNCTION("""COMPUTED_VALUE"""),"MBC ราชดำริ")</f>
        <v>MBC ราชดำริ</v>
      </c>
      <c r="D844" s="3" t="str">
        <f>IFERROR(__xludf.DUMMYFUNCTION("""COMPUTED_VALUE"""),"BCM RAJDAMRI")</f>
        <v>BCM RAJDAMRI</v>
      </c>
      <c r="E844" s="1" t="str">
        <f>IFERROR(__xludf.DUMMYFUNCTION("""COMPUTED_VALUE"""),"บิ๊กซี MINI")</f>
        <v>บิ๊กซี MINI</v>
      </c>
      <c r="F844" s="1" t="str">
        <f>IFERROR(__xludf.DUMMYFUNCTION("""COMPUTED_VALUE"""),"291008")</f>
        <v>291008</v>
      </c>
      <c r="G844" s="1" t="str">
        <f>IFERROR(__xludf.DUMMYFUNCTION("""COMPUTED_VALUE"""),"น.ส.รัชดาพร อีศรัตน์")</f>
        <v>น.ส.รัชดาพร อีศรัตน์</v>
      </c>
      <c r="H844" s="1" t="str">
        <f>IFERROR(__xludf.DUMMYFUNCTION("""COMPUTED_VALUE"""),"359002")</f>
        <v>359002</v>
      </c>
      <c r="I844" s="1" t="str">
        <f>IFERROR(__xludf.DUMMYFUNCTION("""COMPUTED_VALUE"""),"น.ส.นิตยา สมจิตร")</f>
        <v>น.ส.นิตยา สมจิตร</v>
      </c>
      <c r="J844" s="3">
        <f>IFERROR(__xludf.DUMMYFUNCTION("""COMPUTED_VALUE"""),3510104.0)</f>
        <v>3510104</v>
      </c>
      <c r="K844" s="3" t="str">
        <f>IFERROR(__xludf.DUMMYFUNCTION("""COMPUTED_VALUE"""),"นายวิโรจน์ อับดุลสมัด")</f>
        <v>นายวิโรจน์ อับดุลสมัด</v>
      </c>
      <c r="L844" s="1" t="str">
        <f>IFERROR(__xludf.DUMMYFUNCTION("""COMPUTED_VALUE"""),"09 K.Wirode A")</f>
        <v>09 K.Wirode A</v>
      </c>
      <c r="M844" s="1" t="str">
        <f>IFERROR(__xludf.DUMMYFUNCTION("""COMPUTED_VALUE"""),"080-235-4465")</f>
        <v>080-235-4465</v>
      </c>
      <c r="N844" s="3">
        <f>IFERROR(__xludf.DUMMYFUNCTION("""COMPUTED_VALUE"""),21324.0)</f>
        <v>21324</v>
      </c>
      <c r="O844" s="3" t="str">
        <f>IFERROR(__xludf.DUMMYFUNCTION("""COMPUTED_VALUE"""),"MBC BCP สุวินทวงศ์")</f>
        <v>MBC BCP สุวินทวงศ์</v>
      </c>
      <c r="P844" s="4">
        <f>IFERROR(__xludf.DUMMYFUNCTION("""COMPUTED_VALUE"""),43221.0)</f>
        <v>43221</v>
      </c>
      <c r="Q844" s="3" t="str">
        <f>IFERROR(__xludf.DUMMYFUNCTION("""COMPUTED_VALUE"""),"A")</f>
        <v>A</v>
      </c>
      <c r="R844" s="3" t="str">
        <f>IFERROR(__xludf.DUMMYFUNCTION("""COMPUTED_VALUE"""),"Small Format")</f>
        <v>Small Format</v>
      </c>
      <c r="S844" s="3" t="str">
        <f>IFERROR(__xludf.DUMMYFUNCTION("""COMPUTED_VALUE"""),"BCM")</f>
        <v>BCM</v>
      </c>
      <c r="T844" s="3" t="str">
        <f>IFERROR(__xludf.DUMMYFUNCTION("""COMPUTED_VALUE"""),"#N/A")</f>
        <v>#N/A</v>
      </c>
      <c r="U844" s="3" t="str">
        <f>IFERROR(__xludf.DUMMYFUNCTION("""COMPUTED_VALUE"""),"#N/A")</f>
        <v>#N/A</v>
      </c>
      <c r="V844" s="3" t="str">
        <f>IFERROR(__xludf.DUMMYFUNCTION("""COMPUTED_VALUE"""),"N")</f>
        <v>N</v>
      </c>
      <c r="W844" s="3">
        <f>IFERROR(__xludf.DUMMYFUNCTION("""COMPUTED_VALUE"""),211565.0)</f>
        <v>211565</v>
      </c>
      <c r="X844" s="3" t="str">
        <f>IFERROR(__xludf.DUMMYFUNCTION("""COMPUTED_VALUE"""),"97/11 ถนนราชดำริห์ แขวงลุมพินี เขตปทุมวัน กรุงเทพมหานคร 10330")</f>
        <v>97/11 ถนนราชดำริห์ แขวงลุมพินี เขตปทุมวัน กรุงเทพมหานคร 10330</v>
      </c>
      <c r="Y844" s="3" t="str">
        <f>IFERROR(__xludf.DUMMYFUNCTION("""COMPUTED_VALUE"""),"ถนนราชดำริห์")</f>
        <v>ถนนราชดำริห์</v>
      </c>
      <c r="Z844" s="3" t="str">
        <f>IFERROR(__xludf.DUMMYFUNCTION("""COMPUTED_VALUE"""),"ลุมพินี")</f>
        <v>ลุมพินี</v>
      </c>
      <c r="AA844" s="3" t="str">
        <f>IFERROR(__xludf.DUMMYFUNCTION("""COMPUTED_VALUE"""),"ปทุมวัน")</f>
        <v>ปทุมวัน</v>
      </c>
      <c r="AB844" s="3" t="str">
        <f>IFERROR(__xludf.DUMMYFUNCTION("""COMPUTED_VALUE"""),"กรุงเทพมหานคร")</f>
        <v>กรุงเทพมหานคร</v>
      </c>
      <c r="AC844" s="3">
        <f>IFERROR(__xludf.DUMMYFUNCTION("""COMPUTED_VALUE"""),10330.0)</f>
        <v>10330</v>
      </c>
      <c r="AD844" s="3">
        <f>IFERROR(__xludf.DUMMYFUNCTION("""COMPUTED_VALUE"""),13.747578)</f>
        <v>13.747578</v>
      </c>
      <c r="AE844" s="3">
        <f>IFERROR(__xludf.DUMMYFUNCTION("""COMPUTED_VALUE"""),100.54128)</f>
        <v>100.54128</v>
      </c>
      <c r="AF844" s="3" t="str">
        <f>IFERROR(__xludf.DUMMYFUNCTION("""COMPUTED_VALUE"""),"MBC ราชดำริ-21613")</f>
        <v>MBC ราชดำริ-21613</v>
      </c>
      <c r="AG844" s="3" t="str">
        <f>IFERROR(__xludf.DUMMYFUNCTION("""COMPUTED_VALUE"""),"กลาง")</f>
        <v>กลาง</v>
      </c>
      <c r="AH844" s="3" t="str">
        <f>IFERROR(__xludf.DUMMYFUNCTION("""COMPUTED_VALUE"""),"#N/A")</f>
        <v>#N/A</v>
      </c>
      <c r="AI844" s="3" t="str">
        <f>IFERROR(__xludf.DUMMYFUNCTION("""COMPUTED_VALUE"""),"Out of warranty")</f>
        <v>Out of warranty</v>
      </c>
      <c r="AJ844" s="3">
        <f>IFERROR(__xludf.DUMMYFUNCTION("""COMPUTED_VALUE"""),93.0)</f>
        <v>93</v>
      </c>
      <c r="AK844" s="3" t="str">
        <f>IFERROR(__xludf.DUMMYFUNCTION("""COMPUTED_VALUE"""),"MMS03")</f>
        <v>MMS03</v>
      </c>
      <c r="AL844" s="3"/>
    </row>
    <row r="845" ht="15.75" customHeight="1">
      <c r="A845" s="1" t="str">
        <f>IFERROR(__xludf.DUMMYFUNCTION("""COMPUTED_VALUE"""),"21614")</f>
        <v>21614</v>
      </c>
      <c r="B845" s="2">
        <f>IFERROR(__xludf.DUMMYFUNCTION("""COMPUTED_VALUE"""),21614.0)</f>
        <v>21614</v>
      </c>
      <c r="C845" s="3" t="str">
        <f>IFERROR(__xludf.DUMMYFUNCTION("""COMPUTED_VALUE"""),"MBC ลาดพร้าว 64")</f>
        <v>MBC ลาดพร้าว 64</v>
      </c>
      <c r="D845" s="3" t="str">
        <f>IFERROR(__xludf.DUMMYFUNCTION("""COMPUTED_VALUE"""),"BCM LADPRAO 64")</f>
        <v>BCM LADPRAO 64</v>
      </c>
      <c r="E845" s="1" t="str">
        <f>IFERROR(__xludf.DUMMYFUNCTION("""COMPUTED_VALUE"""),"บิ๊กซี MINI")</f>
        <v>บิ๊กซี MINI</v>
      </c>
      <c r="F845" s="1" t="str">
        <f>IFERROR(__xludf.DUMMYFUNCTION("""COMPUTED_VALUE"""),"291008")</f>
        <v>291008</v>
      </c>
      <c r="G845" s="1" t="str">
        <f>IFERROR(__xludf.DUMMYFUNCTION("""COMPUTED_VALUE"""),"น.ส.รัชดาพร อีศรัตน์")</f>
        <v>น.ส.รัชดาพร อีศรัตน์</v>
      </c>
      <c r="H845" s="1" t="str">
        <f>IFERROR(__xludf.DUMMYFUNCTION("""COMPUTED_VALUE"""),"468773")</f>
        <v>468773</v>
      </c>
      <c r="I845" s="1" t="str">
        <f>IFERROR(__xludf.DUMMYFUNCTION("""COMPUTED_VALUE"""),"น.ส.พรพรรณ แซ่แต้")</f>
        <v>น.ส.พรพรรณ แซ่แต้</v>
      </c>
      <c r="J845" s="3">
        <f>IFERROR(__xludf.DUMMYFUNCTION("""COMPUTED_VALUE"""),2452378.0)</f>
        <v>2452378</v>
      </c>
      <c r="K845" s="3" t="str">
        <f>IFERROR(__xludf.DUMMYFUNCTION("""COMPUTED_VALUE"""),"นายศักดิ์ดา พวงประดับ")</f>
        <v>นายศักดิ์ดา พวงประดับ</v>
      </c>
      <c r="L845" s="1" t="str">
        <f>IFERROR(__xludf.DUMMYFUNCTION("""COMPUTED_VALUE"""),"11 K.Sakda P.")</f>
        <v>11 K.Sakda P.</v>
      </c>
      <c r="M845" s="1" t="str">
        <f>IFERROR(__xludf.DUMMYFUNCTION("""COMPUTED_VALUE"""),"065-929-1279")</f>
        <v>065-929-1279</v>
      </c>
      <c r="N845" s="3">
        <f>IFERROR(__xludf.DUMMYFUNCTION("""COMPUTED_VALUE"""),21002.0)</f>
        <v>21002</v>
      </c>
      <c r="O845" s="3" t="str">
        <f>IFERROR(__xludf.DUMMYFUNCTION("""COMPUTED_VALUE"""),"MBC อุดมสุข")</f>
        <v>MBC อุดมสุข</v>
      </c>
      <c r="P845" s="4">
        <f>IFERROR(__xludf.DUMMYFUNCTION("""COMPUTED_VALUE"""),43231.0)</f>
        <v>43231</v>
      </c>
      <c r="Q845" s="3" t="str">
        <f>IFERROR(__xludf.DUMMYFUNCTION("""COMPUTED_VALUE"""),"A")</f>
        <v>A</v>
      </c>
      <c r="R845" s="3" t="str">
        <f>IFERROR(__xludf.DUMMYFUNCTION("""COMPUTED_VALUE"""),"Small Format")</f>
        <v>Small Format</v>
      </c>
      <c r="S845" s="3" t="str">
        <f>IFERROR(__xludf.DUMMYFUNCTION("""COMPUTED_VALUE"""),"BCM")</f>
        <v>BCM</v>
      </c>
      <c r="T845" s="3" t="str">
        <f>IFERROR(__xludf.DUMMYFUNCTION("""COMPUTED_VALUE"""),"#N/A")</f>
        <v>#N/A</v>
      </c>
      <c r="U845" s="3" t="str">
        <f>IFERROR(__xludf.DUMMYFUNCTION("""COMPUTED_VALUE"""),"#N/A")</f>
        <v>#N/A</v>
      </c>
      <c r="V845" s="3" t="str">
        <f>IFERROR(__xludf.DUMMYFUNCTION("""COMPUTED_VALUE"""),"N")</f>
        <v>N</v>
      </c>
      <c r="W845" s="3">
        <f>IFERROR(__xludf.DUMMYFUNCTION("""COMPUTED_VALUE"""),211422.0)</f>
        <v>211422</v>
      </c>
      <c r="X845" s="3" t="str">
        <f>IFERROR(__xludf.DUMMYFUNCTION("""COMPUTED_VALUE"""),"92/1 ซอยลาดพร้าว 64 (เกตุนุติ) แขวงวัดทองหลาง เขตวัดทองหลาง กรุงเทพมหานคร 10310")</f>
        <v>92/1 ซอยลาดพร้าว 64 (เกตุนุติ) แขวงวัดทองหลาง เขตวัดทองหลาง กรุงเทพมหานคร 10310</v>
      </c>
      <c r="Y845" s="3" t="str">
        <f>IFERROR(__xludf.DUMMYFUNCTION("""COMPUTED_VALUE"""),"ซอยลาดพร้าว")</f>
        <v>ซอยลาดพร้าว</v>
      </c>
      <c r="Z845" s="3" t="str">
        <f>IFERROR(__xludf.DUMMYFUNCTION("""COMPUTED_VALUE"""),"วัดทองหลาง")</f>
        <v>วัดทองหลาง</v>
      </c>
      <c r="AA845" s="3" t="str">
        <f>IFERROR(__xludf.DUMMYFUNCTION("""COMPUTED_VALUE"""),"วัดทองหลาง")</f>
        <v>วัดทองหลาง</v>
      </c>
      <c r="AB845" s="3" t="str">
        <f>IFERROR(__xludf.DUMMYFUNCTION("""COMPUTED_VALUE"""),"กรุงเทพมหานคร")</f>
        <v>กรุงเทพมหานคร</v>
      </c>
      <c r="AC845" s="3">
        <f>IFERROR(__xludf.DUMMYFUNCTION("""COMPUTED_VALUE"""),10310.0)</f>
        <v>10310</v>
      </c>
      <c r="AD845" s="3">
        <f>IFERROR(__xludf.DUMMYFUNCTION("""COMPUTED_VALUE"""),13.788199)</f>
        <v>13.788199</v>
      </c>
      <c r="AE845" s="3">
        <f>IFERROR(__xludf.DUMMYFUNCTION("""COMPUTED_VALUE"""),100.599672)</f>
        <v>100.599672</v>
      </c>
      <c r="AF845" s="3" t="str">
        <f>IFERROR(__xludf.DUMMYFUNCTION("""COMPUTED_VALUE"""),"MBC ลาดพร้าว 64-21614")</f>
        <v>MBC ลาดพร้าว 64-21614</v>
      </c>
      <c r="AG845" s="3" t="str">
        <f>IFERROR(__xludf.DUMMYFUNCTION("""COMPUTED_VALUE"""),"กลาง")</f>
        <v>กลาง</v>
      </c>
      <c r="AH845" s="3" t="str">
        <f>IFERROR(__xludf.DUMMYFUNCTION("""COMPUTED_VALUE"""),"#N/A")</f>
        <v>#N/A</v>
      </c>
      <c r="AI845" s="3" t="str">
        <f>IFERROR(__xludf.DUMMYFUNCTION("""COMPUTED_VALUE"""),"Out of warranty")</f>
        <v>Out of warranty</v>
      </c>
      <c r="AJ845" s="3">
        <f>IFERROR(__xludf.DUMMYFUNCTION("""COMPUTED_VALUE"""),93.0)</f>
        <v>93</v>
      </c>
      <c r="AK845" s="3" t="str">
        <f>IFERROR(__xludf.DUMMYFUNCTION("""COMPUTED_VALUE"""),"MMS03")</f>
        <v>MMS03</v>
      </c>
      <c r="AL845" s="3"/>
    </row>
    <row r="846" ht="15.75" customHeight="1">
      <c r="A846" s="1" t="str">
        <f>IFERROR(__xludf.DUMMYFUNCTION("""COMPUTED_VALUE"""),"21615")</f>
        <v>21615</v>
      </c>
      <c r="B846" s="2">
        <f>IFERROR(__xludf.DUMMYFUNCTION("""COMPUTED_VALUE"""),21615.0)</f>
        <v>21615</v>
      </c>
      <c r="C846" s="3" t="str">
        <f>IFERROR(__xludf.DUMMYFUNCTION("""COMPUTED_VALUE"""),"MBC ตลาดหน้าศูนย์พัฒนา")</f>
        <v>MBC ตลาดหน้าศูนย์พัฒนา</v>
      </c>
      <c r="D846" s="3" t="str">
        <f>IFERROR(__xludf.DUMMYFUNCTION("""COMPUTED_VALUE"""),"BCM TALAD NA SOON PATTANA")</f>
        <v>BCM TALAD NA SOON PATTANA</v>
      </c>
      <c r="E846" s="1" t="str">
        <f>IFERROR(__xludf.DUMMYFUNCTION("""COMPUTED_VALUE"""),"บิ๊กซี MINI")</f>
        <v>บิ๊กซี MINI</v>
      </c>
      <c r="F846" s="1" t="str">
        <f>IFERROR(__xludf.DUMMYFUNCTION("""COMPUTED_VALUE"""),"250760")</f>
        <v>250760</v>
      </c>
      <c r="G846" s="1" t="str">
        <f>IFERROR(__xludf.DUMMYFUNCTION("""COMPUTED_VALUE"""),"นายประทวน สาราบรรณ์")</f>
        <v>นายประทวน สาราบรรณ์</v>
      </c>
      <c r="H846" s="1" t="str">
        <f>IFERROR(__xludf.DUMMYFUNCTION("""COMPUTED_VALUE"""),"228389")</f>
        <v>228389</v>
      </c>
      <c r="I846" s="1" t="str">
        <f>IFERROR(__xludf.DUMMYFUNCTION("""COMPUTED_VALUE"""),"นายมณีรันดร์ ชัยชนะ")</f>
        <v>นายมณีรันดร์ ชัยชนะ</v>
      </c>
      <c r="J846" s="3">
        <f>IFERROR(__xludf.DUMMYFUNCTION("""COMPUTED_VALUE"""),25324.0)</f>
        <v>25324</v>
      </c>
      <c r="K846" s="3" t="str">
        <f>IFERROR(__xludf.DUMMYFUNCTION("""COMPUTED_VALUE"""),"นายวิเชฎฐ์ ติรัตนะประคม")</f>
        <v>นายวิเชฎฐ์ ติรัตนะประคม</v>
      </c>
      <c r="L846" s="1" t="str">
        <f>IFERROR(__xludf.DUMMYFUNCTION("""COMPUTED_VALUE"""),"14 K.Wichet T.")</f>
        <v>14 K.Wichet T.</v>
      </c>
      <c r="M846" s="1" t="str">
        <f>IFERROR(__xludf.DUMMYFUNCTION("""COMPUTED_VALUE"""),"061-417-6569 / 086-445-5636")</f>
        <v>061-417-6569 / 086-445-5636</v>
      </c>
      <c r="N846" s="3">
        <f>IFERROR(__xludf.DUMMYFUNCTION("""COMPUTED_VALUE"""),22658.0)</f>
        <v>22658</v>
      </c>
      <c r="O846" s="3" t="str">
        <f>IFERROR(__xludf.DUMMYFUNCTION("""COMPUTED_VALUE"""),"BCM ถ.วิรัชหงษ์หยก ภูเก็ต")</f>
        <v>BCM ถ.วิรัชหงษ์หยก ภูเก็ต</v>
      </c>
      <c r="P846" s="4">
        <f>IFERROR(__xludf.DUMMYFUNCTION("""COMPUTED_VALUE"""),43229.0)</f>
        <v>43229</v>
      </c>
      <c r="Q846" s="3" t="str">
        <f>IFERROR(__xludf.DUMMYFUNCTION("""COMPUTED_VALUE"""),"A")</f>
        <v>A</v>
      </c>
      <c r="R846" s="3" t="str">
        <f>IFERROR(__xludf.DUMMYFUNCTION("""COMPUTED_VALUE"""),"Small Format")</f>
        <v>Small Format</v>
      </c>
      <c r="S846" s="3" t="str">
        <f>IFERROR(__xludf.DUMMYFUNCTION("""COMPUTED_VALUE"""),"BCM")</f>
        <v>BCM</v>
      </c>
      <c r="T846" s="3" t="str">
        <f>IFERROR(__xludf.DUMMYFUNCTION("""COMPUTED_VALUE"""),"#N/A")</f>
        <v>#N/A</v>
      </c>
      <c r="U846" s="3" t="str">
        <f>IFERROR(__xludf.DUMMYFUNCTION("""COMPUTED_VALUE"""),"#N/A")</f>
        <v>#N/A</v>
      </c>
      <c r="V846" s="3" t="str">
        <f>IFERROR(__xludf.DUMMYFUNCTION("""COMPUTED_VALUE"""),"N")</f>
        <v>N</v>
      </c>
      <c r="W846" s="3">
        <f>IFERROR(__xludf.DUMMYFUNCTION("""COMPUTED_VALUE"""),211580.0)</f>
        <v>211580</v>
      </c>
      <c r="X846" s="3" t="str">
        <f>IFERROR(__xludf.DUMMYFUNCTION("""COMPUTED_VALUE"""),"26/3-5 หมู่1 ตำบลบางกุ้ง อำเภอเมืองสุราษฎร์ธานี จังหวัดสุราษฎร์ธานี 84000")</f>
        <v>26/3-5 หมู่1 ตำบลบางกุ้ง อำเภอเมืองสุราษฎร์ธานี จังหวัดสุราษฎร์ธานี 84000</v>
      </c>
      <c r="Y846" s="3"/>
      <c r="Z846" s="3" t="str">
        <f>IFERROR(__xludf.DUMMYFUNCTION("""COMPUTED_VALUE"""),"บางกุ้ง")</f>
        <v>บางกุ้ง</v>
      </c>
      <c r="AA846" s="3" t="str">
        <f>IFERROR(__xludf.DUMMYFUNCTION("""COMPUTED_VALUE"""),"เมือง")</f>
        <v>เมือง</v>
      </c>
      <c r="AB846" s="3" t="str">
        <f>IFERROR(__xludf.DUMMYFUNCTION("""COMPUTED_VALUE"""),"สุราษฎร์ธานี")</f>
        <v>สุราษฎร์ธานี</v>
      </c>
      <c r="AC846" s="3">
        <f>IFERROR(__xludf.DUMMYFUNCTION("""COMPUTED_VALUE"""),84000.0)</f>
        <v>84000</v>
      </c>
      <c r="AD846" s="3">
        <f>IFERROR(__xludf.DUMMYFUNCTION("""COMPUTED_VALUE"""),9.152078)</f>
        <v>9.152078</v>
      </c>
      <c r="AE846" s="3">
        <f>IFERROR(__xludf.DUMMYFUNCTION("""COMPUTED_VALUE"""),99.361825)</f>
        <v>99.361825</v>
      </c>
      <c r="AF846" s="3" t="str">
        <f>IFERROR(__xludf.DUMMYFUNCTION("""COMPUTED_VALUE"""),"MBC ตลาดหน้าศูนย์พัฒนา-21615")</f>
        <v>MBC ตลาดหน้าศูนย์พัฒนา-21615</v>
      </c>
      <c r="AG846" s="3" t="str">
        <f>IFERROR(__xludf.DUMMYFUNCTION("""COMPUTED_VALUE"""),"ใต้")</f>
        <v>ใต้</v>
      </c>
      <c r="AH846" s="3" t="str">
        <f>IFERROR(__xludf.DUMMYFUNCTION("""COMPUTED_VALUE"""),"#N/A")</f>
        <v>#N/A</v>
      </c>
      <c r="AI846" s="3" t="str">
        <f>IFERROR(__xludf.DUMMYFUNCTION("""COMPUTED_VALUE"""),"Out of warranty")</f>
        <v>Out of warranty</v>
      </c>
      <c r="AJ846" s="3">
        <f>IFERROR(__xludf.DUMMYFUNCTION("""COMPUTED_VALUE"""),93.0)</f>
        <v>93</v>
      </c>
      <c r="AK846" s="3" t="str">
        <f>IFERROR(__xludf.DUMMYFUNCTION("""COMPUTED_VALUE"""),"MMS14")</f>
        <v>MMS14</v>
      </c>
      <c r="AL846" s="3"/>
    </row>
    <row r="847" ht="15.75" customHeight="1">
      <c r="A847" s="1" t="str">
        <f>IFERROR(__xludf.DUMMYFUNCTION("""COMPUTED_VALUE"""),"21616")</f>
        <v>21616</v>
      </c>
      <c r="B847" s="2">
        <f>IFERROR(__xludf.DUMMYFUNCTION("""COMPUTED_VALUE"""),21616.0)</f>
        <v>21616</v>
      </c>
      <c r="C847" s="3" t="str">
        <f>IFERROR(__xludf.DUMMYFUNCTION("""COMPUTED_VALUE"""),"MBC ประชาสันติ")</f>
        <v>MBC ประชาสันติ</v>
      </c>
      <c r="D847" s="3" t="str">
        <f>IFERROR(__xludf.DUMMYFUNCTION("""COMPUTED_VALUE"""),"BCM PRACHA SANTHI")</f>
        <v>BCM PRACHA SANTHI</v>
      </c>
      <c r="E847" s="1" t="str">
        <f>IFERROR(__xludf.DUMMYFUNCTION("""COMPUTED_VALUE"""),"บิ๊กซี MINI")</f>
        <v>บิ๊กซี MINI</v>
      </c>
      <c r="F847" s="1" t="str">
        <f>IFERROR(__xludf.DUMMYFUNCTION("""COMPUTED_VALUE"""),"291105")</f>
        <v>291105</v>
      </c>
      <c r="G847" s="1" t="str">
        <f>IFERROR(__xludf.DUMMYFUNCTION("""COMPUTED_VALUE"""),"นายสราวุฒิ พณิชยกุล")</f>
        <v>นายสราวุฒิ พณิชยกุล</v>
      </c>
      <c r="H847" s="1" t="str">
        <f>IFERROR(__xludf.DUMMYFUNCTION("""COMPUTED_VALUE"""),"392005")</f>
        <v>392005</v>
      </c>
      <c r="I847" s="1" t="str">
        <f>IFERROR(__xludf.DUMMYFUNCTION("""COMPUTED_VALUE"""),"นายรัฐพล หาญลำยวง")</f>
        <v>นายรัฐพล หาญลำยวง</v>
      </c>
      <c r="J847" s="3">
        <f>IFERROR(__xludf.DUMMYFUNCTION("""COMPUTED_VALUE"""),296868.0)</f>
        <v>296868</v>
      </c>
      <c r="K847" s="3" t="str">
        <f>IFERROR(__xludf.DUMMYFUNCTION("""COMPUTED_VALUE"""),"นายพีระพงษ์ แก้วดวงดี")</f>
        <v>นายพีระพงษ์ แก้วดวงดี</v>
      </c>
      <c r="L847" s="1" t="str">
        <f>IFERROR(__xludf.DUMMYFUNCTION("""COMPUTED_VALUE"""),"03 K.Peerapong K.")</f>
        <v>03 K.Peerapong K.</v>
      </c>
      <c r="M847" s="1" t="str">
        <f>IFERROR(__xludf.DUMMYFUNCTION("""COMPUTED_VALUE"""),"089-002-6599")</f>
        <v>089-002-6599</v>
      </c>
      <c r="N847" s="3">
        <f>IFERROR(__xludf.DUMMYFUNCTION("""COMPUTED_VALUE"""),21946.0)</f>
        <v>21946</v>
      </c>
      <c r="O847" s="3" t="str">
        <f>IFERROR(__xludf.DUMMYFUNCTION("""COMPUTED_VALUE"""),"MBC เซกา บึงกาฬ")</f>
        <v>MBC เซกา บึงกาฬ</v>
      </c>
      <c r="P847" s="4">
        <f>IFERROR(__xludf.DUMMYFUNCTION("""COMPUTED_VALUE"""),43235.0)</f>
        <v>43235</v>
      </c>
      <c r="Q847" s="3" t="str">
        <f>IFERROR(__xludf.DUMMYFUNCTION("""COMPUTED_VALUE"""),"A")</f>
        <v>A</v>
      </c>
      <c r="R847" s="3" t="str">
        <f>IFERROR(__xludf.DUMMYFUNCTION("""COMPUTED_VALUE"""),"Small Format")</f>
        <v>Small Format</v>
      </c>
      <c r="S847" s="3" t="str">
        <f>IFERROR(__xludf.DUMMYFUNCTION("""COMPUTED_VALUE"""),"BCM")</f>
        <v>BCM</v>
      </c>
      <c r="T847" s="3" t="str">
        <f>IFERROR(__xludf.DUMMYFUNCTION("""COMPUTED_VALUE"""),"#N/A")</f>
        <v>#N/A</v>
      </c>
      <c r="U847" s="3" t="str">
        <f>IFERROR(__xludf.DUMMYFUNCTION("""COMPUTED_VALUE"""),"#N/A")</f>
        <v>#N/A</v>
      </c>
      <c r="V847" s="3" t="str">
        <f>IFERROR(__xludf.DUMMYFUNCTION("""COMPUTED_VALUE"""),"N")</f>
        <v>N</v>
      </c>
      <c r="W847" s="3">
        <f>IFERROR(__xludf.DUMMYFUNCTION("""COMPUTED_VALUE"""),211574.0)</f>
        <v>211574</v>
      </c>
      <c r="X847" s="3" t="str">
        <f>IFERROR(__xludf.DUMMYFUNCTION("""COMPUTED_VALUE"""),"407/5-8 หมู่14 ซอยประชาสันติ(ฝั่งซ้าย) บ้านเก่าจาน ถนนนิตโย ตำบลหมากแข้ง อำเภอเมืองอุดรธานี จังหวัดอุดรธานี 41000")</f>
        <v>407/5-8 หมู่14 ซอยประชาสันติ(ฝั่งซ้าย) บ้านเก่าจาน ถนนนิตโย ตำบลหมากแข้ง อำเภอเมืองอุดรธานี จังหวัดอุดรธานี 41000</v>
      </c>
      <c r="Y847" s="3"/>
      <c r="Z847" s="3" t="str">
        <f>IFERROR(__xludf.DUMMYFUNCTION("""COMPUTED_VALUE"""),"หมากแข้ง")</f>
        <v>หมากแข้ง</v>
      </c>
      <c r="AA847" s="3" t="str">
        <f>IFERROR(__xludf.DUMMYFUNCTION("""COMPUTED_VALUE"""),"เมือง")</f>
        <v>เมือง</v>
      </c>
      <c r="AB847" s="3" t="str">
        <f>IFERROR(__xludf.DUMMYFUNCTION("""COMPUTED_VALUE"""),"อุดรธานี")</f>
        <v>อุดรธานี</v>
      </c>
      <c r="AC847" s="3">
        <f>IFERROR(__xludf.DUMMYFUNCTION("""COMPUTED_VALUE"""),41000.0)</f>
        <v>41000</v>
      </c>
      <c r="AD847" s="3">
        <f>IFERROR(__xludf.DUMMYFUNCTION("""COMPUTED_VALUE"""),17.39323613)</f>
        <v>17.39323613</v>
      </c>
      <c r="AE847" s="3">
        <f>IFERROR(__xludf.DUMMYFUNCTION("""COMPUTED_VALUE"""),102.8094299)</f>
        <v>102.8094299</v>
      </c>
      <c r="AF847" s="3" t="str">
        <f>IFERROR(__xludf.DUMMYFUNCTION("""COMPUTED_VALUE"""),"MBC ประชาสันติ-21616")</f>
        <v>MBC ประชาสันติ-21616</v>
      </c>
      <c r="AG847" s="3" t="str">
        <f>IFERROR(__xludf.DUMMYFUNCTION("""COMPUTED_VALUE"""),"ตะวันออกเฉียงเหนือ")</f>
        <v>ตะวันออกเฉียงเหนือ</v>
      </c>
      <c r="AH847" s="3" t="str">
        <f>IFERROR(__xludf.DUMMYFUNCTION("""COMPUTED_VALUE"""),"#N/A")</f>
        <v>#N/A</v>
      </c>
      <c r="AI847" s="3" t="str">
        <f>IFERROR(__xludf.DUMMYFUNCTION("""COMPUTED_VALUE"""),"Out of warranty")</f>
        <v>Out of warranty</v>
      </c>
      <c r="AJ847" s="3">
        <f>IFERROR(__xludf.DUMMYFUNCTION("""COMPUTED_VALUE"""),93.0)</f>
        <v>93</v>
      </c>
      <c r="AK847" s="3" t="str">
        <f>IFERROR(__xludf.DUMMYFUNCTION("""COMPUTED_VALUE"""),"MMS12")</f>
        <v>MMS12</v>
      </c>
      <c r="AL847" s="3"/>
    </row>
    <row r="848" ht="15.75" customHeight="1">
      <c r="A848" s="1" t="str">
        <f>IFERROR(__xludf.DUMMYFUNCTION("""COMPUTED_VALUE"""),"21617")</f>
        <v>21617</v>
      </c>
      <c r="B848" s="2">
        <f>IFERROR(__xludf.DUMMYFUNCTION("""COMPUTED_VALUE"""),21617.0)</f>
        <v>21617</v>
      </c>
      <c r="C848" s="3" t="str">
        <f>IFERROR(__xludf.DUMMYFUNCTION("""COMPUTED_VALUE"""),"MBC ชุมชนหลักร้อย")</f>
        <v>MBC ชุมชนหลักร้อย</v>
      </c>
      <c r="D848" s="3" t="str">
        <f>IFERROR(__xludf.DUMMYFUNCTION("""COMPUTED_VALUE"""),"BCM CHUMCHON LAK ROI")</f>
        <v>BCM CHUMCHON LAK ROI</v>
      </c>
      <c r="E848" s="1" t="str">
        <f>IFERROR(__xludf.DUMMYFUNCTION("""COMPUTED_VALUE"""),"บิ๊กซี MINI")</f>
        <v>บิ๊กซี MINI</v>
      </c>
      <c r="F848" s="1" t="str">
        <f>IFERROR(__xludf.DUMMYFUNCTION("""COMPUTED_VALUE"""),"291105")</f>
        <v>291105</v>
      </c>
      <c r="G848" s="1" t="str">
        <f>IFERROR(__xludf.DUMMYFUNCTION("""COMPUTED_VALUE"""),"นายสราวุฒิ พณิชยกุล")</f>
        <v>นายสราวุฒิ พณิชยกุล</v>
      </c>
      <c r="H848" s="1" t="str">
        <f>IFERROR(__xludf.DUMMYFUNCTION("""COMPUTED_VALUE"""),"281315")</f>
        <v>281315</v>
      </c>
      <c r="I848" s="1" t="str">
        <f>IFERROR(__xludf.DUMMYFUNCTION("""COMPUTED_VALUE"""),"นายกิตติพงษ์ มั่นคง")</f>
        <v>นายกิตติพงษ์ มั่นคง</v>
      </c>
      <c r="J848" s="3">
        <f>IFERROR(__xludf.DUMMYFUNCTION("""COMPUTED_VALUE"""),15361.0)</f>
        <v>15361</v>
      </c>
      <c r="K848" s="3" t="str">
        <f>IFERROR(__xludf.DUMMYFUNCTION("""COMPUTED_VALUE"""),"นายสมบูรณ์ พรหมในเมือง")</f>
        <v>นายสมบูรณ์ พรหมในเมือง</v>
      </c>
      <c r="L848" s="1" t="str">
        <f>IFERROR(__xludf.DUMMYFUNCTION("""COMPUTED_VALUE"""),"04 K.Somboon P.")</f>
        <v>04 K.Somboon P.</v>
      </c>
      <c r="M848" s="1" t="str">
        <f>IFERROR(__xludf.DUMMYFUNCTION("""COMPUTED_VALUE"""),"087-965-3051")</f>
        <v>087-965-3051</v>
      </c>
      <c r="N848" s="3">
        <f>IFERROR(__xludf.DUMMYFUNCTION("""COMPUTED_VALUE"""),21869.0)</f>
        <v>21869</v>
      </c>
      <c r="O848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848" s="4">
        <f>IFERROR(__xludf.DUMMYFUNCTION("""COMPUTED_VALUE"""),43243.0)</f>
        <v>43243</v>
      </c>
      <c r="Q848" s="3" t="str">
        <f>IFERROR(__xludf.DUMMYFUNCTION("""COMPUTED_VALUE"""),"A")</f>
        <v>A</v>
      </c>
      <c r="R848" s="3" t="str">
        <f>IFERROR(__xludf.DUMMYFUNCTION("""COMPUTED_VALUE"""),"Small Format")</f>
        <v>Small Format</v>
      </c>
      <c r="S848" s="3" t="str">
        <f>IFERROR(__xludf.DUMMYFUNCTION("""COMPUTED_VALUE"""),"BCM")</f>
        <v>BCM</v>
      </c>
      <c r="T848" s="3" t="str">
        <f>IFERROR(__xludf.DUMMYFUNCTION("""COMPUTED_VALUE"""),"#N/A")</f>
        <v>#N/A</v>
      </c>
      <c r="U848" s="3" t="str">
        <f>IFERROR(__xludf.DUMMYFUNCTION("""COMPUTED_VALUE"""),"#N/A")</f>
        <v>#N/A</v>
      </c>
      <c r="V848" s="3" t="str">
        <f>IFERROR(__xludf.DUMMYFUNCTION("""COMPUTED_VALUE"""),"N")</f>
        <v>N</v>
      </c>
      <c r="W848" s="3">
        <f>IFERROR(__xludf.DUMMYFUNCTION("""COMPUTED_VALUE"""),211515.0)</f>
        <v>211515</v>
      </c>
      <c r="X848" s="3" t="str">
        <f>IFERROR(__xludf.DUMMYFUNCTION("""COMPUTED_VALUE"""),"2260/8 ถนนมุขมนตรี ตำบลในเมือง อำเภอเมืองนครราชสีมา จังหวัดนครราชสีมา 30000")</f>
        <v>2260/8 ถนนมุขมนตรี ตำบลในเมือง อำเภอเมืองนครราชสีมา จังหวัดนครราชสีมา 30000</v>
      </c>
      <c r="Y848" s="3" t="str">
        <f>IFERROR(__xludf.DUMMYFUNCTION("""COMPUTED_VALUE"""),"ถนนมุขมนตรี")</f>
        <v>ถนนมุขมนตรี</v>
      </c>
      <c r="Z848" s="3" t="str">
        <f>IFERROR(__xludf.DUMMYFUNCTION("""COMPUTED_VALUE"""),"ในเมือง")</f>
        <v>ในเมือง</v>
      </c>
      <c r="AA848" s="3" t="str">
        <f>IFERROR(__xludf.DUMMYFUNCTION("""COMPUTED_VALUE"""),"เมือง")</f>
        <v>เมือง</v>
      </c>
      <c r="AB848" s="3" t="str">
        <f>IFERROR(__xludf.DUMMYFUNCTION("""COMPUTED_VALUE"""),"นครราชสีมา")</f>
        <v>นครราชสีมา</v>
      </c>
      <c r="AC848" s="3">
        <f>IFERROR(__xludf.DUMMYFUNCTION("""COMPUTED_VALUE"""),30000.0)</f>
        <v>30000</v>
      </c>
      <c r="AD848" s="3">
        <f>IFERROR(__xludf.DUMMYFUNCTION("""COMPUTED_VALUE"""),14.968893)</f>
        <v>14.968893</v>
      </c>
      <c r="AE848" s="3">
        <f>IFERROR(__xludf.DUMMYFUNCTION("""COMPUTED_VALUE"""),102.056818)</f>
        <v>102.056818</v>
      </c>
      <c r="AF848" s="3" t="str">
        <f>IFERROR(__xludf.DUMMYFUNCTION("""COMPUTED_VALUE"""),"MBC ชุมชนหลักร้อย-21617")</f>
        <v>MBC ชุมชนหลักร้อย-21617</v>
      </c>
      <c r="AG848" s="3" t="str">
        <f>IFERROR(__xludf.DUMMYFUNCTION("""COMPUTED_VALUE"""),"ตะวันออกเฉียงเหนือ")</f>
        <v>ตะวันออกเฉียงเหนือ</v>
      </c>
      <c r="AH848" s="3" t="str">
        <f>IFERROR(__xludf.DUMMYFUNCTION("""COMPUTED_VALUE"""),"#N/A")</f>
        <v>#N/A</v>
      </c>
      <c r="AI848" s="3" t="str">
        <f>IFERROR(__xludf.DUMMYFUNCTION("""COMPUTED_VALUE"""),"Out of warranty")</f>
        <v>Out of warranty</v>
      </c>
      <c r="AJ848" s="3">
        <f>IFERROR(__xludf.DUMMYFUNCTION("""COMPUTED_VALUE"""),92.0)</f>
        <v>92</v>
      </c>
      <c r="AK848" s="3" t="str">
        <f>IFERROR(__xludf.DUMMYFUNCTION("""COMPUTED_VALUE"""),"MMS11")</f>
        <v>MMS11</v>
      </c>
      <c r="AL848" s="3"/>
    </row>
    <row r="849" ht="15.75" customHeight="1">
      <c r="A849" s="1" t="str">
        <f>IFERROR(__xludf.DUMMYFUNCTION("""COMPUTED_VALUE"""),"21618")</f>
        <v>21618</v>
      </c>
      <c r="B849" s="2">
        <f>IFERROR(__xludf.DUMMYFUNCTION("""COMPUTED_VALUE"""),21618.0)</f>
        <v>21618</v>
      </c>
      <c r="C849" s="3" t="str">
        <f>IFERROR(__xludf.DUMMYFUNCTION("""COMPUTED_VALUE"""),"BCM คลองระพีพัฒน์")</f>
        <v>BCM คลองระพีพัฒน์</v>
      </c>
      <c r="D849" s="3" t="str">
        <f>IFERROR(__xludf.DUMMYFUNCTION("""COMPUTED_VALUE"""),"BCM KHLONG RAPHI PHAT")</f>
        <v>BCM KHLONG RAPHI PHAT</v>
      </c>
      <c r="E849" s="1" t="str">
        <f>IFERROR(__xludf.DUMMYFUNCTION("""COMPUTED_VALUE"""),"บิ๊กซี MINI")</f>
        <v>บิ๊กซี MINI</v>
      </c>
      <c r="F849" s="1" t="str">
        <f>IFERROR(__xludf.DUMMYFUNCTION("""COMPUTED_VALUE"""),"296229")</f>
        <v>296229</v>
      </c>
      <c r="G849" s="1" t="str">
        <f>IFERROR(__xludf.DUMMYFUNCTION("""COMPUTED_VALUE"""),"นายทนงศักดิ์ บุญมา")</f>
        <v>นายทนงศักดิ์ บุญมา</v>
      </c>
      <c r="H849" s="1" t="str">
        <f>IFERROR(__xludf.DUMMYFUNCTION("""COMPUTED_VALUE"""),"211363")</f>
        <v>211363</v>
      </c>
      <c r="I849" s="1" t="str">
        <f>IFERROR(__xludf.DUMMYFUNCTION("""COMPUTED_VALUE"""),"นายสามารถ บุญลับ")</f>
        <v>นายสามารถ บุญลับ</v>
      </c>
      <c r="J849" s="3">
        <f>IFERROR(__xludf.DUMMYFUNCTION("""COMPUTED_VALUE"""),46214.0)</f>
        <v>46214</v>
      </c>
      <c r="K849" s="3" t="str">
        <f>IFERROR(__xludf.DUMMYFUNCTION("""COMPUTED_VALUE"""),"นายศักดิ์ชัย เด็ดดอกฟ้า")</f>
        <v>นายศักดิ์ชัย เด็ดดอกฟ้า</v>
      </c>
      <c r="L849" s="1" t="str">
        <f>IFERROR(__xludf.DUMMYFUNCTION("""COMPUTED_VALUE"""),"02 K.Sakchai D")</f>
        <v>02 K.Sakchai D</v>
      </c>
      <c r="M849" s="1" t="str">
        <f>IFERROR(__xludf.DUMMYFUNCTION("""COMPUTED_VALUE"""),"065-510-7376")</f>
        <v>065-510-7376</v>
      </c>
      <c r="N849" s="3">
        <f>IFERROR(__xludf.DUMMYFUNCTION("""COMPUTED_VALUE"""),21441.0)</f>
        <v>21441</v>
      </c>
      <c r="O849" s="3" t="str">
        <f>IFERROR(__xludf.DUMMYFUNCTION("""COMPUTED_VALUE"""),"MBC บ้านกร่าง พิษณุโลก")</f>
        <v>MBC บ้านกร่าง พิษณุโลก</v>
      </c>
      <c r="P849" s="4">
        <f>IFERROR(__xludf.DUMMYFUNCTION("""COMPUTED_VALUE"""),43241.0)</f>
        <v>43241</v>
      </c>
      <c r="Q849" s="3" t="str">
        <f>IFERROR(__xludf.DUMMYFUNCTION("""COMPUTED_VALUE"""),"I")</f>
        <v>I</v>
      </c>
      <c r="R849" s="3" t="str">
        <f>IFERROR(__xludf.DUMMYFUNCTION("""COMPUTED_VALUE"""),"Small Format")</f>
        <v>Small Format</v>
      </c>
      <c r="S849" s="3" t="str">
        <f>IFERROR(__xludf.DUMMYFUNCTION("""COMPUTED_VALUE"""),"BCM")</f>
        <v>BCM</v>
      </c>
      <c r="T849" s="3" t="str">
        <f>IFERROR(__xludf.DUMMYFUNCTION("""COMPUTED_VALUE"""),"#N/A")</f>
        <v>#N/A</v>
      </c>
      <c r="U849" s="3" t="str">
        <f>IFERROR(__xludf.DUMMYFUNCTION("""COMPUTED_VALUE"""),"#N/A")</f>
        <v>#N/A</v>
      </c>
      <c r="V849" s="3" t="str">
        <f>IFERROR(__xludf.DUMMYFUNCTION("""COMPUTED_VALUE"""),"N")</f>
        <v>N</v>
      </c>
      <c r="W849" s="3">
        <f>IFERROR(__xludf.DUMMYFUNCTION("""COMPUTED_VALUE"""),211569.0)</f>
        <v>211569</v>
      </c>
      <c r="X849" s="3" t="str">
        <f>IFERROR(__xludf.DUMMYFUNCTION("""COMPUTED_VALUE"""),"69/53-55 ถนนระพีพัฒน์ฝั่งซ้าย ตำบลหนองแค อำเภอหนองแค จังหวัดสระบุรี 18140")</f>
        <v>69/53-55 ถนนระพีพัฒน์ฝั่งซ้าย ตำบลหนองแค อำเภอหนองแค จังหวัดสระบุรี 18140</v>
      </c>
      <c r="Y849" s="3" t="str">
        <f>IFERROR(__xludf.DUMMYFUNCTION("""COMPUTED_VALUE"""),"ถนนระพีพัฒน์ฝั่งซ้าย")</f>
        <v>ถนนระพีพัฒน์ฝั่งซ้าย</v>
      </c>
      <c r="Z849" s="3" t="str">
        <f>IFERROR(__xludf.DUMMYFUNCTION("""COMPUTED_VALUE"""),"หนองแค")</f>
        <v>หนองแค</v>
      </c>
      <c r="AA849" s="3" t="str">
        <f>IFERROR(__xludf.DUMMYFUNCTION("""COMPUTED_VALUE"""),"หนองแค")</f>
        <v>หนองแค</v>
      </c>
      <c r="AB849" s="3" t="str">
        <f>IFERROR(__xludf.DUMMYFUNCTION("""COMPUTED_VALUE"""),"สระบุรี")</f>
        <v>สระบุรี</v>
      </c>
      <c r="AC849" s="3">
        <f>IFERROR(__xludf.DUMMYFUNCTION("""COMPUTED_VALUE"""),18140.0)</f>
        <v>18140</v>
      </c>
      <c r="AD849" s="3">
        <f>IFERROR(__xludf.DUMMYFUNCTION("""COMPUTED_VALUE"""),14.335324)</f>
        <v>14.335324</v>
      </c>
      <c r="AE849" s="3">
        <f>IFERROR(__xludf.DUMMYFUNCTION("""COMPUTED_VALUE"""),100.870772)</f>
        <v>100.870772</v>
      </c>
      <c r="AF849" s="3" t="str">
        <f>IFERROR(__xludf.DUMMYFUNCTION("""COMPUTED_VALUE"""),"BCM คลองระพีพัฒน์-21618")</f>
        <v>BCM คลองระพีพัฒน์-21618</v>
      </c>
      <c r="AG849" s="3" t="str">
        <f>IFERROR(__xludf.DUMMYFUNCTION("""COMPUTED_VALUE"""),"กลาง")</f>
        <v>กลาง</v>
      </c>
      <c r="AH849" s="3" t="str">
        <f>IFERROR(__xludf.DUMMYFUNCTION("""COMPUTED_VALUE"""),"#N/A")</f>
        <v>#N/A</v>
      </c>
      <c r="AI849" s="3" t="str">
        <f>IFERROR(__xludf.DUMMYFUNCTION("""COMPUTED_VALUE"""),"Out of warranty")</f>
        <v>Out of warranty</v>
      </c>
      <c r="AJ849" s="3">
        <f>IFERROR(__xludf.DUMMYFUNCTION("""COMPUTED_VALUE"""),92.0)</f>
        <v>92</v>
      </c>
      <c r="AK849" s="3"/>
      <c r="AL849" s="3"/>
    </row>
    <row r="850" ht="15.75" customHeight="1">
      <c r="A850" s="1" t="str">
        <f>IFERROR(__xludf.DUMMYFUNCTION("""COMPUTED_VALUE"""),"21619")</f>
        <v>21619</v>
      </c>
      <c r="B850" s="2">
        <f>IFERROR(__xludf.DUMMYFUNCTION("""COMPUTED_VALUE"""),21619.0)</f>
        <v>21619</v>
      </c>
      <c r="C850" s="3" t="str">
        <f>IFERROR(__xludf.DUMMYFUNCTION("""COMPUTED_VALUE"""),"MBC ซอยห้วยตาเทศ")</f>
        <v>MBC ซอยห้วยตาเทศ</v>
      </c>
      <c r="D850" s="3" t="str">
        <f>IFERROR(__xludf.DUMMYFUNCTION("""COMPUTED_VALUE"""),"BCM SOI HUAYTATHET")</f>
        <v>BCM SOI HUAYTATHET</v>
      </c>
      <c r="E850" s="1" t="str">
        <f>IFERROR(__xludf.DUMMYFUNCTION("""COMPUTED_VALUE"""),"บิ๊กซี MINI")</f>
        <v>บิ๊กซี MINI</v>
      </c>
      <c r="F850" s="1" t="str">
        <f>IFERROR(__xludf.DUMMYFUNCTION("""COMPUTED_VALUE"""),"221716")</f>
        <v>221716</v>
      </c>
      <c r="G850" s="1" t="str">
        <f>IFERROR(__xludf.DUMMYFUNCTION("""COMPUTED_VALUE"""),"น.ส.เบญจพร โพธิสาร")</f>
        <v>น.ส.เบญจพร โพธิสาร</v>
      </c>
      <c r="H850" s="1" t="str">
        <f>IFERROR(__xludf.DUMMYFUNCTION("""COMPUTED_VALUE"""),"034605")</f>
        <v>034605</v>
      </c>
      <c r="I850" s="1" t="str">
        <f>IFERROR(__xludf.DUMMYFUNCTION("""COMPUTED_VALUE"""),"นายธรรมรัตน์ สุขเจริญ")</f>
        <v>นายธรรมรัตน์ สุขเจริญ</v>
      </c>
      <c r="J850" s="3">
        <f>IFERROR(__xludf.DUMMYFUNCTION("""COMPUTED_VALUE"""),1.3461215E7)</f>
        <v>13461215</v>
      </c>
      <c r="K850" s="3" t="str">
        <f>IFERROR(__xludf.DUMMYFUNCTION("""COMPUTED_VALUE"""),"นายธีรภัทร สังข์เงิน")</f>
        <v>นายธีรภัทร สังข์เงิน</v>
      </c>
      <c r="L850" s="1" t="str">
        <f>IFERROR(__xludf.DUMMYFUNCTION("""COMPUTED_VALUE"""),"06 K.Teerapat")</f>
        <v>06 K.Teerapat</v>
      </c>
      <c r="M850" s="1" t="str">
        <f>IFERROR(__xludf.DUMMYFUNCTION("""COMPUTED_VALUE"""),"063-601-6803")</f>
        <v>063-601-6803</v>
      </c>
      <c r="N850" s="3">
        <f>IFERROR(__xludf.DUMMYFUNCTION("""COMPUTED_VALUE"""),22115.0)</f>
        <v>22115</v>
      </c>
      <c r="O850" s="3" t="str">
        <f>IFERROR(__xludf.DUMMYFUNCTION("""COMPUTED_VALUE"""),"MBC เลี่ยงหนองมน ชลบุรี")</f>
        <v>MBC เลี่ยงหนองมน ชลบุรี</v>
      </c>
      <c r="P850" s="4">
        <f>IFERROR(__xludf.DUMMYFUNCTION("""COMPUTED_VALUE"""),43248.0)</f>
        <v>43248</v>
      </c>
      <c r="Q850" s="3" t="str">
        <f>IFERROR(__xludf.DUMMYFUNCTION("""COMPUTED_VALUE"""),"A")</f>
        <v>A</v>
      </c>
      <c r="R850" s="3" t="str">
        <f>IFERROR(__xludf.DUMMYFUNCTION("""COMPUTED_VALUE"""),"Small Format")</f>
        <v>Small Format</v>
      </c>
      <c r="S850" s="3" t="str">
        <f>IFERROR(__xludf.DUMMYFUNCTION("""COMPUTED_VALUE"""),"BCM")</f>
        <v>BCM</v>
      </c>
      <c r="T850" s="3" t="str">
        <f>IFERROR(__xludf.DUMMYFUNCTION("""COMPUTED_VALUE"""),"#N/A")</f>
        <v>#N/A</v>
      </c>
      <c r="U850" s="3" t="str">
        <f>IFERROR(__xludf.DUMMYFUNCTION("""COMPUTED_VALUE"""),"#N/A")</f>
        <v>#N/A</v>
      </c>
      <c r="V850" s="3" t="str">
        <f>IFERROR(__xludf.DUMMYFUNCTION("""COMPUTED_VALUE"""),"N")</f>
        <v>N</v>
      </c>
      <c r="W850" s="3">
        <f>IFERROR(__xludf.DUMMYFUNCTION("""COMPUTED_VALUE"""),211572.0)</f>
        <v>211572</v>
      </c>
      <c r="X850" s="3" t="str">
        <f>IFERROR(__xludf.DUMMYFUNCTION("""COMPUTED_VALUE"""),"62/1-6 หมู่5 ตำบลดอนหัวฬ่อ อำเภอเมืองชลบุรี จังหวัดชลบุรี 20000")</f>
        <v>62/1-6 หมู่5 ตำบลดอนหัวฬ่อ อำเภอเมืองชลบุรี จังหวัดชลบุรี 20000</v>
      </c>
      <c r="Y850" s="3"/>
      <c r="Z850" s="3" t="str">
        <f>IFERROR(__xludf.DUMMYFUNCTION("""COMPUTED_VALUE"""),"ดอนหัวฬ่อ")</f>
        <v>ดอนหัวฬ่อ</v>
      </c>
      <c r="AA850" s="3" t="str">
        <f>IFERROR(__xludf.DUMMYFUNCTION("""COMPUTED_VALUE"""),"เมือง")</f>
        <v>เมือง</v>
      </c>
      <c r="AB850" s="3" t="str">
        <f>IFERROR(__xludf.DUMMYFUNCTION("""COMPUTED_VALUE"""),"ชลบุรี")</f>
        <v>ชลบุรี</v>
      </c>
      <c r="AC850" s="3">
        <f>IFERROR(__xludf.DUMMYFUNCTION("""COMPUTED_VALUE"""),20000.0)</f>
        <v>20000</v>
      </c>
      <c r="AD850" s="3">
        <f>IFERROR(__xludf.DUMMYFUNCTION("""COMPUTED_VALUE"""),13.419225)</f>
        <v>13.419225</v>
      </c>
      <c r="AE850" s="3">
        <f>IFERROR(__xludf.DUMMYFUNCTION("""COMPUTED_VALUE"""),101.032088)</f>
        <v>101.032088</v>
      </c>
      <c r="AF850" s="3" t="str">
        <f>IFERROR(__xludf.DUMMYFUNCTION("""COMPUTED_VALUE"""),"MBC ซอยห้วยตาเทศ-21619")</f>
        <v>MBC ซอยห้วยตาเทศ-21619</v>
      </c>
      <c r="AG850" s="3" t="str">
        <f>IFERROR(__xludf.DUMMYFUNCTION("""COMPUTED_VALUE"""),"ตะวันออก")</f>
        <v>ตะวันออก</v>
      </c>
      <c r="AH850" s="3" t="str">
        <f>IFERROR(__xludf.DUMMYFUNCTION("""COMPUTED_VALUE"""),"#N/A")</f>
        <v>#N/A</v>
      </c>
      <c r="AI850" s="3" t="str">
        <f>IFERROR(__xludf.DUMMYFUNCTION("""COMPUTED_VALUE"""),"Out of warranty")</f>
        <v>Out of warranty</v>
      </c>
      <c r="AJ850" s="3">
        <f>IFERROR(__xludf.DUMMYFUNCTION("""COMPUTED_VALUE"""),92.0)</f>
        <v>92</v>
      </c>
      <c r="AK850" s="3" t="str">
        <f>IFERROR(__xludf.DUMMYFUNCTION("""COMPUTED_VALUE"""),"MMS06")</f>
        <v>MMS06</v>
      </c>
      <c r="AL850" s="3"/>
    </row>
    <row r="851" ht="15.75" customHeight="1">
      <c r="A851" s="1" t="str">
        <f>IFERROR(__xludf.DUMMYFUNCTION("""COMPUTED_VALUE"""),"21620")</f>
        <v>21620</v>
      </c>
      <c r="B851" s="2">
        <f>IFERROR(__xludf.DUMMYFUNCTION("""COMPUTED_VALUE"""),21620.0)</f>
        <v>21620</v>
      </c>
      <c r="C851" s="3" t="str">
        <f>IFERROR(__xludf.DUMMYFUNCTION("""COMPUTED_VALUE"""),"MBC บางแสน สาย 4 เหนือ")</f>
        <v>MBC บางแสน สาย 4 เหนือ</v>
      </c>
      <c r="D851" s="3" t="str">
        <f>IFERROR(__xludf.DUMMYFUNCTION("""COMPUTED_VALUE"""),"BCM BANGSAEN SAI4")</f>
        <v>BCM BANGSAEN SAI4</v>
      </c>
      <c r="E851" s="1" t="str">
        <f>IFERROR(__xludf.DUMMYFUNCTION("""COMPUTED_VALUE"""),"บิ๊กซี MINI")</f>
        <v>บิ๊กซี MINI</v>
      </c>
      <c r="F851" s="1" t="str">
        <f>IFERROR(__xludf.DUMMYFUNCTION("""COMPUTED_VALUE"""),"221716")</f>
        <v>221716</v>
      </c>
      <c r="G851" s="1" t="str">
        <f>IFERROR(__xludf.DUMMYFUNCTION("""COMPUTED_VALUE"""),"น.ส.เบญจพร โพธิสาร")</f>
        <v>น.ส.เบญจพร โพธิสาร</v>
      </c>
      <c r="H851" s="1" t="str">
        <f>IFERROR(__xludf.DUMMYFUNCTION("""COMPUTED_VALUE"""),"476018")</f>
        <v>476018</v>
      </c>
      <c r="I851" s="1" t="str">
        <f>IFERROR(__xludf.DUMMYFUNCTION("""COMPUTED_VALUE"""),"นายศราวุฒิ ชูพันดุง")</f>
        <v>นายศราวุฒิ ชูพันดุง</v>
      </c>
      <c r="J851" s="3">
        <f>IFERROR(__xludf.DUMMYFUNCTION("""COMPUTED_VALUE"""),1.3461215E7)</f>
        <v>13461215</v>
      </c>
      <c r="K851" s="3" t="str">
        <f>IFERROR(__xludf.DUMMYFUNCTION("""COMPUTED_VALUE"""),"นายธีรภัทร สังข์เงิน")</f>
        <v>นายธีรภัทร สังข์เงิน</v>
      </c>
      <c r="L851" s="1" t="str">
        <f>IFERROR(__xludf.DUMMYFUNCTION("""COMPUTED_VALUE"""),"06 K.Teerapat")</f>
        <v>06 K.Teerapat</v>
      </c>
      <c r="M851" s="1" t="str">
        <f>IFERROR(__xludf.DUMMYFUNCTION("""COMPUTED_VALUE"""),"063-601-6803")</f>
        <v>063-601-6803</v>
      </c>
      <c r="N851" s="3">
        <f>IFERROR(__xludf.DUMMYFUNCTION("""COMPUTED_VALUE"""),22115.0)</f>
        <v>22115</v>
      </c>
      <c r="O851" s="3" t="str">
        <f>IFERROR(__xludf.DUMMYFUNCTION("""COMPUTED_VALUE"""),"MBC เลี่ยงหนองมน ชลบุรี")</f>
        <v>MBC เลี่ยงหนองมน ชลบุรี</v>
      </c>
      <c r="P851" s="4">
        <f>IFERROR(__xludf.DUMMYFUNCTION("""COMPUTED_VALUE"""),43251.0)</f>
        <v>43251</v>
      </c>
      <c r="Q851" s="3" t="str">
        <f>IFERROR(__xludf.DUMMYFUNCTION("""COMPUTED_VALUE"""),"A")</f>
        <v>A</v>
      </c>
      <c r="R851" s="3" t="str">
        <f>IFERROR(__xludf.DUMMYFUNCTION("""COMPUTED_VALUE"""),"Small Format")</f>
        <v>Small Format</v>
      </c>
      <c r="S851" s="3" t="str">
        <f>IFERROR(__xludf.DUMMYFUNCTION("""COMPUTED_VALUE"""),"BCM")</f>
        <v>BCM</v>
      </c>
      <c r="T851" s="3" t="str">
        <f>IFERROR(__xludf.DUMMYFUNCTION("""COMPUTED_VALUE"""),"#N/A")</f>
        <v>#N/A</v>
      </c>
      <c r="U851" s="3" t="str">
        <f>IFERROR(__xludf.DUMMYFUNCTION("""COMPUTED_VALUE"""),"#N/A")</f>
        <v>#N/A</v>
      </c>
      <c r="V851" s="3" t="str">
        <f>IFERROR(__xludf.DUMMYFUNCTION("""COMPUTED_VALUE"""),"N")</f>
        <v>N</v>
      </c>
      <c r="W851" s="3">
        <f>IFERROR(__xludf.DUMMYFUNCTION("""COMPUTED_VALUE"""),211570.0)</f>
        <v>211570</v>
      </c>
      <c r="X851" s="3" t="str">
        <f>IFERROR(__xludf.DUMMYFUNCTION("""COMPUTED_VALUE"""),"14/2 ถนนบางแสนสาย4 เหนือ ตำบลแสนสุข อำเภอเมืองชลบุรี จังหวัดชลบุรี 20130")</f>
        <v>14/2 ถนนบางแสนสาย4 เหนือ ตำบลแสนสุข อำเภอเมืองชลบุรี จังหวัดชลบุรี 20130</v>
      </c>
      <c r="Y851" s="3" t="str">
        <f>IFERROR(__xludf.DUMMYFUNCTION("""COMPUTED_VALUE"""),"ถนนบางแสนสาย4")</f>
        <v>ถนนบางแสนสาย4</v>
      </c>
      <c r="Z851" s="3" t="str">
        <f>IFERROR(__xludf.DUMMYFUNCTION("""COMPUTED_VALUE"""),"เหนือ")</f>
        <v>เหนือ</v>
      </c>
      <c r="AA851" s="3" t="str">
        <f>IFERROR(__xludf.DUMMYFUNCTION("""COMPUTED_VALUE"""),"เมือง")</f>
        <v>เมือง</v>
      </c>
      <c r="AB851" s="3" t="str">
        <f>IFERROR(__xludf.DUMMYFUNCTION("""COMPUTED_VALUE"""),"ชลบุรี")</f>
        <v>ชลบุรี</v>
      </c>
      <c r="AC851" s="3">
        <f>IFERROR(__xludf.DUMMYFUNCTION("""COMPUTED_VALUE"""),20130.0)</f>
        <v>20130</v>
      </c>
      <c r="AD851" s="3">
        <f>IFERROR(__xludf.DUMMYFUNCTION("""COMPUTED_VALUE"""),13.288639)</f>
        <v>13.288639</v>
      </c>
      <c r="AE851" s="3">
        <f>IFERROR(__xludf.DUMMYFUNCTION("""COMPUTED_VALUE"""),100.927215)</f>
        <v>100.927215</v>
      </c>
      <c r="AF851" s="3" t="str">
        <f>IFERROR(__xludf.DUMMYFUNCTION("""COMPUTED_VALUE"""),"MBC บางแสน สาย 4 เหนือ-21620")</f>
        <v>MBC บางแสน สาย 4 เหนือ-21620</v>
      </c>
      <c r="AG851" s="3" t="str">
        <f>IFERROR(__xludf.DUMMYFUNCTION("""COMPUTED_VALUE"""),"ตะวันออก")</f>
        <v>ตะวันออก</v>
      </c>
      <c r="AH851" s="3" t="str">
        <f>IFERROR(__xludf.DUMMYFUNCTION("""COMPUTED_VALUE"""),"#N/A")</f>
        <v>#N/A</v>
      </c>
      <c r="AI851" s="3" t="str">
        <f>IFERROR(__xludf.DUMMYFUNCTION("""COMPUTED_VALUE"""),"Out of warranty")</f>
        <v>Out of warranty</v>
      </c>
      <c r="AJ851" s="3">
        <f>IFERROR(__xludf.DUMMYFUNCTION("""COMPUTED_VALUE"""),92.0)</f>
        <v>92</v>
      </c>
      <c r="AK851" s="3" t="str">
        <f>IFERROR(__xludf.DUMMYFUNCTION("""COMPUTED_VALUE"""),"MMS06")</f>
        <v>MMS06</v>
      </c>
      <c r="AL851" s="3"/>
    </row>
    <row r="852" ht="15.75" customHeight="1">
      <c r="A852" s="1" t="str">
        <f>IFERROR(__xludf.DUMMYFUNCTION("""COMPUTED_VALUE"""),"21621")</f>
        <v>21621</v>
      </c>
      <c r="B852" s="2">
        <f>IFERROR(__xludf.DUMMYFUNCTION("""COMPUTED_VALUE"""),21621.0)</f>
        <v>21621</v>
      </c>
      <c r="C852" s="3" t="str">
        <f>IFERROR(__xludf.DUMMYFUNCTION("""COMPUTED_VALUE"""),"MBC ประตูน้ำ พระอินทร์")</f>
        <v>MBC ประตูน้ำ พระอินทร์</v>
      </c>
      <c r="D852" s="3" t="str">
        <f>IFERROR(__xludf.DUMMYFUNCTION("""COMPUTED_VALUE"""),"BCM PRATUNAM PRA-IN")</f>
        <v>BCM PRATUNAM PRA-IN</v>
      </c>
      <c r="E852" s="1" t="str">
        <f>IFERROR(__xludf.DUMMYFUNCTION("""COMPUTED_VALUE"""),"บิ๊กซี MINI")</f>
        <v>บิ๊กซี MINI</v>
      </c>
      <c r="F852" s="1" t="str">
        <f>IFERROR(__xludf.DUMMYFUNCTION("""COMPUTED_VALUE"""),"296229")</f>
        <v>296229</v>
      </c>
      <c r="G852" s="1" t="str">
        <f>IFERROR(__xludf.DUMMYFUNCTION("""COMPUTED_VALUE"""),"นายทนงศักดิ์ บุญมา")</f>
        <v>นายทนงศักดิ์ บุญมา</v>
      </c>
      <c r="H852" s="1" t="str">
        <f>IFERROR(__xludf.DUMMYFUNCTION("""COMPUTED_VALUE"""),"211363")</f>
        <v>211363</v>
      </c>
      <c r="I852" s="1" t="str">
        <f>IFERROR(__xludf.DUMMYFUNCTION("""COMPUTED_VALUE"""),"นายสามารถ บุญลับ")</f>
        <v>นายสามารถ บุญลับ</v>
      </c>
      <c r="J852" s="3">
        <f>IFERROR(__xludf.DUMMYFUNCTION("""COMPUTED_VALUE"""),46214.0)</f>
        <v>46214</v>
      </c>
      <c r="K852" s="3" t="str">
        <f>IFERROR(__xludf.DUMMYFUNCTION("""COMPUTED_VALUE"""),"นายศักดิ์ชัย เด็ดดอกฟ้า")</f>
        <v>นายศักดิ์ชัย เด็ดดอกฟ้า</v>
      </c>
      <c r="L852" s="1" t="str">
        <f>IFERROR(__xludf.DUMMYFUNCTION("""COMPUTED_VALUE"""),"02 K.Sakchai D")</f>
        <v>02 K.Sakchai D</v>
      </c>
      <c r="M852" s="1" t="str">
        <f>IFERROR(__xludf.DUMMYFUNCTION("""COMPUTED_VALUE"""),"065-510-7376")</f>
        <v>065-510-7376</v>
      </c>
      <c r="N852" s="3">
        <f>IFERROR(__xludf.DUMMYFUNCTION("""COMPUTED_VALUE"""),21714.0)</f>
        <v>21714</v>
      </c>
      <c r="O852" s="3" t="str">
        <f>IFERROR(__xludf.DUMMYFUNCTION("""COMPUTED_VALUE"""),"MBC เอสโซ่ วัดโบสถ์")</f>
        <v>MBC เอสโซ่ วัดโบสถ์</v>
      </c>
      <c r="P852" s="4">
        <f>IFERROR(__xludf.DUMMYFUNCTION("""COMPUTED_VALUE"""),43241.0)</f>
        <v>43241</v>
      </c>
      <c r="Q852" s="3" t="str">
        <f>IFERROR(__xludf.DUMMYFUNCTION("""COMPUTED_VALUE"""),"A")</f>
        <v>A</v>
      </c>
      <c r="R852" s="3" t="str">
        <f>IFERROR(__xludf.DUMMYFUNCTION("""COMPUTED_VALUE"""),"Small Format")</f>
        <v>Small Format</v>
      </c>
      <c r="S852" s="3" t="str">
        <f>IFERROR(__xludf.DUMMYFUNCTION("""COMPUTED_VALUE"""),"BCM")</f>
        <v>BCM</v>
      </c>
      <c r="T852" s="3" t="str">
        <f>IFERROR(__xludf.DUMMYFUNCTION("""COMPUTED_VALUE"""),"#N/A")</f>
        <v>#N/A</v>
      </c>
      <c r="U852" s="3" t="str">
        <f>IFERROR(__xludf.DUMMYFUNCTION("""COMPUTED_VALUE"""),"#N/A")</f>
        <v>#N/A</v>
      </c>
      <c r="V852" s="3" t="str">
        <f>IFERROR(__xludf.DUMMYFUNCTION("""COMPUTED_VALUE"""),"N")</f>
        <v>N</v>
      </c>
      <c r="W852" s="3">
        <f>IFERROR(__xludf.DUMMYFUNCTION("""COMPUTED_VALUE"""),211563.0)</f>
        <v>211563</v>
      </c>
      <c r="X852" s="3" t="str">
        <f>IFERROR(__xludf.DUMMYFUNCTION("""COMPUTED_VALUE"""),"120/8 หมู่7 ตำบลเชียงรากน้อย อำเภอบางปะอิน จังหวัดพระนครศรีอยุธยา 13180")</f>
        <v>120/8 หมู่7 ตำบลเชียงรากน้อย อำเภอบางปะอิน จังหวัดพระนครศรีอยุธยา 13180</v>
      </c>
      <c r="Y852" s="3"/>
      <c r="Z852" s="3" t="str">
        <f>IFERROR(__xludf.DUMMYFUNCTION("""COMPUTED_VALUE"""),"เชียงรากน้อย")</f>
        <v>เชียงรากน้อย</v>
      </c>
      <c r="AA852" s="3" t="str">
        <f>IFERROR(__xludf.DUMMYFUNCTION("""COMPUTED_VALUE"""),"บางปะอิน")</f>
        <v>บางปะอิน</v>
      </c>
      <c r="AB852" s="3" t="str">
        <f>IFERROR(__xludf.DUMMYFUNCTION("""COMPUTED_VALUE"""),"พระนครศรีอยุธยา")</f>
        <v>พระนครศรีอยุธยา</v>
      </c>
      <c r="AC852" s="3">
        <f>IFERROR(__xludf.DUMMYFUNCTION("""COMPUTED_VALUE"""),13180.0)</f>
        <v>13180</v>
      </c>
      <c r="AD852" s="3">
        <f>IFERROR(__xludf.DUMMYFUNCTION("""COMPUTED_VALUE"""),14.145471)</f>
        <v>14.145471</v>
      </c>
      <c r="AE852" s="3">
        <f>IFERROR(__xludf.DUMMYFUNCTION("""COMPUTED_VALUE"""),100.615017)</f>
        <v>100.615017</v>
      </c>
      <c r="AF852" s="3" t="str">
        <f>IFERROR(__xludf.DUMMYFUNCTION("""COMPUTED_VALUE"""),"MBC ประตูน้ำ พระอินทร์-21621")</f>
        <v>MBC ประตูน้ำ พระอินทร์-21621</v>
      </c>
      <c r="AG852" s="3" t="str">
        <f>IFERROR(__xludf.DUMMYFUNCTION("""COMPUTED_VALUE"""),"กลาง")</f>
        <v>กลาง</v>
      </c>
      <c r="AH852" s="3" t="str">
        <f>IFERROR(__xludf.DUMMYFUNCTION("""COMPUTED_VALUE"""),"#N/A")</f>
        <v>#N/A</v>
      </c>
      <c r="AI852" s="3" t="str">
        <f>IFERROR(__xludf.DUMMYFUNCTION("""COMPUTED_VALUE"""),"Out of warranty")</f>
        <v>Out of warranty</v>
      </c>
      <c r="AJ852" s="3">
        <f>IFERROR(__xludf.DUMMYFUNCTION("""COMPUTED_VALUE"""),92.0)</f>
        <v>92</v>
      </c>
      <c r="AK852" s="3" t="str">
        <f>IFERROR(__xludf.DUMMYFUNCTION("""COMPUTED_VALUE"""),"MMS04")</f>
        <v>MMS04</v>
      </c>
      <c r="AL852" s="3"/>
    </row>
    <row r="853" ht="15.75" customHeight="1">
      <c r="A853" s="1" t="str">
        <f>IFERROR(__xludf.DUMMYFUNCTION("""COMPUTED_VALUE"""),"21622")</f>
        <v>21622</v>
      </c>
      <c r="B853" s="2">
        <f>IFERROR(__xludf.DUMMYFUNCTION("""COMPUTED_VALUE"""),21622.0)</f>
        <v>21622</v>
      </c>
      <c r="C853" s="3" t="str">
        <f>IFERROR(__xludf.DUMMYFUNCTION("""COMPUTED_VALUE"""),"MBC ตลาดบ้านดอน")</f>
        <v>MBC ตลาดบ้านดอน</v>
      </c>
      <c r="D853" s="3" t="str">
        <f>IFERROR(__xludf.DUMMYFUNCTION("""COMPUTED_VALUE"""),"BCM TALAD BAN DON")</f>
        <v>BCM TALAD BAN DON</v>
      </c>
      <c r="E853" s="1" t="str">
        <f>IFERROR(__xludf.DUMMYFUNCTION("""COMPUTED_VALUE"""),"บิ๊กซี MINI")</f>
        <v>บิ๊กซี MINI</v>
      </c>
      <c r="F853" s="1" t="str">
        <f>IFERROR(__xludf.DUMMYFUNCTION("""COMPUTED_VALUE"""),"291105")</f>
        <v>291105</v>
      </c>
      <c r="G853" s="1" t="str">
        <f>IFERROR(__xludf.DUMMYFUNCTION("""COMPUTED_VALUE"""),"นายสราวุฒิ พณิชยกุล")</f>
        <v>นายสราวุฒิ พณิชยกุล</v>
      </c>
      <c r="H853" s="1" t="str">
        <f>IFERROR(__xludf.DUMMYFUNCTION("""COMPUTED_VALUE"""),"305119")</f>
        <v>305119</v>
      </c>
      <c r="I853" s="1" t="str">
        <f>IFERROR(__xludf.DUMMYFUNCTION("""COMPUTED_VALUE"""),"นายไชยกร ลีพิบูลย์สวัสดิ์")</f>
        <v>นายไชยกร ลีพิบูลย์สวัสดิ์</v>
      </c>
      <c r="J853" s="3">
        <f>IFERROR(__xludf.DUMMYFUNCTION("""COMPUTED_VALUE"""),295886.0)</f>
        <v>295886</v>
      </c>
      <c r="K853" s="3" t="str">
        <f>IFERROR(__xludf.DUMMYFUNCTION("""COMPUTED_VALUE"""),"นายจิระพงษ์ โพธิ์นิล")</f>
        <v>นายจิระพงษ์ โพธิ์นิล</v>
      </c>
      <c r="L853" s="1" t="str">
        <f>IFERROR(__xludf.DUMMYFUNCTION("""COMPUTED_VALUE"""),"นายจิระพงษ์ โพธิ์นิล")</f>
        <v>นายจิระพงษ์ โพธิ์นิล</v>
      </c>
      <c r="M853" s="1" t="str">
        <f>IFERROR(__xludf.DUMMYFUNCTION("""COMPUTED_VALUE"""),"0933290754")</f>
        <v>0933290754</v>
      </c>
      <c r="N853" s="3">
        <f>IFERROR(__xludf.DUMMYFUNCTION("""COMPUTED_VALUE"""),21622.0)</f>
        <v>21622</v>
      </c>
      <c r="O853" s="3" t="str">
        <f>IFERROR(__xludf.DUMMYFUNCTION("""COMPUTED_VALUE"""),"MBC ตลาดบ้านดอน")</f>
        <v>MBC ตลาดบ้านดอน</v>
      </c>
      <c r="P853" s="4">
        <f>IFERROR(__xludf.DUMMYFUNCTION("""COMPUTED_VALUE"""),43250.0)</f>
        <v>43250</v>
      </c>
      <c r="Q853" s="3" t="str">
        <f>IFERROR(__xludf.DUMMYFUNCTION("""COMPUTED_VALUE"""),"I")</f>
        <v>I</v>
      </c>
      <c r="R853" s="3" t="str">
        <f>IFERROR(__xludf.DUMMYFUNCTION("""COMPUTED_VALUE"""),"Small Format")</f>
        <v>Small Format</v>
      </c>
      <c r="S853" s="3" t="str">
        <f>IFERROR(__xludf.DUMMYFUNCTION("""COMPUTED_VALUE"""),"BCM")</f>
        <v>BCM</v>
      </c>
      <c r="T853" s="3" t="str">
        <f>IFERROR(__xludf.DUMMYFUNCTION("""COMPUTED_VALUE"""),"#N/A")</f>
        <v>#N/A</v>
      </c>
      <c r="U853" s="3" t="str">
        <f>IFERROR(__xludf.DUMMYFUNCTION("""COMPUTED_VALUE"""),"#N/A")</f>
        <v>#N/A</v>
      </c>
      <c r="V853" s="3" t="str">
        <f>IFERROR(__xludf.DUMMYFUNCTION("""COMPUTED_VALUE"""),"N")</f>
        <v>N</v>
      </c>
      <c r="W853" s="3">
        <f>IFERROR(__xludf.DUMMYFUNCTION("""COMPUTED_VALUE"""),211423.0)</f>
        <v>211423</v>
      </c>
      <c r="X853" s="3" t="str">
        <f>IFERROR(__xludf.DUMMYFUNCTION("""COMPUTED_VALUE"""),"128/60 หมู่13 ตำบลในเมือง อำเภอเมืองขอนแก่น จังหวัดขอนแก่น 40000")</f>
        <v>128/60 หมู่13 ตำบลในเมือง อำเภอเมืองขอนแก่น จังหวัดขอนแก่น 40000</v>
      </c>
      <c r="Y853" s="3"/>
      <c r="Z853" s="3" t="str">
        <f>IFERROR(__xludf.DUMMYFUNCTION("""COMPUTED_VALUE"""),"ในเมือง")</f>
        <v>ในเมือง</v>
      </c>
      <c r="AA853" s="3" t="str">
        <f>IFERROR(__xludf.DUMMYFUNCTION("""COMPUTED_VALUE"""),"เมือง")</f>
        <v>เมือง</v>
      </c>
      <c r="AB853" s="3" t="str">
        <f>IFERROR(__xludf.DUMMYFUNCTION("""COMPUTED_VALUE"""),"ขอนแก่น")</f>
        <v>ขอนแก่น</v>
      </c>
      <c r="AC853" s="3">
        <f>IFERROR(__xludf.DUMMYFUNCTION("""COMPUTED_VALUE"""),40000.0)</f>
        <v>40000</v>
      </c>
      <c r="AD853" s="3">
        <f>IFERROR(__xludf.DUMMYFUNCTION("""COMPUTED_VALUE"""),16.455505)</f>
        <v>16.455505</v>
      </c>
      <c r="AE853" s="3">
        <f>IFERROR(__xludf.DUMMYFUNCTION("""COMPUTED_VALUE"""),102.843039)</f>
        <v>102.843039</v>
      </c>
      <c r="AF853" s="3" t="str">
        <f>IFERROR(__xludf.DUMMYFUNCTION("""COMPUTED_VALUE"""),"MBC ตลาดบ้านดอน-21622")</f>
        <v>MBC ตลาดบ้านดอน-21622</v>
      </c>
      <c r="AG853" s="3" t="str">
        <f>IFERROR(__xludf.DUMMYFUNCTION("""COMPUTED_VALUE"""),"ตะวันออกเฉียงเหนือ")</f>
        <v>ตะวันออกเฉียงเหนือ</v>
      </c>
      <c r="AH853" s="3" t="str">
        <f>IFERROR(__xludf.DUMMYFUNCTION("""COMPUTED_VALUE"""),"#N/A")</f>
        <v>#N/A</v>
      </c>
      <c r="AI853" s="3" t="str">
        <f>IFERROR(__xludf.DUMMYFUNCTION("""COMPUTED_VALUE"""),"Out of warranty")</f>
        <v>Out of warranty</v>
      </c>
      <c r="AJ853" s="3">
        <f>IFERROR(__xludf.DUMMYFUNCTION("""COMPUTED_VALUE"""),92.0)</f>
        <v>92</v>
      </c>
      <c r="AK853" s="3" t="str">
        <f>IFERROR(__xludf.DUMMYFUNCTION("""COMPUTED_VALUE"""),"MMS12")</f>
        <v>MMS12</v>
      </c>
      <c r="AL853" s="3"/>
    </row>
    <row r="854" ht="15.75" customHeight="1">
      <c r="A854" s="1" t="str">
        <f>IFERROR(__xludf.DUMMYFUNCTION("""COMPUTED_VALUE"""),"21623")</f>
        <v>21623</v>
      </c>
      <c r="B854" s="2">
        <f>IFERROR(__xludf.DUMMYFUNCTION("""COMPUTED_VALUE"""),21623.0)</f>
        <v>21623</v>
      </c>
      <c r="C854" s="3" t="str">
        <f>IFERROR(__xludf.DUMMYFUNCTION("""COMPUTED_VALUE"""),"MBC ตลาดไนท์ พิมาย")</f>
        <v>MBC ตลาดไนท์ พิมาย</v>
      </c>
      <c r="D854" s="3" t="str">
        <f>IFERROR(__xludf.DUMMYFUNCTION("""COMPUTED_VALUE"""),"BCM TALAD NIGHT PHIMAI")</f>
        <v>BCM TALAD NIGHT PHIMAI</v>
      </c>
      <c r="E854" s="1" t="str">
        <f>IFERROR(__xludf.DUMMYFUNCTION("""COMPUTED_VALUE"""),"บิ๊กซี MINI")</f>
        <v>บิ๊กซี MINI</v>
      </c>
      <c r="F854" s="1" t="str">
        <f>IFERROR(__xludf.DUMMYFUNCTION("""COMPUTED_VALUE"""),"291105")</f>
        <v>291105</v>
      </c>
      <c r="G854" s="1" t="str">
        <f>IFERROR(__xludf.DUMMYFUNCTION("""COMPUTED_VALUE"""),"นายสราวุฒิ พณิชยกุล")</f>
        <v>นายสราวุฒิ พณิชยกุล</v>
      </c>
      <c r="H854" s="1" t="str">
        <f>IFERROR(__xludf.DUMMYFUNCTION("""COMPUTED_VALUE"""),"281315")</f>
        <v>281315</v>
      </c>
      <c r="I854" s="1" t="str">
        <f>IFERROR(__xludf.DUMMYFUNCTION("""COMPUTED_VALUE"""),"นายกิตติพงษ์ มั่นคง")</f>
        <v>นายกิตติพงษ์ มั่นคง</v>
      </c>
      <c r="J854" s="3">
        <f>IFERROR(__xludf.DUMMYFUNCTION("""COMPUTED_VALUE"""),15361.0)</f>
        <v>15361</v>
      </c>
      <c r="K854" s="3" t="str">
        <f>IFERROR(__xludf.DUMMYFUNCTION("""COMPUTED_VALUE"""),"นายสมบูรณ์ พรหมในเมือง")</f>
        <v>นายสมบูรณ์ พรหมในเมือง</v>
      </c>
      <c r="L854" s="1" t="str">
        <f>IFERROR(__xludf.DUMMYFUNCTION("""COMPUTED_VALUE"""),"04 K.Somboon P.")</f>
        <v>04 K.Somboon P.</v>
      </c>
      <c r="M854" s="1" t="str">
        <f>IFERROR(__xludf.DUMMYFUNCTION("""COMPUTED_VALUE"""),"087-965-3051")</f>
        <v>087-965-3051</v>
      </c>
      <c r="N854" s="3">
        <f>IFERROR(__xludf.DUMMYFUNCTION("""COMPUTED_VALUE"""),21869.0)</f>
        <v>21869</v>
      </c>
      <c r="O854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854" s="4">
        <f>IFERROR(__xludf.DUMMYFUNCTION("""COMPUTED_VALUE"""),43271.0)</f>
        <v>43271</v>
      </c>
      <c r="Q854" s="3" t="str">
        <f>IFERROR(__xludf.DUMMYFUNCTION("""COMPUTED_VALUE"""),"A")</f>
        <v>A</v>
      </c>
      <c r="R854" s="3" t="str">
        <f>IFERROR(__xludf.DUMMYFUNCTION("""COMPUTED_VALUE"""),"Small Format")</f>
        <v>Small Format</v>
      </c>
      <c r="S854" s="3" t="str">
        <f>IFERROR(__xludf.DUMMYFUNCTION("""COMPUTED_VALUE"""),"BCM")</f>
        <v>BCM</v>
      </c>
      <c r="T854" s="3" t="str">
        <f>IFERROR(__xludf.DUMMYFUNCTION("""COMPUTED_VALUE"""),"#N/A")</f>
        <v>#N/A</v>
      </c>
      <c r="U854" s="3" t="str">
        <f>IFERROR(__xludf.DUMMYFUNCTION("""COMPUTED_VALUE"""),"#N/A")</f>
        <v>#N/A</v>
      </c>
      <c r="V854" s="3" t="str">
        <f>IFERROR(__xludf.DUMMYFUNCTION("""COMPUTED_VALUE"""),"N")</f>
        <v>N</v>
      </c>
      <c r="W854" s="3">
        <f>IFERROR(__xludf.DUMMYFUNCTION("""COMPUTED_VALUE"""),211550.0)</f>
        <v>211550</v>
      </c>
      <c r="X854" s="3" t="str">
        <f>IFERROR(__xludf.DUMMYFUNCTION("""COMPUTED_VALUE"""),"39/1 หมู่16 ตำบลในเมือง อำเภอพิมาย จังหวัดนครราชสีมา 30110")</f>
        <v>39/1 หมู่16 ตำบลในเมือง อำเภอพิมาย จังหวัดนครราชสีมา 30110</v>
      </c>
      <c r="Y854" s="3"/>
      <c r="Z854" s="3" t="str">
        <f>IFERROR(__xludf.DUMMYFUNCTION("""COMPUTED_VALUE"""),"ในเมือง")</f>
        <v>ในเมือง</v>
      </c>
      <c r="AA854" s="3" t="str">
        <f>IFERROR(__xludf.DUMMYFUNCTION("""COMPUTED_VALUE"""),"พิมาย")</f>
        <v>พิมาย</v>
      </c>
      <c r="AB854" s="3" t="str">
        <f>IFERROR(__xludf.DUMMYFUNCTION("""COMPUTED_VALUE"""),"นครราชสีมา")</f>
        <v>นครราชสีมา</v>
      </c>
      <c r="AC854" s="3">
        <f>IFERROR(__xludf.DUMMYFUNCTION("""COMPUTED_VALUE"""),30110.0)</f>
        <v>30110</v>
      </c>
      <c r="AD854" s="3">
        <f>IFERROR(__xludf.DUMMYFUNCTION("""COMPUTED_VALUE"""),15.2193897)</f>
        <v>15.2193897</v>
      </c>
      <c r="AE854" s="3">
        <f>IFERROR(__xludf.DUMMYFUNCTION("""COMPUTED_VALUE"""),102.4971159)</f>
        <v>102.4971159</v>
      </c>
      <c r="AF854" s="3" t="str">
        <f>IFERROR(__xludf.DUMMYFUNCTION("""COMPUTED_VALUE"""),"MBC ตลาดไนท์ พิมาย-21623")</f>
        <v>MBC ตลาดไนท์ พิมาย-21623</v>
      </c>
      <c r="AG854" s="3" t="str">
        <f>IFERROR(__xludf.DUMMYFUNCTION("""COMPUTED_VALUE"""),"ตะวันออกเฉียงเหนือ")</f>
        <v>ตะวันออกเฉียงเหนือ</v>
      </c>
      <c r="AH854" s="3" t="str">
        <f>IFERROR(__xludf.DUMMYFUNCTION("""COMPUTED_VALUE"""),"#N/A")</f>
        <v>#N/A</v>
      </c>
      <c r="AI854" s="3" t="str">
        <f>IFERROR(__xludf.DUMMYFUNCTION("""COMPUTED_VALUE"""),"Out of warranty")</f>
        <v>Out of warranty</v>
      </c>
      <c r="AJ854" s="3">
        <f>IFERROR(__xludf.DUMMYFUNCTION("""COMPUTED_VALUE"""),92.0)</f>
        <v>92</v>
      </c>
      <c r="AK854" s="3" t="str">
        <f>IFERROR(__xludf.DUMMYFUNCTION("""COMPUTED_VALUE"""),"MMS11")</f>
        <v>MMS11</v>
      </c>
      <c r="AL854" s="3"/>
    </row>
    <row r="855" ht="15.75" customHeight="1">
      <c r="A855" s="1" t="str">
        <f>IFERROR(__xludf.DUMMYFUNCTION("""COMPUTED_VALUE"""),"21624")</f>
        <v>21624</v>
      </c>
      <c r="B855" s="2">
        <f>IFERROR(__xludf.DUMMYFUNCTION("""COMPUTED_VALUE"""),21624.0)</f>
        <v>21624</v>
      </c>
      <c r="C855" s="3" t="str">
        <f>IFERROR(__xludf.DUMMYFUNCTION("""COMPUTED_VALUE"""),"MBC ถนนชลประทาน เชียงใหม่")</f>
        <v>MBC ถนนชลประทาน เชียงใหม่</v>
      </c>
      <c r="D855" s="3" t="str">
        <f>IFERROR(__xludf.DUMMYFUNCTION("""COMPUTED_VALUE"""),"BCM CHONPRATHAN ROAD CHIANGMAI")</f>
        <v>BCM CHONPRATHAN ROAD CHIANGMAI</v>
      </c>
      <c r="E855" s="1" t="str">
        <f>IFERROR(__xludf.DUMMYFUNCTION("""COMPUTED_VALUE"""),"บิ๊กซี MINI")</f>
        <v>บิ๊กซี MINI</v>
      </c>
      <c r="F855" s="1" t="str">
        <f>IFERROR(__xludf.DUMMYFUNCTION("""COMPUTED_VALUE"""),"296229")</f>
        <v>296229</v>
      </c>
      <c r="G855" s="1" t="str">
        <f>IFERROR(__xludf.DUMMYFUNCTION("""COMPUTED_VALUE"""),"นายทนงศักดิ์ บุญมา")</f>
        <v>นายทนงศักดิ์ บุญมา</v>
      </c>
      <c r="H855" s="1" t="str">
        <f>IFERROR(__xludf.DUMMYFUNCTION("""COMPUTED_VALUE"""),"392003")</f>
        <v>392003</v>
      </c>
      <c r="I855" s="1" t="str">
        <f>IFERROR(__xludf.DUMMYFUNCTION("""COMPUTED_VALUE"""),"นายวรภพ เศษสูงเนิน")</f>
        <v>นายวรภพ เศษสูงเนิน</v>
      </c>
      <c r="J855" s="3">
        <f>IFERROR(__xludf.DUMMYFUNCTION("""COMPUTED_VALUE"""),2010016.0)</f>
        <v>2010016</v>
      </c>
      <c r="K855" s="3" t="str">
        <f>IFERROR(__xludf.DUMMYFUNCTION("""COMPUTED_VALUE"""),"นายตวงธรรม ใหม่ยศ")</f>
        <v>นายตวงธรรม ใหม่ยศ</v>
      </c>
      <c r="L855" s="1" t="str">
        <f>IFERROR(__xludf.DUMMYFUNCTION("""COMPUTED_VALUE"""),"01 K.Tuangtham M.")</f>
        <v>01 K.Tuangtham M.</v>
      </c>
      <c r="M855" s="1" t="str">
        <f>IFERROR(__xludf.DUMMYFUNCTION("""COMPUTED_VALUE"""),"063-976-595")</f>
        <v>063-976-595</v>
      </c>
      <c r="N855" s="3">
        <f>IFERROR(__xludf.DUMMYFUNCTION("""COMPUTED_VALUE"""),22574.0)</f>
        <v>22574</v>
      </c>
      <c r="O855" s="3" t="str">
        <f>IFERROR(__xludf.DUMMYFUNCTION("""COMPUTED_VALUE"""),"BCM ชุมชนศรีชุม ลำปาง")</f>
        <v>BCM ชุมชนศรีชุม ลำปาง</v>
      </c>
      <c r="P855" s="4">
        <f>IFERROR(__xludf.DUMMYFUNCTION("""COMPUTED_VALUE"""),43281.0)</f>
        <v>43281</v>
      </c>
      <c r="Q855" s="3" t="str">
        <f>IFERROR(__xludf.DUMMYFUNCTION("""COMPUTED_VALUE"""),"A")</f>
        <v>A</v>
      </c>
      <c r="R855" s="3" t="str">
        <f>IFERROR(__xludf.DUMMYFUNCTION("""COMPUTED_VALUE"""),"Small Format")</f>
        <v>Small Format</v>
      </c>
      <c r="S855" s="3" t="str">
        <f>IFERROR(__xludf.DUMMYFUNCTION("""COMPUTED_VALUE"""),"BCM")</f>
        <v>BCM</v>
      </c>
      <c r="T855" s="3" t="str">
        <f>IFERROR(__xludf.DUMMYFUNCTION("""COMPUTED_VALUE"""),"#N/A")</f>
        <v>#N/A</v>
      </c>
      <c r="U855" s="3" t="str">
        <f>IFERROR(__xludf.DUMMYFUNCTION("""COMPUTED_VALUE"""),"#N/A")</f>
        <v>#N/A</v>
      </c>
      <c r="V855" s="3" t="str">
        <f>IFERROR(__xludf.DUMMYFUNCTION("""COMPUTED_VALUE"""),"N")</f>
        <v>N</v>
      </c>
      <c r="W855" s="3">
        <f>IFERROR(__xludf.DUMMYFUNCTION("""COMPUTED_VALUE"""),211576.0)</f>
        <v>211576</v>
      </c>
      <c r="X855" s="3" t="str">
        <f>IFERROR(__xludf.DUMMYFUNCTION("""COMPUTED_VALUE"""),"15 ถนนชลประทาน ตำบลสุเทพ อำเภอเมืองเชียงใหม่ จังหวัดเชียงใหม่ 50200")</f>
        <v>15 ถนนชลประทาน ตำบลสุเทพ อำเภอเมืองเชียงใหม่ จังหวัดเชียงใหม่ 50200</v>
      </c>
      <c r="Y855" s="3" t="str">
        <f>IFERROR(__xludf.DUMMYFUNCTION("""COMPUTED_VALUE"""),"ถนนชลประทาน")</f>
        <v>ถนนชลประทาน</v>
      </c>
      <c r="Z855" s="3" t="str">
        <f>IFERROR(__xludf.DUMMYFUNCTION("""COMPUTED_VALUE"""),"สุเทพ")</f>
        <v>สุเทพ</v>
      </c>
      <c r="AA855" s="3" t="str">
        <f>IFERROR(__xludf.DUMMYFUNCTION("""COMPUTED_VALUE"""),"เมือง")</f>
        <v>เมือง</v>
      </c>
      <c r="AB855" s="3" t="str">
        <f>IFERROR(__xludf.DUMMYFUNCTION("""COMPUTED_VALUE"""),"เชียงใหม่")</f>
        <v>เชียงใหม่</v>
      </c>
      <c r="AC855" s="3">
        <f>IFERROR(__xludf.DUMMYFUNCTION("""COMPUTED_VALUE"""),50200.0)</f>
        <v>50200</v>
      </c>
      <c r="AD855" s="3">
        <f>IFERROR(__xludf.DUMMYFUNCTION("""COMPUTED_VALUE"""),18.804446)</f>
        <v>18.804446</v>
      </c>
      <c r="AE855" s="3">
        <f>IFERROR(__xludf.DUMMYFUNCTION("""COMPUTED_VALUE"""),98.959976)</f>
        <v>98.959976</v>
      </c>
      <c r="AF855" s="3" t="str">
        <f>IFERROR(__xludf.DUMMYFUNCTION("""COMPUTED_VALUE"""),"MBC ถนนชลประทาน เชียงใหม่-21624")</f>
        <v>MBC ถนนชลประทาน เชียงใหม่-21624</v>
      </c>
      <c r="AG855" s="3" t="str">
        <f>IFERROR(__xludf.DUMMYFUNCTION("""COMPUTED_VALUE"""),"เหนือ")</f>
        <v>เหนือ</v>
      </c>
      <c r="AH855" s="3" t="str">
        <f>IFERROR(__xludf.DUMMYFUNCTION("""COMPUTED_VALUE"""),"#N/A")</f>
        <v>#N/A</v>
      </c>
      <c r="AI855" s="3" t="str">
        <f>IFERROR(__xludf.DUMMYFUNCTION("""COMPUTED_VALUE"""),"Out of warranty")</f>
        <v>Out of warranty</v>
      </c>
      <c r="AJ855" s="3">
        <f>IFERROR(__xludf.DUMMYFUNCTION("""COMPUTED_VALUE"""),91.0)</f>
        <v>91</v>
      </c>
      <c r="AK855" s="3" t="str">
        <f>IFERROR(__xludf.DUMMYFUNCTION("""COMPUTED_VALUE"""),"MMS10")</f>
        <v>MMS10</v>
      </c>
      <c r="AL855" s="3"/>
    </row>
    <row r="856" ht="15.75" customHeight="1">
      <c r="A856" s="1" t="str">
        <f>IFERROR(__xludf.DUMMYFUNCTION("""COMPUTED_VALUE"""),"21625")</f>
        <v>21625</v>
      </c>
      <c r="B856" s="2">
        <f>IFERROR(__xludf.DUMMYFUNCTION("""COMPUTED_VALUE"""),21625.0)</f>
        <v>21625</v>
      </c>
      <c r="C856" s="3" t="str">
        <f>IFERROR(__xludf.DUMMYFUNCTION("""COMPUTED_VALUE"""),"MBC ถนนเวียงบัว")</f>
        <v>MBC ถนนเวียงบัว</v>
      </c>
      <c r="D856" s="3" t="str">
        <f>IFERROR(__xludf.DUMMYFUNCTION("""COMPUTED_VALUE"""),"BCM THANON WIANG BUA")</f>
        <v>BCM THANON WIANG BUA</v>
      </c>
      <c r="E856" s="1" t="str">
        <f>IFERROR(__xludf.DUMMYFUNCTION("""COMPUTED_VALUE"""),"บิ๊กซี MINI")</f>
        <v>บิ๊กซี MINI</v>
      </c>
      <c r="F856" s="1" t="str">
        <f>IFERROR(__xludf.DUMMYFUNCTION("""COMPUTED_VALUE"""),"296229")</f>
        <v>296229</v>
      </c>
      <c r="G856" s="1" t="str">
        <f>IFERROR(__xludf.DUMMYFUNCTION("""COMPUTED_VALUE"""),"นายทนงศักดิ์ บุญมา")</f>
        <v>นายทนงศักดิ์ บุญมา</v>
      </c>
      <c r="H856" s="1" t="str">
        <f>IFERROR(__xludf.DUMMYFUNCTION("""COMPUTED_VALUE"""),"392003")</f>
        <v>392003</v>
      </c>
      <c r="I856" s="1" t="str">
        <f>IFERROR(__xludf.DUMMYFUNCTION("""COMPUTED_VALUE"""),"นายวรภพ เศษสูงเนิน")</f>
        <v>นายวรภพ เศษสูงเนิน</v>
      </c>
      <c r="J856" s="3">
        <f>IFERROR(__xludf.DUMMYFUNCTION("""COMPUTED_VALUE"""),2010016.0)</f>
        <v>2010016</v>
      </c>
      <c r="K856" s="3" t="str">
        <f>IFERROR(__xludf.DUMMYFUNCTION("""COMPUTED_VALUE"""),"นายตวงธรรม ใหม่ยศ")</f>
        <v>นายตวงธรรม ใหม่ยศ</v>
      </c>
      <c r="L856" s="1" t="str">
        <f>IFERROR(__xludf.DUMMYFUNCTION("""COMPUTED_VALUE"""),"01 K.Tuangtham M.")</f>
        <v>01 K.Tuangtham M.</v>
      </c>
      <c r="M856" s="1" t="str">
        <f>IFERROR(__xludf.DUMMYFUNCTION("""COMPUTED_VALUE"""),"063-976-595")</f>
        <v>063-976-595</v>
      </c>
      <c r="N856" s="3">
        <f>IFERROR(__xludf.DUMMYFUNCTION("""COMPUTED_VALUE"""),22574.0)</f>
        <v>22574</v>
      </c>
      <c r="O856" s="3" t="str">
        <f>IFERROR(__xludf.DUMMYFUNCTION("""COMPUTED_VALUE"""),"BCM ชุมชนศรีชุม ลำปาง")</f>
        <v>BCM ชุมชนศรีชุม ลำปาง</v>
      </c>
      <c r="P856" s="4">
        <f>IFERROR(__xludf.DUMMYFUNCTION("""COMPUTED_VALUE"""),43312.0)</f>
        <v>43312</v>
      </c>
      <c r="Q856" s="3" t="str">
        <f>IFERROR(__xludf.DUMMYFUNCTION("""COMPUTED_VALUE"""),"A")</f>
        <v>A</v>
      </c>
      <c r="R856" s="3" t="str">
        <f>IFERROR(__xludf.DUMMYFUNCTION("""COMPUTED_VALUE"""),"Small Format")</f>
        <v>Small Format</v>
      </c>
      <c r="S856" s="3" t="str">
        <f>IFERROR(__xludf.DUMMYFUNCTION("""COMPUTED_VALUE"""),"BCM")</f>
        <v>BCM</v>
      </c>
      <c r="T856" s="3" t="str">
        <f>IFERROR(__xludf.DUMMYFUNCTION("""COMPUTED_VALUE"""),"#N/A")</f>
        <v>#N/A</v>
      </c>
      <c r="U856" s="3" t="str">
        <f>IFERROR(__xludf.DUMMYFUNCTION("""COMPUTED_VALUE"""),"#N/A")</f>
        <v>#N/A</v>
      </c>
      <c r="V856" s="3" t="str">
        <f>IFERROR(__xludf.DUMMYFUNCTION("""COMPUTED_VALUE"""),"N")</f>
        <v>N</v>
      </c>
      <c r="W856" s="3">
        <f>IFERROR(__xludf.DUMMYFUNCTION("""COMPUTED_VALUE"""),211579.0)</f>
        <v>211579</v>
      </c>
      <c r="X856" s="3" t="str">
        <f>IFERROR(__xludf.DUMMYFUNCTION("""COMPUTED_VALUE"""),"32 ถนนเวียงบัว ตำบลช้างเผือก อำเภอเมืองเชียงใหม่ จังหวัดเชียงใหม่ 50300")</f>
        <v>32 ถนนเวียงบัว ตำบลช้างเผือก อำเภอเมืองเชียงใหม่ จังหวัดเชียงใหม่ 50300</v>
      </c>
      <c r="Y856" s="3" t="str">
        <f>IFERROR(__xludf.DUMMYFUNCTION("""COMPUTED_VALUE"""),"ถนนเวียงบัว")</f>
        <v>ถนนเวียงบัว</v>
      </c>
      <c r="Z856" s="3" t="str">
        <f>IFERROR(__xludf.DUMMYFUNCTION("""COMPUTED_VALUE"""),"ช้างเผือก")</f>
        <v>ช้างเผือก</v>
      </c>
      <c r="AA856" s="3" t="str">
        <f>IFERROR(__xludf.DUMMYFUNCTION("""COMPUTED_VALUE"""),"เมือง")</f>
        <v>เมือง</v>
      </c>
      <c r="AB856" s="3" t="str">
        <f>IFERROR(__xludf.DUMMYFUNCTION("""COMPUTED_VALUE"""),"เชียงใหม่")</f>
        <v>เชียงใหม่</v>
      </c>
      <c r="AC856" s="3">
        <f>IFERROR(__xludf.DUMMYFUNCTION("""COMPUTED_VALUE"""),50300.0)</f>
        <v>50300</v>
      </c>
      <c r="AD856" s="3">
        <f>IFERROR(__xludf.DUMMYFUNCTION("""COMPUTED_VALUE"""),18.805548)</f>
        <v>18.805548</v>
      </c>
      <c r="AE856" s="3">
        <f>IFERROR(__xludf.DUMMYFUNCTION("""COMPUTED_VALUE"""),98.982889)</f>
        <v>98.982889</v>
      </c>
      <c r="AF856" s="3" t="str">
        <f>IFERROR(__xludf.DUMMYFUNCTION("""COMPUTED_VALUE"""),"MBC ถนนเวียงบัว-21625")</f>
        <v>MBC ถนนเวียงบัว-21625</v>
      </c>
      <c r="AG856" s="3" t="str">
        <f>IFERROR(__xludf.DUMMYFUNCTION("""COMPUTED_VALUE"""),"เหนือ")</f>
        <v>เหนือ</v>
      </c>
      <c r="AH856" s="3" t="str">
        <f>IFERROR(__xludf.DUMMYFUNCTION("""COMPUTED_VALUE"""),"#N/A")</f>
        <v>#N/A</v>
      </c>
      <c r="AI856" s="3" t="str">
        <f>IFERROR(__xludf.DUMMYFUNCTION("""COMPUTED_VALUE"""),"Out of warranty")</f>
        <v>Out of warranty</v>
      </c>
      <c r="AJ856" s="3">
        <f>IFERROR(__xludf.DUMMYFUNCTION("""COMPUTED_VALUE"""),90.0)</f>
        <v>90</v>
      </c>
      <c r="AK856" s="3" t="str">
        <f>IFERROR(__xludf.DUMMYFUNCTION("""COMPUTED_VALUE"""),"MMS10")</f>
        <v>MMS10</v>
      </c>
      <c r="AL856" s="3"/>
    </row>
    <row r="857" ht="15.75" customHeight="1">
      <c r="A857" s="1" t="str">
        <f>IFERROR(__xludf.DUMMYFUNCTION("""COMPUTED_VALUE"""),"21626")</f>
        <v>21626</v>
      </c>
      <c r="B857" s="2">
        <f>IFERROR(__xludf.DUMMYFUNCTION("""COMPUTED_VALUE"""),21626.0)</f>
        <v>21626</v>
      </c>
      <c r="C857" s="3" t="str">
        <f>IFERROR(__xludf.DUMMYFUNCTION("""COMPUTED_VALUE"""),"MBC ถนนพระพุทธศรีไชยโย")</f>
        <v>MBC ถนนพระพุทธศรีไชยโย</v>
      </c>
      <c r="D857" s="3" t="str">
        <f>IFERROR(__xludf.DUMMYFUNCTION("""COMPUTED_VALUE"""),"BCM THANON PRAPUTH SRI CHAIYO")</f>
        <v>BCM THANON PRAPUTH SRI CHAIYO</v>
      </c>
      <c r="E857" s="1" t="str">
        <f>IFERROR(__xludf.DUMMYFUNCTION("""COMPUTED_VALUE"""),"บิ๊กซี MINI")</f>
        <v>บิ๊กซี MINI</v>
      </c>
      <c r="F857" s="1" t="str">
        <f>IFERROR(__xludf.DUMMYFUNCTION("""COMPUTED_VALUE"""),"291105")</f>
        <v>291105</v>
      </c>
      <c r="G857" s="1" t="str">
        <f>IFERROR(__xludf.DUMMYFUNCTION("""COMPUTED_VALUE"""),"นายสราวุฒิ พณิชยกุล")</f>
        <v>นายสราวุฒิ พณิชยกุล</v>
      </c>
      <c r="H857" s="1" t="str">
        <f>IFERROR(__xludf.DUMMYFUNCTION("""COMPUTED_VALUE"""),"281315")</f>
        <v>281315</v>
      </c>
      <c r="I857" s="1" t="str">
        <f>IFERROR(__xludf.DUMMYFUNCTION("""COMPUTED_VALUE"""),"นายกิตติพงษ์ มั่นคง")</f>
        <v>นายกิตติพงษ์ มั่นคง</v>
      </c>
      <c r="J857" s="3">
        <f>IFERROR(__xludf.DUMMYFUNCTION("""COMPUTED_VALUE"""),15361.0)</f>
        <v>15361</v>
      </c>
      <c r="K857" s="3" t="str">
        <f>IFERROR(__xludf.DUMMYFUNCTION("""COMPUTED_VALUE"""),"นายสมบูรณ์ พรหมในเมือง")</f>
        <v>นายสมบูรณ์ พรหมในเมือง</v>
      </c>
      <c r="L857" s="3" t="str">
        <f>IFERROR(__xludf.DUMMYFUNCTION("""COMPUTED_VALUE"""),"04 K.Somboon P.")</f>
        <v>04 K.Somboon P.</v>
      </c>
      <c r="M857" s="1" t="str">
        <f>IFERROR(__xludf.DUMMYFUNCTION("""COMPUTED_VALUE"""),"087-965-3051")</f>
        <v>087-965-3051</v>
      </c>
      <c r="N857" s="3">
        <f>IFERROR(__xludf.DUMMYFUNCTION("""COMPUTED_VALUE"""),21869.0)</f>
        <v>21869</v>
      </c>
      <c r="O857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857" s="4">
        <f>IFERROR(__xludf.DUMMYFUNCTION("""COMPUTED_VALUE"""),43280.0)</f>
        <v>43280</v>
      </c>
      <c r="Q857" s="3" t="str">
        <f>IFERROR(__xludf.DUMMYFUNCTION("""COMPUTED_VALUE"""),"A")</f>
        <v>A</v>
      </c>
      <c r="R857" s="3" t="str">
        <f>IFERROR(__xludf.DUMMYFUNCTION("""COMPUTED_VALUE"""),"Small Format")</f>
        <v>Small Format</v>
      </c>
      <c r="S857" s="3" t="str">
        <f>IFERROR(__xludf.DUMMYFUNCTION("""COMPUTED_VALUE"""),"BCM")</f>
        <v>BCM</v>
      </c>
      <c r="T857" s="3" t="str">
        <f>IFERROR(__xludf.DUMMYFUNCTION("""COMPUTED_VALUE"""),"#N/A")</f>
        <v>#N/A</v>
      </c>
      <c r="U857" s="3" t="str">
        <f>IFERROR(__xludf.DUMMYFUNCTION("""COMPUTED_VALUE"""),"#N/A")</f>
        <v>#N/A</v>
      </c>
      <c r="V857" s="3" t="str">
        <f>IFERROR(__xludf.DUMMYFUNCTION("""COMPUTED_VALUE"""),"N")</f>
        <v>N</v>
      </c>
      <c r="W857" s="3">
        <f>IFERROR(__xludf.DUMMYFUNCTION("""COMPUTED_VALUE"""),211517.0)</f>
        <v>211517</v>
      </c>
      <c r="X857" s="3" t="str">
        <f>IFERROR(__xludf.DUMMYFUNCTION("""COMPUTED_VALUE"""),"397 หมู่4 ตำบลปรุใหญ่ อำเภอเมืองนครราชสีมา จังหวัดนครราชสีมา 30000")</f>
        <v>397 หมู่4 ตำบลปรุใหญ่ อำเภอเมืองนครราชสีมา จังหวัดนครราชสีมา 30000</v>
      </c>
      <c r="Y857" s="3"/>
      <c r="Z857" s="3" t="str">
        <f>IFERROR(__xludf.DUMMYFUNCTION("""COMPUTED_VALUE"""),"ปรุใหญ่")</f>
        <v>ปรุใหญ่</v>
      </c>
      <c r="AA857" s="3" t="str">
        <f>IFERROR(__xludf.DUMMYFUNCTION("""COMPUTED_VALUE"""),"เมือง")</f>
        <v>เมือง</v>
      </c>
      <c r="AB857" s="3" t="str">
        <f>IFERROR(__xludf.DUMMYFUNCTION("""COMPUTED_VALUE"""),"นครราชสีมา")</f>
        <v>นครราชสีมา</v>
      </c>
      <c r="AC857" s="3">
        <f>IFERROR(__xludf.DUMMYFUNCTION("""COMPUTED_VALUE"""),30000.0)</f>
        <v>30000</v>
      </c>
      <c r="AD857" s="3">
        <f>IFERROR(__xludf.DUMMYFUNCTION("""COMPUTED_VALUE"""),14.940626)</f>
        <v>14.940626</v>
      </c>
      <c r="AE857" s="3">
        <f>IFERROR(__xludf.DUMMYFUNCTION("""COMPUTED_VALUE"""),102.05998)</f>
        <v>102.05998</v>
      </c>
      <c r="AF857" s="3" t="str">
        <f>IFERROR(__xludf.DUMMYFUNCTION("""COMPUTED_VALUE"""),"MBC ถนนพระพุทธศรีไชยโย-21626")</f>
        <v>MBC ถนนพระพุทธศรีไชยโย-21626</v>
      </c>
      <c r="AG857" s="3" t="str">
        <f>IFERROR(__xludf.DUMMYFUNCTION("""COMPUTED_VALUE"""),"ตะวันออกเฉียงเหนือ")</f>
        <v>ตะวันออกเฉียงเหนือ</v>
      </c>
      <c r="AH857" s="3" t="str">
        <f>IFERROR(__xludf.DUMMYFUNCTION("""COMPUTED_VALUE"""),"#N/A")</f>
        <v>#N/A</v>
      </c>
      <c r="AI857" s="3" t="str">
        <f>IFERROR(__xludf.DUMMYFUNCTION("""COMPUTED_VALUE"""),"Out of warranty")</f>
        <v>Out of warranty</v>
      </c>
      <c r="AJ857" s="3">
        <f>IFERROR(__xludf.DUMMYFUNCTION("""COMPUTED_VALUE"""),91.0)</f>
        <v>91</v>
      </c>
      <c r="AK857" s="3" t="str">
        <f>IFERROR(__xludf.DUMMYFUNCTION("""COMPUTED_VALUE"""),"MMS11")</f>
        <v>MMS11</v>
      </c>
      <c r="AL857" s="3"/>
    </row>
    <row r="858" ht="15.75" customHeight="1">
      <c r="A858" s="1" t="str">
        <f>IFERROR(__xludf.DUMMYFUNCTION("""COMPUTED_VALUE"""),"21627")</f>
        <v>21627</v>
      </c>
      <c r="B858" s="2">
        <f>IFERROR(__xludf.DUMMYFUNCTION("""COMPUTED_VALUE"""),21627.0)</f>
        <v>21627</v>
      </c>
      <c r="C858" s="3" t="str">
        <f>IFERROR(__xludf.DUMMYFUNCTION("""COMPUTED_VALUE"""),"MBC ชุมชนบ่อนไก่")</f>
        <v>MBC ชุมชนบ่อนไก่</v>
      </c>
      <c r="D858" s="3" t="str">
        <f>IFERROR(__xludf.DUMMYFUNCTION("""COMPUTED_VALUE"""),"BCM CHUMCHON BONKAI, CHONBURI")</f>
        <v>BCM CHUMCHON BONKAI, CHONBURI</v>
      </c>
      <c r="E858" s="1" t="str">
        <f>IFERROR(__xludf.DUMMYFUNCTION("""COMPUTED_VALUE"""),"บิ๊กซี MINI")</f>
        <v>บิ๊กซี MINI</v>
      </c>
      <c r="F858" s="1" t="str">
        <f>IFERROR(__xludf.DUMMYFUNCTION("""COMPUTED_VALUE"""),"221716")</f>
        <v>221716</v>
      </c>
      <c r="G858" s="1" t="str">
        <f>IFERROR(__xludf.DUMMYFUNCTION("""COMPUTED_VALUE"""),"น.ส.เบญจพร โพธิสาร")</f>
        <v>น.ส.เบญจพร โพธิสาร</v>
      </c>
      <c r="H858" s="1" t="str">
        <f>IFERROR(__xludf.DUMMYFUNCTION("""COMPUTED_VALUE"""),"313065")</f>
        <v>313065</v>
      </c>
      <c r="I858" s="1" t="str">
        <f>IFERROR(__xludf.DUMMYFUNCTION("""COMPUTED_VALUE"""),"นายจิรายุทธ กันทา")</f>
        <v>นายจิรายุทธ กันทา</v>
      </c>
      <c r="J858" s="3">
        <f>IFERROR(__xludf.DUMMYFUNCTION("""COMPUTED_VALUE"""),1.3461215E7)</f>
        <v>13461215</v>
      </c>
      <c r="K858" s="3" t="str">
        <f>IFERROR(__xludf.DUMMYFUNCTION("""COMPUTED_VALUE"""),"นายธีรภัทร สังข์เงิน")</f>
        <v>นายธีรภัทร สังข์เงิน</v>
      </c>
      <c r="L858" s="1" t="str">
        <f>IFERROR(__xludf.DUMMYFUNCTION("""COMPUTED_VALUE"""),"06 K.Teerapat")</f>
        <v>06 K.Teerapat</v>
      </c>
      <c r="M858" s="1" t="str">
        <f>IFERROR(__xludf.DUMMYFUNCTION("""COMPUTED_VALUE"""),"063-601-6803")</f>
        <v>063-601-6803</v>
      </c>
      <c r="N858" s="3">
        <f>IFERROR(__xludf.DUMMYFUNCTION("""COMPUTED_VALUE"""),22115.0)</f>
        <v>22115</v>
      </c>
      <c r="O858" s="3" t="str">
        <f>IFERROR(__xludf.DUMMYFUNCTION("""COMPUTED_VALUE"""),"MBC เลี่ยงหนองมน ชลบุรี")</f>
        <v>MBC เลี่ยงหนองมน ชลบุรี</v>
      </c>
      <c r="P858" s="4">
        <f>IFERROR(__xludf.DUMMYFUNCTION("""COMPUTED_VALUE"""),43268.0)</f>
        <v>43268</v>
      </c>
      <c r="Q858" s="3" t="str">
        <f>IFERROR(__xludf.DUMMYFUNCTION("""COMPUTED_VALUE"""),"A")</f>
        <v>A</v>
      </c>
      <c r="R858" s="3" t="str">
        <f>IFERROR(__xludf.DUMMYFUNCTION("""COMPUTED_VALUE"""),"Small Format")</f>
        <v>Small Format</v>
      </c>
      <c r="S858" s="3" t="str">
        <f>IFERROR(__xludf.DUMMYFUNCTION("""COMPUTED_VALUE"""),"BCM")</f>
        <v>BCM</v>
      </c>
      <c r="T858" s="3" t="str">
        <f>IFERROR(__xludf.DUMMYFUNCTION("""COMPUTED_VALUE"""),"#N/A")</f>
        <v>#N/A</v>
      </c>
      <c r="U858" s="3" t="str">
        <f>IFERROR(__xludf.DUMMYFUNCTION("""COMPUTED_VALUE"""),"#N/A")</f>
        <v>#N/A</v>
      </c>
      <c r="V858" s="3" t="str">
        <f>IFERROR(__xludf.DUMMYFUNCTION("""COMPUTED_VALUE"""),"N")</f>
        <v>N</v>
      </c>
      <c r="W858" s="3">
        <f>IFERROR(__xludf.DUMMYFUNCTION("""COMPUTED_VALUE"""),211583.0)</f>
        <v>211583</v>
      </c>
      <c r="X858" s="3" t="str">
        <f>IFERROR(__xludf.DUMMYFUNCTION("""COMPUTED_VALUE"""),"73/165-167 หมู่5 ตำบลสัตหีบ อำเภอสัตหีบ จังหวัดชลบุรี 20180")</f>
        <v>73/165-167 หมู่5 ตำบลสัตหีบ อำเภอสัตหีบ จังหวัดชลบุรี 20180</v>
      </c>
      <c r="Y858" s="3"/>
      <c r="Z858" s="3" t="str">
        <f>IFERROR(__xludf.DUMMYFUNCTION("""COMPUTED_VALUE"""),"สัตหีบ")</f>
        <v>สัตหีบ</v>
      </c>
      <c r="AA858" s="3" t="str">
        <f>IFERROR(__xludf.DUMMYFUNCTION("""COMPUTED_VALUE"""),"สัตหีบ")</f>
        <v>สัตหีบ</v>
      </c>
      <c r="AB858" s="3" t="str">
        <f>IFERROR(__xludf.DUMMYFUNCTION("""COMPUTED_VALUE"""),"ชลบุรี")</f>
        <v>ชลบุรี</v>
      </c>
      <c r="AC858" s="3">
        <f>IFERROR(__xludf.DUMMYFUNCTION("""COMPUTED_VALUE"""),20180.0)</f>
        <v>20180</v>
      </c>
      <c r="AD858" s="3">
        <f>IFERROR(__xludf.DUMMYFUNCTION("""COMPUTED_VALUE"""),12.67856)</f>
        <v>12.67856</v>
      </c>
      <c r="AE858" s="3">
        <f>IFERROR(__xludf.DUMMYFUNCTION("""COMPUTED_VALUE"""),100.90291)</f>
        <v>100.90291</v>
      </c>
      <c r="AF858" s="3" t="str">
        <f>IFERROR(__xludf.DUMMYFUNCTION("""COMPUTED_VALUE"""),"MBC ชุมชนบ่อนไก่-21627")</f>
        <v>MBC ชุมชนบ่อนไก่-21627</v>
      </c>
      <c r="AG858" s="3" t="str">
        <f>IFERROR(__xludf.DUMMYFUNCTION("""COMPUTED_VALUE"""),"ตะวันออก")</f>
        <v>ตะวันออก</v>
      </c>
      <c r="AH858" s="3" t="str">
        <f>IFERROR(__xludf.DUMMYFUNCTION("""COMPUTED_VALUE"""),"#N/A")</f>
        <v>#N/A</v>
      </c>
      <c r="AI858" s="3" t="str">
        <f>IFERROR(__xludf.DUMMYFUNCTION("""COMPUTED_VALUE"""),"Out of warranty")</f>
        <v>Out of warranty</v>
      </c>
      <c r="AJ858" s="3">
        <f>IFERROR(__xludf.DUMMYFUNCTION("""COMPUTED_VALUE"""),92.0)</f>
        <v>92</v>
      </c>
      <c r="AK858" s="3" t="str">
        <f>IFERROR(__xludf.DUMMYFUNCTION("""COMPUTED_VALUE"""),"MMS08")</f>
        <v>MMS08</v>
      </c>
      <c r="AL858" s="3"/>
    </row>
    <row r="859" ht="15.75" customHeight="1">
      <c r="A859" s="1" t="str">
        <f>IFERROR(__xludf.DUMMYFUNCTION("""COMPUTED_VALUE"""),"21628")</f>
        <v>21628</v>
      </c>
      <c r="B859" s="2">
        <f>IFERROR(__xludf.DUMMYFUNCTION("""COMPUTED_VALUE"""),21628.0)</f>
        <v>21628</v>
      </c>
      <c r="C859" s="3" t="str">
        <f>IFERROR(__xludf.DUMMYFUNCTION("""COMPUTED_VALUE"""),"MBC พิมานธานี")</f>
        <v>MBC พิมานธานี</v>
      </c>
      <c r="D859" s="3" t="str">
        <f>IFERROR(__xludf.DUMMYFUNCTION("""COMPUTED_VALUE"""),"BCM PIMARN THANI, KHON KAEN")</f>
        <v>BCM PIMARN THANI, KHON KAEN</v>
      </c>
      <c r="E859" s="1" t="str">
        <f>IFERROR(__xludf.DUMMYFUNCTION("""COMPUTED_VALUE"""),"บิ๊กซี MINI")</f>
        <v>บิ๊กซี MINI</v>
      </c>
      <c r="F859" s="1" t="str">
        <f>IFERROR(__xludf.DUMMYFUNCTION("""COMPUTED_VALUE"""),"291105")</f>
        <v>291105</v>
      </c>
      <c r="G859" s="1" t="str">
        <f>IFERROR(__xludf.DUMMYFUNCTION("""COMPUTED_VALUE"""),"นายสราวุฒิ พณิชยกุล")</f>
        <v>นายสราวุฒิ พณิชยกุล</v>
      </c>
      <c r="H859" s="1" t="str">
        <f>IFERROR(__xludf.DUMMYFUNCTION("""COMPUTED_VALUE"""),"371396")</f>
        <v>371396</v>
      </c>
      <c r="I859" s="1" t="str">
        <f>IFERROR(__xludf.DUMMYFUNCTION("""COMPUTED_VALUE"""),"น.ส.สุภาวดี วิลัยพร")</f>
        <v>น.ส.สุภาวดี วิลัยพร</v>
      </c>
      <c r="J859" s="3">
        <f>IFERROR(__xludf.DUMMYFUNCTION("""COMPUTED_VALUE"""),15361.0)</f>
        <v>15361</v>
      </c>
      <c r="K859" s="3" t="str">
        <f>IFERROR(__xludf.DUMMYFUNCTION("""COMPUTED_VALUE"""),"นายสมบูรณ์ พรหมในเมือง")</f>
        <v>นายสมบูรณ์ พรหมในเมือง</v>
      </c>
      <c r="L859" s="1" t="str">
        <f>IFERROR(__xludf.DUMMYFUNCTION("""COMPUTED_VALUE"""),"04 K.Somboon P.")</f>
        <v>04 K.Somboon P.</v>
      </c>
      <c r="M859" s="1" t="str">
        <f>IFERROR(__xludf.DUMMYFUNCTION("""COMPUTED_VALUE"""),"087-965-3051")</f>
        <v>087-965-3051</v>
      </c>
      <c r="N859" s="3">
        <f>IFERROR(__xludf.DUMMYFUNCTION("""COMPUTED_VALUE"""),21869.0)</f>
        <v>21869</v>
      </c>
      <c r="O859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859" s="4">
        <f>IFERROR(__xludf.DUMMYFUNCTION("""COMPUTED_VALUE"""),43268.0)</f>
        <v>43268</v>
      </c>
      <c r="Q859" s="3" t="str">
        <f>IFERROR(__xludf.DUMMYFUNCTION("""COMPUTED_VALUE"""),"A")</f>
        <v>A</v>
      </c>
      <c r="R859" s="3" t="str">
        <f>IFERROR(__xludf.DUMMYFUNCTION("""COMPUTED_VALUE"""),"Small Format")</f>
        <v>Small Format</v>
      </c>
      <c r="S859" s="3" t="str">
        <f>IFERROR(__xludf.DUMMYFUNCTION("""COMPUTED_VALUE"""),"BCM")</f>
        <v>BCM</v>
      </c>
      <c r="T859" s="3" t="str">
        <f>IFERROR(__xludf.DUMMYFUNCTION("""COMPUTED_VALUE"""),"#N/A")</f>
        <v>#N/A</v>
      </c>
      <c r="U859" s="3" t="str">
        <f>IFERROR(__xludf.DUMMYFUNCTION("""COMPUTED_VALUE"""),"#N/A")</f>
        <v>#N/A</v>
      </c>
      <c r="V859" s="3" t="str">
        <f>IFERROR(__xludf.DUMMYFUNCTION("""COMPUTED_VALUE"""),"N")</f>
        <v>N</v>
      </c>
      <c r="W859" s="3">
        <f>IFERROR(__xludf.DUMMYFUNCTION("""COMPUTED_VALUE"""),211588.0)</f>
        <v>211588</v>
      </c>
      <c r="X859" s="3" t="str">
        <f>IFERROR(__xludf.DUMMYFUNCTION("""COMPUTED_VALUE"""),"439 หมู่11 ตำบลเมืองเก่า อำเภอเมืองขอนแก่น จังหวัดขอนแก่น 40000")</f>
        <v>439 หมู่11 ตำบลเมืองเก่า อำเภอเมืองขอนแก่น จังหวัดขอนแก่น 40000</v>
      </c>
      <c r="Y859" s="3"/>
      <c r="Z859" s="3" t="str">
        <f>IFERROR(__xludf.DUMMYFUNCTION("""COMPUTED_VALUE"""),"เมืองเก่า")</f>
        <v>เมืองเก่า</v>
      </c>
      <c r="AA859" s="3" t="str">
        <f>IFERROR(__xludf.DUMMYFUNCTION("""COMPUTED_VALUE"""),"เมือง")</f>
        <v>เมือง</v>
      </c>
      <c r="AB859" s="3" t="str">
        <f>IFERROR(__xludf.DUMMYFUNCTION("""COMPUTED_VALUE"""),"ขอนแก่น")</f>
        <v>ขอนแก่น</v>
      </c>
      <c r="AC859" s="3">
        <f>IFERROR(__xludf.DUMMYFUNCTION("""COMPUTED_VALUE"""),40000.0)</f>
        <v>40000</v>
      </c>
      <c r="AD859" s="3">
        <f>IFERROR(__xludf.DUMMYFUNCTION("""COMPUTED_VALUE"""),16.38784104)</f>
        <v>16.38784104</v>
      </c>
      <c r="AE859" s="3">
        <f>IFERROR(__xludf.DUMMYFUNCTION("""COMPUTED_VALUE"""),102.8240956)</f>
        <v>102.8240956</v>
      </c>
      <c r="AF859" s="3" t="str">
        <f>IFERROR(__xludf.DUMMYFUNCTION("""COMPUTED_VALUE"""),"MBC พิมานธานี-21628")</f>
        <v>MBC พิมานธานี-21628</v>
      </c>
      <c r="AG859" s="3" t="str">
        <f>IFERROR(__xludf.DUMMYFUNCTION("""COMPUTED_VALUE"""),"ตะวันออกเฉียงเหนือ")</f>
        <v>ตะวันออกเฉียงเหนือ</v>
      </c>
      <c r="AH859" s="3" t="str">
        <f>IFERROR(__xludf.DUMMYFUNCTION("""COMPUTED_VALUE"""),"#N/A")</f>
        <v>#N/A</v>
      </c>
      <c r="AI859" s="3" t="str">
        <f>IFERROR(__xludf.DUMMYFUNCTION("""COMPUTED_VALUE"""),"Out of warranty")</f>
        <v>Out of warranty</v>
      </c>
      <c r="AJ859" s="3">
        <f>IFERROR(__xludf.DUMMYFUNCTION("""COMPUTED_VALUE"""),92.0)</f>
        <v>92</v>
      </c>
      <c r="AK859" s="3" t="str">
        <f>IFERROR(__xludf.DUMMYFUNCTION("""COMPUTED_VALUE"""),"MMS12")</f>
        <v>MMS12</v>
      </c>
      <c r="AL859" s="3"/>
    </row>
    <row r="860" ht="15.75" customHeight="1">
      <c r="A860" s="1" t="str">
        <f>IFERROR(__xludf.DUMMYFUNCTION("""COMPUTED_VALUE"""),"21629")</f>
        <v>21629</v>
      </c>
      <c r="B860" s="2">
        <f>IFERROR(__xludf.DUMMYFUNCTION("""COMPUTED_VALUE"""),21629.0)</f>
        <v>21629</v>
      </c>
      <c r="C860" s="3" t="str">
        <f>IFERROR(__xludf.DUMMYFUNCTION("""COMPUTED_VALUE"""),"MBC ถนนหลังเมือง")</f>
        <v>MBC ถนนหลังเมือง</v>
      </c>
      <c r="D860" s="3" t="str">
        <f>IFERROR(__xludf.DUMMYFUNCTION("""COMPUTED_VALUE"""),"BCM THANON LANG MUEANG")</f>
        <v>BCM THANON LANG MUEANG</v>
      </c>
      <c r="E860" s="1" t="str">
        <f>IFERROR(__xludf.DUMMYFUNCTION("""COMPUTED_VALUE"""),"บิ๊กซี MINI")</f>
        <v>บิ๊กซี MINI</v>
      </c>
      <c r="F860" s="1" t="str">
        <f>IFERROR(__xludf.DUMMYFUNCTION("""COMPUTED_VALUE"""),"291105")</f>
        <v>291105</v>
      </c>
      <c r="G860" s="1" t="str">
        <f>IFERROR(__xludf.DUMMYFUNCTION("""COMPUTED_VALUE"""),"นายสราวุฒิ พณิชยกุล")</f>
        <v>นายสราวุฒิ พณิชยกุล</v>
      </c>
      <c r="H860" s="1" t="str">
        <f>IFERROR(__xludf.DUMMYFUNCTION("""COMPUTED_VALUE"""),"305119")</f>
        <v>305119</v>
      </c>
      <c r="I860" s="1" t="str">
        <f>IFERROR(__xludf.DUMMYFUNCTION("""COMPUTED_VALUE"""),"นายไชยกร ลีพิบูลย์สวัสดิ์")</f>
        <v>นายไชยกร ลีพิบูลย์สวัสดิ์</v>
      </c>
      <c r="J860" s="3">
        <f>IFERROR(__xludf.DUMMYFUNCTION("""COMPUTED_VALUE"""),296868.0)</f>
        <v>296868</v>
      </c>
      <c r="K860" s="3" t="str">
        <f>IFERROR(__xludf.DUMMYFUNCTION("""COMPUTED_VALUE"""),"นายพีระพงษ์ แก้วดวงดี")</f>
        <v>นายพีระพงษ์ แก้วดวงดี</v>
      </c>
      <c r="L860" s="1" t="str">
        <f>IFERROR(__xludf.DUMMYFUNCTION("""COMPUTED_VALUE"""),"03 K.Peerapong K.")</f>
        <v>03 K.Peerapong K.</v>
      </c>
      <c r="M860" s="1" t="str">
        <f>IFERROR(__xludf.DUMMYFUNCTION("""COMPUTED_VALUE"""),"089-002-6599")</f>
        <v>089-002-6599</v>
      </c>
      <c r="N860" s="3">
        <f>IFERROR(__xludf.DUMMYFUNCTION("""COMPUTED_VALUE"""),21946.0)</f>
        <v>21946</v>
      </c>
      <c r="O860" s="3" t="str">
        <f>IFERROR(__xludf.DUMMYFUNCTION("""COMPUTED_VALUE"""),"MBC เซกา บึงกาฬ")</f>
        <v>MBC เซกา บึงกาฬ</v>
      </c>
      <c r="P860" s="4">
        <f>IFERROR(__xludf.DUMMYFUNCTION("""COMPUTED_VALUE"""),43268.0)</f>
        <v>43268</v>
      </c>
      <c r="Q860" s="3" t="str">
        <f>IFERROR(__xludf.DUMMYFUNCTION("""COMPUTED_VALUE"""),"A")</f>
        <v>A</v>
      </c>
      <c r="R860" s="3" t="str">
        <f>IFERROR(__xludf.DUMMYFUNCTION("""COMPUTED_VALUE"""),"Small Format")</f>
        <v>Small Format</v>
      </c>
      <c r="S860" s="3" t="str">
        <f>IFERROR(__xludf.DUMMYFUNCTION("""COMPUTED_VALUE"""),"BCM")</f>
        <v>BCM</v>
      </c>
      <c r="T860" s="3" t="str">
        <f>IFERROR(__xludf.DUMMYFUNCTION("""COMPUTED_VALUE"""),"#N/A")</f>
        <v>#N/A</v>
      </c>
      <c r="U860" s="3" t="str">
        <f>IFERROR(__xludf.DUMMYFUNCTION("""COMPUTED_VALUE"""),"#N/A")</f>
        <v>#N/A</v>
      </c>
      <c r="V860" s="3" t="str">
        <f>IFERROR(__xludf.DUMMYFUNCTION("""COMPUTED_VALUE"""),"N")</f>
        <v>N</v>
      </c>
      <c r="W860" s="3">
        <f>IFERROR(__xludf.DUMMYFUNCTION("""COMPUTED_VALUE"""),211589.0)</f>
        <v>211589</v>
      </c>
      <c r="X860" s="3" t="str">
        <f>IFERROR(__xludf.DUMMYFUNCTION("""COMPUTED_VALUE"""),"25/8-10 ถนนหลังเมือง ตำบลในเมือง อำเภอเมืองขอนแก่น จังหวัดขอนแก่น 40000")</f>
        <v>25/8-10 ถนนหลังเมือง ตำบลในเมือง อำเภอเมืองขอนแก่น จังหวัดขอนแก่น 40000</v>
      </c>
      <c r="Y860" s="3" t="str">
        <f>IFERROR(__xludf.DUMMYFUNCTION("""COMPUTED_VALUE"""),"ถนนหลังเมือง")</f>
        <v>ถนนหลังเมือง</v>
      </c>
      <c r="Z860" s="3" t="str">
        <f>IFERROR(__xludf.DUMMYFUNCTION("""COMPUTED_VALUE"""),"ในเมือง")</f>
        <v>ในเมือง</v>
      </c>
      <c r="AA860" s="3" t="str">
        <f>IFERROR(__xludf.DUMMYFUNCTION("""COMPUTED_VALUE"""),"เมือง")</f>
        <v>เมือง</v>
      </c>
      <c r="AB860" s="3" t="str">
        <f>IFERROR(__xludf.DUMMYFUNCTION("""COMPUTED_VALUE"""),"ขอนแก่น")</f>
        <v>ขอนแก่น</v>
      </c>
      <c r="AC860" s="3">
        <f>IFERROR(__xludf.DUMMYFUNCTION("""COMPUTED_VALUE"""),40000.0)</f>
        <v>40000</v>
      </c>
      <c r="AD860" s="3">
        <f>IFERROR(__xludf.DUMMYFUNCTION("""COMPUTED_VALUE"""),16.43557957)</f>
        <v>16.43557957</v>
      </c>
      <c r="AE860" s="3">
        <f>IFERROR(__xludf.DUMMYFUNCTION("""COMPUTED_VALUE"""),102.838317)</f>
        <v>102.838317</v>
      </c>
      <c r="AF860" s="3" t="str">
        <f>IFERROR(__xludf.DUMMYFUNCTION("""COMPUTED_VALUE"""),"MBC ถนนหลังเมือง-21629")</f>
        <v>MBC ถนนหลังเมือง-21629</v>
      </c>
      <c r="AG860" s="3" t="str">
        <f>IFERROR(__xludf.DUMMYFUNCTION("""COMPUTED_VALUE"""),"ตะวันออกเฉียงเหนือ")</f>
        <v>ตะวันออกเฉียงเหนือ</v>
      </c>
      <c r="AH860" s="3" t="str">
        <f>IFERROR(__xludf.DUMMYFUNCTION("""COMPUTED_VALUE"""),"#N/A")</f>
        <v>#N/A</v>
      </c>
      <c r="AI860" s="3" t="str">
        <f>IFERROR(__xludf.DUMMYFUNCTION("""COMPUTED_VALUE"""),"Out of warranty")</f>
        <v>Out of warranty</v>
      </c>
      <c r="AJ860" s="3">
        <f>IFERROR(__xludf.DUMMYFUNCTION("""COMPUTED_VALUE"""),92.0)</f>
        <v>92</v>
      </c>
      <c r="AK860" s="3" t="str">
        <f>IFERROR(__xludf.DUMMYFUNCTION("""COMPUTED_VALUE"""),"MMS12")</f>
        <v>MMS12</v>
      </c>
      <c r="AL860" s="3"/>
    </row>
    <row r="861" ht="15.75" customHeight="1">
      <c r="A861" s="1" t="str">
        <f>IFERROR(__xludf.DUMMYFUNCTION("""COMPUTED_VALUE"""),"21630")</f>
        <v>21630</v>
      </c>
      <c r="B861" s="2">
        <f>IFERROR(__xludf.DUMMYFUNCTION("""COMPUTED_VALUE"""),21630.0)</f>
        <v>21630</v>
      </c>
      <c r="C861" s="3" t="str">
        <f>IFERROR(__xludf.DUMMYFUNCTION("""COMPUTED_VALUE"""),"BCM ท่าลาน")</f>
        <v>BCM ท่าลาน</v>
      </c>
      <c r="D861" s="3" t="str">
        <f>IFERROR(__xludf.DUMMYFUNCTION("""COMPUTED_VALUE"""),"BCM THA LAN, SARABURI")</f>
        <v>BCM THA LAN, SARABURI</v>
      </c>
      <c r="E861" s="1" t="str">
        <f>IFERROR(__xludf.DUMMYFUNCTION("""COMPUTED_VALUE"""),"บิ๊กซี MINI")</f>
        <v>บิ๊กซี MINI</v>
      </c>
      <c r="F861" s="1" t="str">
        <f>IFERROR(__xludf.DUMMYFUNCTION("""COMPUTED_VALUE"""),"296229")</f>
        <v>296229</v>
      </c>
      <c r="G861" s="1" t="str">
        <f>IFERROR(__xludf.DUMMYFUNCTION("""COMPUTED_VALUE"""),"นายทนงศักดิ์ บุญมา")</f>
        <v>นายทนงศักดิ์ บุญมา</v>
      </c>
      <c r="H861" s="1" t="str">
        <f>IFERROR(__xludf.DUMMYFUNCTION("""COMPUTED_VALUE"""),"211363")</f>
        <v>211363</v>
      </c>
      <c r="I861" s="1" t="str">
        <f>IFERROR(__xludf.DUMMYFUNCTION("""COMPUTED_VALUE"""),"นายสามารถ บุญลับ")</f>
        <v>นายสามารถ บุญลับ</v>
      </c>
      <c r="J861" s="3">
        <f>IFERROR(__xludf.DUMMYFUNCTION("""COMPUTED_VALUE"""),46214.0)</f>
        <v>46214</v>
      </c>
      <c r="K861" s="3" t="str">
        <f>IFERROR(__xludf.DUMMYFUNCTION("""COMPUTED_VALUE"""),"นายศักดิ์ชัย เด็ดดอกฟ้า")</f>
        <v>นายศักดิ์ชัย เด็ดดอกฟ้า</v>
      </c>
      <c r="L861" s="1" t="str">
        <f>IFERROR(__xludf.DUMMYFUNCTION("""COMPUTED_VALUE"""),"02 K.Sakchai D")</f>
        <v>02 K.Sakchai D</v>
      </c>
      <c r="M861" s="1" t="str">
        <f>IFERROR(__xludf.DUMMYFUNCTION("""COMPUTED_VALUE"""),"065-510-7376")</f>
        <v>065-510-7376</v>
      </c>
      <c r="N861" s="3">
        <f>IFERROR(__xludf.DUMMYFUNCTION("""COMPUTED_VALUE"""),21441.0)</f>
        <v>21441</v>
      </c>
      <c r="O861" s="3" t="str">
        <f>IFERROR(__xludf.DUMMYFUNCTION("""COMPUTED_VALUE"""),"MBC บ้านกร่าง พิษณุโลก")</f>
        <v>MBC บ้านกร่าง พิษณุโลก</v>
      </c>
      <c r="P861" s="4">
        <f>IFERROR(__xludf.DUMMYFUNCTION("""COMPUTED_VALUE"""),43268.0)</f>
        <v>43268</v>
      </c>
      <c r="Q861" s="3" t="str">
        <f>IFERROR(__xludf.DUMMYFUNCTION("""COMPUTED_VALUE"""),"I")</f>
        <v>I</v>
      </c>
      <c r="R861" s="3" t="str">
        <f>IFERROR(__xludf.DUMMYFUNCTION("""COMPUTED_VALUE"""),"Small Format")</f>
        <v>Small Format</v>
      </c>
      <c r="S861" s="3" t="str">
        <f>IFERROR(__xludf.DUMMYFUNCTION("""COMPUTED_VALUE"""),"BCM")</f>
        <v>BCM</v>
      </c>
      <c r="T861" s="3" t="str">
        <f>IFERROR(__xludf.DUMMYFUNCTION("""COMPUTED_VALUE"""),"#N/A")</f>
        <v>#N/A</v>
      </c>
      <c r="U861" s="3" t="str">
        <f>IFERROR(__xludf.DUMMYFUNCTION("""COMPUTED_VALUE"""),"#N/A")</f>
        <v>#N/A</v>
      </c>
      <c r="V861" s="3" t="str">
        <f>IFERROR(__xludf.DUMMYFUNCTION("""COMPUTED_VALUE"""),"N")</f>
        <v>N</v>
      </c>
      <c r="W861" s="3">
        <f>IFERROR(__xludf.DUMMYFUNCTION("""COMPUTED_VALUE"""),211587.0)</f>
        <v>211587</v>
      </c>
      <c r="X861" s="3" t="str">
        <f>IFERROR(__xludf.DUMMYFUNCTION("""COMPUTED_VALUE"""),"543/2-4 หมู่11 ตำบลบ้านครัว อำเภอบ้านหมอ จังหวัดสระบุรี 18270")</f>
        <v>543/2-4 หมู่11 ตำบลบ้านครัว อำเภอบ้านหมอ จังหวัดสระบุรี 18270</v>
      </c>
      <c r="Y861" s="3"/>
      <c r="Z861" s="3" t="str">
        <f>IFERROR(__xludf.DUMMYFUNCTION("""COMPUTED_VALUE"""),"บ้านครัว")</f>
        <v>บ้านครัว</v>
      </c>
      <c r="AA861" s="3" t="str">
        <f>IFERROR(__xludf.DUMMYFUNCTION("""COMPUTED_VALUE"""),"บ้านหมอ")</f>
        <v>บ้านหมอ</v>
      </c>
      <c r="AB861" s="3" t="str">
        <f>IFERROR(__xludf.DUMMYFUNCTION("""COMPUTED_VALUE"""),"สระบุรี")</f>
        <v>สระบุรี</v>
      </c>
      <c r="AC861" s="3">
        <f>IFERROR(__xludf.DUMMYFUNCTION("""COMPUTED_VALUE"""),18270.0)</f>
        <v>18270</v>
      </c>
      <c r="AD861" s="3">
        <f>IFERROR(__xludf.DUMMYFUNCTION("""COMPUTED_VALUE"""),14.546237)</f>
        <v>14.546237</v>
      </c>
      <c r="AE861" s="3">
        <f>IFERROR(__xludf.DUMMYFUNCTION("""COMPUTED_VALUE"""),100.922702)</f>
        <v>100.922702</v>
      </c>
      <c r="AF861" s="3" t="str">
        <f>IFERROR(__xludf.DUMMYFUNCTION("""COMPUTED_VALUE"""),"BCM ท่าลาน-21630")</f>
        <v>BCM ท่าลาน-21630</v>
      </c>
      <c r="AG861" s="3" t="str">
        <f>IFERROR(__xludf.DUMMYFUNCTION("""COMPUTED_VALUE"""),"กลาง")</f>
        <v>กลาง</v>
      </c>
      <c r="AH861" s="3" t="str">
        <f>IFERROR(__xludf.DUMMYFUNCTION("""COMPUTED_VALUE"""),"#N/A")</f>
        <v>#N/A</v>
      </c>
      <c r="AI861" s="3" t="str">
        <f>IFERROR(__xludf.DUMMYFUNCTION("""COMPUTED_VALUE"""),"Out of warranty")</f>
        <v>Out of warranty</v>
      </c>
      <c r="AJ861" s="3">
        <f>IFERROR(__xludf.DUMMYFUNCTION("""COMPUTED_VALUE"""),92.0)</f>
        <v>92</v>
      </c>
      <c r="AK861" s="3"/>
      <c r="AL861" s="3"/>
    </row>
    <row r="862" ht="15.75" customHeight="1">
      <c r="A862" s="1" t="str">
        <f>IFERROR(__xludf.DUMMYFUNCTION("""COMPUTED_VALUE"""),"21631")</f>
        <v>21631</v>
      </c>
      <c r="B862" s="2">
        <f>IFERROR(__xludf.DUMMYFUNCTION("""COMPUTED_VALUE"""),21631.0)</f>
        <v>21631</v>
      </c>
      <c r="C862" s="3" t="str">
        <f>IFERROR(__xludf.DUMMYFUNCTION("""COMPUTED_VALUE"""),"MBC บ้านอุ่นไอรัก")</f>
        <v>MBC บ้านอุ่นไอรัก</v>
      </c>
      <c r="D862" s="3" t="str">
        <f>IFERROR(__xludf.DUMMYFUNCTION("""COMPUTED_VALUE"""),"BCM BAN OUN AI RAK, CHONBURI")</f>
        <v>BCM BAN OUN AI RAK, CHONBURI</v>
      </c>
      <c r="E862" s="1" t="str">
        <f>IFERROR(__xludf.DUMMYFUNCTION("""COMPUTED_VALUE"""),"บิ๊กซี MINI")</f>
        <v>บิ๊กซี MINI</v>
      </c>
      <c r="F862" s="1" t="str">
        <f>IFERROR(__xludf.DUMMYFUNCTION("""COMPUTED_VALUE"""),"221716")</f>
        <v>221716</v>
      </c>
      <c r="G862" s="1" t="str">
        <f>IFERROR(__xludf.DUMMYFUNCTION("""COMPUTED_VALUE"""),"น.ส.เบญจพร โพธิสาร")</f>
        <v>น.ส.เบญจพร โพธิสาร</v>
      </c>
      <c r="H862" s="1" t="str">
        <f>IFERROR(__xludf.DUMMYFUNCTION("""COMPUTED_VALUE"""),"034605")</f>
        <v>034605</v>
      </c>
      <c r="I862" s="1" t="str">
        <f>IFERROR(__xludf.DUMMYFUNCTION("""COMPUTED_VALUE"""),"นายธรรมรัตน์ สุขเจริญ")</f>
        <v>นายธรรมรัตน์ สุขเจริญ</v>
      </c>
      <c r="J862" s="3">
        <f>IFERROR(__xludf.DUMMYFUNCTION("""COMPUTED_VALUE"""),1.3461215E7)</f>
        <v>13461215</v>
      </c>
      <c r="K862" s="3" t="str">
        <f>IFERROR(__xludf.DUMMYFUNCTION("""COMPUTED_VALUE"""),"นายธีรภัทร สังข์เงิน")</f>
        <v>นายธีรภัทร สังข์เงิน</v>
      </c>
      <c r="L862" s="1" t="str">
        <f>IFERROR(__xludf.DUMMYFUNCTION("""COMPUTED_VALUE"""),"06 K.Teerapat")</f>
        <v>06 K.Teerapat</v>
      </c>
      <c r="M862" s="1" t="str">
        <f>IFERROR(__xludf.DUMMYFUNCTION("""COMPUTED_VALUE"""),"063-601-6803")</f>
        <v>063-601-6803</v>
      </c>
      <c r="N862" s="3">
        <f>IFERROR(__xludf.DUMMYFUNCTION("""COMPUTED_VALUE"""),22115.0)</f>
        <v>22115</v>
      </c>
      <c r="O862" s="3" t="str">
        <f>IFERROR(__xludf.DUMMYFUNCTION("""COMPUTED_VALUE"""),"MBC เลี่ยงหนองมน ชลบุรี")</f>
        <v>MBC เลี่ยงหนองมน ชลบุรี</v>
      </c>
      <c r="P862" s="4">
        <f>IFERROR(__xludf.DUMMYFUNCTION("""COMPUTED_VALUE"""),43274.0)</f>
        <v>43274</v>
      </c>
      <c r="Q862" s="3" t="str">
        <f>IFERROR(__xludf.DUMMYFUNCTION("""COMPUTED_VALUE"""),"A")</f>
        <v>A</v>
      </c>
      <c r="R862" s="3" t="str">
        <f>IFERROR(__xludf.DUMMYFUNCTION("""COMPUTED_VALUE"""),"Small Format")</f>
        <v>Small Format</v>
      </c>
      <c r="S862" s="3" t="str">
        <f>IFERROR(__xludf.DUMMYFUNCTION("""COMPUTED_VALUE"""),"BCM")</f>
        <v>BCM</v>
      </c>
      <c r="T862" s="3" t="str">
        <f>IFERROR(__xludf.DUMMYFUNCTION("""COMPUTED_VALUE"""),"#N/A")</f>
        <v>#N/A</v>
      </c>
      <c r="U862" s="3" t="str">
        <f>IFERROR(__xludf.DUMMYFUNCTION("""COMPUTED_VALUE"""),"#N/A")</f>
        <v>#N/A</v>
      </c>
      <c r="V862" s="3" t="str">
        <f>IFERROR(__xludf.DUMMYFUNCTION("""COMPUTED_VALUE"""),"N")</f>
        <v>N</v>
      </c>
      <c r="W862" s="3">
        <f>IFERROR(__xludf.DUMMYFUNCTION("""COMPUTED_VALUE"""),211571.0)</f>
        <v>211571</v>
      </c>
      <c r="X862" s="3" t="str">
        <f>IFERROR(__xludf.DUMMYFUNCTION("""COMPUTED_VALUE"""),"95/1,95/4-5 หมู่8 ตำบลนาป่า อำเภอเมืองชลบุรี จังหวัดชลบุรี 20000")</f>
        <v>95/1,95/4-5 หมู่8 ตำบลนาป่า อำเภอเมืองชลบุรี จังหวัดชลบุรี 20000</v>
      </c>
      <c r="Y862" s="3"/>
      <c r="Z862" s="3" t="str">
        <f>IFERROR(__xludf.DUMMYFUNCTION("""COMPUTED_VALUE"""),"นาป่า")</f>
        <v>นาป่า</v>
      </c>
      <c r="AA862" s="3" t="str">
        <f>IFERROR(__xludf.DUMMYFUNCTION("""COMPUTED_VALUE"""),"เมือง")</f>
        <v>เมือง</v>
      </c>
      <c r="AB862" s="3" t="str">
        <f>IFERROR(__xludf.DUMMYFUNCTION("""COMPUTED_VALUE"""),"ชลบุรี")</f>
        <v>ชลบุรี</v>
      </c>
      <c r="AC862" s="3">
        <f>IFERROR(__xludf.DUMMYFUNCTION("""COMPUTED_VALUE"""),20000.0)</f>
        <v>20000</v>
      </c>
      <c r="AD862" s="3">
        <f>IFERROR(__xludf.DUMMYFUNCTION("""COMPUTED_VALUE"""),13.387589)</f>
        <v>13.387589</v>
      </c>
      <c r="AE862" s="3">
        <f>IFERROR(__xludf.DUMMYFUNCTION("""COMPUTED_VALUE"""),101.0255)</f>
        <v>101.0255</v>
      </c>
      <c r="AF862" s="3" t="str">
        <f>IFERROR(__xludf.DUMMYFUNCTION("""COMPUTED_VALUE"""),"MBC บ้านอุ่นไอรัก-21631")</f>
        <v>MBC บ้านอุ่นไอรัก-21631</v>
      </c>
      <c r="AG862" s="3" t="str">
        <f>IFERROR(__xludf.DUMMYFUNCTION("""COMPUTED_VALUE"""),"ตะวันออก")</f>
        <v>ตะวันออก</v>
      </c>
      <c r="AH862" s="3" t="str">
        <f>IFERROR(__xludf.DUMMYFUNCTION("""COMPUTED_VALUE"""),"#N/A")</f>
        <v>#N/A</v>
      </c>
      <c r="AI862" s="3" t="str">
        <f>IFERROR(__xludf.DUMMYFUNCTION("""COMPUTED_VALUE"""),"Out of warranty")</f>
        <v>Out of warranty</v>
      </c>
      <c r="AJ862" s="3">
        <f>IFERROR(__xludf.DUMMYFUNCTION("""COMPUTED_VALUE"""),91.0)</f>
        <v>91</v>
      </c>
      <c r="AK862" s="3" t="str">
        <f>IFERROR(__xludf.DUMMYFUNCTION("""COMPUTED_VALUE"""),"MMS06")</f>
        <v>MMS06</v>
      </c>
      <c r="AL862" s="3"/>
    </row>
    <row r="863" ht="15.75" customHeight="1">
      <c r="A863" s="1" t="str">
        <f>IFERROR(__xludf.DUMMYFUNCTION("""COMPUTED_VALUE"""),"21632")</f>
        <v>21632</v>
      </c>
      <c r="B863" s="2">
        <f>IFERROR(__xludf.DUMMYFUNCTION("""COMPUTED_VALUE"""),21632.0)</f>
        <v>21632</v>
      </c>
      <c r="C863" s="3" t="str">
        <f>IFERROR(__xludf.DUMMYFUNCTION("""COMPUTED_VALUE"""),"MBC โรงพยาบาลปลวกแดง")</f>
        <v>MBC โรงพยาบาลปลวกแดง</v>
      </c>
      <c r="D863" s="3" t="str">
        <f>IFERROR(__xludf.DUMMYFUNCTION("""COMPUTED_VALUE"""),"BCM PLUAKDAENG HOSPITAL")</f>
        <v>BCM PLUAKDAENG HOSPITAL</v>
      </c>
      <c r="E863" s="1" t="str">
        <f>IFERROR(__xludf.DUMMYFUNCTION("""COMPUTED_VALUE"""),"บิ๊กซี MINI")</f>
        <v>บิ๊กซี MINI</v>
      </c>
      <c r="F863" s="1" t="str">
        <f>IFERROR(__xludf.DUMMYFUNCTION("""COMPUTED_VALUE"""),"221716")</f>
        <v>221716</v>
      </c>
      <c r="G863" s="1" t="str">
        <f>IFERROR(__xludf.DUMMYFUNCTION("""COMPUTED_VALUE"""),"น.ส.เบญจพร โพธิสาร")</f>
        <v>น.ส.เบญจพร โพธิสาร</v>
      </c>
      <c r="H863" s="1" t="str">
        <f>IFERROR(__xludf.DUMMYFUNCTION("""COMPUTED_VALUE"""),"371384")</f>
        <v>371384</v>
      </c>
      <c r="I863" s="1" t="str">
        <f>IFERROR(__xludf.DUMMYFUNCTION("""COMPUTED_VALUE"""),"น.ส.นิลเนตร สิงห์ทอง")</f>
        <v>น.ส.นิลเนตร สิงห์ทอง</v>
      </c>
      <c r="J863" s="3">
        <f>IFERROR(__xludf.DUMMYFUNCTION("""COMPUTED_VALUE"""),2452376.0)</f>
        <v>2452376</v>
      </c>
      <c r="K863" s="3" t="str">
        <f>IFERROR(__xludf.DUMMYFUNCTION("""COMPUTED_VALUE"""),"นายภาคภูมิ ทวีกุล")</f>
        <v>นายภาคภูมิ ทวีกุล</v>
      </c>
      <c r="L863" s="1" t="str">
        <f>IFERROR(__xludf.DUMMYFUNCTION("""COMPUTED_VALUE"""),"08 K.Parkphum T.")</f>
        <v>08 K.Parkphum T.</v>
      </c>
      <c r="M863" s="1" t="str">
        <f>IFERROR(__xludf.DUMMYFUNCTION("""COMPUTED_VALUE"""),"097-919-5476")</f>
        <v>097-919-5476</v>
      </c>
      <c r="N863" s="3">
        <f>IFERROR(__xludf.DUMMYFUNCTION("""COMPUTED_VALUE"""),22028.0)</f>
        <v>22028</v>
      </c>
      <c r="O863" s="3" t="str">
        <f>IFERROR(__xludf.DUMMYFUNCTION("""COMPUTED_VALUE"""),"MBC ทํบมา ระยอง")</f>
        <v>MBC ทํบมา ระยอง</v>
      </c>
      <c r="P863" s="4">
        <f>IFERROR(__xludf.DUMMYFUNCTION("""COMPUTED_VALUE"""),43275.0)</f>
        <v>43275</v>
      </c>
      <c r="Q863" s="3" t="str">
        <f>IFERROR(__xludf.DUMMYFUNCTION("""COMPUTED_VALUE"""),"A")</f>
        <v>A</v>
      </c>
      <c r="R863" s="3" t="str">
        <f>IFERROR(__xludf.DUMMYFUNCTION("""COMPUTED_VALUE"""),"Small Format")</f>
        <v>Small Format</v>
      </c>
      <c r="S863" s="3" t="str">
        <f>IFERROR(__xludf.DUMMYFUNCTION("""COMPUTED_VALUE"""),"BCM")</f>
        <v>BCM</v>
      </c>
      <c r="T863" s="3" t="str">
        <f>IFERROR(__xludf.DUMMYFUNCTION("""COMPUTED_VALUE"""),"#N/A")</f>
        <v>#N/A</v>
      </c>
      <c r="U863" s="3" t="str">
        <f>IFERROR(__xludf.DUMMYFUNCTION("""COMPUTED_VALUE"""),"#N/A")</f>
        <v>#N/A</v>
      </c>
      <c r="V863" s="3" t="str">
        <f>IFERROR(__xludf.DUMMYFUNCTION("""COMPUTED_VALUE"""),"N")</f>
        <v>N</v>
      </c>
      <c r="W863" s="3">
        <f>IFERROR(__xludf.DUMMYFUNCTION("""COMPUTED_VALUE"""),211586.0)</f>
        <v>211586</v>
      </c>
      <c r="X863" s="3" t="str">
        <f>IFERROR(__xludf.DUMMYFUNCTION("""COMPUTED_VALUE"""),"364/22-24 หมู่1 ตำบลปลวกแดง อำเภอปลวกแดง จังหวัดระยอง 21140")</f>
        <v>364/22-24 หมู่1 ตำบลปลวกแดง อำเภอปลวกแดง จังหวัดระยอง 21140</v>
      </c>
      <c r="Y863" s="3"/>
      <c r="Z863" s="3" t="str">
        <f>IFERROR(__xludf.DUMMYFUNCTION("""COMPUTED_VALUE"""),"ปลวกแดง")</f>
        <v>ปลวกแดง</v>
      </c>
      <c r="AA863" s="3" t="str">
        <f>IFERROR(__xludf.DUMMYFUNCTION("""COMPUTED_VALUE"""),"ปลวกแดง")</f>
        <v>ปลวกแดง</v>
      </c>
      <c r="AB863" s="3" t="str">
        <f>IFERROR(__xludf.DUMMYFUNCTION("""COMPUTED_VALUE"""),"ระยอง")</f>
        <v>ระยอง</v>
      </c>
      <c r="AC863" s="3">
        <f>IFERROR(__xludf.DUMMYFUNCTION("""COMPUTED_VALUE"""),21140.0)</f>
        <v>21140</v>
      </c>
      <c r="AD863" s="3">
        <f>IFERROR(__xludf.DUMMYFUNCTION("""COMPUTED_VALUE"""),12.970701)</f>
        <v>12.970701</v>
      </c>
      <c r="AE863" s="3">
        <f>IFERROR(__xludf.DUMMYFUNCTION("""COMPUTED_VALUE"""),101.219394)</f>
        <v>101.219394</v>
      </c>
      <c r="AF863" s="3" t="str">
        <f>IFERROR(__xludf.DUMMYFUNCTION("""COMPUTED_VALUE"""),"MBC โรงพยาบาลปลวกแดง-21632")</f>
        <v>MBC โรงพยาบาลปลวกแดง-21632</v>
      </c>
      <c r="AG863" s="3" t="str">
        <f>IFERROR(__xludf.DUMMYFUNCTION("""COMPUTED_VALUE"""),"ตะวันออก")</f>
        <v>ตะวันออก</v>
      </c>
      <c r="AH863" s="3" t="str">
        <f>IFERROR(__xludf.DUMMYFUNCTION("""COMPUTED_VALUE"""),"#N/A")</f>
        <v>#N/A</v>
      </c>
      <c r="AI863" s="3" t="str">
        <f>IFERROR(__xludf.DUMMYFUNCTION("""COMPUTED_VALUE"""),"Out of warranty")</f>
        <v>Out of warranty</v>
      </c>
      <c r="AJ863" s="3">
        <f>IFERROR(__xludf.DUMMYFUNCTION("""COMPUTED_VALUE"""),91.0)</f>
        <v>91</v>
      </c>
      <c r="AK863" s="3" t="str">
        <f>IFERROR(__xludf.DUMMYFUNCTION("""COMPUTED_VALUE"""),"MMS07")</f>
        <v>MMS07</v>
      </c>
      <c r="AL863" s="3"/>
    </row>
    <row r="864" ht="15.75" customHeight="1">
      <c r="A864" s="1" t="str">
        <f>IFERROR(__xludf.DUMMYFUNCTION("""COMPUTED_VALUE"""),"21633")</f>
        <v>21633</v>
      </c>
      <c r="B864" s="2">
        <f>IFERROR(__xludf.DUMMYFUNCTION("""COMPUTED_VALUE"""),21633.0)</f>
        <v>21633</v>
      </c>
      <c r="C864" s="3" t="str">
        <f>IFERROR(__xludf.DUMMYFUNCTION("""COMPUTED_VALUE"""),"MBC ห้าแยก กกโพธิ์")</f>
        <v>MBC ห้าแยก กกโพธิ์</v>
      </c>
      <c r="D864" s="3" t="str">
        <f>IFERROR(__xludf.DUMMYFUNCTION("""COMPUTED_VALUE"""),"BCM 5 YEAK KOK PHO")</f>
        <v>BCM 5 YEAK KOK PHO</v>
      </c>
      <c r="E864" s="1" t="str">
        <f>IFERROR(__xludf.DUMMYFUNCTION("""COMPUTED_VALUE"""),"บิ๊กซี MINI")</f>
        <v>บิ๊กซี MINI</v>
      </c>
      <c r="F864" s="1" t="str">
        <f>IFERROR(__xludf.DUMMYFUNCTION("""COMPUTED_VALUE"""),"291105")</f>
        <v>291105</v>
      </c>
      <c r="G864" s="1" t="str">
        <f>IFERROR(__xludf.DUMMYFUNCTION("""COMPUTED_VALUE"""),"นายสราวุฒิ พณิชยกุล")</f>
        <v>นายสราวุฒิ พณิชยกุล</v>
      </c>
      <c r="H864" s="1" t="str">
        <f>IFERROR(__xludf.DUMMYFUNCTION("""COMPUTED_VALUE"""),"398136")</f>
        <v>398136</v>
      </c>
      <c r="I864" s="1" t="str">
        <f>IFERROR(__xludf.DUMMYFUNCTION("""COMPUTED_VALUE"""),"นายประยูร ธาดาวงษา")</f>
        <v>นายประยูร ธาดาวงษา</v>
      </c>
      <c r="J864" s="3">
        <f>IFERROR(__xludf.DUMMYFUNCTION("""COMPUTED_VALUE"""),15361.0)</f>
        <v>15361</v>
      </c>
      <c r="K864" s="3" t="str">
        <f>IFERROR(__xludf.DUMMYFUNCTION("""COMPUTED_VALUE"""),"นายสมบูรณ์ พรหมในเมือง")</f>
        <v>นายสมบูรณ์ พรหมในเมือง</v>
      </c>
      <c r="L864" s="1" t="str">
        <f>IFERROR(__xludf.DUMMYFUNCTION("""COMPUTED_VALUE"""),"04 K.Somboon P.")</f>
        <v>04 K.Somboon P.</v>
      </c>
      <c r="M864" s="1" t="str">
        <f>IFERROR(__xludf.DUMMYFUNCTION("""COMPUTED_VALUE"""),"087-965-3051")</f>
        <v>087-965-3051</v>
      </c>
      <c r="N864" s="3">
        <f>IFERROR(__xludf.DUMMYFUNCTION("""COMPUTED_VALUE"""),21869.0)</f>
        <v>21869</v>
      </c>
      <c r="O864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864" s="4">
        <f>IFERROR(__xludf.DUMMYFUNCTION("""COMPUTED_VALUE"""),43275.0)</f>
        <v>43275</v>
      </c>
      <c r="Q864" s="3" t="str">
        <f>IFERROR(__xludf.DUMMYFUNCTION("""COMPUTED_VALUE"""),"A")</f>
        <v>A</v>
      </c>
      <c r="R864" s="3" t="str">
        <f>IFERROR(__xludf.DUMMYFUNCTION("""COMPUTED_VALUE"""),"Small Format")</f>
        <v>Small Format</v>
      </c>
      <c r="S864" s="3" t="str">
        <f>IFERROR(__xludf.DUMMYFUNCTION("""COMPUTED_VALUE"""),"BCM")</f>
        <v>BCM</v>
      </c>
      <c r="T864" s="3" t="str">
        <f>IFERROR(__xludf.DUMMYFUNCTION("""COMPUTED_VALUE"""),"#N/A")</f>
        <v>#N/A</v>
      </c>
      <c r="U864" s="3" t="str">
        <f>IFERROR(__xludf.DUMMYFUNCTION("""COMPUTED_VALUE"""),"#N/A")</f>
        <v>#N/A</v>
      </c>
      <c r="V864" s="3" t="str">
        <f>IFERROR(__xludf.DUMMYFUNCTION("""COMPUTED_VALUE"""),"N")</f>
        <v>N</v>
      </c>
      <c r="W864" s="3">
        <f>IFERROR(__xludf.DUMMYFUNCTION("""COMPUTED_VALUE"""),211613.0)</f>
        <v>211613</v>
      </c>
      <c r="X864" s="3" t="str">
        <f>IFERROR(__xludf.DUMMYFUNCTION("""COMPUTED_VALUE"""),"507 หมู่14 ตำบลเหนือเมือง อำเภอเมืองร้อยเอ็ด จังหวัดร้อยเอ็ด 45000")</f>
        <v>507 หมู่14 ตำบลเหนือเมือง อำเภอเมืองร้อยเอ็ด จังหวัดร้อยเอ็ด 45000</v>
      </c>
      <c r="Y864" s="3"/>
      <c r="Z864" s="3" t="str">
        <f>IFERROR(__xludf.DUMMYFUNCTION("""COMPUTED_VALUE"""),"เหนือเมือง")</f>
        <v>เหนือเมือง</v>
      </c>
      <c r="AA864" s="3" t="str">
        <f>IFERROR(__xludf.DUMMYFUNCTION("""COMPUTED_VALUE"""),"เมือง")</f>
        <v>เมือง</v>
      </c>
      <c r="AB864" s="3" t="str">
        <f>IFERROR(__xludf.DUMMYFUNCTION("""COMPUTED_VALUE"""),"ร้อยเอ็ด")</f>
        <v>ร้อยเอ็ด</v>
      </c>
      <c r="AC864" s="3">
        <f>IFERROR(__xludf.DUMMYFUNCTION("""COMPUTED_VALUE"""),45000.0)</f>
        <v>45000</v>
      </c>
      <c r="AD864" s="3">
        <f>IFERROR(__xludf.DUMMYFUNCTION("""COMPUTED_VALUE"""),16.06200173)</f>
        <v>16.06200173</v>
      </c>
      <c r="AE864" s="3">
        <f>IFERROR(__xludf.DUMMYFUNCTION("""COMPUTED_VALUE"""),103.6625729)</f>
        <v>103.6625729</v>
      </c>
      <c r="AF864" s="3" t="str">
        <f>IFERROR(__xludf.DUMMYFUNCTION("""COMPUTED_VALUE"""),"MBC ห้าแยก กกโพธิ์-21633")</f>
        <v>MBC ห้าแยก กกโพธิ์-21633</v>
      </c>
      <c r="AG864" s="3" t="str">
        <f>IFERROR(__xludf.DUMMYFUNCTION("""COMPUTED_VALUE"""),"ตะวันออกเฉียงเหนือ")</f>
        <v>ตะวันออกเฉียงเหนือ</v>
      </c>
      <c r="AH864" s="3" t="str">
        <f>IFERROR(__xludf.DUMMYFUNCTION("""COMPUTED_VALUE"""),"#N/A")</f>
        <v>#N/A</v>
      </c>
      <c r="AI864" s="3" t="str">
        <f>IFERROR(__xludf.DUMMYFUNCTION("""COMPUTED_VALUE"""),"Out of warranty")</f>
        <v>Out of warranty</v>
      </c>
      <c r="AJ864" s="3">
        <f>IFERROR(__xludf.DUMMYFUNCTION("""COMPUTED_VALUE"""),91.0)</f>
        <v>91</v>
      </c>
      <c r="AK864" s="3" t="str">
        <f>IFERROR(__xludf.DUMMYFUNCTION("""COMPUTED_VALUE"""),"MMS13")</f>
        <v>MMS13</v>
      </c>
      <c r="AL864" s="3"/>
    </row>
    <row r="865" ht="15.75" customHeight="1">
      <c r="A865" s="1" t="str">
        <f>IFERROR(__xludf.DUMMYFUNCTION("""COMPUTED_VALUE"""),"21634")</f>
        <v>21634</v>
      </c>
      <c r="B865" s="2">
        <f>IFERROR(__xludf.DUMMYFUNCTION("""COMPUTED_VALUE"""),21634.0)</f>
        <v>21634</v>
      </c>
      <c r="C865" s="3" t="str">
        <f>IFERROR(__xludf.DUMMYFUNCTION("""COMPUTED_VALUE"""),"MBC ถนนราชการดำเนิน")</f>
        <v>MBC ถนนราชการดำเนิน</v>
      </c>
      <c r="D865" s="3" t="str">
        <f>IFERROR(__xludf.DUMMYFUNCTION("""COMPUTED_VALUE"""),"BCM THANON RATCHAKARN DAMNOEN")</f>
        <v>BCM THANON RATCHAKARN DAMNOEN</v>
      </c>
      <c r="E865" s="1" t="str">
        <f>IFERROR(__xludf.DUMMYFUNCTION("""COMPUTED_VALUE"""),"บิ๊กซี MINI")</f>
        <v>บิ๊กซี MINI</v>
      </c>
      <c r="F865" s="1" t="str">
        <f>IFERROR(__xludf.DUMMYFUNCTION("""COMPUTED_VALUE"""),"291105")</f>
        <v>291105</v>
      </c>
      <c r="G865" s="1" t="str">
        <f>IFERROR(__xludf.DUMMYFUNCTION("""COMPUTED_VALUE"""),"นายสราวุฒิ พณิชยกุล")</f>
        <v>นายสราวุฒิ พณิชยกุล</v>
      </c>
      <c r="H865" s="1" t="str">
        <f>IFERROR(__xludf.DUMMYFUNCTION("""COMPUTED_VALUE"""),"398136")</f>
        <v>398136</v>
      </c>
      <c r="I865" s="1" t="str">
        <f>IFERROR(__xludf.DUMMYFUNCTION("""COMPUTED_VALUE"""),"นายประยูร ธาดาวงษา")</f>
        <v>นายประยูร ธาดาวงษา</v>
      </c>
      <c r="J865" s="3">
        <f>IFERROR(__xludf.DUMMYFUNCTION("""COMPUTED_VALUE"""),15361.0)</f>
        <v>15361</v>
      </c>
      <c r="K865" s="3" t="str">
        <f>IFERROR(__xludf.DUMMYFUNCTION("""COMPUTED_VALUE"""),"นายสมบูรณ์ พรหมในเมือง")</f>
        <v>นายสมบูรณ์ พรหมในเมือง</v>
      </c>
      <c r="L865" s="1" t="str">
        <f>IFERROR(__xludf.DUMMYFUNCTION("""COMPUTED_VALUE"""),"04 K.Somboon P.")</f>
        <v>04 K.Somboon P.</v>
      </c>
      <c r="M865" s="1" t="str">
        <f>IFERROR(__xludf.DUMMYFUNCTION("""COMPUTED_VALUE"""),"087-965-3051")</f>
        <v>087-965-3051</v>
      </c>
      <c r="N865" s="3">
        <f>IFERROR(__xludf.DUMMYFUNCTION("""COMPUTED_VALUE"""),21869.0)</f>
        <v>21869</v>
      </c>
      <c r="O865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865" s="4">
        <f>IFERROR(__xludf.DUMMYFUNCTION("""COMPUTED_VALUE"""),43275.0)</f>
        <v>43275</v>
      </c>
      <c r="Q865" s="3" t="str">
        <f>IFERROR(__xludf.DUMMYFUNCTION("""COMPUTED_VALUE"""),"A")</f>
        <v>A</v>
      </c>
      <c r="R865" s="3" t="str">
        <f>IFERROR(__xludf.DUMMYFUNCTION("""COMPUTED_VALUE"""),"Small Format")</f>
        <v>Small Format</v>
      </c>
      <c r="S865" s="3" t="str">
        <f>IFERROR(__xludf.DUMMYFUNCTION("""COMPUTED_VALUE"""),"BCM")</f>
        <v>BCM</v>
      </c>
      <c r="T865" s="3" t="str">
        <f>IFERROR(__xludf.DUMMYFUNCTION("""COMPUTED_VALUE"""),"#N/A")</f>
        <v>#N/A</v>
      </c>
      <c r="U865" s="3" t="str">
        <f>IFERROR(__xludf.DUMMYFUNCTION("""COMPUTED_VALUE"""),"#N/A")</f>
        <v>#N/A</v>
      </c>
      <c r="V865" s="3" t="str">
        <f>IFERROR(__xludf.DUMMYFUNCTION("""COMPUTED_VALUE"""),"N")</f>
        <v>N</v>
      </c>
      <c r="W865" s="3">
        <f>IFERROR(__xludf.DUMMYFUNCTION("""COMPUTED_VALUE"""),211602.0)</f>
        <v>211602</v>
      </c>
      <c r="X865" s="3" t="str">
        <f>IFERROR(__xludf.DUMMYFUNCTION("""COMPUTED_VALUE"""),"123/5-7 ถนนราชการดำเนิน ตำบลในเมือง อำเภอเมืองร้อยเอ็ด จังหวัดร้อยเอ็ด 45000")</f>
        <v>123/5-7 ถนนราชการดำเนิน ตำบลในเมือง อำเภอเมืองร้อยเอ็ด จังหวัดร้อยเอ็ด 45000</v>
      </c>
      <c r="Y865" s="3" t="str">
        <f>IFERROR(__xludf.DUMMYFUNCTION("""COMPUTED_VALUE"""),"ถนนราชการดำเนิน")</f>
        <v>ถนนราชการดำเนิน</v>
      </c>
      <c r="Z865" s="3" t="str">
        <f>IFERROR(__xludf.DUMMYFUNCTION("""COMPUTED_VALUE"""),"ในเมือง")</f>
        <v>ในเมือง</v>
      </c>
      <c r="AA865" s="3" t="str">
        <f>IFERROR(__xludf.DUMMYFUNCTION("""COMPUTED_VALUE"""),"เมือง")</f>
        <v>เมือง</v>
      </c>
      <c r="AB865" s="3" t="str">
        <f>IFERROR(__xludf.DUMMYFUNCTION("""COMPUTED_VALUE"""),"ร้อยเอ็ด")</f>
        <v>ร้อยเอ็ด</v>
      </c>
      <c r="AC865" s="3">
        <f>IFERROR(__xludf.DUMMYFUNCTION("""COMPUTED_VALUE"""),45000.0)</f>
        <v>45000</v>
      </c>
      <c r="AD865" s="3">
        <f>IFERROR(__xludf.DUMMYFUNCTION("""COMPUTED_VALUE"""),16.05185505)</f>
        <v>16.05185505</v>
      </c>
      <c r="AE865" s="3">
        <f>IFERROR(__xludf.DUMMYFUNCTION("""COMPUTED_VALUE"""),103.6465933)</f>
        <v>103.6465933</v>
      </c>
      <c r="AF865" s="3" t="str">
        <f>IFERROR(__xludf.DUMMYFUNCTION("""COMPUTED_VALUE"""),"MBC ถนนราชการดำเนิน-21634")</f>
        <v>MBC ถนนราชการดำเนิน-21634</v>
      </c>
      <c r="AG865" s="3" t="str">
        <f>IFERROR(__xludf.DUMMYFUNCTION("""COMPUTED_VALUE"""),"ตะวันออกเฉียงเหนือ")</f>
        <v>ตะวันออกเฉียงเหนือ</v>
      </c>
      <c r="AH865" s="3" t="str">
        <f>IFERROR(__xludf.DUMMYFUNCTION("""COMPUTED_VALUE"""),"#N/A")</f>
        <v>#N/A</v>
      </c>
      <c r="AI865" s="3" t="str">
        <f>IFERROR(__xludf.DUMMYFUNCTION("""COMPUTED_VALUE"""),"Out of warranty")</f>
        <v>Out of warranty</v>
      </c>
      <c r="AJ865" s="3">
        <f>IFERROR(__xludf.DUMMYFUNCTION("""COMPUTED_VALUE"""),91.0)</f>
        <v>91</v>
      </c>
      <c r="AK865" s="3" t="str">
        <f>IFERROR(__xludf.DUMMYFUNCTION("""COMPUTED_VALUE"""),"MMS13")</f>
        <v>MMS13</v>
      </c>
      <c r="AL865" s="3"/>
    </row>
    <row r="866" ht="15.75" customHeight="1">
      <c r="A866" s="1" t="str">
        <f>IFERROR(__xludf.DUMMYFUNCTION("""COMPUTED_VALUE"""),"21635")</f>
        <v>21635</v>
      </c>
      <c r="B866" s="2">
        <f>IFERROR(__xludf.DUMMYFUNCTION("""COMPUTED_VALUE"""),21635.0)</f>
        <v>21635</v>
      </c>
      <c r="C866" s="3" t="str">
        <f>IFERROR(__xludf.DUMMYFUNCTION("""COMPUTED_VALUE"""),"MBC เทศบาลตำบลเวียงสระ")</f>
        <v>MBC เทศบาลตำบลเวียงสระ</v>
      </c>
      <c r="D866" s="3" t="str">
        <f>IFERROR(__xludf.DUMMYFUNCTION("""COMPUTED_VALUE"""),"BCM THESSABAN TAMBON WIANG SA")</f>
        <v>BCM THESSABAN TAMBON WIANG SA</v>
      </c>
      <c r="E866" s="1" t="str">
        <f>IFERROR(__xludf.DUMMYFUNCTION("""COMPUTED_VALUE"""),"บิ๊กซี MINI")</f>
        <v>บิ๊กซี MINI</v>
      </c>
      <c r="F866" s="1" t="str">
        <f>IFERROR(__xludf.DUMMYFUNCTION("""COMPUTED_VALUE"""),"250760")</f>
        <v>250760</v>
      </c>
      <c r="G866" s="1" t="str">
        <f>IFERROR(__xludf.DUMMYFUNCTION("""COMPUTED_VALUE"""),"นายประทวน สาราบรรณ์")</f>
        <v>นายประทวน สาราบรรณ์</v>
      </c>
      <c r="H866" s="1" t="str">
        <f>IFERROR(__xludf.DUMMYFUNCTION("""COMPUTED_VALUE"""),"228389")</f>
        <v>228389</v>
      </c>
      <c r="I866" s="1" t="str">
        <f>IFERROR(__xludf.DUMMYFUNCTION("""COMPUTED_VALUE"""),"นายมณีรันดร์ ชัยชนะ")</f>
        <v>นายมณีรันดร์ ชัยชนะ</v>
      </c>
      <c r="J866" s="3">
        <f>IFERROR(__xludf.DUMMYFUNCTION("""COMPUTED_VALUE"""),25324.0)</f>
        <v>25324</v>
      </c>
      <c r="K866" s="3" t="str">
        <f>IFERROR(__xludf.DUMMYFUNCTION("""COMPUTED_VALUE"""),"นายวิเชฎฐ์ ติรัตนะประคม")</f>
        <v>นายวิเชฎฐ์ ติรัตนะประคม</v>
      </c>
      <c r="L866" s="1" t="str">
        <f>IFERROR(__xludf.DUMMYFUNCTION("""COMPUTED_VALUE"""),"14 K.Wichet T.")</f>
        <v>14 K.Wichet T.</v>
      </c>
      <c r="M866" s="1" t="str">
        <f>IFERROR(__xludf.DUMMYFUNCTION("""COMPUTED_VALUE"""),"061-417-6569 / 086-445-5636")</f>
        <v>061-417-6569 / 086-445-5636</v>
      </c>
      <c r="N866" s="3">
        <f>IFERROR(__xludf.DUMMYFUNCTION("""COMPUTED_VALUE"""),22658.0)</f>
        <v>22658</v>
      </c>
      <c r="O866" s="3" t="str">
        <f>IFERROR(__xludf.DUMMYFUNCTION("""COMPUTED_VALUE"""),"BCM ถ.วิรัชหงษ์หยก ภูเก็ต")</f>
        <v>BCM ถ.วิรัชหงษ์หยก ภูเก็ต</v>
      </c>
      <c r="P866" s="4">
        <f>IFERROR(__xludf.DUMMYFUNCTION("""COMPUTED_VALUE"""),43297.0)</f>
        <v>43297</v>
      </c>
      <c r="Q866" s="3" t="str">
        <f>IFERROR(__xludf.DUMMYFUNCTION("""COMPUTED_VALUE"""),"A")</f>
        <v>A</v>
      </c>
      <c r="R866" s="3" t="str">
        <f>IFERROR(__xludf.DUMMYFUNCTION("""COMPUTED_VALUE"""),"Small Format")</f>
        <v>Small Format</v>
      </c>
      <c r="S866" s="3" t="str">
        <f>IFERROR(__xludf.DUMMYFUNCTION("""COMPUTED_VALUE"""),"BCM")</f>
        <v>BCM</v>
      </c>
      <c r="T866" s="3" t="str">
        <f>IFERROR(__xludf.DUMMYFUNCTION("""COMPUTED_VALUE"""),"#N/A")</f>
        <v>#N/A</v>
      </c>
      <c r="U866" s="3" t="str">
        <f>IFERROR(__xludf.DUMMYFUNCTION("""COMPUTED_VALUE"""),"#N/A")</f>
        <v>#N/A</v>
      </c>
      <c r="V866" s="3" t="str">
        <f>IFERROR(__xludf.DUMMYFUNCTION("""COMPUTED_VALUE"""),"N")</f>
        <v>N</v>
      </c>
      <c r="W866" s="3">
        <f>IFERROR(__xludf.DUMMYFUNCTION("""COMPUTED_VALUE"""),211577.0)</f>
        <v>211577</v>
      </c>
      <c r="X866" s="3" t="str">
        <f>IFERROR(__xludf.DUMMYFUNCTION("""COMPUTED_VALUE"""),"457/60 หมู่4 ตำบลบ้านส้อง อำเภอเวียงสระ จังหวัดสุราษฎร์ธานี 84190")</f>
        <v>457/60 หมู่4 ตำบลบ้านส้อง อำเภอเวียงสระ จังหวัดสุราษฎร์ธานี 84190</v>
      </c>
      <c r="Y866" s="3"/>
      <c r="Z866" s="3" t="str">
        <f>IFERROR(__xludf.DUMMYFUNCTION("""COMPUTED_VALUE"""),"บ้านส้อง")</f>
        <v>บ้านส้อง</v>
      </c>
      <c r="AA866" s="3" t="str">
        <f>IFERROR(__xludf.DUMMYFUNCTION("""COMPUTED_VALUE"""),"เวียงสระ")</f>
        <v>เวียงสระ</v>
      </c>
      <c r="AB866" s="3" t="str">
        <f>IFERROR(__xludf.DUMMYFUNCTION("""COMPUTED_VALUE"""),"สุราษฎร์ธานี")</f>
        <v>สุราษฎร์ธานี</v>
      </c>
      <c r="AC866" s="3">
        <f>IFERROR(__xludf.DUMMYFUNCTION("""COMPUTED_VALUE"""),84190.0)</f>
        <v>84190</v>
      </c>
      <c r="AD866" s="3">
        <f>IFERROR(__xludf.DUMMYFUNCTION("""COMPUTED_VALUE"""),8.636625)</f>
        <v>8.636625</v>
      </c>
      <c r="AE866" s="3">
        <f>IFERROR(__xludf.DUMMYFUNCTION("""COMPUTED_VALUE"""),99.368644)</f>
        <v>99.368644</v>
      </c>
      <c r="AF866" s="3" t="str">
        <f>IFERROR(__xludf.DUMMYFUNCTION("""COMPUTED_VALUE"""),"MBC เทศบาลตำบลเวียงสระ-21635")</f>
        <v>MBC เทศบาลตำบลเวียงสระ-21635</v>
      </c>
      <c r="AG866" s="3" t="str">
        <f>IFERROR(__xludf.DUMMYFUNCTION("""COMPUTED_VALUE"""),"ใต้")</f>
        <v>ใต้</v>
      </c>
      <c r="AH866" s="3" t="str">
        <f>IFERROR(__xludf.DUMMYFUNCTION("""COMPUTED_VALUE"""),"#N/A")</f>
        <v>#N/A</v>
      </c>
      <c r="AI866" s="3" t="str">
        <f>IFERROR(__xludf.DUMMYFUNCTION("""COMPUTED_VALUE"""),"Out of warranty")</f>
        <v>Out of warranty</v>
      </c>
      <c r="AJ866" s="3">
        <f>IFERROR(__xludf.DUMMYFUNCTION("""COMPUTED_VALUE"""),91.0)</f>
        <v>91</v>
      </c>
      <c r="AK866" s="3" t="str">
        <f>IFERROR(__xludf.DUMMYFUNCTION("""COMPUTED_VALUE"""),"MMS15")</f>
        <v>MMS15</v>
      </c>
      <c r="AL866" s="3"/>
    </row>
    <row r="867" ht="15.75" customHeight="1">
      <c r="A867" s="1" t="str">
        <f>IFERROR(__xludf.DUMMYFUNCTION("""COMPUTED_VALUE"""),"21636")</f>
        <v>21636</v>
      </c>
      <c r="B867" s="2">
        <f>IFERROR(__xludf.DUMMYFUNCTION("""COMPUTED_VALUE"""),21636.0)</f>
        <v>21636</v>
      </c>
      <c r="C867" s="3" t="str">
        <f>IFERROR(__xludf.DUMMYFUNCTION("""COMPUTED_VALUE"""),"MBC วราภิรมย์ ลำลูกกา คลอง 3")</f>
        <v>MBC วราภิรมย์ ลำลูกกา คลอง 3</v>
      </c>
      <c r="D867" s="3" t="str">
        <f>IFERROR(__xludf.DUMMYFUNCTION("""COMPUTED_VALUE"""),"BCM WARAPIROM LAMLUKKA KLONG3")</f>
        <v>BCM WARAPIROM LAMLUKKA KLONG3</v>
      </c>
      <c r="E867" s="1" t="str">
        <f>IFERROR(__xludf.DUMMYFUNCTION("""COMPUTED_VALUE"""),"บิ๊กซี MINI")</f>
        <v>บิ๊กซี MINI</v>
      </c>
      <c r="F867" s="1" t="str">
        <f>IFERROR(__xludf.DUMMYFUNCTION("""COMPUTED_VALUE"""),"291008")</f>
        <v>291008</v>
      </c>
      <c r="G867" s="1" t="str">
        <f>IFERROR(__xludf.DUMMYFUNCTION("""COMPUTED_VALUE"""),"น.ส.รัชดาพร อีศรัตน์")</f>
        <v>น.ส.รัชดาพร อีศรัตน์</v>
      </c>
      <c r="H867" s="1" t="str">
        <f>IFERROR(__xludf.DUMMYFUNCTION("""COMPUTED_VALUE"""),"288639")</f>
        <v>288639</v>
      </c>
      <c r="I867" s="1" t="str">
        <f>IFERROR(__xludf.DUMMYFUNCTION("""COMPUTED_VALUE"""),"น.ส.สมหญิง สีชมภู")</f>
        <v>น.ส.สมหญิง สีชมภู</v>
      </c>
      <c r="J867" s="3">
        <f>IFERROR(__xludf.DUMMYFUNCTION("""COMPUTED_VALUE"""),3510104.0)</f>
        <v>3510104</v>
      </c>
      <c r="K867" s="3" t="str">
        <f>IFERROR(__xludf.DUMMYFUNCTION("""COMPUTED_VALUE"""),"นายวิโรจน์ อับดุลสมัด")</f>
        <v>นายวิโรจน์ อับดุลสมัด</v>
      </c>
      <c r="L867" s="1" t="str">
        <f>IFERROR(__xludf.DUMMYFUNCTION("""COMPUTED_VALUE"""),"09 K.Wirode A")</f>
        <v>09 K.Wirode A</v>
      </c>
      <c r="M867" s="1" t="str">
        <f>IFERROR(__xludf.DUMMYFUNCTION("""COMPUTED_VALUE"""),"080-235-4465")</f>
        <v>080-235-4465</v>
      </c>
      <c r="N867" s="3">
        <f>IFERROR(__xludf.DUMMYFUNCTION("""COMPUTED_VALUE"""),21324.0)</f>
        <v>21324</v>
      </c>
      <c r="O867" s="3" t="str">
        <f>IFERROR(__xludf.DUMMYFUNCTION("""COMPUTED_VALUE"""),"MBC BCP สุวินทวงศ์")</f>
        <v>MBC BCP สุวินทวงศ์</v>
      </c>
      <c r="P867" s="4">
        <f>IFERROR(__xludf.DUMMYFUNCTION("""COMPUTED_VALUE"""),43299.0)</f>
        <v>43299</v>
      </c>
      <c r="Q867" s="3" t="str">
        <f>IFERROR(__xludf.DUMMYFUNCTION("""COMPUTED_VALUE"""),"I")</f>
        <v>I</v>
      </c>
      <c r="R867" s="3" t="str">
        <f>IFERROR(__xludf.DUMMYFUNCTION("""COMPUTED_VALUE"""),"Small Format")</f>
        <v>Small Format</v>
      </c>
      <c r="S867" s="3" t="str">
        <f>IFERROR(__xludf.DUMMYFUNCTION("""COMPUTED_VALUE"""),"BCM")</f>
        <v>BCM</v>
      </c>
      <c r="T867" s="3" t="str">
        <f>IFERROR(__xludf.DUMMYFUNCTION("""COMPUTED_VALUE"""),"#N/A")</f>
        <v>#N/A</v>
      </c>
      <c r="U867" s="3" t="str">
        <f>IFERROR(__xludf.DUMMYFUNCTION("""COMPUTED_VALUE"""),"#N/A")</f>
        <v>#N/A</v>
      </c>
      <c r="V867" s="3" t="str">
        <f>IFERROR(__xludf.DUMMYFUNCTION("""COMPUTED_VALUE"""),"N")</f>
        <v>N</v>
      </c>
      <c r="W867" s="3">
        <f>IFERROR(__xludf.DUMMYFUNCTION("""COMPUTED_VALUE"""),211582.0)</f>
        <v>211582</v>
      </c>
      <c r="X867" s="3" t="str">
        <f>IFERROR(__xludf.DUMMYFUNCTION("""COMPUTED_VALUE"""),"41/3-4 หมู่9 ตำบลลาดสวาย อำเภอลำลูกกา จังหวัดปทุมธานี 12150")</f>
        <v>41/3-4 หมู่9 ตำบลลาดสวาย อำเภอลำลูกกา จังหวัดปทุมธานี 12150</v>
      </c>
      <c r="Y867" s="3"/>
      <c r="Z867" s="3" t="str">
        <f>IFERROR(__xludf.DUMMYFUNCTION("""COMPUTED_VALUE"""),"ลาดสวาย")</f>
        <v>ลาดสวาย</v>
      </c>
      <c r="AA867" s="3" t="str">
        <f>IFERROR(__xludf.DUMMYFUNCTION("""COMPUTED_VALUE"""),"ลำลูกกา")</f>
        <v>ลำลูกกา</v>
      </c>
      <c r="AB867" s="3" t="str">
        <f>IFERROR(__xludf.DUMMYFUNCTION("""COMPUTED_VALUE"""),"ปทุมธานี")</f>
        <v>ปทุมธานี</v>
      </c>
      <c r="AC867" s="3">
        <f>IFERROR(__xludf.DUMMYFUNCTION("""COMPUTED_VALUE"""),12150.0)</f>
        <v>12150</v>
      </c>
      <c r="AD867" s="3">
        <f>IFERROR(__xludf.DUMMYFUNCTION("""COMPUTED_VALUE"""),13.953947)</f>
        <v>13.953947</v>
      </c>
      <c r="AE867" s="3">
        <f>IFERROR(__xludf.DUMMYFUNCTION("""COMPUTED_VALUE"""),100.665029)</f>
        <v>100.665029</v>
      </c>
      <c r="AF867" s="3" t="str">
        <f>IFERROR(__xludf.DUMMYFUNCTION("""COMPUTED_VALUE"""),"MBC วราภิรมย์ ลำลูกกา คลอง 3-21636")</f>
        <v>MBC วราภิรมย์ ลำลูกกา คลอง 3-21636</v>
      </c>
      <c r="AG867" s="3" t="str">
        <f>IFERROR(__xludf.DUMMYFUNCTION("""COMPUTED_VALUE"""),"กลาง")</f>
        <v>กลาง</v>
      </c>
      <c r="AH867" s="3" t="str">
        <f>IFERROR(__xludf.DUMMYFUNCTION("""COMPUTED_VALUE"""),"#N/A")</f>
        <v>#N/A</v>
      </c>
      <c r="AI867" s="3" t="str">
        <f>IFERROR(__xludf.DUMMYFUNCTION("""COMPUTED_VALUE"""),"Out of warranty")</f>
        <v>Out of warranty</v>
      </c>
      <c r="AJ867" s="3">
        <f>IFERROR(__xludf.DUMMYFUNCTION("""COMPUTED_VALUE"""),91.0)</f>
        <v>91</v>
      </c>
      <c r="AK867" s="3"/>
      <c r="AL867" s="3"/>
    </row>
    <row r="868" ht="15.75" customHeight="1">
      <c r="A868" s="1" t="str">
        <f>IFERROR(__xludf.DUMMYFUNCTION("""COMPUTED_VALUE"""),"21637")</f>
        <v>21637</v>
      </c>
      <c r="B868" s="2">
        <f>IFERROR(__xludf.DUMMYFUNCTION("""COMPUTED_VALUE"""),21637.0)</f>
        <v>21637</v>
      </c>
      <c r="C868" s="3" t="str">
        <f>IFERROR(__xludf.DUMMYFUNCTION("""COMPUTED_VALUE"""),"MBC เคหะนาจอมเทียน")</f>
        <v>MBC เคหะนาจอมเทียน</v>
      </c>
      <c r="D868" s="3" t="str">
        <f>IFERROR(__xludf.DUMMYFUNCTION("""COMPUTED_VALUE"""),"BCM KEHA NACHOMTHIEN")</f>
        <v>BCM KEHA NACHOMTHIEN</v>
      </c>
      <c r="E868" s="1" t="str">
        <f>IFERROR(__xludf.DUMMYFUNCTION("""COMPUTED_VALUE"""),"บิ๊กซี MINI")</f>
        <v>บิ๊กซี MINI</v>
      </c>
      <c r="F868" s="1" t="str">
        <f>IFERROR(__xludf.DUMMYFUNCTION("""COMPUTED_VALUE"""),"221716")</f>
        <v>221716</v>
      </c>
      <c r="G868" s="1" t="str">
        <f>IFERROR(__xludf.DUMMYFUNCTION("""COMPUTED_VALUE"""),"น.ส.เบญจพร โพธิสาร")</f>
        <v>น.ส.เบญจพร โพธิสาร</v>
      </c>
      <c r="H868" s="1" t="str">
        <f>IFERROR(__xludf.DUMMYFUNCTION("""COMPUTED_VALUE"""),"313065")</f>
        <v>313065</v>
      </c>
      <c r="I868" s="1" t="str">
        <f>IFERROR(__xludf.DUMMYFUNCTION("""COMPUTED_VALUE"""),"นายจิรายุทธ กันทา")</f>
        <v>นายจิรายุทธ กันทา</v>
      </c>
      <c r="J868" s="3">
        <f>IFERROR(__xludf.DUMMYFUNCTION("""COMPUTED_VALUE"""),1.3461215E7)</f>
        <v>13461215</v>
      </c>
      <c r="K868" s="3" t="str">
        <f>IFERROR(__xludf.DUMMYFUNCTION("""COMPUTED_VALUE"""),"นายธีรภัทร สังข์เงิน")</f>
        <v>นายธีรภัทร สังข์เงิน</v>
      </c>
      <c r="L868" s="1" t="str">
        <f>IFERROR(__xludf.DUMMYFUNCTION("""COMPUTED_VALUE"""),"06 K.Teerapat")</f>
        <v>06 K.Teerapat</v>
      </c>
      <c r="M868" s="1" t="str">
        <f>IFERROR(__xludf.DUMMYFUNCTION("""COMPUTED_VALUE"""),"063-601-6803")</f>
        <v>063-601-6803</v>
      </c>
      <c r="N868" s="3">
        <f>IFERROR(__xludf.DUMMYFUNCTION("""COMPUTED_VALUE"""),22115.0)</f>
        <v>22115</v>
      </c>
      <c r="O868" s="3" t="str">
        <f>IFERROR(__xludf.DUMMYFUNCTION("""COMPUTED_VALUE"""),"MBC เลี่ยงหนองมน ชลบุรี")</f>
        <v>MBC เลี่ยงหนองมน ชลบุรี</v>
      </c>
      <c r="P868" s="4">
        <f>IFERROR(__xludf.DUMMYFUNCTION("""COMPUTED_VALUE"""),43304.0)</f>
        <v>43304</v>
      </c>
      <c r="Q868" s="3" t="str">
        <f>IFERROR(__xludf.DUMMYFUNCTION("""COMPUTED_VALUE"""),"A")</f>
        <v>A</v>
      </c>
      <c r="R868" s="3" t="str">
        <f>IFERROR(__xludf.DUMMYFUNCTION("""COMPUTED_VALUE"""),"Small Format")</f>
        <v>Small Format</v>
      </c>
      <c r="S868" s="3" t="str">
        <f>IFERROR(__xludf.DUMMYFUNCTION("""COMPUTED_VALUE"""),"BCM")</f>
        <v>BCM</v>
      </c>
      <c r="T868" s="3" t="str">
        <f>IFERROR(__xludf.DUMMYFUNCTION("""COMPUTED_VALUE"""),"#N/A")</f>
        <v>#N/A</v>
      </c>
      <c r="U868" s="3" t="str">
        <f>IFERROR(__xludf.DUMMYFUNCTION("""COMPUTED_VALUE"""),"#N/A")</f>
        <v>#N/A</v>
      </c>
      <c r="V868" s="3" t="str">
        <f>IFERROR(__xludf.DUMMYFUNCTION("""COMPUTED_VALUE"""),"N")</f>
        <v>N</v>
      </c>
      <c r="W868" s="3">
        <f>IFERROR(__xludf.DUMMYFUNCTION("""COMPUTED_VALUE"""),211584.0)</f>
        <v>211584</v>
      </c>
      <c r="X868" s="3" t="str">
        <f>IFERROR(__xludf.DUMMYFUNCTION("""COMPUTED_VALUE"""),"160/14-15 หมู่2 ตำบลนาจอมเทียน อำเภอสัตหีบ จังหวัดชลบุรี 20250")</f>
        <v>160/14-15 หมู่2 ตำบลนาจอมเทียน อำเภอสัตหีบ จังหวัดชลบุรี 20250</v>
      </c>
      <c r="Y868" s="3"/>
      <c r="Z868" s="3" t="str">
        <f>IFERROR(__xludf.DUMMYFUNCTION("""COMPUTED_VALUE"""),"นาจอมเทียน")</f>
        <v>นาจอมเทียน</v>
      </c>
      <c r="AA868" s="3" t="str">
        <f>IFERROR(__xludf.DUMMYFUNCTION("""COMPUTED_VALUE"""),"สัตหีบ")</f>
        <v>สัตหีบ</v>
      </c>
      <c r="AB868" s="3" t="str">
        <f>IFERROR(__xludf.DUMMYFUNCTION("""COMPUTED_VALUE"""),"ชลบุรี")</f>
        <v>ชลบุรี</v>
      </c>
      <c r="AC868" s="3">
        <f>IFERROR(__xludf.DUMMYFUNCTION("""COMPUTED_VALUE"""),20250.0)</f>
        <v>20250</v>
      </c>
      <c r="AD868" s="3">
        <f>IFERROR(__xludf.DUMMYFUNCTION("""COMPUTED_VALUE"""),12.849194)</f>
        <v>12.849194</v>
      </c>
      <c r="AE868" s="3">
        <f>IFERROR(__xludf.DUMMYFUNCTION("""COMPUTED_VALUE"""),100.915211)</f>
        <v>100.915211</v>
      </c>
      <c r="AF868" s="3" t="str">
        <f>IFERROR(__xludf.DUMMYFUNCTION("""COMPUTED_VALUE"""),"MBC เคหะนาจอมเทียน-21637")</f>
        <v>MBC เคหะนาจอมเทียน-21637</v>
      </c>
      <c r="AG868" s="3" t="str">
        <f>IFERROR(__xludf.DUMMYFUNCTION("""COMPUTED_VALUE"""),"ตะวันออก")</f>
        <v>ตะวันออก</v>
      </c>
      <c r="AH868" s="3" t="str">
        <f>IFERROR(__xludf.DUMMYFUNCTION("""COMPUTED_VALUE"""),"#N/A")</f>
        <v>#N/A</v>
      </c>
      <c r="AI868" s="3" t="str">
        <f>IFERROR(__xludf.DUMMYFUNCTION("""COMPUTED_VALUE"""),"Out of warranty")</f>
        <v>Out of warranty</v>
      </c>
      <c r="AJ868" s="3">
        <f>IFERROR(__xludf.DUMMYFUNCTION("""COMPUTED_VALUE"""),90.0)</f>
        <v>90</v>
      </c>
      <c r="AK868" s="3" t="str">
        <f>IFERROR(__xludf.DUMMYFUNCTION("""COMPUTED_VALUE"""),"MMS08")</f>
        <v>MMS08</v>
      </c>
      <c r="AL868" s="3"/>
    </row>
    <row r="869" ht="15.75" customHeight="1">
      <c r="A869" s="1" t="str">
        <f>IFERROR(__xludf.DUMMYFUNCTION("""COMPUTED_VALUE"""),"21638")</f>
        <v>21638</v>
      </c>
      <c r="B869" s="2">
        <f>IFERROR(__xludf.DUMMYFUNCTION("""COMPUTED_VALUE"""),21638.0)</f>
        <v>21638</v>
      </c>
      <c r="C869" s="3" t="str">
        <f>IFERROR(__xludf.DUMMYFUNCTION("""COMPUTED_VALUE"""),"MBC ถนนรมย์บุรี")</f>
        <v>MBC ถนนรมย์บุรี</v>
      </c>
      <c r="D869" s="3" t="str">
        <f>IFERROR(__xludf.DUMMYFUNCTION("""COMPUTED_VALUE"""),"BCM THANON ROM BURI")</f>
        <v>BCM THANON ROM BURI</v>
      </c>
      <c r="E869" s="1" t="str">
        <f>IFERROR(__xludf.DUMMYFUNCTION("""COMPUTED_VALUE"""),"บิ๊กซี MINI")</f>
        <v>บิ๊กซี MINI</v>
      </c>
      <c r="F869" s="1" t="str">
        <f>IFERROR(__xludf.DUMMYFUNCTION("""COMPUTED_VALUE"""),"291105")</f>
        <v>291105</v>
      </c>
      <c r="G869" s="1" t="str">
        <f>IFERROR(__xludf.DUMMYFUNCTION("""COMPUTED_VALUE"""),"นายสราวุฒิ พณิชยกุล")</f>
        <v>นายสราวุฒิ พณิชยกุล</v>
      </c>
      <c r="H869" s="1" t="str">
        <f>IFERROR(__xludf.DUMMYFUNCTION("""COMPUTED_VALUE"""),"398136")</f>
        <v>398136</v>
      </c>
      <c r="I869" s="1" t="str">
        <f>IFERROR(__xludf.DUMMYFUNCTION("""COMPUTED_VALUE"""),"นายประยูร ธาดาวงษา")</f>
        <v>นายประยูร ธาดาวงษา</v>
      </c>
      <c r="J869" s="3">
        <f>IFERROR(__xludf.DUMMYFUNCTION("""COMPUTED_VALUE"""),15361.0)</f>
        <v>15361</v>
      </c>
      <c r="K869" s="3" t="str">
        <f>IFERROR(__xludf.DUMMYFUNCTION("""COMPUTED_VALUE"""),"นายสมบูรณ์ พรหมในเมือง")</f>
        <v>นายสมบูรณ์ พรหมในเมือง</v>
      </c>
      <c r="L869" s="1" t="str">
        <f>IFERROR(__xludf.DUMMYFUNCTION("""COMPUTED_VALUE"""),"04 K.Somboon P.")</f>
        <v>04 K.Somboon P.</v>
      </c>
      <c r="M869" s="1" t="str">
        <f>IFERROR(__xludf.DUMMYFUNCTION("""COMPUTED_VALUE"""),"087-965-3051")</f>
        <v>087-965-3051</v>
      </c>
      <c r="N869" s="3">
        <f>IFERROR(__xludf.DUMMYFUNCTION("""COMPUTED_VALUE"""),21869.0)</f>
        <v>21869</v>
      </c>
      <c r="O869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869" s="4">
        <f>IFERROR(__xludf.DUMMYFUNCTION("""COMPUTED_VALUE"""),43305.0)</f>
        <v>43305</v>
      </c>
      <c r="Q869" s="3" t="str">
        <f>IFERROR(__xludf.DUMMYFUNCTION("""COMPUTED_VALUE"""),"A")</f>
        <v>A</v>
      </c>
      <c r="R869" s="3" t="str">
        <f>IFERROR(__xludf.DUMMYFUNCTION("""COMPUTED_VALUE"""),"Small Format")</f>
        <v>Small Format</v>
      </c>
      <c r="S869" s="3" t="str">
        <f>IFERROR(__xludf.DUMMYFUNCTION("""COMPUTED_VALUE"""),"BCM")</f>
        <v>BCM</v>
      </c>
      <c r="T869" s="3" t="str">
        <f>IFERROR(__xludf.DUMMYFUNCTION("""COMPUTED_VALUE"""),"#N/A")</f>
        <v>#N/A</v>
      </c>
      <c r="U869" s="3" t="str">
        <f>IFERROR(__xludf.DUMMYFUNCTION("""COMPUTED_VALUE"""),"#N/A")</f>
        <v>#N/A</v>
      </c>
      <c r="V869" s="3" t="str">
        <f>IFERROR(__xludf.DUMMYFUNCTION("""COMPUTED_VALUE"""),"N")</f>
        <v>N</v>
      </c>
      <c r="W869" s="3">
        <f>IFERROR(__xludf.DUMMYFUNCTION("""COMPUTED_VALUE"""),211590.0)</f>
        <v>211590</v>
      </c>
      <c r="X869" s="3" t="str">
        <f>IFERROR(__xludf.DUMMYFUNCTION("""COMPUTED_VALUE"""),"27/12-13-14 ถนนรมย์บุรี ตำบลในเมือง อำเภอเมืองบุรีรัมย์ จังหวัดบุรีรัมย์ 31000")</f>
        <v>27/12-13-14 ถนนรมย์บุรี ตำบลในเมือง อำเภอเมืองบุรีรัมย์ จังหวัดบุรีรัมย์ 31000</v>
      </c>
      <c r="Y869" s="3" t="str">
        <f>IFERROR(__xludf.DUMMYFUNCTION("""COMPUTED_VALUE"""),"ถนนรมย์บุรี")</f>
        <v>ถนนรมย์บุรี</v>
      </c>
      <c r="Z869" s="3" t="str">
        <f>IFERROR(__xludf.DUMMYFUNCTION("""COMPUTED_VALUE"""),"ในเมือง")</f>
        <v>ในเมือง</v>
      </c>
      <c r="AA869" s="3" t="str">
        <f>IFERROR(__xludf.DUMMYFUNCTION("""COMPUTED_VALUE"""),"เมือง")</f>
        <v>เมือง</v>
      </c>
      <c r="AB869" s="3" t="str">
        <f>IFERROR(__xludf.DUMMYFUNCTION("""COMPUTED_VALUE"""),"บุรีรัมย์")</f>
        <v>บุรีรัมย์</v>
      </c>
      <c r="AC869" s="3">
        <f>IFERROR(__xludf.DUMMYFUNCTION("""COMPUTED_VALUE"""),31000.0)</f>
        <v>31000</v>
      </c>
      <c r="AD869" s="3">
        <f>IFERROR(__xludf.DUMMYFUNCTION("""COMPUTED_VALUE"""),14.999794)</f>
        <v>14.999794</v>
      </c>
      <c r="AE869" s="3">
        <f>IFERROR(__xludf.DUMMYFUNCTION("""COMPUTED_VALUE"""),103.107385)</f>
        <v>103.107385</v>
      </c>
      <c r="AF869" s="3" t="str">
        <f>IFERROR(__xludf.DUMMYFUNCTION("""COMPUTED_VALUE"""),"MBC ถนนรมย์บุรี-21638")</f>
        <v>MBC ถนนรมย์บุรี-21638</v>
      </c>
      <c r="AG869" s="3" t="str">
        <f>IFERROR(__xludf.DUMMYFUNCTION("""COMPUTED_VALUE"""),"ตะวันออกเฉียงเหนือ")</f>
        <v>ตะวันออกเฉียงเหนือ</v>
      </c>
      <c r="AH869" s="3" t="str">
        <f>IFERROR(__xludf.DUMMYFUNCTION("""COMPUTED_VALUE"""),"#N/A")</f>
        <v>#N/A</v>
      </c>
      <c r="AI869" s="3" t="str">
        <f>IFERROR(__xludf.DUMMYFUNCTION("""COMPUTED_VALUE"""),"Out of warranty")</f>
        <v>Out of warranty</v>
      </c>
      <c r="AJ869" s="3">
        <f>IFERROR(__xludf.DUMMYFUNCTION("""COMPUTED_VALUE"""),90.0)</f>
        <v>90</v>
      </c>
      <c r="AK869" s="3" t="str">
        <f>IFERROR(__xludf.DUMMYFUNCTION("""COMPUTED_VALUE"""),"MMS11")</f>
        <v>MMS11</v>
      </c>
      <c r="AL869" s="3"/>
    </row>
    <row r="870" ht="15.75" customHeight="1">
      <c r="A870" s="1" t="str">
        <f>IFERROR(__xludf.DUMMYFUNCTION("""COMPUTED_VALUE"""),"21639")</f>
        <v>21639</v>
      </c>
      <c r="B870" s="2">
        <f>IFERROR(__xludf.DUMMYFUNCTION("""COMPUTED_VALUE"""),21639.0)</f>
        <v>21639</v>
      </c>
      <c r="C870" s="3" t="str">
        <f>IFERROR(__xludf.DUMMYFUNCTION("""COMPUTED_VALUE"""),"MBC สุขสวัสดิ์ 78")</f>
        <v>MBC สุขสวัสดิ์ 78</v>
      </c>
      <c r="D870" s="3" t="str">
        <f>IFERROR(__xludf.DUMMYFUNCTION("""COMPUTED_VALUE"""),"BCM SUKSAWAT 78")</f>
        <v>BCM SUKSAWAT 78</v>
      </c>
      <c r="E870" s="1" t="str">
        <f>IFERROR(__xludf.DUMMYFUNCTION("""COMPUTED_VALUE"""),"บิ๊กซี MINI")</f>
        <v>บิ๊กซี MINI</v>
      </c>
      <c r="F870" s="1" t="str">
        <f>IFERROR(__xludf.DUMMYFUNCTION("""COMPUTED_VALUE"""),"2083447")</f>
        <v>2083447</v>
      </c>
      <c r="G870" s="1" t="str">
        <f>IFERROR(__xludf.DUMMYFUNCTION("""COMPUTED_VALUE"""),"นายอนุกูล ศรีลัดดา")</f>
        <v>นายอนุกูล ศรีลัดดา</v>
      </c>
      <c r="H870" s="1" t="str">
        <f>IFERROR(__xludf.DUMMYFUNCTION("""COMPUTED_VALUE"""),"379037")</f>
        <v>379037</v>
      </c>
      <c r="I870" s="1" t="str">
        <f>IFERROR(__xludf.DUMMYFUNCTION("""COMPUTED_VALUE"""),"นางแก้วใจ แก้วกาญจน์")</f>
        <v>นางแก้วใจ แก้วกาญจน์</v>
      </c>
      <c r="J870" s="3">
        <f>IFERROR(__xludf.DUMMYFUNCTION("""COMPUTED_VALUE"""),2451655.0)</f>
        <v>2451655</v>
      </c>
      <c r="K870" s="3" t="str">
        <f>IFERROR(__xludf.DUMMYFUNCTION("""COMPUTED_VALUE"""),"นายวิษณุพงษ์ ชินบุตร")</f>
        <v>นายวิษณุพงษ์ ชินบุตร</v>
      </c>
      <c r="L870" s="1" t="str">
        <f>IFERROR(__xludf.DUMMYFUNCTION("""COMPUTED_VALUE"""),"13 K.Wisanupong Ch")</f>
        <v>13 K.Wisanupong Ch</v>
      </c>
      <c r="M870" s="1" t="str">
        <f>IFERROR(__xludf.DUMMYFUNCTION("""COMPUTED_VALUE"""),"0843374693")</f>
        <v>0843374693</v>
      </c>
      <c r="N870" s="3">
        <f>IFERROR(__xludf.DUMMYFUNCTION("""COMPUTED_VALUE"""),22729.0)</f>
        <v>22729</v>
      </c>
      <c r="O870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870" s="4">
        <f>IFERROR(__xludf.DUMMYFUNCTION("""COMPUTED_VALUE"""),43308.0)</f>
        <v>43308</v>
      </c>
      <c r="Q870" s="3" t="str">
        <f>IFERROR(__xludf.DUMMYFUNCTION("""COMPUTED_VALUE"""),"A")</f>
        <v>A</v>
      </c>
      <c r="R870" s="3" t="str">
        <f>IFERROR(__xludf.DUMMYFUNCTION("""COMPUTED_VALUE"""),"Small Format")</f>
        <v>Small Format</v>
      </c>
      <c r="S870" s="3" t="str">
        <f>IFERROR(__xludf.DUMMYFUNCTION("""COMPUTED_VALUE"""),"BCM")</f>
        <v>BCM</v>
      </c>
      <c r="T870" s="3" t="str">
        <f>IFERROR(__xludf.DUMMYFUNCTION("""COMPUTED_VALUE"""),"#N/A")</f>
        <v>#N/A</v>
      </c>
      <c r="U870" s="3" t="str">
        <f>IFERROR(__xludf.DUMMYFUNCTION("""COMPUTED_VALUE"""),"#N/A")</f>
        <v>#N/A</v>
      </c>
      <c r="V870" s="3" t="str">
        <f>IFERROR(__xludf.DUMMYFUNCTION("""COMPUTED_VALUE"""),"N")</f>
        <v>N</v>
      </c>
      <c r="W870" s="3">
        <f>IFERROR(__xludf.DUMMYFUNCTION("""COMPUTED_VALUE"""),211660.0)</f>
        <v>211660</v>
      </c>
      <c r="X870" s="3" t="str">
        <f>IFERROR(__xludf.DUMMYFUNCTION("""COMPUTED_VALUE"""),"99/4 หมู่6 ตำบลบางจาก อำเภอพระประแดง จังหวัดสมุทรปราการ 10130")</f>
        <v>99/4 หมู่6 ตำบลบางจาก อำเภอพระประแดง จังหวัดสมุทรปราการ 10130</v>
      </c>
      <c r="Y870" s="3"/>
      <c r="Z870" s="3" t="str">
        <f>IFERROR(__xludf.DUMMYFUNCTION("""COMPUTED_VALUE"""),"บางจาก")</f>
        <v>บางจาก</v>
      </c>
      <c r="AA870" s="3" t="str">
        <f>IFERROR(__xludf.DUMMYFUNCTION("""COMPUTED_VALUE"""),"พระประแดง")</f>
        <v>พระประแดง</v>
      </c>
      <c r="AB870" s="3" t="str">
        <f>IFERROR(__xludf.DUMMYFUNCTION("""COMPUTED_VALUE"""),"สมุทรปราการ")</f>
        <v>สมุทรปราการ</v>
      </c>
      <c r="AC870" s="3">
        <f>IFERROR(__xludf.DUMMYFUNCTION("""COMPUTED_VALUE"""),10130.0)</f>
        <v>10130</v>
      </c>
      <c r="AD870" s="3">
        <f>IFERROR(__xludf.DUMMYFUNCTION("""COMPUTED_VALUE"""),13.606113)</f>
        <v>13.606113</v>
      </c>
      <c r="AE870" s="3">
        <f>IFERROR(__xludf.DUMMYFUNCTION("""COMPUTED_VALUE"""),100.531926)</f>
        <v>100.531926</v>
      </c>
      <c r="AF870" s="3" t="str">
        <f>IFERROR(__xludf.DUMMYFUNCTION("""COMPUTED_VALUE"""),"MBC สุขสวัสดิ์ 78-21639")</f>
        <v>MBC สุขสวัสดิ์ 78-21639</v>
      </c>
      <c r="AG870" s="3" t="str">
        <f>IFERROR(__xludf.DUMMYFUNCTION("""COMPUTED_VALUE"""),"กลาง")</f>
        <v>กลาง</v>
      </c>
      <c r="AH870" s="3" t="str">
        <f>IFERROR(__xludf.DUMMYFUNCTION("""COMPUTED_VALUE"""),"#N/A")</f>
        <v>#N/A</v>
      </c>
      <c r="AI870" s="3" t="str">
        <f>IFERROR(__xludf.DUMMYFUNCTION("""COMPUTED_VALUE"""),"Out of warranty")</f>
        <v>Out of warranty</v>
      </c>
      <c r="AJ870" s="3">
        <f>IFERROR(__xludf.DUMMYFUNCTION("""COMPUTED_VALUE"""),90.0)</f>
        <v>90</v>
      </c>
      <c r="AK870" s="3" t="str">
        <f>IFERROR(__xludf.DUMMYFUNCTION("""COMPUTED_VALUE"""),"MMS02")</f>
        <v>MMS02</v>
      </c>
      <c r="AL870" s="3"/>
    </row>
    <row r="871" ht="15.75" customHeight="1">
      <c r="A871" s="1" t="str">
        <f>IFERROR(__xludf.DUMMYFUNCTION("""COMPUTED_VALUE"""),"21640")</f>
        <v>21640</v>
      </c>
      <c r="B871" s="2">
        <f>IFERROR(__xludf.DUMMYFUNCTION("""COMPUTED_VALUE"""),21640.0)</f>
        <v>21640</v>
      </c>
      <c r="C871" s="3" t="str">
        <f>IFERROR(__xludf.DUMMYFUNCTION("""COMPUTED_VALUE"""),"MBC ชุมชนนาควิชัย")</f>
        <v>MBC ชุมชนนาควิชัย</v>
      </c>
      <c r="D871" s="3" t="str">
        <f>IFERROR(__xludf.DUMMYFUNCTION("""COMPUTED_VALUE"""),"BCM CHUMCHON NARK WICHAI")</f>
        <v>BCM CHUMCHON NARK WICHAI</v>
      </c>
      <c r="E871" s="1" t="str">
        <f>IFERROR(__xludf.DUMMYFUNCTION("""COMPUTED_VALUE"""),"บิ๊กซี MINI")</f>
        <v>บิ๊กซี MINI</v>
      </c>
      <c r="F871" s="1" t="str">
        <f>IFERROR(__xludf.DUMMYFUNCTION("""COMPUTED_VALUE"""),"291105")</f>
        <v>291105</v>
      </c>
      <c r="G871" s="1" t="str">
        <f>IFERROR(__xludf.DUMMYFUNCTION("""COMPUTED_VALUE"""),"นายสราวุฒิ พณิชยกุล")</f>
        <v>นายสราวุฒิ พณิชยกุล</v>
      </c>
      <c r="H871" s="1" t="str">
        <f>IFERROR(__xludf.DUMMYFUNCTION("""COMPUTED_VALUE"""),"392433")</f>
        <v>392433</v>
      </c>
      <c r="I871" s="1" t="str">
        <f>IFERROR(__xludf.DUMMYFUNCTION("""COMPUTED_VALUE"""),"นายพรธิวา ใจอ่อน")</f>
        <v>นายพรธิวา ใจอ่อน</v>
      </c>
      <c r="J871" s="3">
        <f>IFERROR(__xludf.DUMMYFUNCTION("""COMPUTED_VALUE"""),2454781.0)</f>
        <v>2454781</v>
      </c>
      <c r="K871" s="3" t="str">
        <f>IFERROR(__xludf.DUMMYFUNCTION("""COMPUTED_VALUE"""),"นายฌานกฤช นันทะโคต")</f>
        <v>นายฌานกฤช นันทะโคต</v>
      </c>
      <c r="L871" s="1" t="str">
        <f>IFERROR(__xludf.DUMMYFUNCTION("""COMPUTED_VALUE"""),"05 K.Chanakrit N.")</f>
        <v>05 K.Chanakrit N.</v>
      </c>
      <c r="M871" s="1" t="str">
        <f>IFERROR(__xludf.DUMMYFUNCTION("""COMPUTED_VALUE"""),"090-978-9785 ,065-929-1320")</f>
        <v>090-978-9785 ,065-929-1320</v>
      </c>
      <c r="N871" s="3">
        <f>IFERROR(__xludf.DUMMYFUNCTION("""COMPUTED_VALUE"""),22195.0)</f>
        <v>22195</v>
      </c>
      <c r="O871" s="3" t="str">
        <f>IFERROR(__xludf.DUMMYFUNCTION("""COMPUTED_VALUE"""),"MBC กันทรลักษ์ ศรีสะเกษ")</f>
        <v>MBC กันทรลักษ์ ศรีสะเกษ</v>
      </c>
      <c r="P871" s="4">
        <f>IFERROR(__xludf.DUMMYFUNCTION("""COMPUTED_VALUE"""),43310.0)</f>
        <v>43310</v>
      </c>
      <c r="Q871" s="3" t="str">
        <f>IFERROR(__xludf.DUMMYFUNCTION("""COMPUTED_VALUE"""),"A")</f>
        <v>A</v>
      </c>
      <c r="R871" s="3" t="str">
        <f>IFERROR(__xludf.DUMMYFUNCTION("""COMPUTED_VALUE"""),"Small Format")</f>
        <v>Small Format</v>
      </c>
      <c r="S871" s="3" t="str">
        <f>IFERROR(__xludf.DUMMYFUNCTION("""COMPUTED_VALUE"""),"BCM")</f>
        <v>BCM</v>
      </c>
      <c r="T871" s="3" t="str">
        <f>IFERROR(__xludf.DUMMYFUNCTION("""COMPUTED_VALUE"""),"#N/A")</f>
        <v>#N/A</v>
      </c>
      <c r="U871" s="3" t="str">
        <f>IFERROR(__xludf.DUMMYFUNCTION("""COMPUTED_VALUE"""),"#N/A")</f>
        <v>#N/A</v>
      </c>
      <c r="V871" s="3" t="str">
        <f>IFERROR(__xludf.DUMMYFUNCTION("""COMPUTED_VALUE"""),"N")</f>
        <v>N</v>
      </c>
      <c r="W871" s="3">
        <f>IFERROR(__xludf.DUMMYFUNCTION("""COMPUTED_VALUE"""),211615.0)</f>
        <v>211615</v>
      </c>
      <c r="X871" s="3" t="str">
        <f>IFERROR(__xludf.DUMMYFUNCTION("""COMPUTED_VALUE"""),"606 ถนนนครสวรรค์ ตำบลตลาด อำเภอเมืองมหาสารคาม จังหวัดมหาสารคาม 44000")</f>
        <v>606 ถนนนครสวรรค์ ตำบลตลาด อำเภอเมืองมหาสารคาม จังหวัดมหาสารคาม 44000</v>
      </c>
      <c r="Y871" s="3" t="str">
        <f>IFERROR(__xludf.DUMMYFUNCTION("""COMPUTED_VALUE"""),"ถนนนครสวรรค์")</f>
        <v>ถนนนครสวรรค์</v>
      </c>
      <c r="Z871" s="3" t="str">
        <f>IFERROR(__xludf.DUMMYFUNCTION("""COMPUTED_VALUE"""),"ตลาด")</f>
        <v>ตลาด</v>
      </c>
      <c r="AA871" s="3" t="str">
        <f>IFERROR(__xludf.DUMMYFUNCTION("""COMPUTED_VALUE"""),"เมือง")</f>
        <v>เมือง</v>
      </c>
      <c r="AB871" s="3" t="str">
        <f>IFERROR(__xludf.DUMMYFUNCTION("""COMPUTED_VALUE"""),"มหาสารคาม")</f>
        <v>มหาสารคาม</v>
      </c>
      <c r="AC871" s="3">
        <f>IFERROR(__xludf.DUMMYFUNCTION("""COMPUTED_VALUE"""),44000.0)</f>
        <v>44000</v>
      </c>
      <c r="AD871" s="3">
        <f>IFERROR(__xludf.DUMMYFUNCTION("""COMPUTED_VALUE"""),16.1822974)</f>
        <v>16.1822974</v>
      </c>
      <c r="AE871" s="3">
        <f>IFERROR(__xludf.DUMMYFUNCTION("""COMPUTED_VALUE"""),103.3079581)</f>
        <v>103.3079581</v>
      </c>
      <c r="AF871" s="3" t="str">
        <f>IFERROR(__xludf.DUMMYFUNCTION("""COMPUTED_VALUE"""),"MBC ชุมชนนาควิชัย-21640")</f>
        <v>MBC ชุมชนนาควิชัย-21640</v>
      </c>
      <c r="AG871" s="3" t="str">
        <f>IFERROR(__xludf.DUMMYFUNCTION("""COMPUTED_VALUE"""),"ตะวันออกเฉียงเหนือ")</f>
        <v>ตะวันออกเฉียงเหนือ</v>
      </c>
      <c r="AH871" s="3" t="str">
        <f>IFERROR(__xludf.DUMMYFUNCTION("""COMPUTED_VALUE"""),"#N/A")</f>
        <v>#N/A</v>
      </c>
      <c r="AI871" s="3" t="str">
        <f>IFERROR(__xludf.DUMMYFUNCTION("""COMPUTED_VALUE"""),"Out of warranty")</f>
        <v>Out of warranty</v>
      </c>
      <c r="AJ871" s="3">
        <f>IFERROR(__xludf.DUMMYFUNCTION("""COMPUTED_VALUE"""),90.0)</f>
        <v>90</v>
      </c>
      <c r="AK871" s="3" t="str">
        <f>IFERROR(__xludf.DUMMYFUNCTION("""COMPUTED_VALUE"""),"MMS13")</f>
        <v>MMS13</v>
      </c>
      <c r="AL871" s="3"/>
    </row>
    <row r="872" ht="15.75" customHeight="1">
      <c r="A872" s="1" t="str">
        <f>IFERROR(__xludf.DUMMYFUNCTION("""COMPUTED_VALUE"""),"21641")</f>
        <v>21641</v>
      </c>
      <c r="B872" s="2">
        <f>IFERROR(__xludf.DUMMYFUNCTION("""COMPUTED_VALUE"""),21641.0)</f>
        <v>21641</v>
      </c>
      <c r="C872" s="3" t="str">
        <f>IFERROR(__xludf.DUMMYFUNCTION("""COMPUTED_VALUE"""),"MBC บ้านร็อคการ์เด้น")</f>
        <v>MBC บ้านร็อคการ์เด้น</v>
      </c>
      <c r="D872" s="3" t="str">
        <f>IFERROR(__xludf.DUMMYFUNCTION("""COMPUTED_VALUE"""),"BCM BAAN ROCKGARDEN")</f>
        <v>BCM BAAN ROCKGARDEN</v>
      </c>
      <c r="E872" s="1" t="str">
        <f>IFERROR(__xludf.DUMMYFUNCTION("""COMPUTED_VALUE"""),"บิ๊กซี MINI")</f>
        <v>บิ๊กซี MINI</v>
      </c>
      <c r="F872" s="1" t="str">
        <f>IFERROR(__xludf.DUMMYFUNCTION("""COMPUTED_VALUE"""),"250760")</f>
        <v>250760</v>
      </c>
      <c r="G872" s="1" t="str">
        <f>IFERROR(__xludf.DUMMYFUNCTION("""COMPUTED_VALUE"""),"นายประทวน สาราบรรณ์")</f>
        <v>นายประทวน สาราบรรณ์</v>
      </c>
      <c r="H872" s="1" t="str">
        <f>IFERROR(__xludf.DUMMYFUNCTION("""COMPUTED_VALUE"""),"357284")</f>
        <v>357284</v>
      </c>
      <c r="I872" s="1" t="str">
        <f>IFERROR(__xludf.DUMMYFUNCTION("""COMPUTED_VALUE"""),"น.ส.เบญจวรรณ ปัณฑโมรา")</f>
        <v>น.ส.เบญจวรรณ ปัณฑโมรา</v>
      </c>
      <c r="J872" s="3">
        <f>IFERROR(__xludf.DUMMYFUNCTION("""COMPUTED_VALUE"""),25324.0)</f>
        <v>25324</v>
      </c>
      <c r="K872" s="3" t="str">
        <f>IFERROR(__xludf.DUMMYFUNCTION("""COMPUTED_VALUE"""),"นายวิเชฎฐ์ ติรัตนะประคม")</f>
        <v>นายวิเชฎฐ์ ติรัตนะประคม</v>
      </c>
      <c r="L872" s="1" t="str">
        <f>IFERROR(__xludf.DUMMYFUNCTION("""COMPUTED_VALUE"""),"14 K.Wichet T.")</f>
        <v>14 K.Wichet T.</v>
      </c>
      <c r="M872" s="1" t="str">
        <f>IFERROR(__xludf.DUMMYFUNCTION("""COMPUTED_VALUE"""),"061-417-6569 / 086-445-5636")</f>
        <v>061-417-6569 / 086-445-5636</v>
      </c>
      <c r="N872" s="3">
        <f>IFERROR(__xludf.DUMMYFUNCTION("""COMPUTED_VALUE"""),22658.0)</f>
        <v>22658</v>
      </c>
      <c r="O872" s="3" t="str">
        <f>IFERROR(__xludf.DUMMYFUNCTION("""COMPUTED_VALUE"""),"BCM ถ.วิรัชหงษ์หยก ภูเก็ต")</f>
        <v>BCM ถ.วิรัชหงษ์หยก ภูเก็ต</v>
      </c>
      <c r="P872" s="4">
        <f>IFERROR(__xludf.DUMMYFUNCTION("""COMPUTED_VALUE"""),43312.0)</f>
        <v>43312</v>
      </c>
      <c r="Q872" s="3" t="str">
        <f>IFERROR(__xludf.DUMMYFUNCTION("""COMPUTED_VALUE"""),"A")</f>
        <v>A</v>
      </c>
      <c r="R872" s="3" t="str">
        <f>IFERROR(__xludf.DUMMYFUNCTION("""COMPUTED_VALUE"""),"Small Format")</f>
        <v>Small Format</v>
      </c>
      <c r="S872" s="3" t="str">
        <f>IFERROR(__xludf.DUMMYFUNCTION("""COMPUTED_VALUE"""),"BCM")</f>
        <v>BCM</v>
      </c>
      <c r="T872" s="3" t="str">
        <f>IFERROR(__xludf.DUMMYFUNCTION("""COMPUTED_VALUE"""),"#N/A")</f>
        <v>#N/A</v>
      </c>
      <c r="U872" s="3" t="str">
        <f>IFERROR(__xludf.DUMMYFUNCTION("""COMPUTED_VALUE"""),"#N/A")</f>
        <v>#N/A</v>
      </c>
      <c r="V872" s="3" t="str">
        <f>IFERROR(__xludf.DUMMYFUNCTION("""COMPUTED_VALUE"""),"N")</f>
        <v>N</v>
      </c>
      <c r="W872" s="3">
        <f>IFERROR(__xludf.DUMMYFUNCTION("""COMPUTED_VALUE"""),211606.0)</f>
        <v>211606</v>
      </c>
      <c r="X872" s="3" t="str">
        <f>IFERROR(__xludf.DUMMYFUNCTION("""COMPUTED_VALUE"""),"125/204 หมู่5 ตำบลรัษฎา อำเภอเมืองภูเก็ต จังหวัดภูเก็ต 83000")</f>
        <v>125/204 หมู่5 ตำบลรัษฎา อำเภอเมืองภูเก็ต จังหวัดภูเก็ต 83000</v>
      </c>
      <c r="Y872" s="3"/>
      <c r="Z872" s="3" t="str">
        <f>IFERROR(__xludf.DUMMYFUNCTION("""COMPUTED_VALUE"""),"รัษฎา")</f>
        <v>รัษฎา</v>
      </c>
      <c r="AA872" s="3" t="str">
        <f>IFERROR(__xludf.DUMMYFUNCTION("""COMPUTED_VALUE"""),"เมือง")</f>
        <v>เมือง</v>
      </c>
      <c r="AB872" s="3" t="str">
        <f>IFERROR(__xludf.DUMMYFUNCTION("""COMPUTED_VALUE"""),"ภูเก็ต")</f>
        <v>ภูเก็ต</v>
      </c>
      <c r="AC872" s="3">
        <f>IFERROR(__xludf.DUMMYFUNCTION("""COMPUTED_VALUE"""),83000.0)</f>
        <v>83000</v>
      </c>
      <c r="AD872" s="3">
        <f>IFERROR(__xludf.DUMMYFUNCTION("""COMPUTED_VALUE"""),7.934611)</f>
        <v>7.934611</v>
      </c>
      <c r="AE872" s="3">
        <f>IFERROR(__xludf.DUMMYFUNCTION("""COMPUTED_VALUE"""),98.381614)</f>
        <v>98.381614</v>
      </c>
      <c r="AF872" s="3" t="str">
        <f>IFERROR(__xludf.DUMMYFUNCTION("""COMPUTED_VALUE"""),"MBC บ้านร็อคการ์เด้น-21641")</f>
        <v>MBC บ้านร็อคการ์เด้น-21641</v>
      </c>
      <c r="AG872" s="3" t="str">
        <f>IFERROR(__xludf.DUMMYFUNCTION("""COMPUTED_VALUE"""),"ใต้")</f>
        <v>ใต้</v>
      </c>
      <c r="AH872" s="3" t="str">
        <f>IFERROR(__xludf.DUMMYFUNCTION("""COMPUTED_VALUE"""),"#N/A")</f>
        <v>#N/A</v>
      </c>
      <c r="AI872" s="3" t="str">
        <f>IFERROR(__xludf.DUMMYFUNCTION("""COMPUTED_VALUE"""),"Out of warranty")</f>
        <v>Out of warranty</v>
      </c>
      <c r="AJ872" s="3">
        <f>IFERROR(__xludf.DUMMYFUNCTION("""COMPUTED_VALUE"""),90.0)</f>
        <v>90</v>
      </c>
      <c r="AK872" s="3" t="str">
        <f>IFERROR(__xludf.DUMMYFUNCTION("""COMPUTED_VALUE"""),"MMS15")</f>
        <v>MMS15</v>
      </c>
      <c r="AL872" s="3"/>
    </row>
    <row r="873" ht="15.75" customHeight="1">
      <c r="A873" s="1" t="str">
        <f>IFERROR(__xludf.DUMMYFUNCTION("""COMPUTED_VALUE"""),"21642")</f>
        <v>21642</v>
      </c>
      <c r="B873" s="2">
        <f>IFERROR(__xludf.DUMMYFUNCTION("""COMPUTED_VALUE"""),21642.0)</f>
        <v>21642</v>
      </c>
      <c r="C873" s="3" t="str">
        <f>IFERROR(__xludf.DUMMYFUNCTION("""COMPUTED_VALUE"""),"MBC สุขสวัสดิ์ 84 ซอย คู่สร้าง")</f>
        <v>MBC สุขสวัสดิ์ 84 ซอย คู่สร้าง</v>
      </c>
      <c r="D873" s="3" t="str">
        <f>IFERROR(__xludf.DUMMYFUNCTION("""COMPUTED_VALUE"""),"BCM SUKSAWAT 84 SOI KHU SANG")</f>
        <v>BCM SUKSAWAT 84 SOI KHU SANG</v>
      </c>
      <c r="E873" s="1" t="str">
        <f>IFERROR(__xludf.DUMMYFUNCTION("""COMPUTED_VALUE"""),"บิ๊กซี MINI")</f>
        <v>บิ๊กซี MINI</v>
      </c>
      <c r="F873" s="1" t="str">
        <f>IFERROR(__xludf.DUMMYFUNCTION("""COMPUTED_VALUE"""),"2083447")</f>
        <v>2083447</v>
      </c>
      <c r="G873" s="1" t="str">
        <f>IFERROR(__xludf.DUMMYFUNCTION("""COMPUTED_VALUE"""),"นายอนุกูล ศรีลัดดา")</f>
        <v>นายอนุกูล ศรีลัดดา</v>
      </c>
      <c r="H873" s="1" t="str">
        <f>IFERROR(__xludf.DUMMYFUNCTION("""COMPUTED_VALUE"""),"379037")</f>
        <v>379037</v>
      </c>
      <c r="I873" s="1" t="str">
        <f>IFERROR(__xludf.DUMMYFUNCTION("""COMPUTED_VALUE"""),"นางแก้วใจ แก้วกาญจน์")</f>
        <v>นางแก้วใจ แก้วกาญจน์</v>
      </c>
      <c r="J873" s="3">
        <f>IFERROR(__xludf.DUMMYFUNCTION("""COMPUTED_VALUE"""),2451655.0)</f>
        <v>2451655</v>
      </c>
      <c r="K873" s="3" t="str">
        <f>IFERROR(__xludf.DUMMYFUNCTION("""COMPUTED_VALUE"""),"นายวิษณุพงษ์ ชินบุตร")</f>
        <v>นายวิษณุพงษ์ ชินบุตร</v>
      </c>
      <c r="L873" s="1" t="str">
        <f>IFERROR(__xludf.DUMMYFUNCTION("""COMPUTED_VALUE"""),"13 K.Wisanupong Ch")</f>
        <v>13 K.Wisanupong Ch</v>
      </c>
      <c r="M873" s="1" t="str">
        <f>IFERROR(__xludf.DUMMYFUNCTION("""COMPUTED_VALUE"""),"0843374693")</f>
        <v>0843374693</v>
      </c>
      <c r="N873" s="3">
        <f>IFERROR(__xludf.DUMMYFUNCTION("""COMPUTED_VALUE"""),22729.0)</f>
        <v>22729</v>
      </c>
      <c r="O873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873" s="4">
        <f>IFERROR(__xludf.DUMMYFUNCTION("""COMPUTED_VALUE"""),43311.0)</f>
        <v>43311</v>
      </c>
      <c r="Q873" s="3" t="str">
        <f>IFERROR(__xludf.DUMMYFUNCTION("""COMPUTED_VALUE"""),"A")</f>
        <v>A</v>
      </c>
      <c r="R873" s="3" t="str">
        <f>IFERROR(__xludf.DUMMYFUNCTION("""COMPUTED_VALUE"""),"Small Format")</f>
        <v>Small Format</v>
      </c>
      <c r="S873" s="3" t="str">
        <f>IFERROR(__xludf.DUMMYFUNCTION("""COMPUTED_VALUE"""),"BCM")</f>
        <v>BCM</v>
      </c>
      <c r="T873" s="3" t="str">
        <f>IFERROR(__xludf.DUMMYFUNCTION("""COMPUTED_VALUE"""),"#N/A")</f>
        <v>#N/A</v>
      </c>
      <c r="U873" s="3" t="str">
        <f>IFERROR(__xludf.DUMMYFUNCTION("""COMPUTED_VALUE"""),"#N/A")</f>
        <v>#N/A</v>
      </c>
      <c r="V873" s="3" t="str">
        <f>IFERROR(__xludf.DUMMYFUNCTION("""COMPUTED_VALUE"""),"N")</f>
        <v>N</v>
      </c>
      <c r="W873" s="3">
        <f>IFERROR(__xludf.DUMMYFUNCTION("""COMPUTED_VALUE"""),211596.0)</f>
        <v>211596</v>
      </c>
      <c r="X873" s="3" t="str">
        <f>IFERROR(__xludf.DUMMYFUNCTION("""COMPUTED_VALUE"""),"286/14 หมู่1 ตำบลปากคลองบางปลากด อำเภอพระสมุทรเจดีย์ จังหวัดสมุทรปราการ 10290")</f>
        <v>286/14 หมู่1 ตำบลปากคลองบางปลากด อำเภอพระสมุทรเจดีย์ จังหวัดสมุทรปราการ 10290</v>
      </c>
      <c r="Y873" s="3"/>
      <c r="Z873" s="3" t="str">
        <f>IFERROR(__xludf.DUMMYFUNCTION("""COMPUTED_VALUE"""),"ปากคลองบางปลากด")</f>
        <v>ปากคลองบางปลากด</v>
      </c>
      <c r="AA873" s="3" t="str">
        <f>IFERROR(__xludf.DUMMYFUNCTION("""COMPUTED_VALUE"""),"พระสมุทรเจดีย์")</f>
        <v>พระสมุทรเจดีย์</v>
      </c>
      <c r="AB873" s="3" t="str">
        <f>IFERROR(__xludf.DUMMYFUNCTION("""COMPUTED_VALUE"""),"สมุทรปราการ")</f>
        <v>สมุทรปราการ</v>
      </c>
      <c r="AC873" s="3">
        <f>IFERROR(__xludf.DUMMYFUNCTION("""COMPUTED_VALUE"""),10290.0)</f>
        <v>10290</v>
      </c>
      <c r="AD873" s="3">
        <f>IFERROR(__xludf.DUMMYFUNCTION("""COMPUTED_VALUE"""),13.606291)</f>
        <v>13.606291</v>
      </c>
      <c r="AE873" s="3">
        <f>IFERROR(__xludf.DUMMYFUNCTION("""COMPUTED_VALUE"""),100.546526)</f>
        <v>100.546526</v>
      </c>
      <c r="AF873" s="3" t="str">
        <f>IFERROR(__xludf.DUMMYFUNCTION("""COMPUTED_VALUE"""),"MBC สุขสวัสดิ์ 84 ซอย คู่สร้าง-21642")</f>
        <v>MBC สุขสวัสดิ์ 84 ซอย คู่สร้าง-21642</v>
      </c>
      <c r="AG873" s="3" t="str">
        <f>IFERROR(__xludf.DUMMYFUNCTION("""COMPUTED_VALUE"""),"กลาง")</f>
        <v>กลาง</v>
      </c>
      <c r="AH873" s="3" t="str">
        <f>IFERROR(__xludf.DUMMYFUNCTION("""COMPUTED_VALUE"""),"#N/A")</f>
        <v>#N/A</v>
      </c>
      <c r="AI873" s="3" t="str">
        <f>IFERROR(__xludf.DUMMYFUNCTION("""COMPUTED_VALUE"""),"Out of warranty")</f>
        <v>Out of warranty</v>
      </c>
      <c r="AJ873" s="3">
        <f>IFERROR(__xludf.DUMMYFUNCTION("""COMPUTED_VALUE"""),90.0)</f>
        <v>90</v>
      </c>
      <c r="AK873" s="3" t="str">
        <f>IFERROR(__xludf.DUMMYFUNCTION("""COMPUTED_VALUE"""),"MMS02")</f>
        <v>MMS02</v>
      </c>
      <c r="AL873" s="3"/>
    </row>
    <row r="874" ht="15.75" customHeight="1">
      <c r="A874" s="1" t="str">
        <f>IFERROR(__xludf.DUMMYFUNCTION("""COMPUTED_VALUE"""),"21643")</f>
        <v>21643</v>
      </c>
      <c r="B874" s="2">
        <f>IFERROR(__xludf.DUMMYFUNCTION("""COMPUTED_VALUE"""),21643.0)</f>
        <v>21643</v>
      </c>
      <c r="C874" s="3" t="str">
        <f>IFERROR(__xludf.DUMMYFUNCTION("""COMPUTED_VALUE"""),"MBC ซอยชมจันทร์")</f>
        <v>MBC ซอยชมจันทร์</v>
      </c>
      <c r="D874" s="3" t="str">
        <f>IFERROR(__xludf.DUMMYFUNCTION("""COMPUTED_VALUE"""),"BCM SOI CHOM CHAN")</f>
        <v>BCM SOI CHOM CHAN</v>
      </c>
      <c r="E874" s="1" t="str">
        <f>IFERROR(__xludf.DUMMYFUNCTION("""COMPUTED_VALUE"""),"บิ๊กซี MINI")</f>
        <v>บิ๊กซี MINI</v>
      </c>
      <c r="F874" s="1" t="str">
        <f>IFERROR(__xludf.DUMMYFUNCTION("""COMPUTED_VALUE"""),"296229")</f>
        <v>296229</v>
      </c>
      <c r="G874" s="1" t="str">
        <f>IFERROR(__xludf.DUMMYFUNCTION("""COMPUTED_VALUE"""),"นายทนงศักดิ์ บุญมา")</f>
        <v>นายทนงศักดิ์ บุญมา</v>
      </c>
      <c r="H874" s="1" t="str">
        <f>IFERROR(__xludf.DUMMYFUNCTION("""COMPUTED_VALUE"""),"392003")</f>
        <v>392003</v>
      </c>
      <c r="I874" s="1" t="str">
        <f>IFERROR(__xludf.DUMMYFUNCTION("""COMPUTED_VALUE"""),"นายวรภพ เศษสูงเนิน")</f>
        <v>นายวรภพ เศษสูงเนิน</v>
      </c>
      <c r="J874" s="3">
        <f>IFERROR(__xludf.DUMMYFUNCTION("""COMPUTED_VALUE"""),2010016.0)</f>
        <v>2010016</v>
      </c>
      <c r="K874" s="3" t="str">
        <f>IFERROR(__xludf.DUMMYFUNCTION("""COMPUTED_VALUE"""),"นายตวงธรรม ใหม่ยศ")</f>
        <v>นายตวงธรรม ใหม่ยศ</v>
      </c>
      <c r="L874" s="1" t="str">
        <f>IFERROR(__xludf.DUMMYFUNCTION("""COMPUTED_VALUE"""),"01 K.Tuangtham M.")</f>
        <v>01 K.Tuangtham M.</v>
      </c>
      <c r="M874" s="1" t="str">
        <f>IFERROR(__xludf.DUMMYFUNCTION("""COMPUTED_VALUE"""),"063-976-595")</f>
        <v>063-976-595</v>
      </c>
      <c r="N874" s="3">
        <f>IFERROR(__xludf.DUMMYFUNCTION("""COMPUTED_VALUE"""),22574.0)</f>
        <v>22574</v>
      </c>
      <c r="O874" s="3" t="str">
        <f>IFERROR(__xludf.DUMMYFUNCTION("""COMPUTED_VALUE"""),"BCM ชุมชนศรีชุม ลำปาง")</f>
        <v>BCM ชุมชนศรีชุม ลำปาง</v>
      </c>
      <c r="P874" s="4">
        <f>IFERROR(__xludf.DUMMYFUNCTION("""COMPUTED_VALUE"""),43315.0)</f>
        <v>43315</v>
      </c>
      <c r="Q874" s="3" t="str">
        <f>IFERROR(__xludf.DUMMYFUNCTION("""COMPUTED_VALUE"""),"A")</f>
        <v>A</v>
      </c>
      <c r="R874" s="3" t="str">
        <f>IFERROR(__xludf.DUMMYFUNCTION("""COMPUTED_VALUE"""),"Small Format")</f>
        <v>Small Format</v>
      </c>
      <c r="S874" s="3" t="str">
        <f>IFERROR(__xludf.DUMMYFUNCTION("""COMPUTED_VALUE"""),"BCM")</f>
        <v>BCM</v>
      </c>
      <c r="T874" s="3" t="str">
        <f>IFERROR(__xludf.DUMMYFUNCTION("""COMPUTED_VALUE"""),"#N/A")</f>
        <v>#N/A</v>
      </c>
      <c r="U874" s="3" t="str">
        <f>IFERROR(__xludf.DUMMYFUNCTION("""COMPUTED_VALUE"""),"#N/A")</f>
        <v>#N/A</v>
      </c>
      <c r="V874" s="3" t="str">
        <f>IFERROR(__xludf.DUMMYFUNCTION("""COMPUTED_VALUE"""),"N")</f>
        <v>N</v>
      </c>
      <c r="W874" s="3">
        <f>IFERROR(__xludf.DUMMYFUNCTION("""COMPUTED_VALUE"""),211592.0)</f>
        <v>211592</v>
      </c>
      <c r="X874" s="3" t="str">
        <f>IFERROR(__xludf.DUMMYFUNCTION("""COMPUTED_VALUE"""),"199/17-18 หมู่1 ตำบลป่าแดด อำเภอเมืองเชียงใหม่ จังหวัดเชียงใหม่ 50100")</f>
        <v>199/17-18 หมู่1 ตำบลป่าแดด อำเภอเมืองเชียงใหม่ จังหวัดเชียงใหม่ 50100</v>
      </c>
      <c r="Y874" s="3"/>
      <c r="Z874" s="3" t="str">
        <f>IFERROR(__xludf.DUMMYFUNCTION("""COMPUTED_VALUE"""),"ป่าแดด")</f>
        <v>ป่าแดด</v>
      </c>
      <c r="AA874" s="3" t="str">
        <f>IFERROR(__xludf.DUMMYFUNCTION("""COMPUTED_VALUE"""),"เมือง")</f>
        <v>เมือง</v>
      </c>
      <c r="AB874" s="3" t="str">
        <f>IFERROR(__xludf.DUMMYFUNCTION("""COMPUTED_VALUE"""),"เชียงใหม่")</f>
        <v>เชียงใหม่</v>
      </c>
      <c r="AC874" s="3">
        <f>IFERROR(__xludf.DUMMYFUNCTION("""COMPUTED_VALUE"""),50100.0)</f>
        <v>50100</v>
      </c>
      <c r="AD874" s="3">
        <f>IFERROR(__xludf.DUMMYFUNCTION("""COMPUTED_VALUE"""),18.763397)</f>
        <v>18.763397</v>
      </c>
      <c r="AE874" s="3">
        <f>IFERROR(__xludf.DUMMYFUNCTION("""COMPUTED_VALUE"""),98.978199)</f>
        <v>98.978199</v>
      </c>
      <c r="AF874" s="3" t="str">
        <f>IFERROR(__xludf.DUMMYFUNCTION("""COMPUTED_VALUE"""),"MBC ซอยชมจันทร์-21643")</f>
        <v>MBC ซอยชมจันทร์-21643</v>
      </c>
      <c r="AG874" s="3" t="str">
        <f>IFERROR(__xludf.DUMMYFUNCTION("""COMPUTED_VALUE"""),"เหนือ")</f>
        <v>เหนือ</v>
      </c>
      <c r="AH874" s="3" t="str">
        <f>IFERROR(__xludf.DUMMYFUNCTION("""COMPUTED_VALUE"""),"#N/A")</f>
        <v>#N/A</v>
      </c>
      <c r="AI874" s="3" t="str">
        <f>IFERROR(__xludf.DUMMYFUNCTION("""COMPUTED_VALUE"""),"Out of warranty")</f>
        <v>Out of warranty</v>
      </c>
      <c r="AJ874" s="3">
        <f>IFERROR(__xludf.DUMMYFUNCTION("""COMPUTED_VALUE"""),90.0)</f>
        <v>90</v>
      </c>
      <c r="AK874" s="3" t="str">
        <f>IFERROR(__xludf.DUMMYFUNCTION("""COMPUTED_VALUE"""),"MMS10")</f>
        <v>MMS10</v>
      </c>
      <c r="AL874" s="3"/>
    </row>
    <row r="875" ht="15.75" customHeight="1">
      <c r="A875" s="1" t="str">
        <f>IFERROR(__xludf.DUMMYFUNCTION("""COMPUTED_VALUE"""),"21644")</f>
        <v>21644</v>
      </c>
      <c r="B875" s="2">
        <f>IFERROR(__xludf.DUMMYFUNCTION("""COMPUTED_VALUE"""),21644.0)</f>
        <v>21644</v>
      </c>
      <c r="C875" s="3" t="str">
        <f>IFERROR(__xludf.DUMMYFUNCTION("""COMPUTED_VALUE"""),"MBC ตลาดลอนดอน บางโทรัด")</f>
        <v>MBC ตลาดลอนดอน บางโทรัด</v>
      </c>
      <c r="D875" s="3" t="str">
        <f>IFERROR(__xludf.DUMMYFUNCTION("""COMPUTED_VALUE"""),"BCM TALAD LONDON (BANGTORAT)")</f>
        <v>BCM TALAD LONDON (BANGTORAT)</v>
      </c>
      <c r="E875" s="1" t="str">
        <f>IFERROR(__xludf.DUMMYFUNCTION("""COMPUTED_VALUE"""),"บิ๊กซี MINI")</f>
        <v>บิ๊กซี MINI</v>
      </c>
      <c r="F875" s="1" t="str">
        <f>IFERROR(__xludf.DUMMYFUNCTION("""COMPUTED_VALUE"""),"2083447")</f>
        <v>2083447</v>
      </c>
      <c r="G875" s="1" t="str">
        <f>IFERROR(__xludf.DUMMYFUNCTION("""COMPUTED_VALUE"""),"นายอนุกูล ศรีลัดดา")</f>
        <v>นายอนุกูล ศรีลัดดา</v>
      </c>
      <c r="H875" s="1" t="str">
        <f>IFERROR(__xludf.DUMMYFUNCTION("""COMPUTED_VALUE"""),"391191")</f>
        <v>391191</v>
      </c>
      <c r="I875" s="1" t="str">
        <f>IFERROR(__xludf.DUMMYFUNCTION("""COMPUTED_VALUE"""),"นายวสันต์ สรงพรมทิพย์")</f>
        <v>นายวสันต์ สรงพรมทิพย์</v>
      </c>
      <c r="J875" s="3">
        <f>IFERROR(__xludf.DUMMYFUNCTION("""COMPUTED_VALUE"""),2451655.0)</f>
        <v>2451655</v>
      </c>
      <c r="K875" s="3" t="str">
        <f>IFERROR(__xludf.DUMMYFUNCTION("""COMPUTED_VALUE"""),"นายวิษณุพงษ์ ชินบุตร")</f>
        <v>นายวิษณุพงษ์ ชินบุตร</v>
      </c>
      <c r="L875" s="1" t="str">
        <f>IFERROR(__xludf.DUMMYFUNCTION("""COMPUTED_VALUE"""),"13 K.Wisanupong Ch")</f>
        <v>13 K.Wisanupong Ch</v>
      </c>
      <c r="M875" s="1" t="str">
        <f>IFERROR(__xludf.DUMMYFUNCTION("""COMPUTED_VALUE"""),"0843374693")</f>
        <v>0843374693</v>
      </c>
      <c r="N875" s="3">
        <f>IFERROR(__xludf.DUMMYFUNCTION("""COMPUTED_VALUE"""),22729.0)</f>
        <v>22729</v>
      </c>
      <c r="O875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875" s="4">
        <f>IFERROR(__xludf.DUMMYFUNCTION("""COMPUTED_VALUE"""),43320.0)</f>
        <v>43320</v>
      </c>
      <c r="Q875" s="3" t="str">
        <f>IFERROR(__xludf.DUMMYFUNCTION("""COMPUTED_VALUE"""),"A")</f>
        <v>A</v>
      </c>
      <c r="R875" s="3" t="str">
        <f>IFERROR(__xludf.DUMMYFUNCTION("""COMPUTED_VALUE"""),"Small Format")</f>
        <v>Small Format</v>
      </c>
      <c r="S875" s="3" t="str">
        <f>IFERROR(__xludf.DUMMYFUNCTION("""COMPUTED_VALUE"""),"BCM")</f>
        <v>BCM</v>
      </c>
      <c r="T875" s="3" t="str">
        <f>IFERROR(__xludf.DUMMYFUNCTION("""COMPUTED_VALUE"""),"#N/A")</f>
        <v>#N/A</v>
      </c>
      <c r="U875" s="3" t="str">
        <f>IFERROR(__xludf.DUMMYFUNCTION("""COMPUTED_VALUE"""),"#N/A")</f>
        <v>#N/A</v>
      </c>
      <c r="V875" s="3" t="str">
        <f>IFERROR(__xludf.DUMMYFUNCTION("""COMPUTED_VALUE"""),"N")</f>
        <v>N</v>
      </c>
      <c r="W875" s="3">
        <f>IFERROR(__xludf.DUMMYFUNCTION("""COMPUTED_VALUE"""),211595.0)</f>
        <v>211595</v>
      </c>
      <c r="X875" s="3" t="str">
        <f>IFERROR(__xludf.DUMMYFUNCTION("""COMPUTED_VALUE"""),"41/18,41/20-21 หมู่3 ตำบลบางโทรัด อำเภอเมืองสมุทรสาคร จังหวัดสมุทรสาคร 74000")</f>
        <v>41/18,41/20-21 หมู่3 ตำบลบางโทรัด อำเภอเมืองสมุทรสาคร จังหวัดสมุทรสาคร 74000</v>
      </c>
      <c r="Y875" s="3"/>
      <c r="Z875" s="3" t="str">
        <f>IFERROR(__xludf.DUMMYFUNCTION("""COMPUTED_VALUE"""),"บางโทรัด")</f>
        <v>บางโทรัด</v>
      </c>
      <c r="AA875" s="3" t="str">
        <f>IFERROR(__xludf.DUMMYFUNCTION("""COMPUTED_VALUE"""),"เมือง")</f>
        <v>เมือง</v>
      </c>
      <c r="AB875" s="3" t="str">
        <f>IFERROR(__xludf.DUMMYFUNCTION("""COMPUTED_VALUE"""),"สมุทรสาคร")</f>
        <v>สมุทรสาคร</v>
      </c>
      <c r="AC875" s="3">
        <f>IFERROR(__xludf.DUMMYFUNCTION("""COMPUTED_VALUE"""),74000.0)</f>
        <v>74000</v>
      </c>
      <c r="AD875" s="3">
        <f>IFERROR(__xludf.DUMMYFUNCTION("""COMPUTED_VALUE"""),13.513769)</f>
        <v>13.513769</v>
      </c>
      <c r="AE875" s="3">
        <f>IFERROR(__xludf.DUMMYFUNCTION("""COMPUTED_VALUE"""),100.149772)</f>
        <v>100.149772</v>
      </c>
      <c r="AF875" s="3" t="str">
        <f>IFERROR(__xludf.DUMMYFUNCTION("""COMPUTED_VALUE"""),"MBC ตลาดลอนดอน บางโทรัด-21644")</f>
        <v>MBC ตลาดลอนดอน บางโทรัด-21644</v>
      </c>
      <c r="AG875" s="3" t="str">
        <f>IFERROR(__xludf.DUMMYFUNCTION("""COMPUTED_VALUE"""),"กลาง")</f>
        <v>กลาง</v>
      </c>
      <c r="AH875" s="3" t="str">
        <f>IFERROR(__xludf.DUMMYFUNCTION("""COMPUTED_VALUE"""),"#N/A")</f>
        <v>#N/A</v>
      </c>
      <c r="AI875" s="3" t="str">
        <f>IFERROR(__xludf.DUMMYFUNCTION("""COMPUTED_VALUE"""),"Out of warranty")</f>
        <v>Out of warranty</v>
      </c>
      <c r="AJ875" s="3">
        <f>IFERROR(__xludf.DUMMYFUNCTION("""COMPUTED_VALUE"""),90.0)</f>
        <v>90</v>
      </c>
      <c r="AK875" s="3" t="str">
        <f>IFERROR(__xludf.DUMMYFUNCTION("""COMPUTED_VALUE"""),"MMS05")</f>
        <v>MMS05</v>
      </c>
      <c r="AL875" s="3"/>
    </row>
    <row r="876" ht="15.75" customHeight="1">
      <c r="A876" s="1" t="str">
        <f>IFERROR(__xludf.DUMMYFUNCTION("""COMPUTED_VALUE"""),"21645")</f>
        <v>21645</v>
      </c>
      <c r="B876" s="2">
        <f>IFERROR(__xludf.DUMMYFUNCTION("""COMPUTED_VALUE"""),21645.0)</f>
        <v>21645</v>
      </c>
      <c r="C876" s="3" t="str">
        <f>IFERROR(__xludf.DUMMYFUNCTION("""COMPUTED_VALUE"""),"MBC ถนนไชยยานุภาพ")</f>
        <v>MBC ถนนไชยยานุภาพ</v>
      </c>
      <c r="D876" s="3" t="str">
        <f>IFERROR(__xludf.DUMMYFUNCTION("""COMPUTED_VALUE"""),"BCM THANON CHAIYANUPHAP")</f>
        <v>BCM THANON CHAIYANUPHAP</v>
      </c>
      <c r="E876" s="1" t="str">
        <f>IFERROR(__xludf.DUMMYFUNCTION("""COMPUTED_VALUE"""),"บิ๊กซี MINI")</f>
        <v>บิ๊กซี MINI</v>
      </c>
      <c r="F876" s="1" t="str">
        <f>IFERROR(__xludf.DUMMYFUNCTION("""COMPUTED_VALUE"""),"296229")</f>
        <v>296229</v>
      </c>
      <c r="G876" s="1" t="str">
        <f>IFERROR(__xludf.DUMMYFUNCTION("""COMPUTED_VALUE"""),"นายทนงศักดิ์ บุญมา")</f>
        <v>นายทนงศักดิ์ บุญมา</v>
      </c>
      <c r="H876" s="1" t="str">
        <f>IFERROR(__xludf.DUMMYFUNCTION("""COMPUTED_VALUE"""),"373680")</f>
        <v>373680</v>
      </c>
      <c r="I876" s="1" t="str">
        <f>IFERROR(__xludf.DUMMYFUNCTION("""COMPUTED_VALUE"""),"นายวสันต์ พรรณราย")</f>
        <v>นายวสันต์ พรรณราย</v>
      </c>
      <c r="J876" s="3">
        <f>IFERROR(__xludf.DUMMYFUNCTION("""COMPUTED_VALUE"""),46214.0)</f>
        <v>46214</v>
      </c>
      <c r="K876" s="3" t="str">
        <f>IFERROR(__xludf.DUMMYFUNCTION("""COMPUTED_VALUE"""),"นายศักดิ์ชัย เด็ดดอกฟ้า")</f>
        <v>นายศักดิ์ชัย เด็ดดอกฟ้า</v>
      </c>
      <c r="L876" s="1" t="str">
        <f>IFERROR(__xludf.DUMMYFUNCTION("""COMPUTED_VALUE"""),"02 K.Sakchai D")</f>
        <v>02 K.Sakchai D</v>
      </c>
      <c r="M876" s="1" t="str">
        <f>IFERROR(__xludf.DUMMYFUNCTION("""COMPUTED_VALUE"""),"065-510-7376")</f>
        <v>065-510-7376</v>
      </c>
      <c r="N876" s="3">
        <f>IFERROR(__xludf.DUMMYFUNCTION("""COMPUTED_VALUE"""),21714.0)</f>
        <v>21714</v>
      </c>
      <c r="O876" s="3" t="str">
        <f>IFERROR(__xludf.DUMMYFUNCTION("""COMPUTED_VALUE"""),"MBC เอสโซ่ วัดโบสถ์")</f>
        <v>MBC เอสโซ่ วัดโบสถ์</v>
      </c>
      <c r="P876" s="4">
        <f>IFERROR(__xludf.DUMMYFUNCTION("""COMPUTED_VALUE"""),43340.0)</f>
        <v>43340</v>
      </c>
      <c r="Q876" s="3" t="str">
        <f>IFERROR(__xludf.DUMMYFUNCTION("""COMPUTED_VALUE"""),"A")</f>
        <v>A</v>
      </c>
      <c r="R876" s="3" t="str">
        <f>IFERROR(__xludf.DUMMYFUNCTION("""COMPUTED_VALUE"""),"Small Format")</f>
        <v>Small Format</v>
      </c>
      <c r="S876" s="3" t="str">
        <f>IFERROR(__xludf.DUMMYFUNCTION("""COMPUTED_VALUE"""),"BCM")</f>
        <v>BCM</v>
      </c>
      <c r="T876" s="3" t="str">
        <f>IFERROR(__xludf.DUMMYFUNCTION("""COMPUTED_VALUE"""),"#N/A")</f>
        <v>#N/A</v>
      </c>
      <c r="U876" s="3" t="str">
        <f>IFERROR(__xludf.DUMMYFUNCTION("""COMPUTED_VALUE"""),"#N/A")</f>
        <v>#N/A</v>
      </c>
      <c r="V876" s="3" t="str">
        <f>IFERROR(__xludf.DUMMYFUNCTION("""COMPUTED_VALUE"""),"N")</f>
        <v>N</v>
      </c>
      <c r="W876" s="3">
        <f>IFERROR(__xludf.DUMMYFUNCTION("""COMPUTED_VALUE"""),211616.0)</f>
        <v>211616</v>
      </c>
      <c r="X876" s="3" t="str">
        <f>IFERROR(__xludf.DUMMYFUNCTION("""COMPUTED_VALUE"""),"235 ถนนไชยยานุภาพ ตำบลในเมือง อำเภอเมืองพิษณุโลก จังหวัดพิษณุโลก 65000")</f>
        <v>235 ถนนไชยยานุภาพ ตำบลในเมือง อำเภอเมืองพิษณุโลก จังหวัดพิษณุโลก 65000</v>
      </c>
      <c r="Y876" s="3" t="str">
        <f>IFERROR(__xludf.DUMMYFUNCTION("""COMPUTED_VALUE"""),"ถนนไชยยานุภาพ")</f>
        <v>ถนนไชยยานุภาพ</v>
      </c>
      <c r="Z876" s="3" t="str">
        <f>IFERROR(__xludf.DUMMYFUNCTION("""COMPUTED_VALUE"""),"ในเมือง")</f>
        <v>ในเมือง</v>
      </c>
      <c r="AA876" s="3" t="str">
        <f>IFERROR(__xludf.DUMMYFUNCTION("""COMPUTED_VALUE"""),"เมือง")</f>
        <v>เมือง</v>
      </c>
      <c r="AB876" s="3" t="str">
        <f>IFERROR(__xludf.DUMMYFUNCTION("""COMPUTED_VALUE"""),"พิษณุโลก")</f>
        <v>พิษณุโลก</v>
      </c>
      <c r="AC876" s="3">
        <f>IFERROR(__xludf.DUMMYFUNCTION("""COMPUTED_VALUE"""),65000.0)</f>
        <v>65000</v>
      </c>
      <c r="AD876" s="3">
        <f>IFERROR(__xludf.DUMMYFUNCTION("""COMPUTED_VALUE"""),16.809661)</f>
        <v>16.809661</v>
      </c>
      <c r="AE876" s="3">
        <f>IFERROR(__xludf.DUMMYFUNCTION("""COMPUTED_VALUE"""),100.246753)</f>
        <v>100.246753</v>
      </c>
      <c r="AF876" s="3" t="str">
        <f>IFERROR(__xludf.DUMMYFUNCTION("""COMPUTED_VALUE"""),"MBC ถนนไชยยานุภาพ-21645")</f>
        <v>MBC ถนนไชยยานุภาพ-21645</v>
      </c>
      <c r="AG876" s="3" t="str">
        <f>IFERROR(__xludf.DUMMYFUNCTION("""COMPUTED_VALUE"""),"กลาง")</f>
        <v>กลาง</v>
      </c>
      <c r="AH876" s="3" t="str">
        <f>IFERROR(__xludf.DUMMYFUNCTION("""COMPUTED_VALUE"""),"#N/A")</f>
        <v>#N/A</v>
      </c>
      <c r="AI876" s="3" t="str">
        <f>IFERROR(__xludf.DUMMYFUNCTION("""COMPUTED_VALUE"""),"Out of warranty")</f>
        <v>Out of warranty</v>
      </c>
      <c r="AJ876" s="3">
        <f>IFERROR(__xludf.DUMMYFUNCTION("""COMPUTED_VALUE"""),89.0)</f>
        <v>89</v>
      </c>
      <c r="AK876" s="3" t="str">
        <f>IFERROR(__xludf.DUMMYFUNCTION("""COMPUTED_VALUE"""),"MMS09")</f>
        <v>MMS09</v>
      </c>
      <c r="AL876" s="3"/>
    </row>
    <row r="877" ht="15.75" customHeight="1">
      <c r="A877" s="1" t="str">
        <f>IFERROR(__xludf.DUMMYFUNCTION("""COMPUTED_VALUE"""),"21646")</f>
        <v>21646</v>
      </c>
      <c r="B877" s="2">
        <f>IFERROR(__xludf.DUMMYFUNCTION("""COMPUTED_VALUE"""),21646.0)</f>
        <v>21646</v>
      </c>
      <c r="C877" s="3" t="str">
        <f>IFERROR(__xludf.DUMMYFUNCTION("""COMPUTED_VALUE"""),"MBC ตลาดท่ารั้ว")</f>
        <v>MBC ตลาดท่ารั้ว</v>
      </c>
      <c r="D877" s="3" t="str">
        <f>IFERROR(__xludf.DUMMYFUNCTION("""COMPUTED_VALUE"""),"BCM TALAD THA RUA")</f>
        <v>BCM TALAD THA RUA</v>
      </c>
      <c r="E877" s="1" t="str">
        <f>IFERROR(__xludf.DUMMYFUNCTION("""COMPUTED_VALUE"""),"บิ๊กซี MINI")</f>
        <v>บิ๊กซี MINI</v>
      </c>
      <c r="F877" s="1" t="str">
        <f>IFERROR(__xludf.DUMMYFUNCTION("""COMPUTED_VALUE"""),"296229")</f>
        <v>296229</v>
      </c>
      <c r="G877" s="1" t="str">
        <f>IFERROR(__xludf.DUMMYFUNCTION("""COMPUTED_VALUE"""),"นายทนงศักดิ์ บุญมา")</f>
        <v>นายทนงศักดิ์ บุญมา</v>
      </c>
      <c r="H877" s="1" t="str">
        <f>IFERROR(__xludf.DUMMYFUNCTION("""COMPUTED_VALUE"""),"392003")</f>
        <v>392003</v>
      </c>
      <c r="I877" s="1" t="str">
        <f>IFERROR(__xludf.DUMMYFUNCTION("""COMPUTED_VALUE"""),"นายวรภพ เศษสูงเนิน")</f>
        <v>นายวรภพ เศษสูงเนิน</v>
      </c>
      <c r="J877" s="3">
        <f>IFERROR(__xludf.DUMMYFUNCTION("""COMPUTED_VALUE"""),2010016.0)</f>
        <v>2010016</v>
      </c>
      <c r="K877" s="3" t="str">
        <f>IFERROR(__xludf.DUMMYFUNCTION("""COMPUTED_VALUE"""),"นายตวงธรรม ใหม่ยศ")</f>
        <v>นายตวงธรรม ใหม่ยศ</v>
      </c>
      <c r="L877" s="1" t="str">
        <f>IFERROR(__xludf.DUMMYFUNCTION("""COMPUTED_VALUE"""),"01 K.Tuangtham M.")</f>
        <v>01 K.Tuangtham M.</v>
      </c>
      <c r="M877" s="1" t="str">
        <f>IFERROR(__xludf.DUMMYFUNCTION("""COMPUTED_VALUE"""),"063-976-595")</f>
        <v>063-976-595</v>
      </c>
      <c r="N877" s="3">
        <f>IFERROR(__xludf.DUMMYFUNCTION("""COMPUTED_VALUE"""),22574.0)</f>
        <v>22574</v>
      </c>
      <c r="O877" s="3" t="str">
        <f>IFERROR(__xludf.DUMMYFUNCTION("""COMPUTED_VALUE"""),"BCM ชุมชนศรีชุม ลำปาง")</f>
        <v>BCM ชุมชนศรีชุม ลำปาง</v>
      </c>
      <c r="P877" s="4">
        <f>IFERROR(__xludf.DUMMYFUNCTION("""COMPUTED_VALUE"""),43340.0)</f>
        <v>43340</v>
      </c>
      <c r="Q877" s="3" t="str">
        <f>IFERROR(__xludf.DUMMYFUNCTION("""COMPUTED_VALUE"""),"A")</f>
        <v>A</v>
      </c>
      <c r="R877" s="3" t="str">
        <f>IFERROR(__xludf.DUMMYFUNCTION("""COMPUTED_VALUE"""),"Small Format")</f>
        <v>Small Format</v>
      </c>
      <c r="S877" s="3" t="str">
        <f>IFERROR(__xludf.DUMMYFUNCTION("""COMPUTED_VALUE"""),"BCM")</f>
        <v>BCM</v>
      </c>
      <c r="T877" s="3" t="str">
        <f>IFERROR(__xludf.DUMMYFUNCTION("""COMPUTED_VALUE"""),"#N/A")</f>
        <v>#N/A</v>
      </c>
      <c r="U877" s="3" t="str">
        <f>IFERROR(__xludf.DUMMYFUNCTION("""COMPUTED_VALUE"""),"#N/A")</f>
        <v>#N/A</v>
      </c>
      <c r="V877" s="3" t="str">
        <f>IFERROR(__xludf.DUMMYFUNCTION("""COMPUTED_VALUE"""),"N")</f>
        <v>N</v>
      </c>
      <c r="W877" s="3">
        <f>IFERROR(__xludf.DUMMYFUNCTION("""COMPUTED_VALUE"""),211619.0)</f>
        <v>211619</v>
      </c>
      <c r="X877" s="3" t="str">
        <f>IFERROR(__xludf.DUMMYFUNCTION("""COMPUTED_VALUE"""),"118/66 หมู่7 ตำบลสันปูเลย อำเภอดอยสะเก็ด จังหวัดเชียงใหม่ 50220")</f>
        <v>118/66 หมู่7 ตำบลสันปูเลย อำเภอดอยสะเก็ด จังหวัดเชียงใหม่ 50220</v>
      </c>
      <c r="Y877" s="3"/>
      <c r="Z877" s="3" t="str">
        <f>IFERROR(__xludf.DUMMYFUNCTION("""COMPUTED_VALUE"""),"สันปูเลย")</f>
        <v>สันปูเลย</v>
      </c>
      <c r="AA877" s="3" t="str">
        <f>IFERROR(__xludf.DUMMYFUNCTION("""COMPUTED_VALUE"""),"ดอยสะเก็ด")</f>
        <v>ดอยสะเก็ด</v>
      </c>
      <c r="AB877" s="3" t="str">
        <f>IFERROR(__xludf.DUMMYFUNCTION("""COMPUTED_VALUE"""),"เชียงใหม่")</f>
        <v>เชียงใหม่</v>
      </c>
      <c r="AC877" s="3">
        <f>IFERROR(__xludf.DUMMYFUNCTION("""COMPUTED_VALUE"""),50220.0)</f>
        <v>50220</v>
      </c>
      <c r="AD877" s="3">
        <f>IFERROR(__xludf.DUMMYFUNCTION("""COMPUTED_VALUE"""),18.805335)</f>
        <v>18.805335</v>
      </c>
      <c r="AE877" s="3">
        <f>IFERROR(__xludf.DUMMYFUNCTION("""COMPUTED_VALUE"""),99.062981)</f>
        <v>99.062981</v>
      </c>
      <c r="AF877" s="3" t="str">
        <f>IFERROR(__xludf.DUMMYFUNCTION("""COMPUTED_VALUE"""),"MBC ตลาดท่ารั้ว-21646")</f>
        <v>MBC ตลาดท่ารั้ว-21646</v>
      </c>
      <c r="AG877" s="3" t="str">
        <f>IFERROR(__xludf.DUMMYFUNCTION("""COMPUTED_VALUE"""),"เหนือ")</f>
        <v>เหนือ</v>
      </c>
      <c r="AH877" s="3" t="str">
        <f>IFERROR(__xludf.DUMMYFUNCTION("""COMPUTED_VALUE"""),"#N/A")</f>
        <v>#N/A</v>
      </c>
      <c r="AI877" s="3" t="str">
        <f>IFERROR(__xludf.DUMMYFUNCTION("""COMPUTED_VALUE"""),"Out of warranty")</f>
        <v>Out of warranty</v>
      </c>
      <c r="AJ877" s="3">
        <f>IFERROR(__xludf.DUMMYFUNCTION("""COMPUTED_VALUE"""),89.0)</f>
        <v>89</v>
      </c>
      <c r="AK877" s="3" t="str">
        <f>IFERROR(__xludf.DUMMYFUNCTION("""COMPUTED_VALUE"""),"MMS10")</f>
        <v>MMS10</v>
      </c>
      <c r="AL877" s="3"/>
    </row>
    <row r="878" ht="15.75" customHeight="1">
      <c r="A878" s="1" t="str">
        <f>IFERROR(__xludf.DUMMYFUNCTION("""COMPUTED_VALUE"""),"21647")</f>
        <v>21647</v>
      </c>
      <c r="B878" s="2">
        <f>IFERROR(__xludf.DUMMYFUNCTION("""COMPUTED_VALUE"""),21647.0)</f>
        <v>21647</v>
      </c>
      <c r="C878" s="3" t="str">
        <f>IFERROR(__xludf.DUMMYFUNCTION("""COMPUTED_VALUE"""),"MBC บ้านโป่ง")</f>
        <v>MBC บ้านโป่ง</v>
      </c>
      <c r="D878" s="3" t="str">
        <f>IFERROR(__xludf.DUMMYFUNCTION("""COMPUTED_VALUE"""),"BCM BAN PONG")</f>
        <v>BCM BAN PONG</v>
      </c>
      <c r="E878" s="1" t="str">
        <f>IFERROR(__xludf.DUMMYFUNCTION("""COMPUTED_VALUE"""),"บิ๊กซี MINI")</f>
        <v>บิ๊กซี MINI</v>
      </c>
      <c r="F878" s="1" t="str">
        <f>IFERROR(__xludf.DUMMYFUNCTION("""COMPUTED_VALUE"""),"2083447")</f>
        <v>2083447</v>
      </c>
      <c r="G878" s="1" t="str">
        <f>IFERROR(__xludf.DUMMYFUNCTION("""COMPUTED_VALUE"""),"นายอนุกูล ศรีลัดดา")</f>
        <v>นายอนุกูล ศรีลัดดา</v>
      </c>
      <c r="H878" s="1" t="str">
        <f>IFERROR(__xludf.DUMMYFUNCTION("""COMPUTED_VALUE"""),"391191")</f>
        <v>391191</v>
      </c>
      <c r="I878" s="1" t="str">
        <f>IFERROR(__xludf.DUMMYFUNCTION("""COMPUTED_VALUE"""),"นายวสันต์ สรงพรมทิพย์")</f>
        <v>นายวสันต์ สรงพรมทิพย์</v>
      </c>
      <c r="J878" s="3">
        <f>IFERROR(__xludf.DUMMYFUNCTION("""COMPUTED_VALUE"""),2451655.0)</f>
        <v>2451655</v>
      </c>
      <c r="K878" s="3" t="str">
        <f>IFERROR(__xludf.DUMMYFUNCTION("""COMPUTED_VALUE"""),"นายวิษณุพงษ์ ชินบุตร")</f>
        <v>นายวิษณุพงษ์ ชินบุตร</v>
      </c>
      <c r="L878" s="1" t="str">
        <f>IFERROR(__xludf.DUMMYFUNCTION("""COMPUTED_VALUE"""),"13 K.Wisanupong Ch")</f>
        <v>13 K.Wisanupong Ch</v>
      </c>
      <c r="M878" s="1" t="str">
        <f>IFERROR(__xludf.DUMMYFUNCTION("""COMPUTED_VALUE"""),"0843374693")</f>
        <v>0843374693</v>
      </c>
      <c r="N878" s="3">
        <f>IFERROR(__xludf.DUMMYFUNCTION("""COMPUTED_VALUE"""),22729.0)</f>
        <v>22729</v>
      </c>
      <c r="O878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878" s="4">
        <f>IFERROR(__xludf.DUMMYFUNCTION("""COMPUTED_VALUE"""),43327.0)</f>
        <v>43327</v>
      </c>
      <c r="Q878" s="3" t="str">
        <f>IFERROR(__xludf.DUMMYFUNCTION("""COMPUTED_VALUE"""),"A")</f>
        <v>A</v>
      </c>
      <c r="R878" s="3" t="str">
        <f>IFERROR(__xludf.DUMMYFUNCTION("""COMPUTED_VALUE"""),"Small Format")</f>
        <v>Small Format</v>
      </c>
      <c r="S878" s="3" t="str">
        <f>IFERROR(__xludf.DUMMYFUNCTION("""COMPUTED_VALUE"""),"BCM")</f>
        <v>BCM</v>
      </c>
      <c r="T878" s="3" t="str">
        <f>IFERROR(__xludf.DUMMYFUNCTION("""COMPUTED_VALUE"""),"#N/A")</f>
        <v>#N/A</v>
      </c>
      <c r="U878" s="3" t="str">
        <f>IFERROR(__xludf.DUMMYFUNCTION("""COMPUTED_VALUE"""),"#N/A")</f>
        <v>#N/A</v>
      </c>
      <c r="V878" s="3" t="str">
        <f>IFERROR(__xludf.DUMMYFUNCTION("""COMPUTED_VALUE"""),"N")</f>
        <v>N</v>
      </c>
      <c r="W878" s="3">
        <f>IFERROR(__xludf.DUMMYFUNCTION("""COMPUTED_VALUE"""),211611.0)</f>
        <v>211611</v>
      </c>
      <c r="X878" s="3" t="str">
        <f>IFERROR(__xludf.DUMMYFUNCTION("""COMPUTED_VALUE"""),"2/75-76 ถนนแสงชูโต ตำบลบ้านโป่ง อำเภอบ้านโป่ง จังหวัดราชบุรี 70110")</f>
        <v>2/75-76 ถนนแสงชูโต ตำบลบ้านโป่ง อำเภอบ้านโป่ง จังหวัดราชบุรี 70110</v>
      </c>
      <c r="Y878" s="3" t="str">
        <f>IFERROR(__xludf.DUMMYFUNCTION("""COMPUTED_VALUE"""),"ถนนแสงชูโต")</f>
        <v>ถนนแสงชูโต</v>
      </c>
      <c r="Z878" s="3" t="str">
        <f>IFERROR(__xludf.DUMMYFUNCTION("""COMPUTED_VALUE"""),"บ้างโป่ง")</f>
        <v>บ้างโป่ง</v>
      </c>
      <c r="AA878" s="3" t="str">
        <f>IFERROR(__xludf.DUMMYFUNCTION("""COMPUTED_VALUE"""),"บ้านโป่ง")</f>
        <v>บ้านโป่ง</v>
      </c>
      <c r="AB878" s="3" t="str">
        <f>IFERROR(__xludf.DUMMYFUNCTION("""COMPUTED_VALUE"""),"ราชบุรี")</f>
        <v>ราชบุรี</v>
      </c>
      <c r="AC878" s="3">
        <f>IFERROR(__xludf.DUMMYFUNCTION("""COMPUTED_VALUE"""),70110.0)</f>
        <v>70110</v>
      </c>
      <c r="AD878" s="3">
        <f>IFERROR(__xludf.DUMMYFUNCTION("""COMPUTED_VALUE"""),13.819017)</f>
        <v>13.819017</v>
      </c>
      <c r="AE878" s="3">
        <f>IFERROR(__xludf.DUMMYFUNCTION("""COMPUTED_VALUE"""),99.869817)</f>
        <v>99.869817</v>
      </c>
      <c r="AF878" s="3" t="str">
        <f>IFERROR(__xludf.DUMMYFUNCTION("""COMPUTED_VALUE"""),"MBC บ้านโป่ง-21647")</f>
        <v>MBC บ้านโป่ง-21647</v>
      </c>
      <c r="AG878" s="3" t="str">
        <f>IFERROR(__xludf.DUMMYFUNCTION("""COMPUTED_VALUE"""),"ตะวันตก")</f>
        <v>ตะวันตก</v>
      </c>
      <c r="AH878" s="3" t="str">
        <f>IFERROR(__xludf.DUMMYFUNCTION("""COMPUTED_VALUE"""),"#N/A")</f>
        <v>#N/A</v>
      </c>
      <c r="AI878" s="3" t="str">
        <f>IFERROR(__xludf.DUMMYFUNCTION("""COMPUTED_VALUE"""),"Out of warranty")</f>
        <v>Out of warranty</v>
      </c>
      <c r="AJ878" s="3">
        <f>IFERROR(__xludf.DUMMYFUNCTION("""COMPUTED_VALUE"""),90.0)</f>
        <v>90</v>
      </c>
      <c r="AK878" s="3" t="str">
        <f>IFERROR(__xludf.DUMMYFUNCTION("""COMPUTED_VALUE"""),"MMS05")</f>
        <v>MMS05</v>
      </c>
      <c r="AL878" s="3"/>
    </row>
    <row r="879" ht="15.75" customHeight="1">
      <c r="A879" s="1" t="str">
        <f>IFERROR(__xludf.DUMMYFUNCTION("""COMPUTED_VALUE"""),"21648")</f>
        <v>21648</v>
      </c>
      <c r="B879" s="2">
        <f>IFERROR(__xludf.DUMMYFUNCTION("""COMPUTED_VALUE"""),21648.0)</f>
        <v>21648</v>
      </c>
      <c r="C879" s="3" t="str">
        <f>IFERROR(__xludf.DUMMYFUNCTION("""COMPUTED_VALUE"""),"MBC ตึกน้ำ")</f>
        <v>MBC ตึกน้ำ</v>
      </c>
      <c r="D879" s="3" t="str">
        <f>IFERROR(__xludf.DUMMYFUNCTION("""COMPUTED_VALUE"""),"BCM TUK NAM")</f>
        <v>BCM TUK NAM</v>
      </c>
      <c r="E879" s="1" t="str">
        <f>IFERROR(__xludf.DUMMYFUNCTION("""COMPUTED_VALUE"""),"บิ๊กซี MINI")</f>
        <v>บิ๊กซี MINI</v>
      </c>
      <c r="F879" s="1" t="str">
        <f>IFERROR(__xludf.DUMMYFUNCTION("""COMPUTED_VALUE"""),"221716")</f>
        <v>221716</v>
      </c>
      <c r="G879" s="1" t="str">
        <f>IFERROR(__xludf.DUMMYFUNCTION("""COMPUTED_VALUE"""),"น.ส.เบญจพร โพธิสาร")</f>
        <v>น.ส.เบญจพร โพธิสาร</v>
      </c>
      <c r="H879" s="1" t="str">
        <f>IFERROR(__xludf.DUMMYFUNCTION("""COMPUTED_VALUE"""),"034605")</f>
        <v>034605</v>
      </c>
      <c r="I879" s="1" t="str">
        <f>IFERROR(__xludf.DUMMYFUNCTION("""COMPUTED_VALUE"""),"นายธรรมรัตน์ สุขเจริญ")</f>
        <v>นายธรรมรัตน์ สุขเจริญ</v>
      </c>
      <c r="J879" s="3">
        <f>IFERROR(__xludf.DUMMYFUNCTION("""COMPUTED_VALUE"""),1.3461215E7)</f>
        <v>13461215</v>
      </c>
      <c r="K879" s="3" t="str">
        <f>IFERROR(__xludf.DUMMYFUNCTION("""COMPUTED_VALUE"""),"นายธีรภัทร สังข์เงิน")</f>
        <v>นายธีรภัทร สังข์เงิน</v>
      </c>
      <c r="L879" s="1" t="str">
        <f>IFERROR(__xludf.DUMMYFUNCTION("""COMPUTED_VALUE"""),"06 K.Teerapat")</f>
        <v>06 K.Teerapat</v>
      </c>
      <c r="M879" s="1" t="str">
        <f>IFERROR(__xludf.DUMMYFUNCTION("""COMPUTED_VALUE"""),"063-601-6803")</f>
        <v>063-601-6803</v>
      </c>
      <c r="N879" s="3">
        <f>IFERROR(__xludf.DUMMYFUNCTION("""COMPUTED_VALUE"""),22115.0)</f>
        <v>22115</v>
      </c>
      <c r="O879" s="3" t="str">
        <f>IFERROR(__xludf.DUMMYFUNCTION("""COMPUTED_VALUE"""),"MBC เลี่ยงหนองมน ชลบุรี")</f>
        <v>MBC เลี่ยงหนองมน ชลบุรี</v>
      </c>
      <c r="P879" s="4">
        <f>IFERROR(__xludf.DUMMYFUNCTION("""COMPUTED_VALUE"""),43330.0)</f>
        <v>43330</v>
      </c>
      <c r="Q879" s="3" t="str">
        <f>IFERROR(__xludf.DUMMYFUNCTION("""COMPUTED_VALUE"""),"A")</f>
        <v>A</v>
      </c>
      <c r="R879" s="3" t="str">
        <f>IFERROR(__xludf.DUMMYFUNCTION("""COMPUTED_VALUE"""),"Small Format")</f>
        <v>Small Format</v>
      </c>
      <c r="S879" s="3" t="str">
        <f>IFERROR(__xludf.DUMMYFUNCTION("""COMPUTED_VALUE"""),"BCM")</f>
        <v>BCM</v>
      </c>
      <c r="T879" s="3" t="str">
        <f>IFERROR(__xludf.DUMMYFUNCTION("""COMPUTED_VALUE"""),"#N/A")</f>
        <v>#N/A</v>
      </c>
      <c r="U879" s="3" t="str">
        <f>IFERROR(__xludf.DUMMYFUNCTION("""COMPUTED_VALUE"""),"#N/A")</f>
        <v>#N/A</v>
      </c>
      <c r="V879" s="3" t="str">
        <f>IFERROR(__xludf.DUMMYFUNCTION("""COMPUTED_VALUE"""),"N")</f>
        <v>N</v>
      </c>
      <c r="W879" s="3">
        <f>IFERROR(__xludf.DUMMYFUNCTION("""COMPUTED_VALUE"""),211599.0)</f>
        <v>211599</v>
      </c>
      <c r="X879" s="3" t="str">
        <f>IFERROR(__xludf.DUMMYFUNCTION("""COMPUTED_VALUE"""),"53/38-40 หมู่3 ตำบลบ้านสวน อำเภอเมืองชลบุรี จังหวัดชลบุรี 20000")</f>
        <v>53/38-40 หมู่3 ตำบลบ้านสวน อำเภอเมืองชลบุรี จังหวัดชลบุรี 20000</v>
      </c>
      <c r="Y879" s="3"/>
      <c r="Z879" s="3" t="str">
        <f>IFERROR(__xludf.DUMMYFUNCTION("""COMPUTED_VALUE"""),"บ้านสวน")</f>
        <v>บ้านสวน</v>
      </c>
      <c r="AA879" s="3" t="str">
        <f>IFERROR(__xludf.DUMMYFUNCTION("""COMPUTED_VALUE"""),"เมือง")</f>
        <v>เมือง</v>
      </c>
      <c r="AB879" s="3" t="str">
        <f>IFERROR(__xludf.DUMMYFUNCTION("""COMPUTED_VALUE"""),"ชลบุรี")</f>
        <v>ชลบุรี</v>
      </c>
      <c r="AC879" s="3">
        <f>IFERROR(__xludf.DUMMYFUNCTION("""COMPUTED_VALUE"""),20000.0)</f>
        <v>20000</v>
      </c>
      <c r="AD879" s="3">
        <f>IFERROR(__xludf.DUMMYFUNCTION("""COMPUTED_VALUE"""),13.345047)</f>
        <v>13.345047</v>
      </c>
      <c r="AE879" s="3">
        <f>IFERROR(__xludf.DUMMYFUNCTION("""COMPUTED_VALUE"""),100.979256)</f>
        <v>100.979256</v>
      </c>
      <c r="AF879" s="3" t="str">
        <f>IFERROR(__xludf.DUMMYFUNCTION("""COMPUTED_VALUE"""),"MBC ตึกน้ำ-21648")</f>
        <v>MBC ตึกน้ำ-21648</v>
      </c>
      <c r="AG879" s="3" t="str">
        <f>IFERROR(__xludf.DUMMYFUNCTION("""COMPUTED_VALUE"""),"ตะวันออก")</f>
        <v>ตะวันออก</v>
      </c>
      <c r="AH879" s="3" t="str">
        <f>IFERROR(__xludf.DUMMYFUNCTION("""COMPUTED_VALUE"""),"#N/A")</f>
        <v>#N/A</v>
      </c>
      <c r="AI879" s="3" t="str">
        <f>IFERROR(__xludf.DUMMYFUNCTION("""COMPUTED_VALUE"""),"Out of warranty")</f>
        <v>Out of warranty</v>
      </c>
      <c r="AJ879" s="3">
        <f>IFERROR(__xludf.DUMMYFUNCTION("""COMPUTED_VALUE"""),90.0)</f>
        <v>90</v>
      </c>
      <c r="AK879" s="3" t="str">
        <f>IFERROR(__xludf.DUMMYFUNCTION("""COMPUTED_VALUE"""),"MMS06")</f>
        <v>MMS06</v>
      </c>
      <c r="AL879" s="3"/>
    </row>
    <row r="880" ht="15.75" customHeight="1">
      <c r="A880" s="1" t="str">
        <f>IFERROR(__xludf.DUMMYFUNCTION("""COMPUTED_VALUE"""),"21649")</f>
        <v>21649</v>
      </c>
      <c r="B880" s="2">
        <f>IFERROR(__xludf.DUMMYFUNCTION("""COMPUTED_VALUE"""),21649.0)</f>
        <v>21649</v>
      </c>
      <c r="C880" s="3" t="str">
        <f>IFERROR(__xludf.DUMMYFUNCTION("""COMPUTED_VALUE"""),"MBC ซอยเจ้าฟ้า 14")</f>
        <v>MBC ซอยเจ้าฟ้า 14</v>
      </c>
      <c r="D880" s="3" t="str">
        <f>IFERROR(__xludf.DUMMYFUNCTION("""COMPUTED_VALUE"""),"BCM SOI CHAOFA14")</f>
        <v>BCM SOI CHAOFA14</v>
      </c>
      <c r="E880" s="1" t="str">
        <f>IFERROR(__xludf.DUMMYFUNCTION("""COMPUTED_VALUE"""),"บิ๊กซี MINI")</f>
        <v>บิ๊กซี MINI</v>
      </c>
      <c r="F880" s="1" t="str">
        <f>IFERROR(__xludf.DUMMYFUNCTION("""COMPUTED_VALUE"""),"250760")</f>
        <v>250760</v>
      </c>
      <c r="G880" s="1" t="str">
        <f>IFERROR(__xludf.DUMMYFUNCTION("""COMPUTED_VALUE"""),"นายประทวน สาราบรรณ์")</f>
        <v>นายประทวน สาราบรรณ์</v>
      </c>
      <c r="H880" s="1" t="str">
        <f>IFERROR(__xludf.DUMMYFUNCTION("""COMPUTED_VALUE"""),"357284")</f>
        <v>357284</v>
      </c>
      <c r="I880" s="1" t="str">
        <f>IFERROR(__xludf.DUMMYFUNCTION("""COMPUTED_VALUE"""),"น.ส.เบญจวรรณ ปัณฑโมรา")</f>
        <v>น.ส.เบญจวรรณ ปัณฑโมรา</v>
      </c>
      <c r="J880" s="3">
        <f>IFERROR(__xludf.DUMMYFUNCTION("""COMPUTED_VALUE"""),25324.0)</f>
        <v>25324</v>
      </c>
      <c r="K880" s="3" t="str">
        <f>IFERROR(__xludf.DUMMYFUNCTION("""COMPUTED_VALUE"""),"นายวิเชฎฐ์ ติรัตนะประคม")</f>
        <v>นายวิเชฎฐ์ ติรัตนะประคม</v>
      </c>
      <c r="L880" s="1" t="str">
        <f>IFERROR(__xludf.DUMMYFUNCTION("""COMPUTED_VALUE"""),"14 K.Wichet T.")</f>
        <v>14 K.Wichet T.</v>
      </c>
      <c r="M880" s="1" t="str">
        <f>IFERROR(__xludf.DUMMYFUNCTION("""COMPUTED_VALUE"""),"061-417-6569 / 086-445-5636")</f>
        <v>061-417-6569 / 086-445-5636</v>
      </c>
      <c r="N880" s="3">
        <f>IFERROR(__xludf.DUMMYFUNCTION("""COMPUTED_VALUE"""),22658.0)</f>
        <v>22658</v>
      </c>
      <c r="O880" s="3" t="str">
        <f>IFERROR(__xludf.DUMMYFUNCTION("""COMPUTED_VALUE"""),"BCM ถ.วิรัชหงษ์หยก ภูเก็ต")</f>
        <v>BCM ถ.วิรัชหงษ์หยก ภูเก็ต</v>
      </c>
      <c r="P880" s="4">
        <f>IFERROR(__xludf.DUMMYFUNCTION("""COMPUTED_VALUE"""),43329.0)</f>
        <v>43329</v>
      </c>
      <c r="Q880" s="3" t="str">
        <f>IFERROR(__xludf.DUMMYFUNCTION("""COMPUTED_VALUE"""),"A")</f>
        <v>A</v>
      </c>
      <c r="R880" s="3" t="str">
        <f>IFERROR(__xludf.DUMMYFUNCTION("""COMPUTED_VALUE"""),"Small Format")</f>
        <v>Small Format</v>
      </c>
      <c r="S880" s="3" t="str">
        <f>IFERROR(__xludf.DUMMYFUNCTION("""COMPUTED_VALUE"""),"BCM")</f>
        <v>BCM</v>
      </c>
      <c r="T880" s="3" t="str">
        <f>IFERROR(__xludf.DUMMYFUNCTION("""COMPUTED_VALUE"""),"#N/A")</f>
        <v>#N/A</v>
      </c>
      <c r="U880" s="3" t="str">
        <f>IFERROR(__xludf.DUMMYFUNCTION("""COMPUTED_VALUE"""),"#N/A")</f>
        <v>#N/A</v>
      </c>
      <c r="V880" s="3" t="str">
        <f>IFERROR(__xludf.DUMMYFUNCTION("""COMPUTED_VALUE"""),"N")</f>
        <v>N</v>
      </c>
      <c r="W880" s="3">
        <f>IFERROR(__xludf.DUMMYFUNCTION("""COMPUTED_VALUE"""),211578.0)</f>
        <v>211578</v>
      </c>
      <c r="X880" s="3" t="str">
        <f>IFERROR(__xludf.DUMMYFUNCTION("""COMPUTED_VALUE"""),"37/65 หมู่4 ตำบลฉลอง อำเภอเมืองภูเก็ต จังหวัดภูเก็ต 83130")</f>
        <v>37/65 หมู่4 ตำบลฉลอง อำเภอเมืองภูเก็ต จังหวัดภูเก็ต 83130</v>
      </c>
      <c r="Y880" s="3"/>
      <c r="Z880" s="3" t="str">
        <f>IFERROR(__xludf.DUMMYFUNCTION("""COMPUTED_VALUE"""),"ฉลอง")</f>
        <v>ฉลอง</v>
      </c>
      <c r="AA880" s="3" t="str">
        <f>IFERROR(__xludf.DUMMYFUNCTION("""COMPUTED_VALUE"""),"เมือง")</f>
        <v>เมือง</v>
      </c>
      <c r="AB880" s="3" t="str">
        <f>IFERROR(__xludf.DUMMYFUNCTION("""COMPUTED_VALUE"""),"ภูเก็ต")</f>
        <v>ภูเก็ต</v>
      </c>
      <c r="AC880" s="3">
        <f>IFERROR(__xludf.DUMMYFUNCTION("""COMPUTED_VALUE"""),83130.0)</f>
        <v>83130</v>
      </c>
      <c r="AD880" s="3">
        <f>IFERROR(__xludf.DUMMYFUNCTION("""COMPUTED_VALUE"""),7.841328)</f>
        <v>7.841328</v>
      </c>
      <c r="AE880" s="3">
        <f>IFERROR(__xludf.DUMMYFUNCTION("""COMPUTED_VALUE"""),98.346125)</f>
        <v>98.346125</v>
      </c>
      <c r="AF880" s="3" t="str">
        <f>IFERROR(__xludf.DUMMYFUNCTION("""COMPUTED_VALUE"""),"MBC ซอยเจ้าฟ้า 14-21649")</f>
        <v>MBC ซอยเจ้าฟ้า 14-21649</v>
      </c>
      <c r="AG880" s="3" t="str">
        <f>IFERROR(__xludf.DUMMYFUNCTION("""COMPUTED_VALUE"""),"ใต้")</f>
        <v>ใต้</v>
      </c>
      <c r="AH880" s="3" t="str">
        <f>IFERROR(__xludf.DUMMYFUNCTION("""COMPUTED_VALUE"""),"#N/A")</f>
        <v>#N/A</v>
      </c>
      <c r="AI880" s="3" t="str">
        <f>IFERROR(__xludf.DUMMYFUNCTION("""COMPUTED_VALUE"""),"Out of warranty")</f>
        <v>Out of warranty</v>
      </c>
      <c r="AJ880" s="3">
        <f>IFERROR(__xludf.DUMMYFUNCTION("""COMPUTED_VALUE"""),90.0)</f>
        <v>90</v>
      </c>
      <c r="AK880" s="3" t="str">
        <f>IFERROR(__xludf.DUMMYFUNCTION("""COMPUTED_VALUE"""),"MMS15")</f>
        <v>MMS15</v>
      </c>
      <c r="AL880" s="3"/>
    </row>
    <row r="881" ht="15.75" customHeight="1">
      <c r="A881" s="1" t="str">
        <f>IFERROR(__xludf.DUMMYFUNCTION("""COMPUTED_VALUE"""),"21650")</f>
        <v>21650</v>
      </c>
      <c r="B881" s="2">
        <f>IFERROR(__xludf.DUMMYFUNCTION("""COMPUTED_VALUE"""),21650.0)</f>
        <v>21650</v>
      </c>
      <c r="C881" s="3" t="str">
        <f>IFERROR(__xludf.DUMMYFUNCTION("""COMPUTED_VALUE"""),"MBC เขาไม้แก้ว")</f>
        <v>MBC เขาไม้แก้ว</v>
      </c>
      <c r="D881" s="3" t="str">
        <f>IFERROR(__xludf.DUMMYFUNCTION("""COMPUTED_VALUE"""),"BCM KHAO MAI KAEO")</f>
        <v>BCM KHAO MAI KAEO</v>
      </c>
      <c r="E881" s="1" t="str">
        <f>IFERROR(__xludf.DUMMYFUNCTION("""COMPUTED_VALUE"""),"บิ๊กซี MINI")</f>
        <v>บิ๊กซี MINI</v>
      </c>
      <c r="F881" s="1" t="str">
        <f>IFERROR(__xludf.DUMMYFUNCTION("""COMPUTED_VALUE"""),"221716")</f>
        <v>221716</v>
      </c>
      <c r="G881" s="1" t="str">
        <f>IFERROR(__xludf.DUMMYFUNCTION("""COMPUTED_VALUE"""),"น.ส.เบญจพร โพธิสาร")</f>
        <v>น.ส.เบญจพร โพธิสาร</v>
      </c>
      <c r="H881" s="1" t="str">
        <f>IFERROR(__xludf.DUMMYFUNCTION("""COMPUTED_VALUE"""),"371384")</f>
        <v>371384</v>
      </c>
      <c r="I881" s="1" t="str">
        <f>IFERROR(__xludf.DUMMYFUNCTION("""COMPUTED_VALUE"""),"น.ส.นิลเนตร สิงห์ทอง")</f>
        <v>น.ส.นิลเนตร สิงห์ทอง</v>
      </c>
      <c r="J881" s="3">
        <f>IFERROR(__xludf.DUMMYFUNCTION("""COMPUTED_VALUE"""),2452376.0)</f>
        <v>2452376</v>
      </c>
      <c r="K881" s="3" t="str">
        <f>IFERROR(__xludf.DUMMYFUNCTION("""COMPUTED_VALUE"""),"นายภาคภูมิ ทวีกุล")</f>
        <v>นายภาคภูมิ ทวีกุล</v>
      </c>
      <c r="L881" s="1" t="str">
        <f>IFERROR(__xludf.DUMMYFUNCTION("""COMPUTED_VALUE"""),"08 K.Parkphum T.")</f>
        <v>08 K.Parkphum T.</v>
      </c>
      <c r="M881" s="1" t="str">
        <f>IFERROR(__xludf.DUMMYFUNCTION("""COMPUTED_VALUE"""),"097-919-5476")</f>
        <v>097-919-5476</v>
      </c>
      <c r="N881" s="3">
        <f>IFERROR(__xludf.DUMMYFUNCTION("""COMPUTED_VALUE"""),22028.0)</f>
        <v>22028</v>
      </c>
      <c r="O881" s="3" t="str">
        <f>IFERROR(__xludf.DUMMYFUNCTION("""COMPUTED_VALUE"""),"MBC ทํบมา ระยอง")</f>
        <v>MBC ทํบมา ระยอง</v>
      </c>
      <c r="P881" s="4">
        <f>IFERROR(__xludf.DUMMYFUNCTION("""COMPUTED_VALUE"""),43346.0)</f>
        <v>43346</v>
      </c>
      <c r="Q881" s="3" t="str">
        <f>IFERROR(__xludf.DUMMYFUNCTION("""COMPUTED_VALUE"""),"A")</f>
        <v>A</v>
      </c>
      <c r="R881" s="3" t="str">
        <f>IFERROR(__xludf.DUMMYFUNCTION("""COMPUTED_VALUE"""),"Small Format")</f>
        <v>Small Format</v>
      </c>
      <c r="S881" s="3" t="str">
        <f>IFERROR(__xludf.DUMMYFUNCTION("""COMPUTED_VALUE"""),"BCM")</f>
        <v>BCM</v>
      </c>
      <c r="T881" s="3" t="str">
        <f>IFERROR(__xludf.DUMMYFUNCTION("""COMPUTED_VALUE"""),"#N/A")</f>
        <v>#N/A</v>
      </c>
      <c r="U881" s="3" t="str">
        <f>IFERROR(__xludf.DUMMYFUNCTION("""COMPUTED_VALUE"""),"#N/A")</f>
        <v>#N/A</v>
      </c>
      <c r="V881" s="3" t="str">
        <f>IFERROR(__xludf.DUMMYFUNCTION("""COMPUTED_VALUE"""),"N")</f>
        <v>N</v>
      </c>
      <c r="W881" s="3">
        <f>IFERROR(__xludf.DUMMYFUNCTION("""COMPUTED_VALUE"""),211585.0)</f>
        <v>211585</v>
      </c>
      <c r="X881" s="3" t="str">
        <f>IFERROR(__xludf.DUMMYFUNCTION("""COMPUTED_VALUE"""),"109/4,109/6 หมู่1 ตำบลเขาไม้แก้ว อำเภอบางละมุง จังหวัดชลบุรี 20150")</f>
        <v>109/4,109/6 หมู่1 ตำบลเขาไม้แก้ว อำเภอบางละมุง จังหวัดชลบุรี 20150</v>
      </c>
      <c r="Y881" s="3"/>
      <c r="Z881" s="3" t="str">
        <f>IFERROR(__xludf.DUMMYFUNCTION("""COMPUTED_VALUE"""),"เขาไม้แก้ว")</f>
        <v>เขาไม้แก้ว</v>
      </c>
      <c r="AA881" s="3" t="str">
        <f>IFERROR(__xludf.DUMMYFUNCTION("""COMPUTED_VALUE"""),"บางละมุง")</f>
        <v>บางละมุง</v>
      </c>
      <c r="AB881" s="3" t="str">
        <f>IFERROR(__xludf.DUMMYFUNCTION("""COMPUTED_VALUE"""),"ชลบุรี")</f>
        <v>ชลบุรี</v>
      </c>
      <c r="AC881" s="3">
        <f>IFERROR(__xludf.DUMMYFUNCTION("""COMPUTED_VALUE"""),20150.0)</f>
        <v>20150</v>
      </c>
      <c r="AD881" s="3">
        <f>IFERROR(__xludf.DUMMYFUNCTION("""COMPUTED_VALUE"""),12.952318)</f>
        <v>12.952318</v>
      </c>
      <c r="AE881" s="3">
        <f>IFERROR(__xludf.DUMMYFUNCTION("""COMPUTED_VALUE"""),101.0476)</f>
        <v>101.0476</v>
      </c>
      <c r="AF881" s="3" t="str">
        <f>IFERROR(__xludf.DUMMYFUNCTION("""COMPUTED_VALUE"""),"MBC เขาไม้แก้ว-21650")</f>
        <v>MBC เขาไม้แก้ว-21650</v>
      </c>
      <c r="AG881" s="3" t="str">
        <f>IFERROR(__xludf.DUMMYFUNCTION("""COMPUTED_VALUE"""),"ตะวันออก")</f>
        <v>ตะวันออก</v>
      </c>
      <c r="AH881" s="3" t="str">
        <f>IFERROR(__xludf.DUMMYFUNCTION("""COMPUTED_VALUE"""),"#N/A")</f>
        <v>#N/A</v>
      </c>
      <c r="AI881" s="3" t="str">
        <f>IFERROR(__xludf.DUMMYFUNCTION("""COMPUTED_VALUE"""),"Out of warranty")</f>
        <v>Out of warranty</v>
      </c>
      <c r="AJ881" s="3">
        <f>IFERROR(__xludf.DUMMYFUNCTION("""COMPUTED_VALUE"""),89.0)</f>
        <v>89</v>
      </c>
      <c r="AK881" s="3" t="str">
        <f>IFERROR(__xludf.DUMMYFUNCTION("""COMPUTED_VALUE"""),"MMS07")</f>
        <v>MMS07</v>
      </c>
      <c r="AL881" s="3"/>
    </row>
    <row r="882" ht="15.75" customHeight="1">
      <c r="A882" s="1" t="str">
        <f>IFERROR(__xludf.DUMMYFUNCTION("""COMPUTED_VALUE"""),"21651")</f>
        <v>21651</v>
      </c>
      <c r="B882" s="2">
        <f>IFERROR(__xludf.DUMMYFUNCTION("""COMPUTED_VALUE"""),21651.0)</f>
        <v>21651</v>
      </c>
      <c r="C882" s="3" t="str">
        <f>IFERROR(__xludf.DUMMYFUNCTION("""COMPUTED_VALUE"""),"MBC หมู่บ้านเมืองประชา")</f>
        <v>MBC หมู่บ้านเมืองประชา</v>
      </c>
      <c r="D882" s="3" t="str">
        <f>IFERROR(__xludf.DUMMYFUNCTION("""COMPUTED_VALUE"""),"BCM MOOBAN MUEANGPRACHA")</f>
        <v>BCM MOOBAN MUEANGPRACHA</v>
      </c>
      <c r="E882" s="1" t="str">
        <f>IFERROR(__xludf.DUMMYFUNCTION("""COMPUTED_VALUE"""),"บิ๊กซี MINI")</f>
        <v>บิ๊กซี MINI</v>
      </c>
      <c r="F882" s="1" t="str">
        <f>IFERROR(__xludf.DUMMYFUNCTION("""COMPUTED_VALUE"""),"2083447")</f>
        <v>2083447</v>
      </c>
      <c r="G882" s="1" t="str">
        <f>IFERROR(__xludf.DUMMYFUNCTION("""COMPUTED_VALUE"""),"นายอนุกูล ศรีลัดดา")</f>
        <v>นายอนุกูล ศรีลัดดา</v>
      </c>
      <c r="H882" s="1" t="str">
        <f>IFERROR(__xludf.DUMMYFUNCTION("""COMPUTED_VALUE"""),"373849")</f>
        <v>373849</v>
      </c>
      <c r="I882" s="1" t="str">
        <f>IFERROR(__xludf.DUMMYFUNCTION("""COMPUTED_VALUE"""),"น.ส.อรอุมา นิ่มวิศิษย์")</f>
        <v>น.ส.อรอุมา นิ่มวิศิษย์</v>
      </c>
      <c r="J882" s="3">
        <f>IFERROR(__xludf.DUMMYFUNCTION("""COMPUTED_VALUE"""),510143.0)</f>
        <v>510143</v>
      </c>
      <c r="K882" s="3" t="str">
        <f>IFERROR(__xludf.DUMMYFUNCTION("""COMPUTED_VALUE"""),"นายธีระวัฒน์ บุญสิทธิ์")</f>
        <v>นายธีระวัฒน์ บุญสิทธิ์</v>
      </c>
      <c r="L882" s="1" t="str">
        <f>IFERROR(__xludf.DUMMYFUNCTION("""COMPUTED_VALUE"""),"12 K.Theerawat B.")</f>
        <v>12 K.Theerawat B.</v>
      </c>
      <c r="M882" s="1" t="str">
        <f>IFERROR(__xludf.DUMMYFUNCTION("""COMPUTED_VALUE"""),"0655107379")</f>
        <v>0655107379</v>
      </c>
      <c r="N882" s="3">
        <f>IFERROR(__xludf.DUMMYFUNCTION("""COMPUTED_VALUE"""),21062.0)</f>
        <v>21062</v>
      </c>
      <c r="O882" s="3" t="str">
        <f>IFERROR(__xludf.DUMMYFUNCTION("""COMPUTED_VALUE"""),"MBC นิคมนวนคร")</f>
        <v>MBC นิคมนวนคร</v>
      </c>
      <c r="P882" s="4">
        <f>IFERROR(__xludf.DUMMYFUNCTION("""COMPUTED_VALUE"""),43343.0)</f>
        <v>43343</v>
      </c>
      <c r="Q882" s="3" t="str">
        <f>IFERROR(__xludf.DUMMYFUNCTION("""COMPUTED_VALUE"""),"A")</f>
        <v>A</v>
      </c>
      <c r="R882" s="3" t="str">
        <f>IFERROR(__xludf.DUMMYFUNCTION("""COMPUTED_VALUE"""),"Small Format")</f>
        <v>Small Format</v>
      </c>
      <c r="S882" s="3" t="str">
        <f>IFERROR(__xludf.DUMMYFUNCTION("""COMPUTED_VALUE"""),"BCM")</f>
        <v>BCM</v>
      </c>
      <c r="T882" s="3" t="str">
        <f>IFERROR(__xludf.DUMMYFUNCTION("""COMPUTED_VALUE"""),"#N/A")</f>
        <v>#N/A</v>
      </c>
      <c r="U882" s="3" t="str">
        <f>IFERROR(__xludf.DUMMYFUNCTION("""COMPUTED_VALUE"""),"#N/A")</f>
        <v>#N/A</v>
      </c>
      <c r="V882" s="3" t="str">
        <f>IFERROR(__xludf.DUMMYFUNCTION("""COMPUTED_VALUE"""),"N")</f>
        <v>N</v>
      </c>
      <c r="W882" s="3">
        <f>IFERROR(__xludf.DUMMYFUNCTION("""COMPUTED_VALUE"""),211568.0)</f>
        <v>211568</v>
      </c>
      <c r="X882" s="3" t="str">
        <f>IFERROR(__xludf.DUMMYFUNCTION("""COMPUTED_VALUE"""),"115/613-615 หมู่10 ตำบลบางคูวัด อำเภอเมืองปทุมธานี จังหวัดปทุมธานี 12000")</f>
        <v>115/613-615 หมู่10 ตำบลบางคูวัด อำเภอเมืองปทุมธานี จังหวัดปทุมธานี 12000</v>
      </c>
      <c r="Y882" s="3"/>
      <c r="Z882" s="3" t="str">
        <f>IFERROR(__xludf.DUMMYFUNCTION("""COMPUTED_VALUE"""),"บางคูวัด")</f>
        <v>บางคูวัด</v>
      </c>
      <c r="AA882" s="3" t="str">
        <f>IFERROR(__xludf.DUMMYFUNCTION("""COMPUTED_VALUE"""),"เมือง")</f>
        <v>เมือง</v>
      </c>
      <c r="AB882" s="3" t="str">
        <f>IFERROR(__xludf.DUMMYFUNCTION("""COMPUTED_VALUE"""),"ปทุมธานี")</f>
        <v>ปทุมธานี</v>
      </c>
      <c r="AC882" s="3">
        <f>IFERROR(__xludf.DUMMYFUNCTION("""COMPUTED_VALUE"""),12000.0)</f>
        <v>12000</v>
      </c>
      <c r="AD882" s="3">
        <f>IFERROR(__xludf.DUMMYFUNCTION("""COMPUTED_VALUE"""),13.956621)</f>
        <v>13.956621</v>
      </c>
      <c r="AE882" s="3">
        <f>IFERROR(__xludf.DUMMYFUNCTION("""COMPUTED_VALUE"""),100.518945)</f>
        <v>100.518945</v>
      </c>
      <c r="AF882" s="3" t="str">
        <f>IFERROR(__xludf.DUMMYFUNCTION("""COMPUTED_VALUE"""),"MBC หมู่บ้านเมืองประชา-21651")</f>
        <v>MBC หมู่บ้านเมืองประชา-21651</v>
      </c>
      <c r="AG882" s="3" t="str">
        <f>IFERROR(__xludf.DUMMYFUNCTION("""COMPUTED_VALUE"""),"กลาง")</f>
        <v>กลาง</v>
      </c>
      <c r="AH882" s="3" t="str">
        <f>IFERROR(__xludf.DUMMYFUNCTION("""COMPUTED_VALUE"""),"#N/A")</f>
        <v>#N/A</v>
      </c>
      <c r="AI882" s="3" t="str">
        <f>IFERROR(__xludf.DUMMYFUNCTION("""COMPUTED_VALUE"""),"Out of warranty")</f>
        <v>Out of warranty</v>
      </c>
      <c r="AJ882" s="3">
        <f>IFERROR(__xludf.DUMMYFUNCTION("""COMPUTED_VALUE"""),89.0)</f>
        <v>89</v>
      </c>
      <c r="AK882" s="3" t="str">
        <f>IFERROR(__xludf.DUMMYFUNCTION("""COMPUTED_VALUE"""),"MMS04")</f>
        <v>MMS04</v>
      </c>
      <c r="AL882" s="3"/>
    </row>
    <row r="883" ht="15.75" customHeight="1">
      <c r="A883" s="1" t="str">
        <f>IFERROR(__xludf.DUMMYFUNCTION("""COMPUTED_VALUE"""),"21652")</f>
        <v>21652</v>
      </c>
      <c r="B883" s="2">
        <f>IFERROR(__xludf.DUMMYFUNCTION("""COMPUTED_VALUE"""),21652.0)</f>
        <v>21652</v>
      </c>
      <c r="C883" s="3" t="str">
        <f>IFERROR(__xludf.DUMMYFUNCTION("""COMPUTED_VALUE"""),"MBC ถนนปลายบาง")</f>
        <v>MBC ถนนปลายบาง</v>
      </c>
      <c r="D883" s="3" t="str">
        <f>IFERROR(__xludf.DUMMYFUNCTION("""COMPUTED_VALUE"""),"BCM THANON PLAI BANG")</f>
        <v>BCM THANON PLAI BANG</v>
      </c>
      <c r="E883" s="1" t="str">
        <f>IFERROR(__xludf.DUMMYFUNCTION("""COMPUTED_VALUE"""),"บิ๊กซี MINI")</f>
        <v>บิ๊กซี MINI</v>
      </c>
      <c r="F883" s="1" t="str">
        <f>IFERROR(__xludf.DUMMYFUNCTION("""COMPUTED_VALUE"""),"291008")</f>
        <v>291008</v>
      </c>
      <c r="G883" s="1" t="str">
        <f>IFERROR(__xludf.DUMMYFUNCTION("""COMPUTED_VALUE"""),"น.ส.รัชดาพร อีศรัตน์")</f>
        <v>น.ส.รัชดาพร อีศรัตน์</v>
      </c>
      <c r="H883" s="1" t="str">
        <f>IFERROR(__xludf.DUMMYFUNCTION("""COMPUTED_VALUE"""),"180055")</f>
        <v>180055</v>
      </c>
      <c r="I883" s="1" t="str">
        <f>IFERROR(__xludf.DUMMYFUNCTION("""COMPUTED_VALUE"""),"น.ส.สุดารัตน์ บุญล้ำ")</f>
        <v>น.ส.สุดารัตน์ บุญล้ำ</v>
      </c>
      <c r="J883" s="3">
        <f>IFERROR(__xludf.DUMMYFUNCTION("""COMPUTED_VALUE"""),296608.0)</f>
        <v>296608</v>
      </c>
      <c r="K883" s="3" t="str">
        <f>IFERROR(__xludf.DUMMYFUNCTION("""COMPUTED_VALUE"""),"นายภาคภูมิ เพ็ชรนิล")</f>
        <v>นายภาคภูมิ เพ็ชรนิล</v>
      </c>
      <c r="L883" s="1" t="str">
        <f>IFERROR(__xludf.DUMMYFUNCTION("""COMPUTED_VALUE"""),"10 K.Phakphoom P.")</f>
        <v>10 K.Phakphoom P.</v>
      </c>
      <c r="M883" s="1" t="str">
        <f>IFERROR(__xludf.DUMMYFUNCTION("""COMPUTED_VALUE"""),"063-8955329")</f>
        <v>063-8955329</v>
      </c>
      <c r="N883" s="3">
        <f>IFERROR(__xludf.DUMMYFUNCTION("""COMPUTED_VALUE"""),22584.0)</f>
        <v>22584</v>
      </c>
      <c r="O883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883" s="4">
        <f>IFERROR(__xludf.DUMMYFUNCTION("""COMPUTED_VALUE"""),43334.0)</f>
        <v>43334</v>
      </c>
      <c r="Q883" s="3" t="str">
        <f>IFERROR(__xludf.DUMMYFUNCTION("""COMPUTED_VALUE"""),"A")</f>
        <v>A</v>
      </c>
      <c r="R883" s="3" t="str">
        <f>IFERROR(__xludf.DUMMYFUNCTION("""COMPUTED_VALUE"""),"Small Format")</f>
        <v>Small Format</v>
      </c>
      <c r="S883" s="3" t="str">
        <f>IFERROR(__xludf.DUMMYFUNCTION("""COMPUTED_VALUE"""),"BCM")</f>
        <v>BCM</v>
      </c>
      <c r="T883" s="3" t="str">
        <f>IFERROR(__xludf.DUMMYFUNCTION("""COMPUTED_VALUE"""),"#N/A")</f>
        <v>#N/A</v>
      </c>
      <c r="U883" s="3" t="str">
        <f>IFERROR(__xludf.DUMMYFUNCTION("""COMPUTED_VALUE"""),"#N/A")</f>
        <v>#N/A</v>
      </c>
      <c r="V883" s="3" t="str">
        <f>IFERROR(__xludf.DUMMYFUNCTION("""COMPUTED_VALUE"""),"N")</f>
        <v>N</v>
      </c>
      <c r="W883" s="3">
        <f>IFERROR(__xludf.DUMMYFUNCTION("""COMPUTED_VALUE"""),211609.0)</f>
        <v>211609</v>
      </c>
      <c r="X883" s="3" t="str">
        <f>IFERROR(__xludf.DUMMYFUNCTION("""COMPUTED_VALUE"""),"99/15-17 หมู่7 ตำบลมหาสวัสดิ์ อำเภอบางกรวย จังหวัดนนทบุรี 11130")</f>
        <v>99/15-17 หมู่7 ตำบลมหาสวัสดิ์ อำเภอบางกรวย จังหวัดนนทบุรี 11130</v>
      </c>
      <c r="Y883" s="3"/>
      <c r="Z883" s="3" t="str">
        <f>IFERROR(__xludf.DUMMYFUNCTION("""COMPUTED_VALUE"""),"มหาสวัสดิ์")</f>
        <v>มหาสวัสดิ์</v>
      </c>
      <c r="AA883" s="3" t="str">
        <f>IFERROR(__xludf.DUMMYFUNCTION("""COMPUTED_VALUE"""),"บางกรวย")</f>
        <v>บางกรวย</v>
      </c>
      <c r="AB883" s="3" t="str">
        <f>IFERROR(__xludf.DUMMYFUNCTION("""COMPUTED_VALUE"""),"นนทบุรี")</f>
        <v>นนทบุรี</v>
      </c>
      <c r="AC883" s="3">
        <f>IFERROR(__xludf.DUMMYFUNCTION("""COMPUTED_VALUE"""),11130.0)</f>
        <v>11130</v>
      </c>
      <c r="AD883" s="3">
        <f>IFERROR(__xludf.DUMMYFUNCTION("""COMPUTED_VALUE"""),13.804215)</f>
        <v>13.804215</v>
      </c>
      <c r="AE883" s="3">
        <f>IFERROR(__xludf.DUMMYFUNCTION("""COMPUTED_VALUE"""),100.418145)</f>
        <v>100.418145</v>
      </c>
      <c r="AF883" s="3" t="str">
        <f>IFERROR(__xludf.DUMMYFUNCTION("""COMPUTED_VALUE"""),"MBC ถนนปลายบาง-21652")</f>
        <v>MBC ถนนปลายบาง-21652</v>
      </c>
      <c r="AG883" s="3" t="str">
        <f>IFERROR(__xludf.DUMMYFUNCTION("""COMPUTED_VALUE"""),"กลาง")</f>
        <v>กลาง</v>
      </c>
      <c r="AH883" s="3" t="str">
        <f>IFERROR(__xludf.DUMMYFUNCTION("""COMPUTED_VALUE"""),"#N/A")</f>
        <v>#N/A</v>
      </c>
      <c r="AI883" s="3" t="str">
        <f>IFERROR(__xludf.DUMMYFUNCTION("""COMPUTED_VALUE"""),"Out of warranty")</f>
        <v>Out of warranty</v>
      </c>
      <c r="AJ883" s="3">
        <f>IFERROR(__xludf.DUMMYFUNCTION("""COMPUTED_VALUE"""),89.0)</f>
        <v>89</v>
      </c>
      <c r="AK883" s="3" t="str">
        <f>IFERROR(__xludf.DUMMYFUNCTION("""COMPUTED_VALUE"""),"MMS01")</f>
        <v>MMS01</v>
      </c>
      <c r="AL883" s="3"/>
    </row>
    <row r="884" ht="15.75" customHeight="1">
      <c r="A884" s="1" t="str">
        <f>IFERROR(__xludf.DUMMYFUNCTION("""COMPUTED_VALUE"""),"21653")</f>
        <v>21653</v>
      </c>
      <c r="B884" s="2">
        <f>IFERROR(__xludf.DUMMYFUNCTION("""COMPUTED_VALUE"""),21653.0)</f>
        <v>21653</v>
      </c>
      <c r="C884" s="3" t="str">
        <f>IFERROR(__xludf.DUMMYFUNCTION("""COMPUTED_VALUE"""),"MBC ถนนพัฒนาการคูขวาง 30")</f>
        <v>MBC ถนนพัฒนาการคูขวาง 30</v>
      </c>
      <c r="D884" s="3" t="str">
        <f>IFERROR(__xludf.DUMMYFUNCTION("""COMPUTED_VALUE"""),"BCM PATTANAKARN KHUKWANG30 RD.")</f>
        <v>BCM PATTANAKARN KHUKWANG30 RD.</v>
      </c>
      <c r="E884" s="1" t="str">
        <f>IFERROR(__xludf.DUMMYFUNCTION("""COMPUTED_VALUE"""),"บิ๊กซี MINI")</f>
        <v>บิ๊กซี MINI</v>
      </c>
      <c r="F884" s="1" t="str">
        <f>IFERROR(__xludf.DUMMYFUNCTION("""COMPUTED_VALUE"""),"250760")</f>
        <v>250760</v>
      </c>
      <c r="G884" s="1" t="str">
        <f>IFERROR(__xludf.DUMMYFUNCTION("""COMPUTED_VALUE"""),"นายประทวน สาราบรรณ์")</f>
        <v>นายประทวน สาราบรรณ์</v>
      </c>
      <c r="H884" s="1" t="str">
        <f>IFERROR(__xludf.DUMMYFUNCTION("""COMPUTED_VALUE"""),"394143")</f>
        <v>394143</v>
      </c>
      <c r="I884" s="1" t="str">
        <f>IFERROR(__xludf.DUMMYFUNCTION("""COMPUTED_VALUE"""),"นายวิษณุ เพชรหัตถ์")</f>
        <v>นายวิษณุ เพชรหัตถ์</v>
      </c>
      <c r="J884" s="3">
        <f>IFERROR(__xludf.DUMMYFUNCTION("""COMPUTED_VALUE"""),2.0470331E7)</f>
        <v>20470331</v>
      </c>
      <c r="K884" s="3" t="str">
        <f>IFERROR(__xludf.DUMMYFUNCTION("""COMPUTED_VALUE"""),"นายสมชาย ลักษณะสุวรรณ")</f>
        <v>นายสมชาย ลักษณะสุวรรณ</v>
      </c>
      <c r="L884" s="1" t="str">
        <f>IFERROR(__xludf.DUMMYFUNCTION("""COMPUTED_VALUE"""),"15 K.Somchai L")</f>
        <v>15 K.Somchai L</v>
      </c>
      <c r="M884" s="1" t="str">
        <f>IFERROR(__xludf.DUMMYFUNCTION("""COMPUTED_VALUE"""),"0655107372")</f>
        <v>0655107372</v>
      </c>
      <c r="N884" s="3">
        <f>IFERROR(__xludf.DUMMYFUNCTION("""COMPUTED_VALUE"""),21723.0)</f>
        <v>21723</v>
      </c>
      <c r="O884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884" s="4">
        <f>IFERROR(__xludf.DUMMYFUNCTION("""COMPUTED_VALUE"""),43339.0)</f>
        <v>43339</v>
      </c>
      <c r="Q884" s="3" t="str">
        <f>IFERROR(__xludf.DUMMYFUNCTION("""COMPUTED_VALUE"""),"A")</f>
        <v>A</v>
      </c>
      <c r="R884" s="3" t="str">
        <f>IFERROR(__xludf.DUMMYFUNCTION("""COMPUTED_VALUE"""),"Small Format")</f>
        <v>Small Format</v>
      </c>
      <c r="S884" s="3" t="str">
        <f>IFERROR(__xludf.DUMMYFUNCTION("""COMPUTED_VALUE"""),"BCM")</f>
        <v>BCM</v>
      </c>
      <c r="T884" s="3" t="str">
        <f>IFERROR(__xludf.DUMMYFUNCTION("""COMPUTED_VALUE"""),"#N/A")</f>
        <v>#N/A</v>
      </c>
      <c r="U884" s="3" t="str">
        <f>IFERROR(__xludf.DUMMYFUNCTION("""COMPUTED_VALUE"""),"#N/A")</f>
        <v>#N/A</v>
      </c>
      <c r="V884" s="3" t="str">
        <f>IFERROR(__xludf.DUMMYFUNCTION("""COMPUTED_VALUE"""),"N")</f>
        <v>N</v>
      </c>
      <c r="W884" s="3">
        <f>IFERROR(__xludf.DUMMYFUNCTION("""COMPUTED_VALUE"""),211604.0)</f>
        <v>211604</v>
      </c>
      <c r="X884" s="3" t="str">
        <f>IFERROR(__xludf.DUMMYFUNCTION("""COMPUTED_VALUE"""),"151/138 ซอยพะเนียด ถนนพัฒนาการคูขวาง ตำบลคลัง อำเภอเมืองนครศรีธรรมราช จังหวัดนครศรีธรรมราช 80000")</f>
        <v>151/138 ซอยพะเนียด ถนนพัฒนาการคูขวาง ตำบลคลัง อำเภอเมืองนครศรีธรรมราช จังหวัดนครศรีธรรมราช 80000</v>
      </c>
      <c r="Y884" s="3" t="str">
        <f>IFERROR(__xludf.DUMMYFUNCTION("""COMPUTED_VALUE"""),"ซอยพะเนียด")</f>
        <v>ซอยพะเนียด</v>
      </c>
      <c r="Z884" s="3" t="str">
        <f>IFERROR(__xludf.DUMMYFUNCTION("""COMPUTED_VALUE"""),"คลัง")</f>
        <v>คลัง</v>
      </c>
      <c r="AA884" s="3" t="str">
        <f>IFERROR(__xludf.DUMMYFUNCTION("""COMPUTED_VALUE"""),"เมือง")</f>
        <v>เมือง</v>
      </c>
      <c r="AB884" s="3" t="str">
        <f>IFERROR(__xludf.DUMMYFUNCTION("""COMPUTED_VALUE"""),"นครศรีธรรมราช")</f>
        <v>นครศรีธรรมราช</v>
      </c>
      <c r="AC884" s="3">
        <f>IFERROR(__xludf.DUMMYFUNCTION("""COMPUTED_VALUE"""),80000.0)</f>
        <v>80000</v>
      </c>
      <c r="AD884" s="3">
        <f>IFERROR(__xludf.DUMMYFUNCTION("""COMPUTED_VALUE"""),8.434181)</f>
        <v>8.434181</v>
      </c>
      <c r="AE884" s="3">
        <f>IFERROR(__xludf.DUMMYFUNCTION("""COMPUTED_VALUE"""),99.970789)</f>
        <v>99.970789</v>
      </c>
      <c r="AF884" s="3" t="str">
        <f>IFERROR(__xludf.DUMMYFUNCTION("""COMPUTED_VALUE"""),"MBC ถนนพัฒนาการคูขวาง 30-21653")</f>
        <v>MBC ถนนพัฒนาการคูขวาง 30-21653</v>
      </c>
      <c r="AG884" s="3" t="str">
        <f>IFERROR(__xludf.DUMMYFUNCTION("""COMPUTED_VALUE"""),"ใต้")</f>
        <v>ใต้</v>
      </c>
      <c r="AH884" s="3" t="str">
        <f>IFERROR(__xludf.DUMMYFUNCTION("""COMPUTED_VALUE"""),"#N/A")</f>
        <v>#N/A</v>
      </c>
      <c r="AI884" s="3" t="str">
        <f>IFERROR(__xludf.DUMMYFUNCTION("""COMPUTED_VALUE"""),"Out of warranty")</f>
        <v>Out of warranty</v>
      </c>
      <c r="AJ884" s="3">
        <f>IFERROR(__xludf.DUMMYFUNCTION("""COMPUTED_VALUE"""),89.0)</f>
        <v>89</v>
      </c>
      <c r="AK884" s="3" t="str">
        <f>IFERROR(__xludf.DUMMYFUNCTION("""COMPUTED_VALUE"""),"MMS15")</f>
        <v>MMS15</v>
      </c>
      <c r="AL884" s="3"/>
    </row>
    <row r="885" ht="15.75" customHeight="1">
      <c r="A885" s="1" t="str">
        <f>IFERROR(__xludf.DUMMYFUNCTION("""COMPUTED_VALUE"""),"21654")</f>
        <v>21654</v>
      </c>
      <c r="B885" s="2">
        <f>IFERROR(__xludf.DUMMYFUNCTION("""COMPUTED_VALUE"""),21654.0)</f>
        <v>21654</v>
      </c>
      <c r="C885" s="3" t="str">
        <f>IFERROR(__xludf.DUMMYFUNCTION("""COMPUTED_VALUE"""),"MBC บ้านชุมเห็ด")</f>
        <v>MBC บ้านชุมเห็ด</v>
      </c>
      <c r="D885" s="3" t="str">
        <f>IFERROR(__xludf.DUMMYFUNCTION("""COMPUTED_VALUE"""),"BCM BAN CHUM HED, BURIRAM")</f>
        <v>BCM BAN CHUM HED, BURIRAM</v>
      </c>
      <c r="E885" s="1" t="str">
        <f>IFERROR(__xludf.DUMMYFUNCTION("""COMPUTED_VALUE"""),"บิ๊กซี MINI")</f>
        <v>บิ๊กซี MINI</v>
      </c>
      <c r="F885" s="1" t="str">
        <f>IFERROR(__xludf.DUMMYFUNCTION("""COMPUTED_VALUE"""),"291105")</f>
        <v>291105</v>
      </c>
      <c r="G885" s="1" t="str">
        <f>IFERROR(__xludf.DUMMYFUNCTION("""COMPUTED_VALUE"""),"นายสราวุฒิ พณิชยกุล")</f>
        <v>นายสราวุฒิ พณิชยกุล</v>
      </c>
      <c r="H885" s="1" t="str">
        <f>IFERROR(__xludf.DUMMYFUNCTION("""COMPUTED_VALUE"""),"398136")</f>
        <v>398136</v>
      </c>
      <c r="I885" s="1" t="str">
        <f>IFERROR(__xludf.DUMMYFUNCTION("""COMPUTED_VALUE"""),"นายประยูร ธาดาวงษา")</f>
        <v>นายประยูร ธาดาวงษา</v>
      </c>
      <c r="J885" s="3">
        <f>IFERROR(__xludf.DUMMYFUNCTION("""COMPUTED_VALUE"""),15361.0)</f>
        <v>15361</v>
      </c>
      <c r="K885" s="3" t="str">
        <f>IFERROR(__xludf.DUMMYFUNCTION("""COMPUTED_VALUE"""),"นายสมบูรณ์ พรหมในเมือง")</f>
        <v>นายสมบูรณ์ พรหมในเมือง</v>
      </c>
      <c r="L885" s="1" t="str">
        <f>IFERROR(__xludf.DUMMYFUNCTION("""COMPUTED_VALUE"""),"04 K.Somboon P.")</f>
        <v>04 K.Somboon P.</v>
      </c>
      <c r="M885" s="1" t="str">
        <f>IFERROR(__xludf.DUMMYFUNCTION("""COMPUTED_VALUE"""),"087-965-3051")</f>
        <v>087-965-3051</v>
      </c>
      <c r="N885" s="3">
        <f>IFERROR(__xludf.DUMMYFUNCTION("""COMPUTED_VALUE"""),21869.0)</f>
        <v>21869</v>
      </c>
      <c r="O885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885" s="4">
        <f>IFERROR(__xludf.DUMMYFUNCTION("""COMPUTED_VALUE"""),43348.0)</f>
        <v>43348</v>
      </c>
      <c r="Q885" s="3" t="str">
        <f>IFERROR(__xludf.DUMMYFUNCTION("""COMPUTED_VALUE"""),"A")</f>
        <v>A</v>
      </c>
      <c r="R885" s="3" t="str">
        <f>IFERROR(__xludf.DUMMYFUNCTION("""COMPUTED_VALUE"""),"Small Format")</f>
        <v>Small Format</v>
      </c>
      <c r="S885" s="3" t="str">
        <f>IFERROR(__xludf.DUMMYFUNCTION("""COMPUTED_VALUE"""),"BCM")</f>
        <v>BCM</v>
      </c>
      <c r="T885" s="3" t="str">
        <f>IFERROR(__xludf.DUMMYFUNCTION("""COMPUTED_VALUE"""),"#N/A")</f>
        <v>#N/A</v>
      </c>
      <c r="U885" s="3" t="str">
        <f>IFERROR(__xludf.DUMMYFUNCTION("""COMPUTED_VALUE"""),"#N/A")</f>
        <v>#N/A</v>
      </c>
      <c r="V885" s="3" t="str">
        <f>IFERROR(__xludf.DUMMYFUNCTION("""COMPUTED_VALUE"""),"N")</f>
        <v>N</v>
      </c>
      <c r="W885" s="3">
        <f>IFERROR(__xludf.DUMMYFUNCTION("""COMPUTED_VALUE"""),211614.0)</f>
        <v>211614</v>
      </c>
      <c r="X885" s="3" t="str">
        <f>IFERROR(__xludf.DUMMYFUNCTION("""COMPUTED_VALUE"""),"406,406/1-3 หมู่4 ตำบลชุมเห็ด อำเภอเมืองบุรีรัมย์ จังหวัดบุรีรัมย์ 31000")</f>
        <v>406,406/1-3 หมู่4 ตำบลชุมเห็ด อำเภอเมืองบุรีรัมย์ จังหวัดบุรีรัมย์ 31000</v>
      </c>
      <c r="Y885" s="3"/>
      <c r="Z885" s="3" t="str">
        <f>IFERROR(__xludf.DUMMYFUNCTION("""COMPUTED_VALUE"""),"ชุมเห็ด")</f>
        <v>ชุมเห็ด</v>
      </c>
      <c r="AA885" s="3" t="str">
        <f>IFERROR(__xludf.DUMMYFUNCTION("""COMPUTED_VALUE"""),"เมือง")</f>
        <v>เมือง</v>
      </c>
      <c r="AB885" s="3" t="str">
        <f>IFERROR(__xludf.DUMMYFUNCTION("""COMPUTED_VALUE"""),"บุรีรัมย์")</f>
        <v>บุรีรัมย์</v>
      </c>
      <c r="AC885" s="3">
        <f>IFERROR(__xludf.DUMMYFUNCTION("""COMPUTED_VALUE"""),31000.0)</f>
        <v>31000</v>
      </c>
      <c r="AD885" s="3">
        <f>IFERROR(__xludf.DUMMYFUNCTION("""COMPUTED_VALUE"""),15.01151)</f>
        <v>15.01151</v>
      </c>
      <c r="AE885" s="3">
        <f>IFERROR(__xludf.DUMMYFUNCTION("""COMPUTED_VALUE"""),103.093204)</f>
        <v>103.093204</v>
      </c>
      <c r="AF885" s="3" t="str">
        <f>IFERROR(__xludf.DUMMYFUNCTION("""COMPUTED_VALUE"""),"MBC บ้านชุมเห็ด-21654")</f>
        <v>MBC บ้านชุมเห็ด-21654</v>
      </c>
      <c r="AG885" s="3" t="str">
        <f>IFERROR(__xludf.DUMMYFUNCTION("""COMPUTED_VALUE"""),"ตะวันออกเฉียงเหนือ")</f>
        <v>ตะวันออกเฉียงเหนือ</v>
      </c>
      <c r="AH885" s="3" t="str">
        <f>IFERROR(__xludf.DUMMYFUNCTION("""COMPUTED_VALUE"""),"#N/A")</f>
        <v>#N/A</v>
      </c>
      <c r="AI885" s="3" t="str">
        <f>IFERROR(__xludf.DUMMYFUNCTION("""COMPUTED_VALUE"""),"Out of warranty")</f>
        <v>Out of warranty</v>
      </c>
      <c r="AJ885" s="3">
        <f>IFERROR(__xludf.DUMMYFUNCTION("""COMPUTED_VALUE"""),89.0)</f>
        <v>89</v>
      </c>
      <c r="AK885" s="3" t="str">
        <f>IFERROR(__xludf.DUMMYFUNCTION("""COMPUTED_VALUE"""),"MMS11")</f>
        <v>MMS11</v>
      </c>
      <c r="AL885" s="3"/>
    </row>
    <row r="886" ht="15.75" customHeight="1">
      <c r="A886" s="1" t="str">
        <f>IFERROR(__xludf.DUMMYFUNCTION("""COMPUTED_VALUE"""),"21655")</f>
        <v>21655</v>
      </c>
      <c r="B886" s="2">
        <f>IFERROR(__xludf.DUMMYFUNCTION("""COMPUTED_VALUE"""),21655.0)</f>
        <v>21655</v>
      </c>
      <c r="C886" s="3" t="str">
        <f>IFERROR(__xludf.DUMMYFUNCTION("""COMPUTED_VALUE"""),"MBC ถนนหน้าเมือง สุราษฏร์ธานี")</f>
        <v>MBC ถนนหน้าเมือง สุราษฏร์ธานี</v>
      </c>
      <c r="D886" s="3" t="str">
        <f>IFERROR(__xludf.DUMMYFUNCTION("""COMPUTED_VALUE"""),"MBC NA MUEANG RD, SURATTHANI")</f>
        <v>MBC NA MUEANG RD, SURATTHANI</v>
      </c>
      <c r="E886" s="1" t="str">
        <f>IFERROR(__xludf.DUMMYFUNCTION("""COMPUTED_VALUE"""),"บิ๊กซี MINI")</f>
        <v>บิ๊กซี MINI</v>
      </c>
      <c r="F886" s="3"/>
      <c r="G886" s="3"/>
      <c r="H886" s="3"/>
      <c r="I886" s="3"/>
      <c r="J886" s="3"/>
      <c r="K886" s="3"/>
      <c r="L886" s="1" t="str">
        <f>IFERROR(__xludf.DUMMYFUNCTION("""COMPUTED_VALUE"""),"0")</f>
        <v>0</v>
      </c>
      <c r="M886" s="1" t="str">
        <f>IFERROR(__xludf.DUMMYFUNCTION("""COMPUTED_VALUE"""),"0")</f>
        <v>0</v>
      </c>
      <c r="N886" s="3"/>
      <c r="O886" s="3"/>
      <c r="P886" s="3" t="str">
        <f>IFERROR(__xludf.DUMMYFUNCTION("""COMPUTED_VALUE"""),"0/1/1900")</f>
        <v>0/1/1900</v>
      </c>
      <c r="Q886" s="3" t="str">
        <f>IFERROR(__xludf.DUMMYFUNCTION("""COMPUTED_VALUE"""),"I")</f>
        <v>I</v>
      </c>
      <c r="R886" s="3" t="str">
        <f>IFERROR(__xludf.DUMMYFUNCTION("""COMPUTED_VALUE"""),"Small Format")</f>
        <v>Small Format</v>
      </c>
      <c r="S886" s="3" t="str">
        <f>IFERROR(__xludf.DUMMYFUNCTION("""COMPUTED_VALUE"""),"BCM")</f>
        <v>BCM</v>
      </c>
      <c r="T886" s="3" t="str">
        <f>IFERROR(__xludf.DUMMYFUNCTION("""COMPUTED_VALUE"""),"#N/A")</f>
        <v>#N/A</v>
      </c>
      <c r="U886" s="3" t="str">
        <f>IFERROR(__xludf.DUMMYFUNCTION("""COMPUTED_VALUE"""),"#N/A")</f>
        <v>#N/A</v>
      </c>
      <c r="V886" s="3" t="str">
        <f>IFERROR(__xludf.DUMMYFUNCTION("""COMPUTED_VALUE"""),"N")</f>
        <v>N</v>
      </c>
      <c r="W886" s="3">
        <f>IFERROR(__xludf.DUMMYFUNCTION("""COMPUTED_VALUE"""),211621.0)</f>
        <v>211621</v>
      </c>
      <c r="X886" s="3" t="str">
        <f>IFERROR(__xludf.DUMMYFUNCTION("""COMPUTED_VALUE"""),"131/5-7 ถนนหน้าเมือง ตำบลตลาด อำเภอเมืองสุราษฎร์ธานี จังหวัดสุราษฎร์ธานี 84000")</f>
        <v>131/5-7 ถนนหน้าเมือง ตำบลตลาด อำเภอเมืองสุราษฎร์ธานี จังหวัดสุราษฎร์ธานี 84000</v>
      </c>
      <c r="Y886" s="3" t="str">
        <f>IFERROR(__xludf.DUMMYFUNCTION("""COMPUTED_VALUE"""),"ถนนหน้าเมือง")</f>
        <v>ถนนหน้าเมือง</v>
      </c>
      <c r="Z886" s="3" t="str">
        <f>IFERROR(__xludf.DUMMYFUNCTION("""COMPUTED_VALUE"""),"ตลาด")</f>
        <v>ตลาด</v>
      </c>
      <c r="AA886" s="3" t="str">
        <f>IFERROR(__xludf.DUMMYFUNCTION("""COMPUTED_VALUE"""),"เมือง")</f>
        <v>เมือง</v>
      </c>
      <c r="AB886" s="3" t="str">
        <f>IFERROR(__xludf.DUMMYFUNCTION("""COMPUTED_VALUE"""),"สุราษฎร์ธานี")</f>
        <v>สุราษฎร์ธานี</v>
      </c>
      <c r="AC886" s="3">
        <f>IFERROR(__xludf.DUMMYFUNCTION("""COMPUTED_VALUE"""),84000.0)</f>
        <v>84000</v>
      </c>
      <c r="AD886" s="3" t="str">
        <f>IFERROR(__xludf.DUMMYFUNCTION("""COMPUTED_VALUE"""),"#N/A")</f>
        <v>#N/A</v>
      </c>
      <c r="AE886" s="3" t="str">
        <f>IFERROR(__xludf.DUMMYFUNCTION("""COMPUTED_VALUE"""),"#N/A")</f>
        <v>#N/A</v>
      </c>
      <c r="AF886" s="3" t="str">
        <f>IFERROR(__xludf.DUMMYFUNCTION("""COMPUTED_VALUE"""),"MBC ถนนหน้าเมือง สุราษฏร์ธานี-21655")</f>
        <v>MBC ถนนหน้าเมือง สุราษฏร์ธานี-21655</v>
      </c>
      <c r="AG886" s="3" t="str">
        <f>IFERROR(__xludf.DUMMYFUNCTION("""COMPUTED_VALUE"""),"ใต้")</f>
        <v>ใต้</v>
      </c>
      <c r="AH886" s="3" t="str">
        <f>IFERROR(__xludf.DUMMYFUNCTION("""COMPUTED_VALUE"""),"#N/A")</f>
        <v>#N/A</v>
      </c>
      <c r="AI886" s="3" t="str">
        <f>IFERROR(__xludf.DUMMYFUNCTION("""COMPUTED_VALUE"""),"Out of warranty")</f>
        <v>Out of warranty</v>
      </c>
      <c r="AJ886" s="3">
        <f>IFERROR(__xludf.DUMMYFUNCTION("""COMPUTED_VALUE"""),1513.0)</f>
        <v>1513</v>
      </c>
      <c r="AK886" s="3"/>
      <c r="AL886" s="3"/>
    </row>
    <row r="887" ht="15.75" customHeight="1">
      <c r="A887" s="1" t="str">
        <f>IFERROR(__xludf.DUMMYFUNCTION("""COMPUTED_VALUE"""),"21656")</f>
        <v>21656</v>
      </c>
      <c r="B887" s="2">
        <f>IFERROR(__xludf.DUMMYFUNCTION("""COMPUTED_VALUE"""),21656.0)</f>
        <v>21656</v>
      </c>
      <c r="C887" s="3" t="str">
        <f>IFERROR(__xludf.DUMMYFUNCTION("""COMPUTED_VALUE"""),"MBC ถนนโชตนา")</f>
        <v>MBC ถนนโชตนา</v>
      </c>
      <c r="D887" s="3" t="str">
        <f>IFERROR(__xludf.DUMMYFUNCTION("""COMPUTED_VALUE"""),"BCM THANON CHOTANA")</f>
        <v>BCM THANON CHOTANA</v>
      </c>
      <c r="E887" s="1" t="str">
        <f>IFERROR(__xludf.DUMMYFUNCTION("""COMPUTED_VALUE"""),"บิ๊กซี MINI")</f>
        <v>บิ๊กซี MINI</v>
      </c>
      <c r="F887" s="1" t="str">
        <f>IFERROR(__xludf.DUMMYFUNCTION("""COMPUTED_VALUE"""),"296229")</f>
        <v>296229</v>
      </c>
      <c r="G887" s="1" t="str">
        <f>IFERROR(__xludf.DUMMYFUNCTION("""COMPUTED_VALUE"""),"นายทนงศักดิ์ บุญมา")</f>
        <v>นายทนงศักดิ์ บุญมา</v>
      </c>
      <c r="H887" s="1" t="str">
        <f>IFERROR(__xludf.DUMMYFUNCTION("""COMPUTED_VALUE"""),"393402")</f>
        <v>393402</v>
      </c>
      <c r="I887" s="1" t="str">
        <f>IFERROR(__xludf.DUMMYFUNCTION("""COMPUTED_VALUE"""),"น.ส.ปารมิตา ใจตรง")</f>
        <v>น.ส.ปารมิตา ใจตรง</v>
      </c>
      <c r="J887" s="3">
        <f>IFERROR(__xludf.DUMMYFUNCTION("""COMPUTED_VALUE"""),2010016.0)</f>
        <v>2010016</v>
      </c>
      <c r="K887" s="3" t="str">
        <f>IFERROR(__xludf.DUMMYFUNCTION("""COMPUTED_VALUE"""),"นายตวงธรรม ใหม่ยศ")</f>
        <v>นายตวงธรรม ใหม่ยศ</v>
      </c>
      <c r="L887" s="1" t="str">
        <f>IFERROR(__xludf.DUMMYFUNCTION("""COMPUTED_VALUE"""),"01 K.Tuangtham M.")</f>
        <v>01 K.Tuangtham M.</v>
      </c>
      <c r="M887" s="1" t="str">
        <f>IFERROR(__xludf.DUMMYFUNCTION("""COMPUTED_VALUE"""),"063-976-595")</f>
        <v>063-976-595</v>
      </c>
      <c r="N887" s="3">
        <f>IFERROR(__xludf.DUMMYFUNCTION("""COMPUTED_VALUE"""),22574.0)</f>
        <v>22574</v>
      </c>
      <c r="O887" s="3" t="str">
        <f>IFERROR(__xludf.DUMMYFUNCTION("""COMPUTED_VALUE"""),"BCM ชุมชนศรีชุม ลำปาง")</f>
        <v>BCM ชุมชนศรีชุม ลำปาง</v>
      </c>
      <c r="P887" s="4">
        <f>IFERROR(__xludf.DUMMYFUNCTION("""COMPUTED_VALUE"""),43403.0)</f>
        <v>43403</v>
      </c>
      <c r="Q887" s="3" t="str">
        <f>IFERROR(__xludf.DUMMYFUNCTION("""COMPUTED_VALUE"""),"A")</f>
        <v>A</v>
      </c>
      <c r="R887" s="3" t="str">
        <f>IFERROR(__xludf.DUMMYFUNCTION("""COMPUTED_VALUE"""),"Small Format")</f>
        <v>Small Format</v>
      </c>
      <c r="S887" s="3" t="str">
        <f>IFERROR(__xludf.DUMMYFUNCTION("""COMPUTED_VALUE"""),"BCM")</f>
        <v>BCM</v>
      </c>
      <c r="T887" s="3" t="str">
        <f>IFERROR(__xludf.DUMMYFUNCTION("""COMPUTED_VALUE"""),"#N/A")</f>
        <v>#N/A</v>
      </c>
      <c r="U887" s="3" t="str">
        <f>IFERROR(__xludf.DUMMYFUNCTION("""COMPUTED_VALUE"""),"#N/A")</f>
        <v>#N/A</v>
      </c>
      <c r="V887" s="3" t="str">
        <f>IFERROR(__xludf.DUMMYFUNCTION("""COMPUTED_VALUE"""),"N")</f>
        <v>N</v>
      </c>
      <c r="W887" s="3">
        <f>IFERROR(__xludf.DUMMYFUNCTION("""COMPUTED_VALUE"""),211620.0)</f>
        <v>211620</v>
      </c>
      <c r="X887" s="3" t="str">
        <f>IFERROR(__xludf.DUMMYFUNCTION("""COMPUTED_VALUE"""),"108/6 หมู่8 ตำบลดอนแก้ว อำเภอแม่ริม จังหวัดเชียงใหม่ 50180")</f>
        <v>108/6 หมู่8 ตำบลดอนแก้ว อำเภอแม่ริม จังหวัดเชียงใหม่ 50180</v>
      </c>
      <c r="Y887" s="3"/>
      <c r="Z887" s="3" t="str">
        <f>IFERROR(__xludf.DUMMYFUNCTION("""COMPUTED_VALUE"""),"ดอนแก้ว")</f>
        <v>ดอนแก้ว</v>
      </c>
      <c r="AA887" s="3" t="str">
        <f>IFERROR(__xludf.DUMMYFUNCTION("""COMPUTED_VALUE"""),"แม่ริม")</f>
        <v>แม่ริม</v>
      </c>
      <c r="AB887" s="3" t="str">
        <f>IFERROR(__xludf.DUMMYFUNCTION("""COMPUTED_VALUE"""),"เชียงใหม่")</f>
        <v>เชียงใหม่</v>
      </c>
      <c r="AC887" s="3">
        <f>IFERROR(__xludf.DUMMYFUNCTION("""COMPUTED_VALUE"""),50180.0)</f>
        <v>50180</v>
      </c>
      <c r="AD887" s="3">
        <f>IFERROR(__xludf.DUMMYFUNCTION("""COMPUTED_VALUE"""),18.845802)</f>
        <v>18.845802</v>
      </c>
      <c r="AE887" s="3">
        <f>IFERROR(__xludf.DUMMYFUNCTION("""COMPUTED_VALUE"""),98.971647)</f>
        <v>98.971647</v>
      </c>
      <c r="AF887" s="3" t="str">
        <f>IFERROR(__xludf.DUMMYFUNCTION("""COMPUTED_VALUE"""),"MBC ถนนโชตนา-21656")</f>
        <v>MBC ถนนโชตนา-21656</v>
      </c>
      <c r="AG887" s="3" t="str">
        <f>IFERROR(__xludf.DUMMYFUNCTION("""COMPUTED_VALUE"""),"เหนือ")</f>
        <v>เหนือ</v>
      </c>
      <c r="AH887" s="3" t="str">
        <f>IFERROR(__xludf.DUMMYFUNCTION("""COMPUTED_VALUE"""),"#N/A")</f>
        <v>#N/A</v>
      </c>
      <c r="AI887" s="3" t="str">
        <f>IFERROR(__xludf.DUMMYFUNCTION("""COMPUTED_VALUE"""),"Out of warranty")</f>
        <v>Out of warranty</v>
      </c>
      <c r="AJ887" s="3">
        <f>IFERROR(__xludf.DUMMYFUNCTION("""COMPUTED_VALUE"""),87.0)</f>
        <v>87</v>
      </c>
      <c r="AK887" s="3" t="str">
        <f>IFERROR(__xludf.DUMMYFUNCTION("""COMPUTED_VALUE"""),"MMS10")</f>
        <v>MMS10</v>
      </c>
      <c r="AL887" s="3"/>
    </row>
    <row r="888" ht="15.75" customHeight="1">
      <c r="A888" s="1" t="str">
        <f>IFERROR(__xludf.DUMMYFUNCTION("""COMPUTED_VALUE"""),"21657")</f>
        <v>21657</v>
      </c>
      <c r="B888" s="2">
        <f>IFERROR(__xludf.DUMMYFUNCTION("""COMPUTED_VALUE"""),21657.0)</f>
        <v>21657</v>
      </c>
      <c r="C888" s="3" t="str">
        <f>IFERROR(__xludf.DUMMYFUNCTION("""COMPUTED_VALUE"""),"MBC คู้บอน ซอย 27")</f>
        <v>MBC คู้บอน ซอย 27</v>
      </c>
      <c r="D888" s="3" t="str">
        <f>IFERROR(__xludf.DUMMYFUNCTION("""COMPUTED_VALUE"""),"BCM KHUBON SOI 27")</f>
        <v>BCM KHUBON SOI 27</v>
      </c>
      <c r="E888" s="1" t="str">
        <f>IFERROR(__xludf.DUMMYFUNCTION("""COMPUTED_VALUE"""),"บิ๊กซี MINI")</f>
        <v>บิ๊กซี MINI</v>
      </c>
      <c r="F888" s="1" t="str">
        <f>IFERROR(__xludf.DUMMYFUNCTION("""COMPUTED_VALUE"""),"291008")</f>
        <v>291008</v>
      </c>
      <c r="G888" s="1" t="str">
        <f>IFERROR(__xludf.DUMMYFUNCTION("""COMPUTED_VALUE"""),"น.ส.รัชดาพร อีศรัตน์")</f>
        <v>น.ส.รัชดาพร อีศรัตน์</v>
      </c>
      <c r="H888" s="1" t="str">
        <f>IFERROR(__xludf.DUMMYFUNCTION("""COMPUTED_VALUE"""),"288639")</f>
        <v>288639</v>
      </c>
      <c r="I888" s="1" t="str">
        <f>IFERROR(__xludf.DUMMYFUNCTION("""COMPUTED_VALUE"""),"น.ส.สมหญิง สีชมภู")</f>
        <v>น.ส.สมหญิง สีชมภู</v>
      </c>
      <c r="J888" s="3">
        <f>IFERROR(__xludf.DUMMYFUNCTION("""COMPUTED_VALUE"""),3510104.0)</f>
        <v>3510104</v>
      </c>
      <c r="K888" s="3" t="str">
        <f>IFERROR(__xludf.DUMMYFUNCTION("""COMPUTED_VALUE"""),"นายวิโรจน์ อับดุลสมัด")</f>
        <v>นายวิโรจน์ อับดุลสมัด</v>
      </c>
      <c r="L888" s="1" t="str">
        <f>IFERROR(__xludf.DUMMYFUNCTION("""COMPUTED_VALUE"""),"09 K.Wirode A")</f>
        <v>09 K.Wirode A</v>
      </c>
      <c r="M888" s="1" t="str">
        <f>IFERROR(__xludf.DUMMYFUNCTION("""COMPUTED_VALUE"""),"080-235-4465")</f>
        <v>080-235-4465</v>
      </c>
      <c r="N888" s="3">
        <f>IFERROR(__xludf.DUMMYFUNCTION("""COMPUTED_VALUE"""),21324.0)</f>
        <v>21324</v>
      </c>
      <c r="O888" s="3" t="str">
        <f>IFERROR(__xludf.DUMMYFUNCTION("""COMPUTED_VALUE"""),"MBC BCP สุวินทวงศ์")</f>
        <v>MBC BCP สุวินทวงศ์</v>
      </c>
      <c r="P888" s="4">
        <f>IFERROR(__xludf.DUMMYFUNCTION("""COMPUTED_VALUE"""),43337.0)</f>
        <v>43337</v>
      </c>
      <c r="Q888" s="3" t="str">
        <f>IFERROR(__xludf.DUMMYFUNCTION("""COMPUTED_VALUE"""),"A")</f>
        <v>A</v>
      </c>
      <c r="R888" s="3" t="str">
        <f>IFERROR(__xludf.DUMMYFUNCTION("""COMPUTED_VALUE"""),"Small Format")</f>
        <v>Small Format</v>
      </c>
      <c r="S888" s="3" t="str">
        <f>IFERROR(__xludf.DUMMYFUNCTION("""COMPUTED_VALUE"""),"BCM")</f>
        <v>BCM</v>
      </c>
      <c r="T888" s="3" t="str">
        <f>IFERROR(__xludf.DUMMYFUNCTION("""COMPUTED_VALUE"""),"#N/A")</f>
        <v>#N/A</v>
      </c>
      <c r="U888" s="3" t="str">
        <f>IFERROR(__xludf.DUMMYFUNCTION("""COMPUTED_VALUE"""),"#N/A")</f>
        <v>#N/A</v>
      </c>
      <c r="V888" s="3" t="str">
        <f>IFERROR(__xludf.DUMMYFUNCTION("""COMPUTED_VALUE"""),"N")</f>
        <v>N</v>
      </c>
      <c r="W888" s="3">
        <f>IFERROR(__xludf.DUMMYFUNCTION("""COMPUTED_VALUE"""),211564.0)</f>
        <v>211564</v>
      </c>
      <c r="X888" s="3" t="str">
        <f>IFERROR(__xludf.DUMMYFUNCTION("""COMPUTED_VALUE"""),"5/3 ซอยคู้บอน27 แขวงท่าแร้ง เขตบางเขน กรุงเทพมหานคร 10220")</f>
        <v>5/3 ซอยคู้บอน27 แขวงท่าแร้ง เขตบางเขน กรุงเทพมหานคร 10220</v>
      </c>
      <c r="Y888" s="3" t="str">
        <f>IFERROR(__xludf.DUMMYFUNCTION("""COMPUTED_VALUE"""),"ซอยคู้บอน27")</f>
        <v>ซอยคู้บอน27</v>
      </c>
      <c r="Z888" s="3" t="str">
        <f>IFERROR(__xludf.DUMMYFUNCTION("""COMPUTED_VALUE"""),"ท่าแร้ง")</f>
        <v>ท่าแร้ง</v>
      </c>
      <c r="AA888" s="3" t="str">
        <f>IFERROR(__xludf.DUMMYFUNCTION("""COMPUTED_VALUE"""),"บางเขน")</f>
        <v>บางเขน</v>
      </c>
      <c r="AB888" s="3" t="str">
        <f>IFERROR(__xludf.DUMMYFUNCTION("""COMPUTED_VALUE"""),"กรุงเทพมหานคร")</f>
        <v>กรุงเทพมหานคร</v>
      </c>
      <c r="AC888" s="3">
        <f>IFERROR(__xludf.DUMMYFUNCTION("""COMPUTED_VALUE"""),10220.0)</f>
        <v>10220</v>
      </c>
      <c r="AD888" s="3">
        <f>IFERROR(__xludf.DUMMYFUNCTION("""COMPUTED_VALUE"""),13.857622)</f>
        <v>13.857622</v>
      </c>
      <c r="AE888" s="3">
        <f>IFERROR(__xludf.DUMMYFUNCTION("""COMPUTED_VALUE"""),100.664789)</f>
        <v>100.664789</v>
      </c>
      <c r="AF888" s="3" t="str">
        <f>IFERROR(__xludf.DUMMYFUNCTION("""COMPUTED_VALUE"""),"MBC คู้บอน ซอย 27-21657")</f>
        <v>MBC คู้บอน ซอย 27-21657</v>
      </c>
      <c r="AG888" s="3" t="str">
        <f>IFERROR(__xludf.DUMMYFUNCTION("""COMPUTED_VALUE"""),"กลาง")</f>
        <v>กลาง</v>
      </c>
      <c r="AH888" s="3" t="str">
        <f>IFERROR(__xludf.DUMMYFUNCTION("""COMPUTED_VALUE"""),"#N/A")</f>
        <v>#N/A</v>
      </c>
      <c r="AI888" s="3" t="str">
        <f>IFERROR(__xludf.DUMMYFUNCTION("""COMPUTED_VALUE"""),"Out of warranty")</f>
        <v>Out of warranty</v>
      </c>
      <c r="AJ888" s="3">
        <f>IFERROR(__xludf.DUMMYFUNCTION("""COMPUTED_VALUE"""),89.0)</f>
        <v>89</v>
      </c>
      <c r="AK888" s="3" t="str">
        <f>IFERROR(__xludf.DUMMYFUNCTION("""COMPUTED_VALUE"""),"MMS01")</f>
        <v>MMS01</v>
      </c>
      <c r="AL888" s="3"/>
    </row>
    <row r="889" ht="15.75" customHeight="1">
      <c r="A889" s="1" t="str">
        <f>IFERROR(__xludf.DUMMYFUNCTION("""COMPUTED_VALUE"""),"21658")</f>
        <v>21658</v>
      </c>
      <c r="B889" s="2">
        <f>IFERROR(__xludf.DUMMYFUNCTION("""COMPUTED_VALUE"""),21658.0)</f>
        <v>21658</v>
      </c>
      <c r="C889" s="3" t="str">
        <f>IFERROR(__xludf.DUMMYFUNCTION("""COMPUTED_VALUE"""),"MBC ถนนรัถการ หาดใหญ่")</f>
        <v>MBC ถนนรัถการ หาดใหญ่</v>
      </c>
      <c r="D889" s="3" t="str">
        <f>IFERROR(__xludf.DUMMYFUNCTION("""COMPUTED_VALUE"""),"BCM THANON RATTAKARN (HAT YAI)")</f>
        <v>BCM THANON RATTAKARN (HAT YAI)</v>
      </c>
      <c r="E889" s="1" t="str">
        <f>IFERROR(__xludf.DUMMYFUNCTION("""COMPUTED_VALUE"""),"บิ๊กซี MINI")</f>
        <v>บิ๊กซี MINI</v>
      </c>
      <c r="F889" s="1" t="str">
        <f>IFERROR(__xludf.DUMMYFUNCTION("""COMPUTED_VALUE"""),"250760")</f>
        <v>250760</v>
      </c>
      <c r="G889" s="1" t="str">
        <f>IFERROR(__xludf.DUMMYFUNCTION("""COMPUTED_VALUE"""),"นายประทวน สาราบรรณ์")</f>
        <v>นายประทวน สาราบรรณ์</v>
      </c>
      <c r="H889" s="1" t="str">
        <f>IFERROR(__xludf.DUMMYFUNCTION("""COMPUTED_VALUE"""),"394100")</f>
        <v>394100</v>
      </c>
      <c r="I889" s="1" t="str">
        <f>IFERROR(__xludf.DUMMYFUNCTION("""COMPUTED_VALUE"""),"นายไพโรจน์ ถิระผะลิกะ")</f>
        <v>นายไพโรจน์ ถิระผะลิกะ</v>
      </c>
      <c r="J889" s="3">
        <f>IFERROR(__xludf.DUMMYFUNCTION("""COMPUTED_VALUE"""),2.0470331E7)</f>
        <v>20470331</v>
      </c>
      <c r="K889" s="3" t="str">
        <f>IFERROR(__xludf.DUMMYFUNCTION("""COMPUTED_VALUE"""),"นายสมชาย ลักษณะสุวรรณ")</f>
        <v>นายสมชาย ลักษณะสุวรรณ</v>
      </c>
      <c r="L889" s="1" t="str">
        <f>IFERROR(__xludf.DUMMYFUNCTION("""COMPUTED_VALUE"""),"15 K.Somchai L")</f>
        <v>15 K.Somchai L</v>
      </c>
      <c r="M889" s="1" t="str">
        <f>IFERROR(__xludf.DUMMYFUNCTION("""COMPUTED_VALUE"""),"0655107372")</f>
        <v>0655107372</v>
      </c>
      <c r="N889" s="3">
        <f>IFERROR(__xludf.DUMMYFUNCTION("""COMPUTED_VALUE"""),21723.0)</f>
        <v>21723</v>
      </c>
      <c r="O889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889" s="4">
        <f>IFERROR(__xludf.DUMMYFUNCTION("""COMPUTED_VALUE"""),46053.0)</f>
        <v>46053</v>
      </c>
      <c r="Q889" s="3" t="str">
        <f>IFERROR(__xludf.DUMMYFUNCTION("""COMPUTED_VALUE"""),"A")</f>
        <v>A</v>
      </c>
      <c r="R889" s="3" t="str">
        <f>IFERROR(__xludf.DUMMYFUNCTION("""COMPUTED_VALUE"""),"Small Format")</f>
        <v>Small Format</v>
      </c>
      <c r="S889" s="3" t="str">
        <f>IFERROR(__xludf.DUMMYFUNCTION("""COMPUTED_VALUE"""),"BCM")</f>
        <v>BCM</v>
      </c>
      <c r="T889" s="3" t="str">
        <f>IFERROR(__xludf.DUMMYFUNCTION("""COMPUTED_VALUE"""),"#N/A")</f>
        <v>#N/A</v>
      </c>
      <c r="U889" s="3" t="str">
        <f>IFERROR(__xludf.DUMMYFUNCTION("""COMPUTED_VALUE"""),"#N/A")</f>
        <v>#N/A</v>
      </c>
      <c r="V889" s="3" t="str">
        <f>IFERROR(__xludf.DUMMYFUNCTION("""COMPUTED_VALUE"""),"N")</f>
        <v>N</v>
      </c>
      <c r="W889" s="3">
        <f>IFERROR(__xludf.DUMMYFUNCTION("""COMPUTED_VALUE"""),211623.0)</f>
        <v>211623</v>
      </c>
      <c r="X889" s="3" t="str">
        <f>IFERROR(__xludf.DUMMYFUNCTION("""COMPUTED_VALUE"""),"198/25 ถนนรัถการ ตำบลหาดใหญ่ อำเภอหาดใหญ่ จังหวัดสงขลา 90110")</f>
        <v>198/25 ถนนรัถการ ตำบลหาดใหญ่ อำเภอหาดใหญ่ จังหวัดสงขลา 90110</v>
      </c>
      <c r="Y889" s="3" t="str">
        <f>IFERROR(__xludf.DUMMYFUNCTION("""COMPUTED_VALUE"""),"ถนนรัถการ")</f>
        <v>ถนนรัถการ</v>
      </c>
      <c r="Z889" s="3" t="str">
        <f>IFERROR(__xludf.DUMMYFUNCTION("""COMPUTED_VALUE"""),"หาดใหญ่")</f>
        <v>หาดใหญ่</v>
      </c>
      <c r="AA889" s="3" t="str">
        <f>IFERROR(__xludf.DUMMYFUNCTION("""COMPUTED_VALUE"""),"หาดใหญ่")</f>
        <v>หาดใหญ่</v>
      </c>
      <c r="AB889" s="3" t="str">
        <f>IFERROR(__xludf.DUMMYFUNCTION("""COMPUTED_VALUE"""),"สงขลา")</f>
        <v>สงขลา</v>
      </c>
      <c r="AC889" s="3">
        <f>IFERROR(__xludf.DUMMYFUNCTION("""COMPUTED_VALUE"""),90110.0)</f>
        <v>90110</v>
      </c>
      <c r="AD889" s="3">
        <f>IFERROR(__xludf.DUMMYFUNCTION("""COMPUTED_VALUE"""),7.018172)</f>
        <v>7.018172</v>
      </c>
      <c r="AE889" s="3">
        <f>IFERROR(__xludf.DUMMYFUNCTION("""COMPUTED_VALUE"""),100.466778)</f>
        <v>100.466778</v>
      </c>
      <c r="AF889" s="3" t="str">
        <f>IFERROR(__xludf.DUMMYFUNCTION("""COMPUTED_VALUE"""),"MBC ถนนรัถการ หาดใหญ่-21658")</f>
        <v>MBC ถนนรัถการ หาดใหญ่-21658</v>
      </c>
      <c r="AG889" s="3" t="str">
        <f>IFERROR(__xludf.DUMMYFUNCTION("""COMPUTED_VALUE"""),"ใต้")</f>
        <v>ใต้</v>
      </c>
      <c r="AH889" s="3" t="str">
        <f>IFERROR(__xludf.DUMMYFUNCTION("""COMPUTED_VALUE"""),"#N/A")</f>
        <v>#N/A</v>
      </c>
      <c r="AI889" s="3" t="str">
        <f>IFERROR(__xludf.DUMMYFUNCTION("""COMPUTED_VALUE"""),"In warranty")</f>
        <v>In warranty</v>
      </c>
      <c r="AJ889" s="3">
        <f>IFERROR(__xludf.DUMMYFUNCTION("""COMPUTED_VALUE"""),0.0)</f>
        <v>0</v>
      </c>
      <c r="AK889" s="3" t="str">
        <f>IFERROR(__xludf.DUMMYFUNCTION("""COMPUTED_VALUE"""),"MMS16")</f>
        <v>MMS16</v>
      </c>
      <c r="AL889" s="3"/>
    </row>
    <row r="890" ht="15.75" customHeight="1">
      <c r="A890" s="1" t="str">
        <f>IFERROR(__xludf.DUMMYFUNCTION("""COMPUTED_VALUE"""),"21659")</f>
        <v>21659</v>
      </c>
      <c r="B890" s="2">
        <f>IFERROR(__xludf.DUMMYFUNCTION("""COMPUTED_VALUE"""),21659.0)</f>
        <v>21659</v>
      </c>
      <c r="C890" s="3" t="str">
        <f>IFERROR(__xludf.DUMMYFUNCTION("""COMPUTED_VALUE"""),"MBC เมืองทองธานี 2")</f>
        <v>MBC เมืองทองธานี 2</v>
      </c>
      <c r="D890" s="3" t="str">
        <f>IFERROR(__xludf.DUMMYFUNCTION("""COMPUTED_VALUE"""),"BCM MUANGTHONG THANI 2")</f>
        <v>BCM MUANGTHONG THANI 2</v>
      </c>
      <c r="E890" s="1" t="str">
        <f>IFERROR(__xludf.DUMMYFUNCTION("""COMPUTED_VALUE"""),"บิ๊กซี MINI")</f>
        <v>บิ๊กซี MINI</v>
      </c>
      <c r="F890" s="1" t="str">
        <f>IFERROR(__xludf.DUMMYFUNCTION("""COMPUTED_VALUE"""),"291008")</f>
        <v>291008</v>
      </c>
      <c r="G890" s="1" t="str">
        <f>IFERROR(__xludf.DUMMYFUNCTION("""COMPUTED_VALUE"""),"น.ส.รัชดาพร อีศรัตน์")</f>
        <v>น.ส.รัชดาพร อีศรัตน์</v>
      </c>
      <c r="H890" s="1" t="str">
        <f>IFERROR(__xludf.DUMMYFUNCTION("""COMPUTED_VALUE"""),"034068")</f>
        <v>034068</v>
      </c>
      <c r="I890" s="1" t="str">
        <f>IFERROR(__xludf.DUMMYFUNCTION("""COMPUTED_VALUE"""),"นายสมศักดิ์ ฐานทองดี")</f>
        <v>นายสมศักดิ์ ฐานทองดี</v>
      </c>
      <c r="J890" s="1" t="str">
        <f>IFERROR(__xludf.DUMMYFUNCTION("""COMPUTED_VALUE"""),"296608")</f>
        <v>296608</v>
      </c>
      <c r="K890" s="3" t="str">
        <f>IFERROR(__xludf.DUMMYFUNCTION("""COMPUTED_VALUE"""),"นายภาคภูมิ เพ็ชรนิล")</f>
        <v>นายภาคภูมิ เพ็ชรนิล</v>
      </c>
      <c r="L890" s="1" t="str">
        <f>IFERROR(__xludf.DUMMYFUNCTION("""COMPUTED_VALUE"""),"10 K.Phakphoom P.")</f>
        <v>10 K.Phakphoom P.</v>
      </c>
      <c r="M890" s="1" t="str">
        <f>IFERROR(__xludf.DUMMYFUNCTION("""COMPUTED_VALUE"""),"063-8955329")</f>
        <v>063-8955329</v>
      </c>
      <c r="N890" s="3">
        <f>IFERROR(__xludf.DUMMYFUNCTION("""COMPUTED_VALUE"""),22584.0)</f>
        <v>22584</v>
      </c>
      <c r="O890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890" s="4">
        <f>IFERROR(__xludf.DUMMYFUNCTION("""COMPUTED_VALUE"""),43350.0)</f>
        <v>43350</v>
      </c>
      <c r="Q890" s="3" t="str">
        <f>IFERROR(__xludf.DUMMYFUNCTION("""COMPUTED_VALUE"""),"A")</f>
        <v>A</v>
      </c>
      <c r="R890" s="3" t="str">
        <f>IFERROR(__xludf.DUMMYFUNCTION("""COMPUTED_VALUE"""),"Small Format")</f>
        <v>Small Format</v>
      </c>
      <c r="S890" s="3" t="str">
        <f>IFERROR(__xludf.DUMMYFUNCTION("""COMPUTED_VALUE"""),"BCM")</f>
        <v>BCM</v>
      </c>
      <c r="T890" s="3" t="str">
        <f>IFERROR(__xludf.DUMMYFUNCTION("""COMPUTED_VALUE"""),"#N/A")</f>
        <v>#N/A</v>
      </c>
      <c r="U890" s="3" t="str">
        <f>IFERROR(__xludf.DUMMYFUNCTION("""COMPUTED_VALUE"""),"#N/A")</f>
        <v>#N/A</v>
      </c>
      <c r="V890" s="3" t="str">
        <f>IFERROR(__xludf.DUMMYFUNCTION("""COMPUTED_VALUE"""),"N")</f>
        <v>N</v>
      </c>
      <c r="W890" s="3">
        <f>IFERROR(__xludf.DUMMYFUNCTION("""COMPUTED_VALUE"""),211581.0)</f>
        <v>211581</v>
      </c>
      <c r="X890" s="3" t="str">
        <f>IFERROR(__xludf.DUMMYFUNCTION("""COMPUTED_VALUE"""),"10 ถนนป๊อปปูล่า ตำบลบางพูด อำเภอปากเกร็ด จังหวัดนนทบุรี 11120")</f>
        <v>10 ถนนป๊อปปูล่า ตำบลบางพูด อำเภอปากเกร็ด จังหวัดนนทบุรี 11120</v>
      </c>
      <c r="Y890" s="3" t="str">
        <f>IFERROR(__xludf.DUMMYFUNCTION("""COMPUTED_VALUE"""),"ถนนป๊อปปูล่า")</f>
        <v>ถนนป๊อปปูล่า</v>
      </c>
      <c r="Z890" s="3" t="str">
        <f>IFERROR(__xludf.DUMMYFUNCTION("""COMPUTED_VALUE"""),"บางพูด")</f>
        <v>บางพูด</v>
      </c>
      <c r="AA890" s="3" t="str">
        <f>IFERROR(__xludf.DUMMYFUNCTION("""COMPUTED_VALUE"""),"ปากเกร็ด")</f>
        <v>ปากเกร็ด</v>
      </c>
      <c r="AB890" s="3" t="str">
        <f>IFERROR(__xludf.DUMMYFUNCTION("""COMPUTED_VALUE"""),"นนทบุรี")</f>
        <v>นนทบุรี</v>
      </c>
      <c r="AC890" s="3">
        <f>IFERROR(__xludf.DUMMYFUNCTION("""COMPUTED_VALUE"""),11120.0)</f>
        <v>11120</v>
      </c>
      <c r="AD890" s="3">
        <f>IFERROR(__xludf.DUMMYFUNCTION("""COMPUTED_VALUE"""),13.910245)</f>
        <v>13.910245</v>
      </c>
      <c r="AE890" s="3">
        <f>IFERROR(__xludf.DUMMYFUNCTION("""COMPUTED_VALUE"""),100.549909)</f>
        <v>100.549909</v>
      </c>
      <c r="AF890" s="3" t="str">
        <f>IFERROR(__xludf.DUMMYFUNCTION("""COMPUTED_VALUE"""),"MBC เมืองทองธานี 2-21659")</f>
        <v>MBC เมืองทองธานี 2-21659</v>
      </c>
      <c r="AG890" s="3" t="str">
        <f>IFERROR(__xludf.DUMMYFUNCTION("""COMPUTED_VALUE"""),"กลาง")</f>
        <v>กลาง</v>
      </c>
      <c r="AH890" s="3" t="str">
        <f>IFERROR(__xludf.DUMMYFUNCTION("""COMPUTED_VALUE"""),"#N/A")</f>
        <v>#N/A</v>
      </c>
      <c r="AI890" s="3" t="str">
        <f>IFERROR(__xludf.DUMMYFUNCTION("""COMPUTED_VALUE"""),"Out of warranty")</f>
        <v>Out of warranty</v>
      </c>
      <c r="AJ890" s="3">
        <f>IFERROR(__xludf.DUMMYFUNCTION("""COMPUTED_VALUE"""),89.0)</f>
        <v>89</v>
      </c>
      <c r="AK890" s="3" t="str">
        <f>IFERROR(__xludf.DUMMYFUNCTION("""COMPUTED_VALUE"""),"MMS01")</f>
        <v>MMS01</v>
      </c>
      <c r="AL890" s="3"/>
    </row>
    <row r="891" ht="15.75" customHeight="1">
      <c r="A891" s="1" t="str">
        <f>IFERROR(__xludf.DUMMYFUNCTION("""COMPUTED_VALUE"""),"21660")</f>
        <v>21660</v>
      </c>
      <c r="B891" s="2">
        <f>IFERROR(__xludf.DUMMYFUNCTION("""COMPUTED_VALUE"""),21660.0)</f>
        <v>21660</v>
      </c>
      <c r="C891" s="3" t="str">
        <f>IFERROR(__xludf.DUMMYFUNCTION("""COMPUTED_VALUE"""),"MBC เทศบาลบางปู 37")</f>
        <v>MBC เทศบาลบางปู 37</v>
      </c>
      <c r="D891" s="3" t="str">
        <f>IFERROR(__xludf.DUMMYFUNCTION("""COMPUTED_VALUE"""),"BCM THESSABAN BANGPU 37")</f>
        <v>BCM THESSABAN BANGPU 37</v>
      </c>
      <c r="E891" s="1" t="str">
        <f>IFERROR(__xludf.DUMMYFUNCTION("""COMPUTED_VALUE"""),"บิ๊กซี MINI")</f>
        <v>บิ๊กซี MINI</v>
      </c>
      <c r="F891" s="1" t="str">
        <f>IFERROR(__xludf.DUMMYFUNCTION("""COMPUTED_VALUE"""),"2083447")</f>
        <v>2083447</v>
      </c>
      <c r="G891" s="1" t="str">
        <f>IFERROR(__xludf.DUMMYFUNCTION("""COMPUTED_VALUE"""),"นายอนุกูล ศรีลัดดา")</f>
        <v>นายอนุกูล ศรีลัดดา</v>
      </c>
      <c r="H891" s="1" t="str">
        <f>IFERROR(__xludf.DUMMYFUNCTION("""COMPUTED_VALUE"""),"399107")</f>
        <v>399107</v>
      </c>
      <c r="I891" s="1" t="str">
        <f>IFERROR(__xludf.DUMMYFUNCTION("""COMPUTED_VALUE"""),"นายรัชระวี กลมแป้น")</f>
        <v>นายรัชระวี กลมแป้น</v>
      </c>
      <c r="J891" s="3">
        <f>IFERROR(__xludf.DUMMYFUNCTION("""COMPUTED_VALUE"""),2451655.0)</f>
        <v>2451655</v>
      </c>
      <c r="K891" s="3" t="str">
        <f>IFERROR(__xludf.DUMMYFUNCTION("""COMPUTED_VALUE"""),"นายวิษณุพงษ์ ชินบุตร")</f>
        <v>นายวิษณุพงษ์ ชินบุตร</v>
      </c>
      <c r="L891" s="1" t="str">
        <f>IFERROR(__xludf.DUMMYFUNCTION("""COMPUTED_VALUE"""),"13 K.Wisanupong Ch")</f>
        <v>13 K.Wisanupong Ch</v>
      </c>
      <c r="M891" s="1" t="str">
        <f>IFERROR(__xludf.DUMMYFUNCTION("""COMPUTED_VALUE"""),"0843374693")</f>
        <v>0843374693</v>
      </c>
      <c r="N891" s="3">
        <f>IFERROR(__xludf.DUMMYFUNCTION("""COMPUTED_VALUE"""),21013.0)</f>
        <v>21013</v>
      </c>
      <c r="O891" s="3" t="str">
        <f>IFERROR(__xludf.DUMMYFUNCTION("""COMPUTED_VALUE"""),"MBC รังสิตคลอง2")</f>
        <v>MBC รังสิตคลอง2</v>
      </c>
      <c r="P891" s="4">
        <f>IFERROR(__xludf.DUMMYFUNCTION("""COMPUTED_VALUE"""),43379.0)</f>
        <v>43379</v>
      </c>
      <c r="Q891" s="3" t="str">
        <f>IFERROR(__xludf.DUMMYFUNCTION("""COMPUTED_VALUE"""),"I")</f>
        <v>I</v>
      </c>
      <c r="R891" s="3" t="str">
        <f>IFERROR(__xludf.DUMMYFUNCTION("""COMPUTED_VALUE"""),"Small Format")</f>
        <v>Small Format</v>
      </c>
      <c r="S891" s="3" t="str">
        <f>IFERROR(__xludf.DUMMYFUNCTION("""COMPUTED_VALUE"""),"BCM")</f>
        <v>BCM</v>
      </c>
      <c r="T891" s="3" t="str">
        <f>IFERROR(__xludf.DUMMYFUNCTION("""COMPUTED_VALUE"""),"#N/A")</f>
        <v>#N/A</v>
      </c>
      <c r="U891" s="3" t="str">
        <f>IFERROR(__xludf.DUMMYFUNCTION("""COMPUTED_VALUE"""),"#N/A")</f>
        <v>#N/A</v>
      </c>
      <c r="V891" s="3" t="str">
        <f>IFERROR(__xludf.DUMMYFUNCTION("""COMPUTED_VALUE"""),"N")</f>
        <v>N</v>
      </c>
      <c r="W891" s="3">
        <f>IFERROR(__xludf.DUMMYFUNCTION("""COMPUTED_VALUE"""),211597.0)</f>
        <v>211597</v>
      </c>
      <c r="X891" s="3" t="str">
        <f>IFERROR(__xludf.DUMMYFUNCTION("""COMPUTED_VALUE"""),"168/1 หมู่2 ตำบลท้ายบ้านใหม่ อำเภอเมืองสมุทรปราการ จังหวัดสมุทรปราการ 10280")</f>
        <v>168/1 หมู่2 ตำบลท้ายบ้านใหม่ อำเภอเมืองสมุทรปราการ จังหวัดสมุทรปราการ 10280</v>
      </c>
      <c r="Y891" s="3"/>
      <c r="Z891" s="3" t="str">
        <f>IFERROR(__xludf.DUMMYFUNCTION("""COMPUTED_VALUE"""),"ท้ายบ้านใหม่")</f>
        <v>ท้ายบ้านใหม่</v>
      </c>
      <c r="AA891" s="3" t="str">
        <f>IFERROR(__xludf.DUMMYFUNCTION("""COMPUTED_VALUE"""),"เมืองสมุทรปราการ")</f>
        <v>เมืองสมุทรปราการ</v>
      </c>
      <c r="AB891" s="3" t="str">
        <f>IFERROR(__xludf.DUMMYFUNCTION("""COMPUTED_VALUE"""),"สมุทรปราการ")</f>
        <v>สมุทรปราการ</v>
      </c>
      <c r="AC891" s="3">
        <f>IFERROR(__xludf.DUMMYFUNCTION("""COMPUTED_VALUE"""),10280.0)</f>
        <v>10280</v>
      </c>
      <c r="AD891" s="3">
        <f>IFERROR(__xludf.DUMMYFUNCTION("""COMPUTED_VALUE"""),13.576907)</f>
        <v>13.576907</v>
      </c>
      <c r="AE891" s="3">
        <f>IFERROR(__xludf.DUMMYFUNCTION("""COMPUTED_VALUE"""),100.618635)</f>
        <v>100.618635</v>
      </c>
      <c r="AF891" s="3" t="str">
        <f>IFERROR(__xludf.DUMMYFUNCTION("""COMPUTED_VALUE"""),"MBC เทศบาลบางปู 37-21660")</f>
        <v>MBC เทศบาลบางปู 37-21660</v>
      </c>
      <c r="AG891" s="3" t="str">
        <f>IFERROR(__xludf.DUMMYFUNCTION("""COMPUTED_VALUE"""),"กลาง")</f>
        <v>กลาง</v>
      </c>
      <c r="AH891" s="3" t="str">
        <f>IFERROR(__xludf.DUMMYFUNCTION("""COMPUTED_VALUE"""),"#N/A")</f>
        <v>#N/A</v>
      </c>
      <c r="AI891" s="3" t="str">
        <f>IFERROR(__xludf.DUMMYFUNCTION("""COMPUTED_VALUE"""),"Out of warranty")</f>
        <v>Out of warranty</v>
      </c>
      <c r="AJ891" s="3">
        <f>IFERROR(__xludf.DUMMYFUNCTION("""COMPUTED_VALUE"""),88.0)</f>
        <v>88</v>
      </c>
      <c r="AK891" s="3" t="str">
        <f>IFERROR(__xludf.DUMMYFUNCTION("""COMPUTED_VALUE"""),"MMS03")</f>
        <v>MMS03</v>
      </c>
      <c r="AL891" s="3"/>
    </row>
    <row r="892" ht="15.75" customHeight="1">
      <c r="A892" s="1" t="str">
        <f>IFERROR(__xludf.DUMMYFUNCTION("""COMPUTED_VALUE"""),"21661")</f>
        <v>21661</v>
      </c>
      <c r="B892" s="2">
        <f>IFERROR(__xludf.DUMMYFUNCTION("""COMPUTED_VALUE"""),21661.0)</f>
        <v>21661</v>
      </c>
      <c r="C892" s="3" t="str">
        <f>IFERROR(__xludf.DUMMYFUNCTION("""COMPUTED_VALUE"""),"MBC ตลาดเจริญทรัพย์")</f>
        <v>MBC ตลาดเจริญทรัพย์</v>
      </c>
      <c r="D892" s="3" t="str">
        <f>IFERROR(__xludf.DUMMYFUNCTION("""COMPUTED_VALUE"""),"BCM CHAROENSAB MARKET")</f>
        <v>BCM CHAROENSAB MARKET</v>
      </c>
      <c r="E892" s="1" t="str">
        <f>IFERROR(__xludf.DUMMYFUNCTION("""COMPUTED_VALUE"""),"บิ๊กซี MINI")</f>
        <v>บิ๊กซี MINI</v>
      </c>
      <c r="F892" s="1" t="str">
        <f>IFERROR(__xludf.DUMMYFUNCTION("""COMPUTED_VALUE"""),"2083447")</f>
        <v>2083447</v>
      </c>
      <c r="G892" s="1" t="str">
        <f>IFERROR(__xludf.DUMMYFUNCTION("""COMPUTED_VALUE"""),"นายอนุกูล ศรีลัดดา")</f>
        <v>นายอนุกูล ศรีลัดดา</v>
      </c>
      <c r="H892" s="1" t="str">
        <f>IFERROR(__xludf.DUMMYFUNCTION("""COMPUTED_VALUE"""),"259808")</f>
        <v>259808</v>
      </c>
      <c r="I892" s="1" t="str">
        <f>IFERROR(__xludf.DUMMYFUNCTION("""COMPUTED_VALUE"""),"น.ส.สกุลรัตน์ พิกุลแก้ว")</f>
        <v>น.ส.สกุลรัตน์ พิกุลแก้ว</v>
      </c>
      <c r="J892" s="3">
        <f>IFERROR(__xludf.DUMMYFUNCTION("""COMPUTED_VALUE"""),510143.0)</f>
        <v>510143</v>
      </c>
      <c r="K892" s="3" t="str">
        <f>IFERROR(__xludf.DUMMYFUNCTION("""COMPUTED_VALUE"""),"นายธีระวัฒน์ บุญสิทธิ์")</f>
        <v>นายธีระวัฒน์ บุญสิทธิ์</v>
      </c>
      <c r="L892" s="1" t="str">
        <f>IFERROR(__xludf.DUMMYFUNCTION("""COMPUTED_VALUE"""),"12 K.Theerawat B.")</f>
        <v>12 K.Theerawat B.</v>
      </c>
      <c r="M892" s="1" t="str">
        <f>IFERROR(__xludf.DUMMYFUNCTION("""COMPUTED_VALUE"""),"0655107379")</f>
        <v>0655107379</v>
      </c>
      <c r="N892" s="3">
        <f>IFERROR(__xludf.DUMMYFUNCTION("""COMPUTED_VALUE"""),21062.0)</f>
        <v>21062</v>
      </c>
      <c r="O892" s="3" t="str">
        <f>IFERROR(__xludf.DUMMYFUNCTION("""COMPUTED_VALUE"""),"MBC นิคมนวนคร")</f>
        <v>MBC นิคมนวนคร</v>
      </c>
      <c r="P892" s="4">
        <f>IFERROR(__xludf.DUMMYFUNCTION("""COMPUTED_VALUE"""),43429.0)</f>
        <v>43429</v>
      </c>
      <c r="Q892" s="3" t="str">
        <f>IFERROR(__xludf.DUMMYFUNCTION("""COMPUTED_VALUE"""),"A")</f>
        <v>A</v>
      </c>
      <c r="R892" s="3" t="str">
        <f>IFERROR(__xludf.DUMMYFUNCTION("""COMPUTED_VALUE"""),"Small Format")</f>
        <v>Small Format</v>
      </c>
      <c r="S892" s="3" t="str">
        <f>IFERROR(__xludf.DUMMYFUNCTION("""COMPUTED_VALUE"""),"BCM")</f>
        <v>BCM</v>
      </c>
      <c r="T892" s="3" t="str">
        <f>IFERROR(__xludf.DUMMYFUNCTION("""COMPUTED_VALUE"""),"#N/A")</f>
        <v>#N/A</v>
      </c>
      <c r="U892" s="3" t="str">
        <f>IFERROR(__xludf.DUMMYFUNCTION("""COMPUTED_VALUE"""),"#N/A")</f>
        <v>#N/A</v>
      </c>
      <c r="V892" s="3" t="str">
        <f>IFERROR(__xludf.DUMMYFUNCTION("""COMPUTED_VALUE"""),"N")</f>
        <v>N</v>
      </c>
      <c r="W892" s="3">
        <f>IFERROR(__xludf.DUMMYFUNCTION("""COMPUTED_VALUE"""),211598.0)</f>
        <v>211598</v>
      </c>
      <c r="X892" s="3" t="str">
        <f>IFERROR(__xludf.DUMMYFUNCTION("""COMPUTED_VALUE"""),"67/555 หมู่1 ตำบลหนองกี่ อำเภอกบินทร์บุรี จังหวัดปราจีนบุรี 25110")</f>
        <v>67/555 หมู่1 ตำบลหนองกี่ อำเภอกบินทร์บุรี จังหวัดปราจีนบุรี 25110</v>
      </c>
      <c r="Y892" s="3"/>
      <c r="Z892" s="3" t="str">
        <f>IFERROR(__xludf.DUMMYFUNCTION("""COMPUTED_VALUE"""),"หนองกี่")</f>
        <v>หนองกี่</v>
      </c>
      <c r="AA892" s="3" t="str">
        <f>IFERROR(__xludf.DUMMYFUNCTION("""COMPUTED_VALUE"""),"กบินทร์บุรี")</f>
        <v>กบินทร์บุรี</v>
      </c>
      <c r="AB892" s="3" t="str">
        <f>IFERROR(__xludf.DUMMYFUNCTION("""COMPUTED_VALUE"""),"ปราจีนบุรี")</f>
        <v>ปราจีนบุรี</v>
      </c>
      <c r="AC892" s="3">
        <f>IFERROR(__xludf.DUMMYFUNCTION("""COMPUTED_VALUE"""),25110.0)</f>
        <v>25110</v>
      </c>
      <c r="AD892" s="3">
        <f>IFERROR(__xludf.DUMMYFUNCTION("""COMPUTED_VALUE"""),14.0734294)</f>
        <v>14.0734294</v>
      </c>
      <c r="AE892" s="3">
        <f>IFERROR(__xludf.DUMMYFUNCTION("""COMPUTED_VALUE"""),101.8133219)</f>
        <v>101.8133219</v>
      </c>
      <c r="AF892" s="3" t="str">
        <f>IFERROR(__xludf.DUMMYFUNCTION("""COMPUTED_VALUE"""),"MBC ตลาดเจริญทรัพย์-21661")</f>
        <v>MBC ตลาดเจริญทรัพย์-21661</v>
      </c>
      <c r="AG892" s="3" t="str">
        <f>IFERROR(__xludf.DUMMYFUNCTION("""COMPUTED_VALUE"""),"ตะวันออก")</f>
        <v>ตะวันออก</v>
      </c>
      <c r="AH892" s="3" t="str">
        <f>IFERROR(__xludf.DUMMYFUNCTION("""COMPUTED_VALUE"""),"#N/A")</f>
        <v>#N/A</v>
      </c>
      <c r="AI892" s="3" t="str">
        <f>IFERROR(__xludf.DUMMYFUNCTION("""COMPUTED_VALUE"""),"Out of warranty")</f>
        <v>Out of warranty</v>
      </c>
      <c r="AJ892" s="3">
        <f>IFERROR(__xludf.DUMMYFUNCTION("""COMPUTED_VALUE"""),86.0)</f>
        <v>86</v>
      </c>
      <c r="AK892" s="3" t="str">
        <f>IFERROR(__xludf.DUMMYFUNCTION("""COMPUTED_VALUE"""),"MMS08")</f>
        <v>MMS08</v>
      </c>
      <c r="AL892" s="3"/>
    </row>
    <row r="893" ht="15.75" customHeight="1">
      <c r="A893" s="1" t="str">
        <f>IFERROR(__xludf.DUMMYFUNCTION("""COMPUTED_VALUE"""),"21662")</f>
        <v>21662</v>
      </c>
      <c r="B893" s="2">
        <f>IFERROR(__xludf.DUMMYFUNCTION("""COMPUTED_VALUE"""),21662.0)</f>
        <v>21662</v>
      </c>
      <c r="C893" s="3" t="str">
        <f>IFERROR(__xludf.DUMMYFUNCTION("""COMPUTED_VALUE"""),"MBC ถนนปฎัก (ฉลอง)")</f>
        <v>MBC ถนนปฎัก (ฉลอง)</v>
      </c>
      <c r="D893" s="3" t="str">
        <f>IFERROR(__xludf.DUMMYFUNCTION("""COMPUTED_VALUE"""),"BCM THANON PATAK (CHALONG)")</f>
        <v>BCM THANON PATAK (CHALONG)</v>
      </c>
      <c r="E893" s="1" t="str">
        <f>IFERROR(__xludf.DUMMYFUNCTION("""COMPUTED_VALUE"""),"บิ๊กซี MINI")</f>
        <v>บิ๊กซี MINI</v>
      </c>
      <c r="F893" s="1" t="str">
        <f>IFERROR(__xludf.DUMMYFUNCTION("""COMPUTED_VALUE"""),"250760")</f>
        <v>250760</v>
      </c>
      <c r="G893" s="1" t="str">
        <f>IFERROR(__xludf.DUMMYFUNCTION("""COMPUTED_VALUE"""),"นายประทวน สาราบรรณ์")</f>
        <v>นายประทวน สาราบรรณ์</v>
      </c>
      <c r="H893" s="1" t="str">
        <f>IFERROR(__xludf.DUMMYFUNCTION("""COMPUTED_VALUE"""),"357284")</f>
        <v>357284</v>
      </c>
      <c r="I893" s="1" t="str">
        <f>IFERROR(__xludf.DUMMYFUNCTION("""COMPUTED_VALUE"""),"น.ส.เบญจวรรณ ปัณฑโมรา")</f>
        <v>น.ส.เบญจวรรณ ปัณฑโมรา</v>
      </c>
      <c r="J893" s="3">
        <f>IFERROR(__xludf.DUMMYFUNCTION("""COMPUTED_VALUE"""),25324.0)</f>
        <v>25324</v>
      </c>
      <c r="K893" s="3" t="str">
        <f>IFERROR(__xludf.DUMMYFUNCTION("""COMPUTED_VALUE"""),"นายวิเชฎฐ์ ติรัตนะประคม")</f>
        <v>นายวิเชฎฐ์ ติรัตนะประคม</v>
      </c>
      <c r="L893" s="1" t="str">
        <f>IFERROR(__xludf.DUMMYFUNCTION("""COMPUTED_VALUE"""),"14 K.Wichet T.")</f>
        <v>14 K.Wichet T.</v>
      </c>
      <c r="M893" s="1" t="str">
        <f>IFERROR(__xludf.DUMMYFUNCTION("""COMPUTED_VALUE"""),"061-417-6569 / 086-445-5636")</f>
        <v>061-417-6569 / 086-445-5636</v>
      </c>
      <c r="N893" s="3">
        <f>IFERROR(__xludf.DUMMYFUNCTION("""COMPUTED_VALUE"""),22658.0)</f>
        <v>22658</v>
      </c>
      <c r="O893" s="3" t="str">
        <f>IFERROR(__xludf.DUMMYFUNCTION("""COMPUTED_VALUE"""),"BCM ถ.วิรัชหงษ์หยก ภูเก็ต")</f>
        <v>BCM ถ.วิรัชหงษ์หยก ภูเก็ต</v>
      </c>
      <c r="P893" s="4">
        <f>IFERROR(__xludf.DUMMYFUNCTION("""COMPUTED_VALUE"""),43345.0)</f>
        <v>43345</v>
      </c>
      <c r="Q893" s="3" t="str">
        <f>IFERROR(__xludf.DUMMYFUNCTION("""COMPUTED_VALUE"""),"A")</f>
        <v>A</v>
      </c>
      <c r="R893" s="3" t="str">
        <f>IFERROR(__xludf.DUMMYFUNCTION("""COMPUTED_VALUE"""),"Small Format")</f>
        <v>Small Format</v>
      </c>
      <c r="S893" s="3" t="str">
        <f>IFERROR(__xludf.DUMMYFUNCTION("""COMPUTED_VALUE"""),"BCM")</f>
        <v>BCM</v>
      </c>
      <c r="T893" s="3" t="str">
        <f>IFERROR(__xludf.DUMMYFUNCTION("""COMPUTED_VALUE"""),"#N/A")</f>
        <v>#N/A</v>
      </c>
      <c r="U893" s="3" t="str">
        <f>IFERROR(__xludf.DUMMYFUNCTION("""COMPUTED_VALUE"""),"#N/A")</f>
        <v>#N/A</v>
      </c>
      <c r="V893" s="3" t="str">
        <f>IFERROR(__xludf.DUMMYFUNCTION("""COMPUTED_VALUE"""),"N")</f>
        <v>N</v>
      </c>
      <c r="W893" s="3">
        <f>IFERROR(__xludf.DUMMYFUNCTION("""COMPUTED_VALUE"""),211643.0)</f>
        <v>211643</v>
      </c>
      <c r="X893" s="3" t="str">
        <f>IFERROR(__xludf.DUMMYFUNCTION("""COMPUTED_VALUE"""),"58/27 หมู่10 ตำบลฉลอง อำเภอเมืองภูเก็ต จังหวัดภูเก็ต 83130")</f>
        <v>58/27 หมู่10 ตำบลฉลอง อำเภอเมืองภูเก็ต จังหวัดภูเก็ต 83130</v>
      </c>
      <c r="Y893" s="3"/>
      <c r="Z893" s="3" t="str">
        <f>IFERROR(__xludf.DUMMYFUNCTION("""COMPUTED_VALUE"""),"ฉลอง")</f>
        <v>ฉลอง</v>
      </c>
      <c r="AA893" s="3" t="str">
        <f>IFERROR(__xludf.DUMMYFUNCTION("""COMPUTED_VALUE"""),"เมือง")</f>
        <v>เมือง</v>
      </c>
      <c r="AB893" s="3" t="str">
        <f>IFERROR(__xludf.DUMMYFUNCTION("""COMPUTED_VALUE"""),"ภูเก็ต")</f>
        <v>ภูเก็ต</v>
      </c>
      <c r="AC893" s="3">
        <f>IFERROR(__xludf.DUMMYFUNCTION("""COMPUTED_VALUE"""),83130.0)</f>
        <v>83130</v>
      </c>
      <c r="AD893" s="3">
        <f>IFERROR(__xludf.DUMMYFUNCTION("""COMPUTED_VALUE"""),7.823144)</f>
        <v>7.823144</v>
      </c>
      <c r="AE893" s="3">
        <f>IFERROR(__xludf.DUMMYFUNCTION("""COMPUTED_VALUE"""),98.337431)</f>
        <v>98.337431</v>
      </c>
      <c r="AF893" s="3" t="str">
        <f>IFERROR(__xludf.DUMMYFUNCTION("""COMPUTED_VALUE"""),"MBC ถนนปฎัก (ฉลอง)-21662")</f>
        <v>MBC ถนนปฎัก (ฉลอง)-21662</v>
      </c>
      <c r="AG893" s="3" t="str">
        <f>IFERROR(__xludf.DUMMYFUNCTION("""COMPUTED_VALUE"""),"ใต้")</f>
        <v>ใต้</v>
      </c>
      <c r="AH893" s="3" t="str">
        <f>IFERROR(__xludf.DUMMYFUNCTION("""COMPUTED_VALUE"""),"#N/A")</f>
        <v>#N/A</v>
      </c>
      <c r="AI893" s="3" t="str">
        <f>IFERROR(__xludf.DUMMYFUNCTION("""COMPUTED_VALUE"""),"Out of warranty")</f>
        <v>Out of warranty</v>
      </c>
      <c r="AJ893" s="3">
        <f>IFERROR(__xludf.DUMMYFUNCTION("""COMPUTED_VALUE"""),89.0)</f>
        <v>89</v>
      </c>
      <c r="AK893" s="3" t="str">
        <f>IFERROR(__xludf.DUMMYFUNCTION("""COMPUTED_VALUE"""),"MMS15")</f>
        <v>MMS15</v>
      </c>
      <c r="AL893" s="3"/>
    </row>
    <row r="894" ht="15.75" customHeight="1">
      <c r="A894" s="1" t="str">
        <f>IFERROR(__xludf.DUMMYFUNCTION("""COMPUTED_VALUE"""),"21663")</f>
        <v>21663</v>
      </c>
      <c r="B894" s="2">
        <f>IFERROR(__xludf.DUMMYFUNCTION("""COMPUTED_VALUE"""),21663.0)</f>
        <v>21663</v>
      </c>
      <c r="C894" s="3" t="str">
        <f>IFERROR(__xludf.DUMMYFUNCTION("""COMPUTED_VALUE"""),"MBC วังสามหมอ")</f>
        <v>MBC วังสามหมอ</v>
      </c>
      <c r="D894" s="3" t="str">
        <f>IFERROR(__xludf.DUMMYFUNCTION("""COMPUTED_VALUE"""),"BCM WANG SAM MOR")</f>
        <v>BCM WANG SAM MOR</v>
      </c>
      <c r="E894" s="1" t="str">
        <f>IFERROR(__xludf.DUMMYFUNCTION("""COMPUTED_VALUE"""),"บิ๊กซี MINI")</f>
        <v>บิ๊กซี MINI</v>
      </c>
      <c r="F894" s="1" t="str">
        <f>IFERROR(__xludf.DUMMYFUNCTION("""COMPUTED_VALUE"""),"291105")</f>
        <v>291105</v>
      </c>
      <c r="G894" s="1" t="str">
        <f>IFERROR(__xludf.DUMMYFUNCTION("""COMPUTED_VALUE"""),"นายสราวุฒิ พณิชยกุล")</f>
        <v>นายสราวุฒิ พณิชยกุล</v>
      </c>
      <c r="H894" s="1" t="str">
        <f>IFERROR(__xludf.DUMMYFUNCTION("""COMPUTED_VALUE"""),"392005")</f>
        <v>392005</v>
      </c>
      <c r="I894" s="1" t="str">
        <f>IFERROR(__xludf.DUMMYFUNCTION("""COMPUTED_VALUE"""),"นายรัฐพล หาญลำยวง")</f>
        <v>นายรัฐพล หาญลำยวง</v>
      </c>
      <c r="J894" s="3">
        <f>IFERROR(__xludf.DUMMYFUNCTION("""COMPUTED_VALUE"""),296868.0)</f>
        <v>296868</v>
      </c>
      <c r="K894" s="3" t="str">
        <f>IFERROR(__xludf.DUMMYFUNCTION("""COMPUTED_VALUE"""),"นายพีระพงษ์ แก้วดวงดี")</f>
        <v>นายพีระพงษ์ แก้วดวงดี</v>
      </c>
      <c r="L894" s="1" t="str">
        <f>IFERROR(__xludf.DUMMYFUNCTION("""COMPUTED_VALUE"""),"03 K.Peerapong K.")</f>
        <v>03 K.Peerapong K.</v>
      </c>
      <c r="M894" s="1" t="str">
        <f>IFERROR(__xludf.DUMMYFUNCTION("""COMPUTED_VALUE"""),"089-002-6599")</f>
        <v>089-002-6599</v>
      </c>
      <c r="N894" s="3">
        <f>IFERROR(__xludf.DUMMYFUNCTION("""COMPUTED_VALUE"""),21946.0)</f>
        <v>21946</v>
      </c>
      <c r="O894" s="3" t="str">
        <f>IFERROR(__xludf.DUMMYFUNCTION("""COMPUTED_VALUE"""),"MBC เซกา บึงกาฬ")</f>
        <v>MBC เซกา บึงกาฬ</v>
      </c>
      <c r="P894" s="4">
        <f>IFERROR(__xludf.DUMMYFUNCTION("""COMPUTED_VALUE"""),43347.0)</f>
        <v>43347</v>
      </c>
      <c r="Q894" s="3" t="str">
        <f>IFERROR(__xludf.DUMMYFUNCTION("""COMPUTED_VALUE"""),"A")</f>
        <v>A</v>
      </c>
      <c r="R894" s="3" t="str">
        <f>IFERROR(__xludf.DUMMYFUNCTION("""COMPUTED_VALUE"""),"Small Format")</f>
        <v>Small Format</v>
      </c>
      <c r="S894" s="3" t="str">
        <f>IFERROR(__xludf.DUMMYFUNCTION("""COMPUTED_VALUE"""),"BCM")</f>
        <v>BCM</v>
      </c>
      <c r="T894" s="3" t="str">
        <f>IFERROR(__xludf.DUMMYFUNCTION("""COMPUTED_VALUE"""),"#N/A")</f>
        <v>#N/A</v>
      </c>
      <c r="U894" s="3" t="str">
        <f>IFERROR(__xludf.DUMMYFUNCTION("""COMPUTED_VALUE"""),"#N/A")</f>
        <v>#N/A</v>
      </c>
      <c r="V894" s="3" t="str">
        <f>IFERROR(__xludf.DUMMYFUNCTION("""COMPUTED_VALUE"""),"N")</f>
        <v>N</v>
      </c>
      <c r="W894" s="3">
        <f>IFERROR(__xludf.DUMMYFUNCTION("""COMPUTED_VALUE"""),211637.0)</f>
        <v>211637</v>
      </c>
      <c r="X894" s="3" t="str">
        <f>IFERROR(__xludf.DUMMYFUNCTION("""COMPUTED_VALUE"""),"330/4-6 หมู่2 ตำบลวังสามหมอ อำเภอวังสามหมอ จังหวัดอุดรธานี 41280")</f>
        <v>330/4-6 หมู่2 ตำบลวังสามหมอ อำเภอวังสามหมอ จังหวัดอุดรธานี 41280</v>
      </c>
      <c r="Y894" s="3"/>
      <c r="Z894" s="3" t="str">
        <f>IFERROR(__xludf.DUMMYFUNCTION("""COMPUTED_VALUE"""),"วังสามหมอ")</f>
        <v>วังสามหมอ</v>
      </c>
      <c r="AA894" s="3" t="str">
        <f>IFERROR(__xludf.DUMMYFUNCTION("""COMPUTED_VALUE"""),"วังสามหมอ")</f>
        <v>วังสามหมอ</v>
      </c>
      <c r="AB894" s="3" t="str">
        <f>IFERROR(__xludf.DUMMYFUNCTION("""COMPUTED_VALUE"""),"อุดรธานี")</f>
        <v>อุดรธานี</v>
      </c>
      <c r="AC894" s="3">
        <f>IFERROR(__xludf.DUMMYFUNCTION("""COMPUTED_VALUE"""),41280.0)</f>
        <v>41280</v>
      </c>
      <c r="AD894" s="3">
        <f>IFERROR(__xludf.DUMMYFUNCTION("""COMPUTED_VALUE"""),16.94941912)</f>
        <v>16.94941912</v>
      </c>
      <c r="AE894" s="3">
        <f>IFERROR(__xludf.DUMMYFUNCTION("""COMPUTED_VALUE"""),103.4385135)</f>
        <v>103.4385135</v>
      </c>
      <c r="AF894" s="3" t="str">
        <f>IFERROR(__xludf.DUMMYFUNCTION("""COMPUTED_VALUE"""),"MBC วังสามหมอ-21663")</f>
        <v>MBC วังสามหมอ-21663</v>
      </c>
      <c r="AG894" s="3" t="str">
        <f>IFERROR(__xludf.DUMMYFUNCTION("""COMPUTED_VALUE"""),"ตะวันออกเฉียงเหนือ")</f>
        <v>ตะวันออกเฉียงเหนือ</v>
      </c>
      <c r="AH894" s="3" t="str">
        <f>IFERROR(__xludf.DUMMYFUNCTION("""COMPUTED_VALUE"""),"#N/A")</f>
        <v>#N/A</v>
      </c>
      <c r="AI894" s="3" t="str">
        <f>IFERROR(__xludf.DUMMYFUNCTION("""COMPUTED_VALUE"""),"Out of warranty")</f>
        <v>Out of warranty</v>
      </c>
      <c r="AJ894" s="3">
        <f>IFERROR(__xludf.DUMMYFUNCTION("""COMPUTED_VALUE"""),89.0)</f>
        <v>89</v>
      </c>
      <c r="AK894" s="3" t="str">
        <f>IFERROR(__xludf.DUMMYFUNCTION("""COMPUTED_VALUE"""),"MMS12")</f>
        <v>MMS12</v>
      </c>
      <c r="AL894" s="3"/>
    </row>
    <row r="895" ht="15.75" customHeight="1">
      <c r="A895" s="1" t="str">
        <f>IFERROR(__xludf.DUMMYFUNCTION("""COMPUTED_VALUE"""),"21664")</f>
        <v>21664</v>
      </c>
      <c r="B895" s="2">
        <f>IFERROR(__xludf.DUMMYFUNCTION("""COMPUTED_VALUE"""),21664.0)</f>
        <v>21664</v>
      </c>
      <c r="C895" s="3" t="str">
        <f>IFERROR(__xludf.DUMMYFUNCTION("""COMPUTED_VALUE"""),"MBC ชุมชนพาณิชเจริญ")</f>
        <v>MBC ชุมชนพาณิชเจริญ</v>
      </c>
      <c r="D895" s="3" t="str">
        <f>IFERROR(__xludf.DUMMYFUNCTION("""COMPUTED_VALUE"""),"BCM CHUMCHON PANICH CHAROEN")</f>
        <v>BCM CHUMCHON PANICH CHAROEN</v>
      </c>
      <c r="E895" s="1" t="str">
        <f>IFERROR(__xludf.DUMMYFUNCTION("""COMPUTED_VALUE"""),"บิ๊กซี MINI")</f>
        <v>บิ๊กซี MINI</v>
      </c>
      <c r="F895" s="1" t="str">
        <f>IFERROR(__xludf.DUMMYFUNCTION("""COMPUTED_VALUE"""),"291105")</f>
        <v>291105</v>
      </c>
      <c r="G895" s="1" t="str">
        <f>IFERROR(__xludf.DUMMYFUNCTION("""COMPUTED_VALUE"""),"นายสราวุฒิ พณิชยกุล")</f>
        <v>นายสราวุฒิ พณิชยกุล</v>
      </c>
      <c r="H895" s="1" t="str">
        <f>IFERROR(__xludf.DUMMYFUNCTION("""COMPUTED_VALUE"""),"281315")</f>
        <v>281315</v>
      </c>
      <c r="I895" s="1" t="str">
        <f>IFERROR(__xludf.DUMMYFUNCTION("""COMPUTED_VALUE"""),"นายกิตติพงษ์ มั่นคง")</f>
        <v>นายกิตติพงษ์ มั่นคง</v>
      </c>
      <c r="J895" s="3">
        <f>IFERROR(__xludf.DUMMYFUNCTION("""COMPUTED_VALUE"""),15361.0)</f>
        <v>15361</v>
      </c>
      <c r="K895" s="3" t="str">
        <f>IFERROR(__xludf.DUMMYFUNCTION("""COMPUTED_VALUE"""),"นายสมบูรณ์ พรหมในเมือง")</f>
        <v>นายสมบูรณ์ พรหมในเมือง</v>
      </c>
      <c r="L895" s="1" t="str">
        <f>IFERROR(__xludf.DUMMYFUNCTION("""COMPUTED_VALUE"""),"04 K.Somboon P.")</f>
        <v>04 K.Somboon P.</v>
      </c>
      <c r="M895" s="1" t="str">
        <f>IFERROR(__xludf.DUMMYFUNCTION("""COMPUTED_VALUE"""),"087-965-3051")</f>
        <v>087-965-3051</v>
      </c>
      <c r="N895" s="3">
        <f>IFERROR(__xludf.DUMMYFUNCTION("""COMPUTED_VALUE"""),21869.0)</f>
        <v>21869</v>
      </c>
      <c r="O895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895" s="4">
        <f>IFERROR(__xludf.DUMMYFUNCTION("""COMPUTED_VALUE"""),43348.0)</f>
        <v>43348</v>
      </c>
      <c r="Q895" s="3" t="str">
        <f>IFERROR(__xludf.DUMMYFUNCTION("""COMPUTED_VALUE"""),"A")</f>
        <v>A</v>
      </c>
      <c r="R895" s="3" t="str">
        <f>IFERROR(__xludf.DUMMYFUNCTION("""COMPUTED_VALUE"""),"Small Format")</f>
        <v>Small Format</v>
      </c>
      <c r="S895" s="3" t="str">
        <f>IFERROR(__xludf.DUMMYFUNCTION("""COMPUTED_VALUE"""),"BCM")</f>
        <v>BCM</v>
      </c>
      <c r="T895" s="3" t="str">
        <f>IFERROR(__xludf.DUMMYFUNCTION("""COMPUTED_VALUE"""),"#N/A")</f>
        <v>#N/A</v>
      </c>
      <c r="U895" s="3" t="str">
        <f>IFERROR(__xludf.DUMMYFUNCTION("""COMPUTED_VALUE"""),"#N/A")</f>
        <v>#N/A</v>
      </c>
      <c r="V895" s="3" t="str">
        <f>IFERROR(__xludf.DUMMYFUNCTION("""COMPUTED_VALUE"""),"N")</f>
        <v>N</v>
      </c>
      <c r="W895" s="3">
        <f>IFERROR(__xludf.DUMMYFUNCTION("""COMPUTED_VALUE"""),211573.0)</f>
        <v>211573</v>
      </c>
      <c r="X895" s="3" t="str">
        <f>IFERROR(__xludf.DUMMYFUNCTION("""COMPUTED_VALUE"""),"245/2 ซอยเดชอุดม6 ตำบลในเมือง อำเภอเมืองนครราชสีมา จังหวัดนครราชสีมา 30000")</f>
        <v>245/2 ซอยเดชอุดม6 ตำบลในเมือง อำเภอเมืองนครราชสีมา จังหวัดนครราชสีมา 30000</v>
      </c>
      <c r="Y895" s="3" t="str">
        <f>IFERROR(__xludf.DUMMYFUNCTION("""COMPUTED_VALUE"""),"ซอยเดชอุดม6")</f>
        <v>ซอยเดชอุดม6</v>
      </c>
      <c r="Z895" s="3" t="str">
        <f>IFERROR(__xludf.DUMMYFUNCTION("""COMPUTED_VALUE"""),"ในเมือง")</f>
        <v>ในเมือง</v>
      </c>
      <c r="AA895" s="3" t="str">
        <f>IFERROR(__xludf.DUMMYFUNCTION("""COMPUTED_VALUE"""),"เมือง")</f>
        <v>เมือง</v>
      </c>
      <c r="AB895" s="3" t="str">
        <f>IFERROR(__xludf.DUMMYFUNCTION("""COMPUTED_VALUE"""),"นครราชสีมา")</f>
        <v>นครราชสีมา</v>
      </c>
      <c r="AC895" s="3">
        <f>IFERROR(__xludf.DUMMYFUNCTION("""COMPUTED_VALUE"""),30000.0)</f>
        <v>30000</v>
      </c>
      <c r="AD895" s="3">
        <f>IFERROR(__xludf.DUMMYFUNCTION("""COMPUTED_VALUE"""),14.964548)</f>
        <v>14.964548</v>
      </c>
      <c r="AE895" s="3">
        <f>IFERROR(__xludf.DUMMYFUNCTION("""COMPUTED_VALUE"""),102.077447)</f>
        <v>102.077447</v>
      </c>
      <c r="AF895" s="3" t="str">
        <f>IFERROR(__xludf.DUMMYFUNCTION("""COMPUTED_VALUE"""),"MBC ชุมชนพาณิชเจริญ-21664")</f>
        <v>MBC ชุมชนพาณิชเจริญ-21664</v>
      </c>
      <c r="AG895" s="3" t="str">
        <f>IFERROR(__xludf.DUMMYFUNCTION("""COMPUTED_VALUE"""),"ตะวันออกเฉียงเหนือ")</f>
        <v>ตะวันออกเฉียงเหนือ</v>
      </c>
      <c r="AH895" s="3" t="str">
        <f>IFERROR(__xludf.DUMMYFUNCTION("""COMPUTED_VALUE"""),"#N/A")</f>
        <v>#N/A</v>
      </c>
      <c r="AI895" s="3" t="str">
        <f>IFERROR(__xludf.DUMMYFUNCTION("""COMPUTED_VALUE"""),"Out of warranty")</f>
        <v>Out of warranty</v>
      </c>
      <c r="AJ895" s="3">
        <f>IFERROR(__xludf.DUMMYFUNCTION("""COMPUTED_VALUE"""),89.0)</f>
        <v>89</v>
      </c>
      <c r="AK895" s="3" t="str">
        <f>IFERROR(__xludf.DUMMYFUNCTION("""COMPUTED_VALUE"""),"MMS11")</f>
        <v>MMS11</v>
      </c>
      <c r="AL895" s="3"/>
    </row>
    <row r="896" ht="15.75" customHeight="1">
      <c r="A896" s="1" t="str">
        <f>IFERROR(__xludf.DUMMYFUNCTION("""COMPUTED_VALUE"""),"21665")</f>
        <v>21665</v>
      </c>
      <c r="B896" s="2">
        <f>IFERROR(__xludf.DUMMYFUNCTION("""COMPUTED_VALUE"""),21665.0)</f>
        <v>21665</v>
      </c>
      <c r="C896" s="3" t="str">
        <f>IFERROR(__xludf.DUMMYFUNCTION("""COMPUTED_VALUE"""),"MBC ตลาดเจริญ เจริญ")</f>
        <v>MBC ตลาดเจริญ เจริญ</v>
      </c>
      <c r="D896" s="3" t="str">
        <f>IFERROR(__xludf.DUMMYFUNCTION("""COMPUTED_VALUE"""),"BCM TALAD CHAROEN CHAROEN")</f>
        <v>BCM TALAD CHAROEN CHAROEN</v>
      </c>
      <c r="E896" s="1" t="str">
        <f>IFERROR(__xludf.DUMMYFUNCTION("""COMPUTED_VALUE"""),"บิ๊กซี MINI")</f>
        <v>บิ๊กซี MINI</v>
      </c>
      <c r="F896" s="1" t="str">
        <f>IFERROR(__xludf.DUMMYFUNCTION("""COMPUTED_VALUE"""),"296229")</f>
        <v>296229</v>
      </c>
      <c r="G896" s="1" t="str">
        <f>IFERROR(__xludf.DUMMYFUNCTION("""COMPUTED_VALUE"""),"นายทนงศักดิ์ บุญมา")</f>
        <v>นายทนงศักดิ์ บุญมา</v>
      </c>
      <c r="H896" s="1" t="str">
        <f>IFERROR(__xludf.DUMMYFUNCTION("""COMPUTED_VALUE"""),"392003")</f>
        <v>392003</v>
      </c>
      <c r="I896" s="1" t="str">
        <f>IFERROR(__xludf.DUMMYFUNCTION("""COMPUTED_VALUE"""),"นายวรภพ เศษสูงเนิน")</f>
        <v>นายวรภพ เศษสูงเนิน</v>
      </c>
      <c r="J896" s="3">
        <f>IFERROR(__xludf.DUMMYFUNCTION("""COMPUTED_VALUE"""),2010016.0)</f>
        <v>2010016</v>
      </c>
      <c r="K896" s="3" t="str">
        <f>IFERROR(__xludf.DUMMYFUNCTION("""COMPUTED_VALUE"""),"นายตวงธรรม ใหม่ยศ")</f>
        <v>นายตวงธรรม ใหม่ยศ</v>
      </c>
      <c r="L896" s="1" t="str">
        <f>IFERROR(__xludf.DUMMYFUNCTION("""COMPUTED_VALUE"""),"01 K.Tuangtham M.")</f>
        <v>01 K.Tuangtham M.</v>
      </c>
      <c r="M896" s="1" t="str">
        <f>IFERROR(__xludf.DUMMYFUNCTION("""COMPUTED_VALUE"""),"063-976-595")</f>
        <v>063-976-595</v>
      </c>
      <c r="N896" s="3">
        <f>IFERROR(__xludf.DUMMYFUNCTION("""COMPUTED_VALUE"""),22574.0)</f>
        <v>22574</v>
      </c>
      <c r="O896" s="3" t="str">
        <f>IFERROR(__xludf.DUMMYFUNCTION("""COMPUTED_VALUE"""),"BCM ชุมชนศรีชุม ลำปาง")</f>
        <v>BCM ชุมชนศรีชุม ลำปาง</v>
      </c>
      <c r="P896" s="4">
        <f>IFERROR(__xludf.DUMMYFUNCTION("""COMPUTED_VALUE"""),43371.0)</f>
        <v>43371</v>
      </c>
      <c r="Q896" s="3" t="str">
        <f>IFERROR(__xludf.DUMMYFUNCTION("""COMPUTED_VALUE"""),"A")</f>
        <v>A</v>
      </c>
      <c r="R896" s="3" t="str">
        <f>IFERROR(__xludf.DUMMYFUNCTION("""COMPUTED_VALUE"""),"Small Format")</f>
        <v>Small Format</v>
      </c>
      <c r="S896" s="3" t="str">
        <f>IFERROR(__xludf.DUMMYFUNCTION("""COMPUTED_VALUE"""),"BCM")</f>
        <v>BCM</v>
      </c>
      <c r="T896" s="3" t="str">
        <f>IFERROR(__xludf.DUMMYFUNCTION("""COMPUTED_VALUE"""),"#N/A")</f>
        <v>#N/A</v>
      </c>
      <c r="U896" s="3" t="str">
        <f>IFERROR(__xludf.DUMMYFUNCTION("""COMPUTED_VALUE"""),"#N/A")</f>
        <v>#N/A</v>
      </c>
      <c r="V896" s="3" t="str">
        <f>IFERROR(__xludf.DUMMYFUNCTION("""COMPUTED_VALUE"""),"N")</f>
        <v>N</v>
      </c>
      <c r="W896" s="3">
        <f>IFERROR(__xludf.DUMMYFUNCTION("""COMPUTED_VALUE"""),211603.0)</f>
        <v>211603</v>
      </c>
      <c r="X896" s="3" t="str">
        <f>IFERROR(__xludf.DUMMYFUNCTION("""COMPUTED_VALUE"""),"555/3 หมู่6 ตำบลสันกลาง อำเภอสันกำแพง จังหวัดเชียงใหม่ 50130")</f>
        <v>555/3 หมู่6 ตำบลสันกลาง อำเภอสันกำแพง จังหวัดเชียงใหม่ 50130</v>
      </c>
      <c r="Y896" s="3"/>
      <c r="Z896" s="3" t="str">
        <f>IFERROR(__xludf.DUMMYFUNCTION("""COMPUTED_VALUE"""),"สันกลาง")</f>
        <v>สันกลาง</v>
      </c>
      <c r="AA896" s="3" t="str">
        <f>IFERROR(__xludf.DUMMYFUNCTION("""COMPUTED_VALUE"""),"สันกำแพง")</f>
        <v>สันกำแพง</v>
      </c>
      <c r="AB896" s="3" t="str">
        <f>IFERROR(__xludf.DUMMYFUNCTION("""COMPUTED_VALUE"""),"เชียงใหม่")</f>
        <v>เชียงใหม่</v>
      </c>
      <c r="AC896" s="3">
        <f>IFERROR(__xludf.DUMMYFUNCTION("""COMPUTED_VALUE"""),50130.0)</f>
        <v>50130</v>
      </c>
      <c r="AD896" s="3">
        <f>IFERROR(__xludf.DUMMYFUNCTION("""COMPUTED_VALUE"""),18.754032)</f>
        <v>18.754032</v>
      </c>
      <c r="AE896" s="3">
        <f>IFERROR(__xludf.DUMMYFUNCTION("""COMPUTED_VALUE"""),99.056757)</f>
        <v>99.056757</v>
      </c>
      <c r="AF896" s="3" t="str">
        <f>IFERROR(__xludf.DUMMYFUNCTION("""COMPUTED_VALUE"""),"MBC ตลาดเจริญ เจริญ-21665")</f>
        <v>MBC ตลาดเจริญ เจริญ-21665</v>
      </c>
      <c r="AG896" s="3" t="str">
        <f>IFERROR(__xludf.DUMMYFUNCTION("""COMPUTED_VALUE"""),"เหนือ")</f>
        <v>เหนือ</v>
      </c>
      <c r="AH896" s="3" t="str">
        <f>IFERROR(__xludf.DUMMYFUNCTION("""COMPUTED_VALUE"""),"#N/A")</f>
        <v>#N/A</v>
      </c>
      <c r="AI896" s="3" t="str">
        <f>IFERROR(__xludf.DUMMYFUNCTION("""COMPUTED_VALUE"""),"Out of warranty")</f>
        <v>Out of warranty</v>
      </c>
      <c r="AJ896" s="3">
        <f>IFERROR(__xludf.DUMMYFUNCTION("""COMPUTED_VALUE"""),88.0)</f>
        <v>88</v>
      </c>
      <c r="AK896" s="3" t="str">
        <f>IFERROR(__xludf.DUMMYFUNCTION("""COMPUTED_VALUE"""),"MMS10")</f>
        <v>MMS10</v>
      </c>
      <c r="AL896" s="3"/>
    </row>
    <row r="897" ht="15.75" customHeight="1">
      <c r="A897" s="1" t="str">
        <f>IFERROR(__xludf.DUMMYFUNCTION("""COMPUTED_VALUE"""),"21666")</f>
        <v>21666</v>
      </c>
      <c r="B897" s="2">
        <f>IFERROR(__xludf.DUMMYFUNCTION("""COMPUTED_VALUE"""),21666.0)</f>
        <v>21666</v>
      </c>
      <c r="C897" s="3" t="str">
        <f>IFERROR(__xludf.DUMMYFUNCTION("""COMPUTED_VALUE"""),"MBC ถนนเจ้าฟ้า ตะวันตก")</f>
        <v>MBC ถนนเจ้าฟ้า ตะวันตก</v>
      </c>
      <c r="D897" s="3" t="str">
        <f>IFERROR(__xludf.DUMMYFUNCTION("""COMPUTED_VALUE"""),"BCM THANON CHAOFA TAWAN TOK")</f>
        <v>BCM THANON CHAOFA TAWAN TOK</v>
      </c>
      <c r="E897" s="1" t="str">
        <f>IFERROR(__xludf.DUMMYFUNCTION("""COMPUTED_VALUE"""),"บิ๊กซี MINI")</f>
        <v>บิ๊กซี MINI</v>
      </c>
      <c r="F897" s="1" t="str">
        <f>IFERROR(__xludf.DUMMYFUNCTION("""COMPUTED_VALUE"""),"250760")</f>
        <v>250760</v>
      </c>
      <c r="G897" s="1" t="str">
        <f>IFERROR(__xludf.DUMMYFUNCTION("""COMPUTED_VALUE"""),"นายประทวน สาราบรรณ์")</f>
        <v>นายประทวน สาราบรรณ์</v>
      </c>
      <c r="H897" s="1" t="str">
        <f>IFERROR(__xludf.DUMMYFUNCTION("""COMPUTED_VALUE"""),"357284")</f>
        <v>357284</v>
      </c>
      <c r="I897" s="1" t="str">
        <f>IFERROR(__xludf.DUMMYFUNCTION("""COMPUTED_VALUE"""),"น.ส.เบญจวรรณ ปัณฑโมรา")</f>
        <v>น.ส.เบญจวรรณ ปัณฑโมรา</v>
      </c>
      <c r="J897" s="3">
        <f>IFERROR(__xludf.DUMMYFUNCTION("""COMPUTED_VALUE"""),25324.0)</f>
        <v>25324</v>
      </c>
      <c r="K897" s="3" t="str">
        <f>IFERROR(__xludf.DUMMYFUNCTION("""COMPUTED_VALUE"""),"นายวิเชฎฐ์ ติรัตนะประคม")</f>
        <v>นายวิเชฎฐ์ ติรัตนะประคม</v>
      </c>
      <c r="L897" s="1" t="str">
        <f>IFERROR(__xludf.DUMMYFUNCTION("""COMPUTED_VALUE"""),"14 K.Wichet T.")</f>
        <v>14 K.Wichet T.</v>
      </c>
      <c r="M897" s="1" t="str">
        <f>IFERROR(__xludf.DUMMYFUNCTION("""COMPUTED_VALUE"""),"061-417-6569 / 086-445-5636")</f>
        <v>061-417-6569 / 086-445-5636</v>
      </c>
      <c r="N897" s="3">
        <f>IFERROR(__xludf.DUMMYFUNCTION("""COMPUTED_VALUE"""),22658.0)</f>
        <v>22658</v>
      </c>
      <c r="O897" s="3" t="str">
        <f>IFERROR(__xludf.DUMMYFUNCTION("""COMPUTED_VALUE"""),"BCM ถ.วิรัชหงษ์หยก ภูเก็ต")</f>
        <v>BCM ถ.วิรัชหงษ์หยก ภูเก็ต</v>
      </c>
      <c r="P897" s="4">
        <f>IFERROR(__xludf.DUMMYFUNCTION("""COMPUTED_VALUE"""),43359.0)</f>
        <v>43359</v>
      </c>
      <c r="Q897" s="3" t="str">
        <f>IFERROR(__xludf.DUMMYFUNCTION("""COMPUTED_VALUE"""),"A")</f>
        <v>A</v>
      </c>
      <c r="R897" s="3" t="str">
        <f>IFERROR(__xludf.DUMMYFUNCTION("""COMPUTED_VALUE"""),"Small Format")</f>
        <v>Small Format</v>
      </c>
      <c r="S897" s="3" t="str">
        <f>IFERROR(__xludf.DUMMYFUNCTION("""COMPUTED_VALUE"""),"BCM")</f>
        <v>BCM</v>
      </c>
      <c r="T897" s="3" t="str">
        <f>IFERROR(__xludf.DUMMYFUNCTION("""COMPUTED_VALUE"""),"#N/A")</f>
        <v>#N/A</v>
      </c>
      <c r="U897" s="3" t="str">
        <f>IFERROR(__xludf.DUMMYFUNCTION("""COMPUTED_VALUE"""),"#N/A")</f>
        <v>#N/A</v>
      </c>
      <c r="V897" s="3" t="str">
        <f>IFERROR(__xludf.DUMMYFUNCTION("""COMPUTED_VALUE"""),"N")</f>
        <v>N</v>
      </c>
      <c r="W897" s="3">
        <f>IFERROR(__xludf.DUMMYFUNCTION("""COMPUTED_VALUE"""),211644.0)</f>
        <v>211644</v>
      </c>
      <c r="X897" s="3" t="str">
        <f>IFERROR(__xludf.DUMMYFUNCTION("""COMPUTED_VALUE"""),"89/4 หมู่10 ตำบลฉลอง อำเภอเมืองภูเก็ต จังหวัดภูเก็ต 83130")</f>
        <v>89/4 หมู่10 ตำบลฉลอง อำเภอเมืองภูเก็ต จังหวัดภูเก็ต 83130</v>
      </c>
      <c r="Y897" s="3"/>
      <c r="Z897" s="3" t="str">
        <f>IFERROR(__xludf.DUMMYFUNCTION("""COMPUTED_VALUE"""),"ฉลอง")</f>
        <v>ฉลอง</v>
      </c>
      <c r="AA897" s="3" t="str">
        <f>IFERROR(__xludf.DUMMYFUNCTION("""COMPUTED_VALUE"""),"เมือง")</f>
        <v>เมือง</v>
      </c>
      <c r="AB897" s="3" t="str">
        <f>IFERROR(__xludf.DUMMYFUNCTION("""COMPUTED_VALUE"""),"ภูเก็ต")</f>
        <v>ภูเก็ต</v>
      </c>
      <c r="AC897" s="3">
        <f>IFERROR(__xludf.DUMMYFUNCTION("""COMPUTED_VALUE"""),83130.0)</f>
        <v>83130</v>
      </c>
      <c r="AD897" s="3">
        <f>IFERROR(__xludf.DUMMYFUNCTION("""COMPUTED_VALUE"""),7.828531)</f>
        <v>7.828531</v>
      </c>
      <c r="AE897" s="3">
        <f>IFERROR(__xludf.DUMMYFUNCTION("""COMPUTED_VALUE"""),98.34217)</f>
        <v>98.34217</v>
      </c>
      <c r="AF897" s="3" t="str">
        <f>IFERROR(__xludf.DUMMYFUNCTION("""COMPUTED_VALUE"""),"MBC ถนนเจ้าฟ้า ตะวันตก-21666")</f>
        <v>MBC ถนนเจ้าฟ้า ตะวันตก-21666</v>
      </c>
      <c r="AG897" s="3" t="str">
        <f>IFERROR(__xludf.DUMMYFUNCTION("""COMPUTED_VALUE"""),"ใต้")</f>
        <v>ใต้</v>
      </c>
      <c r="AH897" s="3" t="str">
        <f>IFERROR(__xludf.DUMMYFUNCTION("""COMPUTED_VALUE"""),"#N/A")</f>
        <v>#N/A</v>
      </c>
      <c r="AI897" s="3" t="str">
        <f>IFERROR(__xludf.DUMMYFUNCTION("""COMPUTED_VALUE"""),"Out of warranty")</f>
        <v>Out of warranty</v>
      </c>
      <c r="AJ897" s="3">
        <f>IFERROR(__xludf.DUMMYFUNCTION("""COMPUTED_VALUE"""),89.0)</f>
        <v>89</v>
      </c>
      <c r="AK897" s="3" t="str">
        <f>IFERROR(__xludf.DUMMYFUNCTION("""COMPUTED_VALUE"""),"MMS15")</f>
        <v>MMS15</v>
      </c>
      <c r="AL897" s="3"/>
    </row>
    <row r="898" ht="15.75" customHeight="1">
      <c r="A898" s="1" t="str">
        <f>IFERROR(__xludf.DUMMYFUNCTION("""COMPUTED_VALUE"""),"21667")</f>
        <v>21667</v>
      </c>
      <c r="B898" s="2">
        <f>IFERROR(__xludf.DUMMYFUNCTION("""COMPUTED_VALUE"""),21667.0)</f>
        <v>21667</v>
      </c>
      <c r="C898" s="3" t="str">
        <f>IFERROR(__xludf.DUMMYFUNCTION("""COMPUTED_VALUE"""),"MBC หนองวัวซอ")</f>
        <v>MBC หนองวัวซอ</v>
      </c>
      <c r="D898" s="3" t="str">
        <f>IFERROR(__xludf.DUMMYFUNCTION("""COMPUTED_VALUE"""),"BCM NONG WUA ZOR")</f>
        <v>BCM NONG WUA ZOR</v>
      </c>
      <c r="E898" s="1" t="str">
        <f>IFERROR(__xludf.DUMMYFUNCTION("""COMPUTED_VALUE"""),"บิ๊กซี MINI")</f>
        <v>บิ๊กซี MINI</v>
      </c>
      <c r="F898" s="1" t="str">
        <f>IFERROR(__xludf.DUMMYFUNCTION("""COMPUTED_VALUE"""),"291105")</f>
        <v>291105</v>
      </c>
      <c r="G898" s="1" t="str">
        <f>IFERROR(__xludf.DUMMYFUNCTION("""COMPUTED_VALUE"""),"นายสราวุฒิ พณิชยกุล")</f>
        <v>นายสราวุฒิ พณิชยกุล</v>
      </c>
      <c r="H898" s="1" t="str">
        <f>IFERROR(__xludf.DUMMYFUNCTION("""COMPUTED_VALUE"""),"392005")</f>
        <v>392005</v>
      </c>
      <c r="I898" s="1" t="str">
        <f>IFERROR(__xludf.DUMMYFUNCTION("""COMPUTED_VALUE"""),"นายรัฐพล หาญลำยวง")</f>
        <v>นายรัฐพล หาญลำยวง</v>
      </c>
      <c r="J898" s="3">
        <f>IFERROR(__xludf.DUMMYFUNCTION("""COMPUTED_VALUE"""),296868.0)</f>
        <v>296868</v>
      </c>
      <c r="K898" s="3" t="str">
        <f>IFERROR(__xludf.DUMMYFUNCTION("""COMPUTED_VALUE"""),"นายพีระพงษ์ แก้วดวงดี")</f>
        <v>นายพีระพงษ์ แก้วดวงดี</v>
      </c>
      <c r="L898" s="1" t="str">
        <f>IFERROR(__xludf.DUMMYFUNCTION("""COMPUTED_VALUE"""),"03 K.Peerapong K.")</f>
        <v>03 K.Peerapong K.</v>
      </c>
      <c r="M898" s="1" t="str">
        <f>IFERROR(__xludf.DUMMYFUNCTION("""COMPUTED_VALUE"""),"089-002-6599")</f>
        <v>089-002-6599</v>
      </c>
      <c r="N898" s="3">
        <f>IFERROR(__xludf.DUMMYFUNCTION("""COMPUTED_VALUE"""),21946.0)</f>
        <v>21946</v>
      </c>
      <c r="O898" s="3" t="str">
        <f>IFERROR(__xludf.DUMMYFUNCTION("""COMPUTED_VALUE"""),"MBC เซกา บึงกาฬ")</f>
        <v>MBC เซกา บึงกาฬ</v>
      </c>
      <c r="P898" s="4">
        <f>IFERROR(__xludf.DUMMYFUNCTION("""COMPUTED_VALUE"""),43361.0)</f>
        <v>43361</v>
      </c>
      <c r="Q898" s="3" t="str">
        <f>IFERROR(__xludf.DUMMYFUNCTION("""COMPUTED_VALUE"""),"A")</f>
        <v>A</v>
      </c>
      <c r="R898" s="3" t="str">
        <f>IFERROR(__xludf.DUMMYFUNCTION("""COMPUTED_VALUE"""),"Small Format")</f>
        <v>Small Format</v>
      </c>
      <c r="S898" s="3" t="str">
        <f>IFERROR(__xludf.DUMMYFUNCTION("""COMPUTED_VALUE"""),"BCM")</f>
        <v>BCM</v>
      </c>
      <c r="T898" s="3" t="str">
        <f>IFERROR(__xludf.DUMMYFUNCTION("""COMPUTED_VALUE"""),"#N/A")</f>
        <v>#N/A</v>
      </c>
      <c r="U898" s="3" t="str">
        <f>IFERROR(__xludf.DUMMYFUNCTION("""COMPUTED_VALUE"""),"#N/A")</f>
        <v>#N/A</v>
      </c>
      <c r="V898" s="3" t="str">
        <f>IFERROR(__xludf.DUMMYFUNCTION("""COMPUTED_VALUE"""),"N")</f>
        <v>N</v>
      </c>
      <c r="W898" s="3">
        <f>IFERROR(__xludf.DUMMYFUNCTION("""COMPUTED_VALUE"""),211638.0)</f>
        <v>211638</v>
      </c>
      <c r="X898" s="3" t="str">
        <f>IFERROR(__xludf.DUMMYFUNCTION("""COMPUTED_VALUE"""),"26 หมู่4 ตำบลหมากหญ้า อำเภอหนองวัวซอ จังหวัดอุดรธานี 41360")</f>
        <v>26 หมู่4 ตำบลหมากหญ้า อำเภอหนองวัวซอ จังหวัดอุดรธานี 41360</v>
      </c>
      <c r="Y898" s="3"/>
      <c r="Z898" s="3" t="str">
        <f>IFERROR(__xludf.DUMMYFUNCTION("""COMPUTED_VALUE"""),"หมากหญ้า")</f>
        <v>หมากหญ้า</v>
      </c>
      <c r="AA898" s="3" t="str">
        <f>IFERROR(__xludf.DUMMYFUNCTION("""COMPUTED_VALUE"""),"หนองวัวซอ")</f>
        <v>หนองวัวซอ</v>
      </c>
      <c r="AB898" s="3" t="str">
        <f>IFERROR(__xludf.DUMMYFUNCTION("""COMPUTED_VALUE"""),"อุดรธานี")</f>
        <v>อุดรธานี</v>
      </c>
      <c r="AC898" s="3">
        <f>IFERROR(__xludf.DUMMYFUNCTION("""COMPUTED_VALUE"""),41360.0)</f>
        <v>41360</v>
      </c>
      <c r="AD898" s="3">
        <f>IFERROR(__xludf.DUMMYFUNCTION("""COMPUTED_VALUE"""),17.27048309)</f>
        <v>17.27048309</v>
      </c>
      <c r="AE898" s="3">
        <f>IFERROR(__xludf.DUMMYFUNCTION("""COMPUTED_VALUE"""),102.600240145)</f>
        <v>102.6002401</v>
      </c>
      <c r="AF898" s="3" t="str">
        <f>IFERROR(__xludf.DUMMYFUNCTION("""COMPUTED_VALUE"""),"MBC หนองวัวซอ-21667")</f>
        <v>MBC หนองวัวซอ-21667</v>
      </c>
      <c r="AG898" s="3" t="str">
        <f>IFERROR(__xludf.DUMMYFUNCTION("""COMPUTED_VALUE"""),"ตะวันออกเฉียงเหนือ")</f>
        <v>ตะวันออกเฉียงเหนือ</v>
      </c>
      <c r="AH898" s="3" t="str">
        <f>IFERROR(__xludf.DUMMYFUNCTION("""COMPUTED_VALUE"""),"#N/A")</f>
        <v>#N/A</v>
      </c>
      <c r="AI898" s="3" t="str">
        <f>IFERROR(__xludf.DUMMYFUNCTION("""COMPUTED_VALUE"""),"Out of warranty")</f>
        <v>Out of warranty</v>
      </c>
      <c r="AJ898" s="3">
        <f>IFERROR(__xludf.DUMMYFUNCTION("""COMPUTED_VALUE"""),89.0)</f>
        <v>89</v>
      </c>
      <c r="AK898" s="3" t="str">
        <f>IFERROR(__xludf.DUMMYFUNCTION("""COMPUTED_VALUE"""),"MMS12")</f>
        <v>MMS12</v>
      </c>
      <c r="AL898" s="3"/>
    </row>
    <row r="899" ht="15.75" customHeight="1">
      <c r="A899" s="1" t="str">
        <f>IFERROR(__xludf.DUMMYFUNCTION("""COMPUTED_VALUE"""),"21668")</f>
        <v>21668</v>
      </c>
      <c r="B899" s="2">
        <f>IFERROR(__xludf.DUMMYFUNCTION("""COMPUTED_VALUE"""),21668.0)</f>
        <v>21668</v>
      </c>
      <c r="C899" s="3" t="str">
        <f>IFERROR(__xludf.DUMMYFUNCTION("""COMPUTED_VALUE"""),"MBC มาบยางพร-วังตาผิน")</f>
        <v>MBC มาบยางพร-วังตาผิน</v>
      </c>
      <c r="D899" s="3" t="str">
        <f>IFERROR(__xludf.DUMMYFUNCTION("""COMPUTED_VALUE"""),"BCM MABYANGPORN-WANGTAPHIN")</f>
        <v>BCM MABYANGPORN-WANGTAPHIN</v>
      </c>
      <c r="E899" s="1" t="str">
        <f>IFERROR(__xludf.DUMMYFUNCTION("""COMPUTED_VALUE"""),"บิ๊กซี MINI")</f>
        <v>บิ๊กซี MINI</v>
      </c>
      <c r="F899" s="1" t="str">
        <f>IFERROR(__xludf.DUMMYFUNCTION("""COMPUTED_VALUE"""),"221716")</f>
        <v>221716</v>
      </c>
      <c r="G899" s="1" t="str">
        <f>IFERROR(__xludf.DUMMYFUNCTION("""COMPUTED_VALUE"""),"น.ส.เบญจพร โพธิสาร")</f>
        <v>น.ส.เบญจพร โพธิสาร</v>
      </c>
      <c r="H899" s="1" t="str">
        <f>IFERROR(__xludf.DUMMYFUNCTION("""COMPUTED_VALUE"""),"371384")</f>
        <v>371384</v>
      </c>
      <c r="I899" s="1" t="str">
        <f>IFERROR(__xludf.DUMMYFUNCTION("""COMPUTED_VALUE"""),"น.ส.นิลเนตร สิงห์ทอง")</f>
        <v>น.ส.นิลเนตร สิงห์ทอง</v>
      </c>
      <c r="J899" s="3">
        <f>IFERROR(__xludf.DUMMYFUNCTION("""COMPUTED_VALUE"""),2452376.0)</f>
        <v>2452376</v>
      </c>
      <c r="K899" s="3" t="str">
        <f>IFERROR(__xludf.DUMMYFUNCTION("""COMPUTED_VALUE"""),"นายภาคภูมิ ทวีกุล")</f>
        <v>นายภาคภูมิ ทวีกุล</v>
      </c>
      <c r="L899" s="1" t="str">
        <f>IFERROR(__xludf.DUMMYFUNCTION("""COMPUTED_VALUE"""),"08 K.Parkphum T.")</f>
        <v>08 K.Parkphum T.</v>
      </c>
      <c r="M899" s="1" t="str">
        <f>IFERROR(__xludf.DUMMYFUNCTION("""COMPUTED_VALUE"""),"097-919-5476")</f>
        <v>097-919-5476</v>
      </c>
      <c r="N899" s="3">
        <f>IFERROR(__xludf.DUMMYFUNCTION("""COMPUTED_VALUE"""),22028.0)</f>
        <v>22028</v>
      </c>
      <c r="O899" s="3" t="str">
        <f>IFERROR(__xludf.DUMMYFUNCTION("""COMPUTED_VALUE"""),"MBC ทํบมา ระยอง")</f>
        <v>MBC ทํบมา ระยอง</v>
      </c>
      <c r="P899" s="4">
        <f>IFERROR(__xludf.DUMMYFUNCTION("""COMPUTED_VALUE"""),43361.0)</f>
        <v>43361</v>
      </c>
      <c r="Q899" s="3" t="str">
        <f>IFERROR(__xludf.DUMMYFUNCTION("""COMPUTED_VALUE"""),"A")</f>
        <v>A</v>
      </c>
      <c r="R899" s="3" t="str">
        <f>IFERROR(__xludf.DUMMYFUNCTION("""COMPUTED_VALUE"""),"Small Format")</f>
        <v>Small Format</v>
      </c>
      <c r="S899" s="3" t="str">
        <f>IFERROR(__xludf.DUMMYFUNCTION("""COMPUTED_VALUE"""),"BCM")</f>
        <v>BCM</v>
      </c>
      <c r="T899" s="3" t="str">
        <f>IFERROR(__xludf.DUMMYFUNCTION("""COMPUTED_VALUE"""),"#N/A")</f>
        <v>#N/A</v>
      </c>
      <c r="U899" s="3" t="str">
        <f>IFERROR(__xludf.DUMMYFUNCTION("""COMPUTED_VALUE"""),"#N/A")</f>
        <v>#N/A</v>
      </c>
      <c r="V899" s="3" t="str">
        <f>IFERROR(__xludf.DUMMYFUNCTION("""COMPUTED_VALUE"""),"N")</f>
        <v>N</v>
      </c>
      <c r="W899" s="3">
        <f>IFERROR(__xludf.DUMMYFUNCTION("""COMPUTED_VALUE"""),211634.0)</f>
        <v>211634</v>
      </c>
      <c r="X899" s="3" t="str">
        <f>IFERROR(__xludf.DUMMYFUNCTION("""COMPUTED_VALUE"""),"98/5 หมู่3 ตำบลมาบยางพร อำเภอปลวกแดง จังหวัดระยอง 21140")</f>
        <v>98/5 หมู่3 ตำบลมาบยางพร อำเภอปลวกแดง จังหวัดระยอง 21140</v>
      </c>
      <c r="Y899" s="3"/>
      <c r="Z899" s="3" t="str">
        <f>IFERROR(__xludf.DUMMYFUNCTION("""COMPUTED_VALUE"""),"มาบยางพร")</f>
        <v>มาบยางพร</v>
      </c>
      <c r="AA899" s="3" t="str">
        <f>IFERROR(__xludf.DUMMYFUNCTION("""COMPUTED_VALUE"""),"ปลวกแดง")</f>
        <v>ปลวกแดง</v>
      </c>
      <c r="AB899" s="3" t="str">
        <f>IFERROR(__xludf.DUMMYFUNCTION("""COMPUTED_VALUE"""),"ระยอง")</f>
        <v>ระยอง</v>
      </c>
      <c r="AC899" s="3">
        <f>IFERROR(__xludf.DUMMYFUNCTION("""COMPUTED_VALUE"""),21140.0)</f>
        <v>21140</v>
      </c>
      <c r="AD899" s="3">
        <f>IFERROR(__xludf.DUMMYFUNCTION("""COMPUTED_VALUE"""),12.992798)</f>
        <v>12.992798</v>
      </c>
      <c r="AE899" s="3">
        <f>IFERROR(__xludf.DUMMYFUNCTION("""COMPUTED_VALUE"""),101.155628)</f>
        <v>101.155628</v>
      </c>
      <c r="AF899" s="3" t="str">
        <f>IFERROR(__xludf.DUMMYFUNCTION("""COMPUTED_VALUE"""),"MBC มาบยางพร-วังตาผิน-21668")</f>
        <v>MBC มาบยางพร-วังตาผิน-21668</v>
      </c>
      <c r="AG899" s="3" t="str">
        <f>IFERROR(__xludf.DUMMYFUNCTION("""COMPUTED_VALUE"""),"ตะวันออก")</f>
        <v>ตะวันออก</v>
      </c>
      <c r="AH899" s="3" t="str">
        <f>IFERROR(__xludf.DUMMYFUNCTION("""COMPUTED_VALUE"""),"#N/A")</f>
        <v>#N/A</v>
      </c>
      <c r="AI899" s="3" t="str">
        <f>IFERROR(__xludf.DUMMYFUNCTION("""COMPUTED_VALUE"""),"Out of warranty")</f>
        <v>Out of warranty</v>
      </c>
      <c r="AJ899" s="3">
        <f>IFERROR(__xludf.DUMMYFUNCTION("""COMPUTED_VALUE"""),89.0)</f>
        <v>89</v>
      </c>
      <c r="AK899" s="3" t="str">
        <f>IFERROR(__xludf.DUMMYFUNCTION("""COMPUTED_VALUE"""),"MMS07")</f>
        <v>MMS07</v>
      </c>
      <c r="AL899" s="3"/>
    </row>
    <row r="900" ht="15.75" customHeight="1">
      <c r="A900" s="1" t="str">
        <f>IFERROR(__xludf.DUMMYFUNCTION("""COMPUTED_VALUE"""),"21669")</f>
        <v>21669</v>
      </c>
      <c r="B900" s="2">
        <f>IFERROR(__xludf.DUMMYFUNCTION("""COMPUTED_VALUE"""),21669.0)</f>
        <v>21669</v>
      </c>
      <c r="C900" s="3" t="str">
        <f>IFERROR(__xludf.DUMMYFUNCTION("""COMPUTED_VALUE"""),"MBC อำเภอจะนะ")</f>
        <v>MBC อำเภอจะนะ</v>
      </c>
      <c r="D900" s="3" t="str">
        <f>IFERROR(__xludf.DUMMYFUNCTION("""COMPUTED_VALUE"""),"BCM AMPHER CHANA")</f>
        <v>BCM AMPHER CHANA</v>
      </c>
      <c r="E900" s="1" t="str">
        <f>IFERROR(__xludf.DUMMYFUNCTION("""COMPUTED_VALUE"""),"บิ๊กซี MINI")</f>
        <v>บิ๊กซี MINI</v>
      </c>
      <c r="F900" s="1" t="str">
        <f>IFERROR(__xludf.DUMMYFUNCTION("""COMPUTED_VALUE"""),"250760")</f>
        <v>250760</v>
      </c>
      <c r="G900" s="1" t="str">
        <f>IFERROR(__xludf.DUMMYFUNCTION("""COMPUTED_VALUE"""),"นายประทวน สาราบรรณ์")</f>
        <v>นายประทวน สาราบรรณ์</v>
      </c>
      <c r="H900" s="1" t="str">
        <f>IFERROR(__xludf.DUMMYFUNCTION("""COMPUTED_VALUE"""),"394185")</f>
        <v>394185</v>
      </c>
      <c r="I900" s="1" t="str">
        <f>IFERROR(__xludf.DUMMYFUNCTION("""COMPUTED_VALUE"""),"น.ส.ฐาปนี สุวรรณรัตน์")</f>
        <v>น.ส.ฐาปนี สุวรรณรัตน์</v>
      </c>
      <c r="J900" s="3">
        <f>IFERROR(__xludf.DUMMYFUNCTION("""COMPUTED_VALUE"""),2.0470331E7)</f>
        <v>20470331</v>
      </c>
      <c r="K900" s="3" t="str">
        <f>IFERROR(__xludf.DUMMYFUNCTION("""COMPUTED_VALUE"""),"นายสมชาย ลักษณะสุวรรณ")</f>
        <v>นายสมชาย ลักษณะสุวรรณ</v>
      </c>
      <c r="L900" s="1" t="str">
        <f>IFERROR(__xludf.DUMMYFUNCTION("""COMPUTED_VALUE"""),"15 K.Somchai L")</f>
        <v>15 K.Somchai L</v>
      </c>
      <c r="M900" s="1" t="str">
        <f>IFERROR(__xludf.DUMMYFUNCTION("""COMPUTED_VALUE"""),"0655107372")</f>
        <v>0655107372</v>
      </c>
      <c r="N900" s="3">
        <f>IFERROR(__xludf.DUMMYFUNCTION("""COMPUTED_VALUE"""),21723.0)</f>
        <v>21723</v>
      </c>
      <c r="O900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900" s="4">
        <f>IFERROR(__xludf.DUMMYFUNCTION("""COMPUTED_VALUE"""),43368.0)</f>
        <v>43368</v>
      </c>
      <c r="Q900" s="3" t="str">
        <f>IFERROR(__xludf.DUMMYFUNCTION("""COMPUTED_VALUE"""),"A")</f>
        <v>A</v>
      </c>
      <c r="R900" s="3" t="str">
        <f>IFERROR(__xludf.DUMMYFUNCTION("""COMPUTED_VALUE"""),"Small Format")</f>
        <v>Small Format</v>
      </c>
      <c r="S900" s="3" t="str">
        <f>IFERROR(__xludf.DUMMYFUNCTION("""COMPUTED_VALUE"""),"BCM")</f>
        <v>BCM</v>
      </c>
      <c r="T900" s="3" t="str">
        <f>IFERROR(__xludf.DUMMYFUNCTION("""COMPUTED_VALUE"""),"#N/A")</f>
        <v>#N/A</v>
      </c>
      <c r="U900" s="3" t="str">
        <f>IFERROR(__xludf.DUMMYFUNCTION("""COMPUTED_VALUE"""),"#N/A")</f>
        <v>#N/A</v>
      </c>
      <c r="V900" s="3" t="str">
        <f>IFERROR(__xludf.DUMMYFUNCTION("""COMPUTED_VALUE"""),"N")</f>
        <v>N</v>
      </c>
      <c r="W900" s="3">
        <f>IFERROR(__xludf.DUMMYFUNCTION("""COMPUTED_VALUE"""),211642.0)</f>
        <v>211642</v>
      </c>
      <c r="X900" s="3" t="str">
        <f>IFERROR(__xludf.DUMMYFUNCTION("""COMPUTED_VALUE"""),"59,61 หมู่2 ถนนราษฏร์รักษ์ ตำบลบ้านนา อำเภอจะนะ จังหวัดสงขลา 90130")</f>
        <v>59,61 หมู่2 ถนนราษฏร์รักษ์ ตำบลบ้านนา อำเภอจะนะ จังหวัดสงขลา 90130</v>
      </c>
      <c r="Y900" s="3"/>
      <c r="Z900" s="3" t="str">
        <f>IFERROR(__xludf.DUMMYFUNCTION("""COMPUTED_VALUE"""),"บ้านนา")</f>
        <v>บ้านนา</v>
      </c>
      <c r="AA900" s="3" t="str">
        <f>IFERROR(__xludf.DUMMYFUNCTION("""COMPUTED_VALUE"""),"จะนะ")</f>
        <v>จะนะ</v>
      </c>
      <c r="AB900" s="3" t="str">
        <f>IFERROR(__xludf.DUMMYFUNCTION("""COMPUTED_VALUE"""),"สงขลา")</f>
        <v>สงขลา</v>
      </c>
      <c r="AC900" s="3">
        <f>IFERROR(__xludf.DUMMYFUNCTION("""COMPUTED_VALUE"""),90130.0)</f>
        <v>90130</v>
      </c>
      <c r="AD900" s="3">
        <f>IFERROR(__xludf.DUMMYFUNCTION("""COMPUTED_VALUE"""),6.9126)</f>
        <v>6.9126</v>
      </c>
      <c r="AE900" s="3">
        <f>IFERROR(__xludf.DUMMYFUNCTION("""COMPUTED_VALUE"""),100.738122)</f>
        <v>100.738122</v>
      </c>
      <c r="AF900" s="3" t="str">
        <f>IFERROR(__xludf.DUMMYFUNCTION("""COMPUTED_VALUE"""),"MBC อำเภอจะนะ-21669")</f>
        <v>MBC อำเภอจะนะ-21669</v>
      </c>
      <c r="AG900" s="3" t="str">
        <f>IFERROR(__xludf.DUMMYFUNCTION("""COMPUTED_VALUE"""),"ใต้")</f>
        <v>ใต้</v>
      </c>
      <c r="AH900" s="3" t="str">
        <f>IFERROR(__xludf.DUMMYFUNCTION("""COMPUTED_VALUE"""),"#N/A")</f>
        <v>#N/A</v>
      </c>
      <c r="AI900" s="3" t="str">
        <f>IFERROR(__xludf.DUMMYFUNCTION("""COMPUTED_VALUE"""),"Out of warranty")</f>
        <v>Out of warranty</v>
      </c>
      <c r="AJ900" s="3">
        <f>IFERROR(__xludf.DUMMYFUNCTION("""COMPUTED_VALUE"""),88.0)</f>
        <v>88</v>
      </c>
      <c r="AK900" s="3" t="str">
        <f>IFERROR(__xludf.DUMMYFUNCTION("""COMPUTED_VALUE"""),"MMS16")</f>
        <v>MMS16</v>
      </c>
      <c r="AL900" s="3"/>
    </row>
    <row r="901" ht="15.75" customHeight="1">
      <c r="A901" s="1" t="str">
        <f>IFERROR(__xludf.DUMMYFUNCTION("""COMPUTED_VALUE"""),"21670")</f>
        <v>21670</v>
      </c>
      <c r="B901" s="2">
        <f>IFERROR(__xludf.DUMMYFUNCTION("""COMPUTED_VALUE"""),21670.0)</f>
        <v>21670</v>
      </c>
      <c r="C901" s="3" t="str">
        <f>IFERROR(__xludf.DUMMYFUNCTION("""COMPUTED_VALUE"""),"MBC ถนนสุขาประชาสรรค์")</f>
        <v>MBC ถนนสุขาประชาสรรค์</v>
      </c>
      <c r="D901" s="3" t="str">
        <f>IFERROR(__xludf.DUMMYFUNCTION("""COMPUTED_VALUE"""),"BCM THANON SUKHA PRACHASSAN 3")</f>
        <v>BCM THANON SUKHA PRACHASSAN 3</v>
      </c>
      <c r="E901" s="1" t="str">
        <f>IFERROR(__xludf.DUMMYFUNCTION("""COMPUTED_VALUE"""),"บิ๊กซี MINI")</f>
        <v>บิ๊กซี MINI</v>
      </c>
      <c r="F901" s="1" t="str">
        <f>IFERROR(__xludf.DUMMYFUNCTION("""COMPUTED_VALUE"""),"291008")</f>
        <v>291008</v>
      </c>
      <c r="G901" s="1" t="str">
        <f>IFERROR(__xludf.DUMMYFUNCTION("""COMPUTED_VALUE"""),"น.ส.รัชดาพร อีศรัตน์")</f>
        <v>น.ส.รัชดาพร อีศรัตน์</v>
      </c>
      <c r="H901" s="1" t="str">
        <f>IFERROR(__xludf.DUMMYFUNCTION("""COMPUTED_VALUE"""),"034068")</f>
        <v>034068</v>
      </c>
      <c r="I901" s="1" t="str">
        <f>IFERROR(__xludf.DUMMYFUNCTION("""COMPUTED_VALUE"""),"นายสมศักดิ์ ฐานทองดี")</f>
        <v>นายสมศักดิ์ ฐานทองดี</v>
      </c>
      <c r="J901" s="3">
        <f>IFERROR(__xludf.DUMMYFUNCTION("""COMPUTED_VALUE"""),296608.0)</f>
        <v>296608</v>
      </c>
      <c r="K901" s="3" t="str">
        <f>IFERROR(__xludf.DUMMYFUNCTION("""COMPUTED_VALUE"""),"นายภาคภูมิ เพ็ชรนิล")</f>
        <v>นายภาคภูมิ เพ็ชรนิล</v>
      </c>
      <c r="L901" s="1" t="str">
        <f>IFERROR(__xludf.DUMMYFUNCTION("""COMPUTED_VALUE"""),"10 K.Phakphoom P.")</f>
        <v>10 K.Phakphoom P.</v>
      </c>
      <c r="M901" s="1" t="str">
        <f>IFERROR(__xludf.DUMMYFUNCTION("""COMPUTED_VALUE"""),"063-8955329")</f>
        <v>063-8955329</v>
      </c>
      <c r="N901" s="3">
        <f>IFERROR(__xludf.DUMMYFUNCTION("""COMPUTED_VALUE"""),22584.0)</f>
        <v>22584</v>
      </c>
      <c r="O901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901" s="4">
        <f>IFERROR(__xludf.DUMMYFUNCTION("""COMPUTED_VALUE"""),43361.0)</f>
        <v>43361</v>
      </c>
      <c r="Q901" s="3" t="str">
        <f>IFERROR(__xludf.DUMMYFUNCTION("""COMPUTED_VALUE"""),"A")</f>
        <v>A</v>
      </c>
      <c r="R901" s="3" t="str">
        <f>IFERROR(__xludf.DUMMYFUNCTION("""COMPUTED_VALUE"""),"Small Format")</f>
        <v>Small Format</v>
      </c>
      <c r="S901" s="3" t="str">
        <f>IFERROR(__xludf.DUMMYFUNCTION("""COMPUTED_VALUE"""),"BCM")</f>
        <v>BCM</v>
      </c>
      <c r="T901" s="3" t="str">
        <f>IFERROR(__xludf.DUMMYFUNCTION("""COMPUTED_VALUE"""),"#N/A")</f>
        <v>#N/A</v>
      </c>
      <c r="U901" s="3" t="str">
        <f>IFERROR(__xludf.DUMMYFUNCTION("""COMPUTED_VALUE"""),"#N/A")</f>
        <v>#N/A</v>
      </c>
      <c r="V901" s="3" t="str">
        <f>IFERROR(__xludf.DUMMYFUNCTION("""COMPUTED_VALUE"""),"N")</f>
        <v>N</v>
      </c>
      <c r="W901" s="3">
        <f>IFERROR(__xludf.DUMMYFUNCTION("""COMPUTED_VALUE"""),211566.0)</f>
        <v>211566</v>
      </c>
      <c r="X901" s="3" t="str">
        <f>IFERROR(__xludf.DUMMYFUNCTION("""COMPUTED_VALUE"""),"44/43 หมู่3 ตำบลบางพูด อำเภอปากเกร็ด จังหวัดนนทบุรี 11120")</f>
        <v>44/43 หมู่3 ตำบลบางพูด อำเภอปากเกร็ด จังหวัดนนทบุรี 11120</v>
      </c>
      <c r="Y901" s="3"/>
      <c r="Z901" s="3" t="str">
        <f>IFERROR(__xludf.DUMMYFUNCTION("""COMPUTED_VALUE"""),"บางพูด")</f>
        <v>บางพูด</v>
      </c>
      <c r="AA901" s="3" t="str">
        <f>IFERROR(__xludf.DUMMYFUNCTION("""COMPUTED_VALUE"""),"ปากเกร็ด")</f>
        <v>ปากเกร็ด</v>
      </c>
      <c r="AB901" s="3" t="str">
        <f>IFERROR(__xludf.DUMMYFUNCTION("""COMPUTED_VALUE"""),"นนทบุรี")</f>
        <v>นนทบุรี</v>
      </c>
      <c r="AC901" s="3">
        <f>IFERROR(__xludf.DUMMYFUNCTION("""COMPUTED_VALUE"""),11120.0)</f>
        <v>11120</v>
      </c>
      <c r="AD901" s="3">
        <f>IFERROR(__xludf.DUMMYFUNCTION("""COMPUTED_VALUE"""),13.935195)</f>
        <v>13.935195</v>
      </c>
      <c r="AE901" s="3">
        <f>IFERROR(__xludf.DUMMYFUNCTION("""COMPUTED_VALUE"""),100.519222)</f>
        <v>100.519222</v>
      </c>
      <c r="AF901" s="3" t="str">
        <f>IFERROR(__xludf.DUMMYFUNCTION("""COMPUTED_VALUE"""),"MBC ถนนสุขาประชาสรรค์-21670")</f>
        <v>MBC ถนนสุขาประชาสรรค์-21670</v>
      </c>
      <c r="AG901" s="3" t="str">
        <f>IFERROR(__xludf.DUMMYFUNCTION("""COMPUTED_VALUE"""),"กลาง")</f>
        <v>กลาง</v>
      </c>
      <c r="AH901" s="3" t="str">
        <f>IFERROR(__xludf.DUMMYFUNCTION("""COMPUTED_VALUE"""),"#N/A")</f>
        <v>#N/A</v>
      </c>
      <c r="AI901" s="3" t="str">
        <f>IFERROR(__xludf.DUMMYFUNCTION("""COMPUTED_VALUE"""),"Out of warranty")</f>
        <v>Out of warranty</v>
      </c>
      <c r="AJ901" s="3">
        <f>IFERROR(__xludf.DUMMYFUNCTION("""COMPUTED_VALUE"""),89.0)</f>
        <v>89</v>
      </c>
      <c r="AK901" s="3" t="str">
        <f>IFERROR(__xludf.DUMMYFUNCTION("""COMPUTED_VALUE"""),"MMS01")</f>
        <v>MMS01</v>
      </c>
      <c r="AL901" s="3"/>
    </row>
    <row r="902" ht="15.75" customHeight="1">
      <c r="A902" s="1" t="str">
        <f>IFERROR(__xludf.DUMMYFUNCTION("""COMPUTED_VALUE"""),"21671")</f>
        <v>21671</v>
      </c>
      <c r="B902" s="2">
        <f>IFERROR(__xludf.DUMMYFUNCTION("""COMPUTED_VALUE"""),21671.0)</f>
        <v>21671</v>
      </c>
      <c r="C902" s="3" t="str">
        <f>IFERROR(__xludf.DUMMYFUNCTION("""COMPUTED_VALUE"""),"MBC น้ำพองนอก")</f>
        <v>MBC น้ำพองนอก</v>
      </c>
      <c r="D902" s="3" t="str">
        <f>IFERROR(__xludf.DUMMYFUNCTION("""COMPUTED_VALUE"""),"BCM NAM PONG NOK")</f>
        <v>BCM NAM PONG NOK</v>
      </c>
      <c r="E902" s="1" t="str">
        <f>IFERROR(__xludf.DUMMYFUNCTION("""COMPUTED_VALUE"""),"บิ๊กซี MINI")</f>
        <v>บิ๊กซี MINI</v>
      </c>
      <c r="F902" s="1" t="str">
        <f>IFERROR(__xludf.DUMMYFUNCTION("""COMPUTED_VALUE"""),"291105")</f>
        <v>291105</v>
      </c>
      <c r="G902" s="1" t="str">
        <f>IFERROR(__xludf.DUMMYFUNCTION("""COMPUTED_VALUE"""),"นายสราวุฒิ พณิชยกุล")</f>
        <v>นายสราวุฒิ พณิชยกุล</v>
      </c>
      <c r="H902" s="1" t="str">
        <f>IFERROR(__xludf.DUMMYFUNCTION("""COMPUTED_VALUE"""),"305119")</f>
        <v>305119</v>
      </c>
      <c r="I902" s="1" t="str">
        <f>IFERROR(__xludf.DUMMYFUNCTION("""COMPUTED_VALUE"""),"นายไชยกร ลีพิบูลย์สวัสดิ์")</f>
        <v>นายไชยกร ลีพิบูลย์สวัสดิ์</v>
      </c>
      <c r="J902" s="3">
        <f>IFERROR(__xludf.DUMMYFUNCTION("""COMPUTED_VALUE"""),296868.0)</f>
        <v>296868</v>
      </c>
      <c r="K902" s="3" t="str">
        <f>IFERROR(__xludf.DUMMYFUNCTION("""COMPUTED_VALUE"""),"นายพีระพงษ์ แก้วดวงดี")</f>
        <v>นายพีระพงษ์ แก้วดวงดี</v>
      </c>
      <c r="L902" s="1" t="str">
        <f>IFERROR(__xludf.DUMMYFUNCTION("""COMPUTED_VALUE"""),"03 K.Peerapong K.")</f>
        <v>03 K.Peerapong K.</v>
      </c>
      <c r="M902" s="1" t="str">
        <f>IFERROR(__xludf.DUMMYFUNCTION("""COMPUTED_VALUE"""),"089-002-6599")</f>
        <v>089-002-6599</v>
      </c>
      <c r="N902" s="3">
        <f>IFERROR(__xludf.DUMMYFUNCTION("""COMPUTED_VALUE"""),21946.0)</f>
        <v>21946</v>
      </c>
      <c r="O902" s="3" t="str">
        <f>IFERROR(__xludf.DUMMYFUNCTION("""COMPUTED_VALUE"""),"MBC เซกา บึงกาฬ")</f>
        <v>MBC เซกา บึงกาฬ</v>
      </c>
      <c r="P902" s="4">
        <f>IFERROR(__xludf.DUMMYFUNCTION("""COMPUTED_VALUE"""),43373.0)</f>
        <v>43373</v>
      </c>
      <c r="Q902" s="3" t="str">
        <f>IFERROR(__xludf.DUMMYFUNCTION("""COMPUTED_VALUE"""),"A")</f>
        <v>A</v>
      </c>
      <c r="R902" s="3" t="str">
        <f>IFERROR(__xludf.DUMMYFUNCTION("""COMPUTED_VALUE"""),"Small Format")</f>
        <v>Small Format</v>
      </c>
      <c r="S902" s="3" t="str">
        <f>IFERROR(__xludf.DUMMYFUNCTION("""COMPUTED_VALUE"""),"BCM")</f>
        <v>BCM</v>
      </c>
      <c r="T902" s="3" t="str">
        <f>IFERROR(__xludf.DUMMYFUNCTION("""COMPUTED_VALUE"""),"#N/A")</f>
        <v>#N/A</v>
      </c>
      <c r="U902" s="3" t="str">
        <f>IFERROR(__xludf.DUMMYFUNCTION("""COMPUTED_VALUE"""),"#N/A")</f>
        <v>#N/A</v>
      </c>
      <c r="V902" s="3" t="str">
        <f>IFERROR(__xludf.DUMMYFUNCTION("""COMPUTED_VALUE"""),"N")</f>
        <v>N</v>
      </c>
      <c r="W902" s="3">
        <f>IFERROR(__xludf.DUMMYFUNCTION("""COMPUTED_VALUE"""),211635.0)</f>
        <v>211635</v>
      </c>
      <c r="X902" s="3" t="str">
        <f>IFERROR(__xludf.DUMMYFUNCTION("""COMPUTED_VALUE"""),"305 หมู่2 ถนนอุปราช ตำบลน้ำพอง อำเภอน้ำพอง จังหวัดขอนแก่น 40310")</f>
        <v>305 หมู่2 ถนนอุปราช ตำบลน้ำพอง อำเภอน้ำพอง จังหวัดขอนแก่น 40310</v>
      </c>
      <c r="Y902" s="3"/>
      <c r="Z902" s="3" t="str">
        <f>IFERROR(__xludf.DUMMYFUNCTION("""COMPUTED_VALUE"""),"น้ำพอง")</f>
        <v>น้ำพอง</v>
      </c>
      <c r="AA902" s="3" t="str">
        <f>IFERROR(__xludf.DUMMYFUNCTION("""COMPUTED_VALUE"""),"น้ำพอง")</f>
        <v>น้ำพอง</v>
      </c>
      <c r="AB902" s="3" t="str">
        <f>IFERROR(__xludf.DUMMYFUNCTION("""COMPUTED_VALUE"""),"ขอนแก่น")</f>
        <v>ขอนแก่น</v>
      </c>
      <c r="AC902" s="3">
        <f>IFERROR(__xludf.DUMMYFUNCTION("""COMPUTED_VALUE"""),40310.0)</f>
        <v>40310</v>
      </c>
      <c r="AD902" s="3">
        <f>IFERROR(__xludf.DUMMYFUNCTION("""COMPUTED_VALUE"""),16.7184548)</f>
        <v>16.7184548</v>
      </c>
      <c r="AE902" s="3">
        <f>IFERROR(__xludf.DUMMYFUNCTION("""COMPUTED_VALUE"""),102.8032266)</f>
        <v>102.8032266</v>
      </c>
      <c r="AF902" s="3" t="str">
        <f>IFERROR(__xludf.DUMMYFUNCTION("""COMPUTED_VALUE"""),"MBC น้ำพองนอก-21671")</f>
        <v>MBC น้ำพองนอก-21671</v>
      </c>
      <c r="AG902" s="3" t="str">
        <f>IFERROR(__xludf.DUMMYFUNCTION("""COMPUTED_VALUE"""),"ตะวันออกเฉียงเหนือ")</f>
        <v>ตะวันออกเฉียงเหนือ</v>
      </c>
      <c r="AH902" s="3" t="str">
        <f>IFERROR(__xludf.DUMMYFUNCTION("""COMPUTED_VALUE"""),"#N/A")</f>
        <v>#N/A</v>
      </c>
      <c r="AI902" s="3" t="str">
        <f>IFERROR(__xludf.DUMMYFUNCTION("""COMPUTED_VALUE"""),"Out of warranty")</f>
        <v>Out of warranty</v>
      </c>
      <c r="AJ902" s="3">
        <f>IFERROR(__xludf.DUMMYFUNCTION("""COMPUTED_VALUE"""),88.0)</f>
        <v>88</v>
      </c>
      <c r="AK902" s="3" t="str">
        <f>IFERROR(__xludf.DUMMYFUNCTION("""COMPUTED_VALUE"""),"MMS12")</f>
        <v>MMS12</v>
      </c>
      <c r="AL902" s="3"/>
    </row>
    <row r="903" ht="15.75" customHeight="1">
      <c r="A903" s="1" t="str">
        <f>IFERROR(__xludf.DUMMYFUNCTION("""COMPUTED_VALUE"""),"21672")</f>
        <v>21672</v>
      </c>
      <c r="B903" s="2">
        <f>IFERROR(__xludf.DUMMYFUNCTION("""COMPUTED_VALUE"""),21672.0)</f>
        <v>21672</v>
      </c>
      <c r="C903" s="3" t="str">
        <f>IFERROR(__xludf.DUMMYFUNCTION("""COMPUTED_VALUE"""),"MBC ดอนหัวฬ่อ")</f>
        <v>MBC ดอนหัวฬ่อ</v>
      </c>
      <c r="D903" s="3" t="str">
        <f>IFERROR(__xludf.DUMMYFUNCTION("""COMPUTED_VALUE"""),"BCM DON HUA ROR")</f>
        <v>BCM DON HUA ROR</v>
      </c>
      <c r="E903" s="1" t="str">
        <f>IFERROR(__xludf.DUMMYFUNCTION("""COMPUTED_VALUE"""),"บิ๊กซี MINI")</f>
        <v>บิ๊กซี MINI</v>
      </c>
      <c r="F903" s="1" t="str">
        <f>IFERROR(__xludf.DUMMYFUNCTION("""COMPUTED_VALUE"""),"221716")</f>
        <v>221716</v>
      </c>
      <c r="G903" s="1" t="str">
        <f>IFERROR(__xludf.DUMMYFUNCTION("""COMPUTED_VALUE"""),"น.ส.เบญจพร โพธิสาร")</f>
        <v>น.ส.เบญจพร โพธิสาร</v>
      </c>
      <c r="H903" s="1" t="str">
        <f>IFERROR(__xludf.DUMMYFUNCTION("""COMPUTED_VALUE"""),"2452265")</f>
        <v>2452265</v>
      </c>
      <c r="I903" s="1" t="str">
        <f>IFERROR(__xludf.DUMMYFUNCTION("""COMPUTED_VALUE"""),"นายพิทยา จันทร์ประเทศ")</f>
        <v>นายพิทยา จันทร์ประเทศ</v>
      </c>
      <c r="J903" s="3">
        <f>IFERROR(__xludf.DUMMYFUNCTION("""COMPUTED_VALUE"""),296942.0)</f>
        <v>296942</v>
      </c>
      <c r="K903" s="3" t="str">
        <f>IFERROR(__xludf.DUMMYFUNCTION("""COMPUTED_VALUE"""),"นายปิยะ รักษากิจ")</f>
        <v>นายปิยะ รักษากิจ</v>
      </c>
      <c r="L903" s="1" t="str">
        <f>IFERROR(__xludf.DUMMYFUNCTION("""COMPUTED_VALUE"""),"07 K.Piya R.")</f>
        <v>07 K.Piya R.</v>
      </c>
      <c r="M903" s="1" t="str">
        <f>IFERROR(__xludf.DUMMYFUNCTION("""COMPUTED_VALUE"""),"097-919-5476")</f>
        <v>097-919-5476</v>
      </c>
      <c r="N903" s="3">
        <f>IFERROR(__xludf.DUMMYFUNCTION("""COMPUTED_VALUE"""),21332.0)</f>
        <v>21332</v>
      </c>
      <c r="O903" s="3" t="str">
        <f>IFERROR(__xludf.DUMMYFUNCTION("""COMPUTED_VALUE"""),"MBC BCP อ่อนนุช 17/1")</f>
        <v>MBC BCP อ่อนนุช 17/1</v>
      </c>
      <c r="P903" s="4">
        <f>IFERROR(__xludf.DUMMYFUNCTION("""COMPUTED_VALUE"""),43373.0)</f>
        <v>43373</v>
      </c>
      <c r="Q903" s="3" t="str">
        <f>IFERROR(__xludf.DUMMYFUNCTION("""COMPUTED_VALUE"""),"A")</f>
        <v>A</v>
      </c>
      <c r="R903" s="3" t="str">
        <f>IFERROR(__xludf.DUMMYFUNCTION("""COMPUTED_VALUE"""),"Small Format")</f>
        <v>Small Format</v>
      </c>
      <c r="S903" s="3" t="str">
        <f>IFERROR(__xludf.DUMMYFUNCTION("""COMPUTED_VALUE"""),"BCM")</f>
        <v>BCM</v>
      </c>
      <c r="T903" s="3" t="str">
        <f>IFERROR(__xludf.DUMMYFUNCTION("""COMPUTED_VALUE"""),"#N/A")</f>
        <v>#N/A</v>
      </c>
      <c r="U903" s="3" t="str">
        <f>IFERROR(__xludf.DUMMYFUNCTION("""COMPUTED_VALUE"""),"#N/A")</f>
        <v>#N/A</v>
      </c>
      <c r="V903" s="3" t="str">
        <f>IFERROR(__xludf.DUMMYFUNCTION("""COMPUTED_VALUE"""),"N")</f>
        <v>N</v>
      </c>
      <c r="W903" s="3">
        <f>IFERROR(__xludf.DUMMYFUNCTION("""COMPUTED_VALUE"""),211645.0)</f>
        <v>211645</v>
      </c>
      <c r="X903" s="3" t="str">
        <f>IFERROR(__xludf.DUMMYFUNCTION("""COMPUTED_VALUE"""),"27/12-15 หมู่1 ตำบลดอนหัวฬ่อ อำเภอเมืองชลบุรี จังหวัดชลบุรี 20000")</f>
        <v>27/12-15 หมู่1 ตำบลดอนหัวฬ่อ อำเภอเมืองชลบุรี จังหวัดชลบุรี 20000</v>
      </c>
      <c r="Y903" s="3"/>
      <c r="Z903" s="3" t="str">
        <f>IFERROR(__xludf.DUMMYFUNCTION("""COMPUTED_VALUE"""),"ดอนหัวฬ่อ")</f>
        <v>ดอนหัวฬ่อ</v>
      </c>
      <c r="AA903" s="3" t="str">
        <f>IFERROR(__xludf.DUMMYFUNCTION("""COMPUTED_VALUE"""),"เมือง")</f>
        <v>เมือง</v>
      </c>
      <c r="AB903" s="3" t="str">
        <f>IFERROR(__xludf.DUMMYFUNCTION("""COMPUTED_VALUE"""),"ชลบุรี")</f>
        <v>ชลบุรี</v>
      </c>
      <c r="AC903" s="3">
        <f>IFERROR(__xludf.DUMMYFUNCTION("""COMPUTED_VALUE"""),20000.0)</f>
        <v>20000</v>
      </c>
      <c r="AD903" s="3">
        <f>IFERROR(__xludf.DUMMYFUNCTION("""COMPUTED_VALUE"""),13.402968)</f>
        <v>13.402968</v>
      </c>
      <c r="AE903" s="3">
        <f>IFERROR(__xludf.DUMMYFUNCTION("""COMPUTED_VALUE"""),101.048259)</f>
        <v>101.048259</v>
      </c>
      <c r="AF903" s="3" t="str">
        <f>IFERROR(__xludf.DUMMYFUNCTION("""COMPUTED_VALUE"""),"MBC ดอนหัวฬ่อ-21672")</f>
        <v>MBC ดอนหัวฬ่อ-21672</v>
      </c>
      <c r="AG903" s="3" t="str">
        <f>IFERROR(__xludf.DUMMYFUNCTION("""COMPUTED_VALUE"""),"ตะวันออก")</f>
        <v>ตะวันออก</v>
      </c>
      <c r="AH903" s="3" t="str">
        <f>IFERROR(__xludf.DUMMYFUNCTION("""COMPUTED_VALUE"""),"#N/A")</f>
        <v>#N/A</v>
      </c>
      <c r="AI903" s="3" t="str">
        <f>IFERROR(__xludf.DUMMYFUNCTION("""COMPUTED_VALUE"""),"Out of warranty")</f>
        <v>Out of warranty</v>
      </c>
      <c r="AJ903" s="3">
        <f>IFERROR(__xludf.DUMMYFUNCTION("""COMPUTED_VALUE"""),88.0)</f>
        <v>88</v>
      </c>
      <c r="AK903" s="3" t="str">
        <f>IFERROR(__xludf.DUMMYFUNCTION("""COMPUTED_VALUE"""),"MMS07")</f>
        <v>MMS07</v>
      </c>
      <c r="AL903" s="3"/>
    </row>
    <row r="904" ht="15.75" customHeight="1">
      <c r="A904" s="1" t="str">
        <f>IFERROR(__xludf.DUMMYFUNCTION("""COMPUTED_VALUE"""),"21673")</f>
        <v>21673</v>
      </c>
      <c r="B904" s="2">
        <f>IFERROR(__xludf.DUMMYFUNCTION("""COMPUTED_VALUE"""),21673.0)</f>
        <v>21673</v>
      </c>
      <c r="C904" s="3" t="str">
        <f>IFERROR(__xludf.DUMMYFUNCTION("""COMPUTED_VALUE"""),"MBC ชุมชนวัดศรีวนราม")</f>
        <v>MBC ชุมชนวัดศรีวนราม</v>
      </c>
      <c r="D904" s="3" t="str">
        <f>IFERROR(__xludf.DUMMYFUNCTION("""COMPUTED_VALUE"""),"BCM CHUMCHON WAT SRIWANARAM")</f>
        <v>BCM CHUMCHON WAT SRIWANARAM</v>
      </c>
      <c r="E904" s="1" t="str">
        <f>IFERROR(__xludf.DUMMYFUNCTION("""COMPUTED_VALUE"""),"บิ๊กซี MINI")</f>
        <v>บิ๊กซี MINI</v>
      </c>
      <c r="F904" s="1" t="str">
        <f>IFERROR(__xludf.DUMMYFUNCTION("""COMPUTED_VALUE"""),"221716")</f>
        <v>221716</v>
      </c>
      <c r="G904" s="1" t="str">
        <f>IFERROR(__xludf.DUMMYFUNCTION("""COMPUTED_VALUE"""),"น.ส.เบญจพร โพธิสาร")</f>
        <v>น.ส.เบญจพร โพธิสาร</v>
      </c>
      <c r="H904" s="1" t="str">
        <f>IFERROR(__xludf.DUMMYFUNCTION("""COMPUTED_VALUE"""),"291061")</f>
        <v>291061</v>
      </c>
      <c r="I904" s="1" t="str">
        <f>IFERROR(__xludf.DUMMYFUNCTION("""COMPUTED_VALUE"""),"นายสมศักดิ์ เสียงก้อง")</f>
        <v>นายสมศักดิ์ เสียงก้อง</v>
      </c>
      <c r="J904" s="3">
        <f>IFERROR(__xludf.DUMMYFUNCTION("""COMPUTED_VALUE"""),296942.0)</f>
        <v>296942</v>
      </c>
      <c r="K904" s="3" t="str">
        <f>IFERROR(__xludf.DUMMYFUNCTION("""COMPUTED_VALUE"""),"นายปิยะ รักษากิจ")</f>
        <v>นายปิยะ รักษากิจ</v>
      </c>
      <c r="L904" s="1" t="str">
        <f>IFERROR(__xludf.DUMMYFUNCTION("""COMPUTED_VALUE"""),"07 K.Piya R.")</f>
        <v>07 K.Piya R.</v>
      </c>
      <c r="M904" s="1" t="str">
        <f>IFERROR(__xludf.DUMMYFUNCTION("""COMPUTED_VALUE"""),"097-919-5476")</f>
        <v>097-919-5476</v>
      </c>
      <c r="N904" s="3">
        <f>IFERROR(__xludf.DUMMYFUNCTION("""COMPUTED_VALUE"""),21332.0)</f>
        <v>21332</v>
      </c>
      <c r="O904" s="3" t="str">
        <f>IFERROR(__xludf.DUMMYFUNCTION("""COMPUTED_VALUE"""),"MBC BCP อ่อนนุช 17/1")</f>
        <v>MBC BCP อ่อนนุช 17/1</v>
      </c>
      <c r="P904" s="4">
        <f>IFERROR(__xludf.DUMMYFUNCTION("""COMPUTED_VALUE"""),43392.0)</f>
        <v>43392</v>
      </c>
      <c r="Q904" s="3" t="str">
        <f>IFERROR(__xludf.DUMMYFUNCTION("""COMPUTED_VALUE"""),"A")</f>
        <v>A</v>
      </c>
      <c r="R904" s="3" t="str">
        <f>IFERROR(__xludf.DUMMYFUNCTION("""COMPUTED_VALUE"""),"Small Format")</f>
        <v>Small Format</v>
      </c>
      <c r="S904" s="3" t="str">
        <f>IFERROR(__xludf.DUMMYFUNCTION("""COMPUTED_VALUE"""),"BCM")</f>
        <v>BCM</v>
      </c>
      <c r="T904" s="3" t="str">
        <f>IFERROR(__xludf.DUMMYFUNCTION("""COMPUTED_VALUE"""),"#N/A")</f>
        <v>#N/A</v>
      </c>
      <c r="U904" s="3" t="str">
        <f>IFERROR(__xludf.DUMMYFUNCTION("""COMPUTED_VALUE"""),"#N/A")</f>
        <v>#N/A</v>
      </c>
      <c r="V904" s="3" t="str">
        <f>IFERROR(__xludf.DUMMYFUNCTION("""COMPUTED_VALUE"""),"N")</f>
        <v>N</v>
      </c>
      <c r="W904" s="3">
        <f>IFERROR(__xludf.DUMMYFUNCTION("""COMPUTED_VALUE"""),211612.0)</f>
        <v>211612</v>
      </c>
      <c r="X904" s="3" t="str">
        <f>IFERROR(__xludf.DUMMYFUNCTION("""COMPUTED_VALUE"""),"23/102 หมู่6 ตำบลบางละมุง อำเภอบางละมุง จังหวัดชลบุรี 20150")</f>
        <v>23/102 หมู่6 ตำบลบางละมุง อำเภอบางละมุง จังหวัดชลบุรี 20150</v>
      </c>
      <c r="Y904" s="3"/>
      <c r="Z904" s="3" t="str">
        <f>IFERROR(__xludf.DUMMYFUNCTION("""COMPUTED_VALUE"""),"บางละมุง")</f>
        <v>บางละมุง</v>
      </c>
      <c r="AA904" s="3" t="str">
        <f>IFERROR(__xludf.DUMMYFUNCTION("""COMPUTED_VALUE"""),"บางละมุง")</f>
        <v>บางละมุง</v>
      </c>
      <c r="AB904" s="3" t="str">
        <f>IFERROR(__xludf.DUMMYFUNCTION("""COMPUTED_VALUE"""),"ชลบุรี")</f>
        <v>ชลบุรี</v>
      </c>
      <c r="AC904" s="3">
        <f>IFERROR(__xludf.DUMMYFUNCTION("""COMPUTED_VALUE"""),20150.0)</f>
        <v>20150</v>
      </c>
      <c r="AD904" s="3">
        <f>IFERROR(__xludf.DUMMYFUNCTION("""COMPUTED_VALUE"""),13.068282)</f>
        <v>13.068282</v>
      </c>
      <c r="AE904" s="3">
        <f>IFERROR(__xludf.DUMMYFUNCTION("""COMPUTED_VALUE"""),100.921118)</f>
        <v>100.921118</v>
      </c>
      <c r="AF904" s="3" t="str">
        <f>IFERROR(__xludf.DUMMYFUNCTION("""COMPUTED_VALUE"""),"MBC ชุมชนวัดศรีวนราม-21673")</f>
        <v>MBC ชุมชนวัดศรีวนราม-21673</v>
      </c>
      <c r="AG904" s="3" t="str">
        <f>IFERROR(__xludf.DUMMYFUNCTION("""COMPUTED_VALUE"""),"ตะวันออก")</f>
        <v>ตะวันออก</v>
      </c>
      <c r="AH904" s="3" t="str">
        <f>IFERROR(__xludf.DUMMYFUNCTION("""COMPUTED_VALUE"""),"#N/A")</f>
        <v>#N/A</v>
      </c>
      <c r="AI904" s="3" t="str">
        <f>IFERROR(__xludf.DUMMYFUNCTION("""COMPUTED_VALUE"""),"Out of warranty")</f>
        <v>Out of warranty</v>
      </c>
      <c r="AJ904" s="3">
        <f>IFERROR(__xludf.DUMMYFUNCTION("""COMPUTED_VALUE"""),88.0)</f>
        <v>88</v>
      </c>
      <c r="AK904" s="3" t="str">
        <f>IFERROR(__xludf.DUMMYFUNCTION("""COMPUTED_VALUE"""),"MMS06")</f>
        <v>MMS06</v>
      </c>
      <c r="AL904" s="3"/>
    </row>
    <row r="905" ht="15.75" customHeight="1">
      <c r="A905" s="1" t="str">
        <f>IFERROR(__xludf.DUMMYFUNCTION("""COMPUTED_VALUE"""),"21674")</f>
        <v>21674</v>
      </c>
      <c r="B905" s="2">
        <f>IFERROR(__xludf.DUMMYFUNCTION("""COMPUTED_VALUE"""),21674.0)</f>
        <v>21674</v>
      </c>
      <c r="C905" s="3" t="str">
        <f>IFERROR(__xludf.DUMMYFUNCTION("""COMPUTED_VALUE"""),"MBC มวกเหล็ก")</f>
        <v>MBC มวกเหล็ก</v>
      </c>
      <c r="D905" s="3" t="str">
        <f>IFERROR(__xludf.DUMMYFUNCTION("""COMPUTED_VALUE"""),"BCM MUAK LEK")</f>
        <v>BCM MUAK LEK</v>
      </c>
      <c r="E905" s="1" t="str">
        <f>IFERROR(__xludf.DUMMYFUNCTION("""COMPUTED_VALUE"""),"บิ๊กซี MINI")</f>
        <v>บิ๊กซี MINI</v>
      </c>
      <c r="F905" s="1" t="str">
        <f>IFERROR(__xludf.DUMMYFUNCTION("""COMPUTED_VALUE"""),"296229")</f>
        <v>296229</v>
      </c>
      <c r="G905" s="1" t="str">
        <f>IFERROR(__xludf.DUMMYFUNCTION("""COMPUTED_VALUE"""),"นายทนงศักดิ์ บุญมา")</f>
        <v>นายทนงศักดิ์ บุญมา</v>
      </c>
      <c r="H905" s="1" t="str">
        <f>IFERROR(__xludf.DUMMYFUNCTION("""COMPUTED_VALUE"""),"318233")</f>
        <v>318233</v>
      </c>
      <c r="I905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905" s="3">
        <f>IFERROR(__xludf.DUMMYFUNCTION("""COMPUTED_VALUE"""),46214.0)</f>
        <v>46214</v>
      </c>
      <c r="K905" s="3" t="str">
        <f>IFERROR(__xludf.DUMMYFUNCTION("""COMPUTED_VALUE"""),"นายศักดิ์ชัย เด็ดดอกฟ้า")</f>
        <v>นายศักดิ์ชัย เด็ดดอกฟ้า</v>
      </c>
      <c r="L905" s="1" t="str">
        <f>IFERROR(__xludf.DUMMYFUNCTION("""COMPUTED_VALUE"""),"02 K.Sakchai D")</f>
        <v>02 K.Sakchai D</v>
      </c>
      <c r="M905" s="1" t="str">
        <f>IFERROR(__xludf.DUMMYFUNCTION("""COMPUTED_VALUE"""),"065-510-7376")</f>
        <v>065-510-7376</v>
      </c>
      <c r="N905" s="3">
        <f>IFERROR(__xludf.DUMMYFUNCTION("""COMPUTED_VALUE"""),21714.0)</f>
        <v>21714</v>
      </c>
      <c r="O905" s="3" t="str">
        <f>IFERROR(__xludf.DUMMYFUNCTION("""COMPUTED_VALUE"""),"MBC เอสโซ่ วัดโบสถ์")</f>
        <v>MBC เอสโซ่ วัดโบสถ์</v>
      </c>
      <c r="P905" s="4">
        <f>IFERROR(__xludf.DUMMYFUNCTION("""COMPUTED_VALUE"""),43383.0)</f>
        <v>43383</v>
      </c>
      <c r="Q905" s="3" t="str">
        <f>IFERROR(__xludf.DUMMYFUNCTION("""COMPUTED_VALUE"""),"A")</f>
        <v>A</v>
      </c>
      <c r="R905" s="3" t="str">
        <f>IFERROR(__xludf.DUMMYFUNCTION("""COMPUTED_VALUE"""),"Small Format")</f>
        <v>Small Format</v>
      </c>
      <c r="S905" s="3" t="str">
        <f>IFERROR(__xludf.DUMMYFUNCTION("""COMPUTED_VALUE"""),"BCM")</f>
        <v>BCM</v>
      </c>
      <c r="T905" s="3" t="str">
        <f>IFERROR(__xludf.DUMMYFUNCTION("""COMPUTED_VALUE"""),"#N/A")</f>
        <v>#N/A</v>
      </c>
      <c r="U905" s="3" t="str">
        <f>IFERROR(__xludf.DUMMYFUNCTION("""COMPUTED_VALUE"""),"#N/A")</f>
        <v>#N/A</v>
      </c>
      <c r="V905" s="3" t="str">
        <f>IFERROR(__xludf.DUMMYFUNCTION("""COMPUTED_VALUE"""),"N")</f>
        <v>N</v>
      </c>
      <c r="W905" s="3">
        <f>IFERROR(__xludf.DUMMYFUNCTION("""COMPUTED_VALUE"""),211629.0)</f>
        <v>211629</v>
      </c>
      <c r="X905" s="3" t="str">
        <f>IFERROR(__xludf.DUMMYFUNCTION("""COMPUTED_VALUE"""),"550 หมู่9 ตำบลมิตรภาพ อำเภอมวกเหล็ก จังหวัดสระบุรี 18180")</f>
        <v>550 หมู่9 ตำบลมิตรภาพ อำเภอมวกเหล็ก จังหวัดสระบุรี 18180</v>
      </c>
      <c r="Y905" s="3"/>
      <c r="Z905" s="3" t="str">
        <f>IFERROR(__xludf.DUMMYFUNCTION("""COMPUTED_VALUE"""),"มิตรภาพ")</f>
        <v>มิตรภาพ</v>
      </c>
      <c r="AA905" s="3" t="str">
        <f>IFERROR(__xludf.DUMMYFUNCTION("""COMPUTED_VALUE"""),"มวกเหล็ก")</f>
        <v>มวกเหล็ก</v>
      </c>
      <c r="AB905" s="3" t="str">
        <f>IFERROR(__xludf.DUMMYFUNCTION("""COMPUTED_VALUE"""),"สระบุรี")</f>
        <v>สระบุรี</v>
      </c>
      <c r="AC905" s="3">
        <f>IFERROR(__xludf.DUMMYFUNCTION("""COMPUTED_VALUE"""),18180.0)</f>
        <v>18180</v>
      </c>
      <c r="AD905" s="3">
        <f>IFERROR(__xludf.DUMMYFUNCTION("""COMPUTED_VALUE"""),14.647511)</f>
        <v>14.647511</v>
      </c>
      <c r="AE905" s="3">
        <f>IFERROR(__xludf.DUMMYFUNCTION("""COMPUTED_VALUE"""),101.201218)</f>
        <v>101.201218</v>
      </c>
      <c r="AF905" s="3" t="str">
        <f>IFERROR(__xludf.DUMMYFUNCTION("""COMPUTED_VALUE"""),"MBC มวกเหล็ก-21674")</f>
        <v>MBC มวกเหล็ก-21674</v>
      </c>
      <c r="AG905" s="3" t="str">
        <f>IFERROR(__xludf.DUMMYFUNCTION("""COMPUTED_VALUE"""),"กลาง")</f>
        <v>กลาง</v>
      </c>
      <c r="AH905" s="3" t="str">
        <f>IFERROR(__xludf.DUMMYFUNCTION("""COMPUTED_VALUE"""),"#N/A")</f>
        <v>#N/A</v>
      </c>
      <c r="AI905" s="3" t="str">
        <f>IFERROR(__xludf.DUMMYFUNCTION("""COMPUTED_VALUE"""),"Out of warranty")</f>
        <v>Out of warranty</v>
      </c>
      <c r="AJ905" s="3">
        <f>IFERROR(__xludf.DUMMYFUNCTION("""COMPUTED_VALUE"""),88.0)</f>
        <v>88</v>
      </c>
      <c r="AK905" s="3" t="str">
        <f>IFERROR(__xludf.DUMMYFUNCTION("""COMPUTED_VALUE"""),"MMS09")</f>
        <v>MMS09</v>
      </c>
      <c r="AL905" s="3"/>
    </row>
    <row r="906" ht="15.75" customHeight="1">
      <c r="A906" s="1" t="str">
        <f>IFERROR(__xludf.DUMMYFUNCTION("""COMPUTED_VALUE"""),"21675")</f>
        <v>21675</v>
      </c>
      <c r="B906" s="2">
        <f>IFERROR(__xludf.DUMMYFUNCTION("""COMPUTED_VALUE"""),21675.0)</f>
        <v>21675</v>
      </c>
      <c r="C906" s="3" t="str">
        <f>IFERROR(__xludf.DUMMYFUNCTION("""COMPUTED_VALUE"""),"MBC ถนนประชาราษฎร์")</f>
        <v>MBC ถนนประชาราษฎร์</v>
      </c>
      <c r="D906" s="3" t="str">
        <f>IFERROR(__xludf.DUMMYFUNCTION("""COMPUTED_VALUE"""),"BCM THANON PRACHARAT")</f>
        <v>BCM THANON PRACHARAT</v>
      </c>
      <c r="E906" s="1" t="str">
        <f>IFERROR(__xludf.DUMMYFUNCTION("""COMPUTED_VALUE"""),"บิ๊กซี MINI")</f>
        <v>บิ๊กซี MINI</v>
      </c>
      <c r="F906" s="1" t="str">
        <f>IFERROR(__xludf.DUMMYFUNCTION("""COMPUTED_VALUE"""),"291008")</f>
        <v>291008</v>
      </c>
      <c r="G906" s="1" t="str">
        <f>IFERROR(__xludf.DUMMYFUNCTION("""COMPUTED_VALUE"""),"น.ส.รัชดาพร อีศรัตน์")</f>
        <v>น.ส.รัชดาพร อีศรัตน์</v>
      </c>
      <c r="H906" s="1" t="str">
        <f>IFERROR(__xludf.DUMMYFUNCTION("""COMPUTED_VALUE"""),"034068")</f>
        <v>034068</v>
      </c>
      <c r="I906" s="1" t="str">
        <f>IFERROR(__xludf.DUMMYFUNCTION("""COMPUTED_VALUE"""),"นายสมศักดิ์ ฐานทองดี")</f>
        <v>นายสมศักดิ์ ฐานทองดี</v>
      </c>
      <c r="J906" s="3">
        <f>IFERROR(__xludf.DUMMYFUNCTION("""COMPUTED_VALUE"""),296608.0)</f>
        <v>296608</v>
      </c>
      <c r="K906" s="3" t="str">
        <f>IFERROR(__xludf.DUMMYFUNCTION("""COMPUTED_VALUE"""),"นายภาคภูมิ เพ็ชรนิล")</f>
        <v>นายภาคภูมิ เพ็ชรนิล</v>
      </c>
      <c r="L906" s="1" t="str">
        <f>IFERROR(__xludf.DUMMYFUNCTION("""COMPUTED_VALUE"""),"10 K.Phakphoom P.")</f>
        <v>10 K.Phakphoom P.</v>
      </c>
      <c r="M906" s="1" t="str">
        <f>IFERROR(__xludf.DUMMYFUNCTION("""COMPUTED_VALUE"""),"063-8955329")</f>
        <v>063-8955329</v>
      </c>
      <c r="N906" s="3">
        <f>IFERROR(__xludf.DUMMYFUNCTION("""COMPUTED_VALUE"""),22584.0)</f>
        <v>22584</v>
      </c>
      <c r="O906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906" s="4">
        <f>IFERROR(__xludf.DUMMYFUNCTION("""COMPUTED_VALUE"""),43384.0)</f>
        <v>43384</v>
      </c>
      <c r="Q906" s="3" t="str">
        <f>IFERROR(__xludf.DUMMYFUNCTION("""COMPUTED_VALUE"""),"A")</f>
        <v>A</v>
      </c>
      <c r="R906" s="3" t="str">
        <f>IFERROR(__xludf.DUMMYFUNCTION("""COMPUTED_VALUE"""),"Small Format")</f>
        <v>Small Format</v>
      </c>
      <c r="S906" s="3" t="str">
        <f>IFERROR(__xludf.DUMMYFUNCTION("""COMPUTED_VALUE"""),"BCM")</f>
        <v>BCM</v>
      </c>
      <c r="T906" s="3" t="str">
        <f>IFERROR(__xludf.DUMMYFUNCTION("""COMPUTED_VALUE"""),"#N/A")</f>
        <v>#N/A</v>
      </c>
      <c r="U906" s="3" t="str">
        <f>IFERROR(__xludf.DUMMYFUNCTION("""COMPUTED_VALUE"""),"#N/A")</f>
        <v>#N/A</v>
      </c>
      <c r="V906" s="3" t="str">
        <f>IFERROR(__xludf.DUMMYFUNCTION("""COMPUTED_VALUE"""),"N")</f>
        <v>N</v>
      </c>
      <c r="W906" s="3">
        <f>IFERROR(__xludf.DUMMYFUNCTION("""COMPUTED_VALUE"""),211627.0)</f>
        <v>211627</v>
      </c>
      <c r="X906" s="3" t="str">
        <f>IFERROR(__xludf.DUMMYFUNCTION("""COMPUTED_VALUE"""),"21/86 หมู่6 ตำบลตลาดขวัญ อำเภอเมืองนนทบุรี จังหวัดนนทบุรี 11000")</f>
        <v>21/86 หมู่6 ตำบลตลาดขวัญ อำเภอเมืองนนทบุรี จังหวัดนนทบุรี 11000</v>
      </c>
      <c r="Y906" s="3"/>
      <c r="Z906" s="3" t="str">
        <f>IFERROR(__xludf.DUMMYFUNCTION("""COMPUTED_VALUE"""),"ตลาดขวัญ")</f>
        <v>ตลาดขวัญ</v>
      </c>
      <c r="AA906" s="3" t="str">
        <f>IFERROR(__xludf.DUMMYFUNCTION("""COMPUTED_VALUE"""),"เมืองนนทบุรี")</f>
        <v>เมืองนนทบุรี</v>
      </c>
      <c r="AB906" s="3" t="str">
        <f>IFERROR(__xludf.DUMMYFUNCTION("""COMPUTED_VALUE"""),"นนทบุรี")</f>
        <v>นนทบุรี</v>
      </c>
      <c r="AC906" s="3">
        <f>IFERROR(__xludf.DUMMYFUNCTION("""COMPUTED_VALUE"""),11000.0)</f>
        <v>11000</v>
      </c>
      <c r="AD906" s="3">
        <f>IFERROR(__xludf.DUMMYFUNCTION("""COMPUTED_VALUE"""),13.843823)</f>
        <v>13.843823</v>
      </c>
      <c r="AE906" s="3">
        <f>IFERROR(__xludf.DUMMYFUNCTION("""COMPUTED_VALUE"""),100.504464)</f>
        <v>100.504464</v>
      </c>
      <c r="AF906" s="3" t="str">
        <f>IFERROR(__xludf.DUMMYFUNCTION("""COMPUTED_VALUE"""),"MBC ถนนประชาราษฎร์-21675")</f>
        <v>MBC ถนนประชาราษฎร์-21675</v>
      </c>
      <c r="AG906" s="3" t="str">
        <f>IFERROR(__xludf.DUMMYFUNCTION("""COMPUTED_VALUE"""),"กลาง")</f>
        <v>กลาง</v>
      </c>
      <c r="AH906" s="3" t="str">
        <f>IFERROR(__xludf.DUMMYFUNCTION("""COMPUTED_VALUE"""),"#N/A")</f>
        <v>#N/A</v>
      </c>
      <c r="AI906" s="3" t="str">
        <f>IFERROR(__xludf.DUMMYFUNCTION("""COMPUTED_VALUE"""),"Out of warranty")</f>
        <v>Out of warranty</v>
      </c>
      <c r="AJ906" s="3">
        <f>IFERROR(__xludf.DUMMYFUNCTION("""COMPUTED_VALUE"""),88.0)</f>
        <v>88</v>
      </c>
      <c r="AK906" s="3" t="str">
        <f>IFERROR(__xludf.DUMMYFUNCTION("""COMPUTED_VALUE"""),"MMS01")</f>
        <v>MMS01</v>
      </c>
      <c r="AL906" s="3"/>
    </row>
    <row r="907" ht="15.75" customHeight="1">
      <c r="A907" s="1" t="str">
        <f>IFERROR(__xludf.DUMMYFUNCTION("""COMPUTED_VALUE"""),"21676")</f>
        <v>21676</v>
      </c>
      <c r="B907" s="2">
        <f>IFERROR(__xludf.DUMMYFUNCTION("""COMPUTED_VALUE"""),21676.0)</f>
        <v>21676</v>
      </c>
      <c r="C907" s="3" t="str">
        <f>IFERROR(__xludf.DUMMYFUNCTION("""COMPUTED_VALUE"""),"MBC พลพิชัย หาดใหญ่")</f>
        <v>MBC พลพิชัย หาดใหญ่</v>
      </c>
      <c r="D907" s="3" t="str">
        <f>IFERROR(__xludf.DUMMYFUNCTION("""COMPUTED_VALUE"""),"BCM THANON PHONPICHAI HAT YAI")</f>
        <v>BCM THANON PHONPICHAI HAT YAI</v>
      </c>
      <c r="E907" s="1" t="str">
        <f>IFERROR(__xludf.DUMMYFUNCTION("""COMPUTED_VALUE"""),"บิ๊กซี MINI")</f>
        <v>บิ๊กซี MINI</v>
      </c>
      <c r="F907" s="1" t="str">
        <f>IFERROR(__xludf.DUMMYFUNCTION("""COMPUTED_VALUE"""),"2010918")</f>
        <v>2010918</v>
      </c>
      <c r="G907" s="1" t="str">
        <f>IFERROR(__xludf.DUMMYFUNCTION("""COMPUTED_VALUE"""),"น.ส.สุดารัตน์ รัตนประดิษฐ์")</f>
        <v>น.ส.สุดารัตน์ รัตนประดิษฐ์</v>
      </c>
      <c r="H907" s="1" t="str">
        <f>IFERROR(__xludf.DUMMYFUNCTION("""COMPUTED_VALUE"""),"357284")</f>
        <v>357284</v>
      </c>
      <c r="I907" s="1" t="str">
        <f>IFERROR(__xludf.DUMMYFUNCTION("""COMPUTED_VALUE"""),"น.ส.เบญจวรรณ ปัณฑโมรา")</f>
        <v>น.ส.เบญจวรรณ ปัณฑโมรา</v>
      </c>
      <c r="J907" s="3">
        <f>IFERROR(__xludf.DUMMYFUNCTION("""COMPUTED_VALUE"""),2.0470331E7)</f>
        <v>20470331</v>
      </c>
      <c r="K907" s="3" t="str">
        <f>IFERROR(__xludf.DUMMYFUNCTION("""COMPUTED_VALUE"""),"นายสมชาย ลักษณะสุวรรณ")</f>
        <v>นายสมชาย ลักษณะสุวรรณ</v>
      </c>
      <c r="L907" s="1" t="str">
        <f>IFERROR(__xludf.DUMMYFUNCTION("""COMPUTED_VALUE"""),"15 K.Somchai L")</f>
        <v>15 K.Somchai L</v>
      </c>
      <c r="M907" s="1" t="str">
        <f>IFERROR(__xludf.DUMMYFUNCTION("""COMPUTED_VALUE"""),"0655107372")</f>
        <v>0655107372</v>
      </c>
      <c r="N907" s="3">
        <f>IFERROR(__xludf.DUMMYFUNCTION("""COMPUTED_VALUE"""),21723.0)</f>
        <v>21723</v>
      </c>
      <c r="O907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907" s="4">
        <f>IFERROR(__xludf.DUMMYFUNCTION("""COMPUTED_VALUE"""),43386.0)</f>
        <v>43386</v>
      </c>
      <c r="Q907" s="3" t="str">
        <f>IFERROR(__xludf.DUMMYFUNCTION("""COMPUTED_VALUE"""),"I")</f>
        <v>I</v>
      </c>
      <c r="R907" s="3" t="str">
        <f>IFERROR(__xludf.DUMMYFUNCTION("""COMPUTED_VALUE"""),"Small Format")</f>
        <v>Small Format</v>
      </c>
      <c r="S907" s="3" t="str">
        <f>IFERROR(__xludf.DUMMYFUNCTION("""COMPUTED_VALUE"""),"BCM")</f>
        <v>BCM</v>
      </c>
      <c r="T907" s="3" t="str">
        <f>IFERROR(__xludf.DUMMYFUNCTION("""COMPUTED_VALUE"""),"#N/A")</f>
        <v>#N/A</v>
      </c>
      <c r="U907" s="3" t="str">
        <f>IFERROR(__xludf.DUMMYFUNCTION("""COMPUTED_VALUE"""),"#N/A")</f>
        <v>#N/A</v>
      </c>
      <c r="V907" s="3" t="str">
        <f>IFERROR(__xludf.DUMMYFUNCTION("""COMPUTED_VALUE"""),"N")</f>
        <v>N</v>
      </c>
      <c r="W907" s="3">
        <f>IFERROR(__xludf.DUMMYFUNCTION("""COMPUTED_VALUE"""),211641.0)</f>
        <v>211641</v>
      </c>
      <c r="X907" s="3" t="str">
        <f>IFERROR(__xludf.DUMMYFUNCTION("""COMPUTED_VALUE"""),"109,111,113,115 ถนนพลพิชัย ตำบลหาดใหญ่ อำเภอหาดใหญ่ จังหวัดสงขลา 90110")</f>
        <v>109,111,113,115 ถนนพลพิชัย ตำบลหาดใหญ่ อำเภอหาดใหญ่ จังหวัดสงขลา 90110</v>
      </c>
      <c r="Y907" s="3" t="str">
        <f>IFERROR(__xludf.DUMMYFUNCTION("""COMPUTED_VALUE"""),"ถนนพลพิชัย")</f>
        <v>ถนนพลพิชัย</v>
      </c>
      <c r="Z907" s="3" t="str">
        <f>IFERROR(__xludf.DUMMYFUNCTION("""COMPUTED_VALUE"""),"หาดใหญ่")</f>
        <v>หาดใหญ่</v>
      </c>
      <c r="AA907" s="3" t="str">
        <f>IFERROR(__xludf.DUMMYFUNCTION("""COMPUTED_VALUE"""),"หาดใหญ่")</f>
        <v>หาดใหญ่</v>
      </c>
      <c r="AB907" s="3" t="str">
        <f>IFERROR(__xludf.DUMMYFUNCTION("""COMPUTED_VALUE"""),"สงขลา")</f>
        <v>สงขลา</v>
      </c>
      <c r="AC907" s="3">
        <f>IFERROR(__xludf.DUMMYFUNCTION("""COMPUTED_VALUE"""),90110.0)</f>
        <v>90110</v>
      </c>
      <c r="AD907" s="3">
        <f>IFERROR(__xludf.DUMMYFUNCTION("""COMPUTED_VALUE"""),6.994144)</f>
        <v>6.994144</v>
      </c>
      <c r="AE907" s="3">
        <f>IFERROR(__xludf.DUMMYFUNCTION("""COMPUTED_VALUE"""),100.464633)</f>
        <v>100.464633</v>
      </c>
      <c r="AF907" s="3" t="str">
        <f>IFERROR(__xludf.DUMMYFUNCTION("""COMPUTED_VALUE"""),"MBC พลพิชัย หาดใหญ่-21676")</f>
        <v>MBC พลพิชัย หาดใหญ่-21676</v>
      </c>
      <c r="AG907" s="3" t="str">
        <f>IFERROR(__xludf.DUMMYFUNCTION("""COMPUTED_VALUE"""),"ใต้")</f>
        <v>ใต้</v>
      </c>
      <c r="AH907" s="3" t="str">
        <f>IFERROR(__xludf.DUMMYFUNCTION("""COMPUTED_VALUE"""),"#N/A")</f>
        <v>#N/A</v>
      </c>
      <c r="AI907" s="3" t="str">
        <f>IFERROR(__xludf.DUMMYFUNCTION("""COMPUTED_VALUE"""),"Out of warranty")</f>
        <v>Out of warranty</v>
      </c>
      <c r="AJ907" s="3">
        <f>IFERROR(__xludf.DUMMYFUNCTION("""COMPUTED_VALUE"""),88.0)</f>
        <v>88</v>
      </c>
      <c r="AK907" s="3"/>
      <c r="AL907" s="3"/>
    </row>
    <row r="908" ht="15.75" customHeight="1">
      <c r="A908" s="1" t="str">
        <f>IFERROR(__xludf.DUMMYFUNCTION("""COMPUTED_VALUE"""),"21677")</f>
        <v>21677</v>
      </c>
      <c r="B908" s="2">
        <f>IFERROR(__xludf.DUMMYFUNCTION("""COMPUTED_VALUE"""),21677.0)</f>
        <v>21677</v>
      </c>
      <c r="C908" s="3" t="str">
        <f>IFERROR(__xludf.DUMMYFUNCTION("""COMPUTED_VALUE"""),"MBC ถนนท่าคราวน้อย")</f>
        <v>MBC ถนนท่าคราวน้อย</v>
      </c>
      <c r="D908" s="3" t="str">
        <f>IFERROR(__xludf.DUMMYFUNCTION("""COMPUTED_VALUE"""),"BCM THANON THA CRAOWNOI")</f>
        <v>BCM THANON THA CRAOWNOI</v>
      </c>
      <c r="E908" s="1" t="str">
        <f>IFERROR(__xludf.DUMMYFUNCTION("""COMPUTED_VALUE"""),"บิ๊กซี MINI")</f>
        <v>บิ๊กซี MINI</v>
      </c>
      <c r="F908" s="1" t="str">
        <f>IFERROR(__xludf.DUMMYFUNCTION("""COMPUTED_VALUE"""),"296229")</f>
        <v>296229</v>
      </c>
      <c r="G908" s="1" t="str">
        <f>IFERROR(__xludf.DUMMYFUNCTION("""COMPUTED_VALUE"""),"นายทนงศักดิ์ บุญมา")</f>
        <v>นายทนงศักดิ์ บุญมา</v>
      </c>
      <c r="H908" s="1" t="str">
        <f>IFERROR(__xludf.DUMMYFUNCTION("""COMPUTED_VALUE"""),"372826")</f>
        <v>372826</v>
      </c>
      <c r="I908" s="1" t="str">
        <f>IFERROR(__xludf.DUMMYFUNCTION("""COMPUTED_VALUE"""),"นายพงศกร สุขแก้ว")</f>
        <v>นายพงศกร สุขแก้ว</v>
      </c>
      <c r="J908" s="3">
        <f>IFERROR(__xludf.DUMMYFUNCTION("""COMPUTED_VALUE"""),2010016.0)</f>
        <v>2010016</v>
      </c>
      <c r="K908" s="3" t="str">
        <f>IFERROR(__xludf.DUMMYFUNCTION("""COMPUTED_VALUE"""),"นายตวงธรรม ใหม่ยศ")</f>
        <v>นายตวงธรรม ใหม่ยศ</v>
      </c>
      <c r="L908" s="1" t="str">
        <f>IFERROR(__xludf.DUMMYFUNCTION("""COMPUTED_VALUE"""),"01 K.Tuangtham M.")</f>
        <v>01 K.Tuangtham M.</v>
      </c>
      <c r="M908" s="1" t="str">
        <f>IFERROR(__xludf.DUMMYFUNCTION("""COMPUTED_VALUE"""),"063-976-595")</f>
        <v>063-976-595</v>
      </c>
      <c r="N908" s="3">
        <f>IFERROR(__xludf.DUMMYFUNCTION("""COMPUTED_VALUE"""),22574.0)</f>
        <v>22574</v>
      </c>
      <c r="O908" s="3" t="str">
        <f>IFERROR(__xludf.DUMMYFUNCTION("""COMPUTED_VALUE"""),"BCM ชุมชนศรีชุม ลำปาง")</f>
        <v>BCM ชุมชนศรีชุม ลำปาง</v>
      </c>
      <c r="P908" s="4">
        <f>IFERROR(__xludf.DUMMYFUNCTION("""COMPUTED_VALUE"""),43386.0)</f>
        <v>43386</v>
      </c>
      <c r="Q908" s="3" t="str">
        <f>IFERROR(__xludf.DUMMYFUNCTION("""COMPUTED_VALUE"""),"A")</f>
        <v>A</v>
      </c>
      <c r="R908" s="3" t="str">
        <f>IFERROR(__xludf.DUMMYFUNCTION("""COMPUTED_VALUE"""),"Small Format")</f>
        <v>Small Format</v>
      </c>
      <c r="S908" s="3" t="str">
        <f>IFERROR(__xludf.DUMMYFUNCTION("""COMPUTED_VALUE"""),"BCM")</f>
        <v>BCM</v>
      </c>
      <c r="T908" s="3" t="str">
        <f>IFERROR(__xludf.DUMMYFUNCTION("""COMPUTED_VALUE"""),"#N/A")</f>
        <v>#N/A</v>
      </c>
      <c r="U908" s="3" t="str">
        <f>IFERROR(__xludf.DUMMYFUNCTION("""COMPUTED_VALUE"""),"#N/A")</f>
        <v>#N/A</v>
      </c>
      <c r="V908" s="3" t="str">
        <f>IFERROR(__xludf.DUMMYFUNCTION("""COMPUTED_VALUE"""),"N")</f>
        <v>N</v>
      </c>
      <c r="W908" s="3">
        <f>IFERROR(__xludf.DUMMYFUNCTION("""COMPUTED_VALUE"""),211618.0)</f>
        <v>211618</v>
      </c>
      <c r="X908" s="3" t="str">
        <f>IFERROR(__xludf.DUMMYFUNCTION("""COMPUTED_VALUE"""),"5,7,9 ถนนท่าคราวน้อย ตำบลสบตุ๋ย อำเภอเมืองลำปาง จังหวัดลำปาง 52100")</f>
        <v>5,7,9 ถนนท่าคราวน้อย ตำบลสบตุ๋ย อำเภอเมืองลำปาง จังหวัดลำปาง 52100</v>
      </c>
      <c r="Y908" s="3" t="str">
        <f>IFERROR(__xludf.DUMMYFUNCTION("""COMPUTED_VALUE"""),"ถนนท่าคราวน้อย")</f>
        <v>ถนนท่าคราวน้อย</v>
      </c>
      <c r="Z908" s="3" t="str">
        <f>IFERROR(__xludf.DUMMYFUNCTION("""COMPUTED_VALUE"""),"สบตุ๋ย")</f>
        <v>สบตุ๋ย</v>
      </c>
      <c r="AA908" s="3" t="str">
        <f>IFERROR(__xludf.DUMMYFUNCTION("""COMPUTED_VALUE"""),"เมือง")</f>
        <v>เมือง</v>
      </c>
      <c r="AB908" s="3" t="str">
        <f>IFERROR(__xludf.DUMMYFUNCTION("""COMPUTED_VALUE"""),"ลำปาง")</f>
        <v>ลำปาง</v>
      </c>
      <c r="AC908" s="3">
        <f>IFERROR(__xludf.DUMMYFUNCTION("""COMPUTED_VALUE"""),52100.0)</f>
        <v>52100</v>
      </c>
      <c r="AD908" s="3">
        <f>IFERROR(__xludf.DUMMYFUNCTION("""COMPUTED_VALUE"""),18.289051)</f>
        <v>18.289051</v>
      </c>
      <c r="AE908" s="3">
        <f>IFERROR(__xludf.DUMMYFUNCTION("""COMPUTED_VALUE"""),99.488505)</f>
        <v>99.488505</v>
      </c>
      <c r="AF908" s="3" t="str">
        <f>IFERROR(__xludf.DUMMYFUNCTION("""COMPUTED_VALUE"""),"MBC ถนนท่าคราวน้อย-21677")</f>
        <v>MBC ถนนท่าคราวน้อย-21677</v>
      </c>
      <c r="AG908" s="3" t="str">
        <f>IFERROR(__xludf.DUMMYFUNCTION("""COMPUTED_VALUE"""),"เหนือ")</f>
        <v>เหนือ</v>
      </c>
      <c r="AH908" s="3" t="str">
        <f>IFERROR(__xludf.DUMMYFUNCTION("""COMPUTED_VALUE"""),"#N/A")</f>
        <v>#N/A</v>
      </c>
      <c r="AI908" s="3" t="str">
        <f>IFERROR(__xludf.DUMMYFUNCTION("""COMPUTED_VALUE"""),"Out of warranty")</f>
        <v>Out of warranty</v>
      </c>
      <c r="AJ908" s="3">
        <f>IFERROR(__xludf.DUMMYFUNCTION("""COMPUTED_VALUE"""),88.0)</f>
        <v>88</v>
      </c>
      <c r="AK908" s="3" t="str">
        <f>IFERROR(__xludf.DUMMYFUNCTION("""COMPUTED_VALUE"""),"MMS10")</f>
        <v>MMS10</v>
      </c>
      <c r="AL908" s="3"/>
    </row>
    <row r="909" ht="15.75" customHeight="1">
      <c r="A909" s="1" t="str">
        <f>IFERROR(__xludf.DUMMYFUNCTION("""COMPUTED_VALUE"""),"21678")</f>
        <v>21678</v>
      </c>
      <c r="B909" s="2">
        <f>IFERROR(__xludf.DUMMYFUNCTION("""COMPUTED_VALUE"""),21678.0)</f>
        <v>21678</v>
      </c>
      <c r="C909" s="3" t="str">
        <f>IFERROR(__xludf.DUMMYFUNCTION("""COMPUTED_VALUE"""),"MBC น้ำพองใน")</f>
        <v>MBC น้ำพองใน</v>
      </c>
      <c r="D909" s="3" t="str">
        <f>IFERROR(__xludf.DUMMYFUNCTION("""COMPUTED_VALUE"""),"BCM NAM PONG NAI")</f>
        <v>BCM NAM PONG NAI</v>
      </c>
      <c r="E909" s="1" t="str">
        <f>IFERROR(__xludf.DUMMYFUNCTION("""COMPUTED_VALUE"""),"บิ๊กซี MINI")</f>
        <v>บิ๊กซี MINI</v>
      </c>
      <c r="F909" s="1" t="str">
        <f>IFERROR(__xludf.DUMMYFUNCTION("""COMPUTED_VALUE"""),"291105")</f>
        <v>291105</v>
      </c>
      <c r="G909" s="1" t="str">
        <f>IFERROR(__xludf.DUMMYFUNCTION("""COMPUTED_VALUE"""),"นายสราวุฒิ พณิชยกุล")</f>
        <v>นายสราวุฒิ พณิชยกุล</v>
      </c>
      <c r="H909" s="1" t="str">
        <f>IFERROR(__xludf.DUMMYFUNCTION("""COMPUTED_VALUE"""),"305119")</f>
        <v>305119</v>
      </c>
      <c r="I909" s="1" t="str">
        <f>IFERROR(__xludf.DUMMYFUNCTION("""COMPUTED_VALUE"""),"นายไชยกร ลีพิบูลย์สวัสดิ์")</f>
        <v>นายไชยกร ลีพิบูลย์สวัสดิ์</v>
      </c>
      <c r="J909" s="3">
        <f>IFERROR(__xludf.DUMMYFUNCTION("""COMPUTED_VALUE"""),296868.0)</f>
        <v>296868</v>
      </c>
      <c r="K909" s="3" t="str">
        <f>IFERROR(__xludf.DUMMYFUNCTION("""COMPUTED_VALUE"""),"นายพีระพงษ์ แก้วดวงดี")</f>
        <v>นายพีระพงษ์ แก้วดวงดี</v>
      </c>
      <c r="L909" s="1" t="str">
        <f>IFERROR(__xludf.DUMMYFUNCTION("""COMPUTED_VALUE"""),"03 K.Peerapong K.")</f>
        <v>03 K.Peerapong K.</v>
      </c>
      <c r="M909" s="1" t="str">
        <f>IFERROR(__xludf.DUMMYFUNCTION("""COMPUTED_VALUE"""),"089-002-6599")</f>
        <v>089-002-6599</v>
      </c>
      <c r="N909" s="3">
        <f>IFERROR(__xludf.DUMMYFUNCTION("""COMPUTED_VALUE"""),21946.0)</f>
        <v>21946</v>
      </c>
      <c r="O909" s="3" t="str">
        <f>IFERROR(__xludf.DUMMYFUNCTION("""COMPUTED_VALUE"""),"MBC เซกา บึงกาฬ")</f>
        <v>MBC เซกา บึงกาฬ</v>
      </c>
      <c r="P909" s="4">
        <f>IFERROR(__xludf.DUMMYFUNCTION("""COMPUTED_VALUE"""),43389.0)</f>
        <v>43389</v>
      </c>
      <c r="Q909" s="3" t="str">
        <f>IFERROR(__xludf.DUMMYFUNCTION("""COMPUTED_VALUE"""),"A")</f>
        <v>A</v>
      </c>
      <c r="R909" s="3" t="str">
        <f>IFERROR(__xludf.DUMMYFUNCTION("""COMPUTED_VALUE"""),"Small Format")</f>
        <v>Small Format</v>
      </c>
      <c r="S909" s="3" t="str">
        <f>IFERROR(__xludf.DUMMYFUNCTION("""COMPUTED_VALUE"""),"BCM")</f>
        <v>BCM</v>
      </c>
      <c r="T909" s="3" t="str">
        <f>IFERROR(__xludf.DUMMYFUNCTION("""COMPUTED_VALUE"""),"#N/A")</f>
        <v>#N/A</v>
      </c>
      <c r="U909" s="3" t="str">
        <f>IFERROR(__xludf.DUMMYFUNCTION("""COMPUTED_VALUE"""),"#N/A")</f>
        <v>#N/A</v>
      </c>
      <c r="V909" s="3" t="str">
        <f>IFERROR(__xludf.DUMMYFUNCTION("""COMPUTED_VALUE"""),"N")</f>
        <v>N</v>
      </c>
      <c r="W909" s="3">
        <f>IFERROR(__xludf.DUMMYFUNCTION("""COMPUTED_VALUE"""),211636.0)</f>
        <v>211636</v>
      </c>
      <c r="X909" s="3" t="str">
        <f>IFERROR(__xludf.DUMMYFUNCTION("""COMPUTED_VALUE"""),"700/45 หมู่1 ตำบลหนองกุง อำเภอน้ำพอง จังหวัดขอนแก่น 40140")</f>
        <v>700/45 หมู่1 ตำบลหนองกุง อำเภอน้ำพอง จังหวัดขอนแก่น 40140</v>
      </c>
      <c r="Y909" s="3"/>
      <c r="Z909" s="3" t="str">
        <f>IFERROR(__xludf.DUMMYFUNCTION("""COMPUTED_VALUE"""),"หนองกุง")</f>
        <v>หนองกุง</v>
      </c>
      <c r="AA909" s="3" t="str">
        <f>IFERROR(__xludf.DUMMYFUNCTION("""COMPUTED_VALUE"""),"น้ำพอง")</f>
        <v>น้ำพอง</v>
      </c>
      <c r="AB909" s="3" t="str">
        <f>IFERROR(__xludf.DUMMYFUNCTION("""COMPUTED_VALUE"""),"ขอนแก่น")</f>
        <v>ขอนแก่น</v>
      </c>
      <c r="AC909" s="3">
        <f>IFERROR(__xludf.DUMMYFUNCTION("""COMPUTED_VALUE"""),40140.0)</f>
        <v>40140</v>
      </c>
      <c r="AD909" s="3">
        <f>IFERROR(__xludf.DUMMYFUNCTION("""COMPUTED_VALUE"""),16.71229444)</f>
        <v>16.71229444</v>
      </c>
      <c r="AE909" s="3">
        <f>IFERROR(__xludf.DUMMYFUNCTION("""COMPUTED_VALUE"""),102.866570494)</f>
        <v>102.8665705</v>
      </c>
      <c r="AF909" s="3" t="str">
        <f>IFERROR(__xludf.DUMMYFUNCTION("""COMPUTED_VALUE"""),"MBC น้ำพองใน-21678")</f>
        <v>MBC น้ำพองใน-21678</v>
      </c>
      <c r="AG909" s="3" t="str">
        <f>IFERROR(__xludf.DUMMYFUNCTION("""COMPUTED_VALUE"""),"ตะวันออกเฉียงเหนือ")</f>
        <v>ตะวันออกเฉียงเหนือ</v>
      </c>
      <c r="AH909" s="3" t="str">
        <f>IFERROR(__xludf.DUMMYFUNCTION("""COMPUTED_VALUE"""),"#N/A")</f>
        <v>#N/A</v>
      </c>
      <c r="AI909" s="3" t="str">
        <f>IFERROR(__xludf.DUMMYFUNCTION("""COMPUTED_VALUE"""),"Out of warranty")</f>
        <v>Out of warranty</v>
      </c>
      <c r="AJ909" s="3">
        <f>IFERROR(__xludf.DUMMYFUNCTION("""COMPUTED_VALUE"""),88.0)</f>
        <v>88</v>
      </c>
      <c r="AK909" s="3" t="str">
        <f>IFERROR(__xludf.DUMMYFUNCTION("""COMPUTED_VALUE"""),"MMS12")</f>
        <v>MMS12</v>
      </c>
      <c r="AL909" s="3"/>
    </row>
    <row r="910" ht="15.75" customHeight="1">
      <c r="A910" s="1" t="str">
        <f>IFERROR(__xludf.DUMMYFUNCTION("""COMPUTED_VALUE"""),"21679")</f>
        <v>21679</v>
      </c>
      <c r="B910" s="2">
        <f>IFERROR(__xludf.DUMMYFUNCTION("""COMPUTED_VALUE"""),21679.0)</f>
        <v>21679</v>
      </c>
      <c r="C910" s="3" t="str">
        <f>IFERROR(__xludf.DUMMYFUNCTION("""COMPUTED_VALUE"""),"MBC กิ่งแก้ว หนามแดง")</f>
        <v>MBC กิ่งแก้ว หนามแดง</v>
      </c>
      <c r="D910" s="3" t="str">
        <f>IFERROR(__xludf.DUMMYFUNCTION("""COMPUTED_VALUE"""),"BCM KINGKAEW NHAMDAENG")</f>
        <v>BCM KINGKAEW NHAMDAENG</v>
      </c>
      <c r="E910" s="1" t="str">
        <f>IFERROR(__xludf.DUMMYFUNCTION("""COMPUTED_VALUE"""),"บิ๊กซี MINI")</f>
        <v>บิ๊กซี MINI</v>
      </c>
      <c r="F910" s="1" t="str">
        <f>IFERROR(__xludf.DUMMYFUNCTION("""COMPUTED_VALUE"""),"2083447")</f>
        <v>2083447</v>
      </c>
      <c r="G910" s="1" t="str">
        <f>IFERROR(__xludf.DUMMYFUNCTION("""COMPUTED_VALUE"""),"นายอนุกูล ศรีลัดดา")</f>
        <v>นายอนุกูล ศรีลัดดา</v>
      </c>
      <c r="H910" s="1" t="str">
        <f>IFERROR(__xludf.DUMMYFUNCTION("""COMPUTED_VALUE"""),"284752")</f>
        <v>284752</v>
      </c>
      <c r="I910" s="1" t="str">
        <f>IFERROR(__xludf.DUMMYFUNCTION("""COMPUTED_VALUE"""),"น.ส.วีรนันท์ แสงใส")</f>
        <v>น.ส.วีรนันท์ แสงใส</v>
      </c>
      <c r="J910" s="3">
        <f>IFERROR(__xludf.DUMMYFUNCTION("""COMPUTED_VALUE"""),2451655.0)</f>
        <v>2451655</v>
      </c>
      <c r="K910" s="3" t="str">
        <f>IFERROR(__xludf.DUMMYFUNCTION("""COMPUTED_VALUE"""),"นายวิษณุพงษ์ ชินบุตร")</f>
        <v>นายวิษณุพงษ์ ชินบุตร</v>
      </c>
      <c r="L910" s="1" t="str">
        <f>IFERROR(__xludf.DUMMYFUNCTION("""COMPUTED_VALUE"""),"13 K.Wisanupong Ch")</f>
        <v>13 K.Wisanupong Ch</v>
      </c>
      <c r="M910" s="1" t="str">
        <f>IFERROR(__xludf.DUMMYFUNCTION("""COMPUTED_VALUE"""),"0843374693")</f>
        <v>0843374693</v>
      </c>
      <c r="N910" s="3">
        <f>IFERROR(__xludf.DUMMYFUNCTION("""COMPUTED_VALUE"""),22729.0)</f>
        <v>22729</v>
      </c>
      <c r="O910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910" s="4">
        <f>IFERROR(__xludf.DUMMYFUNCTION("""COMPUTED_VALUE"""),43399.0)</f>
        <v>43399</v>
      </c>
      <c r="Q910" s="3" t="str">
        <f>IFERROR(__xludf.DUMMYFUNCTION("""COMPUTED_VALUE"""),"A")</f>
        <v>A</v>
      </c>
      <c r="R910" s="3" t="str">
        <f>IFERROR(__xludf.DUMMYFUNCTION("""COMPUTED_VALUE"""),"Small Format")</f>
        <v>Small Format</v>
      </c>
      <c r="S910" s="3" t="str">
        <f>IFERROR(__xludf.DUMMYFUNCTION("""COMPUTED_VALUE"""),"BCM")</f>
        <v>BCM</v>
      </c>
      <c r="T910" s="3" t="str">
        <f>IFERROR(__xludf.DUMMYFUNCTION("""COMPUTED_VALUE"""),"#N/A")</f>
        <v>#N/A</v>
      </c>
      <c r="U910" s="3" t="str">
        <f>IFERROR(__xludf.DUMMYFUNCTION("""COMPUTED_VALUE"""),"#N/A")</f>
        <v>#N/A</v>
      </c>
      <c r="V910" s="3" t="str">
        <f>IFERROR(__xludf.DUMMYFUNCTION("""COMPUTED_VALUE"""),"N")</f>
        <v>N</v>
      </c>
      <c r="W910" s="3">
        <f>IFERROR(__xludf.DUMMYFUNCTION("""COMPUTED_VALUE"""),211610.0)</f>
        <v>211610</v>
      </c>
      <c r="X910" s="3" t="str">
        <f>IFERROR(__xludf.DUMMYFUNCTION("""COMPUTED_VALUE"""),"21/36 หมู่4 ตำบลบางพลีใหญ่ อำเภอบางพลี จังหวัดสมุทรปราการ 10540")</f>
        <v>21/36 หมู่4 ตำบลบางพลีใหญ่ อำเภอบางพลี จังหวัดสมุทรปราการ 10540</v>
      </c>
      <c r="Y910" s="3"/>
      <c r="Z910" s="3" t="str">
        <f>IFERROR(__xludf.DUMMYFUNCTION("""COMPUTED_VALUE"""),"บางพลีใหญ่")</f>
        <v>บางพลีใหญ่</v>
      </c>
      <c r="AA910" s="3" t="str">
        <f>IFERROR(__xludf.DUMMYFUNCTION("""COMPUTED_VALUE"""),"บางพลี")</f>
        <v>บางพลี</v>
      </c>
      <c r="AB910" s="3" t="str">
        <f>IFERROR(__xludf.DUMMYFUNCTION("""COMPUTED_VALUE"""),"สมุทรปราการ")</f>
        <v>สมุทรปราการ</v>
      </c>
      <c r="AC910" s="3">
        <f>IFERROR(__xludf.DUMMYFUNCTION("""COMPUTED_VALUE"""),10540.0)</f>
        <v>10540</v>
      </c>
      <c r="AD910" s="3">
        <f>IFERROR(__xludf.DUMMYFUNCTION("""COMPUTED_VALUE"""),13.611872)</f>
        <v>13.611872</v>
      </c>
      <c r="AE910" s="3">
        <f>IFERROR(__xludf.DUMMYFUNCTION("""COMPUTED_VALUE"""),100.686282)</f>
        <v>100.686282</v>
      </c>
      <c r="AF910" s="3" t="str">
        <f>IFERROR(__xludf.DUMMYFUNCTION("""COMPUTED_VALUE"""),"MBC กิ่งแก้ว หนามแดง-21679")</f>
        <v>MBC กิ่งแก้ว หนามแดง-21679</v>
      </c>
      <c r="AG910" s="3" t="str">
        <f>IFERROR(__xludf.DUMMYFUNCTION("""COMPUTED_VALUE"""),"กลาง")</f>
        <v>กลาง</v>
      </c>
      <c r="AH910" s="3" t="str">
        <f>IFERROR(__xludf.DUMMYFUNCTION("""COMPUTED_VALUE"""),"#N/A")</f>
        <v>#N/A</v>
      </c>
      <c r="AI910" s="3" t="str">
        <f>IFERROR(__xludf.DUMMYFUNCTION("""COMPUTED_VALUE"""),"Out of warranty")</f>
        <v>Out of warranty</v>
      </c>
      <c r="AJ910" s="3">
        <f>IFERROR(__xludf.DUMMYFUNCTION("""COMPUTED_VALUE"""),87.0)</f>
        <v>87</v>
      </c>
      <c r="AK910" s="3" t="str">
        <f>IFERROR(__xludf.DUMMYFUNCTION("""COMPUTED_VALUE"""),"MMS03")</f>
        <v>MMS03</v>
      </c>
      <c r="AL910" s="3"/>
    </row>
    <row r="911" ht="15.75" customHeight="1">
      <c r="A911" s="1" t="str">
        <f>IFERROR(__xludf.DUMMYFUNCTION("""COMPUTED_VALUE"""),"21680")</f>
        <v>21680</v>
      </c>
      <c r="B911" s="2">
        <f>IFERROR(__xludf.DUMMYFUNCTION("""COMPUTED_VALUE"""),21680.0)</f>
        <v>21680</v>
      </c>
      <c r="C911" s="3" t="str">
        <f>IFERROR(__xludf.DUMMYFUNCTION("""COMPUTED_VALUE"""),"MBC ตลาดสี่มุมเมือง แหลมฉบัง")</f>
        <v>MBC ตลาดสี่มุมเมือง แหลมฉบัง</v>
      </c>
      <c r="D911" s="3" t="str">
        <f>IFERROR(__xludf.DUMMYFUNCTION("""COMPUTED_VALUE"""),"BCM TALADSIMUMMUANGLAEMCHABANG")</f>
        <v>BCM TALADSIMUMMUANGLAEMCHABANG</v>
      </c>
      <c r="E911" s="1" t="str">
        <f>IFERROR(__xludf.DUMMYFUNCTION("""COMPUTED_VALUE"""),"บิ๊กซี MINI")</f>
        <v>บิ๊กซี MINI</v>
      </c>
      <c r="F911" s="1" t="str">
        <f>IFERROR(__xludf.DUMMYFUNCTION("""COMPUTED_VALUE"""),"221716")</f>
        <v>221716</v>
      </c>
      <c r="G911" s="1" t="str">
        <f>IFERROR(__xludf.DUMMYFUNCTION("""COMPUTED_VALUE"""),"น.ส.เบญจพร โพธิสาร")</f>
        <v>น.ส.เบญจพร โพธิสาร</v>
      </c>
      <c r="H911" s="1" t="str">
        <f>IFERROR(__xludf.DUMMYFUNCTION("""COMPUTED_VALUE"""),"291061")</f>
        <v>291061</v>
      </c>
      <c r="I911" s="1" t="str">
        <f>IFERROR(__xludf.DUMMYFUNCTION("""COMPUTED_VALUE"""),"นายสมศักดิ์ เสียงก้อง")</f>
        <v>นายสมศักดิ์ เสียงก้อง</v>
      </c>
      <c r="J911" s="3">
        <f>IFERROR(__xludf.DUMMYFUNCTION("""COMPUTED_VALUE"""),296942.0)</f>
        <v>296942</v>
      </c>
      <c r="K911" s="3" t="str">
        <f>IFERROR(__xludf.DUMMYFUNCTION("""COMPUTED_VALUE"""),"นายปิยะ รักษากิจ")</f>
        <v>นายปิยะ รักษากิจ</v>
      </c>
      <c r="L911" s="1" t="str">
        <f>IFERROR(__xludf.DUMMYFUNCTION("""COMPUTED_VALUE"""),"07 K.Piya R.")</f>
        <v>07 K.Piya R.</v>
      </c>
      <c r="M911" s="1" t="str">
        <f>IFERROR(__xludf.DUMMYFUNCTION("""COMPUTED_VALUE"""),"097-919-5476")</f>
        <v>097-919-5476</v>
      </c>
      <c r="N911" s="3">
        <f>IFERROR(__xludf.DUMMYFUNCTION("""COMPUTED_VALUE"""),21332.0)</f>
        <v>21332</v>
      </c>
      <c r="O911" s="3" t="str">
        <f>IFERROR(__xludf.DUMMYFUNCTION("""COMPUTED_VALUE"""),"MBC BCP อ่อนนุช 17/1")</f>
        <v>MBC BCP อ่อนนุช 17/1</v>
      </c>
      <c r="P911" s="4">
        <f>IFERROR(__xludf.DUMMYFUNCTION("""COMPUTED_VALUE"""),43395.0)</f>
        <v>43395</v>
      </c>
      <c r="Q911" s="3" t="str">
        <f>IFERROR(__xludf.DUMMYFUNCTION("""COMPUTED_VALUE"""),"A")</f>
        <v>A</v>
      </c>
      <c r="R911" s="3" t="str">
        <f>IFERROR(__xludf.DUMMYFUNCTION("""COMPUTED_VALUE"""),"Small Format")</f>
        <v>Small Format</v>
      </c>
      <c r="S911" s="3" t="str">
        <f>IFERROR(__xludf.DUMMYFUNCTION("""COMPUTED_VALUE"""),"BCM")</f>
        <v>BCM</v>
      </c>
      <c r="T911" s="3" t="str">
        <f>IFERROR(__xludf.DUMMYFUNCTION("""COMPUTED_VALUE"""),"#N/A")</f>
        <v>#N/A</v>
      </c>
      <c r="U911" s="3" t="str">
        <f>IFERROR(__xludf.DUMMYFUNCTION("""COMPUTED_VALUE"""),"#N/A")</f>
        <v>#N/A</v>
      </c>
      <c r="V911" s="3" t="str">
        <f>IFERROR(__xludf.DUMMYFUNCTION("""COMPUTED_VALUE"""),"N")</f>
        <v>N</v>
      </c>
      <c r="W911" s="3">
        <f>IFERROR(__xludf.DUMMYFUNCTION("""COMPUTED_VALUE"""),211632.0)</f>
        <v>211632</v>
      </c>
      <c r="X911" s="3" t="str">
        <f>IFERROR(__xludf.DUMMYFUNCTION("""COMPUTED_VALUE"""),"53/341 หมู่9 ตำบลทุ่งสุขลา อำเภอศรีราชา จังหวัดชลบุรี 20230")</f>
        <v>53/341 หมู่9 ตำบลทุ่งสุขลา อำเภอศรีราชา จังหวัดชลบุรี 20230</v>
      </c>
      <c r="Y911" s="3"/>
      <c r="Z911" s="3" t="str">
        <f>IFERROR(__xludf.DUMMYFUNCTION("""COMPUTED_VALUE"""),"ทุ่งสุขลา")</f>
        <v>ทุ่งสุขลา</v>
      </c>
      <c r="AA911" s="3" t="str">
        <f>IFERROR(__xludf.DUMMYFUNCTION("""COMPUTED_VALUE"""),"ศรีราชา")</f>
        <v>ศรีราชา</v>
      </c>
      <c r="AB911" s="3" t="str">
        <f>IFERROR(__xludf.DUMMYFUNCTION("""COMPUTED_VALUE"""),"ชลบุรี")</f>
        <v>ชลบุรี</v>
      </c>
      <c r="AC911" s="3">
        <f>IFERROR(__xludf.DUMMYFUNCTION("""COMPUTED_VALUE"""),20230.0)</f>
        <v>20230</v>
      </c>
      <c r="AD911" s="3">
        <f>IFERROR(__xludf.DUMMYFUNCTION("""COMPUTED_VALUE"""),13.090291)</f>
        <v>13.090291</v>
      </c>
      <c r="AE911" s="3">
        <f>IFERROR(__xludf.DUMMYFUNCTION("""COMPUTED_VALUE"""),100.91925)</f>
        <v>100.91925</v>
      </c>
      <c r="AF911" s="3" t="str">
        <f>IFERROR(__xludf.DUMMYFUNCTION("""COMPUTED_VALUE"""),"MBC ตลาดสี่มุมเมือง แหลมฉบัง-21680")</f>
        <v>MBC ตลาดสี่มุมเมือง แหลมฉบัง-21680</v>
      </c>
      <c r="AG911" s="3" t="str">
        <f>IFERROR(__xludf.DUMMYFUNCTION("""COMPUTED_VALUE"""),"ตะวันออก")</f>
        <v>ตะวันออก</v>
      </c>
      <c r="AH911" s="3" t="str">
        <f>IFERROR(__xludf.DUMMYFUNCTION("""COMPUTED_VALUE"""),"#N/A")</f>
        <v>#N/A</v>
      </c>
      <c r="AI911" s="3" t="str">
        <f>IFERROR(__xludf.DUMMYFUNCTION("""COMPUTED_VALUE"""),"Out of warranty")</f>
        <v>Out of warranty</v>
      </c>
      <c r="AJ911" s="3">
        <f>IFERROR(__xludf.DUMMYFUNCTION("""COMPUTED_VALUE"""),87.0)</f>
        <v>87</v>
      </c>
      <c r="AK911" s="3" t="str">
        <f>IFERROR(__xludf.DUMMYFUNCTION("""COMPUTED_VALUE"""),"MMS06")</f>
        <v>MMS06</v>
      </c>
      <c r="AL911" s="3"/>
    </row>
    <row r="912" ht="15.75" customHeight="1">
      <c r="A912" s="1" t="str">
        <f>IFERROR(__xludf.DUMMYFUNCTION("""COMPUTED_VALUE"""),"21681")</f>
        <v>21681</v>
      </c>
      <c r="B912" s="2">
        <f>IFERROR(__xludf.DUMMYFUNCTION("""COMPUTED_VALUE"""),21681.0)</f>
        <v>21681</v>
      </c>
      <c r="C912" s="3" t="str">
        <f>IFERROR(__xludf.DUMMYFUNCTION("""COMPUTED_VALUE"""),"MBC ถนนราชมนตรี สาย1")</f>
        <v>MBC ถนนราชมนตรี สาย1</v>
      </c>
      <c r="D912" s="3" t="str">
        <f>IFERROR(__xludf.DUMMYFUNCTION("""COMPUTED_VALUE"""),"BCM TALAD RATCHAMONTRI SAI 1")</f>
        <v>BCM TALAD RATCHAMONTRI SAI 1</v>
      </c>
      <c r="E912" s="1" t="str">
        <f>IFERROR(__xludf.DUMMYFUNCTION("""COMPUTED_VALUE"""),"บิ๊กซี MINI")</f>
        <v>บิ๊กซี MINI</v>
      </c>
      <c r="F912" s="1" t="str">
        <f>IFERROR(__xludf.DUMMYFUNCTION("""COMPUTED_VALUE"""),"291008")</f>
        <v>291008</v>
      </c>
      <c r="G912" s="1" t="str">
        <f>IFERROR(__xludf.DUMMYFUNCTION("""COMPUTED_VALUE"""),"น.ส.รัชดาพร อีศรัตน์")</f>
        <v>น.ส.รัชดาพร อีศรัตน์</v>
      </c>
      <c r="H912" s="1" t="str">
        <f>IFERROR(__xludf.DUMMYFUNCTION("""COMPUTED_VALUE"""),"291101")</f>
        <v>291101</v>
      </c>
      <c r="I912" s="1" t="str">
        <f>IFERROR(__xludf.DUMMYFUNCTION("""COMPUTED_VALUE"""),"นายจักรพงศ์ โพธิ์ศรี")</f>
        <v>นายจักรพงศ์ โพธิ์ศรี</v>
      </c>
      <c r="J912" s="3">
        <f>IFERROR(__xludf.DUMMYFUNCTION("""COMPUTED_VALUE"""),296608.0)</f>
        <v>296608</v>
      </c>
      <c r="K912" s="3" t="str">
        <f>IFERROR(__xludf.DUMMYFUNCTION("""COMPUTED_VALUE"""),"นายภาคภูมิ เพ็ชรนิล")</f>
        <v>นายภาคภูมิ เพ็ชรนิล</v>
      </c>
      <c r="L912" s="1" t="str">
        <f>IFERROR(__xludf.DUMMYFUNCTION("""COMPUTED_VALUE"""),"10 K.Phakphoom P.")</f>
        <v>10 K.Phakphoom P.</v>
      </c>
      <c r="M912" s="1" t="str">
        <f>IFERROR(__xludf.DUMMYFUNCTION("""COMPUTED_VALUE"""),"063-8955329")</f>
        <v>063-8955329</v>
      </c>
      <c r="N912" s="3">
        <f>IFERROR(__xludf.DUMMYFUNCTION("""COMPUTED_VALUE"""),22584.0)</f>
        <v>22584</v>
      </c>
      <c r="O912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912" s="4">
        <f>IFERROR(__xludf.DUMMYFUNCTION("""COMPUTED_VALUE"""),43412.0)</f>
        <v>43412</v>
      </c>
      <c r="Q912" s="3" t="str">
        <f>IFERROR(__xludf.DUMMYFUNCTION("""COMPUTED_VALUE"""),"A")</f>
        <v>A</v>
      </c>
      <c r="R912" s="3" t="str">
        <f>IFERROR(__xludf.DUMMYFUNCTION("""COMPUTED_VALUE"""),"Small Format")</f>
        <v>Small Format</v>
      </c>
      <c r="S912" s="3" t="str">
        <f>IFERROR(__xludf.DUMMYFUNCTION("""COMPUTED_VALUE"""),"BCM")</f>
        <v>BCM</v>
      </c>
      <c r="T912" s="3" t="str">
        <f>IFERROR(__xludf.DUMMYFUNCTION("""COMPUTED_VALUE"""),"#N/A")</f>
        <v>#N/A</v>
      </c>
      <c r="U912" s="3" t="str">
        <f>IFERROR(__xludf.DUMMYFUNCTION("""COMPUTED_VALUE"""),"#N/A")</f>
        <v>#N/A</v>
      </c>
      <c r="V912" s="3" t="str">
        <f>IFERROR(__xludf.DUMMYFUNCTION("""COMPUTED_VALUE"""),"N")</f>
        <v>N</v>
      </c>
      <c r="W912" s="3">
        <f>IFERROR(__xludf.DUMMYFUNCTION("""COMPUTED_VALUE"""),211608.0)</f>
        <v>211608</v>
      </c>
      <c r="X912" s="3" t="str">
        <f>IFERROR(__xludf.DUMMYFUNCTION("""COMPUTED_VALUE"""),"67 ถนนราชมนตรี แขวงบางด้วน เขตภาษีเจริญ กรุงเทพมหานคร 10160")</f>
        <v>67 ถนนราชมนตรี แขวงบางด้วน เขตภาษีเจริญ กรุงเทพมหานคร 10160</v>
      </c>
      <c r="Y912" s="3" t="str">
        <f>IFERROR(__xludf.DUMMYFUNCTION("""COMPUTED_VALUE"""),"ถนนราชมนตรี")</f>
        <v>ถนนราชมนตรี</v>
      </c>
      <c r="Z912" s="3" t="str">
        <f>IFERROR(__xludf.DUMMYFUNCTION("""COMPUTED_VALUE"""),"บางด้วน")</f>
        <v>บางด้วน</v>
      </c>
      <c r="AA912" s="3" t="str">
        <f>IFERROR(__xludf.DUMMYFUNCTION("""COMPUTED_VALUE"""),"ภาษีเจริญ")</f>
        <v>ภาษีเจริญ</v>
      </c>
      <c r="AB912" s="3" t="str">
        <f>IFERROR(__xludf.DUMMYFUNCTION("""COMPUTED_VALUE"""),"กรุงเทพมหานคร")</f>
        <v>กรุงเทพมหานคร</v>
      </c>
      <c r="AC912" s="3">
        <f>IFERROR(__xludf.DUMMYFUNCTION("""COMPUTED_VALUE"""),10160.0)</f>
        <v>10160</v>
      </c>
      <c r="AD912" s="3">
        <f>IFERROR(__xludf.DUMMYFUNCTION("""COMPUTED_VALUE"""),13.7251012)</f>
        <v>13.7251012</v>
      </c>
      <c r="AE912" s="3">
        <f>IFERROR(__xludf.DUMMYFUNCTION("""COMPUTED_VALUE"""),100.4315098)</f>
        <v>100.4315098</v>
      </c>
      <c r="AF912" s="3" t="str">
        <f>IFERROR(__xludf.DUMMYFUNCTION("""COMPUTED_VALUE"""),"MBC ถนนราชมนตรี สาย1-21681")</f>
        <v>MBC ถนนราชมนตรี สาย1-21681</v>
      </c>
      <c r="AG912" s="3" t="str">
        <f>IFERROR(__xludf.DUMMYFUNCTION("""COMPUTED_VALUE"""),"กลาง")</f>
        <v>กลาง</v>
      </c>
      <c r="AH912" s="3" t="str">
        <f>IFERROR(__xludf.DUMMYFUNCTION("""COMPUTED_VALUE"""),"#N/A")</f>
        <v>#N/A</v>
      </c>
      <c r="AI912" s="3" t="str">
        <f>IFERROR(__xludf.DUMMYFUNCTION("""COMPUTED_VALUE"""),"Out of warranty")</f>
        <v>Out of warranty</v>
      </c>
      <c r="AJ912" s="3">
        <f>IFERROR(__xludf.DUMMYFUNCTION("""COMPUTED_VALUE"""),87.0)</f>
        <v>87</v>
      </c>
      <c r="AK912" s="3" t="str">
        <f>IFERROR(__xludf.DUMMYFUNCTION("""COMPUTED_VALUE"""),"MMS02")</f>
        <v>MMS02</v>
      </c>
      <c r="AL912" s="3"/>
    </row>
    <row r="913" ht="15.75" customHeight="1">
      <c r="A913" s="1" t="str">
        <f>IFERROR(__xludf.DUMMYFUNCTION("""COMPUTED_VALUE"""),"21682")</f>
        <v>21682</v>
      </c>
      <c r="B913" s="2">
        <f>IFERROR(__xludf.DUMMYFUNCTION("""COMPUTED_VALUE"""),21682.0)</f>
        <v>21682</v>
      </c>
      <c r="C913" s="3" t="str">
        <f>IFERROR(__xludf.DUMMYFUNCTION("""COMPUTED_VALUE"""),"MBC ถนนมหาราช")</f>
        <v>MBC ถนนมหาราช</v>
      </c>
      <c r="D913" s="3" t="str">
        <f>IFERROR(__xludf.DUMMYFUNCTION("""COMPUTED_VALUE"""),"BCM THANON MAHARAT")</f>
        <v>BCM THANON MAHARAT</v>
      </c>
      <c r="E913" s="1" t="str">
        <f>IFERROR(__xludf.DUMMYFUNCTION("""COMPUTED_VALUE"""),"บิ๊กซี MINI")</f>
        <v>บิ๊กซี MINI</v>
      </c>
      <c r="F913" s="1" t="str">
        <f>IFERROR(__xludf.DUMMYFUNCTION("""COMPUTED_VALUE"""),"291105")</f>
        <v>291105</v>
      </c>
      <c r="G913" s="1" t="str">
        <f>IFERROR(__xludf.DUMMYFUNCTION("""COMPUTED_VALUE"""),"นายสราวุฒิ พณิชยกุล")</f>
        <v>นายสราวุฒิ พณิชยกุล</v>
      </c>
      <c r="H913" s="1" t="str">
        <f>IFERROR(__xludf.DUMMYFUNCTION("""COMPUTED_VALUE"""),"281315")</f>
        <v>281315</v>
      </c>
      <c r="I913" s="1" t="str">
        <f>IFERROR(__xludf.DUMMYFUNCTION("""COMPUTED_VALUE"""),"นายกิตติพงษ์ มั่นคง")</f>
        <v>นายกิตติพงษ์ มั่นคง</v>
      </c>
      <c r="J913" s="3">
        <f>IFERROR(__xludf.DUMMYFUNCTION("""COMPUTED_VALUE"""),15361.0)</f>
        <v>15361</v>
      </c>
      <c r="K913" s="3" t="str">
        <f>IFERROR(__xludf.DUMMYFUNCTION("""COMPUTED_VALUE"""),"นายสมบูรณ์ พรหมในเมือง")</f>
        <v>นายสมบูรณ์ พรหมในเมือง</v>
      </c>
      <c r="L913" s="1" t="str">
        <f>IFERROR(__xludf.DUMMYFUNCTION("""COMPUTED_VALUE"""),"04 K.Somboon P.")</f>
        <v>04 K.Somboon P.</v>
      </c>
      <c r="M913" s="1" t="str">
        <f>IFERROR(__xludf.DUMMYFUNCTION("""COMPUTED_VALUE"""),"087-965-3051")</f>
        <v>087-965-3051</v>
      </c>
      <c r="N913" s="3">
        <f>IFERROR(__xludf.DUMMYFUNCTION("""COMPUTED_VALUE"""),21869.0)</f>
        <v>21869</v>
      </c>
      <c r="O913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913" s="4">
        <f>IFERROR(__xludf.DUMMYFUNCTION("""COMPUTED_VALUE"""),43398.0)</f>
        <v>43398</v>
      </c>
      <c r="Q913" s="3" t="str">
        <f>IFERROR(__xludf.DUMMYFUNCTION("""COMPUTED_VALUE"""),"A")</f>
        <v>A</v>
      </c>
      <c r="R913" s="3" t="str">
        <f>IFERROR(__xludf.DUMMYFUNCTION("""COMPUTED_VALUE"""),"Small Format")</f>
        <v>Small Format</v>
      </c>
      <c r="S913" s="3" t="str">
        <f>IFERROR(__xludf.DUMMYFUNCTION("""COMPUTED_VALUE"""),"BCM")</f>
        <v>BCM</v>
      </c>
      <c r="T913" s="3" t="str">
        <f>IFERROR(__xludf.DUMMYFUNCTION("""COMPUTED_VALUE"""),"#N/A")</f>
        <v>#N/A</v>
      </c>
      <c r="U913" s="3" t="str">
        <f>IFERROR(__xludf.DUMMYFUNCTION("""COMPUTED_VALUE"""),"#N/A")</f>
        <v>#N/A</v>
      </c>
      <c r="V913" s="3" t="str">
        <f>IFERROR(__xludf.DUMMYFUNCTION("""COMPUTED_VALUE"""),"N")</f>
        <v>N</v>
      </c>
      <c r="W913" s="3">
        <f>IFERROR(__xludf.DUMMYFUNCTION("""COMPUTED_VALUE"""),211690.0)</f>
        <v>211690</v>
      </c>
      <c r="X913" s="3" t="str">
        <f>IFERROR(__xludf.DUMMYFUNCTION("""COMPUTED_VALUE"""),"183/17,183/18,183/19 ถนนมหาราช ตำบลในเมือง อำเภอเมืองนครราชสีมา จังหวัดนครราชสีมา 30000")</f>
        <v>183/17,183/18,183/19 ถนนมหาราช ตำบลในเมือง อำเภอเมืองนครราชสีมา จังหวัดนครราชสีมา 30000</v>
      </c>
      <c r="Y913" s="3" t="str">
        <f>IFERROR(__xludf.DUMMYFUNCTION("""COMPUTED_VALUE"""),"ถนนมหาราช")</f>
        <v>ถนนมหาราช</v>
      </c>
      <c r="Z913" s="3" t="str">
        <f>IFERROR(__xludf.DUMMYFUNCTION("""COMPUTED_VALUE"""),"ในเมือง")</f>
        <v>ในเมือง</v>
      </c>
      <c r="AA913" s="3" t="str">
        <f>IFERROR(__xludf.DUMMYFUNCTION("""COMPUTED_VALUE"""),"เมือง")</f>
        <v>เมือง</v>
      </c>
      <c r="AB913" s="3" t="str">
        <f>IFERROR(__xludf.DUMMYFUNCTION("""COMPUTED_VALUE"""),"นครราชสีมา")</f>
        <v>นครราชสีมา</v>
      </c>
      <c r="AC913" s="3">
        <f>IFERROR(__xludf.DUMMYFUNCTION("""COMPUTED_VALUE"""),30000.0)</f>
        <v>30000</v>
      </c>
      <c r="AD913" s="3">
        <f>IFERROR(__xludf.DUMMYFUNCTION("""COMPUTED_VALUE"""),14.9863518)</f>
        <v>14.9863518</v>
      </c>
      <c r="AE913" s="3">
        <f>IFERROR(__xludf.DUMMYFUNCTION("""COMPUTED_VALUE"""),102.0977749)</f>
        <v>102.0977749</v>
      </c>
      <c r="AF913" s="3" t="str">
        <f>IFERROR(__xludf.DUMMYFUNCTION("""COMPUTED_VALUE"""),"MBC ถนนมหาราช-21682")</f>
        <v>MBC ถนนมหาราช-21682</v>
      </c>
      <c r="AG913" s="3" t="str">
        <f>IFERROR(__xludf.DUMMYFUNCTION("""COMPUTED_VALUE"""),"ตะวันออกเฉียงเหนือ")</f>
        <v>ตะวันออกเฉียงเหนือ</v>
      </c>
      <c r="AH913" s="3" t="str">
        <f>IFERROR(__xludf.DUMMYFUNCTION("""COMPUTED_VALUE"""),"#N/A")</f>
        <v>#N/A</v>
      </c>
      <c r="AI913" s="3" t="str">
        <f>IFERROR(__xludf.DUMMYFUNCTION("""COMPUTED_VALUE"""),"Out of warranty")</f>
        <v>Out of warranty</v>
      </c>
      <c r="AJ913" s="3">
        <f>IFERROR(__xludf.DUMMYFUNCTION("""COMPUTED_VALUE"""),87.0)</f>
        <v>87</v>
      </c>
      <c r="AK913" s="3" t="str">
        <f>IFERROR(__xludf.DUMMYFUNCTION("""COMPUTED_VALUE"""),"MMS11")</f>
        <v>MMS11</v>
      </c>
      <c r="AL913" s="3"/>
    </row>
    <row r="914" ht="15.75" customHeight="1">
      <c r="A914" s="1" t="str">
        <f>IFERROR(__xludf.DUMMYFUNCTION("""COMPUTED_VALUE"""),"21683")</f>
        <v>21683</v>
      </c>
      <c r="B914" s="2">
        <f>IFERROR(__xludf.DUMMYFUNCTION("""COMPUTED_VALUE"""),21683.0)</f>
        <v>21683</v>
      </c>
      <c r="C914" s="3" t="str">
        <f>IFERROR(__xludf.DUMMYFUNCTION("""COMPUTED_VALUE"""),"MBC บ้านประโดก")</f>
        <v>MBC บ้านประโดก</v>
      </c>
      <c r="D914" s="3" t="str">
        <f>IFERROR(__xludf.DUMMYFUNCTION("""COMPUTED_VALUE"""),"MBC BAAN PRADOK")</f>
        <v>MBC BAAN PRADOK</v>
      </c>
      <c r="E914" s="1" t="str">
        <f>IFERROR(__xludf.DUMMYFUNCTION("""COMPUTED_VALUE"""),"บิ๊กซี MINI")</f>
        <v>บิ๊กซี MINI</v>
      </c>
      <c r="F914" s="1" t="str">
        <f>IFERROR(__xludf.DUMMYFUNCTION("""COMPUTED_VALUE"""),"291100")</f>
        <v>291100</v>
      </c>
      <c r="G914" s="1" t="str">
        <f>IFERROR(__xludf.DUMMYFUNCTION("""COMPUTED_VALUE"""),"น.ส.จารุณี ฮวบอินทร์")</f>
        <v>น.ส.จารุณี ฮวบอินทร์</v>
      </c>
      <c r="H914" s="1" t="str">
        <f>IFERROR(__xludf.DUMMYFUNCTION("""COMPUTED_VALUE"""),"180347")</f>
        <v>180347</v>
      </c>
      <c r="I914" s="1" t="str">
        <f>IFERROR(__xludf.DUMMYFUNCTION("""COMPUTED_VALUE"""),"นายณัฐพงษ์ สุตะวงค์")</f>
        <v>นายณัฐพงษ์ สุตะวงค์</v>
      </c>
      <c r="J914" s="3">
        <f>IFERROR(__xludf.DUMMYFUNCTION("""COMPUTED_VALUE"""),295886.0)</f>
        <v>295886</v>
      </c>
      <c r="K914" s="3" t="str">
        <f>IFERROR(__xludf.DUMMYFUNCTION("""COMPUTED_VALUE"""),"นายจิระพงษ์ โพธิ์นิล")</f>
        <v>นายจิระพงษ์ โพธิ์นิล</v>
      </c>
      <c r="L914" s="1" t="str">
        <f>IFERROR(__xludf.DUMMYFUNCTION("""COMPUTED_VALUE"""),"นายจิระพงษ์ โพธิ์นิล")</f>
        <v>นายจิระพงษ์ โพธิ์นิล</v>
      </c>
      <c r="M914" s="1" t="str">
        <f>IFERROR(__xludf.DUMMYFUNCTION("""COMPUTED_VALUE"""),"0933290754")</f>
        <v>0933290754</v>
      </c>
      <c r="N914" s="3">
        <f>IFERROR(__xludf.DUMMYFUNCTION("""COMPUTED_VALUE"""),21465.0)</f>
        <v>21465</v>
      </c>
      <c r="O914" s="3" t="str">
        <f>IFERROR(__xludf.DUMMYFUNCTION("""COMPUTED_VALUE"""),"MBC สถานีตำรวจอุดร")</f>
        <v>MBC สถานีตำรวจอุดร</v>
      </c>
      <c r="P914" s="4">
        <f>IFERROR(__xludf.DUMMYFUNCTION("""COMPUTED_VALUE"""),42852.0)</f>
        <v>42852</v>
      </c>
      <c r="Q914" s="3" t="str">
        <f>IFERROR(__xludf.DUMMYFUNCTION("""COMPUTED_VALUE"""),"I")</f>
        <v>I</v>
      </c>
      <c r="R914" s="3" t="str">
        <f>IFERROR(__xludf.DUMMYFUNCTION("""COMPUTED_VALUE"""),"Small Format")</f>
        <v>Small Format</v>
      </c>
      <c r="S914" s="3" t="str">
        <f>IFERROR(__xludf.DUMMYFUNCTION("""COMPUTED_VALUE"""),"BCM")</f>
        <v>BCM</v>
      </c>
      <c r="T914" s="3" t="str">
        <f>IFERROR(__xludf.DUMMYFUNCTION("""COMPUTED_VALUE"""),"#N/A")</f>
        <v>#N/A</v>
      </c>
      <c r="U914" s="3" t="str">
        <f>IFERROR(__xludf.DUMMYFUNCTION("""COMPUTED_VALUE"""),"#N/A")</f>
        <v>#N/A</v>
      </c>
      <c r="V914" s="3" t="str">
        <f>IFERROR(__xludf.DUMMYFUNCTION("""COMPUTED_VALUE"""),"N")</f>
        <v>N</v>
      </c>
      <c r="W914" s="3">
        <f>IFERROR(__xludf.DUMMYFUNCTION("""COMPUTED_VALUE"""),0.0)</f>
        <v>0</v>
      </c>
      <c r="X914" s="3" t="str">
        <f>IFERROR(__xludf.DUMMYFUNCTION("""COMPUTED_VALUE"""),"487/5-6, 487/7 หมู่9 ตำบลหมื่นไวย อำเภอเมืองนครราชสีมา จังหวัดนครราชสีมา 30000")</f>
        <v>487/5-6, 487/7 หมู่9 ตำบลหมื่นไวย อำเภอเมืองนครราชสีมา จังหวัดนครราชสีมา 30000</v>
      </c>
      <c r="Y914" s="3"/>
      <c r="Z914" s="3" t="str">
        <f>IFERROR(__xludf.DUMMYFUNCTION("""COMPUTED_VALUE"""),"หมู่9")</f>
        <v>หมู่9</v>
      </c>
      <c r="AA914" s="3" t="str">
        <f>IFERROR(__xludf.DUMMYFUNCTION("""COMPUTED_VALUE"""),"เมือง")</f>
        <v>เมือง</v>
      </c>
      <c r="AB914" s="3" t="str">
        <f>IFERROR(__xludf.DUMMYFUNCTION("""COMPUTED_VALUE"""),"นครราชสีมา")</f>
        <v>นครราชสีมา</v>
      </c>
      <c r="AC914" s="3">
        <f>IFERROR(__xludf.DUMMYFUNCTION("""COMPUTED_VALUE"""),30000.0)</f>
        <v>30000</v>
      </c>
      <c r="AD914" s="3" t="str">
        <f>IFERROR(__xludf.DUMMYFUNCTION("""COMPUTED_VALUE"""),"#N/A")</f>
        <v>#N/A</v>
      </c>
      <c r="AE914" s="3" t="str">
        <f>IFERROR(__xludf.DUMMYFUNCTION("""COMPUTED_VALUE"""),"#N/A")</f>
        <v>#N/A</v>
      </c>
      <c r="AF914" s="3" t="str">
        <f>IFERROR(__xludf.DUMMYFUNCTION("""COMPUTED_VALUE"""),"MBC บ้านประโดก-21683")</f>
        <v>MBC บ้านประโดก-21683</v>
      </c>
      <c r="AG914" s="3" t="str">
        <f>IFERROR(__xludf.DUMMYFUNCTION("""COMPUTED_VALUE"""),"ตะวันออกเฉียงเหนือ")</f>
        <v>ตะวันออกเฉียงเหนือ</v>
      </c>
      <c r="AH914" s="3" t="str">
        <f>IFERROR(__xludf.DUMMYFUNCTION("""COMPUTED_VALUE"""),"#N/A")</f>
        <v>#N/A</v>
      </c>
      <c r="AI914" s="3" t="str">
        <f>IFERROR(__xludf.DUMMYFUNCTION("""COMPUTED_VALUE"""),"Out of warranty")</f>
        <v>Out of warranty</v>
      </c>
      <c r="AJ914" s="3">
        <f>IFERROR(__xludf.DUMMYFUNCTION("""COMPUTED_VALUE"""),105.0)</f>
        <v>105</v>
      </c>
      <c r="AK914" s="3"/>
      <c r="AL914" s="3"/>
    </row>
    <row r="915" ht="15.75" customHeight="1">
      <c r="A915" s="1" t="str">
        <f>IFERROR(__xludf.DUMMYFUNCTION("""COMPUTED_VALUE"""),"21684")</f>
        <v>21684</v>
      </c>
      <c r="B915" s="2">
        <f>IFERROR(__xludf.DUMMYFUNCTION("""COMPUTED_VALUE"""),21684.0)</f>
        <v>21684</v>
      </c>
      <c r="C915" s="3" t="str">
        <f>IFERROR(__xludf.DUMMYFUNCTION("""COMPUTED_VALUE"""),"MBC ปากช่อง 20")</f>
        <v>MBC ปากช่อง 20</v>
      </c>
      <c r="D915" s="3" t="str">
        <f>IFERROR(__xludf.DUMMYFUNCTION("""COMPUTED_VALUE"""),"BCM PAKCHONG 20")</f>
        <v>BCM PAKCHONG 20</v>
      </c>
      <c r="E915" s="1" t="str">
        <f>IFERROR(__xludf.DUMMYFUNCTION("""COMPUTED_VALUE"""),"บิ๊กซี MINI")</f>
        <v>บิ๊กซี MINI</v>
      </c>
      <c r="F915" s="1" t="str">
        <f>IFERROR(__xludf.DUMMYFUNCTION("""COMPUTED_VALUE"""),"291105")</f>
        <v>291105</v>
      </c>
      <c r="G915" s="1" t="str">
        <f>IFERROR(__xludf.DUMMYFUNCTION("""COMPUTED_VALUE"""),"นายสราวุฒิ พณิชยกุล")</f>
        <v>นายสราวุฒิ พณิชยกุล</v>
      </c>
      <c r="H915" s="1" t="str">
        <f>IFERROR(__xludf.DUMMYFUNCTION("""COMPUTED_VALUE"""),"281315")</f>
        <v>281315</v>
      </c>
      <c r="I915" s="1" t="str">
        <f>IFERROR(__xludf.DUMMYFUNCTION("""COMPUTED_VALUE"""),"นายกิตติพงษ์ มั่นคง")</f>
        <v>นายกิตติพงษ์ มั่นคง</v>
      </c>
      <c r="J915" s="3">
        <f>IFERROR(__xludf.DUMMYFUNCTION("""COMPUTED_VALUE"""),15361.0)</f>
        <v>15361</v>
      </c>
      <c r="K915" s="3" t="str">
        <f>IFERROR(__xludf.DUMMYFUNCTION("""COMPUTED_VALUE"""),"นายสมบูรณ์ พรหมในเมือง")</f>
        <v>นายสมบูรณ์ พรหมในเมือง</v>
      </c>
      <c r="L915" s="1" t="str">
        <f>IFERROR(__xludf.DUMMYFUNCTION("""COMPUTED_VALUE"""),"04 K.Somboon P.")</f>
        <v>04 K.Somboon P.</v>
      </c>
      <c r="M915" s="1" t="str">
        <f>IFERROR(__xludf.DUMMYFUNCTION("""COMPUTED_VALUE"""),"087-965-3051")</f>
        <v>087-965-3051</v>
      </c>
      <c r="N915" s="3">
        <f>IFERROR(__xludf.DUMMYFUNCTION("""COMPUTED_VALUE"""),21869.0)</f>
        <v>21869</v>
      </c>
      <c r="O915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915" s="4">
        <f>IFERROR(__xludf.DUMMYFUNCTION("""COMPUTED_VALUE"""),43398.0)</f>
        <v>43398</v>
      </c>
      <c r="Q915" s="3" t="str">
        <f>IFERROR(__xludf.DUMMYFUNCTION("""COMPUTED_VALUE"""),"A")</f>
        <v>A</v>
      </c>
      <c r="R915" s="3" t="str">
        <f>IFERROR(__xludf.DUMMYFUNCTION("""COMPUTED_VALUE"""),"Small Format")</f>
        <v>Small Format</v>
      </c>
      <c r="S915" s="3" t="str">
        <f>IFERROR(__xludf.DUMMYFUNCTION("""COMPUTED_VALUE"""),"BCM")</f>
        <v>BCM</v>
      </c>
      <c r="T915" s="3" t="str">
        <f>IFERROR(__xludf.DUMMYFUNCTION("""COMPUTED_VALUE"""),"#N/A")</f>
        <v>#N/A</v>
      </c>
      <c r="U915" s="3" t="str">
        <f>IFERROR(__xludf.DUMMYFUNCTION("""COMPUTED_VALUE"""),"#N/A")</f>
        <v>#N/A</v>
      </c>
      <c r="V915" s="3" t="str">
        <f>IFERROR(__xludf.DUMMYFUNCTION("""COMPUTED_VALUE"""),"N")</f>
        <v>N</v>
      </c>
      <c r="W915" s="3">
        <f>IFERROR(__xludf.DUMMYFUNCTION("""COMPUTED_VALUE"""),211692.0)</f>
        <v>211692</v>
      </c>
      <c r="X915" s="3" t="str">
        <f>IFERROR(__xludf.DUMMYFUNCTION("""COMPUTED_VALUE"""),"736 ถนนมิตรภาพ ตำบลปากช่อง อำเภอปากช่อง จังหวัดนครราชสีมา 30130")</f>
        <v>736 ถนนมิตรภาพ ตำบลปากช่อง อำเภอปากช่อง จังหวัดนครราชสีมา 30130</v>
      </c>
      <c r="Y915" s="3" t="str">
        <f>IFERROR(__xludf.DUMMYFUNCTION("""COMPUTED_VALUE"""),"ถนนมิตรภาพ")</f>
        <v>ถนนมิตรภาพ</v>
      </c>
      <c r="Z915" s="3" t="str">
        <f>IFERROR(__xludf.DUMMYFUNCTION("""COMPUTED_VALUE"""),"ปากช่อง")</f>
        <v>ปากช่อง</v>
      </c>
      <c r="AA915" s="3" t="str">
        <f>IFERROR(__xludf.DUMMYFUNCTION("""COMPUTED_VALUE"""),"ปากช่อง")</f>
        <v>ปากช่อง</v>
      </c>
      <c r="AB915" s="3" t="str">
        <f>IFERROR(__xludf.DUMMYFUNCTION("""COMPUTED_VALUE"""),"นครราชสีมา")</f>
        <v>นครราชสีมา</v>
      </c>
      <c r="AC915" s="3">
        <f>IFERROR(__xludf.DUMMYFUNCTION("""COMPUTED_VALUE"""),30130.0)</f>
        <v>30130</v>
      </c>
      <c r="AD915" s="3">
        <f>IFERROR(__xludf.DUMMYFUNCTION("""COMPUTED_VALUE"""),14.7074266)</f>
        <v>14.7074266</v>
      </c>
      <c r="AE915" s="3">
        <f>IFERROR(__xludf.DUMMYFUNCTION("""COMPUTED_VALUE"""),101.4178348)</f>
        <v>101.4178348</v>
      </c>
      <c r="AF915" s="3" t="str">
        <f>IFERROR(__xludf.DUMMYFUNCTION("""COMPUTED_VALUE"""),"MBC ปากช่อง 20-21684")</f>
        <v>MBC ปากช่อง 20-21684</v>
      </c>
      <c r="AG915" s="3" t="str">
        <f>IFERROR(__xludf.DUMMYFUNCTION("""COMPUTED_VALUE"""),"ตะวันออกเฉียงเหนือ")</f>
        <v>ตะวันออกเฉียงเหนือ</v>
      </c>
      <c r="AH915" s="3" t="str">
        <f>IFERROR(__xludf.DUMMYFUNCTION("""COMPUTED_VALUE"""),"#N/A")</f>
        <v>#N/A</v>
      </c>
      <c r="AI915" s="3" t="str">
        <f>IFERROR(__xludf.DUMMYFUNCTION("""COMPUTED_VALUE"""),"Out of warranty")</f>
        <v>Out of warranty</v>
      </c>
      <c r="AJ915" s="3">
        <f>IFERROR(__xludf.DUMMYFUNCTION("""COMPUTED_VALUE"""),87.0)</f>
        <v>87</v>
      </c>
      <c r="AK915" s="3" t="str">
        <f>IFERROR(__xludf.DUMMYFUNCTION("""COMPUTED_VALUE"""),"MMS11")</f>
        <v>MMS11</v>
      </c>
      <c r="AL915" s="3"/>
    </row>
    <row r="916" ht="15.75" customHeight="1">
      <c r="A916" s="1" t="str">
        <f>IFERROR(__xludf.DUMMYFUNCTION("""COMPUTED_VALUE"""),"21685")</f>
        <v>21685</v>
      </c>
      <c r="B916" s="2">
        <f>IFERROR(__xludf.DUMMYFUNCTION("""COMPUTED_VALUE"""),21685.0)</f>
        <v>21685</v>
      </c>
      <c r="C916" s="3" t="str">
        <f>IFERROR(__xludf.DUMMYFUNCTION("""COMPUTED_VALUE"""),"MBC เทียนทะเล ซอย 7")</f>
        <v>MBC เทียนทะเล ซอย 7</v>
      </c>
      <c r="D916" s="3" t="str">
        <f>IFERROR(__xludf.DUMMYFUNCTION("""COMPUTED_VALUE"""),"MBC THIENTALAY SOI7")</f>
        <v>MBC THIENTALAY SOI7</v>
      </c>
      <c r="E916" s="1" t="str">
        <f>IFERROR(__xludf.DUMMYFUNCTION("""COMPUTED_VALUE"""),"บิ๊กซี MINI")</f>
        <v>บิ๊กซี MINI</v>
      </c>
      <c r="F916" s="1" t="str">
        <f>IFERROR(__xludf.DUMMYFUNCTION("""COMPUTED_VALUE"""),"291008")</f>
        <v>291008</v>
      </c>
      <c r="G916" s="1" t="str">
        <f>IFERROR(__xludf.DUMMYFUNCTION("""COMPUTED_VALUE"""),"น.ส.รัชดาพร อีศรัตน์")</f>
        <v>น.ส.รัชดาพร อีศรัตน์</v>
      </c>
      <c r="H916" s="1" t="str">
        <f>IFERROR(__xludf.DUMMYFUNCTION("""COMPUTED_VALUE"""),"034068")</f>
        <v>034068</v>
      </c>
      <c r="I916" s="1" t="str">
        <f>IFERROR(__xludf.DUMMYFUNCTION("""COMPUTED_VALUE"""),"นายสมศักดิ์ ฐานทองดี")</f>
        <v>นายสมศักดิ์ ฐานทองดี</v>
      </c>
      <c r="J916" s="3">
        <f>IFERROR(__xludf.DUMMYFUNCTION("""COMPUTED_VALUE"""),3510104.0)</f>
        <v>3510104</v>
      </c>
      <c r="K916" s="3" t="str">
        <f>IFERROR(__xludf.DUMMYFUNCTION("""COMPUTED_VALUE"""),"นายวิโรจน์ อับดุลสมัด")</f>
        <v>นายวิโรจน์ อับดุลสมัด</v>
      </c>
      <c r="L916" s="1" t="str">
        <f>IFERROR(__xludf.DUMMYFUNCTION("""COMPUTED_VALUE"""),"09 K.Wirode A")</f>
        <v>09 K.Wirode A</v>
      </c>
      <c r="M916" s="1" t="str">
        <f>IFERROR(__xludf.DUMMYFUNCTION("""COMPUTED_VALUE"""),"080-235-4465")</f>
        <v>080-235-4465</v>
      </c>
      <c r="N916" s="3">
        <f>IFERROR(__xludf.DUMMYFUNCTION("""COMPUTED_VALUE"""),21324.0)</f>
        <v>21324</v>
      </c>
      <c r="O916" s="3" t="str">
        <f>IFERROR(__xludf.DUMMYFUNCTION("""COMPUTED_VALUE"""),"MBC BCP สุวินทวงศ์")</f>
        <v>MBC BCP สุวินทวงศ์</v>
      </c>
      <c r="P916" s="4">
        <f>IFERROR(__xludf.DUMMYFUNCTION("""COMPUTED_VALUE"""),42728.0)</f>
        <v>42728</v>
      </c>
      <c r="Q916" s="3" t="str">
        <f>IFERROR(__xludf.DUMMYFUNCTION("""COMPUTED_VALUE"""),"I")</f>
        <v>I</v>
      </c>
      <c r="R916" s="3" t="str">
        <f>IFERROR(__xludf.DUMMYFUNCTION("""COMPUTED_VALUE"""),"Small Format")</f>
        <v>Small Format</v>
      </c>
      <c r="S916" s="3" t="str">
        <f>IFERROR(__xludf.DUMMYFUNCTION("""COMPUTED_VALUE"""),"BCM")</f>
        <v>BCM</v>
      </c>
      <c r="T916" s="3" t="str">
        <f>IFERROR(__xludf.DUMMYFUNCTION("""COMPUTED_VALUE"""),"#N/A")</f>
        <v>#N/A</v>
      </c>
      <c r="U916" s="3" t="str">
        <f>IFERROR(__xludf.DUMMYFUNCTION("""COMPUTED_VALUE"""),"#N/A")</f>
        <v>#N/A</v>
      </c>
      <c r="V916" s="3" t="str">
        <f>IFERROR(__xludf.DUMMYFUNCTION("""COMPUTED_VALUE"""),"N")</f>
        <v>N</v>
      </c>
      <c r="W916" s="3">
        <f>IFERROR(__xludf.DUMMYFUNCTION("""COMPUTED_VALUE"""),0.0)</f>
        <v>0</v>
      </c>
      <c r="X916" s="3" t="str">
        <f>IFERROR(__xludf.DUMMYFUNCTION("""COMPUTED_VALUE"""),"23/5 ซอยเทียนทะเล7 ถนนบางขุนเทียน-ชายทะเล แขวงแสมดำ เขตบางขุนเทียน กรุงเทพมหานคร 10150")</f>
        <v>23/5 ซอยเทียนทะเล7 ถนนบางขุนเทียน-ชายทะเล แขวงแสมดำ เขตบางขุนเทียน กรุงเทพมหานคร 10150</v>
      </c>
      <c r="Y916" s="3" t="str">
        <f>IFERROR(__xludf.DUMMYFUNCTION("""COMPUTED_VALUE"""),"ซอยเทียนทะเล7")</f>
        <v>ซอยเทียนทะเล7</v>
      </c>
      <c r="Z916" s="3" t="str">
        <f>IFERROR(__xludf.DUMMYFUNCTION("""COMPUTED_VALUE"""),"แสมดำ")</f>
        <v>แสมดำ</v>
      </c>
      <c r="AA916" s="3" t="str">
        <f>IFERROR(__xludf.DUMMYFUNCTION("""COMPUTED_VALUE"""),"แขวงแสมดำ")</f>
        <v>แขวงแสมดำ</v>
      </c>
      <c r="AB916" s="3" t="str">
        <f>IFERROR(__xludf.DUMMYFUNCTION("""COMPUTED_VALUE"""),"กรุงเทพมหานคร")</f>
        <v>กรุงเทพมหานคร</v>
      </c>
      <c r="AC916" s="3">
        <f>IFERROR(__xludf.DUMMYFUNCTION("""COMPUTED_VALUE"""),10150.0)</f>
        <v>10150</v>
      </c>
      <c r="AD916" s="3" t="str">
        <f>IFERROR(__xludf.DUMMYFUNCTION("""COMPUTED_VALUE"""),"#N/A")</f>
        <v>#N/A</v>
      </c>
      <c r="AE916" s="3" t="str">
        <f>IFERROR(__xludf.DUMMYFUNCTION("""COMPUTED_VALUE"""),"#N/A")</f>
        <v>#N/A</v>
      </c>
      <c r="AF916" s="3" t="str">
        <f>IFERROR(__xludf.DUMMYFUNCTION("""COMPUTED_VALUE"""),"MBC เทียนทะเล ซอย 7-21685")</f>
        <v>MBC เทียนทะเล ซอย 7-21685</v>
      </c>
      <c r="AG916" s="3" t="str">
        <f>IFERROR(__xludf.DUMMYFUNCTION("""COMPUTED_VALUE"""),"กลาง")</f>
        <v>กลาง</v>
      </c>
      <c r="AH916" s="3" t="str">
        <f>IFERROR(__xludf.DUMMYFUNCTION("""COMPUTED_VALUE"""),"#N/A")</f>
        <v>#N/A</v>
      </c>
      <c r="AI916" s="3" t="str">
        <f>IFERROR(__xludf.DUMMYFUNCTION("""COMPUTED_VALUE"""),"Out of warranty")</f>
        <v>Out of warranty</v>
      </c>
      <c r="AJ916" s="3">
        <f>IFERROR(__xludf.DUMMYFUNCTION("""COMPUTED_VALUE"""),109.0)</f>
        <v>109</v>
      </c>
      <c r="AK916" s="3"/>
      <c r="AL916" s="3"/>
    </row>
    <row r="917" ht="15.75" customHeight="1">
      <c r="A917" s="1" t="str">
        <f>IFERROR(__xludf.DUMMYFUNCTION("""COMPUTED_VALUE"""),"21686")</f>
        <v>21686</v>
      </c>
      <c r="B917" s="2">
        <f>IFERROR(__xludf.DUMMYFUNCTION("""COMPUTED_VALUE"""),21686.0)</f>
        <v>21686</v>
      </c>
      <c r="C917" s="3" t="str">
        <f>IFERROR(__xludf.DUMMYFUNCTION("""COMPUTED_VALUE"""),"MBC ลาดกระบัง ซอย 14/1")</f>
        <v>MBC ลาดกระบัง ซอย 14/1</v>
      </c>
      <c r="D917" s="3" t="str">
        <f>IFERROR(__xludf.DUMMYFUNCTION("""COMPUTED_VALUE"""),"BCM LADKRABANG SOI 14/1")</f>
        <v>BCM LADKRABANG SOI 14/1</v>
      </c>
      <c r="E917" s="1" t="str">
        <f>IFERROR(__xludf.DUMMYFUNCTION("""COMPUTED_VALUE"""),"บิ๊กซี MINI")</f>
        <v>บิ๊กซี MINI</v>
      </c>
      <c r="F917" s="1" t="str">
        <f>IFERROR(__xludf.DUMMYFUNCTION("""COMPUTED_VALUE"""),"2083447")</f>
        <v>2083447</v>
      </c>
      <c r="G917" s="1" t="str">
        <f>IFERROR(__xludf.DUMMYFUNCTION("""COMPUTED_VALUE"""),"นายอนุกูล ศรีลัดดา")</f>
        <v>นายอนุกูล ศรีลัดดา</v>
      </c>
      <c r="H917" s="1" t="str">
        <f>IFERROR(__xludf.DUMMYFUNCTION("""COMPUTED_VALUE"""),"284752")</f>
        <v>284752</v>
      </c>
      <c r="I917" s="1" t="str">
        <f>IFERROR(__xludf.DUMMYFUNCTION("""COMPUTED_VALUE"""),"น.ส.วีรนันท์ แสงใส")</f>
        <v>น.ส.วีรนันท์ แสงใส</v>
      </c>
      <c r="J917" s="3">
        <f>IFERROR(__xludf.DUMMYFUNCTION("""COMPUTED_VALUE"""),2451655.0)</f>
        <v>2451655</v>
      </c>
      <c r="K917" s="3" t="str">
        <f>IFERROR(__xludf.DUMMYFUNCTION("""COMPUTED_VALUE"""),"นายวิษณุพงษ์ ชินบุตร")</f>
        <v>นายวิษณุพงษ์ ชินบุตร</v>
      </c>
      <c r="L917" s="1" t="str">
        <f>IFERROR(__xludf.DUMMYFUNCTION("""COMPUTED_VALUE"""),"13 K.Wisanupong Ch")</f>
        <v>13 K.Wisanupong Ch</v>
      </c>
      <c r="M917" s="1" t="str">
        <f>IFERROR(__xludf.DUMMYFUNCTION("""COMPUTED_VALUE"""),"0843374693")</f>
        <v>0843374693</v>
      </c>
      <c r="N917" s="3">
        <f>IFERROR(__xludf.DUMMYFUNCTION("""COMPUTED_VALUE"""),22729.0)</f>
        <v>22729</v>
      </c>
      <c r="O917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917" s="4">
        <f>IFERROR(__xludf.DUMMYFUNCTION("""COMPUTED_VALUE"""),43406.0)</f>
        <v>43406</v>
      </c>
      <c r="Q917" s="3" t="str">
        <f>IFERROR(__xludf.DUMMYFUNCTION("""COMPUTED_VALUE"""),"A")</f>
        <v>A</v>
      </c>
      <c r="R917" s="3" t="str">
        <f>IFERROR(__xludf.DUMMYFUNCTION("""COMPUTED_VALUE"""),"Small Format")</f>
        <v>Small Format</v>
      </c>
      <c r="S917" s="3" t="str">
        <f>IFERROR(__xludf.DUMMYFUNCTION("""COMPUTED_VALUE"""),"BCM")</f>
        <v>BCM</v>
      </c>
      <c r="T917" s="3" t="str">
        <f>IFERROR(__xludf.DUMMYFUNCTION("""COMPUTED_VALUE"""),"#N/A")</f>
        <v>#N/A</v>
      </c>
      <c r="U917" s="3" t="str">
        <f>IFERROR(__xludf.DUMMYFUNCTION("""COMPUTED_VALUE"""),"#N/A")</f>
        <v>#N/A</v>
      </c>
      <c r="V917" s="3" t="str">
        <f>IFERROR(__xludf.DUMMYFUNCTION("""COMPUTED_VALUE"""),"N")</f>
        <v>N</v>
      </c>
      <c r="W917" s="3">
        <f>IFERROR(__xludf.DUMMYFUNCTION("""COMPUTED_VALUE"""),211607.0)</f>
        <v>211607</v>
      </c>
      <c r="X917" s="3" t="str">
        <f>IFERROR(__xludf.DUMMYFUNCTION("""COMPUTED_VALUE"""),"42/8 หมู่8 ตำบลราชาเทวะ อำเภอบางพลี จังหวัดสมุทรปราการ 10540")</f>
        <v>42/8 หมู่8 ตำบลราชาเทวะ อำเภอบางพลี จังหวัดสมุทรปราการ 10540</v>
      </c>
      <c r="Y917" s="3"/>
      <c r="Z917" s="3" t="str">
        <f>IFERROR(__xludf.DUMMYFUNCTION("""COMPUTED_VALUE"""),"ราชาเทวะ")</f>
        <v>ราชาเทวะ</v>
      </c>
      <c r="AA917" s="3" t="str">
        <f>IFERROR(__xludf.DUMMYFUNCTION("""COMPUTED_VALUE"""),"บางพลี")</f>
        <v>บางพลี</v>
      </c>
      <c r="AB917" s="3" t="str">
        <f>IFERROR(__xludf.DUMMYFUNCTION("""COMPUTED_VALUE"""),"สมุทรปราการ")</f>
        <v>สมุทรปราการ</v>
      </c>
      <c r="AC917" s="3">
        <f>IFERROR(__xludf.DUMMYFUNCTION("""COMPUTED_VALUE"""),10540.0)</f>
        <v>10540</v>
      </c>
      <c r="AD917" s="3">
        <f>IFERROR(__xludf.DUMMYFUNCTION("""COMPUTED_VALUE"""),13.715212)</f>
        <v>13.715212</v>
      </c>
      <c r="AE917" s="3">
        <f>IFERROR(__xludf.DUMMYFUNCTION("""COMPUTED_VALUE"""),100.71624)</f>
        <v>100.71624</v>
      </c>
      <c r="AF917" s="3" t="str">
        <f>IFERROR(__xludf.DUMMYFUNCTION("""COMPUTED_VALUE"""),"MBC ลาดกระบัง ซอย 14/1-21686")</f>
        <v>MBC ลาดกระบัง ซอย 14/1-21686</v>
      </c>
      <c r="AG917" s="3" t="str">
        <f>IFERROR(__xludf.DUMMYFUNCTION("""COMPUTED_VALUE"""),"กลาง")</f>
        <v>กลาง</v>
      </c>
      <c r="AH917" s="3" t="str">
        <f>IFERROR(__xludf.DUMMYFUNCTION("""COMPUTED_VALUE"""),"#N/A")</f>
        <v>#N/A</v>
      </c>
      <c r="AI917" s="3" t="str">
        <f>IFERROR(__xludf.DUMMYFUNCTION("""COMPUTED_VALUE"""),"Out of warranty")</f>
        <v>Out of warranty</v>
      </c>
      <c r="AJ917" s="3">
        <f>IFERROR(__xludf.DUMMYFUNCTION("""COMPUTED_VALUE"""),87.0)</f>
        <v>87</v>
      </c>
      <c r="AK917" s="3" t="str">
        <f>IFERROR(__xludf.DUMMYFUNCTION("""COMPUTED_VALUE"""),"MMS03")</f>
        <v>MMS03</v>
      </c>
      <c r="AL917" s="3"/>
    </row>
    <row r="918" ht="15.75" customHeight="1">
      <c r="A918" s="1" t="str">
        <f>IFERROR(__xludf.DUMMYFUNCTION("""COMPUTED_VALUE"""),"21687")</f>
        <v>21687</v>
      </c>
      <c r="B918" s="2">
        <f>IFERROR(__xludf.DUMMYFUNCTION("""COMPUTED_VALUE"""),21687.0)</f>
        <v>21687</v>
      </c>
      <c r="C918" s="3" t="str">
        <f>IFERROR(__xludf.DUMMYFUNCTION("""COMPUTED_VALUE"""),"MBC บ้านน้าโท้ง")</f>
        <v>MBC บ้านน้าโท้ง</v>
      </c>
      <c r="D918" s="3" t="str">
        <f>IFERROR(__xludf.DUMMYFUNCTION("""COMPUTED_VALUE"""),"BCM BAAN NAMTONG")</f>
        <v>BCM BAAN NAMTONG</v>
      </c>
      <c r="E918" s="1" t="str">
        <f>IFERROR(__xludf.DUMMYFUNCTION("""COMPUTED_VALUE"""),"บิ๊กซี MINI")</f>
        <v>บิ๊กซี MINI</v>
      </c>
      <c r="F918" s="1" t="str">
        <f>IFERROR(__xludf.DUMMYFUNCTION("""COMPUTED_VALUE"""),"296229")</f>
        <v>296229</v>
      </c>
      <c r="G918" s="1" t="str">
        <f>IFERROR(__xludf.DUMMYFUNCTION("""COMPUTED_VALUE"""),"นายทนงศักดิ์ บุญมา")</f>
        <v>นายทนงศักดิ์ บุญมา</v>
      </c>
      <c r="H918" s="1" t="str">
        <f>IFERROR(__xludf.DUMMYFUNCTION("""COMPUTED_VALUE"""),"372826")</f>
        <v>372826</v>
      </c>
      <c r="I918" s="1" t="str">
        <f>IFERROR(__xludf.DUMMYFUNCTION("""COMPUTED_VALUE"""),"นายพงศกร สุขแก้ว")</f>
        <v>นายพงศกร สุขแก้ว</v>
      </c>
      <c r="J918" s="3">
        <f>IFERROR(__xludf.DUMMYFUNCTION("""COMPUTED_VALUE"""),2010016.0)</f>
        <v>2010016</v>
      </c>
      <c r="K918" s="3" t="str">
        <f>IFERROR(__xludf.DUMMYFUNCTION("""COMPUTED_VALUE"""),"นายตวงธรรม ใหม่ยศ")</f>
        <v>นายตวงธรรม ใหม่ยศ</v>
      </c>
      <c r="L918" s="3" t="str">
        <f>IFERROR(__xludf.DUMMYFUNCTION("""COMPUTED_VALUE"""),"01 K.Tuangtham M.")</f>
        <v>01 K.Tuangtham M.</v>
      </c>
      <c r="M918" s="1" t="str">
        <f>IFERROR(__xludf.DUMMYFUNCTION("""COMPUTED_VALUE"""),"063-976-595")</f>
        <v>063-976-595</v>
      </c>
      <c r="N918" s="3">
        <f>IFERROR(__xludf.DUMMYFUNCTION("""COMPUTED_VALUE"""),22574.0)</f>
        <v>22574</v>
      </c>
      <c r="O918" s="3" t="str">
        <f>IFERROR(__xludf.DUMMYFUNCTION("""COMPUTED_VALUE"""),"BCM ชุมชนศรีชุม ลำปาง")</f>
        <v>BCM ชุมชนศรีชุม ลำปาง</v>
      </c>
      <c r="P918" s="4">
        <f>IFERROR(__xludf.DUMMYFUNCTION("""COMPUTED_VALUE"""),43407.0)</f>
        <v>43407</v>
      </c>
      <c r="Q918" s="3" t="str">
        <f>IFERROR(__xludf.DUMMYFUNCTION("""COMPUTED_VALUE"""),"A")</f>
        <v>A</v>
      </c>
      <c r="R918" s="3" t="str">
        <f>IFERROR(__xludf.DUMMYFUNCTION("""COMPUTED_VALUE"""),"Small Format")</f>
        <v>Small Format</v>
      </c>
      <c r="S918" s="3" t="str">
        <f>IFERROR(__xludf.DUMMYFUNCTION("""COMPUTED_VALUE"""),"BCM")</f>
        <v>BCM</v>
      </c>
      <c r="T918" s="3" t="str">
        <f>IFERROR(__xludf.DUMMYFUNCTION("""COMPUTED_VALUE"""),"#N/A")</f>
        <v>#N/A</v>
      </c>
      <c r="U918" s="3" t="str">
        <f>IFERROR(__xludf.DUMMYFUNCTION("""COMPUTED_VALUE"""),"#N/A")</f>
        <v>#N/A</v>
      </c>
      <c r="V918" s="3" t="str">
        <f>IFERROR(__xludf.DUMMYFUNCTION("""COMPUTED_VALUE"""),"N")</f>
        <v>N</v>
      </c>
      <c r="W918" s="3">
        <f>IFERROR(__xludf.DUMMYFUNCTION("""COMPUTED_VALUE"""),211617.0)</f>
        <v>211617</v>
      </c>
      <c r="X918" s="3" t="str">
        <f>IFERROR(__xludf.DUMMYFUNCTION("""COMPUTED_VALUE"""),"420/1-4 หมู่5 ตำบลบ่อแฮ้ว อำเภอเมืองลำปาง จังหวัดลำปาง 52100")</f>
        <v>420/1-4 หมู่5 ตำบลบ่อแฮ้ว อำเภอเมืองลำปาง จังหวัดลำปาง 52100</v>
      </c>
      <c r="Y918" s="3"/>
      <c r="Z918" s="3" t="str">
        <f>IFERROR(__xludf.DUMMYFUNCTION("""COMPUTED_VALUE"""),"บ่อแฮ้ว")</f>
        <v>บ่อแฮ้ว</v>
      </c>
      <c r="AA918" s="3" t="str">
        <f>IFERROR(__xludf.DUMMYFUNCTION("""COMPUTED_VALUE"""),"เมือง")</f>
        <v>เมือง</v>
      </c>
      <c r="AB918" s="3" t="str">
        <f>IFERROR(__xludf.DUMMYFUNCTION("""COMPUTED_VALUE"""),"ลำปาง")</f>
        <v>ลำปาง</v>
      </c>
      <c r="AC918" s="3">
        <f>IFERROR(__xludf.DUMMYFUNCTION("""COMPUTED_VALUE"""),52100.0)</f>
        <v>52100</v>
      </c>
      <c r="AD918" s="3">
        <f>IFERROR(__xludf.DUMMYFUNCTION("""COMPUTED_VALUE"""),18.308441)</f>
        <v>18.308441</v>
      </c>
      <c r="AE918" s="3">
        <f>IFERROR(__xludf.DUMMYFUNCTION("""COMPUTED_VALUE"""),99.467365)</f>
        <v>99.467365</v>
      </c>
      <c r="AF918" s="3" t="str">
        <f>IFERROR(__xludf.DUMMYFUNCTION("""COMPUTED_VALUE"""),"MBC บ้านน้าโท้ง-21687")</f>
        <v>MBC บ้านน้าโท้ง-21687</v>
      </c>
      <c r="AG918" s="3" t="str">
        <f>IFERROR(__xludf.DUMMYFUNCTION("""COMPUTED_VALUE"""),"เหนือ")</f>
        <v>เหนือ</v>
      </c>
      <c r="AH918" s="3" t="str">
        <f>IFERROR(__xludf.DUMMYFUNCTION("""COMPUTED_VALUE"""),"#N/A")</f>
        <v>#N/A</v>
      </c>
      <c r="AI918" s="3" t="str">
        <f>IFERROR(__xludf.DUMMYFUNCTION("""COMPUTED_VALUE"""),"Out of warranty")</f>
        <v>Out of warranty</v>
      </c>
      <c r="AJ918" s="3">
        <f>IFERROR(__xludf.DUMMYFUNCTION("""COMPUTED_VALUE"""),87.0)</f>
        <v>87</v>
      </c>
      <c r="AK918" s="3" t="str">
        <f>IFERROR(__xludf.DUMMYFUNCTION("""COMPUTED_VALUE"""),"MMS10")</f>
        <v>MMS10</v>
      </c>
      <c r="AL918" s="3"/>
    </row>
    <row r="919" ht="15.75" customHeight="1">
      <c r="A919" s="1" t="str">
        <f>IFERROR(__xludf.DUMMYFUNCTION("""COMPUTED_VALUE"""),"21688")</f>
        <v>21688</v>
      </c>
      <c r="B919" s="2">
        <f>IFERROR(__xludf.DUMMYFUNCTION("""COMPUTED_VALUE"""),21688.0)</f>
        <v>21688</v>
      </c>
      <c r="C919" s="3" t="str">
        <f>IFERROR(__xludf.DUMMYFUNCTION("""COMPUTED_VALUE"""),"MBC ตลาดหนองปรือ")</f>
        <v>MBC ตลาดหนองปรือ</v>
      </c>
      <c r="D919" s="3" t="str">
        <f>IFERROR(__xludf.DUMMYFUNCTION("""COMPUTED_VALUE"""),"BCM TALAD NONG PRUE")</f>
        <v>BCM TALAD NONG PRUE</v>
      </c>
      <c r="E919" s="1" t="str">
        <f>IFERROR(__xludf.DUMMYFUNCTION("""COMPUTED_VALUE"""),"บิ๊กซี MINI")</f>
        <v>บิ๊กซี MINI</v>
      </c>
      <c r="F919" s="1" t="str">
        <f>IFERROR(__xludf.DUMMYFUNCTION("""COMPUTED_VALUE"""),"221716")</f>
        <v>221716</v>
      </c>
      <c r="G919" s="1" t="str">
        <f>IFERROR(__xludf.DUMMYFUNCTION("""COMPUTED_VALUE"""),"น.ส.เบญจพร โพธิสาร")</f>
        <v>น.ส.เบญจพร โพธิสาร</v>
      </c>
      <c r="H919" s="1" t="str">
        <f>IFERROR(__xludf.DUMMYFUNCTION("""COMPUTED_VALUE"""),"291061")</f>
        <v>291061</v>
      </c>
      <c r="I919" s="1" t="str">
        <f>IFERROR(__xludf.DUMMYFUNCTION("""COMPUTED_VALUE"""),"นายสมศักดิ์ เสียงก้อง")</f>
        <v>นายสมศักดิ์ เสียงก้อง</v>
      </c>
      <c r="J919" s="3">
        <f>IFERROR(__xludf.DUMMYFUNCTION("""COMPUTED_VALUE"""),296942.0)</f>
        <v>296942</v>
      </c>
      <c r="K919" s="3" t="str">
        <f>IFERROR(__xludf.DUMMYFUNCTION("""COMPUTED_VALUE"""),"นายปิยะ รักษากิจ")</f>
        <v>นายปิยะ รักษากิจ</v>
      </c>
      <c r="L919" s="1" t="str">
        <f>IFERROR(__xludf.DUMMYFUNCTION("""COMPUTED_VALUE"""),"07 K.Piya R.")</f>
        <v>07 K.Piya R.</v>
      </c>
      <c r="M919" s="1" t="str">
        <f>IFERROR(__xludf.DUMMYFUNCTION("""COMPUTED_VALUE"""),"097-919-5476")</f>
        <v>097-919-5476</v>
      </c>
      <c r="N919" s="3">
        <f>IFERROR(__xludf.DUMMYFUNCTION("""COMPUTED_VALUE"""),21332.0)</f>
        <v>21332</v>
      </c>
      <c r="O919" s="3" t="str">
        <f>IFERROR(__xludf.DUMMYFUNCTION("""COMPUTED_VALUE"""),"MBC BCP อ่อนนุช 17/1")</f>
        <v>MBC BCP อ่อนนุช 17/1</v>
      </c>
      <c r="P919" s="4">
        <f>IFERROR(__xludf.DUMMYFUNCTION("""COMPUTED_VALUE"""),43415.0)</f>
        <v>43415</v>
      </c>
      <c r="Q919" s="3" t="str">
        <f>IFERROR(__xludf.DUMMYFUNCTION("""COMPUTED_VALUE"""),"A")</f>
        <v>A</v>
      </c>
      <c r="R919" s="3" t="str">
        <f>IFERROR(__xludf.DUMMYFUNCTION("""COMPUTED_VALUE"""),"Small Format")</f>
        <v>Small Format</v>
      </c>
      <c r="S919" s="3" t="str">
        <f>IFERROR(__xludf.DUMMYFUNCTION("""COMPUTED_VALUE"""),"BCM")</f>
        <v>BCM</v>
      </c>
      <c r="T919" s="3" t="str">
        <f>IFERROR(__xludf.DUMMYFUNCTION("""COMPUTED_VALUE"""),"#N/A")</f>
        <v>#N/A</v>
      </c>
      <c r="U919" s="3" t="str">
        <f>IFERROR(__xludf.DUMMYFUNCTION("""COMPUTED_VALUE"""),"#N/A")</f>
        <v>#N/A</v>
      </c>
      <c r="V919" s="3" t="str">
        <f>IFERROR(__xludf.DUMMYFUNCTION("""COMPUTED_VALUE"""),"N")</f>
        <v>N</v>
      </c>
      <c r="W919" s="3">
        <f>IFERROR(__xludf.DUMMYFUNCTION("""COMPUTED_VALUE"""),211633.0)</f>
        <v>211633</v>
      </c>
      <c r="X919" s="3" t="str">
        <f>IFERROR(__xludf.DUMMYFUNCTION("""COMPUTED_VALUE"""),"12/8 หมู่1 ตำบลหนองปรือ อำเภอบางละมุง จังหวัดชลบุรี 20150")</f>
        <v>12/8 หมู่1 ตำบลหนองปรือ อำเภอบางละมุง จังหวัดชลบุรี 20150</v>
      </c>
      <c r="Y919" s="3"/>
      <c r="Z919" s="3" t="str">
        <f>IFERROR(__xludf.DUMMYFUNCTION("""COMPUTED_VALUE"""),"หนองปรือ")</f>
        <v>หนองปรือ</v>
      </c>
      <c r="AA919" s="3" t="str">
        <f>IFERROR(__xludf.DUMMYFUNCTION("""COMPUTED_VALUE"""),"บางละมุง")</f>
        <v>บางละมุง</v>
      </c>
      <c r="AB919" s="3" t="str">
        <f>IFERROR(__xludf.DUMMYFUNCTION("""COMPUTED_VALUE"""),"ชลบุรี")</f>
        <v>ชลบุรี</v>
      </c>
      <c r="AC919" s="3">
        <f>IFERROR(__xludf.DUMMYFUNCTION("""COMPUTED_VALUE"""),20150.0)</f>
        <v>20150</v>
      </c>
      <c r="AD919" s="3">
        <f>IFERROR(__xludf.DUMMYFUNCTION("""COMPUTED_VALUE"""),12.9434087)</f>
        <v>12.9434087</v>
      </c>
      <c r="AE919" s="3">
        <f>IFERROR(__xludf.DUMMYFUNCTION("""COMPUTED_VALUE"""),100.9393808)</f>
        <v>100.9393808</v>
      </c>
      <c r="AF919" s="3" t="str">
        <f>IFERROR(__xludf.DUMMYFUNCTION("""COMPUTED_VALUE"""),"MBC ตลาดหนองปรือ-21688")</f>
        <v>MBC ตลาดหนองปรือ-21688</v>
      </c>
      <c r="AG919" s="3" t="str">
        <f>IFERROR(__xludf.DUMMYFUNCTION("""COMPUTED_VALUE"""),"ตะวันออก")</f>
        <v>ตะวันออก</v>
      </c>
      <c r="AH919" s="3" t="str">
        <f>IFERROR(__xludf.DUMMYFUNCTION("""COMPUTED_VALUE"""),"#N/A")</f>
        <v>#N/A</v>
      </c>
      <c r="AI919" s="3" t="str">
        <f>IFERROR(__xludf.DUMMYFUNCTION("""COMPUTED_VALUE"""),"Out of warranty")</f>
        <v>Out of warranty</v>
      </c>
      <c r="AJ919" s="3">
        <f>IFERROR(__xludf.DUMMYFUNCTION("""COMPUTED_VALUE"""),87.0)</f>
        <v>87</v>
      </c>
      <c r="AK919" s="3" t="str">
        <f>IFERROR(__xludf.DUMMYFUNCTION("""COMPUTED_VALUE"""),"MMS06")</f>
        <v>MMS06</v>
      </c>
      <c r="AL919" s="3"/>
    </row>
    <row r="920" ht="15.75" customHeight="1">
      <c r="A920" s="1" t="str">
        <f>IFERROR(__xludf.DUMMYFUNCTION("""COMPUTED_VALUE"""),"21689")</f>
        <v>21689</v>
      </c>
      <c r="B920" s="2">
        <f>IFERROR(__xludf.DUMMYFUNCTION("""COMPUTED_VALUE"""),21689.0)</f>
        <v>21689</v>
      </c>
      <c r="C920" s="3" t="str">
        <f>IFERROR(__xludf.DUMMYFUNCTION("""COMPUTED_VALUE"""),"MBC เชลล์ สัตหีบ กม.10")</f>
        <v>MBC เชลล์ สัตหีบ กม.10</v>
      </c>
      <c r="D920" s="3" t="str">
        <f>IFERROR(__xludf.DUMMYFUNCTION("""COMPUTED_VALUE"""),"BCM SHELL SATTAHIP KM.10")</f>
        <v>BCM SHELL SATTAHIP KM.10</v>
      </c>
      <c r="E920" s="1" t="str">
        <f>IFERROR(__xludf.DUMMYFUNCTION("""COMPUTED_VALUE"""),"บิ๊กซี MINI")</f>
        <v>บิ๊กซี MINI</v>
      </c>
      <c r="F920" s="1" t="str">
        <f>IFERROR(__xludf.DUMMYFUNCTION("""COMPUTED_VALUE"""),"221716")</f>
        <v>221716</v>
      </c>
      <c r="G920" s="1" t="str">
        <f>IFERROR(__xludf.DUMMYFUNCTION("""COMPUTED_VALUE"""),"น.ส.เบญจพร โพธิสาร")</f>
        <v>น.ส.เบญจพร โพธิสาร</v>
      </c>
      <c r="H920" s="1" t="str">
        <f>IFERROR(__xludf.DUMMYFUNCTION("""COMPUTED_VALUE"""),"313065")</f>
        <v>313065</v>
      </c>
      <c r="I920" s="1" t="str">
        <f>IFERROR(__xludf.DUMMYFUNCTION("""COMPUTED_VALUE"""),"นายจิรายุทธ กันทา")</f>
        <v>นายจิรายุทธ กันทา</v>
      </c>
      <c r="J920" s="3">
        <f>IFERROR(__xludf.DUMMYFUNCTION("""COMPUTED_VALUE"""),1.3461215E7)</f>
        <v>13461215</v>
      </c>
      <c r="K920" s="3" t="str">
        <f>IFERROR(__xludf.DUMMYFUNCTION("""COMPUTED_VALUE"""),"นายธีรภัทร สังข์เงิน")</f>
        <v>นายธีรภัทร สังข์เงิน</v>
      </c>
      <c r="L920" s="1" t="str">
        <f>IFERROR(__xludf.DUMMYFUNCTION("""COMPUTED_VALUE"""),"06 K.Teerapat")</f>
        <v>06 K.Teerapat</v>
      </c>
      <c r="M920" s="1" t="str">
        <f>IFERROR(__xludf.DUMMYFUNCTION("""COMPUTED_VALUE"""),"063-601-6803")</f>
        <v>063-601-6803</v>
      </c>
      <c r="N920" s="3">
        <f>IFERROR(__xludf.DUMMYFUNCTION("""COMPUTED_VALUE"""),22115.0)</f>
        <v>22115</v>
      </c>
      <c r="O920" s="3" t="str">
        <f>IFERROR(__xludf.DUMMYFUNCTION("""COMPUTED_VALUE"""),"MBC เลี่ยงหนองมน ชลบุรี")</f>
        <v>MBC เลี่ยงหนองมน ชลบุรี</v>
      </c>
      <c r="P920" s="4">
        <f>IFERROR(__xludf.DUMMYFUNCTION("""COMPUTED_VALUE"""),43417.0)</f>
        <v>43417</v>
      </c>
      <c r="Q920" s="3" t="str">
        <f>IFERROR(__xludf.DUMMYFUNCTION("""COMPUTED_VALUE"""),"A")</f>
        <v>A</v>
      </c>
      <c r="R920" s="3" t="str">
        <f>IFERROR(__xludf.DUMMYFUNCTION("""COMPUTED_VALUE"""),"Small Format")</f>
        <v>Small Format</v>
      </c>
      <c r="S920" s="3" t="str">
        <f>IFERROR(__xludf.DUMMYFUNCTION("""COMPUTED_VALUE"""),"BCM")</f>
        <v>BCM</v>
      </c>
      <c r="T920" s="3" t="str">
        <f>IFERROR(__xludf.DUMMYFUNCTION("""COMPUTED_VALUE"""),"#N/A")</f>
        <v>#N/A</v>
      </c>
      <c r="U920" s="3" t="str">
        <f>IFERROR(__xludf.DUMMYFUNCTION("""COMPUTED_VALUE"""),"#N/A")</f>
        <v>#N/A</v>
      </c>
      <c r="V920" s="3" t="str">
        <f>IFERROR(__xludf.DUMMYFUNCTION("""COMPUTED_VALUE"""),"N")</f>
        <v>N</v>
      </c>
      <c r="W920" s="3">
        <f>IFERROR(__xludf.DUMMYFUNCTION("""COMPUTED_VALUE"""),211652.0)</f>
        <v>211652</v>
      </c>
      <c r="X920" s="3" t="str">
        <f>IFERROR(__xludf.DUMMYFUNCTION("""COMPUTED_VALUE"""),"9/99 หมู่2 ตำบลพูลตาหลวง อำเภอสัตหีบ จังหวัดชลบุรี 20180")</f>
        <v>9/99 หมู่2 ตำบลพูลตาหลวง อำเภอสัตหีบ จังหวัดชลบุรี 20180</v>
      </c>
      <c r="Y920" s="3"/>
      <c r="Z920" s="3" t="str">
        <f>IFERROR(__xludf.DUMMYFUNCTION("""COMPUTED_VALUE"""),"พูลตาหลวง")</f>
        <v>พูลตาหลวง</v>
      </c>
      <c r="AA920" s="3" t="str">
        <f>IFERROR(__xludf.DUMMYFUNCTION("""COMPUTED_VALUE"""),"สัตหีบ")</f>
        <v>สัตหีบ</v>
      </c>
      <c r="AB920" s="3" t="str">
        <f>IFERROR(__xludf.DUMMYFUNCTION("""COMPUTED_VALUE"""),"ชลบุรี")</f>
        <v>ชลบุรี</v>
      </c>
      <c r="AC920" s="3">
        <f>IFERROR(__xludf.DUMMYFUNCTION("""COMPUTED_VALUE"""),20180.0)</f>
        <v>20180</v>
      </c>
      <c r="AD920" s="3">
        <f>IFERROR(__xludf.DUMMYFUNCTION("""COMPUTED_VALUE"""),12.6956602)</f>
        <v>12.6956602</v>
      </c>
      <c r="AE920" s="3">
        <f>IFERROR(__xludf.DUMMYFUNCTION("""COMPUTED_VALUE"""),100.9760935)</f>
        <v>100.9760935</v>
      </c>
      <c r="AF920" s="3" t="str">
        <f>IFERROR(__xludf.DUMMYFUNCTION("""COMPUTED_VALUE"""),"MBC เชลล์ สัตหีบ กม.10-21689")</f>
        <v>MBC เชลล์ สัตหีบ กม.10-21689</v>
      </c>
      <c r="AG920" s="3" t="str">
        <f>IFERROR(__xludf.DUMMYFUNCTION("""COMPUTED_VALUE"""),"ตะวันออก")</f>
        <v>ตะวันออก</v>
      </c>
      <c r="AH920" s="3" t="str">
        <f>IFERROR(__xludf.DUMMYFUNCTION("""COMPUTED_VALUE"""),"#N/A")</f>
        <v>#N/A</v>
      </c>
      <c r="AI920" s="3" t="str">
        <f>IFERROR(__xludf.DUMMYFUNCTION("""COMPUTED_VALUE"""),"Out of warranty")</f>
        <v>Out of warranty</v>
      </c>
      <c r="AJ920" s="3">
        <f>IFERROR(__xludf.DUMMYFUNCTION("""COMPUTED_VALUE"""),87.0)</f>
        <v>87</v>
      </c>
      <c r="AK920" s="3" t="str">
        <f>IFERROR(__xludf.DUMMYFUNCTION("""COMPUTED_VALUE"""),"MMS08")</f>
        <v>MMS08</v>
      </c>
      <c r="AL920" s="3"/>
    </row>
    <row r="921" ht="15.75" customHeight="1">
      <c r="A921" s="1" t="str">
        <f>IFERROR(__xludf.DUMMYFUNCTION("""COMPUTED_VALUE"""),"21690")</f>
        <v>21690</v>
      </c>
      <c r="B921" s="2">
        <f>IFERROR(__xludf.DUMMYFUNCTION("""COMPUTED_VALUE"""),21690.0)</f>
        <v>21690</v>
      </c>
      <c r="C921" s="3" t="str">
        <f>IFERROR(__xludf.DUMMYFUNCTION("""COMPUTED_VALUE"""),"MBC เอสโซ่ บางคล้า")</f>
        <v>MBC เอสโซ่ บางคล้า</v>
      </c>
      <c r="D921" s="3" t="str">
        <f>IFERROR(__xludf.DUMMYFUNCTION("""COMPUTED_VALUE"""),"BCM ESSO BANG KHLA")</f>
        <v>BCM ESSO BANG KHLA</v>
      </c>
      <c r="E921" s="1" t="str">
        <f>IFERROR(__xludf.DUMMYFUNCTION("""COMPUTED_VALUE"""),"บิ๊กซี MINI")</f>
        <v>บิ๊กซี MINI</v>
      </c>
      <c r="F921" s="1" t="str">
        <f>IFERROR(__xludf.DUMMYFUNCTION("""COMPUTED_VALUE"""),"2083447")</f>
        <v>2083447</v>
      </c>
      <c r="G921" s="1" t="str">
        <f>IFERROR(__xludf.DUMMYFUNCTION("""COMPUTED_VALUE"""),"นายอนุกูล ศรีลัดดา")</f>
        <v>นายอนุกูล ศรีลัดดา</v>
      </c>
      <c r="H921" s="1" t="str">
        <f>IFERROR(__xludf.DUMMYFUNCTION("""COMPUTED_VALUE"""),"254957")</f>
        <v>254957</v>
      </c>
      <c r="I921" s="1" t="str">
        <f>IFERROR(__xludf.DUMMYFUNCTION("""COMPUTED_VALUE"""),"น.ส.ศิริพร รุ่งธัญญา")</f>
        <v>น.ส.ศิริพร รุ่งธัญญา</v>
      </c>
      <c r="J921" s="3">
        <f>IFERROR(__xludf.DUMMYFUNCTION("""COMPUTED_VALUE"""),510143.0)</f>
        <v>510143</v>
      </c>
      <c r="K921" s="3" t="str">
        <f>IFERROR(__xludf.DUMMYFUNCTION("""COMPUTED_VALUE"""),"นายธีระวัฒน์ บุญสิทธิ์")</f>
        <v>นายธีระวัฒน์ บุญสิทธิ์</v>
      </c>
      <c r="L921" s="1" t="str">
        <f>IFERROR(__xludf.DUMMYFUNCTION("""COMPUTED_VALUE"""),"12 K.Theerawat B.")</f>
        <v>12 K.Theerawat B.</v>
      </c>
      <c r="M921" s="1" t="str">
        <f>IFERROR(__xludf.DUMMYFUNCTION("""COMPUTED_VALUE"""),"0655107379")</f>
        <v>0655107379</v>
      </c>
      <c r="N921" s="3">
        <f>IFERROR(__xludf.DUMMYFUNCTION("""COMPUTED_VALUE"""),21062.0)</f>
        <v>21062</v>
      </c>
      <c r="O921" s="3" t="str">
        <f>IFERROR(__xludf.DUMMYFUNCTION("""COMPUTED_VALUE"""),"MBC นิคมนวนคร")</f>
        <v>MBC นิคมนวนคร</v>
      </c>
      <c r="P921" s="4">
        <f>IFERROR(__xludf.DUMMYFUNCTION("""COMPUTED_VALUE"""),43417.0)</f>
        <v>43417</v>
      </c>
      <c r="Q921" s="3" t="str">
        <f>IFERROR(__xludf.DUMMYFUNCTION("""COMPUTED_VALUE"""),"A")</f>
        <v>A</v>
      </c>
      <c r="R921" s="3" t="str">
        <f>IFERROR(__xludf.DUMMYFUNCTION("""COMPUTED_VALUE"""),"Small Format")</f>
        <v>Small Format</v>
      </c>
      <c r="S921" s="3" t="str">
        <f>IFERROR(__xludf.DUMMYFUNCTION("""COMPUTED_VALUE"""),"BCM")</f>
        <v>BCM</v>
      </c>
      <c r="T921" s="3" t="str">
        <f>IFERROR(__xludf.DUMMYFUNCTION("""COMPUTED_VALUE"""),"#N/A")</f>
        <v>#N/A</v>
      </c>
      <c r="U921" s="3" t="str">
        <f>IFERROR(__xludf.DUMMYFUNCTION("""COMPUTED_VALUE"""),"#N/A")</f>
        <v>#N/A</v>
      </c>
      <c r="V921" s="3" t="str">
        <f>IFERROR(__xludf.DUMMYFUNCTION("""COMPUTED_VALUE"""),"N")</f>
        <v>N</v>
      </c>
      <c r="W921" s="3">
        <f>IFERROR(__xludf.DUMMYFUNCTION("""COMPUTED_VALUE"""),211651.0)</f>
        <v>211651</v>
      </c>
      <c r="X921" s="3" t="str">
        <f>IFERROR(__xludf.DUMMYFUNCTION("""COMPUTED_VALUE"""),"22/1 หมู่4 ตำบลเสม็ดเหนือ อำเภอบางคล้า จังหวัดฉะเชิงเทรา 24110")</f>
        <v>22/1 หมู่4 ตำบลเสม็ดเหนือ อำเภอบางคล้า จังหวัดฉะเชิงเทรา 24110</v>
      </c>
      <c r="Y921" s="3"/>
      <c r="Z921" s="3" t="str">
        <f>IFERROR(__xludf.DUMMYFUNCTION("""COMPUTED_VALUE"""),"เสม็ดเหนือ")</f>
        <v>เสม็ดเหนือ</v>
      </c>
      <c r="AA921" s="3" t="str">
        <f>IFERROR(__xludf.DUMMYFUNCTION("""COMPUTED_VALUE"""),"บางคล้า")</f>
        <v>บางคล้า</v>
      </c>
      <c r="AB921" s="3" t="str">
        <f>IFERROR(__xludf.DUMMYFUNCTION("""COMPUTED_VALUE"""),"ฉะเชิงเทรา")</f>
        <v>ฉะเชิงเทรา</v>
      </c>
      <c r="AC921" s="3">
        <f>IFERROR(__xludf.DUMMYFUNCTION("""COMPUTED_VALUE"""),24110.0)</f>
        <v>24110</v>
      </c>
      <c r="AD921" s="3">
        <f>IFERROR(__xludf.DUMMYFUNCTION("""COMPUTED_VALUE"""),13.6718852)</f>
        <v>13.6718852</v>
      </c>
      <c r="AE921" s="3">
        <f>IFERROR(__xludf.DUMMYFUNCTION("""COMPUTED_VALUE"""),101.2088331)</f>
        <v>101.2088331</v>
      </c>
      <c r="AF921" s="3" t="str">
        <f>IFERROR(__xludf.DUMMYFUNCTION("""COMPUTED_VALUE"""),"MBC เอสโซ่ บางคล้า-21690")</f>
        <v>MBC เอสโซ่ บางคล้า-21690</v>
      </c>
      <c r="AG921" s="3" t="str">
        <f>IFERROR(__xludf.DUMMYFUNCTION("""COMPUTED_VALUE"""),"ตะวันออก")</f>
        <v>ตะวันออก</v>
      </c>
      <c r="AH921" s="3" t="str">
        <f>IFERROR(__xludf.DUMMYFUNCTION("""COMPUTED_VALUE"""),"#N/A")</f>
        <v>#N/A</v>
      </c>
      <c r="AI921" s="3" t="str">
        <f>IFERROR(__xludf.DUMMYFUNCTION("""COMPUTED_VALUE"""),"Out of warranty")</f>
        <v>Out of warranty</v>
      </c>
      <c r="AJ921" s="3">
        <f>IFERROR(__xludf.DUMMYFUNCTION("""COMPUTED_VALUE"""),87.0)</f>
        <v>87</v>
      </c>
      <c r="AK921" s="3" t="str">
        <f>IFERROR(__xludf.DUMMYFUNCTION("""COMPUTED_VALUE"""),"MMS07")</f>
        <v>MMS07</v>
      </c>
      <c r="AL921" s="3"/>
    </row>
    <row r="922" ht="15.75" customHeight="1">
      <c r="A922" s="1" t="str">
        <f>IFERROR(__xludf.DUMMYFUNCTION("""COMPUTED_VALUE"""),"21691")</f>
        <v>21691</v>
      </c>
      <c r="B922" s="2">
        <f>IFERROR(__xludf.DUMMYFUNCTION("""COMPUTED_VALUE"""),21691.0)</f>
        <v>21691</v>
      </c>
      <c r="C922" s="3" t="str">
        <f>IFERROR(__xludf.DUMMYFUNCTION("""COMPUTED_VALUE"""),"MBC เชลล์ โป่งขาเข้า")</f>
        <v>MBC เชลล์ โป่งขาเข้า</v>
      </c>
      <c r="D922" s="3" t="str">
        <f>IFERROR(__xludf.DUMMYFUNCTION("""COMPUTED_VALUE"""),"BCM SHELL PONG (INBOUND)")</f>
        <v>BCM SHELL PONG (INBOUND)</v>
      </c>
      <c r="E922" s="1" t="str">
        <f>IFERROR(__xludf.DUMMYFUNCTION("""COMPUTED_VALUE"""),"บิ๊กซี MINI")</f>
        <v>บิ๊กซี MINI</v>
      </c>
      <c r="F922" s="1" t="str">
        <f>IFERROR(__xludf.DUMMYFUNCTION("""COMPUTED_VALUE"""),"221716")</f>
        <v>221716</v>
      </c>
      <c r="G922" s="1" t="str">
        <f>IFERROR(__xludf.DUMMYFUNCTION("""COMPUTED_VALUE"""),"น.ส.เบญจพร โพธิสาร")</f>
        <v>น.ส.เบญจพร โพธิสาร</v>
      </c>
      <c r="H922" s="1" t="str">
        <f>IFERROR(__xludf.DUMMYFUNCTION("""COMPUTED_VALUE"""),"371384")</f>
        <v>371384</v>
      </c>
      <c r="I922" s="1" t="str">
        <f>IFERROR(__xludf.DUMMYFUNCTION("""COMPUTED_VALUE"""),"น.ส.นิลเนตร สิงห์ทอง")</f>
        <v>น.ส.นิลเนตร สิงห์ทอง</v>
      </c>
      <c r="J922" s="3">
        <f>IFERROR(__xludf.DUMMYFUNCTION("""COMPUTED_VALUE"""),3510104.0)</f>
        <v>3510104</v>
      </c>
      <c r="K922" s="3" t="str">
        <f>IFERROR(__xludf.DUMMYFUNCTION("""COMPUTED_VALUE"""),"นายวิโรจน์ อับดุลสมัด")</f>
        <v>นายวิโรจน์ อับดุลสมัด</v>
      </c>
      <c r="L922" s="1" t="str">
        <f>IFERROR(__xludf.DUMMYFUNCTION("""COMPUTED_VALUE"""),"09 K.Wirode A")</f>
        <v>09 K.Wirode A</v>
      </c>
      <c r="M922" s="1" t="str">
        <f>IFERROR(__xludf.DUMMYFUNCTION("""COMPUTED_VALUE"""),"080-235-4465")</f>
        <v>080-235-4465</v>
      </c>
      <c r="N922" s="3">
        <f>IFERROR(__xludf.DUMMYFUNCTION("""COMPUTED_VALUE"""),21324.0)</f>
        <v>21324</v>
      </c>
      <c r="O922" s="3" t="str">
        <f>IFERROR(__xludf.DUMMYFUNCTION("""COMPUTED_VALUE"""),"MBC BCP สุวินทวงศ์")</f>
        <v>MBC BCP สุวินทวงศ์</v>
      </c>
      <c r="P922" s="4">
        <f>IFERROR(__xludf.DUMMYFUNCTION("""COMPUTED_VALUE"""),43423.0)</f>
        <v>43423</v>
      </c>
      <c r="Q922" s="3" t="str">
        <f>IFERROR(__xludf.DUMMYFUNCTION("""COMPUTED_VALUE"""),"I")</f>
        <v>I</v>
      </c>
      <c r="R922" s="3" t="str">
        <f>IFERROR(__xludf.DUMMYFUNCTION("""COMPUTED_VALUE"""),"Small Format")</f>
        <v>Small Format</v>
      </c>
      <c r="S922" s="3" t="str">
        <f>IFERROR(__xludf.DUMMYFUNCTION("""COMPUTED_VALUE"""),"BCM")</f>
        <v>BCM</v>
      </c>
      <c r="T922" s="3" t="str">
        <f>IFERROR(__xludf.DUMMYFUNCTION("""COMPUTED_VALUE"""),"#N/A")</f>
        <v>#N/A</v>
      </c>
      <c r="U922" s="3" t="str">
        <f>IFERROR(__xludf.DUMMYFUNCTION("""COMPUTED_VALUE"""),"#N/A")</f>
        <v>#N/A</v>
      </c>
      <c r="V922" s="3" t="str">
        <f>IFERROR(__xludf.DUMMYFUNCTION("""COMPUTED_VALUE"""),"N")</f>
        <v>N</v>
      </c>
      <c r="W922" s="3">
        <f>IFERROR(__xludf.DUMMYFUNCTION("""COMPUTED_VALUE"""),211653.0)</f>
        <v>211653</v>
      </c>
      <c r="X922" s="3" t="str">
        <f>IFERROR(__xludf.DUMMYFUNCTION("""COMPUTED_VALUE"""),"13/17 หมู่1 ตำบลโป่ง อำเภอบางละมุง จังหวัดชลบุรี 20150")</f>
        <v>13/17 หมู่1 ตำบลโป่ง อำเภอบางละมุง จังหวัดชลบุรี 20150</v>
      </c>
      <c r="Y922" s="3"/>
      <c r="Z922" s="3" t="str">
        <f>IFERROR(__xludf.DUMMYFUNCTION("""COMPUTED_VALUE"""),"โป่ง")</f>
        <v>โป่ง</v>
      </c>
      <c r="AA922" s="3" t="str">
        <f>IFERROR(__xludf.DUMMYFUNCTION("""COMPUTED_VALUE"""),"บาละมุง")</f>
        <v>บาละมุง</v>
      </c>
      <c r="AB922" s="3" t="str">
        <f>IFERROR(__xludf.DUMMYFUNCTION("""COMPUTED_VALUE"""),"ชลบุรี")</f>
        <v>ชลบุรี</v>
      </c>
      <c r="AC922" s="3">
        <f>IFERROR(__xludf.DUMMYFUNCTION("""COMPUTED_VALUE"""),20150.0)</f>
        <v>20150</v>
      </c>
      <c r="AD922" s="3">
        <f>IFERROR(__xludf.DUMMYFUNCTION("""COMPUTED_VALUE"""),12.9577049)</f>
        <v>12.9577049</v>
      </c>
      <c r="AE922" s="3">
        <f>IFERROR(__xludf.DUMMYFUNCTION("""COMPUTED_VALUE"""),100.9849247)</f>
        <v>100.9849247</v>
      </c>
      <c r="AF922" s="3" t="str">
        <f>IFERROR(__xludf.DUMMYFUNCTION("""COMPUTED_VALUE"""),"MBC เชลล์ โป่งขาเข้า-21691")</f>
        <v>MBC เชลล์ โป่งขาเข้า-21691</v>
      </c>
      <c r="AG922" s="3" t="str">
        <f>IFERROR(__xludf.DUMMYFUNCTION("""COMPUTED_VALUE"""),"ตะวันออก")</f>
        <v>ตะวันออก</v>
      </c>
      <c r="AH922" s="3" t="str">
        <f>IFERROR(__xludf.DUMMYFUNCTION("""COMPUTED_VALUE"""),"#N/A")</f>
        <v>#N/A</v>
      </c>
      <c r="AI922" s="3" t="str">
        <f>IFERROR(__xludf.DUMMYFUNCTION("""COMPUTED_VALUE"""),"Out of warranty")</f>
        <v>Out of warranty</v>
      </c>
      <c r="AJ922" s="3">
        <f>IFERROR(__xludf.DUMMYFUNCTION("""COMPUTED_VALUE"""),87.0)</f>
        <v>87</v>
      </c>
      <c r="AK922" s="3" t="str">
        <f>IFERROR(__xludf.DUMMYFUNCTION("""COMPUTED_VALUE"""),"MMS07")</f>
        <v>MMS07</v>
      </c>
      <c r="AL922" s="3"/>
    </row>
    <row r="923" ht="15.75" customHeight="1">
      <c r="A923" s="1" t="str">
        <f>IFERROR(__xludf.DUMMYFUNCTION("""COMPUTED_VALUE"""),"21692")</f>
        <v>21692</v>
      </c>
      <c r="B923" s="2">
        <f>IFERROR(__xludf.DUMMYFUNCTION("""COMPUTED_VALUE"""),21692.0)</f>
        <v>21692</v>
      </c>
      <c r="C923" s="3" t="str">
        <f>IFERROR(__xludf.DUMMYFUNCTION("""COMPUTED_VALUE"""),"MBC ตลาดเมืองใหม่")</f>
        <v>MBC ตลาดเมืองใหม่</v>
      </c>
      <c r="D923" s="3" t="str">
        <f>IFERROR(__xludf.DUMMYFUNCTION("""COMPUTED_VALUE"""),"BCM TALAD MUEANG MAI")</f>
        <v>BCM TALAD MUEANG MAI</v>
      </c>
      <c r="E923" s="1" t="str">
        <f>IFERROR(__xludf.DUMMYFUNCTION("""COMPUTED_VALUE"""),"บิ๊กซี MINI")</f>
        <v>บิ๊กซี MINI</v>
      </c>
      <c r="F923" s="1" t="str">
        <f>IFERROR(__xludf.DUMMYFUNCTION("""COMPUTED_VALUE"""),"296229")</f>
        <v>296229</v>
      </c>
      <c r="G923" s="1" t="str">
        <f>IFERROR(__xludf.DUMMYFUNCTION("""COMPUTED_VALUE"""),"นายทนงศักดิ์ บุญมา")</f>
        <v>นายทนงศักดิ์ บุญมา</v>
      </c>
      <c r="H923" s="1" t="str">
        <f>IFERROR(__xludf.DUMMYFUNCTION("""COMPUTED_VALUE"""),"393402")</f>
        <v>393402</v>
      </c>
      <c r="I923" s="1" t="str">
        <f>IFERROR(__xludf.DUMMYFUNCTION("""COMPUTED_VALUE"""),"น.ส.ปารมิตา ใจตรง")</f>
        <v>น.ส.ปารมิตา ใจตรง</v>
      </c>
      <c r="J923" s="3">
        <f>IFERROR(__xludf.DUMMYFUNCTION("""COMPUTED_VALUE"""),2010016.0)</f>
        <v>2010016</v>
      </c>
      <c r="K923" s="3" t="str">
        <f>IFERROR(__xludf.DUMMYFUNCTION("""COMPUTED_VALUE"""),"นายตวงธรรม ใหม่ยศ")</f>
        <v>นายตวงธรรม ใหม่ยศ</v>
      </c>
      <c r="L923" s="1" t="str">
        <f>IFERROR(__xludf.DUMMYFUNCTION("""COMPUTED_VALUE"""),"01 K.Tuangtham M.")</f>
        <v>01 K.Tuangtham M.</v>
      </c>
      <c r="M923" s="1" t="str">
        <f>IFERROR(__xludf.DUMMYFUNCTION("""COMPUTED_VALUE"""),"063-976-595")</f>
        <v>063-976-595</v>
      </c>
      <c r="N923" s="3">
        <f>IFERROR(__xludf.DUMMYFUNCTION("""COMPUTED_VALUE"""),22574.0)</f>
        <v>22574</v>
      </c>
      <c r="O923" s="3" t="str">
        <f>IFERROR(__xludf.DUMMYFUNCTION("""COMPUTED_VALUE"""),"BCM ชุมชนศรีชุม ลำปาง")</f>
        <v>BCM ชุมชนศรีชุม ลำปาง</v>
      </c>
      <c r="P923" s="4">
        <f>IFERROR(__xludf.DUMMYFUNCTION("""COMPUTED_VALUE"""),43432.0)</f>
        <v>43432</v>
      </c>
      <c r="Q923" s="3" t="str">
        <f>IFERROR(__xludf.DUMMYFUNCTION("""COMPUTED_VALUE"""),"A")</f>
        <v>A</v>
      </c>
      <c r="R923" s="3" t="str">
        <f>IFERROR(__xludf.DUMMYFUNCTION("""COMPUTED_VALUE"""),"Small Format")</f>
        <v>Small Format</v>
      </c>
      <c r="S923" s="3" t="str">
        <f>IFERROR(__xludf.DUMMYFUNCTION("""COMPUTED_VALUE"""),"BCM")</f>
        <v>BCM</v>
      </c>
      <c r="T923" s="3" t="str">
        <f>IFERROR(__xludf.DUMMYFUNCTION("""COMPUTED_VALUE"""),"#N/A")</f>
        <v>#N/A</v>
      </c>
      <c r="U923" s="3" t="str">
        <f>IFERROR(__xludf.DUMMYFUNCTION("""COMPUTED_VALUE"""),"#N/A")</f>
        <v>#N/A</v>
      </c>
      <c r="V923" s="3" t="str">
        <f>IFERROR(__xludf.DUMMYFUNCTION("""COMPUTED_VALUE"""),"N")</f>
        <v>N</v>
      </c>
      <c r="W923" s="3">
        <f>IFERROR(__xludf.DUMMYFUNCTION("""COMPUTED_VALUE"""),211640.0)</f>
        <v>211640</v>
      </c>
      <c r="X923" s="3" t="str">
        <f>IFERROR(__xludf.DUMMYFUNCTION("""COMPUTED_VALUE"""),"44/1-2 ถนนเมืองสมุทร ตำบลช้างม่อย อำเภอเมืองเชียงใหม่ จังหวัดเชียงใหม่ 50300")</f>
        <v>44/1-2 ถนนเมืองสมุทร ตำบลช้างม่อย อำเภอเมืองเชียงใหม่ จังหวัดเชียงใหม่ 50300</v>
      </c>
      <c r="Y923" s="3" t="str">
        <f>IFERROR(__xludf.DUMMYFUNCTION("""COMPUTED_VALUE"""),"ถนนเมืองสมุทร")</f>
        <v>ถนนเมืองสมุทร</v>
      </c>
      <c r="Z923" s="3" t="str">
        <f>IFERROR(__xludf.DUMMYFUNCTION("""COMPUTED_VALUE"""),"ช้างม่อย")</f>
        <v>ช้างม่อย</v>
      </c>
      <c r="AA923" s="3" t="str">
        <f>IFERROR(__xludf.DUMMYFUNCTION("""COMPUTED_VALUE"""),"เมือง")</f>
        <v>เมือง</v>
      </c>
      <c r="AB923" s="3" t="str">
        <f>IFERROR(__xludf.DUMMYFUNCTION("""COMPUTED_VALUE"""),"เชียงใหม่")</f>
        <v>เชียงใหม่</v>
      </c>
      <c r="AC923" s="3">
        <f>IFERROR(__xludf.DUMMYFUNCTION("""COMPUTED_VALUE"""),50300.0)</f>
        <v>50300</v>
      </c>
      <c r="AD923" s="3">
        <f>IFERROR(__xludf.DUMMYFUNCTION("""COMPUTED_VALUE"""),18.7983374)</f>
        <v>18.7983374</v>
      </c>
      <c r="AE923" s="3">
        <f>IFERROR(__xludf.DUMMYFUNCTION("""COMPUTED_VALUE"""),98.9976468)</f>
        <v>98.9976468</v>
      </c>
      <c r="AF923" s="3" t="str">
        <f>IFERROR(__xludf.DUMMYFUNCTION("""COMPUTED_VALUE"""),"MBC ตลาดเมืองใหม่-21692")</f>
        <v>MBC ตลาดเมืองใหม่-21692</v>
      </c>
      <c r="AG923" s="3" t="str">
        <f>IFERROR(__xludf.DUMMYFUNCTION("""COMPUTED_VALUE"""),"เหนือ")</f>
        <v>เหนือ</v>
      </c>
      <c r="AH923" s="3" t="str">
        <f>IFERROR(__xludf.DUMMYFUNCTION("""COMPUTED_VALUE"""),"#N/A")</f>
        <v>#N/A</v>
      </c>
      <c r="AI923" s="3" t="str">
        <f>IFERROR(__xludf.DUMMYFUNCTION("""COMPUTED_VALUE"""),"Out of warranty")</f>
        <v>Out of warranty</v>
      </c>
      <c r="AJ923" s="3">
        <f>IFERROR(__xludf.DUMMYFUNCTION("""COMPUTED_VALUE"""),86.0)</f>
        <v>86</v>
      </c>
      <c r="AK923" s="3" t="str">
        <f>IFERROR(__xludf.DUMMYFUNCTION("""COMPUTED_VALUE"""),"MMS10")</f>
        <v>MMS10</v>
      </c>
      <c r="AL923" s="3"/>
    </row>
    <row r="924" ht="15.75" customHeight="1">
      <c r="A924" s="1" t="str">
        <f>IFERROR(__xludf.DUMMYFUNCTION("""COMPUTED_VALUE"""),"21693")</f>
        <v>21693</v>
      </c>
      <c r="B924" s="2">
        <f>IFERROR(__xludf.DUMMYFUNCTION("""COMPUTED_VALUE"""),21693.0)</f>
        <v>21693</v>
      </c>
      <c r="C924" s="3" t="str">
        <f>IFERROR(__xludf.DUMMYFUNCTION("""COMPUTED_VALUE"""),"MBC ภิญญาช้อปปิ้งเซ็นเตอร์")</f>
        <v>MBC ภิญญาช้อปปิ้งเซ็นเตอร์</v>
      </c>
      <c r="D924" s="3" t="str">
        <f>IFERROR(__xludf.DUMMYFUNCTION("""COMPUTED_VALUE"""),"BCM PINYA SHOPPING CENTER")</f>
        <v>BCM PINYA SHOPPING CENTER</v>
      </c>
      <c r="E924" s="1" t="str">
        <f>IFERROR(__xludf.DUMMYFUNCTION("""COMPUTED_VALUE"""),"บิ๊กซี MINI")</f>
        <v>บิ๊กซี MINI</v>
      </c>
      <c r="F924" s="1" t="str">
        <f>IFERROR(__xludf.DUMMYFUNCTION("""COMPUTED_VALUE"""),"296229")</f>
        <v>296229</v>
      </c>
      <c r="G924" s="1" t="str">
        <f>IFERROR(__xludf.DUMMYFUNCTION("""COMPUTED_VALUE"""),"นายทนงศักดิ์ บุญมา")</f>
        <v>นายทนงศักดิ์ บุญมา</v>
      </c>
      <c r="H924" s="1" t="str">
        <f>IFERROR(__xludf.DUMMYFUNCTION("""COMPUTED_VALUE"""),"291082")</f>
        <v>291082</v>
      </c>
      <c r="I924" s="1" t="str">
        <f>IFERROR(__xludf.DUMMYFUNCTION("""COMPUTED_VALUE"""),"น.ส.วจี กันเกตุ")</f>
        <v>น.ส.วจี กันเกตุ</v>
      </c>
      <c r="J924" s="3">
        <f>IFERROR(__xludf.DUMMYFUNCTION("""COMPUTED_VALUE"""),46214.0)</f>
        <v>46214</v>
      </c>
      <c r="K924" s="3" t="str">
        <f>IFERROR(__xludf.DUMMYFUNCTION("""COMPUTED_VALUE"""),"นายศักดิ์ชัย เด็ดดอกฟ้า")</f>
        <v>นายศักดิ์ชัย เด็ดดอกฟ้า</v>
      </c>
      <c r="L924" s="1" t="str">
        <f>IFERROR(__xludf.DUMMYFUNCTION("""COMPUTED_VALUE"""),"02 K.Sakchai D")</f>
        <v>02 K.Sakchai D</v>
      </c>
      <c r="M924" s="1" t="str">
        <f>IFERROR(__xludf.DUMMYFUNCTION("""COMPUTED_VALUE"""),"065-510-7376")</f>
        <v>065-510-7376</v>
      </c>
      <c r="N924" s="3">
        <f>IFERROR(__xludf.DUMMYFUNCTION("""COMPUTED_VALUE"""),21714.0)</f>
        <v>21714</v>
      </c>
      <c r="O924" s="3" t="str">
        <f>IFERROR(__xludf.DUMMYFUNCTION("""COMPUTED_VALUE"""),"MBC เอสโซ่ วัดโบสถ์")</f>
        <v>MBC เอสโซ่ วัดโบสถ์</v>
      </c>
      <c r="P924" s="4">
        <f>IFERROR(__xludf.DUMMYFUNCTION("""COMPUTED_VALUE"""),43425.0)</f>
        <v>43425</v>
      </c>
      <c r="Q924" s="3" t="str">
        <f>IFERROR(__xludf.DUMMYFUNCTION("""COMPUTED_VALUE"""),"A")</f>
        <v>A</v>
      </c>
      <c r="R924" s="3" t="str">
        <f>IFERROR(__xludf.DUMMYFUNCTION("""COMPUTED_VALUE"""),"Small Format")</f>
        <v>Small Format</v>
      </c>
      <c r="S924" s="3" t="str">
        <f>IFERROR(__xludf.DUMMYFUNCTION("""COMPUTED_VALUE"""),"BCM")</f>
        <v>BCM</v>
      </c>
      <c r="T924" s="3" t="str">
        <f>IFERROR(__xludf.DUMMYFUNCTION("""COMPUTED_VALUE"""),"#N/A")</f>
        <v>#N/A</v>
      </c>
      <c r="U924" s="3" t="str">
        <f>IFERROR(__xludf.DUMMYFUNCTION("""COMPUTED_VALUE"""),"#N/A")</f>
        <v>#N/A</v>
      </c>
      <c r="V924" s="3" t="str">
        <f>IFERROR(__xludf.DUMMYFUNCTION("""COMPUTED_VALUE"""),"N")</f>
        <v>N</v>
      </c>
      <c r="W924" s="3">
        <f>IFERROR(__xludf.DUMMYFUNCTION("""COMPUTED_VALUE"""),211628.0)</f>
        <v>211628</v>
      </c>
      <c r="X924" s="3" t="str">
        <f>IFERROR(__xludf.DUMMYFUNCTION("""COMPUTED_VALUE"""),"30,30/1-2 ถนนราชดำเนิน ตำบลท่าหิน อำเภอเมืองลพบุรี จังหวัดลพบุรี 15000")</f>
        <v>30,30/1-2 ถนนราชดำเนิน ตำบลท่าหิน อำเภอเมืองลพบุรี จังหวัดลพบุรี 15000</v>
      </c>
      <c r="Y924" s="3" t="str">
        <f>IFERROR(__xludf.DUMMYFUNCTION("""COMPUTED_VALUE"""),"ถนนราชดำเนิน")</f>
        <v>ถนนราชดำเนิน</v>
      </c>
      <c r="Z924" s="3" t="str">
        <f>IFERROR(__xludf.DUMMYFUNCTION("""COMPUTED_VALUE"""),"ท่าหิน")</f>
        <v>ท่าหิน</v>
      </c>
      <c r="AA924" s="3" t="str">
        <f>IFERROR(__xludf.DUMMYFUNCTION("""COMPUTED_VALUE"""),"เมือง")</f>
        <v>เมือง</v>
      </c>
      <c r="AB924" s="3" t="str">
        <f>IFERROR(__xludf.DUMMYFUNCTION("""COMPUTED_VALUE"""),"ลพบุรี")</f>
        <v>ลพบุรี</v>
      </c>
      <c r="AC924" s="3">
        <f>IFERROR(__xludf.DUMMYFUNCTION("""COMPUTED_VALUE"""),15000.0)</f>
        <v>15000</v>
      </c>
      <c r="AD924" s="3">
        <f>IFERROR(__xludf.DUMMYFUNCTION("""COMPUTED_VALUE"""),14.8010165)</f>
        <v>14.8010165</v>
      </c>
      <c r="AE924" s="3">
        <f>IFERROR(__xludf.DUMMYFUNCTION("""COMPUTED_VALUE"""),100.6124949)</f>
        <v>100.6124949</v>
      </c>
      <c r="AF924" s="3" t="str">
        <f>IFERROR(__xludf.DUMMYFUNCTION("""COMPUTED_VALUE"""),"MBC ภิญญาช้อปปิ้งเซ็นเตอร์-21693")</f>
        <v>MBC ภิญญาช้อปปิ้งเซ็นเตอร์-21693</v>
      </c>
      <c r="AG924" s="3" t="str">
        <f>IFERROR(__xludf.DUMMYFUNCTION("""COMPUTED_VALUE"""),"กลาง")</f>
        <v>กลาง</v>
      </c>
      <c r="AH924" s="3" t="str">
        <f>IFERROR(__xludf.DUMMYFUNCTION("""COMPUTED_VALUE"""),"#N/A")</f>
        <v>#N/A</v>
      </c>
      <c r="AI924" s="3" t="str">
        <f>IFERROR(__xludf.DUMMYFUNCTION("""COMPUTED_VALUE"""),"Out of warranty")</f>
        <v>Out of warranty</v>
      </c>
      <c r="AJ924" s="3">
        <f>IFERROR(__xludf.DUMMYFUNCTION("""COMPUTED_VALUE"""),86.0)</f>
        <v>86</v>
      </c>
      <c r="AK924" s="3" t="str">
        <f>IFERROR(__xludf.DUMMYFUNCTION("""COMPUTED_VALUE"""),"MMS09")</f>
        <v>MMS09</v>
      </c>
      <c r="AL924" s="3"/>
    </row>
    <row r="925" ht="15.75" customHeight="1">
      <c r="A925" s="1" t="str">
        <f>IFERROR(__xludf.DUMMYFUNCTION("""COMPUTED_VALUE"""),"21694")</f>
        <v>21694</v>
      </c>
      <c r="B925" s="2">
        <f>IFERROR(__xludf.DUMMYFUNCTION("""COMPUTED_VALUE"""),21694.0)</f>
        <v>21694</v>
      </c>
      <c r="C925" s="3" t="str">
        <f>IFERROR(__xludf.DUMMYFUNCTION("""COMPUTED_VALUE"""),"MBC ตลาดโต้รุ่ง มหาสารคาม")</f>
        <v>MBC ตลาดโต้รุ่ง มหาสารคาม</v>
      </c>
      <c r="D925" s="3" t="str">
        <f>IFERROR(__xludf.DUMMYFUNCTION("""COMPUTED_VALUE"""),"BCM TALAD TOHRUNG MAHASARAKHAM")</f>
        <v>BCM TALAD TOHRUNG MAHASARAKHAM</v>
      </c>
      <c r="E925" s="1" t="str">
        <f>IFERROR(__xludf.DUMMYFUNCTION("""COMPUTED_VALUE"""),"บิ๊กซี MINI")</f>
        <v>บิ๊กซี MINI</v>
      </c>
      <c r="F925" s="1" t="str">
        <f>IFERROR(__xludf.DUMMYFUNCTION("""COMPUTED_VALUE"""),"291105")</f>
        <v>291105</v>
      </c>
      <c r="G925" s="1" t="str">
        <f>IFERROR(__xludf.DUMMYFUNCTION("""COMPUTED_VALUE"""),"นายสราวุฒิ พณิชยกุล")</f>
        <v>นายสราวุฒิ พณิชยกุล</v>
      </c>
      <c r="H925" s="1" t="str">
        <f>IFERROR(__xludf.DUMMYFUNCTION("""COMPUTED_VALUE"""),"392433")</f>
        <v>392433</v>
      </c>
      <c r="I925" s="1" t="str">
        <f>IFERROR(__xludf.DUMMYFUNCTION("""COMPUTED_VALUE"""),"นายพรธิวา ใจอ่อน")</f>
        <v>นายพรธิวา ใจอ่อน</v>
      </c>
      <c r="J925" s="3">
        <f>IFERROR(__xludf.DUMMYFUNCTION("""COMPUTED_VALUE"""),2454781.0)</f>
        <v>2454781</v>
      </c>
      <c r="K925" s="3" t="str">
        <f>IFERROR(__xludf.DUMMYFUNCTION("""COMPUTED_VALUE"""),"นายฌานกฤช นันทะโคต")</f>
        <v>นายฌานกฤช นันทะโคต</v>
      </c>
      <c r="L925" s="1" t="str">
        <f>IFERROR(__xludf.DUMMYFUNCTION("""COMPUTED_VALUE"""),"05 K.Chanakrit N.")</f>
        <v>05 K.Chanakrit N.</v>
      </c>
      <c r="M925" s="1" t="str">
        <f>IFERROR(__xludf.DUMMYFUNCTION("""COMPUTED_VALUE"""),"090-978-9785 ,065-929-1320")</f>
        <v>090-978-9785 ,065-929-1320</v>
      </c>
      <c r="N925" s="3">
        <f>IFERROR(__xludf.DUMMYFUNCTION("""COMPUTED_VALUE"""),22195.0)</f>
        <v>22195</v>
      </c>
      <c r="O925" s="3" t="str">
        <f>IFERROR(__xludf.DUMMYFUNCTION("""COMPUTED_VALUE"""),"MBC กันทรลักษ์ ศรีสะเกษ")</f>
        <v>MBC กันทรลักษ์ ศรีสะเกษ</v>
      </c>
      <c r="P925" s="4">
        <f>IFERROR(__xludf.DUMMYFUNCTION("""COMPUTED_VALUE"""),43443.0)</f>
        <v>43443</v>
      </c>
      <c r="Q925" s="3" t="str">
        <f>IFERROR(__xludf.DUMMYFUNCTION("""COMPUTED_VALUE"""),"A")</f>
        <v>A</v>
      </c>
      <c r="R925" s="3" t="str">
        <f>IFERROR(__xludf.DUMMYFUNCTION("""COMPUTED_VALUE"""),"Small Format")</f>
        <v>Small Format</v>
      </c>
      <c r="S925" s="3" t="str">
        <f>IFERROR(__xludf.DUMMYFUNCTION("""COMPUTED_VALUE"""),"BCM")</f>
        <v>BCM</v>
      </c>
      <c r="T925" s="3" t="str">
        <f>IFERROR(__xludf.DUMMYFUNCTION("""COMPUTED_VALUE"""),"#N/A")</f>
        <v>#N/A</v>
      </c>
      <c r="U925" s="3" t="str">
        <f>IFERROR(__xludf.DUMMYFUNCTION("""COMPUTED_VALUE"""),"#N/A")</f>
        <v>#N/A</v>
      </c>
      <c r="V925" s="3" t="str">
        <f>IFERROR(__xludf.DUMMYFUNCTION("""COMPUTED_VALUE"""),"N")</f>
        <v>N</v>
      </c>
      <c r="W925" s="3">
        <f>IFERROR(__xludf.DUMMYFUNCTION("""COMPUTED_VALUE"""),211671.0)</f>
        <v>211671</v>
      </c>
      <c r="X925" s="3" t="str">
        <f>IFERROR(__xludf.DUMMYFUNCTION("""COMPUTED_VALUE"""),"114,116,118,120,122 ถนนผังเมืองบัญชา ตำบลตลาด อำเภอเมืองมหาสารคาม จังหวัดมหาสารคาม 44000")</f>
        <v>114,116,118,120,122 ถนนผังเมืองบัญชา ตำบลตลาด อำเภอเมืองมหาสารคาม จังหวัดมหาสารคาม 44000</v>
      </c>
      <c r="Y925" s="3" t="str">
        <f>IFERROR(__xludf.DUMMYFUNCTION("""COMPUTED_VALUE"""),"ถนนผังเมืองบัญชา")</f>
        <v>ถนนผังเมืองบัญชา</v>
      </c>
      <c r="Z925" s="3" t="str">
        <f>IFERROR(__xludf.DUMMYFUNCTION("""COMPUTED_VALUE"""),"ตลาด")</f>
        <v>ตลาด</v>
      </c>
      <c r="AA925" s="3" t="str">
        <f>IFERROR(__xludf.DUMMYFUNCTION("""COMPUTED_VALUE"""),"เมือง")</f>
        <v>เมือง</v>
      </c>
      <c r="AB925" s="3" t="str">
        <f>IFERROR(__xludf.DUMMYFUNCTION("""COMPUTED_VALUE"""),"มหาสารคาม")</f>
        <v>มหาสารคาม</v>
      </c>
      <c r="AC925" s="3">
        <f>IFERROR(__xludf.DUMMYFUNCTION("""COMPUTED_VALUE"""),44000.0)</f>
        <v>44000</v>
      </c>
      <c r="AD925" s="3">
        <f>IFERROR(__xludf.DUMMYFUNCTION("""COMPUTED_VALUE"""),16.1781317)</f>
        <v>16.1781317</v>
      </c>
      <c r="AE925" s="3">
        <f>IFERROR(__xludf.DUMMYFUNCTION("""COMPUTED_VALUE"""),103.3008291)</f>
        <v>103.3008291</v>
      </c>
      <c r="AF925" s="3" t="str">
        <f>IFERROR(__xludf.DUMMYFUNCTION("""COMPUTED_VALUE"""),"MBC ตลาดโต้รุ่ง มหาสารคาม-21694")</f>
        <v>MBC ตลาดโต้รุ่ง มหาสารคาม-21694</v>
      </c>
      <c r="AG925" s="3" t="str">
        <f>IFERROR(__xludf.DUMMYFUNCTION("""COMPUTED_VALUE"""),"ตะวันออกเฉียงเหนือ")</f>
        <v>ตะวันออกเฉียงเหนือ</v>
      </c>
      <c r="AH925" s="3" t="str">
        <f>IFERROR(__xludf.DUMMYFUNCTION("""COMPUTED_VALUE"""),"#N/A")</f>
        <v>#N/A</v>
      </c>
      <c r="AI925" s="3" t="str">
        <f>IFERROR(__xludf.DUMMYFUNCTION("""COMPUTED_VALUE"""),"Out of warranty")</f>
        <v>Out of warranty</v>
      </c>
      <c r="AJ925" s="3">
        <f>IFERROR(__xludf.DUMMYFUNCTION("""COMPUTED_VALUE"""),86.0)</f>
        <v>86</v>
      </c>
      <c r="AK925" s="3" t="str">
        <f>IFERROR(__xludf.DUMMYFUNCTION("""COMPUTED_VALUE"""),"MMS13")</f>
        <v>MMS13</v>
      </c>
      <c r="AL925" s="3"/>
    </row>
    <row r="926" ht="15.75" customHeight="1">
      <c r="A926" s="1" t="str">
        <f>IFERROR(__xludf.DUMMYFUNCTION("""COMPUTED_VALUE"""),"21695")</f>
        <v>21695</v>
      </c>
      <c r="B926" s="2">
        <f>IFERROR(__xludf.DUMMYFUNCTION("""COMPUTED_VALUE"""),21695.0)</f>
        <v>21695</v>
      </c>
      <c r="C926" s="3" t="str">
        <f>IFERROR(__xludf.DUMMYFUNCTION("""COMPUTED_VALUE"""),"MBC เทศบาลแหลมฉบัง")</f>
        <v>MBC เทศบาลแหลมฉบัง</v>
      </c>
      <c r="D926" s="3" t="str">
        <f>IFERROR(__xludf.DUMMYFUNCTION("""COMPUTED_VALUE"""),"BCM THESSABAN LAEMCHABANG")</f>
        <v>BCM THESSABAN LAEMCHABANG</v>
      </c>
      <c r="E926" s="1" t="str">
        <f>IFERROR(__xludf.DUMMYFUNCTION("""COMPUTED_VALUE"""),"บิ๊กซี MINI")</f>
        <v>บิ๊กซี MINI</v>
      </c>
      <c r="F926" s="1" t="str">
        <f>IFERROR(__xludf.DUMMYFUNCTION("""COMPUTED_VALUE"""),"221716")</f>
        <v>221716</v>
      </c>
      <c r="G926" s="1" t="str">
        <f>IFERROR(__xludf.DUMMYFUNCTION("""COMPUTED_VALUE"""),"น.ส.เบญจพร โพธิสาร")</f>
        <v>น.ส.เบญจพร โพธิสาร</v>
      </c>
      <c r="H926" s="1" t="str">
        <f>IFERROR(__xludf.DUMMYFUNCTION("""COMPUTED_VALUE"""),"291061")</f>
        <v>291061</v>
      </c>
      <c r="I926" s="1" t="str">
        <f>IFERROR(__xludf.DUMMYFUNCTION("""COMPUTED_VALUE"""),"นายสมศักดิ์ เสียงก้อง")</f>
        <v>นายสมศักดิ์ เสียงก้อง</v>
      </c>
      <c r="J926" s="3">
        <f>IFERROR(__xludf.DUMMYFUNCTION("""COMPUTED_VALUE"""),296942.0)</f>
        <v>296942</v>
      </c>
      <c r="K926" s="3" t="str">
        <f>IFERROR(__xludf.DUMMYFUNCTION("""COMPUTED_VALUE"""),"นายปิยะ รักษากิจ")</f>
        <v>นายปิยะ รักษากิจ</v>
      </c>
      <c r="L926" s="1" t="str">
        <f>IFERROR(__xludf.DUMMYFUNCTION("""COMPUTED_VALUE"""),"07 K.Piya R.")</f>
        <v>07 K.Piya R.</v>
      </c>
      <c r="M926" s="1" t="str">
        <f>IFERROR(__xludf.DUMMYFUNCTION("""COMPUTED_VALUE"""),"097-919-5476")</f>
        <v>097-919-5476</v>
      </c>
      <c r="N926" s="3">
        <f>IFERROR(__xludf.DUMMYFUNCTION("""COMPUTED_VALUE"""),21332.0)</f>
        <v>21332</v>
      </c>
      <c r="O926" s="3" t="str">
        <f>IFERROR(__xludf.DUMMYFUNCTION("""COMPUTED_VALUE"""),"MBC BCP อ่อนนุช 17/1")</f>
        <v>MBC BCP อ่อนนุช 17/1</v>
      </c>
      <c r="P926" s="4">
        <f>IFERROR(__xludf.DUMMYFUNCTION("""COMPUTED_VALUE"""),43510.0)</f>
        <v>43510</v>
      </c>
      <c r="Q926" s="3" t="str">
        <f>IFERROR(__xludf.DUMMYFUNCTION("""COMPUTED_VALUE"""),"A")</f>
        <v>A</v>
      </c>
      <c r="R926" s="3" t="str">
        <f>IFERROR(__xludf.DUMMYFUNCTION("""COMPUTED_VALUE"""),"Small Format")</f>
        <v>Small Format</v>
      </c>
      <c r="S926" s="3" t="str">
        <f>IFERROR(__xludf.DUMMYFUNCTION("""COMPUTED_VALUE"""),"BCM")</f>
        <v>BCM</v>
      </c>
      <c r="T926" s="3" t="str">
        <f>IFERROR(__xludf.DUMMYFUNCTION("""COMPUTED_VALUE"""),"#N/A")</f>
        <v>#N/A</v>
      </c>
      <c r="U926" s="3" t="str">
        <f>IFERROR(__xludf.DUMMYFUNCTION("""COMPUTED_VALUE"""),"#N/A")</f>
        <v>#N/A</v>
      </c>
      <c r="V926" s="3" t="str">
        <f>IFERROR(__xludf.DUMMYFUNCTION("""COMPUTED_VALUE"""),"N")</f>
        <v>N</v>
      </c>
      <c r="W926" s="3">
        <f>IFERROR(__xludf.DUMMYFUNCTION("""COMPUTED_VALUE"""),211600.0)</f>
        <v>211600</v>
      </c>
      <c r="X926" s="3" t="str">
        <f>IFERROR(__xludf.DUMMYFUNCTION("""COMPUTED_VALUE"""),"35/11-12 หมู่10 ตำบลทุ่งสุขลา อำเภอศรีราชา จังหวัดชลบุรี 20230")</f>
        <v>35/11-12 หมู่10 ตำบลทุ่งสุขลา อำเภอศรีราชา จังหวัดชลบุรี 20230</v>
      </c>
      <c r="Y926" s="3"/>
      <c r="Z926" s="3" t="str">
        <f>IFERROR(__xludf.DUMMYFUNCTION("""COMPUTED_VALUE"""),"ทุ่งสุขลา")</f>
        <v>ทุ่งสุขลา</v>
      </c>
      <c r="AA926" s="3" t="str">
        <f>IFERROR(__xludf.DUMMYFUNCTION("""COMPUTED_VALUE"""),"ศรีราชา")</f>
        <v>ศรีราชา</v>
      </c>
      <c r="AB926" s="3" t="str">
        <f>IFERROR(__xludf.DUMMYFUNCTION("""COMPUTED_VALUE"""),"ชลบุรี")</f>
        <v>ชลบุรี</v>
      </c>
      <c r="AC926" s="3">
        <f>IFERROR(__xludf.DUMMYFUNCTION("""COMPUTED_VALUE"""),20230.0)</f>
        <v>20230</v>
      </c>
      <c r="AD926" s="3">
        <f>IFERROR(__xludf.DUMMYFUNCTION("""COMPUTED_VALUE"""),13.0973467)</f>
        <v>13.0973467</v>
      </c>
      <c r="AE926" s="3">
        <f>IFERROR(__xludf.DUMMYFUNCTION("""COMPUTED_VALUE"""),100.919465)</f>
        <v>100.919465</v>
      </c>
      <c r="AF926" s="3" t="str">
        <f>IFERROR(__xludf.DUMMYFUNCTION("""COMPUTED_VALUE"""),"MBC เทศบาลแหลมฉบัง-21695")</f>
        <v>MBC เทศบาลแหลมฉบัง-21695</v>
      </c>
      <c r="AG926" s="3" t="str">
        <f>IFERROR(__xludf.DUMMYFUNCTION("""COMPUTED_VALUE"""),"ตะวันออก")</f>
        <v>ตะวันออก</v>
      </c>
      <c r="AH926" s="3" t="str">
        <f>IFERROR(__xludf.DUMMYFUNCTION("""COMPUTED_VALUE"""),"#N/A")</f>
        <v>#N/A</v>
      </c>
      <c r="AI926" s="3" t="str">
        <f>IFERROR(__xludf.DUMMYFUNCTION("""COMPUTED_VALUE"""),"Out of warranty")</f>
        <v>Out of warranty</v>
      </c>
      <c r="AJ926" s="3">
        <f>IFERROR(__xludf.DUMMYFUNCTION("""COMPUTED_VALUE"""),84.0)</f>
        <v>84</v>
      </c>
      <c r="AK926" s="3" t="str">
        <f>IFERROR(__xludf.DUMMYFUNCTION("""COMPUTED_VALUE"""),"MMS06")</f>
        <v>MMS06</v>
      </c>
      <c r="AL926" s="3"/>
    </row>
    <row r="927" ht="15.75" customHeight="1">
      <c r="A927" s="1" t="str">
        <f>IFERROR(__xludf.DUMMYFUNCTION("""COMPUTED_VALUE"""),"21696")</f>
        <v>21696</v>
      </c>
      <c r="B927" s="2">
        <f>IFERROR(__xludf.DUMMYFUNCTION("""COMPUTED_VALUE"""),21696.0)</f>
        <v>21696</v>
      </c>
      <c r="C927" s="3" t="str">
        <f>IFERROR(__xludf.DUMMYFUNCTION("""COMPUTED_VALUE"""),"MBC เลียบคลอง สิวา พาสวัสดิ์")</f>
        <v>MBC เลียบคลอง สิวา พาสวัสดิ์</v>
      </c>
      <c r="D927" s="3" t="str">
        <f>IFERROR(__xludf.DUMMYFUNCTION("""COMPUTED_VALUE"""),"BCM LIAB KHLONG SIWA PHASAWAT")</f>
        <v>BCM LIAB KHLONG SIWA PHASAWAT</v>
      </c>
      <c r="E927" s="1" t="str">
        <f>IFERROR(__xludf.DUMMYFUNCTION("""COMPUTED_VALUE"""),"บิ๊กซี MINI")</f>
        <v>บิ๊กซี MINI</v>
      </c>
      <c r="F927" s="1" t="str">
        <f>IFERROR(__xludf.DUMMYFUNCTION("""COMPUTED_VALUE"""),"2083447")</f>
        <v>2083447</v>
      </c>
      <c r="G927" s="1" t="str">
        <f>IFERROR(__xludf.DUMMYFUNCTION("""COMPUTED_VALUE"""),"นายอนุกูล ศรีลัดดา")</f>
        <v>นายอนุกูล ศรีลัดดา</v>
      </c>
      <c r="H927" s="1" t="str">
        <f>IFERROR(__xludf.DUMMYFUNCTION("""COMPUTED_VALUE"""),"2455053")</f>
        <v>2455053</v>
      </c>
      <c r="I927" s="1" t="str">
        <f>IFERROR(__xludf.DUMMYFUNCTION("""COMPUTED_VALUE"""),"นายพันธมิตร โพธิ")</f>
        <v>นายพันธมิตร โพธิ</v>
      </c>
      <c r="J927" s="3">
        <f>IFERROR(__xludf.DUMMYFUNCTION("""COMPUTED_VALUE"""),2451655.0)</f>
        <v>2451655</v>
      </c>
      <c r="K927" s="3" t="str">
        <f>IFERROR(__xludf.DUMMYFUNCTION("""COMPUTED_VALUE"""),"นายวิษณุพงษ์ ชินบุตร")</f>
        <v>นายวิษณุพงษ์ ชินบุตร</v>
      </c>
      <c r="L927" s="1" t="str">
        <f>IFERROR(__xludf.DUMMYFUNCTION("""COMPUTED_VALUE"""),"13 K.Wisanupong Ch")</f>
        <v>13 K.Wisanupong Ch</v>
      </c>
      <c r="M927" s="1" t="str">
        <f>IFERROR(__xludf.DUMMYFUNCTION("""COMPUTED_VALUE"""),"0843374693")</f>
        <v>0843374693</v>
      </c>
      <c r="N927" s="3">
        <f>IFERROR(__xludf.DUMMYFUNCTION("""COMPUTED_VALUE"""),22729.0)</f>
        <v>22729</v>
      </c>
      <c r="O927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927" s="4">
        <f>IFERROR(__xludf.DUMMYFUNCTION("""COMPUTED_VALUE"""),43457.0)</f>
        <v>43457</v>
      </c>
      <c r="Q927" s="3" t="str">
        <f>IFERROR(__xludf.DUMMYFUNCTION("""COMPUTED_VALUE"""),"A")</f>
        <v>A</v>
      </c>
      <c r="R927" s="3" t="str">
        <f>IFERROR(__xludf.DUMMYFUNCTION("""COMPUTED_VALUE"""),"Small Format")</f>
        <v>Small Format</v>
      </c>
      <c r="S927" s="3" t="str">
        <f>IFERROR(__xludf.DUMMYFUNCTION("""COMPUTED_VALUE"""),"BCM")</f>
        <v>BCM</v>
      </c>
      <c r="T927" s="3" t="str">
        <f>IFERROR(__xludf.DUMMYFUNCTION("""COMPUTED_VALUE"""),"#N/A")</f>
        <v>#N/A</v>
      </c>
      <c r="U927" s="3" t="str">
        <f>IFERROR(__xludf.DUMMYFUNCTION("""COMPUTED_VALUE"""),"#N/A")</f>
        <v>#N/A</v>
      </c>
      <c r="V927" s="3" t="str">
        <f>IFERROR(__xludf.DUMMYFUNCTION("""COMPUTED_VALUE"""),"N")</f>
        <v>N</v>
      </c>
      <c r="W927" s="3">
        <f>IFERROR(__xludf.DUMMYFUNCTION("""COMPUTED_VALUE"""),211649.0)</f>
        <v>211649</v>
      </c>
      <c r="X927" s="3" t="str">
        <f>IFERROR(__xludf.DUMMYFUNCTION("""COMPUTED_VALUE"""),"11/25-27 หมู่6 ตำบลคอกกระบือ อำเภอเมืองสมุทรสาคร จังหวัดสมุทรสาคร 74000")</f>
        <v>11/25-27 หมู่6 ตำบลคอกกระบือ อำเภอเมืองสมุทรสาคร จังหวัดสมุทรสาคร 74000</v>
      </c>
      <c r="Y927" s="3"/>
      <c r="Z927" s="3" t="str">
        <f>IFERROR(__xludf.DUMMYFUNCTION("""COMPUTED_VALUE"""),"คอกกระบือ")</f>
        <v>คอกกระบือ</v>
      </c>
      <c r="AA927" s="3" t="str">
        <f>IFERROR(__xludf.DUMMYFUNCTION("""COMPUTED_VALUE"""),"เมือง")</f>
        <v>เมือง</v>
      </c>
      <c r="AB927" s="3" t="str">
        <f>IFERROR(__xludf.DUMMYFUNCTION("""COMPUTED_VALUE"""),"สมุทรสาคร")</f>
        <v>สมุทรสาคร</v>
      </c>
      <c r="AC927" s="3">
        <f>IFERROR(__xludf.DUMMYFUNCTION("""COMPUTED_VALUE"""),74000.0)</f>
        <v>74000</v>
      </c>
      <c r="AD927" s="3">
        <f>IFERROR(__xludf.DUMMYFUNCTION("""COMPUTED_VALUE"""),13.597998)</f>
        <v>13.597998</v>
      </c>
      <c r="AE927" s="3">
        <f>IFERROR(__xludf.DUMMYFUNCTION("""COMPUTED_VALUE"""),100.31913)</f>
        <v>100.31913</v>
      </c>
      <c r="AF927" s="3" t="str">
        <f>IFERROR(__xludf.DUMMYFUNCTION("""COMPUTED_VALUE"""),"MBC เลียบคลอง สิวา พาสวัสดิ์-21696")</f>
        <v>MBC เลียบคลอง สิวา พาสวัสดิ์-21696</v>
      </c>
      <c r="AG927" s="3" t="str">
        <f>IFERROR(__xludf.DUMMYFUNCTION("""COMPUTED_VALUE"""),"กลาง")</f>
        <v>กลาง</v>
      </c>
      <c r="AH927" s="3" t="str">
        <f>IFERROR(__xludf.DUMMYFUNCTION("""COMPUTED_VALUE"""),"#N/A")</f>
        <v>#N/A</v>
      </c>
      <c r="AI927" s="3" t="str">
        <f>IFERROR(__xludf.DUMMYFUNCTION("""COMPUTED_VALUE"""),"Out of warranty")</f>
        <v>Out of warranty</v>
      </c>
      <c r="AJ927" s="3">
        <f>IFERROR(__xludf.DUMMYFUNCTION("""COMPUTED_VALUE"""),85.0)</f>
        <v>85</v>
      </c>
      <c r="AK927" s="3" t="str">
        <f>IFERROR(__xludf.DUMMYFUNCTION("""COMPUTED_VALUE"""),"MMS05")</f>
        <v>MMS05</v>
      </c>
      <c r="AL927" s="3"/>
    </row>
    <row r="928" ht="15.75" customHeight="1">
      <c r="A928" s="1" t="str">
        <f>IFERROR(__xludf.DUMMYFUNCTION("""COMPUTED_VALUE"""),"21697")</f>
        <v>21697</v>
      </c>
      <c r="B928" s="2">
        <f>IFERROR(__xludf.DUMMYFUNCTION("""COMPUTED_VALUE"""),21697.0)</f>
        <v>21697</v>
      </c>
      <c r="C928" s="3" t="str">
        <f>IFERROR(__xludf.DUMMYFUNCTION("""COMPUTED_VALUE"""),"MBC อมตะ เฟส6 บ้านเก่า")</f>
        <v>MBC อมตะ เฟส6 บ้านเก่า</v>
      </c>
      <c r="D928" s="3" t="str">
        <f>IFERROR(__xludf.DUMMYFUNCTION("""COMPUTED_VALUE"""),"BCM AMATA PHASE 6 BAN KAO")</f>
        <v>BCM AMATA PHASE 6 BAN KAO</v>
      </c>
      <c r="E928" s="1" t="str">
        <f>IFERROR(__xludf.DUMMYFUNCTION("""COMPUTED_VALUE"""),"บิ๊กซี MINI")</f>
        <v>บิ๊กซี MINI</v>
      </c>
      <c r="F928" s="1" t="str">
        <f>IFERROR(__xludf.DUMMYFUNCTION("""COMPUTED_VALUE"""),"221716")</f>
        <v>221716</v>
      </c>
      <c r="G928" s="1" t="str">
        <f>IFERROR(__xludf.DUMMYFUNCTION("""COMPUTED_VALUE"""),"น.ส.เบญจพร โพธิสาร")</f>
        <v>น.ส.เบญจพร โพธิสาร</v>
      </c>
      <c r="H928" s="1" t="str">
        <f>IFERROR(__xludf.DUMMYFUNCTION("""COMPUTED_VALUE"""),"034605")</f>
        <v>034605</v>
      </c>
      <c r="I928" s="1" t="str">
        <f>IFERROR(__xludf.DUMMYFUNCTION("""COMPUTED_VALUE"""),"นายธรรมรัตน์ สุขเจริญ")</f>
        <v>นายธรรมรัตน์ สุขเจริญ</v>
      </c>
      <c r="J928" s="3">
        <f>IFERROR(__xludf.DUMMYFUNCTION("""COMPUTED_VALUE"""),1.3461215E7)</f>
        <v>13461215</v>
      </c>
      <c r="K928" s="3" t="str">
        <f>IFERROR(__xludf.DUMMYFUNCTION("""COMPUTED_VALUE"""),"นายธีรภัทร สังข์เงิน")</f>
        <v>นายธีรภัทร สังข์เงิน</v>
      </c>
      <c r="L928" s="1" t="str">
        <f>IFERROR(__xludf.DUMMYFUNCTION("""COMPUTED_VALUE"""),"06 K.Teerapat")</f>
        <v>06 K.Teerapat</v>
      </c>
      <c r="M928" s="1" t="str">
        <f>IFERROR(__xludf.DUMMYFUNCTION("""COMPUTED_VALUE"""),"063-601-6803")</f>
        <v>063-601-6803</v>
      </c>
      <c r="N928" s="3">
        <f>IFERROR(__xludf.DUMMYFUNCTION("""COMPUTED_VALUE"""),22115.0)</f>
        <v>22115</v>
      </c>
      <c r="O928" s="3" t="str">
        <f>IFERROR(__xludf.DUMMYFUNCTION("""COMPUTED_VALUE"""),"MBC เลี่ยงหนองมน ชลบุรี")</f>
        <v>MBC เลี่ยงหนองมน ชลบุรี</v>
      </c>
      <c r="P928" s="4">
        <f>IFERROR(__xludf.DUMMYFUNCTION("""COMPUTED_VALUE"""),43424.0)</f>
        <v>43424</v>
      </c>
      <c r="Q928" s="3" t="str">
        <f>IFERROR(__xludf.DUMMYFUNCTION("""COMPUTED_VALUE"""),"A")</f>
        <v>A</v>
      </c>
      <c r="R928" s="3" t="str">
        <f>IFERROR(__xludf.DUMMYFUNCTION("""COMPUTED_VALUE"""),"Small Format")</f>
        <v>Small Format</v>
      </c>
      <c r="S928" s="3" t="str">
        <f>IFERROR(__xludf.DUMMYFUNCTION("""COMPUTED_VALUE"""),"BCM")</f>
        <v>BCM</v>
      </c>
      <c r="T928" s="3" t="str">
        <f>IFERROR(__xludf.DUMMYFUNCTION("""COMPUTED_VALUE"""),"#N/A")</f>
        <v>#N/A</v>
      </c>
      <c r="U928" s="3" t="str">
        <f>IFERROR(__xludf.DUMMYFUNCTION("""COMPUTED_VALUE"""),"#N/A")</f>
        <v>#N/A</v>
      </c>
      <c r="V928" s="3" t="str">
        <f>IFERROR(__xludf.DUMMYFUNCTION("""COMPUTED_VALUE"""),"N")</f>
        <v>N</v>
      </c>
      <c r="W928" s="3">
        <f>IFERROR(__xludf.DUMMYFUNCTION("""COMPUTED_VALUE"""),211655.0)</f>
        <v>211655</v>
      </c>
      <c r="X928" s="3" t="str">
        <f>IFERROR(__xludf.DUMMYFUNCTION("""COMPUTED_VALUE"""),"55/5 หมู่7 ตำบลดอนหัวฟ่อ อำเภอเมืองชลบุรี จังหวัดชลบุรี 20000")</f>
        <v>55/5 หมู่7 ตำบลดอนหัวฟ่อ อำเภอเมืองชลบุรี จังหวัดชลบุรี 20000</v>
      </c>
      <c r="Y928" s="3"/>
      <c r="Z928" s="3" t="str">
        <f>IFERROR(__xludf.DUMMYFUNCTION("""COMPUTED_VALUE"""),"ดอนหัวฟ่อ")</f>
        <v>ดอนหัวฟ่อ</v>
      </c>
      <c r="AA928" s="3" t="str">
        <f>IFERROR(__xludf.DUMMYFUNCTION("""COMPUTED_VALUE"""),"เมือง")</f>
        <v>เมือง</v>
      </c>
      <c r="AB928" s="3" t="str">
        <f>IFERROR(__xludf.DUMMYFUNCTION("""COMPUTED_VALUE"""),"ชลบุรี")</f>
        <v>ชลบุรี</v>
      </c>
      <c r="AC928" s="3">
        <f>IFERROR(__xludf.DUMMYFUNCTION("""COMPUTED_VALUE"""),20000.0)</f>
        <v>20000</v>
      </c>
      <c r="AD928" s="3">
        <f>IFERROR(__xludf.DUMMYFUNCTION("""COMPUTED_VALUE"""),13.4429618)</f>
        <v>13.4429618</v>
      </c>
      <c r="AE928" s="3">
        <f>IFERROR(__xludf.DUMMYFUNCTION("""COMPUTED_VALUE"""),101.0593462)</f>
        <v>101.0593462</v>
      </c>
      <c r="AF928" s="3" t="str">
        <f>IFERROR(__xludf.DUMMYFUNCTION("""COMPUTED_VALUE"""),"MBC อมตะ เฟส6 บ้านเก่า-21697")</f>
        <v>MBC อมตะ เฟส6 บ้านเก่า-21697</v>
      </c>
      <c r="AG928" s="3" t="str">
        <f>IFERROR(__xludf.DUMMYFUNCTION("""COMPUTED_VALUE"""),"ตะวันออก")</f>
        <v>ตะวันออก</v>
      </c>
      <c r="AH928" s="3" t="str">
        <f>IFERROR(__xludf.DUMMYFUNCTION("""COMPUTED_VALUE"""),"#N/A")</f>
        <v>#N/A</v>
      </c>
      <c r="AI928" s="3" t="str">
        <f>IFERROR(__xludf.DUMMYFUNCTION("""COMPUTED_VALUE"""),"Out of warranty")</f>
        <v>Out of warranty</v>
      </c>
      <c r="AJ928" s="3">
        <f>IFERROR(__xludf.DUMMYFUNCTION("""COMPUTED_VALUE"""),87.0)</f>
        <v>87</v>
      </c>
      <c r="AK928" s="3" t="str">
        <f>IFERROR(__xludf.DUMMYFUNCTION("""COMPUTED_VALUE"""),"MMS07")</f>
        <v>MMS07</v>
      </c>
      <c r="AL928" s="3"/>
    </row>
    <row r="929" ht="15.75" customHeight="1">
      <c r="A929" s="1" t="str">
        <f>IFERROR(__xludf.DUMMYFUNCTION("""COMPUTED_VALUE"""),"21698")</f>
        <v>21698</v>
      </c>
      <c r="B929" s="2">
        <f>IFERROR(__xludf.DUMMYFUNCTION("""COMPUTED_VALUE"""),21698.0)</f>
        <v>21698</v>
      </c>
      <c r="C929" s="3" t="str">
        <f>IFERROR(__xludf.DUMMYFUNCTION("""COMPUTED_VALUE"""),"MBC ตลาดเทศบาลอุดร")</f>
        <v>MBC ตลาดเทศบาลอุดร</v>
      </c>
      <c r="D929" s="3" t="str">
        <f>IFERROR(__xludf.DUMMYFUNCTION("""COMPUTED_VALUE"""),"MBC TALAD TESSABAN UDON")</f>
        <v>MBC TALAD TESSABAN UDON</v>
      </c>
      <c r="E929" s="1" t="str">
        <f>IFERROR(__xludf.DUMMYFUNCTION("""COMPUTED_VALUE"""),"บิ๊กซี MINI")</f>
        <v>บิ๊กซี MINI</v>
      </c>
      <c r="F929" s="3"/>
      <c r="G929" s="3"/>
      <c r="H929" s="3"/>
      <c r="I929" s="3"/>
      <c r="J929" s="3"/>
      <c r="K929" s="3"/>
      <c r="L929" s="1" t="str">
        <f>IFERROR(__xludf.DUMMYFUNCTION("""COMPUTED_VALUE"""),"0")</f>
        <v>0</v>
      </c>
      <c r="M929" s="1" t="str">
        <f>IFERROR(__xludf.DUMMYFUNCTION("""COMPUTED_VALUE"""),"0")</f>
        <v>0</v>
      </c>
      <c r="N929" s="3"/>
      <c r="O929" s="3"/>
      <c r="P929" s="3" t="str">
        <f>IFERROR(__xludf.DUMMYFUNCTION("""COMPUTED_VALUE"""),"0/1/1900")</f>
        <v>0/1/1900</v>
      </c>
      <c r="Q929" s="3" t="str">
        <f>IFERROR(__xludf.DUMMYFUNCTION("""COMPUTED_VALUE"""),"I")</f>
        <v>I</v>
      </c>
      <c r="R929" s="3" t="str">
        <f>IFERROR(__xludf.DUMMYFUNCTION("""COMPUTED_VALUE"""),"Small Format")</f>
        <v>Small Format</v>
      </c>
      <c r="S929" s="3" t="str">
        <f>IFERROR(__xludf.DUMMYFUNCTION("""COMPUTED_VALUE"""),"BCM")</f>
        <v>BCM</v>
      </c>
      <c r="T929" s="3" t="str">
        <f>IFERROR(__xludf.DUMMYFUNCTION("""COMPUTED_VALUE"""),"#N/A")</f>
        <v>#N/A</v>
      </c>
      <c r="U929" s="3" t="str">
        <f>IFERROR(__xludf.DUMMYFUNCTION("""COMPUTED_VALUE"""),"#N/A")</f>
        <v>#N/A</v>
      </c>
      <c r="V929" s="3" t="str">
        <f>IFERROR(__xludf.DUMMYFUNCTION("""COMPUTED_VALUE"""),"N")</f>
        <v>N</v>
      </c>
      <c r="W929" s="3">
        <f>IFERROR(__xludf.DUMMYFUNCTION("""COMPUTED_VALUE"""),211672.0)</f>
        <v>211672</v>
      </c>
      <c r="X929" s="3" t="str">
        <f>IFERROR(__xludf.DUMMYFUNCTION("""COMPUTED_VALUE"""),"25/2 ถนนสร้างหลวง ตำบลหมากแข้ง อำเภอเมืองอุดรธานี จังหวัดอุดรธานี 41000")</f>
        <v>25/2 ถนนสร้างหลวง ตำบลหมากแข้ง อำเภอเมืองอุดรธานี จังหวัดอุดรธานี 41000</v>
      </c>
      <c r="Y929" s="3" t="str">
        <f>IFERROR(__xludf.DUMMYFUNCTION("""COMPUTED_VALUE"""),"ถนนสร้างหลวง")</f>
        <v>ถนนสร้างหลวง</v>
      </c>
      <c r="Z929" s="3" t="str">
        <f>IFERROR(__xludf.DUMMYFUNCTION("""COMPUTED_VALUE"""),"หมากแข้ง")</f>
        <v>หมากแข้ง</v>
      </c>
      <c r="AA929" s="3" t="str">
        <f>IFERROR(__xludf.DUMMYFUNCTION("""COMPUTED_VALUE"""),"เมือง")</f>
        <v>เมือง</v>
      </c>
      <c r="AB929" s="3" t="str">
        <f>IFERROR(__xludf.DUMMYFUNCTION("""COMPUTED_VALUE"""),"อุดรธานี")</f>
        <v>อุดรธานี</v>
      </c>
      <c r="AC929" s="3">
        <f>IFERROR(__xludf.DUMMYFUNCTION("""COMPUTED_VALUE"""),41000.0)</f>
        <v>41000</v>
      </c>
      <c r="AD929" s="3" t="str">
        <f>IFERROR(__xludf.DUMMYFUNCTION("""COMPUTED_VALUE"""),"#N/A")</f>
        <v>#N/A</v>
      </c>
      <c r="AE929" s="3" t="str">
        <f>IFERROR(__xludf.DUMMYFUNCTION("""COMPUTED_VALUE"""),"#N/A")</f>
        <v>#N/A</v>
      </c>
      <c r="AF929" s="3" t="str">
        <f>IFERROR(__xludf.DUMMYFUNCTION("""COMPUTED_VALUE"""),"MBC ตลาดเทศบาลอุดร-21698")</f>
        <v>MBC ตลาดเทศบาลอุดร-21698</v>
      </c>
      <c r="AG929" s="3" t="str">
        <f>IFERROR(__xludf.DUMMYFUNCTION("""COMPUTED_VALUE"""),"ตะวันออกเฉียงเหนือ")</f>
        <v>ตะวันออกเฉียงเหนือ</v>
      </c>
      <c r="AH929" s="3" t="str">
        <f>IFERROR(__xludf.DUMMYFUNCTION("""COMPUTED_VALUE"""),"#N/A")</f>
        <v>#N/A</v>
      </c>
      <c r="AI929" s="3" t="str">
        <f>IFERROR(__xludf.DUMMYFUNCTION("""COMPUTED_VALUE"""),"Out of warranty")</f>
        <v>Out of warranty</v>
      </c>
      <c r="AJ929" s="3">
        <f>IFERROR(__xludf.DUMMYFUNCTION("""COMPUTED_VALUE"""),1513.0)</f>
        <v>1513</v>
      </c>
      <c r="AK929" s="3"/>
      <c r="AL929" s="3"/>
    </row>
    <row r="930" ht="15.75" customHeight="1">
      <c r="A930" s="1" t="str">
        <f>IFERROR(__xludf.DUMMYFUNCTION("""COMPUTED_VALUE"""),"21699")</f>
        <v>21699</v>
      </c>
      <c r="B930" s="2">
        <f>IFERROR(__xludf.DUMMYFUNCTION("""COMPUTED_VALUE"""),21699.0)</f>
        <v>21699</v>
      </c>
      <c r="C930" s="3" t="str">
        <f>IFERROR(__xludf.DUMMYFUNCTION("""COMPUTED_VALUE"""),"MBC หาดราไวย์")</f>
        <v>MBC หาดราไวย์</v>
      </c>
      <c r="D930" s="3" t="str">
        <f>IFERROR(__xludf.DUMMYFUNCTION("""COMPUTED_VALUE"""),"BCM HAT RAWAI")</f>
        <v>BCM HAT RAWAI</v>
      </c>
      <c r="E930" s="1" t="str">
        <f>IFERROR(__xludf.DUMMYFUNCTION("""COMPUTED_VALUE"""),"บิ๊กซี MINI")</f>
        <v>บิ๊กซี MINI</v>
      </c>
      <c r="F930" s="1" t="str">
        <f>IFERROR(__xludf.DUMMYFUNCTION("""COMPUTED_VALUE"""),"250760")</f>
        <v>250760</v>
      </c>
      <c r="G930" s="1" t="str">
        <f>IFERROR(__xludf.DUMMYFUNCTION("""COMPUTED_VALUE"""),"นายประทวน สาราบรรณ์")</f>
        <v>นายประทวน สาราบรรณ์</v>
      </c>
      <c r="H930" s="1" t="str">
        <f>IFERROR(__xludf.DUMMYFUNCTION("""COMPUTED_VALUE"""),"357284")</f>
        <v>357284</v>
      </c>
      <c r="I930" s="1" t="str">
        <f>IFERROR(__xludf.DUMMYFUNCTION("""COMPUTED_VALUE"""),"น.ส.เบญจวรรณ ปัณฑโมรา")</f>
        <v>น.ส.เบญจวรรณ ปัณฑโมรา</v>
      </c>
      <c r="J930" s="3">
        <f>IFERROR(__xludf.DUMMYFUNCTION("""COMPUTED_VALUE"""),25324.0)</f>
        <v>25324</v>
      </c>
      <c r="K930" s="3" t="str">
        <f>IFERROR(__xludf.DUMMYFUNCTION("""COMPUTED_VALUE"""),"นายวิเชฎฐ์ ติรัตนะประคม")</f>
        <v>นายวิเชฎฐ์ ติรัตนะประคม</v>
      </c>
      <c r="L930" s="1" t="str">
        <f>IFERROR(__xludf.DUMMYFUNCTION("""COMPUTED_VALUE"""),"14 K.Wichet T.")</f>
        <v>14 K.Wichet T.</v>
      </c>
      <c r="M930" s="1" t="str">
        <f>IFERROR(__xludf.DUMMYFUNCTION("""COMPUTED_VALUE"""),"061-417-6569 / 086-445-5636")</f>
        <v>061-417-6569 / 086-445-5636</v>
      </c>
      <c r="N930" s="3">
        <f>IFERROR(__xludf.DUMMYFUNCTION("""COMPUTED_VALUE"""),22658.0)</f>
        <v>22658</v>
      </c>
      <c r="O930" s="3" t="str">
        <f>IFERROR(__xludf.DUMMYFUNCTION("""COMPUTED_VALUE"""),"BCM ถ.วิรัชหงษ์หยก ภูเก็ต")</f>
        <v>BCM ถ.วิรัชหงษ์หยก ภูเก็ต</v>
      </c>
      <c r="P930" s="4">
        <f>IFERROR(__xludf.DUMMYFUNCTION("""COMPUTED_VALUE"""),43555.0)</f>
        <v>43555</v>
      </c>
      <c r="Q930" s="3" t="str">
        <f>IFERROR(__xludf.DUMMYFUNCTION("""COMPUTED_VALUE"""),"A")</f>
        <v>A</v>
      </c>
      <c r="R930" s="3" t="str">
        <f>IFERROR(__xludf.DUMMYFUNCTION("""COMPUTED_VALUE"""),"Small Format")</f>
        <v>Small Format</v>
      </c>
      <c r="S930" s="3" t="str">
        <f>IFERROR(__xludf.DUMMYFUNCTION("""COMPUTED_VALUE"""),"BCM")</f>
        <v>BCM</v>
      </c>
      <c r="T930" s="3" t="str">
        <f>IFERROR(__xludf.DUMMYFUNCTION("""COMPUTED_VALUE"""),"#N/A")</f>
        <v>#N/A</v>
      </c>
      <c r="U930" s="3" t="str">
        <f>IFERROR(__xludf.DUMMYFUNCTION("""COMPUTED_VALUE"""),"#N/A")</f>
        <v>#N/A</v>
      </c>
      <c r="V930" s="3" t="str">
        <f>IFERROR(__xludf.DUMMYFUNCTION("""COMPUTED_VALUE"""),"N")</f>
        <v>N</v>
      </c>
      <c r="W930" s="3">
        <f>IFERROR(__xludf.DUMMYFUNCTION("""COMPUTED_VALUE"""),211674.0)</f>
        <v>211674</v>
      </c>
      <c r="X930" s="3" t="str">
        <f>IFERROR(__xludf.DUMMYFUNCTION("""COMPUTED_VALUE"""),"1/31 หมู่6 ตำบลราไวย์ อำเภอเมืองภูเก็ต จังหวัดภูเก็ต 83130")</f>
        <v>1/31 หมู่6 ตำบลราไวย์ อำเภอเมืองภูเก็ต จังหวัดภูเก็ต 83130</v>
      </c>
      <c r="Y930" s="3"/>
      <c r="Z930" s="3" t="str">
        <f>IFERROR(__xludf.DUMMYFUNCTION("""COMPUTED_VALUE"""),"ราไวย์")</f>
        <v>ราไวย์</v>
      </c>
      <c r="AA930" s="3" t="str">
        <f>IFERROR(__xludf.DUMMYFUNCTION("""COMPUTED_VALUE"""),"เมือง")</f>
        <v>เมือง</v>
      </c>
      <c r="AB930" s="3" t="str">
        <f>IFERROR(__xludf.DUMMYFUNCTION("""COMPUTED_VALUE"""),"ภูเก็ต")</f>
        <v>ภูเก็ต</v>
      </c>
      <c r="AC930" s="3">
        <f>IFERROR(__xludf.DUMMYFUNCTION("""COMPUTED_VALUE"""),83130.0)</f>
        <v>83130</v>
      </c>
      <c r="AD930" s="3">
        <f>IFERROR(__xludf.DUMMYFUNCTION("""COMPUTED_VALUE"""),7.7756458)</f>
        <v>7.7756458</v>
      </c>
      <c r="AE930" s="3">
        <f>IFERROR(__xludf.DUMMYFUNCTION("""COMPUTED_VALUE"""),98.327115)</f>
        <v>98.327115</v>
      </c>
      <c r="AF930" s="3" t="str">
        <f>IFERROR(__xludf.DUMMYFUNCTION("""COMPUTED_VALUE"""),"MBC หาดราไวย์-21699")</f>
        <v>MBC หาดราไวย์-21699</v>
      </c>
      <c r="AG930" s="3" t="str">
        <f>IFERROR(__xludf.DUMMYFUNCTION("""COMPUTED_VALUE"""),"ใต้")</f>
        <v>ใต้</v>
      </c>
      <c r="AH930" s="3" t="str">
        <f>IFERROR(__xludf.DUMMYFUNCTION("""COMPUTED_VALUE"""),"#N/A")</f>
        <v>#N/A</v>
      </c>
      <c r="AI930" s="3" t="str">
        <f>IFERROR(__xludf.DUMMYFUNCTION("""COMPUTED_VALUE"""),"Out of warranty")</f>
        <v>Out of warranty</v>
      </c>
      <c r="AJ930" s="3">
        <f>IFERROR(__xludf.DUMMYFUNCTION("""COMPUTED_VALUE"""),82.0)</f>
        <v>82</v>
      </c>
      <c r="AK930" s="3" t="str">
        <f>IFERROR(__xludf.DUMMYFUNCTION("""COMPUTED_VALUE"""),"MMS15")</f>
        <v>MMS15</v>
      </c>
      <c r="AL930" s="3"/>
    </row>
    <row r="931" ht="15.75" customHeight="1">
      <c r="A931" s="1" t="str">
        <f>IFERROR(__xludf.DUMMYFUNCTION("""COMPUTED_VALUE"""),"21700")</f>
        <v>21700</v>
      </c>
      <c r="B931" s="2">
        <f>IFERROR(__xludf.DUMMYFUNCTION("""COMPUTED_VALUE"""),21700.0)</f>
        <v>21700</v>
      </c>
      <c r="C931" s="3" t="str">
        <f>IFERROR(__xludf.DUMMYFUNCTION("""COMPUTED_VALUE"""),"MBC ถนนบ้านพรุธานี")</f>
        <v>MBC ถนนบ้านพรุธานี</v>
      </c>
      <c r="D931" s="3" t="str">
        <f>IFERROR(__xludf.DUMMYFUNCTION("""COMPUTED_VALUE"""),"BCM THANON BANPHRU THANI")</f>
        <v>BCM THANON BANPHRU THANI</v>
      </c>
      <c r="E931" s="1" t="str">
        <f>IFERROR(__xludf.DUMMYFUNCTION("""COMPUTED_VALUE"""),"บิ๊กซี MINI")</f>
        <v>บิ๊กซี MINI</v>
      </c>
      <c r="F931" s="1" t="str">
        <f>IFERROR(__xludf.DUMMYFUNCTION("""COMPUTED_VALUE"""),"250760")</f>
        <v>250760</v>
      </c>
      <c r="G931" s="1" t="str">
        <f>IFERROR(__xludf.DUMMYFUNCTION("""COMPUTED_VALUE"""),"นายประทวน สาราบรรณ์")</f>
        <v>นายประทวน สาราบรรณ์</v>
      </c>
      <c r="H931" s="1" t="str">
        <f>IFERROR(__xludf.DUMMYFUNCTION("""COMPUTED_VALUE"""),"394185")</f>
        <v>394185</v>
      </c>
      <c r="I931" s="1" t="str">
        <f>IFERROR(__xludf.DUMMYFUNCTION("""COMPUTED_VALUE"""),"น.ส.ฐาปนี สุวรรณรัตน์")</f>
        <v>น.ส.ฐาปนี สุวรรณรัตน์</v>
      </c>
      <c r="J931" s="3">
        <f>IFERROR(__xludf.DUMMYFUNCTION("""COMPUTED_VALUE"""),2.0470331E7)</f>
        <v>20470331</v>
      </c>
      <c r="K931" s="3" t="str">
        <f>IFERROR(__xludf.DUMMYFUNCTION("""COMPUTED_VALUE"""),"นายสมชาย ลักษณะสุวรรณ")</f>
        <v>นายสมชาย ลักษณะสุวรรณ</v>
      </c>
      <c r="L931" s="1" t="str">
        <f>IFERROR(__xludf.DUMMYFUNCTION("""COMPUTED_VALUE"""),"15 K.Somchai L")</f>
        <v>15 K.Somchai L</v>
      </c>
      <c r="M931" s="1" t="str">
        <f>IFERROR(__xludf.DUMMYFUNCTION("""COMPUTED_VALUE"""),"0655107372")</f>
        <v>0655107372</v>
      </c>
      <c r="N931" s="3">
        <f>IFERROR(__xludf.DUMMYFUNCTION("""COMPUTED_VALUE"""),21723.0)</f>
        <v>21723</v>
      </c>
      <c r="O93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931" s="4">
        <f>IFERROR(__xludf.DUMMYFUNCTION("""COMPUTED_VALUE"""),43428.0)</f>
        <v>43428</v>
      </c>
      <c r="Q931" s="3" t="str">
        <f>IFERROR(__xludf.DUMMYFUNCTION("""COMPUTED_VALUE"""),"A")</f>
        <v>A</v>
      </c>
      <c r="R931" s="3" t="str">
        <f>IFERROR(__xludf.DUMMYFUNCTION("""COMPUTED_VALUE"""),"Small Format")</f>
        <v>Small Format</v>
      </c>
      <c r="S931" s="3" t="str">
        <f>IFERROR(__xludf.DUMMYFUNCTION("""COMPUTED_VALUE"""),"BCM")</f>
        <v>BCM</v>
      </c>
      <c r="T931" s="3" t="str">
        <f>IFERROR(__xludf.DUMMYFUNCTION("""COMPUTED_VALUE"""),"#N/A")</f>
        <v>#N/A</v>
      </c>
      <c r="U931" s="3" t="str">
        <f>IFERROR(__xludf.DUMMYFUNCTION("""COMPUTED_VALUE"""),"#N/A")</f>
        <v>#N/A</v>
      </c>
      <c r="V931" s="3" t="str">
        <f>IFERROR(__xludf.DUMMYFUNCTION("""COMPUTED_VALUE"""),"N")</f>
        <v>N</v>
      </c>
      <c r="W931" s="3">
        <f>IFERROR(__xludf.DUMMYFUNCTION("""COMPUTED_VALUE"""),211676.0)</f>
        <v>211676</v>
      </c>
      <c r="X931" s="3" t="str">
        <f>IFERROR(__xludf.DUMMYFUNCTION("""COMPUTED_VALUE"""),"53/12-14 ถนนบ้านพรุธานี ตำบลบ้านพรุ อำเภอหาดใหญ่ จังหวัดสงขลา 90250")</f>
        <v>53/12-14 ถนนบ้านพรุธานี ตำบลบ้านพรุ อำเภอหาดใหญ่ จังหวัดสงขลา 90250</v>
      </c>
      <c r="Y931" s="3" t="str">
        <f>IFERROR(__xludf.DUMMYFUNCTION("""COMPUTED_VALUE"""),"ถนนบ้านพรุธานี")</f>
        <v>ถนนบ้านพรุธานี</v>
      </c>
      <c r="Z931" s="3" t="str">
        <f>IFERROR(__xludf.DUMMYFUNCTION("""COMPUTED_VALUE"""),"บ้านพรุ")</f>
        <v>บ้านพรุ</v>
      </c>
      <c r="AA931" s="3" t="str">
        <f>IFERROR(__xludf.DUMMYFUNCTION("""COMPUTED_VALUE"""),"หาดใหญ่")</f>
        <v>หาดใหญ่</v>
      </c>
      <c r="AB931" s="3" t="str">
        <f>IFERROR(__xludf.DUMMYFUNCTION("""COMPUTED_VALUE"""),"สงขลา")</f>
        <v>สงขลา</v>
      </c>
      <c r="AC931" s="3">
        <f>IFERROR(__xludf.DUMMYFUNCTION("""COMPUTED_VALUE"""),90250.0)</f>
        <v>90250</v>
      </c>
      <c r="AD931" s="3">
        <f>IFERROR(__xludf.DUMMYFUNCTION("""COMPUTED_VALUE"""),6.9399968)</f>
        <v>6.9399968</v>
      </c>
      <c r="AE931" s="3">
        <f>IFERROR(__xludf.DUMMYFUNCTION("""COMPUTED_VALUE"""),100.4680563)</f>
        <v>100.4680563</v>
      </c>
      <c r="AF931" s="3" t="str">
        <f>IFERROR(__xludf.DUMMYFUNCTION("""COMPUTED_VALUE"""),"MBC ถนนบ้านพรุธานี-21700")</f>
        <v>MBC ถนนบ้านพรุธานี-21700</v>
      </c>
      <c r="AG931" s="3" t="str">
        <f>IFERROR(__xludf.DUMMYFUNCTION("""COMPUTED_VALUE"""),"ใต้")</f>
        <v>ใต้</v>
      </c>
      <c r="AH931" s="3" t="str">
        <f>IFERROR(__xludf.DUMMYFUNCTION("""COMPUTED_VALUE"""),"#N/A")</f>
        <v>#N/A</v>
      </c>
      <c r="AI931" s="3" t="str">
        <f>IFERROR(__xludf.DUMMYFUNCTION("""COMPUTED_VALUE"""),"Out of warranty")</f>
        <v>Out of warranty</v>
      </c>
      <c r="AJ931" s="3">
        <f>IFERROR(__xludf.DUMMYFUNCTION("""COMPUTED_VALUE"""),86.0)</f>
        <v>86</v>
      </c>
      <c r="AK931" s="3" t="str">
        <f>IFERROR(__xludf.DUMMYFUNCTION("""COMPUTED_VALUE"""),"MMS16")</f>
        <v>MMS16</v>
      </c>
      <c r="AL931" s="3"/>
    </row>
    <row r="932" ht="15.75" customHeight="1">
      <c r="A932" s="1" t="str">
        <f>IFERROR(__xludf.DUMMYFUNCTION("""COMPUTED_VALUE"""),"21701")</f>
        <v>21701</v>
      </c>
      <c r="B932" s="2">
        <f>IFERROR(__xludf.DUMMYFUNCTION("""COMPUTED_VALUE"""),21701.0)</f>
        <v>21701</v>
      </c>
      <c r="C932" s="3" t="str">
        <f>IFERROR(__xludf.DUMMYFUNCTION("""COMPUTED_VALUE"""),"MBC ประชาสามัคคี")</f>
        <v>MBC ประชาสามัคคี</v>
      </c>
      <c r="D932" s="3" t="str">
        <f>IFERROR(__xludf.DUMMYFUNCTION("""COMPUTED_VALUE"""),"BCM PRACHA SAMAKKHI")</f>
        <v>BCM PRACHA SAMAKKHI</v>
      </c>
      <c r="E932" s="1" t="str">
        <f>IFERROR(__xludf.DUMMYFUNCTION("""COMPUTED_VALUE"""),"บิ๊กซี MINI")</f>
        <v>บิ๊กซี MINI</v>
      </c>
      <c r="F932" s="1" t="str">
        <f>IFERROR(__xludf.DUMMYFUNCTION("""COMPUTED_VALUE"""),"2083447")</f>
        <v>2083447</v>
      </c>
      <c r="G932" s="1" t="str">
        <f>IFERROR(__xludf.DUMMYFUNCTION("""COMPUTED_VALUE"""),"นายอนุกูล ศรีลัดดา")</f>
        <v>นายอนุกูล ศรีลัดดา</v>
      </c>
      <c r="H932" s="1" t="str">
        <f>IFERROR(__xludf.DUMMYFUNCTION("""COMPUTED_VALUE"""),"379037")</f>
        <v>379037</v>
      </c>
      <c r="I932" s="1" t="str">
        <f>IFERROR(__xludf.DUMMYFUNCTION("""COMPUTED_VALUE"""),"นางแก้วใจ แก้วกาญจน์")</f>
        <v>นางแก้วใจ แก้วกาญจน์</v>
      </c>
      <c r="J932" s="3">
        <f>IFERROR(__xludf.DUMMYFUNCTION("""COMPUTED_VALUE"""),2451655.0)</f>
        <v>2451655</v>
      </c>
      <c r="K932" s="3" t="str">
        <f>IFERROR(__xludf.DUMMYFUNCTION("""COMPUTED_VALUE"""),"นายวิษณุพงษ์ ชินบุตร")</f>
        <v>นายวิษณุพงษ์ ชินบุตร</v>
      </c>
      <c r="L932" s="1" t="str">
        <f>IFERROR(__xludf.DUMMYFUNCTION("""COMPUTED_VALUE"""),"13 K.Wisanupong Ch")</f>
        <v>13 K.Wisanupong Ch</v>
      </c>
      <c r="M932" s="1" t="str">
        <f>IFERROR(__xludf.DUMMYFUNCTION("""COMPUTED_VALUE"""),"0843374693")</f>
        <v>0843374693</v>
      </c>
      <c r="N932" s="3">
        <f>IFERROR(__xludf.DUMMYFUNCTION("""COMPUTED_VALUE"""),21494.0)</f>
        <v>21494</v>
      </c>
      <c r="O932" s="3" t="str">
        <f>IFERROR(__xludf.DUMMYFUNCTION("""COMPUTED_VALUE"""),"MBC บ้านกรด")</f>
        <v>MBC บ้านกรด</v>
      </c>
      <c r="P932" s="4">
        <f>IFERROR(__xludf.DUMMYFUNCTION("""COMPUTED_VALUE"""),43437.0)</f>
        <v>43437</v>
      </c>
      <c r="Q932" s="3" t="str">
        <f>IFERROR(__xludf.DUMMYFUNCTION("""COMPUTED_VALUE"""),"I")</f>
        <v>I</v>
      </c>
      <c r="R932" s="3" t="str">
        <f>IFERROR(__xludf.DUMMYFUNCTION("""COMPUTED_VALUE"""),"Small Format")</f>
        <v>Small Format</v>
      </c>
      <c r="S932" s="3" t="str">
        <f>IFERROR(__xludf.DUMMYFUNCTION("""COMPUTED_VALUE"""),"BCM")</f>
        <v>BCM</v>
      </c>
      <c r="T932" s="3" t="str">
        <f>IFERROR(__xludf.DUMMYFUNCTION("""COMPUTED_VALUE"""),"#N/A")</f>
        <v>#N/A</v>
      </c>
      <c r="U932" s="3" t="str">
        <f>IFERROR(__xludf.DUMMYFUNCTION("""COMPUTED_VALUE"""),"#N/A")</f>
        <v>#N/A</v>
      </c>
      <c r="V932" s="3" t="str">
        <f>IFERROR(__xludf.DUMMYFUNCTION("""COMPUTED_VALUE"""),"N")</f>
        <v>N</v>
      </c>
      <c r="W932" s="3">
        <f>IFERROR(__xludf.DUMMYFUNCTION("""COMPUTED_VALUE"""),211678.0)</f>
        <v>211678</v>
      </c>
      <c r="X932" s="3" t="str">
        <f>IFERROR(__xludf.DUMMYFUNCTION("""COMPUTED_VALUE"""),"549/2-4 หมู่10 ตำบลในคลองบางปลากด อำเภอพระสมุทรเจดีย์ จังหวัดสมุทรปราการ 10290")</f>
        <v>549/2-4 หมู่10 ตำบลในคลองบางปลากด อำเภอพระสมุทรเจดีย์ จังหวัดสมุทรปราการ 10290</v>
      </c>
      <c r="Y932" s="3"/>
      <c r="Z932" s="3" t="str">
        <f>IFERROR(__xludf.DUMMYFUNCTION("""COMPUTED_VALUE"""),"ในคลองบางปลากด")</f>
        <v>ในคลองบางปลากด</v>
      </c>
      <c r="AA932" s="3" t="str">
        <f>IFERROR(__xludf.DUMMYFUNCTION("""COMPUTED_VALUE"""),"พระสมุทรเจดีย์")</f>
        <v>พระสมุทรเจดีย์</v>
      </c>
      <c r="AB932" s="3" t="str">
        <f>IFERROR(__xludf.DUMMYFUNCTION("""COMPUTED_VALUE"""),"สมุทรปราการ")</f>
        <v>สมุทรปราการ</v>
      </c>
      <c r="AC932" s="3">
        <f>IFERROR(__xludf.DUMMYFUNCTION("""COMPUTED_VALUE"""),10290.0)</f>
        <v>10290</v>
      </c>
      <c r="AD932" s="3">
        <f>IFERROR(__xludf.DUMMYFUNCTION("""COMPUTED_VALUE"""),13.5883942)</f>
        <v>13.5883942</v>
      </c>
      <c r="AE932" s="3">
        <f>IFERROR(__xludf.DUMMYFUNCTION("""COMPUTED_VALUE"""),100.518695)</f>
        <v>100.518695</v>
      </c>
      <c r="AF932" s="3" t="str">
        <f>IFERROR(__xludf.DUMMYFUNCTION("""COMPUTED_VALUE"""),"MBC ประชาสามัคคี-21701")</f>
        <v>MBC ประชาสามัคคี-21701</v>
      </c>
      <c r="AG932" s="3" t="str">
        <f>IFERROR(__xludf.DUMMYFUNCTION("""COMPUTED_VALUE"""),"กลาง")</f>
        <v>กลาง</v>
      </c>
      <c r="AH932" s="3" t="str">
        <f>IFERROR(__xludf.DUMMYFUNCTION("""COMPUTED_VALUE"""),"#N/A")</f>
        <v>#N/A</v>
      </c>
      <c r="AI932" s="3" t="str">
        <f>IFERROR(__xludf.DUMMYFUNCTION("""COMPUTED_VALUE"""),"Out of warranty")</f>
        <v>Out of warranty</v>
      </c>
      <c r="AJ932" s="3">
        <f>IFERROR(__xludf.DUMMYFUNCTION("""COMPUTED_VALUE"""),86.0)</f>
        <v>86</v>
      </c>
      <c r="AK932" s="3" t="str">
        <f>IFERROR(__xludf.DUMMYFUNCTION("""COMPUTED_VALUE"""),"MMS02")</f>
        <v>MMS02</v>
      </c>
      <c r="AL932" s="3"/>
    </row>
    <row r="933" ht="15.75" customHeight="1">
      <c r="A933" s="1" t="str">
        <f>IFERROR(__xludf.DUMMYFUNCTION("""COMPUTED_VALUE"""),"21702")</f>
        <v>21702</v>
      </c>
      <c r="B933" s="2">
        <f>IFERROR(__xludf.DUMMYFUNCTION("""COMPUTED_VALUE"""),21702.0)</f>
        <v>21702</v>
      </c>
      <c r="C933" s="3" t="str">
        <f>IFERROR(__xludf.DUMMYFUNCTION("""COMPUTED_VALUE"""),"MBC ตลาดเลียบคลอง 3")</f>
        <v>MBC ตลาดเลียบคลอง 3</v>
      </c>
      <c r="D933" s="3" t="str">
        <f>IFERROR(__xludf.DUMMYFUNCTION("""COMPUTED_VALUE"""),"BCM TALAD LEABKLONG3")</f>
        <v>BCM TALAD LEABKLONG3</v>
      </c>
      <c r="E933" s="1" t="str">
        <f>IFERROR(__xludf.DUMMYFUNCTION("""COMPUTED_VALUE"""),"บิ๊กซี MINI")</f>
        <v>บิ๊กซี MINI</v>
      </c>
      <c r="F933" s="1" t="str">
        <f>IFERROR(__xludf.DUMMYFUNCTION("""COMPUTED_VALUE"""),"2083447")</f>
        <v>2083447</v>
      </c>
      <c r="G933" s="1" t="str">
        <f>IFERROR(__xludf.DUMMYFUNCTION("""COMPUTED_VALUE"""),"นายอนุกูล ศรีลัดดา")</f>
        <v>นายอนุกูล ศรีลัดดา</v>
      </c>
      <c r="H933" s="1" t="str">
        <f>IFERROR(__xludf.DUMMYFUNCTION("""COMPUTED_VALUE"""),"373849")</f>
        <v>373849</v>
      </c>
      <c r="I933" s="1" t="str">
        <f>IFERROR(__xludf.DUMMYFUNCTION("""COMPUTED_VALUE"""),"น.ส.อรอุมา นิ่มวิศิษย์")</f>
        <v>น.ส.อรอุมา นิ่มวิศิษย์</v>
      </c>
      <c r="J933" s="1" t="str">
        <f>IFERROR(__xludf.DUMMYFUNCTION("""COMPUTED_VALUE"""),"2451655")</f>
        <v>2451655</v>
      </c>
      <c r="K933" s="3" t="str">
        <f>IFERROR(__xludf.DUMMYFUNCTION("""COMPUTED_VALUE"""),"นายวิษณุพงษ์ ชินบุตร")</f>
        <v>นายวิษณุพงษ์ ชินบุตร</v>
      </c>
      <c r="L933" s="1" t="str">
        <f>IFERROR(__xludf.DUMMYFUNCTION("""COMPUTED_VALUE"""),"13 K.Wisanupong Ch")</f>
        <v>13 K.Wisanupong Ch</v>
      </c>
      <c r="M933" s="1" t="str">
        <f>IFERROR(__xludf.DUMMYFUNCTION("""COMPUTED_VALUE"""),"0843374693")</f>
        <v>0843374693</v>
      </c>
      <c r="N933" s="3">
        <f>IFERROR(__xludf.DUMMYFUNCTION("""COMPUTED_VALUE"""),21494.0)</f>
        <v>21494</v>
      </c>
      <c r="O933" s="3" t="str">
        <f>IFERROR(__xludf.DUMMYFUNCTION("""COMPUTED_VALUE"""),"MBC บ้านกรด")</f>
        <v>MBC บ้านกรด</v>
      </c>
      <c r="P933" s="4">
        <f>IFERROR(__xludf.DUMMYFUNCTION("""COMPUTED_VALUE"""),42639.0)</f>
        <v>42639</v>
      </c>
      <c r="Q933" s="3" t="str">
        <f>IFERROR(__xludf.DUMMYFUNCTION("""COMPUTED_VALUE"""),"I")</f>
        <v>I</v>
      </c>
      <c r="R933" s="3" t="str">
        <f>IFERROR(__xludf.DUMMYFUNCTION("""COMPUTED_VALUE"""),"Small Format")</f>
        <v>Small Format</v>
      </c>
      <c r="S933" s="3" t="str">
        <f>IFERROR(__xludf.DUMMYFUNCTION("""COMPUTED_VALUE"""),"BCM")</f>
        <v>BCM</v>
      </c>
      <c r="T933" s="3" t="str">
        <f>IFERROR(__xludf.DUMMYFUNCTION("""COMPUTED_VALUE"""),"#N/A")</f>
        <v>#N/A</v>
      </c>
      <c r="U933" s="3" t="str">
        <f>IFERROR(__xludf.DUMMYFUNCTION("""COMPUTED_VALUE"""),"#N/A")</f>
        <v>#N/A</v>
      </c>
      <c r="V933" s="3" t="str">
        <f>IFERROR(__xludf.DUMMYFUNCTION("""COMPUTED_VALUE"""),"N")</f>
        <v>N</v>
      </c>
      <c r="W933" s="3">
        <f>IFERROR(__xludf.DUMMYFUNCTION("""COMPUTED_VALUE"""),211728.0)</f>
        <v>211728</v>
      </c>
      <c r="X933" s="3" t="str">
        <f>IFERROR(__xludf.DUMMYFUNCTION("""COMPUTED_VALUE"""),"37/53 หมู่2 ตำบลคลองสาม อำเภอคลองหลวง จังหวัดปทุมธานี 12120")</f>
        <v>37/53 หมู่2 ตำบลคลองสาม อำเภอคลองหลวง จังหวัดปทุมธานี 12120</v>
      </c>
      <c r="Y933" s="3"/>
      <c r="Z933" s="3" t="str">
        <f>IFERROR(__xludf.DUMMYFUNCTION("""COMPUTED_VALUE"""),"คลองสาม")</f>
        <v>คลองสาม</v>
      </c>
      <c r="AA933" s="3" t="str">
        <f>IFERROR(__xludf.DUMMYFUNCTION("""COMPUTED_VALUE"""),"คลองหลวง")</f>
        <v>คลองหลวง</v>
      </c>
      <c r="AB933" s="3" t="str">
        <f>IFERROR(__xludf.DUMMYFUNCTION("""COMPUTED_VALUE"""),"ปทุมธานี")</f>
        <v>ปทุมธานี</v>
      </c>
      <c r="AC933" s="3">
        <f>IFERROR(__xludf.DUMMYFUNCTION("""COMPUTED_VALUE"""),12120.0)</f>
        <v>12120</v>
      </c>
      <c r="AD933" s="3">
        <f>IFERROR(__xludf.DUMMYFUNCTION("""COMPUTED_VALUE"""),14.029019)</f>
        <v>14.029019</v>
      </c>
      <c r="AE933" s="3">
        <f>IFERROR(__xludf.DUMMYFUNCTION("""COMPUTED_VALUE"""),100.663544)</f>
        <v>100.663544</v>
      </c>
      <c r="AF933" s="3" t="str">
        <f>IFERROR(__xludf.DUMMYFUNCTION("""COMPUTED_VALUE"""),"MBC ตลาดเลียบคลอง 3-21702")</f>
        <v>MBC ตลาดเลียบคลอง 3-21702</v>
      </c>
      <c r="AG933" s="3" t="str">
        <f>IFERROR(__xludf.DUMMYFUNCTION("""COMPUTED_VALUE"""),"กลาง")</f>
        <v>กลาง</v>
      </c>
      <c r="AH933" s="3" t="str">
        <f>IFERROR(__xludf.DUMMYFUNCTION("""COMPUTED_VALUE"""),"#N/A")</f>
        <v>#N/A</v>
      </c>
      <c r="AI933" s="3" t="str">
        <f>IFERROR(__xludf.DUMMYFUNCTION("""COMPUTED_VALUE"""),"Out of warranty")</f>
        <v>Out of warranty</v>
      </c>
      <c r="AJ933" s="3">
        <f>IFERROR(__xludf.DUMMYFUNCTION("""COMPUTED_VALUE"""),112.0)</f>
        <v>112</v>
      </c>
      <c r="AK933" s="3" t="str">
        <f>IFERROR(__xludf.DUMMYFUNCTION("""COMPUTED_VALUE"""),"MMS04")</f>
        <v>MMS04</v>
      </c>
      <c r="AL933" s="3"/>
    </row>
    <row r="934" ht="15.75" customHeight="1">
      <c r="A934" s="1" t="str">
        <f>IFERROR(__xludf.DUMMYFUNCTION("""COMPUTED_VALUE"""),"21703")</f>
        <v>21703</v>
      </c>
      <c r="B934" s="2">
        <f>IFERROR(__xludf.DUMMYFUNCTION("""COMPUTED_VALUE"""),21703.0)</f>
        <v>21703</v>
      </c>
      <c r="C934" s="3" t="str">
        <f>IFERROR(__xludf.DUMMYFUNCTION("""COMPUTED_VALUE"""),"MBC แบริ่ง 48/3")</f>
        <v>MBC แบริ่ง 48/3</v>
      </c>
      <c r="D934" s="3" t="str">
        <f>IFERROR(__xludf.DUMMYFUNCTION("""COMPUTED_VALUE"""),"BCM BEARING 48/3")</f>
        <v>BCM BEARING 48/3</v>
      </c>
      <c r="E934" s="1" t="str">
        <f>IFERROR(__xludf.DUMMYFUNCTION("""COMPUTED_VALUE"""),"บิ๊กซี MINI")</f>
        <v>บิ๊กซี MINI</v>
      </c>
      <c r="F934" s="1" t="str">
        <f>IFERROR(__xludf.DUMMYFUNCTION("""COMPUTED_VALUE"""),"2083447")</f>
        <v>2083447</v>
      </c>
      <c r="G934" s="1" t="str">
        <f>IFERROR(__xludf.DUMMYFUNCTION("""COMPUTED_VALUE"""),"นายอนุกูล ศรีลัดดา")</f>
        <v>นายอนุกูล ศรีลัดดา</v>
      </c>
      <c r="H934" s="1" t="str">
        <f>IFERROR(__xludf.DUMMYFUNCTION("""COMPUTED_VALUE"""),"399107")</f>
        <v>399107</v>
      </c>
      <c r="I934" s="1" t="str">
        <f>IFERROR(__xludf.DUMMYFUNCTION("""COMPUTED_VALUE"""),"นายรัชระวี กลมแป้น")</f>
        <v>นายรัชระวี กลมแป้น</v>
      </c>
      <c r="J934" s="3">
        <f>IFERROR(__xludf.DUMMYFUNCTION("""COMPUTED_VALUE"""),510143.0)</f>
        <v>510143</v>
      </c>
      <c r="K934" s="3" t="str">
        <f>IFERROR(__xludf.DUMMYFUNCTION("""COMPUTED_VALUE"""),"นายธีระวัฒน์ บุญสิทธิ์")</f>
        <v>นายธีระวัฒน์ บุญสิทธิ์</v>
      </c>
      <c r="L934" s="1" t="str">
        <f>IFERROR(__xludf.DUMMYFUNCTION("""COMPUTED_VALUE"""),"12 K.Theerawat B.")</f>
        <v>12 K.Theerawat B.</v>
      </c>
      <c r="M934" s="1" t="str">
        <f>IFERROR(__xludf.DUMMYFUNCTION("""COMPUTED_VALUE"""),"0655107379")</f>
        <v>0655107379</v>
      </c>
      <c r="N934" s="3">
        <f>IFERROR(__xludf.DUMMYFUNCTION("""COMPUTED_VALUE"""),21062.0)</f>
        <v>21062</v>
      </c>
      <c r="O934" s="3" t="str">
        <f>IFERROR(__xludf.DUMMYFUNCTION("""COMPUTED_VALUE"""),"MBC นิคมนวนคร")</f>
        <v>MBC นิคมนวนคร</v>
      </c>
      <c r="P934" s="4">
        <f>IFERROR(__xludf.DUMMYFUNCTION("""COMPUTED_VALUE"""),42793.0)</f>
        <v>42793</v>
      </c>
      <c r="Q934" s="3" t="str">
        <f>IFERROR(__xludf.DUMMYFUNCTION("""COMPUTED_VALUE"""),"A")</f>
        <v>A</v>
      </c>
      <c r="R934" s="3" t="str">
        <f>IFERROR(__xludf.DUMMYFUNCTION("""COMPUTED_VALUE"""),"Small Format")</f>
        <v>Small Format</v>
      </c>
      <c r="S934" s="3" t="str">
        <f>IFERROR(__xludf.DUMMYFUNCTION("""COMPUTED_VALUE"""),"BCM")</f>
        <v>BCM</v>
      </c>
      <c r="T934" s="3" t="str">
        <f>IFERROR(__xludf.DUMMYFUNCTION("""COMPUTED_VALUE"""),"#N/A")</f>
        <v>#N/A</v>
      </c>
      <c r="U934" s="3" t="str">
        <f>IFERROR(__xludf.DUMMYFUNCTION("""COMPUTED_VALUE"""),"#N/A")</f>
        <v>#N/A</v>
      </c>
      <c r="V934" s="3" t="str">
        <f>IFERROR(__xludf.DUMMYFUNCTION("""COMPUTED_VALUE"""),"N")</f>
        <v>N</v>
      </c>
      <c r="W934" s="3">
        <f>IFERROR(__xludf.DUMMYFUNCTION("""COMPUTED_VALUE"""),211729.0)</f>
        <v>211729</v>
      </c>
      <c r="X934" s="3" t="str">
        <f>IFERROR(__xludf.DUMMYFUNCTION("""COMPUTED_VALUE"""),"865 หมุ่2 ตำบลสำโรงเหนือ อำเภอเมืองสมุทรปราการ จังหวัดสมุทรปราการ 10270")</f>
        <v>865 หมุ่2 ตำบลสำโรงเหนือ อำเภอเมืองสมุทรปราการ จังหวัดสมุทรปราการ 10270</v>
      </c>
      <c r="Y934" s="3"/>
      <c r="Z934" s="3" t="str">
        <f>IFERROR(__xludf.DUMMYFUNCTION("""COMPUTED_VALUE"""),"สำโรงเหนือ")</f>
        <v>สำโรงเหนือ</v>
      </c>
      <c r="AA934" s="3" t="str">
        <f>IFERROR(__xludf.DUMMYFUNCTION("""COMPUTED_VALUE"""),"เมืองสมุทรปราการ")</f>
        <v>เมืองสมุทรปราการ</v>
      </c>
      <c r="AB934" s="3" t="str">
        <f>IFERROR(__xludf.DUMMYFUNCTION("""COMPUTED_VALUE"""),"สมุทรปราการ")</f>
        <v>สมุทรปราการ</v>
      </c>
      <c r="AC934" s="3">
        <f>IFERROR(__xludf.DUMMYFUNCTION("""COMPUTED_VALUE"""),10270.0)</f>
        <v>10270</v>
      </c>
      <c r="AD934" s="3">
        <f>IFERROR(__xludf.DUMMYFUNCTION("""COMPUTED_VALUE"""),13.643833)</f>
        <v>13.643833</v>
      </c>
      <c r="AE934" s="3">
        <f>IFERROR(__xludf.DUMMYFUNCTION("""COMPUTED_VALUE"""),100.623381)</f>
        <v>100.623381</v>
      </c>
      <c r="AF934" s="3" t="str">
        <f>IFERROR(__xludf.DUMMYFUNCTION("""COMPUTED_VALUE"""),"MBC แบริ่ง 48/3-21703")</f>
        <v>MBC แบริ่ง 48/3-21703</v>
      </c>
      <c r="AG934" s="3" t="str">
        <f>IFERROR(__xludf.DUMMYFUNCTION("""COMPUTED_VALUE"""),"กลาง")</f>
        <v>กลาง</v>
      </c>
      <c r="AH934" s="3" t="str">
        <f>IFERROR(__xludf.DUMMYFUNCTION("""COMPUTED_VALUE"""),"#N/A")</f>
        <v>#N/A</v>
      </c>
      <c r="AI934" s="3" t="str">
        <f>IFERROR(__xludf.DUMMYFUNCTION("""COMPUTED_VALUE"""),"Out of warranty")</f>
        <v>Out of warranty</v>
      </c>
      <c r="AJ934" s="3">
        <f>IFERROR(__xludf.DUMMYFUNCTION("""COMPUTED_VALUE"""),107.0)</f>
        <v>107</v>
      </c>
      <c r="AK934" s="3" t="str">
        <f>IFERROR(__xludf.DUMMYFUNCTION("""COMPUTED_VALUE"""),"MMS02")</f>
        <v>MMS02</v>
      </c>
      <c r="AL934" s="3"/>
    </row>
    <row r="935" ht="15.75" customHeight="1">
      <c r="A935" s="1" t="str">
        <f>IFERROR(__xludf.DUMMYFUNCTION("""COMPUTED_VALUE"""),"21704")</f>
        <v>21704</v>
      </c>
      <c r="B935" s="2">
        <f>IFERROR(__xludf.DUMMYFUNCTION("""COMPUTED_VALUE"""),21704.0)</f>
        <v>21704</v>
      </c>
      <c r="C935" s="3" t="str">
        <f>IFERROR(__xludf.DUMMYFUNCTION("""COMPUTED_VALUE"""),"MBC หลังมหาวิทยาลัยสงขลานครินทร์ 2")</f>
        <v>MBC หลังมหาวิทยาลัยสงขลานครินทร์ 2</v>
      </c>
      <c r="D935" s="3" t="str">
        <f>IFERROR(__xludf.DUMMYFUNCTION("""COMPUTED_VALUE"""),"BCM LUNG MOR SONGKHLA-NAKARIN2")</f>
        <v>BCM LUNG MOR SONGKHLA-NAKARIN2</v>
      </c>
      <c r="E935" s="1" t="str">
        <f>IFERROR(__xludf.DUMMYFUNCTION("""COMPUTED_VALUE"""),"บิ๊กซี MINI")</f>
        <v>บิ๊กซี MINI</v>
      </c>
      <c r="F935" s="1" t="str">
        <f>IFERROR(__xludf.DUMMYFUNCTION("""COMPUTED_VALUE"""),"250760")</f>
        <v>250760</v>
      </c>
      <c r="G935" s="1" t="str">
        <f>IFERROR(__xludf.DUMMYFUNCTION("""COMPUTED_VALUE"""),"นายประทวน สาราบรรณ์")</f>
        <v>นายประทวน สาราบรรณ์</v>
      </c>
      <c r="H935" s="1" t="str">
        <f>IFERROR(__xludf.DUMMYFUNCTION("""COMPUTED_VALUE"""),"394100")</f>
        <v>394100</v>
      </c>
      <c r="I935" s="1" t="str">
        <f>IFERROR(__xludf.DUMMYFUNCTION("""COMPUTED_VALUE"""),"นายไพโรจน์ ถิระผะลิกะ")</f>
        <v>นายไพโรจน์ ถิระผะลิกะ</v>
      </c>
      <c r="J935" s="3">
        <f>IFERROR(__xludf.DUMMYFUNCTION("""COMPUTED_VALUE"""),2.0470331E7)</f>
        <v>20470331</v>
      </c>
      <c r="K935" s="3" t="str">
        <f>IFERROR(__xludf.DUMMYFUNCTION("""COMPUTED_VALUE"""),"นายสมชาย ลักษณะสุวรรณ")</f>
        <v>นายสมชาย ลักษณะสุวรรณ</v>
      </c>
      <c r="L935" s="1" t="str">
        <f>IFERROR(__xludf.DUMMYFUNCTION("""COMPUTED_VALUE"""),"15 K.Somchai L")</f>
        <v>15 K.Somchai L</v>
      </c>
      <c r="M935" s="1" t="str">
        <f>IFERROR(__xludf.DUMMYFUNCTION("""COMPUTED_VALUE"""),"0655107372")</f>
        <v>0655107372</v>
      </c>
      <c r="N935" s="3">
        <f>IFERROR(__xludf.DUMMYFUNCTION("""COMPUTED_VALUE"""),21723.0)</f>
        <v>21723</v>
      </c>
      <c r="O935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935" s="4">
        <f>IFERROR(__xludf.DUMMYFUNCTION("""COMPUTED_VALUE"""),43418.0)</f>
        <v>43418</v>
      </c>
      <c r="Q935" s="3" t="str">
        <f>IFERROR(__xludf.DUMMYFUNCTION("""COMPUTED_VALUE"""),"A")</f>
        <v>A</v>
      </c>
      <c r="R935" s="3" t="str">
        <f>IFERROR(__xludf.DUMMYFUNCTION("""COMPUTED_VALUE"""),"Small Format")</f>
        <v>Small Format</v>
      </c>
      <c r="S935" s="3" t="str">
        <f>IFERROR(__xludf.DUMMYFUNCTION("""COMPUTED_VALUE"""),"BCM")</f>
        <v>BCM</v>
      </c>
      <c r="T935" s="3" t="str">
        <f>IFERROR(__xludf.DUMMYFUNCTION("""COMPUTED_VALUE"""),"#N/A")</f>
        <v>#N/A</v>
      </c>
      <c r="U935" s="3" t="str">
        <f>IFERROR(__xludf.DUMMYFUNCTION("""COMPUTED_VALUE"""),"#N/A")</f>
        <v>#N/A</v>
      </c>
      <c r="V935" s="3" t="str">
        <f>IFERROR(__xludf.DUMMYFUNCTION("""COMPUTED_VALUE"""),"N")</f>
        <v>N</v>
      </c>
      <c r="W935" s="3">
        <f>IFERROR(__xludf.DUMMYFUNCTION("""COMPUTED_VALUE"""),211675.0)</f>
        <v>211675</v>
      </c>
      <c r="X935" s="3" t="str">
        <f>IFERROR(__xludf.DUMMYFUNCTION("""COMPUTED_VALUE"""),"72/1 ถนนทุ่งรี-โคกวัด ตำบลคอหงส์ อำเภอหาดใหญ่ จังหวัดสงขลา 90110")</f>
        <v>72/1 ถนนทุ่งรี-โคกวัด ตำบลคอหงส์ อำเภอหาดใหญ่ จังหวัดสงขลา 90110</v>
      </c>
      <c r="Y935" s="3" t="str">
        <f>IFERROR(__xludf.DUMMYFUNCTION("""COMPUTED_VALUE"""),"ถนนทุ่งรี-โคกวัด")</f>
        <v>ถนนทุ่งรี-โคกวัด</v>
      </c>
      <c r="Z935" s="3" t="str">
        <f>IFERROR(__xludf.DUMMYFUNCTION("""COMPUTED_VALUE"""),"คอหงส์")</f>
        <v>คอหงส์</v>
      </c>
      <c r="AA935" s="3" t="str">
        <f>IFERROR(__xludf.DUMMYFUNCTION("""COMPUTED_VALUE"""),"หาดใหญ่")</f>
        <v>หาดใหญ่</v>
      </c>
      <c r="AB935" s="3" t="str">
        <f>IFERROR(__xludf.DUMMYFUNCTION("""COMPUTED_VALUE"""),"สงขลา")</f>
        <v>สงขลา</v>
      </c>
      <c r="AC935" s="3">
        <f>IFERROR(__xludf.DUMMYFUNCTION("""COMPUTED_VALUE"""),90110.0)</f>
        <v>90110</v>
      </c>
      <c r="AD935" s="3">
        <f>IFERROR(__xludf.DUMMYFUNCTION("""COMPUTED_VALUE"""),6.9983451)</f>
        <v>6.9983451</v>
      </c>
      <c r="AE935" s="3">
        <f>IFERROR(__xludf.DUMMYFUNCTION("""COMPUTED_VALUE"""),100.5014434)</f>
        <v>100.5014434</v>
      </c>
      <c r="AF935" s="3" t="str">
        <f>IFERROR(__xludf.DUMMYFUNCTION("""COMPUTED_VALUE"""),"MBC หลังมหาวิทยาลัยสงขลานครินทร์ 2-21704")</f>
        <v>MBC หลังมหาวิทยาลัยสงขลานครินทร์ 2-21704</v>
      </c>
      <c r="AG935" s="3" t="str">
        <f>IFERROR(__xludf.DUMMYFUNCTION("""COMPUTED_VALUE"""),"ใต้")</f>
        <v>ใต้</v>
      </c>
      <c r="AH935" s="3" t="str">
        <f>IFERROR(__xludf.DUMMYFUNCTION("""COMPUTED_VALUE"""),"#N/A")</f>
        <v>#N/A</v>
      </c>
      <c r="AI935" s="3" t="str">
        <f>IFERROR(__xludf.DUMMYFUNCTION("""COMPUTED_VALUE"""),"Out of warranty")</f>
        <v>Out of warranty</v>
      </c>
      <c r="AJ935" s="3">
        <f>IFERROR(__xludf.DUMMYFUNCTION("""COMPUTED_VALUE"""),87.0)</f>
        <v>87</v>
      </c>
      <c r="AK935" s="3" t="str">
        <f>IFERROR(__xludf.DUMMYFUNCTION("""COMPUTED_VALUE"""),"MMS16")</f>
        <v>MMS16</v>
      </c>
      <c r="AL935" s="3"/>
    </row>
    <row r="936" ht="15.75" customHeight="1">
      <c r="A936" s="1" t="str">
        <f>IFERROR(__xludf.DUMMYFUNCTION("""COMPUTED_VALUE"""),"21705")</f>
        <v>21705</v>
      </c>
      <c r="B936" s="2">
        <f>IFERROR(__xludf.DUMMYFUNCTION("""COMPUTED_VALUE"""),21705.0)</f>
        <v>21705</v>
      </c>
      <c r="C936" s="3" t="str">
        <f>IFERROR(__xludf.DUMMYFUNCTION("""COMPUTED_VALUE"""),"MBC เอสโซ่ กาญจนดิษฐ์ (ขาออก)")</f>
        <v>MBC เอสโซ่ กาญจนดิษฐ์ (ขาออก)</v>
      </c>
      <c r="D936" s="3" t="str">
        <f>IFERROR(__xludf.DUMMYFUNCTION("""COMPUTED_VALUE"""),"BCM ESSO KANCHANADIT (OB)")</f>
        <v>BCM ESSO KANCHANADIT (OB)</v>
      </c>
      <c r="E936" s="1" t="str">
        <f>IFERROR(__xludf.DUMMYFUNCTION("""COMPUTED_VALUE"""),"บิ๊กซี MINI")</f>
        <v>บิ๊กซี MINI</v>
      </c>
      <c r="F936" s="1" t="str">
        <f>IFERROR(__xludf.DUMMYFUNCTION("""COMPUTED_VALUE"""),"250760")</f>
        <v>250760</v>
      </c>
      <c r="G936" s="1" t="str">
        <f>IFERROR(__xludf.DUMMYFUNCTION("""COMPUTED_VALUE"""),"นายประทวน สาราบรรณ์")</f>
        <v>นายประทวน สาราบรรณ์</v>
      </c>
      <c r="H936" s="1" t="str">
        <f>IFERROR(__xludf.DUMMYFUNCTION("""COMPUTED_VALUE"""),"228389")</f>
        <v>228389</v>
      </c>
      <c r="I936" s="1" t="str">
        <f>IFERROR(__xludf.DUMMYFUNCTION("""COMPUTED_VALUE"""),"นายมณีรันดร์ ชัยชนะ")</f>
        <v>นายมณีรันดร์ ชัยชนะ</v>
      </c>
      <c r="J936" s="3">
        <f>IFERROR(__xludf.DUMMYFUNCTION("""COMPUTED_VALUE"""),25324.0)</f>
        <v>25324</v>
      </c>
      <c r="K936" s="3" t="str">
        <f>IFERROR(__xludf.DUMMYFUNCTION("""COMPUTED_VALUE"""),"นายวิเชฎฐ์ ติรัตนะประคม")</f>
        <v>นายวิเชฎฐ์ ติรัตนะประคม</v>
      </c>
      <c r="L936" s="1" t="str">
        <f>IFERROR(__xludf.DUMMYFUNCTION("""COMPUTED_VALUE"""),"14 K.Wichet T.")</f>
        <v>14 K.Wichet T.</v>
      </c>
      <c r="M936" s="1" t="str">
        <f>IFERROR(__xludf.DUMMYFUNCTION("""COMPUTED_VALUE"""),"061-417-6569 / 086-445-5636")</f>
        <v>061-417-6569 / 086-445-5636</v>
      </c>
      <c r="N936" s="3">
        <f>IFERROR(__xludf.DUMMYFUNCTION("""COMPUTED_VALUE"""),22658.0)</f>
        <v>22658</v>
      </c>
      <c r="O936" s="3" t="str">
        <f>IFERROR(__xludf.DUMMYFUNCTION("""COMPUTED_VALUE"""),"BCM ถ.วิรัชหงษ์หยก ภูเก็ต")</f>
        <v>BCM ถ.วิรัชหงษ์หยก ภูเก็ต</v>
      </c>
      <c r="P936" s="4">
        <f>IFERROR(__xludf.DUMMYFUNCTION("""COMPUTED_VALUE"""),43422.0)</f>
        <v>43422</v>
      </c>
      <c r="Q936" s="3" t="str">
        <f>IFERROR(__xludf.DUMMYFUNCTION("""COMPUTED_VALUE"""),"A")</f>
        <v>A</v>
      </c>
      <c r="R936" s="3" t="str">
        <f>IFERROR(__xludf.DUMMYFUNCTION("""COMPUTED_VALUE"""),"Small Format")</f>
        <v>Small Format</v>
      </c>
      <c r="S936" s="3" t="str">
        <f>IFERROR(__xludf.DUMMYFUNCTION("""COMPUTED_VALUE"""),"BCM")</f>
        <v>BCM</v>
      </c>
      <c r="T936" s="3" t="str">
        <f>IFERROR(__xludf.DUMMYFUNCTION("""COMPUTED_VALUE"""),"#N/A")</f>
        <v>#N/A</v>
      </c>
      <c r="U936" s="3" t="str">
        <f>IFERROR(__xludf.DUMMYFUNCTION("""COMPUTED_VALUE"""),"#N/A")</f>
        <v>#N/A</v>
      </c>
      <c r="V936" s="3" t="str">
        <f>IFERROR(__xludf.DUMMYFUNCTION("""COMPUTED_VALUE"""),"N")</f>
        <v>N</v>
      </c>
      <c r="W936" s="3">
        <f>IFERROR(__xludf.DUMMYFUNCTION("""COMPUTED_VALUE"""),211726.0)</f>
        <v>211726</v>
      </c>
      <c r="X936" s="3" t="str">
        <f>IFERROR(__xludf.DUMMYFUNCTION("""COMPUTED_VALUE"""),"67/1 หมู่9 ตำบลพลายวาส อำเภอกาญจนดิษฐ์ จังหวัดสุราษฎร์ธานี 84160")</f>
        <v>67/1 หมู่9 ตำบลพลายวาส อำเภอกาญจนดิษฐ์ จังหวัดสุราษฎร์ธานี 84160</v>
      </c>
      <c r="Y936" s="3"/>
      <c r="Z936" s="3" t="str">
        <f>IFERROR(__xludf.DUMMYFUNCTION("""COMPUTED_VALUE"""),"พลายวาส")</f>
        <v>พลายวาส</v>
      </c>
      <c r="AA936" s="3" t="str">
        <f>IFERROR(__xludf.DUMMYFUNCTION("""COMPUTED_VALUE"""),"กาญจนดิษฐ์")</f>
        <v>กาญจนดิษฐ์</v>
      </c>
      <c r="AB936" s="3" t="str">
        <f>IFERROR(__xludf.DUMMYFUNCTION("""COMPUTED_VALUE"""),"สุราษฎร์ธานี")</f>
        <v>สุราษฎร์ธานี</v>
      </c>
      <c r="AC936" s="3">
        <f>IFERROR(__xludf.DUMMYFUNCTION("""COMPUTED_VALUE"""),84160.0)</f>
        <v>84160</v>
      </c>
      <c r="AD936" s="3">
        <f>IFERROR(__xludf.DUMMYFUNCTION("""COMPUTED_VALUE"""),9.1592772)</f>
        <v>9.1592772</v>
      </c>
      <c r="AE936" s="3">
        <f>IFERROR(__xludf.DUMMYFUNCTION("""COMPUTED_VALUE"""),99.5064558)</f>
        <v>99.5064558</v>
      </c>
      <c r="AF936" s="3" t="str">
        <f>IFERROR(__xludf.DUMMYFUNCTION("""COMPUTED_VALUE"""),"MBC เอสโซ่ กาญจนดิษฐ์ (ขาออก)-21705")</f>
        <v>MBC เอสโซ่ กาญจนดิษฐ์ (ขาออก)-21705</v>
      </c>
      <c r="AG936" s="3" t="str">
        <f>IFERROR(__xludf.DUMMYFUNCTION("""COMPUTED_VALUE"""),"ใต้")</f>
        <v>ใต้</v>
      </c>
      <c r="AH936" s="3" t="str">
        <f>IFERROR(__xludf.DUMMYFUNCTION("""COMPUTED_VALUE"""),"#N/A")</f>
        <v>#N/A</v>
      </c>
      <c r="AI936" s="3" t="str">
        <f>IFERROR(__xludf.DUMMYFUNCTION("""COMPUTED_VALUE"""),"Out of warranty")</f>
        <v>Out of warranty</v>
      </c>
      <c r="AJ936" s="3">
        <f>IFERROR(__xludf.DUMMYFUNCTION("""COMPUTED_VALUE"""),87.0)</f>
        <v>87</v>
      </c>
      <c r="AK936" s="3" t="str">
        <f>IFERROR(__xludf.DUMMYFUNCTION("""COMPUTED_VALUE"""),"MMS14")</f>
        <v>MMS14</v>
      </c>
      <c r="AL936" s="3"/>
    </row>
    <row r="937" ht="15.75" customHeight="1">
      <c r="A937" s="1" t="str">
        <f>IFERROR(__xludf.DUMMYFUNCTION("""COMPUTED_VALUE"""),"21706")</f>
        <v>21706</v>
      </c>
      <c r="B937" s="2">
        <f>IFERROR(__xludf.DUMMYFUNCTION("""COMPUTED_VALUE"""),21706.0)</f>
        <v>21706</v>
      </c>
      <c r="C937" s="3" t="str">
        <f>IFERROR(__xludf.DUMMYFUNCTION("""COMPUTED_VALUE"""),"MBC เอสโซ่ หทัยราษฎร์")</f>
        <v>MBC เอสโซ่ หทัยราษฎร์</v>
      </c>
      <c r="D937" s="3" t="str">
        <f>IFERROR(__xludf.DUMMYFUNCTION("""COMPUTED_VALUE"""),"BCM ESSO HATAIRAT")</f>
        <v>BCM ESSO HATAIRAT</v>
      </c>
      <c r="E937" s="1" t="str">
        <f>IFERROR(__xludf.DUMMYFUNCTION("""COMPUTED_VALUE"""),"บิ๊กซี MINI")</f>
        <v>บิ๊กซี MINI</v>
      </c>
      <c r="F937" s="1" t="str">
        <f>IFERROR(__xludf.DUMMYFUNCTION("""COMPUTED_VALUE"""),"291008")</f>
        <v>291008</v>
      </c>
      <c r="G937" s="1" t="str">
        <f>IFERROR(__xludf.DUMMYFUNCTION("""COMPUTED_VALUE"""),"น.ส.รัชดาพร อีศรัตน์")</f>
        <v>น.ส.รัชดาพร อีศรัตน์</v>
      </c>
      <c r="H937" s="1" t="str">
        <f>IFERROR(__xludf.DUMMYFUNCTION("""COMPUTED_VALUE"""),"228242")</f>
        <v>228242</v>
      </c>
      <c r="I937" s="1" t="str">
        <f>IFERROR(__xludf.DUMMYFUNCTION("""COMPUTED_VALUE"""),"นายสมชาย เยมรัมย์")</f>
        <v>นายสมชาย เยมรัมย์</v>
      </c>
      <c r="J937" s="3">
        <f>IFERROR(__xludf.DUMMYFUNCTION("""COMPUTED_VALUE"""),3510104.0)</f>
        <v>3510104</v>
      </c>
      <c r="K937" s="3" t="str">
        <f>IFERROR(__xludf.DUMMYFUNCTION("""COMPUTED_VALUE"""),"นายวิโรจน์ อับดุลสมัด")</f>
        <v>นายวิโรจน์ อับดุลสมัด</v>
      </c>
      <c r="L937" s="1" t="str">
        <f>IFERROR(__xludf.DUMMYFUNCTION("""COMPUTED_VALUE"""),"09 K.Wirode A")</f>
        <v>09 K.Wirode A</v>
      </c>
      <c r="M937" s="1" t="str">
        <f>IFERROR(__xludf.DUMMYFUNCTION("""COMPUTED_VALUE"""),"080-235-4465")</f>
        <v>080-235-4465</v>
      </c>
      <c r="N937" s="3">
        <f>IFERROR(__xludf.DUMMYFUNCTION("""COMPUTED_VALUE"""),21324.0)</f>
        <v>21324</v>
      </c>
      <c r="O937" s="3" t="str">
        <f>IFERROR(__xludf.DUMMYFUNCTION("""COMPUTED_VALUE"""),"MBC BCP สุวินทวงศ์")</f>
        <v>MBC BCP สุวินทวงศ์</v>
      </c>
      <c r="P937" s="4">
        <f>IFERROR(__xludf.DUMMYFUNCTION("""COMPUTED_VALUE"""),43463.0)</f>
        <v>43463</v>
      </c>
      <c r="Q937" s="3" t="str">
        <f>IFERROR(__xludf.DUMMYFUNCTION("""COMPUTED_VALUE"""),"A")</f>
        <v>A</v>
      </c>
      <c r="R937" s="3" t="str">
        <f>IFERROR(__xludf.DUMMYFUNCTION("""COMPUTED_VALUE"""),"Small Format")</f>
        <v>Small Format</v>
      </c>
      <c r="S937" s="3" t="str">
        <f>IFERROR(__xludf.DUMMYFUNCTION("""COMPUTED_VALUE"""),"BCM")</f>
        <v>BCM</v>
      </c>
      <c r="T937" s="3" t="str">
        <f>IFERROR(__xludf.DUMMYFUNCTION("""COMPUTED_VALUE"""),"#N/A")</f>
        <v>#N/A</v>
      </c>
      <c r="U937" s="3" t="str">
        <f>IFERROR(__xludf.DUMMYFUNCTION("""COMPUTED_VALUE"""),"#N/A")</f>
        <v>#N/A</v>
      </c>
      <c r="V937" s="3" t="str">
        <f>IFERROR(__xludf.DUMMYFUNCTION("""COMPUTED_VALUE"""),"N")</f>
        <v>N</v>
      </c>
      <c r="W937" s="3">
        <f>IFERROR(__xludf.DUMMYFUNCTION("""COMPUTED_VALUE"""),211693.0)</f>
        <v>211693</v>
      </c>
      <c r="X937" s="3" t="str">
        <f>IFERROR(__xludf.DUMMYFUNCTION("""COMPUTED_VALUE"""),"515 ถนนหทัยราษฎร์ แขวงบางชัน เขตคลองสามวา กรุงเทพมหานคร 10510")</f>
        <v>515 ถนนหทัยราษฎร์ แขวงบางชัน เขตคลองสามวา กรุงเทพมหานคร 10510</v>
      </c>
      <c r="Y937" s="3" t="str">
        <f>IFERROR(__xludf.DUMMYFUNCTION("""COMPUTED_VALUE"""),"ถนนหทัยราษฎร์")</f>
        <v>ถนนหทัยราษฎร์</v>
      </c>
      <c r="Z937" s="3" t="str">
        <f>IFERROR(__xludf.DUMMYFUNCTION("""COMPUTED_VALUE"""),"บางชัน")</f>
        <v>บางชัน</v>
      </c>
      <c r="AA937" s="3" t="str">
        <f>IFERROR(__xludf.DUMMYFUNCTION("""COMPUTED_VALUE"""),"คลองสามวา")</f>
        <v>คลองสามวา</v>
      </c>
      <c r="AB937" s="3" t="str">
        <f>IFERROR(__xludf.DUMMYFUNCTION("""COMPUTED_VALUE"""),"กรุงเทพมหานคร")</f>
        <v>กรุงเทพมหานคร</v>
      </c>
      <c r="AC937" s="3">
        <f>IFERROR(__xludf.DUMMYFUNCTION("""COMPUTED_VALUE"""),10510.0)</f>
        <v>10510</v>
      </c>
      <c r="AD937" s="3">
        <f>IFERROR(__xludf.DUMMYFUNCTION("""COMPUTED_VALUE"""),13.8474021)</f>
        <v>13.8474021</v>
      </c>
      <c r="AE937" s="3">
        <f>IFERROR(__xludf.DUMMYFUNCTION("""COMPUTED_VALUE"""),100.7206942)</f>
        <v>100.7206942</v>
      </c>
      <c r="AF937" s="3" t="str">
        <f>IFERROR(__xludf.DUMMYFUNCTION("""COMPUTED_VALUE"""),"MBC เอสโซ่ หทัยราษฎร์-21706")</f>
        <v>MBC เอสโซ่ หทัยราษฎร์-21706</v>
      </c>
      <c r="AG937" s="3" t="str">
        <f>IFERROR(__xludf.DUMMYFUNCTION("""COMPUTED_VALUE"""),"กลาง")</f>
        <v>กลาง</v>
      </c>
      <c r="AH937" s="3" t="str">
        <f>IFERROR(__xludf.DUMMYFUNCTION("""COMPUTED_VALUE"""),"#N/A")</f>
        <v>#N/A</v>
      </c>
      <c r="AI937" s="3" t="str">
        <f>IFERROR(__xludf.DUMMYFUNCTION("""COMPUTED_VALUE"""),"Out of warranty")</f>
        <v>Out of warranty</v>
      </c>
      <c r="AJ937" s="3">
        <f>IFERROR(__xludf.DUMMYFUNCTION("""COMPUTED_VALUE"""),85.0)</f>
        <v>85</v>
      </c>
      <c r="AK937" s="3" t="str">
        <f>IFERROR(__xludf.DUMMYFUNCTION("""COMPUTED_VALUE"""),"MMS04")</f>
        <v>MMS04</v>
      </c>
      <c r="AL937" s="3"/>
    </row>
    <row r="938" ht="15.75" customHeight="1">
      <c r="A938" s="1" t="str">
        <f>IFERROR(__xludf.DUMMYFUNCTION("""COMPUTED_VALUE"""),"21707")</f>
        <v>21707</v>
      </c>
      <c r="B938" s="2">
        <f>IFERROR(__xludf.DUMMYFUNCTION("""COMPUTED_VALUE"""),21707.0)</f>
        <v>21707</v>
      </c>
      <c r="C938" s="3" t="str">
        <f>IFERROR(__xludf.DUMMYFUNCTION("""COMPUTED_VALUE"""),"MBC เอสโซ่ หนองรี กม.6")</f>
        <v>MBC เอสโซ่ หนองรี กม.6</v>
      </c>
      <c r="D938" s="3" t="str">
        <f>IFERROR(__xludf.DUMMYFUNCTION("""COMPUTED_VALUE"""),"BCM ESSO NONGRI KM 6")</f>
        <v>BCM ESSO NONGRI KM 6</v>
      </c>
      <c r="E938" s="1" t="str">
        <f>IFERROR(__xludf.DUMMYFUNCTION("""COMPUTED_VALUE"""),"บิ๊กซี MINI")</f>
        <v>บิ๊กซี MINI</v>
      </c>
      <c r="F938" s="1" t="str">
        <f>IFERROR(__xludf.DUMMYFUNCTION("""COMPUTED_VALUE"""),"221716")</f>
        <v>221716</v>
      </c>
      <c r="G938" s="1" t="str">
        <f>IFERROR(__xludf.DUMMYFUNCTION("""COMPUTED_VALUE"""),"น.ส.เบญจพร โพธิสาร")</f>
        <v>น.ส.เบญจพร โพธิสาร</v>
      </c>
      <c r="H938" s="1" t="str">
        <f>IFERROR(__xludf.DUMMYFUNCTION("""COMPUTED_VALUE"""),"376139")</f>
        <v>376139</v>
      </c>
      <c r="I938" s="1" t="str">
        <f>IFERROR(__xludf.DUMMYFUNCTION("""COMPUTED_VALUE"""),"นายอนุชา อำไพ")</f>
        <v>นายอนุชา อำไพ</v>
      </c>
      <c r="J938" s="3">
        <f>IFERROR(__xludf.DUMMYFUNCTION("""COMPUTED_VALUE"""),3510104.0)</f>
        <v>3510104</v>
      </c>
      <c r="K938" s="3" t="str">
        <f>IFERROR(__xludf.DUMMYFUNCTION("""COMPUTED_VALUE"""),"นายวิโรจน์ อับดุลสมัด")</f>
        <v>นายวิโรจน์ อับดุลสมัด</v>
      </c>
      <c r="L938" s="1" t="str">
        <f>IFERROR(__xludf.DUMMYFUNCTION("""COMPUTED_VALUE"""),"09 K.Wirode A")</f>
        <v>09 K.Wirode A</v>
      </c>
      <c r="M938" s="1" t="str">
        <f>IFERROR(__xludf.DUMMYFUNCTION("""COMPUTED_VALUE"""),"080-235-4465")</f>
        <v>080-235-4465</v>
      </c>
      <c r="N938" s="3">
        <f>IFERROR(__xludf.DUMMYFUNCTION("""COMPUTED_VALUE"""),21324.0)</f>
        <v>21324</v>
      </c>
      <c r="O938" s="3" t="str">
        <f>IFERROR(__xludf.DUMMYFUNCTION("""COMPUTED_VALUE"""),"MBC BCP สุวินทวงศ์")</f>
        <v>MBC BCP สุวินทวงศ์</v>
      </c>
      <c r="P938" s="4">
        <f>IFERROR(__xludf.DUMMYFUNCTION("""COMPUTED_VALUE"""),43428.0)</f>
        <v>43428</v>
      </c>
      <c r="Q938" s="3" t="str">
        <f>IFERROR(__xludf.DUMMYFUNCTION("""COMPUTED_VALUE"""),"I")</f>
        <v>I</v>
      </c>
      <c r="R938" s="3" t="str">
        <f>IFERROR(__xludf.DUMMYFUNCTION("""COMPUTED_VALUE"""),"Small Format")</f>
        <v>Small Format</v>
      </c>
      <c r="S938" s="3" t="str">
        <f>IFERROR(__xludf.DUMMYFUNCTION("""COMPUTED_VALUE"""),"BCM")</f>
        <v>BCM</v>
      </c>
      <c r="T938" s="3" t="str">
        <f>IFERROR(__xludf.DUMMYFUNCTION("""COMPUTED_VALUE"""),"#N/A")</f>
        <v>#N/A</v>
      </c>
      <c r="U938" s="3" t="str">
        <f>IFERROR(__xludf.DUMMYFUNCTION("""COMPUTED_VALUE"""),"#N/A")</f>
        <v>#N/A</v>
      </c>
      <c r="V938" s="3" t="str">
        <f>IFERROR(__xludf.DUMMYFUNCTION("""COMPUTED_VALUE"""),"N")</f>
        <v>N</v>
      </c>
      <c r="W938" s="3">
        <f>IFERROR(__xludf.DUMMYFUNCTION("""COMPUTED_VALUE"""),211707.0)</f>
        <v>211707</v>
      </c>
      <c r="X938" s="3" t="str">
        <f>IFERROR(__xludf.DUMMYFUNCTION("""COMPUTED_VALUE"""),"60/30 หมู่7 ตำบลหนองรี อำเภอเมืองชลบุรี จังหวัดชลบุรี 20000")</f>
        <v>60/30 หมู่7 ตำบลหนองรี อำเภอเมืองชลบุรี จังหวัดชลบุรี 20000</v>
      </c>
      <c r="Y938" s="3"/>
      <c r="Z938" s="3" t="str">
        <f>IFERROR(__xludf.DUMMYFUNCTION("""COMPUTED_VALUE"""),"หนองรี")</f>
        <v>หนองรี</v>
      </c>
      <c r="AA938" s="3" t="str">
        <f>IFERROR(__xludf.DUMMYFUNCTION("""COMPUTED_VALUE"""),"เมือง")</f>
        <v>เมือง</v>
      </c>
      <c r="AB938" s="3" t="str">
        <f>IFERROR(__xludf.DUMMYFUNCTION("""COMPUTED_VALUE"""),"ชลบุรี")</f>
        <v>ชลบุรี</v>
      </c>
      <c r="AC938" s="3">
        <f>IFERROR(__xludf.DUMMYFUNCTION("""COMPUTED_VALUE"""),20000.0)</f>
        <v>20000</v>
      </c>
      <c r="AD938" s="3">
        <f>IFERROR(__xludf.DUMMYFUNCTION("""COMPUTED_VALUE"""),13.3425892)</f>
        <v>13.3425892</v>
      </c>
      <c r="AE938" s="3">
        <f>IFERROR(__xludf.DUMMYFUNCTION("""COMPUTED_VALUE"""),101.0445123)</f>
        <v>101.0445123</v>
      </c>
      <c r="AF938" s="3" t="str">
        <f>IFERROR(__xludf.DUMMYFUNCTION("""COMPUTED_VALUE"""),"MBC เอสโซ่ หนองรี กม.6-21707")</f>
        <v>MBC เอสโซ่ หนองรี กม.6-21707</v>
      </c>
      <c r="AG938" s="3" t="str">
        <f>IFERROR(__xludf.DUMMYFUNCTION("""COMPUTED_VALUE"""),"ตะวันออก")</f>
        <v>ตะวันออก</v>
      </c>
      <c r="AH938" s="3" t="str">
        <f>IFERROR(__xludf.DUMMYFUNCTION("""COMPUTED_VALUE"""),"#N/A")</f>
        <v>#N/A</v>
      </c>
      <c r="AI938" s="3" t="str">
        <f>IFERROR(__xludf.DUMMYFUNCTION("""COMPUTED_VALUE"""),"Out of warranty")</f>
        <v>Out of warranty</v>
      </c>
      <c r="AJ938" s="3">
        <f>IFERROR(__xludf.DUMMYFUNCTION("""COMPUTED_VALUE"""),86.0)</f>
        <v>86</v>
      </c>
      <c r="AK938" s="3" t="str">
        <f>IFERROR(__xludf.DUMMYFUNCTION("""COMPUTED_VALUE"""),"MMS07")</f>
        <v>MMS07</v>
      </c>
      <c r="AL938" s="3"/>
    </row>
    <row r="939" ht="15.75" customHeight="1">
      <c r="A939" s="1" t="str">
        <f>IFERROR(__xludf.DUMMYFUNCTION("""COMPUTED_VALUE"""),"21708")</f>
        <v>21708</v>
      </c>
      <c r="B939" s="2">
        <f>IFERROR(__xludf.DUMMYFUNCTION("""COMPUTED_VALUE"""),21708.0)</f>
        <v>21708</v>
      </c>
      <c r="C939" s="3" t="str">
        <f>IFERROR(__xludf.DUMMYFUNCTION("""COMPUTED_VALUE"""),"MBC เอสโซ่ แสมดำ พระราม2")</f>
        <v>MBC เอสโซ่ แสมดำ พระราม2</v>
      </c>
      <c r="D939" s="3" t="str">
        <f>IFERROR(__xludf.DUMMYFUNCTION("""COMPUTED_VALUE"""),"BCM ESSO SAMADUM RAMA 2")</f>
        <v>BCM ESSO SAMADUM RAMA 2</v>
      </c>
      <c r="E939" s="1" t="str">
        <f>IFERROR(__xludf.DUMMYFUNCTION("""COMPUTED_VALUE"""),"บิ๊กซี MINI")</f>
        <v>บิ๊กซี MINI</v>
      </c>
      <c r="F939" s="1" t="str">
        <f>IFERROR(__xludf.DUMMYFUNCTION("""COMPUTED_VALUE"""),"291008")</f>
        <v>291008</v>
      </c>
      <c r="G939" s="1" t="str">
        <f>IFERROR(__xludf.DUMMYFUNCTION("""COMPUTED_VALUE"""),"น.ส.รัชดาพร อีศรัตน์")</f>
        <v>น.ส.รัชดาพร อีศรัตน์</v>
      </c>
      <c r="H939" s="1" t="str">
        <f>IFERROR(__xludf.DUMMYFUNCTION("""COMPUTED_VALUE"""),"254800")</f>
        <v>254800</v>
      </c>
      <c r="I939" s="1" t="str">
        <f>IFERROR(__xludf.DUMMYFUNCTION("""COMPUTED_VALUE"""),"น.ส.นัชมล กางกรณ์")</f>
        <v>น.ส.นัชมล กางกรณ์</v>
      </c>
      <c r="J939" s="3">
        <f>IFERROR(__xludf.DUMMYFUNCTION("""COMPUTED_VALUE"""),296608.0)</f>
        <v>296608</v>
      </c>
      <c r="K939" s="3" t="str">
        <f>IFERROR(__xludf.DUMMYFUNCTION("""COMPUTED_VALUE"""),"นายภาคภูมิ เพ็ชรนิล")</f>
        <v>นายภาคภูมิ เพ็ชรนิล</v>
      </c>
      <c r="L939" s="1" t="str">
        <f>IFERROR(__xludf.DUMMYFUNCTION("""COMPUTED_VALUE"""),"10 K.Phakphoom P.")</f>
        <v>10 K.Phakphoom P.</v>
      </c>
      <c r="M939" s="1" t="str">
        <f>IFERROR(__xludf.DUMMYFUNCTION("""COMPUTED_VALUE"""),"063-8955329")</f>
        <v>063-8955329</v>
      </c>
      <c r="N939" s="3">
        <f>IFERROR(__xludf.DUMMYFUNCTION("""COMPUTED_VALUE"""),22584.0)</f>
        <v>22584</v>
      </c>
      <c r="O939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939" s="4">
        <f>IFERROR(__xludf.DUMMYFUNCTION("""COMPUTED_VALUE"""),43428.0)</f>
        <v>43428</v>
      </c>
      <c r="Q939" s="3" t="str">
        <f>IFERROR(__xludf.DUMMYFUNCTION("""COMPUTED_VALUE"""),"A")</f>
        <v>A</v>
      </c>
      <c r="R939" s="3" t="str">
        <f>IFERROR(__xludf.DUMMYFUNCTION("""COMPUTED_VALUE"""),"Small Format")</f>
        <v>Small Format</v>
      </c>
      <c r="S939" s="3" t="str">
        <f>IFERROR(__xludf.DUMMYFUNCTION("""COMPUTED_VALUE"""),"BCM")</f>
        <v>BCM</v>
      </c>
      <c r="T939" s="3" t="str">
        <f>IFERROR(__xludf.DUMMYFUNCTION("""COMPUTED_VALUE"""),"#N/A")</f>
        <v>#N/A</v>
      </c>
      <c r="U939" s="3" t="str">
        <f>IFERROR(__xludf.DUMMYFUNCTION("""COMPUTED_VALUE"""),"#N/A")</f>
        <v>#N/A</v>
      </c>
      <c r="V939" s="3" t="str">
        <f>IFERROR(__xludf.DUMMYFUNCTION("""COMPUTED_VALUE"""),"N")</f>
        <v>N</v>
      </c>
      <c r="W939" s="3">
        <f>IFERROR(__xludf.DUMMYFUNCTION("""COMPUTED_VALUE"""),211694.0)</f>
        <v>211694</v>
      </c>
      <c r="X939" s="3" t="str">
        <f>IFERROR(__xludf.DUMMYFUNCTION("""COMPUTED_VALUE"""),"623/2 ถนนพระรามที่2 แขวงแสมดำ เขตบางขุนเทียน จังหวัดกรุงเทพมหานคร 10150")</f>
        <v>623/2 ถนนพระรามที่2 แขวงแสมดำ เขตบางขุนเทียน จังหวัดกรุงเทพมหานคร 10150</v>
      </c>
      <c r="Y939" s="3" t="str">
        <f>IFERROR(__xludf.DUMMYFUNCTION("""COMPUTED_VALUE"""),"ถนนพระรามที่2")</f>
        <v>ถนนพระรามที่2</v>
      </c>
      <c r="Z939" s="3" t="str">
        <f>IFERROR(__xludf.DUMMYFUNCTION("""COMPUTED_VALUE"""),"แสมดำ")</f>
        <v>แสมดำ</v>
      </c>
      <c r="AA939" s="3" t="str">
        <f>IFERROR(__xludf.DUMMYFUNCTION("""COMPUTED_VALUE"""),"บางขุนเทียน")</f>
        <v>บางขุนเทียน</v>
      </c>
      <c r="AB939" s="3" t="str">
        <f>IFERROR(__xludf.DUMMYFUNCTION("""COMPUTED_VALUE"""),"กรุงเทพมหานคร")</f>
        <v>กรุงเทพมหานคร</v>
      </c>
      <c r="AC939" s="3">
        <f>IFERROR(__xludf.DUMMYFUNCTION("""COMPUTED_VALUE"""),10150.0)</f>
        <v>10150</v>
      </c>
      <c r="AD939" s="3">
        <f>IFERROR(__xludf.DUMMYFUNCTION("""COMPUTED_VALUE"""),13.6138123)</f>
        <v>13.6138123</v>
      </c>
      <c r="AE939" s="3">
        <f>IFERROR(__xludf.DUMMYFUNCTION("""COMPUTED_VALUE"""),100.381717)</f>
        <v>100.381717</v>
      </c>
      <c r="AF939" s="3" t="str">
        <f>IFERROR(__xludf.DUMMYFUNCTION("""COMPUTED_VALUE"""),"MBC เอสโซ่ แสมดำ พระราม2-21708")</f>
        <v>MBC เอสโซ่ แสมดำ พระราม2-21708</v>
      </c>
      <c r="AG939" s="3" t="str">
        <f>IFERROR(__xludf.DUMMYFUNCTION("""COMPUTED_VALUE"""),"กลาง")</f>
        <v>กลาง</v>
      </c>
      <c r="AH939" s="3" t="str">
        <f>IFERROR(__xludf.DUMMYFUNCTION("""COMPUTED_VALUE"""),"#N/A")</f>
        <v>#N/A</v>
      </c>
      <c r="AI939" s="3" t="str">
        <f>IFERROR(__xludf.DUMMYFUNCTION("""COMPUTED_VALUE"""),"Out of warranty")</f>
        <v>Out of warranty</v>
      </c>
      <c r="AJ939" s="3">
        <f>IFERROR(__xludf.DUMMYFUNCTION("""COMPUTED_VALUE"""),86.0)</f>
        <v>86</v>
      </c>
      <c r="AK939" s="3" t="str">
        <f>IFERROR(__xludf.DUMMYFUNCTION("""COMPUTED_VALUE"""),"MMS05")</f>
        <v>MMS05</v>
      </c>
      <c r="AL939" s="3"/>
    </row>
    <row r="940" ht="15.75" customHeight="1">
      <c r="A940" s="1" t="str">
        <f>IFERROR(__xludf.DUMMYFUNCTION("""COMPUTED_VALUE"""),"21709")</f>
        <v>21709</v>
      </c>
      <c r="B940" s="2">
        <f>IFERROR(__xludf.DUMMYFUNCTION("""COMPUTED_VALUE"""),21709.0)</f>
        <v>21709</v>
      </c>
      <c r="C940" s="3" t="str">
        <f>IFERROR(__xludf.DUMMYFUNCTION("""COMPUTED_VALUE"""),"MBC เอสโซ่ พลับพลาชัย")</f>
        <v>MBC เอสโซ่ พลับพลาชัย</v>
      </c>
      <c r="D940" s="3" t="str">
        <f>IFERROR(__xludf.DUMMYFUNCTION("""COMPUTED_VALUE"""),"BCM ESSO PHAPPHACHAI")</f>
        <v>BCM ESSO PHAPPHACHAI</v>
      </c>
      <c r="E940" s="1" t="str">
        <f>IFERROR(__xludf.DUMMYFUNCTION("""COMPUTED_VALUE"""),"บิ๊กซี MINI")</f>
        <v>บิ๊กซี MINI</v>
      </c>
      <c r="F940" s="1" t="str">
        <f>IFERROR(__xludf.DUMMYFUNCTION("""COMPUTED_VALUE"""),"296229")</f>
        <v>296229</v>
      </c>
      <c r="G940" s="1" t="str">
        <f>IFERROR(__xludf.DUMMYFUNCTION("""COMPUTED_VALUE"""),"นายทนงศักดิ์ บุญมา")</f>
        <v>นายทนงศักดิ์ บุญมา</v>
      </c>
      <c r="H940" s="1" t="str">
        <f>IFERROR(__xludf.DUMMYFUNCTION("""COMPUTED_VALUE"""),"318186")</f>
        <v>318186</v>
      </c>
      <c r="I940" s="1" t="str">
        <f>IFERROR(__xludf.DUMMYFUNCTION("""COMPUTED_VALUE"""),"น.ส.พนมวัลย์ เรืองรัตน์")</f>
        <v>น.ส.พนมวัลย์ เรืองรัตน์</v>
      </c>
      <c r="J940" s="3">
        <f>IFERROR(__xludf.DUMMYFUNCTION("""COMPUTED_VALUE"""),46214.0)</f>
        <v>46214</v>
      </c>
      <c r="K940" s="3" t="str">
        <f>IFERROR(__xludf.DUMMYFUNCTION("""COMPUTED_VALUE"""),"นายศักดิ์ชัย เด็ดดอกฟ้า")</f>
        <v>นายศักดิ์ชัย เด็ดดอกฟ้า</v>
      </c>
      <c r="L940" s="1" t="str">
        <f>IFERROR(__xludf.DUMMYFUNCTION("""COMPUTED_VALUE"""),"02 K.Sakchai D")</f>
        <v>02 K.Sakchai D</v>
      </c>
      <c r="M940" s="1" t="str">
        <f>IFERROR(__xludf.DUMMYFUNCTION("""COMPUTED_VALUE"""),"065-510-7376")</f>
        <v>065-510-7376</v>
      </c>
      <c r="N940" s="3">
        <f>IFERROR(__xludf.DUMMYFUNCTION("""COMPUTED_VALUE"""),21714.0)</f>
        <v>21714</v>
      </c>
      <c r="O940" s="3" t="str">
        <f>IFERROR(__xludf.DUMMYFUNCTION("""COMPUTED_VALUE"""),"MBC เอสโซ่ วัดโบสถ์")</f>
        <v>MBC เอสโซ่ วัดโบสถ์</v>
      </c>
      <c r="P940" s="4">
        <f>IFERROR(__xludf.DUMMYFUNCTION("""COMPUTED_VALUE"""),43428.0)</f>
        <v>43428</v>
      </c>
      <c r="Q940" s="3" t="str">
        <f>IFERROR(__xludf.DUMMYFUNCTION("""COMPUTED_VALUE"""),"A")</f>
        <v>A</v>
      </c>
      <c r="R940" s="3" t="str">
        <f>IFERROR(__xludf.DUMMYFUNCTION("""COMPUTED_VALUE"""),"Small Format")</f>
        <v>Small Format</v>
      </c>
      <c r="S940" s="3" t="str">
        <f>IFERROR(__xludf.DUMMYFUNCTION("""COMPUTED_VALUE"""),"BCM")</f>
        <v>BCM</v>
      </c>
      <c r="T940" s="3" t="str">
        <f>IFERROR(__xludf.DUMMYFUNCTION("""COMPUTED_VALUE"""),"#N/A")</f>
        <v>#N/A</v>
      </c>
      <c r="U940" s="3" t="str">
        <f>IFERROR(__xludf.DUMMYFUNCTION("""COMPUTED_VALUE"""),"#N/A")</f>
        <v>#N/A</v>
      </c>
      <c r="V940" s="3" t="str">
        <f>IFERROR(__xludf.DUMMYFUNCTION("""COMPUTED_VALUE"""),"N")</f>
        <v>N</v>
      </c>
      <c r="W940" s="3">
        <f>IFERROR(__xludf.DUMMYFUNCTION("""COMPUTED_VALUE"""),211701.0)</f>
        <v>211701</v>
      </c>
      <c r="X940" s="3" t="str">
        <f>IFERROR(__xludf.DUMMYFUNCTION("""COMPUTED_VALUE"""),"556 หมู่4 ตำบลพลับพลาไซย อำเภออู่ทอง จังหวัดสุพรรณบุรี 72160")</f>
        <v>556 หมู่4 ตำบลพลับพลาไซย อำเภออู่ทอง จังหวัดสุพรรณบุรี 72160</v>
      </c>
      <c r="Y940" s="3"/>
      <c r="Z940" s="3" t="str">
        <f>IFERROR(__xludf.DUMMYFUNCTION("""COMPUTED_VALUE"""),"พลับพลาไซย")</f>
        <v>พลับพลาไซย</v>
      </c>
      <c r="AA940" s="3" t="str">
        <f>IFERROR(__xludf.DUMMYFUNCTION("""COMPUTED_VALUE"""),"อู่ทอง")</f>
        <v>อู่ทอง</v>
      </c>
      <c r="AB940" s="3" t="str">
        <f>IFERROR(__xludf.DUMMYFUNCTION("""COMPUTED_VALUE"""),"สุพรรณบุรี")</f>
        <v>สุพรรณบุรี</v>
      </c>
      <c r="AC940" s="3">
        <f>IFERROR(__xludf.DUMMYFUNCTION("""COMPUTED_VALUE"""),72160.0)</f>
        <v>72160</v>
      </c>
      <c r="AD940" s="3">
        <f>IFERROR(__xludf.DUMMYFUNCTION("""COMPUTED_VALUE"""),14.5291427)</f>
        <v>14.5291427</v>
      </c>
      <c r="AE940" s="3">
        <f>IFERROR(__xludf.DUMMYFUNCTION("""COMPUTED_VALUE"""),99.9109343)</f>
        <v>99.9109343</v>
      </c>
      <c r="AF940" s="3" t="str">
        <f>IFERROR(__xludf.DUMMYFUNCTION("""COMPUTED_VALUE"""),"MBC เอสโซ่ พลับพลาชัย-21709")</f>
        <v>MBC เอสโซ่ พลับพลาชัย-21709</v>
      </c>
      <c r="AG940" s="3" t="str">
        <f>IFERROR(__xludf.DUMMYFUNCTION("""COMPUTED_VALUE"""),"กลาง")</f>
        <v>กลาง</v>
      </c>
      <c r="AH940" s="3" t="str">
        <f>IFERROR(__xludf.DUMMYFUNCTION("""COMPUTED_VALUE"""),"#N/A")</f>
        <v>#N/A</v>
      </c>
      <c r="AI940" s="3" t="str">
        <f>IFERROR(__xludf.DUMMYFUNCTION("""COMPUTED_VALUE"""),"Out of warranty")</f>
        <v>Out of warranty</v>
      </c>
      <c r="AJ940" s="3">
        <f>IFERROR(__xludf.DUMMYFUNCTION("""COMPUTED_VALUE"""),86.0)</f>
        <v>86</v>
      </c>
      <c r="AK940" s="3" t="str">
        <f>IFERROR(__xludf.DUMMYFUNCTION("""COMPUTED_VALUE"""),"MMS09")</f>
        <v>MMS09</v>
      </c>
      <c r="AL940" s="3"/>
    </row>
    <row r="941" ht="15.75" customHeight="1">
      <c r="A941" s="1" t="str">
        <f>IFERROR(__xludf.DUMMYFUNCTION("""COMPUTED_VALUE"""),"21710")</f>
        <v>21710</v>
      </c>
      <c r="B941" s="2">
        <f>IFERROR(__xludf.DUMMYFUNCTION("""COMPUTED_VALUE"""),21710.0)</f>
        <v>21710</v>
      </c>
      <c r="C941" s="3" t="str">
        <f>IFERROR(__xludf.DUMMYFUNCTION("""COMPUTED_VALUE"""),"MBC คาลเท็กซ์ หนองก้างปลา")</f>
        <v>MBC คาลเท็กซ์ หนองก้างปลา</v>
      </c>
      <c r="D941" s="3" t="str">
        <f>IFERROR(__xludf.DUMMYFUNCTION("""COMPUTED_VALUE"""),"BCM CALLTEX NONG KANG PLA")</f>
        <v>BCM CALLTEX NONG KANG PLA</v>
      </c>
      <c r="E941" s="1" t="str">
        <f>IFERROR(__xludf.DUMMYFUNCTION("""COMPUTED_VALUE"""),"บิ๊กซี MINI")</f>
        <v>บิ๊กซี MINI</v>
      </c>
      <c r="F941" s="1" t="str">
        <f>IFERROR(__xludf.DUMMYFUNCTION("""COMPUTED_VALUE"""),"221716")</f>
        <v>221716</v>
      </c>
      <c r="G941" s="1" t="str">
        <f>IFERROR(__xludf.DUMMYFUNCTION("""COMPUTED_VALUE"""),"น.ส.เบญจพร โพธิสาร")</f>
        <v>น.ส.เบญจพร โพธิสาร</v>
      </c>
      <c r="H941" s="1" t="str">
        <f>IFERROR(__xludf.DUMMYFUNCTION("""COMPUTED_VALUE"""),"376139")</f>
        <v>376139</v>
      </c>
      <c r="I941" s="1" t="str">
        <f>IFERROR(__xludf.DUMMYFUNCTION("""COMPUTED_VALUE"""),"นายอนุชา อำไพ")</f>
        <v>นายอนุชา อำไพ</v>
      </c>
      <c r="J941" s="3">
        <f>IFERROR(__xludf.DUMMYFUNCTION("""COMPUTED_VALUE"""),3510104.0)</f>
        <v>3510104</v>
      </c>
      <c r="K941" s="3" t="str">
        <f>IFERROR(__xludf.DUMMYFUNCTION("""COMPUTED_VALUE"""),"นายวิโรจน์ อับดุลสมัด")</f>
        <v>นายวิโรจน์ อับดุลสมัด</v>
      </c>
      <c r="L941" s="1" t="str">
        <f>IFERROR(__xludf.DUMMYFUNCTION("""COMPUTED_VALUE"""),"09 K.Wirode A")</f>
        <v>09 K.Wirode A</v>
      </c>
      <c r="M941" s="1" t="str">
        <f>IFERROR(__xludf.DUMMYFUNCTION("""COMPUTED_VALUE"""),"080-235-4465")</f>
        <v>080-235-4465</v>
      </c>
      <c r="N941" s="3">
        <f>IFERROR(__xludf.DUMMYFUNCTION("""COMPUTED_VALUE"""),21324.0)</f>
        <v>21324</v>
      </c>
      <c r="O941" s="3" t="str">
        <f>IFERROR(__xludf.DUMMYFUNCTION("""COMPUTED_VALUE"""),"MBC BCP สุวินทวงศ์")</f>
        <v>MBC BCP สุวินทวงศ์</v>
      </c>
      <c r="P941" s="4">
        <f>IFERROR(__xludf.DUMMYFUNCTION("""COMPUTED_VALUE"""),43428.0)</f>
        <v>43428</v>
      </c>
      <c r="Q941" s="3" t="str">
        <f>IFERROR(__xludf.DUMMYFUNCTION("""COMPUTED_VALUE"""),"I")</f>
        <v>I</v>
      </c>
      <c r="R941" s="3" t="str">
        <f>IFERROR(__xludf.DUMMYFUNCTION("""COMPUTED_VALUE"""),"Small Format")</f>
        <v>Small Format</v>
      </c>
      <c r="S941" s="3" t="str">
        <f>IFERROR(__xludf.DUMMYFUNCTION("""COMPUTED_VALUE"""),"BCM")</f>
        <v>BCM</v>
      </c>
      <c r="T941" s="3" t="str">
        <f>IFERROR(__xludf.DUMMYFUNCTION("""COMPUTED_VALUE"""),"#N/A")</f>
        <v>#N/A</v>
      </c>
      <c r="U941" s="3" t="str">
        <f>IFERROR(__xludf.DUMMYFUNCTION("""COMPUTED_VALUE"""),"#N/A")</f>
        <v>#N/A</v>
      </c>
      <c r="V941" s="3" t="str">
        <f>IFERROR(__xludf.DUMMYFUNCTION("""COMPUTED_VALUE"""),"N")</f>
        <v>N</v>
      </c>
      <c r="W941" s="3">
        <f>IFERROR(__xludf.DUMMYFUNCTION("""COMPUTED_VALUE"""),211709.0)</f>
        <v>211709</v>
      </c>
      <c r="X941" s="3" t="str">
        <f>IFERROR(__xludf.DUMMYFUNCTION("""COMPUTED_VALUE"""),"789 หมู่3 ตำบลบ่อวิน อำเภอศรีราชา จังหวัดชลบุรี 20230")</f>
        <v>789 หมู่3 ตำบลบ่อวิน อำเภอศรีราชา จังหวัดชลบุรี 20230</v>
      </c>
      <c r="Y941" s="3"/>
      <c r="Z941" s="3" t="str">
        <f>IFERROR(__xludf.DUMMYFUNCTION("""COMPUTED_VALUE"""),"บ่อวิน")</f>
        <v>บ่อวิน</v>
      </c>
      <c r="AA941" s="3" t="str">
        <f>IFERROR(__xludf.DUMMYFUNCTION("""COMPUTED_VALUE"""),"ศรีราชา")</f>
        <v>ศรีราชา</v>
      </c>
      <c r="AB941" s="3" t="str">
        <f>IFERROR(__xludf.DUMMYFUNCTION("""COMPUTED_VALUE"""),"ชลบุรี")</f>
        <v>ชลบุรี</v>
      </c>
      <c r="AC941" s="3">
        <f>IFERROR(__xludf.DUMMYFUNCTION("""COMPUTED_VALUE"""),20230.0)</f>
        <v>20230</v>
      </c>
      <c r="AD941" s="3">
        <f>IFERROR(__xludf.DUMMYFUNCTION("""COMPUTED_VALUE"""),13.0385987)</f>
        <v>13.0385987</v>
      </c>
      <c r="AE941" s="3">
        <f>IFERROR(__xludf.DUMMYFUNCTION("""COMPUTED_VALUE"""),101.1176283)</f>
        <v>101.1176283</v>
      </c>
      <c r="AF941" s="3" t="str">
        <f>IFERROR(__xludf.DUMMYFUNCTION("""COMPUTED_VALUE"""),"MBC คาลเท็กซ์ หนองก้างปลา-21710")</f>
        <v>MBC คาลเท็กซ์ หนองก้างปลา-21710</v>
      </c>
      <c r="AG941" s="3" t="str">
        <f>IFERROR(__xludf.DUMMYFUNCTION("""COMPUTED_VALUE"""),"ตะวันออก")</f>
        <v>ตะวันออก</v>
      </c>
      <c r="AH941" s="3" t="str">
        <f>IFERROR(__xludf.DUMMYFUNCTION("""COMPUTED_VALUE"""),"#N/A")</f>
        <v>#N/A</v>
      </c>
      <c r="AI941" s="3" t="str">
        <f>IFERROR(__xludf.DUMMYFUNCTION("""COMPUTED_VALUE"""),"Out of warranty")</f>
        <v>Out of warranty</v>
      </c>
      <c r="AJ941" s="3">
        <f>IFERROR(__xludf.DUMMYFUNCTION("""COMPUTED_VALUE"""),86.0)</f>
        <v>86</v>
      </c>
      <c r="AK941" s="3" t="str">
        <f>IFERROR(__xludf.DUMMYFUNCTION("""COMPUTED_VALUE"""),"MMS07")</f>
        <v>MMS07</v>
      </c>
      <c r="AL941" s="3"/>
    </row>
    <row r="942" ht="15.75" customHeight="1">
      <c r="A942" s="1" t="str">
        <f>IFERROR(__xludf.DUMMYFUNCTION("""COMPUTED_VALUE"""),"21711")</f>
        <v>21711</v>
      </c>
      <c r="B942" s="2">
        <f>IFERROR(__xludf.DUMMYFUNCTION("""COMPUTED_VALUE"""),21711.0)</f>
        <v>21711</v>
      </c>
      <c r="C942" s="3" t="str">
        <f>IFERROR(__xludf.DUMMYFUNCTION("""COMPUTED_VALUE"""),"MBC เอสโซ่ เหมราช 2 บ่อวิน")</f>
        <v>MBC เอสโซ่ เหมราช 2 บ่อวิน</v>
      </c>
      <c r="D942" s="3" t="str">
        <f>IFERROR(__xludf.DUMMYFUNCTION("""COMPUTED_VALUE"""),"BCM ESSO HEMARAJ 2 BOWIN")</f>
        <v>BCM ESSO HEMARAJ 2 BOWIN</v>
      </c>
      <c r="E942" s="1" t="str">
        <f>IFERROR(__xludf.DUMMYFUNCTION("""COMPUTED_VALUE"""),"บิ๊กซี MINI")</f>
        <v>บิ๊กซี MINI</v>
      </c>
      <c r="F942" s="1" t="str">
        <f>IFERROR(__xludf.DUMMYFUNCTION("""COMPUTED_VALUE"""),"221716")</f>
        <v>221716</v>
      </c>
      <c r="G942" s="1" t="str">
        <f>IFERROR(__xludf.DUMMYFUNCTION("""COMPUTED_VALUE"""),"น.ส.เบญจพร โพธิสาร")</f>
        <v>น.ส.เบญจพร โพธิสาร</v>
      </c>
      <c r="H942" s="1" t="str">
        <f>IFERROR(__xludf.DUMMYFUNCTION("""COMPUTED_VALUE"""),"376139")</f>
        <v>376139</v>
      </c>
      <c r="I942" s="1" t="str">
        <f>IFERROR(__xludf.DUMMYFUNCTION("""COMPUTED_VALUE"""),"นายอนุชา อำไพ")</f>
        <v>นายอนุชา อำไพ</v>
      </c>
      <c r="J942" s="3">
        <f>IFERROR(__xludf.DUMMYFUNCTION("""COMPUTED_VALUE"""),296942.0)</f>
        <v>296942</v>
      </c>
      <c r="K942" s="3" t="str">
        <f>IFERROR(__xludf.DUMMYFUNCTION("""COMPUTED_VALUE"""),"นายปิยะ รักษากิจ")</f>
        <v>นายปิยะ รักษากิจ</v>
      </c>
      <c r="L942" s="1" t="str">
        <f>IFERROR(__xludf.DUMMYFUNCTION("""COMPUTED_VALUE"""),"07 K.Piya R.")</f>
        <v>07 K.Piya R.</v>
      </c>
      <c r="M942" s="1" t="str">
        <f>IFERROR(__xludf.DUMMYFUNCTION("""COMPUTED_VALUE"""),"097-919-5476")</f>
        <v>097-919-5476</v>
      </c>
      <c r="N942" s="3">
        <f>IFERROR(__xludf.DUMMYFUNCTION("""COMPUTED_VALUE"""),21332.0)</f>
        <v>21332</v>
      </c>
      <c r="O942" s="3" t="str">
        <f>IFERROR(__xludf.DUMMYFUNCTION("""COMPUTED_VALUE"""),"MBC BCP อ่อนนุช 17/1")</f>
        <v>MBC BCP อ่อนนุช 17/1</v>
      </c>
      <c r="P942" s="4">
        <f>IFERROR(__xludf.DUMMYFUNCTION("""COMPUTED_VALUE"""),43431.0)</f>
        <v>43431</v>
      </c>
      <c r="Q942" s="3" t="str">
        <f>IFERROR(__xludf.DUMMYFUNCTION("""COMPUTED_VALUE"""),"A")</f>
        <v>A</v>
      </c>
      <c r="R942" s="3" t="str">
        <f>IFERROR(__xludf.DUMMYFUNCTION("""COMPUTED_VALUE"""),"Small Format")</f>
        <v>Small Format</v>
      </c>
      <c r="S942" s="3" t="str">
        <f>IFERROR(__xludf.DUMMYFUNCTION("""COMPUTED_VALUE"""),"BCM")</f>
        <v>BCM</v>
      </c>
      <c r="T942" s="3" t="str">
        <f>IFERROR(__xludf.DUMMYFUNCTION("""COMPUTED_VALUE"""),"#N/A")</f>
        <v>#N/A</v>
      </c>
      <c r="U942" s="3" t="str">
        <f>IFERROR(__xludf.DUMMYFUNCTION("""COMPUTED_VALUE"""),"#N/A")</f>
        <v>#N/A</v>
      </c>
      <c r="V942" s="3" t="str">
        <f>IFERROR(__xludf.DUMMYFUNCTION("""COMPUTED_VALUE"""),"N")</f>
        <v>N</v>
      </c>
      <c r="W942" s="3">
        <f>IFERROR(__xludf.DUMMYFUNCTION("""COMPUTED_VALUE"""),211708.0)</f>
        <v>211708</v>
      </c>
      <c r="X942" s="3" t="str">
        <f>IFERROR(__xludf.DUMMYFUNCTION("""COMPUTED_VALUE"""),"94/7 หมู่8 ตำบลบ่อวิน อำเภอศรีราชา จังหวัดชลบุรี 20230")</f>
        <v>94/7 หมู่8 ตำบลบ่อวิน อำเภอศรีราชา จังหวัดชลบุรี 20230</v>
      </c>
      <c r="Y942" s="3"/>
      <c r="Z942" s="3" t="str">
        <f>IFERROR(__xludf.DUMMYFUNCTION("""COMPUTED_VALUE"""),"บ่อวิน")</f>
        <v>บ่อวิน</v>
      </c>
      <c r="AA942" s="3" t="str">
        <f>IFERROR(__xludf.DUMMYFUNCTION("""COMPUTED_VALUE"""),"ศรีราชา")</f>
        <v>ศรีราชา</v>
      </c>
      <c r="AB942" s="3" t="str">
        <f>IFERROR(__xludf.DUMMYFUNCTION("""COMPUTED_VALUE"""),"ชลบุรี")</f>
        <v>ชลบุรี</v>
      </c>
      <c r="AC942" s="3">
        <f>IFERROR(__xludf.DUMMYFUNCTION("""COMPUTED_VALUE"""),20230.0)</f>
        <v>20230</v>
      </c>
      <c r="AD942" s="3">
        <f>IFERROR(__xludf.DUMMYFUNCTION("""COMPUTED_VALUE"""),13.0939805)</f>
        <v>13.0939805</v>
      </c>
      <c r="AE942" s="3">
        <f>IFERROR(__xludf.DUMMYFUNCTION("""COMPUTED_VALUE"""),101.0960808)</f>
        <v>101.0960808</v>
      </c>
      <c r="AF942" s="3" t="str">
        <f>IFERROR(__xludf.DUMMYFUNCTION("""COMPUTED_VALUE"""),"MBC เอสโซ่ เหมราช 2 บ่อวิน-21711")</f>
        <v>MBC เอสโซ่ เหมราช 2 บ่อวิน-21711</v>
      </c>
      <c r="AG942" s="3" t="str">
        <f>IFERROR(__xludf.DUMMYFUNCTION("""COMPUTED_VALUE"""),"ตะวันออก")</f>
        <v>ตะวันออก</v>
      </c>
      <c r="AH942" s="3" t="str">
        <f>IFERROR(__xludf.DUMMYFUNCTION("""COMPUTED_VALUE"""),"#N/A")</f>
        <v>#N/A</v>
      </c>
      <c r="AI942" s="3" t="str">
        <f>IFERROR(__xludf.DUMMYFUNCTION("""COMPUTED_VALUE"""),"Out of warranty")</f>
        <v>Out of warranty</v>
      </c>
      <c r="AJ942" s="3">
        <f>IFERROR(__xludf.DUMMYFUNCTION("""COMPUTED_VALUE"""),86.0)</f>
        <v>86</v>
      </c>
      <c r="AK942" s="3" t="str">
        <f>IFERROR(__xludf.DUMMYFUNCTION("""COMPUTED_VALUE"""),"MMS07")</f>
        <v>MMS07</v>
      </c>
      <c r="AL942" s="3"/>
    </row>
    <row r="943" ht="15.75" customHeight="1">
      <c r="A943" s="1" t="str">
        <f>IFERROR(__xludf.DUMMYFUNCTION("""COMPUTED_VALUE"""),"21712")</f>
        <v>21712</v>
      </c>
      <c r="B943" s="2">
        <f>IFERROR(__xludf.DUMMYFUNCTION("""COMPUTED_VALUE"""),21712.0)</f>
        <v>21712</v>
      </c>
      <c r="C943" s="3" t="str">
        <f>IFERROR(__xludf.DUMMYFUNCTION("""COMPUTED_VALUE"""),"MBC หมู่บ้าน วิรินทร์พร ปลวกแดง ระยอง")</f>
        <v>MBC หมู่บ้าน วิรินทร์พร ปลวกแดง ระยอง</v>
      </c>
      <c r="D943" s="3" t="str">
        <f>IFERROR(__xludf.DUMMYFUNCTION("""COMPUTED_VALUE"""),"BCM MOOBAN VIRINPORNPLUAKDAENG")</f>
        <v>BCM MOOBAN VIRINPORNPLUAKDAENG</v>
      </c>
      <c r="E943" s="1" t="str">
        <f>IFERROR(__xludf.DUMMYFUNCTION("""COMPUTED_VALUE"""),"บิ๊กซี MINI")</f>
        <v>บิ๊กซี MINI</v>
      </c>
      <c r="F943" s="1" t="str">
        <f>IFERROR(__xludf.DUMMYFUNCTION("""COMPUTED_VALUE"""),"221716")</f>
        <v>221716</v>
      </c>
      <c r="G943" s="1" t="str">
        <f>IFERROR(__xludf.DUMMYFUNCTION("""COMPUTED_VALUE"""),"น.ส.เบญจพร โพธิสาร")</f>
        <v>น.ส.เบญจพร โพธิสาร</v>
      </c>
      <c r="H943" s="1" t="str">
        <f>IFERROR(__xludf.DUMMYFUNCTION("""COMPUTED_VALUE"""),"371384")</f>
        <v>371384</v>
      </c>
      <c r="I943" s="1" t="str">
        <f>IFERROR(__xludf.DUMMYFUNCTION("""COMPUTED_VALUE"""),"น.ส.นิลเนตร สิงห์ทอง")</f>
        <v>น.ส.นิลเนตร สิงห์ทอง</v>
      </c>
      <c r="J943" s="3">
        <f>IFERROR(__xludf.DUMMYFUNCTION("""COMPUTED_VALUE"""),2452376.0)</f>
        <v>2452376</v>
      </c>
      <c r="K943" s="3" t="str">
        <f>IFERROR(__xludf.DUMMYFUNCTION("""COMPUTED_VALUE"""),"นายภาคภูมิ ทวีกุล")</f>
        <v>นายภาคภูมิ ทวีกุล</v>
      </c>
      <c r="L943" s="1" t="str">
        <f>IFERROR(__xludf.DUMMYFUNCTION("""COMPUTED_VALUE"""),"08 K.Parkphum T.")</f>
        <v>08 K.Parkphum T.</v>
      </c>
      <c r="M943" s="1" t="str">
        <f>IFERROR(__xludf.DUMMYFUNCTION("""COMPUTED_VALUE"""),"097-919-5476")</f>
        <v>097-919-5476</v>
      </c>
      <c r="N943" s="3">
        <f>IFERROR(__xludf.DUMMYFUNCTION("""COMPUTED_VALUE"""),22028.0)</f>
        <v>22028</v>
      </c>
      <c r="O943" s="3" t="str">
        <f>IFERROR(__xludf.DUMMYFUNCTION("""COMPUTED_VALUE"""),"MBC ทํบมา ระยอง")</f>
        <v>MBC ทํบมา ระยอง</v>
      </c>
      <c r="P943" s="4">
        <f>IFERROR(__xludf.DUMMYFUNCTION("""COMPUTED_VALUE"""),43432.0)</f>
        <v>43432</v>
      </c>
      <c r="Q943" s="3" t="str">
        <f>IFERROR(__xludf.DUMMYFUNCTION("""COMPUTED_VALUE"""),"A")</f>
        <v>A</v>
      </c>
      <c r="R943" s="3" t="str">
        <f>IFERROR(__xludf.DUMMYFUNCTION("""COMPUTED_VALUE"""),"Small Format")</f>
        <v>Small Format</v>
      </c>
      <c r="S943" s="3" t="str">
        <f>IFERROR(__xludf.DUMMYFUNCTION("""COMPUTED_VALUE"""),"BCM")</f>
        <v>BCM</v>
      </c>
      <c r="T943" s="3" t="str">
        <f>IFERROR(__xludf.DUMMYFUNCTION("""COMPUTED_VALUE"""),"#N/A")</f>
        <v>#N/A</v>
      </c>
      <c r="U943" s="3" t="str">
        <f>IFERROR(__xludf.DUMMYFUNCTION("""COMPUTED_VALUE"""),"#N/A")</f>
        <v>#N/A</v>
      </c>
      <c r="V943" s="3" t="str">
        <f>IFERROR(__xludf.DUMMYFUNCTION("""COMPUTED_VALUE"""),"N")</f>
        <v>N</v>
      </c>
      <c r="W943" s="3">
        <f>IFERROR(__xludf.DUMMYFUNCTION("""COMPUTED_VALUE"""),211680.0)</f>
        <v>211680</v>
      </c>
      <c r="X943" s="3" t="str">
        <f>IFERROR(__xludf.DUMMYFUNCTION("""COMPUTED_VALUE"""),"989/5-7 หมู่1 ตำบลตาสิทธิ์ อำเภอปลวกแดง จังหวัดระยอง 21140")</f>
        <v>989/5-7 หมู่1 ตำบลตาสิทธิ์ อำเภอปลวกแดง จังหวัดระยอง 21140</v>
      </c>
      <c r="Y943" s="3"/>
      <c r="Z943" s="3" t="str">
        <f>IFERROR(__xludf.DUMMYFUNCTION("""COMPUTED_VALUE"""),"ตาสิทธิ์")</f>
        <v>ตาสิทธิ์</v>
      </c>
      <c r="AA943" s="3" t="str">
        <f>IFERROR(__xludf.DUMMYFUNCTION("""COMPUTED_VALUE"""),"ปลวกแดง")</f>
        <v>ปลวกแดง</v>
      </c>
      <c r="AB943" s="3" t="str">
        <f>IFERROR(__xludf.DUMMYFUNCTION("""COMPUTED_VALUE"""),"ระยอง")</f>
        <v>ระยอง</v>
      </c>
      <c r="AC943" s="3">
        <f>IFERROR(__xludf.DUMMYFUNCTION("""COMPUTED_VALUE"""),21140.0)</f>
        <v>21140</v>
      </c>
      <c r="AD943" s="3">
        <f>IFERROR(__xludf.DUMMYFUNCTION("""COMPUTED_VALUE"""),13.0042533)</f>
        <v>13.0042533</v>
      </c>
      <c r="AE943" s="3">
        <f>IFERROR(__xludf.DUMMYFUNCTION("""COMPUTED_VALUE"""),101.2036363)</f>
        <v>101.2036363</v>
      </c>
      <c r="AF943" s="3" t="str">
        <f>IFERROR(__xludf.DUMMYFUNCTION("""COMPUTED_VALUE"""),"MBC หมู่บ้าน วิรินทร์พร ปลวกแดง ระยอง-21712")</f>
        <v>MBC หมู่บ้าน วิรินทร์พร ปลวกแดง ระยอง-21712</v>
      </c>
      <c r="AG943" s="3" t="str">
        <f>IFERROR(__xludf.DUMMYFUNCTION("""COMPUTED_VALUE"""),"ตะวันออก")</f>
        <v>ตะวันออก</v>
      </c>
      <c r="AH943" s="3" t="str">
        <f>IFERROR(__xludf.DUMMYFUNCTION("""COMPUTED_VALUE"""),"#N/A")</f>
        <v>#N/A</v>
      </c>
      <c r="AI943" s="3" t="str">
        <f>IFERROR(__xludf.DUMMYFUNCTION("""COMPUTED_VALUE"""),"Out of warranty")</f>
        <v>Out of warranty</v>
      </c>
      <c r="AJ943" s="3">
        <f>IFERROR(__xludf.DUMMYFUNCTION("""COMPUTED_VALUE"""),86.0)</f>
        <v>86</v>
      </c>
      <c r="AK943" s="3" t="str">
        <f>IFERROR(__xludf.DUMMYFUNCTION("""COMPUTED_VALUE"""),"MMS07")</f>
        <v>MMS07</v>
      </c>
      <c r="AL943" s="3"/>
    </row>
    <row r="944" ht="15.75" customHeight="1">
      <c r="A944" s="1" t="str">
        <f>IFERROR(__xludf.DUMMYFUNCTION("""COMPUTED_VALUE"""),"21713")</f>
        <v>21713</v>
      </c>
      <c r="B944" s="2">
        <f>IFERROR(__xludf.DUMMYFUNCTION("""COMPUTED_VALUE"""),21713.0)</f>
        <v>21713</v>
      </c>
      <c r="C944" s="3" t="str">
        <f>IFERROR(__xludf.DUMMYFUNCTION("""COMPUTED_VALUE"""),"MBC หน้าโรงงาน แอลจี ระยอง")</f>
        <v>MBC หน้าโรงงาน แอลจี ระยอง</v>
      </c>
      <c r="D944" s="3" t="str">
        <f>IFERROR(__xludf.DUMMYFUNCTION("""COMPUTED_VALUE"""),"BCM NHA LG FACTORY, RAYONG")</f>
        <v>BCM NHA LG FACTORY, RAYONG</v>
      </c>
      <c r="E944" s="1" t="str">
        <f>IFERROR(__xludf.DUMMYFUNCTION("""COMPUTED_VALUE"""),"บิ๊กซี MINI")</f>
        <v>บิ๊กซี MINI</v>
      </c>
      <c r="F944" s="1" t="str">
        <f>IFERROR(__xludf.DUMMYFUNCTION("""COMPUTED_VALUE"""),"221716")</f>
        <v>221716</v>
      </c>
      <c r="G944" s="1" t="str">
        <f>IFERROR(__xludf.DUMMYFUNCTION("""COMPUTED_VALUE"""),"น.ส.เบญจพร โพธิสาร")</f>
        <v>น.ส.เบญจพร โพธิสาร</v>
      </c>
      <c r="H944" s="1" t="str">
        <f>IFERROR(__xludf.DUMMYFUNCTION("""COMPUTED_VALUE"""),"371384")</f>
        <v>371384</v>
      </c>
      <c r="I944" s="1" t="str">
        <f>IFERROR(__xludf.DUMMYFUNCTION("""COMPUTED_VALUE"""),"น.ส.นิลเนตร สิงห์ทอง")</f>
        <v>น.ส.นิลเนตร สิงห์ทอง</v>
      </c>
      <c r="J944" s="3">
        <f>IFERROR(__xludf.DUMMYFUNCTION("""COMPUTED_VALUE"""),2452376.0)</f>
        <v>2452376</v>
      </c>
      <c r="K944" s="3" t="str">
        <f>IFERROR(__xludf.DUMMYFUNCTION("""COMPUTED_VALUE"""),"นายภาคภูมิ ทวีกุล")</f>
        <v>นายภาคภูมิ ทวีกุล</v>
      </c>
      <c r="L944" s="1" t="str">
        <f>IFERROR(__xludf.DUMMYFUNCTION("""COMPUTED_VALUE"""),"08 K.Parkphum T.")</f>
        <v>08 K.Parkphum T.</v>
      </c>
      <c r="M944" s="1" t="str">
        <f>IFERROR(__xludf.DUMMYFUNCTION("""COMPUTED_VALUE"""),"097-919-5476")</f>
        <v>097-919-5476</v>
      </c>
      <c r="N944" s="3">
        <f>IFERROR(__xludf.DUMMYFUNCTION("""COMPUTED_VALUE"""),22028.0)</f>
        <v>22028</v>
      </c>
      <c r="O944" s="3" t="str">
        <f>IFERROR(__xludf.DUMMYFUNCTION("""COMPUTED_VALUE"""),"MBC ทํบมา ระยอง")</f>
        <v>MBC ทํบมา ระยอง</v>
      </c>
      <c r="P944" s="4">
        <f>IFERROR(__xludf.DUMMYFUNCTION("""COMPUTED_VALUE"""),43432.0)</f>
        <v>43432</v>
      </c>
      <c r="Q944" s="3" t="str">
        <f>IFERROR(__xludf.DUMMYFUNCTION("""COMPUTED_VALUE"""),"A")</f>
        <v>A</v>
      </c>
      <c r="R944" s="3" t="str">
        <f>IFERROR(__xludf.DUMMYFUNCTION("""COMPUTED_VALUE"""),"Small Format")</f>
        <v>Small Format</v>
      </c>
      <c r="S944" s="3" t="str">
        <f>IFERROR(__xludf.DUMMYFUNCTION("""COMPUTED_VALUE"""),"BCM")</f>
        <v>BCM</v>
      </c>
      <c r="T944" s="3" t="str">
        <f>IFERROR(__xludf.DUMMYFUNCTION("""COMPUTED_VALUE"""),"#N/A")</f>
        <v>#N/A</v>
      </c>
      <c r="U944" s="3" t="str">
        <f>IFERROR(__xludf.DUMMYFUNCTION("""COMPUTED_VALUE"""),"#N/A")</f>
        <v>#N/A</v>
      </c>
      <c r="V944" s="3" t="str">
        <f>IFERROR(__xludf.DUMMYFUNCTION("""COMPUTED_VALUE"""),"N")</f>
        <v>N</v>
      </c>
      <c r="W944" s="3">
        <f>IFERROR(__xludf.DUMMYFUNCTION("""COMPUTED_VALUE"""),211658.0)</f>
        <v>211658</v>
      </c>
      <c r="X944" s="3" t="str">
        <f>IFERROR(__xludf.DUMMYFUNCTION("""COMPUTED_VALUE"""),"63/7-8 หมู่1 ตำบลตาสิทธิ์ อำเภอปลวกแดง จังหวัดระยอง 21140")</f>
        <v>63/7-8 หมู่1 ตำบลตาสิทธิ์ อำเภอปลวกแดง จังหวัดระยอง 21140</v>
      </c>
      <c r="Y944" s="3"/>
      <c r="Z944" s="3" t="str">
        <f>IFERROR(__xludf.DUMMYFUNCTION("""COMPUTED_VALUE"""),"ตาสิทธิ์")</f>
        <v>ตาสิทธิ์</v>
      </c>
      <c r="AA944" s="3" t="str">
        <f>IFERROR(__xludf.DUMMYFUNCTION("""COMPUTED_VALUE"""),"ปลวกแดง")</f>
        <v>ปลวกแดง</v>
      </c>
      <c r="AB944" s="3" t="str">
        <f>IFERROR(__xludf.DUMMYFUNCTION("""COMPUTED_VALUE"""),"ระยอง")</f>
        <v>ระยอง</v>
      </c>
      <c r="AC944" s="3">
        <f>IFERROR(__xludf.DUMMYFUNCTION("""COMPUTED_VALUE"""),21140.0)</f>
        <v>21140</v>
      </c>
      <c r="AD944" s="3">
        <f>IFERROR(__xludf.DUMMYFUNCTION("""COMPUTED_VALUE"""),13.0200382)</f>
        <v>13.0200382</v>
      </c>
      <c r="AE944" s="3">
        <f>IFERROR(__xludf.DUMMYFUNCTION("""COMPUTED_VALUE"""),101.2016911)</f>
        <v>101.2016911</v>
      </c>
      <c r="AF944" s="3" t="str">
        <f>IFERROR(__xludf.DUMMYFUNCTION("""COMPUTED_VALUE"""),"MBC หน้าโรงงาน แอลจี ระยอง-21713")</f>
        <v>MBC หน้าโรงงาน แอลจี ระยอง-21713</v>
      </c>
      <c r="AG944" s="3" t="str">
        <f>IFERROR(__xludf.DUMMYFUNCTION("""COMPUTED_VALUE"""),"ตะวันออก")</f>
        <v>ตะวันออก</v>
      </c>
      <c r="AH944" s="3" t="str">
        <f>IFERROR(__xludf.DUMMYFUNCTION("""COMPUTED_VALUE"""),"#N/A")</f>
        <v>#N/A</v>
      </c>
      <c r="AI944" s="3" t="str">
        <f>IFERROR(__xludf.DUMMYFUNCTION("""COMPUTED_VALUE"""),"Out of warranty")</f>
        <v>Out of warranty</v>
      </c>
      <c r="AJ944" s="3">
        <f>IFERROR(__xludf.DUMMYFUNCTION("""COMPUTED_VALUE"""),86.0)</f>
        <v>86</v>
      </c>
      <c r="AK944" s="3" t="str">
        <f>IFERROR(__xludf.DUMMYFUNCTION("""COMPUTED_VALUE"""),"MMS07")</f>
        <v>MMS07</v>
      </c>
      <c r="AL944" s="3"/>
    </row>
    <row r="945" ht="15.75" customHeight="1">
      <c r="A945" s="1" t="str">
        <f>IFERROR(__xludf.DUMMYFUNCTION("""COMPUTED_VALUE"""),"21714")</f>
        <v>21714</v>
      </c>
      <c r="B945" s="2">
        <f>IFERROR(__xludf.DUMMYFUNCTION("""COMPUTED_VALUE"""),21714.0)</f>
        <v>21714</v>
      </c>
      <c r="C945" s="3" t="str">
        <f>IFERROR(__xludf.DUMMYFUNCTION("""COMPUTED_VALUE"""),"MBC เอสโซ่ วัดโบสถ์")</f>
        <v>MBC เอสโซ่ วัดโบสถ์</v>
      </c>
      <c r="D945" s="3" t="str">
        <f>IFERROR(__xludf.DUMMYFUNCTION("""COMPUTED_VALUE"""),"BCM ESSO WAT BOT")</f>
        <v>BCM ESSO WAT BOT</v>
      </c>
      <c r="E945" s="1" t="str">
        <f>IFERROR(__xludf.DUMMYFUNCTION("""COMPUTED_VALUE"""),"บิ๊กซี MINI")</f>
        <v>บิ๊กซี MINI</v>
      </c>
      <c r="F945" s="1" t="str">
        <f>IFERROR(__xludf.DUMMYFUNCTION("""COMPUTED_VALUE"""),"296229")</f>
        <v>296229</v>
      </c>
      <c r="G945" s="1" t="str">
        <f>IFERROR(__xludf.DUMMYFUNCTION("""COMPUTED_VALUE"""),"นายทนงศักดิ์ บุญมา")</f>
        <v>นายทนงศักดิ์ บุญมา</v>
      </c>
      <c r="H945" s="1" t="str">
        <f>IFERROR(__xludf.DUMMYFUNCTION("""COMPUTED_VALUE"""),"373680")</f>
        <v>373680</v>
      </c>
      <c r="I945" s="1" t="str">
        <f>IFERROR(__xludf.DUMMYFUNCTION("""COMPUTED_VALUE"""),"นายวสันต์ พรรณราย")</f>
        <v>นายวสันต์ พรรณราย</v>
      </c>
      <c r="J945" s="3">
        <f>IFERROR(__xludf.DUMMYFUNCTION("""COMPUTED_VALUE"""),46214.0)</f>
        <v>46214</v>
      </c>
      <c r="K945" s="3" t="str">
        <f>IFERROR(__xludf.DUMMYFUNCTION("""COMPUTED_VALUE"""),"นายศักดิ์ชัย เด็ดดอกฟ้า")</f>
        <v>นายศักดิ์ชัย เด็ดดอกฟ้า</v>
      </c>
      <c r="L945" s="1" t="str">
        <f>IFERROR(__xludf.DUMMYFUNCTION("""COMPUTED_VALUE"""),"02 K.Sakchai D")</f>
        <v>02 K.Sakchai D</v>
      </c>
      <c r="M945" s="1" t="str">
        <f>IFERROR(__xludf.DUMMYFUNCTION("""COMPUTED_VALUE"""),"065-510-7376")</f>
        <v>065-510-7376</v>
      </c>
      <c r="N945" s="3">
        <f>IFERROR(__xludf.DUMMYFUNCTION("""COMPUTED_VALUE"""),21714.0)</f>
        <v>21714</v>
      </c>
      <c r="O945" s="3" t="str">
        <f>IFERROR(__xludf.DUMMYFUNCTION("""COMPUTED_VALUE"""),"MBC เอสโซ่ วัดโบสถ์")</f>
        <v>MBC เอสโซ่ วัดโบสถ์</v>
      </c>
      <c r="P945" s="4">
        <f>IFERROR(__xludf.DUMMYFUNCTION("""COMPUTED_VALUE"""),43432.0)</f>
        <v>43432</v>
      </c>
      <c r="Q945" s="3" t="str">
        <f>IFERROR(__xludf.DUMMYFUNCTION("""COMPUTED_VALUE"""),"A")</f>
        <v>A</v>
      </c>
      <c r="R945" s="3" t="str">
        <f>IFERROR(__xludf.DUMMYFUNCTION("""COMPUTED_VALUE"""),"Small Format")</f>
        <v>Small Format</v>
      </c>
      <c r="S945" s="3" t="str">
        <f>IFERROR(__xludf.DUMMYFUNCTION("""COMPUTED_VALUE"""),"BCM")</f>
        <v>BCM</v>
      </c>
      <c r="T945" s="3" t="str">
        <f>IFERROR(__xludf.DUMMYFUNCTION("""COMPUTED_VALUE"""),"#N/A")</f>
        <v>#N/A</v>
      </c>
      <c r="U945" s="3" t="str">
        <f>IFERROR(__xludf.DUMMYFUNCTION("""COMPUTED_VALUE"""),"#N/A")</f>
        <v>#N/A</v>
      </c>
      <c r="V945" s="3" t="str">
        <f>IFERROR(__xludf.DUMMYFUNCTION("""COMPUTED_VALUE"""),"N")</f>
        <v>N</v>
      </c>
      <c r="W945" s="3">
        <f>IFERROR(__xludf.DUMMYFUNCTION("""COMPUTED_VALUE"""),211720.0)</f>
        <v>211720</v>
      </c>
      <c r="X945" s="3" t="str">
        <f>IFERROR(__xludf.DUMMYFUNCTION("""COMPUTED_VALUE"""),"55/9 หมู่6 ตำบลวัดโบสถ์ อำเภอวัดโบสถ์ จังหวัดพิษณุโลก 65160")</f>
        <v>55/9 หมู่6 ตำบลวัดโบสถ์ อำเภอวัดโบสถ์ จังหวัดพิษณุโลก 65160</v>
      </c>
      <c r="Y945" s="3"/>
      <c r="Z945" s="3" t="str">
        <f>IFERROR(__xludf.DUMMYFUNCTION("""COMPUTED_VALUE"""),"วัดโบสถ์")</f>
        <v>วัดโบสถ์</v>
      </c>
      <c r="AA945" s="3" t="str">
        <f>IFERROR(__xludf.DUMMYFUNCTION("""COMPUTED_VALUE"""),"วัดโบสถ์")</f>
        <v>วัดโบสถ์</v>
      </c>
      <c r="AB945" s="3" t="str">
        <f>IFERROR(__xludf.DUMMYFUNCTION("""COMPUTED_VALUE"""),"พิษณุโลก")</f>
        <v>พิษณุโลก</v>
      </c>
      <c r="AC945" s="3">
        <f>IFERROR(__xludf.DUMMYFUNCTION("""COMPUTED_VALUE"""),65160.0)</f>
        <v>65160</v>
      </c>
      <c r="AD945" s="3">
        <f>IFERROR(__xludf.DUMMYFUNCTION("""COMPUTED_VALUE"""),16.9585937)</f>
        <v>16.9585937</v>
      </c>
      <c r="AE945" s="3">
        <f>IFERROR(__xludf.DUMMYFUNCTION("""COMPUTED_VALUE"""),100.3386454)</f>
        <v>100.3386454</v>
      </c>
      <c r="AF945" s="3" t="str">
        <f>IFERROR(__xludf.DUMMYFUNCTION("""COMPUTED_VALUE"""),"MBC เอสโซ่ วัดโบสถ์-21714")</f>
        <v>MBC เอสโซ่ วัดโบสถ์-21714</v>
      </c>
      <c r="AG945" s="3" t="str">
        <f>IFERROR(__xludf.DUMMYFUNCTION("""COMPUTED_VALUE"""),"กลาง")</f>
        <v>กลาง</v>
      </c>
      <c r="AH945" s="3" t="str">
        <f>IFERROR(__xludf.DUMMYFUNCTION("""COMPUTED_VALUE"""),"#N/A")</f>
        <v>#N/A</v>
      </c>
      <c r="AI945" s="3" t="str">
        <f>IFERROR(__xludf.DUMMYFUNCTION("""COMPUTED_VALUE"""),"Out of warranty")</f>
        <v>Out of warranty</v>
      </c>
      <c r="AJ945" s="3">
        <f>IFERROR(__xludf.DUMMYFUNCTION("""COMPUTED_VALUE"""),86.0)</f>
        <v>86</v>
      </c>
      <c r="AK945" s="3" t="str">
        <f>IFERROR(__xludf.DUMMYFUNCTION("""COMPUTED_VALUE"""),"MMS09")</f>
        <v>MMS09</v>
      </c>
      <c r="AL945" s="3"/>
    </row>
    <row r="946" ht="15.75" customHeight="1">
      <c r="A946" s="1" t="str">
        <f>IFERROR(__xludf.DUMMYFUNCTION("""COMPUTED_VALUE"""),"21715")</f>
        <v>21715</v>
      </c>
      <c r="B946" s="2">
        <f>IFERROR(__xludf.DUMMYFUNCTION("""COMPUTED_VALUE"""),21715.0)</f>
        <v>21715</v>
      </c>
      <c r="C946" s="3" t="str">
        <f>IFERROR(__xludf.DUMMYFUNCTION("""COMPUTED_VALUE"""),"MBC คาลเท็กซ์ สหพัฒน์")</f>
        <v>MBC คาลเท็กซ์ สหพัฒน์</v>
      </c>
      <c r="D946" s="3" t="str">
        <f>IFERROR(__xludf.DUMMYFUNCTION("""COMPUTED_VALUE"""),"BCM CALLTEX SAHAPHAT")</f>
        <v>BCM CALLTEX SAHAPHAT</v>
      </c>
      <c r="E946" s="1" t="str">
        <f>IFERROR(__xludf.DUMMYFUNCTION("""COMPUTED_VALUE"""),"บิ๊กซี MINI")</f>
        <v>บิ๊กซี MINI</v>
      </c>
      <c r="F946" s="1" t="str">
        <f>IFERROR(__xludf.DUMMYFUNCTION("""COMPUTED_VALUE"""),"221716")</f>
        <v>221716</v>
      </c>
      <c r="G946" s="1" t="str">
        <f>IFERROR(__xludf.DUMMYFUNCTION("""COMPUTED_VALUE"""),"น.ส.เบญจพร โพธิสาร")</f>
        <v>น.ส.เบญจพร โพธิสาร</v>
      </c>
      <c r="H946" s="1" t="str">
        <f>IFERROR(__xludf.DUMMYFUNCTION("""COMPUTED_VALUE"""),"291061")</f>
        <v>291061</v>
      </c>
      <c r="I946" s="1" t="str">
        <f>IFERROR(__xludf.DUMMYFUNCTION("""COMPUTED_VALUE"""),"นายสมศักดิ์ เสียงก้อง")</f>
        <v>นายสมศักดิ์ เสียงก้อง</v>
      </c>
      <c r="J946" s="3">
        <f>IFERROR(__xludf.DUMMYFUNCTION("""COMPUTED_VALUE"""),296942.0)</f>
        <v>296942</v>
      </c>
      <c r="K946" s="3" t="str">
        <f>IFERROR(__xludf.DUMMYFUNCTION("""COMPUTED_VALUE"""),"นายปิยะ รักษากิจ")</f>
        <v>นายปิยะ รักษากิจ</v>
      </c>
      <c r="L946" s="1" t="str">
        <f>IFERROR(__xludf.DUMMYFUNCTION("""COMPUTED_VALUE"""),"07 K.Piya R.")</f>
        <v>07 K.Piya R.</v>
      </c>
      <c r="M946" s="1" t="str">
        <f>IFERROR(__xludf.DUMMYFUNCTION("""COMPUTED_VALUE"""),"097-919-5476")</f>
        <v>097-919-5476</v>
      </c>
      <c r="N946" s="3">
        <f>IFERROR(__xludf.DUMMYFUNCTION("""COMPUTED_VALUE"""),21332.0)</f>
        <v>21332</v>
      </c>
      <c r="O946" s="3" t="str">
        <f>IFERROR(__xludf.DUMMYFUNCTION("""COMPUTED_VALUE"""),"MBC BCP อ่อนนุช 17/1")</f>
        <v>MBC BCP อ่อนนุช 17/1</v>
      </c>
      <c r="P946" s="4">
        <f>IFERROR(__xludf.DUMMYFUNCTION("""COMPUTED_VALUE"""),43430.0)</f>
        <v>43430</v>
      </c>
      <c r="Q946" s="3" t="str">
        <f>IFERROR(__xludf.DUMMYFUNCTION("""COMPUTED_VALUE"""),"A")</f>
        <v>A</v>
      </c>
      <c r="R946" s="3" t="str">
        <f>IFERROR(__xludf.DUMMYFUNCTION("""COMPUTED_VALUE"""),"Small Format")</f>
        <v>Small Format</v>
      </c>
      <c r="S946" s="3" t="str">
        <f>IFERROR(__xludf.DUMMYFUNCTION("""COMPUTED_VALUE"""),"BCM")</f>
        <v>BCM</v>
      </c>
      <c r="T946" s="3" t="str">
        <f>IFERROR(__xludf.DUMMYFUNCTION("""COMPUTED_VALUE"""),"#N/A")</f>
        <v>#N/A</v>
      </c>
      <c r="U946" s="3" t="str">
        <f>IFERROR(__xludf.DUMMYFUNCTION("""COMPUTED_VALUE"""),"#N/A")</f>
        <v>#N/A</v>
      </c>
      <c r="V946" s="3" t="str">
        <f>IFERROR(__xludf.DUMMYFUNCTION("""COMPUTED_VALUE"""),"N")</f>
        <v>N</v>
      </c>
      <c r="W946" s="3">
        <f>IFERROR(__xludf.DUMMYFUNCTION("""COMPUTED_VALUE"""),211710.0)</f>
        <v>211710</v>
      </c>
      <c r="X946" s="3" t="str">
        <f>IFERROR(__xludf.DUMMYFUNCTION("""COMPUTED_VALUE"""),"188/300 หมู่1 ตำบลบึง อำเภอศรีราชา จังหวัดชลบุรี 20230")</f>
        <v>188/300 หมู่1 ตำบลบึง อำเภอศรีราชา จังหวัดชลบุรี 20230</v>
      </c>
      <c r="Y946" s="3"/>
      <c r="Z946" s="3" t="str">
        <f>IFERROR(__xludf.DUMMYFUNCTION("""COMPUTED_VALUE"""),"บึง")</f>
        <v>บึง</v>
      </c>
      <c r="AA946" s="3" t="str">
        <f>IFERROR(__xludf.DUMMYFUNCTION("""COMPUTED_VALUE"""),"ศรีราชา")</f>
        <v>ศรีราชา</v>
      </c>
      <c r="AB946" s="3" t="str">
        <f>IFERROR(__xludf.DUMMYFUNCTION("""COMPUTED_VALUE"""),"ชลบุรี")</f>
        <v>ชลบุรี</v>
      </c>
      <c r="AC946" s="3">
        <f>IFERROR(__xludf.DUMMYFUNCTION("""COMPUTED_VALUE"""),20230.0)</f>
        <v>20230</v>
      </c>
      <c r="AD946" s="3">
        <f>IFERROR(__xludf.DUMMYFUNCTION("""COMPUTED_VALUE"""),13.0883927)</f>
        <v>13.0883927</v>
      </c>
      <c r="AE946" s="3">
        <f>IFERROR(__xludf.DUMMYFUNCTION("""COMPUTED_VALUE"""),100.9859426)</f>
        <v>100.9859426</v>
      </c>
      <c r="AF946" s="3" t="str">
        <f>IFERROR(__xludf.DUMMYFUNCTION("""COMPUTED_VALUE"""),"MBC คาลเท็กซ์ สหพัฒน์-21715")</f>
        <v>MBC คาลเท็กซ์ สหพัฒน์-21715</v>
      </c>
      <c r="AG946" s="3" t="str">
        <f>IFERROR(__xludf.DUMMYFUNCTION("""COMPUTED_VALUE"""),"ตะวันออก")</f>
        <v>ตะวันออก</v>
      </c>
      <c r="AH946" s="3" t="str">
        <f>IFERROR(__xludf.DUMMYFUNCTION("""COMPUTED_VALUE"""),"#N/A")</f>
        <v>#N/A</v>
      </c>
      <c r="AI946" s="3" t="str">
        <f>IFERROR(__xludf.DUMMYFUNCTION("""COMPUTED_VALUE"""),"Out of warranty")</f>
        <v>Out of warranty</v>
      </c>
      <c r="AJ946" s="3">
        <f>IFERROR(__xludf.DUMMYFUNCTION("""COMPUTED_VALUE"""),86.0)</f>
        <v>86</v>
      </c>
      <c r="AK946" s="3" t="str">
        <f>IFERROR(__xludf.DUMMYFUNCTION("""COMPUTED_VALUE"""),"MMS06")</f>
        <v>MMS06</v>
      </c>
      <c r="AL946" s="3"/>
    </row>
    <row r="947" ht="15.75" customHeight="1">
      <c r="A947" s="1" t="str">
        <f>IFERROR(__xludf.DUMMYFUNCTION("""COMPUTED_VALUE"""),"21716")</f>
        <v>21716</v>
      </c>
      <c r="B947" s="2">
        <f>IFERROR(__xludf.DUMMYFUNCTION("""COMPUTED_VALUE"""),21716.0)</f>
        <v>21716</v>
      </c>
      <c r="C947" s="3" t="str">
        <f>IFERROR(__xludf.DUMMYFUNCTION("""COMPUTED_VALUE"""),"MBC คาลเท็กซ์ มาบเอียง")</f>
        <v>MBC คาลเท็กซ์ มาบเอียง</v>
      </c>
      <c r="D947" s="3" t="str">
        <f>IFERROR(__xludf.DUMMYFUNCTION("""COMPUTED_VALUE"""),"BCM CALLTEX MARB EIANG")</f>
        <v>BCM CALLTEX MARB EIANG</v>
      </c>
      <c r="E947" s="1" t="str">
        <f>IFERROR(__xludf.DUMMYFUNCTION("""COMPUTED_VALUE"""),"บิ๊กซี MINI")</f>
        <v>บิ๊กซี MINI</v>
      </c>
      <c r="F947" s="1" t="str">
        <f>IFERROR(__xludf.DUMMYFUNCTION("""COMPUTED_VALUE"""),"221716")</f>
        <v>221716</v>
      </c>
      <c r="G947" s="1" t="str">
        <f>IFERROR(__xludf.DUMMYFUNCTION("""COMPUTED_VALUE"""),"น.ส.เบญจพร โพธิสาร")</f>
        <v>น.ส.เบญจพร โพธิสาร</v>
      </c>
      <c r="H947" s="1" t="str">
        <f>IFERROR(__xludf.DUMMYFUNCTION("""COMPUTED_VALUE"""),"376139")</f>
        <v>376139</v>
      </c>
      <c r="I947" s="1" t="str">
        <f>IFERROR(__xludf.DUMMYFUNCTION("""COMPUTED_VALUE"""),"นายอนุชา อำไพ")</f>
        <v>นายอนุชา อำไพ</v>
      </c>
      <c r="J947" s="3">
        <f>IFERROR(__xludf.DUMMYFUNCTION("""COMPUTED_VALUE"""),296942.0)</f>
        <v>296942</v>
      </c>
      <c r="K947" s="3" t="str">
        <f>IFERROR(__xludf.DUMMYFUNCTION("""COMPUTED_VALUE"""),"นายปิยะ รักษากิจ")</f>
        <v>นายปิยะ รักษากิจ</v>
      </c>
      <c r="L947" s="1" t="str">
        <f>IFERROR(__xludf.DUMMYFUNCTION("""COMPUTED_VALUE"""),"07 K.Piya R.")</f>
        <v>07 K.Piya R.</v>
      </c>
      <c r="M947" s="1" t="str">
        <f>IFERROR(__xludf.DUMMYFUNCTION("""COMPUTED_VALUE"""),"097-919-5476")</f>
        <v>097-919-5476</v>
      </c>
      <c r="N947" s="3">
        <f>IFERROR(__xludf.DUMMYFUNCTION("""COMPUTED_VALUE"""),21332.0)</f>
        <v>21332</v>
      </c>
      <c r="O947" s="3" t="str">
        <f>IFERROR(__xludf.DUMMYFUNCTION("""COMPUTED_VALUE"""),"MBC BCP อ่อนนุช 17/1")</f>
        <v>MBC BCP อ่อนนุช 17/1</v>
      </c>
      <c r="P947" s="4">
        <f>IFERROR(__xludf.DUMMYFUNCTION("""COMPUTED_VALUE"""),43430.0)</f>
        <v>43430</v>
      </c>
      <c r="Q947" s="3" t="str">
        <f>IFERROR(__xludf.DUMMYFUNCTION("""COMPUTED_VALUE"""),"A")</f>
        <v>A</v>
      </c>
      <c r="R947" s="3" t="str">
        <f>IFERROR(__xludf.DUMMYFUNCTION("""COMPUTED_VALUE"""),"Small Format")</f>
        <v>Small Format</v>
      </c>
      <c r="S947" s="3" t="str">
        <f>IFERROR(__xludf.DUMMYFUNCTION("""COMPUTED_VALUE"""),"BCM")</f>
        <v>BCM</v>
      </c>
      <c r="T947" s="3" t="str">
        <f>IFERROR(__xludf.DUMMYFUNCTION("""COMPUTED_VALUE"""),"#N/A")</f>
        <v>#N/A</v>
      </c>
      <c r="U947" s="3" t="str">
        <f>IFERROR(__xludf.DUMMYFUNCTION("""COMPUTED_VALUE"""),"#N/A")</f>
        <v>#N/A</v>
      </c>
      <c r="V947" s="3" t="str">
        <f>IFERROR(__xludf.DUMMYFUNCTION("""COMPUTED_VALUE"""),"N")</f>
        <v>N</v>
      </c>
      <c r="W947" s="3">
        <f>IFERROR(__xludf.DUMMYFUNCTION("""COMPUTED_VALUE"""),211711.0)</f>
        <v>211711</v>
      </c>
      <c r="X947" s="3" t="str">
        <f>IFERROR(__xludf.DUMMYFUNCTION("""COMPUTED_VALUE"""),"696/16 หมู่1 ตำบลหนองขาม อำเภอศรีราชา จังหวัดชลบุรี 20230")</f>
        <v>696/16 หมู่1 ตำบลหนองขาม อำเภอศรีราชา จังหวัดชลบุรี 20230</v>
      </c>
      <c r="Y947" s="3"/>
      <c r="Z947" s="3" t="str">
        <f>IFERROR(__xludf.DUMMYFUNCTION("""COMPUTED_VALUE"""),"หนองขาม")</f>
        <v>หนองขาม</v>
      </c>
      <c r="AA947" s="3" t="str">
        <f>IFERROR(__xludf.DUMMYFUNCTION("""COMPUTED_VALUE"""),"ศรีราชา")</f>
        <v>ศรีราชา</v>
      </c>
      <c r="AB947" s="3" t="str">
        <f>IFERROR(__xludf.DUMMYFUNCTION("""COMPUTED_VALUE"""),"ชลบุรี")</f>
        <v>ชลบุรี</v>
      </c>
      <c r="AC947" s="3">
        <f>IFERROR(__xludf.DUMMYFUNCTION("""COMPUTED_VALUE"""),20230.0)</f>
        <v>20230</v>
      </c>
      <c r="AD947" s="3">
        <f>IFERROR(__xludf.DUMMYFUNCTION("""COMPUTED_VALUE"""),13.1195719)</f>
        <v>13.1195719</v>
      </c>
      <c r="AE947" s="3">
        <f>IFERROR(__xludf.DUMMYFUNCTION("""COMPUTED_VALUE"""),100.9967418)</f>
        <v>100.9967418</v>
      </c>
      <c r="AF947" s="3" t="str">
        <f>IFERROR(__xludf.DUMMYFUNCTION("""COMPUTED_VALUE"""),"MBC คาลเท็กซ์ มาบเอียง-21716")</f>
        <v>MBC คาลเท็กซ์ มาบเอียง-21716</v>
      </c>
      <c r="AG947" s="3" t="str">
        <f>IFERROR(__xludf.DUMMYFUNCTION("""COMPUTED_VALUE"""),"ตะวันออก")</f>
        <v>ตะวันออก</v>
      </c>
      <c r="AH947" s="3" t="str">
        <f>IFERROR(__xludf.DUMMYFUNCTION("""COMPUTED_VALUE"""),"#N/A")</f>
        <v>#N/A</v>
      </c>
      <c r="AI947" s="3" t="str">
        <f>IFERROR(__xludf.DUMMYFUNCTION("""COMPUTED_VALUE"""),"Out of warranty")</f>
        <v>Out of warranty</v>
      </c>
      <c r="AJ947" s="3">
        <f>IFERROR(__xludf.DUMMYFUNCTION("""COMPUTED_VALUE"""),86.0)</f>
        <v>86</v>
      </c>
      <c r="AK947" s="3" t="str">
        <f>IFERROR(__xludf.DUMMYFUNCTION("""COMPUTED_VALUE"""),"MMS07")</f>
        <v>MMS07</v>
      </c>
      <c r="AL947" s="3"/>
    </row>
    <row r="948" ht="15.75" customHeight="1">
      <c r="A948" s="1" t="str">
        <f>IFERROR(__xludf.DUMMYFUNCTION("""COMPUTED_VALUE"""),"21717")</f>
        <v>21717</v>
      </c>
      <c r="B948" s="2">
        <f>IFERROR(__xludf.DUMMYFUNCTION("""COMPUTED_VALUE"""),21717.0)</f>
        <v>21717</v>
      </c>
      <c r="C948" s="3" t="str">
        <f>IFERROR(__xludf.DUMMYFUNCTION("""COMPUTED_VALUE"""),"MBC ประตูน้ำ ขอนแก่น")</f>
        <v>MBC ประตูน้ำ ขอนแก่น</v>
      </c>
      <c r="D948" s="3" t="str">
        <f>IFERROR(__xludf.DUMMYFUNCTION("""COMPUTED_VALUE"""),"MBC PRATUNAM KHONKAEN")</f>
        <v>MBC PRATUNAM KHONKAEN</v>
      </c>
      <c r="E948" s="1" t="str">
        <f>IFERROR(__xludf.DUMMYFUNCTION("""COMPUTED_VALUE"""),"บิ๊กซี MINI")</f>
        <v>บิ๊กซี MINI</v>
      </c>
      <c r="F948" s="1" t="str">
        <f>IFERROR(__xludf.DUMMYFUNCTION("""COMPUTED_VALUE"""),"291100")</f>
        <v>291100</v>
      </c>
      <c r="G948" s="1" t="str">
        <f>IFERROR(__xludf.DUMMYFUNCTION("""COMPUTED_VALUE"""),"น.ส.จารุณี ฮวบอินทร์")</f>
        <v>น.ส.จารุณี ฮวบอินทร์</v>
      </c>
      <c r="H948" s="1" t="str">
        <f>IFERROR(__xludf.DUMMYFUNCTION("""COMPUTED_VALUE"""),"305119")</f>
        <v>305119</v>
      </c>
      <c r="I948" s="1" t="str">
        <f>IFERROR(__xludf.DUMMYFUNCTION("""COMPUTED_VALUE"""),"นายไชยกร ลีพิบูลย์สวัสดิ์")</f>
        <v>นายไชยกร ลีพิบูลย์สวัสดิ์</v>
      </c>
      <c r="J948" s="3">
        <f>IFERROR(__xludf.DUMMYFUNCTION("""COMPUTED_VALUE"""),295886.0)</f>
        <v>295886</v>
      </c>
      <c r="K948" s="3" t="str">
        <f>IFERROR(__xludf.DUMMYFUNCTION("""COMPUTED_VALUE"""),"นายจิระพงษ์ โพธิ์นิล")</f>
        <v>นายจิระพงษ์ โพธิ์นิล</v>
      </c>
      <c r="L948" s="1" t="str">
        <f>IFERROR(__xludf.DUMMYFUNCTION("""COMPUTED_VALUE"""),"นายจิระพงษ์ โพธิ์นิล")</f>
        <v>นายจิระพงษ์ โพธิ์นิล</v>
      </c>
      <c r="M948" s="1" t="str">
        <f>IFERROR(__xludf.DUMMYFUNCTION("""COMPUTED_VALUE"""),"0933290754")</f>
        <v>0933290754</v>
      </c>
      <c r="N948" s="3">
        <f>IFERROR(__xludf.DUMMYFUNCTION("""COMPUTED_VALUE"""),21465.0)</f>
        <v>21465</v>
      </c>
      <c r="O948" s="3" t="str">
        <f>IFERROR(__xludf.DUMMYFUNCTION("""COMPUTED_VALUE"""),"MBC สถานีตำรวจอุดร")</f>
        <v>MBC สถานีตำรวจอุดร</v>
      </c>
      <c r="P948" s="4">
        <f>IFERROR(__xludf.DUMMYFUNCTION("""COMPUTED_VALUE"""),42832.0)</f>
        <v>42832</v>
      </c>
      <c r="Q948" s="3" t="str">
        <f>IFERROR(__xludf.DUMMYFUNCTION("""COMPUTED_VALUE"""),"I")</f>
        <v>I</v>
      </c>
      <c r="R948" s="3" t="str">
        <f>IFERROR(__xludf.DUMMYFUNCTION("""COMPUTED_VALUE"""),"Small Format")</f>
        <v>Small Format</v>
      </c>
      <c r="S948" s="3" t="str">
        <f>IFERROR(__xludf.DUMMYFUNCTION("""COMPUTED_VALUE"""),"BCM")</f>
        <v>BCM</v>
      </c>
      <c r="T948" s="3" t="str">
        <f>IFERROR(__xludf.DUMMYFUNCTION("""COMPUTED_VALUE"""),"#N/A")</f>
        <v>#N/A</v>
      </c>
      <c r="U948" s="3" t="str">
        <f>IFERROR(__xludf.DUMMYFUNCTION("""COMPUTED_VALUE"""),"#N/A")</f>
        <v>#N/A</v>
      </c>
      <c r="V948" s="3" t="str">
        <f>IFERROR(__xludf.DUMMYFUNCTION("""COMPUTED_VALUE"""),"N")</f>
        <v>N</v>
      </c>
      <c r="W948" s="3">
        <f>IFERROR(__xludf.DUMMYFUNCTION("""COMPUTED_VALUE"""),0.0)</f>
        <v>0</v>
      </c>
      <c r="X948" s="3" t="str">
        <f>IFERROR(__xludf.DUMMYFUNCTION("""COMPUTED_VALUE"""),"456/492 หมู่12 ตำบลเมืองเก่า อำเภอเมืองขอนแก่น จังหวัดขอนแก่น 40000")</f>
        <v>456/492 หมู่12 ตำบลเมืองเก่า อำเภอเมืองขอนแก่น จังหวัดขอนแก่น 40000</v>
      </c>
      <c r="Y948" s="3"/>
      <c r="Z948" s="3" t="str">
        <f>IFERROR(__xludf.DUMMYFUNCTION("""COMPUTED_VALUE"""),"เมืองเก่า")</f>
        <v>เมืองเก่า</v>
      </c>
      <c r="AA948" s="3" t="str">
        <f>IFERROR(__xludf.DUMMYFUNCTION("""COMPUTED_VALUE"""),"เมือง")</f>
        <v>เมือง</v>
      </c>
      <c r="AB948" s="3" t="str">
        <f>IFERROR(__xludf.DUMMYFUNCTION("""COMPUTED_VALUE"""),"ขอนแก่น")</f>
        <v>ขอนแก่น</v>
      </c>
      <c r="AC948" s="3">
        <f>IFERROR(__xludf.DUMMYFUNCTION("""COMPUTED_VALUE"""),40000.0)</f>
        <v>40000</v>
      </c>
      <c r="AD948" s="3" t="str">
        <f>IFERROR(__xludf.DUMMYFUNCTION("""COMPUTED_VALUE"""),"#N/A")</f>
        <v>#N/A</v>
      </c>
      <c r="AE948" s="3" t="str">
        <f>IFERROR(__xludf.DUMMYFUNCTION("""COMPUTED_VALUE"""),"#N/A")</f>
        <v>#N/A</v>
      </c>
      <c r="AF948" s="3" t="str">
        <f>IFERROR(__xludf.DUMMYFUNCTION("""COMPUTED_VALUE"""),"MBC ประตูน้ำ ขอนแก่น-21717")</f>
        <v>MBC ประตูน้ำ ขอนแก่น-21717</v>
      </c>
      <c r="AG948" s="3" t="str">
        <f>IFERROR(__xludf.DUMMYFUNCTION("""COMPUTED_VALUE"""),"ตะวันออกเฉียงเหนือ")</f>
        <v>ตะวันออกเฉียงเหนือ</v>
      </c>
      <c r="AH948" s="3" t="str">
        <f>IFERROR(__xludf.DUMMYFUNCTION("""COMPUTED_VALUE"""),"#N/A")</f>
        <v>#N/A</v>
      </c>
      <c r="AI948" s="3" t="str">
        <f>IFERROR(__xludf.DUMMYFUNCTION("""COMPUTED_VALUE"""),"Out of warranty")</f>
        <v>Out of warranty</v>
      </c>
      <c r="AJ948" s="3">
        <f>IFERROR(__xludf.DUMMYFUNCTION("""COMPUTED_VALUE"""),106.0)</f>
        <v>106</v>
      </c>
      <c r="AK948" s="3"/>
      <c r="AL948" s="3"/>
    </row>
    <row r="949" ht="15.75" customHeight="1">
      <c r="A949" s="1" t="str">
        <f>IFERROR(__xludf.DUMMYFUNCTION("""COMPUTED_VALUE"""),"21718")</f>
        <v>21718</v>
      </c>
      <c r="B949" s="2">
        <f>IFERROR(__xludf.DUMMYFUNCTION("""COMPUTED_VALUE"""),21718.0)</f>
        <v>21718</v>
      </c>
      <c r="C949" s="3" t="str">
        <f>IFERROR(__xludf.DUMMYFUNCTION("""COMPUTED_VALUE"""),"MBC เอสโซ่ เข้าท่า ตราด")</f>
        <v>MBC เอสโซ่ เข้าท่า ตราด</v>
      </c>
      <c r="D949" s="3" t="str">
        <f>IFERROR(__xludf.DUMMYFUNCTION("""COMPUTED_VALUE"""),"BCM ESSO KHAO THA,TRAT")</f>
        <v>BCM ESSO KHAO THA,TRAT</v>
      </c>
      <c r="E949" s="1" t="str">
        <f>IFERROR(__xludf.DUMMYFUNCTION("""COMPUTED_VALUE"""),"บิ๊กซี MINI")</f>
        <v>บิ๊กซี MINI</v>
      </c>
      <c r="F949" s="1" t="str">
        <f>IFERROR(__xludf.DUMMYFUNCTION("""COMPUTED_VALUE"""),"221716")</f>
        <v>221716</v>
      </c>
      <c r="G949" s="1" t="str">
        <f>IFERROR(__xludf.DUMMYFUNCTION("""COMPUTED_VALUE"""),"น.ส.เบญจพร โพธิสาร")</f>
        <v>น.ส.เบญจพร โพธิสาร</v>
      </c>
      <c r="H949" s="1" t="str">
        <f>IFERROR(__xludf.DUMMYFUNCTION("""COMPUTED_VALUE"""),"318151")</f>
        <v>318151</v>
      </c>
      <c r="I949" s="1" t="str">
        <f>IFERROR(__xludf.DUMMYFUNCTION("""COMPUTED_VALUE"""),"นายพลฬกฤตต์ เนตมณี")</f>
        <v>นายพลฬกฤตต์ เนตมณี</v>
      </c>
      <c r="J949" s="3">
        <f>IFERROR(__xludf.DUMMYFUNCTION("""COMPUTED_VALUE"""),2452376.0)</f>
        <v>2452376</v>
      </c>
      <c r="K949" s="3" t="str">
        <f>IFERROR(__xludf.DUMMYFUNCTION("""COMPUTED_VALUE"""),"นายภาคภูมิ ทวีกุล")</f>
        <v>นายภาคภูมิ ทวีกุล</v>
      </c>
      <c r="L949" s="1" t="str">
        <f>IFERROR(__xludf.DUMMYFUNCTION("""COMPUTED_VALUE"""),"08 K.Parkphum T.")</f>
        <v>08 K.Parkphum T.</v>
      </c>
      <c r="M949" s="1" t="str">
        <f>IFERROR(__xludf.DUMMYFUNCTION("""COMPUTED_VALUE"""),"097-919-5476")</f>
        <v>097-919-5476</v>
      </c>
      <c r="N949" s="3">
        <f>IFERROR(__xludf.DUMMYFUNCTION("""COMPUTED_VALUE"""),22028.0)</f>
        <v>22028</v>
      </c>
      <c r="O949" s="3" t="str">
        <f>IFERROR(__xludf.DUMMYFUNCTION("""COMPUTED_VALUE"""),"MBC ทํบมา ระยอง")</f>
        <v>MBC ทํบมา ระยอง</v>
      </c>
      <c r="P949" s="4">
        <f>IFERROR(__xludf.DUMMYFUNCTION("""COMPUTED_VALUE"""),43435.0)</f>
        <v>43435</v>
      </c>
      <c r="Q949" s="3" t="str">
        <f>IFERROR(__xludf.DUMMYFUNCTION("""COMPUTED_VALUE"""),"A")</f>
        <v>A</v>
      </c>
      <c r="R949" s="3" t="str">
        <f>IFERROR(__xludf.DUMMYFUNCTION("""COMPUTED_VALUE"""),"Small Format")</f>
        <v>Small Format</v>
      </c>
      <c r="S949" s="3" t="str">
        <f>IFERROR(__xludf.DUMMYFUNCTION("""COMPUTED_VALUE"""),"BCM")</f>
        <v>BCM</v>
      </c>
      <c r="T949" s="3" t="str">
        <f>IFERROR(__xludf.DUMMYFUNCTION("""COMPUTED_VALUE"""),"#N/A")</f>
        <v>#N/A</v>
      </c>
      <c r="U949" s="3" t="str">
        <f>IFERROR(__xludf.DUMMYFUNCTION("""COMPUTED_VALUE"""),"#N/A")</f>
        <v>#N/A</v>
      </c>
      <c r="V949" s="3" t="str">
        <f>IFERROR(__xludf.DUMMYFUNCTION("""COMPUTED_VALUE"""),"N")</f>
        <v>N</v>
      </c>
      <c r="W949" s="3">
        <f>IFERROR(__xludf.DUMMYFUNCTION("""COMPUTED_VALUE"""),211714.0)</f>
        <v>211714</v>
      </c>
      <c r="X949" s="3" t="str">
        <f>IFERROR(__xludf.DUMMYFUNCTION("""COMPUTED_VALUE"""),"321/5 หมู่2 ตำบลวังกระแจะ อำเภอเมืองตราด จังหวัดตราด 23000")</f>
        <v>321/5 หมู่2 ตำบลวังกระแจะ อำเภอเมืองตราด จังหวัดตราด 23000</v>
      </c>
      <c r="Y949" s="3"/>
      <c r="Z949" s="3" t="str">
        <f>IFERROR(__xludf.DUMMYFUNCTION("""COMPUTED_VALUE"""),"วังกระแจะ")</f>
        <v>วังกระแจะ</v>
      </c>
      <c r="AA949" s="3" t="str">
        <f>IFERROR(__xludf.DUMMYFUNCTION("""COMPUTED_VALUE"""),"เมือง")</f>
        <v>เมือง</v>
      </c>
      <c r="AB949" s="3" t="str">
        <f>IFERROR(__xludf.DUMMYFUNCTION("""COMPUTED_VALUE"""),"ตราด")</f>
        <v>ตราด</v>
      </c>
      <c r="AC949" s="3">
        <f>IFERROR(__xludf.DUMMYFUNCTION("""COMPUTED_VALUE"""),23000.0)</f>
        <v>23000</v>
      </c>
      <c r="AD949" s="3">
        <f>IFERROR(__xludf.DUMMYFUNCTION("""COMPUTED_VALUE"""),12.2603524)</f>
        <v>12.2603524</v>
      </c>
      <c r="AE949" s="3">
        <f>IFERROR(__xludf.DUMMYFUNCTION("""COMPUTED_VALUE"""),102.504435)</f>
        <v>102.504435</v>
      </c>
      <c r="AF949" s="3" t="str">
        <f>IFERROR(__xludf.DUMMYFUNCTION("""COMPUTED_VALUE"""),"MBC เอสโซ่ เข้าท่า ตราด-21718")</f>
        <v>MBC เอสโซ่ เข้าท่า ตราด-21718</v>
      </c>
      <c r="AG949" s="3" t="str">
        <f>IFERROR(__xludf.DUMMYFUNCTION("""COMPUTED_VALUE"""),"ตะวันออก")</f>
        <v>ตะวันออก</v>
      </c>
      <c r="AH949" s="3" t="str">
        <f>IFERROR(__xludf.DUMMYFUNCTION("""COMPUTED_VALUE"""),"#N/A")</f>
        <v>#N/A</v>
      </c>
      <c r="AI949" s="3" t="str">
        <f>IFERROR(__xludf.DUMMYFUNCTION("""COMPUTED_VALUE"""),"Out of warranty")</f>
        <v>Out of warranty</v>
      </c>
      <c r="AJ949" s="3">
        <f>IFERROR(__xludf.DUMMYFUNCTION("""COMPUTED_VALUE"""),86.0)</f>
        <v>86</v>
      </c>
      <c r="AK949" s="3" t="str">
        <f>IFERROR(__xludf.DUMMYFUNCTION("""COMPUTED_VALUE"""),"MMS08")</f>
        <v>MMS08</v>
      </c>
      <c r="AL949" s="3"/>
    </row>
    <row r="950" ht="15.75" customHeight="1">
      <c r="A950" s="1" t="str">
        <f>IFERROR(__xludf.DUMMYFUNCTION("""COMPUTED_VALUE"""),"21719")</f>
        <v>21719</v>
      </c>
      <c r="B950" s="2">
        <f>IFERROR(__xludf.DUMMYFUNCTION("""COMPUTED_VALUE"""),21719.0)</f>
        <v>21719</v>
      </c>
      <c r="C950" s="3" t="str">
        <f>IFERROR(__xludf.DUMMYFUNCTION("""COMPUTED_VALUE"""),"MBC ตลาดจตุจักร ลาพูน")</f>
        <v>MBC ตลาดจตุจักร ลาพูน</v>
      </c>
      <c r="D950" s="3" t="str">
        <f>IFERROR(__xludf.DUMMYFUNCTION("""COMPUTED_VALUE"""),"BCM TALAD CHATUCHAK, LAMPHUN")</f>
        <v>BCM TALAD CHATUCHAK, LAMPHUN</v>
      </c>
      <c r="E950" s="1" t="str">
        <f>IFERROR(__xludf.DUMMYFUNCTION("""COMPUTED_VALUE"""),"บิ๊กซี MINI")</f>
        <v>บิ๊กซี MINI</v>
      </c>
      <c r="F950" s="1" t="str">
        <f>IFERROR(__xludf.DUMMYFUNCTION("""COMPUTED_VALUE"""),"296229")</f>
        <v>296229</v>
      </c>
      <c r="G950" s="1" t="str">
        <f>IFERROR(__xludf.DUMMYFUNCTION("""COMPUTED_VALUE"""),"นายทนงศักดิ์ บุญมา")</f>
        <v>นายทนงศักดิ์ บุญมา</v>
      </c>
      <c r="H950" s="1" t="str">
        <f>IFERROR(__xludf.DUMMYFUNCTION("""COMPUTED_VALUE"""),"392003")</f>
        <v>392003</v>
      </c>
      <c r="I950" s="1" t="str">
        <f>IFERROR(__xludf.DUMMYFUNCTION("""COMPUTED_VALUE"""),"นายวรภพ เศษสูงเนิน")</f>
        <v>นายวรภพ เศษสูงเนิน</v>
      </c>
      <c r="J950" s="3">
        <f>IFERROR(__xludf.DUMMYFUNCTION("""COMPUTED_VALUE"""),2010016.0)</f>
        <v>2010016</v>
      </c>
      <c r="K950" s="3" t="str">
        <f>IFERROR(__xludf.DUMMYFUNCTION("""COMPUTED_VALUE"""),"นายตวงธรรม ใหม่ยศ")</f>
        <v>นายตวงธรรม ใหม่ยศ</v>
      </c>
      <c r="L950" s="1" t="str">
        <f>IFERROR(__xludf.DUMMYFUNCTION("""COMPUTED_VALUE"""),"01 K.Tuangtham M.")</f>
        <v>01 K.Tuangtham M.</v>
      </c>
      <c r="M950" s="1" t="str">
        <f>IFERROR(__xludf.DUMMYFUNCTION("""COMPUTED_VALUE"""),"063-976-595")</f>
        <v>063-976-595</v>
      </c>
      <c r="N950" s="3">
        <f>IFERROR(__xludf.DUMMYFUNCTION("""COMPUTED_VALUE"""),22574.0)</f>
        <v>22574</v>
      </c>
      <c r="O950" s="3" t="str">
        <f>IFERROR(__xludf.DUMMYFUNCTION("""COMPUTED_VALUE"""),"BCM ชุมชนศรีชุม ลำปาง")</f>
        <v>BCM ชุมชนศรีชุม ลำปาง</v>
      </c>
      <c r="P950" s="4">
        <f>IFERROR(__xludf.DUMMYFUNCTION("""COMPUTED_VALUE"""),43438.0)</f>
        <v>43438</v>
      </c>
      <c r="Q950" s="3" t="str">
        <f>IFERROR(__xludf.DUMMYFUNCTION("""COMPUTED_VALUE"""),"A")</f>
        <v>A</v>
      </c>
      <c r="R950" s="3" t="str">
        <f>IFERROR(__xludf.DUMMYFUNCTION("""COMPUTED_VALUE"""),"Small Format")</f>
        <v>Small Format</v>
      </c>
      <c r="S950" s="3" t="str">
        <f>IFERROR(__xludf.DUMMYFUNCTION("""COMPUTED_VALUE"""),"BCM")</f>
        <v>BCM</v>
      </c>
      <c r="T950" s="3" t="str">
        <f>IFERROR(__xludf.DUMMYFUNCTION("""COMPUTED_VALUE"""),"#N/A")</f>
        <v>#N/A</v>
      </c>
      <c r="U950" s="3" t="str">
        <f>IFERROR(__xludf.DUMMYFUNCTION("""COMPUTED_VALUE"""),"#N/A")</f>
        <v>#N/A</v>
      </c>
      <c r="V950" s="3" t="str">
        <f>IFERROR(__xludf.DUMMYFUNCTION("""COMPUTED_VALUE"""),"N")</f>
        <v>N</v>
      </c>
      <c r="W950" s="3">
        <f>IFERROR(__xludf.DUMMYFUNCTION("""COMPUTED_VALUE"""),211673.0)</f>
        <v>211673</v>
      </c>
      <c r="X950" s="3" t="str">
        <f>IFERROR(__xludf.DUMMYFUNCTION("""COMPUTED_VALUE"""),"53 หมู่18 ตำบลป่าสัก อำเภอเมืองลำพูน จังหวัดลำพูน 51000")</f>
        <v>53 หมู่18 ตำบลป่าสัก อำเภอเมืองลำพูน จังหวัดลำพูน 51000</v>
      </c>
      <c r="Y950" s="3"/>
      <c r="Z950" s="3" t="str">
        <f>IFERROR(__xludf.DUMMYFUNCTION("""COMPUTED_VALUE"""),"ป่าสัก")</f>
        <v>ป่าสัก</v>
      </c>
      <c r="AA950" s="3" t="str">
        <f>IFERROR(__xludf.DUMMYFUNCTION("""COMPUTED_VALUE"""),"เมือง")</f>
        <v>เมือง</v>
      </c>
      <c r="AB950" s="3" t="str">
        <f>IFERROR(__xludf.DUMMYFUNCTION("""COMPUTED_VALUE"""),"ลำพูน")</f>
        <v>ลำพูน</v>
      </c>
      <c r="AC950" s="3">
        <f>IFERROR(__xludf.DUMMYFUNCTION("""COMPUTED_VALUE"""),51000.0)</f>
        <v>51000</v>
      </c>
      <c r="AD950" s="3">
        <f>IFERROR(__xludf.DUMMYFUNCTION("""COMPUTED_VALUE"""),18.5589068)</f>
        <v>18.5589068</v>
      </c>
      <c r="AE950" s="3">
        <f>IFERROR(__xludf.DUMMYFUNCTION("""COMPUTED_VALUE"""),99.0359676)</f>
        <v>99.0359676</v>
      </c>
      <c r="AF950" s="3" t="str">
        <f>IFERROR(__xludf.DUMMYFUNCTION("""COMPUTED_VALUE"""),"MBC ตลาดจตุจักร ลาพูน-21719")</f>
        <v>MBC ตลาดจตุจักร ลาพูน-21719</v>
      </c>
      <c r="AG950" s="3" t="str">
        <f>IFERROR(__xludf.DUMMYFUNCTION("""COMPUTED_VALUE"""),"เหนือ")</f>
        <v>เหนือ</v>
      </c>
      <c r="AH950" s="3" t="str">
        <f>IFERROR(__xludf.DUMMYFUNCTION("""COMPUTED_VALUE"""),"#N/A")</f>
        <v>#N/A</v>
      </c>
      <c r="AI950" s="3" t="str">
        <f>IFERROR(__xludf.DUMMYFUNCTION("""COMPUTED_VALUE"""),"Out of warranty")</f>
        <v>Out of warranty</v>
      </c>
      <c r="AJ950" s="3">
        <f>IFERROR(__xludf.DUMMYFUNCTION("""COMPUTED_VALUE"""),86.0)</f>
        <v>86</v>
      </c>
      <c r="AK950" s="3" t="str">
        <f>IFERROR(__xludf.DUMMYFUNCTION("""COMPUTED_VALUE"""),"MMS10")</f>
        <v>MMS10</v>
      </c>
      <c r="AL950" s="3"/>
    </row>
    <row r="951" ht="15.75" customHeight="1">
      <c r="A951" s="1" t="str">
        <f>IFERROR(__xludf.DUMMYFUNCTION("""COMPUTED_VALUE"""),"21720")</f>
        <v>21720</v>
      </c>
      <c r="B951" s="2">
        <f>IFERROR(__xludf.DUMMYFUNCTION("""COMPUTED_VALUE"""),21720.0)</f>
        <v>21720</v>
      </c>
      <c r="C951" s="3" t="str">
        <f>IFERROR(__xludf.DUMMYFUNCTION("""COMPUTED_VALUE"""),"MBC เอสโซ่ NTI ท่าโรงช้างสุราษฎร์ธานี")</f>
        <v>MBC เอสโซ่ NTI ท่าโรงช้างสุราษฎร์ธานี</v>
      </c>
      <c r="D951" s="3" t="str">
        <f>IFERROR(__xludf.DUMMYFUNCTION("""COMPUTED_VALUE"""),"BCM ESSO NTI TA RONG CHANG")</f>
        <v>BCM ESSO NTI TA RONG CHANG</v>
      </c>
      <c r="E951" s="1" t="str">
        <f>IFERROR(__xludf.DUMMYFUNCTION("""COMPUTED_VALUE"""),"บิ๊กซี MINI")</f>
        <v>บิ๊กซี MINI</v>
      </c>
      <c r="F951" s="1" t="str">
        <f>IFERROR(__xludf.DUMMYFUNCTION("""COMPUTED_VALUE"""),"250760")</f>
        <v>250760</v>
      </c>
      <c r="G951" s="1" t="str">
        <f>IFERROR(__xludf.DUMMYFUNCTION("""COMPUTED_VALUE"""),"นายประทวน สาราบรรณ์")</f>
        <v>นายประทวน สาราบรรณ์</v>
      </c>
      <c r="H951" s="1" t="str">
        <f>IFERROR(__xludf.DUMMYFUNCTION("""COMPUTED_VALUE"""),"228389")</f>
        <v>228389</v>
      </c>
      <c r="I951" s="1" t="str">
        <f>IFERROR(__xludf.DUMMYFUNCTION("""COMPUTED_VALUE"""),"นายมณีรันดร์ ชัยชนะ")</f>
        <v>นายมณีรันดร์ ชัยชนะ</v>
      </c>
      <c r="J951" s="3">
        <f>IFERROR(__xludf.DUMMYFUNCTION("""COMPUTED_VALUE"""),25324.0)</f>
        <v>25324</v>
      </c>
      <c r="K951" s="3" t="str">
        <f>IFERROR(__xludf.DUMMYFUNCTION("""COMPUTED_VALUE"""),"นายวิเชฎฐ์ ติรัตนะประคม")</f>
        <v>นายวิเชฎฐ์ ติรัตนะประคม</v>
      </c>
      <c r="L951" s="1" t="str">
        <f>IFERROR(__xludf.DUMMYFUNCTION("""COMPUTED_VALUE"""),"14 K.Wichet T.")</f>
        <v>14 K.Wichet T.</v>
      </c>
      <c r="M951" s="1" t="str">
        <f>IFERROR(__xludf.DUMMYFUNCTION("""COMPUTED_VALUE"""),"061-417-6569 / 086-445-5636")</f>
        <v>061-417-6569 / 086-445-5636</v>
      </c>
      <c r="N951" s="3">
        <f>IFERROR(__xludf.DUMMYFUNCTION("""COMPUTED_VALUE"""),22658.0)</f>
        <v>22658</v>
      </c>
      <c r="O951" s="3" t="str">
        <f>IFERROR(__xludf.DUMMYFUNCTION("""COMPUTED_VALUE"""),"BCM ถ.วิรัชหงษ์หยก ภูเก็ต")</f>
        <v>BCM ถ.วิรัชหงษ์หยก ภูเก็ต</v>
      </c>
      <c r="P951" s="4">
        <f>IFERROR(__xludf.DUMMYFUNCTION("""COMPUTED_VALUE"""),43449.0)</f>
        <v>43449</v>
      </c>
      <c r="Q951" s="3" t="str">
        <f>IFERROR(__xludf.DUMMYFUNCTION("""COMPUTED_VALUE"""),"A")</f>
        <v>A</v>
      </c>
      <c r="R951" s="3" t="str">
        <f>IFERROR(__xludf.DUMMYFUNCTION("""COMPUTED_VALUE"""),"Small Format")</f>
        <v>Small Format</v>
      </c>
      <c r="S951" s="3" t="str">
        <f>IFERROR(__xludf.DUMMYFUNCTION("""COMPUTED_VALUE"""),"BCM")</f>
        <v>BCM</v>
      </c>
      <c r="T951" s="3" t="str">
        <f>IFERROR(__xludf.DUMMYFUNCTION("""COMPUTED_VALUE"""),"#N/A")</f>
        <v>#N/A</v>
      </c>
      <c r="U951" s="3" t="str">
        <f>IFERROR(__xludf.DUMMYFUNCTION("""COMPUTED_VALUE"""),"#N/A")</f>
        <v>#N/A</v>
      </c>
      <c r="V951" s="3" t="str">
        <f>IFERROR(__xludf.DUMMYFUNCTION("""COMPUTED_VALUE"""),"N")</f>
        <v>N</v>
      </c>
      <c r="W951" s="3">
        <f>IFERROR(__xludf.DUMMYFUNCTION("""COMPUTED_VALUE"""),211727.0)</f>
        <v>211727</v>
      </c>
      <c r="X951" s="3" t="str">
        <f>IFERROR(__xludf.DUMMYFUNCTION("""COMPUTED_VALUE"""),"139/15 หมู่4 ตำบลท่าโรงช้าง อำเภอพุนพิน จังหวัดสุราษฎร์ธานี 84130")</f>
        <v>139/15 หมู่4 ตำบลท่าโรงช้าง อำเภอพุนพิน จังหวัดสุราษฎร์ธานี 84130</v>
      </c>
      <c r="Y951" s="3"/>
      <c r="Z951" s="3" t="str">
        <f>IFERROR(__xludf.DUMMYFUNCTION("""COMPUTED_VALUE"""),"ท่าโรงช้าง")</f>
        <v>ท่าโรงช้าง</v>
      </c>
      <c r="AA951" s="3" t="str">
        <f>IFERROR(__xludf.DUMMYFUNCTION("""COMPUTED_VALUE"""),"พุนพิน")</f>
        <v>พุนพิน</v>
      </c>
      <c r="AB951" s="3" t="str">
        <f>IFERROR(__xludf.DUMMYFUNCTION("""COMPUTED_VALUE"""),"สุราษฎร์ธานี")</f>
        <v>สุราษฎร์ธานี</v>
      </c>
      <c r="AC951" s="3">
        <f>IFERROR(__xludf.DUMMYFUNCTION("""COMPUTED_VALUE"""),84130.0)</f>
        <v>84130</v>
      </c>
      <c r="AD951" s="3">
        <f>IFERROR(__xludf.DUMMYFUNCTION("""COMPUTED_VALUE"""),9.0712233)</f>
        <v>9.0712233</v>
      </c>
      <c r="AE951" s="3">
        <f>IFERROR(__xludf.DUMMYFUNCTION("""COMPUTED_VALUE"""),99.175943)</f>
        <v>99.175943</v>
      </c>
      <c r="AF951" s="3" t="str">
        <f>IFERROR(__xludf.DUMMYFUNCTION("""COMPUTED_VALUE"""),"MBC เอสโซ่ NTI ท่าโรงช้างสุราษฎร์ธานี-21720")</f>
        <v>MBC เอสโซ่ NTI ท่าโรงช้างสุราษฎร์ธานี-21720</v>
      </c>
      <c r="AG951" s="3" t="str">
        <f>IFERROR(__xludf.DUMMYFUNCTION("""COMPUTED_VALUE"""),"ใต้")</f>
        <v>ใต้</v>
      </c>
      <c r="AH951" s="3" t="str">
        <f>IFERROR(__xludf.DUMMYFUNCTION("""COMPUTED_VALUE"""),"#N/A")</f>
        <v>#N/A</v>
      </c>
      <c r="AI951" s="3" t="str">
        <f>IFERROR(__xludf.DUMMYFUNCTION("""COMPUTED_VALUE"""),"Out of warranty")</f>
        <v>Out of warranty</v>
      </c>
      <c r="AJ951" s="3">
        <f>IFERROR(__xludf.DUMMYFUNCTION("""COMPUTED_VALUE"""),86.0)</f>
        <v>86</v>
      </c>
      <c r="AK951" s="3" t="str">
        <f>IFERROR(__xludf.DUMMYFUNCTION("""COMPUTED_VALUE"""),"MMS14")</f>
        <v>MMS14</v>
      </c>
      <c r="AL951" s="3"/>
    </row>
    <row r="952" ht="15.75" customHeight="1">
      <c r="A952" s="1" t="str">
        <f>IFERROR(__xludf.DUMMYFUNCTION("""COMPUTED_VALUE"""),"21721")</f>
        <v>21721</v>
      </c>
      <c r="B952" s="2">
        <f>IFERROR(__xludf.DUMMYFUNCTION("""COMPUTED_VALUE"""),21721.0)</f>
        <v>21721</v>
      </c>
      <c r="C952" s="3" t="str">
        <f>IFERROR(__xludf.DUMMYFUNCTION("""COMPUTED_VALUE"""),"MBC ตลาดหนองใหญ่ ขอนแก่น")</f>
        <v>MBC ตลาดหนองใหญ่ ขอนแก่น</v>
      </c>
      <c r="D952" s="3" t="str">
        <f>IFERROR(__xludf.DUMMYFUNCTION("""COMPUTED_VALUE"""),"BCM TALAD NONG YAI, KHON KAEN")</f>
        <v>BCM TALAD NONG YAI, KHON KAEN</v>
      </c>
      <c r="E952" s="1" t="str">
        <f>IFERROR(__xludf.DUMMYFUNCTION("""COMPUTED_VALUE"""),"บิ๊กซี MINI")</f>
        <v>บิ๊กซี MINI</v>
      </c>
      <c r="F952" s="1" t="str">
        <f>IFERROR(__xludf.DUMMYFUNCTION("""COMPUTED_VALUE"""),"291105")</f>
        <v>291105</v>
      </c>
      <c r="G952" s="1" t="str">
        <f>IFERROR(__xludf.DUMMYFUNCTION("""COMPUTED_VALUE"""),"นายสราวุฒิ พณิชยกุล")</f>
        <v>นายสราวุฒิ พณิชยกุล</v>
      </c>
      <c r="H952" s="1" t="str">
        <f>IFERROR(__xludf.DUMMYFUNCTION("""COMPUTED_VALUE"""),"305119")</f>
        <v>305119</v>
      </c>
      <c r="I952" s="1" t="str">
        <f>IFERROR(__xludf.DUMMYFUNCTION("""COMPUTED_VALUE"""),"นายไชยกร ลีพิบูลย์สวัสดิ์")</f>
        <v>นายไชยกร ลีพิบูลย์สวัสดิ์</v>
      </c>
      <c r="J952" s="3">
        <f>IFERROR(__xludf.DUMMYFUNCTION("""COMPUTED_VALUE"""),296868.0)</f>
        <v>296868</v>
      </c>
      <c r="K952" s="3" t="str">
        <f>IFERROR(__xludf.DUMMYFUNCTION("""COMPUTED_VALUE"""),"นายพีระพงษ์ แก้วดวงดี")</f>
        <v>นายพีระพงษ์ แก้วดวงดี</v>
      </c>
      <c r="L952" s="3" t="str">
        <f>IFERROR(__xludf.DUMMYFUNCTION("""COMPUTED_VALUE"""),"03 K.Peerapong K.")</f>
        <v>03 K.Peerapong K.</v>
      </c>
      <c r="M952" s="1" t="str">
        <f>IFERROR(__xludf.DUMMYFUNCTION("""COMPUTED_VALUE"""),"089-002-6599")</f>
        <v>089-002-6599</v>
      </c>
      <c r="N952" s="3">
        <f>IFERROR(__xludf.DUMMYFUNCTION("""COMPUTED_VALUE"""),21946.0)</f>
        <v>21946</v>
      </c>
      <c r="O952" s="3" t="str">
        <f>IFERROR(__xludf.DUMMYFUNCTION("""COMPUTED_VALUE"""),"MBC เซกา บึงกาฬ")</f>
        <v>MBC เซกา บึงกาฬ</v>
      </c>
      <c r="P952" s="4">
        <f>IFERROR(__xludf.DUMMYFUNCTION("""COMPUTED_VALUE"""),43440.0)</f>
        <v>43440</v>
      </c>
      <c r="Q952" s="3" t="str">
        <f>IFERROR(__xludf.DUMMYFUNCTION("""COMPUTED_VALUE"""),"A")</f>
        <v>A</v>
      </c>
      <c r="R952" s="3" t="str">
        <f>IFERROR(__xludf.DUMMYFUNCTION("""COMPUTED_VALUE"""),"Small Format")</f>
        <v>Small Format</v>
      </c>
      <c r="S952" s="3" t="str">
        <f>IFERROR(__xludf.DUMMYFUNCTION("""COMPUTED_VALUE"""),"BCM")</f>
        <v>BCM</v>
      </c>
      <c r="T952" s="3" t="str">
        <f>IFERROR(__xludf.DUMMYFUNCTION("""COMPUTED_VALUE"""),"#N/A")</f>
        <v>#N/A</v>
      </c>
      <c r="U952" s="3" t="str">
        <f>IFERROR(__xludf.DUMMYFUNCTION("""COMPUTED_VALUE"""),"#N/A")</f>
        <v>#N/A</v>
      </c>
      <c r="V952" s="3" t="str">
        <f>IFERROR(__xludf.DUMMYFUNCTION("""COMPUTED_VALUE"""),"N")</f>
        <v>N</v>
      </c>
      <c r="W952" s="3">
        <f>IFERROR(__xludf.DUMMYFUNCTION("""COMPUTED_VALUE"""),211670.0)</f>
        <v>211670</v>
      </c>
      <c r="X952" s="3" t="str">
        <f>IFERROR(__xludf.DUMMYFUNCTION("""COMPUTED_VALUE"""),"3/28 หมู่6 ตำบลในเมือง อำเภอเมืองขอนแก่น จังหวัดขอนแก่น 40000")</f>
        <v>3/28 หมู่6 ตำบลในเมือง อำเภอเมืองขอนแก่น จังหวัดขอนแก่น 40000</v>
      </c>
      <c r="Y952" s="3"/>
      <c r="Z952" s="3" t="str">
        <f>IFERROR(__xludf.DUMMYFUNCTION("""COMPUTED_VALUE"""),"ในเมือง")</f>
        <v>ในเมือง</v>
      </c>
      <c r="AA952" s="3" t="str">
        <f>IFERROR(__xludf.DUMMYFUNCTION("""COMPUTED_VALUE"""),"เมือง")</f>
        <v>เมือง</v>
      </c>
      <c r="AB952" s="3" t="str">
        <f>IFERROR(__xludf.DUMMYFUNCTION("""COMPUTED_VALUE"""),"ขอนแก่น")</f>
        <v>ขอนแก่น</v>
      </c>
      <c r="AC952" s="3">
        <f>IFERROR(__xludf.DUMMYFUNCTION("""COMPUTED_VALUE"""),40000.0)</f>
        <v>40000</v>
      </c>
      <c r="AD952" s="3">
        <f>IFERROR(__xludf.DUMMYFUNCTION("""COMPUTED_VALUE"""),16.4275957)</f>
        <v>16.4275957</v>
      </c>
      <c r="AE952" s="3">
        <f>IFERROR(__xludf.DUMMYFUNCTION("""COMPUTED_VALUE"""),102.8675175)</f>
        <v>102.8675175</v>
      </c>
      <c r="AF952" s="3" t="str">
        <f>IFERROR(__xludf.DUMMYFUNCTION("""COMPUTED_VALUE"""),"MBC ตลาดหนองใหญ่ ขอนแก่น-21721")</f>
        <v>MBC ตลาดหนองใหญ่ ขอนแก่น-21721</v>
      </c>
      <c r="AG952" s="3" t="str">
        <f>IFERROR(__xludf.DUMMYFUNCTION("""COMPUTED_VALUE"""),"ตะวันออกเฉียงเหนือ")</f>
        <v>ตะวันออกเฉียงเหนือ</v>
      </c>
      <c r="AH952" s="3" t="str">
        <f>IFERROR(__xludf.DUMMYFUNCTION("""COMPUTED_VALUE"""),"#N/A")</f>
        <v>#N/A</v>
      </c>
      <c r="AI952" s="3" t="str">
        <f>IFERROR(__xludf.DUMMYFUNCTION("""COMPUTED_VALUE"""),"Out of warranty")</f>
        <v>Out of warranty</v>
      </c>
      <c r="AJ952" s="3">
        <f>IFERROR(__xludf.DUMMYFUNCTION("""COMPUTED_VALUE"""),86.0)</f>
        <v>86</v>
      </c>
      <c r="AK952" s="3" t="str">
        <f>IFERROR(__xludf.DUMMYFUNCTION("""COMPUTED_VALUE"""),"MMS12")</f>
        <v>MMS12</v>
      </c>
      <c r="AL952" s="3"/>
    </row>
    <row r="953" ht="15.75" customHeight="1">
      <c r="A953" s="1" t="str">
        <f>IFERROR(__xludf.DUMMYFUNCTION("""COMPUTED_VALUE"""),"21722")</f>
        <v>21722</v>
      </c>
      <c r="B953" s="2">
        <f>IFERROR(__xludf.DUMMYFUNCTION("""COMPUTED_VALUE"""),21722.0)</f>
        <v>21722</v>
      </c>
      <c r="C953" s="3" t="str">
        <f>IFERROR(__xludf.DUMMYFUNCTION("""COMPUTED_VALUE"""),"MBC เอสโซ่ศิลาลอย ประจวบคีรีขันธ์")</f>
        <v>MBC เอสโซ่ศิลาลอย ประจวบคีรีขันธ์</v>
      </c>
      <c r="D953" s="3" t="str">
        <f>IFERROR(__xludf.DUMMYFUNCTION("""COMPUTED_VALUE"""),"BCM ESSO SILA LOI")</f>
        <v>BCM ESSO SILA LOI</v>
      </c>
      <c r="E953" s="1" t="str">
        <f>IFERROR(__xludf.DUMMYFUNCTION("""COMPUTED_VALUE"""),"บิ๊กซี MINI")</f>
        <v>บิ๊กซี MINI</v>
      </c>
      <c r="F953" s="1" t="str">
        <f>IFERROR(__xludf.DUMMYFUNCTION("""COMPUTED_VALUE"""),"250760")</f>
        <v>250760</v>
      </c>
      <c r="G953" s="1" t="str">
        <f>IFERROR(__xludf.DUMMYFUNCTION("""COMPUTED_VALUE"""),"นายประทวน สาราบรรณ์")</f>
        <v>นายประทวน สาราบรรณ์</v>
      </c>
      <c r="H953" s="1" t="str">
        <f>IFERROR(__xludf.DUMMYFUNCTION("""COMPUTED_VALUE"""),"311437")</f>
        <v>311437</v>
      </c>
      <c r="I953" s="1" t="str">
        <f>IFERROR(__xludf.DUMMYFUNCTION("""COMPUTED_VALUE"""),"นายฉัตรทพร รักวิเชียร")</f>
        <v>นายฉัตรทพร รักวิเชียร</v>
      </c>
      <c r="J953" s="3">
        <f>IFERROR(__xludf.DUMMYFUNCTION("""COMPUTED_VALUE"""),25324.0)</f>
        <v>25324</v>
      </c>
      <c r="K953" s="3" t="str">
        <f>IFERROR(__xludf.DUMMYFUNCTION("""COMPUTED_VALUE"""),"นายวิเชฎฐ์ ติรัตนะประคม")</f>
        <v>นายวิเชฎฐ์ ติรัตนะประคม</v>
      </c>
      <c r="L953" s="1" t="str">
        <f>IFERROR(__xludf.DUMMYFUNCTION("""COMPUTED_VALUE"""),"14 K.Wichet T.")</f>
        <v>14 K.Wichet T.</v>
      </c>
      <c r="M953" s="1" t="str">
        <f>IFERROR(__xludf.DUMMYFUNCTION("""COMPUTED_VALUE"""),"061-417-6569 / 086-445-5636")</f>
        <v>061-417-6569 / 086-445-5636</v>
      </c>
      <c r="N953" s="3">
        <f>IFERROR(__xludf.DUMMYFUNCTION("""COMPUTED_VALUE"""),22658.0)</f>
        <v>22658</v>
      </c>
      <c r="O953" s="3" t="str">
        <f>IFERROR(__xludf.DUMMYFUNCTION("""COMPUTED_VALUE"""),"BCM ถ.วิรัชหงษ์หยก ภูเก็ต")</f>
        <v>BCM ถ.วิรัชหงษ์หยก ภูเก็ต</v>
      </c>
      <c r="P953" s="4">
        <f>IFERROR(__xludf.DUMMYFUNCTION("""COMPUTED_VALUE"""),43457.0)</f>
        <v>43457</v>
      </c>
      <c r="Q953" s="3" t="str">
        <f>IFERROR(__xludf.DUMMYFUNCTION("""COMPUTED_VALUE"""),"A")</f>
        <v>A</v>
      </c>
      <c r="R953" s="3" t="str">
        <f>IFERROR(__xludf.DUMMYFUNCTION("""COMPUTED_VALUE"""),"Small Format")</f>
        <v>Small Format</v>
      </c>
      <c r="S953" s="3" t="str">
        <f>IFERROR(__xludf.DUMMYFUNCTION("""COMPUTED_VALUE"""),"BCM")</f>
        <v>BCM</v>
      </c>
      <c r="T953" s="3" t="str">
        <f>IFERROR(__xludf.DUMMYFUNCTION("""COMPUTED_VALUE"""),"#N/A")</f>
        <v>#N/A</v>
      </c>
      <c r="U953" s="3" t="str">
        <f>IFERROR(__xludf.DUMMYFUNCTION("""COMPUTED_VALUE"""),"#N/A")</f>
        <v>#N/A</v>
      </c>
      <c r="V953" s="3" t="str">
        <f>IFERROR(__xludf.DUMMYFUNCTION("""COMPUTED_VALUE"""),"N")</f>
        <v>N</v>
      </c>
      <c r="W953" s="3">
        <f>IFERROR(__xludf.DUMMYFUNCTION("""COMPUTED_VALUE"""),211723.0)</f>
        <v>211723</v>
      </c>
      <c r="X953" s="3" t="str">
        <f>IFERROR(__xludf.DUMMYFUNCTION("""COMPUTED_VALUE"""),"55/9 หมู่3 ตำบลศิลาลอย อำเภอสามร้อยยอด จังหวัดประจวบคีรีขันธ์ 77180")</f>
        <v>55/9 หมู่3 ตำบลศิลาลอย อำเภอสามร้อยยอด จังหวัดประจวบคีรีขันธ์ 77180</v>
      </c>
      <c r="Y953" s="3"/>
      <c r="Z953" s="3" t="str">
        <f>IFERROR(__xludf.DUMMYFUNCTION("""COMPUTED_VALUE"""),"ศิลาลอย")</f>
        <v>ศิลาลอย</v>
      </c>
      <c r="AA953" s="3" t="str">
        <f>IFERROR(__xludf.DUMMYFUNCTION("""COMPUTED_VALUE"""),"สามร้อยยอด")</f>
        <v>สามร้อยยอด</v>
      </c>
      <c r="AB953" s="3" t="str">
        <f>IFERROR(__xludf.DUMMYFUNCTION("""COMPUTED_VALUE"""),"ประจวบคีรีขันธ์")</f>
        <v>ประจวบคีรีขันธ์</v>
      </c>
      <c r="AC953" s="3">
        <f>IFERROR(__xludf.DUMMYFUNCTION("""COMPUTED_VALUE"""),77180.0)</f>
        <v>77180</v>
      </c>
      <c r="AD953" s="3">
        <f>IFERROR(__xludf.DUMMYFUNCTION("""COMPUTED_VALUE"""),12.2898682)</f>
        <v>12.2898682</v>
      </c>
      <c r="AE953" s="3">
        <f>IFERROR(__xludf.DUMMYFUNCTION("""COMPUTED_VALUE"""),99.8738189)</f>
        <v>99.8738189</v>
      </c>
      <c r="AF953" s="3" t="str">
        <f>IFERROR(__xludf.DUMMYFUNCTION("""COMPUTED_VALUE"""),"MBC เอสโซ่ศิลาลอย ประจวบคีรีขันธ์-21722")</f>
        <v>MBC เอสโซ่ศิลาลอย ประจวบคีรีขันธ์-21722</v>
      </c>
      <c r="AG953" s="3" t="str">
        <f>IFERROR(__xludf.DUMMYFUNCTION("""COMPUTED_VALUE"""),"ตะวันตก")</f>
        <v>ตะวันตก</v>
      </c>
      <c r="AH953" s="3" t="str">
        <f>IFERROR(__xludf.DUMMYFUNCTION("""COMPUTED_VALUE"""),"#N/A")</f>
        <v>#N/A</v>
      </c>
      <c r="AI953" s="3" t="str">
        <f>IFERROR(__xludf.DUMMYFUNCTION("""COMPUTED_VALUE"""),"Out of warranty")</f>
        <v>Out of warranty</v>
      </c>
      <c r="AJ953" s="3">
        <f>IFERROR(__xludf.DUMMYFUNCTION("""COMPUTED_VALUE"""),85.0)</f>
        <v>85</v>
      </c>
      <c r="AK953" s="3" t="str">
        <f>IFERROR(__xludf.DUMMYFUNCTION("""COMPUTED_VALUE"""),"MMS14")</f>
        <v>MMS14</v>
      </c>
      <c r="AL953" s="3"/>
    </row>
    <row r="954" ht="15.75" customHeight="1">
      <c r="A954" s="1" t="str">
        <f>IFERROR(__xludf.DUMMYFUNCTION("""COMPUTED_VALUE"""),"21723")</f>
        <v>21723</v>
      </c>
      <c r="B954" s="2">
        <f>IFERROR(__xludf.DUMMYFUNCTION("""COMPUTED_VALUE"""),21723.0)</f>
        <v>21723</v>
      </c>
      <c r="C954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D954" s="3" t="str">
        <f>IFERROR(__xludf.DUMMYFUNCTION("""COMPUTED_VALUE"""),"BCM NHA KAI SENANARONG")</f>
        <v>BCM NHA KAI SENANARONG</v>
      </c>
      <c r="E954" s="1" t="str">
        <f>IFERROR(__xludf.DUMMYFUNCTION("""COMPUTED_VALUE"""),"บิ๊กซี MINI")</f>
        <v>บิ๊กซี MINI</v>
      </c>
      <c r="F954" s="1" t="str">
        <f>IFERROR(__xludf.DUMMYFUNCTION("""COMPUTED_VALUE"""),"250760")</f>
        <v>250760</v>
      </c>
      <c r="G954" s="1" t="str">
        <f>IFERROR(__xludf.DUMMYFUNCTION("""COMPUTED_VALUE"""),"นายประทวน สาราบรรณ์")</f>
        <v>นายประทวน สาราบรรณ์</v>
      </c>
      <c r="H954" s="1" t="str">
        <f>IFERROR(__xludf.DUMMYFUNCTION("""COMPUTED_VALUE"""),"394100")</f>
        <v>394100</v>
      </c>
      <c r="I954" s="1" t="str">
        <f>IFERROR(__xludf.DUMMYFUNCTION("""COMPUTED_VALUE"""),"นายไพโรจน์ ถิระผะลิกะ")</f>
        <v>นายไพโรจน์ ถิระผะลิกะ</v>
      </c>
      <c r="J954" s="3">
        <f>IFERROR(__xludf.DUMMYFUNCTION("""COMPUTED_VALUE"""),2.0470331E7)</f>
        <v>20470331</v>
      </c>
      <c r="K954" s="3" t="str">
        <f>IFERROR(__xludf.DUMMYFUNCTION("""COMPUTED_VALUE"""),"นายสมชาย ลักษณะสุวรรณ")</f>
        <v>นายสมชาย ลักษณะสุวรรณ</v>
      </c>
      <c r="L954" s="1" t="str">
        <f>IFERROR(__xludf.DUMMYFUNCTION("""COMPUTED_VALUE"""),"15 K.Somchai L")</f>
        <v>15 K.Somchai L</v>
      </c>
      <c r="M954" s="1" t="str">
        <f>IFERROR(__xludf.DUMMYFUNCTION("""COMPUTED_VALUE"""),"0655107372")</f>
        <v>0655107372</v>
      </c>
      <c r="N954" s="3">
        <f>IFERROR(__xludf.DUMMYFUNCTION("""COMPUTED_VALUE"""),21723.0)</f>
        <v>21723</v>
      </c>
      <c r="O954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954" s="4">
        <f>IFERROR(__xludf.DUMMYFUNCTION("""COMPUTED_VALUE"""),43446.0)</f>
        <v>43446</v>
      </c>
      <c r="Q954" s="3" t="str">
        <f>IFERROR(__xludf.DUMMYFUNCTION("""COMPUTED_VALUE"""),"A")</f>
        <v>A</v>
      </c>
      <c r="R954" s="3" t="str">
        <f>IFERROR(__xludf.DUMMYFUNCTION("""COMPUTED_VALUE"""),"Small Format")</f>
        <v>Small Format</v>
      </c>
      <c r="S954" s="3" t="str">
        <f>IFERROR(__xludf.DUMMYFUNCTION("""COMPUTED_VALUE"""),"BCM")</f>
        <v>BCM</v>
      </c>
      <c r="T954" s="3" t="str">
        <f>IFERROR(__xludf.DUMMYFUNCTION("""COMPUTED_VALUE"""),"#N/A")</f>
        <v>#N/A</v>
      </c>
      <c r="U954" s="3" t="str">
        <f>IFERROR(__xludf.DUMMYFUNCTION("""COMPUTED_VALUE"""),"#N/A")</f>
        <v>#N/A</v>
      </c>
      <c r="V954" s="3" t="str">
        <f>IFERROR(__xludf.DUMMYFUNCTION("""COMPUTED_VALUE"""),"N")</f>
        <v>N</v>
      </c>
      <c r="W954" s="3">
        <f>IFERROR(__xludf.DUMMYFUNCTION("""COMPUTED_VALUE"""),211685.0)</f>
        <v>211685</v>
      </c>
      <c r="X954" s="3" t="str">
        <f>IFERROR(__xludf.DUMMYFUNCTION("""COMPUTED_VALUE"""),"726/2 ถนนกาญจนวณิชย์ ตำบลหาดใหญ่ อำเภอหาดใหญ่ จังหวัดสงขลา 90110")</f>
        <v>726/2 ถนนกาญจนวณิชย์ ตำบลหาดใหญ่ อำเภอหาดใหญ่ จังหวัดสงขลา 90110</v>
      </c>
      <c r="Y954" s="3" t="str">
        <f>IFERROR(__xludf.DUMMYFUNCTION("""COMPUTED_VALUE"""),"ถนนกาญจนวณิชย์")</f>
        <v>ถนนกาญจนวณิชย์</v>
      </c>
      <c r="Z954" s="3" t="str">
        <f>IFERROR(__xludf.DUMMYFUNCTION("""COMPUTED_VALUE"""),"หาดใหญ่")</f>
        <v>หาดใหญ่</v>
      </c>
      <c r="AA954" s="3" t="str">
        <f>IFERROR(__xludf.DUMMYFUNCTION("""COMPUTED_VALUE"""),"หาดใหญ่")</f>
        <v>หาดใหญ่</v>
      </c>
      <c r="AB954" s="3" t="str">
        <f>IFERROR(__xludf.DUMMYFUNCTION("""COMPUTED_VALUE"""),"สงขลา")</f>
        <v>สงขลา</v>
      </c>
      <c r="AC954" s="3">
        <f>IFERROR(__xludf.DUMMYFUNCTION("""COMPUTED_VALUE"""),90110.0)</f>
        <v>90110</v>
      </c>
      <c r="AD954" s="3">
        <f>IFERROR(__xludf.DUMMYFUNCTION("""COMPUTED_VALUE"""),7.0234741)</f>
        <v>7.0234741</v>
      </c>
      <c r="AE954" s="3">
        <f>IFERROR(__xludf.DUMMYFUNCTION("""COMPUTED_VALUE"""),100.4996507)</f>
        <v>100.4996507</v>
      </c>
      <c r="AF954" s="3" t="str">
        <f>IFERROR(__xludf.DUMMYFUNCTION("""COMPUTED_VALUE"""),"MBC หน้าค่ายเสนาณรงค์ หาดใหญ่-21723")</f>
        <v>MBC หน้าค่ายเสนาณรงค์ หาดใหญ่-21723</v>
      </c>
      <c r="AG954" s="3" t="str">
        <f>IFERROR(__xludf.DUMMYFUNCTION("""COMPUTED_VALUE"""),"ใต้")</f>
        <v>ใต้</v>
      </c>
      <c r="AH954" s="3" t="str">
        <f>IFERROR(__xludf.DUMMYFUNCTION("""COMPUTED_VALUE"""),"#N/A")</f>
        <v>#N/A</v>
      </c>
      <c r="AI954" s="3" t="str">
        <f>IFERROR(__xludf.DUMMYFUNCTION("""COMPUTED_VALUE"""),"Out of warranty")</f>
        <v>Out of warranty</v>
      </c>
      <c r="AJ954" s="3">
        <f>IFERROR(__xludf.DUMMYFUNCTION("""COMPUTED_VALUE"""),86.0)</f>
        <v>86</v>
      </c>
      <c r="AK954" s="3" t="str">
        <f>IFERROR(__xludf.DUMMYFUNCTION("""COMPUTED_VALUE"""),"MMS16")</f>
        <v>MMS16</v>
      </c>
      <c r="AL954" s="3"/>
    </row>
    <row r="955" ht="15.75" customHeight="1">
      <c r="A955" s="1" t="str">
        <f>IFERROR(__xludf.DUMMYFUNCTION("""COMPUTED_VALUE"""),"21724")</f>
        <v>21724</v>
      </c>
      <c r="B955" s="2">
        <f>IFERROR(__xludf.DUMMYFUNCTION("""COMPUTED_VALUE"""),21724.0)</f>
        <v>21724</v>
      </c>
      <c r="C955" s="3" t="str">
        <f>IFERROR(__xludf.DUMMYFUNCTION("""COMPUTED_VALUE"""),"MBC ด่านนอก สงขลา")</f>
        <v>MBC ด่านนอก สงขลา</v>
      </c>
      <c r="D955" s="3" t="str">
        <f>IFERROR(__xludf.DUMMYFUNCTION("""COMPUTED_VALUE"""),"BCM DANNOK,SONGKHLA")</f>
        <v>BCM DANNOK,SONGKHLA</v>
      </c>
      <c r="E955" s="1" t="str">
        <f>IFERROR(__xludf.DUMMYFUNCTION("""COMPUTED_VALUE"""),"บิ๊กซี MINI")</f>
        <v>บิ๊กซี MINI</v>
      </c>
      <c r="F955" s="1" t="str">
        <f>IFERROR(__xludf.DUMMYFUNCTION("""COMPUTED_VALUE"""),"250760")</f>
        <v>250760</v>
      </c>
      <c r="G955" s="1" t="str">
        <f>IFERROR(__xludf.DUMMYFUNCTION("""COMPUTED_VALUE"""),"นายประทวน สาราบรรณ์")</f>
        <v>นายประทวน สาราบรรณ์</v>
      </c>
      <c r="H955" s="1" t="str">
        <f>IFERROR(__xludf.DUMMYFUNCTION("""COMPUTED_VALUE"""),"394185")</f>
        <v>394185</v>
      </c>
      <c r="I955" s="1" t="str">
        <f>IFERROR(__xludf.DUMMYFUNCTION("""COMPUTED_VALUE"""),"น.ส.ฐาปนี สุวรรณรัตน์")</f>
        <v>น.ส.ฐาปนี สุวรรณรัตน์</v>
      </c>
      <c r="J955" s="3">
        <f>IFERROR(__xludf.DUMMYFUNCTION("""COMPUTED_VALUE"""),2.0470331E7)</f>
        <v>20470331</v>
      </c>
      <c r="K955" s="3" t="str">
        <f>IFERROR(__xludf.DUMMYFUNCTION("""COMPUTED_VALUE"""),"นายสมชาย ลักษณะสุวรรณ")</f>
        <v>นายสมชาย ลักษณะสุวรรณ</v>
      </c>
      <c r="L955" s="1" t="str">
        <f>IFERROR(__xludf.DUMMYFUNCTION("""COMPUTED_VALUE"""),"15 K.Somchai L")</f>
        <v>15 K.Somchai L</v>
      </c>
      <c r="M955" s="1" t="str">
        <f>IFERROR(__xludf.DUMMYFUNCTION("""COMPUTED_VALUE"""),"0655107372")</f>
        <v>0655107372</v>
      </c>
      <c r="N955" s="3">
        <f>IFERROR(__xludf.DUMMYFUNCTION("""COMPUTED_VALUE"""),21723.0)</f>
        <v>21723</v>
      </c>
      <c r="O955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955" s="4">
        <f>IFERROR(__xludf.DUMMYFUNCTION("""COMPUTED_VALUE"""),43447.0)</f>
        <v>43447</v>
      </c>
      <c r="Q955" s="3" t="str">
        <f>IFERROR(__xludf.DUMMYFUNCTION("""COMPUTED_VALUE"""),"A")</f>
        <v>A</v>
      </c>
      <c r="R955" s="3" t="str">
        <f>IFERROR(__xludf.DUMMYFUNCTION("""COMPUTED_VALUE"""),"Small Format")</f>
        <v>Small Format</v>
      </c>
      <c r="S955" s="3" t="str">
        <f>IFERROR(__xludf.DUMMYFUNCTION("""COMPUTED_VALUE"""),"BCM")</f>
        <v>BCM</v>
      </c>
      <c r="T955" s="3" t="str">
        <f>IFERROR(__xludf.DUMMYFUNCTION("""COMPUTED_VALUE"""),"#N/A")</f>
        <v>#N/A</v>
      </c>
      <c r="U955" s="3" t="str">
        <f>IFERROR(__xludf.DUMMYFUNCTION("""COMPUTED_VALUE"""),"#N/A")</f>
        <v>#N/A</v>
      </c>
      <c r="V955" s="3" t="str">
        <f>IFERROR(__xludf.DUMMYFUNCTION("""COMPUTED_VALUE"""),"N")</f>
        <v>N</v>
      </c>
      <c r="W955" s="3">
        <f>IFERROR(__xludf.DUMMYFUNCTION("""COMPUTED_VALUE"""),211687.0)</f>
        <v>211687</v>
      </c>
      <c r="X955" s="3" t="str">
        <f>IFERROR(__xludf.DUMMYFUNCTION("""COMPUTED_VALUE"""),"49-51 หมู่7 ตำบลสำนักขาม อำเภอสะเดา จังหวัดสงขลา 90320")</f>
        <v>49-51 หมู่7 ตำบลสำนักขาม อำเภอสะเดา จังหวัดสงขลา 90320</v>
      </c>
      <c r="Y955" s="3"/>
      <c r="Z955" s="3" t="str">
        <f>IFERROR(__xludf.DUMMYFUNCTION("""COMPUTED_VALUE"""),"สำนักขาม")</f>
        <v>สำนักขาม</v>
      </c>
      <c r="AA955" s="3" t="str">
        <f>IFERROR(__xludf.DUMMYFUNCTION("""COMPUTED_VALUE"""),"สะเดา")</f>
        <v>สะเดา</v>
      </c>
      <c r="AB955" s="3" t="str">
        <f>IFERROR(__xludf.DUMMYFUNCTION("""COMPUTED_VALUE"""),"สงขลา")</f>
        <v>สงขลา</v>
      </c>
      <c r="AC955" s="3">
        <f>IFERROR(__xludf.DUMMYFUNCTION("""COMPUTED_VALUE"""),90320.0)</f>
        <v>90320</v>
      </c>
      <c r="AD955" s="3">
        <f>IFERROR(__xludf.DUMMYFUNCTION("""COMPUTED_VALUE"""),6.52229)</f>
        <v>6.52229</v>
      </c>
      <c r="AE955" s="3">
        <f>IFERROR(__xludf.DUMMYFUNCTION("""COMPUTED_VALUE"""),100.4186255)</f>
        <v>100.4186255</v>
      </c>
      <c r="AF955" s="3" t="str">
        <f>IFERROR(__xludf.DUMMYFUNCTION("""COMPUTED_VALUE"""),"MBC ด่านนอก สงขลา-21724")</f>
        <v>MBC ด่านนอก สงขลา-21724</v>
      </c>
      <c r="AG955" s="3" t="str">
        <f>IFERROR(__xludf.DUMMYFUNCTION("""COMPUTED_VALUE"""),"ใต้")</f>
        <v>ใต้</v>
      </c>
      <c r="AH955" s="3" t="str">
        <f>IFERROR(__xludf.DUMMYFUNCTION("""COMPUTED_VALUE"""),"#N/A")</f>
        <v>#N/A</v>
      </c>
      <c r="AI955" s="3" t="str">
        <f>IFERROR(__xludf.DUMMYFUNCTION("""COMPUTED_VALUE"""),"Out of warranty")</f>
        <v>Out of warranty</v>
      </c>
      <c r="AJ955" s="3">
        <f>IFERROR(__xludf.DUMMYFUNCTION("""COMPUTED_VALUE"""),86.0)</f>
        <v>86</v>
      </c>
      <c r="AK955" s="3" t="str">
        <f>IFERROR(__xludf.DUMMYFUNCTION("""COMPUTED_VALUE"""),"MMS16")</f>
        <v>MMS16</v>
      </c>
      <c r="AL955" s="3"/>
    </row>
    <row r="956" ht="15.75" customHeight="1">
      <c r="A956" s="1" t="str">
        <f>IFERROR(__xludf.DUMMYFUNCTION("""COMPUTED_VALUE"""),"21725")</f>
        <v>21725</v>
      </c>
      <c r="B956" s="2">
        <f>IFERROR(__xludf.DUMMYFUNCTION("""COMPUTED_VALUE"""),21725.0)</f>
        <v>21725</v>
      </c>
      <c r="C956" s="3" t="str">
        <f>IFERROR(__xludf.DUMMYFUNCTION("""COMPUTED_VALUE"""),"MBC ถนนประตูลอด นครศรีธรรมราช")</f>
        <v>MBC ถนนประตูลอด นครศรีธรรมราช</v>
      </c>
      <c r="D956" s="3" t="str">
        <f>IFERROR(__xludf.DUMMYFUNCTION("""COMPUTED_VALUE"""),"BCM THANON PRATU LOD")</f>
        <v>BCM THANON PRATU LOD</v>
      </c>
      <c r="E956" s="1" t="str">
        <f>IFERROR(__xludf.DUMMYFUNCTION("""COMPUTED_VALUE"""),"บิ๊กซี MINI")</f>
        <v>บิ๊กซี MINI</v>
      </c>
      <c r="F956" s="1" t="str">
        <f>IFERROR(__xludf.DUMMYFUNCTION("""COMPUTED_VALUE"""),"2010918")</f>
        <v>2010918</v>
      </c>
      <c r="G956" s="1" t="str">
        <f>IFERROR(__xludf.DUMMYFUNCTION("""COMPUTED_VALUE"""),"น.ส.สุดารัตน์ รัตนประดิษฐ์")</f>
        <v>น.ส.สุดารัตน์ รัตนประดิษฐ์</v>
      </c>
      <c r="H956" s="1" t="str">
        <f>IFERROR(__xludf.DUMMYFUNCTION("""COMPUTED_VALUE"""),"394100")</f>
        <v>394100</v>
      </c>
      <c r="I956" s="1" t="str">
        <f>IFERROR(__xludf.DUMMYFUNCTION("""COMPUTED_VALUE"""),"นายไพโรจน์ ถิระผะลิกะ")</f>
        <v>นายไพโรจน์ ถิระผะลิกะ</v>
      </c>
      <c r="J956" s="3">
        <f>IFERROR(__xludf.DUMMYFUNCTION("""COMPUTED_VALUE"""),2.0470331E7)</f>
        <v>20470331</v>
      </c>
      <c r="K956" s="3" t="str">
        <f>IFERROR(__xludf.DUMMYFUNCTION("""COMPUTED_VALUE"""),"นายสมชาย ลักษณะสุวรรณ")</f>
        <v>นายสมชาย ลักษณะสุวรรณ</v>
      </c>
      <c r="L956" s="1" t="str">
        <f>IFERROR(__xludf.DUMMYFUNCTION("""COMPUTED_VALUE"""),"15 K.Somchai L")</f>
        <v>15 K.Somchai L</v>
      </c>
      <c r="M956" s="1" t="str">
        <f>IFERROR(__xludf.DUMMYFUNCTION("""COMPUTED_VALUE"""),"0655107372")</f>
        <v>0655107372</v>
      </c>
      <c r="N956" s="3">
        <f>IFERROR(__xludf.DUMMYFUNCTION("""COMPUTED_VALUE"""),21723.0)</f>
        <v>21723</v>
      </c>
      <c r="O956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956" s="4">
        <f>IFERROR(__xludf.DUMMYFUNCTION("""COMPUTED_VALUE"""),43452.0)</f>
        <v>43452</v>
      </c>
      <c r="Q956" s="3" t="str">
        <f>IFERROR(__xludf.DUMMYFUNCTION("""COMPUTED_VALUE"""),"I")</f>
        <v>I</v>
      </c>
      <c r="R956" s="3" t="str">
        <f>IFERROR(__xludf.DUMMYFUNCTION("""COMPUTED_VALUE"""),"Small Format")</f>
        <v>Small Format</v>
      </c>
      <c r="S956" s="3" t="str">
        <f>IFERROR(__xludf.DUMMYFUNCTION("""COMPUTED_VALUE"""),"BCM")</f>
        <v>BCM</v>
      </c>
      <c r="T956" s="3" t="str">
        <f>IFERROR(__xludf.DUMMYFUNCTION("""COMPUTED_VALUE"""),"#N/A")</f>
        <v>#N/A</v>
      </c>
      <c r="U956" s="3" t="str">
        <f>IFERROR(__xludf.DUMMYFUNCTION("""COMPUTED_VALUE"""),"#N/A")</f>
        <v>#N/A</v>
      </c>
      <c r="V956" s="3" t="str">
        <f>IFERROR(__xludf.DUMMYFUNCTION("""COMPUTED_VALUE"""),"N")</f>
        <v>N</v>
      </c>
      <c r="W956" s="3">
        <f>IFERROR(__xludf.DUMMYFUNCTION("""COMPUTED_VALUE"""),211684.0)</f>
        <v>211684</v>
      </c>
      <c r="X956" s="3" t="str">
        <f>IFERROR(__xludf.DUMMYFUNCTION("""COMPUTED_VALUE"""),"25/8-19 ถนนประตูลอด ตำบลในเมือง อำเภอเมืองนครศรีธรรมราช จังหวัดนครศรีธรรมราช 80000")</f>
        <v>25/8-19 ถนนประตูลอด ตำบลในเมือง อำเภอเมืองนครศรีธรรมราช จังหวัดนครศรีธรรมราช 80000</v>
      </c>
      <c r="Y956" s="3" t="str">
        <f>IFERROR(__xludf.DUMMYFUNCTION("""COMPUTED_VALUE"""),"ถนนประตูลอด")</f>
        <v>ถนนประตูลอด</v>
      </c>
      <c r="Z956" s="3" t="str">
        <f>IFERROR(__xludf.DUMMYFUNCTION("""COMPUTED_VALUE"""),"ในเมือง")</f>
        <v>ในเมือง</v>
      </c>
      <c r="AA956" s="3" t="str">
        <f>IFERROR(__xludf.DUMMYFUNCTION("""COMPUTED_VALUE"""),"เมือง")</f>
        <v>เมือง</v>
      </c>
      <c r="AB956" s="3" t="str">
        <f>IFERROR(__xludf.DUMMYFUNCTION("""COMPUTED_VALUE"""),"นครศรีธรรมราช")</f>
        <v>นครศรีธรรมราช</v>
      </c>
      <c r="AC956" s="3">
        <f>IFERROR(__xludf.DUMMYFUNCTION("""COMPUTED_VALUE"""),80000.0)</f>
        <v>80000</v>
      </c>
      <c r="AD956" s="3">
        <f>IFERROR(__xludf.DUMMYFUNCTION("""COMPUTED_VALUE"""),8.4212783)</f>
        <v>8.4212783</v>
      </c>
      <c r="AE956" s="3">
        <f>IFERROR(__xludf.DUMMYFUNCTION("""COMPUTED_VALUE"""),99.9695081)</f>
        <v>99.9695081</v>
      </c>
      <c r="AF956" s="3" t="str">
        <f>IFERROR(__xludf.DUMMYFUNCTION("""COMPUTED_VALUE"""),"MBC ถนนประตูลอด นครศรีธรรมราช-21725")</f>
        <v>MBC ถนนประตูลอด นครศรีธรรมราช-21725</v>
      </c>
      <c r="AG956" s="3" t="str">
        <f>IFERROR(__xludf.DUMMYFUNCTION("""COMPUTED_VALUE"""),"ใต้")</f>
        <v>ใต้</v>
      </c>
      <c r="AH956" s="3" t="str">
        <f>IFERROR(__xludf.DUMMYFUNCTION("""COMPUTED_VALUE"""),"#N/A")</f>
        <v>#N/A</v>
      </c>
      <c r="AI956" s="3" t="str">
        <f>IFERROR(__xludf.DUMMYFUNCTION("""COMPUTED_VALUE"""),"Out of warranty")</f>
        <v>Out of warranty</v>
      </c>
      <c r="AJ956" s="3">
        <f>IFERROR(__xludf.DUMMYFUNCTION("""COMPUTED_VALUE"""),86.0)</f>
        <v>86</v>
      </c>
      <c r="AK956" s="3"/>
      <c r="AL956" s="3"/>
    </row>
    <row r="957" ht="15.75" customHeight="1">
      <c r="A957" s="1" t="str">
        <f>IFERROR(__xludf.DUMMYFUNCTION("""COMPUTED_VALUE"""),"21726")</f>
        <v>21726</v>
      </c>
      <c r="B957" s="2">
        <f>IFERROR(__xludf.DUMMYFUNCTION("""COMPUTED_VALUE"""),21726.0)</f>
        <v>21726</v>
      </c>
      <c r="C957" s="3" t="str">
        <f>IFERROR(__xludf.DUMMYFUNCTION("""COMPUTED_VALUE"""),"MBC เอสโซ่ สหกรณ์ สามร้อยยอด ประจวบคีรีขันธ์")</f>
        <v>MBC เอสโซ่ สหกรณ์ สามร้อยยอด ประจวบคีรีขันธ์</v>
      </c>
      <c r="D957" s="3" t="str">
        <f>IFERROR(__xludf.DUMMYFUNCTION("""COMPUTED_VALUE"""),"BCM ESSO SAHAKON SAMROIYOT")</f>
        <v>BCM ESSO SAHAKON SAMROIYOT</v>
      </c>
      <c r="E957" s="1" t="str">
        <f>IFERROR(__xludf.DUMMYFUNCTION("""COMPUTED_VALUE"""),"บิ๊กซี MINI")</f>
        <v>บิ๊กซี MINI</v>
      </c>
      <c r="F957" s="1" t="str">
        <f>IFERROR(__xludf.DUMMYFUNCTION("""COMPUTED_VALUE"""),"250760")</f>
        <v>250760</v>
      </c>
      <c r="G957" s="1" t="str">
        <f>IFERROR(__xludf.DUMMYFUNCTION("""COMPUTED_VALUE"""),"นายประทวน สาราบรรณ์")</f>
        <v>นายประทวน สาราบรรณ์</v>
      </c>
      <c r="H957" s="1" t="str">
        <f>IFERROR(__xludf.DUMMYFUNCTION("""COMPUTED_VALUE"""),"311437")</f>
        <v>311437</v>
      </c>
      <c r="I957" s="1" t="str">
        <f>IFERROR(__xludf.DUMMYFUNCTION("""COMPUTED_VALUE"""),"นายฉัตรทพร รักวิเชียร")</f>
        <v>นายฉัตรทพร รักวิเชียร</v>
      </c>
      <c r="J957" s="3">
        <f>IFERROR(__xludf.DUMMYFUNCTION("""COMPUTED_VALUE"""),2.0470331E7)</f>
        <v>20470331</v>
      </c>
      <c r="K957" s="3" t="str">
        <f>IFERROR(__xludf.DUMMYFUNCTION("""COMPUTED_VALUE"""),"นายสมชาย ลักษณะสุวรรณ")</f>
        <v>นายสมชาย ลักษณะสุวรรณ</v>
      </c>
      <c r="L957" s="1" t="str">
        <f>IFERROR(__xludf.DUMMYFUNCTION("""COMPUTED_VALUE"""),"15 K.Somchai L")</f>
        <v>15 K.Somchai L</v>
      </c>
      <c r="M957" s="1" t="str">
        <f>IFERROR(__xludf.DUMMYFUNCTION("""COMPUTED_VALUE"""),"0655107372")</f>
        <v>0655107372</v>
      </c>
      <c r="N957" s="3">
        <f>IFERROR(__xludf.DUMMYFUNCTION("""COMPUTED_VALUE"""),21723.0)</f>
        <v>21723</v>
      </c>
      <c r="O957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957" s="4">
        <f>IFERROR(__xludf.DUMMYFUNCTION("""COMPUTED_VALUE"""),43447.0)</f>
        <v>43447</v>
      </c>
      <c r="Q957" s="3" t="str">
        <f>IFERROR(__xludf.DUMMYFUNCTION("""COMPUTED_VALUE"""),"I")</f>
        <v>I</v>
      </c>
      <c r="R957" s="3" t="str">
        <f>IFERROR(__xludf.DUMMYFUNCTION("""COMPUTED_VALUE"""),"Small Format")</f>
        <v>Small Format</v>
      </c>
      <c r="S957" s="3" t="str">
        <f>IFERROR(__xludf.DUMMYFUNCTION("""COMPUTED_VALUE"""),"BCM")</f>
        <v>BCM</v>
      </c>
      <c r="T957" s="3" t="str">
        <f>IFERROR(__xludf.DUMMYFUNCTION("""COMPUTED_VALUE"""),"#N/A")</f>
        <v>#N/A</v>
      </c>
      <c r="U957" s="3" t="str">
        <f>IFERROR(__xludf.DUMMYFUNCTION("""COMPUTED_VALUE"""),"#N/A")</f>
        <v>#N/A</v>
      </c>
      <c r="V957" s="3" t="str">
        <f>IFERROR(__xludf.DUMMYFUNCTION("""COMPUTED_VALUE"""),"N")</f>
        <v>N</v>
      </c>
      <c r="W957" s="3">
        <f>IFERROR(__xludf.DUMMYFUNCTION("""COMPUTED_VALUE"""),211722.0)</f>
        <v>211722</v>
      </c>
      <c r="X957" s="3" t="str">
        <f>IFERROR(__xludf.DUMMYFUNCTION("""COMPUTED_VALUE"""),"354/8 หมู่5 ตำบลศาลาลัย อำเภอสามร้อยยอด จังหวัดประจวบคีรีขันธ์ 77180")</f>
        <v>354/8 หมู่5 ตำบลศาลาลัย อำเภอสามร้อยยอด จังหวัดประจวบคีรีขันธ์ 77180</v>
      </c>
      <c r="Y957" s="3"/>
      <c r="Z957" s="3" t="str">
        <f>IFERROR(__xludf.DUMMYFUNCTION("""COMPUTED_VALUE"""),"ศาลาลัย")</f>
        <v>ศาลาลัย</v>
      </c>
      <c r="AA957" s="3" t="str">
        <f>IFERROR(__xludf.DUMMYFUNCTION("""COMPUTED_VALUE"""),"สามร้อยยอด")</f>
        <v>สามร้อยยอด</v>
      </c>
      <c r="AB957" s="3" t="str">
        <f>IFERROR(__xludf.DUMMYFUNCTION("""COMPUTED_VALUE"""),"ประจวบคีรีขันธ์")</f>
        <v>ประจวบคีรีขันธ์</v>
      </c>
      <c r="AC957" s="3">
        <f>IFERROR(__xludf.DUMMYFUNCTION("""COMPUTED_VALUE"""),77180.0)</f>
        <v>77180</v>
      </c>
      <c r="AD957" s="3">
        <f>IFERROR(__xludf.DUMMYFUNCTION("""COMPUTED_VALUE"""),12.2425432)</f>
        <v>12.2425432</v>
      </c>
      <c r="AE957" s="3">
        <f>IFERROR(__xludf.DUMMYFUNCTION("""COMPUTED_VALUE"""),99.8708165)</f>
        <v>99.8708165</v>
      </c>
      <c r="AF957" s="3" t="str">
        <f>IFERROR(__xludf.DUMMYFUNCTION("""COMPUTED_VALUE"""),"MBC เอสโซ่ สหกรณ์ สามร้อยยอด ประจวบคีรีขันธ์-21726")</f>
        <v>MBC เอสโซ่ สหกรณ์ สามร้อยยอด ประจวบคีรีขันธ์-21726</v>
      </c>
      <c r="AG957" s="3" t="str">
        <f>IFERROR(__xludf.DUMMYFUNCTION("""COMPUTED_VALUE"""),"ตะวันตก")</f>
        <v>ตะวันตก</v>
      </c>
      <c r="AH957" s="3" t="str">
        <f>IFERROR(__xludf.DUMMYFUNCTION("""COMPUTED_VALUE"""),"#N/A")</f>
        <v>#N/A</v>
      </c>
      <c r="AI957" s="3" t="str">
        <f>IFERROR(__xludf.DUMMYFUNCTION("""COMPUTED_VALUE"""),"Out of warranty")</f>
        <v>Out of warranty</v>
      </c>
      <c r="AJ957" s="3">
        <f>IFERROR(__xludf.DUMMYFUNCTION("""COMPUTED_VALUE"""),86.0)</f>
        <v>86</v>
      </c>
      <c r="AK957" s="3" t="str">
        <f>IFERROR(__xludf.DUMMYFUNCTION("""COMPUTED_VALUE"""),"MMS14")</f>
        <v>MMS14</v>
      </c>
      <c r="AL957" s="3"/>
    </row>
    <row r="958" ht="15.75" customHeight="1">
      <c r="A958" s="1" t="str">
        <f>IFERROR(__xludf.DUMMYFUNCTION("""COMPUTED_VALUE"""),"21727")</f>
        <v>21727</v>
      </c>
      <c r="B958" s="2">
        <f>IFERROR(__xludf.DUMMYFUNCTION("""COMPUTED_VALUE"""),21727.0)</f>
        <v>21727</v>
      </c>
      <c r="C958" s="3" t="str">
        <f>IFERROR(__xludf.DUMMYFUNCTION("""COMPUTED_VALUE"""),"MBC เอสโซ่ตาลคู่ นครราชสีมา")</f>
        <v>MBC เอสโซ่ตาลคู่ นครราชสีมา</v>
      </c>
      <c r="D958" s="3" t="str">
        <f>IFERROR(__xludf.DUMMYFUNCTION("""COMPUTED_VALUE"""),"BCM ESSO TALKOO")</f>
        <v>BCM ESSO TALKOO</v>
      </c>
      <c r="E958" s="1" t="str">
        <f>IFERROR(__xludf.DUMMYFUNCTION("""COMPUTED_VALUE"""),"บิ๊กซี MINI")</f>
        <v>บิ๊กซี MINI</v>
      </c>
      <c r="F958" s="1" t="str">
        <f>IFERROR(__xludf.DUMMYFUNCTION("""COMPUTED_VALUE"""),"291105")</f>
        <v>291105</v>
      </c>
      <c r="G958" s="1" t="str">
        <f>IFERROR(__xludf.DUMMYFUNCTION("""COMPUTED_VALUE"""),"นายสราวุฒิ พณิชยกุล")</f>
        <v>นายสราวุฒิ พณิชยกุล</v>
      </c>
      <c r="H958" s="1" t="str">
        <f>IFERROR(__xludf.DUMMYFUNCTION("""COMPUTED_VALUE"""),"281315")</f>
        <v>281315</v>
      </c>
      <c r="I958" s="1" t="str">
        <f>IFERROR(__xludf.DUMMYFUNCTION("""COMPUTED_VALUE"""),"นายกิตติพงษ์ มั่นคง")</f>
        <v>นายกิตติพงษ์ มั่นคง</v>
      </c>
      <c r="J958" s="3">
        <f>IFERROR(__xludf.DUMMYFUNCTION("""COMPUTED_VALUE"""),15361.0)</f>
        <v>15361</v>
      </c>
      <c r="K958" s="3" t="str">
        <f>IFERROR(__xludf.DUMMYFUNCTION("""COMPUTED_VALUE"""),"นายสมบูรณ์ พรหมในเมือง")</f>
        <v>นายสมบูรณ์ พรหมในเมือง</v>
      </c>
      <c r="L958" s="1" t="str">
        <f>IFERROR(__xludf.DUMMYFUNCTION("""COMPUTED_VALUE"""),"04 K.Somboon P.")</f>
        <v>04 K.Somboon P.</v>
      </c>
      <c r="M958" s="1" t="str">
        <f>IFERROR(__xludf.DUMMYFUNCTION("""COMPUTED_VALUE"""),"087-965-3051")</f>
        <v>087-965-3051</v>
      </c>
      <c r="N958" s="3">
        <f>IFERROR(__xludf.DUMMYFUNCTION("""COMPUTED_VALUE"""),21869.0)</f>
        <v>21869</v>
      </c>
      <c r="O958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958" s="4">
        <f>IFERROR(__xludf.DUMMYFUNCTION("""COMPUTED_VALUE"""),43449.0)</f>
        <v>43449</v>
      </c>
      <c r="Q958" s="3" t="str">
        <f>IFERROR(__xludf.DUMMYFUNCTION("""COMPUTED_VALUE"""),"A")</f>
        <v>A</v>
      </c>
      <c r="R958" s="3" t="str">
        <f>IFERROR(__xludf.DUMMYFUNCTION("""COMPUTED_VALUE"""),"Small Format")</f>
        <v>Small Format</v>
      </c>
      <c r="S958" s="3" t="str">
        <f>IFERROR(__xludf.DUMMYFUNCTION("""COMPUTED_VALUE"""),"BCM")</f>
        <v>BCM</v>
      </c>
      <c r="T958" s="3" t="str">
        <f>IFERROR(__xludf.DUMMYFUNCTION("""COMPUTED_VALUE"""),"#N/A")</f>
        <v>#N/A</v>
      </c>
      <c r="U958" s="3" t="str">
        <f>IFERROR(__xludf.DUMMYFUNCTION("""COMPUTED_VALUE"""),"#N/A")</f>
        <v>#N/A</v>
      </c>
      <c r="V958" s="3" t="str">
        <f>IFERROR(__xludf.DUMMYFUNCTION("""COMPUTED_VALUE"""),"N")</f>
        <v>N</v>
      </c>
      <c r="W958" s="3">
        <f>IFERROR(__xludf.DUMMYFUNCTION("""COMPUTED_VALUE"""),211734.0)</f>
        <v>211734</v>
      </c>
      <c r="X958" s="3" t="str">
        <f>IFERROR(__xludf.DUMMYFUNCTION("""COMPUTED_VALUE"""),"195 หมู่1 ตำบลสุรนารี อำเภอเมืองนครราชสีมา จังหวัดนครราชสีมา 30000")</f>
        <v>195 หมู่1 ตำบลสุรนารี อำเภอเมืองนครราชสีมา จังหวัดนครราชสีมา 30000</v>
      </c>
      <c r="Y958" s="3"/>
      <c r="Z958" s="3" t="str">
        <f>IFERROR(__xludf.DUMMYFUNCTION("""COMPUTED_VALUE"""),"สุรนารี")</f>
        <v>สุรนารี</v>
      </c>
      <c r="AA958" s="3" t="str">
        <f>IFERROR(__xludf.DUMMYFUNCTION("""COMPUTED_VALUE"""),"เมือง")</f>
        <v>เมือง</v>
      </c>
      <c r="AB958" s="3" t="str">
        <f>IFERROR(__xludf.DUMMYFUNCTION("""COMPUTED_VALUE"""),"นครราชสีมา")</f>
        <v>นครราชสีมา</v>
      </c>
      <c r="AC958" s="3">
        <f>IFERROR(__xludf.DUMMYFUNCTION("""COMPUTED_VALUE"""),30000.0)</f>
        <v>30000</v>
      </c>
      <c r="AD958" s="3">
        <f>IFERROR(__xludf.DUMMYFUNCTION("""COMPUTED_VALUE"""),14.9475104)</f>
        <v>14.9475104</v>
      </c>
      <c r="AE958" s="3">
        <f>IFERROR(__xludf.DUMMYFUNCTION("""COMPUTED_VALUE"""),102.0154941)</f>
        <v>102.0154941</v>
      </c>
      <c r="AF958" s="3" t="str">
        <f>IFERROR(__xludf.DUMMYFUNCTION("""COMPUTED_VALUE"""),"MBC เอสโซ่ตาลคู่ นครราชสีมา-21727")</f>
        <v>MBC เอสโซ่ตาลคู่ นครราชสีมา-21727</v>
      </c>
      <c r="AG958" s="3" t="str">
        <f>IFERROR(__xludf.DUMMYFUNCTION("""COMPUTED_VALUE"""),"ตะวันออกเฉียงเหนือ")</f>
        <v>ตะวันออกเฉียงเหนือ</v>
      </c>
      <c r="AH958" s="3" t="str">
        <f>IFERROR(__xludf.DUMMYFUNCTION("""COMPUTED_VALUE"""),"#N/A")</f>
        <v>#N/A</v>
      </c>
      <c r="AI958" s="3" t="str">
        <f>IFERROR(__xludf.DUMMYFUNCTION("""COMPUTED_VALUE"""),"Out of warranty")</f>
        <v>Out of warranty</v>
      </c>
      <c r="AJ958" s="3">
        <f>IFERROR(__xludf.DUMMYFUNCTION("""COMPUTED_VALUE"""),86.0)</f>
        <v>86</v>
      </c>
      <c r="AK958" s="3" t="str">
        <f>IFERROR(__xludf.DUMMYFUNCTION("""COMPUTED_VALUE"""),"MMS11")</f>
        <v>MMS11</v>
      </c>
      <c r="AL958" s="3"/>
    </row>
    <row r="959" ht="15.75" customHeight="1">
      <c r="A959" s="1" t="str">
        <f>IFERROR(__xludf.DUMMYFUNCTION("""COMPUTED_VALUE"""),"21728")</f>
        <v>21728</v>
      </c>
      <c r="B959" s="2">
        <f>IFERROR(__xludf.DUMMYFUNCTION("""COMPUTED_VALUE"""),21728.0)</f>
        <v>21728</v>
      </c>
      <c r="C959" s="3" t="str">
        <f>IFERROR(__xludf.DUMMYFUNCTION("""COMPUTED_VALUE"""),"MBC เอสโซ่ เมืองนครสวรรค์ นครสวรรค์")</f>
        <v>MBC เอสโซ่ เมืองนครสวรรค์ นครสวรรค์</v>
      </c>
      <c r="D959" s="3" t="str">
        <f>IFERROR(__xludf.DUMMYFUNCTION("""COMPUTED_VALUE"""),"BCM ESSO MUEANG NAKHON SAWAN")</f>
        <v>BCM ESSO MUEANG NAKHON SAWAN</v>
      </c>
      <c r="E959" s="1" t="str">
        <f>IFERROR(__xludf.DUMMYFUNCTION("""COMPUTED_VALUE"""),"บิ๊กซี MINI")</f>
        <v>บิ๊กซี MINI</v>
      </c>
      <c r="F959" s="1" t="str">
        <f>IFERROR(__xludf.DUMMYFUNCTION("""COMPUTED_VALUE"""),"296229")</f>
        <v>296229</v>
      </c>
      <c r="G959" s="1" t="str">
        <f>IFERROR(__xludf.DUMMYFUNCTION("""COMPUTED_VALUE"""),"นายทนงศักดิ์ บุญมา")</f>
        <v>นายทนงศักดิ์ บุญมา</v>
      </c>
      <c r="H959" s="1" t="str">
        <f>IFERROR(__xludf.DUMMYFUNCTION("""COMPUTED_VALUE"""),"291082")</f>
        <v>291082</v>
      </c>
      <c r="I959" s="1" t="str">
        <f>IFERROR(__xludf.DUMMYFUNCTION("""COMPUTED_VALUE"""),"น.ส.วจี กันเกตุ")</f>
        <v>น.ส.วจี กันเกตุ</v>
      </c>
      <c r="J959" s="3">
        <f>IFERROR(__xludf.DUMMYFUNCTION("""COMPUTED_VALUE"""),46214.0)</f>
        <v>46214</v>
      </c>
      <c r="K959" s="3" t="str">
        <f>IFERROR(__xludf.DUMMYFUNCTION("""COMPUTED_VALUE"""),"นายศักดิ์ชัย เด็ดดอกฟ้า")</f>
        <v>นายศักดิ์ชัย เด็ดดอกฟ้า</v>
      </c>
      <c r="L959" s="1" t="str">
        <f>IFERROR(__xludf.DUMMYFUNCTION("""COMPUTED_VALUE"""),"02 K.Sakchai D")</f>
        <v>02 K.Sakchai D</v>
      </c>
      <c r="M959" s="1" t="str">
        <f>IFERROR(__xludf.DUMMYFUNCTION("""COMPUTED_VALUE"""),"065-510-7376")</f>
        <v>065-510-7376</v>
      </c>
      <c r="N959" s="3">
        <f>IFERROR(__xludf.DUMMYFUNCTION("""COMPUTED_VALUE"""),21441.0)</f>
        <v>21441</v>
      </c>
      <c r="O959" s="3" t="str">
        <f>IFERROR(__xludf.DUMMYFUNCTION("""COMPUTED_VALUE"""),"MBC บ้านกร่าง พิษณุโลก")</f>
        <v>MBC บ้านกร่าง พิษณุโลก</v>
      </c>
      <c r="P959" s="4">
        <f>IFERROR(__xludf.DUMMYFUNCTION("""COMPUTED_VALUE"""),43449.0)</f>
        <v>43449</v>
      </c>
      <c r="Q959" s="3" t="str">
        <f>IFERROR(__xludf.DUMMYFUNCTION("""COMPUTED_VALUE"""),"I")</f>
        <v>I</v>
      </c>
      <c r="R959" s="3" t="str">
        <f>IFERROR(__xludf.DUMMYFUNCTION("""COMPUTED_VALUE"""),"Small Format")</f>
        <v>Small Format</v>
      </c>
      <c r="S959" s="3" t="str">
        <f>IFERROR(__xludf.DUMMYFUNCTION("""COMPUTED_VALUE"""),"BCM")</f>
        <v>BCM</v>
      </c>
      <c r="T959" s="3" t="str">
        <f>IFERROR(__xludf.DUMMYFUNCTION("""COMPUTED_VALUE"""),"#N/A")</f>
        <v>#N/A</v>
      </c>
      <c r="U959" s="3" t="str">
        <f>IFERROR(__xludf.DUMMYFUNCTION("""COMPUTED_VALUE"""),"#N/A")</f>
        <v>#N/A</v>
      </c>
      <c r="V959" s="3" t="str">
        <f>IFERROR(__xludf.DUMMYFUNCTION("""COMPUTED_VALUE"""),"N")</f>
        <v>N</v>
      </c>
      <c r="W959" s="3">
        <f>IFERROR(__xludf.DUMMYFUNCTION("""COMPUTED_VALUE"""),211718.0)</f>
        <v>211718</v>
      </c>
      <c r="X959" s="3" t="str">
        <f>IFERROR(__xludf.DUMMYFUNCTION("""COMPUTED_VALUE"""),"105/52 หมู่10 ตำบลวัดไทร อำเภอเมืองนครสวรรค์ จังหวัดนครสวรรค์ 60000")</f>
        <v>105/52 หมู่10 ตำบลวัดไทร อำเภอเมืองนครสวรรค์ จังหวัดนครสวรรค์ 60000</v>
      </c>
      <c r="Y959" s="3"/>
      <c r="Z959" s="3" t="str">
        <f>IFERROR(__xludf.DUMMYFUNCTION("""COMPUTED_VALUE"""),"วัดไทร")</f>
        <v>วัดไทร</v>
      </c>
      <c r="AA959" s="3" t="str">
        <f>IFERROR(__xludf.DUMMYFUNCTION("""COMPUTED_VALUE"""),"เมือง")</f>
        <v>เมือง</v>
      </c>
      <c r="AB959" s="3" t="str">
        <f>IFERROR(__xludf.DUMMYFUNCTION("""COMPUTED_VALUE"""),"นครสวรรค์")</f>
        <v>นครสวรรค์</v>
      </c>
      <c r="AC959" s="3">
        <f>IFERROR(__xludf.DUMMYFUNCTION("""COMPUTED_VALUE"""),60000.0)</f>
        <v>60000</v>
      </c>
      <c r="AD959" s="3">
        <f>IFERROR(__xludf.DUMMYFUNCTION("""COMPUTED_VALUE"""),15.7196134)</f>
        <v>15.7196134</v>
      </c>
      <c r="AE959" s="3">
        <f>IFERROR(__xludf.DUMMYFUNCTION("""COMPUTED_VALUE"""),100.117227)</f>
        <v>100.117227</v>
      </c>
      <c r="AF959" s="3" t="str">
        <f>IFERROR(__xludf.DUMMYFUNCTION("""COMPUTED_VALUE"""),"MBC เอสโซ่ เมืองนครสวรรค์ นครสวรรค์-21728")</f>
        <v>MBC เอสโซ่ เมืองนครสวรรค์ นครสวรรค์-21728</v>
      </c>
      <c r="AG959" s="3" t="str">
        <f>IFERROR(__xludf.DUMMYFUNCTION("""COMPUTED_VALUE"""),"กลาง")</f>
        <v>กลาง</v>
      </c>
      <c r="AH959" s="3" t="str">
        <f>IFERROR(__xludf.DUMMYFUNCTION("""COMPUTED_VALUE"""),"#N/A")</f>
        <v>#N/A</v>
      </c>
      <c r="AI959" s="3" t="str">
        <f>IFERROR(__xludf.DUMMYFUNCTION("""COMPUTED_VALUE"""),"Out of warranty")</f>
        <v>Out of warranty</v>
      </c>
      <c r="AJ959" s="3">
        <f>IFERROR(__xludf.DUMMYFUNCTION("""COMPUTED_VALUE"""),86.0)</f>
        <v>86</v>
      </c>
      <c r="AK959" s="3"/>
      <c r="AL959" s="3"/>
    </row>
    <row r="960" ht="15.75" customHeight="1">
      <c r="A960" s="1" t="str">
        <f>IFERROR(__xludf.DUMMYFUNCTION("""COMPUTED_VALUE"""),"21729")</f>
        <v>21729</v>
      </c>
      <c r="B960" s="2">
        <f>IFERROR(__xludf.DUMMYFUNCTION("""COMPUTED_VALUE"""),21729.0)</f>
        <v>21729</v>
      </c>
      <c r="C960" s="3" t="str">
        <f>IFERROR(__xludf.DUMMYFUNCTION("""COMPUTED_VALUE"""),"MBC เอสโซ่ นิคมอุตสาหกรรม ลาพูน")</f>
        <v>MBC เอสโซ่ นิคมอุตสาหกรรม ลาพูน</v>
      </c>
      <c r="D960" s="3" t="str">
        <f>IFERROR(__xludf.DUMMYFUNCTION("""COMPUTED_VALUE"""),"BCM ESSO INDUSTRIAL ESTATE")</f>
        <v>BCM ESSO INDUSTRIAL ESTATE</v>
      </c>
      <c r="E960" s="1" t="str">
        <f>IFERROR(__xludf.DUMMYFUNCTION("""COMPUTED_VALUE"""),"บิ๊กซี MINI")</f>
        <v>บิ๊กซี MINI</v>
      </c>
      <c r="F960" s="1" t="str">
        <f>IFERROR(__xludf.DUMMYFUNCTION("""COMPUTED_VALUE"""),"296229")</f>
        <v>296229</v>
      </c>
      <c r="G960" s="1" t="str">
        <f>IFERROR(__xludf.DUMMYFUNCTION("""COMPUTED_VALUE"""),"นายทนงศักดิ์ บุญมา")</f>
        <v>นายทนงศักดิ์ บุญมา</v>
      </c>
      <c r="H960" s="1" t="str">
        <f>IFERROR(__xludf.DUMMYFUNCTION("""COMPUTED_VALUE"""),"392003")</f>
        <v>392003</v>
      </c>
      <c r="I960" s="1" t="str">
        <f>IFERROR(__xludf.DUMMYFUNCTION("""COMPUTED_VALUE"""),"นายวรภพ เศษสูงเนิน")</f>
        <v>นายวรภพ เศษสูงเนิน</v>
      </c>
      <c r="J960" s="3">
        <f>IFERROR(__xludf.DUMMYFUNCTION("""COMPUTED_VALUE"""),2010016.0)</f>
        <v>2010016</v>
      </c>
      <c r="K960" s="3" t="str">
        <f>IFERROR(__xludf.DUMMYFUNCTION("""COMPUTED_VALUE"""),"นายตวงธรรม ใหม่ยศ")</f>
        <v>นายตวงธรรม ใหม่ยศ</v>
      </c>
      <c r="L960" s="1" t="str">
        <f>IFERROR(__xludf.DUMMYFUNCTION("""COMPUTED_VALUE"""),"01 K.Tuangtham M.")</f>
        <v>01 K.Tuangtham M.</v>
      </c>
      <c r="M960" s="1" t="str">
        <f>IFERROR(__xludf.DUMMYFUNCTION("""COMPUTED_VALUE"""),"063-976-595")</f>
        <v>063-976-595</v>
      </c>
      <c r="N960" s="3">
        <f>IFERROR(__xludf.DUMMYFUNCTION("""COMPUTED_VALUE"""),22574.0)</f>
        <v>22574</v>
      </c>
      <c r="O960" s="3" t="str">
        <f>IFERROR(__xludf.DUMMYFUNCTION("""COMPUTED_VALUE"""),"BCM ชุมชนศรีชุม ลำปาง")</f>
        <v>BCM ชุมชนศรีชุม ลำปาง</v>
      </c>
      <c r="P960" s="4">
        <f>IFERROR(__xludf.DUMMYFUNCTION("""COMPUTED_VALUE"""),43452.0)</f>
        <v>43452</v>
      </c>
      <c r="Q960" s="3" t="str">
        <f>IFERROR(__xludf.DUMMYFUNCTION("""COMPUTED_VALUE"""),"A")</f>
        <v>A</v>
      </c>
      <c r="R960" s="3" t="str">
        <f>IFERROR(__xludf.DUMMYFUNCTION("""COMPUTED_VALUE"""),"Small Format")</f>
        <v>Small Format</v>
      </c>
      <c r="S960" s="3" t="str">
        <f>IFERROR(__xludf.DUMMYFUNCTION("""COMPUTED_VALUE"""),"BCM")</f>
        <v>BCM</v>
      </c>
      <c r="T960" s="3" t="str">
        <f>IFERROR(__xludf.DUMMYFUNCTION("""COMPUTED_VALUE"""),"#N/A")</f>
        <v>#N/A</v>
      </c>
      <c r="U960" s="3" t="str">
        <f>IFERROR(__xludf.DUMMYFUNCTION("""COMPUTED_VALUE"""),"#N/A")</f>
        <v>#N/A</v>
      </c>
      <c r="V960" s="3" t="str">
        <f>IFERROR(__xludf.DUMMYFUNCTION("""COMPUTED_VALUE"""),"N")</f>
        <v>N</v>
      </c>
      <c r="W960" s="3">
        <f>IFERROR(__xludf.DUMMYFUNCTION("""COMPUTED_VALUE"""),211721.0)</f>
        <v>211721</v>
      </c>
      <c r="X960" s="3" t="str">
        <f>IFERROR(__xludf.DUMMYFUNCTION("""COMPUTED_VALUE"""),"101 หมู่6 ตำบลบ้านกลาง อำเภอเมืองลำพูน จังหวัดลำพูน 51000")</f>
        <v>101 หมู่6 ตำบลบ้านกลาง อำเภอเมืองลำพูน จังหวัดลำพูน 51000</v>
      </c>
      <c r="Y960" s="3"/>
      <c r="Z960" s="3" t="str">
        <f>IFERROR(__xludf.DUMMYFUNCTION("""COMPUTED_VALUE"""),"บ้านกลาง")</f>
        <v>บ้านกลาง</v>
      </c>
      <c r="AA960" s="3" t="str">
        <f>IFERROR(__xludf.DUMMYFUNCTION("""COMPUTED_VALUE"""),"เมือง")</f>
        <v>เมือง</v>
      </c>
      <c r="AB960" s="3" t="str">
        <f>IFERROR(__xludf.DUMMYFUNCTION("""COMPUTED_VALUE"""),"ลำพูน")</f>
        <v>ลำพูน</v>
      </c>
      <c r="AC960" s="3">
        <f>IFERROR(__xludf.DUMMYFUNCTION("""COMPUTED_VALUE"""),51000.0)</f>
        <v>51000</v>
      </c>
      <c r="AD960" s="3">
        <f>IFERROR(__xludf.DUMMYFUNCTION("""COMPUTED_VALUE"""),18.5841002)</f>
        <v>18.5841002</v>
      </c>
      <c r="AE960" s="3">
        <f>IFERROR(__xludf.DUMMYFUNCTION("""COMPUTED_VALUE"""),99.0424675)</f>
        <v>99.0424675</v>
      </c>
      <c r="AF960" s="3" t="str">
        <f>IFERROR(__xludf.DUMMYFUNCTION("""COMPUTED_VALUE"""),"MBC เอสโซ่ นิคมอุตสาหกรรม ลาพูน-21729")</f>
        <v>MBC เอสโซ่ นิคมอุตสาหกรรม ลาพูน-21729</v>
      </c>
      <c r="AG960" s="3" t="str">
        <f>IFERROR(__xludf.DUMMYFUNCTION("""COMPUTED_VALUE"""),"เหนือ")</f>
        <v>เหนือ</v>
      </c>
      <c r="AH960" s="3" t="str">
        <f>IFERROR(__xludf.DUMMYFUNCTION("""COMPUTED_VALUE"""),"#N/A")</f>
        <v>#N/A</v>
      </c>
      <c r="AI960" s="3" t="str">
        <f>IFERROR(__xludf.DUMMYFUNCTION("""COMPUTED_VALUE"""),"Out of warranty")</f>
        <v>Out of warranty</v>
      </c>
      <c r="AJ960" s="3">
        <f>IFERROR(__xludf.DUMMYFUNCTION("""COMPUTED_VALUE"""),86.0)</f>
        <v>86</v>
      </c>
      <c r="AK960" s="3" t="str">
        <f>IFERROR(__xludf.DUMMYFUNCTION("""COMPUTED_VALUE"""),"MMS10")</f>
        <v>MMS10</v>
      </c>
      <c r="AL960" s="3"/>
    </row>
    <row r="961" ht="15.75" customHeight="1">
      <c r="A961" s="1" t="str">
        <f>IFERROR(__xludf.DUMMYFUNCTION("""COMPUTED_VALUE"""),"21730")</f>
        <v>21730</v>
      </c>
      <c r="B961" s="2">
        <f>IFERROR(__xludf.DUMMYFUNCTION("""COMPUTED_VALUE"""),21730.0)</f>
        <v>21730</v>
      </c>
      <c r="C961" s="3" t="str">
        <f>IFERROR(__xludf.DUMMYFUNCTION("""COMPUTED_VALUE"""),"MBC คาลเท็กซ์ สินสาคร สมุทรสาคร")</f>
        <v>MBC คาลเท็กซ์ สินสาคร สมุทรสาคร</v>
      </c>
      <c r="D961" s="3" t="str">
        <f>IFERROR(__xludf.DUMMYFUNCTION("""COMPUTED_VALUE"""),"BCM CALTEX SINSAKORN")</f>
        <v>BCM CALTEX SINSAKORN</v>
      </c>
      <c r="E961" s="1" t="str">
        <f>IFERROR(__xludf.DUMMYFUNCTION("""COMPUTED_VALUE"""),"บิ๊กซี MINI")</f>
        <v>บิ๊กซี MINI</v>
      </c>
      <c r="F961" s="1" t="str">
        <f>IFERROR(__xludf.DUMMYFUNCTION("""COMPUTED_VALUE"""),"2083447")</f>
        <v>2083447</v>
      </c>
      <c r="G961" s="1" t="str">
        <f>IFERROR(__xludf.DUMMYFUNCTION("""COMPUTED_VALUE"""),"นายอนุกูล ศรีลัดดา")</f>
        <v>นายอนุกูล ศรีลัดดา</v>
      </c>
      <c r="H961" s="1" t="str">
        <f>IFERROR(__xludf.DUMMYFUNCTION("""COMPUTED_VALUE"""),"2455053")</f>
        <v>2455053</v>
      </c>
      <c r="I961" s="1" t="str">
        <f>IFERROR(__xludf.DUMMYFUNCTION("""COMPUTED_VALUE"""),"นายพันธมิตร โพธิ")</f>
        <v>นายพันธมิตร โพธิ</v>
      </c>
      <c r="J961" s="3">
        <f>IFERROR(__xludf.DUMMYFUNCTION("""COMPUTED_VALUE"""),2451655.0)</f>
        <v>2451655</v>
      </c>
      <c r="K961" s="3" t="str">
        <f>IFERROR(__xludf.DUMMYFUNCTION("""COMPUTED_VALUE"""),"นายวิษณุพงษ์ ชินบุตร")</f>
        <v>นายวิษณุพงษ์ ชินบุตร</v>
      </c>
      <c r="L961" s="1" t="str">
        <f>IFERROR(__xludf.DUMMYFUNCTION("""COMPUTED_VALUE"""),"13 K.Wisanupong Ch")</f>
        <v>13 K.Wisanupong Ch</v>
      </c>
      <c r="M961" s="1" t="str">
        <f>IFERROR(__xludf.DUMMYFUNCTION("""COMPUTED_VALUE"""),"0843374693")</f>
        <v>0843374693</v>
      </c>
      <c r="N961" s="3">
        <f>IFERROR(__xludf.DUMMYFUNCTION("""COMPUTED_VALUE"""),22729.0)</f>
        <v>22729</v>
      </c>
      <c r="O961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961" s="4">
        <f>IFERROR(__xludf.DUMMYFUNCTION("""COMPUTED_VALUE"""),43445.0)</f>
        <v>43445</v>
      </c>
      <c r="Q961" s="3" t="str">
        <f>IFERROR(__xludf.DUMMYFUNCTION("""COMPUTED_VALUE"""),"A")</f>
        <v>A</v>
      </c>
      <c r="R961" s="3" t="str">
        <f>IFERROR(__xludf.DUMMYFUNCTION("""COMPUTED_VALUE"""),"Small Format")</f>
        <v>Small Format</v>
      </c>
      <c r="S961" s="3" t="str">
        <f>IFERROR(__xludf.DUMMYFUNCTION("""COMPUTED_VALUE"""),"BCM")</f>
        <v>BCM</v>
      </c>
      <c r="T961" s="3" t="str">
        <f>IFERROR(__xludf.DUMMYFUNCTION("""COMPUTED_VALUE"""),"#N/A")</f>
        <v>#N/A</v>
      </c>
      <c r="U961" s="3" t="str">
        <f>IFERROR(__xludf.DUMMYFUNCTION("""COMPUTED_VALUE"""),"#N/A")</f>
        <v>#N/A</v>
      </c>
      <c r="V961" s="3" t="str">
        <f>IFERROR(__xludf.DUMMYFUNCTION("""COMPUTED_VALUE"""),"N")</f>
        <v>N</v>
      </c>
      <c r="W961" s="3">
        <f>IFERROR(__xludf.DUMMYFUNCTION("""COMPUTED_VALUE"""),211699.0)</f>
        <v>211699</v>
      </c>
      <c r="X961" s="3" t="str">
        <f>IFERROR(__xludf.DUMMYFUNCTION("""COMPUTED_VALUE"""),"30/99 หมู่2 ตำบลโคกขาม อำเภอเมืองสมุทรสาคร จังหวัดสมุทรสาคร 74000")</f>
        <v>30/99 หมู่2 ตำบลโคกขาม อำเภอเมืองสมุทรสาคร จังหวัดสมุทรสาคร 74000</v>
      </c>
      <c r="Y961" s="3"/>
      <c r="Z961" s="3" t="str">
        <f>IFERROR(__xludf.DUMMYFUNCTION("""COMPUTED_VALUE"""),"โคกขาม")</f>
        <v>โคกขาม</v>
      </c>
      <c r="AA961" s="3" t="str">
        <f>IFERROR(__xludf.DUMMYFUNCTION("""COMPUTED_VALUE"""),"เมือง")</f>
        <v>เมือง</v>
      </c>
      <c r="AB961" s="3" t="str">
        <f>IFERROR(__xludf.DUMMYFUNCTION("""COMPUTED_VALUE"""),"สมุทรสาคร")</f>
        <v>สมุทรสาคร</v>
      </c>
      <c r="AC961" s="3">
        <f>IFERROR(__xludf.DUMMYFUNCTION("""COMPUTED_VALUE"""),74000.0)</f>
        <v>74000</v>
      </c>
      <c r="AD961" s="3">
        <f>IFERROR(__xludf.DUMMYFUNCTION("""COMPUTED_VALUE"""),13.5678067)</f>
        <v>13.5678067</v>
      </c>
      <c r="AE961" s="3">
        <f>IFERROR(__xludf.DUMMYFUNCTION("""COMPUTED_VALUE"""),100.3403932)</f>
        <v>100.3403932</v>
      </c>
      <c r="AF961" s="3" t="str">
        <f>IFERROR(__xludf.DUMMYFUNCTION("""COMPUTED_VALUE"""),"MBC คาลเท็กซ์ สินสาคร สมุทรสาคร-21730")</f>
        <v>MBC คาลเท็กซ์ สินสาคร สมุทรสาคร-21730</v>
      </c>
      <c r="AG961" s="3" t="str">
        <f>IFERROR(__xludf.DUMMYFUNCTION("""COMPUTED_VALUE"""),"กลาง")</f>
        <v>กลาง</v>
      </c>
      <c r="AH961" s="3" t="str">
        <f>IFERROR(__xludf.DUMMYFUNCTION("""COMPUTED_VALUE"""),"#N/A")</f>
        <v>#N/A</v>
      </c>
      <c r="AI961" s="3" t="str">
        <f>IFERROR(__xludf.DUMMYFUNCTION("""COMPUTED_VALUE"""),"Out of warranty")</f>
        <v>Out of warranty</v>
      </c>
      <c r="AJ961" s="3">
        <f>IFERROR(__xludf.DUMMYFUNCTION("""COMPUTED_VALUE"""),86.0)</f>
        <v>86</v>
      </c>
      <c r="AK961" s="3" t="str">
        <f>IFERROR(__xludf.DUMMYFUNCTION("""COMPUTED_VALUE"""),"MMS05")</f>
        <v>MMS05</v>
      </c>
      <c r="AL961" s="3"/>
    </row>
    <row r="962" ht="15.75" customHeight="1">
      <c r="A962" s="1" t="str">
        <f>IFERROR(__xludf.DUMMYFUNCTION("""COMPUTED_VALUE"""),"21731")</f>
        <v>21731</v>
      </c>
      <c r="B962" s="2">
        <f>IFERROR(__xludf.DUMMYFUNCTION("""COMPUTED_VALUE"""),21731.0)</f>
        <v>21731</v>
      </c>
      <c r="C962" s="3" t="str">
        <f>IFERROR(__xludf.DUMMYFUNCTION("""COMPUTED_VALUE"""),"MBC ซอยหินหัวใจ (สมุย) สุราษฎร์ธานี")</f>
        <v>MBC ซอยหินหัวใจ (สมุย) สุราษฎร์ธานี</v>
      </c>
      <c r="D962" s="3" t="str">
        <f>IFERROR(__xludf.DUMMYFUNCTION("""COMPUTED_VALUE"""),"BCM SOI HINHUAJAI (SAMUI)")</f>
        <v>BCM SOI HINHUAJAI (SAMUI)</v>
      </c>
      <c r="E962" s="1" t="str">
        <f>IFERROR(__xludf.DUMMYFUNCTION("""COMPUTED_VALUE"""),"บิ๊กซี MINI")</f>
        <v>บิ๊กซี MINI</v>
      </c>
      <c r="F962" s="1" t="str">
        <f>IFERROR(__xludf.DUMMYFUNCTION("""COMPUTED_VALUE"""),"250760")</f>
        <v>250760</v>
      </c>
      <c r="G962" s="1" t="str">
        <f>IFERROR(__xludf.DUMMYFUNCTION("""COMPUTED_VALUE"""),"นายประทวน สาราบรรณ์")</f>
        <v>นายประทวน สาราบรรณ์</v>
      </c>
      <c r="H962" s="1" t="str">
        <f>IFERROR(__xludf.DUMMYFUNCTION("""COMPUTED_VALUE"""),"356760")</f>
        <v>356760</v>
      </c>
      <c r="I962" s="1" t="str">
        <f>IFERROR(__xludf.DUMMYFUNCTION("""COMPUTED_VALUE"""),"นายภูมิภัทร แก้วพรรณราย")</f>
        <v>นายภูมิภัทร แก้วพรรณราย</v>
      </c>
      <c r="J962" s="3">
        <f>IFERROR(__xludf.DUMMYFUNCTION("""COMPUTED_VALUE"""),25324.0)</f>
        <v>25324</v>
      </c>
      <c r="K962" s="3" t="str">
        <f>IFERROR(__xludf.DUMMYFUNCTION("""COMPUTED_VALUE"""),"นายวิเชฎฐ์ ติรัตนะประคม")</f>
        <v>นายวิเชฎฐ์ ติรัตนะประคม</v>
      </c>
      <c r="L962" s="1" t="str">
        <f>IFERROR(__xludf.DUMMYFUNCTION("""COMPUTED_VALUE"""),"14 K.Wichet T.")</f>
        <v>14 K.Wichet T.</v>
      </c>
      <c r="M962" s="1" t="str">
        <f>IFERROR(__xludf.DUMMYFUNCTION("""COMPUTED_VALUE"""),"061-417-6569 / 086-445-5636")</f>
        <v>061-417-6569 / 086-445-5636</v>
      </c>
      <c r="N962" s="3">
        <f>IFERROR(__xludf.DUMMYFUNCTION("""COMPUTED_VALUE"""),22658.0)</f>
        <v>22658</v>
      </c>
      <c r="O962" s="3" t="str">
        <f>IFERROR(__xludf.DUMMYFUNCTION("""COMPUTED_VALUE"""),"BCM ถ.วิรัชหงษ์หยก ภูเก็ต")</f>
        <v>BCM ถ.วิรัชหงษ์หยก ภูเก็ต</v>
      </c>
      <c r="P962" s="4">
        <f>IFERROR(__xludf.DUMMYFUNCTION("""COMPUTED_VALUE"""),43456.0)</f>
        <v>43456</v>
      </c>
      <c r="Q962" s="3" t="str">
        <f>IFERROR(__xludf.DUMMYFUNCTION("""COMPUTED_VALUE"""),"A")</f>
        <v>A</v>
      </c>
      <c r="R962" s="3" t="str">
        <f>IFERROR(__xludf.DUMMYFUNCTION("""COMPUTED_VALUE"""),"Small Format")</f>
        <v>Small Format</v>
      </c>
      <c r="S962" s="3" t="str">
        <f>IFERROR(__xludf.DUMMYFUNCTION("""COMPUTED_VALUE"""),"BCM")</f>
        <v>BCM</v>
      </c>
      <c r="T962" s="3" t="str">
        <f>IFERROR(__xludf.DUMMYFUNCTION("""COMPUTED_VALUE"""),"#N/A")</f>
        <v>#N/A</v>
      </c>
      <c r="U962" s="3" t="str">
        <f>IFERROR(__xludf.DUMMYFUNCTION("""COMPUTED_VALUE"""),"#N/A")</f>
        <v>#N/A</v>
      </c>
      <c r="V962" s="3" t="str">
        <f>IFERROR(__xludf.DUMMYFUNCTION("""COMPUTED_VALUE"""),"N")</f>
        <v>N</v>
      </c>
      <c r="W962" s="3">
        <f>IFERROR(__xludf.DUMMYFUNCTION("""COMPUTED_VALUE"""),211725.0)</f>
        <v>211725</v>
      </c>
      <c r="X962" s="3" t="str">
        <f>IFERROR(__xludf.DUMMYFUNCTION("""COMPUTED_VALUE"""),"127/4, 127/304-305 หมู่3 ตำบลมะเร็ต อำเภอเกาะสมุย จังหวัดสุราษฎร์ธานี 84310")</f>
        <v>127/4, 127/304-305 หมู่3 ตำบลมะเร็ต อำเภอเกาะสมุย จังหวัดสุราษฎร์ธานี 84310</v>
      </c>
      <c r="Y962" s="3"/>
      <c r="Z962" s="3" t="str">
        <f>IFERROR(__xludf.DUMMYFUNCTION("""COMPUTED_VALUE"""),"หมู่3")</f>
        <v>หมู่3</v>
      </c>
      <c r="AA962" s="3" t="str">
        <f>IFERROR(__xludf.DUMMYFUNCTION("""COMPUTED_VALUE"""),"เกาะสมุย")</f>
        <v>เกาะสมุย</v>
      </c>
      <c r="AB962" s="3" t="str">
        <f>IFERROR(__xludf.DUMMYFUNCTION("""COMPUTED_VALUE"""),"สุราษฎร์ธานี")</f>
        <v>สุราษฎร์ธานี</v>
      </c>
      <c r="AC962" s="3">
        <f>IFERROR(__xludf.DUMMYFUNCTION("""COMPUTED_VALUE"""),84310.0)</f>
        <v>84310</v>
      </c>
      <c r="AD962" s="3">
        <f>IFERROR(__xludf.DUMMYFUNCTION("""COMPUTED_VALUE"""),9.4569039)</f>
        <v>9.4569039</v>
      </c>
      <c r="AE962" s="3">
        <f>IFERROR(__xludf.DUMMYFUNCTION("""COMPUTED_VALUE"""),100.0384945)</f>
        <v>100.0384945</v>
      </c>
      <c r="AF962" s="3" t="str">
        <f>IFERROR(__xludf.DUMMYFUNCTION("""COMPUTED_VALUE"""),"MBC ซอยหินหัวใจ (สมุย) สุราษฎร์ธานี-21731")</f>
        <v>MBC ซอยหินหัวใจ (สมุย) สุราษฎร์ธานี-21731</v>
      </c>
      <c r="AG962" s="3" t="str">
        <f>IFERROR(__xludf.DUMMYFUNCTION("""COMPUTED_VALUE"""),"ใต้")</f>
        <v>ใต้</v>
      </c>
      <c r="AH962" s="3" t="str">
        <f>IFERROR(__xludf.DUMMYFUNCTION("""COMPUTED_VALUE"""),"#N/A")</f>
        <v>#N/A</v>
      </c>
      <c r="AI962" s="3" t="str">
        <f>IFERROR(__xludf.DUMMYFUNCTION("""COMPUTED_VALUE"""),"Out of warranty")</f>
        <v>Out of warranty</v>
      </c>
      <c r="AJ962" s="3">
        <f>IFERROR(__xludf.DUMMYFUNCTION("""COMPUTED_VALUE"""),85.0)</f>
        <v>85</v>
      </c>
      <c r="AK962" s="3" t="str">
        <f>IFERROR(__xludf.DUMMYFUNCTION("""COMPUTED_VALUE"""),"MMS14")</f>
        <v>MMS14</v>
      </c>
      <c r="AL962" s="3"/>
    </row>
    <row r="963" ht="15.75" customHeight="1">
      <c r="A963" s="1" t="str">
        <f>IFERROR(__xludf.DUMMYFUNCTION("""COMPUTED_VALUE"""),"21732")</f>
        <v>21732</v>
      </c>
      <c r="B963" s="2">
        <f>IFERROR(__xludf.DUMMYFUNCTION("""COMPUTED_VALUE"""),21732.0)</f>
        <v>21732</v>
      </c>
      <c r="C963" s="3" t="str">
        <f>IFERROR(__xludf.DUMMYFUNCTION("""COMPUTED_VALUE"""),"MBC เจริญสิน บ่อวิน ชลบุรี")</f>
        <v>MBC เจริญสิน บ่อวิน ชลบุรี</v>
      </c>
      <c r="D963" s="3" t="str">
        <f>IFERROR(__xludf.DUMMYFUNCTION("""COMPUTED_VALUE"""),"BCM CHAROENSIN BOWIN,CHONBURI")</f>
        <v>BCM CHAROENSIN BOWIN,CHONBURI</v>
      </c>
      <c r="E963" s="1" t="str">
        <f>IFERROR(__xludf.DUMMYFUNCTION("""COMPUTED_VALUE"""),"บิ๊กซี MINI")</f>
        <v>บิ๊กซี MINI</v>
      </c>
      <c r="F963" s="1" t="str">
        <f>IFERROR(__xludf.DUMMYFUNCTION("""COMPUTED_VALUE"""),"221716")</f>
        <v>221716</v>
      </c>
      <c r="G963" s="1" t="str">
        <f>IFERROR(__xludf.DUMMYFUNCTION("""COMPUTED_VALUE"""),"น.ส.เบญจพร โพธิสาร")</f>
        <v>น.ส.เบญจพร โพธิสาร</v>
      </c>
      <c r="H963" s="1" t="str">
        <f>IFERROR(__xludf.DUMMYFUNCTION("""COMPUTED_VALUE"""),"376139")</f>
        <v>376139</v>
      </c>
      <c r="I963" s="1" t="str">
        <f>IFERROR(__xludf.DUMMYFUNCTION("""COMPUTED_VALUE"""),"นายอนุชา อำไพ")</f>
        <v>นายอนุชา อำไพ</v>
      </c>
      <c r="J963" s="3">
        <f>IFERROR(__xludf.DUMMYFUNCTION("""COMPUTED_VALUE"""),296942.0)</f>
        <v>296942</v>
      </c>
      <c r="K963" s="3" t="str">
        <f>IFERROR(__xludf.DUMMYFUNCTION("""COMPUTED_VALUE"""),"นายปิยะ รักษากิจ")</f>
        <v>นายปิยะ รักษากิจ</v>
      </c>
      <c r="L963" s="1" t="str">
        <f>IFERROR(__xludf.DUMMYFUNCTION("""COMPUTED_VALUE"""),"07 K.Piya R.")</f>
        <v>07 K.Piya R.</v>
      </c>
      <c r="M963" s="1" t="str">
        <f>IFERROR(__xludf.DUMMYFUNCTION("""COMPUTED_VALUE"""),"097-919-5476")</f>
        <v>097-919-5476</v>
      </c>
      <c r="N963" s="3">
        <f>IFERROR(__xludf.DUMMYFUNCTION("""COMPUTED_VALUE"""),21332.0)</f>
        <v>21332</v>
      </c>
      <c r="O963" s="3" t="str">
        <f>IFERROR(__xludf.DUMMYFUNCTION("""COMPUTED_VALUE"""),"MBC BCP อ่อนนุช 17/1")</f>
        <v>MBC BCP อ่อนนุช 17/1</v>
      </c>
      <c r="P963" s="4">
        <f>IFERROR(__xludf.DUMMYFUNCTION("""COMPUTED_VALUE"""),43453.0)</f>
        <v>43453</v>
      </c>
      <c r="Q963" s="3" t="str">
        <f>IFERROR(__xludf.DUMMYFUNCTION("""COMPUTED_VALUE"""),"A")</f>
        <v>A</v>
      </c>
      <c r="R963" s="3" t="str">
        <f>IFERROR(__xludf.DUMMYFUNCTION("""COMPUTED_VALUE"""),"Small Format")</f>
        <v>Small Format</v>
      </c>
      <c r="S963" s="3" t="str">
        <f>IFERROR(__xludf.DUMMYFUNCTION("""COMPUTED_VALUE"""),"BCM")</f>
        <v>BCM</v>
      </c>
      <c r="T963" s="3" t="str">
        <f>IFERROR(__xludf.DUMMYFUNCTION("""COMPUTED_VALUE"""),"#N/A")</f>
        <v>#N/A</v>
      </c>
      <c r="U963" s="3" t="str">
        <f>IFERROR(__xludf.DUMMYFUNCTION("""COMPUTED_VALUE"""),"#N/A")</f>
        <v>#N/A</v>
      </c>
      <c r="V963" s="3" t="str">
        <f>IFERROR(__xludf.DUMMYFUNCTION("""COMPUTED_VALUE"""),"N")</f>
        <v>N</v>
      </c>
      <c r="W963" s="3">
        <f>IFERROR(__xludf.DUMMYFUNCTION("""COMPUTED_VALUE"""),211702.0)</f>
        <v>211702</v>
      </c>
      <c r="X963" s="3" t="str">
        <f>IFERROR(__xludf.DUMMYFUNCTION("""COMPUTED_VALUE"""),"333/157-158 หมู่3 ตำบลบ่อวิน อำเภอศรีราชา จังหวัดชลบุรี 20230")</f>
        <v>333/157-158 หมู่3 ตำบลบ่อวิน อำเภอศรีราชา จังหวัดชลบุรี 20230</v>
      </c>
      <c r="Y963" s="3"/>
      <c r="Z963" s="3" t="str">
        <f>IFERROR(__xludf.DUMMYFUNCTION("""COMPUTED_VALUE"""),"บ่อวิน")</f>
        <v>บ่อวิน</v>
      </c>
      <c r="AA963" s="3" t="str">
        <f>IFERROR(__xludf.DUMMYFUNCTION("""COMPUTED_VALUE"""),"ศรีราชา")</f>
        <v>ศรีราชา</v>
      </c>
      <c r="AB963" s="3" t="str">
        <f>IFERROR(__xludf.DUMMYFUNCTION("""COMPUTED_VALUE"""),"ชลบุรี")</f>
        <v>ชลบุรี</v>
      </c>
      <c r="AC963" s="3">
        <f>IFERROR(__xludf.DUMMYFUNCTION("""COMPUTED_VALUE"""),20230.0)</f>
        <v>20230</v>
      </c>
      <c r="AD963" s="3">
        <f>IFERROR(__xludf.DUMMYFUNCTION("""COMPUTED_VALUE"""),13.0356473)</f>
        <v>13.0356473</v>
      </c>
      <c r="AE963" s="3">
        <f>IFERROR(__xludf.DUMMYFUNCTION("""COMPUTED_VALUE"""),101.0787658)</f>
        <v>101.0787658</v>
      </c>
      <c r="AF963" s="3" t="str">
        <f>IFERROR(__xludf.DUMMYFUNCTION("""COMPUTED_VALUE"""),"MBC เจริญสิน บ่อวิน ชลบุรี-21732")</f>
        <v>MBC เจริญสิน บ่อวิน ชลบุรี-21732</v>
      </c>
      <c r="AG963" s="3" t="str">
        <f>IFERROR(__xludf.DUMMYFUNCTION("""COMPUTED_VALUE"""),"ตะวันออก")</f>
        <v>ตะวันออก</v>
      </c>
      <c r="AH963" s="3" t="str">
        <f>IFERROR(__xludf.DUMMYFUNCTION("""COMPUTED_VALUE"""),"#N/A")</f>
        <v>#N/A</v>
      </c>
      <c r="AI963" s="3" t="str">
        <f>IFERROR(__xludf.DUMMYFUNCTION("""COMPUTED_VALUE"""),"Out of warranty")</f>
        <v>Out of warranty</v>
      </c>
      <c r="AJ963" s="3">
        <f>IFERROR(__xludf.DUMMYFUNCTION("""COMPUTED_VALUE"""),86.0)</f>
        <v>86</v>
      </c>
      <c r="AK963" s="3" t="str">
        <f>IFERROR(__xludf.DUMMYFUNCTION("""COMPUTED_VALUE"""),"MMS07")</f>
        <v>MMS07</v>
      </c>
      <c r="AL963" s="3"/>
    </row>
    <row r="964" ht="15.75" customHeight="1">
      <c r="A964" s="1" t="str">
        <f>IFERROR(__xludf.DUMMYFUNCTION("""COMPUTED_VALUE"""),"21733")</f>
        <v>21733</v>
      </c>
      <c r="B964" s="2">
        <f>IFERROR(__xludf.DUMMYFUNCTION("""COMPUTED_VALUE"""),21733.0)</f>
        <v>21733</v>
      </c>
      <c r="C964" s="3" t="str">
        <f>IFERROR(__xludf.DUMMYFUNCTION("""COMPUTED_VALUE"""),"MBC คาลเท็กซ์ วังมะนาว เพชรบุรี")</f>
        <v>MBC คาลเท็กซ์ วังมะนาว เพชรบุรี</v>
      </c>
      <c r="D964" s="3" t="str">
        <f>IFERROR(__xludf.DUMMYFUNCTION("""COMPUTED_VALUE"""),"BCM CALTEX WANGMANAO")</f>
        <v>BCM CALTEX WANGMANAO</v>
      </c>
      <c r="E964" s="1" t="str">
        <f>IFERROR(__xludf.DUMMYFUNCTION("""COMPUTED_VALUE"""),"บิ๊กซี MINI")</f>
        <v>บิ๊กซี MINI</v>
      </c>
      <c r="F964" s="1" t="str">
        <f>IFERROR(__xludf.DUMMYFUNCTION("""COMPUTED_VALUE"""),"250760")</f>
        <v>250760</v>
      </c>
      <c r="G964" s="1" t="str">
        <f>IFERROR(__xludf.DUMMYFUNCTION("""COMPUTED_VALUE"""),"นายประทวน สาราบรรณ์")</f>
        <v>นายประทวน สาราบรรณ์</v>
      </c>
      <c r="H964" s="1" t="str">
        <f>IFERROR(__xludf.DUMMYFUNCTION("""COMPUTED_VALUE"""),"391191")</f>
        <v>391191</v>
      </c>
      <c r="I964" s="1" t="str">
        <f>IFERROR(__xludf.DUMMYFUNCTION("""COMPUTED_VALUE"""),"นายวสันต์ สรงพรมทิพย์")</f>
        <v>นายวสันต์ สรงพรมทิพย์</v>
      </c>
      <c r="J964" s="3">
        <f>IFERROR(__xludf.DUMMYFUNCTION("""COMPUTED_VALUE"""),2.0470331E7)</f>
        <v>20470331</v>
      </c>
      <c r="K964" s="3" t="str">
        <f>IFERROR(__xludf.DUMMYFUNCTION("""COMPUTED_VALUE"""),"นายสมชาย ลักษณะสุวรรณ")</f>
        <v>นายสมชาย ลักษณะสุวรรณ</v>
      </c>
      <c r="L964" s="1" t="str">
        <f>IFERROR(__xludf.DUMMYFUNCTION("""COMPUTED_VALUE"""),"15 K.Somchai L")</f>
        <v>15 K.Somchai L</v>
      </c>
      <c r="M964" s="1" t="str">
        <f>IFERROR(__xludf.DUMMYFUNCTION("""COMPUTED_VALUE"""),"0655107372")</f>
        <v>0655107372</v>
      </c>
      <c r="N964" s="3">
        <f>IFERROR(__xludf.DUMMYFUNCTION("""COMPUTED_VALUE"""),21723.0)</f>
        <v>21723</v>
      </c>
      <c r="O964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964" s="4">
        <f>IFERROR(__xludf.DUMMYFUNCTION("""COMPUTED_VALUE"""),43452.0)</f>
        <v>43452</v>
      </c>
      <c r="Q964" s="3" t="str">
        <f>IFERROR(__xludf.DUMMYFUNCTION("""COMPUTED_VALUE"""),"I")</f>
        <v>I</v>
      </c>
      <c r="R964" s="3" t="str">
        <f>IFERROR(__xludf.DUMMYFUNCTION("""COMPUTED_VALUE"""),"Small Format")</f>
        <v>Small Format</v>
      </c>
      <c r="S964" s="3" t="str">
        <f>IFERROR(__xludf.DUMMYFUNCTION("""COMPUTED_VALUE"""),"BCM")</f>
        <v>BCM</v>
      </c>
      <c r="T964" s="3" t="str">
        <f>IFERROR(__xludf.DUMMYFUNCTION("""COMPUTED_VALUE"""),"#N/A")</f>
        <v>#N/A</v>
      </c>
      <c r="U964" s="3" t="str">
        <f>IFERROR(__xludf.DUMMYFUNCTION("""COMPUTED_VALUE"""),"#N/A")</f>
        <v>#N/A</v>
      </c>
      <c r="V964" s="3" t="str">
        <f>IFERROR(__xludf.DUMMYFUNCTION("""COMPUTED_VALUE"""),"N")</f>
        <v>N</v>
      </c>
      <c r="W964" s="3">
        <f>IFERROR(__xludf.DUMMYFUNCTION("""COMPUTED_VALUE"""),211733.0)</f>
        <v>211733</v>
      </c>
      <c r="X964" s="3" t="str">
        <f>IFERROR(__xludf.DUMMYFUNCTION("""COMPUTED_VALUE"""),"79/1 หมู่2 ตำบลบางเค็ม อำเภอเขาย้อย จังหวัดเพชรบุรี 76140")</f>
        <v>79/1 หมู่2 ตำบลบางเค็ม อำเภอเขาย้อย จังหวัดเพชรบุรี 76140</v>
      </c>
      <c r="Y964" s="3"/>
      <c r="Z964" s="3" t="str">
        <f>IFERROR(__xludf.DUMMYFUNCTION("""COMPUTED_VALUE"""),"บางเค็ม")</f>
        <v>บางเค็ม</v>
      </c>
      <c r="AA964" s="3" t="str">
        <f>IFERROR(__xludf.DUMMYFUNCTION("""COMPUTED_VALUE"""),"เขาย้อย")</f>
        <v>เขาย้อย</v>
      </c>
      <c r="AB964" s="3" t="str">
        <f>IFERROR(__xludf.DUMMYFUNCTION("""COMPUTED_VALUE"""),"เพชรบุรี")</f>
        <v>เพชรบุรี</v>
      </c>
      <c r="AC964" s="3">
        <f>IFERROR(__xludf.DUMMYFUNCTION("""COMPUTED_VALUE"""),76140.0)</f>
        <v>76140</v>
      </c>
      <c r="AD964" s="3">
        <f>IFERROR(__xludf.DUMMYFUNCTION("""COMPUTED_VALUE"""),13.2914726)</f>
        <v>13.2914726</v>
      </c>
      <c r="AE964" s="3">
        <f>IFERROR(__xludf.DUMMYFUNCTION("""COMPUTED_VALUE"""),99.8225726)</f>
        <v>99.8225726</v>
      </c>
      <c r="AF964" s="3" t="str">
        <f>IFERROR(__xludf.DUMMYFUNCTION("""COMPUTED_VALUE"""),"MBC คาลเท็กซ์ วังมะนาว เพชรบุรี-21733")</f>
        <v>MBC คาลเท็กซ์ วังมะนาว เพชรบุรี-21733</v>
      </c>
      <c r="AG964" s="3" t="str">
        <f>IFERROR(__xludf.DUMMYFUNCTION("""COMPUTED_VALUE"""),"ตะวันตก")</f>
        <v>ตะวันตก</v>
      </c>
      <c r="AH964" s="3" t="str">
        <f>IFERROR(__xludf.DUMMYFUNCTION("""COMPUTED_VALUE"""),"#N/A")</f>
        <v>#N/A</v>
      </c>
      <c r="AI964" s="3" t="str">
        <f>IFERROR(__xludf.DUMMYFUNCTION("""COMPUTED_VALUE"""),"Out of warranty")</f>
        <v>Out of warranty</v>
      </c>
      <c r="AJ964" s="3">
        <f>IFERROR(__xludf.DUMMYFUNCTION("""COMPUTED_VALUE"""),86.0)</f>
        <v>86</v>
      </c>
      <c r="AK964" s="3"/>
      <c r="AL964" s="3"/>
    </row>
    <row r="965" ht="15.75" customHeight="1">
      <c r="A965" s="1" t="str">
        <f>IFERROR(__xludf.DUMMYFUNCTION("""COMPUTED_VALUE"""),"21734")</f>
        <v>21734</v>
      </c>
      <c r="B965" s="2">
        <f>IFERROR(__xludf.DUMMYFUNCTION("""COMPUTED_VALUE"""),21734.0)</f>
        <v>21734</v>
      </c>
      <c r="C965" s="3" t="str">
        <f>IFERROR(__xludf.DUMMYFUNCTION("""COMPUTED_VALUE"""),"MBC เชลล์บ้านค่าย ระยอง")</f>
        <v>MBC เชลล์บ้านค่าย ระยอง</v>
      </c>
      <c r="D965" s="3" t="str">
        <f>IFERROR(__xludf.DUMMYFUNCTION("""COMPUTED_VALUE"""),"BCM SHELL BANKHAI,RAYONG")</f>
        <v>BCM SHELL BANKHAI,RAYONG</v>
      </c>
      <c r="E965" s="1" t="str">
        <f>IFERROR(__xludf.DUMMYFUNCTION("""COMPUTED_VALUE"""),"บิ๊กซี MINI")</f>
        <v>บิ๊กซี MINI</v>
      </c>
      <c r="F965" s="1" t="str">
        <f>IFERROR(__xludf.DUMMYFUNCTION("""COMPUTED_VALUE"""),"221716")</f>
        <v>221716</v>
      </c>
      <c r="G965" s="1" t="str">
        <f>IFERROR(__xludf.DUMMYFUNCTION("""COMPUTED_VALUE"""),"น.ส.เบญจพร โพธิสาร")</f>
        <v>น.ส.เบญจพร โพธิสาร</v>
      </c>
      <c r="H965" s="1" t="str">
        <f>IFERROR(__xludf.DUMMYFUNCTION("""COMPUTED_VALUE"""),"359233")</f>
        <v>359233</v>
      </c>
      <c r="I965" s="1" t="str">
        <f>IFERROR(__xludf.DUMMYFUNCTION("""COMPUTED_VALUE"""),"น.ส.ปยุดา คำมีอ่อน")</f>
        <v>น.ส.ปยุดา คำมีอ่อน</v>
      </c>
      <c r="J965" s="3">
        <f>IFERROR(__xludf.DUMMYFUNCTION("""COMPUTED_VALUE"""),2452376.0)</f>
        <v>2452376</v>
      </c>
      <c r="K965" s="3" t="str">
        <f>IFERROR(__xludf.DUMMYFUNCTION("""COMPUTED_VALUE"""),"นายภาคภูมิ ทวีกุล")</f>
        <v>นายภาคภูมิ ทวีกุล</v>
      </c>
      <c r="L965" s="1" t="str">
        <f>IFERROR(__xludf.DUMMYFUNCTION("""COMPUTED_VALUE"""),"08 K.Parkphum T.")</f>
        <v>08 K.Parkphum T.</v>
      </c>
      <c r="M965" s="1" t="str">
        <f>IFERROR(__xludf.DUMMYFUNCTION("""COMPUTED_VALUE"""),"097-919-5476")</f>
        <v>097-919-5476</v>
      </c>
      <c r="N965" s="3">
        <f>IFERROR(__xludf.DUMMYFUNCTION("""COMPUTED_VALUE"""),22028.0)</f>
        <v>22028</v>
      </c>
      <c r="O965" s="3" t="str">
        <f>IFERROR(__xludf.DUMMYFUNCTION("""COMPUTED_VALUE"""),"MBC ทํบมา ระยอง")</f>
        <v>MBC ทํบมา ระยอง</v>
      </c>
      <c r="P965" s="4">
        <f>IFERROR(__xludf.DUMMYFUNCTION("""COMPUTED_VALUE"""),43459.0)</f>
        <v>43459</v>
      </c>
      <c r="Q965" s="3" t="str">
        <f>IFERROR(__xludf.DUMMYFUNCTION("""COMPUTED_VALUE"""),"A")</f>
        <v>A</v>
      </c>
      <c r="R965" s="3" t="str">
        <f>IFERROR(__xludf.DUMMYFUNCTION("""COMPUTED_VALUE"""),"Small Format")</f>
        <v>Small Format</v>
      </c>
      <c r="S965" s="3" t="str">
        <f>IFERROR(__xludf.DUMMYFUNCTION("""COMPUTED_VALUE"""),"BCM")</f>
        <v>BCM</v>
      </c>
      <c r="T965" s="3" t="str">
        <f>IFERROR(__xludf.DUMMYFUNCTION("""COMPUTED_VALUE"""),"#N/A")</f>
        <v>#N/A</v>
      </c>
      <c r="U965" s="3" t="str">
        <f>IFERROR(__xludf.DUMMYFUNCTION("""COMPUTED_VALUE"""),"#N/A")</f>
        <v>#N/A</v>
      </c>
      <c r="V965" s="3" t="str">
        <f>IFERROR(__xludf.DUMMYFUNCTION("""COMPUTED_VALUE"""),"N")</f>
        <v>N</v>
      </c>
      <c r="W965" s="3">
        <f>IFERROR(__xludf.DUMMYFUNCTION("""COMPUTED_VALUE"""),211732.0)</f>
        <v>211732</v>
      </c>
      <c r="X965" s="3" t="str">
        <f>IFERROR(__xludf.DUMMYFUNCTION("""COMPUTED_VALUE"""),"13/92 หมู่2 ตำบลบางบุตร อำเภอบ้านค่าย จังหวัดระยอง 21120")</f>
        <v>13/92 หมู่2 ตำบลบางบุตร อำเภอบ้านค่าย จังหวัดระยอง 21120</v>
      </c>
      <c r="Y965" s="3"/>
      <c r="Z965" s="3" t="str">
        <f>IFERROR(__xludf.DUMMYFUNCTION("""COMPUTED_VALUE"""),"บางบุตร")</f>
        <v>บางบุตร</v>
      </c>
      <c r="AA965" s="3" t="str">
        <f>IFERROR(__xludf.DUMMYFUNCTION("""COMPUTED_VALUE"""),"บ้านค่าย")</f>
        <v>บ้านค่าย</v>
      </c>
      <c r="AB965" s="3" t="str">
        <f>IFERROR(__xludf.DUMMYFUNCTION("""COMPUTED_VALUE"""),"ระยอง")</f>
        <v>ระยอง</v>
      </c>
      <c r="AC965" s="3">
        <f>IFERROR(__xludf.DUMMYFUNCTION("""COMPUTED_VALUE"""),21120.0)</f>
        <v>21120</v>
      </c>
      <c r="AD965" s="3">
        <f>IFERROR(__xludf.DUMMYFUNCTION("""COMPUTED_VALUE"""),12.8014074)</f>
        <v>12.8014074</v>
      </c>
      <c r="AE965" s="3">
        <f>IFERROR(__xludf.DUMMYFUNCTION("""COMPUTED_VALUE"""),101.3012882)</f>
        <v>101.3012882</v>
      </c>
      <c r="AF965" s="3" t="str">
        <f>IFERROR(__xludf.DUMMYFUNCTION("""COMPUTED_VALUE"""),"MBC เชลล์บ้านค่าย ระยอง-21734")</f>
        <v>MBC เชลล์บ้านค่าย ระยอง-21734</v>
      </c>
      <c r="AG965" s="3" t="str">
        <f>IFERROR(__xludf.DUMMYFUNCTION("""COMPUTED_VALUE"""),"ตะวันออก")</f>
        <v>ตะวันออก</v>
      </c>
      <c r="AH965" s="3" t="str">
        <f>IFERROR(__xludf.DUMMYFUNCTION("""COMPUTED_VALUE"""),"#N/A")</f>
        <v>#N/A</v>
      </c>
      <c r="AI965" s="3" t="str">
        <f>IFERROR(__xludf.DUMMYFUNCTION("""COMPUTED_VALUE"""),"Out of warranty")</f>
        <v>Out of warranty</v>
      </c>
      <c r="AJ965" s="3">
        <f>IFERROR(__xludf.DUMMYFUNCTION("""COMPUTED_VALUE"""),85.0)</f>
        <v>85</v>
      </c>
      <c r="AK965" s="3" t="str">
        <f>IFERROR(__xludf.DUMMYFUNCTION("""COMPUTED_VALUE"""),"MMS08")</f>
        <v>MMS08</v>
      </c>
      <c r="AL965" s="3"/>
    </row>
    <row r="966" ht="15.75" customHeight="1">
      <c r="A966" s="1" t="str">
        <f>IFERROR(__xludf.DUMMYFUNCTION("""COMPUTED_VALUE"""),"21736")</f>
        <v>21736</v>
      </c>
      <c r="B966" s="2">
        <f>IFERROR(__xludf.DUMMYFUNCTION("""COMPUTED_VALUE"""),21736.0)</f>
        <v>21736</v>
      </c>
      <c r="C966" s="3" t="str">
        <f>IFERROR(__xludf.DUMMYFUNCTION("""COMPUTED_VALUE"""),"MBC เอสโซ่ เดิมบางนางบวช สุพรรณบุรี")</f>
        <v>MBC เอสโซ่ เดิมบางนางบวช สุพรรณบุรี</v>
      </c>
      <c r="D966" s="3" t="str">
        <f>IFERROR(__xludf.DUMMYFUNCTION("""COMPUTED_VALUE"""),"BCM ESSO DOEM BANG NANG BUAT")</f>
        <v>BCM ESSO DOEM BANG NANG BUAT</v>
      </c>
      <c r="E966" s="1" t="str">
        <f>IFERROR(__xludf.DUMMYFUNCTION("""COMPUTED_VALUE"""),"บิ๊กซี MINI")</f>
        <v>บิ๊กซี MINI</v>
      </c>
      <c r="F966" s="1" t="str">
        <f>IFERROR(__xludf.DUMMYFUNCTION("""COMPUTED_VALUE"""),"296229")</f>
        <v>296229</v>
      </c>
      <c r="G966" s="1" t="str">
        <f>IFERROR(__xludf.DUMMYFUNCTION("""COMPUTED_VALUE"""),"นายทนงศักดิ์ บุญมา")</f>
        <v>นายทนงศักดิ์ บุญมา</v>
      </c>
      <c r="H966" s="1" t="str">
        <f>IFERROR(__xludf.DUMMYFUNCTION("""COMPUTED_VALUE"""),"318186")</f>
        <v>318186</v>
      </c>
      <c r="I966" s="1" t="str">
        <f>IFERROR(__xludf.DUMMYFUNCTION("""COMPUTED_VALUE"""),"น.ส.พนมวัลย์ เรืองรัตน์")</f>
        <v>น.ส.พนมวัลย์ เรืองรัตน์</v>
      </c>
      <c r="J966" s="3">
        <f>IFERROR(__xludf.DUMMYFUNCTION("""COMPUTED_VALUE"""),46214.0)</f>
        <v>46214</v>
      </c>
      <c r="K966" s="3" t="str">
        <f>IFERROR(__xludf.DUMMYFUNCTION("""COMPUTED_VALUE"""),"นายศักดิ์ชัย เด็ดดอกฟ้า")</f>
        <v>นายศักดิ์ชัย เด็ดดอกฟ้า</v>
      </c>
      <c r="L966" s="1" t="str">
        <f>IFERROR(__xludf.DUMMYFUNCTION("""COMPUTED_VALUE"""),"02 K.Sakchai D")</f>
        <v>02 K.Sakchai D</v>
      </c>
      <c r="M966" s="1" t="str">
        <f>IFERROR(__xludf.DUMMYFUNCTION("""COMPUTED_VALUE"""),"065-510-7376")</f>
        <v>065-510-7376</v>
      </c>
      <c r="N966" s="3">
        <f>IFERROR(__xludf.DUMMYFUNCTION("""COMPUTED_VALUE"""),21714.0)</f>
        <v>21714</v>
      </c>
      <c r="O966" s="3" t="str">
        <f>IFERROR(__xludf.DUMMYFUNCTION("""COMPUTED_VALUE"""),"MBC เอสโซ่ วัดโบสถ์")</f>
        <v>MBC เอสโซ่ วัดโบสถ์</v>
      </c>
      <c r="P966" s="4">
        <f>IFERROR(__xludf.DUMMYFUNCTION("""COMPUTED_VALUE"""),43459.0)</f>
        <v>43459</v>
      </c>
      <c r="Q966" s="3" t="str">
        <f>IFERROR(__xludf.DUMMYFUNCTION("""COMPUTED_VALUE"""),"A")</f>
        <v>A</v>
      </c>
      <c r="R966" s="3" t="str">
        <f>IFERROR(__xludf.DUMMYFUNCTION("""COMPUTED_VALUE"""),"Small Format")</f>
        <v>Small Format</v>
      </c>
      <c r="S966" s="3" t="str">
        <f>IFERROR(__xludf.DUMMYFUNCTION("""COMPUTED_VALUE"""),"BCM")</f>
        <v>BCM</v>
      </c>
      <c r="T966" s="3" t="str">
        <f>IFERROR(__xludf.DUMMYFUNCTION("""COMPUTED_VALUE"""),"#N/A")</f>
        <v>#N/A</v>
      </c>
      <c r="U966" s="3" t="str">
        <f>IFERROR(__xludf.DUMMYFUNCTION("""COMPUTED_VALUE"""),"#N/A")</f>
        <v>#N/A</v>
      </c>
      <c r="V966" s="3" t="str">
        <f>IFERROR(__xludf.DUMMYFUNCTION("""COMPUTED_VALUE"""),"N")</f>
        <v>N</v>
      </c>
      <c r="W966" s="3">
        <f>IFERROR(__xludf.DUMMYFUNCTION("""COMPUTED_VALUE"""),211730.0)</f>
        <v>211730</v>
      </c>
      <c r="X966" s="3" t="str">
        <f>IFERROR(__xludf.DUMMYFUNCTION("""COMPUTED_VALUE"""),"107/7 หมู่4 ตำบลเขาพระ อำเภอบางนางบวช จังหวัดสุพรรณบุรี 72120")</f>
        <v>107/7 หมู่4 ตำบลเขาพระ อำเภอบางนางบวช จังหวัดสุพรรณบุรี 72120</v>
      </c>
      <c r="Y966" s="3"/>
      <c r="Z966" s="3" t="str">
        <f>IFERROR(__xludf.DUMMYFUNCTION("""COMPUTED_VALUE"""),"เขาพระ")</f>
        <v>เขาพระ</v>
      </c>
      <c r="AA966" s="3" t="str">
        <f>IFERROR(__xludf.DUMMYFUNCTION("""COMPUTED_VALUE"""),"บางนางบวช")</f>
        <v>บางนางบวช</v>
      </c>
      <c r="AB966" s="3" t="str">
        <f>IFERROR(__xludf.DUMMYFUNCTION("""COMPUTED_VALUE"""),"สุพรรณบุรี")</f>
        <v>สุพรรณบุรี</v>
      </c>
      <c r="AC966" s="3">
        <f>IFERROR(__xludf.DUMMYFUNCTION("""COMPUTED_VALUE"""),72120.0)</f>
        <v>72120</v>
      </c>
      <c r="AD966" s="3">
        <f>IFERROR(__xludf.DUMMYFUNCTION("""COMPUTED_VALUE"""),14.8457723)</f>
        <v>14.8457723</v>
      </c>
      <c r="AE966" s="3">
        <f>IFERROR(__xludf.DUMMYFUNCTION("""COMPUTED_VALUE"""),100.0925846)</f>
        <v>100.0925846</v>
      </c>
      <c r="AF966" s="3" t="str">
        <f>IFERROR(__xludf.DUMMYFUNCTION("""COMPUTED_VALUE"""),"MBC เอสโซ่ เดิมบางนางบวช สุพรรณบุรี-21736")</f>
        <v>MBC เอสโซ่ เดิมบางนางบวช สุพรรณบุรี-21736</v>
      </c>
      <c r="AG966" s="3" t="str">
        <f>IFERROR(__xludf.DUMMYFUNCTION("""COMPUTED_VALUE"""),"กลาง")</f>
        <v>กลาง</v>
      </c>
      <c r="AH966" s="3" t="str">
        <f>IFERROR(__xludf.DUMMYFUNCTION("""COMPUTED_VALUE"""),"#N/A")</f>
        <v>#N/A</v>
      </c>
      <c r="AI966" s="3" t="str">
        <f>IFERROR(__xludf.DUMMYFUNCTION("""COMPUTED_VALUE"""),"Out of warranty")</f>
        <v>Out of warranty</v>
      </c>
      <c r="AJ966" s="3">
        <f>IFERROR(__xludf.DUMMYFUNCTION("""COMPUTED_VALUE"""),85.0)</f>
        <v>85</v>
      </c>
      <c r="AK966" s="3" t="str">
        <f>IFERROR(__xludf.DUMMYFUNCTION("""COMPUTED_VALUE"""),"MMS09")</f>
        <v>MMS09</v>
      </c>
      <c r="AL966" s="3"/>
    </row>
    <row r="967" ht="15.75" customHeight="1">
      <c r="A967" s="1" t="str">
        <f>IFERROR(__xludf.DUMMYFUNCTION("""COMPUTED_VALUE"""),"21737")</f>
        <v>21737</v>
      </c>
      <c r="B967" s="2">
        <f>IFERROR(__xludf.DUMMYFUNCTION("""COMPUTED_VALUE"""),21737.0)</f>
        <v>21737</v>
      </c>
      <c r="C967" s="3" t="str">
        <f>IFERROR(__xludf.DUMMYFUNCTION("""COMPUTED_VALUE"""),"MBC เอสโซ่ เพชรเกษม กม.271 (ขาเข้า) นครศรีธรรมราช")</f>
        <v>MBC เอสโซ่ เพชรเกษม กม.271 (ขาเข้า) นครศรีธรรมราช</v>
      </c>
      <c r="D967" s="3" t="str">
        <f>IFERROR(__xludf.DUMMYFUNCTION("""COMPUTED_VALUE"""),"BCM ESSO PHETKASEM KM.271(IB)")</f>
        <v>BCM ESSO PHETKASEM KM.271(IB)</v>
      </c>
      <c r="E967" s="1" t="str">
        <f>IFERROR(__xludf.DUMMYFUNCTION("""COMPUTED_VALUE"""),"บิ๊กซี MINI")</f>
        <v>บิ๊กซี MINI</v>
      </c>
      <c r="F967" s="1" t="str">
        <f>IFERROR(__xludf.DUMMYFUNCTION("""COMPUTED_VALUE"""),"250760")</f>
        <v>250760</v>
      </c>
      <c r="G967" s="1" t="str">
        <f>IFERROR(__xludf.DUMMYFUNCTION("""COMPUTED_VALUE"""),"นายประทวน สาราบรรณ์")</f>
        <v>นายประทวน สาราบรรณ์</v>
      </c>
      <c r="H967" s="1" t="str">
        <f>IFERROR(__xludf.DUMMYFUNCTION("""COMPUTED_VALUE"""),"394143")</f>
        <v>394143</v>
      </c>
      <c r="I967" s="1" t="str">
        <f>IFERROR(__xludf.DUMMYFUNCTION("""COMPUTED_VALUE"""),"นายวิษณุ เพชรหัตถ์")</f>
        <v>นายวิษณุ เพชรหัตถ์</v>
      </c>
      <c r="J967" s="3">
        <f>IFERROR(__xludf.DUMMYFUNCTION("""COMPUTED_VALUE"""),2.0470331E7)</f>
        <v>20470331</v>
      </c>
      <c r="K967" s="3" t="str">
        <f>IFERROR(__xludf.DUMMYFUNCTION("""COMPUTED_VALUE"""),"นายสมชาย ลักษณะสุวรรณ")</f>
        <v>นายสมชาย ลักษณะสุวรรณ</v>
      </c>
      <c r="L967" s="1" t="str">
        <f>IFERROR(__xludf.DUMMYFUNCTION("""COMPUTED_VALUE"""),"15 K.Somchai L")</f>
        <v>15 K.Somchai L</v>
      </c>
      <c r="M967" s="1" t="str">
        <f>IFERROR(__xludf.DUMMYFUNCTION("""COMPUTED_VALUE"""),"0655107372")</f>
        <v>0655107372</v>
      </c>
      <c r="N967" s="3">
        <f>IFERROR(__xludf.DUMMYFUNCTION("""COMPUTED_VALUE"""),21723.0)</f>
        <v>21723</v>
      </c>
      <c r="O967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967" s="4">
        <f>IFERROR(__xludf.DUMMYFUNCTION("""COMPUTED_VALUE"""),43458.0)</f>
        <v>43458</v>
      </c>
      <c r="Q967" s="3" t="str">
        <f>IFERROR(__xludf.DUMMYFUNCTION("""COMPUTED_VALUE"""),"A")</f>
        <v>A</v>
      </c>
      <c r="R967" s="3" t="str">
        <f>IFERROR(__xludf.DUMMYFUNCTION("""COMPUTED_VALUE"""),"Small Format")</f>
        <v>Small Format</v>
      </c>
      <c r="S967" s="3" t="str">
        <f>IFERROR(__xludf.DUMMYFUNCTION("""COMPUTED_VALUE"""),"BCM")</f>
        <v>BCM</v>
      </c>
      <c r="T967" s="3" t="str">
        <f>IFERROR(__xludf.DUMMYFUNCTION("""COMPUTED_VALUE"""),"#N/A")</f>
        <v>#N/A</v>
      </c>
      <c r="U967" s="3" t="str">
        <f>IFERROR(__xludf.DUMMYFUNCTION("""COMPUTED_VALUE"""),"#N/A")</f>
        <v>#N/A</v>
      </c>
      <c r="V967" s="3" t="str">
        <f>IFERROR(__xludf.DUMMYFUNCTION("""COMPUTED_VALUE"""),"N")</f>
        <v>N</v>
      </c>
      <c r="W967" s="3">
        <f>IFERROR(__xludf.DUMMYFUNCTION("""COMPUTED_VALUE"""),211737.0)</f>
        <v>211737</v>
      </c>
      <c r="X967" s="3" t="str">
        <f>IFERROR(__xludf.DUMMYFUNCTION("""COMPUTED_VALUE"""),"4/6 หมู่3 ตำบลปริก อำเภอทุ่งใหญ่ จังหวัดนครศรีธรรมราช 80240")</f>
        <v>4/6 หมู่3 ตำบลปริก อำเภอทุ่งใหญ่ จังหวัดนครศรีธรรมราช 80240</v>
      </c>
      <c r="Y967" s="3"/>
      <c r="Z967" s="3" t="str">
        <f>IFERROR(__xludf.DUMMYFUNCTION("""COMPUTED_VALUE"""),"ปริก")</f>
        <v>ปริก</v>
      </c>
      <c r="AA967" s="3" t="str">
        <f>IFERROR(__xludf.DUMMYFUNCTION("""COMPUTED_VALUE"""),"ทุ่งใหญ่")</f>
        <v>ทุ่งใหญ่</v>
      </c>
      <c r="AB967" s="3" t="str">
        <f>IFERROR(__xludf.DUMMYFUNCTION("""COMPUTED_VALUE"""),"นครศรีธรรมราช")</f>
        <v>นครศรีธรรมราช</v>
      </c>
      <c r="AC967" s="3">
        <f>IFERROR(__xludf.DUMMYFUNCTION("""COMPUTED_VALUE"""),80240.0)</f>
        <v>80240</v>
      </c>
      <c r="AD967" s="3">
        <f>IFERROR(__xludf.DUMMYFUNCTION("""COMPUTED_VALUE"""),8.3068878)</f>
        <v>8.3068878</v>
      </c>
      <c r="AE967" s="3">
        <f>IFERROR(__xludf.DUMMYFUNCTION("""COMPUTED_VALUE"""),99.488515)</f>
        <v>99.488515</v>
      </c>
      <c r="AF967" s="3" t="str">
        <f>IFERROR(__xludf.DUMMYFUNCTION("""COMPUTED_VALUE"""),"MBC เอสโซ่ เพชรเกษม กม.271 (ขาเข้า) นครศรีธรรมราช-21737")</f>
        <v>MBC เอสโซ่ เพชรเกษม กม.271 (ขาเข้า) นครศรีธรรมราช-21737</v>
      </c>
      <c r="AG967" s="3" t="str">
        <f>IFERROR(__xludf.DUMMYFUNCTION("""COMPUTED_VALUE"""),"ใต้")</f>
        <v>ใต้</v>
      </c>
      <c r="AH967" s="3" t="str">
        <f>IFERROR(__xludf.DUMMYFUNCTION("""COMPUTED_VALUE"""),"#N/A")</f>
        <v>#N/A</v>
      </c>
      <c r="AI967" s="3" t="str">
        <f>IFERROR(__xludf.DUMMYFUNCTION("""COMPUTED_VALUE"""),"Out of warranty")</f>
        <v>Out of warranty</v>
      </c>
      <c r="AJ967" s="3">
        <f>IFERROR(__xludf.DUMMYFUNCTION("""COMPUTED_VALUE"""),85.0)</f>
        <v>85</v>
      </c>
      <c r="AK967" s="3" t="str">
        <f>IFERROR(__xludf.DUMMYFUNCTION("""COMPUTED_VALUE"""),"MMS15")</f>
        <v>MMS15</v>
      </c>
      <c r="AL967" s="3"/>
    </row>
    <row r="968" ht="15.75" customHeight="1">
      <c r="A968" s="1" t="str">
        <f>IFERROR(__xludf.DUMMYFUNCTION("""COMPUTED_VALUE"""),"21738")</f>
        <v>21738</v>
      </c>
      <c r="B968" s="2">
        <f>IFERROR(__xludf.DUMMYFUNCTION("""COMPUTED_VALUE"""),21738.0)</f>
        <v>21738</v>
      </c>
      <c r="C968" s="3" t="str">
        <f>IFERROR(__xludf.DUMMYFUNCTION("""COMPUTED_VALUE"""),"MBC มาบยางพร 23 ระยอง")</f>
        <v>MBC มาบยางพร 23 ระยอง</v>
      </c>
      <c r="D968" s="3" t="str">
        <f>IFERROR(__xludf.DUMMYFUNCTION("""COMPUTED_VALUE"""),"BCM MABYANGPORN 23,RAYONG")</f>
        <v>BCM MABYANGPORN 23,RAYONG</v>
      </c>
      <c r="E968" s="1" t="str">
        <f>IFERROR(__xludf.DUMMYFUNCTION("""COMPUTED_VALUE"""),"บิ๊กซี MINI")</f>
        <v>บิ๊กซี MINI</v>
      </c>
      <c r="F968" s="1" t="str">
        <f>IFERROR(__xludf.DUMMYFUNCTION("""COMPUTED_VALUE"""),"221716")</f>
        <v>221716</v>
      </c>
      <c r="G968" s="1" t="str">
        <f>IFERROR(__xludf.DUMMYFUNCTION("""COMPUTED_VALUE"""),"น.ส.เบญจพร โพธิสาร")</f>
        <v>น.ส.เบญจพร โพธิสาร</v>
      </c>
      <c r="H968" s="1" t="str">
        <f>IFERROR(__xludf.DUMMYFUNCTION("""COMPUTED_VALUE"""),"371384")</f>
        <v>371384</v>
      </c>
      <c r="I968" s="1" t="str">
        <f>IFERROR(__xludf.DUMMYFUNCTION("""COMPUTED_VALUE"""),"น.ส.นิลเนตร สิงห์ทอง")</f>
        <v>น.ส.นิลเนตร สิงห์ทอง</v>
      </c>
      <c r="J968" s="3">
        <f>IFERROR(__xludf.DUMMYFUNCTION("""COMPUTED_VALUE"""),2452376.0)</f>
        <v>2452376</v>
      </c>
      <c r="K968" s="3" t="str">
        <f>IFERROR(__xludf.DUMMYFUNCTION("""COMPUTED_VALUE"""),"นายภาคภูมิ ทวีกุล")</f>
        <v>นายภาคภูมิ ทวีกุล</v>
      </c>
      <c r="L968" s="1" t="str">
        <f>IFERROR(__xludf.DUMMYFUNCTION("""COMPUTED_VALUE"""),"08 K.Parkphum T.")</f>
        <v>08 K.Parkphum T.</v>
      </c>
      <c r="M968" s="1" t="str">
        <f>IFERROR(__xludf.DUMMYFUNCTION("""COMPUTED_VALUE"""),"097-919-5476")</f>
        <v>097-919-5476</v>
      </c>
      <c r="N968" s="3">
        <f>IFERROR(__xludf.DUMMYFUNCTION("""COMPUTED_VALUE"""),22028.0)</f>
        <v>22028</v>
      </c>
      <c r="O968" s="3" t="str">
        <f>IFERROR(__xludf.DUMMYFUNCTION("""COMPUTED_VALUE"""),"MBC ทํบมา ระยอง")</f>
        <v>MBC ทํบมา ระยอง</v>
      </c>
      <c r="P968" s="4">
        <f>IFERROR(__xludf.DUMMYFUNCTION("""COMPUTED_VALUE"""),43449.0)</f>
        <v>43449</v>
      </c>
      <c r="Q968" s="3" t="str">
        <f>IFERROR(__xludf.DUMMYFUNCTION("""COMPUTED_VALUE"""),"A")</f>
        <v>A</v>
      </c>
      <c r="R968" s="3" t="str">
        <f>IFERROR(__xludf.DUMMYFUNCTION("""COMPUTED_VALUE"""),"Small Format")</f>
        <v>Small Format</v>
      </c>
      <c r="S968" s="3" t="str">
        <f>IFERROR(__xludf.DUMMYFUNCTION("""COMPUTED_VALUE"""),"BCM")</f>
        <v>BCM</v>
      </c>
      <c r="T968" s="3" t="str">
        <f>IFERROR(__xludf.DUMMYFUNCTION("""COMPUTED_VALUE"""),"#N/A")</f>
        <v>#N/A</v>
      </c>
      <c r="U968" s="3" t="str">
        <f>IFERROR(__xludf.DUMMYFUNCTION("""COMPUTED_VALUE"""),"#N/A")</f>
        <v>#N/A</v>
      </c>
      <c r="V968" s="3" t="str">
        <f>IFERROR(__xludf.DUMMYFUNCTION("""COMPUTED_VALUE"""),"N")</f>
        <v>N</v>
      </c>
      <c r="W968" s="3">
        <f>IFERROR(__xludf.DUMMYFUNCTION("""COMPUTED_VALUE"""),211712.0)</f>
        <v>211712</v>
      </c>
      <c r="X968" s="3" t="str">
        <f>IFERROR(__xludf.DUMMYFUNCTION("""COMPUTED_VALUE"""),"243 หมู่6 ตำบลมาบยางพร อำเภอปลวกแดง จังหวัดระยอง 21140")</f>
        <v>243 หมู่6 ตำบลมาบยางพร อำเภอปลวกแดง จังหวัดระยอง 21140</v>
      </c>
      <c r="Y968" s="3"/>
      <c r="Z968" s="3" t="str">
        <f>IFERROR(__xludf.DUMMYFUNCTION("""COMPUTED_VALUE"""),"มาบยางพร")</f>
        <v>มาบยางพร</v>
      </c>
      <c r="AA968" s="3" t="str">
        <f>IFERROR(__xludf.DUMMYFUNCTION("""COMPUTED_VALUE"""),"ปลวกแดง")</f>
        <v>ปลวกแดง</v>
      </c>
      <c r="AB968" s="3" t="str">
        <f>IFERROR(__xludf.DUMMYFUNCTION("""COMPUTED_VALUE"""),"ระยอง")</f>
        <v>ระยอง</v>
      </c>
      <c r="AC968" s="3">
        <f>IFERROR(__xludf.DUMMYFUNCTION("""COMPUTED_VALUE"""),21140.0)</f>
        <v>21140</v>
      </c>
      <c r="AD968" s="3">
        <f>IFERROR(__xludf.DUMMYFUNCTION("""COMPUTED_VALUE"""),12.9866565)</f>
        <v>12.9866565</v>
      </c>
      <c r="AE968" s="3">
        <f>IFERROR(__xludf.DUMMYFUNCTION("""COMPUTED_VALUE"""),101.1342603)</f>
        <v>101.1342603</v>
      </c>
      <c r="AF968" s="3" t="str">
        <f>IFERROR(__xludf.DUMMYFUNCTION("""COMPUTED_VALUE"""),"MBC มาบยางพร 23 ระยอง-21738")</f>
        <v>MBC มาบยางพร 23 ระยอง-21738</v>
      </c>
      <c r="AG968" s="3" t="str">
        <f>IFERROR(__xludf.DUMMYFUNCTION("""COMPUTED_VALUE"""),"ตะวันออก")</f>
        <v>ตะวันออก</v>
      </c>
      <c r="AH968" s="3" t="str">
        <f>IFERROR(__xludf.DUMMYFUNCTION("""COMPUTED_VALUE"""),"#N/A")</f>
        <v>#N/A</v>
      </c>
      <c r="AI968" s="3" t="str">
        <f>IFERROR(__xludf.DUMMYFUNCTION("""COMPUTED_VALUE"""),"Out of warranty")</f>
        <v>Out of warranty</v>
      </c>
      <c r="AJ968" s="3">
        <f>IFERROR(__xludf.DUMMYFUNCTION("""COMPUTED_VALUE"""),86.0)</f>
        <v>86</v>
      </c>
      <c r="AK968" s="3" t="str">
        <f>IFERROR(__xludf.DUMMYFUNCTION("""COMPUTED_VALUE"""),"MMS07")</f>
        <v>MMS07</v>
      </c>
      <c r="AL968" s="3"/>
    </row>
    <row r="969" ht="15.75" customHeight="1">
      <c r="A969" s="1" t="str">
        <f>IFERROR(__xludf.DUMMYFUNCTION("""COMPUTED_VALUE"""),"21739")</f>
        <v>21739</v>
      </c>
      <c r="B969" s="2">
        <f>IFERROR(__xludf.DUMMYFUNCTION("""COMPUTED_VALUE"""),21739.0)</f>
        <v>21739</v>
      </c>
      <c r="C969" s="3" t="str">
        <f>IFERROR(__xludf.DUMMYFUNCTION("""COMPUTED_VALUE"""),"MBC เอสโซ่ บางบัวทอง นนทบุรี")</f>
        <v>MBC เอสโซ่ บางบัวทอง นนทบุรี</v>
      </c>
      <c r="D969" s="3" t="str">
        <f>IFERROR(__xludf.DUMMYFUNCTION("""COMPUTED_VALUE"""),"BCM ESSO BANG BUA THONG")</f>
        <v>BCM ESSO BANG BUA THONG</v>
      </c>
      <c r="E969" s="1" t="str">
        <f>IFERROR(__xludf.DUMMYFUNCTION("""COMPUTED_VALUE"""),"บิ๊กซี MINI")</f>
        <v>บิ๊กซี MINI</v>
      </c>
      <c r="F969" s="1" t="str">
        <f>IFERROR(__xludf.DUMMYFUNCTION("""COMPUTED_VALUE"""),"291008")</f>
        <v>291008</v>
      </c>
      <c r="G969" s="1" t="str">
        <f>IFERROR(__xludf.DUMMYFUNCTION("""COMPUTED_VALUE"""),"น.ส.รัชดาพร อีศรัตน์")</f>
        <v>น.ส.รัชดาพร อีศรัตน์</v>
      </c>
      <c r="H969" s="1" t="str">
        <f>IFERROR(__xludf.DUMMYFUNCTION("""COMPUTED_VALUE"""),"180055")</f>
        <v>180055</v>
      </c>
      <c r="I969" s="1" t="str">
        <f>IFERROR(__xludf.DUMMYFUNCTION("""COMPUTED_VALUE"""),"น.ส.สุดารัตน์ บุญล้ำ")</f>
        <v>น.ส.สุดารัตน์ บุญล้ำ</v>
      </c>
      <c r="J969" s="3">
        <f>IFERROR(__xludf.DUMMYFUNCTION("""COMPUTED_VALUE"""),296608.0)</f>
        <v>296608</v>
      </c>
      <c r="K969" s="3" t="str">
        <f>IFERROR(__xludf.DUMMYFUNCTION("""COMPUTED_VALUE"""),"นายภาคภูมิ เพ็ชรนิล")</f>
        <v>นายภาคภูมิ เพ็ชรนิล</v>
      </c>
      <c r="L969" s="1" t="str">
        <f>IFERROR(__xludf.DUMMYFUNCTION("""COMPUTED_VALUE"""),"10 K.Phakphoom P.")</f>
        <v>10 K.Phakphoom P.</v>
      </c>
      <c r="M969" s="1" t="str">
        <f>IFERROR(__xludf.DUMMYFUNCTION("""COMPUTED_VALUE"""),"063-8955329")</f>
        <v>063-8955329</v>
      </c>
      <c r="N969" s="3">
        <f>IFERROR(__xludf.DUMMYFUNCTION("""COMPUTED_VALUE"""),22584.0)</f>
        <v>22584</v>
      </c>
      <c r="O969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969" s="4">
        <f>IFERROR(__xludf.DUMMYFUNCTION("""COMPUTED_VALUE"""),43457.0)</f>
        <v>43457</v>
      </c>
      <c r="Q969" s="3" t="str">
        <f>IFERROR(__xludf.DUMMYFUNCTION("""COMPUTED_VALUE"""),"A")</f>
        <v>A</v>
      </c>
      <c r="R969" s="3" t="str">
        <f>IFERROR(__xludf.DUMMYFUNCTION("""COMPUTED_VALUE"""),"Small Format")</f>
        <v>Small Format</v>
      </c>
      <c r="S969" s="3" t="str">
        <f>IFERROR(__xludf.DUMMYFUNCTION("""COMPUTED_VALUE"""),"BCM")</f>
        <v>BCM</v>
      </c>
      <c r="T969" s="3" t="str">
        <f>IFERROR(__xludf.DUMMYFUNCTION("""COMPUTED_VALUE"""),"#N/A")</f>
        <v>#N/A</v>
      </c>
      <c r="U969" s="3" t="str">
        <f>IFERROR(__xludf.DUMMYFUNCTION("""COMPUTED_VALUE"""),"#N/A")</f>
        <v>#N/A</v>
      </c>
      <c r="V969" s="3" t="str">
        <f>IFERROR(__xludf.DUMMYFUNCTION("""COMPUTED_VALUE"""),"N")</f>
        <v>N</v>
      </c>
      <c r="W969" s="3">
        <f>IFERROR(__xludf.DUMMYFUNCTION("""COMPUTED_VALUE"""),211698.0)</f>
        <v>211698</v>
      </c>
      <c r="X969" s="3" t="str">
        <f>IFERROR(__xludf.DUMMYFUNCTION("""COMPUTED_VALUE"""),"15/5 หมู่9 ตำบลละหาร อำเภอบางบัวทอง จังหวัดนนทบุรี 11110")</f>
        <v>15/5 หมู่9 ตำบลละหาร อำเภอบางบัวทอง จังหวัดนนทบุรี 11110</v>
      </c>
      <c r="Y969" s="3"/>
      <c r="Z969" s="3" t="str">
        <f>IFERROR(__xludf.DUMMYFUNCTION("""COMPUTED_VALUE"""),"ละหาร")</f>
        <v>ละหาร</v>
      </c>
      <c r="AA969" s="3" t="str">
        <f>IFERROR(__xludf.DUMMYFUNCTION("""COMPUTED_VALUE"""),"บางบัวทอง")</f>
        <v>บางบัวทอง</v>
      </c>
      <c r="AB969" s="3" t="str">
        <f>IFERROR(__xludf.DUMMYFUNCTION("""COMPUTED_VALUE"""),"นนทบุรี")</f>
        <v>นนทบุรี</v>
      </c>
      <c r="AC969" s="3">
        <f>IFERROR(__xludf.DUMMYFUNCTION("""COMPUTED_VALUE"""),11110.0)</f>
        <v>11110</v>
      </c>
      <c r="AD969" s="3">
        <f>IFERROR(__xludf.DUMMYFUNCTION("""COMPUTED_VALUE"""),13.9509677)</f>
        <v>13.9509677</v>
      </c>
      <c r="AE969" s="3">
        <f>IFERROR(__xludf.DUMMYFUNCTION("""COMPUTED_VALUE"""),100.4099284)</f>
        <v>100.4099284</v>
      </c>
      <c r="AF969" s="3" t="str">
        <f>IFERROR(__xludf.DUMMYFUNCTION("""COMPUTED_VALUE"""),"MBC เอสโซ่ บางบัวทอง นนทบุรี-21739")</f>
        <v>MBC เอสโซ่ บางบัวทอง นนทบุรี-21739</v>
      </c>
      <c r="AG969" s="3" t="str">
        <f>IFERROR(__xludf.DUMMYFUNCTION("""COMPUTED_VALUE"""),"กลาง")</f>
        <v>กลาง</v>
      </c>
      <c r="AH969" s="3" t="str">
        <f>IFERROR(__xludf.DUMMYFUNCTION("""COMPUTED_VALUE"""),"#N/A")</f>
        <v>#N/A</v>
      </c>
      <c r="AI969" s="3" t="str">
        <f>IFERROR(__xludf.DUMMYFUNCTION("""COMPUTED_VALUE"""),"Out of warranty")</f>
        <v>Out of warranty</v>
      </c>
      <c r="AJ969" s="3">
        <f>IFERROR(__xludf.DUMMYFUNCTION("""COMPUTED_VALUE"""),85.0)</f>
        <v>85</v>
      </c>
      <c r="AK969" s="3" t="str">
        <f>IFERROR(__xludf.DUMMYFUNCTION("""COMPUTED_VALUE"""),"MMS04")</f>
        <v>MMS04</v>
      </c>
      <c r="AL969" s="3"/>
    </row>
    <row r="970" ht="15.75" customHeight="1">
      <c r="A970" s="1" t="str">
        <f>IFERROR(__xludf.DUMMYFUNCTION("""COMPUTED_VALUE"""),"21741")</f>
        <v>21741</v>
      </c>
      <c r="B970" s="2">
        <f>IFERROR(__xludf.DUMMYFUNCTION("""COMPUTED_VALUE"""),21741.0)</f>
        <v>21741</v>
      </c>
      <c r="C970" s="3" t="str">
        <f>IFERROR(__xludf.DUMMYFUNCTION("""COMPUTED_VALUE"""),"MBC เชลล์ เกาะคา ลาปาง")</f>
        <v>MBC เชลล์ เกาะคา ลาปาง</v>
      </c>
      <c r="D970" s="3" t="str">
        <f>IFERROR(__xludf.DUMMYFUNCTION("""COMPUTED_VALUE"""),"BCM SHELL KOKHA, LAMPANG")</f>
        <v>BCM SHELL KOKHA, LAMPANG</v>
      </c>
      <c r="E970" s="1" t="str">
        <f>IFERROR(__xludf.DUMMYFUNCTION("""COMPUTED_VALUE"""),"บิ๊กซี MINI")</f>
        <v>บิ๊กซี MINI</v>
      </c>
      <c r="F970" s="1" t="str">
        <f>IFERROR(__xludf.DUMMYFUNCTION("""COMPUTED_VALUE"""),"296229")</f>
        <v>296229</v>
      </c>
      <c r="G970" s="1" t="str">
        <f>IFERROR(__xludf.DUMMYFUNCTION("""COMPUTED_VALUE"""),"นายทนงศักดิ์ บุญมา")</f>
        <v>นายทนงศักดิ์ บุญมา</v>
      </c>
      <c r="H970" s="1" t="str">
        <f>IFERROR(__xludf.DUMMYFUNCTION("""COMPUTED_VALUE"""),"372826")</f>
        <v>372826</v>
      </c>
      <c r="I970" s="1" t="str">
        <f>IFERROR(__xludf.DUMMYFUNCTION("""COMPUTED_VALUE"""),"นายพงศกร สุขแก้ว")</f>
        <v>นายพงศกร สุขแก้ว</v>
      </c>
      <c r="J970" s="3">
        <f>IFERROR(__xludf.DUMMYFUNCTION("""COMPUTED_VALUE"""),2010016.0)</f>
        <v>2010016</v>
      </c>
      <c r="K970" s="3" t="str">
        <f>IFERROR(__xludf.DUMMYFUNCTION("""COMPUTED_VALUE"""),"นายตวงธรรม ใหม่ยศ")</f>
        <v>นายตวงธรรม ใหม่ยศ</v>
      </c>
      <c r="L970" s="1" t="str">
        <f>IFERROR(__xludf.DUMMYFUNCTION("""COMPUTED_VALUE"""),"01 K.Tuangtham M.")</f>
        <v>01 K.Tuangtham M.</v>
      </c>
      <c r="M970" s="1" t="str">
        <f>IFERROR(__xludf.DUMMYFUNCTION("""COMPUTED_VALUE"""),"063-976-595")</f>
        <v>063-976-595</v>
      </c>
      <c r="N970" s="3">
        <f>IFERROR(__xludf.DUMMYFUNCTION("""COMPUTED_VALUE"""),22574.0)</f>
        <v>22574</v>
      </c>
      <c r="O970" s="3" t="str">
        <f>IFERROR(__xludf.DUMMYFUNCTION("""COMPUTED_VALUE"""),"BCM ชุมชนศรีชุม ลำปาง")</f>
        <v>BCM ชุมชนศรีชุม ลำปาง</v>
      </c>
      <c r="P970" s="4">
        <f>IFERROR(__xludf.DUMMYFUNCTION("""COMPUTED_VALUE"""),43426.0)</f>
        <v>43426</v>
      </c>
      <c r="Q970" s="3" t="str">
        <f>IFERROR(__xludf.DUMMYFUNCTION("""COMPUTED_VALUE"""),"A")</f>
        <v>A</v>
      </c>
      <c r="R970" s="3" t="str">
        <f>IFERROR(__xludf.DUMMYFUNCTION("""COMPUTED_VALUE"""),"Small Format")</f>
        <v>Small Format</v>
      </c>
      <c r="S970" s="3" t="str">
        <f>IFERROR(__xludf.DUMMYFUNCTION("""COMPUTED_VALUE"""),"BCM")</f>
        <v>BCM</v>
      </c>
      <c r="T970" s="3" t="str">
        <f>IFERROR(__xludf.DUMMYFUNCTION("""COMPUTED_VALUE"""),"#N/A")</f>
        <v>#N/A</v>
      </c>
      <c r="U970" s="3" t="str">
        <f>IFERROR(__xludf.DUMMYFUNCTION("""COMPUTED_VALUE"""),"#N/A")</f>
        <v>#N/A</v>
      </c>
      <c r="V970" s="3" t="str">
        <f>IFERROR(__xludf.DUMMYFUNCTION("""COMPUTED_VALUE"""),"N")</f>
        <v>N</v>
      </c>
      <c r="W970" s="3">
        <f>IFERROR(__xludf.DUMMYFUNCTION("""COMPUTED_VALUE"""),211745.0)</f>
        <v>211745</v>
      </c>
      <c r="X970" s="3" t="str">
        <f>IFERROR(__xludf.DUMMYFUNCTION("""COMPUTED_VALUE"""),"464/1 หมู่11 ตำบลชมพู อำเภอเมืองลำปาง จังหวัดลำปาง 52100")</f>
        <v>464/1 หมู่11 ตำบลชมพู อำเภอเมืองลำปาง จังหวัดลำปาง 52100</v>
      </c>
      <c r="Y970" s="3"/>
      <c r="Z970" s="3" t="str">
        <f>IFERROR(__xludf.DUMMYFUNCTION("""COMPUTED_VALUE"""),"ชมพู")</f>
        <v>ชมพู</v>
      </c>
      <c r="AA970" s="3" t="str">
        <f>IFERROR(__xludf.DUMMYFUNCTION("""COMPUTED_VALUE"""),"เมือง")</f>
        <v>เมือง</v>
      </c>
      <c r="AB970" s="3" t="str">
        <f>IFERROR(__xludf.DUMMYFUNCTION("""COMPUTED_VALUE"""),"ลำปาง")</f>
        <v>ลำปาง</v>
      </c>
      <c r="AC970" s="3">
        <f>IFERROR(__xludf.DUMMYFUNCTION("""COMPUTED_VALUE"""),52100.0)</f>
        <v>52100</v>
      </c>
      <c r="AD970" s="3">
        <f>IFERROR(__xludf.DUMMYFUNCTION("""COMPUTED_VALUE"""),18.2346751)</f>
        <v>18.2346751</v>
      </c>
      <c r="AE970" s="3">
        <f>IFERROR(__xludf.DUMMYFUNCTION("""COMPUTED_VALUE"""),99.4344845)</f>
        <v>99.4344845</v>
      </c>
      <c r="AF970" s="3" t="str">
        <f>IFERROR(__xludf.DUMMYFUNCTION("""COMPUTED_VALUE"""),"MBC เชลล์ เกาะคา ลาปาง-21741")</f>
        <v>MBC เชลล์ เกาะคา ลาปาง-21741</v>
      </c>
      <c r="AG970" s="3" t="str">
        <f>IFERROR(__xludf.DUMMYFUNCTION("""COMPUTED_VALUE"""),"เหนือ")</f>
        <v>เหนือ</v>
      </c>
      <c r="AH970" s="3" t="str">
        <f>IFERROR(__xludf.DUMMYFUNCTION("""COMPUTED_VALUE"""),"#N/A")</f>
        <v>#N/A</v>
      </c>
      <c r="AI970" s="3" t="str">
        <f>IFERROR(__xludf.DUMMYFUNCTION("""COMPUTED_VALUE"""),"Out of warranty")</f>
        <v>Out of warranty</v>
      </c>
      <c r="AJ970" s="3">
        <f>IFERROR(__xludf.DUMMYFUNCTION("""COMPUTED_VALUE"""),86.0)</f>
        <v>86</v>
      </c>
      <c r="AK970" s="3" t="str">
        <f>IFERROR(__xludf.DUMMYFUNCTION("""COMPUTED_VALUE"""),"MMS10")</f>
        <v>MMS10</v>
      </c>
      <c r="AL970" s="3"/>
    </row>
    <row r="971" ht="15.75" customHeight="1">
      <c r="A971" s="1" t="str">
        <f>IFERROR(__xludf.DUMMYFUNCTION("""COMPUTED_VALUE"""),"21742")</f>
        <v>21742</v>
      </c>
      <c r="B971" s="2">
        <f>IFERROR(__xludf.DUMMYFUNCTION("""COMPUTED_VALUE"""),21742.0)</f>
        <v>21742</v>
      </c>
      <c r="C971" s="3" t="str">
        <f>IFERROR(__xludf.DUMMYFUNCTION("""COMPUTED_VALUE"""),"MBC คาลเท็กซ์ สามโคก ปทุมธานี")</f>
        <v>MBC คาลเท็กซ์ สามโคก ปทุมธานี</v>
      </c>
      <c r="D971" s="3" t="str">
        <f>IFERROR(__xludf.DUMMYFUNCTION("""COMPUTED_VALUE"""),"BCM CALTEX SAM KHOK")</f>
        <v>BCM CALTEX SAM KHOK</v>
      </c>
      <c r="E971" s="1" t="str">
        <f>IFERROR(__xludf.DUMMYFUNCTION("""COMPUTED_VALUE"""),"บิ๊กซี MINI")</f>
        <v>บิ๊กซี MINI</v>
      </c>
      <c r="F971" s="1" t="str">
        <f>IFERROR(__xludf.DUMMYFUNCTION("""COMPUTED_VALUE"""),"2083447")</f>
        <v>2083447</v>
      </c>
      <c r="G971" s="1" t="str">
        <f>IFERROR(__xludf.DUMMYFUNCTION("""COMPUTED_VALUE"""),"นายอนุกูล ศรีลัดดา")</f>
        <v>นายอนุกูล ศรีลัดดา</v>
      </c>
      <c r="H971" s="1" t="str">
        <f>IFERROR(__xludf.DUMMYFUNCTION("""COMPUTED_VALUE"""),"373849")</f>
        <v>373849</v>
      </c>
      <c r="I971" s="1" t="str">
        <f>IFERROR(__xludf.DUMMYFUNCTION("""COMPUTED_VALUE"""),"น.ส.อรอุมา นิ่มวิศิษย์")</f>
        <v>น.ส.อรอุมา นิ่มวิศิษย์</v>
      </c>
      <c r="J971" s="3">
        <f>IFERROR(__xludf.DUMMYFUNCTION("""COMPUTED_VALUE"""),2451655.0)</f>
        <v>2451655</v>
      </c>
      <c r="K971" s="3" t="str">
        <f>IFERROR(__xludf.DUMMYFUNCTION("""COMPUTED_VALUE"""),"นายวิษณุพงษ์ ชินบุตร")</f>
        <v>นายวิษณุพงษ์ ชินบุตร</v>
      </c>
      <c r="L971" s="1" t="str">
        <f>IFERROR(__xludf.DUMMYFUNCTION("""COMPUTED_VALUE"""),"13 K.Wisanupong Ch")</f>
        <v>13 K.Wisanupong Ch</v>
      </c>
      <c r="M971" s="1" t="str">
        <f>IFERROR(__xludf.DUMMYFUNCTION("""COMPUTED_VALUE"""),"0843374693")</f>
        <v>0843374693</v>
      </c>
      <c r="N971" s="3">
        <f>IFERROR(__xludf.DUMMYFUNCTION("""COMPUTED_VALUE"""),21494.0)</f>
        <v>21494</v>
      </c>
      <c r="O971" s="3" t="str">
        <f>IFERROR(__xludf.DUMMYFUNCTION("""COMPUTED_VALUE"""),"MBC บ้านกรด")</f>
        <v>MBC บ้านกรด</v>
      </c>
      <c r="P971" s="4">
        <f>IFERROR(__xludf.DUMMYFUNCTION("""COMPUTED_VALUE"""),43453.0)</f>
        <v>43453</v>
      </c>
      <c r="Q971" s="3" t="str">
        <f>IFERROR(__xludf.DUMMYFUNCTION("""COMPUTED_VALUE"""),"I")</f>
        <v>I</v>
      </c>
      <c r="R971" s="3" t="str">
        <f>IFERROR(__xludf.DUMMYFUNCTION("""COMPUTED_VALUE"""),"Small Format")</f>
        <v>Small Format</v>
      </c>
      <c r="S971" s="3" t="str">
        <f>IFERROR(__xludf.DUMMYFUNCTION("""COMPUTED_VALUE"""),"BCM")</f>
        <v>BCM</v>
      </c>
      <c r="T971" s="3" t="str">
        <f>IFERROR(__xludf.DUMMYFUNCTION("""COMPUTED_VALUE"""),"#N/A")</f>
        <v>#N/A</v>
      </c>
      <c r="U971" s="3" t="str">
        <f>IFERROR(__xludf.DUMMYFUNCTION("""COMPUTED_VALUE"""),"#N/A")</f>
        <v>#N/A</v>
      </c>
      <c r="V971" s="3" t="str">
        <f>IFERROR(__xludf.DUMMYFUNCTION("""COMPUTED_VALUE"""),"N")</f>
        <v>N</v>
      </c>
      <c r="W971" s="3">
        <f>IFERROR(__xludf.DUMMYFUNCTION("""COMPUTED_VALUE"""),211739.0)</f>
        <v>211739</v>
      </c>
      <c r="X971" s="3" t="str">
        <f>IFERROR(__xludf.DUMMYFUNCTION("""COMPUTED_VALUE"""),"72/8 หมู่2 ตำบลสามโคก อำเภอสามโคก จังหวัดปทุมธานี 12160")</f>
        <v>72/8 หมู่2 ตำบลสามโคก อำเภอสามโคก จังหวัดปทุมธานี 12160</v>
      </c>
      <c r="Y971" s="3"/>
      <c r="Z971" s="3" t="str">
        <f>IFERROR(__xludf.DUMMYFUNCTION("""COMPUTED_VALUE"""),"สามโคก")</f>
        <v>สามโคก</v>
      </c>
      <c r="AA971" s="3" t="str">
        <f>IFERROR(__xludf.DUMMYFUNCTION("""COMPUTED_VALUE"""),"สามโคก")</f>
        <v>สามโคก</v>
      </c>
      <c r="AB971" s="3" t="str">
        <f>IFERROR(__xludf.DUMMYFUNCTION("""COMPUTED_VALUE"""),"ปทุมธานี")</f>
        <v>ปทุมธานี</v>
      </c>
      <c r="AC971" s="3">
        <f>IFERROR(__xludf.DUMMYFUNCTION("""COMPUTED_VALUE"""),12160.0)</f>
        <v>12160</v>
      </c>
      <c r="AD971" s="3">
        <f>IFERROR(__xludf.DUMMYFUNCTION("""COMPUTED_VALUE"""),14.0453579)</f>
        <v>14.0453579</v>
      </c>
      <c r="AE971" s="3">
        <f>IFERROR(__xludf.DUMMYFUNCTION("""COMPUTED_VALUE"""),100.5252836)</f>
        <v>100.5252836</v>
      </c>
      <c r="AF971" s="3" t="str">
        <f>IFERROR(__xludf.DUMMYFUNCTION("""COMPUTED_VALUE"""),"MBC คาลเท็กซ์ สามโคก ปทุมธานี-21742")</f>
        <v>MBC คาลเท็กซ์ สามโคก ปทุมธานี-21742</v>
      </c>
      <c r="AG971" s="3" t="str">
        <f>IFERROR(__xludf.DUMMYFUNCTION("""COMPUTED_VALUE"""),"กลาง")</f>
        <v>กลาง</v>
      </c>
      <c r="AH971" s="3" t="str">
        <f>IFERROR(__xludf.DUMMYFUNCTION("""COMPUTED_VALUE"""),"#N/A")</f>
        <v>#N/A</v>
      </c>
      <c r="AI971" s="3" t="str">
        <f>IFERROR(__xludf.DUMMYFUNCTION("""COMPUTED_VALUE"""),"Out of warranty")</f>
        <v>Out of warranty</v>
      </c>
      <c r="AJ971" s="3">
        <f>IFERROR(__xludf.DUMMYFUNCTION("""COMPUTED_VALUE"""),86.0)</f>
        <v>86</v>
      </c>
      <c r="AK971" s="3" t="str">
        <f>IFERROR(__xludf.DUMMYFUNCTION("""COMPUTED_VALUE"""),"MMS04")</f>
        <v>MMS04</v>
      </c>
      <c r="AL971" s="3"/>
    </row>
    <row r="972" ht="15.75" customHeight="1">
      <c r="A972" s="1" t="str">
        <f>IFERROR(__xludf.DUMMYFUNCTION("""COMPUTED_VALUE"""),"21743")</f>
        <v>21743</v>
      </c>
      <c r="B972" s="2">
        <f>IFERROR(__xludf.DUMMYFUNCTION("""COMPUTED_VALUE"""),21743.0)</f>
        <v>21743</v>
      </c>
      <c r="C972" s="3" t="str">
        <f>IFERROR(__xludf.DUMMYFUNCTION("""COMPUTED_VALUE"""),"MBC เอสโซ่ หนองหาน อุดรธานี")</f>
        <v>MBC เอสโซ่ หนองหาน อุดรธานี</v>
      </c>
      <c r="D972" s="3" t="str">
        <f>IFERROR(__xludf.DUMMYFUNCTION("""COMPUTED_VALUE"""),"BCM ESSO NONG HAN, UDON THANI")</f>
        <v>BCM ESSO NONG HAN, UDON THANI</v>
      </c>
      <c r="E972" s="1" t="str">
        <f>IFERROR(__xludf.DUMMYFUNCTION("""COMPUTED_VALUE"""),"บิ๊กซี MINI")</f>
        <v>บิ๊กซี MINI</v>
      </c>
      <c r="F972" s="1" t="str">
        <f>IFERROR(__xludf.DUMMYFUNCTION("""COMPUTED_VALUE"""),"291105")</f>
        <v>291105</v>
      </c>
      <c r="G972" s="1" t="str">
        <f>IFERROR(__xludf.DUMMYFUNCTION("""COMPUTED_VALUE"""),"นายสราวุฒิ พณิชยกุล")</f>
        <v>นายสราวุฒิ พณิชยกุล</v>
      </c>
      <c r="H972" s="1" t="str">
        <f>IFERROR(__xludf.DUMMYFUNCTION("""COMPUTED_VALUE"""),"392885")</f>
        <v>392885</v>
      </c>
      <c r="I972" s="1" t="str">
        <f>IFERROR(__xludf.DUMMYFUNCTION("""COMPUTED_VALUE"""),"น.ส.วราพร จันปลิว")</f>
        <v>น.ส.วราพร จันปลิว</v>
      </c>
      <c r="J972" s="3">
        <f>IFERROR(__xludf.DUMMYFUNCTION("""COMPUTED_VALUE"""),296868.0)</f>
        <v>296868</v>
      </c>
      <c r="K972" s="3" t="str">
        <f>IFERROR(__xludf.DUMMYFUNCTION("""COMPUTED_VALUE"""),"นายพีระพงษ์ แก้วดวงดี")</f>
        <v>นายพีระพงษ์ แก้วดวงดี</v>
      </c>
      <c r="L972" s="1" t="str">
        <f>IFERROR(__xludf.DUMMYFUNCTION("""COMPUTED_VALUE"""),"03 K.Peerapong K.")</f>
        <v>03 K.Peerapong K.</v>
      </c>
      <c r="M972" s="1" t="str">
        <f>IFERROR(__xludf.DUMMYFUNCTION("""COMPUTED_VALUE"""),"089-002-6599")</f>
        <v>089-002-6599</v>
      </c>
      <c r="N972" s="3">
        <f>IFERROR(__xludf.DUMMYFUNCTION("""COMPUTED_VALUE"""),21946.0)</f>
        <v>21946</v>
      </c>
      <c r="O972" s="3" t="str">
        <f>IFERROR(__xludf.DUMMYFUNCTION("""COMPUTED_VALUE"""),"MBC เซกา บึงกาฬ")</f>
        <v>MBC เซกา บึงกาฬ</v>
      </c>
      <c r="P972" s="4">
        <f>IFERROR(__xludf.DUMMYFUNCTION("""COMPUTED_VALUE"""),43457.0)</f>
        <v>43457</v>
      </c>
      <c r="Q972" s="3" t="str">
        <f>IFERROR(__xludf.DUMMYFUNCTION("""COMPUTED_VALUE"""),"A")</f>
        <v>A</v>
      </c>
      <c r="R972" s="3" t="str">
        <f>IFERROR(__xludf.DUMMYFUNCTION("""COMPUTED_VALUE"""),"Small Format")</f>
        <v>Small Format</v>
      </c>
      <c r="S972" s="3" t="str">
        <f>IFERROR(__xludf.DUMMYFUNCTION("""COMPUTED_VALUE"""),"BCM")</f>
        <v>BCM</v>
      </c>
      <c r="T972" s="3" t="str">
        <f>IFERROR(__xludf.DUMMYFUNCTION("""COMPUTED_VALUE"""),"#N/A")</f>
        <v>#N/A</v>
      </c>
      <c r="U972" s="3" t="str">
        <f>IFERROR(__xludf.DUMMYFUNCTION("""COMPUTED_VALUE"""),"#N/A")</f>
        <v>#N/A</v>
      </c>
      <c r="V972" s="3" t="str">
        <f>IFERROR(__xludf.DUMMYFUNCTION("""COMPUTED_VALUE"""),"N")</f>
        <v>N</v>
      </c>
      <c r="W972" s="3">
        <f>IFERROR(__xludf.DUMMYFUNCTION("""COMPUTED_VALUE"""),211717.0)</f>
        <v>211717</v>
      </c>
      <c r="X972" s="3" t="str">
        <f>IFERROR(__xludf.DUMMYFUNCTION("""COMPUTED_VALUE"""),"246/1 หมู่11 ตำบลหนองหาน อำเภอหนองหาน จังหวัดอุดรธานี 41130")</f>
        <v>246/1 หมู่11 ตำบลหนองหาน อำเภอหนองหาน จังหวัดอุดรธานี 41130</v>
      </c>
      <c r="Y972" s="3"/>
      <c r="Z972" s="3" t="str">
        <f>IFERROR(__xludf.DUMMYFUNCTION("""COMPUTED_VALUE"""),"หนองหาน")</f>
        <v>หนองหาน</v>
      </c>
      <c r="AA972" s="3" t="str">
        <f>IFERROR(__xludf.DUMMYFUNCTION("""COMPUTED_VALUE"""),"หนองหาน")</f>
        <v>หนองหาน</v>
      </c>
      <c r="AB972" s="3" t="str">
        <f>IFERROR(__xludf.DUMMYFUNCTION("""COMPUTED_VALUE"""),"อุดรธานี")</f>
        <v>อุดรธานี</v>
      </c>
      <c r="AC972" s="3">
        <f>IFERROR(__xludf.DUMMYFUNCTION("""COMPUTED_VALUE"""),41130.0)</f>
        <v>41130</v>
      </c>
      <c r="AD972" s="3">
        <f>IFERROR(__xludf.DUMMYFUNCTION("""COMPUTED_VALUE"""),17.3624909)</f>
        <v>17.3624909</v>
      </c>
      <c r="AE972" s="3">
        <f>IFERROR(__xludf.DUMMYFUNCTION("""COMPUTED_VALUE"""),103.1128837)</f>
        <v>103.1128837</v>
      </c>
      <c r="AF972" s="3" t="str">
        <f>IFERROR(__xludf.DUMMYFUNCTION("""COMPUTED_VALUE"""),"MBC เอสโซ่ หนองหาน อุดรธานี-21743")</f>
        <v>MBC เอสโซ่ หนองหาน อุดรธานี-21743</v>
      </c>
      <c r="AG972" s="3" t="str">
        <f>IFERROR(__xludf.DUMMYFUNCTION("""COMPUTED_VALUE"""),"ตะวันออกเฉียงเหนือ")</f>
        <v>ตะวันออกเฉียงเหนือ</v>
      </c>
      <c r="AH972" s="3" t="str">
        <f>IFERROR(__xludf.DUMMYFUNCTION("""COMPUTED_VALUE"""),"#N/A")</f>
        <v>#N/A</v>
      </c>
      <c r="AI972" s="3" t="str">
        <f>IFERROR(__xludf.DUMMYFUNCTION("""COMPUTED_VALUE"""),"Out of warranty")</f>
        <v>Out of warranty</v>
      </c>
      <c r="AJ972" s="3">
        <f>IFERROR(__xludf.DUMMYFUNCTION("""COMPUTED_VALUE"""),85.0)</f>
        <v>85</v>
      </c>
      <c r="AK972" s="3" t="str">
        <f>IFERROR(__xludf.DUMMYFUNCTION("""COMPUTED_VALUE"""),"MMS12")</f>
        <v>MMS12</v>
      </c>
      <c r="AL972" s="3"/>
    </row>
    <row r="973" ht="15.75" customHeight="1">
      <c r="A973" s="1" t="str">
        <f>IFERROR(__xludf.DUMMYFUNCTION("""COMPUTED_VALUE"""),"21744")</f>
        <v>21744</v>
      </c>
      <c r="B973" s="2">
        <f>IFERROR(__xludf.DUMMYFUNCTION("""COMPUTED_VALUE"""),21744.0)</f>
        <v>21744</v>
      </c>
      <c r="C973" s="3" t="str">
        <f>IFERROR(__xludf.DUMMYFUNCTION("""COMPUTED_VALUE"""),"MBC ซีเอสโซ่บ้านตาก ตาก")</f>
        <v>MBC ซีเอสโซ่บ้านตาก ตาก</v>
      </c>
      <c r="D973" s="3" t="str">
        <f>IFERROR(__xludf.DUMMYFUNCTION("""COMPUTED_VALUE"""),"BCM ESSO BAN TAK, TAK")</f>
        <v>BCM ESSO BAN TAK, TAK</v>
      </c>
      <c r="E973" s="1" t="str">
        <f>IFERROR(__xludf.DUMMYFUNCTION("""COMPUTED_VALUE"""),"บิ๊กซี MINI")</f>
        <v>บิ๊กซี MINI</v>
      </c>
      <c r="F973" s="1" t="str">
        <f>IFERROR(__xludf.DUMMYFUNCTION("""COMPUTED_VALUE"""),"296229")</f>
        <v>296229</v>
      </c>
      <c r="G973" s="1" t="str">
        <f>IFERROR(__xludf.DUMMYFUNCTION("""COMPUTED_VALUE"""),"นายทนงศักดิ์ บุญมา")</f>
        <v>นายทนงศักดิ์ บุญมา</v>
      </c>
      <c r="H973" s="1" t="str">
        <f>IFERROR(__xludf.DUMMYFUNCTION("""COMPUTED_VALUE"""),"373680")</f>
        <v>373680</v>
      </c>
      <c r="I973" s="1" t="str">
        <f>IFERROR(__xludf.DUMMYFUNCTION("""COMPUTED_VALUE"""),"นายวสันต์ พรรณราย")</f>
        <v>นายวสันต์ พรรณราย</v>
      </c>
      <c r="J973" s="3">
        <f>IFERROR(__xludf.DUMMYFUNCTION("""COMPUTED_VALUE"""),46214.0)</f>
        <v>46214</v>
      </c>
      <c r="K973" s="3" t="str">
        <f>IFERROR(__xludf.DUMMYFUNCTION("""COMPUTED_VALUE"""),"นายศักดิ์ชัย เด็ดดอกฟ้า")</f>
        <v>นายศักดิ์ชัย เด็ดดอกฟ้า</v>
      </c>
      <c r="L973" s="1" t="str">
        <f>IFERROR(__xludf.DUMMYFUNCTION("""COMPUTED_VALUE"""),"02 K.Sakchai D")</f>
        <v>02 K.Sakchai D</v>
      </c>
      <c r="M973" s="1" t="str">
        <f>IFERROR(__xludf.DUMMYFUNCTION("""COMPUTED_VALUE"""),"065-510-7376")</f>
        <v>065-510-7376</v>
      </c>
      <c r="N973" s="3">
        <f>IFERROR(__xludf.DUMMYFUNCTION("""COMPUTED_VALUE"""),21714.0)</f>
        <v>21714</v>
      </c>
      <c r="O973" s="3" t="str">
        <f>IFERROR(__xludf.DUMMYFUNCTION("""COMPUTED_VALUE"""),"MBC เอสโซ่ วัดโบสถ์")</f>
        <v>MBC เอสโซ่ วัดโบสถ์</v>
      </c>
      <c r="P973" s="4">
        <f>IFERROR(__xludf.DUMMYFUNCTION("""COMPUTED_VALUE"""),43456.0)</f>
        <v>43456</v>
      </c>
      <c r="Q973" s="3" t="str">
        <f>IFERROR(__xludf.DUMMYFUNCTION("""COMPUTED_VALUE"""),"A")</f>
        <v>A</v>
      </c>
      <c r="R973" s="3" t="str">
        <f>IFERROR(__xludf.DUMMYFUNCTION("""COMPUTED_VALUE"""),"Small Format")</f>
        <v>Small Format</v>
      </c>
      <c r="S973" s="3" t="str">
        <f>IFERROR(__xludf.DUMMYFUNCTION("""COMPUTED_VALUE"""),"BCM")</f>
        <v>BCM</v>
      </c>
      <c r="T973" s="3" t="str">
        <f>IFERROR(__xludf.DUMMYFUNCTION("""COMPUTED_VALUE"""),"#N/A")</f>
        <v>#N/A</v>
      </c>
      <c r="U973" s="3" t="str">
        <f>IFERROR(__xludf.DUMMYFUNCTION("""COMPUTED_VALUE"""),"#N/A")</f>
        <v>#N/A</v>
      </c>
      <c r="V973" s="3" t="str">
        <f>IFERROR(__xludf.DUMMYFUNCTION("""COMPUTED_VALUE"""),"N")</f>
        <v>N</v>
      </c>
      <c r="W973" s="3">
        <f>IFERROR(__xludf.DUMMYFUNCTION("""COMPUTED_VALUE"""),211735.0)</f>
        <v>211735</v>
      </c>
      <c r="X973" s="3" t="str">
        <f>IFERROR(__xludf.DUMMYFUNCTION("""COMPUTED_VALUE"""),"85/1 หมู่6 ตำบลแม่สลิด อำเภอบ้านตาก จังหวัดตาก 63120")</f>
        <v>85/1 หมู่6 ตำบลแม่สลิด อำเภอบ้านตาก จังหวัดตาก 63120</v>
      </c>
      <c r="Y973" s="3"/>
      <c r="Z973" s="3" t="str">
        <f>IFERROR(__xludf.DUMMYFUNCTION("""COMPUTED_VALUE"""),"แม่สลิด")</f>
        <v>แม่สลิด</v>
      </c>
      <c r="AA973" s="3" t="str">
        <f>IFERROR(__xludf.DUMMYFUNCTION("""COMPUTED_VALUE"""),"บ้านตาก")</f>
        <v>บ้านตาก</v>
      </c>
      <c r="AB973" s="3" t="str">
        <f>IFERROR(__xludf.DUMMYFUNCTION("""COMPUTED_VALUE"""),"ตาก")</f>
        <v>ตาก</v>
      </c>
      <c r="AC973" s="3">
        <f>IFERROR(__xludf.DUMMYFUNCTION("""COMPUTED_VALUE"""),63120.0)</f>
        <v>63120</v>
      </c>
      <c r="AD973" s="3">
        <f>IFERROR(__xludf.DUMMYFUNCTION("""COMPUTED_VALUE"""),17.1594192)</f>
        <v>17.1594192</v>
      </c>
      <c r="AE973" s="3">
        <f>IFERROR(__xludf.DUMMYFUNCTION("""COMPUTED_VALUE"""),99.1321884)</f>
        <v>99.1321884</v>
      </c>
      <c r="AF973" s="3" t="str">
        <f>IFERROR(__xludf.DUMMYFUNCTION("""COMPUTED_VALUE"""),"MBC ซีเอสโซ่บ้านตาก ตาก-21744")</f>
        <v>MBC ซีเอสโซ่บ้านตาก ตาก-21744</v>
      </c>
      <c r="AG973" s="3" t="str">
        <f>IFERROR(__xludf.DUMMYFUNCTION("""COMPUTED_VALUE"""),"ตะวันตก")</f>
        <v>ตะวันตก</v>
      </c>
      <c r="AH973" s="3" t="str">
        <f>IFERROR(__xludf.DUMMYFUNCTION("""COMPUTED_VALUE"""),"#N/A")</f>
        <v>#N/A</v>
      </c>
      <c r="AI973" s="3" t="str">
        <f>IFERROR(__xludf.DUMMYFUNCTION("""COMPUTED_VALUE"""),"Out of warranty")</f>
        <v>Out of warranty</v>
      </c>
      <c r="AJ973" s="3">
        <f>IFERROR(__xludf.DUMMYFUNCTION("""COMPUTED_VALUE"""),85.0)</f>
        <v>85</v>
      </c>
      <c r="AK973" s="3" t="str">
        <f>IFERROR(__xludf.DUMMYFUNCTION("""COMPUTED_VALUE"""),"MMS10")</f>
        <v>MMS10</v>
      </c>
      <c r="AL973" s="3"/>
    </row>
    <row r="974" ht="15.75" customHeight="1">
      <c r="A974" s="1" t="str">
        <f>IFERROR(__xludf.DUMMYFUNCTION("""COMPUTED_VALUE"""),"21745")</f>
        <v>21745</v>
      </c>
      <c r="B974" s="2">
        <f>IFERROR(__xludf.DUMMYFUNCTION("""COMPUTED_VALUE"""),21745.0)</f>
        <v>21745</v>
      </c>
      <c r="C974" s="3" t="str">
        <f>IFERROR(__xludf.DUMMYFUNCTION("""COMPUTED_VALUE"""),"MBC ปาดังเบซาร์ สงขลา")</f>
        <v>MBC ปาดังเบซาร์ สงขลา</v>
      </c>
      <c r="D974" s="3" t="str">
        <f>IFERROR(__xludf.DUMMYFUNCTION("""COMPUTED_VALUE"""),"BCM PADANG BESAR, SONGKHLA")</f>
        <v>BCM PADANG BESAR, SONGKHLA</v>
      </c>
      <c r="E974" s="1" t="str">
        <f>IFERROR(__xludf.DUMMYFUNCTION("""COMPUTED_VALUE"""),"บิ๊กซี MINI")</f>
        <v>บิ๊กซี MINI</v>
      </c>
      <c r="F974" s="1" t="str">
        <f>IFERROR(__xludf.DUMMYFUNCTION("""COMPUTED_VALUE"""),"250760")</f>
        <v>250760</v>
      </c>
      <c r="G974" s="1" t="str">
        <f>IFERROR(__xludf.DUMMYFUNCTION("""COMPUTED_VALUE"""),"นายประทวน สาราบรรณ์")</f>
        <v>นายประทวน สาราบรรณ์</v>
      </c>
      <c r="H974" s="1" t="str">
        <f>IFERROR(__xludf.DUMMYFUNCTION("""COMPUTED_VALUE"""),"394185")</f>
        <v>394185</v>
      </c>
      <c r="I974" s="1" t="str">
        <f>IFERROR(__xludf.DUMMYFUNCTION("""COMPUTED_VALUE"""),"น.ส.ฐาปนี สุวรรณรัตน์")</f>
        <v>น.ส.ฐาปนี สุวรรณรัตน์</v>
      </c>
      <c r="J974" s="3">
        <f>IFERROR(__xludf.DUMMYFUNCTION("""COMPUTED_VALUE"""),2.0470331E7)</f>
        <v>20470331</v>
      </c>
      <c r="K974" s="3" t="str">
        <f>IFERROR(__xludf.DUMMYFUNCTION("""COMPUTED_VALUE"""),"นายสมชาย ลักษณะสุวรรณ")</f>
        <v>นายสมชาย ลักษณะสุวรรณ</v>
      </c>
      <c r="L974" s="1" t="str">
        <f>IFERROR(__xludf.DUMMYFUNCTION("""COMPUTED_VALUE"""),"15 K.Somchai L")</f>
        <v>15 K.Somchai L</v>
      </c>
      <c r="M974" s="1" t="str">
        <f>IFERROR(__xludf.DUMMYFUNCTION("""COMPUTED_VALUE"""),"0655107372")</f>
        <v>0655107372</v>
      </c>
      <c r="N974" s="3">
        <f>IFERROR(__xludf.DUMMYFUNCTION("""COMPUTED_VALUE"""),21723.0)</f>
        <v>21723</v>
      </c>
      <c r="O974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974" s="4">
        <f>IFERROR(__xludf.DUMMYFUNCTION("""COMPUTED_VALUE"""),43447.0)</f>
        <v>43447</v>
      </c>
      <c r="Q974" s="3" t="str">
        <f>IFERROR(__xludf.DUMMYFUNCTION("""COMPUTED_VALUE"""),"A")</f>
        <v>A</v>
      </c>
      <c r="R974" s="3" t="str">
        <f>IFERROR(__xludf.DUMMYFUNCTION("""COMPUTED_VALUE"""),"Small Format")</f>
        <v>Small Format</v>
      </c>
      <c r="S974" s="3" t="str">
        <f>IFERROR(__xludf.DUMMYFUNCTION("""COMPUTED_VALUE"""),"BCM")</f>
        <v>BCM</v>
      </c>
      <c r="T974" s="3" t="str">
        <f>IFERROR(__xludf.DUMMYFUNCTION("""COMPUTED_VALUE"""),"#N/A")</f>
        <v>#N/A</v>
      </c>
      <c r="U974" s="3" t="str">
        <f>IFERROR(__xludf.DUMMYFUNCTION("""COMPUTED_VALUE"""),"#N/A")</f>
        <v>#N/A</v>
      </c>
      <c r="V974" s="3" t="str">
        <f>IFERROR(__xludf.DUMMYFUNCTION("""COMPUTED_VALUE"""),"N")</f>
        <v>N</v>
      </c>
      <c r="W974" s="3">
        <f>IFERROR(__xludf.DUMMYFUNCTION("""COMPUTED_VALUE"""),211688.0)</f>
        <v>211688</v>
      </c>
      <c r="X974" s="3" t="str">
        <f>IFERROR(__xludf.DUMMYFUNCTION("""COMPUTED_VALUE"""),"33 ถนนเทสบาล1 ตำบลปาดังเบซาร์ อำเภอสะเดา จังหวัดสงขลา 90240")</f>
        <v>33 ถนนเทสบาล1 ตำบลปาดังเบซาร์ อำเภอสะเดา จังหวัดสงขลา 90240</v>
      </c>
      <c r="Y974" s="3" t="str">
        <f>IFERROR(__xludf.DUMMYFUNCTION("""COMPUTED_VALUE"""),"ถนนเทสบาล1")</f>
        <v>ถนนเทสบาล1</v>
      </c>
      <c r="Z974" s="3" t="str">
        <f>IFERROR(__xludf.DUMMYFUNCTION("""COMPUTED_VALUE"""),"ปาดังเบซาร์")</f>
        <v>ปาดังเบซาร์</v>
      </c>
      <c r="AA974" s="3" t="str">
        <f>IFERROR(__xludf.DUMMYFUNCTION("""COMPUTED_VALUE"""),"สะเดา")</f>
        <v>สะเดา</v>
      </c>
      <c r="AB974" s="3" t="str">
        <f>IFERROR(__xludf.DUMMYFUNCTION("""COMPUTED_VALUE"""),"สงขลา")</f>
        <v>สงขลา</v>
      </c>
      <c r="AC974" s="3">
        <f>IFERROR(__xludf.DUMMYFUNCTION("""COMPUTED_VALUE"""),90240.0)</f>
        <v>90240</v>
      </c>
      <c r="AD974" s="3">
        <f>IFERROR(__xludf.DUMMYFUNCTION("""COMPUTED_VALUE"""),6.6664937)</f>
        <v>6.6664937</v>
      </c>
      <c r="AE974" s="3">
        <f>IFERROR(__xludf.DUMMYFUNCTION("""COMPUTED_VALUE"""),100.3201241)</f>
        <v>100.3201241</v>
      </c>
      <c r="AF974" s="3" t="str">
        <f>IFERROR(__xludf.DUMMYFUNCTION("""COMPUTED_VALUE"""),"MBC ปาดังเบซาร์ สงขลา-21745")</f>
        <v>MBC ปาดังเบซาร์ สงขลา-21745</v>
      </c>
      <c r="AG974" s="3" t="str">
        <f>IFERROR(__xludf.DUMMYFUNCTION("""COMPUTED_VALUE"""),"ใต้")</f>
        <v>ใต้</v>
      </c>
      <c r="AH974" s="3" t="str">
        <f>IFERROR(__xludf.DUMMYFUNCTION("""COMPUTED_VALUE"""),"#N/A")</f>
        <v>#N/A</v>
      </c>
      <c r="AI974" s="3" t="str">
        <f>IFERROR(__xludf.DUMMYFUNCTION("""COMPUTED_VALUE"""),"Out of warranty")</f>
        <v>Out of warranty</v>
      </c>
      <c r="AJ974" s="3">
        <f>IFERROR(__xludf.DUMMYFUNCTION("""COMPUTED_VALUE"""),86.0)</f>
        <v>86</v>
      </c>
      <c r="AK974" s="3" t="str">
        <f>IFERROR(__xludf.DUMMYFUNCTION("""COMPUTED_VALUE"""),"MMS16")</f>
        <v>MMS16</v>
      </c>
      <c r="AL974" s="3"/>
    </row>
    <row r="975" ht="15.75" customHeight="1">
      <c r="A975" s="1" t="str">
        <f>IFERROR(__xludf.DUMMYFUNCTION("""COMPUTED_VALUE"""),"21746")</f>
        <v>21746</v>
      </c>
      <c r="B975" s="2">
        <f>IFERROR(__xludf.DUMMYFUNCTION("""COMPUTED_VALUE"""),21746.0)</f>
        <v>21746</v>
      </c>
      <c r="C975" s="3" t="str">
        <f>IFERROR(__xludf.DUMMYFUNCTION("""COMPUTED_VALUE"""),"MBC เชลล์ อีสเทรินซีบอร์ด ระยอง")</f>
        <v>MBC เชลล์ อีสเทรินซีบอร์ด ระยอง</v>
      </c>
      <c r="D975" s="3" t="str">
        <f>IFERROR(__xludf.DUMMYFUNCTION("""COMPUTED_VALUE"""),"BCM SHELL EASTERN SEA BOARD")</f>
        <v>BCM SHELL EASTERN SEA BOARD</v>
      </c>
      <c r="E975" s="1" t="str">
        <f>IFERROR(__xludf.DUMMYFUNCTION("""COMPUTED_VALUE"""),"บิ๊กซี MINI")</f>
        <v>บิ๊กซี MINI</v>
      </c>
      <c r="F975" s="1" t="str">
        <f>IFERROR(__xludf.DUMMYFUNCTION("""COMPUTED_VALUE"""),"221716")</f>
        <v>221716</v>
      </c>
      <c r="G975" s="1" t="str">
        <f>IFERROR(__xludf.DUMMYFUNCTION("""COMPUTED_VALUE"""),"น.ส.เบญจพร โพธิสาร")</f>
        <v>น.ส.เบญจพร โพธิสาร</v>
      </c>
      <c r="H975" s="1" t="str">
        <f>IFERROR(__xludf.DUMMYFUNCTION("""COMPUTED_VALUE"""),"371384")</f>
        <v>371384</v>
      </c>
      <c r="I975" s="1" t="str">
        <f>IFERROR(__xludf.DUMMYFUNCTION("""COMPUTED_VALUE"""),"น.ส.นิลเนตร สิงห์ทอง")</f>
        <v>น.ส.นิลเนตร สิงห์ทอง</v>
      </c>
      <c r="J975" s="3">
        <f>IFERROR(__xludf.DUMMYFUNCTION("""COMPUTED_VALUE"""),2452376.0)</f>
        <v>2452376</v>
      </c>
      <c r="K975" s="3" t="str">
        <f>IFERROR(__xludf.DUMMYFUNCTION("""COMPUTED_VALUE"""),"นายภาคภูมิ ทวีกุล")</f>
        <v>นายภาคภูมิ ทวีกุล</v>
      </c>
      <c r="L975" s="1" t="str">
        <f>IFERROR(__xludf.DUMMYFUNCTION("""COMPUTED_VALUE"""),"08 K.Parkphum T.")</f>
        <v>08 K.Parkphum T.</v>
      </c>
      <c r="M975" s="1" t="str">
        <f>IFERROR(__xludf.DUMMYFUNCTION("""COMPUTED_VALUE"""),"097-919-5476")</f>
        <v>097-919-5476</v>
      </c>
      <c r="N975" s="3">
        <f>IFERROR(__xludf.DUMMYFUNCTION("""COMPUTED_VALUE"""),22028.0)</f>
        <v>22028</v>
      </c>
      <c r="O975" s="3" t="str">
        <f>IFERROR(__xludf.DUMMYFUNCTION("""COMPUTED_VALUE"""),"MBC ทํบมา ระยอง")</f>
        <v>MBC ทํบมา ระยอง</v>
      </c>
      <c r="P975" s="4">
        <f>IFERROR(__xludf.DUMMYFUNCTION("""COMPUTED_VALUE"""),43456.0)</f>
        <v>43456</v>
      </c>
      <c r="Q975" s="3" t="str">
        <f>IFERROR(__xludf.DUMMYFUNCTION("""COMPUTED_VALUE"""),"A")</f>
        <v>A</v>
      </c>
      <c r="R975" s="3" t="str">
        <f>IFERROR(__xludf.DUMMYFUNCTION("""COMPUTED_VALUE"""),"Small Format")</f>
        <v>Small Format</v>
      </c>
      <c r="S975" s="3" t="str">
        <f>IFERROR(__xludf.DUMMYFUNCTION("""COMPUTED_VALUE"""),"BCM")</f>
        <v>BCM</v>
      </c>
      <c r="T975" s="3" t="str">
        <f>IFERROR(__xludf.DUMMYFUNCTION("""COMPUTED_VALUE"""),"#N/A")</f>
        <v>#N/A</v>
      </c>
      <c r="U975" s="3" t="str">
        <f>IFERROR(__xludf.DUMMYFUNCTION("""COMPUTED_VALUE"""),"#N/A")</f>
        <v>#N/A</v>
      </c>
      <c r="V975" s="3" t="str">
        <f>IFERROR(__xludf.DUMMYFUNCTION("""COMPUTED_VALUE"""),"N")</f>
        <v>N</v>
      </c>
      <c r="W975" s="3">
        <f>IFERROR(__xludf.DUMMYFUNCTION("""COMPUTED_VALUE"""),211744.0)</f>
        <v>211744</v>
      </c>
      <c r="X975" s="3" t="str">
        <f>IFERROR(__xludf.DUMMYFUNCTION("""COMPUTED_VALUE"""),"819/9 หมู่4 ตำบลปลวกแดง อำเภอปลวกแดง จังหวัดระยอง 21140")</f>
        <v>819/9 หมู่4 ตำบลปลวกแดง อำเภอปลวกแดง จังหวัดระยอง 21140</v>
      </c>
      <c r="Y975" s="3"/>
      <c r="Z975" s="3" t="str">
        <f>IFERROR(__xludf.DUMMYFUNCTION("""COMPUTED_VALUE"""),"ปลวกแดง")</f>
        <v>ปลวกแดง</v>
      </c>
      <c r="AA975" s="3" t="str">
        <f>IFERROR(__xludf.DUMMYFUNCTION("""COMPUTED_VALUE"""),"ปลวกแดง")</f>
        <v>ปลวกแดง</v>
      </c>
      <c r="AB975" s="3" t="str">
        <f>IFERROR(__xludf.DUMMYFUNCTION("""COMPUTED_VALUE"""),"ระยอง")</f>
        <v>ระยอง</v>
      </c>
      <c r="AC975" s="3">
        <f>IFERROR(__xludf.DUMMYFUNCTION("""COMPUTED_VALUE"""),21140.0)</f>
        <v>21140</v>
      </c>
      <c r="AD975" s="3">
        <f>IFERROR(__xludf.DUMMYFUNCTION("""COMPUTED_VALUE"""),13.0243624)</f>
        <v>13.0243624</v>
      </c>
      <c r="AE975" s="3">
        <f>IFERROR(__xludf.DUMMYFUNCTION("""COMPUTED_VALUE"""),101.1475768)</f>
        <v>101.1475768</v>
      </c>
      <c r="AF975" s="3" t="str">
        <f>IFERROR(__xludf.DUMMYFUNCTION("""COMPUTED_VALUE"""),"MBC เชลล์ อีสเทรินซีบอร์ด ระยอง-21746")</f>
        <v>MBC เชลล์ อีสเทรินซีบอร์ด ระยอง-21746</v>
      </c>
      <c r="AG975" s="3" t="str">
        <f>IFERROR(__xludf.DUMMYFUNCTION("""COMPUTED_VALUE"""),"ตะวันออก")</f>
        <v>ตะวันออก</v>
      </c>
      <c r="AH975" s="3" t="str">
        <f>IFERROR(__xludf.DUMMYFUNCTION("""COMPUTED_VALUE"""),"#N/A")</f>
        <v>#N/A</v>
      </c>
      <c r="AI975" s="3" t="str">
        <f>IFERROR(__xludf.DUMMYFUNCTION("""COMPUTED_VALUE"""),"Out of warranty")</f>
        <v>Out of warranty</v>
      </c>
      <c r="AJ975" s="3">
        <f>IFERROR(__xludf.DUMMYFUNCTION("""COMPUTED_VALUE"""),85.0)</f>
        <v>85</v>
      </c>
      <c r="AK975" s="3"/>
      <c r="AL975" s="3"/>
    </row>
    <row r="976" ht="15.75" customHeight="1">
      <c r="A976" s="1" t="str">
        <f>IFERROR(__xludf.DUMMYFUNCTION("""COMPUTED_VALUE"""),"21747")</f>
        <v>21747</v>
      </c>
      <c r="B976" s="2">
        <f>IFERROR(__xludf.DUMMYFUNCTION("""COMPUTED_VALUE"""),21747.0)</f>
        <v>21747</v>
      </c>
      <c r="C976" s="3" t="str">
        <f>IFERROR(__xludf.DUMMYFUNCTION("""COMPUTED_VALUE"""),"MBC ตลาดภูดอย เชียงใหม่")</f>
        <v>MBC ตลาดภูดอย เชียงใหม่</v>
      </c>
      <c r="D976" s="3" t="str">
        <f>IFERROR(__xludf.DUMMYFUNCTION("""COMPUTED_VALUE"""),"BCM TALAD PHUDOI,CHIANGMAI")</f>
        <v>BCM TALAD PHUDOI,CHIANGMAI</v>
      </c>
      <c r="E976" s="1" t="str">
        <f>IFERROR(__xludf.DUMMYFUNCTION("""COMPUTED_VALUE"""),"บิ๊กซี MINI")</f>
        <v>บิ๊กซี MINI</v>
      </c>
      <c r="F976" s="1" t="str">
        <f>IFERROR(__xludf.DUMMYFUNCTION("""COMPUTED_VALUE"""),"296229")</f>
        <v>296229</v>
      </c>
      <c r="G976" s="1" t="str">
        <f>IFERROR(__xludf.DUMMYFUNCTION("""COMPUTED_VALUE"""),"นายทนงศักดิ์ บุญมา")</f>
        <v>นายทนงศักดิ์ บุญมา</v>
      </c>
      <c r="H976" s="1" t="str">
        <f>IFERROR(__xludf.DUMMYFUNCTION("""COMPUTED_VALUE"""),"392003")</f>
        <v>392003</v>
      </c>
      <c r="I976" s="1" t="str">
        <f>IFERROR(__xludf.DUMMYFUNCTION("""COMPUTED_VALUE"""),"นายวรภพ เศษสูงเนิน")</f>
        <v>นายวรภพ เศษสูงเนิน</v>
      </c>
      <c r="J976" s="3">
        <f>IFERROR(__xludf.DUMMYFUNCTION("""COMPUTED_VALUE"""),2010016.0)</f>
        <v>2010016</v>
      </c>
      <c r="K976" s="3" t="str">
        <f>IFERROR(__xludf.DUMMYFUNCTION("""COMPUTED_VALUE"""),"นายตวงธรรม ใหม่ยศ")</f>
        <v>นายตวงธรรม ใหม่ยศ</v>
      </c>
      <c r="L976" s="1" t="str">
        <f>IFERROR(__xludf.DUMMYFUNCTION("""COMPUTED_VALUE"""),"01 K.Tuangtham M.")</f>
        <v>01 K.Tuangtham M.</v>
      </c>
      <c r="M976" s="1" t="str">
        <f>IFERROR(__xludf.DUMMYFUNCTION("""COMPUTED_VALUE"""),"063-976-595")</f>
        <v>063-976-595</v>
      </c>
      <c r="N976" s="3">
        <f>IFERROR(__xludf.DUMMYFUNCTION("""COMPUTED_VALUE"""),22574.0)</f>
        <v>22574</v>
      </c>
      <c r="O976" s="3" t="str">
        <f>IFERROR(__xludf.DUMMYFUNCTION("""COMPUTED_VALUE"""),"BCM ชุมชนศรีชุม ลำปาง")</f>
        <v>BCM ชุมชนศรีชุม ลำปาง</v>
      </c>
      <c r="P976" s="4">
        <f>IFERROR(__xludf.DUMMYFUNCTION("""COMPUTED_VALUE"""),43535.0)</f>
        <v>43535</v>
      </c>
      <c r="Q976" s="3" t="str">
        <f>IFERROR(__xludf.DUMMYFUNCTION("""COMPUTED_VALUE"""),"A")</f>
        <v>A</v>
      </c>
      <c r="R976" s="3" t="str">
        <f>IFERROR(__xludf.DUMMYFUNCTION("""COMPUTED_VALUE"""),"Small Format")</f>
        <v>Small Format</v>
      </c>
      <c r="S976" s="3" t="str">
        <f>IFERROR(__xludf.DUMMYFUNCTION("""COMPUTED_VALUE"""),"BCM")</f>
        <v>BCM</v>
      </c>
      <c r="T976" s="3" t="str">
        <f>IFERROR(__xludf.DUMMYFUNCTION("""COMPUTED_VALUE"""),"#N/A")</f>
        <v>#N/A</v>
      </c>
      <c r="U976" s="3" t="str">
        <f>IFERROR(__xludf.DUMMYFUNCTION("""COMPUTED_VALUE"""),"#N/A")</f>
        <v>#N/A</v>
      </c>
      <c r="V976" s="3" t="str">
        <f>IFERROR(__xludf.DUMMYFUNCTION("""COMPUTED_VALUE"""),"N")</f>
        <v>N</v>
      </c>
      <c r="W976" s="3">
        <f>IFERROR(__xludf.DUMMYFUNCTION("""COMPUTED_VALUE"""),211736.0)</f>
        <v>211736</v>
      </c>
      <c r="X976" s="3" t="str">
        <f>IFERROR(__xludf.DUMMYFUNCTION("""COMPUTED_VALUE"""),"337 หมู่6 ตำบลหนองจ๊อม อำเภอสันทราย จังหวัดเชียงใหม่ 50210")</f>
        <v>337 หมู่6 ตำบลหนองจ๊อม อำเภอสันทราย จังหวัดเชียงใหม่ 50210</v>
      </c>
      <c r="Y976" s="3"/>
      <c r="Z976" s="3" t="str">
        <f>IFERROR(__xludf.DUMMYFUNCTION("""COMPUTED_VALUE"""),"หนองจ๊อม")</f>
        <v>หนองจ๊อม</v>
      </c>
      <c r="AA976" s="3" t="str">
        <f>IFERROR(__xludf.DUMMYFUNCTION("""COMPUTED_VALUE"""),"สันทราย")</f>
        <v>สันทราย</v>
      </c>
      <c r="AB976" s="3" t="str">
        <f>IFERROR(__xludf.DUMMYFUNCTION("""COMPUTED_VALUE"""),"เชียงใหม่")</f>
        <v>เชียงใหม่</v>
      </c>
      <c r="AC976" s="3">
        <f>IFERROR(__xludf.DUMMYFUNCTION("""COMPUTED_VALUE"""),50210.0)</f>
        <v>50210</v>
      </c>
      <c r="AD976" s="3">
        <f>IFERROR(__xludf.DUMMYFUNCTION("""COMPUTED_VALUE"""),18.8477059)</f>
        <v>18.8477059</v>
      </c>
      <c r="AE976" s="3">
        <f>IFERROR(__xludf.DUMMYFUNCTION("""COMPUTED_VALUE"""),99.0207286)</f>
        <v>99.0207286</v>
      </c>
      <c r="AF976" s="3" t="str">
        <f>IFERROR(__xludf.DUMMYFUNCTION("""COMPUTED_VALUE"""),"MBC ตลาดภูดอย เชียงใหม่-21747")</f>
        <v>MBC ตลาดภูดอย เชียงใหม่-21747</v>
      </c>
      <c r="AG976" s="3" t="str">
        <f>IFERROR(__xludf.DUMMYFUNCTION("""COMPUTED_VALUE"""),"เหนือ")</f>
        <v>เหนือ</v>
      </c>
      <c r="AH976" s="3" t="str">
        <f>IFERROR(__xludf.DUMMYFUNCTION("""COMPUTED_VALUE"""),"#N/A")</f>
        <v>#N/A</v>
      </c>
      <c r="AI976" s="3" t="str">
        <f>IFERROR(__xludf.DUMMYFUNCTION("""COMPUTED_VALUE"""),"Out of warranty")</f>
        <v>Out of warranty</v>
      </c>
      <c r="AJ976" s="3">
        <f>IFERROR(__xludf.DUMMYFUNCTION("""COMPUTED_VALUE"""),83.0)</f>
        <v>83</v>
      </c>
      <c r="AK976" s="3" t="str">
        <f>IFERROR(__xludf.DUMMYFUNCTION("""COMPUTED_VALUE"""),"MMS10")</f>
        <v>MMS10</v>
      </c>
      <c r="AL976" s="3"/>
    </row>
    <row r="977" ht="15.75" customHeight="1">
      <c r="A977" s="1" t="str">
        <f>IFERROR(__xludf.DUMMYFUNCTION("""COMPUTED_VALUE"""),"21748")</f>
        <v>21748</v>
      </c>
      <c r="B977" s="2">
        <f>IFERROR(__xludf.DUMMYFUNCTION("""COMPUTED_VALUE"""),21748.0)</f>
        <v>21748</v>
      </c>
      <c r="C977" s="3" t="str">
        <f>IFERROR(__xludf.DUMMYFUNCTION("""COMPUTED_VALUE"""),"MBC บ้านเฉวง (สมุย) สุราษฎร์ธานี")</f>
        <v>MBC บ้านเฉวง (สมุย) สุราษฎร์ธานี</v>
      </c>
      <c r="D977" s="3" t="str">
        <f>IFERROR(__xludf.DUMMYFUNCTION("""COMPUTED_VALUE"""),"BCM BAN CHAWENG (SAMUI)")</f>
        <v>BCM BAN CHAWENG (SAMUI)</v>
      </c>
      <c r="E977" s="1" t="str">
        <f>IFERROR(__xludf.DUMMYFUNCTION("""COMPUTED_VALUE"""),"บิ๊กซี MINI")</f>
        <v>บิ๊กซี MINI</v>
      </c>
      <c r="F977" s="1" t="str">
        <f>IFERROR(__xludf.DUMMYFUNCTION("""COMPUTED_VALUE"""),"250760")</f>
        <v>250760</v>
      </c>
      <c r="G977" s="1" t="str">
        <f>IFERROR(__xludf.DUMMYFUNCTION("""COMPUTED_VALUE"""),"นายประทวน สาราบรรณ์")</f>
        <v>นายประทวน สาราบรรณ์</v>
      </c>
      <c r="H977" s="1" t="str">
        <f>IFERROR(__xludf.DUMMYFUNCTION("""COMPUTED_VALUE"""),"356760")</f>
        <v>356760</v>
      </c>
      <c r="I977" s="1" t="str">
        <f>IFERROR(__xludf.DUMMYFUNCTION("""COMPUTED_VALUE"""),"นายภูมิภัทร แก้วพรรณราย")</f>
        <v>นายภูมิภัทร แก้วพรรณราย</v>
      </c>
      <c r="J977" s="3">
        <f>IFERROR(__xludf.DUMMYFUNCTION("""COMPUTED_VALUE"""),25324.0)</f>
        <v>25324</v>
      </c>
      <c r="K977" s="3" t="str">
        <f>IFERROR(__xludf.DUMMYFUNCTION("""COMPUTED_VALUE"""),"นายวิเชฎฐ์ ติรัตนะประคม")</f>
        <v>นายวิเชฎฐ์ ติรัตนะประคม</v>
      </c>
      <c r="L977" s="1" t="str">
        <f>IFERROR(__xludf.DUMMYFUNCTION("""COMPUTED_VALUE"""),"14 K.Wichet T.")</f>
        <v>14 K.Wichet T.</v>
      </c>
      <c r="M977" s="1" t="str">
        <f>IFERROR(__xludf.DUMMYFUNCTION("""COMPUTED_VALUE"""),"061-417-6569 / 086-445-5636")</f>
        <v>061-417-6569 / 086-445-5636</v>
      </c>
      <c r="N977" s="3">
        <f>IFERROR(__xludf.DUMMYFUNCTION("""COMPUTED_VALUE"""),22658.0)</f>
        <v>22658</v>
      </c>
      <c r="O977" s="3" t="str">
        <f>IFERROR(__xludf.DUMMYFUNCTION("""COMPUTED_VALUE"""),"BCM ถ.วิรัชหงษ์หยก ภูเก็ต")</f>
        <v>BCM ถ.วิรัชหงษ์หยก ภูเก็ต</v>
      </c>
      <c r="P977" s="4">
        <f>IFERROR(__xludf.DUMMYFUNCTION("""COMPUTED_VALUE"""),43456.0)</f>
        <v>43456</v>
      </c>
      <c r="Q977" s="3" t="str">
        <f>IFERROR(__xludf.DUMMYFUNCTION("""COMPUTED_VALUE"""),"A")</f>
        <v>A</v>
      </c>
      <c r="R977" s="3" t="str">
        <f>IFERROR(__xludf.DUMMYFUNCTION("""COMPUTED_VALUE"""),"Small Format")</f>
        <v>Small Format</v>
      </c>
      <c r="S977" s="3" t="str">
        <f>IFERROR(__xludf.DUMMYFUNCTION("""COMPUTED_VALUE"""),"BCM")</f>
        <v>BCM</v>
      </c>
      <c r="T977" s="3" t="str">
        <f>IFERROR(__xludf.DUMMYFUNCTION("""COMPUTED_VALUE"""),"#N/A")</f>
        <v>#N/A</v>
      </c>
      <c r="U977" s="3" t="str">
        <f>IFERROR(__xludf.DUMMYFUNCTION("""COMPUTED_VALUE"""),"#N/A")</f>
        <v>#N/A</v>
      </c>
      <c r="V977" s="3" t="str">
        <f>IFERROR(__xludf.DUMMYFUNCTION("""COMPUTED_VALUE"""),"N")</f>
        <v>N</v>
      </c>
      <c r="W977" s="3">
        <f>IFERROR(__xludf.DUMMYFUNCTION("""COMPUTED_VALUE"""),211682.0)</f>
        <v>211682</v>
      </c>
      <c r="X977" s="3" t="str">
        <f>IFERROR(__xludf.DUMMYFUNCTION("""COMPUTED_VALUE"""),"81/1 หมู่6 ตำบลบ่อผุด อำเภอเกาะสมุย จังหวัดสุราษฎร์ธานี 84320")</f>
        <v>81/1 หมู่6 ตำบลบ่อผุด อำเภอเกาะสมุย จังหวัดสุราษฎร์ธานี 84320</v>
      </c>
      <c r="Y977" s="3"/>
      <c r="Z977" s="3" t="str">
        <f>IFERROR(__xludf.DUMMYFUNCTION("""COMPUTED_VALUE"""),"บ่อผุด")</f>
        <v>บ่อผุด</v>
      </c>
      <c r="AA977" s="3" t="str">
        <f>IFERROR(__xludf.DUMMYFUNCTION("""COMPUTED_VALUE"""),"เกาะสมุย")</f>
        <v>เกาะสมุย</v>
      </c>
      <c r="AB977" s="3" t="str">
        <f>IFERROR(__xludf.DUMMYFUNCTION("""COMPUTED_VALUE"""),"สุราษฎร์ธานี")</f>
        <v>สุราษฎร์ธานี</v>
      </c>
      <c r="AC977" s="3">
        <f>IFERROR(__xludf.DUMMYFUNCTION("""COMPUTED_VALUE"""),84320.0)</f>
        <v>84320</v>
      </c>
      <c r="AD977" s="3">
        <f>IFERROR(__xludf.DUMMYFUNCTION("""COMPUTED_VALUE"""),9.5250185)</f>
        <v>9.5250185</v>
      </c>
      <c r="AE977" s="3">
        <f>IFERROR(__xludf.DUMMYFUNCTION("""COMPUTED_VALUE"""),100.0468656)</f>
        <v>100.0468656</v>
      </c>
      <c r="AF977" s="3" t="str">
        <f>IFERROR(__xludf.DUMMYFUNCTION("""COMPUTED_VALUE"""),"MBC บ้านเฉวง (สมุย) สุราษฎร์ธานี-21748")</f>
        <v>MBC บ้านเฉวง (สมุย) สุราษฎร์ธานี-21748</v>
      </c>
      <c r="AG977" s="3" t="str">
        <f>IFERROR(__xludf.DUMMYFUNCTION("""COMPUTED_VALUE"""),"ใต้")</f>
        <v>ใต้</v>
      </c>
      <c r="AH977" s="3" t="str">
        <f>IFERROR(__xludf.DUMMYFUNCTION("""COMPUTED_VALUE"""),"#N/A")</f>
        <v>#N/A</v>
      </c>
      <c r="AI977" s="3" t="str">
        <f>IFERROR(__xludf.DUMMYFUNCTION("""COMPUTED_VALUE"""),"Out of warranty")</f>
        <v>Out of warranty</v>
      </c>
      <c r="AJ977" s="3">
        <f>IFERROR(__xludf.DUMMYFUNCTION("""COMPUTED_VALUE"""),85.0)</f>
        <v>85</v>
      </c>
      <c r="AK977" s="3" t="str">
        <f>IFERROR(__xludf.DUMMYFUNCTION("""COMPUTED_VALUE"""),"MMS14")</f>
        <v>MMS14</v>
      </c>
      <c r="AL977" s="3"/>
    </row>
    <row r="978" ht="15.75" customHeight="1">
      <c r="A978" s="1" t="str">
        <f>IFERROR(__xludf.DUMMYFUNCTION("""COMPUTED_VALUE"""),"21749")</f>
        <v>21749</v>
      </c>
      <c r="B978" s="2">
        <f>IFERROR(__xludf.DUMMYFUNCTION("""COMPUTED_VALUE"""),21749.0)</f>
        <v>21749</v>
      </c>
      <c r="C978" s="3" t="str">
        <f>IFERROR(__xludf.DUMMYFUNCTION("""COMPUTED_VALUE"""),"MBC ตลาดสดศรีฟ้า (สมุย) สุราษฎร์ธานี")</f>
        <v>MBC ตลาดสดศรีฟ้า (สมุย) สุราษฎร์ธานี</v>
      </c>
      <c r="D978" s="3" t="str">
        <f>IFERROR(__xludf.DUMMYFUNCTION("""COMPUTED_VALUE"""),"BCM TALAD SOT SRI FA (SAMUI)")</f>
        <v>BCM TALAD SOT SRI FA (SAMUI)</v>
      </c>
      <c r="E978" s="1" t="str">
        <f>IFERROR(__xludf.DUMMYFUNCTION("""COMPUTED_VALUE"""),"บิ๊กซี MINI")</f>
        <v>บิ๊กซี MINI</v>
      </c>
      <c r="F978" s="1" t="str">
        <f>IFERROR(__xludf.DUMMYFUNCTION("""COMPUTED_VALUE"""),"250760")</f>
        <v>250760</v>
      </c>
      <c r="G978" s="1" t="str">
        <f>IFERROR(__xludf.DUMMYFUNCTION("""COMPUTED_VALUE"""),"นายประทวน สาราบรรณ์")</f>
        <v>นายประทวน สาราบรรณ์</v>
      </c>
      <c r="H978" s="1" t="str">
        <f>IFERROR(__xludf.DUMMYFUNCTION("""COMPUTED_VALUE"""),"356760")</f>
        <v>356760</v>
      </c>
      <c r="I978" s="1" t="str">
        <f>IFERROR(__xludf.DUMMYFUNCTION("""COMPUTED_VALUE"""),"นายภูมิภัทร แก้วพรรณราย")</f>
        <v>นายภูมิภัทร แก้วพรรณราย</v>
      </c>
      <c r="J978" s="3">
        <f>IFERROR(__xludf.DUMMYFUNCTION("""COMPUTED_VALUE"""),25324.0)</f>
        <v>25324</v>
      </c>
      <c r="K978" s="3" t="str">
        <f>IFERROR(__xludf.DUMMYFUNCTION("""COMPUTED_VALUE"""),"นายวิเชฎฐ์ ติรัตนะประคม")</f>
        <v>นายวิเชฎฐ์ ติรัตนะประคม</v>
      </c>
      <c r="L978" s="1" t="str">
        <f>IFERROR(__xludf.DUMMYFUNCTION("""COMPUTED_VALUE"""),"14 K.Wichet T.")</f>
        <v>14 K.Wichet T.</v>
      </c>
      <c r="M978" s="1" t="str">
        <f>IFERROR(__xludf.DUMMYFUNCTION("""COMPUTED_VALUE"""),"061-417-6569 / 086-445-5636")</f>
        <v>061-417-6569 / 086-445-5636</v>
      </c>
      <c r="N978" s="3">
        <f>IFERROR(__xludf.DUMMYFUNCTION("""COMPUTED_VALUE"""),22658.0)</f>
        <v>22658</v>
      </c>
      <c r="O978" s="3" t="str">
        <f>IFERROR(__xludf.DUMMYFUNCTION("""COMPUTED_VALUE"""),"BCM ถ.วิรัชหงษ์หยก ภูเก็ต")</f>
        <v>BCM ถ.วิรัชหงษ์หยก ภูเก็ต</v>
      </c>
      <c r="P978" s="4">
        <f>IFERROR(__xludf.DUMMYFUNCTION("""COMPUTED_VALUE"""),43476.0)</f>
        <v>43476</v>
      </c>
      <c r="Q978" s="3" t="str">
        <f>IFERROR(__xludf.DUMMYFUNCTION("""COMPUTED_VALUE"""),"A")</f>
        <v>A</v>
      </c>
      <c r="R978" s="3" t="str">
        <f>IFERROR(__xludf.DUMMYFUNCTION("""COMPUTED_VALUE"""),"Small Format")</f>
        <v>Small Format</v>
      </c>
      <c r="S978" s="3" t="str">
        <f>IFERROR(__xludf.DUMMYFUNCTION("""COMPUTED_VALUE"""),"BCM")</f>
        <v>BCM</v>
      </c>
      <c r="T978" s="3" t="str">
        <f>IFERROR(__xludf.DUMMYFUNCTION("""COMPUTED_VALUE"""),"#N/A")</f>
        <v>#N/A</v>
      </c>
      <c r="U978" s="3" t="str">
        <f>IFERROR(__xludf.DUMMYFUNCTION("""COMPUTED_VALUE"""),"#N/A")</f>
        <v>#N/A</v>
      </c>
      <c r="V978" s="3" t="str">
        <f>IFERROR(__xludf.DUMMYFUNCTION("""COMPUTED_VALUE"""),"N")</f>
        <v>N</v>
      </c>
      <c r="W978" s="3">
        <f>IFERROR(__xludf.DUMMYFUNCTION("""COMPUTED_VALUE"""),211724.0)</f>
        <v>211724</v>
      </c>
      <c r="X978" s="3" t="str">
        <f>IFERROR(__xludf.DUMMYFUNCTION("""COMPUTED_VALUE"""),"27/30 หมู่1 ตำบลตลิ่งงาม อำเภอเกาะสมุย จังหวัดสุราษฏร์ธานี 84140")</f>
        <v>27/30 หมู่1 ตำบลตลิ่งงาม อำเภอเกาะสมุย จังหวัดสุราษฏร์ธานี 84140</v>
      </c>
      <c r="Y978" s="3"/>
      <c r="Z978" s="3" t="str">
        <f>IFERROR(__xludf.DUMMYFUNCTION("""COMPUTED_VALUE"""),"ตลิ่งงาม")</f>
        <v>ตลิ่งงาม</v>
      </c>
      <c r="AA978" s="3" t="str">
        <f>IFERROR(__xludf.DUMMYFUNCTION("""COMPUTED_VALUE"""),"เกาะสมุย")</f>
        <v>เกาะสมุย</v>
      </c>
      <c r="AB978" s="3" t="str">
        <f>IFERROR(__xludf.DUMMYFUNCTION("""COMPUTED_VALUE"""),"สุราษฎร์ธานี")</f>
        <v>สุราษฎร์ธานี</v>
      </c>
      <c r="AC978" s="3">
        <f>IFERROR(__xludf.DUMMYFUNCTION("""COMPUTED_VALUE"""),84140.0)</f>
        <v>84140</v>
      </c>
      <c r="AD978" s="3">
        <f>IFERROR(__xludf.DUMMYFUNCTION("""COMPUTED_VALUE"""),9.482121)</f>
        <v>9.482121</v>
      </c>
      <c r="AE978" s="3">
        <f>IFERROR(__xludf.DUMMYFUNCTION("""COMPUTED_VALUE"""),99.9544297)</f>
        <v>99.9544297</v>
      </c>
      <c r="AF978" s="3" t="str">
        <f>IFERROR(__xludf.DUMMYFUNCTION("""COMPUTED_VALUE"""),"MBC ตลาดสดศรีฟ้า (สมุย) สุราษฎร์ธานี-21749")</f>
        <v>MBC ตลาดสดศรีฟ้า (สมุย) สุราษฎร์ธานี-21749</v>
      </c>
      <c r="AG978" s="3" t="str">
        <f>IFERROR(__xludf.DUMMYFUNCTION("""COMPUTED_VALUE"""),"ใต้")</f>
        <v>ใต้</v>
      </c>
      <c r="AH978" s="3" t="str">
        <f>IFERROR(__xludf.DUMMYFUNCTION("""COMPUTED_VALUE"""),"#N/A")</f>
        <v>#N/A</v>
      </c>
      <c r="AI978" s="3" t="str">
        <f>IFERROR(__xludf.DUMMYFUNCTION("""COMPUTED_VALUE"""),"Out of warranty")</f>
        <v>Out of warranty</v>
      </c>
      <c r="AJ978" s="3">
        <f>IFERROR(__xludf.DUMMYFUNCTION("""COMPUTED_VALUE"""),85.0)</f>
        <v>85</v>
      </c>
      <c r="AK978" s="3" t="str">
        <f>IFERROR(__xludf.DUMMYFUNCTION("""COMPUTED_VALUE"""),"MMS14")</f>
        <v>MMS14</v>
      </c>
      <c r="AL978" s="3"/>
    </row>
    <row r="979" ht="15.75" customHeight="1">
      <c r="A979" s="1" t="str">
        <f>IFERROR(__xludf.DUMMYFUNCTION("""COMPUTED_VALUE"""),"21750")</f>
        <v>21750</v>
      </c>
      <c r="B979" s="2">
        <f>IFERROR(__xludf.DUMMYFUNCTION("""COMPUTED_VALUE"""),21750.0)</f>
        <v>21750</v>
      </c>
      <c r="C979" s="3" t="str">
        <f>IFERROR(__xludf.DUMMYFUNCTION("""COMPUTED_VALUE"""),"MBC พหลโยธิน52 แยก 38 กรุงเทพมหานคร")</f>
        <v>MBC พหลโยธิน52 แยก 38 กรุงเทพมหานคร</v>
      </c>
      <c r="D979" s="3" t="str">
        <f>IFERROR(__xludf.DUMMYFUNCTION("""COMPUTED_VALUE"""),"BCM PHAHOLYOTHIN 52 YAEK 38")</f>
        <v>BCM PHAHOLYOTHIN 52 YAEK 38</v>
      </c>
      <c r="E979" s="1" t="str">
        <f>IFERROR(__xludf.DUMMYFUNCTION("""COMPUTED_VALUE"""),"บิ๊กซี MINI")</f>
        <v>บิ๊กซี MINI</v>
      </c>
      <c r="F979" s="1" t="str">
        <f>IFERROR(__xludf.DUMMYFUNCTION("""COMPUTED_VALUE"""),"291008")</f>
        <v>291008</v>
      </c>
      <c r="G979" s="1" t="str">
        <f>IFERROR(__xludf.DUMMYFUNCTION("""COMPUTED_VALUE"""),"น.ส.รัชดาพร อีศรัตน์")</f>
        <v>น.ส.รัชดาพร อีศรัตน์</v>
      </c>
      <c r="H979" s="1" t="str">
        <f>IFERROR(__xludf.DUMMYFUNCTION("""COMPUTED_VALUE"""),"373540")</f>
        <v>373540</v>
      </c>
      <c r="I979" s="1" t="str">
        <f>IFERROR(__xludf.DUMMYFUNCTION("""COMPUTED_VALUE"""),"นายทศพร พึ่งพบ")</f>
        <v>นายทศพร พึ่งพบ</v>
      </c>
      <c r="J979" s="3">
        <f>IFERROR(__xludf.DUMMYFUNCTION("""COMPUTED_VALUE"""),2452378.0)</f>
        <v>2452378</v>
      </c>
      <c r="K979" s="3" t="str">
        <f>IFERROR(__xludf.DUMMYFUNCTION("""COMPUTED_VALUE"""),"นายศักดิ์ดา พวงประดับ")</f>
        <v>นายศักดิ์ดา พวงประดับ</v>
      </c>
      <c r="L979" s="1" t="str">
        <f>IFERROR(__xludf.DUMMYFUNCTION("""COMPUTED_VALUE"""),"11 K.Sakda P.")</f>
        <v>11 K.Sakda P.</v>
      </c>
      <c r="M979" s="1" t="str">
        <f>IFERROR(__xludf.DUMMYFUNCTION("""COMPUTED_VALUE"""),"065-929-1279")</f>
        <v>065-929-1279</v>
      </c>
      <c r="N979" s="3">
        <f>IFERROR(__xludf.DUMMYFUNCTION("""COMPUTED_VALUE"""),21002.0)</f>
        <v>21002</v>
      </c>
      <c r="O979" s="3" t="str">
        <f>IFERROR(__xludf.DUMMYFUNCTION("""COMPUTED_VALUE"""),"MBC อุดมสุข")</f>
        <v>MBC อุดมสุข</v>
      </c>
      <c r="P979" s="4">
        <f>IFERROR(__xludf.DUMMYFUNCTION("""COMPUTED_VALUE"""),43476.0)</f>
        <v>43476</v>
      </c>
      <c r="Q979" s="3" t="str">
        <f>IFERROR(__xludf.DUMMYFUNCTION("""COMPUTED_VALUE"""),"A")</f>
        <v>A</v>
      </c>
      <c r="R979" s="3" t="str">
        <f>IFERROR(__xludf.DUMMYFUNCTION("""COMPUTED_VALUE"""),"Small Format")</f>
        <v>Small Format</v>
      </c>
      <c r="S979" s="3" t="str">
        <f>IFERROR(__xludf.DUMMYFUNCTION("""COMPUTED_VALUE"""),"BCM")</f>
        <v>BCM</v>
      </c>
      <c r="T979" s="3" t="str">
        <f>IFERROR(__xludf.DUMMYFUNCTION("""COMPUTED_VALUE"""),"#N/A")</f>
        <v>#N/A</v>
      </c>
      <c r="U979" s="3" t="str">
        <f>IFERROR(__xludf.DUMMYFUNCTION("""COMPUTED_VALUE"""),"#N/A")</f>
        <v>#N/A</v>
      </c>
      <c r="V979" s="3" t="str">
        <f>IFERROR(__xludf.DUMMYFUNCTION("""COMPUTED_VALUE"""),"N")</f>
        <v>N</v>
      </c>
      <c r="W979" s="3">
        <f>IFERROR(__xludf.DUMMYFUNCTION("""COMPUTED_VALUE"""),211648.0)</f>
        <v>211648</v>
      </c>
      <c r="X979" s="3" t="str">
        <f>IFERROR(__xludf.DUMMYFUNCTION("""COMPUTED_VALUE"""),"39/270 ซอยพหลโยทิน52 แขวงคลองถนน เขตสายไหม จังหวัดกรุงเทพมหานคร 10220")</f>
        <v>39/270 ซอยพหลโยทิน52 แขวงคลองถนน เขตสายไหม จังหวัดกรุงเทพมหานคร 10220</v>
      </c>
      <c r="Y979" s="3" t="str">
        <f>IFERROR(__xludf.DUMMYFUNCTION("""COMPUTED_VALUE"""),"ซอยพหลโยทิน52")</f>
        <v>ซอยพหลโยทิน52</v>
      </c>
      <c r="Z979" s="3" t="str">
        <f>IFERROR(__xludf.DUMMYFUNCTION("""COMPUTED_VALUE"""),"คลองถนน")</f>
        <v>คลองถนน</v>
      </c>
      <c r="AA979" s="3" t="str">
        <f>IFERROR(__xludf.DUMMYFUNCTION("""COMPUTED_VALUE"""),"สายไหม")</f>
        <v>สายไหม</v>
      </c>
      <c r="AB979" s="3" t="str">
        <f>IFERROR(__xludf.DUMMYFUNCTION("""COMPUTED_VALUE"""),"กรุงเทพมหานคร")</f>
        <v>กรุงเทพมหานคร</v>
      </c>
      <c r="AC979" s="3">
        <f>IFERROR(__xludf.DUMMYFUNCTION("""COMPUTED_VALUE"""),10220.0)</f>
        <v>10220</v>
      </c>
      <c r="AD979" s="3">
        <f>IFERROR(__xludf.DUMMYFUNCTION("""COMPUTED_VALUE"""),13.889412)</f>
        <v>13.889412</v>
      </c>
      <c r="AE979" s="3">
        <f>IFERROR(__xludf.DUMMYFUNCTION("""COMPUTED_VALUE"""),100.6199877)</f>
        <v>100.6199877</v>
      </c>
      <c r="AF979" s="3" t="str">
        <f>IFERROR(__xludf.DUMMYFUNCTION("""COMPUTED_VALUE"""),"MBC พหลโยธิน52 แยก 38 กรุงเทพมหานคร-21750")</f>
        <v>MBC พหลโยธิน52 แยก 38 กรุงเทพมหานคร-21750</v>
      </c>
      <c r="AG979" s="3" t="str">
        <f>IFERROR(__xludf.DUMMYFUNCTION("""COMPUTED_VALUE"""),"กลาง")</f>
        <v>กลาง</v>
      </c>
      <c r="AH979" s="3" t="str">
        <f>IFERROR(__xludf.DUMMYFUNCTION("""COMPUTED_VALUE"""),"#N/A")</f>
        <v>#N/A</v>
      </c>
      <c r="AI979" s="3" t="str">
        <f>IFERROR(__xludf.DUMMYFUNCTION("""COMPUTED_VALUE"""),"Out of warranty")</f>
        <v>Out of warranty</v>
      </c>
      <c r="AJ979" s="3">
        <f>IFERROR(__xludf.DUMMYFUNCTION("""COMPUTED_VALUE"""),85.0)</f>
        <v>85</v>
      </c>
      <c r="AK979" s="3" t="str">
        <f>IFERROR(__xludf.DUMMYFUNCTION("""COMPUTED_VALUE"""),"MMS01")</f>
        <v>MMS01</v>
      </c>
      <c r="AL979" s="3"/>
    </row>
    <row r="980" ht="15.75" customHeight="1">
      <c r="A980" s="1" t="str">
        <f>IFERROR(__xludf.DUMMYFUNCTION("""COMPUTED_VALUE"""),"21751")</f>
        <v>21751</v>
      </c>
      <c r="B980" s="2">
        <f>IFERROR(__xludf.DUMMYFUNCTION("""COMPUTED_VALUE"""),21751.0)</f>
        <v>21751</v>
      </c>
      <c r="C980" s="3" t="str">
        <f>IFERROR(__xludf.DUMMYFUNCTION("""COMPUTED_VALUE"""),"MBC ทุ่งลุง หาดใหญ่")</f>
        <v>MBC ทุ่งลุง หาดใหญ่</v>
      </c>
      <c r="D980" s="3" t="str">
        <f>IFERROR(__xludf.DUMMYFUNCTION("""COMPUTED_VALUE"""),"BCM THUNG LUNG, HAT YAI")</f>
        <v>BCM THUNG LUNG, HAT YAI</v>
      </c>
      <c r="E980" s="1" t="str">
        <f>IFERROR(__xludf.DUMMYFUNCTION("""COMPUTED_VALUE"""),"บิ๊กซี MINI")</f>
        <v>บิ๊กซี MINI</v>
      </c>
      <c r="F980" s="1" t="str">
        <f>IFERROR(__xludf.DUMMYFUNCTION("""COMPUTED_VALUE"""),"250760")</f>
        <v>250760</v>
      </c>
      <c r="G980" s="1" t="str">
        <f>IFERROR(__xludf.DUMMYFUNCTION("""COMPUTED_VALUE"""),"นายประทวน สาราบรรณ์")</f>
        <v>นายประทวน สาราบรรณ์</v>
      </c>
      <c r="H980" s="1" t="str">
        <f>IFERROR(__xludf.DUMMYFUNCTION("""COMPUTED_VALUE"""),"394185")</f>
        <v>394185</v>
      </c>
      <c r="I980" s="1" t="str">
        <f>IFERROR(__xludf.DUMMYFUNCTION("""COMPUTED_VALUE"""),"น.ส.ฐาปนี สุวรรณรัตน์")</f>
        <v>น.ส.ฐาปนี สุวรรณรัตน์</v>
      </c>
      <c r="J980" s="3">
        <f>IFERROR(__xludf.DUMMYFUNCTION("""COMPUTED_VALUE"""),2.0470331E7)</f>
        <v>20470331</v>
      </c>
      <c r="K980" s="3" t="str">
        <f>IFERROR(__xludf.DUMMYFUNCTION("""COMPUTED_VALUE"""),"นายสมชาย ลักษณะสุวรรณ")</f>
        <v>นายสมชาย ลักษณะสุวรรณ</v>
      </c>
      <c r="L980" s="1" t="str">
        <f>IFERROR(__xludf.DUMMYFUNCTION("""COMPUTED_VALUE"""),"15 K.Somchai L")</f>
        <v>15 K.Somchai L</v>
      </c>
      <c r="M980" s="1" t="str">
        <f>IFERROR(__xludf.DUMMYFUNCTION("""COMPUTED_VALUE"""),"0655107372")</f>
        <v>0655107372</v>
      </c>
      <c r="N980" s="3">
        <f>IFERROR(__xludf.DUMMYFUNCTION("""COMPUTED_VALUE"""),21723.0)</f>
        <v>21723</v>
      </c>
      <c r="O980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980" s="4">
        <f>IFERROR(__xludf.DUMMYFUNCTION("""COMPUTED_VALUE"""),43459.0)</f>
        <v>43459</v>
      </c>
      <c r="Q980" s="3" t="str">
        <f>IFERROR(__xludf.DUMMYFUNCTION("""COMPUTED_VALUE"""),"A")</f>
        <v>A</v>
      </c>
      <c r="R980" s="3" t="str">
        <f>IFERROR(__xludf.DUMMYFUNCTION("""COMPUTED_VALUE"""),"Small Format")</f>
        <v>Small Format</v>
      </c>
      <c r="S980" s="3" t="str">
        <f>IFERROR(__xludf.DUMMYFUNCTION("""COMPUTED_VALUE"""),"BCM")</f>
        <v>BCM</v>
      </c>
      <c r="T980" s="3" t="str">
        <f>IFERROR(__xludf.DUMMYFUNCTION("""COMPUTED_VALUE"""),"#N/A")</f>
        <v>#N/A</v>
      </c>
      <c r="U980" s="3" t="str">
        <f>IFERROR(__xludf.DUMMYFUNCTION("""COMPUTED_VALUE"""),"#N/A")</f>
        <v>#N/A</v>
      </c>
      <c r="V980" s="3" t="str">
        <f>IFERROR(__xludf.DUMMYFUNCTION("""COMPUTED_VALUE"""),"N")</f>
        <v>N</v>
      </c>
      <c r="W980" s="3">
        <f>IFERROR(__xludf.DUMMYFUNCTION("""COMPUTED_VALUE"""),211686.0)</f>
        <v>211686</v>
      </c>
      <c r="X980" s="3" t="str">
        <f>IFERROR(__xludf.DUMMYFUNCTION("""COMPUTED_VALUE"""),"360/16 หมู่8 ถนนกาญจนวนิช ตำบลพะตง อำเภอหาดใหญ่ จังหวัดสงขลา 90230")</f>
        <v>360/16 หมู่8 ถนนกาญจนวนิช ตำบลพะตง อำเภอหาดใหญ่ จังหวัดสงขลา 90230</v>
      </c>
      <c r="Y980" s="3"/>
      <c r="Z980" s="3" t="str">
        <f>IFERROR(__xludf.DUMMYFUNCTION("""COMPUTED_VALUE"""),"พะตง")</f>
        <v>พะตง</v>
      </c>
      <c r="AA980" s="3" t="str">
        <f>IFERROR(__xludf.DUMMYFUNCTION("""COMPUTED_VALUE"""),"หาดใหญ่")</f>
        <v>หาดใหญ่</v>
      </c>
      <c r="AB980" s="3" t="str">
        <f>IFERROR(__xludf.DUMMYFUNCTION("""COMPUTED_VALUE"""),"สงขลา")</f>
        <v>สงขลา</v>
      </c>
      <c r="AC980" s="3">
        <f>IFERROR(__xludf.DUMMYFUNCTION("""COMPUTED_VALUE"""),90230.0)</f>
        <v>90230</v>
      </c>
      <c r="AD980" s="3">
        <f>IFERROR(__xludf.DUMMYFUNCTION("""COMPUTED_VALUE"""),6.8349506)</f>
        <v>6.8349506</v>
      </c>
      <c r="AE980" s="3">
        <f>IFERROR(__xludf.DUMMYFUNCTION("""COMPUTED_VALUE"""),100.4649885)</f>
        <v>100.4649885</v>
      </c>
      <c r="AF980" s="3" t="str">
        <f>IFERROR(__xludf.DUMMYFUNCTION("""COMPUTED_VALUE"""),"MBC ทุ่งลุง หาดใหญ่-21751")</f>
        <v>MBC ทุ่งลุง หาดใหญ่-21751</v>
      </c>
      <c r="AG980" s="3" t="str">
        <f>IFERROR(__xludf.DUMMYFUNCTION("""COMPUTED_VALUE"""),"ใต้")</f>
        <v>ใต้</v>
      </c>
      <c r="AH980" s="3" t="str">
        <f>IFERROR(__xludf.DUMMYFUNCTION("""COMPUTED_VALUE"""),"#N/A")</f>
        <v>#N/A</v>
      </c>
      <c r="AI980" s="3" t="str">
        <f>IFERROR(__xludf.DUMMYFUNCTION("""COMPUTED_VALUE"""),"Out of warranty")</f>
        <v>Out of warranty</v>
      </c>
      <c r="AJ980" s="3">
        <f>IFERROR(__xludf.DUMMYFUNCTION("""COMPUTED_VALUE"""),85.0)</f>
        <v>85</v>
      </c>
      <c r="AK980" s="3" t="str">
        <f>IFERROR(__xludf.DUMMYFUNCTION("""COMPUTED_VALUE"""),"MMS16")</f>
        <v>MMS16</v>
      </c>
      <c r="AL980" s="3"/>
    </row>
    <row r="981" ht="15.75" customHeight="1">
      <c r="A981" s="1" t="str">
        <f>IFERROR(__xludf.DUMMYFUNCTION("""COMPUTED_VALUE"""),"21752")</f>
        <v>21752</v>
      </c>
      <c r="B981" s="2">
        <f>IFERROR(__xludf.DUMMYFUNCTION("""COMPUTED_VALUE"""),21752.0)</f>
        <v>21752</v>
      </c>
      <c r="C981" s="3" t="str">
        <f>IFERROR(__xludf.DUMMYFUNCTION("""COMPUTED_VALUE"""),"MBC เชลล์มาบข่า ระยอง")</f>
        <v>MBC เชลล์มาบข่า ระยอง</v>
      </c>
      <c r="D981" s="3" t="str">
        <f>IFERROR(__xludf.DUMMYFUNCTION("""COMPUTED_VALUE"""),"BCM SHELL MABKHA ,RAYONG")</f>
        <v>BCM SHELL MABKHA ,RAYONG</v>
      </c>
      <c r="E981" s="1" t="str">
        <f>IFERROR(__xludf.DUMMYFUNCTION("""COMPUTED_VALUE"""),"บิ๊กซี MINI")</f>
        <v>บิ๊กซี MINI</v>
      </c>
      <c r="F981" s="1" t="str">
        <f>IFERROR(__xludf.DUMMYFUNCTION("""COMPUTED_VALUE"""),"221716")</f>
        <v>221716</v>
      </c>
      <c r="G981" s="1" t="str">
        <f>IFERROR(__xludf.DUMMYFUNCTION("""COMPUTED_VALUE"""),"น.ส.เบญจพร โพธิสาร")</f>
        <v>น.ส.เบญจพร โพธิสาร</v>
      </c>
      <c r="H981" s="1" t="str">
        <f>IFERROR(__xludf.DUMMYFUNCTION("""COMPUTED_VALUE"""),"371384")</f>
        <v>371384</v>
      </c>
      <c r="I981" s="1" t="str">
        <f>IFERROR(__xludf.DUMMYFUNCTION("""COMPUTED_VALUE"""),"น.ส.นิลเนตร สิงห์ทอง")</f>
        <v>น.ส.นิลเนตร สิงห์ทอง</v>
      </c>
      <c r="J981" s="3">
        <f>IFERROR(__xludf.DUMMYFUNCTION("""COMPUTED_VALUE"""),3510104.0)</f>
        <v>3510104</v>
      </c>
      <c r="K981" s="3" t="str">
        <f>IFERROR(__xludf.DUMMYFUNCTION("""COMPUTED_VALUE"""),"นายวิโรจน์ อับดุลสมัด")</f>
        <v>นายวิโรจน์ อับดุลสมัด</v>
      </c>
      <c r="L981" s="1" t="str">
        <f>IFERROR(__xludf.DUMMYFUNCTION("""COMPUTED_VALUE"""),"09 K.Wirode A")</f>
        <v>09 K.Wirode A</v>
      </c>
      <c r="M981" s="1" t="str">
        <f>IFERROR(__xludf.DUMMYFUNCTION("""COMPUTED_VALUE"""),"080-235-4465")</f>
        <v>080-235-4465</v>
      </c>
      <c r="N981" s="3">
        <f>IFERROR(__xludf.DUMMYFUNCTION("""COMPUTED_VALUE"""),21324.0)</f>
        <v>21324</v>
      </c>
      <c r="O981" s="3" t="str">
        <f>IFERROR(__xludf.DUMMYFUNCTION("""COMPUTED_VALUE"""),"MBC BCP สุวินทวงศ์")</f>
        <v>MBC BCP สุวินทวงศ์</v>
      </c>
      <c r="P981" s="4">
        <f>IFERROR(__xludf.DUMMYFUNCTION("""COMPUTED_VALUE"""),43459.0)</f>
        <v>43459</v>
      </c>
      <c r="Q981" s="3" t="str">
        <f>IFERROR(__xludf.DUMMYFUNCTION("""COMPUTED_VALUE"""),"I")</f>
        <v>I</v>
      </c>
      <c r="R981" s="3" t="str">
        <f>IFERROR(__xludf.DUMMYFUNCTION("""COMPUTED_VALUE"""),"Small Format")</f>
        <v>Small Format</v>
      </c>
      <c r="S981" s="3" t="str">
        <f>IFERROR(__xludf.DUMMYFUNCTION("""COMPUTED_VALUE"""),"BCM")</f>
        <v>BCM</v>
      </c>
      <c r="T981" s="3" t="str">
        <f>IFERROR(__xludf.DUMMYFUNCTION("""COMPUTED_VALUE"""),"#N/A")</f>
        <v>#N/A</v>
      </c>
      <c r="U981" s="3" t="str">
        <f>IFERROR(__xludf.DUMMYFUNCTION("""COMPUTED_VALUE"""),"#N/A")</f>
        <v>#N/A</v>
      </c>
      <c r="V981" s="3" t="str">
        <f>IFERROR(__xludf.DUMMYFUNCTION("""COMPUTED_VALUE"""),"N")</f>
        <v>N</v>
      </c>
      <c r="W981" s="3">
        <f>IFERROR(__xludf.DUMMYFUNCTION("""COMPUTED_VALUE"""),211751.0)</f>
        <v>211751</v>
      </c>
      <c r="X981" s="3" t="str">
        <f>IFERROR(__xludf.DUMMYFUNCTION("""COMPUTED_VALUE"""),"187 หมู่5 ตำบลมาบข่า อำเภอนิคมพัฒนา จังหวัดระยอง 21180")</f>
        <v>187 หมู่5 ตำบลมาบข่า อำเภอนิคมพัฒนา จังหวัดระยอง 21180</v>
      </c>
      <c r="Y981" s="3"/>
      <c r="Z981" s="3" t="str">
        <f>IFERROR(__xludf.DUMMYFUNCTION("""COMPUTED_VALUE"""),"มาบข่า")</f>
        <v>มาบข่า</v>
      </c>
      <c r="AA981" s="3" t="str">
        <f>IFERROR(__xludf.DUMMYFUNCTION("""COMPUTED_VALUE"""),"นิคมพัฒนา")</f>
        <v>นิคมพัฒนา</v>
      </c>
      <c r="AB981" s="3" t="str">
        <f>IFERROR(__xludf.DUMMYFUNCTION("""COMPUTED_VALUE"""),"ระยอง")</f>
        <v>ระยอง</v>
      </c>
      <c r="AC981" s="3">
        <f>IFERROR(__xludf.DUMMYFUNCTION("""COMPUTED_VALUE"""),21180.0)</f>
        <v>21180</v>
      </c>
      <c r="AD981" s="3">
        <f>IFERROR(__xludf.DUMMYFUNCTION("""COMPUTED_VALUE"""),12.7912821)</f>
        <v>12.7912821</v>
      </c>
      <c r="AE981" s="3">
        <f>IFERROR(__xludf.DUMMYFUNCTION("""COMPUTED_VALUE"""),101.1818042)</f>
        <v>101.1818042</v>
      </c>
      <c r="AF981" s="3" t="str">
        <f>IFERROR(__xludf.DUMMYFUNCTION("""COMPUTED_VALUE"""),"MBC เชลล์มาบข่า ระยอง-21752")</f>
        <v>MBC เชลล์มาบข่า ระยอง-21752</v>
      </c>
      <c r="AG981" s="3" t="str">
        <f>IFERROR(__xludf.DUMMYFUNCTION("""COMPUTED_VALUE"""),"ตะวันออก")</f>
        <v>ตะวันออก</v>
      </c>
      <c r="AH981" s="3" t="str">
        <f>IFERROR(__xludf.DUMMYFUNCTION("""COMPUTED_VALUE"""),"#N/A")</f>
        <v>#N/A</v>
      </c>
      <c r="AI981" s="3" t="str">
        <f>IFERROR(__xludf.DUMMYFUNCTION("""COMPUTED_VALUE"""),"Out of warranty")</f>
        <v>Out of warranty</v>
      </c>
      <c r="AJ981" s="3">
        <f>IFERROR(__xludf.DUMMYFUNCTION("""COMPUTED_VALUE"""),85.0)</f>
        <v>85</v>
      </c>
      <c r="AK981" s="3" t="str">
        <f>IFERROR(__xludf.DUMMYFUNCTION("""COMPUTED_VALUE"""),"MMS07")</f>
        <v>MMS07</v>
      </c>
      <c r="AL981" s="3"/>
    </row>
    <row r="982" ht="15.75" customHeight="1">
      <c r="A982" s="1" t="str">
        <f>IFERROR(__xludf.DUMMYFUNCTION("""COMPUTED_VALUE"""),"21753")</f>
        <v>21753</v>
      </c>
      <c r="B982" s="2">
        <f>IFERROR(__xludf.DUMMYFUNCTION("""COMPUTED_VALUE"""),21753.0)</f>
        <v>21753</v>
      </c>
      <c r="C982" s="3" t="str">
        <f>IFERROR(__xludf.DUMMYFUNCTION("""COMPUTED_VALUE"""),"MBC คาลเท็กซ์โขดหิน ระยอง")</f>
        <v>MBC คาลเท็กซ์โขดหิน ระยอง</v>
      </c>
      <c r="D982" s="3" t="str">
        <f>IFERROR(__xludf.DUMMYFUNCTION("""COMPUTED_VALUE"""),"BCM CALTEX KHOD HIN,RAYONG")</f>
        <v>BCM CALTEX KHOD HIN,RAYONG</v>
      </c>
      <c r="E982" s="1" t="str">
        <f>IFERROR(__xludf.DUMMYFUNCTION("""COMPUTED_VALUE"""),"บิ๊กซี MINI")</f>
        <v>บิ๊กซี MINI</v>
      </c>
      <c r="F982" s="1" t="str">
        <f>IFERROR(__xludf.DUMMYFUNCTION("""COMPUTED_VALUE"""),"221716")</f>
        <v>221716</v>
      </c>
      <c r="G982" s="1" t="str">
        <f>IFERROR(__xludf.DUMMYFUNCTION("""COMPUTED_VALUE"""),"น.ส.เบญจพร โพธิสาร")</f>
        <v>น.ส.เบญจพร โพธิสาร</v>
      </c>
      <c r="H982" s="1" t="str">
        <f>IFERROR(__xludf.DUMMYFUNCTION("""COMPUTED_VALUE"""),"359233")</f>
        <v>359233</v>
      </c>
      <c r="I982" s="1" t="str">
        <f>IFERROR(__xludf.DUMMYFUNCTION("""COMPUTED_VALUE"""),"น.ส.ปยุดา คำมีอ่อน")</f>
        <v>น.ส.ปยุดา คำมีอ่อน</v>
      </c>
      <c r="J982" s="3">
        <f>IFERROR(__xludf.DUMMYFUNCTION("""COMPUTED_VALUE"""),2452376.0)</f>
        <v>2452376</v>
      </c>
      <c r="K982" s="3" t="str">
        <f>IFERROR(__xludf.DUMMYFUNCTION("""COMPUTED_VALUE"""),"นายภาคภูมิ ทวีกุล")</f>
        <v>นายภาคภูมิ ทวีกุล</v>
      </c>
      <c r="L982" s="1" t="str">
        <f>IFERROR(__xludf.DUMMYFUNCTION("""COMPUTED_VALUE"""),"08 K.Parkphum T.")</f>
        <v>08 K.Parkphum T.</v>
      </c>
      <c r="M982" s="1" t="str">
        <f>IFERROR(__xludf.DUMMYFUNCTION("""COMPUTED_VALUE"""),"097-919-5476")</f>
        <v>097-919-5476</v>
      </c>
      <c r="N982" s="3">
        <f>IFERROR(__xludf.DUMMYFUNCTION("""COMPUTED_VALUE"""),22028.0)</f>
        <v>22028</v>
      </c>
      <c r="O982" s="3" t="str">
        <f>IFERROR(__xludf.DUMMYFUNCTION("""COMPUTED_VALUE"""),"MBC ทํบมา ระยอง")</f>
        <v>MBC ทํบมา ระยอง</v>
      </c>
      <c r="P982" s="4">
        <f>IFERROR(__xludf.DUMMYFUNCTION("""COMPUTED_VALUE"""),43459.0)</f>
        <v>43459</v>
      </c>
      <c r="Q982" s="3" t="str">
        <f>IFERROR(__xludf.DUMMYFUNCTION("""COMPUTED_VALUE"""),"A")</f>
        <v>A</v>
      </c>
      <c r="R982" s="3" t="str">
        <f>IFERROR(__xludf.DUMMYFUNCTION("""COMPUTED_VALUE"""),"Small Format")</f>
        <v>Small Format</v>
      </c>
      <c r="S982" s="3" t="str">
        <f>IFERROR(__xludf.DUMMYFUNCTION("""COMPUTED_VALUE"""),"BCM")</f>
        <v>BCM</v>
      </c>
      <c r="T982" s="3" t="str">
        <f>IFERROR(__xludf.DUMMYFUNCTION("""COMPUTED_VALUE"""),"#N/A")</f>
        <v>#N/A</v>
      </c>
      <c r="U982" s="3" t="str">
        <f>IFERROR(__xludf.DUMMYFUNCTION("""COMPUTED_VALUE"""),"#N/A")</f>
        <v>#N/A</v>
      </c>
      <c r="V982" s="3" t="str">
        <f>IFERROR(__xludf.DUMMYFUNCTION("""COMPUTED_VALUE"""),"N")</f>
        <v>N</v>
      </c>
      <c r="W982" s="3">
        <f>IFERROR(__xludf.DUMMYFUNCTION("""COMPUTED_VALUE"""),211753.0)</f>
        <v>211753</v>
      </c>
      <c r="X982" s="3" t="str">
        <f>IFERROR(__xludf.DUMMYFUNCTION("""COMPUTED_VALUE"""),"18/4 ถนนสุขุมวิท ตำบลเนินพระ อำเภอเมืองระยอง จังหวัดระยอง 21000")</f>
        <v>18/4 ถนนสุขุมวิท ตำบลเนินพระ อำเภอเมืองระยอง จังหวัดระยอง 21000</v>
      </c>
      <c r="Y982" s="3" t="str">
        <f>IFERROR(__xludf.DUMMYFUNCTION("""COMPUTED_VALUE"""),"ถนนสุขุมวิท")</f>
        <v>ถนนสุขุมวิท</v>
      </c>
      <c r="Z982" s="3" t="str">
        <f>IFERROR(__xludf.DUMMYFUNCTION("""COMPUTED_VALUE"""),"เนินพระ")</f>
        <v>เนินพระ</v>
      </c>
      <c r="AA982" s="3" t="str">
        <f>IFERROR(__xludf.DUMMYFUNCTION("""COMPUTED_VALUE"""),"เมือง")</f>
        <v>เมือง</v>
      </c>
      <c r="AB982" s="3" t="str">
        <f>IFERROR(__xludf.DUMMYFUNCTION("""COMPUTED_VALUE"""),"ระยอง")</f>
        <v>ระยอง</v>
      </c>
      <c r="AC982" s="3">
        <f>IFERROR(__xludf.DUMMYFUNCTION("""COMPUTED_VALUE"""),21000.0)</f>
        <v>21000</v>
      </c>
      <c r="AD982" s="3">
        <f>IFERROR(__xludf.DUMMYFUNCTION("""COMPUTED_VALUE"""),12.6947359)</f>
        <v>12.6947359</v>
      </c>
      <c r="AE982" s="3">
        <f>IFERROR(__xludf.DUMMYFUNCTION("""COMPUTED_VALUE"""),101.2001019)</f>
        <v>101.2001019</v>
      </c>
      <c r="AF982" s="3" t="str">
        <f>IFERROR(__xludf.DUMMYFUNCTION("""COMPUTED_VALUE"""),"MBC คาลเท็กซ์โขดหิน ระยอง-21753")</f>
        <v>MBC คาลเท็กซ์โขดหิน ระยอง-21753</v>
      </c>
      <c r="AG982" s="3" t="str">
        <f>IFERROR(__xludf.DUMMYFUNCTION("""COMPUTED_VALUE"""),"ตะวันออก")</f>
        <v>ตะวันออก</v>
      </c>
      <c r="AH982" s="3" t="str">
        <f>IFERROR(__xludf.DUMMYFUNCTION("""COMPUTED_VALUE"""),"#N/A")</f>
        <v>#N/A</v>
      </c>
      <c r="AI982" s="3" t="str">
        <f>IFERROR(__xludf.DUMMYFUNCTION("""COMPUTED_VALUE"""),"Out of warranty")</f>
        <v>Out of warranty</v>
      </c>
      <c r="AJ982" s="3">
        <f>IFERROR(__xludf.DUMMYFUNCTION("""COMPUTED_VALUE"""),85.0)</f>
        <v>85</v>
      </c>
      <c r="AK982" s="3" t="str">
        <f>IFERROR(__xludf.DUMMYFUNCTION("""COMPUTED_VALUE"""),"MMS08")</f>
        <v>MMS08</v>
      </c>
      <c r="AL982" s="3"/>
    </row>
    <row r="983" ht="15.75" customHeight="1">
      <c r="A983" s="1" t="str">
        <f>IFERROR(__xludf.DUMMYFUNCTION("""COMPUTED_VALUE"""),"21754")</f>
        <v>21754</v>
      </c>
      <c r="B983" s="2">
        <f>IFERROR(__xludf.DUMMYFUNCTION("""COMPUTED_VALUE"""),21754.0)</f>
        <v>21754</v>
      </c>
      <c r="C983" s="3" t="str">
        <f>IFERROR(__xludf.DUMMYFUNCTION("""COMPUTED_VALUE"""),"MBC เอสโซ่ยางตลาด กาฬสินธุ์")</f>
        <v>MBC เอสโซ่ยางตลาด กาฬสินธุ์</v>
      </c>
      <c r="D983" s="3" t="str">
        <f>IFERROR(__xludf.DUMMYFUNCTION("""COMPUTED_VALUE"""),"BCM ESSO YANG TALAD")</f>
        <v>BCM ESSO YANG TALAD</v>
      </c>
      <c r="E983" s="1" t="str">
        <f>IFERROR(__xludf.DUMMYFUNCTION("""COMPUTED_VALUE"""),"บิ๊กซี MINI")</f>
        <v>บิ๊กซี MINI</v>
      </c>
      <c r="F983" s="1" t="str">
        <f>IFERROR(__xludf.DUMMYFUNCTION("""COMPUTED_VALUE"""),"291105")</f>
        <v>291105</v>
      </c>
      <c r="G983" s="1" t="str">
        <f>IFERROR(__xludf.DUMMYFUNCTION("""COMPUTED_VALUE"""),"นายสราวุฒิ พณิชยกุล")</f>
        <v>นายสราวุฒิ พณิชยกุล</v>
      </c>
      <c r="H983" s="1" t="str">
        <f>IFERROR(__xludf.DUMMYFUNCTION("""COMPUTED_VALUE"""),"392433")</f>
        <v>392433</v>
      </c>
      <c r="I983" s="1" t="str">
        <f>IFERROR(__xludf.DUMMYFUNCTION("""COMPUTED_VALUE"""),"นายพรธิวา ใจอ่อน")</f>
        <v>นายพรธิวา ใจอ่อน</v>
      </c>
      <c r="J983" s="3">
        <f>IFERROR(__xludf.DUMMYFUNCTION("""COMPUTED_VALUE"""),2454781.0)</f>
        <v>2454781</v>
      </c>
      <c r="K983" s="3" t="str">
        <f>IFERROR(__xludf.DUMMYFUNCTION("""COMPUTED_VALUE"""),"นายฌานกฤช นันทะโคต")</f>
        <v>นายฌานกฤช นันทะโคต</v>
      </c>
      <c r="L983" s="1" t="str">
        <f>IFERROR(__xludf.DUMMYFUNCTION("""COMPUTED_VALUE"""),"05 K.Chanakrit N.")</f>
        <v>05 K.Chanakrit N.</v>
      </c>
      <c r="M983" s="1" t="str">
        <f>IFERROR(__xludf.DUMMYFUNCTION("""COMPUTED_VALUE"""),"090-978-9785 ,065-929-1320")</f>
        <v>090-978-9785 ,065-929-1320</v>
      </c>
      <c r="N983" s="3">
        <f>IFERROR(__xludf.DUMMYFUNCTION("""COMPUTED_VALUE"""),22195.0)</f>
        <v>22195</v>
      </c>
      <c r="O983" s="3" t="str">
        <f>IFERROR(__xludf.DUMMYFUNCTION("""COMPUTED_VALUE"""),"MBC กันทรลักษ์ ศรีสะเกษ")</f>
        <v>MBC กันทรลักษ์ ศรีสะเกษ</v>
      </c>
      <c r="P983" s="4">
        <f>IFERROR(__xludf.DUMMYFUNCTION("""COMPUTED_VALUE"""),43459.0)</f>
        <v>43459</v>
      </c>
      <c r="Q983" s="3" t="str">
        <f>IFERROR(__xludf.DUMMYFUNCTION("""COMPUTED_VALUE"""),"A")</f>
        <v>A</v>
      </c>
      <c r="R983" s="3" t="str">
        <f>IFERROR(__xludf.DUMMYFUNCTION("""COMPUTED_VALUE"""),"Small Format")</f>
        <v>Small Format</v>
      </c>
      <c r="S983" s="3" t="str">
        <f>IFERROR(__xludf.DUMMYFUNCTION("""COMPUTED_VALUE"""),"BCM")</f>
        <v>BCM</v>
      </c>
      <c r="T983" s="3" t="str">
        <f>IFERROR(__xludf.DUMMYFUNCTION("""COMPUTED_VALUE"""),"#N/A")</f>
        <v>#N/A</v>
      </c>
      <c r="U983" s="3" t="str">
        <f>IFERROR(__xludf.DUMMYFUNCTION("""COMPUTED_VALUE"""),"#N/A")</f>
        <v>#N/A</v>
      </c>
      <c r="V983" s="3" t="str">
        <f>IFERROR(__xludf.DUMMYFUNCTION("""COMPUTED_VALUE"""),"N")</f>
        <v>N</v>
      </c>
      <c r="W983" s="3">
        <f>IFERROR(__xludf.DUMMYFUNCTION("""COMPUTED_VALUE"""),211754.0)</f>
        <v>211754</v>
      </c>
      <c r="X983" s="3" t="str">
        <f>IFERROR(__xludf.DUMMYFUNCTION("""COMPUTED_VALUE"""),"222/1 หมู่18 ตำบลยางตลาด อำเภอยางตลาด จังหวัดกาฬสินธุ์ 46120")</f>
        <v>222/1 หมู่18 ตำบลยางตลาด อำเภอยางตลาด จังหวัดกาฬสินธุ์ 46120</v>
      </c>
      <c r="Y983" s="3"/>
      <c r="Z983" s="3" t="str">
        <f>IFERROR(__xludf.DUMMYFUNCTION("""COMPUTED_VALUE"""),"ยางตลาด")</f>
        <v>ยางตลาด</v>
      </c>
      <c r="AA983" s="3" t="str">
        <f>IFERROR(__xludf.DUMMYFUNCTION("""COMPUTED_VALUE"""),"ยางตลาด")</f>
        <v>ยางตลาด</v>
      </c>
      <c r="AB983" s="3" t="str">
        <f>IFERROR(__xludf.DUMMYFUNCTION("""COMPUTED_VALUE"""),"กาฬสินธุ์")</f>
        <v>กาฬสินธุ์</v>
      </c>
      <c r="AC983" s="3">
        <f>IFERROR(__xludf.DUMMYFUNCTION("""COMPUTED_VALUE"""),46120.0)</f>
        <v>46120</v>
      </c>
      <c r="AD983" s="3">
        <f>IFERROR(__xludf.DUMMYFUNCTION("""COMPUTED_VALUE"""),16.3947291)</f>
        <v>16.3947291</v>
      </c>
      <c r="AE983" s="3">
        <f>IFERROR(__xludf.DUMMYFUNCTION("""COMPUTED_VALUE"""),103.3044497)</f>
        <v>103.3044497</v>
      </c>
      <c r="AF983" s="3" t="str">
        <f>IFERROR(__xludf.DUMMYFUNCTION("""COMPUTED_VALUE"""),"MBC เอสโซ่ยางตลาด กาฬสินธุ์-21754")</f>
        <v>MBC เอสโซ่ยางตลาด กาฬสินธุ์-21754</v>
      </c>
      <c r="AG983" s="3" t="str">
        <f>IFERROR(__xludf.DUMMYFUNCTION("""COMPUTED_VALUE"""),"ตะวันออกเฉียงเหนือ")</f>
        <v>ตะวันออกเฉียงเหนือ</v>
      </c>
      <c r="AH983" s="3" t="str">
        <f>IFERROR(__xludf.DUMMYFUNCTION("""COMPUTED_VALUE"""),"#N/A")</f>
        <v>#N/A</v>
      </c>
      <c r="AI983" s="3" t="str">
        <f>IFERROR(__xludf.DUMMYFUNCTION("""COMPUTED_VALUE"""),"Out of warranty")</f>
        <v>Out of warranty</v>
      </c>
      <c r="AJ983" s="3">
        <f>IFERROR(__xludf.DUMMYFUNCTION("""COMPUTED_VALUE"""),85.0)</f>
        <v>85</v>
      </c>
      <c r="AK983" s="3" t="str">
        <f>IFERROR(__xludf.DUMMYFUNCTION("""COMPUTED_VALUE"""),"MMS13")</f>
        <v>MMS13</v>
      </c>
      <c r="AL983" s="3"/>
    </row>
    <row r="984" ht="15.75" customHeight="1">
      <c r="A984" s="1" t="str">
        <f>IFERROR(__xludf.DUMMYFUNCTION("""COMPUTED_VALUE"""),"21755")</f>
        <v>21755</v>
      </c>
      <c r="B984" s="2">
        <f>IFERROR(__xludf.DUMMYFUNCTION("""COMPUTED_VALUE"""),21755.0)</f>
        <v>21755</v>
      </c>
      <c r="C984" s="3" t="str">
        <f>IFERROR(__xludf.DUMMYFUNCTION("""COMPUTED_VALUE"""),"MBC ชุมชนวัดบางเป้ง")</f>
        <v>MBC ชุมชนวัดบางเป้ง</v>
      </c>
      <c r="D984" s="3" t="str">
        <f>IFERROR(__xludf.DUMMYFUNCTION("""COMPUTED_VALUE"""),"BCM CHUM CHON WAT BANG PENG")</f>
        <v>BCM CHUM CHON WAT BANG PENG</v>
      </c>
      <c r="E984" s="1" t="str">
        <f>IFERROR(__xludf.DUMMYFUNCTION("""COMPUTED_VALUE"""),"บิ๊กซี MINI")</f>
        <v>บิ๊กซี MINI</v>
      </c>
      <c r="F984" s="1" t="str">
        <f>IFERROR(__xludf.DUMMYFUNCTION("""COMPUTED_VALUE"""),"221716")</f>
        <v>221716</v>
      </c>
      <c r="G984" s="1" t="str">
        <f>IFERROR(__xludf.DUMMYFUNCTION("""COMPUTED_VALUE"""),"น.ส.เบญจพร โพธิสาร")</f>
        <v>น.ส.เบญจพร โพธิสาร</v>
      </c>
      <c r="H984" s="1" t="str">
        <f>IFERROR(__xludf.DUMMYFUNCTION("""COMPUTED_VALUE"""),"034605")</f>
        <v>034605</v>
      </c>
      <c r="I984" s="1" t="str">
        <f>IFERROR(__xludf.DUMMYFUNCTION("""COMPUTED_VALUE"""),"นายธรรมรัตน์ สุขเจริญ")</f>
        <v>นายธรรมรัตน์ สุขเจริญ</v>
      </c>
      <c r="J984" s="3">
        <f>IFERROR(__xludf.DUMMYFUNCTION("""COMPUTED_VALUE"""),1.3461215E7)</f>
        <v>13461215</v>
      </c>
      <c r="K984" s="3" t="str">
        <f>IFERROR(__xludf.DUMMYFUNCTION("""COMPUTED_VALUE"""),"นายธีรภัทร สังข์เงิน")</f>
        <v>นายธีรภัทร สังข์เงิน</v>
      </c>
      <c r="L984" s="1" t="str">
        <f>IFERROR(__xludf.DUMMYFUNCTION("""COMPUTED_VALUE"""),"06 K.Teerapat")</f>
        <v>06 K.Teerapat</v>
      </c>
      <c r="M984" s="1" t="str">
        <f>IFERROR(__xludf.DUMMYFUNCTION("""COMPUTED_VALUE"""),"063-601-6803")</f>
        <v>063-601-6803</v>
      </c>
      <c r="N984" s="3">
        <f>IFERROR(__xludf.DUMMYFUNCTION("""COMPUTED_VALUE"""),22115.0)</f>
        <v>22115</v>
      </c>
      <c r="O984" s="3" t="str">
        <f>IFERROR(__xludf.DUMMYFUNCTION("""COMPUTED_VALUE"""),"MBC เลี่ยงหนองมน ชลบุรี")</f>
        <v>MBC เลี่ยงหนองมน ชลบุรี</v>
      </c>
      <c r="P984" s="4">
        <f>IFERROR(__xludf.DUMMYFUNCTION("""COMPUTED_VALUE"""),43459.0)</f>
        <v>43459</v>
      </c>
      <c r="Q984" s="3" t="str">
        <f>IFERROR(__xludf.DUMMYFUNCTION("""COMPUTED_VALUE"""),"A")</f>
        <v>A</v>
      </c>
      <c r="R984" s="3" t="str">
        <f>IFERROR(__xludf.DUMMYFUNCTION("""COMPUTED_VALUE"""),"Small Format")</f>
        <v>Small Format</v>
      </c>
      <c r="S984" s="3" t="str">
        <f>IFERROR(__xludf.DUMMYFUNCTION("""COMPUTED_VALUE"""),"BCM")</f>
        <v>BCM</v>
      </c>
      <c r="T984" s="3" t="str">
        <f>IFERROR(__xludf.DUMMYFUNCTION("""COMPUTED_VALUE"""),"#N/A")</f>
        <v>#N/A</v>
      </c>
      <c r="U984" s="3" t="str">
        <f>IFERROR(__xludf.DUMMYFUNCTION("""COMPUTED_VALUE"""),"#N/A")</f>
        <v>#N/A</v>
      </c>
      <c r="V984" s="3" t="str">
        <f>IFERROR(__xludf.DUMMYFUNCTION("""COMPUTED_VALUE"""),"N")</f>
        <v>N</v>
      </c>
      <c r="W984" s="3">
        <f>IFERROR(__xludf.DUMMYFUNCTION("""COMPUTED_VALUE"""),211704.0)</f>
        <v>211704</v>
      </c>
      <c r="X984" s="3" t="str">
        <f>IFERROR(__xludf.DUMMYFUNCTION("""COMPUTED_VALUE"""),"128/1 ถนนมิตรสัมพันธ์ ตำบลแสนสุข อำเภอเมืองชลบุรี จังหวัดชลบุรี 20130")</f>
        <v>128/1 ถนนมิตรสัมพันธ์ ตำบลแสนสุข อำเภอเมืองชลบุรี จังหวัดชลบุรี 20130</v>
      </c>
      <c r="Y984" s="3" t="str">
        <f>IFERROR(__xludf.DUMMYFUNCTION("""COMPUTED_VALUE"""),"ถนนมิตรสัมพันธ์")</f>
        <v>ถนนมิตรสัมพันธ์</v>
      </c>
      <c r="Z984" s="3" t="str">
        <f>IFERROR(__xludf.DUMMYFUNCTION("""COMPUTED_VALUE"""),"แสนสุข")</f>
        <v>แสนสุข</v>
      </c>
      <c r="AA984" s="3" t="str">
        <f>IFERROR(__xludf.DUMMYFUNCTION("""COMPUTED_VALUE"""),"เมือง")</f>
        <v>เมือง</v>
      </c>
      <c r="AB984" s="3" t="str">
        <f>IFERROR(__xludf.DUMMYFUNCTION("""COMPUTED_VALUE"""),"ชลบุรี")</f>
        <v>ชลบุรี</v>
      </c>
      <c r="AC984" s="3">
        <f>IFERROR(__xludf.DUMMYFUNCTION("""COMPUTED_VALUE"""),20130.0)</f>
        <v>20130</v>
      </c>
      <c r="AD984" s="3">
        <f>IFERROR(__xludf.DUMMYFUNCTION("""COMPUTED_VALUE"""),13.2895364)</f>
        <v>13.2895364</v>
      </c>
      <c r="AE984" s="3">
        <f>IFERROR(__xludf.DUMMYFUNCTION("""COMPUTED_VALUE"""),100.9373956)</f>
        <v>100.9373956</v>
      </c>
      <c r="AF984" s="3" t="str">
        <f>IFERROR(__xludf.DUMMYFUNCTION("""COMPUTED_VALUE"""),"MBC ชุมชนวัดบางเป้ง-21755")</f>
        <v>MBC ชุมชนวัดบางเป้ง-21755</v>
      </c>
      <c r="AG984" s="3" t="str">
        <f>IFERROR(__xludf.DUMMYFUNCTION("""COMPUTED_VALUE"""),"ตะวันออก")</f>
        <v>ตะวันออก</v>
      </c>
      <c r="AH984" s="3" t="str">
        <f>IFERROR(__xludf.DUMMYFUNCTION("""COMPUTED_VALUE"""),"#N/A")</f>
        <v>#N/A</v>
      </c>
      <c r="AI984" s="3" t="str">
        <f>IFERROR(__xludf.DUMMYFUNCTION("""COMPUTED_VALUE"""),"Out of warranty")</f>
        <v>Out of warranty</v>
      </c>
      <c r="AJ984" s="3">
        <f>IFERROR(__xludf.DUMMYFUNCTION("""COMPUTED_VALUE"""),85.0)</f>
        <v>85</v>
      </c>
      <c r="AK984" s="3" t="str">
        <f>IFERROR(__xludf.DUMMYFUNCTION("""COMPUTED_VALUE"""),"MMS06")</f>
        <v>MMS06</v>
      </c>
      <c r="AL984" s="3"/>
    </row>
    <row r="985" ht="15.75" customHeight="1">
      <c r="A985" s="1" t="str">
        <f>IFERROR(__xludf.DUMMYFUNCTION("""COMPUTED_VALUE"""),"21756")</f>
        <v>21756</v>
      </c>
      <c r="B985" s="2">
        <f>IFERROR(__xludf.DUMMYFUNCTION("""COMPUTED_VALUE"""),21756.0)</f>
        <v>21756</v>
      </c>
      <c r="C985" s="3" t="str">
        <f>IFERROR(__xludf.DUMMYFUNCTION("""COMPUTED_VALUE"""),"MBC ตลาดลาว มาบตาพุด")</f>
        <v>MBC ตลาดลาว มาบตาพุด</v>
      </c>
      <c r="D985" s="3" t="str">
        <f>IFERROR(__xludf.DUMMYFUNCTION("""COMPUTED_VALUE"""),"BCM TALAD LAO MABTAPHUD")</f>
        <v>BCM TALAD LAO MABTAPHUD</v>
      </c>
      <c r="E985" s="1" t="str">
        <f>IFERROR(__xludf.DUMMYFUNCTION("""COMPUTED_VALUE"""),"บิ๊กซี MINI")</f>
        <v>บิ๊กซี MINI</v>
      </c>
      <c r="F985" s="1" t="str">
        <f>IFERROR(__xludf.DUMMYFUNCTION("""COMPUTED_VALUE"""),"221716")</f>
        <v>221716</v>
      </c>
      <c r="G985" s="1" t="str">
        <f>IFERROR(__xludf.DUMMYFUNCTION("""COMPUTED_VALUE"""),"น.ส.เบญจพร โพธิสาร")</f>
        <v>น.ส.เบญจพร โพธิสาร</v>
      </c>
      <c r="H985" s="1" t="str">
        <f>IFERROR(__xludf.DUMMYFUNCTION("""COMPUTED_VALUE"""),"359233")</f>
        <v>359233</v>
      </c>
      <c r="I985" s="1" t="str">
        <f>IFERROR(__xludf.DUMMYFUNCTION("""COMPUTED_VALUE"""),"น.ส.ปยุดา คำมีอ่อน")</f>
        <v>น.ส.ปยุดา คำมีอ่อน</v>
      </c>
      <c r="J985" s="3">
        <f>IFERROR(__xludf.DUMMYFUNCTION("""COMPUTED_VALUE"""),3510104.0)</f>
        <v>3510104</v>
      </c>
      <c r="K985" s="3" t="str">
        <f>IFERROR(__xludf.DUMMYFUNCTION("""COMPUTED_VALUE"""),"นายวิโรจน์ อับดุลสมัด")</f>
        <v>นายวิโรจน์ อับดุลสมัด</v>
      </c>
      <c r="L985" s="1" t="str">
        <f>IFERROR(__xludf.DUMMYFUNCTION("""COMPUTED_VALUE"""),"09 K.Wirode A")</f>
        <v>09 K.Wirode A</v>
      </c>
      <c r="M985" s="1" t="str">
        <f>IFERROR(__xludf.DUMMYFUNCTION("""COMPUTED_VALUE"""),"080-235-4465")</f>
        <v>080-235-4465</v>
      </c>
      <c r="N985" s="3">
        <f>IFERROR(__xludf.DUMMYFUNCTION("""COMPUTED_VALUE"""),21324.0)</f>
        <v>21324</v>
      </c>
      <c r="O985" s="3" t="str">
        <f>IFERROR(__xludf.DUMMYFUNCTION("""COMPUTED_VALUE"""),"MBC BCP สุวินทวงศ์")</f>
        <v>MBC BCP สุวินทวงศ์</v>
      </c>
      <c r="P985" s="4">
        <f>IFERROR(__xludf.DUMMYFUNCTION("""COMPUTED_VALUE"""),43459.0)</f>
        <v>43459</v>
      </c>
      <c r="Q985" s="3" t="str">
        <f>IFERROR(__xludf.DUMMYFUNCTION("""COMPUTED_VALUE"""),"I")</f>
        <v>I</v>
      </c>
      <c r="R985" s="3" t="str">
        <f>IFERROR(__xludf.DUMMYFUNCTION("""COMPUTED_VALUE"""),"Small Format")</f>
        <v>Small Format</v>
      </c>
      <c r="S985" s="3" t="str">
        <f>IFERROR(__xludf.DUMMYFUNCTION("""COMPUTED_VALUE"""),"BCM")</f>
        <v>BCM</v>
      </c>
      <c r="T985" s="3" t="str">
        <f>IFERROR(__xludf.DUMMYFUNCTION("""COMPUTED_VALUE"""),"#N/A")</f>
        <v>#N/A</v>
      </c>
      <c r="U985" s="3" t="str">
        <f>IFERROR(__xludf.DUMMYFUNCTION("""COMPUTED_VALUE"""),"#N/A")</f>
        <v>#N/A</v>
      </c>
      <c r="V985" s="3" t="str">
        <f>IFERROR(__xludf.DUMMYFUNCTION("""COMPUTED_VALUE"""),"N")</f>
        <v>N</v>
      </c>
      <c r="W985" s="3">
        <f>IFERROR(__xludf.DUMMYFUNCTION("""COMPUTED_VALUE"""),211713.0)</f>
        <v>211713</v>
      </c>
      <c r="X985" s="3" t="str">
        <f>IFERROR(__xludf.DUMMYFUNCTION("""COMPUTED_VALUE"""),"78/59 ถนนตากวน-หาดทรายทอง ตำบลมาบตาพุด อำเภอเมืองระยอง จังหวัดระยอง 21150")</f>
        <v>78/59 ถนนตากวน-หาดทรายทอง ตำบลมาบตาพุด อำเภอเมืองระยอง จังหวัดระยอง 21150</v>
      </c>
      <c r="Y985" s="3" t="str">
        <f>IFERROR(__xludf.DUMMYFUNCTION("""COMPUTED_VALUE"""),"ถนนตากวน-หาดทรายทอง")</f>
        <v>ถนนตากวน-หาดทรายทอง</v>
      </c>
      <c r="Z985" s="3" t="str">
        <f>IFERROR(__xludf.DUMMYFUNCTION("""COMPUTED_VALUE"""),"มาบตาพุด")</f>
        <v>มาบตาพุด</v>
      </c>
      <c r="AA985" s="3" t="str">
        <f>IFERROR(__xludf.DUMMYFUNCTION("""COMPUTED_VALUE"""),"เมืองระยอง")</f>
        <v>เมืองระยอง</v>
      </c>
      <c r="AB985" s="3" t="str">
        <f>IFERROR(__xludf.DUMMYFUNCTION("""COMPUTED_VALUE"""),"ระยอง")</f>
        <v>ระยอง</v>
      </c>
      <c r="AC985" s="3">
        <f>IFERROR(__xludf.DUMMYFUNCTION("""COMPUTED_VALUE"""),21150.0)</f>
        <v>21150</v>
      </c>
      <c r="AD985" s="3">
        <f>IFERROR(__xludf.DUMMYFUNCTION("""COMPUTED_VALUE"""),12.6830837)</f>
        <v>12.6830837</v>
      </c>
      <c r="AE985" s="3">
        <f>IFERROR(__xludf.DUMMYFUNCTION("""COMPUTED_VALUE"""),101.1669705)</f>
        <v>101.1669705</v>
      </c>
      <c r="AF985" s="3" t="str">
        <f>IFERROR(__xludf.DUMMYFUNCTION("""COMPUTED_VALUE"""),"MBC ตลาดลาว มาบตาพุด-21756")</f>
        <v>MBC ตลาดลาว มาบตาพุด-21756</v>
      </c>
      <c r="AG985" s="3" t="str">
        <f>IFERROR(__xludf.DUMMYFUNCTION("""COMPUTED_VALUE"""),"ตะวันออก")</f>
        <v>ตะวันออก</v>
      </c>
      <c r="AH985" s="3" t="str">
        <f>IFERROR(__xludf.DUMMYFUNCTION("""COMPUTED_VALUE"""),"#N/A")</f>
        <v>#N/A</v>
      </c>
      <c r="AI985" s="3" t="str">
        <f>IFERROR(__xludf.DUMMYFUNCTION("""COMPUTED_VALUE"""),"Out of warranty")</f>
        <v>Out of warranty</v>
      </c>
      <c r="AJ985" s="3">
        <f>IFERROR(__xludf.DUMMYFUNCTION("""COMPUTED_VALUE"""),85.0)</f>
        <v>85</v>
      </c>
      <c r="AK985" s="3" t="str">
        <f>IFERROR(__xludf.DUMMYFUNCTION("""COMPUTED_VALUE"""),"MMS08")</f>
        <v>MMS08</v>
      </c>
      <c r="AL985" s="3"/>
    </row>
    <row r="986" ht="15.75" customHeight="1">
      <c r="A986" s="1" t="str">
        <f>IFERROR(__xludf.DUMMYFUNCTION("""COMPUTED_VALUE"""),"21757")</f>
        <v>21757</v>
      </c>
      <c r="B986" s="2">
        <f>IFERROR(__xludf.DUMMYFUNCTION("""COMPUTED_VALUE"""),21757.0)</f>
        <v>21757</v>
      </c>
      <c r="C986" s="3" t="str">
        <f>IFERROR(__xludf.DUMMYFUNCTION("""COMPUTED_VALUE"""),"MBC เชลล์ควนกาหลง สตูล")</f>
        <v>MBC เชลล์ควนกาหลง สตูล</v>
      </c>
      <c r="D986" s="3" t="str">
        <f>IFERROR(__xludf.DUMMYFUNCTION("""COMPUTED_VALUE"""),"BCM SHELL KHUAN KALONG")</f>
        <v>BCM SHELL KHUAN KALONG</v>
      </c>
      <c r="E986" s="1" t="str">
        <f>IFERROR(__xludf.DUMMYFUNCTION("""COMPUTED_VALUE"""),"บิ๊กซี MINI")</f>
        <v>บิ๊กซี MINI</v>
      </c>
      <c r="F986" s="1" t="str">
        <f>IFERROR(__xludf.DUMMYFUNCTION("""COMPUTED_VALUE"""),"2010918")</f>
        <v>2010918</v>
      </c>
      <c r="G986" s="1" t="str">
        <f>IFERROR(__xludf.DUMMYFUNCTION("""COMPUTED_VALUE"""),"น.ส.สุดารัตน์ รัตนประดิษฐ์")</f>
        <v>น.ส.สุดารัตน์ รัตนประดิษฐ์</v>
      </c>
      <c r="H986" s="1" t="str">
        <f>IFERROR(__xludf.DUMMYFUNCTION("""COMPUTED_VALUE"""),"394100")</f>
        <v>394100</v>
      </c>
      <c r="I986" s="1" t="str">
        <f>IFERROR(__xludf.DUMMYFUNCTION("""COMPUTED_VALUE"""),"นายไพโรจน์ ถิระผะลิกะ")</f>
        <v>นายไพโรจน์ ถิระผะลิกะ</v>
      </c>
      <c r="J986" s="3">
        <f>IFERROR(__xludf.DUMMYFUNCTION("""COMPUTED_VALUE"""),2.0470331E7)</f>
        <v>20470331</v>
      </c>
      <c r="K986" s="3" t="str">
        <f>IFERROR(__xludf.DUMMYFUNCTION("""COMPUTED_VALUE"""),"นายสมชาย ลักษณะสุวรรณ")</f>
        <v>นายสมชาย ลักษณะสุวรรณ</v>
      </c>
      <c r="L986" s="1" t="str">
        <f>IFERROR(__xludf.DUMMYFUNCTION("""COMPUTED_VALUE"""),"15 K.Somchai L")</f>
        <v>15 K.Somchai L</v>
      </c>
      <c r="M986" s="1" t="str">
        <f>IFERROR(__xludf.DUMMYFUNCTION("""COMPUTED_VALUE"""),"0655107372")</f>
        <v>0655107372</v>
      </c>
      <c r="N986" s="3">
        <f>IFERROR(__xludf.DUMMYFUNCTION("""COMPUTED_VALUE"""),21723.0)</f>
        <v>21723</v>
      </c>
      <c r="O986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986" s="4">
        <f>IFERROR(__xludf.DUMMYFUNCTION("""COMPUTED_VALUE"""),43459.0)</f>
        <v>43459</v>
      </c>
      <c r="Q986" s="3" t="str">
        <f>IFERROR(__xludf.DUMMYFUNCTION("""COMPUTED_VALUE"""),"I")</f>
        <v>I</v>
      </c>
      <c r="R986" s="3" t="str">
        <f>IFERROR(__xludf.DUMMYFUNCTION("""COMPUTED_VALUE"""),"Small Format")</f>
        <v>Small Format</v>
      </c>
      <c r="S986" s="3" t="str">
        <f>IFERROR(__xludf.DUMMYFUNCTION("""COMPUTED_VALUE"""),"BCM")</f>
        <v>BCM</v>
      </c>
      <c r="T986" s="3" t="str">
        <f>IFERROR(__xludf.DUMMYFUNCTION("""COMPUTED_VALUE"""),"#N/A")</f>
        <v>#N/A</v>
      </c>
      <c r="U986" s="3" t="str">
        <f>IFERROR(__xludf.DUMMYFUNCTION("""COMPUTED_VALUE"""),"#N/A")</f>
        <v>#N/A</v>
      </c>
      <c r="V986" s="3" t="str">
        <f>IFERROR(__xludf.DUMMYFUNCTION("""COMPUTED_VALUE"""),"N")</f>
        <v>N</v>
      </c>
      <c r="W986" s="3">
        <f>IFERROR(__xludf.DUMMYFUNCTION("""COMPUTED_VALUE"""),211764.0)</f>
        <v>211764</v>
      </c>
      <c r="X986" s="3" t="str">
        <f>IFERROR(__xludf.DUMMYFUNCTION("""COMPUTED_VALUE"""),"266/1 หมู่1 ตำบลทุ่งนุ้ย อำเภอควนกาหลง จังหวัดสตูล 91130")</f>
        <v>266/1 หมู่1 ตำบลทุ่งนุ้ย อำเภอควนกาหลง จังหวัดสตูล 91130</v>
      </c>
      <c r="Y986" s="3"/>
      <c r="Z986" s="3" t="str">
        <f>IFERROR(__xludf.DUMMYFUNCTION("""COMPUTED_VALUE"""),"ทุ่งนุ้ย")</f>
        <v>ทุ่งนุ้ย</v>
      </c>
      <c r="AA986" s="3" t="str">
        <f>IFERROR(__xludf.DUMMYFUNCTION("""COMPUTED_VALUE"""),"ควนกาหลง")</f>
        <v>ควนกาหลง</v>
      </c>
      <c r="AB986" s="3" t="str">
        <f>IFERROR(__xludf.DUMMYFUNCTION("""COMPUTED_VALUE"""),"สตูล")</f>
        <v>สตูล</v>
      </c>
      <c r="AC986" s="3">
        <f>IFERROR(__xludf.DUMMYFUNCTION("""COMPUTED_VALUE"""),91130.0)</f>
        <v>91130</v>
      </c>
      <c r="AD986" s="3">
        <f>IFERROR(__xludf.DUMMYFUNCTION("""COMPUTED_VALUE"""),6.8403281)</f>
        <v>6.8403281</v>
      </c>
      <c r="AE986" s="3">
        <f>IFERROR(__xludf.DUMMYFUNCTION("""COMPUTED_VALUE"""),100.0899221)</f>
        <v>100.0899221</v>
      </c>
      <c r="AF986" s="3" t="str">
        <f>IFERROR(__xludf.DUMMYFUNCTION("""COMPUTED_VALUE"""),"MBC เชลล์ควนกาหลง สตูล-21757")</f>
        <v>MBC เชลล์ควนกาหลง สตูล-21757</v>
      </c>
      <c r="AG986" s="3" t="str">
        <f>IFERROR(__xludf.DUMMYFUNCTION("""COMPUTED_VALUE"""),"ใต้")</f>
        <v>ใต้</v>
      </c>
      <c r="AH986" s="3" t="str">
        <f>IFERROR(__xludf.DUMMYFUNCTION("""COMPUTED_VALUE"""),"#N/A")</f>
        <v>#N/A</v>
      </c>
      <c r="AI986" s="3" t="str">
        <f>IFERROR(__xludf.DUMMYFUNCTION("""COMPUTED_VALUE"""),"Out of warranty")</f>
        <v>Out of warranty</v>
      </c>
      <c r="AJ986" s="3">
        <f>IFERROR(__xludf.DUMMYFUNCTION("""COMPUTED_VALUE"""),85.0)</f>
        <v>85</v>
      </c>
      <c r="AK986" s="3"/>
      <c r="AL986" s="3"/>
    </row>
    <row r="987" ht="15.75" customHeight="1">
      <c r="A987" s="1" t="str">
        <f>IFERROR(__xludf.DUMMYFUNCTION("""COMPUTED_VALUE"""),"21758")</f>
        <v>21758</v>
      </c>
      <c r="B987" s="2">
        <f>IFERROR(__xludf.DUMMYFUNCTION("""COMPUTED_VALUE"""),21758.0)</f>
        <v>21758</v>
      </c>
      <c r="C987" s="3" t="str">
        <f>IFERROR(__xludf.DUMMYFUNCTION("""COMPUTED_VALUE"""),"MBC เชลล์ทุ่งหลวง สุราษฎร์ธานี")</f>
        <v>MBC เชลล์ทุ่งหลวง สุราษฎร์ธานี</v>
      </c>
      <c r="D987" s="3" t="str">
        <f>IFERROR(__xludf.DUMMYFUNCTION("""COMPUTED_VALUE"""),"BCM SHELL THUNG LUANG")</f>
        <v>BCM SHELL THUNG LUANG</v>
      </c>
      <c r="E987" s="1" t="str">
        <f>IFERROR(__xludf.DUMMYFUNCTION("""COMPUTED_VALUE"""),"บิ๊กซี MINI")</f>
        <v>บิ๊กซี MINI</v>
      </c>
      <c r="F987" s="1" t="str">
        <f>IFERROR(__xludf.DUMMYFUNCTION("""COMPUTED_VALUE"""),"2010918")</f>
        <v>2010918</v>
      </c>
      <c r="G987" s="1" t="str">
        <f>IFERROR(__xludf.DUMMYFUNCTION("""COMPUTED_VALUE"""),"น.ส.สุดารัตน์ รัตนประดิษฐ์")</f>
        <v>น.ส.สุดารัตน์ รัตนประดิษฐ์</v>
      </c>
      <c r="H987" s="1" t="str">
        <f>IFERROR(__xludf.DUMMYFUNCTION("""COMPUTED_VALUE"""),"228389")</f>
        <v>228389</v>
      </c>
      <c r="I987" s="1" t="str">
        <f>IFERROR(__xludf.DUMMYFUNCTION("""COMPUTED_VALUE"""),"นายมณีรันดร์ ชัยชนะ")</f>
        <v>นายมณีรันดร์ ชัยชนะ</v>
      </c>
      <c r="J987" s="3">
        <f>IFERROR(__xludf.DUMMYFUNCTION("""COMPUTED_VALUE"""),2.0470331E7)</f>
        <v>20470331</v>
      </c>
      <c r="K987" s="3" t="str">
        <f>IFERROR(__xludf.DUMMYFUNCTION("""COMPUTED_VALUE"""),"นายสมชาย ลักษณะสุวรรณ")</f>
        <v>นายสมชาย ลักษณะสุวรรณ</v>
      </c>
      <c r="L987" s="1" t="str">
        <f>IFERROR(__xludf.DUMMYFUNCTION("""COMPUTED_VALUE"""),"15 K.Somchai L")</f>
        <v>15 K.Somchai L</v>
      </c>
      <c r="M987" s="1" t="str">
        <f>IFERROR(__xludf.DUMMYFUNCTION("""COMPUTED_VALUE"""),"0655107372")</f>
        <v>0655107372</v>
      </c>
      <c r="N987" s="3">
        <f>IFERROR(__xludf.DUMMYFUNCTION("""COMPUTED_VALUE"""),21723.0)</f>
        <v>21723</v>
      </c>
      <c r="O987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987" s="4">
        <f>IFERROR(__xludf.DUMMYFUNCTION("""COMPUTED_VALUE"""),43458.0)</f>
        <v>43458</v>
      </c>
      <c r="Q987" s="3" t="str">
        <f>IFERROR(__xludf.DUMMYFUNCTION("""COMPUTED_VALUE"""),"I")</f>
        <v>I</v>
      </c>
      <c r="R987" s="3" t="str">
        <f>IFERROR(__xludf.DUMMYFUNCTION("""COMPUTED_VALUE"""),"Small Format")</f>
        <v>Small Format</v>
      </c>
      <c r="S987" s="3" t="str">
        <f>IFERROR(__xludf.DUMMYFUNCTION("""COMPUTED_VALUE"""),"BCM")</f>
        <v>BCM</v>
      </c>
      <c r="T987" s="3" t="str">
        <f>IFERROR(__xludf.DUMMYFUNCTION("""COMPUTED_VALUE"""),"#N/A")</f>
        <v>#N/A</v>
      </c>
      <c r="U987" s="3" t="str">
        <f>IFERROR(__xludf.DUMMYFUNCTION("""COMPUTED_VALUE"""),"#N/A")</f>
        <v>#N/A</v>
      </c>
      <c r="V987" s="3" t="str">
        <f>IFERROR(__xludf.DUMMYFUNCTION("""COMPUTED_VALUE"""),"N")</f>
        <v>N</v>
      </c>
      <c r="W987" s="3">
        <f>IFERROR(__xludf.DUMMYFUNCTION("""COMPUTED_VALUE"""),211763.0)</f>
        <v>211763</v>
      </c>
      <c r="X987" s="3" t="str">
        <f>IFERROR(__xludf.DUMMYFUNCTION("""COMPUTED_VALUE"""),"777/1 หมู่5 ตำบลทุ่งหลวง อำเภอเวียงสระ จังหวัดสุราษฎร์ธานี 84190")</f>
        <v>777/1 หมู่5 ตำบลทุ่งหลวง อำเภอเวียงสระ จังหวัดสุราษฎร์ธานี 84190</v>
      </c>
      <c r="Y987" s="3"/>
      <c r="Z987" s="3" t="str">
        <f>IFERROR(__xludf.DUMMYFUNCTION("""COMPUTED_VALUE"""),"ทุ่งหลวง")</f>
        <v>ทุ่งหลวง</v>
      </c>
      <c r="AA987" s="3" t="str">
        <f>IFERROR(__xludf.DUMMYFUNCTION("""COMPUTED_VALUE"""),"เวียงสระ")</f>
        <v>เวียงสระ</v>
      </c>
      <c r="AB987" s="3" t="str">
        <f>IFERROR(__xludf.DUMMYFUNCTION("""COMPUTED_VALUE"""),"สุราษฎร์ธานี")</f>
        <v>สุราษฎร์ธานี</v>
      </c>
      <c r="AC987" s="3">
        <f>IFERROR(__xludf.DUMMYFUNCTION("""COMPUTED_VALUE"""),84190.0)</f>
        <v>84190</v>
      </c>
      <c r="AD987" s="3">
        <f>IFERROR(__xludf.DUMMYFUNCTION("""COMPUTED_VALUE"""),8.583926)</f>
        <v>8.583926</v>
      </c>
      <c r="AE987" s="3">
        <f>IFERROR(__xludf.DUMMYFUNCTION("""COMPUTED_VALUE"""),99.2822238)</f>
        <v>99.2822238</v>
      </c>
      <c r="AF987" s="3" t="str">
        <f>IFERROR(__xludf.DUMMYFUNCTION("""COMPUTED_VALUE"""),"MBC เชลล์ทุ่งหลวง สุราษฎร์ธานี-21758")</f>
        <v>MBC เชลล์ทุ่งหลวง สุราษฎร์ธานี-21758</v>
      </c>
      <c r="AG987" s="3" t="str">
        <f>IFERROR(__xludf.DUMMYFUNCTION("""COMPUTED_VALUE"""),"ใต้")</f>
        <v>ใต้</v>
      </c>
      <c r="AH987" s="3" t="str">
        <f>IFERROR(__xludf.DUMMYFUNCTION("""COMPUTED_VALUE"""),"#N/A")</f>
        <v>#N/A</v>
      </c>
      <c r="AI987" s="3" t="str">
        <f>IFERROR(__xludf.DUMMYFUNCTION("""COMPUTED_VALUE"""),"Out of warranty")</f>
        <v>Out of warranty</v>
      </c>
      <c r="AJ987" s="3">
        <f>IFERROR(__xludf.DUMMYFUNCTION("""COMPUTED_VALUE"""),85.0)</f>
        <v>85</v>
      </c>
      <c r="AK987" s="3"/>
      <c r="AL987" s="3"/>
    </row>
    <row r="988" ht="15.75" customHeight="1">
      <c r="A988" s="1" t="str">
        <f>IFERROR(__xludf.DUMMYFUNCTION("""COMPUTED_VALUE"""),"21759")</f>
        <v>21759</v>
      </c>
      <c r="B988" s="2">
        <f>IFERROR(__xludf.DUMMYFUNCTION("""COMPUTED_VALUE"""),21759.0)</f>
        <v>21759</v>
      </c>
      <c r="C988" s="3" t="str">
        <f>IFERROR(__xludf.DUMMYFUNCTION("""COMPUTED_VALUE"""),"MBC เอสโซ่เสมาฟ้าคราม ปทุมธานี")</f>
        <v>MBC เอสโซ่เสมาฟ้าคราม ปทุมธานี</v>
      </c>
      <c r="D988" s="3" t="str">
        <f>IFERROR(__xludf.DUMMYFUNCTION("""COMPUTED_VALUE"""),"BCM ESSO SEMA FHAKRAM")</f>
        <v>BCM ESSO SEMA FHAKRAM</v>
      </c>
      <c r="E988" s="1" t="str">
        <f>IFERROR(__xludf.DUMMYFUNCTION("""COMPUTED_VALUE"""),"บิ๊กซี MINI")</f>
        <v>บิ๊กซี MINI</v>
      </c>
      <c r="F988" s="1" t="str">
        <f>IFERROR(__xludf.DUMMYFUNCTION("""COMPUTED_VALUE"""),"2083447")</f>
        <v>2083447</v>
      </c>
      <c r="G988" s="1" t="str">
        <f>IFERROR(__xludf.DUMMYFUNCTION("""COMPUTED_VALUE"""),"นายอนุกูล ศรีลัดดา")</f>
        <v>นายอนุกูล ศรีลัดดา</v>
      </c>
      <c r="H988" s="1" t="str">
        <f>IFERROR(__xludf.DUMMYFUNCTION("""COMPUTED_VALUE"""),"373849")</f>
        <v>373849</v>
      </c>
      <c r="I988" s="1" t="str">
        <f>IFERROR(__xludf.DUMMYFUNCTION("""COMPUTED_VALUE"""),"น.ส.อรอุมา นิ่มวิศิษย์")</f>
        <v>น.ส.อรอุมา นิ่มวิศิษย์</v>
      </c>
      <c r="J988" s="3">
        <f>IFERROR(__xludf.DUMMYFUNCTION("""COMPUTED_VALUE"""),295541.0)</f>
        <v>295541</v>
      </c>
      <c r="K988" s="3" t="str">
        <f>IFERROR(__xludf.DUMMYFUNCTION("""COMPUTED_VALUE"""),"นายรพิพล ศรีมาตย์")</f>
        <v>นายรพิพล ศรีมาตย์</v>
      </c>
      <c r="L988" s="1" t="str">
        <f>IFERROR(__xludf.DUMMYFUNCTION("""COMPUTED_VALUE"""),"นายรพิพล ศรีมาตย์")</f>
        <v>นายรพิพล ศรีมาตย์</v>
      </c>
      <c r="M988" s="1" t="str">
        <f>IFERROR(__xludf.DUMMYFUNCTION("""COMPUTED_VALUE"""),"0613966115")</f>
        <v>0613966115</v>
      </c>
      <c r="N988" s="3">
        <f>IFERROR(__xludf.DUMMYFUNCTION("""COMPUTED_VALUE"""),21175.0)</f>
        <v>21175</v>
      </c>
      <c r="O988" s="3" t="str">
        <f>IFERROR(__xludf.DUMMYFUNCTION("""COMPUTED_VALUE"""),"MBC BCP กิ่งแก้ว")</f>
        <v>MBC BCP กิ่งแก้ว</v>
      </c>
      <c r="P988" s="4">
        <f>IFERROR(__xludf.DUMMYFUNCTION("""COMPUTED_VALUE"""),43477.0)</f>
        <v>43477</v>
      </c>
      <c r="Q988" s="3" t="str">
        <f>IFERROR(__xludf.DUMMYFUNCTION("""COMPUTED_VALUE"""),"I")</f>
        <v>I</v>
      </c>
      <c r="R988" s="3" t="str">
        <f>IFERROR(__xludf.DUMMYFUNCTION("""COMPUTED_VALUE"""),"Small Format")</f>
        <v>Small Format</v>
      </c>
      <c r="S988" s="3" t="str">
        <f>IFERROR(__xludf.DUMMYFUNCTION("""COMPUTED_VALUE"""),"BCM")</f>
        <v>BCM</v>
      </c>
      <c r="T988" s="3" t="str">
        <f>IFERROR(__xludf.DUMMYFUNCTION("""COMPUTED_VALUE"""),"#N/A")</f>
        <v>#N/A</v>
      </c>
      <c r="U988" s="3" t="str">
        <f>IFERROR(__xludf.DUMMYFUNCTION("""COMPUTED_VALUE"""),"#N/A")</f>
        <v>#N/A</v>
      </c>
      <c r="V988" s="3" t="str">
        <f>IFERROR(__xludf.DUMMYFUNCTION("""COMPUTED_VALUE"""),"N")</f>
        <v>N</v>
      </c>
      <c r="W988" s="3">
        <f>IFERROR(__xludf.DUMMYFUNCTION("""COMPUTED_VALUE"""),211757.0)</f>
        <v>211757</v>
      </c>
      <c r="X988" s="3" t="str">
        <f>IFERROR(__xludf.DUMMYFUNCTION("""COMPUTED_VALUE"""),"106/45 หมู่6 ตำบลคูคต อำเภอลำลูกกา จังหวัดปทุมธานี 12130")</f>
        <v>106/45 หมู่6 ตำบลคูคต อำเภอลำลูกกา จังหวัดปทุมธานี 12130</v>
      </c>
      <c r="Y988" s="3"/>
      <c r="Z988" s="3" t="str">
        <f>IFERROR(__xludf.DUMMYFUNCTION("""COMPUTED_VALUE"""),"คูคต")</f>
        <v>คูคต</v>
      </c>
      <c r="AA988" s="3" t="str">
        <f>IFERROR(__xludf.DUMMYFUNCTION("""COMPUTED_VALUE"""),"ลำลูกกา")</f>
        <v>ลำลูกกา</v>
      </c>
      <c r="AB988" s="3" t="str">
        <f>IFERROR(__xludf.DUMMYFUNCTION("""COMPUTED_VALUE"""),"ปทุมธานี")</f>
        <v>ปทุมธานี</v>
      </c>
      <c r="AC988" s="3">
        <f>IFERROR(__xludf.DUMMYFUNCTION("""COMPUTED_VALUE"""),12130.0)</f>
        <v>12130</v>
      </c>
      <c r="AD988" s="3">
        <f>IFERROR(__xludf.DUMMYFUNCTION("""COMPUTED_VALUE"""),13.950207)</f>
        <v>13.950207</v>
      </c>
      <c r="AE988" s="3">
        <f>IFERROR(__xludf.DUMMYFUNCTION("""COMPUTED_VALUE"""),100.6374492)</f>
        <v>100.6374492</v>
      </c>
      <c r="AF988" s="3" t="str">
        <f>IFERROR(__xludf.DUMMYFUNCTION("""COMPUTED_VALUE"""),"MBC เอสโซ่เสมาฟ้าคราม ปทุมธานี-21759")</f>
        <v>MBC เอสโซ่เสมาฟ้าคราม ปทุมธานี-21759</v>
      </c>
      <c r="AG988" s="3" t="str">
        <f>IFERROR(__xludf.DUMMYFUNCTION("""COMPUTED_VALUE"""),"กลาง")</f>
        <v>กลาง</v>
      </c>
      <c r="AH988" s="3" t="str">
        <f>IFERROR(__xludf.DUMMYFUNCTION("""COMPUTED_VALUE"""),"#N/A")</f>
        <v>#N/A</v>
      </c>
      <c r="AI988" s="3" t="str">
        <f>IFERROR(__xludf.DUMMYFUNCTION("""COMPUTED_VALUE"""),"Out of warranty")</f>
        <v>Out of warranty</v>
      </c>
      <c r="AJ988" s="3">
        <f>IFERROR(__xludf.DUMMYFUNCTION("""COMPUTED_VALUE"""),85.0)</f>
        <v>85</v>
      </c>
      <c r="AK988" s="3" t="str">
        <f>IFERROR(__xludf.DUMMYFUNCTION("""COMPUTED_VALUE"""),"MMS04")</f>
        <v>MMS04</v>
      </c>
      <c r="AL988" s="3"/>
    </row>
    <row r="989" ht="15.75" customHeight="1">
      <c r="A989" s="1" t="str">
        <f>IFERROR(__xludf.DUMMYFUNCTION("""COMPUTED_VALUE"""),"21760")</f>
        <v>21760</v>
      </c>
      <c r="B989" s="2">
        <f>IFERROR(__xludf.DUMMYFUNCTION("""COMPUTED_VALUE"""),21760.0)</f>
        <v>21760</v>
      </c>
      <c r="C989" s="3" t="str">
        <f>IFERROR(__xludf.DUMMYFUNCTION("""COMPUTED_VALUE"""),"MBC เอสโซ่ โรงเกลือ สระแก้ว")</f>
        <v>MBC เอสโซ่ โรงเกลือ สระแก้ว</v>
      </c>
      <c r="D989" s="3" t="str">
        <f>IFERROR(__xludf.DUMMYFUNCTION("""COMPUTED_VALUE"""),"BCM ESSO RONG KLUEA, SAKAEO")</f>
        <v>BCM ESSO RONG KLUEA, SAKAEO</v>
      </c>
      <c r="E989" s="1" t="str">
        <f>IFERROR(__xludf.DUMMYFUNCTION("""COMPUTED_VALUE"""),"บิ๊กซี MINI")</f>
        <v>บิ๊กซี MINI</v>
      </c>
      <c r="F989" s="1" t="str">
        <f>IFERROR(__xludf.DUMMYFUNCTION("""COMPUTED_VALUE"""),"2083447")</f>
        <v>2083447</v>
      </c>
      <c r="G989" s="1" t="str">
        <f>IFERROR(__xludf.DUMMYFUNCTION("""COMPUTED_VALUE"""),"นายอนุกูล ศรีลัดดา")</f>
        <v>นายอนุกูล ศรีลัดดา</v>
      </c>
      <c r="H989" s="1" t="str">
        <f>IFERROR(__xludf.DUMMYFUNCTION("""COMPUTED_VALUE"""),"259808")</f>
        <v>259808</v>
      </c>
      <c r="I989" s="1" t="str">
        <f>IFERROR(__xludf.DUMMYFUNCTION("""COMPUTED_VALUE"""),"น.ส.สกุลรัตน์ พิกุลแก้ว")</f>
        <v>น.ส.สกุลรัตน์ พิกุลแก้ว</v>
      </c>
      <c r="J989" s="3">
        <f>IFERROR(__xludf.DUMMYFUNCTION("""COMPUTED_VALUE"""),510143.0)</f>
        <v>510143</v>
      </c>
      <c r="K989" s="3" t="str">
        <f>IFERROR(__xludf.DUMMYFUNCTION("""COMPUTED_VALUE"""),"นายธีระวัฒน์ บุญสิทธิ์")</f>
        <v>นายธีระวัฒน์ บุญสิทธิ์</v>
      </c>
      <c r="L989" s="1" t="str">
        <f>IFERROR(__xludf.DUMMYFUNCTION("""COMPUTED_VALUE"""),"12 K.Theerawat B.")</f>
        <v>12 K.Theerawat B.</v>
      </c>
      <c r="M989" s="1" t="str">
        <f>IFERROR(__xludf.DUMMYFUNCTION("""COMPUTED_VALUE"""),"0655107379")</f>
        <v>0655107379</v>
      </c>
      <c r="N989" s="3">
        <f>IFERROR(__xludf.DUMMYFUNCTION("""COMPUTED_VALUE"""),21062.0)</f>
        <v>21062</v>
      </c>
      <c r="O989" s="3" t="str">
        <f>IFERROR(__xludf.DUMMYFUNCTION("""COMPUTED_VALUE"""),"MBC นิคมนวนคร")</f>
        <v>MBC นิคมนวนคร</v>
      </c>
      <c r="P989" s="4">
        <f>IFERROR(__xludf.DUMMYFUNCTION("""COMPUTED_VALUE"""),43477.0)</f>
        <v>43477</v>
      </c>
      <c r="Q989" s="3" t="str">
        <f>IFERROR(__xludf.DUMMYFUNCTION("""COMPUTED_VALUE"""),"I")</f>
        <v>I</v>
      </c>
      <c r="R989" s="3" t="str">
        <f>IFERROR(__xludf.DUMMYFUNCTION("""COMPUTED_VALUE"""),"Small Format")</f>
        <v>Small Format</v>
      </c>
      <c r="S989" s="3" t="str">
        <f>IFERROR(__xludf.DUMMYFUNCTION("""COMPUTED_VALUE"""),"BCM")</f>
        <v>BCM</v>
      </c>
      <c r="T989" s="3" t="str">
        <f>IFERROR(__xludf.DUMMYFUNCTION("""COMPUTED_VALUE"""),"#N/A")</f>
        <v>#N/A</v>
      </c>
      <c r="U989" s="3" t="str">
        <f>IFERROR(__xludf.DUMMYFUNCTION("""COMPUTED_VALUE"""),"#N/A")</f>
        <v>#N/A</v>
      </c>
      <c r="V989" s="3" t="str">
        <f>IFERROR(__xludf.DUMMYFUNCTION("""COMPUTED_VALUE"""),"N")</f>
        <v>N</v>
      </c>
      <c r="W989" s="3">
        <f>IFERROR(__xludf.DUMMYFUNCTION("""COMPUTED_VALUE"""),211716.0)</f>
        <v>211716</v>
      </c>
      <c r="X989" s="3" t="str">
        <f>IFERROR(__xludf.DUMMYFUNCTION("""COMPUTED_VALUE"""),"5/3 ถนนกม.3 ตำบลอรัญประเทศ อำเภออรัญประเทศ จังหวัดสระแก้ว 27120")</f>
        <v>5/3 ถนนกม.3 ตำบลอรัญประเทศ อำเภออรัญประเทศ จังหวัดสระแก้ว 27120</v>
      </c>
      <c r="Y989" s="3" t="str">
        <f>IFERROR(__xludf.DUMMYFUNCTION("""COMPUTED_VALUE"""),"ถนนกม.3")</f>
        <v>ถนนกม.3</v>
      </c>
      <c r="Z989" s="3" t="str">
        <f>IFERROR(__xludf.DUMMYFUNCTION("""COMPUTED_VALUE"""),"อรัญประเทศ")</f>
        <v>อรัญประเทศ</v>
      </c>
      <c r="AA989" s="3" t="str">
        <f>IFERROR(__xludf.DUMMYFUNCTION("""COMPUTED_VALUE"""),"อรัญประเทศ")</f>
        <v>อรัญประเทศ</v>
      </c>
      <c r="AB989" s="3" t="str">
        <f>IFERROR(__xludf.DUMMYFUNCTION("""COMPUTED_VALUE"""),"สระแก้ว")</f>
        <v>สระแก้ว</v>
      </c>
      <c r="AC989" s="3">
        <f>IFERROR(__xludf.DUMMYFUNCTION("""COMPUTED_VALUE"""),27120.0)</f>
        <v>27120</v>
      </c>
      <c r="AD989" s="3">
        <f>IFERROR(__xludf.DUMMYFUNCTION("""COMPUTED_VALUE"""),13.675727)</f>
        <v>13.675727</v>
      </c>
      <c r="AE989" s="3">
        <f>IFERROR(__xludf.DUMMYFUNCTION("""COMPUTED_VALUE"""),102.5272217)</f>
        <v>102.5272217</v>
      </c>
      <c r="AF989" s="3" t="str">
        <f>IFERROR(__xludf.DUMMYFUNCTION("""COMPUTED_VALUE"""),"MBC เอสโซ่ โรงเกลือ สระแก้ว-21760")</f>
        <v>MBC เอสโซ่ โรงเกลือ สระแก้ว-21760</v>
      </c>
      <c r="AG989" s="3" t="str">
        <f>IFERROR(__xludf.DUMMYFUNCTION("""COMPUTED_VALUE"""),"ตะวันออก")</f>
        <v>ตะวันออก</v>
      </c>
      <c r="AH989" s="3" t="str">
        <f>IFERROR(__xludf.DUMMYFUNCTION("""COMPUTED_VALUE"""),"#N/A")</f>
        <v>#N/A</v>
      </c>
      <c r="AI989" s="3" t="str">
        <f>IFERROR(__xludf.DUMMYFUNCTION("""COMPUTED_VALUE"""),"Out of warranty")</f>
        <v>Out of warranty</v>
      </c>
      <c r="AJ989" s="3">
        <f>IFERROR(__xludf.DUMMYFUNCTION("""COMPUTED_VALUE"""),85.0)</f>
        <v>85</v>
      </c>
      <c r="AK989" s="3" t="str">
        <f>IFERROR(__xludf.DUMMYFUNCTION("""COMPUTED_VALUE"""),"MMS08")</f>
        <v>MMS08</v>
      </c>
      <c r="AL989" s="3"/>
    </row>
    <row r="990" ht="15.75" customHeight="1">
      <c r="A990" s="1" t="str">
        <f>IFERROR(__xludf.DUMMYFUNCTION("""COMPUTED_VALUE"""),"21761")</f>
        <v>21761</v>
      </c>
      <c r="B990" s="2">
        <f>IFERROR(__xludf.DUMMYFUNCTION("""COMPUTED_VALUE"""),21761.0)</f>
        <v>21761</v>
      </c>
      <c r="C990" s="3" t="str">
        <f>IFERROR(__xludf.DUMMYFUNCTION("""COMPUTED_VALUE"""),"MBC คลองถนน นนทบุรี")</f>
        <v>MBC คลองถนน นนทบุรี</v>
      </c>
      <c r="D990" s="3" t="str">
        <f>IFERROR(__xludf.DUMMYFUNCTION("""COMPUTED_VALUE"""),"BCM KLONG THANON,NONTHABURI")</f>
        <v>BCM KLONG THANON,NONTHABURI</v>
      </c>
      <c r="E990" s="1" t="str">
        <f>IFERROR(__xludf.DUMMYFUNCTION("""COMPUTED_VALUE"""),"บิ๊กซี MINI")</f>
        <v>บิ๊กซี MINI</v>
      </c>
      <c r="F990" s="1" t="str">
        <f>IFERROR(__xludf.DUMMYFUNCTION("""COMPUTED_VALUE"""),"291008")</f>
        <v>291008</v>
      </c>
      <c r="G990" s="1" t="str">
        <f>IFERROR(__xludf.DUMMYFUNCTION("""COMPUTED_VALUE"""),"น.ส.รัชดาพร อีศรัตน์")</f>
        <v>น.ส.รัชดาพร อีศรัตน์</v>
      </c>
      <c r="H990" s="1" t="str">
        <f>IFERROR(__xludf.DUMMYFUNCTION("""COMPUTED_VALUE"""),"180055")</f>
        <v>180055</v>
      </c>
      <c r="I990" s="1" t="str">
        <f>IFERROR(__xludf.DUMMYFUNCTION("""COMPUTED_VALUE"""),"น.ส.สุดารัตน์ บุญล้ำ")</f>
        <v>น.ส.สุดารัตน์ บุญล้ำ</v>
      </c>
      <c r="J990" s="3">
        <f>IFERROR(__xludf.DUMMYFUNCTION("""COMPUTED_VALUE"""),296608.0)</f>
        <v>296608</v>
      </c>
      <c r="K990" s="3" t="str">
        <f>IFERROR(__xludf.DUMMYFUNCTION("""COMPUTED_VALUE"""),"นายภาคภูมิ เพ็ชรนิล")</f>
        <v>นายภาคภูมิ เพ็ชรนิล</v>
      </c>
      <c r="L990" s="1" t="str">
        <f>IFERROR(__xludf.DUMMYFUNCTION("""COMPUTED_VALUE"""),"10 K.Phakphoom P.")</f>
        <v>10 K.Phakphoom P.</v>
      </c>
      <c r="M990" s="1" t="str">
        <f>IFERROR(__xludf.DUMMYFUNCTION("""COMPUTED_VALUE"""),"063-8955329")</f>
        <v>063-8955329</v>
      </c>
      <c r="N990" s="3">
        <f>IFERROR(__xludf.DUMMYFUNCTION("""COMPUTED_VALUE"""),22584.0)</f>
        <v>22584</v>
      </c>
      <c r="O990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990" s="4">
        <f>IFERROR(__xludf.DUMMYFUNCTION("""COMPUTED_VALUE"""),43490.0)</f>
        <v>43490</v>
      </c>
      <c r="Q990" s="3" t="str">
        <f>IFERROR(__xludf.DUMMYFUNCTION("""COMPUTED_VALUE"""),"A")</f>
        <v>A</v>
      </c>
      <c r="R990" s="3" t="str">
        <f>IFERROR(__xludf.DUMMYFUNCTION("""COMPUTED_VALUE"""),"Small Format")</f>
        <v>Small Format</v>
      </c>
      <c r="S990" s="3" t="str">
        <f>IFERROR(__xludf.DUMMYFUNCTION("""COMPUTED_VALUE"""),"BCM")</f>
        <v>BCM</v>
      </c>
      <c r="T990" s="3" t="str">
        <f>IFERROR(__xludf.DUMMYFUNCTION("""COMPUTED_VALUE"""),"#N/A")</f>
        <v>#N/A</v>
      </c>
      <c r="U990" s="3" t="str">
        <f>IFERROR(__xludf.DUMMYFUNCTION("""COMPUTED_VALUE"""),"#N/A")</f>
        <v>#N/A</v>
      </c>
      <c r="V990" s="3" t="str">
        <f>IFERROR(__xludf.DUMMYFUNCTION("""COMPUTED_VALUE"""),"N")</f>
        <v>N</v>
      </c>
      <c r="W990" s="3">
        <f>IFERROR(__xludf.DUMMYFUNCTION("""COMPUTED_VALUE"""),211695.0)</f>
        <v>211695</v>
      </c>
      <c r="X990" s="3" t="str">
        <f>IFERROR(__xludf.DUMMYFUNCTION("""COMPUTED_VALUE"""),"88/10 หมู่8 ตำบลเสาธงหิน อำเภอบางใหญ่ จังหวัดนนทบุรี 11140")</f>
        <v>88/10 หมู่8 ตำบลเสาธงหิน อำเภอบางใหญ่ จังหวัดนนทบุรี 11140</v>
      </c>
      <c r="Y990" s="3"/>
      <c r="Z990" s="3" t="str">
        <f>IFERROR(__xludf.DUMMYFUNCTION("""COMPUTED_VALUE"""),"เสาธงหิน")</f>
        <v>เสาธงหิน</v>
      </c>
      <c r="AA990" s="3" t="str">
        <f>IFERROR(__xludf.DUMMYFUNCTION("""COMPUTED_VALUE"""),"บางใหญ่")</f>
        <v>บางใหญ่</v>
      </c>
      <c r="AB990" s="3" t="str">
        <f>IFERROR(__xludf.DUMMYFUNCTION("""COMPUTED_VALUE"""),"นนทบุรี")</f>
        <v>นนทบุรี</v>
      </c>
      <c r="AC990" s="3">
        <f>IFERROR(__xludf.DUMMYFUNCTION("""COMPUTED_VALUE"""),11140.0)</f>
        <v>11140</v>
      </c>
      <c r="AD990" s="3">
        <f>IFERROR(__xludf.DUMMYFUNCTION("""COMPUTED_VALUE"""),13.8916233)</f>
        <v>13.8916233</v>
      </c>
      <c r="AE990" s="3">
        <f>IFERROR(__xludf.DUMMYFUNCTION("""COMPUTED_VALUE"""),100.3944742)</f>
        <v>100.3944742</v>
      </c>
      <c r="AF990" s="3" t="str">
        <f>IFERROR(__xludf.DUMMYFUNCTION("""COMPUTED_VALUE"""),"MBC คลองถนน นนทบุรี-21761")</f>
        <v>MBC คลองถนน นนทบุรี-21761</v>
      </c>
      <c r="AG990" s="3" t="str">
        <f>IFERROR(__xludf.DUMMYFUNCTION("""COMPUTED_VALUE"""),"กลาง")</f>
        <v>กลาง</v>
      </c>
      <c r="AH990" s="3" t="str">
        <f>IFERROR(__xludf.DUMMYFUNCTION("""COMPUTED_VALUE"""),"#N/A")</f>
        <v>#N/A</v>
      </c>
      <c r="AI990" s="3" t="str">
        <f>IFERROR(__xludf.DUMMYFUNCTION("""COMPUTED_VALUE"""),"Out of warranty")</f>
        <v>Out of warranty</v>
      </c>
      <c r="AJ990" s="3">
        <f>IFERROR(__xludf.DUMMYFUNCTION("""COMPUTED_VALUE"""),84.0)</f>
        <v>84</v>
      </c>
      <c r="AK990" s="3" t="str">
        <f>IFERROR(__xludf.DUMMYFUNCTION("""COMPUTED_VALUE"""),"MMS04")</f>
        <v>MMS04</v>
      </c>
      <c r="AL990" s="3"/>
    </row>
    <row r="991" ht="15.75" customHeight="1">
      <c r="A991" s="1" t="str">
        <f>IFERROR(__xludf.DUMMYFUNCTION("""COMPUTED_VALUE"""),"21762")</f>
        <v>21762</v>
      </c>
      <c r="B991" s="2">
        <f>IFERROR(__xludf.DUMMYFUNCTION("""COMPUTED_VALUE"""),21762.0)</f>
        <v>21762</v>
      </c>
      <c r="C991" s="3" t="str">
        <f>IFERROR(__xludf.DUMMYFUNCTION("""COMPUTED_VALUE"""),"MBC ตลาดนัดชัยมงคล ชลบุรี")</f>
        <v>MBC ตลาดนัดชัยมงคล ชลบุรี</v>
      </c>
      <c r="D991" s="3" t="str">
        <f>IFERROR(__xludf.DUMMYFUNCTION("""COMPUTED_VALUE"""),"BCM TALAD NUT CHAIMONGKOL")</f>
        <v>BCM TALAD NUT CHAIMONGKOL</v>
      </c>
      <c r="E991" s="1" t="str">
        <f>IFERROR(__xludf.DUMMYFUNCTION("""COMPUTED_VALUE"""),"บิ๊กซี MINI")</f>
        <v>บิ๊กซี MINI</v>
      </c>
      <c r="F991" s="1" t="str">
        <f>IFERROR(__xludf.DUMMYFUNCTION("""COMPUTED_VALUE"""),"221716")</f>
        <v>221716</v>
      </c>
      <c r="G991" s="1" t="str">
        <f>IFERROR(__xludf.DUMMYFUNCTION("""COMPUTED_VALUE"""),"น.ส.เบญจพร โพธิสาร")</f>
        <v>น.ส.เบญจพร โพธิสาร</v>
      </c>
      <c r="H991" s="1" t="str">
        <f>IFERROR(__xludf.DUMMYFUNCTION("""COMPUTED_VALUE"""),"2452265")</f>
        <v>2452265</v>
      </c>
      <c r="I991" s="1" t="str">
        <f>IFERROR(__xludf.DUMMYFUNCTION("""COMPUTED_VALUE"""),"นายพิทยา จันทร์ประเทศ")</f>
        <v>นายพิทยา จันทร์ประเทศ</v>
      </c>
      <c r="J991" s="3">
        <f>IFERROR(__xludf.DUMMYFUNCTION("""COMPUTED_VALUE"""),296942.0)</f>
        <v>296942</v>
      </c>
      <c r="K991" s="3" t="str">
        <f>IFERROR(__xludf.DUMMYFUNCTION("""COMPUTED_VALUE"""),"นายปิยะ รักษากิจ")</f>
        <v>นายปิยะ รักษากิจ</v>
      </c>
      <c r="L991" s="1" t="str">
        <f>IFERROR(__xludf.DUMMYFUNCTION("""COMPUTED_VALUE"""),"07 K.Piya R.")</f>
        <v>07 K.Piya R.</v>
      </c>
      <c r="M991" s="1" t="str">
        <f>IFERROR(__xludf.DUMMYFUNCTION("""COMPUTED_VALUE"""),"097-919-5476")</f>
        <v>097-919-5476</v>
      </c>
      <c r="N991" s="3">
        <f>IFERROR(__xludf.DUMMYFUNCTION("""COMPUTED_VALUE"""),21332.0)</f>
        <v>21332</v>
      </c>
      <c r="O991" s="3" t="str">
        <f>IFERROR(__xludf.DUMMYFUNCTION("""COMPUTED_VALUE"""),"MBC BCP อ่อนนุช 17/1")</f>
        <v>MBC BCP อ่อนนุช 17/1</v>
      </c>
      <c r="P991" s="4">
        <f>IFERROR(__xludf.DUMMYFUNCTION("""COMPUTED_VALUE"""),43490.0)</f>
        <v>43490</v>
      </c>
      <c r="Q991" s="3" t="str">
        <f>IFERROR(__xludf.DUMMYFUNCTION("""COMPUTED_VALUE"""),"A")</f>
        <v>A</v>
      </c>
      <c r="R991" s="3" t="str">
        <f>IFERROR(__xludf.DUMMYFUNCTION("""COMPUTED_VALUE"""),"Small Format")</f>
        <v>Small Format</v>
      </c>
      <c r="S991" s="3" t="str">
        <f>IFERROR(__xludf.DUMMYFUNCTION("""COMPUTED_VALUE"""),"BCM")</f>
        <v>BCM</v>
      </c>
      <c r="T991" s="3" t="str">
        <f>IFERROR(__xludf.DUMMYFUNCTION("""COMPUTED_VALUE"""),"#N/A")</f>
        <v>#N/A</v>
      </c>
      <c r="U991" s="3" t="str">
        <f>IFERROR(__xludf.DUMMYFUNCTION("""COMPUTED_VALUE"""),"#N/A")</f>
        <v>#N/A</v>
      </c>
      <c r="V991" s="3" t="str">
        <f>IFERROR(__xludf.DUMMYFUNCTION("""COMPUTED_VALUE"""),"N")</f>
        <v>N</v>
      </c>
      <c r="W991" s="3">
        <f>IFERROR(__xludf.DUMMYFUNCTION("""COMPUTED_VALUE"""),211706.0)</f>
        <v>211706</v>
      </c>
      <c r="X991" s="3" t="str">
        <f>IFERROR(__xludf.DUMMYFUNCTION("""COMPUTED_VALUE"""),"49/9 หมู่8 ตำบลพานทอง อำเภอพานทอง จังหวัดชลบุรี 20160")</f>
        <v>49/9 หมู่8 ตำบลพานทอง อำเภอพานทอง จังหวัดชลบุรี 20160</v>
      </c>
      <c r="Y991" s="3"/>
      <c r="Z991" s="3" t="str">
        <f>IFERROR(__xludf.DUMMYFUNCTION("""COMPUTED_VALUE"""),"พานทอง")</f>
        <v>พานทอง</v>
      </c>
      <c r="AA991" s="3" t="str">
        <f>IFERROR(__xludf.DUMMYFUNCTION("""COMPUTED_VALUE"""),"พานทอง")</f>
        <v>พานทอง</v>
      </c>
      <c r="AB991" s="3" t="str">
        <f>IFERROR(__xludf.DUMMYFUNCTION("""COMPUTED_VALUE"""),"ชลบุรี")</f>
        <v>ชลบุรี</v>
      </c>
      <c r="AC991" s="3">
        <f>IFERROR(__xludf.DUMMYFUNCTION("""COMPUTED_VALUE"""),20160.0)</f>
        <v>20160</v>
      </c>
      <c r="AD991" s="3">
        <f>IFERROR(__xludf.DUMMYFUNCTION("""COMPUTED_VALUE"""),13.4632972)</f>
        <v>13.4632972</v>
      </c>
      <c r="AE991" s="3">
        <f>IFERROR(__xludf.DUMMYFUNCTION("""COMPUTED_VALUE"""),101.1013808)</f>
        <v>101.1013808</v>
      </c>
      <c r="AF991" s="3" t="str">
        <f>IFERROR(__xludf.DUMMYFUNCTION("""COMPUTED_VALUE"""),"MBC ตลาดนัดชัยมงคล ชลบุรี-21762")</f>
        <v>MBC ตลาดนัดชัยมงคล ชลบุรี-21762</v>
      </c>
      <c r="AG991" s="3" t="str">
        <f>IFERROR(__xludf.DUMMYFUNCTION("""COMPUTED_VALUE"""),"ตะวันออก")</f>
        <v>ตะวันออก</v>
      </c>
      <c r="AH991" s="3" t="str">
        <f>IFERROR(__xludf.DUMMYFUNCTION("""COMPUTED_VALUE"""),"#N/A")</f>
        <v>#N/A</v>
      </c>
      <c r="AI991" s="3" t="str">
        <f>IFERROR(__xludf.DUMMYFUNCTION("""COMPUTED_VALUE"""),"Out of warranty")</f>
        <v>Out of warranty</v>
      </c>
      <c r="AJ991" s="3">
        <f>IFERROR(__xludf.DUMMYFUNCTION("""COMPUTED_VALUE"""),84.0)</f>
        <v>84</v>
      </c>
      <c r="AK991" s="3" t="str">
        <f>IFERROR(__xludf.DUMMYFUNCTION("""COMPUTED_VALUE"""),"MMS07")</f>
        <v>MMS07</v>
      </c>
      <c r="AL991" s="3"/>
    </row>
    <row r="992" ht="15.75" customHeight="1">
      <c r="A992" s="1" t="str">
        <f>IFERROR(__xludf.DUMMYFUNCTION("""COMPUTED_VALUE"""),"21763")</f>
        <v>21763</v>
      </c>
      <c r="B992" s="2">
        <f>IFERROR(__xludf.DUMMYFUNCTION("""COMPUTED_VALUE"""),21763.0)</f>
        <v>21763</v>
      </c>
      <c r="C992" s="3" t="str">
        <f>IFERROR(__xludf.DUMMYFUNCTION("""COMPUTED_VALUE"""),"MBC สวนเสือศรีราชา ชลบุรี")</f>
        <v>MBC สวนเสือศรีราชา ชลบุรี</v>
      </c>
      <c r="D992" s="3" t="str">
        <f>IFERROR(__xludf.DUMMYFUNCTION("""COMPUTED_VALUE"""),"BCM SUAN SUEA SRIRACHA")</f>
        <v>BCM SUAN SUEA SRIRACHA</v>
      </c>
      <c r="E992" s="1" t="str">
        <f>IFERROR(__xludf.DUMMYFUNCTION("""COMPUTED_VALUE"""),"บิ๊กซี MINI")</f>
        <v>บิ๊กซี MINI</v>
      </c>
      <c r="F992" s="1" t="str">
        <f>IFERROR(__xludf.DUMMYFUNCTION("""COMPUTED_VALUE"""),"221716")</f>
        <v>221716</v>
      </c>
      <c r="G992" s="1" t="str">
        <f>IFERROR(__xludf.DUMMYFUNCTION("""COMPUTED_VALUE"""),"น.ส.เบญจพร โพธิสาร")</f>
        <v>น.ส.เบญจพร โพธิสาร</v>
      </c>
      <c r="H992" s="1" t="str">
        <f>IFERROR(__xludf.DUMMYFUNCTION("""COMPUTED_VALUE"""),"376139")</f>
        <v>376139</v>
      </c>
      <c r="I992" s="1" t="str">
        <f>IFERROR(__xludf.DUMMYFUNCTION("""COMPUTED_VALUE"""),"นายอนุชา อำไพ")</f>
        <v>นายอนุชา อำไพ</v>
      </c>
      <c r="J992" s="3">
        <f>IFERROR(__xludf.DUMMYFUNCTION("""COMPUTED_VALUE"""),296942.0)</f>
        <v>296942</v>
      </c>
      <c r="K992" s="3" t="str">
        <f>IFERROR(__xludf.DUMMYFUNCTION("""COMPUTED_VALUE"""),"นายปิยะ รักษากิจ")</f>
        <v>นายปิยะ รักษากิจ</v>
      </c>
      <c r="L992" s="1" t="str">
        <f>IFERROR(__xludf.DUMMYFUNCTION("""COMPUTED_VALUE"""),"07 K.Piya R.")</f>
        <v>07 K.Piya R.</v>
      </c>
      <c r="M992" s="1" t="str">
        <f>IFERROR(__xludf.DUMMYFUNCTION("""COMPUTED_VALUE"""),"097-919-5476")</f>
        <v>097-919-5476</v>
      </c>
      <c r="N992" s="3">
        <f>IFERROR(__xludf.DUMMYFUNCTION("""COMPUTED_VALUE"""),21332.0)</f>
        <v>21332</v>
      </c>
      <c r="O992" s="3" t="str">
        <f>IFERROR(__xludf.DUMMYFUNCTION("""COMPUTED_VALUE"""),"MBC BCP อ่อนนุช 17/1")</f>
        <v>MBC BCP อ่อนนุช 17/1</v>
      </c>
      <c r="P992" s="4">
        <f>IFERROR(__xludf.DUMMYFUNCTION("""COMPUTED_VALUE"""),43494.0)</f>
        <v>43494</v>
      </c>
      <c r="Q992" s="3" t="str">
        <f>IFERROR(__xludf.DUMMYFUNCTION("""COMPUTED_VALUE"""),"A")</f>
        <v>A</v>
      </c>
      <c r="R992" s="3" t="str">
        <f>IFERROR(__xludf.DUMMYFUNCTION("""COMPUTED_VALUE"""),"Small Format")</f>
        <v>Small Format</v>
      </c>
      <c r="S992" s="3" t="str">
        <f>IFERROR(__xludf.DUMMYFUNCTION("""COMPUTED_VALUE"""),"BCM")</f>
        <v>BCM</v>
      </c>
      <c r="T992" s="3" t="str">
        <f>IFERROR(__xludf.DUMMYFUNCTION("""COMPUTED_VALUE"""),"#N/A")</f>
        <v>#N/A</v>
      </c>
      <c r="U992" s="3" t="str">
        <f>IFERROR(__xludf.DUMMYFUNCTION("""COMPUTED_VALUE"""),"#N/A")</f>
        <v>#N/A</v>
      </c>
      <c r="V992" s="3" t="str">
        <f>IFERROR(__xludf.DUMMYFUNCTION("""COMPUTED_VALUE"""),"N")</f>
        <v>N</v>
      </c>
      <c r="W992" s="3">
        <f>IFERROR(__xludf.DUMMYFUNCTION("""COMPUTED_VALUE"""),211705.0)</f>
        <v>211705</v>
      </c>
      <c r="X992" s="3" t="str">
        <f>IFERROR(__xludf.DUMMYFUNCTION("""COMPUTED_VALUE"""),"486/9 หมู่3 ตำบลหนองขาม อำเภอศรีราชา จังหวัดชลบุรี 20110")</f>
        <v>486/9 หมู่3 ตำบลหนองขาม อำเภอศรีราชา จังหวัดชลบุรี 20110</v>
      </c>
      <c r="Y992" s="3"/>
      <c r="Z992" s="3" t="str">
        <f>IFERROR(__xludf.DUMMYFUNCTION("""COMPUTED_VALUE"""),"หนองขาม")</f>
        <v>หนองขาม</v>
      </c>
      <c r="AA992" s="3" t="str">
        <f>IFERROR(__xludf.DUMMYFUNCTION("""COMPUTED_VALUE"""),"ศรีราชา")</f>
        <v>ศรีราชา</v>
      </c>
      <c r="AB992" s="3" t="str">
        <f>IFERROR(__xludf.DUMMYFUNCTION("""COMPUTED_VALUE"""),"ชลบุรี")</f>
        <v>ชลบุรี</v>
      </c>
      <c r="AC992" s="3">
        <f>IFERROR(__xludf.DUMMYFUNCTION("""COMPUTED_VALUE"""),20110.0)</f>
        <v>20110</v>
      </c>
      <c r="AD992" s="3">
        <f>IFERROR(__xludf.DUMMYFUNCTION("""COMPUTED_VALUE"""),13.1489457)</f>
        <v>13.1489457</v>
      </c>
      <c r="AE992" s="3">
        <f>IFERROR(__xludf.DUMMYFUNCTION("""COMPUTED_VALUE"""),101.0037826)</f>
        <v>101.0037826</v>
      </c>
      <c r="AF992" s="3" t="str">
        <f>IFERROR(__xludf.DUMMYFUNCTION("""COMPUTED_VALUE"""),"MBC สวนเสือศรีราชา ชลบุรี-21763")</f>
        <v>MBC สวนเสือศรีราชา ชลบุรี-21763</v>
      </c>
      <c r="AG992" s="3" t="str">
        <f>IFERROR(__xludf.DUMMYFUNCTION("""COMPUTED_VALUE"""),"ตะวันออก")</f>
        <v>ตะวันออก</v>
      </c>
      <c r="AH992" s="3" t="str">
        <f>IFERROR(__xludf.DUMMYFUNCTION("""COMPUTED_VALUE"""),"#N/A")</f>
        <v>#N/A</v>
      </c>
      <c r="AI992" s="3" t="str">
        <f>IFERROR(__xludf.DUMMYFUNCTION("""COMPUTED_VALUE"""),"Out of warranty")</f>
        <v>Out of warranty</v>
      </c>
      <c r="AJ992" s="3">
        <f>IFERROR(__xludf.DUMMYFUNCTION("""COMPUTED_VALUE"""),84.0)</f>
        <v>84</v>
      </c>
      <c r="AK992" s="3" t="str">
        <f>IFERROR(__xludf.DUMMYFUNCTION("""COMPUTED_VALUE"""),"MMS07")</f>
        <v>MMS07</v>
      </c>
      <c r="AL992" s="3"/>
    </row>
    <row r="993" ht="15.75" customHeight="1">
      <c r="A993" s="1" t="str">
        <f>IFERROR(__xludf.DUMMYFUNCTION("""COMPUTED_VALUE"""),"21764")</f>
        <v>21764</v>
      </c>
      <c r="B993" s="2">
        <f>IFERROR(__xludf.DUMMYFUNCTION("""COMPUTED_VALUE"""),21764.0)</f>
        <v>21764</v>
      </c>
      <c r="C993" s="3" t="str">
        <f>IFERROR(__xludf.DUMMYFUNCTION("""COMPUTED_VALUE"""),"MBC ตลาดสดละไม (สมุย) สุราษฎร์ธานี")</f>
        <v>MBC ตลาดสดละไม (สมุย) สุราษฎร์ธานี</v>
      </c>
      <c r="D993" s="3" t="str">
        <f>IFERROR(__xludf.DUMMYFUNCTION("""COMPUTED_VALUE"""),"BCM TALAD SOD LAMAI (SAMUI)")</f>
        <v>BCM TALAD SOD LAMAI (SAMUI)</v>
      </c>
      <c r="E993" s="1" t="str">
        <f>IFERROR(__xludf.DUMMYFUNCTION("""COMPUTED_VALUE"""),"บิ๊กซี MINI")</f>
        <v>บิ๊กซี MINI</v>
      </c>
      <c r="F993" s="1" t="str">
        <f>IFERROR(__xludf.DUMMYFUNCTION("""COMPUTED_VALUE"""),"250760")</f>
        <v>250760</v>
      </c>
      <c r="G993" s="1" t="str">
        <f>IFERROR(__xludf.DUMMYFUNCTION("""COMPUTED_VALUE"""),"นายประทวน สาราบรรณ์")</f>
        <v>นายประทวน สาราบรรณ์</v>
      </c>
      <c r="H993" s="1" t="str">
        <f>IFERROR(__xludf.DUMMYFUNCTION("""COMPUTED_VALUE"""),"356760")</f>
        <v>356760</v>
      </c>
      <c r="I993" s="1" t="str">
        <f>IFERROR(__xludf.DUMMYFUNCTION("""COMPUTED_VALUE"""),"นายภูมิภัทร แก้วพรรณราย")</f>
        <v>นายภูมิภัทร แก้วพรรณราย</v>
      </c>
      <c r="J993" s="3">
        <f>IFERROR(__xludf.DUMMYFUNCTION("""COMPUTED_VALUE"""),25324.0)</f>
        <v>25324</v>
      </c>
      <c r="K993" s="3" t="str">
        <f>IFERROR(__xludf.DUMMYFUNCTION("""COMPUTED_VALUE"""),"นายวิเชฎฐ์ ติรัตนะประคม")</f>
        <v>นายวิเชฎฐ์ ติรัตนะประคม</v>
      </c>
      <c r="L993" s="1" t="str">
        <f>IFERROR(__xludf.DUMMYFUNCTION("""COMPUTED_VALUE"""),"14 K.Wichet T.")</f>
        <v>14 K.Wichet T.</v>
      </c>
      <c r="M993" s="1" t="str">
        <f>IFERROR(__xludf.DUMMYFUNCTION("""COMPUTED_VALUE"""),"061-417-6569 / 086-445-5636")</f>
        <v>061-417-6569 / 086-445-5636</v>
      </c>
      <c r="N993" s="3">
        <f>IFERROR(__xludf.DUMMYFUNCTION("""COMPUTED_VALUE"""),22658.0)</f>
        <v>22658</v>
      </c>
      <c r="O993" s="3" t="str">
        <f>IFERROR(__xludf.DUMMYFUNCTION("""COMPUTED_VALUE"""),"BCM ถ.วิรัชหงษ์หยก ภูเก็ต")</f>
        <v>BCM ถ.วิรัชหงษ์หยก ภูเก็ต</v>
      </c>
      <c r="P993" s="4">
        <f>IFERROR(__xludf.DUMMYFUNCTION("""COMPUTED_VALUE"""),43496.0)</f>
        <v>43496</v>
      </c>
      <c r="Q993" s="3" t="str">
        <f>IFERROR(__xludf.DUMMYFUNCTION("""COMPUTED_VALUE"""),"A")</f>
        <v>A</v>
      </c>
      <c r="R993" s="3" t="str">
        <f>IFERROR(__xludf.DUMMYFUNCTION("""COMPUTED_VALUE"""),"Small Format")</f>
        <v>Small Format</v>
      </c>
      <c r="S993" s="3" t="str">
        <f>IFERROR(__xludf.DUMMYFUNCTION("""COMPUTED_VALUE"""),"BCM")</f>
        <v>BCM</v>
      </c>
      <c r="T993" s="3" t="str">
        <f>IFERROR(__xludf.DUMMYFUNCTION("""COMPUTED_VALUE"""),"#N/A")</f>
        <v>#N/A</v>
      </c>
      <c r="U993" s="3" t="str">
        <f>IFERROR(__xludf.DUMMYFUNCTION("""COMPUTED_VALUE"""),"#N/A")</f>
        <v>#N/A</v>
      </c>
      <c r="V993" s="3" t="str">
        <f>IFERROR(__xludf.DUMMYFUNCTION("""COMPUTED_VALUE"""),"N")</f>
        <v>N</v>
      </c>
      <c r="W993" s="3">
        <f>IFERROR(__xludf.DUMMYFUNCTION("""COMPUTED_VALUE"""),211683.0)</f>
        <v>211683</v>
      </c>
      <c r="X993" s="3" t="str">
        <f>IFERROR(__xludf.DUMMYFUNCTION("""COMPUTED_VALUE"""),"132/9 หมู่4 ตำบลมะเร็ต อำเภอเกาะสมุย จังหวัดสุราษฎร์ธานี 84310")</f>
        <v>132/9 หมู่4 ตำบลมะเร็ต อำเภอเกาะสมุย จังหวัดสุราษฎร์ธานี 84310</v>
      </c>
      <c r="Y993" s="3"/>
      <c r="Z993" s="3" t="str">
        <f>IFERROR(__xludf.DUMMYFUNCTION("""COMPUTED_VALUE"""),"มะเร็ต")</f>
        <v>มะเร็ต</v>
      </c>
      <c r="AA993" s="3" t="str">
        <f>IFERROR(__xludf.DUMMYFUNCTION("""COMPUTED_VALUE"""),"เกาะสมุย")</f>
        <v>เกาะสมุย</v>
      </c>
      <c r="AB993" s="3" t="str">
        <f>IFERROR(__xludf.DUMMYFUNCTION("""COMPUTED_VALUE"""),"สุราษฎร์ธานี")</f>
        <v>สุราษฎร์ธานี</v>
      </c>
      <c r="AC993" s="3">
        <f>IFERROR(__xludf.DUMMYFUNCTION("""COMPUTED_VALUE"""),84310.0)</f>
        <v>84310</v>
      </c>
      <c r="AD993" s="3">
        <f>IFERROR(__xludf.DUMMYFUNCTION("""COMPUTED_VALUE"""),9.4720463)</f>
        <v>9.4720463</v>
      </c>
      <c r="AE993" s="3">
        <f>IFERROR(__xludf.DUMMYFUNCTION("""COMPUTED_VALUE"""),100.0466631)</f>
        <v>100.0466631</v>
      </c>
      <c r="AF993" s="3" t="str">
        <f>IFERROR(__xludf.DUMMYFUNCTION("""COMPUTED_VALUE"""),"MBC ตลาดสดละไม (สมุย) สุราษฎร์ธานี-21764")</f>
        <v>MBC ตลาดสดละไม (สมุย) สุราษฎร์ธานี-21764</v>
      </c>
      <c r="AG993" s="3" t="str">
        <f>IFERROR(__xludf.DUMMYFUNCTION("""COMPUTED_VALUE"""),"ใต้")</f>
        <v>ใต้</v>
      </c>
      <c r="AH993" s="3" t="str">
        <f>IFERROR(__xludf.DUMMYFUNCTION("""COMPUTED_VALUE"""),"#N/A")</f>
        <v>#N/A</v>
      </c>
      <c r="AI993" s="3" t="str">
        <f>IFERROR(__xludf.DUMMYFUNCTION("""COMPUTED_VALUE"""),"Out of warranty")</f>
        <v>Out of warranty</v>
      </c>
      <c r="AJ993" s="3">
        <f>IFERROR(__xludf.DUMMYFUNCTION("""COMPUTED_VALUE"""),84.0)</f>
        <v>84</v>
      </c>
      <c r="AK993" s="3" t="str">
        <f>IFERROR(__xludf.DUMMYFUNCTION("""COMPUTED_VALUE"""),"MMS14")</f>
        <v>MMS14</v>
      </c>
      <c r="AL993" s="3"/>
    </row>
    <row r="994" ht="15.75" customHeight="1">
      <c r="A994" s="1" t="str">
        <f>IFERROR(__xludf.DUMMYFUNCTION("""COMPUTED_VALUE"""),"21765")</f>
        <v>21765</v>
      </c>
      <c r="B994" s="2">
        <f>IFERROR(__xludf.DUMMYFUNCTION("""COMPUTED_VALUE"""),21765.0)</f>
        <v>21765</v>
      </c>
      <c r="C994" s="3" t="str">
        <f>IFERROR(__xludf.DUMMYFUNCTION("""COMPUTED_VALUE"""),"MBC หมู่บ้านเปี่ยมสุข นนทบุรี")</f>
        <v>MBC หมู่บ้านเปี่ยมสุข นนทบุรี</v>
      </c>
      <c r="D994" s="3" t="str">
        <f>IFERROR(__xludf.DUMMYFUNCTION("""COMPUTED_VALUE"""),"BCM MOOBAN PIAMSUK, NONTHABURI")</f>
        <v>BCM MOOBAN PIAMSUK, NONTHABURI</v>
      </c>
      <c r="E994" s="1" t="str">
        <f>IFERROR(__xludf.DUMMYFUNCTION("""COMPUTED_VALUE"""),"บิ๊กซี MINI")</f>
        <v>บิ๊กซี MINI</v>
      </c>
      <c r="F994" s="1" t="str">
        <f>IFERROR(__xludf.DUMMYFUNCTION("""COMPUTED_VALUE"""),"291008")</f>
        <v>291008</v>
      </c>
      <c r="G994" s="1" t="str">
        <f>IFERROR(__xludf.DUMMYFUNCTION("""COMPUTED_VALUE"""),"น.ส.รัชดาพร อีศรัตน์")</f>
        <v>น.ส.รัชดาพร อีศรัตน์</v>
      </c>
      <c r="H994" s="1" t="str">
        <f>IFERROR(__xludf.DUMMYFUNCTION("""COMPUTED_VALUE"""),"180055")</f>
        <v>180055</v>
      </c>
      <c r="I994" s="1" t="str">
        <f>IFERROR(__xludf.DUMMYFUNCTION("""COMPUTED_VALUE"""),"น.ส.สุดารัตน์ บุญล้ำ")</f>
        <v>น.ส.สุดารัตน์ บุญล้ำ</v>
      </c>
      <c r="J994" s="3">
        <f>IFERROR(__xludf.DUMMYFUNCTION("""COMPUTED_VALUE"""),296608.0)</f>
        <v>296608</v>
      </c>
      <c r="K994" s="3" t="str">
        <f>IFERROR(__xludf.DUMMYFUNCTION("""COMPUTED_VALUE"""),"นายภาคภูมิ เพ็ชรนิล")</f>
        <v>นายภาคภูมิ เพ็ชรนิล</v>
      </c>
      <c r="L994" s="1" t="str">
        <f>IFERROR(__xludf.DUMMYFUNCTION("""COMPUTED_VALUE"""),"10 K.Phakphoom P.")</f>
        <v>10 K.Phakphoom P.</v>
      </c>
      <c r="M994" s="1" t="str">
        <f>IFERROR(__xludf.DUMMYFUNCTION("""COMPUTED_VALUE"""),"063-8955329")</f>
        <v>063-8955329</v>
      </c>
      <c r="N994" s="3">
        <f>IFERROR(__xludf.DUMMYFUNCTION("""COMPUTED_VALUE"""),22584.0)</f>
        <v>22584</v>
      </c>
      <c r="O994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994" s="4">
        <f>IFERROR(__xludf.DUMMYFUNCTION("""COMPUTED_VALUE"""),43503.0)</f>
        <v>43503</v>
      </c>
      <c r="Q994" s="3" t="str">
        <f>IFERROR(__xludf.DUMMYFUNCTION("""COMPUTED_VALUE"""),"A")</f>
        <v>A</v>
      </c>
      <c r="R994" s="3" t="str">
        <f>IFERROR(__xludf.DUMMYFUNCTION("""COMPUTED_VALUE"""),"Small Format")</f>
        <v>Small Format</v>
      </c>
      <c r="S994" s="3" t="str">
        <f>IFERROR(__xludf.DUMMYFUNCTION("""COMPUTED_VALUE"""),"BCM")</f>
        <v>BCM</v>
      </c>
      <c r="T994" s="3" t="str">
        <f>IFERROR(__xludf.DUMMYFUNCTION("""COMPUTED_VALUE"""),"#N/A")</f>
        <v>#N/A</v>
      </c>
      <c r="U994" s="3" t="str">
        <f>IFERROR(__xludf.DUMMYFUNCTION("""COMPUTED_VALUE"""),"#N/A")</f>
        <v>#N/A</v>
      </c>
      <c r="V994" s="3" t="str">
        <f>IFERROR(__xludf.DUMMYFUNCTION("""COMPUTED_VALUE"""),"N")</f>
        <v>N</v>
      </c>
      <c r="W994" s="3">
        <f>IFERROR(__xludf.DUMMYFUNCTION("""COMPUTED_VALUE"""),211696.0)</f>
        <v>211696</v>
      </c>
      <c r="X994" s="3" t="str">
        <f>IFERROR(__xludf.DUMMYFUNCTION("""COMPUTED_VALUE"""),"27/38 หมู่4 ตำบลบางม่วง อำเภอบางใหญ่ จังหวัดนนทบุรี 11140")</f>
        <v>27/38 หมู่4 ตำบลบางม่วง อำเภอบางใหญ่ จังหวัดนนทบุรี 11140</v>
      </c>
      <c r="Y994" s="3"/>
      <c r="Z994" s="3" t="str">
        <f>IFERROR(__xludf.DUMMYFUNCTION("""COMPUTED_VALUE"""),"บางม่วง")</f>
        <v>บางม่วง</v>
      </c>
      <c r="AA994" s="3" t="str">
        <f>IFERROR(__xludf.DUMMYFUNCTION("""COMPUTED_VALUE"""),"บางใหญ่")</f>
        <v>บางใหญ่</v>
      </c>
      <c r="AB994" s="3" t="str">
        <f>IFERROR(__xludf.DUMMYFUNCTION("""COMPUTED_VALUE"""),"นนทบุรี")</f>
        <v>นนทบุรี</v>
      </c>
      <c r="AC994" s="3">
        <f>IFERROR(__xludf.DUMMYFUNCTION("""COMPUTED_VALUE"""),11140.0)</f>
        <v>11140</v>
      </c>
      <c r="AD994" s="3">
        <f>IFERROR(__xludf.DUMMYFUNCTION("""COMPUTED_VALUE"""),13.845412)</f>
        <v>13.845412</v>
      </c>
      <c r="AE994" s="3">
        <f>IFERROR(__xludf.DUMMYFUNCTION("""COMPUTED_VALUE"""),100.40163)</f>
        <v>100.40163</v>
      </c>
      <c r="AF994" s="3" t="str">
        <f>IFERROR(__xludf.DUMMYFUNCTION("""COMPUTED_VALUE"""),"MBC หมู่บ้านเปี่ยมสุข นนทบุรี-21765")</f>
        <v>MBC หมู่บ้านเปี่ยมสุข นนทบุรี-21765</v>
      </c>
      <c r="AG994" s="3" t="str">
        <f>IFERROR(__xludf.DUMMYFUNCTION("""COMPUTED_VALUE"""),"กลาง")</f>
        <v>กลาง</v>
      </c>
      <c r="AH994" s="3" t="str">
        <f>IFERROR(__xludf.DUMMYFUNCTION("""COMPUTED_VALUE"""),"#N/A")</f>
        <v>#N/A</v>
      </c>
      <c r="AI994" s="3" t="str">
        <f>IFERROR(__xludf.DUMMYFUNCTION("""COMPUTED_VALUE"""),"Out of warranty")</f>
        <v>Out of warranty</v>
      </c>
      <c r="AJ994" s="3">
        <f>IFERROR(__xludf.DUMMYFUNCTION("""COMPUTED_VALUE"""),84.0)</f>
        <v>84</v>
      </c>
      <c r="AK994" s="3" t="str">
        <f>IFERROR(__xludf.DUMMYFUNCTION("""COMPUTED_VALUE"""),"MMS05")</f>
        <v>MMS05</v>
      </c>
      <c r="AL994" s="3"/>
    </row>
    <row r="995" ht="15.75" customHeight="1">
      <c r="A995" s="1" t="str">
        <f>IFERROR(__xludf.DUMMYFUNCTION("""COMPUTED_VALUE"""),"21766")</f>
        <v>21766</v>
      </c>
      <c r="B995" s="2">
        <f>IFERROR(__xludf.DUMMYFUNCTION("""COMPUTED_VALUE"""),21766.0)</f>
        <v>21766</v>
      </c>
      <c r="C995" s="3" t="str">
        <f>IFERROR(__xludf.DUMMYFUNCTION("""COMPUTED_VALUE"""),"MBC ทุ่งกราด ชลบุรี")</f>
        <v>MBC ทุ่งกราด ชลบุรี</v>
      </c>
      <c r="D995" s="3" t="str">
        <f>IFERROR(__xludf.DUMMYFUNCTION("""COMPUTED_VALUE"""),"BCM THUNG GRAD,CHONBURI")</f>
        <v>BCM THUNG GRAD,CHONBURI</v>
      </c>
      <c r="E995" s="1" t="str">
        <f>IFERROR(__xludf.DUMMYFUNCTION("""COMPUTED_VALUE"""),"บิ๊กซี MINI")</f>
        <v>บิ๊กซี MINI</v>
      </c>
      <c r="F995" s="1" t="str">
        <f>IFERROR(__xludf.DUMMYFUNCTION("""COMPUTED_VALUE"""),"221716")</f>
        <v>221716</v>
      </c>
      <c r="G995" s="1" t="str">
        <f>IFERROR(__xludf.DUMMYFUNCTION("""COMPUTED_VALUE"""),"น.ส.เบญจพร โพธิสาร")</f>
        <v>น.ส.เบญจพร โพธิสาร</v>
      </c>
      <c r="H995" s="1" t="str">
        <f>IFERROR(__xludf.DUMMYFUNCTION("""COMPUTED_VALUE"""),"291061")</f>
        <v>291061</v>
      </c>
      <c r="I995" s="1" t="str">
        <f>IFERROR(__xludf.DUMMYFUNCTION("""COMPUTED_VALUE"""),"นายสมศักดิ์ เสียงก้อง")</f>
        <v>นายสมศักดิ์ เสียงก้อง</v>
      </c>
      <c r="J995" s="3">
        <f>IFERROR(__xludf.DUMMYFUNCTION("""COMPUTED_VALUE"""),296942.0)</f>
        <v>296942</v>
      </c>
      <c r="K995" s="3" t="str">
        <f>IFERROR(__xludf.DUMMYFUNCTION("""COMPUTED_VALUE"""),"นายปิยะ รักษากิจ")</f>
        <v>นายปิยะ รักษากิจ</v>
      </c>
      <c r="L995" s="1" t="str">
        <f>IFERROR(__xludf.DUMMYFUNCTION("""COMPUTED_VALUE"""),"07 K.Piya R.")</f>
        <v>07 K.Piya R.</v>
      </c>
      <c r="M995" s="1" t="str">
        <f>IFERROR(__xludf.DUMMYFUNCTION("""COMPUTED_VALUE"""),"097-919-5476")</f>
        <v>097-919-5476</v>
      </c>
      <c r="N995" s="3">
        <f>IFERROR(__xludf.DUMMYFUNCTION("""COMPUTED_VALUE"""),21332.0)</f>
        <v>21332</v>
      </c>
      <c r="O995" s="3" t="str">
        <f>IFERROR(__xludf.DUMMYFUNCTION("""COMPUTED_VALUE"""),"MBC BCP อ่อนนุช 17/1")</f>
        <v>MBC BCP อ่อนนุช 17/1</v>
      </c>
      <c r="P995" s="4">
        <f>IFERROR(__xludf.DUMMYFUNCTION("""COMPUTED_VALUE"""),43511.0)</f>
        <v>43511</v>
      </c>
      <c r="Q995" s="3" t="str">
        <f>IFERROR(__xludf.DUMMYFUNCTION("""COMPUTED_VALUE"""),"A")</f>
        <v>A</v>
      </c>
      <c r="R995" s="3" t="str">
        <f>IFERROR(__xludf.DUMMYFUNCTION("""COMPUTED_VALUE"""),"Small Format")</f>
        <v>Small Format</v>
      </c>
      <c r="S995" s="3" t="str">
        <f>IFERROR(__xludf.DUMMYFUNCTION("""COMPUTED_VALUE"""),"BCM")</f>
        <v>BCM</v>
      </c>
      <c r="T995" s="3" t="str">
        <f>IFERROR(__xludf.DUMMYFUNCTION("""COMPUTED_VALUE"""),"#N/A")</f>
        <v>#N/A</v>
      </c>
      <c r="U995" s="3" t="str">
        <f>IFERROR(__xludf.DUMMYFUNCTION("""COMPUTED_VALUE"""),"#N/A")</f>
        <v>#N/A</v>
      </c>
      <c r="V995" s="3" t="str">
        <f>IFERROR(__xludf.DUMMYFUNCTION("""COMPUTED_VALUE"""),"N")</f>
        <v>N</v>
      </c>
      <c r="W995" s="3">
        <f>IFERROR(__xludf.DUMMYFUNCTION("""COMPUTED_VALUE"""),211656.0)</f>
        <v>211656</v>
      </c>
      <c r="X995" s="3" t="str">
        <f>IFERROR(__xludf.DUMMYFUNCTION("""COMPUTED_VALUE"""),"76/19 หมู่8 ตำบลบางละมุง อำเภอบางละมุง จังหวัดชลบุรี 20150")</f>
        <v>76/19 หมู่8 ตำบลบางละมุง อำเภอบางละมุง จังหวัดชลบุรี 20150</v>
      </c>
      <c r="Y995" s="3"/>
      <c r="Z995" s="3" t="str">
        <f>IFERROR(__xludf.DUMMYFUNCTION("""COMPUTED_VALUE"""),"บางละมุง")</f>
        <v>บางละมุง</v>
      </c>
      <c r="AA995" s="3" t="str">
        <f>IFERROR(__xludf.DUMMYFUNCTION("""COMPUTED_VALUE"""),"บางละมุง")</f>
        <v>บางละมุง</v>
      </c>
      <c r="AB995" s="3" t="str">
        <f>IFERROR(__xludf.DUMMYFUNCTION("""COMPUTED_VALUE"""),"ชลบุรี")</f>
        <v>ชลบุรี</v>
      </c>
      <c r="AC995" s="3">
        <f>IFERROR(__xludf.DUMMYFUNCTION("""COMPUTED_VALUE"""),20150.0)</f>
        <v>20150</v>
      </c>
      <c r="AD995" s="3">
        <f>IFERROR(__xludf.DUMMYFUNCTION("""COMPUTED_VALUE"""),13.088651)</f>
        <v>13.088651</v>
      </c>
      <c r="AE995" s="3">
        <f>IFERROR(__xludf.DUMMYFUNCTION("""COMPUTED_VALUE"""),100.984918)</f>
        <v>100.984918</v>
      </c>
      <c r="AF995" s="3" t="str">
        <f>IFERROR(__xludf.DUMMYFUNCTION("""COMPUTED_VALUE"""),"MBC ทุ่งกราด ชลบุรี-21766")</f>
        <v>MBC ทุ่งกราด ชลบุรี-21766</v>
      </c>
      <c r="AG995" s="3" t="str">
        <f>IFERROR(__xludf.DUMMYFUNCTION("""COMPUTED_VALUE"""),"ตะวันออก")</f>
        <v>ตะวันออก</v>
      </c>
      <c r="AH995" s="3" t="str">
        <f>IFERROR(__xludf.DUMMYFUNCTION("""COMPUTED_VALUE"""),"#N/A")</f>
        <v>#N/A</v>
      </c>
      <c r="AI995" s="3" t="str">
        <f>IFERROR(__xludf.DUMMYFUNCTION("""COMPUTED_VALUE"""),"Out of warranty")</f>
        <v>Out of warranty</v>
      </c>
      <c r="AJ995" s="3">
        <f>IFERROR(__xludf.DUMMYFUNCTION("""COMPUTED_VALUE"""),84.0)</f>
        <v>84</v>
      </c>
      <c r="AK995" s="3" t="str">
        <f>IFERROR(__xludf.DUMMYFUNCTION("""COMPUTED_VALUE"""),"MMS06")</f>
        <v>MMS06</v>
      </c>
      <c r="AL995" s="3"/>
    </row>
    <row r="996" ht="15.75" customHeight="1">
      <c r="A996" s="1" t="str">
        <f>IFERROR(__xludf.DUMMYFUNCTION("""COMPUTED_VALUE"""),"21767")</f>
        <v>21767</v>
      </c>
      <c r="B996" s="2">
        <f>IFERROR(__xludf.DUMMYFUNCTION("""COMPUTED_VALUE"""),21767.0)</f>
        <v>21767</v>
      </c>
      <c r="C996" s="3" t="str">
        <f>IFERROR(__xludf.DUMMYFUNCTION("""COMPUTED_VALUE"""),"MBC คาลเท็กซ์ เชิงเนิน ระยอง")</f>
        <v>MBC คาลเท็กซ์ เชิงเนิน ระยอง</v>
      </c>
      <c r="D996" s="3" t="str">
        <f>IFERROR(__xludf.DUMMYFUNCTION("""COMPUTED_VALUE"""),"BCM CALTEX CHOENG NOEN")</f>
        <v>BCM CALTEX CHOENG NOEN</v>
      </c>
      <c r="E996" s="1" t="str">
        <f>IFERROR(__xludf.DUMMYFUNCTION("""COMPUTED_VALUE"""),"บิ๊กซี MINI")</f>
        <v>บิ๊กซี MINI</v>
      </c>
      <c r="F996" s="1" t="str">
        <f>IFERROR(__xludf.DUMMYFUNCTION("""COMPUTED_VALUE"""),"221716")</f>
        <v>221716</v>
      </c>
      <c r="G996" s="1" t="str">
        <f>IFERROR(__xludf.DUMMYFUNCTION("""COMPUTED_VALUE"""),"น.ส.เบญจพร โพธิสาร")</f>
        <v>น.ส.เบญจพร โพธิสาร</v>
      </c>
      <c r="H996" s="1" t="str">
        <f>IFERROR(__xludf.DUMMYFUNCTION("""COMPUTED_VALUE"""),"359233")</f>
        <v>359233</v>
      </c>
      <c r="I996" s="1" t="str">
        <f>IFERROR(__xludf.DUMMYFUNCTION("""COMPUTED_VALUE"""),"น.ส.ปยุดา คำมีอ่อน")</f>
        <v>น.ส.ปยุดา คำมีอ่อน</v>
      </c>
      <c r="J996" s="3">
        <f>IFERROR(__xludf.DUMMYFUNCTION("""COMPUTED_VALUE"""),2452376.0)</f>
        <v>2452376</v>
      </c>
      <c r="K996" s="3" t="str">
        <f>IFERROR(__xludf.DUMMYFUNCTION("""COMPUTED_VALUE"""),"นายภาคภูมิ ทวีกุล")</f>
        <v>นายภาคภูมิ ทวีกุล</v>
      </c>
      <c r="L996" s="1" t="str">
        <f>IFERROR(__xludf.DUMMYFUNCTION("""COMPUTED_VALUE"""),"08 K.Parkphum T.")</f>
        <v>08 K.Parkphum T.</v>
      </c>
      <c r="M996" s="1" t="str">
        <f>IFERROR(__xludf.DUMMYFUNCTION("""COMPUTED_VALUE"""),"097-919-5476")</f>
        <v>097-919-5476</v>
      </c>
      <c r="N996" s="3">
        <f>IFERROR(__xludf.DUMMYFUNCTION("""COMPUTED_VALUE"""),22028.0)</f>
        <v>22028</v>
      </c>
      <c r="O996" s="3" t="str">
        <f>IFERROR(__xludf.DUMMYFUNCTION("""COMPUTED_VALUE"""),"MBC ทํบมา ระยอง")</f>
        <v>MBC ทํบมา ระยอง</v>
      </c>
      <c r="P996" s="4">
        <f>IFERROR(__xludf.DUMMYFUNCTION("""COMPUTED_VALUE"""),43517.0)</f>
        <v>43517</v>
      </c>
      <c r="Q996" s="3" t="str">
        <f>IFERROR(__xludf.DUMMYFUNCTION("""COMPUTED_VALUE"""),"A")</f>
        <v>A</v>
      </c>
      <c r="R996" s="3" t="str">
        <f>IFERROR(__xludf.DUMMYFUNCTION("""COMPUTED_VALUE"""),"Small Format")</f>
        <v>Small Format</v>
      </c>
      <c r="S996" s="3" t="str">
        <f>IFERROR(__xludf.DUMMYFUNCTION("""COMPUTED_VALUE"""),"BCM")</f>
        <v>BCM</v>
      </c>
      <c r="T996" s="3" t="str">
        <f>IFERROR(__xludf.DUMMYFUNCTION("""COMPUTED_VALUE"""),"#N/A")</f>
        <v>#N/A</v>
      </c>
      <c r="U996" s="3" t="str">
        <f>IFERROR(__xludf.DUMMYFUNCTION("""COMPUTED_VALUE"""),"#N/A")</f>
        <v>#N/A</v>
      </c>
      <c r="V996" s="3" t="str">
        <f>IFERROR(__xludf.DUMMYFUNCTION("""COMPUTED_VALUE"""),"N")</f>
        <v>N</v>
      </c>
      <c r="W996" s="3">
        <f>IFERROR(__xludf.DUMMYFUNCTION("""COMPUTED_VALUE"""),211784.0)</f>
        <v>211784</v>
      </c>
      <c r="X996" s="3" t="str">
        <f>IFERROR(__xludf.DUMMYFUNCTION("""COMPUTED_VALUE"""),"28/54 หมู่4 ตำบลเชิงเนิน อำเภอเมืองระยอง จังหวัดระยอง 21000")</f>
        <v>28/54 หมู่4 ตำบลเชิงเนิน อำเภอเมืองระยอง จังหวัดระยอง 21000</v>
      </c>
      <c r="Y996" s="3"/>
      <c r="Z996" s="3" t="str">
        <f>IFERROR(__xludf.DUMMYFUNCTION("""COMPUTED_VALUE"""),"เชิงเนิน")</f>
        <v>เชิงเนิน</v>
      </c>
      <c r="AA996" s="3" t="str">
        <f>IFERROR(__xludf.DUMMYFUNCTION("""COMPUTED_VALUE"""),"เมือง")</f>
        <v>เมือง</v>
      </c>
      <c r="AB996" s="3" t="str">
        <f>IFERROR(__xludf.DUMMYFUNCTION("""COMPUTED_VALUE"""),"ระยอง")</f>
        <v>ระยอง</v>
      </c>
      <c r="AC996" s="3">
        <f>IFERROR(__xludf.DUMMYFUNCTION("""COMPUTED_VALUE"""),21000.0)</f>
        <v>21000</v>
      </c>
      <c r="AD996" s="3">
        <f>IFERROR(__xludf.DUMMYFUNCTION("""COMPUTED_VALUE"""),12.695788)</f>
        <v>12.695788</v>
      </c>
      <c r="AE996" s="3">
        <f>IFERROR(__xludf.DUMMYFUNCTION("""COMPUTED_VALUE"""),101.287341)</f>
        <v>101.287341</v>
      </c>
      <c r="AF996" s="3" t="str">
        <f>IFERROR(__xludf.DUMMYFUNCTION("""COMPUTED_VALUE"""),"MBC คาลเท็กซ์ เชิงเนิน ระยอง-21767")</f>
        <v>MBC คาลเท็กซ์ เชิงเนิน ระยอง-21767</v>
      </c>
      <c r="AG996" s="3" t="str">
        <f>IFERROR(__xludf.DUMMYFUNCTION("""COMPUTED_VALUE"""),"ตะวันออก")</f>
        <v>ตะวันออก</v>
      </c>
      <c r="AH996" s="3" t="str">
        <f>IFERROR(__xludf.DUMMYFUNCTION("""COMPUTED_VALUE"""),"#N/A")</f>
        <v>#N/A</v>
      </c>
      <c r="AI996" s="3" t="str">
        <f>IFERROR(__xludf.DUMMYFUNCTION("""COMPUTED_VALUE"""),"Out of warranty")</f>
        <v>Out of warranty</v>
      </c>
      <c r="AJ996" s="3">
        <f>IFERROR(__xludf.DUMMYFUNCTION("""COMPUTED_VALUE"""),83.0)</f>
        <v>83</v>
      </c>
      <c r="AK996" s="3" t="str">
        <f>IFERROR(__xludf.DUMMYFUNCTION("""COMPUTED_VALUE"""),"MMS08")</f>
        <v>MMS08</v>
      </c>
      <c r="AL996" s="3"/>
    </row>
    <row r="997" ht="15.75" customHeight="1">
      <c r="A997" s="1" t="str">
        <f>IFERROR(__xludf.DUMMYFUNCTION("""COMPUTED_VALUE"""),"21768")</f>
        <v>21768</v>
      </c>
      <c r="B997" s="2">
        <f>IFERROR(__xludf.DUMMYFUNCTION("""COMPUTED_VALUE"""),21768.0)</f>
        <v>21768</v>
      </c>
      <c r="C997" s="3" t="str">
        <f>IFERROR(__xludf.DUMMYFUNCTION("""COMPUTED_VALUE"""),"MBC คาลเท็กซ์มาบไผ่ ชลบุรี")</f>
        <v>MBC คาลเท็กซ์มาบไผ่ ชลบุรี</v>
      </c>
      <c r="D997" s="3" t="str">
        <f>IFERROR(__xludf.DUMMYFUNCTION("""COMPUTED_VALUE"""),"BCM CALTEX MAP PAI,CHONBURI")</f>
        <v>BCM CALTEX MAP PAI,CHONBURI</v>
      </c>
      <c r="E997" s="1" t="str">
        <f>IFERROR(__xludf.DUMMYFUNCTION("""COMPUTED_VALUE"""),"บิ๊กซี MINI")</f>
        <v>บิ๊กซี MINI</v>
      </c>
      <c r="F997" s="1" t="str">
        <f>IFERROR(__xludf.DUMMYFUNCTION("""COMPUTED_VALUE"""),"221716")</f>
        <v>221716</v>
      </c>
      <c r="G997" s="1" t="str">
        <f>IFERROR(__xludf.DUMMYFUNCTION("""COMPUTED_VALUE"""),"น.ส.เบญจพร โพธิสาร")</f>
        <v>น.ส.เบญจพร โพธิสาร</v>
      </c>
      <c r="H997" s="1" t="str">
        <f>IFERROR(__xludf.DUMMYFUNCTION("""COMPUTED_VALUE"""),"376139")</f>
        <v>376139</v>
      </c>
      <c r="I997" s="1" t="str">
        <f>IFERROR(__xludf.DUMMYFUNCTION("""COMPUTED_VALUE"""),"นายอนุชา อำไพ")</f>
        <v>นายอนุชา อำไพ</v>
      </c>
      <c r="J997" s="3">
        <f>IFERROR(__xludf.DUMMYFUNCTION("""COMPUTED_VALUE"""),3510104.0)</f>
        <v>3510104</v>
      </c>
      <c r="K997" s="3" t="str">
        <f>IFERROR(__xludf.DUMMYFUNCTION("""COMPUTED_VALUE"""),"นายวิโรจน์ อับดุลสมัด")</f>
        <v>นายวิโรจน์ อับดุลสมัด</v>
      </c>
      <c r="L997" s="1" t="str">
        <f>IFERROR(__xludf.DUMMYFUNCTION("""COMPUTED_VALUE"""),"09 K.Wirode A")</f>
        <v>09 K.Wirode A</v>
      </c>
      <c r="M997" s="1" t="str">
        <f>IFERROR(__xludf.DUMMYFUNCTION("""COMPUTED_VALUE"""),"080-235-4465")</f>
        <v>080-235-4465</v>
      </c>
      <c r="N997" s="3">
        <f>IFERROR(__xludf.DUMMYFUNCTION("""COMPUTED_VALUE"""),21324.0)</f>
        <v>21324</v>
      </c>
      <c r="O997" s="3" t="str">
        <f>IFERROR(__xludf.DUMMYFUNCTION("""COMPUTED_VALUE"""),"MBC BCP สุวินทวงศ์")</f>
        <v>MBC BCP สุวินทวงศ์</v>
      </c>
      <c r="P997" s="4">
        <f>IFERROR(__xludf.DUMMYFUNCTION("""COMPUTED_VALUE"""),43523.0)</f>
        <v>43523</v>
      </c>
      <c r="Q997" s="3" t="str">
        <f>IFERROR(__xludf.DUMMYFUNCTION("""COMPUTED_VALUE"""),"I")</f>
        <v>I</v>
      </c>
      <c r="R997" s="3" t="str">
        <f>IFERROR(__xludf.DUMMYFUNCTION("""COMPUTED_VALUE"""),"Small Format")</f>
        <v>Small Format</v>
      </c>
      <c r="S997" s="3" t="str">
        <f>IFERROR(__xludf.DUMMYFUNCTION("""COMPUTED_VALUE"""),"BCM")</f>
        <v>BCM</v>
      </c>
      <c r="T997" s="3" t="str">
        <f>IFERROR(__xludf.DUMMYFUNCTION("""COMPUTED_VALUE"""),"#N/A")</f>
        <v>#N/A</v>
      </c>
      <c r="U997" s="3" t="str">
        <f>IFERROR(__xludf.DUMMYFUNCTION("""COMPUTED_VALUE"""),"#N/A")</f>
        <v>#N/A</v>
      </c>
      <c r="V997" s="3" t="str">
        <f>IFERROR(__xludf.DUMMYFUNCTION("""COMPUTED_VALUE"""),"N")</f>
        <v>N</v>
      </c>
      <c r="W997" s="3">
        <f>IFERROR(__xludf.DUMMYFUNCTION("""COMPUTED_VALUE"""),211749.0)</f>
        <v>211749</v>
      </c>
      <c r="X997" s="3" t="str">
        <f>IFERROR(__xludf.DUMMYFUNCTION("""COMPUTED_VALUE"""),"99 หมู่6 ตำบลมาบไผ่ อำเภอบ้านบึง จังหวัดชลบุรี 20170")</f>
        <v>99 หมู่6 ตำบลมาบไผ่ อำเภอบ้านบึง จังหวัดชลบุรี 20170</v>
      </c>
      <c r="Y997" s="3"/>
      <c r="Z997" s="3" t="str">
        <f>IFERROR(__xludf.DUMMYFUNCTION("""COMPUTED_VALUE"""),"มาบไผ่")</f>
        <v>มาบไผ่</v>
      </c>
      <c r="AA997" s="3" t="str">
        <f>IFERROR(__xludf.DUMMYFUNCTION("""COMPUTED_VALUE"""),"บ้านบึง")</f>
        <v>บ้านบึง</v>
      </c>
      <c r="AB997" s="3" t="str">
        <f>IFERROR(__xludf.DUMMYFUNCTION("""COMPUTED_VALUE"""),"ชลบุรี")</f>
        <v>ชลบุรี</v>
      </c>
      <c r="AC997" s="3">
        <f>IFERROR(__xludf.DUMMYFUNCTION("""COMPUTED_VALUE"""),20170.0)</f>
        <v>20170</v>
      </c>
      <c r="AD997" s="3">
        <f>IFERROR(__xludf.DUMMYFUNCTION("""COMPUTED_VALUE"""),13.218488)</f>
        <v>13.218488</v>
      </c>
      <c r="AE997" s="3">
        <f>IFERROR(__xludf.DUMMYFUNCTION("""COMPUTED_VALUE"""),101.153727)</f>
        <v>101.153727</v>
      </c>
      <c r="AF997" s="3" t="str">
        <f>IFERROR(__xludf.DUMMYFUNCTION("""COMPUTED_VALUE"""),"MBC คาลเท็กซ์มาบไผ่ ชลบุรี-21768")</f>
        <v>MBC คาลเท็กซ์มาบไผ่ ชลบุรี-21768</v>
      </c>
      <c r="AG997" s="3" t="str">
        <f>IFERROR(__xludf.DUMMYFUNCTION("""COMPUTED_VALUE"""),"ตะวันออก")</f>
        <v>ตะวันออก</v>
      </c>
      <c r="AH997" s="3" t="str">
        <f>IFERROR(__xludf.DUMMYFUNCTION("""COMPUTED_VALUE"""),"#N/A")</f>
        <v>#N/A</v>
      </c>
      <c r="AI997" s="3" t="str">
        <f>IFERROR(__xludf.DUMMYFUNCTION("""COMPUTED_VALUE"""),"Out of warranty")</f>
        <v>Out of warranty</v>
      </c>
      <c r="AJ997" s="3">
        <f>IFERROR(__xludf.DUMMYFUNCTION("""COMPUTED_VALUE"""),83.0)</f>
        <v>83</v>
      </c>
      <c r="AK997" s="3" t="str">
        <f>IFERROR(__xludf.DUMMYFUNCTION("""COMPUTED_VALUE"""),"MMS07")</f>
        <v>MMS07</v>
      </c>
      <c r="AL997" s="3"/>
    </row>
    <row r="998" ht="15.75" customHeight="1">
      <c r="A998" s="1" t="str">
        <f>IFERROR(__xludf.DUMMYFUNCTION("""COMPUTED_VALUE"""),"21769")</f>
        <v>21769</v>
      </c>
      <c r="B998" s="2">
        <f>IFERROR(__xludf.DUMMYFUNCTION("""COMPUTED_VALUE"""),21769.0)</f>
        <v>21769</v>
      </c>
      <c r="C998" s="3" t="str">
        <f>IFERROR(__xludf.DUMMYFUNCTION("""COMPUTED_VALUE"""),"MBC บางจากสุขสวัสดิ์ 53/1 สมุทรปราการ")</f>
        <v>MBC บางจากสุขสวัสดิ์ 53/1 สมุทรปราการ</v>
      </c>
      <c r="D998" s="3" t="str">
        <f>IFERROR(__xludf.DUMMYFUNCTION("""COMPUTED_VALUE"""),"BCM BCP SUKSAWAT 53/1")</f>
        <v>BCM BCP SUKSAWAT 53/1</v>
      </c>
      <c r="E998" s="1" t="str">
        <f>IFERROR(__xludf.DUMMYFUNCTION("""COMPUTED_VALUE"""),"บิ๊กซี MINI")</f>
        <v>บิ๊กซี MINI</v>
      </c>
      <c r="F998" s="1" t="str">
        <f>IFERROR(__xludf.DUMMYFUNCTION("""COMPUTED_VALUE"""),"2083447")</f>
        <v>2083447</v>
      </c>
      <c r="G998" s="1" t="str">
        <f>IFERROR(__xludf.DUMMYFUNCTION("""COMPUTED_VALUE"""),"นายอนุกูล ศรีลัดดา")</f>
        <v>นายอนุกูล ศรีลัดดา</v>
      </c>
      <c r="H998" s="1" t="str">
        <f>IFERROR(__xludf.DUMMYFUNCTION("""COMPUTED_VALUE"""),"379037")</f>
        <v>379037</v>
      </c>
      <c r="I998" s="1" t="str">
        <f>IFERROR(__xludf.DUMMYFUNCTION("""COMPUTED_VALUE"""),"นางแก้วใจ แก้วกาญจน์")</f>
        <v>นางแก้วใจ แก้วกาญจน์</v>
      </c>
      <c r="J998" s="3">
        <f>IFERROR(__xludf.DUMMYFUNCTION("""COMPUTED_VALUE"""),2451655.0)</f>
        <v>2451655</v>
      </c>
      <c r="K998" s="3" t="str">
        <f>IFERROR(__xludf.DUMMYFUNCTION("""COMPUTED_VALUE"""),"นายวิษณุพงษ์ ชินบุตร")</f>
        <v>นายวิษณุพงษ์ ชินบุตร</v>
      </c>
      <c r="L998" s="1" t="str">
        <f>IFERROR(__xludf.DUMMYFUNCTION("""COMPUTED_VALUE"""),"13 K.Wisanupong Ch")</f>
        <v>13 K.Wisanupong Ch</v>
      </c>
      <c r="M998" s="1" t="str">
        <f>IFERROR(__xludf.DUMMYFUNCTION("""COMPUTED_VALUE"""),"0843374693")</f>
        <v>0843374693</v>
      </c>
      <c r="N998" s="3">
        <f>IFERROR(__xludf.DUMMYFUNCTION("""COMPUTED_VALUE"""),22729.0)</f>
        <v>22729</v>
      </c>
      <c r="O998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998" s="4">
        <f>IFERROR(__xludf.DUMMYFUNCTION("""COMPUTED_VALUE"""),43516.0)</f>
        <v>43516</v>
      </c>
      <c r="Q998" s="3" t="str">
        <f>IFERROR(__xludf.DUMMYFUNCTION("""COMPUTED_VALUE"""),"A")</f>
        <v>A</v>
      </c>
      <c r="R998" s="3" t="str">
        <f>IFERROR(__xludf.DUMMYFUNCTION("""COMPUTED_VALUE"""),"Small Format")</f>
        <v>Small Format</v>
      </c>
      <c r="S998" s="3" t="str">
        <f>IFERROR(__xludf.DUMMYFUNCTION("""COMPUTED_VALUE"""),"BCM")</f>
        <v>BCM</v>
      </c>
      <c r="T998" s="3" t="str">
        <f>IFERROR(__xludf.DUMMYFUNCTION("""COMPUTED_VALUE"""),"#N/A")</f>
        <v>#N/A</v>
      </c>
      <c r="U998" s="3" t="str">
        <f>IFERROR(__xludf.DUMMYFUNCTION("""COMPUTED_VALUE"""),"#N/A")</f>
        <v>#N/A</v>
      </c>
      <c r="V998" s="3" t="str">
        <f>IFERROR(__xludf.DUMMYFUNCTION("""COMPUTED_VALUE"""),"N")</f>
        <v>N</v>
      </c>
      <c r="W998" s="3">
        <f>IFERROR(__xludf.DUMMYFUNCTION("""COMPUTED_VALUE"""),211767.0)</f>
        <v>211767</v>
      </c>
      <c r="X998" s="3" t="str">
        <f>IFERROR(__xludf.DUMMYFUNCTION("""COMPUTED_VALUE"""),"88/3 หมู่4 ตำบลบางจาก อำเภอพระประแดง จังหวัดสมุทรปราการ 10130")</f>
        <v>88/3 หมู่4 ตำบลบางจาก อำเภอพระประแดง จังหวัดสมุทรปราการ 10130</v>
      </c>
      <c r="Y998" s="3"/>
      <c r="Z998" s="3" t="str">
        <f>IFERROR(__xludf.DUMMYFUNCTION("""COMPUTED_VALUE"""),"บางจาก")</f>
        <v>บางจาก</v>
      </c>
      <c r="AA998" s="3" t="str">
        <f>IFERROR(__xludf.DUMMYFUNCTION("""COMPUTED_VALUE"""),"พระประแดง")</f>
        <v>พระประแดง</v>
      </c>
      <c r="AB998" s="3" t="str">
        <f>IFERROR(__xludf.DUMMYFUNCTION("""COMPUTED_VALUE"""),"สมุทรปราการ")</f>
        <v>สมุทรปราการ</v>
      </c>
      <c r="AC998" s="3">
        <f>IFERROR(__xludf.DUMMYFUNCTION("""COMPUTED_VALUE"""),10130.0)</f>
        <v>10130</v>
      </c>
      <c r="AD998" s="3">
        <f>IFERROR(__xludf.DUMMYFUNCTION("""COMPUTED_VALUE"""),13.62048)</f>
        <v>13.62048</v>
      </c>
      <c r="AE998" s="3">
        <f>IFERROR(__xludf.DUMMYFUNCTION("""COMPUTED_VALUE"""),100.541288)</f>
        <v>100.541288</v>
      </c>
      <c r="AF998" s="3" t="str">
        <f>IFERROR(__xludf.DUMMYFUNCTION("""COMPUTED_VALUE"""),"MBC บางจากสุขสวัสดิ์ 53/1 สมุทรปราการ-21769")</f>
        <v>MBC บางจากสุขสวัสดิ์ 53/1 สมุทรปราการ-21769</v>
      </c>
      <c r="AG998" s="3" t="str">
        <f>IFERROR(__xludf.DUMMYFUNCTION("""COMPUTED_VALUE"""),"กลาง")</f>
        <v>กลาง</v>
      </c>
      <c r="AH998" s="3" t="str">
        <f>IFERROR(__xludf.DUMMYFUNCTION("""COMPUTED_VALUE"""),"#N/A")</f>
        <v>#N/A</v>
      </c>
      <c r="AI998" s="3" t="str">
        <f>IFERROR(__xludf.DUMMYFUNCTION("""COMPUTED_VALUE"""),"Out of warranty")</f>
        <v>Out of warranty</v>
      </c>
      <c r="AJ998" s="3">
        <f>IFERROR(__xludf.DUMMYFUNCTION("""COMPUTED_VALUE"""),84.0)</f>
        <v>84</v>
      </c>
      <c r="AK998" s="3" t="str">
        <f>IFERROR(__xludf.DUMMYFUNCTION("""COMPUTED_VALUE"""),"MMS02")</f>
        <v>MMS02</v>
      </c>
      <c r="AL998" s="3"/>
    </row>
    <row r="999" ht="15.75" customHeight="1">
      <c r="A999" s="1" t="str">
        <f>IFERROR(__xludf.DUMMYFUNCTION("""COMPUTED_VALUE"""),"21770")</f>
        <v>21770</v>
      </c>
      <c r="B999" s="2">
        <f>IFERROR(__xludf.DUMMYFUNCTION("""COMPUTED_VALUE"""),21770.0)</f>
        <v>21770</v>
      </c>
      <c r="C999" s="3" t="str">
        <f>IFERROR(__xludf.DUMMYFUNCTION("""COMPUTED_VALUE"""),"MBC บางจากวิภาวดี 43 กรุงเทพมหานคร")</f>
        <v>MBC บางจากวิภาวดี 43 กรุงเทพมหานคร</v>
      </c>
      <c r="D999" s="3" t="str">
        <f>IFERROR(__xludf.DUMMYFUNCTION("""COMPUTED_VALUE"""),"BCM BCP VIBHAVADI 43, BANGKOK")</f>
        <v>BCM BCP VIBHAVADI 43, BANGKOK</v>
      </c>
      <c r="E999" s="1" t="str">
        <f>IFERROR(__xludf.DUMMYFUNCTION("""COMPUTED_VALUE"""),"บิ๊กซี MINI")</f>
        <v>บิ๊กซี MINI</v>
      </c>
      <c r="F999" s="1" t="str">
        <f>IFERROR(__xludf.DUMMYFUNCTION("""COMPUTED_VALUE"""),"291008")</f>
        <v>291008</v>
      </c>
      <c r="G999" s="1" t="str">
        <f>IFERROR(__xludf.DUMMYFUNCTION("""COMPUTED_VALUE"""),"น.ส.รัชดาพร อีศรัตน์")</f>
        <v>น.ส.รัชดาพร อีศรัตน์</v>
      </c>
      <c r="H999" s="1" t="str">
        <f>IFERROR(__xludf.DUMMYFUNCTION("""COMPUTED_VALUE"""),"373540")</f>
        <v>373540</v>
      </c>
      <c r="I999" s="1" t="str">
        <f>IFERROR(__xludf.DUMMYFUNCTION("""COMPUTED_VALUE"""),"นายทศพร พึ่งพบ")</f>
        <v>นายทศพร พึ่งพบ</v>
      </c>
      <c r="J999" s="3">
        <f>IFERROR(__xludf.DUMMYFUNCTION("""COMPUTED_VALUE"""),2452378.0)</f>
        <v>2452378</v>
      </c>
      <c r="K999" s="3" t="str">
        <f>IFERROR(__xludf.DUMMYFUNCTION("""COMPUTED_VALUE"""),"นายศักดิ์ดา พวงประดับ")</f>
        <v>นายศักดิ์ดา พวงประดับ</v>
      </c>
      <c r="L999" s="1" t="str">
        <f>IFERROR(__xludf.DUMMYFUNCTION("""COMPUTED_VALUE"""),"11 K.Sakda P.")</f>
        <v>11 K.Sakda P.</v>
      </c>
      <c r="M999" s="1" t="str">
        <f>IFERROR(__xludf.DUMMYFUNCTION("""COMPUTED_VALUE"""),"065-929-1279")</f>
        <v>065-929-1279</v>
      </c>
      <c r="N999" s="3">
        <f>IFERROR(__xludf.DUMMYFUNCTION("""COMPUTED_VALUE"""),21002.0)</f>
        <v>21002</v>
      </c>
      <c r="O999" s="3" t="str">
        <f>IFERROR(__xludf.DUMMYFUNCTION("""COMPUTED_VALUE"""),"MBC อุดมสุข")</f>
        <v>MBC อุดมสุข</v>
      </c>
      <c r="P999" s="4">
        <f>IFERROR(__xludf.DUMMYFUNCTION("""COMPUTED_VALUE"""),43516.0)</f>
        <v>43516</v>
      </c>
      <c r="Q999" s="3" t="str">
        <f>IFERROR(__xludf.DUMMYFUNCTION("""COMPUTED_VALUE"""),"A")</f>
        <v>A</v>
      </c>
      <c r="R999" s="3" t="str">
        <f>IFERROR(__xludf.DUMMYFUNCTION("""COMPUTED_VALUE"""),"Small Format")</f>
        <v>Small Format</v>
      </c>
      <c r="S999" s="3" t="str">
        <f>IFERROR(__xludf.DUMMYFUNCTION("""COMPUTED_VALUE"""),"BCM")</f>
        <v>BCM</v>
      </c>
      <c r="T999" s="3" t="str">
        <f>IFERROR(__xludf.DUMMYFUNCTION("""COMPUTED_VALUE"""),"#N/A")</f>
        <v>#N/A</v>
      </c>
      <c r="U999" s="3" t="str">
        <f>IFERROR(__xludf.DUMMYFUNCTION("""COMPUTED_VALUE"""),"#N/A")</f>
        <v>#N/A</v>
      </c>
      <c r="V999" s="3" t="str">
        <f>IFERROR(__xludf.DUMMYFUNCTION("""COMPUTED_VALUE"""),"N")</f>
        <v>N</v>
      </c>
      <c r="W999" s="3">
        <f>IFERROR(__xludf.DUMMYFUNCTION("""COMPUTED_VALUE"""),211765.0)</f>
        <v>211765</v>
      </c>
      <c r="X999" s="3" t="str">
        <f>IFERROR(__xludf.DUMMYFUNCTION("""COMPUTED_VALUE"""),"511/10 ถนนวิภาวดีรังสิต แขวงสนามบิน เขตดอนเมือง กรุงเทพมหานคร 10210")</f>
        <v>511/10 ถนนวิภาวดีรังสิต แขวงสนามบิน เขตดอนเมือง กรุงเทพมหานคร 10210</v>
      </c>
      <c r="Y999" s="3" t="str">
        <f>IFERROR(__xludf.DUMMYFUNCTION("""COMPUTED_VALUE"""),"ถนนวิภาวดีรังสิต")</f>
        <v>ถนนวิภาวดีรังสิต</v>
      </c>
      <c r="Z999" s="3" t="str">
        <f>IFERROR(__xludf.DUMMYFUNCTION("""COMPUTED_VALUE"""),"สนามบิน")</f>
        <v>สนามบิน</v>
      </c>
      <c r="AA999" s="3" t="str">
        <f>IFERROR(__xludf.DUMMYFUNCTION("""COMPUTED_VALUE"""),"ดอนเมือง")</f>
        <v>ดอนเมือง</v>
      </c>
      <c r="AB999" s="3" t="str">
        <f>IFERROR(__xludf.DUMMYFUNCTION("""COMPUTED_VALUE"""),"กรุงเทพมหานคร")</f>
        <v>กรุงเทพมหานคร</v>
      </c>
      <c r="AC999" s="3">
        <f>IFERROR(__xludf.DUMMYFUNCTION("""COMPUTED_VALUE"""),10210.0)</f>
        <v>10210</v>
      </c>
      <c r="AD999" s="3">
        <f>IFERROR(__xludf.DUMMYFUNCTION("""COMPUTED_VALUE"""),13.946322)</f>
        <v>13.946322</v>
      </c>
      <c r="AE999" s="3">
        <f>IFERROR(__xludf.DUMMYFUNCTION("""COMPUTED_VALUE"""),100.615798)</f>
        <v>100.615798</v>
      </c>
      <c r="AF999" s="3" t="str">
        <f>IFERROR(__xludf.DUMMYFUNCTION("""COMPUTED_VALUE"""),"MBC บางจากวิภาวดี 43 กรุงเทพมหานคร-21770")</f>
        <v>MBC บางจากวิภาวดี 43 กรุงเทพมหานคร-21770</v>
      </c>
      <c r="AG999" s="3" t="str">
        <f>IFERROR(__xludf.DUMMYFUNCTION("""COMPUTED_VALUE"""),"กลาง")</f>
        <v>กลาง</v>
      </c>
      <c r="AH999" s="3" t="str">
        <f>IFERROR(__xludf.DUMMYFUNCTION("""COMPUTED_VALUE"""),"#N/A")</f>
        <v>#N/A</v>
      </c>
      <c r="AI999" s="3" t="str">
        <f>IFERROR(__xludf.DUMMYFUNCTION("""COMPUTED_VALUE"""),"Out of warranty")</f>
        <v>Out of warranty</v>
      </c>
      <c r="AJ999" s="3">
        <f>IFERROR(__xludf.DUMMYFUNCTION("""COMPUTED_VALUE"""),84.0)</f>
        <v>84</v>
      </c>
      <c r="AK999" s="3" t="str">
        <f>IFERROR(__xludf.DUMMYFUNCTION("""COMPUTED_VALUE"""),"MMS01")</f>
        <v>MMS01</v>
      </c>
      <c r="AL999" s="3"/>
    </row>
    <row r="1000" ht="15.75" customHeight="1">
      <c r="A1000" s="1" t="str">
        <f>IFERROR(__xludf.DUMMYFUNCTION("""COMPUTED_VALUE"""),"21771")</f>
        <v>21771</v>
      </c>
      <c r="B1000" s="2">
        <f>IFERROR(__xludf.DUMMYFUNCTION("""COMPUTED_VALUE"""),21771.0)</f>
        <v>21771</v>
      </c>
      <c r="C1000" s="3" t="str">
        <f>IFERROR(__xludf.DUMMYFUNCTION("""COMPUTED_VALUE"""),"MBC บ่อยาง-ชลบุรี")</f>
        <v>MBC บ่อยาง-ชลบุรี</v>
      </c>
      <c r="D1000" s="3" t="str">
        <f>IFERROR(__xludf.DUMMYFUNCTION("""COMPUTED_VALUE"""),"BCM BOR YANG-CHONBURI")</f>
        <v>BCM BOR YANG-CHONBURI</v>
      </c>
      <c r="E1000" s="1" t="str">
        <f>IFERROR(__xludf.DUMMYFUNCTION("""COMPUTED_VALUE"""),"บิ๊กซี MINI")</f>
        <v>บิ๊กซี MINI</v>
      </c>
      <c r="F1000" s="1" t="str">
        <f>IFERROR(__xludf.DUMMYFUNCTION("""COMPUTED_VALUE"""),"221716")</f>
        <v>221716</v>
      </c>
      <c r="G1000" s="1" t="str">
        <f>IFERROR(__xludf.DUMMYFUNCTION("""COMPUTED_VALUE"""),"น.ส.เบญจพร โพธิสาร")</f>
        <v>น.ส.เบญจพร โพธิสาร</v>
      </c>
      <c r="H1000" s="1" t="str">
        <f>IFERROR(__xludf.DUMMYFUNCTION("""COMPUTED_VALUE"""),"291061")</f>
        <v>291061</v>
      </c>
      <c r="I1000" s="1" t="str">
        <f>IFERROR(__xludf.DUMMYFUNCTION("""COMPUTED_VALUE"""),"นายสมศักดิ์ เสียงก้อง")</f>
        <v>นายสมศักดิ์ เสียงก้อง</v>
      </c>
      <c r="J1000" s="3">
        <f>IFERROR(__xludf.DUMMYFUNCTION("""COMPUTED_VALUE"""),296942.0)</f>
        <v>296942</v>
      </c>
      <c r="K1000" s="3" t="str">
        <f>IFERROR(__xludf.DUMMYFUNCTION("""COMPUTED_VALUE"""),"นายปิยะ รักษากิจ")</f>
        <v>นายปิยะ รักษากิจ</v>
      </c>
      <c r="L1000" s="1" t="str">
        <f>IFERROR(__xludf.DUMMYFUNCTION("""COMPUTED_VALUE"""),"07 K.Piya R.")</f>
        <v>07 K.Piya R.</v>
      </c>
      <c r="M1000" s="1" t="str">
        <f>IFERROR(__xludf.DUMMYFUNCTION("""COMPUTED_VALUE"""),"097-919-5476")</f>
        <v>097-919-5476</v>
      </c>
      <c r="N1000" s="3">
        <f>IFERROR(__xludf.DUMMYFUNCTION("""COMPUTED_VALUE"""),21332.0)</f>
        <v>21332</v>
      </c>
      <c r="O1000" s="3" t="str">
        <f>IFERROR(__xludf.DUMMYFUNCTION("""COMPUTED_VALUE"""),"MBC BCP อ่อนนุช 17/1")</f>
        <v>MBC BCP อ่อนนุช 17/1</v>
      </c>
      <c r="P1000" s="4">
        <f>IFERROR(__xludf.DUMMYFUNCTION("""COMPUTED_VALUE"""),43524.0)</f>
        <v>43524</v>
      </c>
      <c r="Q1000" s="3" t="str">
        <f>IFERROR(__xludf.DUMMYFUNCTION("""COMPUTED_VALUE"""),"A")</f>
        <v>A</v>
      </c>
      <c r="R1000" s="3" t="str">
        <f>IFERROR(__xludf.DUMMYFUNCTION("""COMPUTED_VALUE"""),"Small Format")</f>
        <v>Small Format</v>
      </c>
      <c r="S1000" s="3" t="str">
        <f>IFERROR(__xludf.DUMMYFUNCTION("""COMPUTED_VALUE"""),"BCM")</f>
        <v>BCM</v>
      </c>
      <c r="T1000" s="3" t="str">
        <f>IFERROR(__xludf.DUMMYFUNCTION("""COMPUTED_VALUE"""),"#N/A")</f>
        <v>#N/A</v>
      </c>
      <c r="U1000" s="3" t="str">
        <f>IFERROR(__xludf.DUMMYFUNCTION("""COMPUTED_VALUE"""),"#N/A")</f>
        <v>#N/A</v>
      </c>
      <c r="V1000" s="3" t="str">
        <f>IFERROR(__xludf.DUMMYFUNCTION("""COMPUTED_VALUE"""),"N")</f>
        <v>N</v>
      </c>
      <c r="W1000" s="3">
        <f>IFERROR(__xludf.DUMMYFUNCTION("""COMPUTED_VALUE"""),211703.0)</f>
        <v>211703</v>
      </c>
      <c r="X1000" s="3" t="str">
        <f>IFERROR(__xludf.DUMMYFUNCTION("""COMPUTED_VALUE"""),"183/88 หมู่ 11 ตำบลหนองขาม อำเภอศรีราชา จังหวัดชลบุรี 20230")</f>
        <v>183/88 หมู่ 11 ตำบลหนองขาม อำเภอศรีราชา จังหวัดชลบุรี 20230</v>
      </c>
      <c r="Y1000" s="3"/>
      <c r="Z1000" s="3" t="str">
        <f>IFERROR(__xludf.DUMMYFUNCTION("""COMPUTED_VALUE"""),"หนองขาม")</f>
        <v>หนองขาม</v>
      </c>
      <c r="AA1000" s="3" t="str">
        <f>IFERROR(__xludf.DUMMYFUNCTION("""COMPUTED_VALUE"""),"ศรีราชา")</f>
        <v>ศรีราชา</v>
      </c>
      <c r="AB1000" s="3" t="str">
        <f>IFERROR(__xludf.DUMMYFUNCTION("""COMPUTED_VALUE"""),"ชลบุรี")</f>
        <v>ชลบุรี</v>
      </c>
      <c r="AC1000" s="3">
        <f>IFERROR(__xludf.DUMMYFUNCTION("""COMPUTED_VALUE"""),20230.0)</f>
        <v>20230</v>
      </c>
      <c r="AD1000" s="3">
        <f>IFERROR(__xludf.DUMMYFUNCTION("""COMPUTED_VALUE"""),13.107596)</f>
        <v>13.107596</v>
      </c>
      <c r="AE1000" s="3">
        <f>IFERROR(__xludf.DUMMYFUNCTION("""COMPUTED_VALUE"""),100.96174)</f>
        <v>100.96174</v>
      </c>
      <c r="AF1000" s="3" t="str">
        <f>IFERROR(__xludf.DUMMYFUNCTION("""COMPUTED_VALUE"""),"MBC บ่อยาง-ชลบุรี-21771")</f>
        <v>MBC บ่อยาง-ชลบุรี-21771</v>
      </c>
      <c r="AG1000" s="3" t="str">
        <f>IFERROR(__xludf.DUMMYFUNCTION("""COMPUTED_VALUE"""),"ตะวันออก")</f>
        <v>ตะวันออก</v>
      </c>
      <c r="AH1000" s="3" t="str">
        <f>IFERROR(__xludf.DUMMYFUNCTION("""COMPUTED_VALUE"""),"#N/A")</f>
        <v>#N/A</v>
      </c>
      <c r="AI1000" s="3" t="str">
        <f>IFERROR(__xludf.DUMMYFUNCTION("""COMPUTED_VALUE"""),"Out of warranty")</f>
        <v>Out of warranty</v>
      </c>
      <c r="AJ1000" s="3">
        <f>IFERROR(__xludf.DUMMYFUNCTION("""COMPUTED_VALUE"""),83.0)</f>
        <v>83</v>
      </c>
      <c r="AK1000" s="3" t="str">
        <f>IFERROR(__xludf.DUMMYFUNCTION("""COMPUTED_VALUE"""),"MMS06")</f>
        <v>MMS06</v>
      </c>
      <c r="AL1000" s="3"/>
    </row>
    <row r="1001" ht="15.75" customHeight="1">
      <c r="A1001" s="1" t="str">
        <f>IFERROR(__xludf.DUMMYFUNCTION("""COMPUTED_VALUE"""),"21772")</f>
        <v>21772</v>
      </c>
      <c r="B1001" s="2">
        <f>IFERROR(__xludf.DUMMYFUNCTION("""COMPUTED_VALUE"""),21772.0)</f>
        <v>21772</v>
      </c>
      <c r="C1001" s="3" t="str">
        <f>IFERROR(__xludf.DUMMYFUNCTION("""COMPUTED_VALUE"""),"MBC โรงงานไลอ้อน สหพัฒน์")</f>
        <v>MBC โรงงานไลอ้อน สหพัฒน์</v>
      </c>
      <c r="D1001" s="3" t="str">
        <f>IFERROR(__xludf.DUMMYFUNCTION("""COMPUTED_VALUE"""),"BCM LION FACTORY SAHAPHAT")</f>
        <v>BCM LION FACTORY SAHAPHAT</v>
      </c>
      <c r="E1001" s="1" t="str">
        <f>IFERROR(__xludf.DUMMYFUNCTION("""COMPUTED_VALUE"""),"บิ๊กซี MINI")</f>
        <v>บิ๊กซี MINI</v>
      </c>
      <c r="F1001" s="1" t="str">
        <f>IFERROR(__xludf.DUMMYFUNCTION("""COMPUTED_VALUE"""),"221716")</f>
        <v>221716</v>
      </c>
      <c r="G1001" s="1" t="str">
        <f>IFERROR(__xludf.DUMMYFUNCTION("""COMPUTED_VALUE"""),"น.ส.เบญจพร โพธิสาร")</f>
        <v>น.ส.เบญจพร โพธิสาร</v>
      </c>
      <c r="H1001" s="1" t="str">
        <f>IFERROR(__xludf.DUMMYFUNCTION("""COMPUTED_VALUE"""),"291061")</f>
        <v>291061</v>
      </c>
      <c r="I1001" s="1" t="str">
        <f>IFERROR(__xludf.DUMMYFUNCTION("""COMPUTED_VALUE"""),"นายสมศักดิ์ เสียงก้อง")</f>
        <v>นายสมศักดิ์ เสียงก้อง</v>
      </c>
      <c r="J1001" s="3">
        <f>IFERROR(__xludf.DUMMYFUNCTION("""COMPUTED_VALUE"""),296942.0)</f>
        <v>296942</v>
      </c>
      <c r="K1001" s="3" t="str">
        <f>IFERROR(__xludf.DUMMYFUNCTION("""COMPUTED_VALUE"""),"นายปิยะ รักษากิจ")</f>
        <v>นายปิยะ รักษากิจ</v>
      </c>
      <c r="L1001" s="1" t="str">
        <f>IFERROR(__xludf.DUMMYFUNCTION("""COMPUTED_VALUE"""),"07 K.Piya R.")</f>
        <v>07 K.Piya R.</v>
      </c>
      <c r="M1001" s="1" t="str">
        <f>IFERROR(__xludf.DUMMYFUNCTION("""COMPUTED_VALUE"""),"097-919-5476")</f>
        <v>097-919-5476</v>
      </c>
      <c r="N1001" s="3">
        <f>IFERROR(__xludf.DUMMYFUNCTION("""COMPUTED_VALUE"""),21332.0)</f>
        <v>21332</v>
      </c>
      <c r="O1001" s="3" t="str">
        <f>IFERROR(__xludf.DUMMYFUNCTION("""COMPUTED_VALUE"""),"MBC BCP อ่อนนุช 17/1")</f>
        <v>MBC BCP อ่อนนุช 17/1</v>
      </c>
      <c r="P1001" s="4">
        <f>IFERROR(__xludf.DUMMYFUNCTION("""COMPUTED_VALUE"""),43524.0)</f>
        <v>43524</v>
      </c>
      <c r="Q1001" s="3" t="str">
        <f>IFERROR(__xludf.DUMMYFUNCTION("""COMPUTED_VALUE"""),"A")</f>
        <v>A</v>
      </c>
      <c r="R1001" s="3" t="str">
        <f>IFERROR(__xludf.DUMMYFUNCTION("""COMPUTED_VALUE"""),"Small Format")</f>
        <v>Small Format</v>
      </c>
      <c r="S1001" s="3" t="str">
        <f>IFERROR(__xludf.DUMMYFUNCTION("""COMPUTED_VALUE"""),"BCM")</f>
        <v>BCM</v>
      </c>
      <c r="T1001" s="3" t="str">
        <f>IFERROR(__xludf.DUMMYFUNCTION("""COMPUTED_VALUE"""),"#N/A")</f>
        <v>#N/A</v>
      </c>
      <c r="U1001" s="3" t="str">
        <f>IFERROR(__xludf.DUMMYFUNCTION("""COMPUTED_VALUE"""),"#N/A")</f>
        <v>#N/A</v>
      </c>
      <c r="V1001" s="3" t="str">
        <f>IFERROR(__xludf.DUMMYFUNCTION("""COMPUTED_VALUE"""),"N")</f>
        <v>N</v>
      </c>
      <c r="W1001" s="3">
        <f>IFERROR(__xludf.DUMMYFUNCTION("""COMPUTED_VALUE"""),211743.0)</f>
        <v>211743</v>
      </c>
      <c r="X1001" s="3" t="str">
        <f>IFERROR(__xludf.DUMMYFUNCTION("""COMPUTED_VALUE"""),"613/84 หมู่11 ตำบลหนองขาม อำเภอศรีราชา จังหวัดชลบุรี 20230")</f>
        <v>613/84 หมู่11 ตำบลหนองขาม อำเภอศรีราชา จังหวัดชลบุรี 20230</v>
      </c>
      <c r="Y1001" s="3"/>
      <c r="Z1001" s="3" t="str">
        <f>IFERROR(__xludf.DUMMYFUNCTION("""COMPUTED_VALUE"""),"หนองขาม")</f>
        <v>หนองขาม</v>
      </c>
      <c r="AA1001" s="3" t="str">
        <f>IFERROR(__xludf.DUMMYFUNCTION("""COMPUTED_VALUE"""),"ศรีราชา")</f>
        <v>ศรีราชา</v>
      </c>
      <c r="AB1001" s="3" t="str">
        <f>IFERROR(__xludf.DUMMYFUNCTION("""COMPUTED_VALUE"""),"ชลบุรี")</f>
        <v>ชลบุรี</v>
      </c>
      <c r="AC1001" s="3">
        <f>IFERROR(__xludf.DUMMYFUNCTION("""COMPUTED_VALUE"""),20230.0)</f>
        <v>20230</v>
      </c>
      <c r="AD1001" s="3">
        <f>IFERROR(__xludf.DUMMYFUNCTION("""COMPUTED_VALUE"""),13.102394)</f>
        <v>13.102394</v>
      </c>
      <c r="AE1001" s="3">
        <f>IFERROR(__xludf.DUMMYFUNCTION("""COMPUTED_VALUE"""),100.955687)</f>
        <v>100.955687</v>
      </c>
      <c r="AF1001" s="3" t="str">
        <f>IFERROR(__xludf.DUMMYFUNCTION("""COMPUTED_VALUE"""),"MBC โรงงานไลอ้อน สหพัฒน์-21772")</f>
        <v>MBC โรงงานไลอ้อน สหพัฒน์-21772</v>
      </c>
      <c r="AG1001" s="3" t="str">
        <f>IFERROR(__xludf.DUMMYFUNCTION("""COMPUTED_VALUE"""),"ตะวันออก")</f>
        <v>ตะวันออก</v>
      </c>
      <c r="AH1001" s="3" t="str">
        <f>IFERROR(__xludf.DUMMYFUNCTION("""COMPUTED_VALUE"""),"#N/A")</f>
        <v>#N/A</v>
      </c>
      <c r="AI1001" s="3" t="str">
        <f>IFERROR(__xludf.DUMMYFUNCTION("""COMPUTED_VALUE"""),"Out of warranty")</f>
        <v>Out of warranty</v>
      </c>
      <c r="AJ1001" s="3">
        <f>IFERROR(__xludf.DUMMYFUNCTION("""COMPUTED_VALUE"""),83.0)</f>
        <v>83</v>
      </c>
      <c r="AK1001" s="3" t="str">
        <f>IFERROR(__xludf.DUMMYFUNCTION("""COMPUTED_VALUE"""),"MMS06")</f>
        <v>MMS06</v>
      </c>
      <c r="AL1001" s="3"/>
    </row>
    <row r="1002" ht="15.75" customHeight="1">
      <c r="A1002" s="1" t="str">
        <f>IFERROR(__xludf.DUMMYFUNCTION("""COMPUTED_VALUE"""),"21773")</f>
        <v>21773</v>
      </c>
      <c r="B1002" s="2">
        <f>IFERROR(__xludf.DUMMYFUNCTION("""COMPUTED_VALUE"""),21773.0)</f>
        <v>21773</v>
      </c>
      <c r="C1002" s="3" t="str">
        <f>IFERROR(__xludf.DUMMYFUNCTION("""COMPUTED_VALUE"""),"MBC ตลาดเทศบาลสกลนคร สกลนคร")</f>
        <v>MBC ตลาดเทศบาลสกลนคร สกลนคร</v>
      </c>
      <c r="D1002" s="3" t="str">
        <f>IFERROR(__xludf.DUMMYFUNCTION("""COMPUTED_VALUE"""),"BCM TESSABAN SAKONNAKHON")</f>
        <v>BCM TESSABAN SAKONNAKHON</v>
      </c>
      <c r="E1002" s="1" t="str">
        <f>IFERROR(__xludf.DUMMYFUNCTION("""COMPUTED_VALUE"""),"บิ๊กซี MINI")</f>
        <v>บิ๊กซี MINI</v>
      </c>
      <c r="F1002" s="1" t="str">
        <f>IFERROR(__xludf.DUMMYFUNCTION("""COMPUTED_VALUE"""),"291105")</f>
        <v>291105</v>
      </c>
      <c r="G1002" s="1" t="str">
        <f>IFERROR(__xludf.DUMMYFUNCTION("""COMPUTED_VALUE"""),"นายสราวุฒิ พณิชยกุล")</f>
        <v>นายสราวุฒิ พณิชยกุล</v>
      </c>
      <c r="H1002" s="1" t="str">
        <f>IFERROR(__xludf.DUMMYFUNCTION("""COMPUTED_VALUE"""),"392885")</f>
        <v>392885</v>
      </c>
      <c r="I1002" s="1" t="str">
        <f>IFERROR(__xludf.DUMMYFUNCTION("""COMPUTED_VALUE"""),"น.ส.วราพร จันปลิว")</f>
        <v>น.ส.วราพร จันปลิว</v>
      </c>
      <c r="J1002" s="3">
        <f>IFERROR(__xludf.DUMMYFUNCTION("""COMPUTED_VALUE"""),296868.0)</f>
        <v>296868</v>
      </c>
      <c r="K1002" s="3" t="str">
        <f>IFERROR(__xludf.DUMMYFUNCTION("""COMPUTED_VALUE"""),"นายพีระพงษ์ แก้วดวงดี")</f>
        <v>นายพีระพงษ์ แก้วดวงดี</v>
      </c>
      <c r="L1002" s="1" t="str">
        <f>IFERROR(__xludf.DUMMYFUNCTION("""COMPUTED_VALUE"""),"03 K.Peerapong K.")</f>
        <v>03 K.Peerapong K.</v>
      </c>
      <c r="M1002" s="1" t="str">
        <f>IFERROR(__xludf.DUMMYFUNCTION("""COMPUTED_VALUE"""),"089-002-6599")</f>
        <v>089-002-6599</v>
      </c>
      <c r="N1002" s="3">
        <f>IFERROR(__xludf.DUMMYFUNCTION("""COMPUTED_VALUE"""),21946.0)</f>
        <v>21946</v>
      </c>
      <c r="O1002" s="3" t="str">
        <f>IFERROR(__xludf.DUMMYFUNCTION("""COMPUTED_VALUE"""),"MBC เซกา บึงกาฬ")</f>
        <v>MBC เซกา บึงกาฬ</v>
      </c>
      <c r="P1002" s="4">
        <f>IFERROR(__xludf.DUMMYFUNCTION("""COMPUTED_VALUE"""),43529.0)</f>
        <v>43529</v>
      </c>
      <c r="Q1002" s="3" t="str">
        <f>IFERROR(__xludf.DUMMYFUNCTION("""COMPUTED_VALUE"""),"A")</f>
        <v>A</v>
      </c>
      <c r="R1002" s="3" t="str">
        <f>IFERROR(__xludf.DUMMYFUNCTION("""COMPUTED_VALUE"""),"Small Format")</f>
        <v>Small Format</v>
      </c>
      <c r="S1002" s="3" t="str">
        <f>IFERROR(__xludf.DUMMYFUNCTION("""COMPUTED_VALUE"""),"BCM")</f>
        <v>BCM</v>
      </c>
      <c r="T1002" s="3" t="str">
        <f>IFERROR(__xludf.DUMMYFUNCTION("""COMPUTED_VALUE"""),"#N/A")</f>
        <v>#N/A</v>
      </c>
      <c r="U1002" s="3" t="str">
        <f>IFERROR(__xludf.DUMMYFUNCTION("""COMPUTED_VALUE"""),"#N/A")</f>
        <v>#N/A</v>
      </c>
      <c r="V1002" s="3" t="str">
        <f>IFERROR(__xludf.DUMMYFUNCTION("""COMPUTED_VALUE"""),"N")</f>
        <v>N</v>
      </c>
      <c r="W1002" s="3">
        <f>IFERROR(__xludf.DUMMYFUNCTION("""COMPUTED_VALUE"""),211681.0)</f>
        <v>211681</v>
      </c>
      <c r="X1002" s="3" t="str">
        <f>IFERROR(__xludf.DUMMYFUNCTION("""COMPUTED_VALUE"""),"1732/7-9 ถนนประชาราษฎร์ ตำบลธาตุเชิงชุม อำเภอเมืองสกลนคร จังหวัดสกลนคร 47000")</f>
        <v>1732/7-9 ถนนประชาราษฎร์ ตำบลธาตุเชิงชุม อำเภอเมืองสกลนคร จังหวัดสกลนคร 47000</v>
      </c>
      <c r="Y1002" s="3" t="str">
        <f>IFERROR(__xludf.DUMMYFUNCTION("""COMPUTED_VALUE"""),"ถนนประชาราษฎร์")</f>
        <v>ถนนประชาราษฎร์</v>
      </c>
      <c r="Z1002" s="3" t="str">
        <f>IFERROR(__xludf.DUMMYFUNCTION("""COMPUTED_VALUE"""),"ธาตุเชิงชุม")</f>
        <v>ธาตุเชิงชุม</v>
      </c>
      <c r="AA1002" s="3" t="str">
        <f>IFERROR(__xludf.DUMMYFUNCTION("""COMPUTED_VALUE"""),"เมือง")</f>
        <v>เมือง</v>
      </c>
      <c r="AB1002" s="3" t="str">
        <f>IFERROR(__xludf.DUMMYFUNCTION("""COMPUTED_VALUE"""),"สกลนคร")</f>
        <v>สกลนคร</v>
      </c>
      <c r="AC1002" s="3">
        <f>IFERROR(__xludf.DUMMYFUNCTION("""COMPUTED_VALUE"""),47000.0)</f>
        <v>47000</v>
      </c>
      <c r="AD1002" s="3">
        <f>IFERROR(__xludf.DUMMYFUNCTION("""COMPUTED_VALUE"""),17.160701)</f>
        <v>17.160701</v>
      </c>
      <c r="AE1002" s="3">
        <f>IFERROR(__xludf.DUMMYFUNCTION("""COMPUTED_VALUE"""),104.144704)</f>
        <v>104.144704</v>
      </c>
      <c r="AF1002" s="3" t="str">
        <f>IFERROR(__xludf.DUMMYFUNCTION("""COMPUTED_VALUE"""),"MBC ตลาดเทศบาลสกลนคร สกลนคร-21773")</f>
        <v>MBC ตลาดเทศบาลสกลนคร สกลนคร-21773</v>
      </c>
      <c r="AG1002" s="3" t="str">
        <f>IFERROR(__xludf.DUMMYFUNCTION("""COMPUTED_VALUE"""),"ตะวันออกเฉียงเหนือ")</f>
        <v>ตะวันออกเฉียงเหนือ</v>
      </c>
      <c r="AH1002" s="3" t="str">
        <f>IFERROR(__xludf.DUMMYFUNCTION("""COMPUTED_VALUE"""),"#N/A")</f>
        <v>#N/A</v>
      </c>
      <c r="AI1002" s="3" t="str">
        <f>IFERROR(__xludf.DUMMYFUNCTION("""COMPUTED_VALUE"""),"Out of warranty")</f>
        <v>Out of warranty</v>
      </c>
      <c r="AJ1002" s="3">
        <f>IFERROR(__xludf.DUMMYFUNCTION("""COMPUTED_VALUE"""),83.0)</f>
        <v>83</v>
      </c>
      <c r="AK1002" s="3" t="str">
        <f>IFERROR(__xludf.DUMMYFUNCTION("""COMPUTED_VALUE"""),"MMS12")</f>
        <v>MMS12</v>
      </c>
      <c r="AL1002" s="3"/>
    </row>
    <row r="1003" ht="15.75" customHeight="1">
      <c r="A1003" s="1" t="str">
        <f>IFERROR(__xludf.DUMMYFUNCTION("""COMPUTED_VALUE"""),"21774")</f>
        <v>21774</v>
      </c>
      <c r="B1003" s="2">
        <f>IFERROR(__xludf.DUMMYFUNCTION("""COMPUTED_VALUE"""),21774.0)</f>
        <v>21774</v>
      </c>
      <c r="C1003" s="3" t="str">
        <f>IFERROR(__xludf.DUMMYFUNCTION("""COMPUTED_VALUE"""),"MBC ซอยพยอม 19")</f>
        <v>MBC ซอยพยอม 19</v>
      </c>
      <c r="D1003" s="3" t="str">
        <f>IFERROR(__xludf.DUMMYFUNCTION("""COMPUTED_VALUE"""),"BCM SOI PHAYOM 19")</f>
        <v>BCM SOI PHAYOM 19</v>
      </c>
      <c r="E1003" s="1" t="str">
        <f>IFERROR(__xludf.DUMMYFUNCTION("""COMPUTED_VALUE"""),"บิ๊กซี MINI")</f>
        <v>บิ๊กซี MINI</v>
      </c>
      <c r="F1003" s="1" t="str">
        <f>IFERROR(__xludf.DUMMYFUNCTION("""COMPUTED_VALUE"""),"296229")</f>
        <v>296229</v>
      </c>
      <c r="G1003" s="1" t="str">
        <f>IFERROR(__xludf.DUMMYFUNCTION("""COMPUTED_VALUE"""),"นายทนงศักดิ์ บุญมา")</f>
        <v>นายทนงศักดิ์ บุญมา</v>
      </c>
      <c r="H1003" s="1" t="str">
        <f>IFERROR(__xludf.DUMMYFUNCTION("""COMPUTED_VALUE"""),"211363")</f>
        <v>211363</v>
      </c>
      <c r="I1003" s="1" t="str">
        <f>IFERROR(__xludf.DUMMYFUNCTION("""COMPUTED_VALUE"""),"นายสามารถ บุญลับ")</f>
        <v>นายสามารถ บุญลับ</v>
      </c>
      <c r="J1003" s="3">
        <f>IFERROR(__xludf.DUMMYFUNCTION("""COMPUTED_VALUE"""),46214.0)</f>
        <v>46214</v>
      </c>
      <c r="K1003" s="3" t="str">
        <f>IFERROR(__xludf.DUMMYFUNCTION("""COMPUTED_VALUE"""),"นายศักดิ์ชัย เด็ดดอกฟ้า")</f>
        <v>นายศักดิ์ชัย เด็ดดอกฟ้า</v>
      </c>
      <c r="L1003" s="1" t="str">
        <f>IFERROR(__xludf.DUMMYFUNCTION("""COMPUTED_VALUE"""),"02 K.Sakchai D")</f>
        <v>02 K.Sakchai D</v>
      </c>
      <c r="M1003" s="1" t="str">
        <f>IFERROR(__xludf.DUMMYFUNCTION("""COMPUTED_VALUE"""),"065-510-7376")</f>
        <v>065-510-7376</v>
      </c>
      <c r="N1003" s="3">
        <f>IFERROR(__xludf.DUMMYFUNCTION("""COMPUTED_VALUE"""),21714.0)</f>
        <v>21714</v>
      </c>
      <c r="O1003" s="3" t="str">
        <f>IFERROR(__xludf.DUMMYFUNCTION("""COMPUTED_VALUE"""),"MBC เอสโซ่ วัดโบสถ์")</f>
        <v>MBC เอสโซ่ วัดโบสถ์</v>
      </c>
      <c r="P1003" s="4">
        <f>IFERROR(__xludf.DUMMYFUNCTION("""COMPUTED_VALUE"""),43530.0)</f>
        <v>43530</v>
      </c>
      <c r="Q1003" s="3" t="str">
        <f>IFERROR(__xludf.DUMMYFUNCTION("""COMPUTED_VALUE"""),"A")</f>
        <v>A</v>
      </c>
      <c r="R1003" s="3" t="str">
        <f>IFERROR(__xludf.DUMMYFUNCTION("""COMPUTED_VALUE"""),"Small Format")</f>
        <v>Small Format</v>
      </c>
      <c r="S1003" s="3" t="str">
        <f>IFERROR(__xludf.DUMMYFUNCTION("""COMPUTED_VALUE"""),"BCM")</f>
        <v>BCM</v>
      </c>
      <c r="T1003" s="3" t="str">
        <f>IFERROR(__xludf.DUMMYFUNCTION("""COMPUTED_VALUE"""),"#N/A")</f>
        <v>#N/A</v>
      </c>
      <c r="U1003" s="3" t="str">
        <f>IFERROR(__xludf.DUMMYFUNCTION("""COMPUTED_VALUE"""),"#N/A")</f>
        <v>#N/A</v>
      </c>
      <c r="V1003" s="3" t="str">
        <f>IFERROR(__xludf.DUMMYFUNCTION("""COMPUTED_VALUE"""),"N")</f>
        <v>N</v>
      </c>
      <c r="W1003" s="3">
        <f>IFERROR(__xludf.DUMMYFUNCTION("""COMPUTED_VALUE"""),211700.0)</f>
        <v>211700</v>
      </c>
      <c r="X1003" s="3" t="str">
        <f>IFERROR(__xludf.DUMMYFUNCTION("""COMPUTED_VALUE"""),"53/8 หมู่4 ตำบลพยอม อำเภอวังน้อย จังหวัดพระนครศรีอยุธยา 13170")</f>
        <v>53/8 หมู่4 ตำบลพยอม อำเภอวังน้อย จังหวัดพระนครศรีอยุธยา 13170</v>
      </c>
      <c r="Y1003" s="3"/>
      <c r="Z1003" s="3" t="str">
        <f>IFERROR(__xludf.DUMMYFUNCTION("""COMPUTED_VALUE"""),"พยอม")</f>
        <v>พยอม</v>
      </c>
      <c r="AA1003" s="3" t="str">
        <f>IFERROR(__xludf.DUMMYFUNCTION("""COMPUTED_VALUE"""),"วังน้อย")</f>
        <v>วังน้อย</v>
      </c>
      <c r="AB1003" s="3" t="str">
        <f>IFERROR(__xludf.DUMMYFUNCTION("""COMPUTED_VALUE"""),"พระนครศรีอยุธยา")</f>
        <v>พระนครศรีอยุธยา</v>
      </c>
      <c r="AC1003" s="3">
        <f>IFERROR(__xludf.DUMMYFUNCTION("""COMPUTED_VALUE"""),13170.0)</f>
        <v>13170</v>
      </c>
      <c r="AD1003" s="3">
        <f>IFERROR(__xludf.DUMMYFUNCTION("""COMPUTED_VALUE"""),14.149458)</f>
        <v>14.149458</v>
      </c>
      <c r="AE1003" s="3">
        <f>IFERROR(__xludf.DUMMYFUNCTION("""COMPUTED_VALUE"""),100.631024)</f>
        <v>100.631024</v>
      </c>
      <c r="AF1003" s="3" t="str">
        <f>IFERROR(__xludf.DUMMYFUNCTION("""COMPUTED_VALUE"""),"MBC ซอยพยอม 19-21774")</f>
        <v>MBC ซอยพยอม 19-21774</v>
      </c>
      <c r="AG1003" s="3" t="str">
        <f>IFERROR(__xludf.DUMMYFUNCTION("""COMPUTED_VALUE"""),"กลาง")</f>
        <v>กลาง</v>
      </c>
      <c r="AH1003" s="3" t="str">
        <f>IFERROR(__xludf.DUMMYFUNCTION("""COMPUTED_VALUE"""),"#N/A")</f>
        <v>#N/A</v>
      </c>
      <c r="AI1003" s="3" t="str">
        <f>IFERROR(__xludf.DUMMYFUNCTION("""COMPUTED_VALUE"""),"Out of warranty")</f>
        <v>Out of warranty</v>
      </c>
      <c r="AJ1003" s="3">
        <f>IFERROR(__xludf.DUMMYFUNCTION("""COMPUTED_VALUE"""),83.0)</f>
        <v>83</v>
      </c>
      <c r="AK1003" s="3" t="str">
        <f>IFERROR(__xludf.DUMMYFUNCTION("""COMPUTED_VALUE"""),"MMS04")</f>
        <v>MMS04</v>
      </c>
      <c r="AL1003" s="3"/>
    </row>
    <row r="1004" ht="15.75" customHeight="1">
      <c r="A1004" s="1" t="str">
        <f>IFERROR(__xludf.DUMMYFUNCTION("""COMPUTED_VALUE"""),"21775")</f>
        <v>21775</v>
      </c>
      <c r="B1004" s="2">
        <f>IFERROR(__xludf.DUMMYFUNCTION("""COMPUTED_VALUE"""),21775.0)</f>
        <v>21775</v>
      </c>
      <c r="C1004" s="3" t="str">
        <f>IFERROR(__xludf.DUMMYFUNCTION("""COMPUTED_VALUE"""),"MBC อมตะ-ตลาดยิ่งรวย ชลบุรี")</f>
        <v>MBC อมตะ-ตลาดยิ่งรวย ชลบุรี</v>
      </c>
      <c r="D1004" s="3" t="str">
        <f>IFERROR(__xludf.DUMMYFUNCTION("""COMPUTED_VALUE"""),"BCM AMATA TALAD YINGRUAY")</f>
        <v>BCM AMATA TALAD YINGRUAY</v>
      </c>
      <c r="E1004" s="1" t="str">
        <f>IFERROR(__xludf.DUMMYFUNCTION("""COMPUTED_VALUE"""),"บิ๊กซี MINI")</f>
        <v>บิ๊กซี MINI</v>
      </c>
      <c r="F1004" s="1" t="str">
        <f>IFERROR(__xludf.DUMMYFUNCTION("""COMPUTED_VALUE"""),"221716")</f>
        <v>221716</v>
      </c>
      <c r="G1004" s="1" t="str">
        <f>IFERROR(__xludf.DUMMYFUNCTION("""COMPUTED_VALUE"""),"น.ส.เบญจพร โพธิสาร")</f>
        <v>น.ส.เบญจพร โพธิสาร</v>
      </c>
      <c r="H1004" s="1" t="str">
        <f>IFERROR(__xludf.DUMMYFUNCTION("""COMPUTED_VALUE"""),"034605")</f>
        <v>034605</v>
      </c>
      <c r="I1004" s="1" t="str">
        <f>IFERROR(__xludf.DUMMYFUNCTION("""COMPUTED_VALUE"""),"นายธรรมรัตน์ สุขเจริญ")</f>
        <v>นายธรรมรัตน์ สุขเจริญ</v>
      </c>
      <c r="J1004" s="3">
        <f>IFERROR(__xludf.DUMMYFUNCTION("""COMPUTED_VALUE"""),1.3461215E7)</f>
        <v>13461215</v>
      </c>
      <c r="K1004" s="3" t="str">
        <f>IFERROR(__xludf.DUMMYFUNCTION("""COMPUTED_VALUE"""),"นายธีรภัทร สังข์เงิน")</f>
        <v>นายธีรภัทร สังข์เงิน</v>
      </c>
      <c r="L1004" s="1" t="str">
        <f>IFERROR(__xludf.DUMMYFUNCTION("""COMPUTED_VALUE"""),"06 K.Teerapat")</f>
        <v>06 K.Teerapat</v>
      </c>
      <c r="M1004" s="1" t="str">
        <f>IFERROR(__xludf.DUMMYFUNCTION("""COMPUTED_VALUE"""),"063-601-6803")</f>
        <v>063-601-6803</v>
      </c>
      <c r="N1004" s="3">
        <f>IFERROR(__xludf.DUMMYFUNCTION("""COMPUTED_VALUE"""),22115.0)</f>
        <v>22115</v>
      </c>
      <c r="O1004" s="3" t="str">
        <f>IFERROR(__xludf.DUMMYFUNCTION("""COMPUTED_VALUE"""),"MBC เลี่ยงหนองมน ชลบุรี")</f>
        <v>MBC เลี่ยงหนองมน ชลบุรี</v>
      </c>
      <c r="P1004" s="4">
        <f>IFERROR(__xludf.DUMMYFUNCTION("""COMPUTED_VALUE"""),43533.0)</f>
        <v>43533</v>
      </c>
      <c r="Q1004" s="3" t="str">
        <f>IFERROR(__xludf.DUMMYFUNCTION("""COMPUTED_VALUE"""),"A")</f>
        <v>A</v>
      </c>
      <c r="R1004" s="3" t="str">
        <f>IFERROR(__xludf.DUMMYFUNCTION("""COMPUTED_VALUE"""),"Small Format")</f>
        <v>Small Format</v>
      </c>
      <c r="S1004" s="3" t="str">
        <f>IFERROR(__xludf.DUMMYFUNCTION("""COMPUTED_VALUE"""),"BCM")</f>
        <v>BCM</v>
      </c>
      <c r="T1004" s="3" t="str">
        <f>IFERROR(__xludf.DUMMYFUNCTION("""COMPUTED_VALUE"""),"#N/A")</f>
        <v>#N/A</v>
      </c>
      <c r="U1004" s="3" t="str">
        <f>IFERROR(__xludf.DUMMYFUNCTION("""COMPUTED_VALUE"""),"#N/A")</f>
        <v>#N/A</v>
      </c>
      <c r="V1004" s="3" t="str">
        <f>IFERROR(__xludf.DUMMYFUNCTION("""COMPUTED_VALUE"""),"N")</f>
        <v>N</v>
      </c>
      <c r="W1004" s="3">
        <f>IFERROR(__xludf.DUMMYFUNCTION("""COMPUTED_VALUE"""),211750.0)</f>
        <v>211750</v>
      </c>
      <c r="X1004" s="3" t="str">
        <f>IFERROR(__xludf.DUMMYFUNCTION("""COMPUTED_VALUE"""),"83,83/1-3 หมู่5 ตำบลดอนหัวฬ่อ อำเภอเมืองชลบุรี จังหวัดชลบุรี 20000")</f>
        <v>83,83/1-3 หมู่5 ตำบลดอนหัวฬ่อ อำเภอเมืองชลบุรี จังหวัดชลบุรี 20000</v>
      </c>
      <c r="Y1004" s="3"/>
      <c r="Z1004" s="3" t="str">
        <f>IFERROR(__xludf.DUMMYFUNCTION("""COMPUTED_VALUE"""),"ดอนหัวฬ่อ")</f>
        <v>ดอนหัวฬ่อ</v>
      </c>
      <c r="AA1004" s="3" t="str">
        <f>IFERROR(__xludf.DUMMYFUNCTION("""COMPUTED_VALUE"""),"เมือง")</f>
        <v>เมือง</v>
      </c>
      <c r="AB1004" s="3" t="str">
        <f>IFERROR(__xludf.DUMMYFUNCTION("""COMPUTED_VALUE"""),"ชลบุรี")</f>
        <v>ชลบุรี</v>
      </c>
      <c r="AC1004" s="3">
        <f>IFERROR(__xludf.DUMMYFUNCTION("""COMPUTED_VALUE"""),20000.0)</f>
        <v>20000</v>
      </c>
      <c r="AD1004" s="3">
        <f>IFERROR(__xludf.DUMMYFUNCTION("""COMPUTED_VALUE"""),13.426281)</f>
        <v>13.426281</v>
      </c>
      <c r="AE1004" s="3">
        <f>IFERROR(__xludf.DUMMYFUNCTION("""COMPUTED_VALUE"""),101.039995)</f>
        <v>101.039995</v>
      </c>
      <c r="AF1004" s="3" t="str">
        <f>IFERROR(__xludf.DUMMYFUNCTION("""COMPUTED_VALUE"""),"MBC อมตะ-ตลาดยิ่งรวย ชลบุรี-21775")</f>
        <v>MBC อมตะ-ตลาดยิ่งรวย ชลบุรี-21775</v>
      </c>
      <c r="AG1004" s="3" t="str">
        <f>IFERROR(__xludf.DUMMYFUNCTION("""COMPUTED_VALUE"""),"ตะวันออก")</f>
        <v>ตะวันออก</v>
      </c>
      <c r="AH1004" s="3" t="str">
        <f>IFERROR(__xludf.DUMMYFUNCTION("""COMPUTED_VALUE"""),"#N/A")</f>
        <v>#N/A</v>
      </c>
      <c r="AI1004" s="3" t="str">
        <f>IFERROR(__xludf.DUMMYFUNCTION("""COMPUTED_VALUE"""),"Out of warranty")</f>
        <v>Out of warranty</v>
      </c>
      <c r="AJ1004" s="3">
        <f>IFERROR(__xludf.DUMMYFUNCTION("""COMPUTED_VALUE"""),83.0)</f>
        <v>83</v>
      </c>
      <c r="AK1004" s="3" t="str">
        <f>IFERROR(__xludf.DUMMYFUNCTION("""COMPUTED_VALUE"""),"MMS06")</f>
        <v>MMS06</v>
      </c>
      <c r="AL1004" s="3"/>
    </row>
    <row r="1005" ht="15.75" customHeight="1">
      <c r="A1005" s="1" t="str">
        <f>IFERROR(__xludf.DUMMYFUNCTION("""COMPUTED_VALUE"""),"21776")</f>
        <v>21776</v>
      </c>
      <c r="B1005" s="2">
        <f>IFERROR(__xludf.DUMMYFUNCTION("""COMPUTED_VALUE"""),21776.0)</f>
        <v>21776</v>
      </c>
      <c r="C1005" s="3" t="str">
        <f>IFERROR(__xludf.DUMMYFUNCTION("""COMPUTED_VALUE"""),"MBC คาลเท็กซ์เทพารักษ์ สมุทรปราการ")</f>
        <v>MBC คาลเท็กซ์เทพารักษ์ สมุทรปราการ</v>
      </c>
      <c r="D1005" s="3" t="str">
        <f>IFERROR(__xludf.DUMMYFUNCTION("""COMPUTED_VALUE"""),"BCM CALTEX THEPHARAK")</f>
        <v>BCM CALTEX THEPHARAK</v>
      </c>
      <c r="E1005" s="1" t="str">
        <f>IFERROR(__xludf.DUMMYFUNCTION("""COMPUTED_VALUE"""),"บิ๊กซี MINI")</f>
        <v>บิ๊กซี MINI</v>
      </c>
      <c r="F1005" s="1" t="str">
        <f>IFERROR(__xludf.DUMMYFUNCTION("""COMPUTED_VALUE"""),"2083447")</f>
        <v>2083447</v>
      </c>
      <c r="G1005" s="1" t="str">
        <f>IFERROR(__xludf.DUMMYFUNCTION("""COMPUTED_VALUE"""),"นายอนุกูล ศรีลัดดา")</f>
        <v>นายอนุกูล ศรีลัดดา</v>
      </c>
      <c r="H1005" s="1" t="str">
        <f>IFERROR(__xludf.DUMMYFUNCTION("""COMPUTED_VALUE"""),"399107")</f>
        <v>399107</v>
      </c>
      <c r="I1005" s="1" t="str">
        <f>IFERROR(__xludf.DUMMYFUNCTION("""COMPUTED_VALUE"""),"นายรัชระวี กลมแป้น")</f>
        <v>นายรัชระวี กลมแป้น</v>
      </c>
      <c r="J1005" s="3">
        <f>IFERROR(__xludf.DUMMYFUNCTION("""COMPUTED_VALUE"""),510143.0)</f>
        <v>510143</v>
      </c>
      <c r="K1005" s="3" t="str">
        <f>IFERROR(__xludf.DUMMYFUNCTION("""COMPUTED_VALUE"""),"นายธีระวัฒน์ บุญสิทธิ์")</f>
        <v>นายธีระวัฒน์ บุญสิทธิ์</v>
      </c>
      <c r="L1005" s="1" t="str">
        <f>IFERROR(__xludf.DUMMYFUNCTION("""COMPUTED_VALUE"""),"12 K.Theerawat B.")</f>
        <v>12 K.Theerawat B.</v>
      </c>
      <c r="M1005" s="1" t="str">
        <f>IFERROR(__xludf.DUMMYFUNCTION("""COMPUTED_VALUE"""),"0655107379")</f>
        <v>0655107379</v>
      </c>
      <c r="N1005" s="3">
        <f>IFERROR(__xludf.DUMMYFUNCTION("""COMPUTED_VALUE"""),21062.0)</f>
        <v>21062</v>
      </c>
      <c r="O1005" s="3" t="str">
        <f>IFERROR(__xludf.DUMMYFUNCTION("""COMPUTED_VALUE"""),"MBC นิคมนวนคร")</f>
        <v>MBC นิคมนวนคร</v>
      </c>
      <c r="P1005" s="4">
        <f>IFERROR(__xludf.DUMMYFUNCTION("""COMPUTED_VALUE"""),43615.0)</f>
        <v>43615</v>
      </c>
      <c r="Q1005" s="3" t="str">
        <f>IFERROR(__xludf.DUMMYFUNCTION("""COMPUTED_VALUE"""),"A")</f>
        <v>A</v>
      </c>
      <c r="R1005" s="3" t="str">
        <f>IFERROR(__xludf.DUMMYFUNCTION("""COMPUTED_VALUE"""),"Small Format")</f>
        <v>Small Format</v>
      </c>
      <c r="S1005" s="3" t="str">
        <f>IFERROR(__xludf.DUMMYFUNCTION("""COMPUTED_VALUE"""),"BCM")</f>
        <v>BCM</v>
      </c>
      <c r="T1005" s="3" t="str">
        <f>IFERROR(__xludf.DUMMYFUNCTION("""COMPUTED_VALUE"""),"#N/A")</f>
        <v>#N/A</v>
      </c>
      <c r="U1005" s="3" t="str">
        <f>IFERROR(__xludf.DUMMYFUNCTION("""COMPUTED_VALUE"""),"#N/A")</f>
        <v>#N/A</v>
      </c>
      <c r="V1005" s="3" t="str">
        <f>IFERROR(__xludf.DUMMYFUNCTION("""COMPUTED_VALUE"""),"N")</f>
        <v>N</v>
      </c>
      <c r="W1005" s="3">
        <f>IFERROR(__xludf.DUMMYFUNCTION("""COMPUTED_VALUE"""),211776.0)</f>
        <v>211776</v>
      </c>
      <c r="X1005" s="3" t="str">
        <f>IFERROR(__xludf.DUMMYFUNCTION("""COMPUTED_VALUE"""),"2167 หมู่4 ตำบลเทพารักษ์ อำเภอเมืองสมุทรปราการ จังหวัดสมุทรปราการ 10270")</f>
        <v>2167 หมู่4 ตำบลเทพารักษ์ อำเภอเมืองสมุทรปราการ จังหวัดสมุทรปราการ 10270</v>
      </c>
      <c r="Y1005" s="3"/>
      <c r="Z1005" s="3" t="str">
        <f>IFERROR(__xludf.DUMMYFUNCTION("""COMPUTED_VALUE"""),"เทพารักษ์")</f>
        <v>เทพารักษ์</v>
      </c>
      <c r="AA1005" s="3" t="str">
        <f>IFERROR(__xludf.DUMMYFUNCTION("""COMPUTED_VALUE"""),"เมืองสมุทรปราการ")</f>
        <v>เมืองสมุทรปราการ</v>
      </c>
      <c r="AB1005" s="3" t="str">
        <f>IFERROR(__xludf.DUMMYFUNCTION("""COMPUTED_VALUE"""),"สมุทรปราการ")</f>
        <v>สมุทรปราการ</v>
      </c>
      <c r="AC1005" s="3">
        <f>IFERROR(__xludf.DUMMYFUNCTION("""COMPUTED_VALUE"""),10270.0)</f>
        <v>10270</v>
      </c>
      <c r="AD1005" s="3">
        <f>IFERROR(__xludf.DUMMYFUNCTION("""COMPUTED_VALUE"""),13.641038)</f>
        <v>13.641038</v>
      </c>
      <c r="AE1005" s="3">
        <f>IFERROR(__xludf.DUMMYFUNCTION("""COMPUTED_VALUE"""),100.604603)</f>
        <v>100.604603</v>
      </c>
      <c r="AF1005" s="3" t="str">
        <f>IFERROR(__xludf.DUMMYFUNCTION("""COMPUTED_VALUE"""),"MBC คาลเท็กซ์เทพารักษ์ สมุทรปราการ-21776")</f>
        <v>MBC คาลเท็กซ์เทพารักษ์ สมุทรปราการ-21776</v>
      </c>
      <c r="AG1005" s="3" t="str">
        <f>IFERROR(__xludf.DUMMYFUNCTION("""COMPUTED_VALUE"""),"กลาง")</f>
        <v>กลาง</v>
      </c>
      <c r="AH1005" s="3" t="str">
        <f>IFERROR(__xludf.DUMMYFUNCTION("""COMPUTED_VALUE"""),"#N/A")</f>
        <v>#N/A</v>
      </c>
      <c r="AI1005" s="3" t="str">
        <f>IFERROR(__xludf.DUMMYFUNCTION("""COMPUTED_VALUE"""),"Out of warranty")</f>
        <v>Out of warranty</v>
      </c>
      <c r="AJ1005" s="3">
        <f>IFERROR(__xludf.DUMMYFUNCTION("""COMPUTED_VALUE"""),80.0)</f>
        <v>80</v>
      </c>
      <c r="AK1005" s="3" t="str">
        <f>IFERROR(__xludf.DUMMYFUNCTION("""COMPUTED_VALUE"""),"MMS02")</f>
        <v>MMS02</v>
      </c>
      <c r="AL1005" s="3"/>
    </row>
    <row r="1006" ht="15.75" customHeight="1">
      <c r="A1006" s="1" t="str">
        <f>IFERROR(__xludf.DUMMYFUNCTION("""COMPUTED_VALUE"""),"21777")</f>
        <v>21777</v>
      </c>
      <c r="B1006" s="2">
        <f>IFERROR(__xludf.DUMMYFUNCTION("""COMPUTED_VALUE"""),21777.0)</f>
        <v>21777</v>
      </c>
      <c r="C1006" s="3" t="str">
        <f>IFERROR(__xludf.DUMMYFUNCTION("""COMPUTED_VALUE"""),"MBC พัทยาสาย 3 ชลบุรี")</f>
        <v>MBC พัทยาสาย 3 ชลบุรี</v>
      </c>
      <c r="D1006" s="3" t="str">
        <f>IFERROR(__xludf.DUMMYFUNCTION("""COMPUTED_VALUE"""),"BCM PATTAYA SAI 3,CHONBURI")</f>
        <v>BCM PATTAYA SAI 3,CHONBURI</v>
      </c>
      <c r="E1006" s="1" t="str">
        <f>IFERROR(__xludf.DUMMYFUNCTION("""COMPUTED_VALUE"""),"บิ๊กซี MINI")</f>
        <v>บิ๊กซี MINI</v>
      </c>
      <c r="F1006" s="1" t="str">
        <f>IFERROR(__xludf.DUMMYFUNCTION("""COMPUTED_VALUE"""),"221716")</f>
        <v>221716</v>
      </c>
      <c r="G1006" s="1" t="str">
        <f>IFERROR(__xludf.DUMMYFUNCTION("""COMPUTED_VALUE"""),"น.ส.เบญจพร โพธิสาร")</f>
        <v>น.ส.เบญจพร โพธิสาร</v>
      </c>
      <c r="H1006" s="1" t="str">
        <f>IFERROR(__xludf.DUMMYFUNCTION("""COMPUTED_VALUE"""),"313065")</f>
        <v>313065</v>
      </c>
      <c r="I1006" s="1" t="str">
        <f>IFERROR(__xludf.DUMMYFUNCTION("""COMPUTED_VALUE"""),"นายจิรายุทธ กันทา")</f>
        <v>นายจิรายุทธ กันทา</v>
      </c>
      <c r="J1006" s="3">
        <f>IFERROR(__xludf.DUMMYFUNCTION("""COMPUTED_VALUE"""),1.3461215E7)</f>
        <v>13461215</v>
      </c>
      <c r="K1006" s="3" t="str">
        <f>IFERROR(__xludf.DUMMYFUNCTION("""COMPUTED_VALUE"""),"นายธีรภัทร สังข์เงิน")</f>
        <v>นายธีรภัทร สังข์เงิน</v>
      </c>
      <c r="L1006" s="1" t="str">
        <f>IFERROR(__xludf.DUMMYFUNCTION("""COMPUTED_VALUE"""),"06 K.Teerapat")</f>
        <v>06 K.Teerapat</v>
      </c>
      <c r="M1006" s="1" t="str">
        <f>IFERROR(__xludf.DUMMYFUNCTION("""COMPUTED_VALUE"""),"063-601-6803")</f>
        <v>063-601-6803</v>
      </c>
      <c r="N1006" s="3">
        <f>IFERROR(__xludf.DUMMYFUNCTION("""COMPUTED_VALUE"""),22115.0)</f>
        <v>22115</v>
      </c>
      <c r="O1006" s="3" t="str">
        <f>IFERROR(__xludf.DUMMYFUNCTION("""COMPUTED_VALUE"""),"MBC เลี่ยงหนองมน ชลบุรี")</f>
        <v>MBC เลี่ยงหนองมน ชลบุรี</v>
      </c>
      <c r="P1006" s="4">
        <f>IFERROR(__xludf.DUMMYFUNCTION("""COMPUTED_VALUE"""),43553.0)</f>
        <v>43553</v>
      </c>
      <c r="Q1006" s="3" t="str">
        <f>IFERROR(__xludf.DUMMYFUNCTION("""COMPUTED_VALUE"""),"A")</f>
        <v>A</v>
      </c>
      <c r="R1006" s="3" t="str">
        <f>IFERROR(__xludf.DUMMYFUNCTION("""COMPUTED_VALUE"""),"Small Format")</f>
        <v>Small Format</v>
      </c>
      <c r="S1006" s="3" t="str">
        <f>IFERROR(__xludf.DUMMYFUNCTION("""COMPUTED_VALUE"""),"BCM")</f>
        <v>BCM</v>
      </c>
      <c r="T1006" s="3" t="str">
        <f>IFERROR(__xludf.DUMMYFUNCTION("""COMPUTED_VALUE"""),"#N/A")</f>
        <v>#N/A</v>
      </c>
      <c r="U1006" s="3" t="str">
        <f>IFERROR(__xludf.DUMMYFUNCTION("""COMPUTED_VALUE"""),"#N/A")</f>
        <v>#N/A</v>
      </c>
      <c r="V1006" s="3" t="str">
        <f>IFERROR(__xludf.DUMMYFUNCTION("""COMPUTED_VALUE"""),"N")</f>
        <v>N</v>
      </c>
      <c r="W1006" s="3">
        <f>IFERROR(__xludf.DUMMYFUNCTION("""COMPUTED_VALUE"""),211657.0)</f>
        <v>211657</v>
      </c>
      <c r="X1006" s="3" t="str">
        <f>IFERROR(__xludf.DUMMYFUNCTION("""COMPUTED_VALUE"""),"421/31 หมู่9 ตำบลหนองปรือ อำเภอบางละมุง จังหวัดชลบุรี 20150")</f>
        <v>421/31 หมู่9 ตำบลหนองปรือ อำเภอบางละมุง จังหวัดชลบุรี 20150</v>
      </c>
      <c r="Y1006" s="3"/>
      <c r="Z1006" s="3" t="str">
        <f>IFERROR(__xludf.DUMMYFUNCTION("""COMPUTED_VALUE"""),"หนองปรือ")</f>
        <v>หนองปรือ</v>
      </c>
      <c r="AA1006" s="3" t="str">
        <f>IFERROR(__xludf.DUMMYFUNCTION("""COMPUTED_VALUE"""),"บางละมุง")</f>
        <v>บางละมุง</v>
      </c>
      <c r="AB1006" s="3" t="str">
        <f>IFERROR(__xludf.DUMMYFUNCTION("""COMPUTED_VALUE"""),"ชลบุรี")</f>
        <v>ชลบุรี</v>
      </c>
      <c r="AC1006" s="3">
        <f>IFERROR(__xludf.DUMMYFUNCTION("""COMPUTED_VALUE"""),20150.0)</f>
        <v>20150</v>
      </c>
      <c r="AD1006" s="3">
        <f>IFERROR(__xludf.DUMMYFUNCTION("""COMPUTED_VALUE"""),12.930091)</f>
        <v>12.930091</v>
      </c>
      <c r="AE1006" s="3">
        <f>IFERROR(__xludf.DUMMYFUNCTION("""COMPUTED_VALUE"""),100.889395)</f>
        <v>100.889395</v>
      </c>
      <c r="AF1006" s="3" t="str">
        <f>IFERROR(__xludf.DUMMYFUNCTION("""COMPUTED_VALUE"""),"MBC พัทยาสาย 3 ชลบุรี-21777")</f>
        <v>MBC พัทยาสาย 3 ชลบุรี-21777</v>
      </c>
      <c r="AG1006" s="3" t="str">
        <f>IFERROR(__xludf.DUMMYFUNCTION("""COMPUTED_VALUE"""),"ตะวันออก")</f>
        <v>ตะวันออก</v>
      </c>
      <c r="AH1006" s="3" t="str">
        <f>IFERROR(__xludf.DUMMYFUNCTION("""COMPUTED_VALUE"""),"#N/A")</f>
        <v>#N/A</v>
      </c>
      <c r="AI1006" s="3" t="str">
        <f>IFERROR(__xludf.DUMMYFUNCTION("""COMPUTED_VALUE"""),"Out of warranty")</f>
        <v>Out of warranty</v>
      </c>
      <c r="AJ1006" s="3">
        <f>IFERROR(__xludf.DUMMYFUNCTION("""COMPUTED_VALUE"""),82.0)</f>
        <v>82</v>
      </c>
      <c r="AK1006" s="3" t="str">
        <f>IFERROR(__xludf.DUMMYFUNCTION("""COMPUTED_VALUE"""),"MMS06")</f>
        <v>MMS06</v>
      </c>
      <c r="AL1006" s="3"/>
    </row>
    <row r="1007" ht="15.75" customHeight="1">
      <c r="A1007" s="1" t="str">
        <f>IFERROR(__xludf.DUMMYFUNCTION("""COMPUTED_VALUE"""),"21778")</f>
        <v>21778</v>
      </c>
      <c r="B1007" s="2">
        <f>IFERROR(__xludf.DUMMYFUNCTION("""COMPUTED_VALUE"""),21778.0)</f>
        <v>21778</v>
      </c>
      <c r="C1007" s="3" t="str">
        <f>IFERROR(__xludf.DUMMYFUNCTION("""COMPUTED_VALUE"""),"MBC โป่ง ชลบุรี")</f>
        <v>MBC โป่ง ชลบุรี</v>
      </c>
      <c r="D1007" s="3" t="str">
        <f>IFERROR(__xludf.DUMMYFUNCTION("""COMPUTED_VALUE"""),"BCM PONG, CHONBURI")</f>
        <v>BCM PONG, CHONBURI</v>
      </c>
      <c r="E1007" s="1" t="str">
        <f>IFERROR(__xludf.DUMMYFUNCTION("""COMPUTED_VALUE"""),"บิ๊กซี MINI")</f>
        <v>บิ๊กซี MINI</v>
      </c>
      <c r="F1007" s="1" t="str">
        <f>IFERROR(__xludf.DUMMYFUNCTION("""COMPUTED_VALUE"""),"221716")</f>
        <v>221716</v>
      </c>
      <c r="G1007" s="1" t="str">
        <f>IFERROR(__xludf.DUMMYFUNCTION("""COMPUTED_VALUE"""),"น.ส.เบญจพร โพธิสาร")</f>
        <v>น.ส.เบญจพร โพธิสาร</v>
      </c>
      <c r="H1007" s="1" t="str">
        <f>IFERROR(__xludf.DUMMYFUNCTION("""COMPUTED_VALUE"""),"371384")</f>
        <v>371384</v>
      </c>
      <c r="I1007" s="1" t="str">
        <f>IFERROR(__xludf.DUMMYFUNCTION("""COMPUTED_VALUE"""),"น.ส.นิลเนตร สิงห์ทอง")</f>
        <v>น.ส.นิลเนตร สิงห์ทอง</v>
      </c>
      <c r="J1007" s="3">
        <f>IFERROR(__xludf.DUMMYFUNCTION("""COMPUTED_VALUE"""),2452376.0)</f>
        <v>2452376</v>
      </c>
      <c r="K1007" s="3" t="str">
        <f>IFERROR(__xludf.DUMMYFUNCTION("""COMPUTED_VALUE"""),"นายภาคภูมิ ทวีกุล")</f>
        <v>นายภาคภูมิ ทวีกุล</v>
      </c>
      <c r="L1007" s="1" t="str">
        <f>IFERROR(__xludf.DUMMYFUNCTION("""COMPUTED_VALUE"""),"08 K.Parkphum T.")</f>
        <v>08 K.Parkphum T.</v>
      </c>
      <c r="M1007" s="1" t="str">
        <f>IFERROR(__xludf.DUMMYFUNCTION("""COMPUTED_VALUE"""),"097-919-5476")</f>
        <v>097-919-5476</v>
      </c>
      <c r="N1007" s="3">
        <f>IFERROR(__xludf.DUMMYFUNCTION("""COMPUTED_VALUE"""),22028.0)</f>
        <v>22028</v>
      </c>
      <c r="O1007" s="3" t="str">
        <f>IFERROR(__xludf.DUMMYFUNCTION("""COMPUTED_VALUE"""),"MBC ทํบมา ระยอง")</f>
        <v>MBC ทํบมา ระยอง</v>
      </c>
      <c r="P1007" s="4">
        <f>IFERROR(__xludf.DUMMYFUNCTION("""COMPUTED_VALUE"""),43544.0)</f>
        <v>43544</v>
      </c>
      <c r="Q1007" s="3" t="str">
        <f>IFERROR(__xludf.DUMMYFUNCTION("""COMPUTED_VALUE"""),"A")</f>
        <v>A</v>
      </c>
      <c r="R1007" s="3" t="str">
        <f>IFERROR(__xludf.DUMMYFUNCTION("""COMPUTED_VALUE"""),"Small Format")</f>
        <v>Small Format</v>
      </c>
      <c r="S1007" s="3" t="str">
        <f>IFERROR(__xludf.DUMMYFUNCTION("""COMPUTED_VALUE"""),"BCM")</f>
        <v>BCM</v>
      </c>
      <c r="T1007" s="3" t="str">
        <f>IFERROR(__xludf.DUMMYFUNCTION("""COMPUTED_VALUE"""),"#N/A")</f>
        <v>#N/A</v>
      </c>
      <c r="U1007" s="3" t="str">
        <f>IFERROR(__xludf.DUMMYFUNCTION("""COMPUTED_VALUE"""),"#N/A")</f>
        <v>#N/A</v>
      </c>
      <c r="V1007" s="3" t="str">
        <f>IFERROR(__xludf.DUMMYFUNCTION("""COMPUTED_VALUE"""),"N")</f>
        <v>N</v>
      </c>
      <c r="W1007" s="3">
        <f>IFERROR(__xludf.DUMMYFUNCTION("""COMPUTED_VALUE"""),211741.0)</f>
        <v>211741</v>
      </c>
      <c r="X1007" s="3" t="str">
        <f>IFERROR(__xludf.DUMMYFUNCTION("""COMPUTED_VALUE"""),"2/1 หมู่3 ตำบลโป่ง อำเภอบางละมุง จังหวัดชลบุรี 20150")</f>
        <v>2/1 หมู่3 ตำบลโป่ง อำเภอบางละมุง จังหวัดชลบุรี 20150</v>
      </c>
      <c r="Y1007" s="3"/>
      <c r="Z1007" s="3" t="str">
        <f>IFERROR(__xludf.DUMMYFUNCTION("""COMPUTED_VALUE"""),"โป่ง")</f>
        <v>โป่ง</v>
      </c>
      <c r="AA1007" s="3" t="str">
        <f>IFERROR(__xludf.DUMMYFUNCTION("""COMPUTED_VALUE"""),"บางละมุง")</f>
        <v>บางละมุง</v>
      </c>
      <c r="AB1007" s="3" t="str">
        <f>IFERROR(__xludf.DUMMYFUNCTION("""COMPUTED_VALUE"""),"ชลบุรี")</f>
        <v>ชลบุรี</v>
      </c>
      <c r="AC1007" s="3">
        <f>IFERROR(__xludf.DUMMYFUNCTION("""COMPUTED_VALUE"""),20150.0)</f>
        <v>20150</v>
      </c>
      <c r="AD1007" s="3">
        <f>IFERROR(__xludf.DUMMYFUNCTION("""COMPUTED_VALUE"""),12.953049)</f>
        <v>12.953049</v>
      </c>
      <c r="AE1007" s="3">
        <f>IFERROR(__xludf.DUMMYFUNCTION("""COMPUTED_VALUE"""),100.984172)</f>
        <v>100.984172</v>
      </c>
      <c r="AF1007" s="3" t="str">
        <f>IFERROR(__xludf.DUMMYFUNCTION("""COMPUTED_VALUE"""),"MBC โป่ง ชลบุรี-21778")</f>
        <v>MBC โป่ง ชลบุรี-21778</v>
      </c>
      <c r="AG1007" s="3" t="str">
        <f>IFERROR(__xludf.DUMMYFUNCTION("""COMPUTED_VALUE"""),"ตะวันออก")</f>
        <v>ตะวันออก</v>
      </c>
      <c r="AH1007" s="3" t="str">
        <f>IFERROR(__xludf.DUMMYFUNCTION("""COMPUTED_VALUE"""),"#N/A")</f>
        <v>#N/A</v>
      </c>
      <c r="AI1007" s="3" t="str">
        <f>IFERROR(__xludf.DUMMYFUNCTION("""COMPUTED_VALUE"""),"Out of warranty")</f>
        <v>Out of warranty</v>
      </c>
      <c r="AJ1007" s="3">
        <f>IFERROR(__xludf.DUMMYFUNCTION("""COMPUTED_VALUE"""),83.0)</f>
        <v>83</v>
      </c>
      <c r="AK1007" s="3" t="str">
        <f>IFERROR(__xludf.DUMMYFUNCTION("""COMPUTED_VALUE"""),"MMS07")</f>
        <v>MMS07</v>
      </c>
      <c r="AL1007" s="3"/>
    </row>
    <row r="1008" ht="15.75" customHeight="1">
      <c r="A1008" s="1" t="str">
        <f>IFERROR(__xludf.DUMMYFUNCTION("""COMPUTED_VALUE"""),"21779")</f>
        <v>21779</v>
      </c>
      <c r="B1008" s="2">
        <f>IFERROR(__xludf.DUMMYFUNCTION("""COMPUTED_VALUE"""),21779.0)</f>
        <v>21779</v>
      </c>
      <c r="C1008" s="3" t="str">
        <f>IFERROR(__xludf.DUMMYFUNCTION("""COMPUTED_VALUE"""),"MBC คาลเท็กซ์บางพลี สมุทรปราการ")</f>
        <v>MBC คาลเท็กซ์บางพลี สมุทรปราการ</v>
      </c>
      <c r="D1008" s="3" t="str">
        <f>IFERROR(__xludf.DUMMYFUNCTION("""COMPUTED_VALUE"""),"BCM CALTEX BANG PHLI")</f>
        <v>BCM CALTEX BANG PHLI</v>
      </c>
      <c r="E1008" s="1" t="str">
        <f>IFERROR(__xludf.DUMMYFUNCTION("""COMPUTED_VALUE"""),"บิ๊กซี MINI")</f>
        <v>บิ๊กซี MINI</v>
      </c>
      <c r="F1008" s="1" t="str">
        <f>IFERROR(__xludf.DUMMYFUNCTION("""COMPUTED_VALUE"""),"2083447")</f>
        <v>2083447</v>
      </c>
      <c r="G1008" s="1" t="str">
        <f>IFERROR(__xludf.DUMMYFUNCTION("""COMPUTED_VALUE"""),"นายอนุกูล ศรีลัดดา")</f>
        <v>นายอนุกูล ศรีลัดดา</v>
      </c>
      <c r="H1008" s="1" t="str">
        <f>IFERROR(__xludf.DUMMYFUNCTION("""COMPUTED_VALUE"""),"284752")</f>
        <v>284752</v>
      </c>
      <c r="I1008" s="1" t="str">
        <f>IFERROR(__xludf.DUMMYFUNCTION("""COMPUTED_VALUE"""),"น.ส.วีรนันท์ แสงใส")</f>
        <v>น.ส.วีรนันท์ แสงใส</v>
      </c>
      <c r="J1008" s="3">
        <f>IFERROR(__xludf.DUMMYFUNCTION("""COMPUTED_VALUE"""),2451655.0)</f>
        <v>2451655</v>
      </c>
      <c r="K1008" s="3" t="str">
        <f>IFERROR(__xludf.DUMMYFUNCTION("""COMPUTED_VALUE"""),"นายวิษณุพงษ์ ชินบุตร")</f>
        <v>นายวิษณุพงษ์ ชินบุตร</v>
      </c>
      <c r="L1008" s="1" t="str">
        <f>IFERROR(__xludf.DUMMYFUNCTION("""COMPUTED_VALUE"""),"13 K.Wisanupong Ch")</f>
        <v>13 K.Wisanupong Ch</v>
      </c>
      <c r="M1008" s="1" t="str">
        <f>IFERROR(__xludf.DUMMYFUNCTION("""COMPUTED_VALUE"""),"0843374693")</f>
        <v>0843374693</v>
      </c>
      <c r="N1008" s="3">
        <f>IFERROR(__xludf.DUMMYFUNCTION("""COMPUTED_VALUE"""),22729.0)</f>
        <v>22729</v>
      </c>
      <c r="O1008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008" s="4">
        <f>IFERROR(__xludf.DUMMYFUNCTION("""COMPUTED_VALUE"""),43621.0)</f>
        <v>43621</v>
      </c>
      <c r="Q1008" s="3" t="str">
        <f>IFERROR(__xludf.DUMMYFUNCTION("""COMPUTED_VALUE"""),"A")</f>
        <v>A</v>
      </c>
      <c r="R1008" s="3" t="str">
        <f>IFERROR(__xludf.DUMMYFUNCTION("""COMPUTED_VALUE"""),"Small Format")</f>
        <v>Small Format</v>
      </c>
      <c r="S1008" s="3" t="str">
        <f>IFERROR(__xludf.DUMMYFUNCTION("""COMPUTED_VALUE"""),"BCM")</f>
        <v>BCM</v>
      </c>
      <c r="T1008" s="3" t="str">
        <f>IFERROR(__xludf.DUMMYFUNCTION("""COMPUTED_VALUE"""),"#N/A")</f>
        <v>#N/A</v>
      </c>
      <c r="U1008" s="3" t="str">
        <f>IFERROR(__xludf.DUMMYFUNCTION("""COMPUTED_VALUE"""),"#N/A")</f>
        <v>#N/A</v>
      </c>
      <c r="V1008" s="3" t="str">
        <f>IFERROR(__xludf.DUMMYFUNCTION("""COMPUTED_VALUE"""),"N")</f>
        <v>N</v>
      </c>
      <c r="W1008" s="3">
        <f>IFERROR(__xludf.DUMMYFUNCTION("""COMPUTED_VALUE"""),211762.0)</f>
        <v>211762</v>
      </c>
      <c r="X1008" s="3" t="str">
        <f>IFERROR(__xludf.DUMMYFUNCTION("""COMPUTED_VALUE"""),"567/2 หมู่12 ตำบลบางพลีใหญ่ อำเภอบางพลี จังหวัดสมุทรปราการ 10540")</f>
        <v>567/2 หมู่12 ตำบลบางพลีใหญ่ อำเภอบางพลี จังหวัดสมุทรปราการ 10540</v>
      </c>
      <c r="Y1008" s="3"/>
      <c r="Z1008" s="3" t="str">
        <f>IFERROR(__xludf.DUMMYFUNCTION("""COMPUTED_VALUE"""),"บางพลีใหญ่")</f>
        <v>บางพลีใหญ่</v>
      </c>
      <c r="AA1008" s="3" t="str">
        <f>IFERROR(__xludf.DUMMYFUNCTION("""COMPUTED_VALUE"""),"บางพลี")</f>
        <v>บางพลี</v>
      </c>
      <c r="AB1008" s="3" t="str">
        <f>IFERROR(__xludf.DUMMYFUNCTION("""COMPUTED_VALUE"""),"สมุทรปราการ")</f>
        <v>สมุทรปราการ</v>
      </c>
      <c r="AC1008" s="3">
        <f>IFERROR(__xludf.DUMMYFUNCTION("""COMPUTED_VALUE"""),10540.0)</f>
        <v>10540</v>
      </c>
      <c r="AD1008" s="3">
        <f>IFERROR(__xludf.DUMMYFUNCTION("""COMPUTED_VALUE"""),13.628465)</f>
        <v>13.628465</v>
      </c>
      <c r="AE1008" s="3">
        <f>IFERROR(__xludf.DUMMYFUNCTION("""COMPUTED_VALUE"""),100.707487)</f>
        <v>100.707487</v>
      </c>
      <c r="AF1008" s="3" t="str">
        <f>IFERROR(__xludf.DUMMYFUNCTION("""COMPUTED_VALUE"""),"MBC คาลเท็กซ์บางพลี สมุทรปราการ-21779")</f>
        <v>MBC คาลเท็กซ์บางพลี สมุทรปราการ-21779</v>
      </c>
      <c r="AG1008" s="3" t="str">
        <f>IFERROR(__xludf.DUMMYFUNCTION("""COMPUTED_VALUE"""),"กลาง")</f>
        <v>กลาง</v>
      </c>
      <c r="AH1008" s="3" t="str">
        <f>IFERROR(__xludf.DUMMYFUNCTION("""COMPUTED_VALUE"""),"#N/A")</f>
        <v>#N/A</v>
      </c>
      <c r="AI1008" s="3" t="str">
        <f>IFERROR(__xludf.DUMMYFUNCTION("""COMPUTED_VALUE"""),"Out of warranty")</f>
        <v>Out of warranty</v>
      </c>
      <c r="AJ1008" s="3">
        <f>IFERROR(__xludf.DUMMYFUNCTION("""COMPUTED_VALUE"""),80.0)</f>
        <v>80</v>
      </c>
      <c r="AK1008" s="3" t="str">
        <f>IFERROR(__xludf.DUMMYFUNCTION("""COMPUTED_VALUE"""),"MMS03")</f>
        <v>MMS03</v>
      </c>
      <c r="AL1008" s="3"/>
    </row>
    <row r="1009" ht="15.75" customHeight="1">
      <c r="A1009" s="1" t="str">
        <f>IFERROR(__xludf.DUMMYFUNCTION("""COMPUTED_VALUE"""),"21780")</f>
        <v>21780</v>
      </c>
      <c r="B1009" s="2">
        <f>IFERROR(__xludf.DUMMYFUNCTION("""COMPUTED_VALUE"""),21780.0)</f>
        <v>21780</v>
      </c>
      <c r="C1009" s="3" t="str">
        <f>IFERROR(__xludf.DUMMYFUNCTION("""COMPUTED_VALUE"""),"MBC ซอยทองหลาง ชลบุรี")</f>
        <v>MBC ซอยทองหลาง ชลบุรี</v>
      </c>
      <c r="D1009" s="3" t="str">
        <f>IFERROR(__xludf.DUMMYFUNCTION("""COMPUTED_VALUE"""),"BCM SOI THONG LHANG,CHONBURI")</f>
        <v>BCM SOI THONG LHANG,CHONBURI</v>
      </c>
      <c r="E1009" s="1" t="str">
        <f>IFERROR(__xludf.DUMMYFUNCTION("""COMPUTED_VALUE"""),"บิ๊กซี MINI")</f>
        <v>บิ๊กซี MINI</v>
      </c>
      <c r="F1009" s="1" t="str">
        <f>IFERROR(__xludf.DUMMYFUNCTION("""COMPUTED_VALUE"""),"221716")</f>
        <v>221716</v>
      </c>
      <c r="G1009" s="1" t="str">
        <f>IFERROR(__xludf.DUMMYFUNCTION("""COMPUTED_VALUE"""),"น.ส.เบญจพร โพธิสาร")</f>
        <v>น.ส.เบญจพร โพธิสาร</v>
      </c>
      <c r="H1009" s="1" t="str">
        <f>IFERROR(__xludf.DUMMYFUNCTION("""COMPUTED_VALUE"""),"034605")</f>
        <v>034605</v>
      </c>
      <c r="I1009" s="1" t="str">
        <f>IFERROR(__xludf.DUMMYFUNCTION("""COMPUTED_VALUE"""),"นายธรรมรัตน์ สุขเจริญ")</f>
        <v>นายธรรมรัตน์ สุขเจริญ</v>
      </c>
      <c r="J1009" s="3">
        <f>IFERROR(__xludf.DUMMYFUNCTION("""COMPUTED_VALUE"""),1.3461215E7)</f>
        <v>13461215</v>
      </c>
      <c r="K1009" s="3" t="str">
        <f>IFERROR(__xludf.DUMMYFUNCTION("""COMPUTED_VALUE"""),"นายธีรภัทร สังข์เงิน")</f>
        <v>นายธีรภัทร สังข์เงิน</v>
      </c>
      <c r="L1009" s="1" t="str">
        <f>IFERROR(__xludf.DUMMYFUNCTION("""COMPUTED_VALUE"""),"06 K.Teerapat")</f>
        <v>06 K.Teerapat</v>
      </c>
      <c r="M1009" s="1" t="str">
        <f>IFERROR(__xludf.DUMMYFUNCTION("""COMPUTED_VALUE"""),"063-601-6803")</f>
        <v>063-601-6803</v>
      </c>
      <c r="N1009" s="3">
        <f>IFERROR(__xludf.DUMMYFUNCTION("""COMPUTED_VALUE"""),22115.0)</f>
        <v>22115</v>
      </c>
      <c r="O1009" s="3" t="str">
        <f>IFERROR(__xludf.DUMMYFUNCTION("""COMPUTED_VALUE"""),"MBC เลี่ยงหนองมน ชลบุรี")</f>
        <v>MBC เลี่ยงหนองมน ชลบุรี</v>
      </c>
      <c r="P1009" s="4">
        <f>IFERROR(__xludf.DUMMYFUNCTION("""COMPUTED_VALUE"""),43551.0)</f>
        <v>43551</v>
      </c>
      <c r="Q1009" s="3" t="str">
        <f>IFERROR(__xludf.DUMMYFUNCTION("""COMPUTED_VALUE"""),"A")</f>
        <v>A</v>
      </c>
      <c r="R1009" s="3" t="str">
        <f>IFERROR(__xludf.DUMMYFUNCTION("""COMPUTED_VALUE"""),"Small Format")</f>
        <v>Small Format</v>
      </c>
      <c r="S1009" s="3" t="str">
        <f>IFERROR(__xludf.DUMMYFUNCTION("""COMPUTED_VALUE"""),"BCM")</f>
        <v>BCM</v>
      </c>
      <c r="T1009" s="3" t="str">
        <f>IFERROR(__xludf.DUMMYFUNCTION("""COMPUTED_VALUE"""),"#N/A")</f>
        <v>#N/A</v>
      </c>
      <c r="U1009" s="3" t="str">
        <f>IFERROR(__xludf.DUMMYFUNCTION("""COMPUTED_VALUE"""),"#N/A")</f>
        <v>#N/A</v>
      </c>
      <c r="V1009" s="3" t="str">
        <f>IFERROR(__xludf.DUMMYFUNCTION("""COMPUTED_VALUE"""),"N")</f>
        <v>N</v>
      </c>
      <c r="W1009" s="3">
        <f>IFERROR(__xludf.DUMMYFUNCTION("""COMPUTED_VALUE"""),211742.0)</f>
        <v>211742</v>
      </c>
      <c r="X1009" s="3" t="str">
        <f>IFERROR(__xludf.DUMMYFUNCTION("""COMPUTED_VALUE"""),"434/1 หมู่5 ตำบลคลองตำหรุ อำเภอเมืองชลบุรี จังหวัดชลบุรี 20000")</f>
        <v>434/1 หมู่5 ตำบลคลองตำหรุ อำเภอเมืองชลบุรี จังหวัดชลบุรี 20000</v>
      </c>
      <c r="Y1009" s="3"/>
      <c r="Z1009" s="3" t="str">
        <f>IFERROR(__xludf.DUMMYFUNCTION("""COMPUTED_VALUE"""),"คลองตำหรุ")</f>
        <v>คลองตำหรุ</v>
      </c>
      <c r="AA1009" s="3" t="str">
        <f>IFERROR(__xludf.DUMMYFUNCTION("""COMPUTED_VALUE"""),"เมือง")</f>
        <v>เมือง</v>
      </c>
      <c r="AB1009" s="3" t="str">
        <f>IFERROR(__xludf.DUMMYFUNCTION("""COMPUTED_VALUE"""),"ชลบุรี")</f>
        <v>ชลบุรี</v>
      </c>
      <c r="AC1009" s="3">
        <f>IFERROR(__xludf.DUMMYFUNCTION("""COMPUTED_VALUE"""),20000.0)</f>
        <v>20000</v>
      </c>
      <c r="AD1009" s="3">
        <f>IFERROR(__xludf.DUMMYFUNCTION("""COMPUTED_VALUE"""),13.418443)</f>
        <v>13.418443</v>
      </c>
      <c r="AE1009" s="3">
        <f>IFERROR(__xludf.DUMMYFUNCTION("""COMPUTED_VALUE"""),101.000389)</f>
        <v>101.000389</v>
      </c>
      <c r="AF1009" s="3" t="str">
        <f>IFERROR(__xludf.DUMMYFUNCTION("""COMPUTED_VALUE"""),"MBC ซอยทองหลาง ชลบุรี-21780")</f>
        <v>MBC ซอยทองหลาง ชลบุรี-21780</v>
      </c>
      <c r="AG1009" s="3" t="str">
        <f>IFERROR(__xludf.DUMMYFUNCTION("""COMPUTED_VALUE"""),"ตะวันออก")</f>
        <v>ตะวันออก</v>
      </c>
      <c r="AH1009" s="3" t="str">
        <f>IFERROR(__xludf.DUMMYFUNCTION("""COMPUTED_VALUE"""),"#N/A")</f>
        <v>#N/A</v>
      </c>
      <c r="AI1009" s="3" t="str">
        <f>IFERROR(__xludf.DUMMYFUNCTION("""COMPUTED_VALUE"""),"Out of warranty")</f>
        <v>Out of warranty</v>
      </c>
      <c r="AJ1009" s="3">
        <f>IFERROR(__xludf.DUMMYFUNCTION("""COMPUTED_VALUE"""),82.0)</f>
        <v>82</v>
      </c>
      <c r="AK1009" s="3" t="str">
        <f>IFERROR(__xludf.DUMMYFUNCTION("""COMPUTED_VALUE"""),"MMS06")</f>
        <v>MMS06</v>
      </c>
      <c r="AL1009" s="3"/>
    </row>
    <row r="1010" ht="15.75" customHeight="1">
      <c r="A1010" s="1" t="str">
        <f>IFERROR(__xludf.DUMMYFUNCTION("""COMPUTED_VALUE"""),"21781")</f>
        <v>21781</v>
      </c>
      <c r="B1010" s="2">
        <f>IFERROR(__xludf.DUMMYFUNCTION("""COMPUTED_VALUE"""),21781.0)</f>
        <v>21781</v>
      </c>
      <c r="C1010" s="3" t="str">
        <f>IFERROR(__xludf.DUMMYFUNCTION("""COMPUTED_VALUE"""),"MBC ตลาดนัดท่าแซะ ชุมพร")</f>
        <v>MBC ตลาดนัดท่าแซะ ชุมพร</v>
      </c>
      <c r="D1010" s="3" t="str">
        <f>IFERROR(__xludf.DUMMYFUNCTION("""COMPUTED_VALUE"""),"BCM TALAD NAT THA SAE")</f>
        <v>BCM TALAD NAT THA SAE</v>
      </c>
      <c r="E1010" s="1" t="str">
        <f>IFERROR(__xludf.DUMMYFUNCTION("""COMPUTED_VALUE"""),"บิ๊กซี MINI")</f>
        <v>บิ๊กซี MINI</v>
      </c>
      <c r="F1010" s="1" t="str">
        <f>IFERROR(__xludf.DUMMYFUNCTION("""COMPUTED_VALUE"""),"250760")</f>
        <v>250760</v>
      </c>
      <c r="G1010" s="1" t="str">
        <f>IFERROR(__xludf.DUMMYFUNCTION("""COMPUTED_VALUE"""),"นายประทวน สาราบรรณ์")</f>
        <v>นายประทวน สาราบรรณ์</v>
      </c>
      <c r="H1010" s="1" t="str">
        <f>IFERROR(__xludf.DUMMYFUNCTION("""COMPUTED_VALUE"""),"311437")</f>
        <v>311437</v>
      </c>
      <c r="I1010" s="1" t="str">
        <f>IFERROR(__xludf.DUMMYFUNCTION("""COMPUTED_VALUE"""),"นายฉัตรทพร รักวิเชียร")</f>
        <v>นายฉัตรทพร รักวิเชียร</v>
      </c>
      <c r="J1010" s="3">
        <f>IFERROR(__xludf.DUMMYFUNCTION("""COMPUTED_VALUE"""),25324.0)</f>
        <v>25324</v>
      </c>
      <c r="K1010" s="3" t="str">
        <f>IFERROR(__xludf.DUMMYFUNCTION("""COMPUTED_VALUE"""),"นายวิเชฎฐ์ ติรัตนะประคม")</f>
        <v>นายวิเชฎฐ์ ติรัตนะประคม</v>
      </c>
      <c r="L1010" s="1" t="str">
        <f>IFERROR(__xludf.DUMMYFUNCTION("""COMPUTED_VALUE"""),"14 K.Wichet T.")</f>
        <v>14 K.Wichet T.</v>
      </c>
      <c r="M1010" s="1" t="str">
        <f>IFERROR(__xludf.DUMMYFUNCTION("""COMPUTED_VALUE"""),"061-417-6569 / 086-445-5636")</f>
        <v>061-417-6569 / 086-445-5636</v>
      </c>
      <c r="N1010" s="3">
        <f>IFERROR(__xludf.DUMMYFUNCTION("""COMPUTED_VALUE"""),22658.0)</f>
        <v>22658</v>
      </c>
      <c r="O1010" s="3" t="str">
        <f>IFERROR(__xludf.DUMMYFUNCTION("""COMPUTED_VALUE"""),"BCM ถ.วิรัชหงษ์หยก ภูเก็ต")</f>
        <v>BCM ถ.วิรัชหงษ์หยก ภูเก็ต</v>
      </c>
      <c r="P1010" s="4">
        <f>IFERROR(__xludf.DUMMYFUNCTION("""COMPUTED_VALUE"""),43549.0)</f>
        <v>43549</v>
      </c>
      <c r="Q1010" s="3" t="str">
        <f>IFERROR(__xludf.DUMMYFUNCTION("""COMPUTED_VALUE"""),"A")</f>
        <v>A</v>
      </c>
      <c r="R1010" s="3" t="str">
        <f>IFERROR(__xludf.DUMMYFUNCTION("""COMPUTED_VALUE"""),"Small Format")</f>
        <v>Small Format</v>
      </c>
      <c r="S1010" s="3" t="str">
        <f>IFERROR(__xludf.DUMMYFUNCTION("""COMPUTED_VALUE"""),"BCM")</f>
        <v>BCM</v>
      </c>
      <c r="T1010" s="3" t="str">
        <f>IFERROR(__xludf.DUMMYFUNCTION("""COMPUTED_VALUE"""),"#N/A")</f>
        <v>#N/A</v>
      </c>
      <c r="U1010" s="3" t="str">
        <f>IFERROR(__xludf.DUMMYFUNCTION("""COMPUTED_VALUE"""),"#N/A")</f>
        <v>#N/A</v>
      </c>
      <c r="V1010" s="3" t="str">
        <f>IFERROR(__xludf.DUMMYFUNCTION("""COMPUTED_VALUE"""),"N")</f>
        <v>N</v>
      </c>
      <c r="W1010" s="3">
        <f>IFERROR(__xludf.DUMMYFUNCTION("""COMPUTED_VALUE"""),211771.0)</f>
        <v>211771</v>
      </c>
      <c r="X1010" s="3" t="str">
        <f>IFERROR(__xludf.DUMMYFUNCTION("""COMPUTED_VALUE"""),"118/18 หมู่6 ถนนเพชรเกษม-ท่าแซะฝั่งขวา ตำบลท่าแซะ อำเภอท่าแซะ จังหวัดชุมพร 86140")</f>
        <v>118/18 หมู่6 ถนนเพชรเกษม-ท่าแซะฝั่งขวา ตำบลท่าแซะ อำเภอท่าแซะ จังหวัดชุมพร 86140</v>
      </c>
      <c r="Y1010" s="3"/>
      <c r="Z1010" s="3" t="str">
        <f>IFERROR(__xludf.DUMMYFUNCTION("""COMPUTED_VALUE"""),"ท่าแซะ")</f>
        <v>ท่าแซะ</v>
      </c>
      <c r="AA1010" s="3" t="str">
        <f>IFERROR(__xludf.DUMMYFUNCTION("""COMPUTED_VALUE"""),"ท่าแซะ")</f>
        <v>ท่าแซะ</v>
      </c>
      <c r="AB1010" s="3" t="str">
        <f>IFERROR(__xludf.DUMMYFUNCTION("""COMPUTED_VALUE"""),"ชุมพร")</f>
        <v>ชุมพร</v>
      </c>
      <c r="AC1010" s="3">
        <f>IFERROR(__xludf.DUMMYFUNCTION("""COMPUTED_VALUE"""),86140.0)</f>
        <v>86140</v>
      </c>
      <c r="AD1010" s="3">
        <f>IFERROR(__xludf.DUMMYFUNCTION("""COMPUTED_VALUE"""),10.665178)</f>
        <v>10.665178</v>
      </c>
      <c r="AE1010" s="3">
        <f>IFERROR(__xludf.DUMMYFUNCTION("""COMPUTED_VALUE"""),99.175642)</f>
        <v>99.175642</v>
      </c>
      <c r="AF1010" s="3" t="str">
        <f>IFERROR(__xludf.DUMMYFUNCTION("""COMPUTED_VALUE"""),"MBC ตลาดนัดท่าแซะ ชุมพร-21781")</f>
        <v>MBC ตลาดนัดท่าแซะ ชุมพร-21781</v>
      </c>
      <c r="AG1010" s="3" t="str">
        <f>IFERROR(__xludf.DUMMYFUNCTION("""COMPUTED_VALUE"""),"ใต้")</f>
        <v>ใต้</v>
      </c>
      <c r="AH1010" s="3" t="str">
        <f>IFERROR(__xludf.DUMMYFUNCTION("""COMPUTED_VALUE"""),"#N/A")</f>
        <v>#N/A</v>
      </c>
      <c r="AI1010" s="3" t="str">
        <f>IFERROR(__xludf.DUMMYFUNCTION("""COMPUTED_VALUE"""),"Out of warranty")</f>
        <v>Out of warranty</v>
      </c>
      <c r="AJ1010" s="3">
        <f>IFERROR(__xludf.DUMMYFUNCTION("""COMPUTED_VALUE"""),82.0)</f>
        <v>82</v>
      </c>
      <c r="AK1010" s="3" t="str">
        <f>IFERROR(__xludf.DUMMYFUNCTION("""COMPUTED_VALUE"""),"MMS14")</f>
        <v>MMS14</v>
      </c>
      <c r="AL1010" s="3"/>
    </row>
    <row r="1011" ht="15.75" customHeight="1">
      <c r="A1011" s="1" t="str">
        <f>IFERROR(__xludf.DUMMYFUNCTION("""COMPUTED_VALUE"""),"21782")</f>
        <v>21782</v>
      </c>
      <c r="B1011" s="2">
        <f>IFERROR(__xludf.DUMMYFUNCTION("""COMPUTED_VALUE"""),21782.0)</f>
        <v>21782</v>
      </c>
      <c r="C1011" s="3" t="str">
        <f>IFERROR(__xludf.DUMMYFUNCTION("""COMPUTED_VALUE"""),"MBC ตลาดเย็นเทศบาลท่ายาง")</f>
        <v>MBC ตลาดเย็นเทศบาลท่ายาง</v>
      </c>
      <c r="D1011" s="3" t="str">
        <f>IFERROR(__xludf.DUMMYFUNCTION("""COMPUTED_VALUE"""),"BCM TALAD YENTESSABAN THAYANG")</f>
        <v>BCM TALAD YENTESSABAN THAYANG</v>
      </c>
      <c r="E1011" s="1" t="str">
        <f>IFERROR(__xludf.DUMMYFUNCTION("""COMPUTED_VALUE"""),"บิ๊กซี MINI")</f>
        <v>บิ๊กซี MINI</v>
      </c>
      <c r="F1011" s="1" t="str">
        <f>IFERROR(__xludf.DUMMYFUNCTION("""COMPUTED_VALUE"""),"250760")</f>
        <v>250760</v>
      </c>
      <c r="G1011" s="1" t="str">
        <f>IFERROR(__xludf.DUMMYFUNCTION("""COMPUTED_VALUE"""),"นายประทวน สาราบรรณ์")</f>
        <v>นายประทวน สาราบรรณ์</v>
      </c>
      <c r="H1011" s="1" t="str">
        <f>IFERROR(__xludf.DUMMYFUNCTION("""COMPUTED_VALUE"""),"394143")</f>
        <v>394143</v>
      </c>
      <c r="I1011" s="1" t="str">
        <f>IFERROR(__xludf.DUMMYFUNCTION("""COMPUTED_VALUE"""),"นายวิษณุ เพชรหัตถ์")</f>
        <v>นายวิษณุ เพชรหัตถ์</v>
      </c>
      <c r="J1011" s="3">
        <f>IFERROR(__xludf.DUMMYFUNCTION("""COMPUTED_VALUE"""),2.0470331E7)</f>
        <v>20470331</v>
      </c>
      <c r="K1011" s="3" t="str">
        <f>IFERROR(__xludf.DUMMYFUNCTION("""COMPUTED_VALUE"""),"นายสมชาย ลักษณะสุวรรณ")</f>
        <v>นายสมชาย ลักษณะสุวรรณ</v>
      </c>
      <c r="L1011" s="1" t="str">
        <f>IFERROR(__xludf.DUMMYFUNCTION("""COMPUTED_VALUE"""),"15 K.Somchai L")</f>
        <v>15 K.Somchai L</v>
      </c>
      <c r="M1011" s="1" t="str">
        <f>IFERROR(__xludf.DUMMYFUNCTION("""COMPUTED_VALUE"""),"0655107372")</f>
        <v>0655107372</v>
      </c>
      <c r="N1011" s="3">
        <f>IFERROR(__xludf.DUMMYFUNCTION("""COMPUTED_VALUE"""),21723.0)</f>
        <v>21723</v>
      </c>
      <c r="O101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011" s="4">
        <f>IFERROR(__xludf.DUMMYFUNCTION("""COMPUTED_VALUE"""),43662.0)</f>
        <v>43662</v>
      </c>
      <c r="Q1011" s="3" t="str">
        <f>IFERROR(__xludf.DUMMYFUNCTION("""COMPUTED_VALUE"""),"A")</f>
        <v>A</v>
      </c>
      <c r="R1011" s="3" t="str">
        <f>IFERROR(__xludf.DUMMYFUNCTION("""COMPUTED_VALUE"""),"Small Format")</f>
        <v>Small Format</v>
      </c>
      <c r="S1011" s="3" t="str">
        <f>IFERROR(__xludf.DUMMYFUNCTION("""COMPUTED_VALUE"""),"BCM")</f>
        <v>BCM</v>
      </c>
      <c r="T1011" s="3" t="str">
        <f>IFERROR(__xludf.DUMMYFUNCTION("""COMPUTED_VALUE"""),"#N/A")</f>
        <v>#N/A</v>
      </c>
      <c r="U1011" s="3" t="str">
        <f>IFERROR(__xludf.DUMMYFUNCTION("""COMPUTED_VALUE"""),"#N/A")</f>
        <v>#N/A</v>
      </c>
      <c r="V1011" s="3" t="str">
        <f>IFERROR(__xludf.DUMMYFUNCTION("""COMPUTED_VALUE"""),"N")</f>
        <v>N</v>
      </c>
      <c r="W1011" s="3">
        <f>IFERROR(__xludf.DUMMYFUNCTION("""COMPUTED_VALUE"""),211756.0)</f>
        <v>211756</v>
      </c>
      <c r="X1011" s="3" t="str">
        <f>IFERROR(__xludf.DUMMYFUNCTION("""COMPUTED_VALUE"""),"120,122 หมู่2 ถนนพระแสง ตำบลท่ายาง อำเภอทุ่งใหญ่ จังหวัดนครศรีธรรมราช 80240")</f>
        <v>120,122 หมู่2 ถนนพระแสง ตำบลท่ายาง อำเภอทุ่งใหญ่ จังหวัดนครศรีธรรมราช 80240</v>
      </c>
      <c r="Y1011" s="3"/>
      <c r="Z1011" s="3" t="str">
        <f>IFERROR(__xludf.DUMMYFUNCTION("""COMPUTED_VALUE"""),"ท่ายาง")</f>
        <v>ท่ายาง</v>
      </c>
      <c r="AA1011" s="3" t="str">
        <f>IFERROR(__xludf.DUMMYFUNCTION("""COMPUTED_VALUE"""),"ทุ่งใหญ่")</f>
        <v>ทุ่งใหญ่</v>
      </c>
      <c r="AB1011" s="3" t="str">
        <f>IFERROR(__xludf.DUMMYFUNCTION("""COMPUTED_VALUE"""),"นครศรีธรรมราช")</f>
        <v>นครศรีธรรมราช</v>
      </c>
      <c r="AC1011" s="3">
        <f>IFERROR(__xludf.DUMMYFUNCTION("""COMPUTED_VALUE"""),80240.0)</f>
        <v>80240</v>
      </c>
      <c r="AD1011" s="3">
        <f>IFERROR(__xludf.DUMMYFUNCTION("""COMPUTED_VALUE"""),8.305292)</f>
        <v>8.305292</v>
      </c>
      <c r="AE1011" s="3">
        <f>IFERROR(__xludf.DUMMYFUNCTION("""COMPUTED_VALUE"""),99.365981)</f>
        <v>99.365981</v>
      </c>
      <c r="AF1011" s="3" t="str">
        <f>IFERROR(__xludf.DUMMYFUNCTION("""COMPUTED_VALUE"""),"MBC ตลาดเย็นเทศบาลท่ายาง-21782")</f>
        <v>MBC ตลาดเย็นเทศบาลท่ายาง-21782</v>
      </c>
      <c r="AG1011" s="3" t="str">
        <f>IFERROR(__xludf.DUMMYFUNCTION("""COMPUTED_VALUE"""),"ใต้")</f>
        <v>ใต้</v>
      </c>
      <c r="AH1011" s="3" t="str">
        <f>IFERROR(__xludf.DUMMYFUNCTION("""COMPUTED_VALUE"""),"#N/A")</f>
        <v>#N/A</v>
      </c>
      <c r="AI1011" s="3" t="str">
        <f>IFERROR(__xludf.DUMMYFUNCTION("""COMPUTED_VALUE"""),"Out of warranty")</f>
        <v>Out of warranty</v>
      </c>
      <c r="AJ1011" s="3">
        <f>IFERROR(__xludf.DUMMYFUNCTION("""COMPUTED_VALUE"""),79.0)</f>
        <v>79</v>
      </c>
      <c r="AK1011" s="3" t="str">
        <f>IFERROR(__xludf.DUMMYFUNCTION("""COMPUTED_VALUE"""),"MMS15")</f>
        <v>MMS15</v>
      </c>
      <c r="AL1011" s="3"/>
    </row>
    <row r="1012" ht="15.75" customHeight="1">
      <c r="A1012" s="1" t="str">
        <f>IFERROR(__xludf.DUMMYFUNCTION("""COMPUTED_VALUE"""),"21783")</f>
        <v>21783</v>
      </c>
      <c r="B1012" s="2">
        <f>IFERROR(__xludf.DUMMYFUNCTION("""COMPUTED_VALUE"""),21783.0)</f>
        <v>21783</v>
      </c>
      <c r="C1012" s="3" t="str">
        <f>IFERROR(__xludf.DUMMYFUNCTION("""COMPUTED_VALUE"""),"MBC มาบยางพร-สะพานสี ระยอง")</f>
        <v>MBC มาบยางพร-สะพานสี ระยอง</v>
      </c>
      <c r="D1012" s="3" t="str">
        <f>IFERROR(__xludf.DUMMYFUNCTION("""COMPUTED_VALUE"""),"BCM MABYANGPORN-SAPHANSI")</f>
        <v>BCM MABYANGPORN-SAPHANSI</v>
      </c>
      <c r="E1012" s="1" t="str">
        <f>IFERROR(__xludf.DUMMYFUNCTION("""COMPUTED_VALUE"""),"บิ๊กซี MINI")</f>
        <v>บิ๊กซี MINI</v>
      </c>
      <c r="F1012" s="1" t="str">
        <f>IFERROR(__xludf.DUMMYFUNCTION("""COMPUTED_VALUE"""),"221716")</f>
        <v>221716</v>
      </c>
      <c r="G1012" s="1" t="str">
        <f>IFERROR(__xludf.DUMMYFUNCTION("""COMPUTED_VALUE"""),"น.ส.เบญจพร โพธิสาร")</f>
        <v>น.ส.เบญจพร โพธิสาร</v>
      </c>
      <c r="H1012" s="1" t="str">
        <f>IFERROR(__xludf.DUMMYFUNCTION("""COMPUTED_VALUE"""),"371384")</f>
        <v>371384</v>
      </c>
      <c r="I1012" s="1" t="str">
        <f>IFERROR(__xludf.DUMMYFUNCTION("""COMPUTED_VALUE"""),"น.ส.นิลเนตร สิงห์ทอง")</f>
        <v>น.ส.นิลเนตร สิงห์ทอง</v>
      </c>
      <c r="J1012" s="3">
        <f>IFERROR(__xludf.DUMMYFUNCTION("""COMPUTED_VALUE"""),2452376.0)</f>
        <v>2452376</v>
      </c>
      <c r="K1012" s="3" t="str">
        <f>IFERROR(__xludf.DUMMYFUNCTION("""COMPUTED_VALUE"""),"นายภาคภูมิ ทวีกุล")</f>
        <v>นายภาคภูมิ ทวีกุล</v>
      </c>
      <c r="L1012" s="1" t="str">
        <f>IFERROR(__xludf.DUMMYFUNCTION("""COMPUTED_VALUE"""),"08 K.Parkphum T.")</f>
        <v>08 K.Parkphum T.</v>
      </c>
      <c r="M1012" s="1" t="str">
        <f>IFERROR(__xludf.DUMMYFUNCTION("""COMPUTED_VALUE"""),"097-919-5476")</f>
        <v>097-919-5476</v>
      </c>
      <c r="N1012" s="3">
        <f>IFERROR(__xludf.DUMMYFUNCTION("""COMPUTED_VALUE"""),22028.0)</f>
        <v>22028</v>
      </c>
      <c r="O1012" s="3" t="str">
        <f>IFERROR(__xludf.DUMMYFUNCTION("""COMPUTED_VALUE"""),"MBC ทํบมา ระยอง")</f>
        <v>MBC ทํบมา ระยอง</v>
      </c>
      <c r="P1012" s="4">
        <f>IFERROR(__xludf.DUMMYFUNCTION("""COMPUTED_VALUE"""),43550.0)</f>
        <v>43550</v>
      </c>
      <c r="Q1012" s="3" t="str">
        <f>IFERROR(__xludf.DUMMYFUNCTION("""COMPUTED_VALUE"""),"A")</f>
        <v>A</v>
      </c>
      <c r="R1012" s="3" t="str">
        <f>IFERROR(__xludf.DUMMYFUNCTION("""COMPUTED_VALUE"""),"Small Format")</f>
        <v>Small Format</v>
      </c>
      <c r="S1012" s="3" t="str">
        <f>IFERROR(__xludf.DUMMYFUNCTION("""COMPUTED_VALUE"""),"BCM")</f>
        <v>BCM</v>
      </c>
      <c r="T1012" s="3" t="str">
        <f>IFERROR(__xludf.DUMMYFUNCTION("""COMPUTED_VALUE"""),"#N/A")</f>
        <v>#N/A</v>
      </c>
      <c r="U1012" s="3" t="str">
        <f>IFERROR(__xludf.DUMMYFUNCTION("""COMPUTED_VALUE"""),"#N/A")</f>
        <v>#N/A</v>
      </c>
      <c r="V1012" s="3" t="str">
        <f>IFERROR(__xludf.DUMMYFUNCTION("""COMPUTED_VALUE"""),"N")</f>
        <v>N</v>
      </c>
      <c r="W1012" s="3">
        <f>IFERROR(__xludf.DUMMYFUNCTION("""COMPUTED_VALUE"""),211778.0)</f>
        <v>211778</v>
      </c>
      <c r="X1012" s="3" t="str">
        <f>IFERROR(__xludf.DUMMYFUNCTION("""COMPUTED_VALUE"""),"127 หมู่4 ตำบลมาบยางพร อำเภอปลวกแดง จังหวัดระยอง 21140")</f>
        <v>127 หมู่4 ตำบลมาบยางพร อำเภอปลวกแดง จังหวัดระยอง 21140</v>
      </c>
      <c r="Y1012" s="3"/>
      <c r="Z1012" s="3" t="str">
        <f>IFERROR(__xludf.DUMMYFUNCTION("""COMPUTED_VALUE"""),"มาบยางพร")</f>
        <v>มาบยางพร</v>
      </c>
      <c r="AA1012" s="3" t="str">
        <f>IFERROR(__xludf.DUMMYFUNCTION("""COMPUTED_VALUE"""),"ปลวกแดง")</f>
        <v>ปลวกแดง</v>
      </c>
      <c r="AB1012" s="3" t="str">
        <f>IFERROR(__xludf.DUMMYFUNCTION("""COMPUTED_VALUE"""),"ระยอง")</f>
        <v>ระยอง</v>
      </c>
      <c r="AC1012" s="3">
        <f>IFERROR(__xludf.DUMMYFUNCTION("""COMPUTED_VALUE"""),21140.0)</f>
        <v>21140</v>
      </c>
      <c r="AD1012" s="3">
        <f>IFERROR(__xludf.DUMMYFUNCTION("""COMPUTED_VALUE"""),13.017366)</f>
        <v>13.017366</v>
      </c>
      <c r="AE1012" s="3">
        <f>IFERROR(__xludf.DUMMYFUNCTION("""COMPUTED_VALUE"""),101.117784)</f>
        <v>101.117784</v>
      </c>
      <c r="AF1012" s="3" t="str">
        <f>IFERROR(__xludf.DUMMYFUNCTION("""COMPUTED_VALUE"""),"MBC มาบยางพร-สะพานสี ระยอง-21783")</f>
        <v>MBC มาบยางพร-สะพานสี ระยอง-21783</v>
      </c>
      <c r="AG1012" s="3" t="str">
        <f>IFERROR(__xludf.DUMMYFUNCTION("""COMPUTED_VALUE"""),"ตะวันออก")</f>
        <v>ตะวันออก</v>
      </c>
      <c r="AH1012" s="3" t="str">
        <f>IFERROR(__xludf.DUMMYFUNCTION("""COMPUTED_VALUE"""),"#N/A")</f>
        <v>#N/A</v>
      </c>
      <c r="AI1012" s="3" t="str">
        <f>IFERROR(__xludf.DUMMYFUNCTION("""COMPUTED_VALUE"""),"Out of warranty")</f>
        <v>Out of warranty</v>
      </c>
      <c r="AJ1012" s="3">
        <f>IFERROR(__xludf.DUMMYFUNCTION("""COMPUTED_VALUE"""),82.0)</f>
        <v>82</v>
      </c>
      <c r="AK1012" s="3" t="str">
        <f>IFERROR(__xludf.DUMMYFUNCTION("""COMPUTED_VALUE"""),"MMS07")</f>
        <v>MMS07</v>
      </c>
      <c r="AL1012" s="3"/>
    </row>
    <row r="1013" ht="15.75" customHeight="1">
      <c r="A1013" s="1" t="str">
        <f>IFERROR(__xludf.DUMMYFUNCTION("""COMPUTED_VALUE"""),"21784")</f>
        <v>21784</v>
      </c>
      <c r="B1013" s="2">
        <f>IFERROR(__xludf.DUMMYFUNCTION("""COMPUTED_VALUE"""),21784.0)</f>
        <v>21784</v>
      </c>
      <c r="C1013" s="3" t="str">
        <f>IFERROR(__xludf.DUMMYFUNCTION("""COMPUTED_VALUE"""),"MBC บ้านอ่าวน้ำเมา กระบี่")</f>
        <v>MBC บ้านอ่าวน้ำเมา กระบี่</v>
      </c>
      <c r="D1013" s="3" t="str">
        <f>IFERROR(__xludf.DUMMYFUNCTION("""COMPUTED_VALUE"""),"BCM BAN AO NAM MAO")</f>
        <v>BCM BAN AO NAM MAO</v>
      </c>
      <c r="E1013" s="1" t="str">
        <f>IFERROR(__xludf.DUMMYFUNCTION("""COMPUTED_VALUE"""),"บิ๊กซี MINI")</f>
        <v>บิ๊กซี MINI</v>
      </c>
      <c r="F1013" s="1" t="str">
        <f>IFERROR(__xludf.DUMMYFUNCTION("""COMPUTED_VALUE"""),"250760")</f>
        <v>250760</v>
      </c>
      <c r="G1013" s="1" t="str">
        <f>IFERROR(__xludf.DUMMYFUNCTION("""COMPUTED_VALUE"""),"นายประทวน สาราบรรณ์")</f>
        <v>นายประทวน สาราบรรณ์</v>
      </c>
      <c r="H1013" s="1" t="str">
        <f>IFERROR(__xludf.DUMMYFUNCTION("""COMPUTED_VALUE"""),"394143")</f>
        <v>394143</v>
      </c>
      <c r="I1013" s="1" t="str">
        <f>IFERROR(__xludf.DUMMYFUNCTION("""COMPUTED_VALUE"""),"นายวิษณุ เพชรหัตถ์")</f>
        <v>นายวิษณุ เพชรหัตถ์</v>
      </c>
      <c r="J1013" s="3">
        <f>IFERROR(__xludf.DUMMYFUNCTION("""COMPUTED_VALUE"""),2.0470331E7)</f>
        <v>20470331</v>
      </c>
      <c r="K1013" s="3" t="str">
        <f>IFERROR(__xludf.DUMMYFUNCTION("""COMPUTED_VALUE"""),"นายสมชาย ลักษณะสุวรรณ")</f>
        <v>นายสมชาย ลักษณะสุวรรณ</v>
      </c>
      <c r="L1013" s="1" t="str">
        <f>IFERROR(__xludf.DUMMYFUNCTION("""COMPUTED_VALUE"""),"15 K.Somchai L")</f>
        <v>15 K.Somchai L</v>
      </c>
      <c r="M1013" s="1" t="str">
        <f>IFERROR(__xludf.DUMMYFUNCTION("""COMPUTED_VALUE"""),"0655107372")</f>
        <v>0655107372</v>
      </c>
      <c r="N1013" s="3">
        <f>IFERROR(__xludf.DUMMYFUNCTION("""COMPUTED_VALUE"""),21723.0)</f>
        <v>21723</v>
      </c>
      <c r="O1013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013" s="4">
        <f>IFERROR(__xludf.DUMMYFUNCTION("""COMPUTED_VALUE"""),43602.0)</f>
        <v>43602</v>
      </c>
      <c r="Q1013" s="3" t="str">
        <f>IFERROR(__xludf.DUMMYFUNCTION("""COMPUTED_VALUE"""),"A")</f>
        <v>A</v>
      </c>
      <c r="R1013" s="3" t="str">
        <f>IFERROR(__xludf.DUMMYFUNCTION("""COMPUTED_VALUE"""),"Small Format")</f>
        <v>Small Format</v>
      </c>
      <c r="S1013" s="3" t="str">
        <f>IFERROR(__xludf.DUMMYFUNCTION("""COMPUTED_VALUE"""),"BCM")</f>
        <v>BCM</v>
      </c>
      <c r="T1013" s="3" t="str">
        <f>IFERROR(__xludf.DUMMYFUNCTION("""COMPUTED_VALUE"""),"#N/A")</f>
        <v>#N/A</v>
      </c>
      <c r="U1013" s="3" t="str">
        <f>IFERROR(__xludf.DUMMYFUNCTION("""COMPUTED_VALUE"""),"#N/A")</f>
        <v>#N/A</v>
      </c>
      <c r="V1013" s="3" t="str">
        <f>IFERROR(__xludf.DUMMYFUNCTION("""COMPUTED_VALUE"""),"N")</f>
        <v>N</v>
      </c>
      <c r="W1013" s="3">
        <f>IFERROR(__xludf.DUMMYFUNCTION("""COMPUTED_VALUE"""),211772.0)</f>
        <v>211772</v>
      </c>
      <c r="X1013" s="3" t="str">
        <f>IFERROR(__xludf.DUMMYFUNCTION("""COMPUTED_VALUE"""),"130 หมู่5 ตำบลไสไทย อำเภอเมืองกระบี่ จังหวัดกระบี่ 81000")</f>
        <v>130 หมู่5 ตำบลไสไทย อำเภอเมืองกระบี่ จังหวัดกระบี่ 81000</v>
      </c>
      <c r="Y1013" s="3"/>
      <c r="Z1013" s="3" t="str">
        <f>IFERROR(__xludf.DUMMYFUNCTION("""COMPUTED_VALUE"""),"ไสไทย")</f>
        <v>ไสไทย</v>
      </c>
      <c r="AA1013" s="3" t="str">
        <f>IFERROR(__xludf.DUMMYFUNCTION("""COMPUTED_VALUE"""),"เมือง")</f>
        <v>เมือง</v>
      </c>
      <c r="AB1013" s="3" t="str">
        <f>IFERROR(__xludf.DUMMYFUNCTION("""COMPUTED_VALUE"""),"กระบี่")</f>
        <v>กระบี่</v>
      </c>
      <c r="AC1013" s="3">
        <f>IFERROR(__xludf.DUMMYFUNCTION("""COMPUTED_VALUE"""),81000.0)</f>
        <v>81000</v>
      </c>
      <c r="AD1013" s="3">
        <f>IFERROR(__xludf.DUMMYFUNCTION("""COMPUTED_VALUE"""),8.032281)</f>
        <v>8.032281</v>
      </c>
      <c r="AE1013" s="3">
        <f>IFERROR(__xludf.DUMMYFUNCTION("""COMPUTED_VALUE"""),98.862308)</f>
        <v>98.862308</v>
      </c>
      <c r="AF1013" s="3" t="str">
        <f>IFERROR(__xludf.DUMMYFUNCTION("""COMPUTED_VALUE"""),"MBC บ้านอ่าวน้ำเมา กระบี่-21784")</f>
        <v>MBC บ้านอ่าวน้ำเมา กระบี่-21784</v>
      </c>
      <c r="AG1013" s="3" t="str">
        <f>IFERROR(__xludf.DUMMYFUNCTION("""COMPUTED_VALUE"""),"ใต้")</f>
        <v>ใต้</v>
      </c>
      <c r="AH1013" s="3" t="str">
        <f>IFERROR(__xludf.DUMMYFUNCTION("""COMPUTED_VALUE"""),"#N/A")</f>
        <v>#N/A</v>
      </c>
      <c r="AI1013" s="3" t="str">
        <f>IFERROR(__xludf.DUMMYFUNCTION("""COMPUTED_VALUE"""),"Out of warranty")</f>
        <v>Out of warranty</v>
      </c>
      <c r="AJ1013" s="3">
        <f>IFERROR(__xludf.DUMMYFUNCTION("""COMPUTED_VALUE"""),81.0)</f>
        <v>81</v>
      </c>
      <c r="AK1013" s="3" t="str">
        <f>IFERROR(__xludf.DUMMYFUNCTION("""COMPUTED_VALUE"""),"MMS15")</f>
        <v>MMS15</v>
      </c>
      <c r="AL1013" s="3"/>
    </row>
    <row r="1014" ht="15.75" customHeight="1">
      <c r="A1014" s="1" t="str">
        <f>IFERROR(__xludf.DUMMYFUNCTION("""COMPUTED_VALUE"""),"21785")</f>
        <v>21785</v>
      </c>
      <c r="B1014" s="2">
        <f>IFERROR(__xludf.DUMMYFUNCTION("""COMPUTED_VALUE"""),21785.0)</f>
        <v>21785</v>
      </c>
      <c r="C1014" s="3" t="str">
        <f>IFERROR(__xludf.DUMMYFUNCTION("""COMPUTED_VALUE"""),"MBC หัวถนน ชลบุรี")</f>
        <v>MBC หัวถนน ชลบุรี</v>
      </c>
      <c r="D1014" s="3" t="str">
        <f>IFERROR(__xludf.DUMMYFUNCTION("""COMPUTED_VALUE"""),"BCM HUA THANON,CHONBURI")</f>
        <v>BCM HUA THANON,CHONBURI</v>
      </c>
      <c r="E1014" s="1" t="str">
        <f>IFERROR(__xludf.DUMMYFUNCTION("""COMPUTED_VALUE"""),"บิ๊กซี MINI")</f>
        <v>บิ๊กซี MINI</v>
      </c>
      <c r="F1014" s="1" t="str">
        <f>IFERROR(__xludf.DUMMYFUNCTION("""COMPUTED_VALUE"""),"221716")</f>
        <v>221716</v>
      </c>
      <c r="G1014" s="1" t="str">
        <f>IFERROR(__xludf.DUMMYFUNCTION("""COMPUTED_VALUE"""),"น.ส.เบญจพร โพธิสาร")</f>
        <v>น.ส.เบญจพร โพธิสาร</v>
      </c>
      <c r="H1014" s="1" t="str">
        <f>IFERROR(__xludf.DUMMYFUNCTION("""COMPUTED_VALUE"""),"376139")</f>
        <v>376139</v>
      </c>
      <c r="I1014" s="1" t="str">
        <f>IFERROR(__xludf.DUMMYFUNCTION("""COMPUTED_VALUE"""),"นายอนุชา อำไพ")</f>
        <v>นายอนุชา อำไพ</v>
      </c>
      <c r="J1014" s="3">
        <f>IFERROR(__xludf.DUMMYFUNCTION("""COMPUTED_VALUE"""),3510104.0)</f>
        <v>3510104</v>
      </c>
      <c r="K1014" s="3" t="str">
        <f>IFERROR(__xludf.DUMMYFUNCTION("""COMPUTED_VALUE"""),"นายวิโรจน์ อับดุลสมัด")</f>
        <v>นายวิโรจน์ อับดุลสมัด</v>
      </c>
      <c r="L1014" s="1" t="str">
        <f>IFERROR(__xludf.DUMMYFUNCTION("""COMPUTED_VALUE"""),"09 K.Wirode A")</f>
        <v>09 K.Wirode A</v>
      </c>
      <c r="M1014" s="1" t="str">
        <f>IFERROR(__xludf.DUMMYFUNCTION("""COMPUTED_VALUE"""),"080-235-4465")</f>
        <v>080-235-4465</v>
      </c>
      <c r="N1014" s="3">
        <f>IFERROR(__xludf.DUMMYFUNCTION("""COMPUTED_VALUE"""),21324.0)</f>
        <v>21324</v>
      </c>
      <c r="O1014" s="3" t="str">
        <f>IFERROR(__xludf.DUMMYFUNCTION("""COMPUTED_VALUE"""),"MBC BCP สุวินทวงศ์")</f>
        <v>MBC BCP สุวินทวงศ์</v>
      </c>
      <c r="P1014" s="4">
        <f>IFERROR(__xludf.DUMMYFUNCTION("""COMPUTED_VALUE"""),43596.0)</f>
        <v>43596</v>
      </c>
      <c r="Q1014" s="3" t="str">
        <f>IFERROR(__xludf.DUMMYFUNCTION("""COMPUTED_VALUE"""),"I")</f>
        <v>I</v>
      </c>
      <c r="R1014" s="3" t="str">
        <f>IFERROR(__xludf.DUMMYFUNCTION("""COMPUTED_VALUE"""),"Small Format")</f>
        <v>Small Format</v>
      </c>
      <c r="S1014" s="3" t="str">
        <f>IFERROR(__xludf.DUMMYFUNCTION("""COMPUTED_VALUE"""),"BCM")</f>
        <v>BCM</v>
      </c>
      <c r="T1014" s="3" t="str">
        <f>IFERROR(__xludf.DUMMYFUNCTION("""COMPUTED_VALUE"""),"#N/A")</f>
        <v>#N/A</v>
      </c>
      <c r="U1014" s="3" t="str">
        <f>IFERROR(__xludf.DUMMYFUNCTION("""COMPUTED_VALUE"""),"#N/A")</f>
        <v>#N/A</v>
      </c>
      <c r="V1014" s="3" t="str">
        <f>IFERROR(__xludf.DUMMYFUNCTION("""COMPUTED_VALUE"""),"N")</f>
        <v>N</v>
      </c>
      <c r="W1014" s="3">
        <f>IFERROR(__xludf.DUMMYFUNCTION("""COMPUTED_VALUE"""),211789.0)</f>
        <v>211789</v>
      </c>
      <c r="X1014" s="3" t="str">
        <f>IFERROR(__xludf.DUMMYFUNCTION("""COMPUTED_VALUE"""),"104 หมู่5 ตำบลหนองปรือ อำเภอพนัสนิคม จังหวัดชลบุรี 20140")</f>
        <v>104 หมู่5 ตำบลหนองปรือ อำเภอพนัสนิคม จังหวัดชลบุรี 20140</v>
      </c>
      <c r="Y1014" s="3"/>
      <c r="Z1014" s="3" t="str">
        <f>IFERROR(__xludf.DUMMYFUNCTION("""COMPUTED_VALUE"""),"หนองปรือ")</f>
        <v>หนองปรือ</v>
      </c>
      <c r="AA1014" s="3" t="str">
        <f>IFERROR(__xludf.DUMMYFUNCTION("""COMPUTED_VALUE"""),"พนัสนิคม")</f>
        <v>พนัสนิคม</v>
      </c>
      <c r="AB1014" s="3" t="str">
        <f>IFERROR(__xludf.DUMMYFUNCTION("""COMPUTED_VALUE"""),"ชลบุรี")</f>
        <v>ชลบุรี</v>
      </c>
      <c r="AC1014" s="3">
        <f>IFERROR(__xludf.DUMMYFUNCTION("""COMPUTED_VALUE"""),20140.0)</f>
        <v>20140</v>
      </c>
      <c r="AD1014" s="3">
        <f>IFERROR(__xludf.DUMMYFUNCTION("""COMPUTED_VALUE"""),13.516179)</f>
        <v>13.516179</v>
      </c>
      <c r="AE1014" s="3">
        <f>IFERROR(__xludf.DUMMYFUNCTION("""COMPUTED_VALUE"""),101.203089)</f>
        <v>101.203089</v>
      </c>
      <c r="AF1014" s="3" t="str">
        <f>IFERROR(__xludf.DUMMYFUNCTION("""COMPUTED_VALUE"""),"MBC หัวถนน ชลบุรี-21785")</f>
        <v>MBC หัวถนน ชลบุรี-21785</v>
      </c>
      <c r="AG1014" s="3" t="str">
        <f>IFERROR(__xludf.DUMMYFUNCTION("""COMPUTED_VALUE"""),"ตะวันออก")</f>
        <v>ตะวันออก</v>
      </c>
      <c r="AH1014" s="3" t="str">
        <f>IFERROR(__xludf.DUMMYFUNCTION("""COMPUTED_VALUE"""),"#N/A")</f>
        <v>#N/A</v>
      </c>
      <c r="AI1014" s="3" t="str">
        <f>IFERROR(__xludf.DUMMYFUNCTION("""COMPUTED_VALUE"""),"Out of warranty")</f>
        <v>Out of warranty</v>
      </c>
      <c r="AJ1014" s="3">
        <f>IFERROR(__xludf.DUMMYFUNCTION("""COMPUTED_VALUE"""),81.0)</f>
        <v>81</v>
      </c>
      <c r="AK1014" s="3" t="str">
        <f>IFERROR(__xludf.DUMMYFUNCTION("""COMPUTED_VALUE"""),"MMS07")</f>
        <v>MMS07</v>
      </c>
      <c r="AL1014" s="3"/>
    </row>
    <row r="1015" ht="15.75" customHeight="1">
      <c r="A1015" s="1" t="str">
        <f>IFERROR(__xludf.DUMMYFUNCTION("""COMPUTED_VALUE"""),"21786")</f>
        <v>21786</v>
      </c>
      <c r="B1015" s="2">
        <f>IFERROR(__xludf.DUMMYFUNCTION("""COMPUTED_VALUE"""),21786.0)</f>
        <v>21786</v>
      </c>
      <c r="C1015" s="3" t="str">
        <f>IFERROR(__xludf.DUMMYFUNCTION("""COMPUTED_VALUE"""),"MBC บางจาก กาญจนบุรี ขาเข้ากาญจนบุรี")</f>
        <v>MBC บางจาก กาญจนบุรี ขาเข้ากาญจนบุรี</v>
      </c>
      <c r="D1015" s="3" t="str">
        <f>IFERROR(__xludf.DUMMYFUNCTION("""COMPUTED_VALUE"""),"BCM BCP KANCHANABURI INBOUND")</f>
        <v>BCM BCP KANCHANABURI INBOUND</v>
      </c>
      <c r="E1015" s="1" t="str">
        <f>IFERROR(__xludf.DUMMYFUNCTION("""COMPUTED_VALUE"""),"บิ๊กซี MINI")</f>
        <v>บิ๊กซี MINI</v>
      </c>
      <c r="F1015" s="1" t="str">
        <f>IFERROR(__xludf.DUMMYFUNCTION("""COMPUTED_VALUE"""),"250760")</f>
        <v>250760</v>
      </c>
      <c r="G1015" s="1" t="str">
        <f>IFERROR(__xludf.DUMMYFUNCTION("""COMPUTED_VALUE"""),"นายประทวน สาราบรรณ์")</f>
        <v>นายประทวน สาราบรรณ์</v>
      </c>
      <c r="H1015" s="1" t="str">
        <f>IFERROR(__xludf.DUMMYFUNCTION("""COMPUTED_VALUE"""),"284752")</f>
        <v>284752</v>
      </c>
      <c r="I1015" s="1" t="str">
        <f>IFERROR(__xludf.DUMMYFUNCTION("""COMPUTED_VALUE"""),"น.ส.วีรนันท์ แสงใส")</f>
        <v>น.ส.วีรนันท์ แสงใส</v>
      </c>
      <c r="J1015" s="3">
        <f>IFERROR(__xludf.DUMMYFUNCTION("""COMPUTED_VALUE"""),295541.0)</f>
        <v>295541</v>
      </c>
      <c r="K1015" s="3" t="str">
        <f>IFERROR(__xludf.DUMMYFUNCTION("""COMPUTED_VALUE"""),"นายรพิพล ศรีมาตย์")</f>
        <v>นายรพิพล ศรีมาตย์</v>
      </c>
      <c r="L1015" s="1" t="str">
        <f>IFERROR(__xludf.DUMMYFUNCTION("""COMPUTED_VALUE"""),"นายรพิพล ศรีมาตย์")</f>
        <v>นายรพิพล ศรีมาตย์</v>
      </c>
      <c r="M1015" s="1" t="str">
        <f>IFERROR(__xludf.DUMMYFUNCTION("""COMPUTED_VALUE"""),"0613966115")</f>
        <v>0613966115</v>
      </c>
      <c r="N1015" s="3">
        <f>IFERROR(__xludf.DUMMYFUNCTION("""COMPUTED_VALUE"""),21175.0)</f>
        <v>21175</v>
      </c>
      <c r="O1015" s="3" t="str">
        <f>IFERROR(__xludf.DUMMYFUNCTION("""COMPUTED_VALUE"""),"MBC BCP กิ่งแก้ว")</f>
        <v>MBC BCP กิ่งแก้ว</v>
      </c>
      <c r="P1015" s="4">
        <f>IFERROR(__xludf.DUMMYFUNCTION("""COMPUTED_VALUE"""),43563.0)</f>
        <v>43563</v>
      </c>
      <c r="Q1015" s="3" t="str">
        <f>IFERROR(__xludf.DUMMYFUNCTION("""COMPUTED_VALUE"""),"I")</f>
        <v>I</v>
      </c>
      <c r="R1015" s="3" t="str">
        <f>IFERROR(__xludf.DUMMYFUNCTION("""COMPUTED_VALUE"""),"Small Format")</f>
        <v>Small Format</v>
      </c>
      <c r="S1015" s="3" t="str">
        <f>IFERROR(__xludf.DUMMYFUNCTION("""COMPUTED_VALUE"""),"BCM")</f>
        <v>BCM</v>
      </c>
      <c r="T1015" s="3" t="str">
        <f>IFERROR(__xludf.DUMMYFUNCTION("""COMPUTED_VALUE"""),"#N/A")</f>
        <v>#N/A</v>
      </c>
      <c r="U1015" s="3" t="str">
        <f>IFERROR(__xludf.DUMMYFUNCTION("""COMPUTED_VALUE"""),"#N/A")</f>
        <v>#N/A</v>
      </c>
      <c r="V1015" s="3" t="str">
        <f>IFERROR(__xludf.DUMMYFUNCTION("""COMPUTED_VALUE"""),"N")</f>
        <v>N</v>
      </c>
      <c r="W1015" s="3">
        <f>IFERROR(__xludf.DUMMYFUNCTION("""COMPUTED_VALUE"""),211797.0)</f>
        <v>211797</v>
      </c>
      <c r="X1015" s="3" t="str">
        <f>IFERROR(__xludf.DUMMYFUNCTION("""COMPUTED_VALUE"""),"168/1 หมู่7 ตำบลปากแพรก อำเภอเมืองกาญจนบุรี จังหวัดกาญจนบุรี 71000")</f>
        <v>168/1 หมู่7 ตำบลปากแพรก อำเภอเมืองกาญจนบุรี จังหวัดกาญจนบุรี 71000</v>
      </c>
      <c r="Y1015" s="3"/>
      <c r="Z1015" s="3" t="str">
        <f>IFERROR(__xludf.DUMMYFUNCTION("""COMPUTED_VALUE"""),"ปากแพรก")</f>
        <v>ปากแพรก</v>
      </c>
      <c r="AA1015" s="3" t="str">
        <f>IFERROR(__xludf.DUMMYFUNCTION("""COMPUTED_VALUE"""),"เมือง")</f>
        <v>เมือง</v>
      </c>
      <c r="AB1015" s="3" t="str">
        <f>IFERROR(__xludf.DUMMYFUNCTION("""COMPUTED_VALUE"""),"กาญจนบุรี")</f>
        <v>กาญจนบุรี</v>
      </c>
      <c r="AC1015" s="3">
        <f>IFERROR(__xludf.DUMMYFUNCTION("""COMPUTED_VALUE"""),71000.0)</f>
        <v>71000</v>
      </c>
      <c r="AD1015" s="3">
        <f>IFERROR(__xludf.DUMMYFUNCTION("""COMPUTED_VALUE"""),14.036685)</f>
        <v>14.036685</v>
      </c>
      <c r="AE1015" s="3">
        <f>IFERROR(__xludf.DUMMYFUNCTION("""COMPUTED_VALUE"""),99.577819)</f>
        <v>99.577819</v>
      </c>
      <c r="AF1015" s="3" t="str">
        <f>IFERROR(__xludf.DUMMYFUNCTION("""COMPUTED_VALUE"""),"MBC บางจาก กาญจนบุรี ขาเข้ากาญจนบุรี-21786")</f>
        <v>MBC บางจาก กาญจนบุรี ขาเข้ากาญจนบุรี-21786</v>
      </c>
      <c r="AG1015" s="3" t="str">
        <f>IFERROR(__xludf.DUMMYFUNCTION("""COMPUTED_VALUE"""),"ตะวันตก")</f>
        <v>ตะวันตก</v>
      </c>
      <c r="AH1015" s="3" t="str">
        <f>IFERROR(__xludf.DUMMYFUNCTION("""COMPUTED_VALUE"""),"#N/A")</f>
        <v>#N/A</v>
      </c>
      <c r="AI1015" s="3" t="str">
        <f>IFERROR(__xludf.DUMMYFUNCTION("""COMPUTED_VALUE"""),"Out of warranty")</f>
        <v>Out of warranty</v>
      </c>
      <c r="AJ1015" s="3">
        <f>IFERROR(__xludf.DUMMYFUNCTION("""COMPUTED_VALUE"""),82.0)</f>
        <v>82</v>
      </c>
      <c r="AK1015" s="3"/>
      <c r="AL1015" s="3"/>
    </row>
    <row r="1016" ht="15.75" customHeight="1">
      <c r="A1016" s="1" t="str">
        <f>IFERROR(__xludf.DUMMYFUNCTION("""COMPUTED_VALUE"""),"21787")</f>
        <v>21787</v>
      </c>
      <c r="B1016" s="2">
        <f>IFERROR(__xludf.DUMMYFUNCTION("""COMPUTED_VALUE"""),21787.0)</f>
        <v>21787</v>
      </c>
      <c r="C1016" s="3" t="str">
        <f>IFERROR(__xludf.DUMMYFUNCTION("""COMPUTED_VALUE"""),"MBC หมู่บ้านพฤกษา-ไทรน้อย")</f>
        <v>MBC หมู่บ้านพฤกษา-ไทรน้อย</v>
      </c>
      <c r="D1016" s="3" t="str">
        <f>IFERROR(__xludf.DUMMYFUNCTION("""COMPUTED_VALUE"""),"MBC MOOBAN PRUKSA- SAI NOI")</f>
        <v>MBC MOOBAN PRUKSA- SAI NOI</v>
      </c>
      <c r="E1016" s="1" t="str">
        <f>IFERROR(__xludf.DUMMYFUNCTION("""COMPUTED_VALUE"""),"บิ๊กซี MINI")</f>
        <v>บิ๊กซี MINI</v>
      </c>
      <c r="F1016" s="1" t="str">
        <f>IFERROR(__xludf.DUMMYFUNCTION("""COMPUTED_VALUE"""),"291008")</f>
        <v>291008</v>
      </c>
      <c r="G1016" s="1" t="str">
        <f>IFERROR(__xludf.DUMMYFUNCTION("""COMPUTED_VALUE"""),"น.ส.รัชดาพร อีศรัตน์")</f>
        <v>น.ส.รัชดาพร อีศรัตน์</v>
      </c>
      <c r="H1016" s="1" t="str">
        <f>IFERROR(__xludf.DUMMYFUNCTION("""COMPUTED_VALUE"""),"228392")</f>
        <v>228392</v>
      </c>
      <c r="I1016" s="1" t="str">
        <f>IFERROR(__xludf.DUMMYFUNCTION("""COMPUTED_VALUE"""),"นายพงษ์ประพันธ์ อุ่นประเสริฐ")</f>
        <v>นายพงษ์ประพันธ์ อุ่นประเสริฐ</v>
      </c>
      <c r="J1016" s="3">
        <f>IFERROR(__xludf.DUMMYFUNCTION("""COMPUTED_VALUE"""),3510104.0)</f>
        <v>3510104</v>
      </c>
      <c r="K1016" s="3" t="str">
        <f>IFERROR(__xludf.DUMMYFUNCTION("""COMPUTED_VALUE"""),"นายวิโรจน์ อับดุลสมัด")</f>
        <v>นายวิโรจน์ อับดุลสมัด</v>
      </c>
      <c r="L1016" s="1" t="str">
        <f>IFERROR(__xludf.DUMMYFUNCTION("""COMPUTED_VALUE"""),"09 K.Wirode A")</f>
        <v>09 K.Wirode A</v>
      </c>
      <c r="M1016" s="1" t="str">
        <f>IFERROR(__xludf.DUMMYFUNCTION("""COMPUTED_VALUE"""),"080-235-4465")</f>
        <v>080-235-4465</v>
      </c>
      <c r="N1016" s="3">
        <f>IFERROR(__xludf.DUMMYFUNCTION("""COMPUTED_VALUE"""),21324.0)</f>
        <v>21324</v>
      </c>
      <c r="O1016" s="3" t="str">
        <f>IFERROR(__xludf.DUMMYFUNCTION("""COMPUTED_VALUE"""),"MBC BCP สุวินทวงศ์")</f>
        <v>MBC BCP สุวินทวงศ์</v>
      </c>
      <c r="P1016" s="4">
        <f>IFERROR(__xludf.DUMMYFUNCTION("""COMPUTED_VALUE"""),43564.0)</f>
        <v>43564</v>
      </c>
      <c r="Q1016" s="3" t="str">
        <f>IFERROR(__xludf.DUMMYFUNCTION("""COMPUTED_VALUE"""),"I")</f>
        <v>I</v>
      </c>
      <c r="R1016" s="3" t="str">
        <f>IFERROR(__xludf.DUMMYFUNCTION("""COMPUTED_VALUE"""),"Small Format")</f>
        <v>Small Format</v>
      </c>
      <c r="S1016" s="3" t="str">
        <f>IFERROR(__xludf.DUMMYFUNCTION("""COMPUTED_VALUE"""),"BCM")</f>
        <v>BCM</v>
      </c>
      <c r="T1016" s="3" t="str">
        <f>IFERROR(__xludf.DUMMYFUNCTION("""COMPUTED_VALUE"""),"#N/A")</f>
        <v>#N/A</v>
      </c>
      <c r="U1016" s="3" t="str">
        <f>IFERROR(__xludf.DUMMYFUNCTION("""COMPUTED_VALUE"""),"#N/A")</f>
        <v>#N/A</v>
      </c>
      <c r="V1016" s="3" t="str">
        <f>IFERROR(__xludf.DUMMYFUNCTION("""COMPUTED_VALUE"""),"N")</f>
        <v>N</v>
      </c>
      <c r="W1016" s="3">
        <f>IFERROR(__xludf.DUMMYFUNCTION("""COMPUTED_VALUE"""),211697.0)</f>
        <v>211697</v>
      </c>
      <c r="X1016" s="3" t="str">
        <f>IFERROR(__xludf.DUMMYFUNCTION("""COMPUTED_VALUE"""),"12/6 หมู่8 ตำบลบางคูรัด อำเภอบางบัวทอง จังหวัดนนทบุรี 11110")</f>
        <v>12/6 หมู่8 ตำบลบางคูรัด อำเภอบางบัวทอง จังหวัดนนทบุรี 11110</v>
      </c>
      <c r="Y1016" s="3"/>
      <c r="Z1016" s="3" t="str">
        <f>IFERROR(__xludf.DUMMYFUNCTION("""COMPUTED_VALUE"""),"บางคูรัด")</f>
        <v>บางคูรัด</v>
      </c>
      <c r="AA1016" s="3" t="str">
        <f>IFERROR(__xludf.DUMMYFUNCTION("""COMPUTED_VALUE"""),"บางบัวทอง")</f>
        <v>บางบัวทอง</v>
      </c>
      <c r="AB1016" s="3" t="str">
        <f>IFERROR(__xludf.DUMMYFUNCTION("""COMPUTED_VALUE"""),"นนทบุรี")</f>
        <v>นนทบุรี</v>
      </c>
      <c r="AC1016" s="3">
        <f>IFERROR(__xludf.DUMMYFUNCTION("""COMPUTED_VALUE"""),11110.0)</f>
        <v>11110</v>
      </c>
      <c r="AD1016" s="3">
        <f>IFERROR(__xludf.DUMMYFUNCTION("""COMPUTED_VALUE"""),13.909023)</f>
        <v>13.909023</v>
      </c>
      <c r="AE1016" s="3">
        <f>IFERROR(__xludf.DUMMYFUNCTION("""COMPUTED_VALUE"""),100.353929)</f>
        <v>100.353929</v>
      </c>
      <c r="AF1016" s="3" t="str">
        <f>IFERROR(__xludf.DUMMYFUNCTION("""COMPUTED_VALUE"""),"MBC หมู่บ้านพฤกษา-ไทรน้อย-21787")</f>
        <v>MBC หมู่บ้านพฤกษา-ไทรน้อย-21787</v>
      </c>
      <c r="AG1016" s="3" t="str">
        <f>IFERROR(__xludf.DUMMYFUNCTION("""COMPUTED_VALUE"""),"กลาง")</f>
        <v>กลาง</v>
      </c>
      <c r="AH1016" s="3" t="str">
        <f>IFERROR(__xludf.DUMMYFUNCTION("""COMPUTED_VALUE"""),"#N/A")</f>
        <v>#N/A</v>
      </c>
      <c r="AI1016" s="3" t="str">
        <f>IFERROR(__xludf.DUMMYFUNCTION("""COMPUTED_VALUE"""),"Out of warranty")</f>
        <v>Out of warranty</v>
      </c>
      <c r="AJ1016" s="3">
        <f>IFERROR(__xludf.DUMMYFUNCTION("""COMPUTED_VALUE"""),82.0)</f>
        <v>82</v>
      </c>
      <c r="AK1016" s="3"/>
      <c r="AL1016" s="3"/>
    </row>
    <row r="1017" ht="15.75" customHeight="1">
      <c r="A1017" s="1" t="str">
        <f>IFERROR(__xludf.DUMMYFUNCTION("""COMPUTED_VALUE"""),"21788")</f>
        <v>21788</v>
      </c>
      <c r="B1017" s="2">
        <f>IFERROR(__xludf.DUMMYFUNCTION("""COMPUTED_VALUE"""),21788.0)</f>
        <v>21788</v>
      </c>
      <c r="C1017" s="3" t="str">
        <f>IFERROR(__xludf.DUMMYFUNCTION("""COMPUTED_VALUE"""),"MBC มทส.ประตู4 นครราชสีมา")</f>
        <v>MBC มทส.ประตู4 นครราชสีมา</v>
      </c>
      <c r="D1017" s="3" t="str">
        <f>IFERROR(__xludf.DUMMYFUNCTION("""COMPUTED_VALUE"""),"BCM MOR THOR SOR PRATU4")</f>
        <v>BCM MOR THOR SOR PRATU4</v>
      </c>
      <c r="E1017" s="1" t="str">
        <f>IFERROR(__xludf.DUMMYFUNCTION("""COMPUTED_VALUE"""),"บิ๊กซี MINI")</f>
        <v>บิ๊กซี MINI</v>
      </c>
      <c r="F1017" s="1" t="str">
        <f>IFERROR(__xludf.DUMMYFUNCTION("""COMPUTED_VALUE"""),"291105")</f>
        <v>291105</v>
      </c>
      <c r="G1017" s="1" t="str">
        <f>IFERROR(__xludf.DUMMYFUNCTION("""COMPUTED_VALUE"""),"นายสราวุฒิ พณิชยกุล")</f>
        <v>นายสราวุฒิ พณิชยกุล</v>
      </c>
      <c r="H1017" s="1" t="str">
        <f>IFERROR(__xludf.DUMMYFUNCTION("""COMPUTED_VALUE"""),"281315")</f>
        <v>281315</v>
      </c>
      <c r="I1017" s="1" t="str">
        <f>IFERROR(__xludf.DUMMYFUNCTION("""COMPUTED_VALUE"""),"นายกิตติพงษ์ มั่นคง")</f>
        <v>นายกิตติพงษ์ มั่นคง</v>
      </c>
      <c r="J1017" s="3">
        <f>IFERROR(__xludf.DUMMYFUNCTION("""COMPUTED_VALUE"""),15361.0)</f>
        <v>15361</v>
      </c>
      <c r="K1017" s="3" t="str">
        <f>IFERROR(__xludf.DUMMYFUNCTION("""COMPUTED_VALUE"""),"นายสมบูรณ์ พรหมในเมือง")</f>
        <v>นายสมบูรณ์ พรหมในเมือง</v>
      </c>
      <c r="L1017" s="1" t="str">
        <f>IFERROR(__xludf.DUMMYFUNCTION("""COMPUTED_VALUE"""),"04 K.Somboon P.")</f>
        <v>04 K.Somboon P.</v>
      </c>
      <c r="M1017" s="1" t="str">
        <f>IFERROR(__xludf.DUMMYFUNCTION("""COMPUTED_VALUE"""),"087-965-3051")</f>
        <v>087-965-3051</v>
      </c>
      <c r="N1017" s="3">
        <f>IFERROR(__xludf.DUMMYFUNCTION("""COMPUTED_VALUE"""),21869.0)</f>
        <v>21869</v>
      </c>
      <c r="O1017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017" s="4">
        <f>IFERROR(__xludf.DUMMYFUNCTION("""COMPUTED_VALUE"""),43566.0)</f>
        <v>43566</v>
      </c>
      <c r="Q1017" s="3" t="str">
        <f>IFERROR(__xludf.DUMMYFUNCTION("""COMPUTED_VALUE"""),"A")</f>
        <v>A</v>
      </c>
      <c r="R1017" s="3" t="str">
        <f>IFERROR(__xludf.DUMMYFUNCTION("""COMPUTED_VALUE"""),"Small Format")</f>
        <v>Small Format</v>
      </c>
      <c r="S1017" s="3" t="str">
        <f>IFERROR(__xludf.DUMMYFUNCTION("""COMPUTED_VALUE"""),"BCM")</f>
        <v>BCM</v>
      </c>
      <c r="T1017" s="3" t="str">
        <f>IFERROR(__xludf.DUMMYFUNCTION("""COMPUTED_VALUE"""),"#N/A")</f>
        <v>#N/A</v>
      </c>
      <c r="U1017" s="3" t="str">
        <f>IFERROR(__xludf.DUMMYFUNCTION("""COMPUTED_VALUE"""),"#N/A")</f>
        <v>#N/A</v>
      </c>
      <c r="V1017" s="3" t="str">
        <f>IFERROR(__xludf.DUMMYFUNCTION("""COMPUTED_VALUE"""),"N")</f>
        <v>N</v>
      </c>
      <c r="W1017" s="3">
        <f>IFERROR(__xludf.DUMMYFUNCTION("""COMPUTED_VALUE"""),211813.0)</f>
        <v>211813</v>
      </c>
      <c r="X1017" s="3" t="str">
        <f>IFERROR(__xludf.DUMMYFUNCTION("""COMPUTED_VALUE"""),"737 หมู่5 ตำบลสุรนารี อำเภอเมืองนครราชสีมา จังหวัดนครราชสีมา 30000")</f>
        <v>737 หมู่5 ตำบลสุรนารี อำเภอเมืองนครราชสีมา จังหวัดนครราชสีมา 30000</v>
      </c>
      <c r="Y1017" s="3"/>
      <c r="Z1017" s="3" t="str">
        <f>IFERROR(__xludf.DUMMYFUNCTION("""COMPUTED_VALUE"""),"สุรนารี")</f>
        <v>สุรนารี</v>
      </c>
      <c r="AA1017" s="3" t="str">
        <f>IFERROR(__xludf.DUMMYFUNCTION("""COMPUTED_VALUE"""),"เมือง")</f>
        <v>เมือง</v>
      </c>
      <c r="AB1017" s="3" t="str">
        <f>IFERROR(__xludf.DUMMYFUNCTION("""COMPUTED_VALUE"""),"นครราชสีมา")</f>
        <v>นครราชสีมา</v>
      </c>
      <c r="AC1017" s="3">
        <f>IFERROR(__xludf.DUMMYFUNCTION("""COMPUTED_VALUE"""),30000.0)</f>
        <v>30000</v>
      </c>
      <c r="AD1017" s="3">
        <f>IFERROR(__xludf.DUMMYFUNCTION("""COMPUTED_VALUE"""),14.903221)</f>
        <v>14.903221</v>
      </c>
      <c r="AE1017" s="3">
        <f>IFERROR(__xludf.DUMMYFUNCTION("""COMPUTED_VALUE"""),102.010154)</f>
        <v>102.010154</v>
      </c>
      <c r="AF1017" s="3" t="str">
        <f>IFERROR(__xludf.DUMMYFUNCTION("""COMPUTED_VALUE"""),"MBC มทส.ประตู4 นครราชสีมา-21788")</f>
        <v>MBC มทส.ประตู4 นครราชสีมา-21788</v>
      </c>
      <c r="AG1017" s="3" t="str">
        <f>IFERROR(__xludf.DUMMYFUNCTION("""COMPUTED_VALUE"""),"ตะวันออกเฉียงเหนือ")</f>
        <v>ตะวันออกเฉียงเหนือ</v>
      </c>
      <c r="AH1017" s="3" t="str">
        <f>IFERROR(__xludf.DUMMYFUNCTION("""COMPUTED_VALUE"""),"#N/A")</f>
        <v>#N/A</v>
      </c>
      <c r="AI1017" s="3" t="str">
        <f>IFERROR(__xludf.DUMMYFUNCTION("""COMPUTED_VALUE"""),"Out of warranty")</f>
        <v>Out of warranty</v>
      </c>
      <c r="AJ1017" s="3">
        <f>IFERROR(__xludf.DUMMYFUNCTION("""COMPUTED_VALUE"""),82.0)</f>
        <v>82</v>
      </c>
      <c r="AK1017" s="3" t="str">
        <f>IFERROR(__xludf.DUMMYFUNCTION("""COMPUTED_VALUE"""),"MMS11")</f>
        <v>MMS11</v>
      </c>
      <c r="AL1017" s="3"/>
    </row>
    <row r="1018" ht="15.75" customHeight="1">
      <c r="A1018" s="1" t="str">
        <f>IFERROR(__xludf.DUMMYFUNCTION("""COMPUTED_VALUE"""),"21789")</f>
        <v>21789</v>
      </c>
      <c r="B1018" s="2">
        <f>IFERROR(__xludf.DUMMYFUNCTION("""COMPUTED_VALUE"""),21789.0)</f>
        <v>21789</v>
      </c>
      <c r="C1018" s="3" t="str">
        <f>IFERROR(__xludf.DUMMYFUNCTION("""COMPUTED_VALUE"""),"MBC โกลด์เด็นแลนด์ คู้บอน กรุงเทพฯ")</f>
        <v>MBC โกลด์เด็นแลนด์ คู้บอน กรุงเทพฯ</v>
      </c>
      <c r="D1018" s="3" t="str">
        <f>IFERROR(__xludf.DUMMYFUNCTION("""COMPUTED_VALUE"""),"BCM GOLDENLAND KHUBON,BANGKOK")</f>
        <v>BCM GOLDENLAND KHUBON,BANGKOK</v>
      </c>
      <c r="E1018" s="1" t="str">
        <f>IFERROR(__xludf.DUMMYFUNCTION("""COMPUTED_VALUE"""),"บิ๊กซี MINI")</f>
        <v>บิ๊กซี MINI</v>
      </c>
      <c r="F1018" s="1" t="str">
        <f>IFERROR(__xludf.DUMMYFUNCTION("""COMPUTED_VALUE"""),"291008")</f>
        <v>291008</v>
      </c>
      <c r="G1018" s="1" t="str">
        <f>IFERROR(__xludf.DUMMYFUNCTION("""COMPUTED_VALUE"""),"น.ส.รัชดาพร อีศรัตน์")</f>
        <v>น.ส.รัชดาพร อีศรัตน์</v>
      </c>
      <c r="H1018" s="1" t="str">
        <f>IFERROR(__xludf.DUMMYFUNCTION("""COMPUTED_VALUE"""),"288639")</f>
        <v>288639</v>
      </c>
      <c r="I1018" s="1" t="str">
        <f>IFERROR(__xludf.DUMMYFUNCTION("""COMPUTED_VALUE"""),"น.ส.สมหญิง สีชมภู")</f>
        <v>น.ส.สมหญิง สีชมภู</v>
      </c>
      <c r="J1018" s="3">
        <f>IFERROR(__xludf.DUMMYFUNCTION("""COMPUTED_VALUE"""),3510104.0)</f>
        <v>3510104</v>
      </c>
      <c r="K1018" s="3" t="str">
        <f>IFERROR(__xludf.DUMMYFUNCTION("""COMPUTED_VALUE"""),"นายวิโรจน์ อับดุลสมัด")</f>
        <v>นายวิโรจน์ อับดุลสมัด</v>
      </c>
      <c r="L1018" s="1" t="str">
        <f>IFERROR(__xludf.DUMMYFUNCTION("""COMPUTED_VALUE"""),"09 K.Wirode A")</f>
        <v>09 K.Wirode A</v>
      </c>
      <c r="M1018" s="1" t="str">
        <f>IFERROR(__xludf.DUMMYFUNCTION("""COMPUTED_VALUE"""),"080-235-4465")</f>
        <v>080-235-4465</v>
      </c>
      <c r="N1018" s="3">
        <f>IFERROR(__xludf.DUMMYFUNCTION("""COMPUTED_VALUE"""),21324.0)</f>
        <v>21324</v>
      </c>
      <c r="O1018" s="3" t="str">
        <f>IFERROR(__xludf.DUMMYFUNCTION("""COMPUTED_VALUE"""),"MBC BCP สุวินทวงศ์")</f>
        <v>MBC BCP สุวินทวงศ์</v>
      </c>
      <c r="P1018" s="4">
        <f>IFERROR(__xludf.DUMMYFUNCTION("""COMPUTED_VALUE"""),43630.0)</f>
        <v>43630</v>
      </c>
      <c r="Q1018" s="3" t="str">
        <f>IFERROR(__xludf.DUMMYFUNCTION("""COMPUTED_VALUE"""),"A")</f>
        <v>A</v>
      </c>
      <c r="R1018" s="3" t="str">
        <f>IFERROR(__xludf.DUMMYFUNCTION("""COMPUTED_VALUE"""),"Small Format")</f>
        <v>Small Format</v>
      </c>
      <c r="S1018" s="3" t="str">
        <f>IFERROR(__xludf.DUMMYFUNCTION("""COMPUTED_VALUE"""),"BCM")</f>
        <v>BCM</v>
      </c>
      <c r="T1018" s="3" t="str">
        <f>IFERROR(__xludf.DUMMYFUNCTION("""COMPUTED_VALUE"""),"#N/A")</f>
        <v>#N/A</v>
      </c>
      <c r="U1018" s="3" t="str">
        <f>IFERROR(__xludf.DUMMYFUNCTION("""COMPUTED_VALUE"""),"#N/A")</f>
        <v>#N/A</v>
      </c>
      <c r="V1018" s="3" t="str">
        <f>IFERROR(__xludf.DUMMYFUNCTION("""COMPUTED_VALUE"""),"N")</f>
        <v>N</v>
      </c>
      <c r="W1018" s="3">
        <f>IFERROR(__xludf.DUMMYFUNCTION("""COMPUTED_VALUE"""),211747.0)</f>
        <v>211747</v>
      </c>
      <c r="X1018" s="3" t="str">
        <f>IFERROR(__xludf.DUMMYFUNCTION("""COMPUTED_VALUE"""),"17 ถนนคู้บอน แขวงบางชัน เขตคลองสามวา กรุงเทพมหานคร 10510")</f>
        <v>17 ถนนคู้บอน แขวงบางชัน เขตคลองสามวา กรุงเทพมหานคร 10510</v>
      </c>
      <c r="Y1018" s="3" t="str">
        <f>IFERROR(__xludf.DUMMYFUNCTION("""COMPUTED_VALUE"""),"ถนนคู้บอน")</f>
        <v>ถนนคู้บอน</v>
      </c>
      <c r="Z1018" s="3" t="str">
        <f>IFERROR(__xludf.DUMMYFUNCTION("""COMPUTED_VALUE"""),"บางชัน")</f>
        <v>บางชัน</v>
      </c>
      <c r="AA1018" s="3" t="str">
        <f>IFERROR(__xludf.DUMMYFUNCTION("""COMPUTED_VALUE"""),"คลองสามวา")</f>
        <v>คลองสามวา</v>
      </c>
      <c r="AB1018" s="3" t="str">
        <f>IFERROR(__xludf.DUMMYFUNCTION("""COMPUTED_VALUE"""),"กรุงเทพมหานคร")</f>
        <v>กรุงเทพมหานคร</v>
      </c>
      <c r="AC1018" s="3">
        <f>IFERROR(__xludf.DUMMYFUNCTION("""COMPUTED_VALUE"""),10510.0)</f>
        <v>10510</v>
      </c>
      <c r="AD1018" s="3">
        <f>IFERROR(__xludf.DUMMYFUNCTION("""COMPUTED_VALUE"""),13.85438)</f>
        <v>13.85438</v>
      </c>
      <c r="AE1018" s="3">
        <f>IFERROR(__xludf.DUMMYFUNCTION("""COMPUTED_VALUE"""),100.6739)</f>
        <v>100.6739</v>
      </c>
      <c r="AF1018" s="3" t="str">
        <f>IFERROR(__xludf.DUMMYFUNCTION("""COMPUTED_VALUE"""),"MBC โกลด์เด็นแลนด์ คู้บอน กรุงเทพฯ-21789")</f>
        <v>MBC โกลด์เด็นแลนด์ คู้บอน กรุงเทพฯ-21789</v>
      </c>
      <c r="AG1018" s="3" t="str">
        <f>IFERROR(__xludf.DUMMYFUNCTION("""COMPUTED_VALUE"""),"กลาง")</f>
        <v>กลาง</v>
      </c>
      <c r="AH1018" s="3" t="str">
        <f>IFERROR(__xludf.DUMMYFUNCTION("""COMPUTED_VALUE"""),"#N/A")</f>
        <v>#N/A</v>
      </c>
      <c r="AI1018" s="3" t="str">
        <f>IFERROR(__xludf.DUMMYFUNCTION("""COMPUTED_VALUE"""),"Out of warranty")</f>
        <v>Out of warranty</v>
      </c>
      <c r="AJ1018" s="3">
        <f>IFERROR(__xludf.DUMMYFUNCTION("""COMPUTED_VALUE"""),80.0)</f>
        <v>80</v>
      </c>
      <c r="AK1018" s="3" t="str">
        <f>IFERROR(__xludf.DUMMYFUNCTION("""COMPUTED_VALUE"""),"MMS01")</f>
        <v>MMS01</v>
      </c>
      <c r="AL1018" s="3"/>
    </row>
    <row r="1019" ht="15.75" customHeight="1">
      <c r="A1019" s="1" t="str">
        <f>IFERROR(__xludf.DUMMYFUNCTION("""COMPUTED_VALUE"""),"21790")</f>
        <v>21790</v>
      </c>
      <c r="B1019" s="2">
        <f>IFERROR(__xludf.DUMMYFUNCTION("""COMPUTED_VALUE"""),21790.0)</f>
        <v>21790</v>
      </c>
      <c r="C1019" s="3" t="str">
        <f>IFERROR(__xludf.DUMMYFUNCTION("""COMPUTED_VALUE"""),"MBC เนินกระบอก ชลบุรี")</f>
        <v>MBC เนินกระบอก ชลบุรี</v>
      </c>
      <c r="D1019" s="3" t="str">
        <f>IFERROR(__xludf.DUMMYFUNCTION("""COMPUTED_VALUE"""),"MBC NOEN KRABOK,CHONBURI")</f>
        <v>MBC NOEN KRABOK,CHONBURI</v>
      </c>
      <c r="E1019" s="1" t="str">
        <f>IFERROR(__xludf.DUMMYFUNCTION("""COMPUTED_VALUE"""),"บิ๊กซี MINI")</f>
        <v>บิ๊กซี MINI</v>
      </c>
      <c r="F1019" s="1" t="str">
        <f>IFERROR(__xludf.DUMMYFUNCTION("""COMPUTED_VALUE"""),"250760")</f>
        <v>250760</v>
      </c>
      <c r="G1019" s="1" t="str">
        <f>IFERROR(__xludf.DUMMYFUNCTION("""COMPUTED_VALUE"""),"นายประทวน สาราบรรณ์")</f>
        <v>นายประทวน สาราบรรณ์</v>
      </c>
      <c r="H1019" s="1" t="str">
        <f>IFERROR(__xludf.DUMMYFUNCTION("""COMPUTED_VALUE"""),"034605")</f>
        <v>034605</v>
      </c>
      <c r="I1019" s="1" t="str">
        <f>IFERROR(__xludf.DUMMYFUNCTION("""COMPUTED_VALUE"""),"นายธรรมรัตน์ สุขเจริญ")</f>
        <v>นายธรรมรัตน์ สุขเจริญ</v>
      </c>
      <c r="J1019" s="3">
        <f>IFERROR(__xludf.DUMMYFUNCTION("""COMPUTED_VALUE"""),295541.0)</f>
        <v>295541</v>
      </c>
      <c r="K1019" s="3" t="str">
        <f>IFERROR(__xludf.DUMMYFUNCTION("""COMPUTED_VALUE"""),"นายรพิพล ศรีมาตย์")</f>
        <v>นายรพิพล ศรีมาตย์</v>
      </c>
      <c r="L1019" s="1" t="str">
        <f>IFERROR(__xludf.DUMMYFUNCTION("""COMPUTED_VALUE"""),"นายรพิพล ศรีมาตย์")</f>
        <v>นายรพิพล ศรีมาตย์</v>
      </c>
      <c r="M1019" s="1" t="str">
        <f>IFERROR(__xludf.DUMMYFUNCTION("""COMPUTED_VALUE"""),"0613966115")</f>
        <v>0613966115</v>
      </c>
      <c r="N1019" s="3">
        <f>IFERROR(__xludf.DUMMYFUNCTION("""COMPUTED_VALUE"""),21175.0)</f>
        <v>21175</v>
      </c>
      <c r="O1019" s="3" t="str">
        <f>IFERROR(__xludf.DUMMYFUNCTION("""COMPUTED_VALUE"""),"MBC BCP กิ่งแก้ว")</f>
        <v>MBC BCP กิ่งแก้ว</v>
      </c>
      <c r="P1019" s="4">
        <f>IFERROR(__xludf.DUMMYFUNCTION("""COMPUTED_VALUE"""),43610.0)</f>
        <v>43610</v>
      </c>
      <c r="Q1019" s="3" t="str">
        <f>IFERROR(__xludf.DUMMYFUNCTION("""COMPUTED_VALUE"""),"I")</f>
        <v>I</v>
      </c>
      <c r="R1019" s="3" t="str">
        <f>IFERROR(__xludf.DUMMYFUNCTION("""COMPUTED_VALUE"""),"Small Format")</f>
        <v>Small Format</v>
      </c>
      <c r="S1019" s="3" t="str">
        <f>IFERROR(__xludf.DUMMYFUNCTION("""COMPUTED_VALUE"""),"BCM")</f>
        <v>BCM</v>
      </c>
      <c r="T1019" s="3" t="str">
        <f>IFERROR(__xludf.DUMMYFUNCTION("""COMPUTED_VALUE"""),"#N/A")</f>
        <v>#N/A</v>
      </c>
      <c r="U1019" s="3" t="str">
        <f>IFERROR(__xludf.DUMMYFUNCTION("""COMPUTED_VALUE"""),"#N/A")</f>
        <v>#N/A</v>
      </c>
      <c r="V1019" s="3" t="str">
        <f>IFERROR(__xludf.DUMMYFUNCTION("""COMPUTED_VALUE"""),"N")</f>
        <v>N</v>
      </c>
      <c r="W1019" s="3">
        <f>IFERROR(__xludf.DUMMYFUNCTION("""COMPUTED_VALUE"""),211760.0)</f>
        <v>211760</v>
      </c>
      <c r="X1019" s="3" t="str">
        <f>IFERROR(__xludf.DUMMYFUNCTION("""COMPUTED_VALUE"""),"46/97 หมู่11 ตำบลหนองปรือ อำเภอบางละมุง จังหวัดชลบุรี 20150")</f>
        <v>46/97 หมู่11 ตำบลหนองปรือ อำเภอบางละมุง จังหวัดชลบุรี 20150</v>
      </c>
      <c r="Y1019" s="3"/>
      <c r="Z1019" s="3" t="str">
        <f>IFERROR(__xludf.DUMMYFUNCTION("""COMPUTED_VALUE"""),"หนองปรือ")</f>
        <v>หนองปรือ</v>
      </c>
      <c r="AA1019" s="3" t="str">
        <f>IFERROR(__xludf.DUMMYFUNCTION("""COMPUTED_VALUE"""),"บางละมุง")</f>
        <v>บางละมุง</v>
      </c>
      <c r="AB1019" s="3" t="str">
        <f>IFERROR(__xludf.DUMMYFUNCTION("""COMPUTED_VALUE"""),"ชลบุรี")</f>
        <v>ชลบุรี</v>
      </c>
      <c r="AC1019" s="3">
        <f>IFERROR(__xludf.DUMMYFUNCTION("""COMPUTED_VALUE"""),20150.0)</f>
        <v>20150</v>
      </c>
      <c r="AD1019" s="3">
        <f>IFERROR(__xludf.DUMMYFUNCTION("""COMPUTED_VALUE"""),12.899762)</f>
        <v>12.899762</v>
      </c>
      <c r="AE1019" s="3">
        <f>IFERROR(__xludf.DUMMYFUNCTION("""COMPUTED_VALUE"""),100.90107)</f>
        <v>100.90107</v>
      </c>
      <c r="AF1019" s="3" t="str">
        <f>IFERROR(__xludf.DUMMYFUNCTION("""COMPUTED_VALUE"""),"MBC เนินกระบอก ชลบุรี-21790")</f>
        <v>MBC เนินกระบอก ชลบุรี-21790</v>
      </c>
      <c r="AG1019" s="3" t="str">
        <f>IFERROR(__xludf.DUMMYFUNCTION("""COMPUTED_VALUE"""),"ตะวันออก")</f>
        <v>ตะวันออก</v>
      </c>
      <c r="AH1019" s="3" t="str">
        <f>IFERROR(__xludf.DUMMYFUNCTION("""COMPUTED_VALUE"""),"#N/A")</f>
        <v>#N/A</v>
      </c>
      <c r="AI1019" s="3" t="str">
        <f>IFERROR(__xludf.DUMMYFUNCTION("""COMPUTED_VALUE"""),"Out of warranty")</f>
        <v>Out of warranty</v>
      </c>
      <c r="AJ1019" s="3">
        <f>IFERROR(__xludf.DUMMYFUNCTION("""COMPUTED_VALUE"""),80.0)</f>
        <v>80</v>
      </c>
      <c r="AK1019" s="3"/>
      <c r="AL1019" s="3"/>
    </row>
    <row r="1020" ht="15.75" customHeight="1">
      <c r="A1020" s="1" t="str">
        <f>IFERROR(__xludf.DUMMYFUNCTION("""COMPUTED_VALUE"""),"21791")</f>
        <v>21791</v>
      </c>
      <c r="B1020" s="2">
        <f>IFERROR(__xludf.DUMMYFUNCTION("""COMPUTED_VALUE"""),21791.0)</f>
        <v>21791</v>
      </c>
      <c r="C1020" s="3" t="str">
        <f>IFERROR(__xludf.DUMMYFUNCTION("""COMPUTED_VALUE"""),"MBC ถนนเทศบำล25 บ้ำนฉำง ระยอง")</f>
        <v>MBC ถนนเทศบำล25 บ้ำนฉำง ระยอง</v>
      </c>
      <c r="D1020" s="3" t="str">
        <f>IFERROR(__xludf.DUMMYFUNCTION("""COMPUTED_VALUE"""),"BCM THANON TESSABAN25 BANCHANG")</f>
        <v>BCM THANON TESSABAN25 BANCHANG</v>
      </c>
      <c r="E1020" s="1" t="str">
        <f>IFERROR(__xludf.DUMMYFUNCTION("""COMPUTED_VALUE"""),"บิ๊กซี MINI")</f>
        <v>บิ๊กซี MINI</v>
      </c>
      <c r="F1020" s="1" t="str">
        <f>IFERROR(__xludf.DUMMYFUNCTION("""COMPUTED_VALUE"""),"221716")</f>
        <v>221716</v>
      </c>
      <c r="G1020" s="1" t="str">
        <f>IFERROR(__xludf.DUMMYFUNCTION("""COMPUTED_VALUE"""),"น.ส.เบญจพร โพธิสาร")</f>
        <v>น.ส.เบญจพร โพธิสาร</v>
      </c>
      <c r="H1020" s="1" t="str">
        <f>IFERROR(__xludf.DUMMYFUNCTION("""COMPUTED_VALUE"""),"359233")</f>
        <v>359233</v>
      </c>
      <c r="I1020" s="1" t="str">
        <f>IFERROR(__xludf.DUMMYFUNCTION("""COMPUTED_VALUE"""),"น.ส.ปยุดา คำมีอ่อน")</f>
        <v>น.ส.ปยุดา คำมีอ่อน</v>
      </c>
      <c r="J1020" s="3">
        <f>IFERROR(__xludf.DUMMYFUNCTION("""COMPUTED_VALUE"""),2452376.0)</f>
        <v>2452376</v>
      </c>
      <c r="K1020" s="3" t="str">
        <f>IFERROR(__xludf.DUMMYFUNCTION("""COMPUTED_VALUE"""),"นายภาคภูมิ ทวีกุล")</f>
        <v>นายภาคภูมิ ทวีกุล</v>
      </c>
      <c r="L1020" s="1" t="str">
        <f>IFERROR(__xludf.DUMMYFUNCTION("""COMPUTED_VALUE"""),"08 K.Parkphum T.")</f>
        <v>08 K.Parkphum T.</v>
      </c>
      <c r="M1020" s="1" t="str">
        <f>IFERROR(__xludf.DUMMYFUNCTION("""COMPUTED_VALUE"""),"097-919-5476")</f>
        <v>097-919-5476</v>
      </c>
      <c r="N1020" s="3">
        <f>IFERROR(__xludf.DUMMYFUNCTION("""COMPUTED_VALUE"""),22028.0)</f>
        <v>22028</v>
      </c>
      <c r="O1020" s="3" t="str">
        <f>IFERROR(__xludf.DUMMYFUNCTION("""COMPUTED_VALUE"""),"MBC ทํบมา ระยอง")</f>
        <v>MBC ทํบมา ระยอง</v>
      </c>
      <c r="P1020" s="4">
        <f>IFERROR(__xludf.DUMMYFUNCTION("""COMPUTED_VALUE"""),43585.0)</f>
        <v>43585</v>
      </c>
      <c r="Q1020" s="3" t="str">
        <f>IFERROR(__xludf.DUMMYFUNCTION("""COMPUTED_VALUE"""),"A")</f>
        <v>A</v>
      </c>
      <c r="R1020" s="3" t="str">
        <f>IFERROR(__xludf.DUMMYFUNCTION("""COMPUTED_VALUE"""),"Small Format")</f>
        <v>Small Format</v>
      </c>
      <c r="S1020" s="3" t="str">
        <f>IFERROR(__xludf.DUMMYFUNCTION("""COMPUTED_VALUE"""),"BCM")</f>
        <v>BCM</v>
      </c>
      <c r="T1020" s="3" t="str">
        <f>IFERROR(__xludf.DUMMYFUNCTION("""COMPUTED_VALUE"""),"#N/A")</f>
        <v>#N/A</v>
      </c>
      <c r="U1020" s="3" t="str">
        <f>IFERROR(__xludf.DUMMYFUNCTION("""COMPUTED_VALUE"""),"#N/A")</f>
        <v>#N/A</v>
      </c>
      <c r="V1020" s="3" t="str">
        <f>IFERROR(__xludf.DUMMYFUNCTION("""COMPUTED_VALUE"""),"N")</f>
        <v>N</v>
      </c>
      <c r="W1020" s="3">
        <f>IFERROR(__xludf.DUMMYFUNCTION("""COMPUTED_VALUE"""),211790.0)</f>
        <v>211790</v>
      </c>
      <c r="X1020" s="3" t="str">
        <f>IFERROR(__xludf.DUMMYFUNCTION("""COMPUTED_VALUE"""),"1/14-16 หมู่1 ตำบลพลา อำเภอบ้างฉาง จังหวัดระยอง 21130")</f>
        <v>1/14-16 หมู่1 ตำบลพลา อำเภอบ้างฉาง จังหวัดระยอง 21130</v>
      </c>
      <c r="Y1020" s="3"/>
      <c r="Z1020" s="3" t="str">
        <f>IFERROR(__xludf.DUMMYFUNCTION("""COMPUTED_VALUE"""),"พลา")</f>
        <v>พลา</v>
      </c>
      <c r="AA1020" s="3" t="str">
        <f>IFERROR(__xludf.DUMMYFUNCTION("""COMPUTED_VALUE"""),"บ้างฉาง")</f>
        <v>บ้างฉาง</v>
      </c>
      <c r="AB1020" s="3" t="str">
        <f>IFERROR(__xludf.DUMMYFUNCTION("""COMPUTED_VALUE"""),"ระยอง")</f>
        <v>ระยอง</v>
      </c>
      <c r="AC1020" s="3">
        <f>IFERROR(__xludf.DUMMYFUNCTION("""COMPUTED_VALUE"""),21130.0)</f>
        <v>21130</v>
      </c>
      <c r="AD1020" s="3">
        <f>IFERROR(__xludf.DUMMYFUNCTION("""COMPUTED_VALUE"""),12.725328)</f>
        <v>12.725328</v>
      </c>
      <c r="AE1020" s="3">
        <f>IFERROR(__xludf.DUMMYFUNCTION("""COMPUTED_VALUE"""),101.049764)</f>
        <v>101.049764</v>
      </c>
      <c r="AF1020" s="3" t="str">
        <f>IFERROR(__xludf.DUMMYFUNCTION("""COMPUTED_VALUE"""),"MBC ถนนเทศบำล25 บ้ำนฉำง ระยอง -21791")</f>
        <v>MBC ถนนเทศบำล25 บ้ำนฉำง ระยอง -21791</v>
      </c>
      <c r="AG1020" s="3" t="str">
        <f>IFERROR(__xludf.DUMMYFUNCTION("""COMPUTED_VALUE"""),"ตะวันออก")</f>
        <v>ตะวันออก</v>
      </c>
      <c r="AH1020" s="3" t="str">
        <f>IFERROR(__xludf.DUMMYFUNCTION("""COMPUTED_VALUE"""),"#N/A")</f>
        <v>#N/A</v>
      </c>
      <c r="AI1020" s="3" t="str">
        <f>IFERROR(__xludf.DUMMYFUNCTION("""COMPUTED_VALUE"""),"Out of warranty")</f>
        <v>Out of warranty</v>
      </c>
      <c r="AJ1020" s="3">
        <f>IFERROR(__xludf.DUMMYFUNCTION("""COMPUTED_VALUE"""),81.0)</f>
        <v>81</v>
      </c>
      <c r="AK1020" s="3" t="str">
        <f>IFERROR(__xludf.DUMMYFUNCTION("""COMPUTED_VALUE"""),"MMS07")</f>
        <v>MMS07</v>
      </c>
      <c r="AL1020" s="3"/>
    </row>
    <row r="1021" ht="15.75" customHeight="1">
      <c r="A1021" s="1" t="str">
        <f>IFERROR(__xludf.DUMMYFUNCTION("""COMPUTED_VALUE"""),"21792")</f>
        <v>21792</v>
      </c>
      <c r="B1021" s="2">
        <f>IFERROR(__xludf.DUMMYFUNCTION("""COMPUTED_VALUE"""),21792.0)</f>
        <v>21792</v>
      </c>
      <c r="C1021" s="3" t="str">
        <f>IFERROR(__xludf.DUMMYFUNCTION("""COMPUTED_VALUE"""),"MBC เอื้ออาทรวัดวังหิน ชลบุรี")</f>
        <v>MBC เอื้ออาทรวัดวังหิน ชลบุรี</v>
      </c>
      <c r="D1021" s="3" t="str">
        <f>IFERROR(__xludf.DUMMYFUNCTION("""COMPUTED_VALUE"""),"BCM EUR ARTHORN WAT WANG HIN")</f>
        <v>BCM EUR ARTHORN WAT WANG HIN</v>
      </c>
      <c r="E1021" s="1" t="str">
        <f>IFERROR(__xludf.DUMMYFUNCTION("""COMPUTED_VALUE"""),"บิ๊กซี MINI")</f>
        <v>บิ๊กซี MINI</v>
      </c>
      <c r="F1021" s="1" t="str">
        <f>IFERROR(__xludf.DUMMYFUNCTION("""COMPUTED_VALUE"""),"221716")</f>
        <v>221716</v>
      </c>
      <c r="G1021" s="1" t="str">
        <f>IFERROR(__xludf.DUMMYFUNCTION("""COMPUTED_VALUE"""),"น.ส.เบญจพร โพธิสาร")</f>
        <v>น.ส.เบญจพร โพธิสาร</v>
      </c>
      <c r="H1021" s="1" t="str">
        <f>IFERROR(__xludf.DUMMYFUNCTION("""COMPUTED_VALUE"""),"476018")</f>
        <v>476018</v>
      </c>
      <c r="I1021" s="1" t="str">
        <f>IFERROR(__xludf.DUMMYFUNCTION("""COMPUTED_VALUE"""),"นายศราวุฒิ ชูพันดุง")</f>
        <v>นายศราวุฒิ ชูพันดุง</v>
      </c>
      <c r="J1021" s="3">
        <f>IFERROR(__xludf.DUMMYFUNCTION("""COMPUTED_VALUE"""),1.3461215E7)</f>
        <v>13461215</v>
      </c>
      <c r="K1021" s="3" t="str">
        <f>IFERROR(__xludf.DUMMYFUNCTION("""COMPUTED_VALUE"""),"นายธีรภัทร สังข์เงิน")</f>
        <v>นายธีรภัทร สังข์เงิน</v>
      </c>
      <c r="L1021" s="1" t="str">
        <f>IFERROR(__xludf.DUMMYFUNCTION("""COMPUTED_VALUE"""),"06 K.Teerapat")</f>
        <v>06 K.Teerapat</v>
      </c>
      <c r="M1021" s="1" t="str">
        <f>IFERROR(__xludf.DUMMYFUNCTION("""COMPUTED_VALUE"""),"063-601-6803")</f>
        <v>063-601-6803</v>
      </c>
      <c r="N1021" s="3">
        <f>IFERROR(__xludf.DUMMYFUNCTION("""COMPUTED_VALUE"""),22115.0)</f>
        <v>22115</v>
      </c>
      <c r="O1021" s="3" t="str">
        <f>IFERROR(__xludf.DUMMYFUNCTION("""COMPUTED_VALUE"""),"MBC เลี่ยงหนองมน ชลบุรี")</f>
        <v>MBC เลี่ยงหนองมน ชลบุรี</v>
      </c>
      <c r="P1021" s="4">
        <f>IFERROR(__xludf.DUMMYFUNCTION("""COMPUTED_VALUE"""),43585.0)</f>
        <v>43585</v>
      </c>
      <c r="Q1021" s="3" t="str">
        <f>IFERROR(__xludf.DUMMYFUNCTION("""COMPUTED_VALUE"""),"A")</f>
        <v>A</v>
      </c>
      <c r="R1021" s="3" t="str">
        <f>IFERROR(__xludf.DUMMYFUNCTION("""COMPUTED_VALUE"""),"Small Format")</f>
        <v>Small Format</v>
      </c>
      <c r="S1021" s="3" t="str">
        <f>IFERROR(__xludf.DUMMYFUNCTION("""COMPUTED_VALUE"""),"BCM")</f>
        <v>BCM</v>
      </c>
      <c r="T1021" s="3" t="str">
        <f>IFERROR(__xludf.DUMMYFUNCTION("""COMPUTED_VALUE"""),"#N/A")</f>
        <v>#N/A</v>
      </c>
      <c r="U1021" s="3" t="str">
        <f>IFERROR(__xludf.DUMMYFUNCTION("""COMPUTED_VALUE"""),"#N/A")</f>
        <v>#N/A</v>
      </c>
      <c r="V1021" s="3" t="str">
        <f>IFERROR(__xludf.DUMMYFUNCTION("""COMPUTED_VALUE"""),"N")</f>
        <v>N</v>
      </c>
      <c r="W1021" s="3">
        <f>IFERROR(__xludf.DUMMYFUNCTION("""COMPUTED_VALUE"""),211782.0)</f>
        <v>211782</v>
      </c>
      <c r="X1021" s="3" t="str">
        <f>IFERROR(__xludf.DUMMYFUNCTION("""COMPUTED_VALUE"""),"50/21 หมู่1 ตำบลสุรศักดิ์ อำเภอศรีราชา จังหวัดชลบุรี 20110")</f>
        <v>50/21 หมู่1 ตำบลสุรศักดิ์ อำเภอศรีราชา จังหวัดชลบุรี 20110</v>
      </c>
      <c r="Y1021" s="3"/>
      <c r="Z1021" s="3" t="str">
        <f>IFERROR(__xludf.DUMMYFUNCTION("""COMPUTED_VALUE"""),"สุรศักดิ์")</f>
        <v>สุรศักดิ์</v>
      </c>
      <c r="AA1021" s="3" t="str">
        <f>IFERROR(__xludf.DUMMYFUNCTION("""COMPUTED_VALUE"""),"ศรีราชา")</f>
        <v>ศรีราชา</v>
      </c>
      <c r="AB1021" s="3" t="str">
        <f>IFERROR(__xludf.DUMMYFUNCTION("""COMPUTED_VALUE"""),"ชลบุรี")</f>
        <v>ชลบุรี</v>
      </c>
      <c r="AC1021" s="3">
        <f>IFERROR(__xludf.DUMMYFUNCTION("""COMPUTED_VALUE"""),20110.0)</f>
        <v>20110</v>
      </c>
      <c r="AD1021" s="3">
        <f>IFERROR(__xludf.DUMMYFUNCTION("""COMPUTED_VALUE"""),13.176784)</f>
        <v>13.176784</v>
      </c>
      <c r="AE1021" s="3">
        <f>IFERROR(__xludf.DUMMYFUNCTION("""COMPUTED_VALUE"""),100.940511)</f>
        <v>100.940511</v>
      </c>
      <c r="AF1021" s="3" t="str">
        <f>IFERROR(__xludf.DUMMYFUNCTION("""COMPUTED_VALUE"""),"MBC เอื้ออาทรวัดวังหิน ชลบุรี-21792")</f>
        <v>MBC เอื้ออาทรวัดวังหิน ชลบุรี-21792</v>
      </c>
      <c r="AG1021" s="3" t="str">
        <f>IFERROR(__xludf.DUMMYFUNCTION("""COMPUTED_VALUE"""),"ตะวันออก")</f>
        <v>ตะวันออก</v>
      </c>
      <c r="AH1021" s="3" t="str">
        <f>IFERROR(__xludf.DUMMYFUNCTION("""COMPUTED_VALUE"""),"#N/A")</f>
        <v>#N/A</v>
      </c>
      <c r="AI1021" s="3" t="str">
        <f>IFERROR(__xludf.DUMMYFUNCTION("""COMPUTED_VALUE"""),"Out of warranty")</f>
        <v>Out of warranty</v>
      </c>
      <c r="AJ1021" s="3">
        <f>IFERROR(__xludf.DUMMYFUNCTION("""COMPUTED_VALUE"""),81.0)</f>
        <v>81</v>
      </c>
      <c r="AK1021" s="3" t="str">
        <f>IFERROR(__xludf.DUMMYFUNCTION("""COMPUTED_VALUE"""),"MMS06")</f>
        <v>MMS06</v>
      </c>
      <c r="AL1021" s="3"/>
    </row>
    <row r="1022" ht="15.75" customHeight="1">
      <c r="A1022" s="1" t="str">
        <f>IFERROR(__xludf.DUMMYFUNCTION("""COMPUTED_VALUE"""),"21793")</f>
        <v>21793</v>
      </c>
      <c r="B1022" s="2">
        <f>IFERROR(__xludf.DUMMYFUNCTION("""COMPUTED_VALUE"""),21793.0)</f>
        <v>21793</v>
      </c>
      <c r="C1022" s="3" t="str">
        <f>IFERROR(__xludf.DUMMYFUNCTION("""COMPUTED_VALUE"""),"MBC คาลเท็กซ์พรานนก-พุทธมณฑลสาย4 กรุงเทพฯ")</f>
        <v>MBC คาลเท็กซ์พรานนก-พุทธมณฑลสาย4 กรุงเทพฯ</v>
      </c>
      <c r="D1022" s="3" t="str">
        <f>IFERROR(__xludf.DUMMYFUNCTION("""COMPUTED_VALUE"""),"BCM CALTEX PRANNOK,BANGKOK")</f>
        <v>BCM CALTEX PRANNOK,BANGKOK</v>
      </c>
      <c r="E1022" s="1" t="str">
        <f>IFERROR(__xludf.DUMMYFUNCTION("""COMPUTED_VALUE"""),"บิ๊กซี MINI")</f>
        <v>บิ๊กซี MINI</v>
      </c>
      <c r="F1022" s="1" t="str">
        <f>IFERROR(__xludf.DUMMYFUNCTION("""COMPUTED_VALUE"""),"291008")</f>
        <v>291008</v>
      </c>
      <c r="G1022" s="1" t="str">
        <f>IFERROR(__xludf.DUMMYFUNCTION("""COMPUTED_VALUE"""),"น.ส.รัชดาพร อีศรัตน์")</f>
        <v>น.ส.รัชดาพร อีศรัตน์</v>
      </c>
      <c r="H1022" s="1" t="str">
        <f>IFERROR(__xludf.DUMMYFUNCTION("""COMPUTED_VALUE"""),"291101")</f>
        <v>291101</v>
      </c>
      <c r="I1022" s="1" t="str">
        <f>IFERROR(__xludf.DUMMYFUNCTION("""COMPUTED_VALUE"""),"นายจักรพงศ์ โพธิ์ศรี")</f>
        <v>นายจักรพงศ์ โพธิ์ศรี</v>
      </c>
      <c r="J1022" s="3">
        <f>IFERROR(__xludf.DUMMYFUNCTION("""COMPUTED_VALUE"""),296608.0)</f>
        <v>296608</v>
      </c>
      <c r="K1022" s="3" t="str">
        <f>IFERROR(__xludf.DUMMYFUNCTION("""COMPUTED_VALUE"""),"นายภาคภูมิ เพ็ชรนิล")</f>
        <v>นายภาคภูมิ เพ็ชรนิล</v>
      </c>
      <c r="L1022" s="1" t="str">
        <f>IFERROR(__xludf.DUMMYFUNCTION("""COMPUTED_VALUE"""),"10 K.Phakphoom P.")</f>
        <v>10 K.Phakphoom P.</v>
      </c>
      <c r="M1022" s="1" t="str">
        <f>IFERROR(__xludf.DUMMYFUNCTION("""COMPUTED_VALUE"""),"063-8955329")</f>
        <v>063-8955329</v>
      </c>
      <c r="N1022" s="3">
        <f>IFERROR(__xludf.DUMMYFUNCTION("""COMPUTED_VALUE"""),22584.0)</f>
        <v>22584</v>
      </c>
      <c r="O1022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022" s="4">
        <f>IFERROR(__xludf.DUMMYFUNCTION("""COMPUTED_VALUE"""),43645.0)</f>
        <v>43645</v>
      </c>
      <c r="Q1022" s="3" t="str">
        <f>IFERROR(__xludf.DUMMYFUNCTION("""COMPUTED_VALUE"""),"A")</f>
        <v>A</v>
      </c>
      <c r="R1022" s="3" t="str">
        <f>IFERROR(__xludf.DUMMYFUNCTION("""COMPUTED_VALUE"""),"Small Format")</f>
        <v>Small Format</v>
      </c>
      <c r="S1022" s="3" t="str">
        <f>IFERROR(__xludf.DUMMYFUNCTION("""COMPUTED_VALUE"""),"BCM")</f>
        <v>BCM</v>
      </c>
      <c r="T1022" s="3" t="str">
        <f>IFERROR(__xludf.DUMMYFUNCTION("""COMPUTED_VALUE"""),"#N/A")</f>
        <v>#N/A</v>
      </c>
      <c r="U1022" s="3" t="str">
        <f>IFERROR(__xludf.DUMMYFUNCTION("""COMPUTED_VALUE"""),"#N/A")</f>
        <v>#N/A</v>
      </c>
      <c r="V1022" s="3" t="str">
        <f>IFERROR(__xludf.DUMMYFUNCTION("""COMPUTED_VALUE"""),"N")</f>
        <v>N</v>
      </c>
      <c r="W1022" s="3">
        <f>IFERROR(__xludf.DUMMYFUNCTION("""COMPUTED_VALUE"""),211774.0)</f>
        <v>211774</v>
      </c>
      <c r="X1022" s="3" t="str">
        <f>IFERROR(__xludf.DUMMYFUNCTION("""COMPUTED_VALUE"""),"481/1 ถนนพรานนก-พุทธมณฑล แขวงบางพรม เขตตลิ่งชัน กรุงเทพมหานคร 10170")</f>
        <v>481/1 ถนนพรานนก-พุทธมณฑล แขวงบางพรม เขตตลิ่งชัน กรุงเทพมหานคร 10170</v>
      </c>
      <c r="Y1022" s="3" t="str">
        <f>IFERROR(__xludf.DUMMYFUNCTION("""COMPUTED_VALUE"""),"ถนนพรานนก-พุทธมณฑล")</f>
        <v>ถนนพรานนก-พุทธมณฑล</v>
      </c>
      <c r="Z1022" s="3" t="str">
        <f>IFERROR(__xludf.DUMMYFUNCTION("""COMPUTED_VALUE"""),"บางพรม")</f>
        <v>บางพรม</v>
      </c>
      <c r="AA1022" s="3" t="str">
        <f>IFERROR(__xludf.DUMMYFUNCTION("""COMPUTED_VALUE"""),"ตลิ่งชัน")</f>
        <v>ตลิ่งชัน</v>
      </c>
      <c r="AB1022" s="3" t="str">
        <f>IFERROR(__xludf.DUMMYFUNCTION("""COMPUTED_VALUE"""),"กรุงเทพมหานคร")</f>
        <v>กรุงเทพมหานคร</v>
      </c>
      <c r="AC1022" s="3">
        <f>IFERROR(__xludf.DUMMYFUNCTION("""COMPUTED_VALUE"""),10170.0)</f>
        <v>10170</v>
      </c>
      <c r="AD1022" s="3">
        <f>IFERROR(__xludf.DUMMYFUNCTION("""COMPUTED_VALUE"""),13.75181)</f>
        <v>13.75181</v>
      </c>
      <c r="AE1022" s="3">
        <f>IFERROR(__xludf.DUMMYFUNCTION("""COMPUTED_VALUE"""),100.4488)</f>
        <v>100.4488</v>
      </c>
      <c r="AF1022" s="3" t="str">
        <f>IFERROR(__xludf.DUMMYFUNCTION("""COMPUTED_VALUE"""),"MBC คาลเท็กซ์พรานนก-พุทธมณฑลสาย4 กรุงเทพฯ-21793")</f>
        <v>MBC คาลเท็กซ์พรานนก-พุทธมณฑลสาย4 กรุงเทพฯ-21793</v>
      </c>
      <c r="AG1022" s="3" t="str">
        <f>IFERROR(__xludf.DUMMYFUNCTION("""COMPUTED_VALUE"""),"กลาง")</f>
        <v>กลาง</v>
      </c>
      <c r="AH1022" s="3" t="str">
        <f>IFERROR(__xludf.DUMMYFUNCTION("""COMPUTED_VALUE"""),"#N/A")</f>
        <v>#N/A</v>
      </c>
      <c r="AI1022" s="3" t="str">
        <f>IFERROR(__xludf.DUMMYFUNCTION("""COMPUTED_VALUE"""),"Out of warranty")</f>
        <v>Out of warranty</v>
      </c>
      <c r="AJ1022" s="3">
        <f>IFERROR(__xludf.DUMMYFUNCTION("""COMPUTED_VALUE"""),79.0)</f>
        <v>79</v>
      </c>
      <c r="AK1022" s="3" t="str">
        <f>IFERROR(__xludf.DUMMYFUNCTION("""COMPUTED_VALUE"""),"MMS02")</f>
        <v>MMS02</v>
      </c>
      <c r="AL1022" s="3"/>
    </row>
    <row r="1023" ht="15.75" customHeight="1">
      <c r="A1023" s="1" t="str">
        <f>IFERROR(__xludf.DUMMYFUNCTION("""COMPUTED_VALUE"""),"21794")</f>
        <v>21794</v>
      </c>
      <c r="B1023" s="2">
        <f>IFERROR(__xludf.DUMMYFUNCTION("""COMPUTED_VALUE"""),21794.0)</f>
        <v>21794</v>
      </c>
      <c r="C1023" s="3" t="str">
        <f>IFERROR(__xludf.DUMMYFUNCTION("""COMPUTED_VALUE"""),"MBC เอสซี วังตาผิน ระยอง")</f>
        <v>MBC เอสซี วังตาผิน ระยอง</v>
      </c>
      <c r="D1023" s="3" t="str">
        <f>IFERROR(__xludf.DUMMYFUNCTION("""COMPUTED_VALUE"""),"BCM SC WANGTAPIN,RAYONG")</f>
        <v>BCM SC WANGTAPIN,RAYONG</v>
      </c>
      <c r="E1023" s="1" t="str">
        <f>IFERROR(__xludf.DUMMYFUNCTION("""COMPUTED_VALUE"""),"บิ๊กซี MINI")</f>
        <v>บิ๊กซี MINI</v>
      </c>
      <c r="F1023" s="1" t="str">
        <f>IFERROR(__xludf.DUMMYFUNCTION("""COMPUTED_VALUE"""),"221716")</f>
        <v>221716</v>
      </c>
      <c r="G1023" s="1" t="str">
        <f>IFERROR(__xludf.DUMMYFUNCTION("""COMPUTED_VALUE"""),"น.ส.เบญจพร โพธิสาร")</f>
        <v>น.ส.เบญจพร โพธิสาร</v>
      </c>
      <c r="H1023" s="1" t="str">
        <f>IFERROR(__xludf.DUMMYFUNCTION("""COMPUTED_VALUE"""),"371384")</f>
        <v>371384</v>
      </c>
      <c r="I1023" s="1" t="str">
        <f>IFERROR(__xludf.DUMMYFUNCTION("""COMPUTED_VALUE"""),"น.ส.นิลเนตร สิงห์ทอง")</f>
        <v>น.ส.นิลเนตร สิงห์ทอง</v>
      </c>
      <c r="J1023" s="3">
        <f>IFERROR(__xludf.DUMMYFUNCTION("""COMPUTED_VALUE"""),2452376.0)</f>
        <v>2452376</v>
      </c>
      <c r="K1023" s="3" t="str">
        <f>IFERROR(__xludf.DUMMYFUNCTION("""COMPUTED_VALUE"""),"นายภาคภูมิ ทวีกุล")</f>
        <v>นายภาคภูมิ ทวีกุล</v>
      </c>
      <c r="L1023" s="1" t="str">
        <f>IFERROR(__xludf.DUMMYFUNCTION("""COMPUTED_VALUE"""),"08 K.Parkphum T.")</f>
        <v>08 K.Parkphum T.</v>
      </c>
      <c r="M1023" s="1" t="str">
        <f>IFERROR(__xludf.DUMMYFUNCTION("""COMPUTED_VALUE"""),"097-919-5476")</f>
        <v>097-919-5476</v>
      </c>
      <c r="N1023" s="3">
        <f>IFERROR(__xludf.DUMMYFUNCTION("""COMPUTED_VALUE"""),22028.0)</f>
        <v>22028</v>
      </c>
      <c r="O1023" s="3" t="str">
        <f>IFERROR(__xludf.DUMMYFUNCTION("""COMPUTED_VALUE"""),"MBC ทํบมา ระยอง")</f>
        <v>MBC ทํบมา ระยอง</v>
      </c>
      <c r="P1023" s="4">
        <f>IFERROR(__xludf.DUMMYFUNCTION("""COMPUTED_VALUE"""),43589.0)</f>
        <v>43589</v>
      </c>
      <c r="Q1023" s="3" t="str">
        <f>IFERROR(__xludf.DUMMYFUNCTION("""COMPUTED_VALUE"""),"A")</f>
        <v>A</v>
      </c>
      <c r="R1023" s="3" t="str">
        <f>IFERROR(__xludf.DUMMYFUNCTION("""COMPUTED_VALUE"""),"Small Format")</f>
        <v>Small Format</v>
      </c>
      <c r="S1023" s="3" t="str">
        <f>IFERROR(__xludf.DUMMYFUNCTION("""COMPUTED_VALUE"""),"BCM")</f>
        <v>BCM</v>
      </c>
      <c r="T1023" s="3" t="str">
        <f>IFERROR(__xludf.DUMMYFUNCTION("""COMPUTED_VALUE"""),"#N/A")</f>
        <v>#N/A</v>
      </c>
      <c r="U1023" s="3" t="str">
        <f>IFERROR(__xludf.DUMMYFUNCTION("""COMPUTED_VALUE"""),"#N/A")</f>
        <v>#N/A</v>
      </c>
      <c r="V1023" s="3" t="str">
        <f>IFERROR(__xludf.DUMMYFUNCTION("""COMPUTED_VALUE"""),"N")</f>
        <v>N</v>
      </c>
      <c r="W1023" s="3">
        <f>IFERROR(__xludf.DUMMYFUNCTION("""COMPUTED_VALUE"""),211769.0)</f>
        <v>211769</v>
      </c>
      <c r="X1023" s="3" t="str">
        <f>IFERROR(__xludf.DUMMYFUNCTION("""COMPUTED_VALUE"""),"352 หมู่4 ตำบลปลวกแดง อำเภอปลวกแดง จังหวัดระยอง 21140")</f>
        <v>352 หมู่4 ตำบลปลวกแดง อำเภอปลวกแดง จังหวัดระยอง 21140</v>
      </c>
      <c r="Y1023" s="3"/>
      <c r="Z1023" s="3" t="str">
        <f>IFERROR(__xludf.DUMMYFUNCTION("""COMPUTED_VALUE"""),"ปลวกแดง")</f>
        <v>ปลวกแดง</v>
      </c>
      <c r="AA1023" s="3" t="str">
        <f>IFERROR(__xludf.DUMMYFUNCTION("""COMPUTED_VALUE"""),"ปลวกแดง")</f>
        <v>ปลวกแดง</v>
      </c>
      <c r="AB1023" s="3" t="str">
        <f>IFERROR(__xludf.DUMMYFUNCTION("""COMPUTED_VALUE"""),"ระยอง")</f>
        <v>ระยอง</v>
      </c>
      <c r="AC1023" s="3">
        <f>IFERROR(__xludf.DUMMYFUNCTION("""COMPUTED_VALUE"""),21140.0)</f>
        <v>21140</v>
      </c>
      <c r="AD1023" s="3">
        <f>IFERROR(__xludf.DUMMYFUNCTION("""COMPUTED_VALUE"""),12.980316)</f>
        <v>12.980316</v>
      </c>
      <c r="AE1023" s="3">
        <f>IFERROR(__xludf.DUMMYFUNCTION("""COMPUTED_VALUE"""),101.193265)</f>
        <v>101.193265</v>
      </c>
      <c r="AF1023" s="3" t="str">
        <f>IFERROR(__xludf.DUMMYFUNCTION("""COMPUTED_VALUE"""),"MBC เอสซี วังตาผิน ระยอง-21794")</f>
        <v>MBC เอสซี วังตาผิน ระยอง-21794</v>
      </c>
      <c r="AG1023" s="3" t="str">
        <f>IFERROR(__xludf.DUMMYFUNCTION("""COMPUTED_VALUE"""),"ตะวันออก")</f>
        <v>ตะวันออก</v>
      </c>
      <c r="AH1023" s="3" t="str">
        <f>IFERROR(__xludf.DUMMYFUNCTION("""COMPUTED_VALUE"""),"#N/A")</f>
        <v>#N/A</v>
      </c>
      <c r="AI1023" s="3" t="str">
        <f>IFERROR(__xludf.DUMMYFUNCTION("""COMPUTED_VALUE"""),"Out of warranty")</f>
        <v>Out of warranty</v>
      </c>
      <c r="AJ1023" s="3">
        <f>IFERROR(__xludf.DUMMYFUNCTION("""COMPUTED_VALUE"""),81.0)</f>
        <v>81</v>
      </c>
      <c r="AK1023" s="3" t="str">
        <f>IFERROR(__xludf.DUMMYFUNCTION("""COMPUTED_VALUE"""),"MMS07")</f>
        <v>MMS07</v>
      </c>
      <c r="AL1023" s="3"/>
    </row>
    <row r="1024" ht="15.75" customHeight="1">
      <c r="A1024" s="1" t="str">
        <f>IFERROR(__xludf.DUMMYFUNCTION("""COMPUTED_VALUE"""),"21795")</f>
        <v>21795</v>
      </c>
      <c r="B1024" s="2">
        <f>IFERROR(__xludf.DUMMYFUNCTION("""COMPUTED_VALUE"""),21795.0)</f>
        <v>21795</v>
      </c>
      <c r="C1024" s="3" t="str">
        <f>IFERROR(__xludf.DUMMYFUNCTION("""COMPUTED_VALUE"""),"MBC เอสโซ่ ถนนสระหลวง")</f>
        <v>MBC เอสโซ่ ถนนสระหลวง</v>
      </c>
      <c r="D1024" s="3" t="str">
        <f>IFERROR(__xludf.DUMMYFUNCTION("""COMPUTED_VALUE"""),"BCM ESSO THANON SRA LUANG")</f>
        <v>BCM ESSO THANON SRA LUANG</v>
      </c>
      <c r="E1024" s="1" t="str">
        <f>IFERROR(__xludf.DUMMYFUNCTION("""COMPUTED_VALUE"""),"บิ๊กซี MINI")</f>
        <v>บิ๊กซี MINI</v>
      </c>
      <c r="F1024" s="1" t="str">
        <f>IFERROR(__xludf.DUMMYFUNCTION("""COMPUTED_VALUE"""),"296229")</f>
        <v>296229</v>
      </c>
      <c r="G1024" s="1" t="str">
        <f>IFERROR(__xludf.DUMMYFUNCTION("""COMPUTED_VALUE"""),"นายทนงศักดิ์ บุญมา")</f>
        <v>นายทนงศักดิ์ บุญมา</v>
      </c>
      <c r="H1024" s="1" t="str">
        <f>IFERROR(__xludf.DUMMYFUNCTION("""COMPUTED_VALUE"""),"291082")</f>
        <v>291082</v>
      </c>
      <c r="I1024" s="1" t="str">
        <f>IFERROR(__xludf.DUMMYFUNCTION("""COMPUTED_VALUE"""),"น.ส.วจี กันเกตุ")</f>
        <v>น.ส.วจี กันเกตุ</v>
      </c>
      <c r="J1024" s="3">
        <f>IFERROR(__xludf.DUMMYFUNCTION("""COMPUTED_VALUE"""),46214.0)</f>
        <v>46214</v>
      </c>
      <c r="K1024" s="3" t="str">
        <f>IFERROR(__xludf.DUMMYFUNCTION("""COMPUTED_VALUE"""),"นายศักดิ์ชัย เด็ดดอกฟ้า")</f>
        <v>นายศักดิ์ชัย เด็ดดอกฟ้า</v>
      </c>
      <c r="L1024" s="1" t="str">
        <f>IFERROR(__xludf.DUMMYFUNCTION("""COMPUTED_VALUE"""),"02 K.Sakchai D")</f>
        <v>02 K.Sakchai D</v>
      </c>
      <c r="M1024" s="1" t="str">
        <f>IFERROR(__xludf.DUMMYFUNCTION("""COMPUTED_VALUE"""),"065-510-7376")</f>
        <v>065-510-7376</v>
      </c>
      <c r="N1024" s="3">
        <f>IFERROR(__xludf.DUMMYFUNCTION("""COMPUTED_VALUE"""),21714.0)</f>
        <v>21714</v>
      </c>
      <c r="O1024" s="3" t="str">
        <f>IFERROR(__xludf.DUMMYFUNCTION("""COMPUTED_VALUE"""),"MBC เอสโซ่ วัดโบสถ์")</f>
        <v>MBC เอสโซ่ วัดโบสถ์</v>
      </c>
      <c r="P1024" s="4">
        <f>IFERROR(__xludf.DUMMYFUNCTION("""COMPUTED_VALUE"""),43644.0)</f>
        <v>43644</v>
      </c>
      <c r="Q1024" s="3" t="str">
        <f>IFERROR(__xludf.DUMMYFUNCTION("""COMPUTED_VALUE"""),"A")</f>
        <v>A</v>
      </c>
      <c r="R1024" s="3" t="str">
        <f>IFERROR(__xludf.DUMMYFUNCTION("""COMPUTED_VALUE"""),"Small Format")</f>
        <v>Small Format</v>
      </c>
      <c r="S1024" s="3" t="str">
        <f>IFERROR(__xludf.DUMMYFUNCTION("""COMPUTED_VALUE"""),"BCM")</f>
        <v>BCM</v>
      </c>
      <c r="T1024" s="3" t="str">
        <f>IFERROR(__xludf.DUMMYFUNCTION("""COMPUTED_VALUE"""),"#N/A")</f>
        <v>#N/A</v>
      </c>
      <c r="U1024" s="3" t="str">
        <f>IFERROR(__xludf.DUMMYFUNCTION("""COMPUTED_VALUE"""),"#N/A")</f>
        <v>#N/A</v>
      </c>
      <c r="V1024" s="3" t="str">
        <f>IFERROR(__xludf.DUMMYFUNCTION("""COMPUTED_VALUE"""),"N")</f>
        <v>N</v>
      </c>
      <c r="W1024" s="3">
        <f>IFERROR(__xludf.DUMMYFUNCTION("""COMPUTED_VALUE"""),211719.0)</f>
        <v>211719</v>
      </c>
      <c r="X1024" s="3" t="str">
        <f>IFERROR(__xludf.DUMMYFUNCTION("""COMPUTED_VALUE"""),"24/184 ถนนสระหลวง ตำบลในเมือง อำเภอเมืองพิจิตร จังหวัดพิจิตร 66000")</f>
        <v>24/184 ถนนสระหลวง ตำบลในเมือง อำเภอเมืองพิจิตร จังหวัดพิจิตร 66000</v>
      </c>
      <c r="Y1024" s="3" t="str">
        <f>IFERROR(__xludf.DUMMYFUNCTION("""COMPUTED_VALUE"""),"ถนนสระหลวง")</f>
        <v>ถนนสระหลวง</v>
      </c>
      <c r="Z1024" s="3" t="str">
        <f>IFERROR(__xludf.DUMMYFUNCTION("""COMPUTED_VALUE"""),"ในเมือง")</f>
        <v>ในเมือง</v>
      </c>
      <c r="AA1024" s="3" t="str">
        <f>IFERROR(__xludf.DUMMYFUNCTION("""COMPUTED_VALUE"""),"เมือง")</f>
        <v>เมือง</v>
      </c>
      <c r="AB1024" s="3" t="str">
        <f>IFERROR(__xludf.DUMMYFUNCTION("""COMPUTED_VALUE"""),"พิจิตร")</f>
        <v>พิจิตร</v>
      </c>
      <c r="AC1024" s="3">
        <f>IFERROR(__xludf.DUMMYFUNCTION("""COMPUTED_VALUE"""),66000.0)</f>
        <v>66000</v>
      </c>
      <c r="AD1024" s="3">
        <f>IFERROR(__xludf.DUMMYFUNCTION("""COMPUTED_VALUE"""),16.4347)</f>
        <v>16.4347</v>
      </c>
      <c r="AE1024" s="3">
        <f>IFERROR(__xludf.DUMMYFUNCTION("""COMPUTED_VALUE"""),100.3423)</f>
        <v>100.3423</v>
      </c>
      <c r="AF1024" s="3" t="str">
        <f>IFERROR(__xludf.DUMMYFUNCTION("""COMPUTED_VALUE"""),"MBC เอสโซ่ ถนนสระหลวง-21795")</f>
        <v>MBC เอสโซ่ ถนนสระหลวง-21795</v>
      </c>
      <c r="AG1024" s="3" t="str">
        <f>IFERROR(__xludf.DUMMYFUNCTION("""COMPUTED_VALUE"""),"กลาง")</f>
        <v>กลาง</v>
      </c>
      <c r="AH1024" s="3" t="str">
        <f>IFERROR(__xludf.DUMMYFUNCTION("""COMPUTED_VALUE"""),"#N/A")</f>
        <v>#N/A</v>
      </c>
      <c r="AI1024" s="3" t="str">
        <f>IFERROR(__xludf.DUMMYFUNCTION("""COMPUTED_VALUE"""),"Out of warranty")</f>
        <v>Out of warranty</v>
      </c>
      <c r="AJ1024" s="3">
        <f>IFERROR(__xludf.DUMMYFUNCTION("""COMPUTED_VALUE"""),79.0)</f>
        <v>79</v>
      </c>
      <c r="AK1024" s="3" t="str">
        <f>IFERROR(__xludf.DUMMYFUNCTION("""COMPUTED_VALUE"""),"MMS09")</f>
        <v>MMS09</v>
      </c>
      <c r="AL1024" s="3"/>
    </row>
    <row r="1025" ht="15.75" customHeight="1">
      <c r="A1025" s="1" t="str">
        <f>IFERROR(__xludf.DUMMYFUNCTION("""COMPUTED_VALUE"""),"21796")</f>
        <v>21796</v>
      </c>
      <c r="B1025" s="2">
        <f>IFERROR(__xludf.DUMMYFUNCTION("""COMPUTED_VALUE"""),21796.0)</f>
        <v>21796</v>
      </c>
      <c r="C1025" s="3" t="str">
        <f>IFERROR(__xludf.DUMMYFUNCTION("""COMPUTED_VALUE"""),"MBC บางพลีน้อย สมุทรปราการ")</f>
        <v>MBC บางพลีน้อย สมุทรปราการ</v>
      </c>
      <c r="D1025" s="3" t="str">
        <f>IFERROR(__xludf.DUMMYFUNCTION("""COMPUTED_VALUE"""),"BCM BANG PHLI NOI")</f>
        <v>BCM BANG PHLI NOI</v>
      </c>
      <c r="E1025" s="1" t="str">
        <f>IFERROR(__xludf.DUMMYFUNCTION("""COMPUTED_VALUE"""),"บิ๊กซี MINI")</f>
        <v>บิ๊กซี MINI</v>
      </c>
      <c r="F1025" s="1" t="str">
        <f>IFERROR(__xludf.DUMMYFUNCTION("""COMPUTED_VALUE"""),"2083447")</f>
        <v>2083447</v>
      </c>
      <c r="G1025" s="1" t="str">
        <f>IFERROR(__xludf.DUMMYFUNCTION("""COMPUTED_VALUE"""),"นายอนุกูล ศรีลัดดา")</f>
        <v>นายอนุกูล ศรีลัดดา</v>
      </c>
      <c r="H1025" s="1" t="str">
        <f>IFERROR(__xludf.DUMMYFUNCTION("""COMPUTED_VALUE"""),"284752")</f>
        <v>284752</v>
      </c>
      <c r="I1025" s="1" t="str">
        <f>IFERROR(__xludf.DUMMYFUNCTION("""COMPUTED_VALUE"""),"น.ส.วีรนันท์ แสงใส")</f>
        <v>น.ส.วีรนันท์ แสงใส</v>
      </c>
      <c r="J1025" s="3">
        <f>IFERROR(__xludf.DUMMYFUNCTION("""COMPUTED_VALUE"""),2451655.0)</f>
        <v>2451655</v>
      </c>
      <c r="K1025" s="3" t="str">
        <f>IFERROR(__xludf.DUMMYFUNCTION("""COMPUTED_VALUE"""),"นายวิษณุพงษ์ ชินบุตร")</f>
        <v>นายวิษณุพงษ์ ชินบุตร</v>
      </c>
      <c r="L1025" s="1" t="str">
        <f>IFERROR(__xludf.DUMMYFUNCTION("""COMPUTED_VALUE"""),"13 K.Wisanupong Ch")</f>
        <v>13 K.Wisanupong Ch</v>
      </c>
      <c r="M1025" s="1" t="str">
        <f>IFERROR(__xludf.DUMMYFUNCTION("""COMPUTED_VALUE"""),"0843374693")</f>
        <v>0843374693</v>
      </c>
      <c r="N1025" s="3">
        <f>IFERROR(__xludf.DUMMYFUNCTION("""COMPUTED_VALUE"""),22729.0)</f>
        <v>22729</v>
      </c>
      <c r="O1025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025" s="4">
        <f>IFERROR(__xludf.DUMMYFUNCTION("""COMPUTED_VALUE"""),43718.0)</f>
        <v>43718</v>
      </c>
      <c r="Q1025" s="3" t="str">
        <f>IFERROR(__xludf.DUMMYFUNCTION("""COMPUTED_VALUE"""),"A")</f>
        <v>A</v>
      </c>
      <c r="R1025" s="3" t="str">
        <f>IFERROR(__xludf.DUMMYFUNCTION("""COMPUTED_VALUE"""),"Small Format")</f>
        <v>Small Format</v>
      </c>
      <c r="S1025" s="3" t="str">
        <f>IFERROR(__xludf.DUMMYFUNCTION("""COMPUTED_VALUE"""),"BCM")</f>
        <v>BCM</v>
      </c>
      <c r="T1025" s="3" t="str">
        <f>IFERROR(__xludf.DUMMYFUNCTION("""COMPUTED_VALUE"""),"#N/A")</f>
        <v>#N/A</v>
      </c>
      <c r="U1025" s="3" t="str">
        <f>IFERROR(__xludf.DUMMYFUNCTION("""COMPUTED_VALUE"""),"#N/A")</f>
        <v>#N/A</v>
      </c>
      <c r="V1025" s="3" t="str">
        <f>IFERROR(__xludf.DUMMYFUNCTION("""COMPUTED_VALUE"""),"N")</f>
        <v>N</v>
      </c>
      <c r="W1025" s="3">
        <f>IFERROR(__xludf.DUMMYFUNCTION("""COMPUTED_VALUE"""),211781.0)</f>
        <v>211781</v>
      </c>
      <c r="X1025" s="3" t="str">
        <f>IFERROR(__xludf.DUMMYFUNCTION("""COMPUTED_VALUE"""),"1/118 หมู่1 ตำบลบางพลีน้อย อำเภอบางบ่อ จังหวัดสมุทรปราการ 10560")</f>
        <v>1/118 หมู่1 ตำบลบางพลีน้อย อำเภอบางบ่อ จังหวัดสมุทรปราการ 10560</v>
      </c>
      <c r="Y1025" s="3"/>
      <c r="Z1025" s="3" t="str">
        <f>IFERROR(__xludf.DUMMYFUNCTION("""COMPUTED_VALUE"""),"บางพลีน้อย")</f>
        <v>บางพลีน้อย</v>
      </c>
      <c r="AA1025" s="3" t="str">
        <f>IFERROR(__xludf.DUMMYFUNCTION("""COMPUTED_VALUE"""),"บางบ่อ")</f>
        <v>บางบ่อ</v>
      </c>
      <c r="AB1025" s="3" t="str">
        <f>IFERROR(__xludf.DUMMYFUNCTION("""COMPUTED_VALUE"""),"สมุทรปราการ")</f>
        <v>สมุทรปราการ</v>
      </c>
      <c r="AC1025" s="3">
        <f>IFERROR(__xludf.DUMMYFUNCTION("""COMPUTED_VALUE"""),10560.0)</f>
        <v>10560</v>
      </c>
      <c r="AD1025" s="3">
        <f>IFERROR(__xludf.DUMMYFUNCTION("""COMPUTED_VALUE"""),13.57455)</f>
        <v>13.57455</v>
      </c>
      <c r="AE1025" s="3">
        <f>IFERROR(__xludf.DUMMYFUNCTION("""COMPUTED_VALUE"""),100.8961)</f>
        <v>100.8961</v>
      </c>
      <c r="AF1025" s="3" t="str">
        <f>IFERROR(__xludf.DUMMYFUNCTION("""COMPUTED_VALUE"""),"MBC บางพลีน้อย สมุทรปราการ-21796")</f>
        <v>MBC บางพลีน้อย สมุทรปราการ-21796</v>
      </c>
      <c r="AG1025" s="3" t="str">
        <f>IFERROR(__xludf.DUMMYFUNCTION("""COMPUTED_VALUE"""),"กลาง")</f>
        <v>กลาง</v>
      </c>
      <c r="AH1025" s="3" t="str">
        <f>IFERROR(__xludf.DUMMYFUNCTION("""COMPUTED_VALUE"""),"#N/A")</f>
        <v>#N/A</v>
      </c>
      <c r="AI1025" s="3" t="str">
        <f>IFERROR(__xludf.DUMMYFUNCTION("""COMPUTED_VALUE"""),"Out of warranty")</f>
        <v>Out of warranty</v>
      </c>
      <c r="AJ1025" s="3">
        <f>IFERROR(__xludf.DUMMYFUNCTION("""COMPUTED_VALUE"""),77.0)</f>
        <v>77</v>
      </c>
      <c r="AK1025" s="3" t="str">
        <f>IFERROR(__xludf.DUMMYFUNCTION("""COMPUTED_VALUE"""),"MMS03")</f>
        <v>MMS03</v>
      </c>
      <c r="AL1025" s="3"/>
    </row>
    <row r="1026" ht="15.75" customHeight="1">
      <c r="A1026" s="1" t="str">
        <f>IFERROR(__xludf.DUMMYFUNCTION("""COMPUTED_VALUE"""),"21798")</f>
        <v>21798</v>
      </c>
      <c r="B1026" s="2">
        <f>IFERROR(__xludf.DUMMYFUNCTION("""COMPUTED_VALUE"""),21798.0)</f>
        <v>21798</v>
      </c>
      <c r="C1026" s="3" t="str">
        <f>IFERROR(__xludf.DUMMYFUNCTION("""COMPUTED_VALUE"""),"MBC พยัคฆภูมิพิสัย")</f>
        <v>MBC พยัคฆภูมิพิสัย</v>
      </c>
      <c r="D1026" s="3" t="str">
        <f>IFERROR(__xludf.DUMMYFUNCTION("""COMPUTED_VALUE"""),"BCM PHAYAKPHUMPISAI")</f>
        <v>BCM PHAYAKPHUMPISAI</v>
      </c>
      <c r="E1026" s="1" t="str">
        <f>IFERROR(__xludf.DUMMYFUNCTION("""COMPUTED_VALUE"""),"บิ๊กซี MINI")</f>
        <v>บิ๊กซี MINI</v>
      </c>
      <c r="F1026" s="1" t="str">
        <f>IFERROR(__xludf.DUMMYFUNCTION("""COMPUTED_VALUE"""),"291105")</f>
        <v>291105</v>
      </c>
      <c r="G1026" s="1" t="str">
        <f>IFERROR(__xludf.DUMMYFUNCTION("""COMPUTED_VALUE"""),"นายสราวุฒิ พณิชยกุล")</f>
        <v>นายสราวุฒิ พณิชยกุล</v>
      </c>
      <c r="H1026" s="1" t="str">
        <f>IFERROR(__xludf.DUMMYFUNCTION("""COMPUTED_VALUE"""),"398136")</f>
        <v>398136</v>
      </c>
      <c r="I1026" s="1" t="str">
        <f>IFERROR(__xludf.DUMMYFUNCTION("""COMPUTED_VALUE"""),"นายประยูร ธาดาวงษา")</f>
        <v>นายประยูร ธาดาวงษา</v>
      </c>
      <c r="J1026" s="3">
        <f>IFERROR(__xludf.DUMMYFUNCTION("""COMPUTED_VALUE"""),15361.0)</f>
        <v>15361</v>
      </c>
      <c r="K1026" s="3" t="str">
        <f>IFERROR(__xludf.DUMMYFUNCTION("""COMPUTED_VALUE"""),"นายสมบูรณ์ พรหมในเมือง")</f>
        <v>นายสมบูรณ์ พรหมในเมือง</v>
      </c>
      <c r="L1026" s="1" t="str">
        <f>IFERROR(__xludf.DUMMYFUNCTION("""COMPUTED_VALUE"""),"04 K.Somboon P.")</f>
        <v>04 K.Somboon P.</v>
      </c>
      <c r="M1026" s="1" t="str">
        <f>IFERROR(__xludf.DUMMYFUNCTION("""COMPUTED_VALUE"""),"087-965-3051")</f>
        <v>087-965-3051</v>
      </c>
      <c r="N1026" s="3">
        <f>IFERROR(__xludf.DUMMYFUNCTION("""COMPUTED_VALUE"""),21869.0)</f>
        <v>21869</v>
      </c>
      <c r="O1026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026" s="4">
        <f>IFERROR(__xludf.DUMMYFUNCTION("""COMPUTED_VALUE"""),43610.0)</f>
        <v>43610</v>
      </c>
      <c r="Q1026" s="3" t="str">
        <f>IFERROR(__xludf.DUMMYFUNCTION("""COMPUTED_VALUE"""),"A")</f>
        <v>A</v>
      </c>
      <c r="R1026" s="3" t="str">
        <f>IFERROR(__xludf.DUMMYFUNCTION("""COMPUTED_VALUE"""),"Small Format")</f>
        <v>Small Format</v>
      </c>
      <c r="S1026" s="3" t="str">
        <f>IFERROR(__xludf.DUMMYFUNCTION("""COMPUTED_VALUE"""),"BCM")</f>
        <v>BCM</v>
      </c>
      <c r="T1026" s="3" t="str">
        <f>IFERROR(__xludf.DUMMYFUNCTION("""COMPUTED_VALUE"""),"#N/A")</f>
        <v>#N/A</v>
      </c>
      <c r="U1026" s="3" t="str">
        <f>IFERROR(__xludf.DUMMYFUNCTION("""COMPUTED_VALUE"""),"#N/A")</f>
        <v>#N/A</v>
      </c>
      <c r="V1026" s="3" t="str">
        <f>IFERROR(__xludf.DUMMYFUNCTION("""COMPUTED_VALUE"""),"N")</f>
        <v>N</v>
      </c>
      <c r="W1026" s="3">
        <f>IFERROR(__xludf.DUMMYFUNCTION("""COMPUTED_VALUE"""),211847.0)</f>
        <v>211847</v>
      </c>
      <c r="X1026" s="3" t="str">
        <f>IFERROR(__xludf.DUMMYFUNCTION("""COMPUTED_VALUE"""),"158/1-9 หมู่1 ตำบลปะหลาน อำเภอพยัคฆภูมิพิสัย จังหวัดมหาสารคาม 44110")</f>
        <v>158/1-9 หมู่1 ตำบลปะหลาน อำเภอพยัคฆภูมิพิสัย จังหวัดมหาสารคาม 44110</v>
      </c>
      <c r="Y1026" s="3"/>
      <c r="Z1026" s="3" t="str">
        <f>IFERROR(__xludf.DUMMYFUNCTION("""COMPUTED_VALUE"""),"ปะหลาน")</f>
        <v>ปะหลาน</v>
      </c>
      <c r="AA1026" s="3" t="str">
        <f>IFERROR(__xludf.DUMMYFUNCTION("""COMPUTED_VALUE"""),"พยัคฆภูมิพิสัย")</f>
        <v>พยัคฆภูมิพิสัย</v>
      </c>
      <c r="AB1026" s="3" t="str">
        <f>IFERROR(__xludf.DUMMYFUNCTION("""COMPUTED_VALUE"""),"มหาสารคาม")</f>
        <v>มหาสารคาม</v>
      </c>
      <c r="AC1026" s="3">
        <f>IFERROR(__xludf.DUMMYFUNCTION("""COMPUTED_VALUE"""),44110.0)</f>
        <v>44110</v>
      </c>
      <c r="AD1026" s="3">
        <f>IFERROR(__xludf.DUMMYFUNCTION("""COMPUTED_VALUE"""),15.518126)</f>
        <v>15.518126</v>
      </c>
      <c r="AE1026" s="3">
        <f>IFERROR(__xludf.DUMMYFUNCTION("""COMPUTED_VALUE"""),103.197211)</f>
        <v>103.197211</v>
      </c>
      <c r="AF1026" s="3" t="str">
        <f>IFERROR(__xludf.DUMMYFUNCTION("""COMPUTED_VALUE"""),"MBC พยัคฆภูมิพิสัย-21798")</f>
        <v>MBC พยัคฆภูมิพิสัย-21798</v>
      </c>
      <c r="AG1026" s="3" t="str">
        <f>IFERROR(__xludf.DUMMYFUNCTION("""COMPUTED_VALUE"""),"ตะวันออกเฉียงเหนือ")</f>
        <v>ตะวันออกเฉียงเหนือ</v>
      </c>
      <c r="AH1026" s="3" t="str">
        <f>IFERROR(__xludf.DUMMYFUNCTION("""COMPUTED_VALUE"""),"#N/A")</f>
        <v>#N/A</v>
      </c>
      <c r="AI1026" s="3" t="str">
        <f>IFERROR(__xludf.DUMMYFUNCTION("""COMPUTED_VALUE"""),"Out of warranty")</f>
        <v>Out of warranty</v>
      </c>
      <c r="AJ1026" s="3">
        <f>IFERROR(__xludf.DUMMYFUNCTION("""COMPUTED_VALUE"""),80.0)</f>
        <v>80</v>
      </c>
      <c r="AK1026" s="3" t="str">
        <f>IFERROR(__xludf.DUMMYFUNCTION("""COMPUTED_VALUE"""),"MMS11")</f>
        <v>MMS11</v>
      </c>
      <c r="AL1026" s="3"/>
    </row>
    <row r="1027" ht="15.75" customHeight="1">
      <c r="A1027" s="1" t="str">
        <f>IFERROR(__xludf.DUMMYFUNCTION("""COMPUTED_VALUE"""),"21799")</f>
        <v>21799</v>
      </c>
      <c r="B1027" s="2">
        <f>IFERROR(__xludf.DUMMYFUNCTION("""COMPUTED_VALUE"""),21799.0)</f>
        <v>21799</v>
      </c>
      <c r="C1027" s="3" t="str">
        <f>IFERROR(__xludf.DUMMYFUNCTION("""COMPUTED_VALUE"""),"MBC หมู่บ้านซอยสุพรรณ ระยอง")</f>
        <v>MBC หมู่บ้านซอยสุพรรณ ระยอง</v>
      </c>
      <c r="D1027" s="3" t="str">
        <f>IFERROR(__xludf.DUMMYFUNCTION("""COMPUTED_VALUE"""),"BCM MOOBAN SOI SUPHAN,RAYONG")</f>
        <v>BCM MOOBAN SOI SUPHAN,RAYONG</v>
      </c>
      <c r="E1027" s="1" t="str">
        <f>IFERROR(__xludf.DUMMYFUNCTION("""COMPUTED_VALUE"""),"บิ๊กซี MINI")</f>
        <v>บิ๊กซี MINI</v>
      </c>
      <c r="F1027" s="1" t="str">
        <f>IFERROR(__xludf.DUMMYFUNCTION("""COMPUTED_VALUE"""),"221716")</f>
        <v>221716</v>
      </c>
      <c r="G1027" s="1" t="str">
        <f>IFERROR(__xludf.DUMMYFUNCTION("""COMPUTED_VALUE"""),"น.ส.เบญจพร โพธิสาร")</f>
        <v>น.ส.เบญจพร โพธิสาร</v>
      </c>
      <c r="H1027" s="1" t="str">
        <f>IFERROR(__xludf.DUMMYFUNCTION("""COMPUTED_VALUE"""),"371384")</f>
        <v>371384</v>
      </c>
      <c r="I1027" s="1" t="str">
        <f>IFERROR(__xludf.DUMMYFUNCTION("""COMPUTED_VALUE"""),"น.ส.นิลเนตร สิงห์ทอง")</f>
        <v>น.ส.นิลเนตร สิงห์ทอง</v>
      </c>
      <c r="J1027" s="3">
        <f>IFERROR(__xludf.DUMMYFUNCTION("""COMPUTED_VALUE"""),2452376.0)</f>
        <v>2452376</v>
      </c>
      <c r="K1027" s="3" t="str">
        <f>IFERROR(__xludf.DUMMYFUNCTION("""COMPUTED_VALUE"""),"นายภาคภูมิ ทวีกุล")</f>
        <v>นายภาคภูมิ ทวีกุล</v>
      </c>
      <c r="L1027" s="1" t="str">
        <f>IFERROR(__xludf.DUMMYFUNCTION("""COMPUTED_VALUE"""),"08 K.Parkphum T.")</f>
        <v>08 K.Parkphum T.</v>
      </c>
      <c r="M1027" s="1" t="str">
        <f>IFERROR(__xludf.DUMMYFUNCTION("""COMPUTED_VALUE"""),"097-919-5476")</f>
        <v>097-919-5476</v>
      </c>
      <c r="N1027" s="3">
        <f>IFERROR(__xludf.DUMMYFUNCTION("""COMPUTED_VALUE"""),22028.0)</f>
        <v>22028</v>
      </c>
      <c r="O1027" s="3" t="str">
        <f>IFERROR(__xludf.DUMMYFUNCTION("""COMPUTED_VALUE"""),"MBC ทํบมา ระยอง")</f>
        <v>MBC ทํบมา ระยอง</v>
      </c>
      <c r="P1027" s="4">
        <f>IFERROR(__xludf.DUMMYFUNCTION("""COMPUTED_VALUE"""),43592.0)</f>
        <v>43592</v>
      </c>
      <c r="Q1027" s="3" t="str">
        <f>IFERROR(__xludf.DUMMYFUNCTION("""COMPUTED_VALUE"""),"A")</f>
        <v>A</v>
      </c>
      <c r="R1027" s="3" t="str">
        <f>IFERROR(__xludf.DUMMYFUNCTION("""COMPUTED_VALUE"""),"Small Format")</f>
        <v>Small Format</v>
      </c>
      <c r="S1027" s="3" t="str">
        <f>IFERROR(__xludf.DUMMYFUNCTION("""COMPUTED_VALUE"""),"BCM")</f>
        <v>BCM</v>
      </c>
      <c r="T1027" s="3" t="str">
        <f>IFERROR(__xludf.DUMMYFUNCTION("""COMPUTED_VALUE"""),"#N/A")</f>
        <v>#N/A</v>
      </c>
      <c r="U1027" s="3" t="str">
        <f>IFERROR(__xludf.DUMMYFUNCTION("""COMPUTED_VALUE"""),"#N/A")</f>
        <v>#N/A</v>
      </c>
      <c r="V1027" s="3" t="str">
        <f>IFERROR(__xludf.DUMMYFUNCTION("""COMPUTED_VALUE"""),"N")</f>
        <v>N</v>
      </c>
      <c r="W1027" s="3">
        <f>IFERROR(__xludf.DUMMYFUNCTION("""COMPUTED_VALUE"""),211770.0)</f>
        <v>211770</v>
      </c>
      <c r="X1027" s="3" t="str">
        <f>IFERROR(__xludf.DUMMYFUNCTION("""COMPUTED_VALUE"""),"820 หมู่4 ตำบลปลวกแดง อำเภอปลวกแดง จังหวัดระยอง 21140")</f>
        <v>820 หมู่4 ตำบลปลวกแดง อำเภอปลวกแดง จังหวัดระยอง 21140</v>
      </c>
      <c r="Y1027" s="3"/>
      <c r="Z1027" s="3" t="str">
        <f>IFERROR(__xludf.DUMMYFUNCTION("""COMPUTED_VALUE"""),"ปลวกแดง")</f>
        <v>ปลวกแดง</v>
      </c>
      <c r="AA1027" s="3" t="str">
        <f>IFERROR(__xludf.DUMMYFUNCTION("""COMPUTED_VALUE"""),"ปลวกแดง")</f>
        <v>ปลวกแดง</v>
      </c>
      <c r="AB1027" s="3" t="str">
        <f>IFERROR(__xludf.DUMMYFUNCTION("""COMPUTED_VALUE"""),"ระยอง")</f>
        <v>ระยอง</v>
      </c>
      <c r="AC1027" s="3">
        <f>IFERROR(__xludf.DUMMYFUNCTION("""COMPUTED_VALUE"""),21140.0)</f>
        <v>21140</v>
      </c>
      <c r="AD1027" s="3">
        <f>IFERROR(__xludf.DUMMYFUNCTION("""COMPUTED_VALUE"""),13.019076)</f>
        <v>13.019076</v>
      </c>
      <c r="AE1027" s="3">
        <f>IFERROR(__xludf.DUMMYFUNCTION("""COMPUTED_VALUE"""),101.136392)</f>
        <v>101.136392</v>
      </c>
      <c r="AF1027" s="3" t="str">
        <f>IFERROR(__xludf.DUMMYFUNCTION("""COMPUTED_VALUE"""),"MBC หมู่บ้านซอยสุพรรณ ระยอง-21799")</f>
        <v>MBC หมู่บ้านซอยสุพรรณ ระยอง-21799</v>
      </c>
      <c r="AG1027" s="3" t="str">
        <f>IFERROR(__xludf.DUMMYFUNCTION("""COMPUTED_VALUE"""),"ตะวันออก")</f>
        <v>ตะวันออก</v>
      </c>
      <c r="AH1027" s="3" t="str">
        <f>IFERROR(__xludf.DUMMYFUNCTION("""COMPUTED_VALUE"""),"#N/A")</f>
        <v>#N/A</v>
      </c>
      <c r="AI1027" s="3" t="str">
        <f>IFERROR(__xludf.DUMMYFUNCTION("""COMPUTED_VALUE"""),"Out of warranty")</f>
        <v>Out of warranty</v>
      </c>
      <c r="AJ1027" s="3">
        <f>IFERROR(__xludf.DUMMYFUNCTION("""COMPUTED_VALUE"""),81.0)</f>
        <v>81</v>
      </c>
      <c r="AK1027" s="3" t="str">
        <f>IFERROR(__xludf.DUMMYFUNCTION("""COMPUTED_VALUE"""),"MMS07")</f>
        <v>MMS07</v>
      </c>
      <c r="AL1027" s="3"/>
    </row>
    <row r="1028" ht="15.75" customHeight="1">
      <c r="A1028" s="1" t="str">
        <f>IFERROR(__xludf.DUMMYFUNCTION("""COMPUTED_VALUE"""),"21800")</f>
        <v>21800</v>
      </c>
      <c r="B1028" s="2">
        <f>IFERROR(__xludf.DUMMYFUNCTION("""COMPUTED_VALUE"""),21800.0)</f>
        <v>21800</v>
      </c>
      <c r="C1028" s="3" t="str">
        <f>IFERROR(__xludf.DUMMYFUNCTION("""COMPUTED_VALUE"""),"MBC คาลเท๊กซ์คลองกิ่ว ชลบุรี")</f>
        <v>MBC คาลเท๊กซ์คลองกิ่ว ชลบุรี</v>
      </c>
      <c r="D1028" s="3" t="str">
        <f>IFERROR(__xludf.DUMMYFUNCTION("""COMPUTED_VALUE"""),"BCM CALTEX KLONG KIU,CHONBURI")</f>
        <v>BCM CALTEX KLONG KIU,CHONBURI</v>
      </c>
      <c r="E1028" s="1" t="str">
        <f>IFERROR(__xludf.DUMMYFUNCTION("""COMPUTED_VALUE"""),"บิ๊กซี MINI")</f>
        <v>บิ๊กซี MINI</v>
      </c>
      <c r="F1028" s="1" t="str">
        <f>IFERROR(__xludf.DUMMYFUNCTION("""COMPUTED_VALUE"""),"221716")</f>
        <v>221716</v>
      </c>
      <c r="G1028" s="1" t="str">
        <f>IFERROR(__xludf.DUMMYFUNCTION("""COMPUTED_VALUE"""),"น.ส.เบญจพร โพธิสาร")</f>
        <v>น.ส.เบญจพร โพธิสาร</v>
      </c>
      <c r="H1028" s="1" t="str">
        <f>IFERROR(__xludf.DUMMYFUNCTION("""COMPUTED_VALUE"""),"376139")</f>
        <v>376139</v>
      </c>
      <c r="I1028" s="1" t="str">
        <f>IFERROR(__xludf.DUMMYFUNCTION("""COMPUTED_VALUE"""),"นายอนุชา อำไพ")</f>
        <v>นายอนุชา อำไพ</v>
      </c>
      <c r="J1028" s="3">
        <f>IFERROR(__xludf.DUMMYFUNCTION("""COMPUTED_VALUE"""),296942.0)</f>
        <v>296942</v>
      </c>
      <c r="K1028" s="3" t="str">
        <f>IFERROR(__xludf.DUMMYFUNCTION("""COMPUTED_VALUE"""),"นายปิยะ รักษากิจ")</f>
        <v>นายปิยะ รักษากิจ</v>
      </c>
      <c r="L1028" s="1" t="str">
        <f>IFERROR(__xludf.DUMMYFUNCTION("""COMPUTED_VALUE"""),"07 K.Piya R.")</f>
        <v>07 K.Piya R.</v>
      </c>
      <c r="M1028" s="1" t="str">
        <f>IFERROR(__xludf.DUMMYFUNCTION("""COMPUTED_VALUE"""),"097-919-5476")</f>
        <v>097-919-5476</v>
      </c>
      <c r="N1028" s="3">
        <f>IFERROR(__xludf.DUMMYFUNCTION("""COMPUTED_VALUE"""),21332.0)</f>
        <v>21332</v>
      </c>
      <c r="O1028" s="3" t="str">
        <f>IFERROR(__xludf.DUMMYFUNCTION("""COMPUTED_VALUE"""),"MBC BCP อ่อนนุช 17/1")</f>
        <v>MBC BCP อ่อนนุช 17/1</v>
      </c>
      <c r="P1028" s="4">
        <f>IFERROR(__xludf.DUMMYFUNCTION("""COMPUTED_VALUE"""),43636.0)</f>
        <v>43636</v>
      </c>
      <c r="Q1028" s="3" t="str">
        <f>IFERROR(__xludf.DUMMYFUNCTION("""COMPUTED_VALUE"""),"A")</f>
        <v>A</v>
      </c>
      <c r="R1028" s="3" t="str">
        <f>IFERROR(__xludf.DUMMYFUNCTION("""COMPUTED_VALUE"""),"Small Format")</f>
        <v>Small Format</v>
      </c>
      <c r="S1028" s="3" t="str">
        <f>IFERROR(__xludf.DUMMYFUNCTION("""COMPUTED_VALUE"""),"BCM")</f>
        <v>BCM</v>
      </c>
      <c r="T1028" s="3" t="str">
        <f>IFERROR(__xludf.DUMMYFUNCTION("""COMPUTED_VALUE"""),"#N/A")</f>
        <v>#N/A</v>
      </c>
      <c r="U1028" s="3" t="str">
        <f>IFERROR(__xludf.DUMMYFUNCTION("""COMPUTED_VALUE"""),"#N/A")</f>
        <v>#N/A</v>
      </c>
      <c r="V1028" s="3" t="str">
        <f>IFERROR(__xludf.DUMMYFUNCTION("""COMPUTED_VALUE"""),"N")</f>
        <v>N</v>
      </c>
      <c r="W1028" s="3">
        <f>IFERROR(__xludf.DUMMYFUNCTION("""COMPUTED_VALUE"""),211809.0)</f>
        <v>211809</v>
      </c>
      <c r="X1028" s="3" t="str">
        <f>IFERROR(__xludf.DUMMYFUNCTION("""COMPUTED_VALUE"""),"670/38 หมู่1 ตำบลคลองกิ่ว อำเภอบ้านบึง จังหวัดชลบุรี 20220")</f>
        <v>670/38 หมู่1 ตำบลคลองกิ่ว อำเภอบ้านบึง จังหวัดชลบุรี 20220</v>
      </c>
      <c r="Y1028" s="3"/>
      <c r="Z1028" s="3" t="str">
        <f>IFERROR(__xludf.DUMMYFUNCTION("""COMPUTED_VALUE"""),"คลองกิ่ว")</f>
        <v>คลองกิ่ว</v>
      </c>
      <c r="AA1028" s="3" t="str">
        <f>IFERROR(__xludf.DUMMYFUNCTION("""COMPUTED_VALUE"""),"บ้านบึง")</f>
        <v>บ้านบึง</v>
      </c>
      <c r="AB1028" s="3" t="str">
        <f>IFERROR(__xludf.DUMMYFUNCTION("""COMPUTED_VALUE"""),"ชลบุรี")</f>
        <v>ชลบุรี</v>
      </c>
      <c r="AC1028" s="3">
        <f>IFERROR(__xludf.DUMMYFUNCTION("""COMPUTED_VALUE"""),20220.0)</f>
        <v>20220</v>
      </c>
      <c r="AD1028" s="3">
        <f>IFERROR(__xludf.DUMMYFUNCTION("""COMPUTED_VALUE"""),13.218488)</f>
        <v>13.218488</v>
      </c>
      <c r="AE1028" s="3">
        <f>IFERROR(__xludf.DUMMYFUNCTION("""COMPUTED_VALUE"""),101.153727)</f>
        <v>101.153727</v>
      </c>
      <c r="AF1028" s="3" t="str">
        <f>IFERROR(__xludf.DUMMYFUNCTION("""COMPUTED_VALUE"""),"MBC คาลเท๊กซ์คลองกิ่ว ชลบุรี-21800")</f>
        <v>MBC คาลเท๊กซ์คลองกิ่ว ชลบุรี-21800</v>
      </c>
      <c r="AG1028" s="3" t="str">
        <f>IFERROR(__xludf.DUMMYFUNCTION("""COMPUTED_VALUE"""),"ตะวันออก")</f>
        <v>ตะวันออก</v>
      </c>
      <c r="AH1028" s="3" t="str">
        <f>IFERROR(__xludf.DUMMYFUNCTION("""COMPUTED_VALUE"""),"#N/A")</f>
        <v>#N/A</v>
      </c>
      <c r="AI1028" s="3" t="str">
        <f>IFERROR(__xludf.DUMMYFUNCTION("""COMPUTED_VALUE"""),"Out of warranty")</f>
        <v>Out of warranty</v>
      </c>
      <c r="AJ1028" s="3">
        <f>IFERROR(__xludf.DUMMYFUNCTION("""COMPUTED_VALUE"""),80.0)</f>
        <v>80</v>
      </c>
      <c r="AK1028" s="3" t="str">
        <f>IFERROR(__xludf.DUMMYFUNCTION("""COMPUTED_VALUE"""),"MMS07")</f>
        <v>MMS07</v>
      </c>
      <c r="AL1028" s="3"/>
    </row>
    <row r="1029" ht="15.75" customHeight="1">
      <c r="A1029" s="1" t="str">
        <f>IFERROR(__xludf.DUMMYFUNCTION("""COMPUTED_VALUE"""),"21801")</f>
        <v>21801</v>
      </c>
      <c r="B1029" s="2">
        <f>IFERROR(__xludf.DUMMYFUNCTION("""COMPUTED_VALUE"""),21801.0)</f>
        <v>21801</v>
      </c>
      <c r="C1029" s="3" t="str">
        <f>IFERROR(__xludf.DUMMYFUNCTION("""COMPUTED_VALUE"""),"MBC เทิดราชัน ซอย 1 กรุงเทพฯ")</f>
        <v>MBC เทิดราชัน ซอย 1 กรุงเทพฯ</v>
      </c>
      <c r="D1029" s="3" t="str">
        <f>IFERROR(__xludf.DUMMYFUNCTION("""COMPUTED_VALUE"""),"BCM THOET RACHAN SOI 1")</f>
        <v>BCM THOET RACHAN SOI 1</v>
      </c>
      <c r="E1029" s="1" t="str">
        <f>IFERROR(__xludf.DUMMYFUNCTION("""COMPUTED_VALUE"""),"บิ๊กซี MINI")</f>
        <v>บิ๊กซี MINI</v>
      </c>
      <c r="F1029" s="1" t="str">
        <f>IFERROR(__xludf.DUMMYFUNCTION("""COMPUTED_VALUE"""),"291008")</f>
        <v>291008</v>
      </c>
      <c r="G1029" s="1" t="str">
        <f>IFERROR(__xludf.DUMMYFUNCTION("""COMPUTED_VALUE"""),"น.ส.รัชดาพร อีศรัตน์")</f>
        <v>น.ส.รัชดาพร อีศรัตน์</v>
      </c>
      <c r="H1029" s="1" t="str">
        <f>IFERROR(__xludf.DUMMYFUNCTION("""COMPUTED_VALUE"""),"373540")</f>
        <v>373540</v>
      </c>
      <c r="I1029" s="1" t="str">
        <f>IFERROR(__xludf.DUMMYFUNCTION("""COMPUTED_VALUE"""),"นายทศพร พึ่งพบ")</f>
        <v>นายทศพร พึ่งพบ</v>
      </c>
      <c r="J1029" s="3">
        <f>IFERROR(__xludf.DUMMYFUNCTION("""COMPUTED_VALUE"""),2452378.0)</f>
        <v>2452378</v>
      </c>
      <c r="K1029" s="3" t="str">
        <f>IFERROR(__xludf.DUMMYFUNCTION("""COMPUTED_VALUE"""),"นายศักดิ์ดา พวงประดับ")</f>
        <v>นายศักดิ์ดา พวงประดับ</v>
      </c>
      <c r="L1029" s="1" t="str">
        <f>IFERROR(__xludf.DUMMYFUNCTION("""COMPUTED_VALUE"""),"11 K.Sakda P.")</f>
        <v>11 K.Sakda P.</v>
      </c>
      <c r="M1029" s="1" t="str">
        <f>IFERROR(__xludf.DUMMYFUNCTION("""COMPUTED_VALUE"""),"065-929-1279")</f>
        <v>065-929-1279</v>
      </c>
      <c r="N1029" s="3">
        <f>IFERROR(__xludf.DUMMYFUNCTION("""COMPUTED_VALUE"""),21002.0)</f>
        <v>21002</v>
      </c>
      <c r="O1029" s="3" t="str">
        <f>IFERROR(__xludf.DUMMYFUNCTION("""COMPUTED_VALUE"""),"MBC อุดมสุข")</f>
        <v>MBC อุดมสุข</v>
      </c>
      <c r="P1029" s="4">
        <f>IFERROR(__xludf.DUMMYFUNCTION("""COMPUTED_VALUE"""),43596.0)</f>
        <v>43596</v>
      </c>
      <c r="Q1029" s="3" t="str">
        <f>IFERROR(__xludf.DUMMYFUNCTION("""COMPUTED_VALUE"""),"A")</f>
        <v>A</v>
      </c>
      <c r="R1029" s="3" t="str">
        <f>IFERROR(__xludf.DUMMYFUNCTION("""COMPUTED_VALUE"""),"Small Format")</f>
        <v>Small Format</v>
      </c>
      <c r="S1029" s="3" t="str">
        <f>IFERROR(__xludf.DUMMYFUNCTION("""COMPUTED_VALUE"""),"BCM")</f>
        <v>BCM</v>
      </c>
      <c r="T1029" s="3" t="str">
        <f>IFERROR(__xludf.DUMMYFUNCTION("""COMPUTED_VALUE"""),"#N/A")</f>
        <v>#N/A</v>
      </c>
      <c r="U1029" s="3" t="str">
        <f>IFERROR(__xludf.DUMMYFUNCTION("""COMPUTED_VALUE"""),"#N/A")</f>
        <v>#N/A</v>
      </c>
      <c r="V1029" s="3" t="str">
        <f>IFERROR(__xludf.DUMMYFUNCTION("""COMPUTED_VALUE"""),"N")</f>
        <v>N</v>
      </c>
      <c r="W1029" s="3">
        <f>IFERROR(__xludf.DUMMYFUNCTION("""COMPUTED_VALUE"""),211746.0)</f>
        <v>211746</v>
      </c>
      <c r="X1029" s="3" t="str">
        <f>IFERROR(__xludf.DUMMYFUNCTION("""COMPUTED_VALUE"""),"7 ถนนเทิดราชัน แขวงสีกัน เขตดอนเมือง กรุงเทพมหานคร 10210")</f>
        <v>7 ถนนเทิดราชัน แขวงสีกัน เขตดอนเมือง กรุงเทพมหานคร 10210</v>
      </c>
      <c r="Y1029" s="3" t="str">
        <f>IFERROR(__xludf.DUMMYFUNCTION("""COMPUTED_VALUE"""),"ถนนเทิดราชัน")</f>
        <v>ถนนเทิดราชัน</v>
      </c>
      <c r="Z1029" s="3" t="str">
        <f>IFERROR(__xludf.DUMMYFUNCTION("""COMPUTED_VALUE"""),"สีกัน")</f>
        <v>สีกัน</v>
      </c>
      <c r="AA1029" s="3" t="str">
        <f>IFERROR(__xludf.DUMMYFUNCTION("""COMPUTED_VALUE"""),"ดอนเมือง")</f>
        <v>ดอนเมือง</v>
      </c>
      <c r="AB1029" s="3" t="str">
        <f>IFERROR(__xludf.DUMMYFUNCTION("""COMPUTED_VALUE"""),"กรุงเทพมหานคร")</f>
        <v>กรุงเทพมหานคร</v>
      </c>
      <c r="AC1029" s="3">
        <f>IFERROR(__xludf.DUMMYFUNCTION("""COMPUTED_VALUE"""),10210.0)</f>
        <v>10210</v>
      </c>
      <c r="AD1029" s="3">
        <f>IFERROR(__xludf.DUMMYFUNCTION("""COMPUTED_VALUE"""),13.947042)</f>
        <v>13.947042</v>
      </c>
      <c r="AE1029" s="3">
        <f>IFERROR(__xludf.DUMMYFUNCTION("""COMPUTED_VALUE"""),100.574737)</f>
        <v>100.574737</v>
      </c>
      <c r="AF1029" s="3" t="str">
        <f>IFERROR(__xludf.DUMMYFUNCTION("""COMPUTED_VALUE"""),"MBC เทิดราชัน ซอย 1 กรุงเทพฯ-21801")</f>
        <v>MBC เทิดราชัน ซอย 1 กรุงเทพฯ-21801</v>
      </c>
      <c r="AG1029" s="3" t="str">
        <f>IFERROR(__xludf.DUMMYFUNCTION("""COMPUTED_VALUE"""),"กลาง")</f>
        <v>กลาง</v>
      </c>
      <c r="AH1029" s="3" t="str">
        <f>IFERROR(__xludf.DUMMYFUNCTION("""COMPUTED_VALUE"""),"#N/A")</f>
        <v>#N/A</v>
      </c>
      <c r="AI1029" s="3" t="str">
        <f>IFERROR(__xludf.DUMMYFUNCTION("""COMPUTED_VALUE"""),"Out of warranty")</f>
        <v>Out of warranty</v>
      </c>
      <c r="AJ1029" s="3">
        <f>IFERROR(__xludf.DUMMYFUNCTION("""COMPUTED_VALUE"""),81.0)</f>
        <v>81</v>
      </c>
      <c r="AK1029" s="3" t="str">
        <f>IFERROR(__xludf.DUMMYFUNCTION("""COMPUTED_VALUE"""),"MMS01")</f>
        <v>MMS01</v>
      </c>
      <c r="AL1029" s="3"/>
    </row>
    <row r="1030" ht="15.75" customHeight="1">
      <c r="A1030" s="1" t="str">
        <f>IFERROR(__xludf.DUMMYFUNCTION("""COMPUTED_VALUE"""),"21802")</f>
        <v>21802</v>
      </c>
      <c r="B1030" s="2">
        <f>IFERROR(__xludf.DUMMYFUNCTION("""COMPUTED_VALUE"""),21802.0)</f>
        <v>21802</v>
      </c>
      <c r="C1030" s="3" t="str">
        <f>IFERROR(__xludf.DUMMYFUNCTION("""COMPUTED_VALUE"""),"MBC ละงู สตูล")</f>
        <v>MBC ละงู สตูล</v>
      </c>
      <c r="D1030" s="3" t="str">
        <f>IFERROR(__xludf.DUMMYFUNCTION("""COMPUTED_VALUE"""),"BCM LA NGU, SATUN")</f>
        <v>BCM LA NGU, SATUN</v>
      </c>
      <c r="E1030" s="1" t="str">
        <f>IFERROR(__xludf.DUMMYFUNCTION("""COMPUTED_VALUE"""),"บิ๊กซี MINI")</f>
        <v>บิ๊กซี MINI</v>
      </c>
      <c r="F1030" s="1" t="str">
        <f>IFERROR(__xludf.DUMMYFUNCTION("""COMPUTED_VALUE"""),"250760")</f>
        <v>250760</v>
      </c>
      <c r="G1030" s="1" t="str">
        <f>IFERROR(__xludf.DUMMYFUNCTION("""COMPUTED_VALUE"""),"นายประทวน สาราบรรณ์")</f>
        <v>นายประทวน สาราบรรณ์</v>
      </c>
      <c r="H1030" s="1" t="str">
        <f>IFERROR(__xludf.DUMMYFUNCTION("""COMPUTED_VALUE"""),"394100")</f>
        <v>394100</v>
      </c>
      <c r="I1030" s="1" t="str">
        <f>IFERROR(__xludf.DUMMYFUNCTION("""COMPUTED_VALUE"""),"นายไพโรจน์ ถิระผะลิกะ")</f>
        <v>นายไพโรจน์ ถิระผะลิกะ</v>
      </c>
      <c r="J1030" s="3">
        <f>IFERROR(__xludf.DUMMYFUNCTION("""COMPUTED_VALUE"""),2.0470331E7)</f>
        <v>20470331</v>
      </c>
      <c r="K1030" s="3" t="str">
        <f>IFERROR(__xludf.DUMMYFUNCTION("""COMPUTED_VALUE"""),"นายสมชาย ลักษณะสุวรรณ")</f>
        <v>นายสมชาย ลักษณะสุวรรณ</v>
      </c>
      <c r="L1030" s="1" t="str">
        <f>IFERROR(__xludf.DUMMYFUNCTION("""COMPUTED_VALUE"""),"15 K.Somchai L")</f>
        <v>15 K.Somchai L</v>
      </c>
      <c r="M1030" s="1" t="str">
        <f>IFERROR(__xludf.DUMMYFUNCTION("""COMPUTED_VALUE"""),"0655107372")</f>
        <v>0655107372</v>
      </c>
      <c r="N1030" s="3">
        <f>IFERROR(__xludf.DUMMYFUNCTION("""COMPUTED_VALUE"""),21723.0)</f>
        <v>21723</v>
      </c>
      <c r="O1030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030" s="4">
        <f>IFERROR(__xludf.DUMMYFUNCTION("""COMPUTED_VALUE"""),46037.0)</f>
        <v>46037</v>
      </c>
      <c r="Q1030" s="3" t="str">
        <f>IFERROR(__xludf.DUMMYFUNCTION("""COMPUTED_VALUE"""),"A")</f>
        <v>A</v>
      </c>
      <c r="R1030" s="3" t="str">
        <f>IFERROR(__xludf.DUMMYFUNCTION("""COMPUTED_VALUE"""),"Small Format")</f>
        <v>Small Format</v>
      </c>
      <c r="S1030" s="3" t="str">
        <f>IFERROR(__xludf.DUMMYFUNCTION("""COMPUTED_VALUE"""),"BCM")</f>
        <v>BCM</v>
      </c>
      <c r="T1030" s="3" t="str">
        <f>IFERROR(__xludf.DUMMYFUNCTION("""COMPUTED_VALUE"""),"#N/A")</f>
        <v>#N/A</v>
      </c>
      <c r="U1030" s="3" t="str">
        <f>IFERROR(__xludf.DUMMYFUNCTION("""COMPUTED_VALUE"""),"#N/A")</f>
        <v>#N/A</v>
      </c>
      <c r="V1030" s="3" t="str">
        <f>IFERROR(__xludf.DUMMYFUNCTION("""COMPUTED_VALUE"""),"N")</f>
        <v>N</v>
      </c>
      <c r="W1030" s="3">
        <f>IFERROR(__xludf.DUMMYFUNCTION("""COMPUTED_VALUE"""),211792.0)</f>
        <v>211792</v>
      </c>
      <c r="X1030" s="3" t="str">
        <f>IFERROR(__xludf.DUMMYFUNCTION("""COMPUTED_VALUE"""),"249-250 หมู่3 ตำบลกำแพง อำเภอละงู จังหวัดสตูล 91110")</f>
        <v>249-250 หมู่3 ตำบลกำแพง อำเภอละงู จังหวัดสตูล 91110</v>
      </c>
      <c r="Y1030" s="3"/>
      <c r="Z1030" s="3" t="str">
        <f>IFERROR(__xludf.DUMMYFUNCTION("""COMPUTED_VALUE"""),"กำแพง")</f>
        <v>กำแพง</v>
      </c>
      <c r="AA1030" s="3" t="str">
        <f>IFERROR(__xludf.DUMMYFUNCTION("""COMPUTED_VALUE"""),"ละงู")</f>
        <v>ละงู</v>
      </c>
      <c r="AB1030" s="3" t="str">
        <f>IFERROR(__xludf.DUMMYFUNCTION("""COMPUTED_VALUE"""),"สตูล")</f>
        <v>สตูล</v>
      </c>
      <c r="AC1030" s="3">
        <f>IFERROR(__xludf.DUMMYFUNCTION("""COMPUTED_VALUE"""),91110.0)</f>
        <v>91110</v>
      </c>
      <c r="AD1030" s="3">
        <f>IFERROR(__xludf.DUMMYFUNCTION("""COMPUTED_VALUE"""),6.882731)</f>
        <v>6.882731</v>
      </c>
      <c r="AE1030" s="3">
        <f>IFERROR(__xludf.DUMMYFUNCTION("""COMPUTED_VALUE"""),99.785231)</f>
        <v>99.785231</v>
      </c>
      <c r="AF1030" s="3" t="str">
        <f>IFERROR(__xludf.DUMMYFUNCTION("""COMPUTED_VALUE"""),"MBC ละงู สตูล-21802")</f>
        <v>MBC ละงู สตูล-21802</v>
      </c>
      <c r="AG1030" s="3" t="str">
        <f>IFERROR(__xludf.DUMMYFUNCTION("""COMPUTED_VALUE"""),"ใต้")</f>
        <v>ใต้</v>
      </c>
      <c r="AH1030" s="3" t="str">
        <f>IFERROR(__xludf.DUMMYFUNCTION("""COMPUTED_VALUE"""),"#N/A")</f>
        <v>#N/A</v>
      </c>
      <c r="AI1030" s="3" t="str">
        <f>IFERROR(__xludf.DUMMYFUNCTION("""COMPUTED_VALUE"""),"In warranty")</f>
        <v>In warranty</v>
      </c>
      <c r="AJ1030" s="3">
        <f>IFERROR(__xludf.DUMMYFUNCTION("""COMPUTED_VALUE"""),1.0)</f>
        <v>1</v>
      </c>
      <c r="AK1030" s="3" t="str">
        <f>IFERROR(__xludf.DUMMYFUNCTION("""COMPUTED_VALUE"""),"MMS16")</f>
        <v>MMS16</v>
      </c>
      <c r="AL1030" s="3"/>
    </row>
    <row r="1031" ht="15.75" customHeight="1">
      <c r="A1031" s="1" t="str">
        <f>IFERROR(__xludf.DUMMYFUNCTION("""COMPUTED_VALUE"""),"21803")</f>
        <v>21803</v>
      </c>
      <c r="B1031" s="2">
        <f>IFERROR(__xludf.DUMMYFUNCTION("""COMPUTED_VALUE"""),21803.0)</f>
        <v>21803</v>
      </c>
      <c r="C1031" s="3" t="str">
        <f>IFERROR(__xludf.DUMMYFUNCTION("""COMPUTED_VALUE"""),"MBC จอมทอง14 กรุงเทพฯ")</f>
        <v>MBC จอมทอง14 กรุงเทพฯ</v>
      </c>
      <c r="D1031" s="3" t="str">
        <f>IFERROR(__xludf.DUMMYFUNCTION("""COMPUTED_VALUE"""),"BCM CHOM THONG 14, BANGKOK")</f>
        <v>BCM CHOM THONG 14, BANGKOK</v>
      </c>
      <c r="E1031" s="1" t="str">
        <f>IFERROR(__xludf.DUMMYFUNCTION("""COMPUTED_VALUE"""),"บิ๊กซี MINI")</f>
        <v>บิ๊กซี MINI</v>
      </c>
      <c r="F1031" s="1" t="str">
        <f>IFERROR(__xludf.DUMMYFUNCTION("""COMPUTED_VALUE"""),"291008")</f>
        <v>291008</v>
      </c>
      <c r="G1031" s="1" t="str">
        <f>IFERROR(__xludf.DUMMYFUNCTION("""COMPUTED_VALUE"""),"น.ส.รัชดาพร อีศรัตน์")</f>
        <v>น.ส.รัชดาพร อีศรัตน์</v>
      </c>
      <c r="H1031" s="1" t="str">
        <f>IFERROR(__xludf.DUMMYFUNCTION("""COMPUTED_VALUE"""),"254800")</f>
        <v>254800</v>
      </c>
      <c r="I1031" s="1" t="str">
        <f>IFERROR(__xludf.DUMMYFUNCTION("""COMPUTED_VALUE"""),"น.ส.นัชมล กางกรณ์")</f>
        <v>น.ส.นัชมล กางกรณ์</v>
      </c>
      <c r="J1031" s="3">
        <f>IFERROR(__xludf.DUMMYFUNCTION("""COMPUTED_VALUE"""),296608.0)</f>
        <v>296608</v>
      </c>
      <c r="K1031" s="3" t="str">
        <f>IFERROR(__xludf.DUMMYFUNCTION("""COMPUTED_VALUE"""),"นายภาคภูมิ เพ็ชรนิล")</f>
        <v>นายภาคภูมิ เพ็ชรนิล</v>
      </c>
      <c r="L1031" s="1" t="str">
        <f>IFERROR(__xludf.DUMMYFUNCTION("""COMPUTED_VALUE"""),"10 K.Phakphoom P.")</f>
        <v>10 K.Phakphoom P.</v>
      </c>
      <c r="M1031" s="1" t="str">
        <f>IFERROR(__xludf.DUMMYFUNCTION("""COMPUTED_VALUE"""),"063-8955329")</f>
        <v>063-8955329</v>
      </c>
      <c r="N1031" s="3">
        <f>IFERROR(__xludf.DUMMYFUNCTION("""COMPUTED_VALUE"""),22584.0)</f>
        <v>22584</v>
      </c>
      <c r="O1031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031" s="4">
        <f>IFERROR(__xludf.DUMMYFUNCTION("""COMPUTED_VALUE"""),43600.0)</f>
        <v>43600</v>
      </c>
      <c r="Q1031" s="3" t="str">
        <f>IFERROR(__xludf.DUMMYFUNCTION("""COMPUTED_VALUE"""),"A")</f>
        <v>A</v>
      </c>
      <c r="R1031" s="3" t="str">
        <f>IFERROR(__xludf.DUMMYFUNCTION("""COMPUTED_VALUE"""),"Small Format")</f>
        <v>Small Format</v>
      </c>
      <c r="S1031" s="3" t="str">
        <f>IFERROR(__xludf.DUMMYFUNCTION("""COMPUTED_VALUE"""),"BCM")</f>
        <v>BCM</v>
      </c>
      <c r="T1031" s="3" t="str">
        <f>IFERROR(__xludf.DUMMYFUNCTION("""COMPUTED_VALUE"""),"#N/A")</f>
        <v>#N/A</v>
      </c>
      <c r="U1031" s="3" t="str">
        <f>IFERROR(__xludf.DUMMYFUNCTION("""COMPUTED_VALUE"""),"#N/A")</f>
        <v>#N/A</v>
      </c>
      <c r="V1031" s="3" t="str">
        <f>IFERROR(__xludf.DUMMYFUNCTION("""COMPUTED_VALUE"""),"N")</f>
        <v>N</v>
      </c>
      <c r="W1031" s="3">
        <f>IFERROR(__xludf.DUMMYFUNCTION("""COMPUTED_VALUE"""),211779.0)</f>
        <v>211779</v>
      </c>
      <c r="X1031" s="3" t="str">
        <f>IFERROR(__xludf.DUMMYFUNCTION("""COMPUTED_VALUE"""),"15/60 ถนนริมคลองบางสะแก แขวงบางค้อ เขตจอมทอง กรุงเทพมหานคร 10150")</f>
        <v>15/60 ถนนริมคลองบางสะแก แขวงบางค้อ เขตจอมทอง กรุงเทพมหานคร 10150</v>
      </c>
      <c r="Y1031" s="3" t="str">
        <f>IFERROR(__xludf.DUMMYFUNCTION("""COMPUTED_VALUE"""),"ถนนริมคลองบางสะแก")</f>
        <v>ถนนริมคลองบางสะแก</v>
      </c>
      <c r="Z1031" s="3" t="str">
        <f>IFERROR(__xludf.DUMMYFUNCTION("""COMPUTED_VALUE"""),"บางค้อ")</f>
        <v>บางค้อ</v>
      </c>
      <c r="AA1031" s="3" t="str">
        <f>IFERROR(__xludf.DUMMYFUNCTION("""COMPUTED_VALUE"""),"จอมทอง")</f>
        <v>จอมทอง</v>
      </c>
      <c r="AB1031" s="3" t="str">
        <f>IFERROR(__xludf.DUMMYFUNCTION("""COMPUTED_VALUE"""),"กรุงเทพมหานคร")</f>
        <v>กรุงเทพมหานคร</v>
      </c>
      <c r="AC1031" s="3">
        <f>IFERROR(__xludf.DUMMYFUNCTION("""COMPUTED_VALUE"""),10150.0)</f>
        <v>10150</v>
      </c>
      <c r="AD1031" s="3">
        <f>IFERROR(__xludf.DUMMYFUNCTION("""COMPUTED_VALUE"""),13.702713)</f>
        <v>13.702713</v>
      </c>
      <c r="AE1031" s="3">
        <f>IFERROR(__xludf.DUMMYFUNCTION("""COMPUTED_VALUE"""),100.477292)</f>
        <v>100.477292</v>
      </c>
      <c r="AF1031" s="3" t="str">
        <f>IFERROR(__xludf.DUMMYFUNCTION("""COMPUTED_VALUE"""),"MBC จอมทอง14 กรุงเทพฯ-21803")</f>
        <v>MBC จอมทอง14 กรุงเทพฯ-21803</v>
      </c>
      <c r="AG1031" s="3" t="str">
        <f>IFERROR(__xludf.DUMMYFUNCTION("""COMPUTED_VALUE"""),"กลาง")</f>
        <v>กลาง</v>
      </c>
      <c r="AH1031" s="3" t="str">
        <f>IFERROR(__xludf.DUMMYFUNCTION("""COMPUTED_VALUE"""),"#N/A")</f>
        <v>#N/A</v>
      </c>
      <c r="AI1031" s="3" t="str">
        <f>IFERROR(__xludf.DUMMYFUNCTION("""COMPUTED_VALUE"""),"Out of warranty")</f>
        <v>Out of warranty</v>
      </c>
      <c r="AJ1031" s="3">
        <f>IFERROR(__xludf.DUMMYFUNCTION("""COMPUTED_VALUE"""),81.0)</f>
        <v>81</v>
      </c>
      <c r="AK1031" s="3" t="str">
        <f>IFERROR(__xludf.DUMMYFUNCTION("""COMPUTED_VALUE"""),"MMS02")</f>
        <v>MMS02</v>
      </c>
      <c r="AL1031" s="3"/>
    </row>
    <row r="1032" ht="15.75" customHeight="1">
      <c r="A1032" s="1" t="str">
        <f>IFERROR(__xludf.DUMMYFUNCTION("""COMPUTED_VALUE"""),"21804")</f>
        <v>21804</v>
      </c>
      <c r="B1032" s="2">
        <f>IFERROR(__xludf.DUMMYFUNCTION("""COMPUTED_VALUE"""),21804.0)</f>
        <v>21804</v>
      </c>
      <c r="C1032" s="3" t="str">
        <f>IFERROR(__xludf.DUMMYFUNCTION("""COMPUTED_VALUE"""),"MBC กำนันแม้น 14/1 กรุงเทพฯ")</f>
        <v>MBC กำนันแม้น 14/1 กรุงเทพฯ</v>
      </c>
      <c r="D1032" s="3" t="str">
        <f>IFERROR(__xludf.DUMMYFUNCTION("""COMPUTED_VALUE"""),"BCM KAMNAN MAEN 14/1,BANGKOK")</f>
        <v>BCM KAMNAN MAEN 14/1,BANGKOK</v>
      </c>
      <c r="E1032" s="1" t="str">
        <f>IFERROR(__xludf.DUMMYFUNCTION("""COMPUTED_VALUE"""),"บิ๊กซี MINI")</f>
        <v>บิ๊กซี MINI</v>
      </c>
      <c r="F1032" s="1" t="str">
        <f>IFERROR(__xludf.DUMMYFUNCTION("""COMPUTED_VALUE"""),"291008")</f>
        <v>291008</v>
      </c>
      <c r="G1032" s="1" t="str">
        <f>IFERROR(__xludf.DUMMYFUNCTION("""COMPUTED_VALUE"""),"น.ส.รัชดาพร อีศรัตน์")</f>
        <v>น.ส.รัชดาพร อีศรัตน์</v>
      </c>
      <c r="H1032" s="1" t="str">
        <f>IFERROR(__xludf.DUMMYFUNCTION("""COMPUTED_VALUE"""),"250921")</f>
        <v>250921</v>
      </c>
      <c r="I1032" s="1" t="str">
        <f>IFERROR(__xludf.DUMMYFUNCTION("""COMPUTED_VALUE"""),"นายปรัชญาวัต ถิระสังวร")</f>
        <v>นายปรัชญาวัต ถิระสังวร</v>
      </c>
      <c r="J1032" s="3">
        <f>IFERROR(__xludf.DUMMYFUNCTION("""COMPUTED_VALUE"""),2452378.0)</f>
        <v>2452378</v>
      </c>
      <c r="K1032" s="3" t="str">
        <f>IFERROR(__xludf.DUMMYFUNCTION("""COMPUTED_VALUE"""),"นายศักดิ์ดา พวงประดับ")</f>
        <v>นายศักดิ์ดา พวงประดับ</v>
      </c>
      <c r="L1032" s="1" t="str">
        <f>IFERROR(__xludf.DUMMYFUNCTION("""COMPUTED_VALUE"""),"11 K.Sakda P.")</f>
        <v>11 K.Sakda P.</v>
      </c>
      <c r="M1032" s="1" t="str">
        <f>IFERROR(__xludf.DUMMYFUNCTION("""COMPUTED_VALUE"""),"065-929-1279")</f>
        <v>065-929-1279</v>
      </c>
      <c r="N1032" s="3">
        <f>IFERROR(__xludf.DUMMYFUNCTION("""COMPUTED_VALUE"""),21002.0)</f>
        <v>21002</v>
      </c>
      <c r="O1032" s="3" t="str">
        <f>IFERROR(__xludf.DUMMYFUNCTION("""COMPUTED_VALUE"""),"MBC อุดมสุข")</f>
        <v>MBC อุดมสุข</v>
      </c>
      <c r="P1032" s="4">
        <f>IFERROR(__xludf.DUMMYFUNCTION("""COMPUTED_VALUE"""),43606.0)</f>
        <v>43606</v>
      </c>
      <c r="Q1032" s="3" t="str">
        <f>IFERROR(__xludf.DUMMYFUNCTION("""COMPUTED_VALUE"""),"I")</f>
        <v>I</v>
      </c>
      <c r="R1032" s="3" t="str">
        <f>IFERROR(__xludf.DUMMYFUNCTION("""COMPUTED_VALUE"""),"Small Format")</f>
        <v>Small Format</v>
      </c>
      <c r="S1032" s="3" t="str">
        <f>IFERROR(__xludf.DUMMYFUNCTION("""COMPUTED_VALUE"""),"BCM")</f>
        <v>BCM</v>
      </c>
      <c r="T1032" s="3" t="str">
        <f>IFERROR(__xludf.DUMMYFUNCTION("""COMPUTED_VALUE"""),"#N/A")</f>
        <v>#N/A</v>
      </c>
      <c r="U1032" s="3" t="str">
        <f>IFERROR(__xludf.DUMMYFUNCTION("""COMPUTED_VALUE"""),"#N/A")</f>
        <v>#N/A</v>
      </c>
      <c r="V1032" s="3" t="str">
        <f>IFERROR(__xludf.DUMMYFUNCTION("""COMPUTED_VALUE"""),"N")</f>
        <v>N</v>
      </c>
      <c r="W1032" s="3">
        <f>IFERROR(__xludf.DUMMYFUNCTION("""COMPUTED_VALUE"""),211788.0)</f>
        <v>211788</v>
      </c>
      <c r="X1032" s="3" t="str">
        <f>IFERROR(__xludf.DUMMYFUNCTION("""COMPUTED_VALUE"""),"98 หมู่3 แขวงบางขุนเทียน เขตจอมทอง กรุงเทพมหานคร 10150")</f>
        <v>98 หมู่3 แขวงบางขุนเทียน เขตจอมทอง กรุงเทพมหานคร 10150</v>
      </c>
      <c r="Y1032" s="3"/>
      <c r="Z1032" s="3" t="str">
        <f>IFERROR(__xludf.DUMMYFUNCTION("""COMPUTED_VALUE"""),"บางขุนเทียน")</f>
        <v>บางขุนเทียน</v>
      </c>
      <c r="AA1032" s="3" t="str">
        <f>IFERROR(__xludf.DUMMYFUNCTION("""COMPUTED_VALUE"""),"จอมทอง")</f>
        <v>จอมทอง</v>
      </c>
      <c r="AB1032" s="3" t="str">
        <f>IFERROR(__xludf.DUMMYFUNCTION("""COMPUTED_VALUE"""),"กรุงเทพมหานคร")</f>
        <v>กรุงเทพมหานคร</v>
      </c>
      <c r="AC1032" s="3">
        <f>IFERROR(__xludf.DUMMYFUNCTION("""COMPUTED_VALUE"""),10150.0)</f>
        <v>10150</v>
      </c>
      <c r="AD1032" s="3">
        <f>IFERROR(__xludf.DUMMYFUNCTION("""COMPUTED_VALUE"""),13.688474)</f>
        <v>13.688474</v>
      </c>
      <c r="AE1032" s="3">
        <f>IFERROR(__xludf.DUMMYFUNCTION("""COMPUTED_VALUE"""),100.44293)</f>
        <v>100.44293</v>
      </c>
      <c r="AF1032" s="3" t="str">
        <f>IFERROR(__xludf.DUMMYFUNCTION("""COMPUTED_VALUE"""),"MBC กำนันแม้น 14/1 กรุงเทพฯ-21804")</f>
        <v>MBC กำนันแม้น 14/1 กรุงเทพฯ-21804</v>
      </c>
      <c r="AG1032" s="3" t="str">
        <f>IFERROR(__xludf.DUMMYFUNCTION("""COMPUTED_VALUE"""),"กลาง")</f>
        <v>กลาง</v>
      </c>
      <c r="AH1032" s="3" t="str">
        <f>IFERROR(__xludf.DUMMYFUNCTION("""COMPUTED_VALUE"""),"#N/A")</f>
        <v>#N/A</v>
      </c>
      <c r="AI1032" s="3" t="str">
        <f>IFERROR(__xludf.DUMMYFUNCTION("""COMPUTED_VALUE"""),"Out of warranty")</f>
        <v>Out of warranty</v>
      </c>
      <c r="AJ1032" s="3">
        <f>IFERROR(__xludf.DUMMYFUNCTION("""COMPUTED_VALUE"""),80.0)</f>
        <v>80</v>
      </c>
      <c r="AK1032" s="3" t="str">
        <f>IFERROR(__xludf.DUMMYFUNCTION("""COMPUTED_VALUE"""),"MMS02")</f>
        <v>MMS02</v>
      </c>
      <c r="AL1032" s="3"/>
    </row>
    <row r="1033" ht="15.75" customHeight="1">
      <c r="A1033" s="1" t="str">
        <f>IFERROR(__xludf.DUMMYFUNCTION("""COMPUTED_VALUE"""),"21805")</f>
        <v>21805</v>
      </c>
      <c r="B1033" s="2">
        <f>IFERROR(__xludf.DUMMYFUNCTION("""COMPUTED_VALUE"""),21805.0)</f>
        <v>21805</v>
      </c>
      <c r="C1033" s="3" t="str">
        <f>IFERROR(__xludf.DUMMYFUNCTION("""COMPUTED_VALUE"""),"MBC ตลาดสดเทศบาลเมืองสะเดา สงขลา")</f>
        <v>MBC ตลาดสดเทศบาลเมืองสะเดา สงขลา</v>
      </c>
      <c r="D1033" s="3" t="str">
        <f>IFERROR(__xludf.DUMMYFUNCTION("""COMPUTED_VALUE"""),"BCM TALAD SOD TESSABAN SADAO")</f>
        <v>BCM TALAD SOD TESSABAN SADAO</v>
      </c>
      <c r="E1033" s="1" t="str">
        <f>IFERROR(__xludf.DUMMYFUNCTION("""COMPUTED_VALUE"""),"บิ๊กซี MINI")</f>
        <v>บิ๊กซี MINI</v>
      </c>
      <c r="F1033" s="1" t="str">
        <f>IFERROR(__xludf.DUMMYFUNCTION("""COMPUTED_VALUE"""),"250760")</f>
        <v>250760</v>
      </c>
      <c r="G1033" s="1" t="str">
        <f>IFERROR(__xludf.DUMMYFUNCTION("""COMPUTED_VALUE"""),"นายประทวน สาราบรรณ์")</f>
        <v>นายประทวน สาราบรรณ์</v>
      </c>
      <c r="H1033" s="1" t="str">
        <f>IFERROR(__xludf.DUMMYFUNCTION("""COMPUTED_VALUE"""),"394185")</f>
        <v>394185</v>
      </c>
      <c r="I1033" s="1" t="str">
        <f>IFERROR(__xludf.DUMMYFUNCTION("""COMPUTED_VALUE"""),"น.ส.ฐาปนี สุวรรณรัตน์")</f>
        <v>น.ส.ฐาปนี สุวรรณรัตน์</v>
      </c>
      <c r="J1033" s="3">
        <f>IFERROR(__xludf.DUMMYFUNCTION("""COMPUTED_VALUE"""),2.0470331E7)</f>
        <v>20470331</v>
      </c>
      <c r="K1033" s="3" t="str">
        <f>IFERROR(__xludf.DUMMYFUNCTION("""COMPUTED_VALUE"""),"นายสมชาย ลักษณะสุวรรณ")</f>
        <v>นายสมชาย ลักษณะสุวรรณ</v>
      </c>
      <c r="L1033" s="1" t="str">
        <f>IFERROR(__xludf.DUMMYFUNCTION("""COMPUTED_VALUE"""),"15 K.Somchai L")</f>
        <v>15 K.Somchai L</v>
      </c>
      <c r="M1033" s="1" t="str">
        <f>IFERROR(__xludf.DUMMYFUNCTION("""COMPUTED_VALUE"""),"0655107372")</f>
        <v>0655107372</v>
      </c>
      <c r="N1033" s="3">
        <f>IFERROR(__xludf.DUMMYFUNCTION("""COMPUTED_VALUE"""),21723.0)</f>
        <v>21723</v>
      </c>
      <c r="O1033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033" s="4">
        <f>IFERROR(__xludf.DUMMYFUNCTION("""COMPUTED_VALUE"""),43829.0)</f>
        <v>43829</v>
      </c>
      <c r="Q1033" s="3" t="str">
        <f>IFERROR(__xludf.DUMMYFUNCTION("""COMPUTED_VALUE"""),"A")</f>
        <v>A</v>
      </c>
      <c r="R1033" s="3" t="str">
        <f>IFERROR(__xludf.DUMMYFUNCTION("""COMPUTED_VALUE"""),"Small Format")</f>
        <v>Small Format</v>
      </c>
      <c r="S1033" s="3" t="str">
        <f>IFERROR(__xludf.DUMMYFUNCTION("""COMPUTED_VALUE"""),"BCM")</f>
        <v>BCM</v>
      </c>
      <c r="T1033" s="3" t="str">
        <f>IFERROR(__xludf.DUMMYFUNCTION("""COMPUTED_VALUE"""),"#N/A")</f>
        <v>#N/A</v>
      </c>
      <c r="U1033" s="3" t="str">
        <f>IFERROR(__xludf.DUMMYFUNCTION("""COMPUTED_VALUE"""),"#N/A")</f>
        <v>#N/A</v>
      </c>
      <c r="V1033" s="3" t="str">
        <f>IFERROR(__xludf.DUMMYFUNCTION("""COMPUTED_VALUE"""),"N")</f>
        <v>N</v>
      </c>
      <c r="W1033" s="3">
        <f>IFERROR(__xludf.DUMMYFUNCTION("""COMPUTED_VALUE"""),211832.0)</f>
        <v>211832</v>
      </c>
      <c r="X1033" s="3" t="str">
        <f>IFERROR(__xludf.DUMMYFUNCTION("""COMPUTED_VALUE"""),"139,141 ถนนนายขาวอุทิศ ตำบลสะเดา อำเภอสะเดา จังหวัดสงขลา 90120")</f>
        <v>139,141 ถนนนายขาวอุทิศ ตำบลสะเดา อำเภอสะเดา จังหวัดสงขลา 90120</v>
      </c>
      <c r="Y1033" s="3" t="str">
        <f>IFERROR(__xludf.DUMMYFUNCTION("""COMPUTED_VALUE"""),"ถนนนายขาวอุทิศ")</f>
        <v>ถนนนายขาวอุทิศ</v>
      </c>
      <c r="Z1033" s="3" t="str">
        <f>IFERROR(__xludf.DUMMYFUNCTION("""COMPUTED_VALUE"""),"สะเดา")</f>
        <v>สะเดา</v>
      </c>
      <c r="AA1033" s="3" t="str">
        <f>IFERROR(__xludf.DUMMYFUNCTION("""COMPUTED_VALUE"""),"สะเดา")</f>
        <v>สะเดา</v>
      </c>
      <c r="AB1033" s="3" t="str">
        <f>IFERROR(__xludf.DUMMYFUNCTION("""COMPUTED_VALUE"""),"สงขลา")</f>
        <v>สงขลา</v>
      </c>
      <c r="AC1033" s="3">
        <f>IFERROR(__xludf.DUMMYFUNCTION("""COMPUTED_VALUE"""),90120.0)</f>
        <v>90120</v>
      </c>
      <c r="AD1033" s="3">
        <f>IFERROR(__xludf.DUMMYFUNCTION("""COMPUTED_VALUE"""),6.634178)</f>
        <v>6.634178</v>
      </c>
      <c r="AE1033" s="3">
        <f>IFERROR(__xludf.DUMMYFUNCTION("""COMPUTED_VALUE"""),100.420992)</f>
        <v>100.420992</v>
      </c>
      <c r="AF1033" s="3" t="str">
        <f>IFERROR(__xludf.DUMMYFUNCTION("""COMPUTED_VALUE"""),"MBC ตลาดสดเทศบาลเมืองสะเดา สงขลา-21805")</f>
        <v>MBC ตลาดสดเทศบาลเมืองสะเดา สงขลา-21805</v>
      </c>
      <c r="AG1033" s="3" t="str">
        <f>IFERROR(__xludf.DUMMYFUNCTION("""COMPUTED_VALUE"""),"ใต้")</f>
        <v>ใต้</v>
      </c>
      <c r="AH1033" s="3" t="str">
        <f>IFERROR(__xludf.DUMMYFUNCTION("""COMPUTED_VALUE"""),"#N/A")</f>
        <v>#N/A</v>
      </c>
      <c r="AI1033" s="3" t="str">
        <f>IFERROR(__xludf.DUMMYFUNCTION("""COMPUTED_VALUE"""),"Out of warranty")</f>
        <v>Out of warranty</v>
      </c>
      <c r="AJ1033" s="3">
        <f>IFERROR(__xludf.DUMMYFUNCTION("""COMPUTED_VALUE"""),73.0)</f>
        <v>73</v>
      </c>
      <c r="AK1033" s="3" t="str">
        <f>IFERROR(__xludf.DUMMYFUNCTION("""COMPUTED_VALUE"""),"MMS16")</f>
        <v>MMS16</v>
      </c>
      <c r="AL1033" s="3"/>
    </row>
    <row r="1034" ht="15.75" customHeight="1">
      <c r="A1034" s="1" t="str">
        <f>IFERROR(__xludf.DUMMYFUNCTION("""COMPUTED_VALUE"""),"21806")</f>
        <v>21806</v>
      </c>
      <c r="B1034" s="2">
        <f>IFERROR(__xludf.DUMMYFUNCTION("""COMPUTED_VALUE"""),21806.0)</f>
        <v>21806</v>
      </c>
      <c r="C1034" s="3" t="str">
        <f>IFERROR(__xludf.DUMMYFUNCTION("""COMPUTED_VALUE"""),"MBC คลองด่าน สมุทรปราการ")</f>
        <v>MBC คลองด่าน สมุทรปราการ</v>
      </c>
      <c r="D1034" s="3" t="str">
        <f>IFERROR(__xludf.DUMMYFUNCTION("""COMPUTED_VALUE"""),"BCM KLONG DAN,SAMUTPRAKAN")</f>
        <v>BCM KLONG DAN,SAMUTPRAKAN</v>
      </c>
      <c r="E1034" s="1" t="str">
        <f>IFERROR(__xludf.DUMMYFUNCTION("""COMPUTED_VALUE"""),"บิ๊กซี MINI")</f>
        <v>บิ๊กซี MINI</v>
      </c>
      <c r="F1034" s="1" t="str">
        <f>IFERROR(__xludf.DUMMYFUNCTION("""COMPUTED_VALUE"""),"2083447")</f>
        <v>2083447</v>
      </c>
      <c r="G1034" s="1" t="str">
        <f>IFERROR(__xludf.DUMMYFUNCTION("""COMPUTED_VALUE"""),"นายอนุกูล ศรีลัดดา")</f>
        <v>นายอนุกูล ศรีลัดดา</v>
      </c>
      <c r="H1034" s="1" t="str">
        <f>IFERROR(__xludf.DUMMYFUNCTION("""COMPUTED_VALUE"""),"284752")</f>
        <v>284752</v>
      </c>
      <c r="I1034" s="1" t="str">
        <f>IFERROR(__xludf.DUMMYFUNCTION("""COMPUTED_VALUE"""),"น.ส.วีรนันท์ แสงใส")</f>
        <v>น.ส.วีรนันท์ แสงใส</v>
      </c>
      <c r="J1034" s="3">
        <f>IFERROR(__xludf.DUMMYFUNCTION("""COMPUTED_VALUE"""),2451655.0)</f>
        <v>2451655</v>
      </c>
      <c r="K1034" s="3" t="str">
        <f>IFERROR(__xludf.DUMMYFUNCTION("""COMPUTED_VALUE"""),"นายวิษณุพงษ์ ชินบุตร")</f>
        <v>นายวิษณุพงษ์ ชินบุตร</v>
      </c>
      <c r="L1034" s="1" t="str">
        <f>IFERROR(__xludf.DUMMYFUNCTION("""COMPUTED_VALUE"""),"13 K.Wisanupong Ch")</f>
        <v>13 K.Wisanupong Ch</v>
      </c>
      <c r="M1034" s="1" t="str">
        <f>IFERROR(__xludf.DUMMYFUNCTION("""COMPUTED_VALUE"""),"0843374693")</f>
        <v>0843374693</v>
      </c>
      <c r="N1034" s="3">
        <f>IFERROR(__xludf.DUMMYFUNCTION("""COMPUTED_VALUE"""),22729.0)</f>
        <v>22729</v>
      </c>
      <c r="O1034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034" s="4">
        <f>IFERROR(__xludf.DUMMYFUNCTION("""COMPUTED_VALUE"""),43606.0)</f>
        <v>43606</v>
      </c>
      <c r="Q1034" s="3" t="str">
        <f>IFERROR(__xludf.DUMMYFUNCTION("""COMPUTED_VALUE"""),"A")</f>
        <v>A</v>
      </c>
      <c r="R1034" s="3" t="str">
        <f>IFERROR(__xludf.DUMMYFUNCTION("""COMPUTED_VALUE"""),"Small Format")</f>
        <v>Small Format</v>
      </c>
      <c r="S1034" s="3" t="str">
        <f>IFERROR(__xludf.DUMMYFUNCTION("""COMPUTED_VALUE"""),"BCM")</f>
        <v>BCM</v>
      </c>
      <c r="T1034" s="3" t="str">
        <f>IFERROR(__xludf.DUMMYFUNCTION("""COMPUTED_VALUE"""),"#N/A")</f>
        <v>#N/A</v>
      </c>
      <c r="U1034" s="3" t="str">
        <f>IFERROR(__xludf.DUMMYFUNCTION("""COMPUTED_VALUE"""),"#N/A")</f>
        <v>#N/A</v>
      </c>
      <c r="V1034" s="3" t="str">
        <f>IFERROR(__xludf.DUMMYFUNCTION("""COMPUTED_VALUE"""),"N")</f>
        <v>N</v>
      </c>
      <c r="W1034" s="3">
        <f>IFERROR(__xludf.DUMMYFUNCTION("""COMPUTED_VALUE"""),211759.0)</f>
        <v>211759</v>
      </c>
      <c r="X1034" s="3" t="str">
        <f>IFERROR(__xludf.DUMMYFUNCTION("""COMPUTED_VALUE"""),"346 หมู่11 ตำบลคลองด่าน อำเภอบางบ่อ จังหวัดสมุทรปราการ 10550")</f>
        <v>346 หมู่11 ตำบลคลองด่าน อำเภอบางบ่อ จังหวัดสมุทรปราการ 10550</v>
      </c>
      <c r="Y1034" s="3"/>
      <c r="Z1034" s="3" t="str">
        <f>IFERROR(__xludf.DUMMYFUNCTION("""COMPUTED_VALUE"""),"คลองด่าน")</f>
        <v>คลองด่าน</v>
      </c>
      <c r="AA1034" s="3" t="str">
        <f>IFERROR(__xludf.DUMMYFUNCTION("""COMPUTED_VALUE"""),"บางบ่อ")</f>
        <v>บางบ่อ</v>
      </c>
      <c r="AB1034" s="3" t="str">
        <f>IFERROR(__xludf.DUMMYFUNCTION("""COMPUTED_VALUE"""),"สมุทรปราการ")</f>
        <v>สมุทรปราการ</v>
      </c>
      <c r="AC1034" s="3">
        <f>IFERROR(__xludf.DUMMYFUNCTION("""COMPUTED_VALUE"""),10550.0)</f>
        <v>10550</v>
      </c>
      <c r="AD1034" s="3">
        <f>IFERROR(__xludf.DUMMYFUNCTION("""COMPUTED_VALUE"""),13.507334)</f>
        <v>13.507334</v>
      </c>
      <c r="AE1034" s="3">
        <f>IFERROR(__xludf.DUMMYFUNCTION("""COMPUTED_VALUE"""),100.824046)</f>
        <v>100.824046</v>
      </c>
      <c r="AF1034" s="3" t="str">
        <f>IFERROR(__xludf.DUMMYFUNCTION("""COMPUTED_VALUE"""),"MBC คลองด่าน สมุทรปราการ-21806")</f>
        <v>MBC คลองด่าน สมุทรปราการ-21806</v>
      </c>
      <c r="AG1034" s="3" t="str">
        <f>IFERROR(__xludf.DUMMYFUNCTION("""COMPUTED_VALUE"""),"กลาง")</f>
        <v>กลาง</v>
      </c>
      <c r="AH1034" s="3" t="str">
        <f>IFERROR(__xludf.DUMMYFUNCTION("""COMPUTED_VALUE"""),"#N/A")</f>
        <v>#N/A</v>
      </c>
      <c r="AI1034" s="3" t="str">
        <f>IFERROR(__xludf.DUMMYFUNCTION("""COMPUTED_VALUE"""),"Out of warranty")</f>
        <v>Out of warranty</v>
      </c>
      <c r="AJ1034" s="3">
        <f>IFERROR(__xludf.DUMMYFUNCTION("""COMPUTED_VALUE"""),80.0)</f>
        <v>80</v>
      </c>
      <c r="AK1034" s="3" t="str">
        <f>IFERROR(__xludf.DUMMYFUNCTION("""COMPUTED_VALUE"""),"MMS03")</f>
        <v>MMS03</v>
      </c>
      <c r="AL1034" s="3"/>
    </row>
    <row r="1035" ht="15.75" customHeight="1">
      <c r="A1035" s="1" t="str">
        <f>IFERROR(__xludf.DUMMYFUNCTION("""COMPUTED_VALUE"""),"21807")</f>
        <v>21807</v>
      </c>
      <c r="B1035" s="2">
        <f>IFERROR(__xludf.DUMMYFUNCTION("""COMPUTED_VALUE"""),21807.0)</f>
        <v>21807</v>
      </c>
      <c r="C1035" s="3" t="str">
        <f>IFERROR(__xludf.DUMMYFUNCTION("""COMPUTED_VALUE"""),"MBC ตลาดบางกรวย นนทบุรี")</f>
        <v>MBC ตลาดบางกรวย นนทบุรี</v>
      </c>
      <c r="D1035" s="3" t="str">
        <f>IFERROR(__xludf.DUMMYFUNCTION("""COMPUTED_VALUE"""),"BCM BANG KRUAI WET MARKET")</f>
        <v>BCM BANG KRUAI WET MARKET</v>
      </c>
      <c r="E1035" s="1" t="str">
        <f>IFERROR(__xludf.DUMMYFUNCTION("""COMPUTED_VALUE"""),"บิ๊กซี MINI")</f>
        <v>บิ๊กซี MINI</v>
      </c>
      <c r="F1035" s="1" t="str">
        <f>IFERROR(__xludf.DUMMYFUNCTION("""COMPUTED_VALUE"""),"291008")</f>
        <v>291008</v>
      </c>
      <c r="G1035" s="1" t="str">
        <f>IFERROR(__xludf.DUMMYFUNCTION("""COMPUTED_VALUE"""),"น.ส.รัชดาพร อีศรัตน์")</f>
        <v>น.ส.รัชดาพร อีศรัตน์</v>
      </c>
      <c r="H1035" s="1" t="str">
        <f>IFERROR(__xludf.DUMMYFUNCTION("""COMPUTED_VALUE"""),"034068")</f>
        <v>034068</v>
      </c>
      <c r="I1035" s="1" t="str">
        <f>IFERROR(__xludf.DUMMYFUNCTION("""COMPUTED_VALUE"""),"นายสมศักดิ์ ฐานทองดี")</f>
        <v>นายสมศักดิ์ ฐานทองดี</v>
      </c>
      <c r="J1035" s="3">
        <f>IFERROR(__xludf.DUMMYFUNCTION("""COMPUTED_VALUE"""),296608.0)</f>
        <v>296608</v>
      </c>
      <c r="K1035" s="3" t="str">
        <f>IFERROR(__xludf.DUMMYFUNCTION("""COMPUTED_VALUE"""),"นายภาคภูมิ เพ็ชรนิล")</f>
        <v>นายภาคภูมิ เพ็ชรนิล</v>
      </c>
      <c r="L1035" s="1" t="str">
        <f>IFERROR(__xludf.DUMMYFUNCTION("""COMPUTED_VALUE"""),"10 K.Phakphoom P.")</f>
        <v>10 K.Phakphoom P.</v>
      </c>
      <c r="M1035" s="1" t="str">
        <f>IFERROR(__xludf.DUMMYFUNCTION("""COMPUTED_VALUE"""),"063-8955329")</f>
        <v>063-8955329</v>
      </c>
      <c r="N1035" s="3">
        <f>IFERROR(__xludf.DUMMYFUNCTION("""COMPUTED_VALUE"""),22584.0)</f>
        <v>22584</v>
      </c>
      <c r="O1035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035" s="4">
        <f>IFERROR(__xludf.DUMMYFUNCTION("""COMPUTED_VALUE"""),43641.0)</f>
        <v>43641</v>
      </c>
      <c r="Q1035" s="3" t="str">
        <f>IFERROR(__xludf.DUMMYFUNCTION("""COMPUTED_VALUE"""),"A")</f>
        <v>A</v>
      </c>
      <c r="R1035" s="3" t="str">
        <f>IFERROR(__xludf.DUMMYFUNCTION("""COMPUTED_VALUE"""),"Small Format")</f>
        <v>Small Format</v>
      </c>
      <c r="S1035" s="3" t="str">
        <f>IFERROR(__xludf.DUMMYFUNCTION("""COMPUTED_VALUE"""),"BCM")</f>
        <v>BCM</v>
      </c>
      <c r="T1035" s="3" t="str">
        <f>IFERROR(__xludf.DUMMYFUNCTION("""COMPUTED_VALUE"""),"#N/A")</f>
        <v>#N/A</v>
      </c>
      <c r="U1035" s="3" t="str">
        <f>IFERROR(__xludf.DUMMYFUNCTION("""COMPUTED_VALUE"""),"#N/A")</f>
        <v>#N/A</v>
      </c>
      <c r="V1035" s="3" t="str">
        <f>IFERROR(__xludf.DUMMYFUNCTION("""COMPUTED_VALUE"""),"N")</f>
        <v>N</v>
      </c>
      <c r="W1035" s="3">
        <f>IFERROR(__xludf.DUMMYFUNCTION("""COMPUTED_VALUE"""),211802.0)</f>
        <v>211802</v>
      </c>
      <c r="X1035" s="3" t="str">
        <f>IFERROR(__xludf.DUMMYFUNCTION("""COMPUTED_VALUE"""),"9/18 หมู่2 ตำบลวัดชลอ อำเภอบางกรวย จังหวัดนนทบุรี 11130")</f>
        <v>9/18 หมู่2 ตำบลวัดชลอ อำเภอบางกรวย จังหวัดนนทบุรี 11130</v>
      </c>
      <c r="Y1035" s="3"/>
      <c r="Z1035" s="3" t="str">
        <f>IFERROR(__xludf.DUMMYFUNCTION("""COMPUTED_VALUE"""),"วัดชลอ")</f>
        <v>วัดชลอ</v>
      </c>
      <c r="AA1035" s="3" t="str">
        <f>IFERROR(__xludf.DUMMYFUNCTION("""COMPUTED_VALUE"""),"บางกรวย")</f>
        <v>บางกรวย</v>
      </c>
      <c r="AB1035" s="3" t="str">
        <f>IFERROR(__xludf.DUMMYFUNCTION("""COMPUTED_VALUE"""),"นนทบุรี")</f>
        <v>นนทบุรี</v>
      </c>
      <c r="AC1035" s="3">
        <f>IFERROR(__xludf.DUMMYFUNCTION("""COMPUTED_VALUE"""),11130.0)</f>
        <v>11130</v>
      </c>
      <c r="AD1035" s="3">
        <f>IFERROR(__xludf.DUMMYFUNCTION("""COMPUTED_VALUE"""),13.804304)</f>
        <v>13.804304</v>
      </c>
      <c r="AE1035" s="3">
        <f>IFERROR(__xludf.DUMMYFUNCTION("""COMPUTED_VALUE"""),100.484017)</f>
        <v>100.484017</v>
      </c>
      <c r="AF1035" s="3" t="str">
        <f>IFERROR(__xludf.DUMMYFUNCTION("""COMPUTED_VALUE"""),"MBC ตลาดบางกรวย นนทบุรี-21807")</f>
        <v>MBC ตลาดบางกรวย นนทบุรี-21807</v>
      </c>
      <c r="AG1035" s="3" t="str">
        <f>IFERROR(__xludf.DUMMYFUNCTION("""COMPUTED_VALUE"""),"กลาง")</f>
        <v>กลาง</v>
      </c>
      <c r="AH1035" s="3" t="str">
        <f>IFERROR(__xludf.DUMMYFUNCTION("""COMPUTED_VALUE"""),"#N/A")</f>
        <v>#N/A</v>
      </c>
      <c r="AI1035" s="3" t="str">
        <f>IFERROR(__xludf.DUMMYFUNCTION("""COMPUTED_VALUE"""),"Out of warranty")</f>
        <v>Out of warranty</v>
      </c>
      <c r="AJ1035" s="3">
        <f>IFERROR(__xludf.DUMMYFUNCTION("""COMPUTED_VALUE"""),79.0)</f>
        <v>79</v>
      </c>
      <c r="AK1035" s="3" t="str">
        <f>IFERROR(__xludf.DUMMYFUNCTION("""COMPUTED_VALUE"""),"MMS01")</f>
        <v>MMS01</v>
      </c>
      <c r="AL1035" s="3"/>
    </row>
    <row r="1036" ht="15.75" customHeight="1">
      <c r="A1036" s="1" t="str">
        <f>IFERROR(__xludf.DUMMYFUNCTION("""COMPUTED_VALUE"""),"21808")</f>
        <v>21808</v>
      </c>
      <c r="B1036" s="2">
        <f>IFERROR(__xludf.DUMMYFUNCTION("""COMPUTED_VALUE"""),21808.0)</f>
        <v>21808</v>
      </c>
      <c r="C1036" s="3" t="str">
        <f>IFERROR(__xludf.DUMMYFUNCTION("""COMPUTED_VALUE"""),"MBC ตลาดเพลินไพลินปราจีนบุรี")</f>
        <v>MBC ตลาดเพลินไพลินปราจีนบุรี</v>
      </c>
      <c r="D1036" s="3" t="str">
        <f>IFERROR(__xludf.DUMMYFUNCTION("""COMPUTED_VALUE"""),"BCM TALAD PLOEN PLAI LIN")</f>
        <v>BCM TALAD PLOEN PLAI LIN</v>
      </c>
      <c r="E1036" s="1" t="str">
        <f>IFERROR(__xludf.DUMMYFUNCTION("""COMPUTED_VALUE"""),"บิ๊กซี MINI")</f>
        <v>บิ๊กซี MINI</v>
      </c>
      <c r="F1036" s="1" t="str">
        <f>IFERROR(__xludf.DUMMYFUNCTION("""COMPUTED_VALUE"""),"2083447")</f>
        <v>2083447</v>
      </c>
      <c r="G1036" s="1" t="str">
        <f>IFERROR(__xludf.DUMMYFUNCTION("""COMPUTED_VALUE"""),"นายอนุกูล ศรีลัดดา")</f>
        <v>นายอนุกูล ศรีลัดดา</v>
      </c>
      <c r="H1036" s="1" t="str">
        <f>IFERROR(__xludf.DUMMYFUNCTION("""COMPUTED_VALUE"""),"259808")</f>
        <v>259808</v>
      </c>
      <c r="I1036" s="1" t="str">
        <f>IFERROR(__xludf.DUMMYFUNCTION("""COMPUTED_VALUE"""),"น.ส.สกุลรัตน์ พิกุลแก้ว")</f>
        <v>น.ส.สกุลรัตน์ พิกุลแก้ว</v>
      </c>
      <c r="J1036" s="3">
        <f>IFERROR(__xludf.DUMMYFUNCTION("""COMPUTED_VALUE"""),510143.0)</f>
        <v>510143</v>
      </c>
      <c r="K1036" s="3" t="str">
        <f>IFERROR(__xludf.DUMMYFUNCTION("""COMPUTED_VALUE"""),"นายธีระวัฒน์ บุญสิทธิ์")</f>
        <v>นายธีระวัฒน์ บุญสิทธิ์</v>
      </c>
      <c r="L1036" s="1" t="str">
        <f>IFERROR(__xludf.DUMMYFUNCTION("""COMPUTED_VALUE"""),"12 K.Theerawat B.")</f>
        <v>12 K.Theerawat B.</v>
      </c>
      <c r="M1036" s="1" t="str">
        <f>IFERROR(__xludf.DUMMYFUNCTION("""COMPUTED_VALUE"""),"0655107379")</f>
        <v>0655107379</v>
      </c>
      <c r="N1036" s="3">
        <f>IFERROR(__xludf.DUMMYFUNCTION("""COMPUTED_VALUE"""),21062.0)</f>
        <v>21062</v>
      </c>
      <c r="O1036" s="3" t="str">
        <f>IFERROR(__xludf.DUMMYFUNCTION("""COMPUTED_VALUE"""),"MBC นิคมนวนคร")</f>
        <v>MBC นิคมนวนคร</v>
      </c>
      <c r="P1036" s="4">
        <f>IFERROR(__xludf.DUMMYFUNCTION("""COMPUTED_VALUE"""),43643.0)</f>
        <v>43643</v>
      </c>
      <c r="Q1036" s="3" t="str">
        <f>IFERROR(__xludf.DUMMYFUNCTION("""COMPUTED_VALUE"""),"A")</f>
        <v>A</v>
      </c>
      <c r="R1036" s="3" t="str">
        <f>IFERROR(__xludf.DUMMYFUNCTION("""COMPUTED_VALUE"""),"Small Format")</f>
        <v>Small Format</v>
      </c>
      <c r="S1036" s="3" t="str">
        <f>IFERROR(__xludf.DUMMYFUNCTION("""COMPUTED_VALUE"""),"BCM")</f>
        <v>BCM</v>
      </c>
      <c r="T1036" s="3" t="str">
        <f>IFERROR(__xludf.DUMMYFUNCTION("""COMPUTED_VALUE"""),"#N/A")</f>
        <v>#N/A</v>
      </c>
      <c r="U1036" s="3" t="str">
        <f>IFERROR(__xludf.DUMMYFUNCTION("""COMPUTED_VALUE"""),"#N/A")</f>
        <v>#N/A</v>
      </c>
      <c r="V1036" s="3" t="str">
        <f>IFERROR(__xludf.DUMMYFUNCTION("""COMPUTED_VALUE"""),"N")</f>
        <v>N</v>
      </c>
      <c r="W1036" s="3">
        <f>IFERROR(__xludf.DUMMYFUNCTION("""COMPUTED_VALUE"""),211812.0)</f>
        <v>211812</v>
      </c>
      <c r="X1036" s="3" t="str">
        <f>IFERROR(__xludf.DUMMYFUNCTION("""COMPUTED_VALUE"""),"1111/30 หมู่9 ตำบลหนองกี่ อำเภอกบินทร์บุรี จังหวัดปราจีนบุรี 25110")</f>
        <v>1111/30 หมู่9 ตำบลหนองกี่ อำเภอกบินทร์บุรี จังหวัดปราจีนบุรี 25110</v>
      </c>
      <c r="Y1036" s="3"/>
      <c r="Z1036" s="3" t="str">
        <f>IFERROR(__xludf.DUMMYFUNCTION("""COMPUTED_VALUE"""),"หนองกี่")</f>
        <v>หนองกี่</v>
      </c>
      <c r="AA1036" s="3" t="str">
        <f>IFERROR(__xludf.DUMMYFUNCTION("""COMPUTED_VALUE"""),"กบินทร์บุรี")</f>
        <v>กบินทร์บุรี</v>
      </c>
      <c r="AB1036" s="3" t="str">
        <f>IFERROR(__xludf.DUMMYFUNCTION("""COMPUTED_VALUE"""),"ปราจีนบุรี")</f>
        <v>ปราจีนบุรี</v>
      </c>
      <c r="AC1036" s="3">
        <f>IFERROR(__xludf.DUMMYFUNCTION("""COMPUTED_VALUE"""),25110.0)</f>
        <v>25110</v>
      </c>
      <c r="AD1036" s="3">
        <f>IFERROR(__xludf.DUMMYFUNCTION("""COMPUTED_VALUE"""),14.068506)</f>
        <v>14.068506</v>
      </c>
      <c r="AE1036" s="3">
        <f>IFERROR(__xludf.DUMMYFUNCTION("""COMPUTED_VALUE"""),101.817849)</f>
        <v>101.817849</v>
      </c>
      <c r="AF1036" s="3" t="str">
        <f>IFERROR(__xludf.DUMMYFUNCTION("""COMPUTED_VALUE"""),"MBC ตลาดเพลินไพลินปราจีนบุรี-21808")</f>
        <v>MBC ตลาดเพลินไพลินปราจีนบุรี-21808</v>
      </c>
      <c r="AG1036" s="3" t="str">
        <f>IFERROR(__xludf.DUMMYFUNCTION("""COMPUTED_VALUE"""),"ตะวันออก")</f>
        <v>ตะวันออก</v>
      </c>
      <c r="AH1036" s="3" t="str">
        <f>IFERROR(__xludf.DUMMYFUNCTION("""COMPUTED_VALUE"""),"#N/A")</f>
        <v>#N/A</v>
      </c>
      <c r="AI1036" s="3" t="str">
        <f>IFERROR(__xludf.DUMMYFUNCTION("""COMPUTED_VALUE"""),"Out of warranty")</f>
        <v>Out of warranty</v>
      </c>
      <c r="AJ1036" s="3">
        <f>IFERROR(__xludf.DUMMYFUNCTION("""COMPUTED_VALUE"""),79.0)</f>
        <v>79</v>
      </c>
      <c r="AK1036" s="3" t="str">
        <f>IFERROR(__xludf.DUMMYFUNCTION("""COMPUTED_VALUE"""),"MMS08")</f>
        <v>MMS08</v>
      </c>
      <c r="AL1036" s="3"/>
    </row>
    <row r="1037" ht="15.75" customHeight="1">
      <c r="A1037" s="1" t="str">
        <f>IFERROR(__xludf.DUMMYFUNCTION("""COMPUTED_VALUE"""),"21809")</f>
        <v>21809</v>
      </c>
      <c r="B1037" s="2">
        <f>IFERROR(__xludf.DUMMYFUNCTION("""COMPUTED_VALUE"""),21809.0)</f>
        <v>21809</v>
      </c>
      <c r="C1037" s="3" t="str">
        <f>IFERROR(__xludf.DUMMYFUNCTION("""COMPUTED_VALUE"""),"MBC ลาวาน่า เฉวง (สมุย) สุราษฎร์ธานี")</f>
        <v>MBC ลาวาน่า เฉวง (สมุย) สุราษฎร์ธานี</v>
      </c>
      <c r="D1037" s="3" t="str">
        <f>IFERROR(__xludf.DUMMYFUNCTION("""COMPUTED_VALUE"""),"MBC LAWANA CHAWENG (SAMUI)")</f>
        <v>MBC LAWANA CHAWENG (SAMUI)</v>
      </c>
      <c r="E1037" s="1" t="str">
        <f>IFERROR(__xludf.DUMMYFUNCTION("""COMPUTED_VALUE"""),"บิ๊กซี MINI")</f>
        <v>บิ๊กซี MINI</v>
      </c>
      <c r="F1037" s="1" t="str">
        <f>IFERROR(__xludf.DUMMYFUNCTION("""COMPUTED_VALUE"""),"2010918")</f>
        <v>2010918</v>
      </c>
      <c r="G1037" s="1" t="str">
        <f>IFERROR(__xludf.DUMMYFUNCTION("""COMPUTED_VALUE"""),"น.ส.สุดารัตน์ รัตนประดิษฐ์")</f>
        <v>น.ส.สุดารัตน์ รัตนประดิษฐ์</v>
      </c>
      <c r="H1037" s="1" t="str">
        <f>IFERROR(__xludf.DUMMYFUNCTION("""COMPUTED_VALUE"""),"228389")</f>
        <v>228389</v>
      </c>
      <c r="I1037" s="1" t="str">
        <f>IFERROR(__xludf.DUMMYFUNCTION("""COMPUTED_VALUE"""),"นายมณีรันดร์ ชัยชนะ")</f>
        <v>นายมณีรันดร์ ชัยชนะ</v>
      </c>
      <c r="J1037" s="3">
        <f>IFERROR(__xludf.DUMMYFUNCTION("""COMPUTED_VALUE"""),2.0470331E7)</f>
        <v>20470331</v>
      </c>
      <c r="K1037" s="3" t="str">
        <f>IFERROR(__xludf.DUMMYFUNCTION("""COMPUTED_VALUE"""),"นายสมชาย ลักษณะสุวรรณ")</f>
        <v>นายสมชาย ลักษณะสุวรรณ</v>
      </c>
      <c r="L1037" s="1" t="str">
        <f>IFERROR(__xludf.DUMMYFUNCTION("""COMPUTED_VALUE"""),"15 K.Somchai L")</f>
        <v>15 K.Somchai L</v>
      </c>
      <c r="M1037" s="1" t="str">
        <f>IFERROR(__xludf.DUMMYFUNCTION("""COMPUTED_VALUE"""),"0655107372")</f>
        <v>0655107372</v>
      </c>
      <c r="N1037" s="3">
        <f>IFERROR(__xludf.DUMMYFUNCTION("""COMPUTED_VALUE"""),21723.0)</f>
        <v>21723</v>
      </c>
      <c r="O1037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037" s="4">
        <f>IFERROR(__xludf.DUMMYFUNCTION("""COMPUTED_VALUE"""),43621.0)</f>
        <v>43621</v>
      </c>
      <c r="Q1037" s="3" t="str">
        <f>IFERROR(__xludf.DUMMYFUNCTION("""COMPUTED_VALUE"""),"I")</f>
        <v>I</v>
      </c>
      <c r="R1037" s="3" t="str">
        <f>IFERROR(__xludf.DUMMYFUNCTION("""COMPUTED_VALUE"""),"Small Format")</f>
        <v>Small Format</v>
      </c>
      <c r="S1037" s="3" t="str">
        <f>IFERROR(__xludf.DUMMYFUNCTION("""COMPUTED_VALUE"""),"BCM")</f>
        <v>BCM</v>
      </c>
      <c r="T1037" s="3" t="str">
        <f>IFERROR(__xludf.DUMMYFUNCTION("""COMPUTED_VALUE"""),"#N/A")</f>
        <v>#N/A</v>
      </c>
      <c r="U1037" s="3" t="str">
        <f>IFERROR(__xludf.DUMMYFUNCTION("""COMPUTED_VALUE"""),"#N/A")</f>
        <v>#N/A</v>
      </c>
      <c r="V1037" s="3" t="str">
        <f>IFERROR(__xludf.DUMMYFUNCTION("""COMPUTED_VALUE"""),"N")</f>
        <v>N</v>
      </c>
      <c r="W1037" s="3">
        <f>IFERROR(__xludf.DUMMYFUNCTION("""COMPUTED_VALUE"""),211829.0)</f>
        <v>211829</v>
      </c>
      <c r="X1037" s="3" t="str">
        <f>IFERROR(__xludf.DUMMYFUNCTION("""COMPUTED_VALUE"""),"9/100 หมู่2 ตำบลบ่อผุด อำเภอเกาะสมุย จังหวัดสุราษฎร์ธานี 84320")</f>
        <v>9/100 หมู่2 ตำบลบ่อผุด อำเภอเกาะสมุย จังหวัดสุราษฎร์ธานี 84320</v>
      </c>
      <c r="Y1037" s="3"/>
      <c r="Z1037" s="3" t="str">
        <f>IFERROR(__xludf.DUMMYFUNCTION("""COMPUTED_VALUE"""),"บ่อผุด")</f>
        <v>บ่อผุด</v>
      </c>
      <c r="AA1037" s="3" t="str">
        <f>IFERROR(__xludf.DUMMYFUNCTION("""COMPUTED_VALUE"""),"เกาะสมุย")</f>
        <v>เกาะสมุย</v>
      </c>
      <c r="AB1037" s="3" t="str">
        <f>IFERROR(__xludf.DUMMYFUNCTION("""COMPUTED_VALUE"""),"สุราษฎร์ธานี")</f>
        <v>สุราษฎร์ธานี</v>
      </c>
      <c r="AC1037" s="3">
        <f>IFERROR(__xludf.DUMMYFUNCTION("""COMPUTED_VALUE"""),84320.0)</f>
        <v>84320</v>
      </c>
      <c r="AD1037" s="3">
        <f>IFERROR(__xludf.DUMMYFUNCTION("""COMPUTED_VALUE"""),9.542278)</f>
        <v>9.542278</v>
      </c>
      <c r="AE1037" s="3">
        <f>IFERROR(__xludf.DUMMYFUNCTION("""COMPUTED_VALUE"""),100.073919)</f>
        <v>100.073919</v>
      </c>
      <c r="AF1037" s="3" t="str">
        <f>IFERROR(__xludf.DUMMYFUNCTION("""COMPUTED_VALUE"""),"MBC ลาวาน่า เฉวง (สมุย) สุราษฎร์ธานี-21809")</f>
        <v>MBC ลาวาน่า เฉวง (สมุย) สุราษฎร์ธานี-21809</v>
      </c>
      <c r="AG1037" s="3" t="str">
        <f>IFERROR(__xludf.DUMMYFUNCTION("""COMPUTED_VALUE"""),"ใต้")</f>
        <v>ใต้</v>
      </c>
      <c r="AH1037" s="3" t="str">
        <f>IFERROR(__xludf.DUMMYFUNCTION("""COMPUTED_VALUE"""),"#N/A")</f>
        <v>#N/A</v>
      </c>
      <c r="AI1037" s="3" t="str">
        <f>IFERROR(__xludf.DUMMYFUNCTION("""COMPUTED_VALUE"""),"Out of warranty")</f>
        <v>Out of warranty</v>
      </c>
      <c r="AJ1037" s="3">
        <f>IFERROR(__xludf.DUMMYFUNCTION("""COMPUTED_VALUE"""),80.0)</f>
        <v>80</v>
      </c>
      <c r="AK1037" s="3"/>
      <c r="AL1037" s="3"/>
    </row>
    <row r="1038" ht="15.75" customHeight="1">
      <c r="A1038" s="1" t="str">
        <f>IFERROR(__xludf.DUMMYFUNCTION("""COMPUTED_VALUE"""),"21810")</f>
        <v>21810</v>
      </c>
      <c r="B1038" s="2">
        <f>IFERROR(__xludf.DUMMYFUNCTION("""COMPUTED_VALUE"""),21810.0)</f>
        <v>21810</v>
      </c>
      <c r="C1038" s="3" t="str">
        <f>IFERROR(__xludf.DUMMYFUNCTION("""COMPUTED_VALUE"""),"MBC ตลาดเจ้าพรหม อยุธยา")</f>
        <v>MBC ตลาดเจ้าพรหม อยุธยา</v>
      </c>
      <c r="D1038" s="3" t="str">
        <f>IFERROR(__xludf.DUMMYFUNCTION("""COMPUTED_VALUE"""),"BCM TALAD CHAO PHROM")</f>
        <v>BCM TALAD CHAO PHROM</v>
      </c>
      <c r="E1038" s="1" t="str">
        <f>IFERROR(__xludf.DUMMYFUNCTION("""COMPUTED_VALUE"""),"บิ๊กซี MINI")</f>
        <v>บิ๊กซี MINI</v>
      </c>
      <c r="F1038" s="1" t="str">
        <f>IFERROR(__xludf.DUMMYFUNCTION("""COMPUTED_VALUE"""),"296229")</f>
        <v>296229</v>
      </c>
      <c r="G1038" s="1" t="str">
        <f>IFERROR(__xludf.DUMMYFUNCTION("""COMPUTED_VALUE"""),"นายทนงศักดิ์ บุญมา")</f>
        <v>นายทนงศักดิ์ บุญมา</v>
      </c>
      <c r="H1038" s="1" t="str">
        <f>IFERROR(__xludf.DUMMYFUNCTION("""COMPUTED_VALUE"""),"318233")</f>
        <v>318233</v>
      </c>
      <c r="I1038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1038" s="3">
        <f>IFERROR(__xludf.DUMMYFUNCTION("""COMPUTED_VALUE"""),46214.0)</f>
        <v>46214</v>
      </c>
      <c r="K1038" s="3" t="str">
        <f>IFERROR(__xludf.DUMMYFUNCTION("""COMPUTED_VALUE"""),"นายศักดิ์ชัย เด็ดดอกฟ้า")</f>
        <v>นายศักดิ์ชัย เด็ดดอกฟ้า</v>
      </c>
      <c r="L1038" s="1" t="str">
        <f>IFERROR(__xludf.DUMMYFUNCTION("""COMPUTED_VALUE"""),"02 K.Sakchai D")</f>
        <v>02 K.Sakchai D</v>
      </c>
      <c r="M1038" s="1" t="str">
        <f>IFERROR(__xludf.DUMMYFUNCTION("""COMPUTED_VALUE"""),"065-510-7376")</f>
        <v>065-510-7376</v>
      </c>
      <c r="N1038" s="3">
        <f>IFERROR(__xludf.DUMMYFUNCTION("""COMPUTED_VALUE"""),21714.0)</f>
        <v>21714</v>
      </c>
      <c r="O1038" s="3" t="str">
        <f>IFERROR(__xludf.DUMMYFUNCTION("""COMPUTED_VALUE"""),"MBC เอสโซ่ วัดโบสถ์")</f>
        <v>MBC เอสโซ่ วัดโบสถ์</v>
      </c>
      <c r="P1038" s="4">
        <f>IFERROR(__xludf.DUMMYFUNCTION("""COMPUTED_VALUE"""),43683.0)</f>
        <v>43683</v>
      </c>
      <c r="Q1038" s="3" t="str">
        <f>IFERROR(__xludf.DUMMYFUNCTION("""COMPUTED_VALUE"""),"A")</f>
        <v>A</v>
      </c>
      <c r="R1038" s="3" t="str">
        <f>IFERROR(__xludf.DUMMYFUNCTION("""COMPUTED_VALUE"""),"Small Format")</f>
        <v>Small Format</v>
      </c>
      <c r="S1038" s="3" t="str">
        <f>IFERROR(__xludf.DUMMYFUNCTION("""COMPUTED_VALUE"""),"BCM")</f>
        <v>BCM</v>
      </c>
      <c r="T1038" s="3" t="str">
        <f>IFERROR(__xludf.DUMMYFUNCTION("""COMPUTED_VALUE"""),"#N/A")</f>
        <v>#N/A</v>
      </c>
      <c r="U1038" s="3" t="str">
        <f>IFERROR(__xludf.DUMMYFUNCTION("""COMPUTED_VALUE"""),"#N/A")</f>
        <v>#N/A</v>
      </c>
      <c r="V1038" s="3" t="str">
        <f>IFERROR(__xludf.DUMMYFUNCTION("""COMPUTED_VALUE"""),"N")</f>
        <v>N</v>
      </c>
      <c r="W1038" s="3">
        <f>IFERROR(__xludf.DUMMYFUNCTION("""COMPUTED_VALUE"""),211650.0)</f>
        <v>211650</v>
      </c>
      <c r="X1038" s="3" t="str">
        <f>IFERROR(__xludf.DUMMYFUNCTION("""COMPUTED_VALUE"""),"7/4-6 ถนนนเรศวร(ค) ตำบลหอรัตนไชย อำเภอพระนครศรีอยุธยา จังหวัดพระนครศรีอยุธยา 13000")</f>
        <v>7/4-6 ถนนนเรศวร(ค) ตำบลหอรัตนไชย อำเภอพระนครศรีอยุธยา จังหวัดพระนครศรีอยุธยา 13000</v>
      </c>
      <c r="Y1038" s="3" t="str">
        <f>IFERROR(__xludf.DUMMYFUNCTION("""COMPUTED_VALUE"""),"ถนนนเรศวร(ค)")</f>
        <v>ถนนนเรศวร(ค)</v>
      </c>
      <c r="Z1038" s="3" t="str">
        <f>IFERROR(__xludf.DUMMYFUNCTION("""COMPUTED_VALUE"""),"หอรัตนไชย")</f>
        <v>หอรัตนไชย</v>
      </c>
      <c r="AA1038" s="3" t="str">
        <f>IFERROR(__xludf.DUMMYFUNCTION("""COMPUTED_VALUE"""),"เมืองพระนครศรีอยุธยา")</f>
        <v>เมืองพระนครศรีอยุธยา</v>
      </c>
      <c r="AB1038" s="3" t="str">
        <f>IFERROR(__xludf.DUMMYFUNCTION("""COMPUTED_VALUE"""),"พระนครศรีอยุธยา")</f>
        <v>พระนครศรีอยุธยา</v>
      </c>
      <c r="AC1038" s="3">
        <f>IFERROR(__xludf.DUMMYFUNCTION("""COMPUTED_VALUE"""),13000.0)</f>
        <v>13000</v>
      </c>
      <c r="AD1038" s="3">
        <f>IFERROR(__xludf.DUMMYFUNCTION("""COMPUTED_VALUE"""),14.358372)</f>
        <v>14.358372</v>
      </c>
      <c r="AE1038" s="3">
        <f>IFERROR(__xludf.DUMMYFUNCTION("""COMPUTED_VALUE"""),100.577492)</f>
        <v>100.577492</v>
      </c>
      <c r="AF1038" s="3" t="str">
        <f>IFERROR(__xludf.DUMMYFUNCTION("""COMPUTED_VALUE"""),"MBC ตลาดเจ้าพรหม อยุธยา-21810")</f>
        <v>MBC ตลาดเจ้าพรหม อยุธยา-21810</v>
      </c>
      <c r="AG1038" s="3" t="str">
        <f>IFERROR(__xludf.DUMMYFUNCTION("""COMPUTED_VALUE"""),"กลาง")</f>
        <v>กลาง</v>
      </c>
      <c r="AH1038" s="3" t="str">
        <f>IFERROR(__xludf.DUMMYFUNCTION("""COMPUTED_VALUE"""),"#N/A")</f>
        <v>#N/A</v>
      </c>
      <c r="AI1038" s="3" t="str">
        <f>IFERROR(__xludf.DUMMYFUNCTION("""COMPUTED_VALUE"""),"Out of warranty")</f>
        <v>Out of warranty</v>
      </c>
      <c r="AJ1038" s="3">
        <f>IFERROR(__xludf.DUMMYFUNCTION("""COMPUTED_VALUE"""),78.0)</f>
        <v>78</v>
      </c>
      <c r="AK1038" s="3" t="str">
        <f>IFERROR(__xludf.DUMMYFUNCTION("""COMPUTED_VALUE"""),"MMS04")</f>
        <v>MMS04</v>
      </c>
      <c r="AL1038" s="3"/>
    </row>
    <row r="1039" ht="15.75" customHeight="1">
      <c r="A1039" s="1" t="str">
        <f>IFERROR(__xludf.DUMMYFUNCTION("""COMPUTED_VALUE"""),"21811")</f>
        <v>21811</v>
      </c>
      <c r="B1039" s="2">
        <f>IFERROR(__xludf.DUMMYFUNCTION("""COMPUTED_VALUE"""),21811.0)</f>
        <v>21811</v>
      </c>
      <c r="C1039" s="3" t="str">
        <f>IFERROR(__xludf.DUMMYFUNCTION("""COMPUTED_VALUE"""),"MBC ชุมชน เนินกระปอกระยอง")</f>
        <v>MBC ชุมชน เนินกระปอกระยอง</v>
      </c>
      <c r="D1039" s="3" t="str">
        <f>IFERROR(__xludf.DUMMYFUNCTION("""COMPUTED_VALUE"""),"BCM CHUMCHON NOENKAPOK")</f>
        <v>BCM CHUMCHON NOENKAPOK</v>
      </c>
      <c r="E1039" s="1" t="str">
        <f>IFERROR(__xludf.DUMMYFUNCTION("""COMPUTED_VALUE"""),"บิ๊กซี MINI")</f>
        <v>บิ๊กซี MINI</v>
      </c>
      <c r="F1039" s="1" t="str">
        <f>IFERROR(__xludf.DUMMYFUNCTION("""COMPUTED_VALUE"""),"221716")</f>
        <v>221716</v>
      </c>
      <c r="G1039" s="1" t="str">
        <f>IFERROR(__xludf.DUMMYFUNCTION("""COMPUTED_VALUE"""),"น.ส.เบญจพร โพธิสาร")</f>
        <v>น.ส.เบญจพร โพธิสาร</v>
      </c>
      <c r="H1039" s="1" t="str">
        <f>IFERROR(__xludf.DUMMYFUNCTION("""COMPUTED_VALUE"""),"359233")</f>
        <v>359233</v>
      </c>
      <c r="I1039" s="1" t="str">
        <f>IFERROR(__xludf.DUMMYFUNCTION("""COMPUTED_VALUE"""),"น.ส.ปยุดา คำมีอ่อน")</f>
        <v>น.ส.ปยุดา คำมีอ่อน</v>
      </c>
      <c r="J1039" s="3">
        <f>IFERROR(__xludf.DUMMYFUNCTION("""COMPUTED_VALUE"""),2452376.0)</f>
        <v>2452376</v>
      </c>
      <c r="K1039" s="3" t="str">
        <f>IFERROR(__xludf.DUMMYFUNCTION("""COMPUTED_VALUE"""),"นายภาคภูมิ ทวีกุล")</f>
        <v>นายภาคภูมิ ทวีกุล</v>
      </c>
      <c r="L1039" s="1" t="str">
        <f>IFERROR(__xludf.DUMMYFUNCTION("""COMPUTED_VALUE"""),"08 K.Parkphum T.")</f>
        <v>08 K.Parkphum T.</v>
      </c>
      <c r="M1039" s="1" t="str">
        <f>IFERROR(__xludf.DUMMYFUNCTION("""COMPUTED_VALUE"""),"097-919-5476")</f>
        <v>097-919-5476</v>
      </c>
      <c r="N1039" s="3">
        <f>IFERROR(__xludf.DUMMYFUNCTION("""COMPUTED_VALUE"""),22028.0)</f>
        <v>22028</v>
      </c>
      <c r="O1039" s="3" t="str">
        <f>IFERROR(__xludf.DUMMYFUNCTION("""COMPUTED_VALUE"""),"MBC ทํบมา ระยอง")</f>
        <v>MBC ทํบมา ระยอง</v>
      </c>
      <c r="P1039" s="4">
        <f>IFERROR(__xludf.DUMMYFUNCTION("""COMPUTED_VALUE"""),43616.0)</f>
        <v>43616</v>
      </c>
      <c r="Q1039" s="3" t="str">
        <f>IFERROR(__xludf.DUMMYFUNCTION("""COMPUTED_VALUE"""),"A")</f>
        <v>A</v>
      </c>
      <c r="R1039" s="3" t="str">
        <f>IFERROR(__xludf.DUMMYFUNCTION("""COMPUTED_VALUE"""),"Small Format")</f>
        <v>Small Format</v>
      </c>
      <c r="S1039" s="3" t="str">
        <f>IFERROR(__xludf.DUMMYFUNCTION("""COMPUTED_VALUE"""),"BCM")</f>
        <v>BCM</v>
      </c>
      <c r="T1039" s="3" t="str">
        <f>IFERROR(__xludf.DUMMYFUNCTION("""COMPUTED_VALUE"""),"#N/A")</f>
        <v>#N/A</v>
      </c>
      <c r="U1039" s="3" t="str">
        <f>IFERROR(__xludf.DUMMYFUNCTION("""COMPUTED_VALUE"""),"#N/A")</f>
        <v>#N/A</v>
      </c>
      <c r="V1039" s="3" t="str">
        <f>IFERROR(__xludf.DUMMYFUNCTION("""COMPUTED_VALUE"""),"N")</f>
        <v>N</v>
      </c>
      <c r="W1039" s="3">
        <f>IFERROR(__xludf.DUMMYFUNCTION("""COMPUTED_VALUE"""),211795.0)</f>
        <v>211795</v>
      </c>
      <c r="X1039" s="3" t="str">
        <f>IFERROR(__xludf.DUMMYFUNCTION("""COMPUTED_VALUE"""),"29/17 หมู่1 ตำบลบ้านฉาง อำเภอบ้านฉาง จังหวัดระยอง 21130")</f>
        <v>29/17 หมู่1 ตำบลบ้านฉาง อำเภอบ้านฉาง จังหวัดระยอง 21130</v>
      </c>
      <c r="Y1039" s="3"/>
      <c r="Z1039" s="3" t="str">
        <f>IFERROR(__xludf.DUMMYFUNCTION("""COMPUTED_VALUE"""),"บ้านฉาง")</f>
        <v>บ้านฉาง</v>
      </c>
      <c r="AA1039" s="3" t="str">
        <f>IFERROR(__xludf.DUMMYFUNCTION("""COMPUTED_VALUE"""),"บ้านฉาง")</f>
        <v>บ้านฉาง</v>
      </c>
      <c r="AB1039" s="3" t="str">
        <f>IFERROR(__xludf.DUMMYFUNCTION("""COMPUTED_VALUE"""),"ระยอง")</f>
        <v>ระยอง</v>
      </c>
      <c r="AC1039" s="3">
        <f>IFERROR(__xludf.DUMMYFUNCTION("""COMPUTED_VALUE"""),21130.0)</f>
        <v>21130</v>
      </c>
      <c r="AD1039" s="3">
        <f>IFERROR(__xludf.DUMMYFUNCTION("""COMPUTED_VALUE"""),12.731518)</f>
        <v>12.731518</v>
      </c>
      <c r="AE1039" s="3">
        <f>IFERROR(__xludf.DUMMYFUNCTION("""COMPUTED_VALUE"""),101.086682)</f>
        <v>101.086682</v>
      </c>
      <c r="AF1039" s="3" t="str">
        <f>IFERROR(__xludf.DUMMYFUNCTION("""COMPUTED_VALUE"""),"MBC ชุมชน เนินกระปอกระยอง-21811")</f>
        <v>MBC ชุมชน เนินกระปอกระยอง-21811</v>
      </c>
      <c r="AG1039" s="3" t="str">
        <f>IFERROR(__xludf.DUMMYFUNCTION("""COMPUTED_VALUE"""),"ตะวันออก")</f>
        <v>ตะวันออก</v>
      </c>
      <c r="AH1039" s="3" t="str">
        <f>IFERROR(__xludf.DUMMYFUNCTION("""COMPUTED_VALUE"""),"#N/A")</f>
        <v>#N/A</v>
      </c>
      <c r="AI1039" s="3" t="str">
        <f>IFERROR(__xludf.DUMMYFUNCTION("""COMPUTED_VALUE"""),"Out of warranty")</f>
        <v>Out of warranty</v>
      </c>
      <c r="AJ1039" s="3">
        <f>IFERROR(__xludf.DUMMYFUNCTION("""COMPUTED_VALUE"""),80.0)</f>
        <v>80</v>
      </c>
      <c r="AK1039" s="3" t="str">
        <f>IFERROR(__xludf.DUMMYFUNCTION("""COMPUTED_VALUE"""),"MMS07")</f>
        <v>MMS07</v>
      </c>
      <c r="AL1039" s="3"/>
    </row>
    <row r="1040" ht="15.75" customHeight="1">
      <c r="A1040" s="1" t="str">
        <f>IFERROR(__xludf.DUMMYFUNCTION("""COMPUTED_VALUE"""),"21812")</f>
        <v>21812</v>
      </c>
      <c r="B1040" s="2">
        <f>IFERROR(__xludf.DUMMYFUNCTION("""COMPUTED_VALUE"""),21812.0)</f>
        <v>21812</v>
      </c>
      <c r="C1040" s="3" t="str">
        <f>IFERROR(__xludf.DUMMYFUNCTION("""COMPUTED_VALUE"""),"MBC ซอยอ่อนนุช39 กรุงเทพฯ")</f>
        <v>MBC ซอยอ่อนนุช39 กรุงเทพฯ</v>
      </c>
      <c r="D1040" s="3" t="str">
        <f>IFERROR(__xludf.DUMMYFUNCTION("""COMPUTED_VALUE"""),"BCM SOI ON NUCH 39,BANGKOK")</f>
        <v>BCM SOI ON NUCH 39,BANGKOK</v>
      </c>
      <c r="E1040" s="1" t="str">
        <f>IFERROR(__xludf.DUMMYFUNCTION("""COMPUTED_VALUE"""),"บิ๊กซี MINI")</f>
        <v>บิ๊กซี MINI</v>
      </c>
      <c r="F1040" s="1" t="str">
        <f>IFERROR(__xludf.DUMMYFUNCTION("""COMPUTED_VALUE"""),"291008")</f>
        <v>291008</v>
      </c>
      <c r="G1040" s="1" t="str">
        <f>IFERROR(__xludf.DUMMYFUNCTION("""COMPUTED_VALUE"""),"น.ส.รัชดาพร อีศรัตน์")</f>
        <v>น.ส.รัชดาพร อีศรัตน์</v>
      </c>
      <c r="H1040" s="1" t="str">
        <f>IFERROR(__xludf.DUMMYFUNCTION("""COMPUTED_VALUE"""),"359054")</f>
        <v>359054</v>
      </c>
      <c r="I1040" s="1" t="str">
        <f>IFERROR(__xludf.DUMMYFUNCTION("""COMPUTED_VALUE"""),"น.ส.กรรณิการ์ พุทธวงค์")</f>
        <v>น.ส.กรรณิการ์ พุทธวงค์</v>
      </c>
      <c r="J1040" s="3">
        <f>IFERROR(__xludf.DUMMYFUNCTION("""COMPUTED_VALUE"""),2452378.0)</f>
        <v>2452378</v>
      </c>
      <c r="K1040" s="3" t="str">
        <f>IFERROR(__xludf.DUMMYFUNCTION("""COMPUTED_VALUE"""),"นายศักดิ์ดา พวงประดับ")</f>
        <v>นายศักดิ์ดา พวงประดับ</v>
      </c>
      <c r="L1040" s="1" t="str">
        <f>IFERROR(__xludf.DUMMYFUNCTION("""COMPUTED_VALUE"""),"11 K.Sakda P.")</f>
        <v>11 K.Sakda P.</v>
      </c>
      <c r="M1040" s="1" t="str">
        <f>IFERROR(__xludf.DUMMYFUNCTION("""COMPUTED_VALUE"""),"065-929-1279")</f>
        <v>065-929-1279</v>
      </c>
      <c r="N1040" s="3">
        <f>IFERROR(__xludf.DUMMYFUNCTION("""COMPUTED_VALUE"""),21002.0)</f>
        <v>21002</v>
      </c>
      <c r="O1040" s="3" t="str">
        <f>IFERROR(__xludf.DUMMYFUNCTION("""COMPUTED_VALUE"""),"MBC อุดมสุข")</f>
        <v>MBC อุดมสุข</v>
      </c>
      <c r="P1040" s="4">
        <f>IFERROR(__xludf.DUMMYFUNCTION("""COMPUTED_VALUE"""),43616.0)</f>
        <v>43616</v>
      </c>
      <c r="Q1040" s="3" t="str">
        <f>IFERROR(__xludf.DUMMYFUNCTION("""COMPUTED_VALUE"""),"A")</f>
        <v>A</v>
      </c>
      <c r="R1040" s="3" t="str">
        <f>IFERROR(__xludf.DUMMYFUNCTION("""COMPUTED_VALUE"""),"Small Format")</f>
        <v>Small Format</v>
      </c>
      <c r="S1040" s="3" t="str">
        <f>IFERROR(__xludf.DUMMYFUNCTION("""COMPUTED_VALUE"""),"BCM")</f>
        <v>BCM</v>
      </c>
      <c r="T1040" s="3" t="str">
        <f>IFERROR(__xludf.DUMMYFUNCTION("""COMPUTED_VALUE"""),"#N/A")</f>
        <v>#N/A</v>
      </c>
      <c r="U1040" s="3" t="str">
        <f>IFERROR(__xludf.DUMMYFUNCTION("""COMPUTED_VALUE"""),"#N/A")</f>
        <v>#N/A</v>
      </c>
      <c r="V1040" s="3" t="str">
        <f>IFERROR(__xludf.DUMMYFUNCTION("""COMPUTED_VALUE"""),"N")</f>
        <v>N</v>
      </c>
      <c r="W1040" s="3">
        <f>IFERROR(__xludf.DUMMYFUNCTION("""COMPUTED_VALUE"""),211773.0)</f>
        <v>211773</v>
      </c>
      <c r="X1040" s="3" t="str">
        <f>IFERROR(__xludf.DUMMYFUNCTION("""COMPUTED_VALUE"""),"625/2 ซอยอ่อนนุช39 แขวงพัฒนาการ เขตสวนหลวง กรุงเทพมหานคร 10250")</f>
        <v>625/2 ซอยอ่อนนุช39 แขวงพัฒนาการ เขตสวนหลวง กรุงเทพมหานคร 10250</v>
      </c>
      <c r="Y1040" s="3" t="str">
        <f>IFERROR(__xludf.DUMMYFUNCTION("""COMPUTED_VALUE"""),"ซอยอ่อนนุช39")</f>
        <v>ซอยอ่อนนุช39</v>
      </c>
      <c r="Z1040" s="3" t="str">
        <f>IFERROR(__xludf.DUMMYFUNCTION("""COMPUTED_VALUE"""),"พัฒนาการ")</f>
        <v>พัฒนาการ</v>
      </c>
      <c r="AA1040" s="3" t="str">
        <f>IFERROR(__xludf.DUMMYFUNCTION("""COMPUTED_VALUE"""),"สวนหลวง")</f>
        <v>สวนหลวง</v>
      </c>
      <c r="AB1040" s="3" t="str">
        <f>IFERROR(__xludf.DUMMYFUNCTION("""COMPUTED_VALUE"""),"กรุงเทพมหานคร")</f>
        <v>กรุงเทพมหานคร</v>
      </c>
      <c r="AC1040" s="3">
        <f>IFERROR(__xludf.DUMMYFUNCTION("""COMPUTED_VALUE"""),10250.0)</f>
        <v>10250</v>
      </c>
      <c r="AD1040" s="3">
        <f>IFERROR(__xludf.DUMMYFUNCTION("""COMPUTED_VALUE"""),13.719561)</f>
        <v>13.719561</v>
      </c>
      <c r="AE1040" s="3">
        <f>IFERROR(__xludf.DUMMYFUNCTION("""COMPUTED_VALUE"""),100.635326)</f>
        <v>100.635326</v>
      </c>
      <c r="AF1040" s="3" t="str">
        <f>IFERROR(__xludf.DUMMYFUNCTION("""COMPUTED_VALUE"""),"MBC ซอยอ่อนนุช39 กรุงเทพฯ-21812")</f>
        <v>MBC ซอยอ่อนนุช39 กรุงเทพฯ-21812</v>
      </c>
      <c r="AG1040" s="3" t="str">
        <f>IFERROR(__xludf.DUMMYFUNCTION("""COMPUTED_VALUE"""),"กลาง")</f>
        <v>กลาง</v>
      </c>
      <c r="AH1040" s="3" t="str">
        <f>IFERROR(__xludf.DUMMYFUNCTION("""COMPUTED_VALUE"""),"#N/A")</f>
        <v>#N/A</v>
      </c>
      <c r="AI1040" s="3" t="str">
        <f>IFERROR(__xludf.DUMMYFUNCTION("""COMPUTED_VALUE"""),"Out of warranty")</f>
        <v>Out of warranty</v>
      </c>
      <c r="AJ1040" s="3">
        <f>IFERROR(__xludf.DUMMYFUNCTION("""COMPUTED_VALUE"""),80.0)</f>
        <v>80</v>
      </c>
      <c r="AK1040" s="3" t="str">
        <f>IFERROR(__xludf.DUMMYFUNCTION("""COMPUTED_VALUE"""),"MMS03")</f>
        <v>MMS03</v>
      </c>
      <c r="AL1040" s="3"/>
    </row>
    <row r="1041" ht="15.75" customHeight="1">
      <c r="A1041" s="1" t="str">
        <f>IFERROR(__xludf.DUMMYFUNCTION("""COMPUTED_VALUE"""),"21813")</f>
        <v>21813</v>
      </c>
      <c r="B1041" s="2">
        <f>IFERROR(__xludf.DUMMYFUNCTION("""COMPUTED_VALUE"""),21813.0)</f>
        <v>21813</v>
      </c>
      <c r="C1041" s="3" t="str">
        <f>IFERROR(__xludf.DUMMYFUNCTION("""COMPUTED_VALUE"""),"MBC หมู่บ้านนักกีฬา ซอย 40 กรุงเทพฯ")</f>
        <v>MBC หมู่บ้านนักกีฬา ซอย 40 กรุงเทพฯ</v>
      </c>
      <c r="D1041" s="3" t="str">
        <f>IFERROR(__xludf.DUMMYFUNCTION("""COMPUTED_VALUE"""),"BCM MOOBAN NAKKIRA SOI 40")</f>
        <v>BCM MOOBAN NAKKIRA SOI 40</v>
      </c>
      <c r="E1041" s="1" t="str">
        <f>IFERROR(__xludf.DUMMYFUNCTION("""COMPUTED_VALUE"""),"บิ๊กซี MINI")</f>
        <v>บิ๊กซี MINI</v>
      </c>
      <c r="F1041" s="1" t="str">
        <f>IFERROR(__xludf.DUMMYFUNCTION("""COMPUTED_VALUE"""),"291008")</f>
        <v>291008</v>
      </c>
      <c r="G1041" s="1" t="str">
        <f>IFERROR(__xludf.DUMMYFUNCTION("""COMPUTED_VALUE"""),"น.ส.รัชดาพร อีศรัตน์")</f>
        <v>น.ส.รัชดาพร อีศรัตน์</v>
      </c>
      <c r="H1041" s="1" t="str">
        <f>IFERROR(__xludf.DUMMYFUNCTION("""COMPUTED_VALUE"""),"359054")</f>
        <v>359054</v>
      </c>
      <c r="I1041" s="1" t="str">
        <f>IFERROR(__xludf.DUMMYFUNCTION("""COMPUTED_VALUE"""),"น.ส.กรรณิการ์ พุทธวงค์")</f>
        <v>น.ส.กรรณิการ์ พุทธวงค์</v>
      </c>
      <c r="J1041" s="3">
        <f>IFERROR(__xludf.DUMMYFUNCTION("""COMPUTED_VALUE"""),2452378.0)</f>
        <v>2452378</v>
      </c>
      <c r="K1041" s="3" t="str">
        <f>IFERROR(__xludf.DUMMYFUNCTION("""COMPUTED_VALUE"""),"นายศักดิ์ดา พวงประดับ")</f>
        <v>นายศักดิ์ดา พวงประดับ</v>
      </c>
      <c r="L1041" s="1" t="str">
        <f>IFERROR(__xludf.DUMMYFUNCTION("""COMPUTED_VALUE"""),"11 K.Sakda P.")</f>
        <v>11 K.Sakda P.</v>
      </c>
      <c r="M1041" s="1" t="str">
        <f>IFERROR(__xludf.DUMMYFUNCTION("""COMPUTED_VALUE"""),"065-929-1279")</f>
        <v>065-929-1279</v>
      </c>
      <c r="N1041" s="3">
        <f>IFERROR(__xludf.DUMMYFUNCTION("""COMPUTED_VALUE"""),21002.0)</f>
        <v>21002</v>
      </c>
      <c r="O1041" s="3" t="str">
        <f>IFERROR(__xludf.DUMMYFUNCTION("""COMPUTED_VALUE"""),"MBC อุดมสุข")</f>
        <v>MBC อุดมสุข</v>
      </c>
      <c r="P1041" s="4">
        <f>IFERROR(__xludf.DUMMYFUNCTION("""COMPUTED_VALUE"""),43616.0)</f>
        <v>43616</v>
      </c>
      <c r="Q1041" s="3" t="str">
        <f>IFERROR(__xludf.DUMMYFUNCTION("""COMPUTED_VALUE"""),"A")</f>
        <v>A</v>
      </c>
      <c r="R1041" s="3" t="str">
        <f>IFERROR(__xludf.DUMMYFUNCTION("""COMPUTED_VALUE"""),"Small Format")</f>
        <v>Small Format</v>
      </c>
      <c r="S1041" s="3" t="str">
        <f>IFERROR(__xludf.DUMMYFUNCTION("""COMPUTED_VALUE"""),"BCM")</f>
        <v>BCM</v>
      </c>
      <c r="T1041" s="3" t="str">
        <f>IFERROR(__xludf.DUMMYFUNCTION("""COMPUTED_VALUE"""),"#N/A")</f>
        <v>#N/A</v>
      </c>
      <c r="U1041" s="3" t="str">
        <f>IFERROR(__xludf.DUMMYFUNCTION("""COMPUTED_VALUE"""),"#N/A")</f>
        <v>#N/A</v>
      </c>
      <c r="V1041" s="3" t="str">
        <f>IFERROR(__xludf.DUMMYFUNCTION("""COMPUTED_VALUE"""),"N")</f>
        <v>N</v>
      </c>
      <c r="W1041" s="3">
        <f>IFERROR(__xludf.DUMMYFUNCTION("""COMPUTED_VALUE"""),211787.0)</f>
        <v>211787</v>
      </c>
      <c r="X1041" s="3" t="str">
        <f>IFERROR(__xludf.DUMMYFUNCTION("""COMPUTED_VALUE"""),"202/2 ถนนกาญจนาภิเษก แขวงทับช้าง เขตสะพานสูง กรุงเทพมหานคร 10250")</f>
        <v>202/2 ถนนกาญจนาภิเษก แขวงทับช้าง เขตสะพานสูง กรุงเทพมหานคร 10250</v>
      </c>
      <c r="Y1041" s="3" t="str">
        <f>IFERROR(__xludf.DUMMYFUNCTION("""COMPUTED_VALUE"""),"ถนนกาญจนาภิเษก")</f>
        <v>ถนนกาญจนาภิเษก</v>
      </c>
      <c r="Z1041" s="3" t="str">
        <f>IFERROR(__xludf.DUMMYFUNCTION("""COMPUTED_VALUE"""),"ทับช้าง")</f>
        <v>ทับช้าง</v>
      </c>
      <c r="AA1041" s="3" t="str">
        <f>IFERROR(__xludf.DUMMYFUNCTION("""COMPUTED_VALUE"""),"สะพานสูง")</f>
        <v>สะพานสูง</v>
      </c>
      <c r="AB1041" s="3" t="str">
        <f>IFERROR(__xludf.DUMMYFUNCTION("""COMPUTED_VALUE"""),"กรุงเทพมหานคร")</f>
        <v>กรุงเทพมหานคร</v>
      </c>
      <c r="AC1041" s="3">
        <f>IFERROR(__xludf.DUMMYFUNCTION("""COMPUTED_VALUE"""),10250.0)</f>
        <v>10250</v>
      </c>
      <c r="AD1041" s="3">
        <f>IFERROR(__xludf.DUMMYFUNCTION("""COMPUTED_VALUE"""),13.745358)</f>
        <v>13.745358</v>
      </c>
      <c r="AE1041" s="3">
        <f>IFERROR(__xludf.DUMMYFUNCTION("""COMPUTED_VALUE"""),100.702016)</f>
        <v>100.702016</v>
      </c>
      <c r="AF1041" s="3" t="str">
        <f>IFERROR(__xludf.DUMMYFUNCTION("""COMPUTED_VALUE"""),"MBC หมู่บ้านนักกีฬา ซอย 40 กรุงเทพฯ-21813")</f>
        <v>MBC หมู่บ้านนักกีฬา ซอย 40 กรุงเทพฯ-21813</v>
      </c>
      <c r="AG1041" s="3" t="str">
        <f>IFERROR(__xludf.DUMMYFUNCTION("""COMPUTED_VALUE"""),"กลาง")</f>
        <v>กลาง</v>
      </c>
      <c r="AH1041" s="3" t="str">
        <f>IFERROR(__xludf.DUMMYFUNCTION("""COMPUTED_VALUE"""),"#N/A")</f>
        <v>#N/A</v>
      </c>
      <c r="AI1041" s="3" t="str">
        <f>IFERROR(__xludf.DUMMYFUNCTION("""COMPUTED_VALUE"""),"Out of warranty")</f>
        <v>Out of warranty</v>
      </c>
      <c r="AJ1041" s="3">
        <f>IFERROR(__xludf.DUMMYFUNCTION("""COMPUTED_VALUE"""),80.0)</f>
        <v>80</v>
      </c>
      <c r="AK1041" s="3" t="str">
        <f>IFERROR(__xludf.DUMMYFUNCTION("""COMPUTED_VALUE"""),"MMS03")</f>
        <v>MMS03</v>
      </c>
      <c r="AL1041" s="3"/>
    </row>
    <row r="1042" ht="15.75" customHeight="1">
      <c r="A1042" s="1" t="str">
        <f>IFERROR(__xludf.DUMMYFUNCTION("""COMPUTED_VALUE"""),"21814")</f>
        <v>21814</v>
      </c>
      <c r="B1042" s="2">
        <f>IFERROR(__xludf.DUMMYFUNCTION("""COMPUTED_VALUE"""),21814.0)</f>
        <v>21814</v>
      </c>
      <c r="C1042" s="3" t="str">
        <f>IFERROR(__xludf.DUMMYFUNCTION("""COMPUTED_VALUE"""),"MBC ถนนสุขาประชาสรรค์2 นนทบุรี")</f>
        <v>MBC ถนนสุขาประชาสรรค์2 นนทบุรี</v>
      </c>
      <c r="D1042" s="3" t="str">
        <f>IFERROR(__xludf.DUMMYFUNCTION("""COMPUTED_VALUE"""),"BCM THANON SUKHAPRACHASAN 2")</f>
        <v>BCM THANON SUKHAPRACHASAN 2</v>
      </c>
      <c r="E1042" s="1" t="str">
        <f>IFERROR(__xludf.DUMMYFUNCTION("""COMPUTED_VALUE"""),"บิ๊กซี MINI")</f>
        <v>บิ๊กซี MINI</v>
      </c>
      <c r="F1042" s="1" t="str">
        <f>IFERROR(__xludf.DUMMYFUNCTION("""COMPUTED_VALUE"""),"291008")</f>
        <v>291008</v>
      </c>
      <c r="G1042" s="1" t="str">
        <f>IFERROR(__xludf.DUMMYFUNCTION("""COMPUTED_VALUE"""),"น.ส.รัชดาพร อีศรัตน์")</f>
        <v>น.ส.รัชดาพร อีศรัตน์</v>
      </c>
      <c r="H1042" s="1" t="str">
        <f>IFERROR(__xludf.DUMMYFUNCTION("""COMPUTED_VALUE"""),"034068")</f>
        <v>034068</v>
      </c>
      <c r="I1042" s="1" t="str">
        <f>IFERROR(__xludf.DUMMYFUNCTION("""COMPUTED_VALUE"""),"นายสมศักดิ์ ฐานทองดี")</f>
        <v>นายสมศักดิ์ ฐานทองดี</v>
      </c>
      <c r="J1042" s="3">
        <f>IFERROR(__xludf.DUMMYFUNCTION("""COMPUTED_VALUE"""),296608.0)</f>
        <v>296608</v>
      </c>
      <c r="K1042" s="3" t="str">
        <f>IFERROR(__xludf.DUMMYFUNCTION("""COMPUTED_VALUE"""),"นายภาคภูมิ เพ็ชรนิล")</f>
        <v>นายภาคภูมิ เพ็ชรนิล</v>
      </c>
      <c r="L1042" s="1" t="str">
        <f>IFERROR(__xludf.DUMMYFUNCTION("""COMPUTED_VALUE"""),"10 K.Phakphoom P.")</f>
        <v>10 K.Phakphoom P.</v>
      </c>
      <c r="M1042" s="1" t="str">
        <f>IFERROR(__xludf.DUMMYFUNCTION("""COMPUTED_VALUE"""),"063-8955329")</f>
        <v>063-8955329</v>
      </c>
      <c r="N1042" s="3">
        <f>IFERROR(__xludf.DUMMYFUNCTION("""COMPUTED_VALUE"""),22584.0)</f>
        <v>22584</v>
      </c>
      <c r="O1042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042" s="4">
        <f>IFERROR(__xludf.DUMMYFUNCTION("""COMPUTED_VALUE"""),43616.0)</f>
        <v>43616</v>
      </c>
      <c r="Q1042" s="3" t="str">
        <f>IFERROR(__xludf.DUMMYFUNCTION("""COMPUTED_VALUE"""),"A")</f>
        <v>A</v>
      </c>
      <c r="R1042" s="3" t="str">
        <f>IFERROR(__xludf.DUMMYFUNCTION("""COMPUTED_VALUE"""),"Small Format")</f>
        <v>Small Format</v>
      </c>
      <c r="S1042" s="3" t="str">
        <f>IFERROR(__xludf.DUMMYFUNCTION("""COMPUTED_VALUE"""),"BCM")</f>
        <v>BCM</v>
      </c>
      <c r="T1042" s="3" t="str">
        <f>IFERROR(__xludf.DUMMYFUNCTION("""COMPUTED_VALUE"""),"#N/A")</f>
        <v>#N/A</v>
      </c>
      <c r="U1042" s="3" t="str">
        <f>IFERROR(__xludf.DUMMYFUNCTION("""COMPUTED_VALUE"""),"#N/A")</f>
        <v>#N/A</v>
      </c>
      <c r="V1042" s="3" t="str">
        <f>IFERROR(__xludf.DUMMYFUNCTION("""COMPUTED_VALUE"""),"N")</f>
        <v>N</v>
      </c>
      <c r="W1042" s="3">
        <f>IFERROR(__xludf.DUMMYFUNCTION("""COMPUTED_VALUE"""),211780.0)</f>
        <v>211780</v>
      </c>
      <c r="X1042" s="3" t="str">
        <f>IFERROR(__xludf.DUMMYFUNCTION("""COMPUTED_VALUE"""),"142/50 หมู่1 ตำบลปากเกร็ด อำเภอปากเกร็ด จังหวัดนนทบุรี 11120")</f>
        <v>142/50 หมู่1 ตำบลปากเกร็ด อำเภอปากเกร็ด จังหวัดนนทบุรี 11120</v>
      </c>
      <c r="Y1042" s="3"/>
      <c r="Z1042" s="3" t="str">
        <f>IFERROR(__xludf.DUMMYFUNCTION("""COMPUTED_VALUE"""),"ปากเกร็ด")</f>
        <v>ปากเกร็ด</v>
      </c>
      <c r="AA1042" s="3" t="str">
        <f>IFERROR(__xludf.DUMMYFUNCTION("""COMPUTED_VALUE"""),"ปากเกร็ด")</f>
        <v>ปากเกร็ด</v>
      </c>
      <c r="AB1042" s="3" t="str">
        <f>IFERROR(__xludf.DUMMYFUNCTION("""COMPUTED_VALUE"""),"นนทบุรี")</f>
        <v>นนทบุรี</v>
      </c>
      <c r="AC1042" s="3">
        <f>IFERROR(__xludf.DUMMYFUNCTION("""COMPUTED_VALUE"""),11120.0)</f>
        <v>11120</v>
      </c>
      <c r="AD1042" s="3">
        <f>IFERROR(__xludf.DUMMYFUNCTION("""COMPUTED_VALUE"""),13.916886)</f>
        <v>13.916886</v>
      </c>
      <c r="AE1042" s="3">
        <f>IFERROR(__xludf.DUMMYFUNCTION("""COMPUTED_VALUE"""),100.499556)</f>
        <v>100.499556</v>
      </c>
      <c r="AF1042" s="3" t="str">
        <f>IFERROR(__xludf.DUMMYFUNCTION("""COMPUTED_VALUE"""),"MBC ถนนสุขาประชาสรรค์2 นนทบุรี-21814")</f>
        <v>MBC ถนนสุขาประชาสรรค์2 นนทบุรี-21814</v>
      </c>
      <c r="AG1042" s="3" t="str">
        <f>IFERROR(__xludf.DUMMYFUNCTION("""COMPUTED_VALUE"""),"กลาง")</f>
        <v>กลาง</v>
      </c>
      <c r="AH1042" s="3" t="str">
        <f>IFERROR(__xludf.DUMMYFUNCTION("""COMPUTED_VALUE"""),"#N/A")</f>
        <v>#N/A</v>
      </c>
      <c r="AI1042" s="3" t="str">
        <f>IFERROR(__xludf.DUMMYFUNCTION("""COMPUTED_VALUE"""),"Out of warranty")</f>
        <v>Out of warranty</v>
      </c>
      <c r="AJ1042" s="3">
        <f>IFERROR(__xludf.DUMMYFUNCTION("""COMPUTED_VALUE"""),80.0)</f>
        <v>80</v>
      </c>
      <c r="AK1042" s="3" t="str">
        <f>IFERROR(__xludf.DUMMYFUNCTION("""COMPUTED_VALUE"""),"MMS01")</f>
        <v>MMS01</v>
      </c>
      <c r="AL1042" s="3"/>
    </row>
    <row r="1043" ht="15.75" customHeight="1">
      <c r="A1043" s="1" t="str">
        <f>IFERROR(__xludf.DUMMYFUNCTION("""COMPUTED_VALUE"""),"21815")</f>
        <v>21815</v>
      </c>
      <c r="B1043" s="2">
        <f>IFERROR(__xludf.DUMMYFUNCTION("""COMPUTED_VALUE"""),21815.0)</f>
        <v>21815</v>
      </c>
      <c r="C1043" s="3" t="str">
        <f>IFERROR(__xludf.DUMMYFUNCTION("""COMPUTED_VALUE"""),"MBC เชลล์พยัคฆภูมิพิสัย มหาสารคาม")</f>
        <v>MBC เชลล์พยัคฆภูมิพิสัย มหาสารคาม</v>
      </c>
      <c r="D1043" s="3" t="str">
        <f>IFERROR(__xludf.DUMMYFUNCTION("""COMPUTED_VALUE"""),"BCM SHELL PHAYAKPHUMPISAI")</f>
        <v>BCM SHELL PHAYAKPHUMPISAI</v>
      </c>
      <c r="E1043" s="1" t="str">
        <f>IFERROR(__xludf.DUMMYFUNCTION("""COMPUTED_VALUE"""),"บิ๊กซี MINI")</f>
        <v>บิ๊กซี MINI</v>
      </c>
      <c r="F1043" s="1" t="str">
        <f>IFERROR(__xludf.DUMMYFUNCTION("""COMPUTED_VALUE"""),"291105")</f>
        <v>291105</v>
      </c>
      <c r="G1043" s="1" t="str">
        <f>IFERROR(__xludf.DUMMYFUNCTION("""COMPUTED_VALUE"""),"นายสราวุฒิ พณิชยกุล")</f>
        <v>นายสราวุฒิ พณิชยกุล</v>
      </c>
      <c r="H1043" s="1" t="str">
        <f>IFERROR(__xludf.DUMMYFUNCTION("""COMPUTED_VALUE"""),"398136")</f>
        <v>398136</v>
      </c>
      <c r="I1043" s="1" t="str">
        <f>IFERROR(__xludf.DUMMYFUNCTION("""COMPUTED_VALUE"""),"นายประยูร ธาดาวงษา")</f>
        <v>นายประยูร ธาดาวงษา</v>
      </c>
      <c r="J1043" s="3">
        <f>IFERROR(__xludf.DUMMYFUNCTION("""COMPUTED_VALUE"""),15361.0)</f>
        <v>15361</v>
      </c>
      <c r="K1043" s="3" t="str">
        <f>IFERROR(__xludf.DUMMYFUNCTION("""COMPUTED_VALUE"""),"นายสมบูรณ์ พรหมในเมือง")</f>
        <v>นายสมบูรณ์ พรหมในเมือง</v>
      </c>
      <c r="L1043" s="1" t="str">
        <f>IFERROR(__xludf.DUMMYFUNCTION("""COMPUTED_VALUE"""),"04 K.Somboon P.")</f>
        <v>04 K.Somboon P.</v>
      </c>
      <c r="M1043" s="1" t="str">
        <f>IFERROR(__xludf.DUMMYFUNCTION("""COMPUTED_VALUE"""),"087-965-3051")</f>
        <v>087-965-3051</v>
      </c>
      <c r="N1043" s="3">
        <f>IFERROR(__xludf.DUMMYFUNCTION("""COMPUTED_VALUE"""),21869.0)</f>
        <v>21869</v>
      </c>
      <c r="O1043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043" s="4">
        <f>IFERROR(__xludf.DUMMYFUNCTION("""COMPUTED_VALUE"""),43598.0)</f>
        <v>43598</v>
      </c>
      <c r="Q1043" s="3" t="str">
        <f>IFERROR(__xludf.DUMMYFUNCTION("""COMPUTED_VALUE"""),"A")</f>
        <v>A</v>
      </c>
      <c r="R1043" s="3" t="str">
        <f>IFERROR(__xludf.DUMMYFUNCTION("""COMPUTED_VALUE"""),"Small Format")</f>
        <v>Small Format</v>
      </c>
      <c r="S1043" s="3" t="str">
        <f>IFERROR(__xludf.DUMMYFUNCTION("""COMPUTED_VALUE"""),"BCM")</f>
        <v>BCM</v>
      </c>
      <c r="T1043" s="3" t="str">
        <f>IFERROR(__xludf.DUMMYFUNCTION("""COMPUTED_VALUE"""),"#N/A")</f>
        <v>#N/A</v>
      </c>
      <c r="U1043" s="3" t="str">
        <f>IFERROR(__xludf.DUMMYFUNCTION("""COMPUTED_VALUE"""),"#N/A")</f>
        <v>#N/A</v>
      </c>
      <c r="V1043" s="3" t="str">
        <f>IFERROR(__xludf.DUMMYFUNCTION("""COMPUTED_VALUE"""),"N")</f>
        <v>N</v>
      </c>
      <c r="W1043" s="3">
        <f>IFERROR(__xludf.DUMMYFUNCTION("""COMPUTED_VALUE"""),211862.0)</f>
        <v>211862</v>
      </c>
      <c r="X1043" s="3" t="str">
        <f>IFERROR(__xludf.DUMMYFUNCTION("""COMPUTED_VALUE"""),"333/1 หมู่5 ตำบลเมืองเสือ อำเภอพยัคฆภูมิพิสัย จังหวัดมหาสารคาม 44110")</f>
        <v>333/1 หมู่5 ตำบลเมืองเสือ อำเภอพยัคฆภูมิพิสัย จังหวัดมหาสารคาม 44110</v>
      </c>
      <c r="Y1043" s="3"/>
      <c r="Z1043" s="3" t="str">
        <f>IFERROR(__xludf.DUMMYFUNCTION("""COMPUTED_VALUE"""),"เมืองเสือ")</f>
        <v>เมืองเสือ</v>
      </c>
      <c r="AA1043" s="3" t="str">
        <f>IFERROR(__xludf.DUMMYFUNCTION("""COMPUTED_VALUE"""),"พยัคฆภูมิพิสัย")</f>
        <v>พยัคฆภูมิพิสัย</v>
      </c>
      <c r="AB1043" s="3" t="str">
        <f>IFERROR(__xludf.DUMMYFUNCTION("""COMPUTED_VALUE"""),"มหาสารคาม")</f>
        <v>มหาสารคาม</v>
      </c>
      <c r="AC1043" s="3">
        <f>IFERROR(__xludf.DUMMYFUNCTION("""COMPUTED_VALUE"""),44110.0)</f>
        <v>44110</v>
      </c>
      <c r="AD1043" s="3">
        <f>IFERROR(__xludf.DUMMYFUNCTION("""COMPUTED_VALUE"""),15.49185)</f>
        <v>15.49185</v>
      </c>
      <c r="AE1043" s="3">
        <f>IFERROR(__xludf.DUMMYFUNCTION("""COMPUTED_VALUE"""),103.205755)</f>
        <v>103.205755</v>
      </c>
      <c r="AF1043" s="3" t="str">
        <f>IFERROR(__xludf.DUMMYFUNCTION("""COMPUTED_VALUE"""),"MBC เชลล์พยัคฆภูมิพิสัย มหาสารคาม-21815")</f>
        <v>MBC เชลล์พยัคฆภูมิพิสัย มหาสารคาม-21815</v>
      </c>
      <c r="AG1043" s="3" t="str">
        <f>IFERROR(__xludf.DUMMYFUNCTION("""COMPUTED_VALUE"""),"ตะวันออกเฉียงเหนือ")</f>
        <v>ตะวันออกเฉียงเหนือ</v>
      </c>
      <c r="AH1043" s="3" t="str">
        <f>IFERROR(__xludf.DUMMYFUNCTION("""COMPUTED_VALUE"""),"#N/A")</f>
        <v>#N/A</v>
      </c>
      <c r="AI1043" s="3" t="str">
        <f>IFERROR(__xludf.DUMMYFUNCTION("""COMPUTED_VALUE"""),"Out of warranty")</f>
        <v>Out of warranty</v>
      </c>
      <c r="AJ1043" s="3">
        <f>IFERROR(__xludf.DUMMYFUNCTION("""COMPUTED_VALUE"""),81.0)</f>
        <v>81</v>
      </c>
      <c r="AK1043" s="3" t="str">
        <f>IFERROR(__xludf.DUMMYFUNCTION("""COMPUTED_VALUE"""),"MMS11")</f>
        <v>MMS11</v>
      </c>
      <c r="AL1043" s="3"/>
    </row>
    <row r="1044" ht="15.75" customHeight="1">
      <c r="A1044" s="1" t="str">
        <f>IFERROR(__xludf.DUMMYFUNCTION("""COMPUTED_VALUE"""),"21816")</f>
        <v>21816</v>
      </c>
      <c r="B1044" s="2">
        <f>IFERROR(__xludf.DUMMYFUNCTION("""COMPUTED_VALUE"""),21816.0)</f>
        <v>21816</v>
      </c>
      <c r="C1044" s="3" t="str">
        <f>IFERROR(__xludf.DUMMYFUNCTION("""COMPUTED_VALUE"""),"MBC คอนสวรรค์ ชัยภูมิ")</f>
        <v>MBC คอนสวรรค์ ชัยภูมิ</v>
      </c>
      <c r="D1044" s="3" t="str">
        <f>IFERROR(__xludf.DUMMYFUNCTION("""COMPUTED_VALUE"""),"BCM KHONSAWAN,CHAIYAPHUM")</f>
        <v>BCM KHONSAWAN,CHAIYAPHUM</v>
      </c>
      <c r="E1044" s="1" t="str">
        <f>IFERROR(__xludf.DUMMYFUNCTION("""COMPUTED_VALUE"""),"บิ๊กซี MINI")</f>
        <v>บิ๊กซี MINI</v>
      </c>
      <c r="F1044" s="1" t="str">
        <f>IFERROR(__xludf.DUMMYFUNCTION("""COMPUTED_VALUE"""),"291105")</f>
        <v>291105</v>
      </c>
      <c r="G1044" s="1" t="str">
        <f>IFERROR(__xludf.DUMMYFUNCTION("""COMPUTED_VALUE"""),"นายสราวุฒิ พณิชยกุล")</f>
        <v>นายสราวุฒิ พณิชยกุล</v>
      </c>
      <c r="H1044" s="1" t="str">
        <f>IFERROR(__xludf.DUMMYFUNCTION("""COMPUTED_VALUE"""),"371396")</f>
        <v>371396</v>
      </c>
      <c r="I1044" s="1" t="str">
        <f>IFERROR(__xludf.DUMMYFUNCTION("""COMPUTED_VALUE"""),"น.ส.สุภาวดี วิลัยพร")</f>
        <v>น.ส.สุภาวดี วิลัยพร</v>
      </c>
      <c r="J1044" s="3">
        <f>IFERROR(__xludf.DUMMYFUNCTION("""COMPUTED_VALUE"""),15361.0)</f>
        <v>15361</v>
      </c>
      <c r="K1044" s="3" t="str">
        <f>IFERROR(__xludf.DUMMYFUNCTION("""COMPUTED_VALUE"""),"นายสมบูรณ์ พรหมในเมือง")</f>
        <v>นายสมบูรณ์ พรหมในเมือง</v>
      </c>
      <c r="L1044" s="1" t="str">
        <f>IFERROR(__xludf.DUMMYFUNCTION("""COMPUTED_VALUE"""),"04 K.Somboon P.")</f>
        <v>04 K.Somboon P.</v>
      </c>
      <c r="M1044" s="1" t="str">
        <f>IFERROR(__xludf.DUMMYFUNCTION("""COMPUTED_VALUE"""),"087-965-3051")</f>
        <v>087-965-3051</v>
      </c>
      <c r="N1044" s="3">
        <f>IFERROR(__xludf.DUMMYFUNCTION("""COMPUTED_VALUE"""),21869.0)</f>
        <v>21869</v>
      </c>
      <c r="O1044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044" s="4">
        <f>IFERROR(__xludf.DUMMYFUNCTION("""COMPUTED_VALUE"""),43608.0)</f>
        <v>43608</v>
      </c>
      <c r="Q1044" s="3" t="str">
        <f>IFERROR(__xludf.DUMMYFUNCTION("""COMPUTED_VALUE"""),"A")</f>
        <v>A</v>
      </c>
      <c r="R1044" s="3" t="str">
        <f>IFERROR(__xludf.DUMMYFUNCTION("""COMPUTED_VALUE"""),"Small Format")</f>
        <v>Small Format</v>
      </c>
      <c r="S1044" s="3" t="str">
        <f>IFERROR(__xludf.DUMMYFUNCTION("""COMPUTED_VALUE"""),"BCM")</f>
        <v>BCM</v>
      </c>
      <c r="T1044" s="3" t="str">
        <f>IFERROR(__xludf.DUMMYFUNCTION("""COMPUTED_VALUE"""),"#N/A")</f>
        <v>#N/A</v>
      </c>
      <c r="U1044" s="3" t="str">
        <f>IFERROR(__xludf.DUMMYFUNCTION("""COMPUTED_VALUE"""),"#N/A")</f>
        <v>#N/A</v>
      </c>
      <c r="V1044" s="3" t="str">
        <f>IFERROR(__xludf.DUMMYFUNCTION("""COMPUTED_VALUE"""),"N")</f>
        <v>N</v>
      </c>
      <c r="W1044" s="3">
        <f>IFERROR(__xludf.DUMMYFUNCTION("""COMPUTED_VALUE"""),211846.0)</f>
        <v>211846</v>
      </c>
      <c r="X1044" s="3" t="str">
        <f>IFERROR(__xludf.DUMMYFUNCTION("""COMPUTED_VALUE"""),"20/2 หมู่13 ตำบลคอนสวรรค์ อำเภอคอนสวรรค์ จังหวัดชัยภูมิ 36140")</f>
        <v>20/2 หมู่13 ตำบลคอนสวรรค์ อำเภอคอนสวรรค์ จังหวัดชัยภูมิ 36140</v>
      </c>
      <c r="Y1044" s="3"/>
      <c r="Z1044" s="3" t="str">
        <f>IFERROR(__xludf.DUMMYFUNCTION("""COMPUTED_VALUE"""),"คอนสวรรค์")</f>
        <v>คอนสวรรค์</v>
      </c>
      <c r="AA1044" s="3" t="str">
        <f>IFERROR(__xludf.DUMMYFUNCTION("""COMPUTED_VALUE"""),"คอนสวรรค์")</f>
        <v>คอนสวรรค์</v>
      </c>
      <c r="AB1044" s="3" t="str">
        <f>IFERROR(__xludf.DUMMYFUNCTION("""COMPUTED_VALUE"""),"ชัยภูมิ")</f>
        <v>ชัยภูมิ</v>
      </c>
      <c r="AC1044" s="3">
        <f>IFERROR(__xludf.DUMMYFUNCTION("""COMPUTED_VALUE"""),36140.0)</f>
        <v>36140</v>
      </c>
      <c r="AD1044" s="3">
        <f>IFERROR(__xludf.DUMMYFUNCTION("""COMPUTED_VALUE"""),15.928728)</f>
        <v>15.928728</v>
      </c>
      <c r="AE1044" s="3">
        <f>IFERROR(__xludf.DUMMYFUNCTION("""COMPUTED_VALUE"""),102.281542)</f>
        <v>102.281542</v>
      </c>
      <c r="AF1044" s="3" t="str">
        <f>IFERROR(__xludf.DUMMYFUNCTION("""COMPUTED_VALUE"""),"MBC คอนสวรรค์ ชัยภูมิ-21816")</f>
        <v>MBC คอนสวรรค์ ชัยภูมิ-21816</v>
      </c>
      <c r="AG1044" s="3" t="str">
        <f>IFERROR(__xludf.DUMMYFUNCTION("""COMPUTED_VALUE"""),"ตะวันออกเฉียงเหนือ")</f>
        <v>ตะวันออกเฉียงเหนือ</v>
      </c>
      <c r="AH1044" s="3" t="str">
        <f>IFERROR(__xludf.DUMMYFUNCTION("""COMPUTED_VALUE"""),"#N/A")</f>
        <v>#N/A</v>
      </c>
      <c r="AI1044" s="3" t="str">
        <f>IFERROR(__xludf.DUMMYFUNCTION("""COMPUTED_VALUE"""),"Out of warranty")</f>
        <v>Out of warranty</v>
      </c>
      <c r="AJ1044" s="3">
        <f>IFERROR(__xludf.DUMMYFUNCTION("""COMPUTED_VALUE"""),80.0)</f>
        <v>80</v>
      </c>
      <c r="AK1044" s="3" t="str">
        <f>IFERROR(__xludf.DUMMYFUNCTION("""COMPUTED_VALUE"""),"MMS11")</f>
        <v>MMS11</v>
      </c>
      <c r="AL1044" s="3"/>
    </row>
    <row r="1045" ht="15.75" customHeight="1">
      <c r="A1045" s="1" t="str">
        <f>IFERROR(__xludf.DUMMYFUNCTION("""COMPUTED_VALUE"""),"21817")</f>
        <v>21817</v>
      </c>
      <c r="B1045" s="2">
        <f>IFERROR(__xludf.DUMMYFUNCTION("""COMPUTED_VALUE"""),21817.0)</f>
        <v>21817</v>
      </c>
      <c r="C1045" s="3" t="str">
        <f>IFERROR(__xludf.DUMMYFUNCTION("""COMPUTED_VALUE"""),"MBC ตลาดเจ้าหลาวจันทบุรี")</f>
        <v>MBC ตลาดเจ้าหลาวจันทบุรี</v>
      </c>
      <c r="D1045" s="3" t="str">
        <f>IFERROR(__xludf.DUMMYFUNCTION("""COMPUTED_VALUE"""),"BCM TALAD CHAO LAO")</f>
        <v>BCM TALAD CHAO LAO</v>
      </c>
      <c r="E1045" s="1" t="str">
        <f>IFERROR(__xludf.DUMMYFUNCTION("""COMPUTED_VALUE"""),"บิ๊กซี MINI")</f>
        <v>บิ๊กซี MINI</v>
      </c>
      <c r="F1045" s="1" t="str">
        <f>IFERROR(__xludf.DUMMYFUNCTION("""COMPUTED_VALUE"""),"221716")</f>
        <v>221716</v>
      </c>
      <c r="G1045" s="1" t="str">
        <f>IFERROR(__xludf.DUMMYFUNCTION("""COMPUTED_VALUE"""),"น.ส.เบญจพร โพธิสาร")</f>
        <v>น.ส.เบญจพร โพธิสาร</v>
      </c>
      <c r="H1045" s="1" t="str">
        <f>IFERROR(__xludf.DUMMYFUNCTION("""COMPUTED_VALUE"""),"318151")</f>
        <v>318151</v>
      </c>
      <c r="I1045" s="1" t="str">
        <f>IFERROR(__xludf.DUMMYFUNCTION("""COMPUTED_VALUE"""),"นายพลฬกฤตต์ เนตมณี")</f>
        <v>นายพลฬกฤตต์ เนตมณี</v>
      </c>
      <c r="J1045" s="3">
        <f>IFERROR(__xludf.DUMMYFUNCTION("""COMPUTED_VALUE"""),2452376.0)</f>
        <v>2452376</v>
      </c>
      <c r="K1045" s="3" t="str">
        <f>IFERROR(__xludf.DUMMYFUNCTION("""COMPUTED_VALUE"""),"นายภาคภูมิ ทวีกุล")</f>
        <v>นายภาคภูมิ ทวีกุล</v>
      </c>
      <c r="L1045" s="1" t="str">
        <f>IFERROR(__xludf.DUMMYFUNCTION("""COMPUTED_VALUE"""),"08 K.Parkphum T.")</f>
        <v>08 K.Parkphum T.</v>
      </c>
      <c r="M1045" s="1" t="str">
        <f>IFERROR(__xludf.DUMMYFUNCTION("""COMPUTED_VALUE"""),"097-919-5476")</f>
        <v>097-919-5476</v>
      </c>
      <c r="N1045" s="3">
        <f>IFERROR(__xludf.DUMMYFUNCTION("""COMPUTED_VALUE"""),22028.0)</f>
        <v>22028</v>
      </c>
      <c r="O1045" s="3" t="str">
        <f>IFERROR(__xludf.DUMMYFUNCTION("""COMPUTED_VALUE"""),"MBC ทํบมา ระยอง")</f>
        <v>MBC ทํบมา ระยอง</v>
      </c>
      <c r="P1045" s="4">
        <f>IFERROR(__xludf.DUMMYFUNCTION("""COMPUTED_VALUE"""),43616.0)</f>
        <v>43616</v>
      </c>
      <c r="Q1045" s="3" t="str">
        <f>IFERROR(__xludf.DUMMYFUNCTION("""COMPUTED_VALUE"""),"A")</f>
        <v>A</v>
      </c>
      <c r="R1045" s="3" t="str">
        <f>IFERROR(__xludf.DUMMYFUNCTION("""COMPUTED_VALUE"""),"Small Format")</f>
        <v>Small Format</v>
      </c>
      <c r="S1045" s="3" t="str">
        <f>IFERROR(__xludf.DUMMYFUNCTION("""COMPUTED_VALUE"""),"BCM")</f>
        <v>BCM</v>
      </c>
      <c r="T1045" s="3" t="str">
        <f>IFERROR(__xludf.DUMMYFUNCTION("""COMPUTED_VALUE"""),"#N/A")</f>
        <v>#N/A</v>
      </c>
      <c r="U1045" s="3" t="str">
        <f>IFERROR(__xludf.DUMMYFUNCTION("""COMPUTED_VALUE"""),"#N/A")</f>
        <v>#N/A</v>
      </c>
      <c r="V1045" s="3" t="str">
        <f>IFERROR(__xludf.DUMMYFUNCTION("""COMPUTED_VALUE"""),"N")</f>
        <v>N</v>
      </c>
      <c r="W1045" s="3">
        <f>IFERROR(__xludf.DUMMYFUNCTION("""COMPUTED_VALUE"""),211843.0)</f>
        <v>211843</v>
      </c>
      <c r="X1045" s="3" t="str">
        <f>IFERROR(__xludf.DUMMYFUNCTION("""COMPUTED_VALUE"""),"1/5 หมู่4 ตำบลคลองขุด อำเภอท่าใหม่ จังหวัดจันทบุรี 22120")</f>
        <v>1/5 หมู่4 ตำบลคลองขุด อำเภอท่าใหม่ จังหวัดจันทบุรี 22120</v>
      </c>
      <c r="Y1045" s="3"/>
      <c r="Z1045" s="3" t="str">
        <f>IFERROR(__xludf.DUMMYFUNCTION("""COMPUTED_VALUE"""),"คลองขุด")</f>
        <v>คลองขุด</v>
      </c>
      <c r="AA1045" s="3" t="str">
        <f>IFERROR(__xludf.DUMMYFUNCTION("""COMPUTED_VALUE"""),"ท่าใหม่")</f>
        <v>ท่าใหม่</v>
      </c>
      <c r="AB1045" s="3" t="str">
        <f>IFERROR(__xludf.DUMMYFUNCTION("""COMPUTED_VALUE"""),"จันทบุรี")</f>
        <v>จันทบุรี</v>
      </c>
      <c r="AC1045" s="3">
        <f>IFERROR(__xludf.DUMMYFUNCTION("""COMPUTED_VALUE"""),22120.0)</f>
        <v>22120</v>
      </c>
      <c r="AD1045" s="3">
        <f>IFERROR(__xludf.DUMMYFUNCTION("""COMPUTED_VALUE"""),12.564)</f>
        <v>12.564</v>
      </c>
      <c r="AE1045" s="3">
        <f>IFERROR(__xludf.DUMMYFUNCTION("""COMPUTED_VALUE"""),101.913508)</f>
        <v>101.913508</v>
      </c>
      <c r="AF1045" s="3" t="str">
        <f>IFERROR(__xludf.DUMMYFUNCTION("""COMPUTED_VALUE"""),"MBC ตลาดเจ้าหลาวจันทบุรี-21817")</f>
        <v>MBC ตลาดเจ้าหลาวจันทบุรี-21817</v>
      </c>
      <c r="AG1045" s="3" t="str">
        <f>IFERROR(__xludf.DUMMYFUNCTION("""COMPUTED_VALUE"""),"ตะวันออก")</f>
        <v>ตะวันออก</v>
      </c>
      <c r="AH1045" s="3" t="str">
        <f>IFERROR(__xludf.DUMMYFUNCTION("""COMPUTED_VALUE"""),"#N/A")</f>
        <v>#N/A</v>
      </c>
      <c r="AI1045" s="3" t="str">
        <f>IFERROR(__xludf.DUMMYFUNCTION("""COMPUTED_VALUE"""),"Out of warranty")</f>
        <v>Out of warranty</v>
      </c>
      <c r="AJ1045" s="3">
        <f>IFERROR(__xludf.DUMMYFUNCTION("""COMPUTED_VALUE"""),80.0)</f>
        <v>80</v>
      </c>
      <c r="AK1045" s="3" t="str">
        <f>IFERROR(__xludf.DUMMYFUNCTION("""COMPUTED_VALUE"""),"MMS08")</f>
        <v>MMS08</v>
      </c>
      <c r="AL1045" s="3"/>
    </row>
    <row r="1046" ht="15.75" customHeight="1">
      <c r="A1046" s="1" t="str">
        <f>IFERROR(__xludf.DUMMYFUNCTION("""COMPUTED_VALUE"""),"21818")</f>
        <v>21818</v>
      </c>
      <c r="B1046" s="2">
        <f>IFERROR(__xludf.DUMMYFUNCTION("""COMPUTED_VALUE"""),21818.0)</f>
        <v>21818</v>
      </c>
      <c r="C1046" s="3" t="str">
        <f>IFERROR(__xludf.DUMMYFUNCTION("""COMPUTED_VALUE"""),"MBC บางจากอมตะ ชลบุรี")</f>
        <v>MBC บางจากอมตะ ชลบุรี</v>
      </c>
      <c r="D1046" s="3" t="str">
        <f>IFERROR(__xludf.DUMMYFUNCTION("""COMPUTED_VALUE"""),"BCM BCP AMATA,CHONBURI")</f>
        <v>BCM BCP AMATA,CHONBURI</v>
      </c>
      <c r="E1046" s="1" t="str">
        <f>IFERROR(__xludf.DUMMYFUNCTION("""COMPUTED_VALUE"""),"บิ๊กซี MINI")</f>
        <v>บิ๊กซี MINI</v>
      </c>
      <c r="F1046" s="1" t="str">
        <f>IFERROR(__xludf.DUMMYFUNCTION("""COMPUTED_VALUE"""),"221716")</f>
        <v>221716</v>
      </c>
      <c r="G1046" s="1" t="str">
        <f>IFERROR(__xludf.DUMMYFUNCTION("""COMPUTED_VALUE"""),"น.ส.เบญจพร โพธิสาร")</f>
        <v>น.ส.เบญจพร โพธิสาร</v>
      </c>
      <c r="H1046" s="1" t="str">
        <f>IFERROR(__xludf.DUMMYFUNCTION("""COMPUTED_VALUE"""),"034605")</f>
        <v>034605</v>
      </c>
      <c r="I1046" s="1" t="str">
        <f>IFERROR(__xludf.DUMMYFUNCTION("""COMPUTED_VALUE"""),"นายธรรมรัตน์ สุขเจริญ")</f>
        <v>นายธรรมรัตน์ สุขเจริญ</v>
      </c>
      <c r="J1046" s="3">
        <f>IFERROR(__xludf.DUMMYFUNCTION("""COMPUTED_VALUE"""),1.3461215E7)</f>
        <v>13461215</v>
      </c>
      <c r="K1046" s="3" t="str">
        <f>IFERROR(__xludf.DUMMYFUNCTION("""COMPUTED_VALUE"""),"นายธีรภัทร สังข์เงิน")</f>
        <v>นายธีรภัทร สังข์เงิน</v>
      </c>
      <c r="L1046" s="1" t="str">
        <f>IFERROR(__xludf.DUMMYFUNCTION("""COMPUTED_VALUE"""),"06 K.Teerapat")</f>
        <v>06 K.Teerapat</v>
      </c>
      <c r="M1046" s="1" t="str">
        <f>IFERROR(__xludf.DUMMYFUNCTION("""COMPUTED_VALUE"""),"063-601-6803")</f>
        <v>063-601-6803</v>
      </c>
      <c r="N1046" s="3">
        <f>IFERROR(__xludf.DUMMYFUNCTION("""COMPUTED_VALUE"""),22115.0)</f>
        <v>22115</v>
      </c>
      <c r="O1046" s="3" t="str">
        <f>IFERROR(__xludf.DUMMYFUNCTION("""COMPUTED_VALUE"""),"MBC เลี่ยงหนองมน ชลบุรี")</f>
        <v>MBC เลี่ยงหนองมน ชลบุรี</v>
      </c>
      <c r="P1046" s="4">
        <f>IFERROR(__xludf.DUMMYFUNCTION("""COMPUTED_VALUE"""),43636.0)</f>
        <v>43636</v>
      </c>
      <c r="Q1046" s="3" t="str">
        <f>IFERROR(__xludf.DUMMYFUNCTION("""COMPUTED_VALUE"""),"A")</f>
        <v>A</v>
      </c>
      <c r="R1046" s="3" t="str">
        <f>IFERROR(__xludf.DUMMYFUNCTION("""COMPUTED_VALUE"""),"Small Format")</f>
        <v>Small Format</v>
      </c>
      <c r="S1046" s="3" t="str">
        <f>IFERROR(__xludf.DUMMYFUNCTION("""COMPUTED_VALUE"""),"BCM")</f>
        <v>BCM</v>
      </c>
      <c r="T1046" s="3" t="str">
        <f>IFERROR(__xludf.DUMMYFUNCTION("""COMPUTED_VALUE"""),"#N/A")</f>
        <v>#N/A</v>
      </c>
      <c r="U1046" s="3" t="str">
        <f>IFERROR(__xludf.DUMMYFUNCTION("""COMPUTED_VALUE"""),"#N/A")</f>
        <v>#N/A</v>
      </c>
      <c r="V1046" s="3" t="str">
        <f>IFERROR(__xludf.DUMMYFUNCTION("""COMPUTED_VALUE"""),"N")</f>
        <v>N</v>
      </c>
      <c r="W1046" s="3">
        <f>IFERROR(__xludf.DUMMYFUNCTION("""COMPUTED_VALUE"""),211794.0)</f>
        <v>211794</v>
      </c>
      <c r="X1046" s="3" t="str">
        <f>IFERROR(__xludf.DUMMYFUNCTION("""COMPUTED_VALUE"""),"188/8 หมู่1 ตำบลบ้านเก่า อำเภอพานทอง จังหวัดชลบุรี 20160")</f>
        <v>188/8 หมู่1 ตำบลบ้านเก่า อำเภอพานทอง จังหวัดชลบุรี 20160</v>
      </c>
      <c r="Y1046" s="3"/>
      <c r="Z1046" s="3" t="str">
        <f>IFERROR(__xludf.DUMMYFUNCTION("""COMPUTED_VALUE"""),"บ้านเก่า")</f>
        <v>บ้านเก่า</v>
      </c>
      <c r="AA1046" s="3" t="str">
        <f>IFERROR(__xludf.DUMMYFUNCTION("""COMPUTED_VALUE"""),"พานทอง")</f>
        <v>พานทอง</v>
      </c>
      <c r="AB1046" s="3" t="str">
        <f>IFERROR(__xludf.DUMMYFUNCTION("""COMPUTED_VALUE"""),"ชลบุรี")</f>
        <v>ชลบุรี</v>
      </c>
      <c r="AC1046" s="3">
        <f>IFERROR(__xludf.DUMMYFUNCTION("""COMPUTED_VALUE"""),20160.0)</f>
        <v>20160</v>
      </c>
      <c r="AD1046" s="3">
        <f>IFERROR(__xludf.DUMMYFUNCTION("""COMPUTED_VALUE"""),13.454402)</f>
        <v>13.454402</v>
      </c>
      <c r="AE1046" s="3">
        <f>IFERROR(__xludf.DUMMYFUNCTION("""COMPUTED_VALUE"""),101.023525)</f>
        <v>101.023525</v>
      </c>
      <c r="AF1046" s="3" t="str">
        <f>IFERROR(__xludf.DUMMYFUNCTION("""COMPUTED_VALUE"""),"MBC บางจากอมตะ ชลบุรี-21818")</f>
        <v>MBC บางจากอมตะ ชลบุรี-21818</v>
      </c>
      <c r="AG1046" s="3" t="str">
        <f>IFERROR(__xludf.DUMMYFUNCTION("""COMPUTED_VALUE"""),"ตะวันออก")</f>
        <v>ตะวันออก</v>
      </c>
      <c r="AH1046" s="3" t="str">
        <f>IFERROR(__xludf.DUMMYFUNCTION("""COMPUTED_VALUE"""),"#N/A")</f>
        <v>#N/A</v>
      </c>
      <c r="AI1046" s="3" t="str">
        <f>IFERROR(__xludf.DUMMYFUNCTION("""COMPUTED_VALUE"""),"Out of warranty")</f>
        <v>Out of warranty</v>
      </c>
      <c r="AJ1046" s="3">
        <f>IFERROR(__xludf.DUMMYFUNCTION("""COMPUTED_VALUE"""),80.0)</f>
        <v>80</v>
      </c>
      <c r="AK1046" s="3" t="str">
        <f>IFERROR(__xludf.DUMMYFUNCTION("""COMPUTED_VALUE"""),"MMS06")</f>
        <v>MMS06</v>
      </c>
      <c r="AL1046" s="3"/>
    </row>
    <row r="1047" ht="15.75" customHeight="1">
      <c r="A1047" s="1" t="str">
        <f>IFERROR(__xludf.DUMMYFUNCTION("""COMPUTED_VALUE"""),"21819")</f>
        <v>21819</v>
      </c>
      <c r="B1047" s="2">
        <f>IFERROR(__xludf.DUMMYFUNCTION("""COMPUTED_VALUE"""),21819.0)</f>
        <v>21819</v>
      </c>
      <c r="C1047" s="3" t="str">
        <f>IFERROR(__xludf.DUMMYFUNCTION("""COMPUTED_VALUE"""),"MBC ภูเวียง ขอนแก่น")</f>
        <v>MBC ภูเวียง ขอนแก่น</v>
      </c>
      <c r="D1047" s="3" t="str">
        <f>IFERROR(__xludf.DUMMYFUNCTION("""COMPUTED_VALUE"""),"BCM PHU WIANG,KHON KAEN")</f>
        <v>BCM PHU WIANG,KHON KAEN</v>
      </c>
      <c r="E1047" s="1" t="str">
        <f>IFERROR(__xludf.DUMMYFUNCTION("""COMPUTED_VALUE"""),"บิ๊กซี MINI")</f>
        <v>บิ๊กซี MINI</v>
      </c>
      <c r="F1047" s="1" t="str">
        <f>IFERROR(__xludf.DUMMYFUNCTION("""COMPUTED_VALUE"""),"291105")</f>
        <v>291105</v>
      </c>
      <c r="G1047" s="1" t="str">
        <f>IFERROR(__xludf.DUMMYFUNCTION("""COMPUTED_VALUE"""),"นายสราวุฒิ พณิชยกุล")</f>
        <v>นายสราวุฒิ พณิชยกุล</v>
      </c>
      <c r="H1047" s="1" t="str">
        <f>IFERROR(__xludf.DUMMYFUNCTION("""COMPUTED_VALUE"""),"371396")</f>
        <v>371396</v>
      </c>
      <c r="I1047" s="1" t="str">
        <f>IFERROR(__xludf.DUMMYFUNCTION("""COMPUTED_VALUE"""),"น.ส.สุภาวดี วิลัยพร")</f>
        <v>น.ส.สุภาวดี วิลัยพร</v>
      </c>
      <c r="J1047" s="3">
        <f>IFERROR(__xludf.DUMMYFUNCTION("""COMPUTED_VALUE"""),15361.0)</f>
        <v>15361</v>
      </c>
      <c r="K1047" s="3" t="str">
        <f>IFERROR(__xludf.DUMMYFUNCTION("""COMPUTED_VALUE"""),"นายสมบูรณ์ พรหมในเมือง")</f>
        <v>นายสมบูรณ์ พรหมในเมือง</v>
      </c>
      <c r="L1047" s="1" t="str">
        <f>IFERROR(__xludf.DUMMYFUNCTION("""COMPUTED_VALUE"""),"04 K.Somboon P.")</f>
        <v>04 K.Somboon P.</v>
      </c>
      <c r="M1047" s="1" t="str">
        <f>IFERROR(__xludf.DUMMYFUNCTION("""COMPUTED_VALUE"""),"087-965-3051")</f>
        <v>087-965-3051</v>
      </c>
      <c r="N1047" s="3">
        <f>IFERROR(__xludf.DUMMYFUNCTION("""COMPUTED_VALUE"""),21869.0)</f>
        <v>21869</v>
      </c>
      <c r="O1047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047" s="4">
        <f>IFERROR(__xludf.DUMMYFUNCTION("""COMPUTED_VALUE"""),43636.0)</f>
        <v>43636</v>
      </c>
      <c r="Q1047" s="3" t="str">
        <f>IFERROR(__xludf.DUMMYFUNCTION("""COMPUTED_VALUE"""),"A")</f>
        <v>A</v>
      </c>
      <c r="R1047" s="3" t="str">
        <f>IFERROR(__xludf.DUMMYFUNCTION("""COMPUTED_VALUE"""),"Small Format")</f>
        <v>Small Format</v>
      </c>
      <c r="S1047" s="3" t="str">
        <f>IFERROR(__xludf.DUMMYFUNCTION("""COMPUTED_VALUE"""),"BCM")</f>
        <v>BCM</v>
      </c>
      <c r="T1047" s="3" t="str">
        <f>IFERROR(__xludf.DUMMYFUNCTION("""COMPUTED_VALUE"""),"#N/A")</f>
        <v>#N/A</v>
      </c>
      <c r="U1047" s="3" t="str">
        <f>IFERROR(__xludf.DUMMYFUNCTION("""COMPUTED_VALUE"""),"#N/A")</f>
        <v>#N/A</v>
      </c>
      <c r="V1047" s="3" t="str">
        <f>IFERROR(__xludf.DUMMYFUNCTION("""COMPUTED_VALUE"""),"N")</f>
        <v>N</v>
      </c>
      <c r="W1047" s="3">
        <f>IFERROR(__xludf.DUMMYFUNCTION("""COMPUTED_VALUE"""),211814.0)</f>
        <v>211814</v>
      </c>
      <c r="X1047" s="3" t="str">
        <f>IFERROR(__xludf.DUMMYFUNCTION("""COMPUTED_VALUE"""),"510/21-24 หมู่4 ตำบลภูเวียง อำเภอภูเวียง จังหวัดขอนแก่น 40150")</f>
        <v>510/21-24 หมู่4 ตำบลภูเวียง อำเภอภูเวียง จังหวัดขอนแก่น 40150</v>
      </c>
      <c r="Y1047" s="3"/>
      <c r="Z1047" s="3" t="str">
        <f>IFERROR(__xludf.DUMMYFUNCTION("""COMPUTED_VALUE"""),"ภูเวียง")</f>
        <v>ภูเวียง</v>
      </c>
      <c r="AA1047" s="3" t="str">
        <f>IFERROR(__xludf.DUMMYFUNCTION("""COMPUTED_VALUE"""),"ภูเวียง")</f>
        <v>ภูเวียง</v>
      </c>
      <c r="AB1047" s="3" t="str">
        <f>IFERROR(__xludf.DUMMYFUNCTION("""COMPUTED_VALUE"""),"ขอนแก่น")</f>
        <v>ขอนแก่น</v>
      </c>
      <c r="AC1047" s="3">
        <f>IFERROR(__xludf.DUMMYFUNCTION("""COMPUTED_VALUE"""),40150.0)</f>
        <v>40150</v>
      </c>
      <c r="AD1047" s="3">
        <f>IFERROR(__xludf.DUMMYFUNCTION("""COMPUTED_VALUE"""),16.653952)</f>
        <v>16.653952</v>
      </c>
      <c r="AE1047" s="3">
        <f>IFERROR(__xludf.DUMMYFUNCTION("""COMPUTED_VALUE"""),102.37549)</f>
        <v>102.37549</v>
      </c>
      <c r="AF1047" s="3" t="str">
        <f>IFERROR(__xludf.DUMMYFUNCTION("""COMPUTED_VALUE"""),"MBC ภูเวียง ขอนแก่น-21819")</f>
        <v>MBC ภูเวียง ขอนแก่น-21819</v>
      </c>
      <c r="AG1047" s="3" t="str">
        <f>IFERROR(__xludf.DUMMYFUNCTION("""COMPUTED_VALUE"""),"ตะวันออกเฉียงเหนือ")</f>
        <v>ตะวันออกเฉียงเหนือ</v>
      </c>
      <c r="AH1047" s="3" t="str">
        <f>IFERROR(__xludf.DUMMYFUNCTION("""COMPUTED_VALUE"""),"#N/A")</f>
        <v>#N/A</v>
      </c>
      <c r="AI1047" s="3" t="str">
        <f>IFERROR(__xludf.DUMMYFUNCTION("""COMPUTED_VALUE"""),"Out of warranty")</f>
        <v>Out of warranty</v>
      </c>
      <c r="AJ1047" s="3">
        <f>IFERROR(__xludf.DUMMYFUNCTION("""COMPUTED_VALUE"""),80.0)</f>
        <v>80</v>
      </c>
      <c r="AK1047" s="3" t="str">
        <f>IFERROR(__xludf.DUMMYFUNCTION("""COMPUTED_VALUE"""),"MMS12")</f>
        <v>MMS12</v>
      </c>
      <c r="AL1047" s="3"/>
    </row>
    <row r="1048" ht="15.75" customHeight="1">
      <c r="A1048" s="1" t="str">
        <f>IFERROR(__xludf.DUMMYFUNCTION("""COMPUTED_VALUE"""),"21820")</f>
        <v>21820</v>
      </c>
      <c r="B1048" s="2">
        <f>IFERROR(__xludf.DUMMYFUNCTION("""COMPUTED_VALUE"""),21820.0)</f>
        <v>21820</v>
      </c>
      <c r="C1048" s="3" t="str">
        <f>IFERROR(__xludf.DUMMYFUNCTION("""COMPUTED_VALUE"""),"MBC ตลาดคลองถมวัดอู่ตะเภา ชลบุรี")</f>
        <v>MBC ตลาดคลองถมวัดอู่ตะเภา ชลบุรี</v>
      </c>
      <c r="D1048" s="3" t="str">
        <f>IFERROR(__xludf.DUMMYFUNCTION("""COMPUTED_VALUE"""),"BCM TALAD KLONG THOM UTAPAO")</f>
        <v>BCM TALAD KLONG THOM UTAPAO</v>
      </c>
      <c r="E1048" s="1" t="str">
        <f>IFERROR(__xludf.DUMMYFUNCTION("""COMPUTED_VALUE"""),"บิ๊กซี MINI")</f>
        <v>บิ๊กซี MINI</v>
      </c>
      <c r="F1048" s="1" t="str">
        <f>IFERROR(__xludf.DUMMYFUNCTION("""COMPUTED_VALUE"""),"221716")</f>
        <v>221716</v>
      </c>
      <c r="G1048" s="1" t="str">
        <f>IFERROR(__xludf.DUMMYFUNCTION("""COMPUTED_VALUE"""),"น.ส.เบญจพร โพธิสาร")</f>
        <v>น.ส.เบญจพร โพธิสาร</v>
      </c>
      <c r="H1048" s="1" t="str">
        <f>IFERROR(__xludf.DUMMYFUNCTION("""COMPUTED_VALUE"""),"034605")</f>
        <v>034605</v>
      </c>
      <c r="I1048" s="1" t="str">
        <f>IFERROR(__xludf.DUMMYFUNCTION("""COMPUTED_VALUE"""),"นายธรรมรัตน์ สุขเจริญ")</f>
        <v>นายธรรมรัตน์ สุขเจริญ</v>
      </c>
      <c r="J1048" s="3">
        <f>IFERROR(__xludf.DUMMYFUNCTION("""COMPUTED_VALUE"""),1.3461215E7)</f>
        <v>13461215</v>
      </c>
      <c r="K1048" s="3" t="str">
        <f>IFERROR(__xludf.DUMMYFUNCTION("""COMPUTED_VALUE"""),"นายธีรภัทร สังข์เงิน")</f>
        <v>นายธีรภัทร สังข์เงิน</v>
      </c>
      <c r="L1048" s="1" t="str">
        <f>IFERROR(__xludf.DUMMYFUNCTION("""COMPUTED_VALUE"""),"06 K.Teerapat")</f>
        <v>06 K.Teerapat</v>
      </c>
      <c r="M1048" s="1" t="str">
        <f>IFERROR(__xludf.DUMMYFUNCTION("""COMPUTED_VALUE"""),"063-601-6803")</f>
        <v>063-601-6803</v>
      </c>
      <c r="N1048" s="3">
        <f>IFERROR(__xludf.DUMMYFUNCTION("""COMPUTED_VALUE"""),22115.0)</f>
        <v>22115</v>
      </c>
      <c r="O1048" s="3" t="str">
        <f>IFERROR(__xludf.DUMMYFUNCTION("""COMPUTED_VALUE"""),"MBC เลี่ยงหนองมน ชลบุรี")</f>
        <v>MBC เลี่ยงหนองมน ชลบุรี</v>
      </c>
      <c r="P1048" s="4">
        <f>IFERROR(__xludf.DUMMYFUNCTION("""COMPUTED_VALUE"""),43662.0)</f>
        <v>43662</v>
      </c>
      <c r="Q1048" s="3" t="str">
        <f>IFERROR(__xludf.DUMMYFUNCTION("""COMPUTED_VALUE"""),"A")</f>
        <v>A</v>
      </c>
      <c r="R1048" s="3" t="str">
        <f>IFERROR(__xludf.DUMMYFUNCTION("""COMPUTED_VALUE"""),"Small Format")</f>
        <v>Small Format</v>
      </c>
      <c r="S1048" s="3" t="str">
        <f>IFERROR(__xludf.DUMMYFUNCTION("""COMPUTED_VALUE"""),"BCM")</f>
        <v>BCM</v>
      </c>
      <c r="T1048" s="3" t="str">
        <f>IFERROR(__xludf.DUMMYFUNCTION("""COMPUTED_VALUE"""),"#N/A")</f>
        <v>#N/A</v>
      </c>
      <c r="U1048" s="3" t="str">
        <f>IFERROR(__xludf.DUMMYFUNCTION("""COMPUTED_VALUE"""),"#N/A")</f>
        <v>#N/A</v>
      </c>
      <c r="V1048" s="3" t="str">
        <f>IFERROR(__xludf.DUMMYFUNCTION("""COMPUTED_VALUE"""),"N")</f>
        <v>N</v>
      </c>
      <c r="W1048" s="3">
        <f>IFERROR(__xludf.DUMMYFUNCTION("""COMPUTED_VALUE"""),211839.0)</f>
        <v>211839</v>
      </c>
      <c r="X1048" s="3" t="str">
        <f>IFERROR(__xludf.DUMMYFUNCTION("""COMPUTED_VALUE"""),"37/77 หมู่5 ตำบลหนองไม้แดง อำเภอเมืองชลบุรี จังหวัดชลบุรี 20000")</f>
        <v>37/77 หมู่5 ตำบลหนองไม้แดง อำเภอเมืองชลบุรี จังหวัดชลบุรี 20000</v>
      </c>
      <c r="Y1048" s="3"/>
      <c r="Z1048" s="3" t="str">
        <f>IFERROR(__xludf.DUMMYFUNCTION("""COMPUTED_VALUE"""),"หนองไม้แดง")</f>
        <v>หนองไม้แดง</v>
      </c>
      <c r="AA1048" s="3" t="str">
        <f>IFERROR(__xludf.DUMMYFUNCTION("""COMPUTED_VALUE"""),"เมือง")</f>
        <v>เมือง</v>
      </c>
      <c r="AB1048" s="3" t="str">
        <f>IFERROR(__xludf.DUMMYFUNCTION("""COMPUTED_VALUE"""),"ชลบุรี")</f>
        <v>ชลบุรี</v>
      </c>
      <c r="AC1048" s="3">
        <f>IFERROR(__xludf.DUMMYFUNCTION("""COMPUTED_VALUE"""),20000.0)</f>
        <v>20000</v>
      </c>
      <c r="AD1048" s="3">
        <f>IFERROR(__xludf.DUMMYFUNCTION("""COMPUTED_VALUE"""),13.4083491)</f>
        <v>13.4083491</v>
      </c>
      <c r="AE1048" s="3">
        <f>IFERROR(__xludf.DUMMYFUNCTION("""COMPUTED_VALUE"""),101.0130014)</f>
        <v>101.0130014</v>
      </c>
      <c r="AF1048" s="3" t="str">
        <f>IFERROR(__xludf.DUMMYFUNCTION("""COMPUTED_VALUE"""),"MBC ตลาดคลองถมวัดอู่ตะเภา ชลบุรี-21820")</f>
        <v>MBC ตลาดคลองถมวัดอู่ตะเภา ชลบุรี-21820</v>
      </c>
      <c r="AG1048" s="3" t="str">
        <f>IFERROR(__xludf.DUMMYFUNCTION("""COMPUTED_VALUE"""),"ตะวันออก")</f>
        <v>ตะวันออก</v>
      </c>
      <c r="AH1048" s="3" t="str">
        <f>IFERROR(__xludf.DUMMYFUNCTION("""COMPUTED_VALUE"""),"#N/A")</f>
        <v>#N/A</v>
      </c>
      <c r="AI1048" s="3" t="str">
        <f>IFERROR(__xludf.DUMMYFUNCTION("""COMPUTED_VALUE"""),"Out of warranty")</f>
        <v>Out of warranty</v>
      </c>
      <c r="AJ1048" s="3">
        <f>IFERROR(__xludf.DUMMYFUNCTION("""COMPUTED_VALUE"""),79.0)</f>
        <v>79</v>
      </c>
      <c r="AK1048" s="3" t="str">
        <f>IFERROR(__xludf.DUMMYFUNCTION("""COMPUTED_VALUE"""),"MMS06")</f>
        <v>MMS06</v>
      </c>
      <c r="AL1048" s="3"/>
    </row>
    <row r="1049" ht="15.75" customHeight="1">
      <c r="A1049" s="1" t="str">
        <f>IFERROR(__xludf.DUMMYFUNCTION("""COMPUTED_VALUE"""),"21821")</f>
        <v>21821</v>
      </c>
      <c r="B1049" s="2">
        <f>IFERROR(__xludf.DUMMYFUNCTION("""COMPUTED_VALUE"""),21821.0)</f>
        <v>21821</v>
      </c>
      <c r="C1049" s="3" t="str">
        <f>IFERROR(__xludf.DUMMYFUNCTION("""COMPUTED_VALUE"""),"MBC ห้างแก้ว ซอย5ระยอง")</f>
        <v>MBC ห้างแก้ว ซอย5ระยอง</v>
      </c>
      <c r="D1049" s="3" t="str">
        <f>IFERROR(__xludf.DUMMYFUNCTION("""COMPUTED_VALUE"""),"BCM HANG KAEO SOI 5,RAYONG")</f>
        <v>BCM HANG KAEO SOI 5,RAYONG</v>
      </c>
      <c r="E1049" s="1" t="str">
        <f>IFERROR(__xludf.DUMMYFUNCTION("""COMPUTED_VALUE"""),"บิ๊กซี MINI")</f>
        <v>บิ๊กซี MINI</v>
      </c>
      <c r="F1049" s="1" t="str">
        <f>IFERROR(__xludf.DUMMYFUNCTION("""COMPUTED_VALUE"""),"221716")</f>
        <v>221716</v>
      </c>
      <c r="G1049" s="1" t="str">
        <f>IFERROR(__xludf.DUMMYFUNCTION("""COMPUTED_VALUE"""),"น.ส.เบญจพร โพธิสาร")</f>
        <v>น.ส.เบญจพร โพธิสาร</v>
      </c>
      <c r="H1049" s="1" t="str">
        <f>IFERROR(__xludf.DUMMYFUNCTION("""COMPUTED_VALUE"""),"371384")</f>
        <v>371384</v>
      </c>
      <c r="I1049" s="1" t="str">
        <f>IFERROR(__xludf.DUMMYFUNCTION("""COMPUTED_VALUE"""),"น.ส.นิลเนตร สิงห์ทอง")</f>
        <v>น.ส.นิลเนตร สิงห์ทอง</v>
      </c>
      <c r="J1049" s="3">
        <f>IFERROR(__xludf.DUMMYFUNCTION("""COMPUTED_VALUE"""),2452376.0)</f>
        <v>2452376</v>
      </c>
      <c r="K1049" s="3" t="str">
        <f>IFERROR(__xludf.DUMMYFUNCTION("""COMPUTED_VALUE"""),"นายภาคภูมิ ทวีกุล")</f>
        <v>นายภาคภูมิ ทวีกุล</v>
      </c>
      <c r="L1049" s="1" t="str">
        <f>IFERROR(__xludf.DUMMYFUNCTION("""COMPUTED_VALUE"""),"08 K.Parkphum T.")</f>
        <v>08 K.Parkphum T.</v>
      </c>
      <c r="M1049" s="1" t="str">
        <f>IFERROR(__xludf.DUMMYFUNCTION("""COMPUTED_VALUE"""),"097-919-5476")</f>
        <v>097-919-5476</v>
      </c>
      <c r="N1049" s="3">
        <f>IFERROR(__xludf.DUMMYFUNCTION("""COMPUTED_VALUE"""),22028.0)</f>
        <v>22028</v>
      </c>
      <c r="O1049" s="3" t="str">
        <f>IFERROR(__xludf.DUMMYFUNCTION("""COMPUTED_VALUE"""),"MBC ทํบมา ระยอง")</f>
        <v>MBC ทํบมา ระยอง</v>
      </c>
      <c r="P1049" s="4">
        <f>IFERROR(__xludf.DUMMYFUNCTION("""COMPUTED_VALUE"""),43628.0)</f>
        <v>43628</v>
      </c>
      <c r="Q1049" s="3" t="str">
        <f>IFERROR(__xludf.DUMMYFUNCTION("""COMPUTED_VALUE"""),"A")</f>
        <v>A</v>
      </c>
      <c r="R1049" s="3" t="str">
        <f>IFERROR(__xludf.DUMMYFUNCTION("""COMPUTED_VALUE"""),"Small Format")</f>
        <v>Small Format</v>
      </c>
      <c r="S1049" s="3" t="str">
        <f>IFERROR(__xludf.DUMMYFUNCTION("""COMPUTED_VALUE"""),"BCM")</f>
        <v>BCM</v>
      </c>
      <c r="T1049" s="3" t="str">
        <f>IFERROR(__xludf.DUMMYFUNCTION("""COMPUTED_VALUE"""),"#N/A")</f>
        <v>#N/A</v>
      </c>
      <c r="U1049" s="3" t="str">
        <f>IFERROR(__xludf.DUMMYFUNCTION("""COMPUTED_VALUE"""),"#N/A")</f>
        <v>#N/A</v>
      </c>
      <c r="V1049" s="3" t="str">
        <f>IFERROR(__xludf.DUMMYFUNCTION("""COMPUTED_VALUE"""),"N")</f>
        <v>N</v>
      </c>
      <c r="W1049" s="3">
        <f>IFERROR(__xludf.DUMMYFUNCTION("""COMPUTED_VALUE"""),211810.0)</f>
        <v>211810</v>
      </c>
      <c r="X1049" s="3" t="str">
        <f>IFERROR(__xludf.DUMMYFUNCTION("""COMPUTED_VALUE"""),"422 หมู่4 ตำบลมาบยางพร อำเภอปลวกแดง จังหวัดระยอง 21140")</f>
        <v>422 หมู่4 ตำบลมาบยางพร อำเภอปลวกแดง จังหวัดระยอง 21140</v>
      </c>
      <c r="Y1049" s="3"/>
      <c r="Z1049" s="3" t="str">
        <f>IFERROR(__xludf.DUMMYFUNCTION("""COMPUTED_VALUE"""),"มาบยางพร")</f>
        <v>มาบยางพร</v>
      </c>
      <c r="AA1049" s="3" t="str">
        <f>IFERROR(__xludf.DUMMYFUNCTION("""COMPUTED_VALUE"""),"ปลวกแดง")</f>
        <v>ปลวกแดง</v>
      </c>
      <c r="AB1049" s="3" t="str">
        <f>IFERROR(__xludf.DUMMYFUNCTION("""COMPUTED_VALUE"""),"ระยอง")</f>
        <v>ระยอง</v>
      </c>
      <c r="AC1049" s="3">
        <f>IFERROR(__xludf.DUMMYFUNCTION("""COMPUTED_VALUE"""),21140.0)</f>
        <v>21140</v>
      </c>
      <c r="AD1049" s="3">
        <f>IFERROR(__xludf.DUMMYFUNCTION("""COMPUTED_VALUE"""),13.000524)</f>
        <v>13.000524</v>
      </c>
      <c r="AE1049" s="3">
        <f>IFERROR(__xludf.DUMMYFUNCTION("""COMPUTED_VALUE"""),101.09423)</f>
        <v>101.09423</v>
      </c>
      <c r="AF1049" s="3" t="str">
        <f>IFERROR(__xludf.DUMMYFUNCTION("""COMPUTED_VALUE"""),"MBC ห้างแก้ว ซอย5ระยอง-21821")</f>
        <v>MBC ห้างแก้ว ซอย5ระยอง-21821</v>
      </c>
      <c r="AG1049" s="3" t="str">
        <f>IFERROR(__xludf.DUMMYFUNCTION("""COMPUTED_VALUE"""),"ตะวันออก")</f>
        <v>ตะวันออก</v>
      </c>
      <c r="AH1049" s="3" t="str">
        <f>IFERROR(__xludf.DUMMYFUNCTION("""COMPUTED_VALUE"""),"#N/A")</f>
        <v>#N/A</v>
      </c>
      <c r="AI1049" s="3" t="str">
        <f>IFERROR(__xludf.DUMMYFUNCTION("""COMPUTED_VALUE"""),"Out of warranty")</f>
        <v>Out of warranty</v>
      </c>
      <c r="AJ1049" s="3">
        <f>IFERROR(__xludf.DUMMYFUNCTION("""COMPUTED_VALUE"""),80.0)</f>
        <v>80</v>
      </c>
      <c r="AK1049" s="3" t="str">
        <f>IFERROR(__xludf.DUMMYFUNCTION("""COMPUTED_VALUE"""),"MMS07")</f>
        <v>MMS07</v>
      </c>
      <c r="AL1049" s="3"/>
    </row>
    <row r="1050" ht="15.75" customHeight="1">
      <c r="A1050" s="1" t="str">
        <f>IFERROR(__xludf.DUMMYFUNCTION("""COMPUTED_VALUE"""),"21822")</f>
        <v>21822</v>
      </c>
      <c r="B1050" s="2">
        <f>IFERROR(__xludf.DUMMYFUNCTION("""COMPUTED_VALUE"""),21822.0)</f>
        <v>21822</v>
      </c>
      <c r="C1050" s="3" t="str">
        <f>IFERROR(__xludf.DUMMYFUNCTION("""COMPUTED_VALUE"""),"MBC วัดส้มเกลี้ยงนนทบุรี")</f>
        <v>MBC วัดส้มเกลี้ยงนนทบุรี</v>
      </c>
      <c r="D1050" s="3" t="str">
        <f>IFERROR(__xludf.DUMMYFUNCTION("""COMPUTED_VALUE"""),"BCM WAT SOM KLIANG")</f>
        <v>BCM WAT SOM KLIANG</v>
      </c>
      <c r="E1050" s="1" t="str">
        <f>IFERROR(__xludf.DUMMYFUNCTION("""COMPUTED_VALUE"""),"บิ๊กซี MINI")</f>
        <v>บิ๊กซี MINI</v>
      </c>
      <c r="F1050" s="1" t="str">
        <f>IFERROR(__xludf.DUMMYFUNCTION("""COMPUTED_VALUE"""),"291008")</f>
        <v>291008</v>
      </c>
      <c r="G1050" s="1" t="str">
        <f>IFERROR(__xludf.DUMMYFUNCTION("""COMPUTED_VALUE"""),"น.ส.รัชดาพร อีศรัตน์")</f>
        <v>น.ส.รัชดาพร อีศรัตน์</v>
      </c>
      <c r="H1050" s="1" t="str">
        <f>IFERROR(__xludf.DUMMYFUNCTION("""COMPUTED_VALUE"""),"180055")</f>
        <v>180055</v>
      </c>
      <c r="I1050" s="1" t="str">
        <f>IFERROR(__xludf.DUMMYFUNCTION("""COMPUTED_VALUE"""),"น.ส.สุดารัตน์ บุญล้ำ")</f>
        <v>น.ส.สุดารัตน์ บุญล้ำ</v>
      </c>
      <c r="J1050" s="3">
        <f>IFERROR(__xludf.DUMMYFUNCTION("""COMPUTED_VALUE"""),296608.0)</f>
        <v>296608</v>
      </c>
      <c r="K1050" s="3" t="str">
        <f>IFERROR(__xludf.DUMMYFUNCTION("""COMPUTED_VALUE"""),"นายภาคภูมิ เพ็ชรนิล")</f>
        <v>นายภาคภูมิ เพ็ชรนิล</v>
      </c>
      <c r="L1050" s="1" t="str">
        <f>IFERROR(__xludf.DUMMYFUNCTION("""COMPUTED_VALUE"""),"10 K.Phakphoom P.")</f>
        <v>10 K.Phakphoom P.</v>
      </c>
      <c r="M1050" s="1" t="str">
        <f>IFERROR(__xludf.DUMMYFUNCTION("""COMPUTED_VALUE"""),"063-8955329")</f>
        <v>063-8955329</v>
      </c>
      <c r="N1050" s="3">
        <f>IFERROR(__xludf.DUMMYFUNCTION("""COMPUTED_VALUE"""),22584.0)</f>
        <v>22584</v>
      </c>
      <c r="O1050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050" s="4">
        <f>IFERROR(__xludf.DUMMYFUNCTION("""COMPUTED_VALUE"""),43631.0)</f>
        <v>43631</v>
      </c>
      <c r="Q1050" s="3" t="str">
        <f>IFERROR(__xludf.DUMMYFUNCTION("""COMPUTED_VALUE"""),"A")</f>
        <v>A</v>
      </c>
      <c r="R1050" s="3" t="str">
        <f>IFERROR(__xludf.DUMMYFUNCTION("""COMPUTED_VALUE"""),"Small Format")</f>
        <v>Small Format</v>
      </c>
      <c r="S1050" s="3" t="str">
        <f>IFERROR(__xludf.DUMMYFUNCTION("""COMPUTED_VALUE"""),"BCM")</f>
        <v>BCM</v>
      </c>
      <c r="T1050" s="3" t="str">
        <f>IFERROR(__xludf.DUMMYFUNCTION("""COMPUTED_VALUE"""),"#N/A")</f>
        <v>#N/A</v>
      </c>
      <c r="U1050" s="3" t="str">
        <f>IFERROR(__xludf.DUMMYFUNCTION("""COMPUTED_VALUE"""),"#N/A")</f>
        <v>#N/A</v>
      </c>
      <c r="V1050" s="3" t="str">
        <f>IFERROR(__xludf.DUMMYFUNCTION("""COMPUTED_VALUE"""),"N")</f>
        <v>N</v>
      </c>
      <c r="W1050" s="3">
        <f>IFERROR(__xludf.DUMMYFUNCTION("""COMPUTED_VALUE"""),211800.0)</f>
        <v>211800</v>
      </c>
      <c r="X1050" s="3" t="str">
        <f>IFERROR(__xludf.DUMMYFUNCTION("""COMPUTED_VALUE"""),"4/4 หมู่3 ตำบลบางแม่นาง อำเภอบางใหญ่ จังหวัดนนทบุรี 11140")</f>
        <v>4/4 หมู่3 ตำบลบางแม่นาง อำเภอบางใหญ่ จังหวัดนนทบุรี 11140</v>
      </c>
      <c r="Y1050" s="3"/>
      <c r="Z1050" s="3" t="str">
        <f>IFERROR(__xludf.DUMMYFUNCTION("""COMPUTED_VALUE"""),"บางแม่นาง")</f>
        <v>บางแม่นาง</v>
      </c>
      <c r="AA1050" s="3" t="str">
        <f>IFERROR(__xludf.DUMMYFUNCTION("""COMPUTED_VALUE"""),"บางใหญ่")</f>
        <v>บางใหญ่</v>
      </c>
      <c r="AB1050" s="3" t="str">
        <f>IFERROR(__xludf.DUMMYFUNCTION("""COMPUTED_VALUE"""),"นนทบุรี")</f>
        <v>นนทบุรี</v>
      </c>
      <c r="AC1050" s="3">
        <f>IFERROR(__xludf.DUMMYFUNCTION("""COMPUTED_VALUE"""),11140.0)</f>
        <v>11140</v>
      </c>
      <c r="AD1050" s="3">
        <f>IFERROR(__xludf.DUMMYFUNCTION("""COMPUTED_VALUE"""),13.851956)</f>
        <v>13.851956</v>
      </c>
      <c r="AE1050" s="3">
        <f>IFERROR(__xludf.DUMMYFUNCTION("""COMPUTED_VALUE"""),100.399619)</f>
        <v>100.399619</v>
      </c>
      <c r="AF1050" s="3" t="str">
        <f>IFERROR(__xludf.DUMMYFUNCTION("""COMPUTED_VALUE"""),"MBC วัดส้มเกลี้ยงนนทบุรี-21822")</f>
        <v>MBC วัดส้มเกลี้ยงนนทบุรี-21822</v>
      </c>
      <c r="AG1050" s="3" t="str">
        <f>IFERROR(__xludf.DUMMYFUNCTION("""COMPUTED_VALUE"""),"กลาง")</f>
        <v>กลาง</v>
      </c>
      <c r="AH1050" s="3" t="str">
        <f>IFERROR(__xludf.DUMMYFUNCTION("""COMPUTED_VALUE"""),"#N/A")</f>
        <v>#N/A</v>
      </c>
      <c r="AI1050" s="3" t="str">
        <f>IFERROR(__xludf.DUMMYFUNCTION("""COMPUTED_VALUE"""),"Out of warranty")</f>
        <v>Out of warranty</v>
      </c>
      <c r="AJ1050" s="3">
        <f>IFERROR(__xludf.DUMMYFUNCTION("""COMPUTED_VALUE"""),80.0)</f>
        <v>80</v>
      </c>
      <c r="AK1050" s="3" t="str">
        <f>IFERROR(__xludf.DUMMYFUNCTION("""COMPUTED_VALUE"""),"MMS05")</f>
        <v>MMS05</v>
      </c>
      <c r="AL1050" s="3"/>
    </row>
    <row r="1051" ht="15.75" customHeight="1">
      <c r="A1051" s="1" t="str">
        <f>IFERROR(__xludf.DUMMYFUNCTION("""COMPUTED_VALUE"""),"21823")</f>
        <v>21823</v>
      </c>
      <c r="B1051" s="2">
        <f>IFERROR(__xludf.DUMMYFUNCTION("""COMPUTED_VALUE"""),21823.0)</f>
        <v>21823</v>
      </c>
      <c r="C1051" s="3" t="str">
        <f>IFERROR(__xludf.DUMMYFUNCTION("""COMPUTED_VALUE"""),"MBC ถนนสุขาอุปถัมภ์ อุบลราชธานี")</f>
        <v>MBC ถนนสุขาอุปถัมภ์ อุบลราชธานี</v>
      </c>
      <c r="D1051" s="3" t="str">
        <f>IFERROR(__xludf.DUMMYFUNCTION("""COMPUTED_VALUE"""),"BCM THANON SUKHA UPPATHAM")</f>
        <v>BCM THANON SUKHA UPPATHAM</v>
      </c>
      <c r="E1051" s="1" t="str">
        <f>IFERROR(__xludf.DUMMYFUNCTION("""COMPUTED_VALUE"""),"บิ๊กซี MINI")</f>
        <v>บิ๊กซี MINI</v>
      </c>
      <c r="F1051" s="1" t="str">
        <f>IFERROR(__xludf.DUMMYFUNCTION("""COMPUTED_VALUE"""),"291105")</f>
        <v>291105</v>
      </c>
      <c r="G1051" s="1" t="str">
        <f>IFERROR(__xludf.DUMMYFUNCTION("""COMPUTED_VALUE"""),"นายสราวุฒิ พณิชยกุล")</f>
        <v>นายสราวุฒิ พณิชยกุล</v>
      </c>
      <c r="H1051" s="1" t="str">
        <f>IFERROR(__xludf.DUMMYFUNCTION("""COMPUTED_VALUE"""),"250772")</f>
        <v>250772</v>
      </c>
      <c r="I1051" s="1" t="str">
        <f>IFERROR(__xludf.DUMMYFUNCTION("""COMPUTED_VALUE"""),"น.ส.วรุณยุพา จรูญไธสง")</f>
        <v>น.ส.วรุณยุพา จรูญไธสง</v>
      </c>
      <c r="J1051" s="3">
        <f>IFERROR(__xludf.DUMMYFUNCTION("""COMPUTED_VALUE"""),2454781.0)</f>
        <v>2454781</v>
      </c>
      <c r="K1051" s="3" t="str">
        <f>IFERROR(__xludf.DUMMYFUNCTION("""COMPUTED_VALUE"""),"นายฌานกฤช นันทะโคต")</f>
        <v>นายฌานกฤช นันทะโคต</v>
      </c>
      <c r="L1051" s="1" t="str">
        <f>IFERROR(__xludf.DUMMYFUNCTION("""COMPUTED_VALUE"""),"05 K.Chanakrit N.")</f>
        <v>05 K.Chanakrit N.</v>
      </c>
      <c r="M1051" s="1" t="str">
        <f>IFERROR(__xludf.DUMMYFUNCTION("""COMPUTED_VALUE"""),"090-978-9785 ,065-929-1320")</f>
        <v>090-978-9785 ,065-929-1320</v>
      </c>
      <c r="N1051" s="3">
        <f>IFERROR(__xludf.DUMMYFUNCTION("""COMPUTED_VALUE"""),22195.0)</f>
        <v>22195</v>
      </c>
      <c r="O1051" s="3" t="str">
        <f>IFERROR(__xludf.DUMMYFUNCTION("""COMPUTED_VALUE"""),"MBC กันทรลักษ์ ศรีสะเกษ")</f>
        <v>MBC กันทรลักษ์ ศรีสะเกษ</v>
      </c>
      <c r="P1051" s="4">
        <f>IFERROR(__xludf.DUMMYFUNCTION("""COMPUTED_VALUE"""),43632.0)</f>
        <v>43632</v>
      </c>
      <c r="Q1051" s="3" t="str">
        <f>IFERROR(__xludf.DUMMYFUNCTION("""COMPUTED_VALUE"""),"A")</f>
        <v>A</v>
      </c>
      <c r="R1051" s="3" t="str">
        <f>IFERROR(__xludf.DUMMYFUNCTION("""COMPUTED_VALUE"""),"Small Format")</f>
        <v>Small Format</v>
      </c>
      <c r="S1051" s="3" t="str">
        <f>IFERROR(__xludf.DUMMYFUNCTION("""COMPUTED_VALUE"""),"BCM")</f>
        <v>BCM</v>
      </c>
      <c r="T1051" s="3" t="str">
        <f>IFERROR(__xludf.DUMMYFUNCTION("""COMPUTED_VALUE"""),"#N/A")</f>
        <v>#N/A</v>
      </c>
      <c r="U1051" s="3" t="str">
        <f>IFERROR(__xludf.DUMMYFUNCTION("""COMPUTED_VALUE"""),"#N/A")</f>
        <v>#N/A</v>
      </c>
      <c r="V1051" s="3" t="str">
        <f>IFERROR(__xludf.DUMMYFUNCTION("""COMPUTED_VALUE"""),"N")</f>
        <v>N</v>
      </c>
      <c r="W1051" s="3">
        <f>IFERROR(__xludf.DUMMYFUNCTION("""COMPUTED_VALUE"""),211822.0)</f>
        <v>211822</v>
      </c>
      <c r="X1051" s="3" t="str">
        <f>IFERROR(__xludf.DUMMYFUNCTION("""COMPUTED_VALUE"""),"36/1-2,36/5 ถนนสุขาอุปถัมภ์ ตำบลในเมือง อำเภอเมืองอุบลราชธานี จังหวัดอุบลราชธานี 34000")</f>
        <v>36/1-2,36/5 ถนนสุขาอุปถัมภ์ ตำบลในเมือง อำเภอเมืองอุบลราชธานี จังหวัดอุบลราชธานี 34000</v>
      </c>
      <c r="Y1051" s="3" t="str">
        <f>IFERROR(__xludf.DUMMYFUNCTION("""COMPUTED_VALUE"""),"ถนนสุขาอุปถัมภ์")</f>
        <v>ถนนสุขาอุปถัมภ์</v>
      </c>
      <c r="Z1051" s="3" t="str">
        <f>IFERROR(__xludf.DUMMYFUNCTION("""COMPUTED_VALUE"""),"ในเมือง")</f>
        <v>ในเมือง</v>
      </c>
      <c r="AA1051" s="3" t="str">
        <f>IFERROR(__xludf.DUMMYFUNCTION("""COMPUTED_VALUE"""),"เมือง")</f>
        <v>เมือง</v>
      </c>
      <c r="AB1051" s="3" t="str">
        <f>IFERROR(__xludf.DUMMYFUNCTION("""COMPUTED_VALUE"""),"อุบลราชธานี")</f>
        <v>อุบลราชธานี</v>
      </c>
      <c r="AC1051" s="3">
        <f>IFERROR(__xludf.DUMMYFUNCTION("""COMPUTED_VALUE"""),34000.0)</f>
        <v>34000</v>
      </c>
      <c r="AD1051" s="3">
        <f>IFERROR(__xludf.DUMMYFUNCTION("""COMPUTED_VALUE"""),15.252387)</f>
        <v>15.252387</v>
      </c>
      <c r="AE1051" s="3">
        <f>IFERROR(__xludf.DUMMYFUNCTION("""COMPUTED_VALUE"""),104.834998)</f>
        <v>104.834998</v>
      </c>
      <c r="AF1051" s="3" t="str">
        <f>IFERROR(__xludf.DUMMYFUNCTION("""COMPUTED_VALUE"""),"MBC ถนนสุขาอุปถัมภ์ อุบลราชธานี-21823")</f>
        <v>MBC ถนนสุขาอุปถัมภ์ อุบลราชธานี-21823</v>
      </c>
      <c r="AG1051" s="3" t="str">
        <f>IFERROR(__xludf.DUMMYFUNCTION("""COMPUTED_VALUE"""),"ตะวันออกเฉียงเหนือ")</f>
        <v>ตะวันออกเฉียงเหนือ</v>
      </c>
      <c r="AH1051" s="3" t="str">
        <f>IFERROR(__xludf.DUMMYFUNCTION("""COMPUTED_VALUE"""),"#N/A")</f>
        <v>#N/A</v>
      </c>
      <c r="AI1051" s="3" t="str">
        <f>IFERROR(__xludf.DUMMYFUNCTION("""COMPUTED_VALUE"""),"Out of warranty")</f>
        <v>Out of warranty</v>
      </c>
      <c r="AJ1051" s="3">
        <f>IFERROR(__xludf.DUMMYFUNCTION("""COMPUTED_VALUE"""),80.0)</f>
        <v>80</v>
      </c>
      <c r="AK1051" s="3" t="str">
        <f>IFERROR(__xludf.DUMMYFUNCTION("""COMPUTED_VALUE"""),"MMS13")</f>
        <v>MMS13</v>
      </c>
      <c r="AL1051" s="3"/>
    </row>
    <row r="1052" ht="15.75" customHeight="1">
      <c r="A1052" s="1" t="str">
        <f>IFERROR(__xludf.DUMMYFUNCTION("""COMPUTED_VALUE"""),"21824")</f>
        <v>21824</v>
      </c>
      <c r="B1052" s="2">
        <f>IFERROR(__xludf.DUMMYFUNCTION("""COMPUTED_VALUE"""),21824.0)</f>
        <v>21824</v>
      </c>
      <c r="C1052" s="3" t="str">
        <f>IFERROR(__xludf.DUMMYFUNCTION("""COMPUTED_VALUE"""),"MBC เนินพลับหวานซอย24 ชลบุรี")</f>
        <v>MBC เนินพลับหวานซอย24 ชลบุรี</v>
      </c>
      <c r="D1052" s="3" t="str">
        <f>IFERROR(__xludf.DUMMYFUNCTION("""COMPUTED_VALUE"""),"MBC NOEN PHLAP WAN SOI 24")</f>
        <v>MBC NOEN PHLAP WAN SOI 24</v>
      </c>
      <c r="E1052" s="1" t="str">
        <f>IFERROR(__xludf.DUMMYFUNCTION("""COMPUTED_VALUE"""),"บิ๊กซี MINI")</f>
        <v>บิ๊กซี MINI</v>
      </c>
      <c r="F1052" s="1" t="str">
        <f>IFERROR(__xludf.DUMMYFUNCTION("""COMPUTED_VALUE"""),"250760")</f>
        <v>250760</v>
      </c>
      <c r="G1052" s="1" t="str">
        <f>IFERROR(__xludf.DUMMYFUNCTION("""COMPUTED_VALUE"""),"นายประทวน สาราบรรณ์")</f>
        <v>นายประทวน สาราบรรณ์</v>
      </c>
      <c r="H1052" s="1" t="str">
        <f>IFERROR(__xludf.DUMMYFUNCTION("""COMPUTED_VALUE"""),"034605")</f>
        <v>034605</v>
      </c>
      <c r="I1052" s="1" t="str">
        <f>IFERROR(__xludf.DUMMYFUNCTION("""COMPUTED_VALUE"""),"นายธรรมรัตน์ สุขเจริญ")</f>
        <v>นายธรรมรัตน์ สุขเจริญ</v>
      </c>
      <c r="J1052" s="3">
        <f>IFERROR(__xludf.DUMMYFUNCTION("""COMPUTED_VALUE"""),295541.0)</f>
        <v>295541</v>
      </c>
      <c r="K1052" s="3" t="str">
        <f>IFERROR(__xludf.DUMMYFUNCTION("""COMPUTED_VALUE"""),"นายรพิพล ศรีมาตย์")</f>
        <v>นายรพิพล ศรีมาตย์</v>
      </c>
      <c r="L1052" s="1" t="str">
        <f>IFERROR(__xludf.DUMMYFUNCTION("""COMPUTED_VALUE"""),"นายรพิพล ศรีมาตย์")</f>
        <v>นายรพิพล ศรีมาตย์</v>
      </c>
      <c r="M1052" s="1" t="str">
        <f>IFERROR(__xludf.DUMMYFUNCTION("""COMPUTED_VALUE"""),"0613966115")</f>
        <v>0613966115</v>
      </c>
      <c r="N1052" s="3">
        <f>IFERROR(__xludf.DUMMYFUNCTION("""COMPUTED_VALUE"""),21175.0)</f>
        <v>21175</v>
      </c>
      <c r="O1052" s="3" t="str">
        <f>IFERROR(__xludf.DUMMYFUNCTION("""COMPUTED_VALUE"""),"MBC BCP กิ่งแก้ว")</f>
        <v>MBC BCP กิ่งแก้ว</v>
      </c>
      <c r="P1052" s="4">
        <f>IFERROR(__xludf.DUMMYFUNCTION("""COMPUTED_VALUE"""),43656.0)</f>
        <v>43656</v>
      </c>
      <c r="Q1052" s="3" t="str">
        <f>IFERROR(__xludf.DUMMYFUNCTION("""COMPUTED_VALUE"""),"I")</f>
        <v>I</v>
      </c>
      <c r="R1052" s="3" t="str">
        <f>IFERROR(__xludf.DUMMYFUNCTION("""COMPUTED_VALUE"""),"Small Format")</f>
        <v>Small Format</v>
      </c>
      <c r="S1052" s="3" t="str">
        <f>IFERROR(__xludf.DUMMYFUNCTION("""COMPUTED_VALUE"""),"BCM")</f>
        <v>BCM</v>
      </c>
      <c r="T1052" s="3" t="str">
        <f>IFERROR(__xludf.DUMMYFUNCTION("""COMPUTED_VALUE"""),"#N/A")</f>
        <v>#N/A</v>
      </c>
      <c r="U1052" s="3" t="str">
        <f>IFERROR(__xludf.DUMMYFUNCTION("""COMPUTED_VALUE"""),"#N/A")</f>
        <v>#N/A</v>
      </c>
      <c r="V1052" s="3" t="str">
        <f>IFERROR(__xludf.DUMMYFUNCTION("""COMPUTED_VALUE"""),"N")</f>
        <v>N</v>
      </c>
      <c r="W1052" s="3">
        <f>IFERROR(__xludf.DUMMYFUNCTION("""COMPUTED_VALUE"""),211807.0)</f>
        <v>211807</v>
      </c>
      <c r="X1052" s="3" t="str">
        <f>IFERROR(__xludf.DUMMYFUNCTION("""COMPUTED_VALUE"""),"788 หมู่6 ตำบลหนองปรือ อำเภอบางละมุง จังหวัดชลบุรี 20150")</f>
        <v>788 หมู่6 ตำบลหนองปรือ อำเภอบางละมุง จังหวัดชลบุรี 20150</v>
      </c>
      <c r="Y1052" s="3"/>
      <c r="Z1052" s="3" t="str">
        <f>IFERROR(__xludf.DUMMYFUNCTION("""COMPUTED_VALUE"""),"หนองปรือ")</f>
        <v>หนองปรือ</v>
      </c>
      <c r="AA1052" s="3" t="str">
        <f>IFERROR(__xludf.DUMMYFUNCTION("""COMPUTED_VALUE"""),"บางละมุง")</f>
        <v>บางละมุง</v>
      </c>
      <c r="AB1052" s="3" t="str">
        <f>IFERROR(__xludf.DUMMYFUNCTION("""COMPUTED_VALUE"""),"ชลบุรี")</f>
        <v>ชลบุรี</v>
      </c>
      <c r="AC1052" s="3">
        <f>IFERROR(__xludf.DUMMYFUNCTION("""COMPUTED_VALUE"""),20150.0)</f>
        <v>20150</v>
      </c>
      <c r="AD1052" s="3">
        <f>IFERROR(__xludf.DUMMYFUNCTION("""COMPUTED_VALUE"""),12.928947)</f>
        <v>12.928947</v>
      </c>
      <c r="AE1052" s="3">
        <f>IFERROR(__xludf.DUMMYFUNCTION("""COMPUTED_VALUE"""),100.926653)</f>
        <v>100.926653</v>
      </c>
      <c r="AF1052" s="3" t="str">
        <f>IFERROR(__xludf.DUMMYFUNCTION("""COMPUTED_VALUE"""),"MBC เนินพลับหวานซอย24 ชลบุรี-21824")</f>
        <v>MBC เนินพลับหวานซอย24 ชลบุรี-21824</v>
      </c>
      <c r="AG1052" s="3" t="str">
        <f>IFERROR(__xludf.DUMMYFUNCTION("""COMPUTED_VALUE"""),"ตะวันออก")</f>
        <v>ตะวันออก</v>
      </c>
      <c r="AH1052" s="3" t="str">
        <f>IFERROR(__xludf.DUMMYFUNCTION("""COMPUTED_VALUE"""),"#N/A")</f>
        <v>#N/A</v>
      </c>
      <c r="AI1052" s="3" t="str">
        <f>IFERROR(__xludf.DUMMYFUNCTION("""COMPUTED_VALUE"""),"Out of warranty")</f>
        <v>Out of warranty</v>
      </c>
      <c r="AJ1052" s="3">
        <f>IFERROR(__xludf.DUMMYFUNCTION("""COMPUTED_VALUE"""),79.0)</f>
        <v>79</v>
      </c>
      <c r="AK1052" s="3"/>
      <c r="AL1052" s="3"/>
    </row>
    <row r="1053" ht="15.75" customHeight="1">
      <c r="A1053" s="1" t="str">
        <f>IFERROR(__xludf.DUMMYFUNCTION("""COMPUTED_VALUE"""),"21825")</f>
        <v>21825</v>
      </c>
      <c r="B1053" s="2">
        <f>IFERROR(__xludf.DUMMYFUNCTION("""COMPUTED_VALUE"""),21825.0)</f>
        <v>21825</v>
      </c>
      <c r="C1053" s="3" t="str">
        <f>IFERROR(__xludf.DUMMYFUNCTION("""COMPUTED_VALUE"""),"MBC ศรีราชานคร ชลบุรี")</f>
        <v>MBC ศรีราชานคร ชลบุรี</v>
      </c>
      <c r="D1053" s="3" t="str">
        <f>IFERROR(__xludf.DUMMYFUNCTION("""COMPUTED_VALUE"""),"BCM SRIRACHA NAKORN,CHONBURI")</f>
        <v>BCM SRIRACHA NAKORN,CHONBURI</v>
      </c>
      <c r="E1053" s="1" t="str">
        <f>IFERROR(__xludf.DUMMYFUNCTION("""COMPUTED_VALUE"""),"บิ๊กซี MINI")</f>
        <v>บิ๊กซี MINI</v>
      </c>
      <c r="F1053" s="1" t="str">
        <f>IFERROR(__xludf.DUMMYFUNCTION("""COMPUTED_VALUE"""),"221716")</f>
        <v>221716</v>
      </c>
      <c r="G1053" s="1" t="str">
        <f>IFERROR(__xludf.DUMMYFUNCTION("""COMPUTED_VALUE"""),"น.ส.เบญจพร โพธิสาร")</f>
        <v>น.ส.เบญจพร โพธิสาร</v>
      </c>
      <c r="H1053" s="1" t="str">
        <f>IFERROR(__xludf.DUMMYFUNCTION("""COMPUTED_VALUE"""),"476018")</f>
        <v>476018</v>
      </c>
      <c r="I1053" s="1" t="str">
        <f>IFERROR(__xludf.DUMMYFUNCTION("""COMPUTED_VALUE"""),"นายศราวุฒิ ชูพันดุง")</f>
        <v>นายศราวุฒิ ชูพันดุง</v>
      </c>
      <c r="J1053" s="3">
        <f>IFERROR(__xludf.DUMMYFUNCTION("""COMPUTED_VALUE"""),1.3461215E7)</f>
        <v>13461215</v>
      </c>
      <c r="K1053" s="3" t="str">
        <f>IFERROR(__xludf.DUMMYFUNCTION("""COMPUTED_VALUE"""),"นายธีรภัทร สังข์เงิน")</f>
        <v>นายธีรภัทร สังข์เงิน</v>
      </c>
      <c r="L1053" s="1" t="str">
        <f>IFERROR(__xludf.DUMMYFUNCTION("""COMPUTED_VALUE"""),"06 K.Teerapat")</f>
        <v>06 K.Teerapat</v>
      </c>
      <c r="M1053" s="1" t="str">
        <f>IFERROR(__xludf.DUMMYFUNCTION("""COMPUTED_VALUE"""),"063-601-6803")</f>
        <v>063-601-6803</v>
      </c>
      <c r="N1053" s="3">
        <f>IFERROR(__xludf.DUMMYFUNCTION("""COMPUTED_VALUE"""),22115.0)</f>
        <v>22115</v>
      </c>
      <c r="O1053" s="3" t="str">
        <f>IFERROR(__xludf.DUMMYFUNCTION("""COMPUTED_VALUE"""),"MBC เลี่ยงหนองมน ชลบุรี")</f>
        <v>MBC เลี่ยงหนองมน ชลบุรี</v>
      </c>
      <c r="P1053" s="4">
        <f>IFERROR(__xludf.DUMMYFUNCTION("""COMPUTED_VALUE"""),43732.0)</f>
        <v>43732</v>
      </c>
      <c r="Q1053" s="3" t="str">
        <f>IFERROR(__xludf.DUMMYFUNCTION("""COMPUTED_VALUE"""),"A")</f>
        <v>A</v>
      </c>
      <c r="R1053" s="3" t="str">
        <f>IFERROR(__xludf.DUMMYFUNCTION("""COMPUTED_VALUE"""),"Small Format")</f>
        <v>Small Format</v>
      </c>
      <c r="S1053" s="3" t="str">
        <f>IFERROR(__xludf.DUMMYFUNCTION("""COMPUTED_VALUE"""),"BCM")</f>
        <v>BCM</v>
      </c>
      <c r="T1053" s="3" t="str">
        <f>IFERROR(__xludf.DUMMYFUNCTION("""COMPUTED_VALUE"""),"#N/A")</f>
        <v>#N/A</v>
      </c>
      <c r="U1053" s="3" t="str">
        <f>IFERROR(__xludf.DUMMYFUNCTION("""COMPUTED_VALUE"""),"#N/A")</f>
        <v>#N/A</v>
      </c>
      <c r="V1053" s="3" t="str">
        <f>IFERROR(__xludf.DUMMYFUNCTION("""COMPUTED_VALUE"""),"N")</f>
        <v>N</v>
      </c>
      <c r="W1053" s="3">
        <f>IFERROR(__xludf.DUMMYFUNCTION("""COMPUTED_VALUE"""),211808.0)</f>
        <v>211808</v>
      </c>
      <c r="X1053" s="3" t="str">
        <f>IFERROR(__xludf.DUMMYFUNCTION("""COMPUTED_VALUE"""),"17/1-3 ถนนสุรศักดิ์1 ตำบลศรีราชา อำเภอศรีราชา จังหวัดชลบุรี 20110")</f>
        <v>17/1-3 ถนนสุรศักดิ์1 ตำบลศรีราชา อำเภอศรีราชา จังหวัดชลบุรี 20110</v>
      </c>
      <c r="Y1053" s="3" t="str">
        <f>IFERROR(__xludf.DUMMYFUNCTION("""COMPUTED_VALUE"""),"ถนนสุรศักดิ์1")</f>
        <v>ถนนสุรศักดิ์1</v>
      </c>
      <c r="Z1053" s="3" t="str">
        <f>IFERROR(__xludf.DUMMYFUNCTION("""COMPUTED_VALUE"""),"ศรีราชา")</f>
        <v>ศรีราชา</v>
      </c>
      <c r="AA1053" s="3" t="str">
        <f>IFERROR(__xludf.DUMMYFUNCTION("""COMPUTED_VALUE"""),"ศรีราชา")</f>
        <v>ศรีราชา</v>
      </c>
      <c r="AB1053" s="3" t="str">
        <f>IFERROR(__xludf.DUMMYFUNCTION("""COMPUTED_VALUE"""),"ชลบุรี")</f>
        <v>ชลบุรี</v>
      </c>
      <c r="AC1053" s="3">
        <f>IFERROR(__xludf.DUMMYFUNCTION("""COMPUTED_VALUE"""),20110.0)</f>
        <v>20110</v>
      </c>
      <c r="AD1053" s="3">
        <f>IFERROR(__xludf.DUMMYFUNCTION("""COMPUTED_VALUE"""),13.165627)</f>
        <v>13.165627</v>
      </c>
      <c r="AE1053" s="3">
        <f>IFERROR(__xludf.DUMMYFUNCTION("""COMPUTED_VALUE"""),100.926177)</f>
        <v>100.926177</v>
      </c>
      <c r="AF1053" s="3" t="str">
        <f>IFERROR(__xludf.DUMMYFUNCTION("""COMPUTED_VALUE"""),"MBC ศรีราชานคร ชลบุรี-21825")</f>
        <v>MBC ศรีราชานคร ชลบุรี-21825</v>
      </c>
      <c r="AG1053" s="3" t="str">
        <f>IFERROR(__xludf.DUMMYFUNCTION("""COMPUTED_VALUE"""),"ตะวันออก")</f>
        <v>ตะวันออก</v>
      </c>
      <c r="AH1053" s="3" t="str">
        <f>IFERROR(__xludf.DUMMYFUNCTION("""COMPUTED_VALUE"""),"#N/A")</f>
        <v>#N/A</v>
      </c>
      <c r="AI1053" s="3" t="str">
        <f>IFERROR(__xludf.DUMMYFUNCTION("""COMPUTED_VALUE"""),"Out of warranty")</f>
        <v>Out of warranty</v>
      </c>
      <c r="AJ1053" s="3">
        <f>IFERROR(__xludf.DUMMYFUNCTION("""COMPUTED_VALUE"""),76.0)</f>
        <v>76</v>
      </c>
      <c r="AK1053" s="3" t="str">
        <f>IFERROR(__xludf.DUMMYFUNCTION("""COMPUTED_VALUE"""),"MMS06")</f>
        <v>MMS06</v>
      </c>
      <c r="AL1053" s="3"/>
    </row>
    <row r="1054" ht="15.75" customHeight="1">
      <c r="A1054" s="1" t="str">
        <f>IFERROR(__xludf.DUMMYFUNCTION("""COMPUTED_VALUE"""),"21826")</f>
        <v>21826</v>
      </c>
      <c r="B1054" s="2">
        <f>IFERROR(__xludf.DUMMYFUNCTION("""COMPUTED_VALUE"""),21826.0)</f>
        <v>21826</v>
      </c>
      <c r="C1054" s="3" t="str">
        <f>IFERROR(__xludf.DUMMYFUNCTION("""COMPUTED_VALUE"""),"MBC หมู่บ้านสรัญธร กรุงเทพมหานคร")</f>
        <v>MBC หมู่บ้านสรัญธร กรุงเทพมหานคร</v>
      </c>
      <c r="D1054" s="3" t="str">
        <f>IFERROR(__xludf.DUMMYFUNCTION("""COMPUTED_VALUE"""),"BCM MOOBAN SARAN THON,BANGKOK")</f>
        <v>BCM MOOBAN SARAN THON,BANGKOK</v>
      </c>
      <c r="E1054" s="1" t="str">
        <f>IFERROR(__xludf.DUMMYFUNCTION("""COMPUTED_VALUE"""),"บิ๊กซี MINI")</f>
        <v>บิ๊กซี MINI</v>
      </c>
      <c r="F1054" s="1" t="str">
        <f>IFERROR(__xludf.DUMMYFUNCTION("""COMPUTED_VALUE"""),"291008")</f>
        <v>291008</v>
      </c>
      <c r="G1054" s="1" t="str">
        <f>IFERROR(__xludf.DUMMYFUNCTION("""COMPUTED_VALUE"""),"น.ส.รัชดาพร อีศรัตน์")</f>
        <v>น.ส.รัชดาพร อีศรัตน์</v>
      </c>
      <c r="H1054" s="1" t="str">
        <f>IFERROR(__xludf.DUMMYFUNCTION("""COMPUTED_VALUE"""),"254800")</f>
        <v>254800</v>
      </c>
      <c r="I1054" s="1" t="str">
        <f>IFERROR(__xludf.DUMMYFUNCTION("""COMPUTED_VALUE"""),"น.ส.นัชมล กางกรณ์")</f>
        <v>น.ส.นัชมล กางกรณ์</v>
      </c>
      <c r="J1054" s="3">
        <f>IFERROR(__xludf.DUMMYFUNCTION("""COMPUTED_VALUE"""),296608.0)</f>
        <v>296608</v>
      </c>
      <c r="K1054" s="3" t="str">
        <f>IFERROR(__xludf.DUMMYFUNCTION("""COMPUTED_VALUE"""),"นายภาคภูมิ เพ็ชรนิล")</f>
        <v>นายภาคภูมิ เพ็ชรนิล</v>
      </c>
      <c r="L1054" s="1" t="str">
        <f>IFERROR(__xludf.DUMMYFUNCTION("""COMPUTED_VALUE"""),"10 K.Phakphoom P.")</f>
        <v>10 K.Phakphoom P.</v>
      </c>
      <c r="M1054" s="1" t="str">
        <f>IFERROR(__xludf.DUMMYFUNCTION("""COMPUTED_VALUE"""),"063-8955329")</f>
        <v>063-8955329</v>
      </c>
      <c r="N1054" s="3">
        <f>IFERROR(__xludf.DUMMYFUNCTION("""COMPUTED_VALUE"""),22584.0)</f>
        <v>22584</v>
      </c>
      <c r="O1054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054" s="4">
        <f>IFERROR(__xludf.DUMMYFUNCTION("""COMPUTED_VALUE"""),43689.0)</f>
        <v>43689</v>
      </c>
      <c r="Q1054" s="3" t="str">
        <f>IFERROR(__xludf.DUMMYFUNCTION("""COMPUTED_VALUE"""),"A")</f>
        <v>A</v>
      </c>
      <c r="R1054" s="3" t="str">
        <f>IFERROR(__xludf.DUMMYFUNCTION("""COMPUTED_VALUE"""),"Small Format")</f>
        <v>Small Format</v>
      </c>
      <c r="S1054" s="3" t="str">
        <f>IFERROR(__xludf.DUMMYFUNCTION("""COMPUTED_VALUE"""),"BCM")</f>
        <v>BCM</v>
      </c>
      <c r="T1054" s="3" t="str">
        <f>IFERROR(__xludf.DUMMYFUNCTION("""COMPUTED_VALUE"""),"#N/A")</f>
        <v>#N/A</v>
      </c>
      <c r="U1054" s="3" t="str">
        <f>IFERROR(__xludf.DUMMYFUNCTION("""COMPUTED_VALUE"""),"#N/A")</f>
        <v>#N/A</v>
      </c>
      <c r="V1054" s="3" t="str">
        <f>IFERROR(__xludf.DUMMYFUNCTION("""COMPUTED_VALUE"""),"N")</f>
        <v>N</v>
      </c>
      <c r="W1054" s="3">
        <f>IFERROR(__xludf.DUMMYFUNCTION("""COMPUTED_VALUE"""),211793.0)</f>
        <v>211793</v>
      </c>
      <c r="X1054" s="3" t="str">
        <f>IFERROR(__xludf.DUMMYFUNCTION("""COMPUTED_VALUE"""),"5/2 ซอยพุทธบูชา36 แยก1 แขวงบางมด เขตทุ่งครุ กรุงเทพมหานคร 10140")</f>
        <v>5/2 ซอยพุทธบูชา36 แยก1 แขวงบางมด เขตทุ่งครุ กรุงเทพมหานคร 10140</v>
      </c>
      <c r="Y1054" s="3" t="str">
        <f>IFERROR(__xludf.DUMMYFUNCTION("""COMPUTED_VALUE"""),"ซอยพุทธบูชา36")</f>
        <v>ซอยพุทธบูชา36</v>
      </c>
      <c r="Z1054" s="3" t="str">
        <f>IFERROR(__xludf.DUMMYFUNCTION("""COMPUTED_VALUE"""),"แยก1")</f>
        <v>แยก1</v>
      </c>
      <c r="AA1054" s="3" t="str">
        <f>IFERROR(__xludf.DUMMYFUNCTION("""COMPUTED_VALUE"""),"ทุ่งครุ")</f>
        <v>ทุ่งครุ</v>
      </c>
      <c r="AB1054" s="3" t="str">
        <f>IFERROR(__xludf.DUMMYFUNCTION("""COMPUTED_VALUE"""),"กรุงเทพมหานคร")</f>
        <v>กรุงเทพมหานคร</v>
      </c>
      <c r="AC1054" s="3">
        <f>IFERROR(__xludf.DUMMYFUNCTION("""COMPUTED_VALUE"""),10140.0)</f>
        <v>10140</v>
      </c>
      <c r="AD1054" s="3">
        <f>IFERROR(__xludf.DUMMYFUNCTION("""COMPUTED_VALUE"""),13.643318)</f>
        <v>13.643318</v>
      </c>
      <c r="AE1054" s="3">
        <f>IFERROR(__xludf.DUMMYFUNCTION("""COMPUTED_VALUE"""),100.480031)</f>
        <v>100.480031</v>
      </c>
      <c r="AF1054" s="3" t="str">
        <f>IFERROR(__xludf.DUMMYFUNCTION("""COMPUTED_VALUE"""),"MBC หมู่บ้านสรัญธร กรุงเทพมหานคร-21826")</f>
        <v>MBC หมู่บ้านสรัญธร กรุงเทพมหานคร-21826</v>
      </c>
      <c r="AG1054" s="3" t="str">
        <f>IFERROR(__xludf.DUMMYFUNCTION("""COMPUTED_VALUE"""),"กลาง")</f>
        <v>กลาง</v>
      </c>
      <c r="AH1054" s="3" t="str">
        <f>IFERROR(__xludf.DUMMYFUNCTION("""COMPUTED_VALUE"""),"#N/A")</f>
        <v>#N/A</v>
      </c>
      <c r="AI1054" s="3" t="str">
        <f>IFERROR(__xludf.DUMMYFUNCTION("""COMPUTED_VALUE"""),"Out of warranty")</f>
        <v>Out of warranty</v>
      </c>
      <c r="AJ1054" s="3">
        <f>IFERROR(__xludf.DUMMYFUNCTION("""COMPUTED_VALUE"""),78.0)</f>
        <v>78</v>
      </c>
      <c r="AK1054" s="3" t="str">
        <f>IFERROR(__xludf.DUMMYFUNCTION("""COMPUTED_VALUE"""),"MMS02")</f>
        <v>MMS02</v>
      </c>
      <c r="AL1054" s="3"/>
    </row>
    <row r="1055" ht="15.75" customHeight="1">
      <c r="A1055" s="1" t="str">
        <f>IFERROR(__xludf.DUMMYFUNCTION("""COMPUTED_VALUE"""),"21827")</f>
        <v>21827</v>
      </c>
      <c r="B1055" s="2">
        <f>IFERROR(__xludf.DUMMYFUNCTION("""COMPUTED_VALUE"""),21827.0)</f>
        <v>21827</v>
      </c>
      <c r="C1055" s="3" t="str">
        <f>IFERROR(__xludf.DUMMYFUNCTION("""COMPUTED_VALUE"""),"MBC นางรอง บุรีรัมย์")</f>
        <v>MBC นางรอง บุรีรัมย์</v>
      </c>
      <c r="D1055" s="3" t="str">
        <f>IFERROR(__xludf.DUMMYFUNCTION("""COMPUTED_VALUE"""),"BCM NANGRONG,BURIRAM")</f>
        <v>BCM NANGRONG,BURIRAM</v>
      </c>
      <c r="E1055" s="1" t="str">
        <f>IFERROR(__xludf.DUMMYFUNCTION("""COMPUTED_VALUE"""),"บิ๊กซี MINI")</f>
        <v>บิ๊กซี MINI</v>
      </c>
      <c r="F1055" s="1" t="str">
        <f>IFERROR(__xludf.DUMMYFUNCTION("""COMPUTED_VALUE"""),"291105")</f>
        <v>291105</v>
      </c>
      <c r="G1055" s="1" t="str">
        <f>IFERROR(__xludf.DUMMYFUNCTION("""COMPUTED_VALUE"""),"นายสราวุฒิ พณิชยกุล")</f>
        <v>นายสราวุฒิ พณิชยกุล</v>
      </c>
      <c r="H1055" s="1" t="str">
        <f>IFERROR(__xludf.DUMMYFUNCTION("""COMPUTED_VALUE"""),"281315")</f>
        <v>281315</v>
      </c>
      <c r="I1055" s="1" t="str">
        <f>IFERROR(__xludf.DUMMYFUNCTION("""COMPUTED_VALUE"""),"นายกิตติพงษ์ มั่นคง")</f>
        <v>นายกิตติพงษ์ มั่นคง</v>
      </c>
      <c r="J1055" s="3">
        <f>IFERROR(__xludf.DUMMYFUNCTION("""COMPUTED_VALUE"""),295886.0)</f>
        <v>295886</v>
      </c>
      <c r="K1055" s="3" t="str">
        <f>IFERROR(__xludf.DUMMYFUNCTION("""COMPUTED_VALUE"""),"นายจิระพงษ์ โพธิ์นิล")</f>
        <v>นายจิระพงษ์ โพธิ์นิล</v>
      </c>
      <c r="L1055" s="1" t="str">
        <f>IFERROR(__xludf.DUMMYFUNCTION("""COMPUTED_VALUE"""),"นายจิระพงษ์ โพธิ์นิล")</f>
        <v>นายจิระพงษ์ โพธิ์นิล</v>
      </c>
      <c r="M1055" s="1" t="str">
        <f>IFERROR(__xludf.DUMMYFUNCTION("""COMPUTED_VALUE"""),"0933290754")</f>
        <v>0933290754</v>
      </c>
      <c r="N1055" s="3">
        <f>IFERROR(__xludf.DUMMYFUNCTION("""COMPUTED_VALUE"""),21622.0)</f>
        <v>21622</v>
      </c>
      <c r="O1055" s="3" t="str">
        <f>IFERROR(__xludf.DUMMYFUNCTION("""COMPUTED_VALUE"""),"MBC ตลาดบ้านดอน")</f>
        <v>MBC ตลาดบ้านดอน</v>
      </c>
      <c r="P1055" s="4">
        <f>IFERROR(__xludf.DUMMYFUNCTION("""COMPUTED_VALUE"""),43641.0)</f>
        <v>43641</v>
      </c>
      <c r="Q1055" s="3" t="str">
        <f>IFERROR(__xludf.DUMMYFUNCTION("""COMPUTED_VALUE"""),"I")</f>
        <v>I</v>
      </c>
      <c r="R1055" s="3" t="str">
        <f>IFERROR(__xludf.DUMMYFUNCTION("""COMPUTED_VALUE"""),"Small Format")</f>
        <v>Small Format</v>
      </c>
      <c r="S1055" s="3" t="str">
        <f>IFERROR(__xludf.DUMMYFUNCTION("""COMPUTED_VALUE"""),"BCM")</f>
        <v>BCM</v>
      </c>
      <c r="T1055" s="3" t="str">
        <f>IFERROR(__xludf.DUMMYFUNCTION("""COMPUTED_VALUE"""),"#N/A")</f>
        <v>#N/A</v>
      </c>
      <c r="U1055" s="3" t="str">
        <f>IFERROR(__xludf.DUMMYFUNCTION("""COMPUTED_VALUE"""),"#N/A")</f>
        <v>#N/A</v>
      </c>
      <c r="V1055" s="3" t="str">
        <f>IFERROR(__xludf.DUMMYFUNCTION("""COMPUTED_VALUE"""),"N")</f>
        <v>N</v>
      </c>
      <c r="W1055" s="3">
        <f>IFERROR(__xludf.DUMMYFUNCTION("""COMPUTED_VALUE"""),211844.0)</f>
        <v>211844</v>
      </c>
      <c r="X1055" s="3" t="str">
        <f>IFERROR(__xludf.DUMMYFUNCTION("""COMPUTED_VALUE"""),"593/2-4 ถนนประจันตเขต ตำบลนางรอง อำเภอนางรอง จังหวัดบุรีรัมย์ 31110")</f>
        <v>593/2-4 ถนนประจันตเขต ตำบลนางรอง อำเภอนางรอง จังหวัดบุรีรัมย์ 31110</v>
      </c>
      <c r="Y1055" s="3" t="str">
        <f>IFERROR(__xludf.DUMMYFUNCTION("""COMPUTED_VALUE"""),"ถนนประจันตเขต")</f>
        <v>ถนนประจันตเขต</v>
      </c>
      <c r="Z1055" s="3" t="str">
        <f>IFERROR(__xludf.DUMMYFUNCTION("""COMPUTED_VALUE"""),"นางรอง")</f>
        <v>นางรอง</v>
      </c>
      <c r="AA1055" s="3" t="str">
        <f>IFERROR(__xludf.DUMMYFUNCTION("""COMPUTED_VALUE"""),"นางรอง")</f>
        <v>นางรอง</v>
      </c>
      <c r="AB1055" s="3" t="str">
        <f>IFERROR(__xludf.DUMMYFUNCTION("""COMPUTED_VALUE"""),"บุรีรัมย์")</f>
        <v>บุรีรัมย์</v>
      </c>
      <c r="AC1055" s="3">
        <f>IFERROR(__xludf.DUMMYFUNCTION("""COMPUTED_VALUE"""),31110.0)</f>
        <v>31110</v>
      </c>
      <c r="AD1055" s="3">
        <f>IFERROR(__xludf.DUMMYFUNCTION("""COMPUTED_VALUE"""),14.636982)</f>
        <v>14.636982</v>
      </c>
      <c r="AE1055" s="3">
        <f>IFERROR(__xludf.DUMMYFUNCTION("""COMPUTED_VALUE"""),102.793614)</f>
        <v>102.793614</v>
      </c>
      <c r="AF1055" s="3" t="str">
        <f>IFERROR(__xludf.DUMMYFUNCTION("""COMPUTED_VALUE"""),"MBC นางรอง บุรีรัมย์-21827")</f>
        <v>MBC นางรอง บุรีรัมย์-21827</v>
      </c>
      <c r="AG1055" s="3" t="str">
        <f>IFERROR(__xludf.DUMMYFUNCTION("""COMPUTED_VALUE"""),"ตะวันออกเฉียงเหนือ")</f>
        <v>ตะวันออกเฉียงเหนือ</v>
      </c>
      <c r="AH1055" s="3" t="str">
        <f>IFERROR(__xludf.DUMMYFUNCTION("""COMPUTED_VALUE"""),"#N/A")</f>
        <v>#N/A</v>
      </c>
      <c r="AI1055" s="3" t="str">
        <f>IFERROR(__xludf.DUMMYFUNCTION("""COMPUTED_VALUE"""),"Out of warranty")</f>
        <v>Out of warranty</v>
      </c>
      <c r="AJ1055" s="3">
        <f>IFERROR(__xludf.DUMMYFUNCTION("""COMPUTED_VALUE"""),79.0)</f>
        <v>79</v>
      </c>
      <c r="AK1055" s="3" t="str">
        <f>IFERROR(__xludf.DUMMYFUNCTION("""COMPUTED_VALUE"""),"MMS11")</f>
        <v>MMS11</v>
      </c>
      <c r="AL1055" s="3"/>
    </row>
    <row r="1056" ht="15.75" customHeight="1">
      <c r="A1056" s="1" t="str">
        <f>IFERROR(__xludf.DUMMYFUNCTION("""COMPUTED_VALUE"""),"21828")</f>
        <v>21828</v>
      </c>
      <c r="B1056" s="2">
        <f>IFERROR(__xludf.DUMMYFUNCTION("""COMPUTED_VALUE"""),21828.0)</f>
        <v>21828</v>
      </c>
      <c r="C1056" s="3" t="str">
        <f>IFERROR(__xludf.DUMMYFUNCTION("""COMPUTED_VALUE"""),"MBC ถนนคลังอาวุธ อุบลราชธานี")</f>
        <v>MBC ถนนคลังอาวุธ อุบลราชธานี</v>
      </c>
      <c r="D1056" s="3" t="str">
        <f>IFERROR(__xludf.DUMMYFUNCTION("""COMPUTED_VALUE"""),"BCM THANON KHLANG AWUT")</f>
        <v>BCM THANON KHLANG AWUT</v>
      </c>
      <c r="E1056" s="1" t="str">
        <f>IFERROR(__xludf.DUMMYFUNCTION("""COMPUTED_VALUE"""),"บิ๊กซี MINI")</f>
        <v>บิ๊กซี MINI</v>
      </c>
      <c r="F1056" s="1" t="str">
        <f>IFERROR(__xludf.DUMMYFUNCTION("""COMPUTED_VALUE"""),"291105")</f>
        <v>291105</v>
      </c>
      <c r="G1056" s="1" t="str">
        <f>IFERROR(__xludf.DUMMYFUNCTION("""COMPUTED_VALUE"""),"นายสราวุฒิ พณิชยกุล")</f>
        <v>นายสราวุฒิ พณิชยกุล</v>
      </c>
      <c r="H1056" s="1" t="str">
        <f>IFERROR(__xludf.DUMMYFUNCTION("""COMPUTED_VALUE"""),"250772")</f>
        <v>250772</v>
      </c>
      <c r="I1056" s="1" t="str">
        <f>IFERROR(__xludf.DUMMYFUNCTION("""COMPUTED_VALUE"""),"น.ส.วรุณยุพา จรูญไธสง")</f>
        <v>น.ส.วรุณยุพา จรูญไธสง</v>
      </c>
      <c r="J1056" s="3">
        <f>IFERROR(__xludf.DUMMYFUNCTION("""COMPUTED_VALUE"""),2454781.0)</f>
        <v>2454781</v>
      </c>
      <c r="K1056" s="3" t="str">
        <f>IFERROR(__xludf.DUMMYFUNCTION("""COMPUTED_VALUE"""),"นายฌานกฤช นันทะโคต")</f>
        <v>นายฌานกฤช นันทะโคต</v>
      </c>
      <c r="L1056" s="1" t="str">
        <f>IFERROR(__xludf.DUMMYFUNCTION("""COMPUTED_VALUE"""),"05 K.Chanakrit N.")</f>
        <v>05 K.Chanakrit N.</v>
      </c>
      <c r="M1056" s="1" t="str">
        <f>IFERROR(__xludf.DUMMYFUNCTION("""COMPUTED_VALUE"""),"090-978-9785 ,065-929-1320")</f>
        <v>090-978-9785 ,065-929-1320</v>
      </c>
      <c r="N1056" s="3">
        <f>IFERROR(__xludf.DUMMYFUNCTION("""COMPUTED_VALUE"""),22195.0)</f>
        <v>22195</v>
      </c>
      <c r="O1056" s="3" t="str">
        <f>IFERROR(__xludf.DUMMYFUNCTION("""COMPUTED_VALUE"""),"MBC กันทรลักษ์ ศรีสะเกษ")</f>
        <v>MBC กันทรลักษ์ ศรีสะเกษ</v>
      </c>
      <c r="P1056" s="4">
        <f>IFERROR(__xludf.DUMMYFUNCTION("""COMPUTED_VALUE"""),43637.0)</f>
        <v>43637</v>
      </c>
      <c r="Q1056" s="3" t="str">
        <f>IFERROR(__xludf.DUMMYFUNCTION("""COMPUTED_VALUE"""),"A")</f>
        <v>A</v>
      </c>
      <c r="R1056" s="3" t="str">
        <f>IFERROR(__xludf.DUMMYFUNCTION("""COMPUTED_VALUE"""),"Small Format")</f>
        <v>Small Format</v>
      </c>
      <c r="S1056" s="3" t="str">
        <f>IFERROR(__xludf.DUMMYFUNCTION("""COMPUTED_VALUE"""),"BCM")</f>
        <v>BCM</v>
      </c>
      <c r="T1056" s="3" t="str">
        <f>IFERROR(__xludf.DUMMYFUNCTION("""COMPUTED_VALUE"""),"#N/A")</f>
        <v>#N/A</v>
      </c>
      <c r="U1056" s="3" t="str">
        <f>IFERROR(__xludf.DUMMYFUNCTION("""COMPUTED_VALUE"""),"#N/A")</f>
        <v>#N/A</v>
      </c>
      <c r="V1056" s="3" t="str">
        <f>IFERROR(__xludf.DUMMYFUNCTION("""COMPUTED_VALUE"""),"N")</f>
        <v>N</v>
      </c>
      <c r="W1056" s="3">
        <f>IFERROR(__xludf.DUMMYFUNCTION("""COMPUTED_VALUE"""),211819.0)</f>
        <v>211819</v>
      </c>
      <c r="X1056" s="3" t="str">
        <f>IFERROR(__xludf.DUMMYFUNCTION("""COMPUTED_VALUE"""),"709 หมู่18 ตำบลขามใหญ่ อำเภอเมืองอุบลราชธานี จังหวัดอุบลราชธานี 34000")</f>
        <v>709 หมู่18 ตำบลขามใหญ่ อำเภอเมืองอุบลราชธานี จังหวัดอุบลราชธานี 34000</v>
      </c>
      <c r="Y1056" s="3"/>
      <c r="Z1056" s="3" t="str">
        <f>IFERROR(__xludf.DUMMYFUNCTION("""COMPUTED_VALUE"""),"ขามใหญ่")</f>
        <v>ขามใหญ่</v>
      </c>
      <c r="AA1056" s="3" t="str">
        <f>IFERROR(__xludf.DUMMYFUNCTION("""COMPUTED_VALUE"""),"เมือง")</f>
        <v>เมือง</v>
      </c>
      <c r="AB1056" s="3" t="str">
        <f>IFERROR(__xludf.DUMMYFUNCTION("""COMPUTED_VALUE"""),"อุบลราชธานี")</f>
        <v>อุบลราชธานี</v>
      </c>
      <c r="AC1056" s="3">
        <f>IFERROR(__xludf.DUMMYFUNCTION("""COMPUTED_VALUE"""),34000.0)</f>
        <v>34000</v>
      </c>
      <c r="AD1056" s="3">
        <f>IFERROR(__xludf.DUMMYFUNCTION("""COMPUTED_VALUE"""),15.280898)</f>
        <v>15.280898</v>
      </c>
      <c r="AE1056" s="3">
        <f>IFERROR(__xludf.DUMMYFUNCTION("""COMPUTED_VALUE"""),104.83398)</f>
        <v>104.83398</v>
      </c>
      <c r="AF1056" s="3" t="str">
        <f>IFERROR(__xludf.DUMMYFUNCTION("""COMPUTED_VALUE"""),"MBC ถนนคลังอาวุธ อุบลราชธานี-21828")</f>
        <v>MBC ถนนคลังอาวุธ อุบลราชธานี-21828</v>
      </c>
      <c r="AG1056" s="3" t="str">
        <f>IFERROR(__xludf.DUMMYFUNCTION("""COMPUTED_VALUE"""),"ตะวันออกเฉียงเหนือ")</f>
        <v>ตะวันออกเฉียงเหนือ</v>
      </c>
      <c r="AH1056" s="3" t="str">
        <f>IFERROR(__xludf.DUMMYFUNCTION("""COMPUTED_VALUE"""),"#N/A")</f>
        <v>#N/A</v>
      </c>
      <c r="AI1056" s="3" t="str">
        <f>IFERROR(__xludf.DUMMYFUNCTION("""COMPUTED_VALUE"""),"Out of warranty")</f>
        <v>Out of warranty</v>
      </c>
      <c r="AJ1056" s="3">
        <f>IFERROR(__xludf.DUMMYFUNCTION("""COMPUTED_VALUE"""),79.0)</f>
        <v>79</v>
      </c>
      <c r="AK1056" s="3" t="str">
        <f>IFERROR(__xludf.DUMMYFUNCTION("""COMPUTED_VALUE"""),"MMS13")</f>
        <v>MMS13</v>
      </c>
      <c r="AL1056" s="3"/>
    </row>
    <row r="1057" ht="15.75" customHeight="1">
      <c r="A1057" s="1" t="str">
        <f>IFERROR(__xludf.DUMMYFUNCTION("""COMPUTED_VALUE"""),"21829")</f>
        <v>21829</v>
      </c>
      <c r="B1057" s="2">
        <f>IFERROR(__xludf.DUMMYFUNCTION("""COMPUTED_VALUE"""),21829.0)</f>
        <v>21829</v>
      </c>
      <c r="C1057" s="3" t="str">
        <f>IFERROR(__xludf.DUMMYFUNCTION("""COMPUTED_VALUE"""),"MBC ซอยนนทบุรี42 นนทบุรี")</f>
        <v>MBC ซอยนนทบุรี42 นนทบุรี</v>
      </c>
      <c r="D1057" s="3" t="str">
        <f>IFERROR(__xludf.DUMMYFUNCTION("""COMPUTED_VALUE"""),"MBC SOI NONTHABURI 42")</f>
        <v>MBC SOI NONTHABURI 42</v>
      </c>
      <c r="E1057" s="1" t="str">
        <f>IFERROR(__xludf.DUMMYFUNCTION("""COMPUTED_VALUE"""),"บิ๊กซี MINI")</f>
        <v>บิ๊กซี MINI</v>
      </c>
      <c r="F1057" s="1" t="str">
        <f>IFERROR(__xludf.DUMMYFUNCTION("""COMPUTED_VALUE"""),"291008")</f>
        <v>291008</v>
      </c>
      <c r="G1057" s="1" t="str">
        <f>IFERROR(__xludf.DUMMYFUNCTION("""COMPUTED_VALUE"""),"น.ส.รัชดาพร อีศรัตน์")</f>
        <v>น.ส.รัชดาพร อีศรัตน์</v>
      </c>
      <c r="H1057" s="1" t="str">
        <f>IFERROR(__xludf.DUMMYFUNCTION("""COMPUTED_VALUE"""),"228392")</f>
        <v>228392</v>
      </c>
      <c r="I1057" s="1" t="str">
        <f>IFERROR(__xludf.DUMMYFUNCTION("""COMPUTED_VALUE"""),"นายพงษ์ประพันธ์ อุ่นประเสริฐ")</f>
        <v>นายพงษ์ประพันธ์ อุ่นประเสริฐ</v>
      </c>
      <c r="J1057" s="3">
        <f>IFERROR(__xludf.DUMMYFUNCTION("""COMPUTED_VALUE"""),3510104.0)</f>
        <v>3510104</v>
      </c>
      <c r="K1057" s="3" t="str">
        <f>IFERROR(__xludf.DUMMYFUNCTION("""COMPUTED_VALUE"""),"นายวิโรจน์ อับดุลสมัด")</f>
        <v>นายวิโรจน์ อับดุลสมัด</v>
      </c>
      <c r="L1057" s="1" t="str">
        <f>IFERROR(__xludf.DUMMYFUNCTION("""COMPUTED_VALUE"""),"09 K.Wirode A")</f>
        <v>09 K.Wirode A</v>
      </c>
      <c r="M1057" s="1" t="str">
        <f>IFERROR(__xludf.DUMMYFUNCTION("""COMPUTED_VALUE"""),"080-235-4465")</f>
        <v>080-235-4465</v>
      </c>
      <c r="N1057" s="3">
        <f>IFERROR(__xludf.DUMMYFUNCTION("""COMPUTED_VALUE"""),21324.0)</f>
        <v>21324</v>
      </c>
      <c r="O1057" s="3" t="str">
        <f>IFERROR(__xludf.DUMMYFUNCTION("""COMPUTED_VALUE"""),"MBC BCP สุวินทวงศ์")</f>
        <v>MBC BCP สุวินทวงศ์</v>
      </c>
      <c r="P1057" s="4">
        <f>IFERROR(__xludf.DUMMYFUNCTION("""COMPUTED_VALUE"""),43644.0)</f>
        <v>43644</v>
      </c>
      <c r="Q1057" s="3" t="str">
        <f>IFERROR(__xludf.DUMMYFUNCTION("""COMPUTED_VALUE"""),"I")</f>
        <v>I</v>
      </c>
      <c r="R1057" s="3" t="str">
        <f>IFERROR(__xludf.DUMMYFUNCTION("""COMPUTED_VALUE"""),"Small Format")</f>
        <v>Small Format</v>
      </c>
      <c r="S1057" s="3" t="str">
        <f>IFERROR(__xludf.DUMMYFUNCTION("""COMPUTED_VALUE"""),"BCM")</f>
        <v>BCM</v>
      </c>
      <c r="T1057" s="3" t="str">
        <f>IFERROR(__xludf.DUMMYFUNCTION("""COMPUTED_VALUE"""),"#N/A")</f>
        <v>#N/A</v>
      </c>
      <c r="U1057" s="3" t="str">
        <f>IFERROR(__xludf.DUMMYFUNCTION("""COMPUTED_VALUE"""),"#N/A")</f>
        <v>#N/A</v>
      </c>
      <c r="V1057" s="3" t="str">
        <f>IFERROR(__xludf.DUMMYFUNCTION("""COMPUTED_VALUE"""),"N")</f>
        <v>N</v>
      </c>
      <c r="W1057" s="3">
        <f>IFERROR(__xludf.DUMMYFUNCTION("""COMPUTED_VALUE"""),211801.0)</f>
        <v>211801</v>
      </c>
      <c r="X1057" s="3" t="str">
        <f>IFERROR(__xludf.DUMMYFUNCTION("""COMPUTED_VALUE"""),"5/2 ซอยนนทบุรี42 ตำบลท่าทราย อำเภอเมืองนนทบุรี จังหวัดนนทบุรี 11000")</f>
        <v>5/2 ซอยนนทบุรี42 ตำบลท่าทราย อำเภอเมืองนนทบุรี จังหวัดนนทบุรี 11000</v>
      </c>
      <c r="Y1057" s="3" t="str">
        <f>IFERROR(__xludf.DUMMYFUNCTION("""COMPUTED_VALUE"""),"ซอยนนทบุรี42")</f>
        <v>ซอยนนทบุรี42</v>
      </c>
      <c r="Z1057" s="3" t="str">
        <f>IFERROR(__xludf.DUMMYFUNCTION("""COMPUTED_VALUE"""),"ท่าทราย")</f>
        <v>ท่าทราย</v>
      </c>
      <c r="AA1057" s="3" t="str">
        <f>IFERROR(__xludf.DUMMYFUNCTION("""COMPUTED_VALUE"""),"เมืองนนทบุรี")</f>
        <v>เมืองนนทบุรี</v>
      </c>
      <c r="AB1057" s="3" t="str">
        <f>IFERROR(__xludf.DUMMYFUNCTION("""COMPUTED_VALUE"""),"นนทบุรี")</f>
        <v>นนทบุรี</v>
      </c>
      <c r="AC1057" s="3">
        <f>IFERROR(__xludf.DUMMYFUNCTION("""COMPUTED_VALUE"""),11000.0)</f>
        <v>11000</v>
      </c>
      <c r="AD1057" s="3">
        <f>IFERROR(__xludf.DUMMYFUNCTION("""COMPUTED_VALUE"""),13.878903)</f>
        <v>13.878903</v>
      </c>
      <c r="AE1057" s="3">
        <f>IFERROR(__xludf.DUMMYFUNCTION("""COMPUTED_VALUE"""),100.50389)</f>
        <v>100.50389</v>
      </c>
      <c r="AF1057" s="3" t="str">
        <f>IFERROR(__xludf.DUMMYFUNCTION("""COMPUTED_VALUE"""),"MBC ซอยนนทบุรี42 นนทบุรี-21829")</f>
        <v>MBC ซอยนนทบุรี42 นนทบุรี-21829</v>
      </c>
      <c r="AG1057" s="3" t="str">
        <f>IFERROR(__xludf.DUMMYFUNCTION("""COMPUTED_VALUE"""),"กลาง")</f>
        <v>กลาง</v>
      </c>
      <c r="AH1057" s="3" t="str">
        <f>IFERROR(__xludf.DUMMYFUNCTION("""COMPUTED_VALUE"""),"#N/A")</f>
        <v>#N/A</v>
      </c>
      <c r="AI1057" s="3" t="str">
        <f>IFERROR(__xludf.DUMMYFUNCTION("""COMPUTED_VALUE"""),"Out of warranty")</f>
        <v>Out of warranty</v>
      </c>
      <c r="AJ1057" s="3">
        <f>IFERROR(__xludf.DUMMYFUNCTION("""COMPUTED_VALUE"""),79.0)</f>
        <v>79</v>
      </c>
      <c r="AK1057" s="3"/>
      <c r="AL1057" s="3"/>
    </row>
    <row r="1058" ht="15.75" customHeight="1">
      <c r="A1058" s="1" t="str">
        <f>IFERROR(__xludf.DUMMYFUNCTION("""COMPUTED_VALUE"""),"21830")</f>
        <v>21830</v>
      </c>
      <c r="B1058" s="2">
        <f>IFERROR(__xludf.DUMMYFUNCTION("""COMPUTED_VALUE"""),21830.0)</f>
        <v>21830</v>
      </c>
      <c r="C1058" s="3" t="str">
        <f>IFERROR(__xludf.DUMMYFUNCTION("""COMPUTED_VALUE"""),"MBC กระทุ่มล้มซอย11 นครปฐม")</f>
        <v>MBC กระทุ่มล้มซอย11 นครปฐม</v>
      </c>
      <c r="D1058" s="3" t="str">
        <f>IFERROR(__xludf.DUMMYFUNCTION("""COMPUTED_VALUE"""),"BCM KRATHUM LOM SOI11")</f>
        <v>BCM KRATHUM LOM SOI11</v>
      </c>
      <c r="E1058" s="1" t="str">
        <f>IFERROR(__xludf.DUMMYFUNCTION("""COMPUTED_VALUE"""),"บิ๊กซี MINI")</f>
        <v>บิ๊กซี MINI</v>
      </c>
      <c r="F1058" s="1" t="str">
        <f>IFERROR(__xludf.DUMMYFUNCTION("""COMPUTED_VALUE"""),"296229")</f>
        <v>296229</v>
      </c>
      <c r="G1058" s="1" t="str">
        <f>IFERROR(__xludf.DUMMYFUNCTION("""COMPUTED_VALUE"""),"นายทนงศักดิ์ บุญมา")</f>
        <v>นายทนงศักดิ์ บุญมา</v>
      </c>
      <c r="H1058" s="1" t="str">
        <f>IFERROR(__xludf.DUMMYFUNCTION("""COMPUTED_VALUE"""),"295245")</f>
        <v>295245</v>
      </c>
      <c r="I1058" s="1" t="str">
        <f>IFERROR(__xludf.DUMMYFUNCTION("""COMPUTED_VALUE"""),"นายมานะ วงศ์สุโชโต")</f>
        <v>นายมานะ วงศ์สุโชโต</v>
      </c>
      <c r="J1058" s="3">
        <f>IFERROR(__xludf.DUMMYFUNCTION("""COMPUTED_VALUE"""),46214.0)</f>
        <v>46214</v>
      </c>
      <c r="K1058" s="3" t="str">
        <f>IFERROR(__xludf.DUMMYFUNCTION("""COMPUTED_VALUE"""),"นายศักดิ์ชัย เด็ดดอกฟ้า")</f>
        <v>นายศักดิ์ชัย เด็ดดอกฟ้า</v>
      </c>
      <c r="L1058" s="1" t="str">
        <f>IFERROR(__xludf.DUMMYFUNCTION("""COMPUTED_VALUE"""),"02 K.Sakchai D")</f>
        <v>02 K.Sakchai D</v>
      </c>
      <c r="M1058" s="1" t="str">
        <f>IFERROR(__xludf.DUMMYFUNCTION("""COMPUTED_VALUE"""),"065-510-7376")</f>
        <v>065-510-7376</v>
      </c>
      <c r="N1058" s="3">
        <f>IFERROR(__xludf.DUMMYFUNCTION("""COMPUTED_VALUE"""),21714.0)</f>
        <v>21714</v>
      </c>
      <c r="O1058" s="3" t="str">
        <f>IFERROR(__xludf.DUMMYFUNCTION("""COMPUTED_VALUE"""),"MBC เอสโซ่ วัดโบสถ์")</f>
        <v>MBC เอสโซ่ วัดโบสถ์</v>
      </c>
      <c r="P1058" s="4">
        <f>IFERROR(__xludf.DUMMYFUNCTION("""COMPUTED_VALUE"""),43642.0)</f>
        <v>43642</v>
      </c>
      <c r="Q1058" s="3" t="str">
        <f>IFERROR(__xludf.DUMMYFUNCTION("""COMPUTED_VALUE"""),"A")</f>
        <v>A</v>
      </c>
      <c r="R1058" s="3" t="str">
        <f>IFERROR(__xludf.DUMMYFUNCTION("""COMPUTED_VALUE"""),"Small Format")</f>
        <v>Small Format</v>
      </c>
      <c r="S1058" s="3" t="str">
        <f>IFERROR(__xludf.DUMMYFUNCTION("""COMPUTED_VALUE"""),"BCM")</f>
        <v>BCM</v>
      </c>
      <c r="T1058" s="3" t="str">
        <f>IFERROR(__xludf.DUMMYFUNCTION("""COMPUTED_VALUE"""),"#N/A")</f>
        <v>#N/A</v>
      </c>
      <c r="U1058" s="3" t="str">
        <f>IFERROR(__xludf.DUMMYFUNCTION("""COMPUTED_VALUE"""),"#N/A")</f>
        <v>#N/A</v>
      </c>
      <c r="V1058" s="3" t="str">
        <f>IFERROR(__xludf.DUMMYFUNCTION("""COMPUTED_VALUE"""),"N")</f>
        <v>N</v>
      </c>
      <c r="W1058" s="3">
        <f>IFERROR(__xludf.DUMMYFUNCTION("""COMPUTED_VALUE"""),211834.0)</f>
        <v>211834</v>
      </c>
      <c r="X1058" s="3" t="str">
        <f>IFERROR(__xludf.DUMMYFUNCTION("""COMPUTED_VALUE"""),"167/1 หมู่7 ตำบลกระทุ่มล้ม อำเภอสามพราน จังหวัดนครปฐม 73220")</f>
        <v>167/1 หมู่7 ตำบลกระทุ่มล้ม อำเภอสามพราน จังหวัดนครปฐม 73220</v>
      </c>
      <c r="Y1058" s="3"/>
      <c r="Z1058" s="3" t="str">
        <f>IFERROR(__xludf.DUMMYFUNCTION("""COMPUTED_VALUE"""),"กระทุ่มล้ม")</f>
        <v>กระทุ่มล้ม</v>
      </c>
      <c r="AA1058" s="3" t="str">
        <f>IFERROR(__xludf.DUMMYFUNCTION("""COMPUTED_VALUE"""),"สามพราน")</f>
        <v>สามพราน</v>
      </c>
      <c r="AB1058" s="3" t="str">
        <f>IFERROR(__xludf.DUMMYFUNCTION("""COMPUTED_VALUE"""),"นครปฐม")</f>
        <v>นครปฐม</v>
      </c>
      <c r="AC1058" s="3">
        <f>IFERROR(__xludf.DUMMYFUNCTION("""COMPUTED_VALUE"""),73220.0)</f>
        <v>73220</v>
      </c>
      <c r="AD1058" s="3">
        <f>IFERROR(__xludf.DUMMYFUNCTION("""COMPUTED_VALUE"""),13.745861)</f>
        <v>13.745861</v>
      </c>
      <c r="AE1058" s="3">
        <f>IFERROR(__xludf.DUMMYFUNCTION("""COMPUTED_VALUE"""),100.327667)</f>
        <v>100.327667</v>
      </c>
      <c r="AF1058" s="3" t="str">
        <f>IFERROR(__xludf.DUMMYFUNCTION("""COMPUTED_VALUE"""),"MBC กระทุ่มล้มซอย11 นครปฐม-21830")</f>
        <v>MBC กระทุ่มล้มซอย11 นครปฐม-21830</v>
      </c>
      <c r="AG1058" s="3" t="str">
        <f>IFERROR(__xludf.DUMMYFUNCTION("""COMPUTED_VALUE"""),"กลาง")</f>
        <v>กลาง</v>
      </c>
      <c r="AH1058" s="3" t="str">
        <f>IFERROR(__xludf.DUMMYFUNCTION("""COMPUTED_VALUE"""),"#N/A")</f>
        <v>#N/A</v>
      </c>
      <c r="AI1058" s="3" t="str">
        <f>IFERROR(__xludf.DUMMYFUNCTION("""COMPUTED_VALUE"""),"Out of warranty")</f>
        <v>Out of warranty</v>
      </c>
      <c r="AJ1058" s="3">
        <f>IFERROR(__xludf.DUMMYFUNCTION("""COMPUTED_VALUE"""),79.0)</f>
        <v>79</v>
      </c>
      <c r="AK1058" s="3" t="str">
        <f>IFERROR(__xludf.DUMMYFUNCTION("""COMPUTED_VALUE"""),"MMS05")</f>
        <v>MMS05</v>
      </c>
      <c r="AL1058" s="3"/>
    </row>
    <row r="1059" ht="15.75" customHeight="1">
      <c r="A1059" s="1" t="str">
        <f>IFERROR(__xludf.DUMMYFUNCTION("""COMPUTED_VALUE"""),"21831")</f>
        <v>21831</v>
      </c>
      <c r="B1059" s="2">
        <f>IFERROR(__xludf.DUMMYFUNCTION("""COMPUTED_VALUE"""),21831.0)</f>
        <v>21831</v>
      </c>
      <c r="C1059" s="3" t="str">
        <f>IFERROR(__xludf.DUMMYFUNCTION("""COMPUTED_VALUE"""),"MBC คลองแงะ สงขลา")</f>
        <v>MBC คลองแงะ สงขลา</v>
      </c>
      <c r="D1059" s="3" t="str">
        <f>IFERROR(__xludf.DUMMYFUNCTION("""COMPUTED_VALUE"""),"BCM KLONG NGAE, SONGKHLA")</f>
        <v>BCM KLONG NGAE, SONGKHLA</v>
      </c>
      <c r="E1059" s="1" t="str">
        <f>IFERROR(__xludf.DUMMYFUNCTION("""COMPUTED_VALUE"""),"บิ๊กซี MINI")</f>
        <v>บิ๊กซี MINI</v>
      </c>
      <c r="F1059" s="1" t="str">
        <f>IFERROR(__xludf.DUMMYFUNCTION("""COMPUTED_VALUE"""),"250760")</f>
        <v>250760</v>
      </c>
      <c r="G1059" s="1" t="str">
        <f>IFERROR(__xludf.DUMMYFUNCTION("""COMPUTED_VALUE"""),"นายประทวน สาราบรรณ์")</f>
        <v>นายประทวน สาราบรรณ์</v>
      </c>
      <c r="H1059" s="1" t="str">
        <f>IFERROR(__xludf.DUMMYFUNCTION("""COMPUTED_VALUE"""),"394185")</f>
        <v>394185</v>
      </c>
      <c r="I1059" s="1" t="str">
        <f>IFERROR(__xludf.DUMMYFUNCTION("""COMPUTED_VALUE"""),"น.ส.ฐาปนี สุวรรณรัตน์")</f>
        <v>น.ส.ฐาปนี สุวรรณรัตน์</v>
      </c>
      <c r="J1059" s="3">
        <f>IFERROR(__xludf.DUMMYFUNCTION("""COMPUTED_VALUE"""),2.0470331E7)</f>
        <v>20470331</v>
      </c>
      <c r="K1059" s="3" t="str">
        <f>IFERROR(__xludf.DUMMYFUNCTION("""COMPUTED_VALUE"""),"นายสมชาย ลักษณะสุวรรณ")</f>
        <v>นายสมชาย ลักษณะสุวรรณ</v>
      </c>
      <c r="L1059" s="3" t="str">
        <f>IFERROR(__xludf.DUMMYFUNCTION("""COMPUTED_VALUE"""),"15 K.Somchai L")</f>
        <v>15 K.Somchai L</v>
      </c>
      <c r="M1059" s="1" t="str">
        <f>IFERROR(__xludf.DUMMYFUNCTION("""COMPUTED_VALUE"""),"0655107372")</f>
        <v>0655107372</v>
      </c>
      <c r="N1059" s="3">
        <f>IFERROR(__xludf.DUMMYFUNCTION("""COMPUTED_VALUE"""),21723.0)</f>
        <v>21723</v>
      </c>
      <c r="O1059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059" s="4">
        <f>IFERROR(__xludf.DUMMYFUNCTION("""COMPUTED_VALUE"""),43644.0)</f>
        <v>43644</v>
      </c>
      <c r="Q1059" s="3" t="str">
        <f>IFERROR(__xludf.DUMMYFUNCTION("""COMPUTED_VALUE"""),"A")</f>
        <v>A</v>
      </c>
      <c r="R1059" s="3" t="str">
        <f>IFERROR(__xludf.DUMMYFUNCTION("""COMPUTED_VALUE"""),"Small Format")</f>
        <v>Small Format</v>
      </c>
      <c r="S1059" s="3" t="str">
        <f>IFERROR(__xludf.DUMMYFUNCTION("""COMPUTED_VALUE"""),"BCM")</f>
        <v>BCM</v>
      </c>
      <c r="T1059" s="3" t="str">
        <f>IFERROR(__xludf.DUMMYFUNCTION("""COMPUTED_VALUE"""),"#N/A")</f>
        <v>#N/A</v>
      </c>
      <c r="U1059" s="3" t="str">
        <f>IFERROR(__xludf.DUMMYFUNCTION("""COMPUTED_VALUE"""),"#N/A")</f>
        <v>#N/A</v>
      </c>
      <c r="V1059" s="3" t="str">
        <f>IFERROR(__xludf.DUMMYFUNCTION("""COMPUTED_VALUE"""),"N")</f>
        <v>N</v>
      </c>
      <c r="W1059" s="3">
        <f>IFERROR(__xludf.DUMMYFUNCTION("""COMPUTED_VALUE"""),211791.0)</f>
        <v>211791</v>
      </c>
      <c r="X1059" s="3" t="str">
        <f>IFERROR(__xludf.DUMMYFUNCTION("""COMPUTED_VALUE"""),"14 หมู่5 ถนนกอบกุลอุทิศ1 ตำบลพังลา อำเภอสะเดา จังหวัดสงขลา 90170")</f>
        <v>14 หมู่5 ถนนกอบกุลอุทิศ1 ตำบลพังลา อำเภอสะเดา จังหวัดสงขลา 90170</v>
      </c>
      <c r="Y1059" s="3"/>
      <c r="Z1059" s="3" t="str">
        <f>IFERROR(__xludf.DUMMYFUNCTION("""COMPUTED_VALUE"""),"พังลา")</f>
        <v>พังลา</v>
      </c>
      <c r="AA1059" s="3" t="str">
        <f>IFERROR(__xludf.DUMMYFUNCTION("""COMPUTED_VALUE"""),"สะเดา")</f>
        <v>สะเดา</v>
      </c>
      <c r="AB1059" s="3" t="str">
        <f>IFERROR(__xludf.DUMMYFUNCTION("""COMPUTED_VALUE"""),"สงขลา")</f>
        <v>สงขลา</v>
      </c>
      <c r="AC1059" s="3">
        <f>IFERROR(__xludf.DUMMYFUNCTION("""COMPUTED_VALUE"""),90170.0)</f>
        <v>90170</v>
      </c>
      <c r="AD1059" s="3">
        <f>IFERROR(__xludf.DUMMYFUNCTION("""COMPUTED_VALUE"""),6.788758)</f>
        <v>6.788758</v>
      </c>
      <c r="AE1059" s="3">
        <f>IFERROR(__xludf.DUMMYFUNCTION("""COMPUTED_VALUE"""),100.455358)</f>
        <v>100.455358</v>
      </c>
      <c r="AF1059" s="3" t="str">
        <f>IFERROR(__xludf.DUMMYFUNCTION("""COMPUTED_VALUE"""),"MBC คลองแงะ สงขลา-21831")</f>
        <v>MBC คลองแงะ สงขลา-21831</v>
      </c>
      <c r="AG1059" s="3" t="str">
        <f>IFERROR(__xludf.DUMMYFUNCTION("""COMPUTED_VALUE"""),"ใต้")</f>
        <v>ใต้</v>
      </c>
      <c r="AH1059" s="3" t="str">
        <f>IFERROR(__xludf.DUMMYFUNCTION("""COMPUTED_VALUE"""),"#N/A")</f>
        <v>#N/A</v>
      </c>
      <c r="AI1059" s="3" t="str">
        <f>IFERROR(__xludf.DUMMYFUNCTION("""COMPUTED_VALUE"""),"Out of warranty")</f>
        <v>Out of warranty</v>
      </c>
      <c r="AJ1059" s="3">
        <f>IFERROR(__xludf.DUMMYFUNCTION("""COMPUTED_VALUE"""),79.0)</f>
        <v>79</v>
      </c>
      <c r="AK1059" s="3" t="str">
        <f>IFERROR(__xludf.DUMMYFUNCTION("""COMPUTED_VALUE"""),"MMS16")</f>
        <v>MMS16</v>
      </c>
      <c r="AL1059" s="3"/>
    </row>
    <row r="1060" ht="15.75" customHeight="1">
      <c r="A1060" s="1" t="str">
        <f>IFERROR(__xludf.DUMMYFUNCTION("""COMPUTED_VALUE"""),"21832")</f>
        <v>21832</v>
      </c>
      <c r="B1060" s="2">
        <f>IFERROR(__xludf.DUMMYFUNCTION("""COMPUTED_VALUE"""),21832.0)</f>
        <v>21832</v>
      </c>
      <c r="C1060" s="3" t="str">
        <f>IFERROR(__xludf.DUMMYFUNCTION("""COMPUTED_VALUE"""),"MBC บ้านเขว้า ชัยภูมิ")</f>
        <v>MBC บ้านเขว้า ชัยภูมิ</v>
      </c>
      <c r="D1060" s="3" t="str">
        <f>IFERROR(__xludf.DUMMYFUNCTION("""COMPUTED_VALUE"""),"BCM BAN KWAO, CHAIYAPHUM")</f>
        <v>BCM BAN KWAO, CHAIYAPHUM</v>
      </c>
      <c r="E1060" s="1" t="str">
        <f>IFERROR(__xludf.DUMMYFUNCTION("""COMPUTED_VALUE"""),"บิ๊กซี MINI")</f>
        <v>บิ๊กซี MINI</v>
      </c>
      <c r="F1060" s="1" t="str">
        <f>IFERROR(__xludf.DUMMYFUNCTION("""COMPUTED_VALUE"""),"291105")</f>
        <v>291105</v>
      </c>
      <c r="G1060" s="1" t="str">
        <f>IFERROR(__xludf.DUMMYFUNCTION("""COMPUTED_VALUE"""),"นายสราวุฒิ พณิชยกุล")</f>
        <v>นายสราวุฒิ พณิชยกุล</v>
      </c>
      <c r="H1060" s="1" t="str">
        <f>IFERROR(__xludf.DUMMYFUNCTION("""COMPUTED_VALUE"""),"371396")</f>
        <v>371396</v>
      </c>
      <c r="I1060" s="1" t="str">
        <f>IFERROR(__xludf.DUMMYFUNCTION("""COMPUTED_VALUE"""),"น.ส.สุภาวดี วิลัยพร")</f>
        <v>น.ส.สุภาวดี วิลัยพร</v>
      </c>
      <c r="J1060" s="3">
        <f>IFERROR(__xludf.DUMMYFUNCTION("""COMPUTED_VALUE"""),15361.0)</f>
        <v>15361</v>
      </c>
      <c r="K1060" s="3" t="str">
        <f>IFERROR(__xludf.DUMMYFUNCTION("""COMPUTED_VALUE"""),"นายสมบูรณ์ พรหมในเมือง")</f>
        <v>นายสมบูรณ์ พรหมในเมือง</v>
      </c>
      <c r="L1060" s="1" t="str">
        <f>IFERROR(__xludf.DUMMYFUNCTION("""COMPUTED_VALUE"""),"04 K.Somboon P.")</f>
        <v>04 K.Somboon P.</v>
      </c>
      <c r="M1060" s="1" t="str">
        <f>IFERROR(__xludf.DUMMYFUNCTION("""COMPUTED_VALUE"""),"087-965-3051")</f>
        <v>087-965-3051</v>
      </c>
      <c r="N1060" s="3">
        <f>IFERROR(__xludf.DUMMYFUNCTION("""COMPUTED_VALUE"""),21869.0)</f>
        <v>21869</v>
      </c>
      <c r="O1060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060" s="4">
        <f>IFERROR(__xludf.DUMMYFUNCTION("""COMPUTED_VALUE"""),43634.0)</f>
        <v>43634</v>
      </c>
      <c r="Q1060" s="3" t="str">
        <f>IFERROR(__xludf.DUMMYFUNCTION("""COMPUTED_VALUE"""),"A")</f>
        <v>A</v>
      </c>
      <c r="R1060" s="3" t="str">
        <f>IFERROR(__xludf.DUMMYFUNCTION("""COMPUTED_VALUE"""),"Small Format")</f>
        <v>Small Format</v>
      </c>
      <c r="S1060" s="3" t="str">
        <f>IFERROR(__xludf.DUMMYFUNCTION("""COMPUTED_VALUE"""),"BCM")</f>
        <v>BCM</v>
      </c>
      <c r="T1060" s="3" t="str">
        <f>IFERROR(__xludf.DUMMYFUNCTION("""COMPUTED_VALUE"""),"#N/A")</f>
        <v>#N/A</v>
      </c>
      <c r="U1060" s="3" t="str">
        <f>IFERROR(__xludf.DUMMYFUNCTION("""COMPUTED_VALUE"""),"#N/A")</f>
        <v>#N/A</v>
      </c>
      <c r="V1060" s="3" t="str">
        <f>IFERROR(__xludf.DUMMYFUNCTION("""COMPUTED_VALUE"""),"N")</f>
        <v>N</v>
      </c>
      <c r="W1060" s="3">
        <f>IFERROR(__xludf.DUMMYFUNCTION("""COMPUTED_VALUE"""),211861.0)</f>
        <v>211861</v>
      </c>
      <c r="X1060" s="3" t="str">
        <f>IFERROR(__xludf.DUMMYFUNCTION("""COMPUTED_VALUE"""),"136 หมู่14 ตำบลบ้านเขว้า อำเภอบ้านเขว้า จังหวัดชัยภูมิ 36170")</f>
        <v>136 หมู่14 ตำบลบ้านเขว้า อำเภอบ้านเขว้า จังหวัดชัยภูมิ 36170</v>
      </c>
      <c r="Y1060" s="3"/>
      <c r="Z1060" s="3" t="str">
        <f>IFERROR(__xludf.DUMMYFUNCTION("""COMPUTED_VALUE"""),"บ้านเขว้า")</f>
        <v>บ้านเขว้า</v>
      </c>
      <c r="AA1060" s="3" t="str">
        <f>IFERROR(__xludf.DUMMYFUNCTION("""COMPUTED_VALUE"""),"บ้านเขว้า")</f>
        <v>บ้านเขว้า</v>
      </c>
      <c r="AB1060" s="3" t="str">
        <f>IFERROR(__xludf.DUMMYFUNCTION("""COMPUTED_VALUE"""),"ชัยภูมิ")</f>
        <v>ชัยภูมิ</v>
      </c>
      <c r="AC1060" s="3">
        <f>IFERROR(__xludf.DUMMYFUNCTION("""COMPUTED_VALUE"""),36170.0)</f>
        <v>36170</v>
      </c>
      <c r="AD1060" s="3">
        <f>IFERROR(__xludf.DUMMYFUNCTION("""COMPUTED_VALUE"""),15.764185)</f>
        <v>15.764185</v>
      </c>
      <c r="AE1060" s="3">
        <f>IFERROR(__xludf.DUMMYFUNCTION("""COMPUTED_VALUE"""),101.914015)</f>
        <v>101.914015</v>
      </c>
      <c r="AF1060" s="3" t="str">
        <f>IFERROR(__xludf.DUMMYFUNCTION("""COMPUTED_VALUE"""),"MBC บ้านเขว้า ชัยภูมิ-21832")</f>
        <v>MBC บ้านเขว้า ชัยภูมิ-21832</v>
      </c>
      <c r="AG1060" s="3" t="str">
        <f>IFERROR(__xludf.DUMMYFUNCTION("""COMPUTED_VALUE"""),"ตะวันออกเฉียงเหนือ")</f>
        <v>ตะวันออกเฉียงเหนือ</v>
      </c>
      <c r="AH1060" s="3" t="str">
        <f>IFERROR(__xludf.DUMMYFUNCTION("""COMPUTED_VALUE"""),"#N/A")</f>
        <v>#N/A</v>
      </c>
      <c r="AI1060" s="3" t="str">
        <f>IFERROR(__xludf.DUMMYFUNCTION("""COMPUTED_VALUE"""),"Out of warranty")</f>
        <v>Out of warranty</v>
      </c>
      <c r="AJ1060" s="3">
        <f>IFERROR(__xludf.DUMMYFUNCTION("""COMPUTED_VALUE"""),80.0)</f>
        <v>80</v>
      </c>
      <c r="AK1060" s="3" t="str">
        <f>IFERROR(__xludf.DUMMYFUNCTION("""COMPUTED_VALUE"""),"MMS11")</f>
        <v>MMS11</v>
      </c>
      <c r="AL1060" s="3"/>
    </row>
    <row r="1061" ht="15.75" customHeight="1">
      <c r="A1061" s="1" t="str">
        <f>IFERROR(__xludf.DUMMYFUNCTION("""COMPUTED_VALUE"""),"21833")</f>
        <v>21833</v>
      </c>
      <c r="B1061" s="2">
        <f>IFERROR(__xludf.DUMMYFUNCTION("""COMPUTED_VALUE"""),21833.0)</f>
        <v>21833</v>
      </c>
      <c r="C1061" s="3" t="str">
        <f>IFERROR(__xludf.DUMMYFUNCTION("""COMPUTED_VALUE"""),"MBC ชุมชนเฉวงใหญ่ (สมุย) สุราษฎร์ธานี")</f>
        <v>MBC ชุมชนเฉวงใหญ่ (สมุย) สุราษฎร์ธานี</v>
      </c>
      <c r="D1061" s="3" t="str">
        <f>IFERROR(__xludf.DUMMYFUNCTION("""COMPUTED_VALUE"""),"BCM CHUMCHON CHAWENG YAI")</f>
        <v>BCM CHUMCHON CHAWENG YAI</v>
      </c>
      <c r="E1061" s="1" t="str">
        <f>IFERROR(__xludf.DUMMYFUNCTION("""COMPUTED_VALUE"""),"บิ๊กซี MINI")</f>
        <v>บิ๊กซี MINI</v>
      </c>
      <c r="F1061" s="1" t="str">
        <f>IFERROR(__xludf.DUMMYFUNCTION("""COMPUTED_VALUE"""),"250760")</f>
        <v>250760</v>
      </c>
      <c r="G1061" s="1" t="str">
        <f>IFERROR(__xludf.DUMMYFUNCTION("""COMPUTED_VALUE"""),"นายประทวน สาราบรรณ์")</f>
        <v>นายประทวน สาราบรรณ์</v>
      </c>
      <c r="H1061" s="1" t="str">
        <f>IFERROR(__xludf.DUMMYFUNCTION("""COMPUTED_VALUE"""),"356760")</f>
        <v>356760</v>
      </c>
      <c r="I1061" s="1" t="str">
        <f>IFERROR(__xludf.DUMMYFUNCTION("""COMPUTED_VALUE"""),"นายภูมิภัทร แก้วพรรณราย")</f>
        <v>นายภูมิภัทร แก้วพรรณราย</v>
      </c>
      <c r="J1061" s="3">
        <f>IFERROR(__xludf.DUMMYFUNCTION("""COMPUTED_VALUE"""),25324.0)</f>
        <v>25324</v>
      </c>
      <c r="K1061" s="3" t="str">
        <f>IFERROR(__xludf.DUMMYFUNCTION("""COMPUTED_VALUE"""),"นายวิเชฎฐ์ ติรัตนะประคม")</f>
        <v>นายวิเชฎฐ์ ติรัตนะประคม</v>
      </c>
      <c r="L1061" s="1" t="str">
        <f>IFERROR(__xludf.DUMMYFUNCTION("""COMPUTED_VALUE"""),"14 K.Wichet T.")</f>
        <v>14 K.Wichet T.</v>
      </c>
      <c r="M1061" s="1" t="str">
        <f>IFERROR(__xludf.DUMMYFUNCTION("""COMPUTED_VALUE"""),"061-417-6569 / 086-445-5636")</f>
        <v>061-417-6569 / 086-445-5636</v>
      </c>
      <c r="N1061" s="3">
        <f>IFERROR(__xludf.DUMMYFUNCTION("""COMPUTED_VALUE"""),22658.0)</f>
        <v>22658</v>
      </c>
      <c r="O1061" s="3" t="str">
        <f>IFERROR(__xludf.DUMMYFUNCTION("""COMPUTED_VALUE"""),"BCM ถ.วิรัชหงษ์หยก ภูเก็ต")</f>
        <v>BCM ถ.วิรัชหงษ์หยก ภูเก็ต</v>
      </c>
      <c r="P1061" s="4">
        <f>IFERROR(__xludf.DUMMYFUNCTION("""COMPUTED_VALUE"""),43642.0)</f>
        <v>43642</v>
      </c>
      <c r="Q1061" s="3" t="str">
        <f>IFERROR(__xludf.DUMMYFUNCTION("""COMPUTED_VALUE"""),"A")</f>
        <v>A</v>
      </c>
      <c r="R1061" s="3" t="str">
        <f>IFERROR(__xludf.DUMMYFUNCTION("""COMPUTED_VALUE"""),"Small Format")</f>
        <v>Small Format</v>
      </c>
      <c r="S1061" s="3" t="str">
        <f>IFERROR(__xludf.DUMMYFUNCTION("""COMPUTED_VALUE"""),"BCM")</f>
        <v>BCM</v>
      </c>
      <c r="T1061" s="3" t="str">
        <f>IFERROR(__xludf.DUMMYFUNCTION("""COMPUTED_VALUE"""),"#N/A")</f>
        <v>#N/A</v>
      </c>
      <c r="U1061" s="3" t="str">
        <f>IFERROR(__xludf.DUMMYFUNCTION("""COMPUTED_VALUE"""),"#N/A")</f>
        <v>#N/A</v>
      </c>
      <c r="V1061" s="3" t="str">
        <f>IFERROR(__xludf.DUMMYFUNCTION("""COMPUTED_VALUE"""),"N")</f>
        <v>N</v>
      </c>
      <c r="W1061" s="3">
        <f>IFERROR(__xludf.DUMMYFUNCTION("""COMPUTED_VALUE"""),211831.0)</f>
        <v>211831</v>
      </c>
      <c r="X1061" s="3" t="str">
        <f>IFERROR(__xludf.DUMMYFUNCTION("""COMPUTED_VALUE"""),"137/17 หมู่2 ตำบลบ่อผุด อำเภอเกาะสมุย จังหวัดสุราษฎร์ธานี 84320")</f>
        <v>137/17 หมู่2 ตำบลบ่อผุด อำเภอเกาะสมุย จังหวัดสุราษฎร์ธานี 84320</v>
      </c>
      <c r="Y1061" s="3"/>
      <c r="Z1061" s="3" t="str">
        <f>IFERROR(__xludf.DUMMYFUNCTION("""COMPUTED_VALUE"""),"บ่อผุด")</f>
        <v>บ่อผุด</v>
      </c>
      <c r="AA1061" s="3" t="str">
        <f>IFERROR(__xludf.DUMMYFUNCTION("""COMPUTED_VALUE"""),"เกาะสมุย")</f>
        <v>เกาะสมุย</v>
      </c>
      <c r="AB1061" s="3" t="str">
        <f>IFERROR(__xludf.DUMMYFUNCTION("""COMPUTED_VALUE"""),"สุราษฎร์ธานี")</f>
        <v>สุราษฎร์ธานี</v>
      </c>
      <c r="AC1061" s="3">
        <f>IFERROR(__xludf.DUMMYFUNCTION("""COMPUTED_VALUE"""),84320.0)</f>
        <v>84320</v>
      </c>
      <c r="AD1061" s="3">
        <f>IFERROR(__xludf.DUMMYFUNCTION("""COMPUTED_VALUE"""),9.536361)</f>
        <v>9.536361</v>
      </c>
      <c r="AE1061" s="3">
        <f>IFERROR(__xludf.DUMMYFUNCTION("""COMPUTED_VALUE"""),100.050933)</f>
        <v>100.050933</v>
      </c>
      <c r="AF1061" s="3" t="str">
        <f>IFERROR(__xludf.DUMMYFUNCTION("""COMPUTED_VALUE"""),"MBC ชุมชนเฉวงใหญ่ (สมุย) สุราษฎร์ธานี-21833")</f>
        <v>MBC ชุมชนเฉวงใหญ่ (สมุย) สุราษฎร์ธานี-21833</v>
      </c>
      <c r="AG1061" s="3" t="str">
        <f>IFERROR(__xludf.DUMMYFUNCTION("""COMPUTED_VALUE"""),"ใต้")</f>
        <v>ใต้</v>
      </c>
      <c r="AH1061" s="3" t="str">
        <f>IFERROR(__xludf.DUMMYFUNCTION("""COMPUTED_VALUE"""),"#N/A")</f>
        <v>#N/A</v>
      </c>
      <c r="AI1061" s="3" t="str">
        <f>IFERROR(__xludf.DUMMYFUNCTION("""COMPUTED_VALUE"""),"Out of warranty")</f>
        <v>Out of warranty</v>
      </c>
      <c r="AJ1061" s="3">
        <f>IFERROR(__xludf.DUMMYFUNCTION("""COMPUTED_VALUE"""),79.0)</f>
        <v>79</v>
      </c>
      <c r="AK1061" s="3" t="str">
        <f>IFERROR(__xludf.DUMMYFUNCTION("""COMPUTED_VALUE"""),"MMS14")</f>
        <v>MMS14</v>
      </c>
      <c r="AL1061" s="3"/>
    </row>
    <row r="1062" ht="15.75" customHeight="1">
      <c r="A1062" s="1" t="str">
        <f>IFERROR(__xludf.DUMMYFUNCTION("""COMPUTED_VALUE"""),"21834")</f>
        <v>21834</v>
      </c>
      <c r="B1062" s="2">
        <f>IFERROR(__xludf.DUMMYFUNCTION("""COMPUTED_VALUE"""),21834.0)</f>
        <v>21834</v>
      </c>
      <c r="C1062" s="3" t="str">
        <f>IFERROR(__xludf.DUMMYFUNCTION("""COMPUTED_VALUE"""),"MBC สนามชัยเขต ฉะเชิงเทรา")</f>
        <v>MBC สนามชัยเขต ฉะเชิงเทรา</v>
      </c>
      <c r="D1062" s="3" t="str">
        <f>IFERROR(__xludf.DUMMYFUNCTION("""COMPUTED_VALUE"""),"BCM SANAMCHAIKHET")</f>
        <v>BCM SANAMCHAIKHET</v>
      </c>
      <c r="E1062" s="1" t="str">
        <f>IFERROR(__xludf.DUMMYFUNCTION("""COMPUTED_VALUE"""),"บิ๊กซี MINI")</f>
        <v>บิ๊กซี MINI</v>
      </c>
      <c r="F1062" s="1" t="str">
        <f>IFERROR(__xludf.DUMMYFUNCTION("""COMPUTED_VALUE"""),"2083447")</f>
        <v>2083447</v>
      </c>
      <c r="G1062" s="1" t="str">
        <f>IFERROR(__xludf.DUMMYFUNCTION("""COMPUTED_VALUE"""),"นายอนุกูล ศรีลัดดา")</f>
        <v>นายอนุกูล ศรีลัดดา</v>
      </c>
      <c r="H1062" s="1" t="str">
        <f>IFERROR(__xludf.DUMMYFUNCTION("""COMPUTED_VALUE"""),"254957")</f>
        <v>254957</v>
      </c>
      <c r="I1062" s="1" t="str">
        <f>IFERROR(__xludf.DUMMYFUNCTION("""COMPUTED_VALUE"""),"น.ส.ศิริพร รุ่งธัญญา")</f>
        <v>น.ส.ศิริพร รุ่งธัญญา</v>
      </c>
      <c r="J1062" s="3">
        <f>IFERROR(__xludf.DUMMYFUNCTION("""COMPUTED_VALUE"""),510143.0)</f>
        <v>510143</v>
      </c>
      <c r="K1062" s="3" t="str">
        <f>IFERROR(__xludf.DUMMYFUNCTION("""COMPUTED_VALUE"""),"นายธีระวัฒน์ บุญสิทธิ์")</f>
        <v>นายธีระวัฒน์ บุญสิทธิ์</v>
      </c>
      <c r="L1062" s="1" t="str">
        <f>IFERROR(__xludf.DUMMYFUNCTION("""COMPUTED_VALUE"""),"12 K.Theerawat B.")</f>
        <v>12 K.Theerawat B.</v>
      </c>
      <c r="M1062" s="1" t="str">
        <f>IFERROR(__xludf.DUMMYFUNCTION("""COMPUTED_VALUE"""),"0655107379")</f>
        <v>0655107379</v>
      </c>
      <c r="N1062" s="3">
        <f>IFERROR(__xludf.DUMMYFUNCTION("""COMPUTED_VALUE"""),21062.0)</f>
        <v>21062</v>
      </c>
      <c r="O1062" s="3" t="str">
        <f>IFERROR(__xludf.DUMMYFUNCTION("""COMPUTED_VALUE"""),"MBC นิคมนวนคร")</f>
        <v>MBC นิคมนวนคร</v>
      </c>
      <c r="P1062" s="4">
        <f>IFERROR(__xludf.DUMMYFUNCTION("""COMPUTED_VALUE"""),43769.0)</f>
        <v>43769</v>
      </c>
      <c r="Q1062" s="3" t="str">
        <f>IFERROR(__xludf.DUMMYFUNCTION("""COMPUTED_VALUE"""),"A")</f>
        <v>A</v>
      </c>
      <c r="R1062" s="3" t="str">
        <f>IFERROR(__xludf.DUMMYFUNCTION("""COMPUTED_VALUE"""),"Small Format")</f>
        <v>Small Format</v>
      </c>
      <c r="S1062" s="3" t="str">
        <f>IFERROR(__xludf.DUMMYFUNCTION("""COMPUTED_VALUE"""),"BCM")</f>
        <v>BCM</v>
      </c>
      <c r="T1062" s="3" t="str">
        <f>IFERROR(__xludf.DUMMYFUNCTION("""COMPUTED_VALUE"""),"#N/A")</f>
        <v>#N/A</v>
      </c>
      <c r="U1062" s="3" t="str">
        <f>IFERROR(__xludf.DUMMYFUNCTION("""COMPUTED_VALUE"""),"#N/A")</f>
        <v>#N/A</v>
      </c>
      <c r="V1062" s="3" t="str">
        <f>IFERROR(__xludf.DUMMYFUNCTION("""COMPUTED_VALUE"""),"N")</f>
        <v>N</v>
      </c>
      <c r="W1062" s="3">
        <f>IFERROR(__xludf.DUMMYFUNCTION("""COMPUTED_VALUE"""),211748.0)</f>
        <v>211748</v>
      </c>
      <c r="X1062" s="3" t="str">
        <f>IFERROR(__xludf.DUMMYFUNCTION("""COMPUTED_VALUE"""),"231 หมู่14 ตำบลคู้ยายหมี อำเภอสนามชัยเขต จังหวัดฉะเชิงเทรา 24160")</f>
        <v>231 หมู่14 ตำบลคู้ยายหมี อำเภอสนามชัยเขต จังหวัดฉะเชิงเทรา 24160</v>
      </c>
      <c r="Y1062" s="3"/>
      <c r="Z1062" s="3" t="str">
        <f>IFERROR(__xludf.DUMMYFUNCTION("""COMPUTED_VALUE"""),"คู้ยายหมี")</f>
        <v>คู้ยายหมี</v>
      </c>
      <c r="AA1062" s="3" t="str">
        <f>IFERROR(__xludf.DUMMYFUNCTION("""COMPUTED_VALUE"""),"สนามชัย")</f>
        <v>สนามชัย</v>
      </c>
      <c r="AB1062" s="3" t="str">
        <f>IFERROR(__xludf.DUMMYFUNCTION("""COMPUTED_VALUE"""),"ฉะเชิงเทรา")</f>
        <v>ฉะเชิงเทรา</v>
      </c>
      <c r="AC1062" s="3">
        <f>IFERROR(__xludf.DUMMYFUNCTION("""COMPUTED_VALUE"""),24160.0)</f>
        <v>24160</v>
      </c>
      <c r="AD1062" s="3">
        <f>IFERROR(__xludf.DUMMYFUNCTION("""COMPUTED_VALUE"""),13.655687)</f>
        <v>13.655687</v>
      </c>
      <c r="AE1062" s="3">
        <f>IFERROR(__xludf.DUMMYFUNCTION("""COMPUTED_VALUE"""),101.438264)</f>
        <v>101.438264</v>
      </c>
      <c r="AF1062" s="3" t="str">
        <f>IFERROR(__xludf.DUMMYFUNCTION("""COMPUTED_VALUE"""),"MBC สนามชัยเขต ฉะเชิงเทรา-21834")</f>
        <v>MBC สนามชัยเขต ฉะเชิงเทรา-21834</v>
      </c>
      <c r="AG1062" s="3" t="str">
        <f>IFERROR(__xludf.DUMMYFUNCTION("""COMPUTED_VALUE"""),"ตะวันออก")</f>
        <v>ตะวันออก</v>
      </c>
      <c r="AH1062" s="3" t="str">
        <f>IFERROR(__xludf.DUMMYFUNCTION("""COMPUTED_VALUE"""),"#N/A")</f>
        <v>#N/A</v>
      </c>
      <c r="AI1062" s="3" t="str">
        <f>IFERROR(__xludf.DUMMYFUNCTION("""COMPUTED_VALUE"""),"Out of warranty")</f>
        <v>Out of warranty</v>
      </c>
      <c r="AJ1062" s="3">
        <f>IFERROR(__xludf.DUMMYFUNCTION("""COMPUTED_VALUE"""),75.0)</f>
        <v>75</v>
      </c>
      <c r="AK1062" s="3" t="str">
        <f>IFERROR(__xludf.DUMMYFUNCTION("""COMPUTED_VALUE"""),"MMS07")</f>
        <v>MMS07</v>
      </c>
      <c r="AL1062" s="3"/>
    </row>
    <row r="1063" ht="15.75" customHeight="1">
      <c r="A1063" s="1" t="str">
        <f>IFERROR(__xludf.DUMMYFUNCTION("""COMPUTED_VALUE"""),"21835")</f>
        <v>21835</v>
      </c>
      <c r="B1063" s="2">
        <f>IFERROR(__xludf.DUMMYFUNCTION("""COMPUTED_VALUE"""),21835.0)</f>
        <v>21835</v>
      </c>
      <c r="C1063" s="3" t="str">
        <f>IFERROR(__xludf.DUMMYFUNCTION("""COMPUTED_VALUE"""),"MBC หน้าโรงพยาบาลบ้านหมี่ ลพบุรี")</f>
        <v>MBC หน้าโรงพยาบาลบ้านหมี่ ลพบุรี</v>
      </c>
      <c r="D1063" s="3" t="str">
        <f>IFERROR(__xludf.DUMMYFUNCTION("""COMPUTED_VALUE"""),"BCM NA BAN MI HOSPITAL")</f>
        <v>BCM NA BAN MI HOSPITAL</v>
      </c>
      <c r="E1063" s="1" t="str">
        <f>IFERROR(__xludf.DUMMYFUNCTION("""COMPUTED_VALUE"""),"บิ๊กซี MINI")</f>
        <v>บิ๊กซี MINI</v>
      </c>
      <c r="F1063" s="1" t="str">
        <f>IFERROR(__xludf.DUMMYFUNCTION("""COMPUTED_VALUE"""),"296229")</f>
        <v>296229</v>
      </c>
      <c r="G1063" s="1" t="str">
        <f>IFERROR(__xludf.DUMMYFUNCTION("""COMPUTED_VALUE"""),"นายทนงศักดิ์ บุญมา")</f>
        <v>นายทนงศักดิ์ บุญมา</v>
      </c>
      <c r="H1063" s="1" t="str">
        <f>IFERROR(__xludf.DUMMYFUNCTION("""COMPUTED_VALUE"""),"291082")</f>
        <v>291082</v>
      </c>
      <c r="I1063" s="1" t="str">
        <f>IFERROR(__xludf.DUMMYFUNCTION("""COMPUTED_VALUE"""),"น.ส.วจี กันเกตุ")</f>
        <v>น.ส.วจี กันเกตุ</v>
      </c>
      <c r="J1063" s="3">
        <f>IFERROR(__xludf.DUMMYFUNCTION("""COMPUTED_VALUE"""),46214.0)</f>
        <v>46214</v>
      </c>
      <c r="K1063" s="3" t="str">
        <f>IFERROR(__xludf.DUMMYFUNCTION("""COMPUTED_VALUE"""),"นายศักดิ์ชัย เด็ดดอกฟ้า")</f>
        <v>นายศักดิ์ชัย เด็ดดอกฟ้า</v>
      </c>
      <c r="L1063" s="1" t="str">
        <f>IFERROR(__xludf.DUMMYFUNCTION("""COMPUTED_VALUE"""),"02 K.Sakchai D")</f>
        <v>02 K.Sakchai D</v>
      </c>
      <c r="M1063" s="1" t="str">
        <f>IFERROR(__xludf.DUMMYFUNCTION("""COMPUTED_VALUE"""),"065-510-7376")</f>
        <v>065-510-7376</v>
      </c>
      <c r="N1063" s="3">
        <f>IFERROR(__xludf.DUMMYFUNCTION("""COMPUTED_VALUE"""),21714.0)</f>
        <v>21714</v>
      </c>
      <c r="O1063" s="3" t="str">
        <f>IFERROR(__xludf.DUMMYFUNCTION("""COMPUTED_VALUE"""),"MBC เอสโซ่ วัดโบสถ์")</f>
        <v>MBC เอสโซ่ วัดโบสถ์</v>
      </c>
      <c r="P1063" s="4">
        <f>IFERROR(__xludf.DUMMYFUNCTION("""COMPUTED_VALUE"""),43645.0)</f>
        <v>43645</v>
      </c>
      <c r="Q1063" s="3" t="str">
        <f>IFERROR(__xludf.DUMMYFUNCTION("""COMPUTED_VALUE"""),"A")</f>
        <v>A</v>
      </c>
      <c r="R1063" s="3" t="str">
        <f>IFERROR(__xludf.DUMMYFUNCTION("""COMPUTED_VALUE"""),"Small Format")</f>
        <v>Small Format</v>
      </c>
      <c r="S1063" s="3" t="str">
        <f>IFERROR(__xludf.DUMMYFUNCTION("""COMPUTED_VALUE"""),"BCM")</f>
        <v>BCM</v>
      </c>
      <c r="T1063" s="3" t="str">
        <f>IFERROR(__xludf.DUMMYFUNCTION("""COMPUTED_VALUE"""),"#N/A")</f>
        <v>#N/A</v>
      </c>
      <c r="U1063" s="3" t="str">
        <f>IFERROR(__xludf.DUMMYFUNCTION("""COMPUTED_VALUE"""),"#N/A")</f>
        <v>#N/A</v>
      </c>
      <c r="V1063" s="3" t="str">
        <f>IFERROR(__xludf.DUMMYFUNCTION("""COMPUTED_VALUE"""),"N")</f>
        <v>N</v>
      </c>
      <c r="W1063" s="3">
        <f>IFERROR(__xludf.DUMMYFUNCTION("""COMPUTED_VALUE"""),211837.0)</f>
        <v>211837</v>
      </c>
      <c r="X1063" s="3" t="str">
        <f>IFERROR(__xludf.DUMMYFUNCTION("""COMPUTED_VALUE"""),"138 ถนนประชาอุทิศ ตำบลบ้านหมี่ อำเภอบ้านหมี่ จังหวัดลพบุรี่ 15110")</f>
        <v>138 ถนนประชาอุทิศ ตำบลบ้านหมี่ อำเภอบ้านหมี่ จังหวัดลพบุรี่ 15110</v>
      </c>
      <c r="Y1063" s="3" t="str">
        <f>IFERROR(__xludf.DUMMYFUNCTION("""COMPUTED_VALUE"""),"ถนนประชาอุทิศ")</f>
        <v>ถนนประชาอุทิศ</v>
      </c>
      <c r="Z1063" s="3" t="str">
        <f>IFERROR(__xludf.DUMMYFUNCTION("""COMPUTED_VALUE"""),"บ้านหมี่")</f>
        <v>บ้านหมี่</v>
      </c>
      <c r="AA1063" s="3" t="str">
        <f>IFERROR(__xludf.DUMMYFUNCTION("""COMPUTED_VALUE"""),"บ้านหมี่")</f>
        <v>บ้านหมี่</v>
      </c>
      <c r="AB1063" s="3" t="str">
        <f>IFERROR(__xludf.DUMMYFUNCTION("""COMPUTED_VALUE"""),"ลพบุรี")</f>
        <v>ลพบุรี</v>
      </c>
      <c r="AC1063" s="3">
        <f>IFERROR(__xludf.DUMMYFUNCTION("""COMPUTED_VALUE"""),15110.0)</f>
        <v>15110</v>
      </c>
      <c r="AD1063" s="3">
        <f>IFERROR(__xludf.DUMMYFUNCTION("""COMPUTED_VALUE"""),15.043599)</f>
        <v>15.043599</v>
      </c>
      <c r="AE1063" s="3">
        <f>IFERROR(__xludf.DUMMYFUNCTION("""COMPUTED_VALUE"""),100.541782)</f>
        <v>100.541782</v>
      </c>
      <c r="AF1063" s="3" t="str">
        <f>IFERROR(__xludf.DUMMYFUNCTION("""COMPUTED_VALUE"""),"MBC หน้าโรงพยาบาลบ้านหมี่ ลพบุรี-21835")</f>
        <v>MBC หน้าโรงพยาบาลบ้านหมี่ ลพบุรี-21835</v>
      </c>
      <c r="AG1063" s="3" t="str">
        <f>IFERROR(__xludf.DUMMYFUNCTION("""COMPUTED_VALUE"""),"กลาง")</f>
        <v>กลาง</v>
      </c>
      <c r="AH1063" s="3" t="str">
        <f>IFERROR(__xludf.DUMMYFUNCTION("""COMPUTED_VALUE"""),"#N/A")</f>
        <v>#N/A</v>
      </c>
      <c r="AI1063" s="3" t="str">
        <f>IFERROR(__xludf.DUMMYFUNCTION("""COMPUTED_VALUE"""),"Out of warranty")</f>
        <v>Out of warranty</v>
      </c>
      <c r="AJ1063" s="3">
        <f>IFERROR(__xludf.DUMMYFUNCTION("""COMPUTED_VALUE"""),79.0)</f>
        <v>79</v>
      </c>
      <c r="AK1063" s="3" t="str">
        <f>IFERROR(__xludf.DUMMYFUNCTION("""COMPUTED_VALUE"""),"MMS09")</f>
        <v>MMS09</v>
      </c>
      <c r="AL1063" s="3"/>
    </row>
    <row r="1064" ht="15.75" customHeight="1">
      <c r="A1064" s="1" t="str">
        <f>IFERROR(__xludf.DUMMYFUNCTION("""COMPUTED_VALUE"""),"21836")</f>
        <v>21836</v>
      </c>
      <c r="B1064" s="2">
        <f>IFERROR(__xludf.DUMMYFUNCTION("""COMPUTED_VALUE"""),21836.0)</f>
        <v>21836</v>
      </c>
      <c r="C1064" s="3" t="str">
        <f>IFERROR(__xludf.DUMMYFUNCTION("""COMPUTED_VALUE"""),"MBC ซอยแนบเคหาสน์ 6 ประจวบคีรีขันธ์")</f>
        <v>MBC ซอยแนบเคหาสน์ 6 ประจวบคีรีขันธ์</v>
      </c>
      <c r="D1064" s="3" t="str">
        <f>IFERROR(__xludf.DUMMYFUNCTION("""COMPUTED_VALUE"""),"BCM SOI NAEBKHEHART 6")</f>
        <v>BCM SOI NAEBKHEHART 6</v>
      </c>
      <c r="E1064" s="1" t="str">
        <f>IFERROR(__xludf.DUMMYFUNCTION("""COMPUTED_VALUE"""),"บิ๊กซี MINI")</f>
        <v>บิ๊กซี MINI</v>
      </c>
      <c r="F1064" s="1" t="str">
        <f>IFERROR(__xludf.DUMMYFUNCTION("""COMPUTED_VALUE"""),"250760")</f>
        <v>250760</v>
      </c>
      <c r="G1064" s="1" t="str">
        <f>IFERROR(__xludf.DUMMYFUNCTION("""COMPUTED_VALUE"""),"นายประทวน สาราบรรณ์")</f>
        <v>นายประทวน สาราบรรณ์</v>
      </c>
      <c r="H1064" s="1" t="str">
        <f>IFERROR(__xludf.DUMMYFUNCTION("""COMPUTED_VALUE"""),"311437")</f>
        <v>311437</v>
      </c>
      <c r="I1064" s="1" t="str">
        <f>IFERROR(__xludf.DUMMYFUNCTION("""COMPUTED_VALUE"""),"นายฉัตรทพร รักวิเชียร")</f>
        <v>นายฉัตรทพร รักวิเชียร</v>
      </c>
      <c r="J1064" s="3">
        <f>IFERROR(__xludf.DUMMYFUNCTION("""COMPUTED_VALUE"""),25324.0)</f>
        <v>25324</v>
      </c>
      <c r="K1064" s="3" t="str">
        <f>IFERROR(__xludf.DUMMYFUNCTION("""COMPUTED_VALUE"""),"นายวิเชฎฐ์ ติรัตนะประคม")</f>
        <v>นายวิเชฎฐ์ ติรัตนะประคม</v>
      </c>
      <c r="L1064" s="1" t="str">
        <f>IFERROR(__xludf.DUMMYFUNCTION("""COMPUTED_VALUE"""),"14 K.Wichet T.")</f>
        <v>14 K.Wichet T.</v>
      </c>
      <c r="M1064" s="1" t="str">
        <f>IFERROR(__xludf.DUMMYFUNCTION("""COMPUTED_VALUE"""),"061-417-6569 / 086-445-5636")</f>
        <v>061-417-6569 / 086-445-5636</v>
      </c>
      <c r="N1064" s="3">
        <f>IFERROR(__xludf.DUMMYFUNCTION("""COMPUTED_VALUE"""),22658.0)</f>
        <v>22658</v>
      </c>
      <c r="O1064" s="3" t="str">
        <f>IFERROR(__xludf.DUMMYFUNCTION("""COMPUTED_VALUE"""),"BCM ถ.วิรัชหงษ์หยก ภูเก็ต")</f>
        <v>BCM ถ.วิรัชหงษ์หยก ภูเก็ต</v>
      </c>
      <c r="P1064" s="4">
        <f>IFERROR(__xludf.DUMMYFUNCTION("""COMPUTED_VALUE"""),43646.0)</f>
        <v>43646</v>
      </c>
      <c r="Q1064" s="3" t="str">
        <f>IFERROR(__xludf.DUMMYFUNCTION("""COMPUTED_VALUE"""),"A")</f>
        <v>A</v>
      </c>
      <c r="R1064" s="3" t="str">
        <f>IFERROR(__xludf.DUMMYFUNCTION("""COMPUTED_VALUE"""),"Small Format")</f>
        <v>Small Format</v>
      </c>
      <c r="S1064" s="3" t="str">
        <f>IFERROR(__xludf.DUMMYFUNCTION("""COMPUTED_VALUE"""),"BCM")</f>
        <v>BCM</v>
      </c>
      <c r="T1064" s="3" t="str">
        <f>IFERROR(__xludf.DUMMYFUNCTION("""COMPUTED_VALUE"""),"#N/A")</f>
        <v>#N/A</v>
      </c>
      <c r="U1064" s="3" t="str">
        <f>IFERROR(__xludf.DUMMYFUNCTION("""COMPUTED_VALUE"""),"#N/A")</f>
        <v>#N/A</v>
      </c>
      <c r="V1064" s="3" t="str">
        <f>IFERROR(__xludf.DUMMYFUNCTION("""COMPUTED_VALUE"""),"N")</f>
        <v>N</v>
      </c>
      <c r="W1064" s="3">
        <f>IFERROR(__xludf.DUMMYFUNCTION("""COMPUTED_VALUE"""),211825.0)</f>
        <v>211825</v>
      </c>
      <c r="X1064" s="3" t="str">
        <f>IFERROR(__xludf.DUMMYFUNCTION("""COMPUTED_VALUE"""),"10/74 ถนนแนบเคหาสน์ ตำบลหัวหิน อำเภอหัวหิน จังหวัดประจวบคีรีขันธ์ 77110")</f>
        <v>10/74 ถนนแนบเคหาสน์ ตำบลหัวหิน อำเภอหัวหิน จังหวัดประจวบคีรีขันธ์ 77110</v>
      </c>
      <c r="Y1064" s="3" t="str">
        <f>IFERROR(__xludf.DUMMYFUNCTION("""COMPUTED_VALUE"""),"ถนนแนบเคหาสน์")</f>
        <v>ถนนแนบเคหาสน์</v>
      </c>
      <c r="Z1064" s="3" t="str">
        <f>IFERROR(__xludf.DUMMYFUNCTION("""COMPUTED_VALUE"""),"หัวหิน")</f>
        <v>หัวหิน</v>
      </c>
      <c r="AA1064" s="3" t="str">
        <f>IFERROR(__xludf.DUMMYFUNCTION("""COMPUTED_VALUE"""),"หัวหิน")</f>
        <v>หัวหิน</v>
      </c>
      <c r="AB1064" s="3" t="str">
        <f>IFERROR(__xludf.DUMMYFUNCTION("""COMPUTED_VALUE"""),"ประจวบคีรีขันธ์")</f>
        <v>ประจวบคีรีขันธ์</v>
      </c>
      <c r="AC1064" s="3">
        <f>IFERROR(__xludf.DUMMYFUNCTION("""COMPUTED_VALUE"""),77110.0)</f>
        <v>77110</v>
      </c>
      <c r="AD1064" s="3">
        <f>IFERROR(__xludf.DUMMYFUNCTION("""COMPUTED_VALUE"""),12.578394)</f>
        <v>12.578394</v>
      </c>
      <c r="AE1064" s="3">
        <f>IFERROR(__xludf.DUMMYFUNCTION("""COMPUTED_VALUE"""),99.956039)</f>
        <v>99.956039</v>
      </c>
      <c r="AF1064" s="3" t="str">
        <f>IFERROR(__xludf.DUMMYFUNCTION("""COMPUTED_VALUE"""),"MBC ซอยแนบเคหาสน์ 6 ประจวบคีรีขันธ์-21836")</f>
        <v>MBC ซอยแนบเคหาสน์ 6 ประจวบคีรีขันธ์-21836</v>
      </c>
      <c r="AG1064" s="3" t="str">
        <f>IFERROR(__xludf.DUMMYFUNCTION("""COMPUTED_VALUE"""),"ตะวันตก")</f>
        <v>ตะวันตก</v>
      </c>
      <c r="AH1064" s="3" t="str">
        <f>IFERROR(__xludf.DUMMYFUNCTION("""COMPUTED_VALUE"""),"#N/A")</f>
        <v>#N/A</v>
      </c>
      <c r="AI1064" s="3" t="str">
        <f>IFERROR(__xludf.DUMMYFUNCTION("""COMPUTED_VALUE"""),"Out of warranty")</f>
        <v>Out of warranty</v>
      </c>
      <c r="AJ1064" s="3">
        <f>IFERROR(__xludf.DUMMYFUNCTION("""COMPUTED_VALUE"""),79.0)</f>
        <v>79</v>
      </c>
      <c r="AK1064" s="3" t="str">
        <f>IFERROR(__xludf.DUMMYFUNCTION("""COMPUTED_VALUE"""),"MMS14")</f>
        <v>MMS14</v>
      </c>
      <c r="AL1064" s="3"/>
    </row>
    <row r="1065" ht="15.75" customHeight="1">
      <c r="A1065" s="1" t="str">
        <f>IFERROR(__xludf.DUMMYFUNCTION("""COMPUTED_VALUE"""),"21837")</f>
        <v>21837</v>
      </c>
      <c r="B1065" s="2">
        <f>IFERROR(__xludf.DUMMYFUNCTION("""COMPUTED_VALUE"""),21837.0)</f>
        <v>21837</v>
      </c>
      <c r="C1065" s="3" t="str">
        <f>IFERROR(__xludf.DUMMYFUNCTION("""COMPUTED_VALUE"""),"MBC ซอยหัวหิน 94 ประจวบคีรีขันธ์")</f>
        <v>MBC ซอยหัวหิน 94 ประจวบคีรีขันธ์</v>
      </c>
      <c r="D1065" s="3" t="str">
        <f>IFERROR(__xludf.DUMMYFUNCTION("""COMPUTED_VALUE"""),"BCM SOI HUA HIN 94")</f>
        <v>BCM SOI HUA HIN 94</v>
      </c>
      <c r="E1065" s="1" t="str">
        <f>IFERROR(__xludf.DUMMYFUNCTION("""COMPUTED_VALUE"""),"บิ๊กซี MINI")</f>
        <v>บิ๊กซี MINI</v>
      </c>
      <c r="F1065" s="1" t="str">
        <f>IFERROR(__xludf.DUMMYFUNCTION("""COMPUTED_VALUE"""),"250760")</f>
        <v>250760</v>
      </c>
      <c r="G1065" s="1" t="str">
        <f>IFERROR(__xludf.DUMMYFUNCTION("""COMPUTED_VALUE"""),"นายประทวน สาราบรรณ์")</f>
        <v>นายประทวน สาราบรรณ์</v>
      </c>
      <c r="H1065" s="1" t="str">
        <f>IFERROR(__xludf.DUMMYFUNCTION("""COMPUTED_VALUE"""),"311437")</f>
        <v>311437</v>
      </c>
      <c r="I1065" s="1" t="str">
        <f>IFERROR(__xludf.DUMMYFUNCTION("""COMPUTED_VALUE"""),"นายฉัตรทพร รักวิเชียร")</f>
        <v>นายฉัตรทพร รักวิเชียร</v>
      </c>
      <c r="J1065" s="3">
        <f>IFERROR(__xludf.DUMMYFUNCTION("""COMPUTED_VALUE"""),25324.0)</f>
        <v>25324</v>
      </c>
      <c r="K1065" s="3" t="str">
        <f>IFERROR(__xludf.DUMMYFUNCTION("""COMPUTED_VALUE"""),"นายวิเชฎฐ์ ติรัตนะประคม")</f>
        <v>นายวิเชฎฐ์ ติรัตนะประคม</v>
      </c>
      <c r="L1065" s="1" t="str">
        <f>IFERROR(__xludf.DUMMYFUNCTION("""COMPUTED_VALUE"""),"14 K.Wichet T.")</f>
        <v>14 K.Wichet T.</v>
      </c>
      <c r="M1065" s="1" t="str">
        <f>IFERROR(__xludf.DUMMYFUNCTION("""COMPUTED_VALUE"""),"061-417-6569 / 086-445-5636")</f>
        <v>061-417-6569 / 086-445-5636</v>
      </c>
      <c r="N1065" s="3">
        <f>IFERROR(__xludf.DUMMYFUNCTION("""COMPUTED_VALUE"""),22658.0)</f>
        <v>22658</v>
      </c>
      <c r="O1065" s="3" t="str">
        <f>IFERROR(__xludf.DUMMYFUNCTION("""COMPUTED_VALUE"""),"BCM ถ.วิรัชหงษ์หยก ภูเก็ต")</f>
        <v>BCM ถ.วิรัชหงษ์หยก ภูเก็ต</v>
      </c>
      <c r="P1065" s="4">
        <f>IFERROR(__xludf.DUMMYFUNCTION("""COMPUTED_VALUE"""),43644.0)</f>
        <v>43644</v>
      </c>
      <c r="Q1065" s="3" t="str">
        <f>IFERROR(__xludf.DUMMYFUNCTION("""COMPUTED_VALUE"""),"A")</f>
        <v>A</v>
      </c>
      <c r="R1065" s="3" t="str">
        <f>IFERROR(__xludf.DUMMYFUNCTION("""COMPUTED_VALUE"""),"Small Format")</f>
        <v>Small Format</v>
      </c>
      <c r="S1065" s="3" t="str">
        <f>IFERROR(__xludf.DUMMYFUNCTION("""COMPUTED_VALUE"""),"BCM")</f>
        <v>BCM</v>
      </c>
      <c r="T1065" s="3" t="str">
        <f>IFERROR(__xludf.DUMMYFUNCTION("""COMPUTED_VALUE"""),"#N/A")</f>
        <v>#N/A</v>
      </c>
      <c r="U1065" s="3" t="str">
        <f>IFERROR(__xludf.DUMMYFUNCTION("""COMPUTED_VALUE"""),"#N/A")</f>
        <v>#N/A</v>
      </c>
      <c r="V1065" s="3" t="str">
        <f>IFERROR(__xludf.DUMMYFUNCTION("""COMPUTED_VALUE"""),"N")</f>
        <v>N</v>
      </c>
      <c r="W1065" s="3">
        <f>IFERROR(__xludf.DUMMYFUNCTION("""COMPUTED_VALUE"""),211824.0)</f>
        <v>211824</v>
      </c>
      <c r="X1065" s="3" t="str">
        <f>IFERROR(__xludf.DUMMYFUNCTION("""COMPUTED_VALUE"""),"6/446 ซอยหมู่บ้านทางรถไฟฝั่งตะวันตก ตำบลหัวหิน อำเภอหัวหิน จังหวัดประจวบคีรีขันธ์ 77110")</f>
        <v>6/446 ซอยหมู่บ้านทางรถไฟฝั่งตะวันตก ตำบลหัวหิน อำเภอหัวหิน จังหวัดประจวบคีรีขันธ์ 77110</v>
      </c>
      <c r="Y1065" s="3" t="str">
        <f>IFERROR(__xludf.DUMMYFUNCTION("""COMPUTED_VALUE"""),"ซอยหมู่บ้านทางรถไฟฝั่งตะวันตก")</f>
        <v>ซอยหมู่บ้านทางรถไฟฝั่งตะวันตก</v>
      </c>
      <c r="Z1065" s="3" t="str">
        <f>IFERROR(__xludf.DUMMYFUNCTION("""COMPUTED_VALUE"""),"หัวหิน")</f>
        <v>หัวหิน</v>
      </c>
      <c r="AA1065" s="3" t="str">
        <f>IFERROR(__xludf.DUMMYFUNCTION("""COMPUTED_VALUE"""),"หัวหิน")</f>
        <v>หัวหิน</v>
      </c>
      <c r="AB1065" s="3" t="str">
        <f>IFERROR(__xludf.DUMMYFUNCTION("""COMPUTED_VALUE"""),"ประจวบคีรีขันธ์")</f>
        <v>ประจวบคีรีขันธ์</v>
      </c>
      <c r="AC1065" s="3">
        <f>IFERROR(__xludf.DUMMYFUNCTION("""COMPUTED_VALUE"""),77110.0)</f>
        <v>77110</v>
      </c>
      <c r="AD1065" s="3">
        <f>IFERROR(__xludf.DUMMYFUNCTION("""COMPUTED_VALUE"""),12.557578)</f>
        <v>12.557578</v>
      </c>
      <c r="AE1065" s="3">
        <f>IFERROR(__xludf.DUMMYFUNCTION("""COMPUTED_VALUE"""),99.952961)</f>
        <v>99.952961</v>
      </c>
      <c r="AF1065" s="3" t="str">
        <f>IFERROR(__xludf.DUMMYFUNCTION("""COMPUTED_VALUE"""),"MBC ซอยหัวหิน 94 ประจวบคีรีขันธ์-21837")</f>
        <v>MBC ซอยหัวหิน 94 ประจวบคีรีขันธ์-21837</v>
      </c>
      <c r="AG1065" s="3" t="str">
        <f>IFERROR(__xludf.DUMMYFUNCTION("""COMPUTED_VALUE"""),"ตะวันตก")</f>
        <v>ตะวันตก</v>
      </c>
      <c r="AH1065" s="3" t="str">
        <f>IFERROR(__xludf.DUMMYFUNCTION("""COMPUTED_VALUE"""),"#N/A")</f>
        <v>#N/A</v>
      </c>
      <c r="AI1065" s="3" t="str">
        <f>IFERROR(__xludf.DUMMYFUNCTION("""COMPUTED_VALUE"""),"Out of warranty")</f>
        <v>Out of warranty</v>
      </c>
      <c r="AJ1065" s="3">
        <f>IFERROR(__xludf.DUMMYFUNCTION("""COMPUTED_VALUE"""),79.0)</f>
        <v>79</v>
      </c>
      <c r="AK1065" s="3" t="str">
        <f>IFERROR(__xludf.DUMMYFUNCTION("""COMPUTED_VALUE"""),"MMS14")</f>
        <v>MMS14</v>
      </c>
      <c r="AL1065" s="3"/>
    </row>
    <row r="1066" ht="15.75" customHeight="1">
      <c r="A1066" s="1" t="str">
        <f>IFERROR(__xludf.DUMMYFUNCTION("""COMPUTED_VALUE"""),"21838")</f>
        <v>21838</v>
      </c>
      <c r="B1066" s="2">
        <f>IFERROR(__xludf.DUMMYFUNCTION("""COMPUTED_VALUE"""),21838.0)</f>
        <v>21838</v>
      </c>
      <c r="C1066" s="3" t="str">
        <f>IFERROR(__xludf.DUMMYFUNCTION("""COMPUTED_VALUE"""),"MBC โรงไฟฟ้าพระนครใต้ สมุทปราการ")</f>
        <v>MBC โรงไฟฟ้าพระนครใต้ สมุทปราการ</v>
      </c>
      <c r="D1066" s="3" t="str">
        <f>IFERROR(__xludf.DUMMYFUNCTION("""COMPUTED_VALUE"""),"BCM SOUTH BANGKOK POWER PLANT")</f>
        <v>BCM SOUTH BANGKOK POWER PLANT</v>
      </c>
      <c r="E1066" s="1" t="str">
        <f>IFERROR(__xludf.DUMMYFUNCTION("""COMPUTED_VALUE"""),"บิ๊กซี MINI")</f>
        <v>บิ๊กซี MINI</v>
      </c>
      <c r="F1066" s="1" t="str">
        <f>IFERROR(__xludf.DUMMYFUNCTION("""COMPUTED_VALUE"""),"2083447")</f>
        <v>2083447</v>
      </c>
      <c r="G1066" s="1" t="str">
        <f>IFERROR(__xludf.DUMMYFUNCTION("""COMPUTED_VALUE"""),"นายอนุกูล ศรีลัดดา")</f>
        <v>นายอนุกูล ศรีลัดดา</v>
      </c>
      <c r="H1066" s="1" t="str">
        <f>IFERROR(__xludf.DUMMYFUNCTION("""COMPUTED_VALUE"""),"379037")</f>
        <v>379037</v>
      </c>
      <c r="I1066" s="1" t="str">
        <f>IFERROR(__xludf.DUMMYFUNCTION("""COMPUTED_VALUE"""),"นางแก้วใจ แก้วกาญจน์")</f>
        <v>นางแก้วใจ แก้วกาญจน์</v>
      </c>
      <c r="J1066" s="3">
        <f>IFERROR(__xludf.DUMMYFUNCTION("""COMPUTED_VALUE"""),2451655.0)</f>
        <v>2451655</v>
      </c>
      <c r="K1066" s="3" t="str">
        <f>IFERROR(__xludf.DUMMYFUNCTION("""COMPUTED_VALUE"""),"นายวิษณุพงษ์ ชินบุตร")</f>
        <v>นายวิษณุพงษ์ ชินบุตร</v>
      </c>
      <c r="L1066" s="1" t="str">
        <f>IFERROR(__xludf.DUMMYFUNCTION("""COMPUTED_VALUE"""),"13 K.Wisanupong Ch")</f>
        <v>13 K.Wisanupong Ch</v>
      </c>
      <c r="M1066" s="1" t="str">
        <f>IFERROR(__xludf.DUMMYFUNCTION("""COMPUTED_VALUE"""),"0843374693")</f>
        <v>0843374693</v>
      </c>
      <c r="N1066" s="3">
        <f>IFERROR(__xludf.DUMMYFUNCTION("""COMPUTED_VALUE"""),22729.0)</f>
        <v>22729</v>
      </c>
      <c r="O1066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066" s="4">
        <f>IFERROR(__xludf.DUMMYFUNCTION("""COMPUTED_VALUE"""),43646.0)</f>
        <v>43646</v>
      </c>
      <c r="Q1066" s="3" t="str">
        <f>IFERROR(__xludf.DUMMYFUNCTION("""COMPUTED_VALUE"""),"A")</f>
        <v>A</v>
      </c>
      <c r="R1066" s="3" t="str">
        <f>IFERROR(__xludf.DUMMYFUNCTION("""COMPUTED_VALUE"""),"Small Format")</f>
        <v>Small Format</v>
      </c>
      <c r="S1066" s="3" t="str">
        <f>IFERROR(__xludf.DUMMYFUNCTION("""COMPUTED_VALUE"""),"BCM")</f>
        <v>BCM</v>
      </c>
      <c r="T1066" s="3" t="str">
        <f>IFERROR(__xludf.DUMMYFUNCTION("""COMPUTED_VALUE"""),"#N/A")</f>
        <v>#N/A</v>
      </c>
      <c r="U1066" s="3" t="str">
        <f>IFERROR(__xludf.DUMMYFUNCTION("""COMPUTED_VALUE"""),"#N/A")</f>
        <v>#N/A</v>
      </c>
      <c r="V1066" s="3" t="str">
        <f>IFERROR(__xludf.DUMMYFUNCTION("""COMPUTED_VALUE"""),"N")</f>
        <v>N</v>
      </c>
      <c r="W1066" s="3">
        <f>IFERROR(__xludf.DUMMYFUNCTION("""COMPUTED_VALUE"""),211803.0)</f>
        <v>211803</v>
      </c>
      <c r="X1066" s="3" t="str">
        <f>IFERROR(__xludf.DUMMYFUNCTION("""COMPUTED_VALUE"""),"346 หมู่1 ตำบลบางโปรง อำเภอเมืองสมุทรปราการ จังหวัดสมุทรปราการ 10270")</f>
        <v>346 หมู่1 ตำบลบางโปรง อำเภอเมืองสมุทรปราการ จังหวัดสมุทรปราการ 10270</v>
      </c>
      <c r="Y1066" s="3"/>
      <c r="Z1066" s="3" t="str">
        <f>IFERROR(__xludf.DUMMYFUNCTION("""COMPUTED_VALUE"""),"บางโปรง")</f>
        <v>บางโปรง</v>
      </c>
      <c r="AA1066" s="3" t="str">
        <f>IFERROR(__xludf.DUMMYFUNCTION("""COMPUTED_VALUE"""),"เมืองสมุทรปราการ")</f>
        <v>เมืองสมุทรปราการ</v>
      </c>
      <c r="AB1066" s="3" t="str">
        <f>IFERROR(__xludf.DUMMYFUNCTION("""COMPUTED_VALUE"""),"สมุทรปราการ")</f>
        <v>สมุทรปราการ</v>
      </c>
      <c r="AC1066" s="3">
        <f>IFERROR(__xludf.DUMMYFUNCTION("""COMPUTED_VALUE"""),10270.0)</f>
        <v>10270</v>
      </c>
      <c r="AD1066" s="3">
        <f>IFERROR(__xludf.DUMMYFUNCTION("""COMPUTED_VALUE"""),13.622386)</f>
        <v>13.622386</v>
      </c>
      <c r="AE1066" s="3">
        <f>IFERROR(__xludf.DUMMYFUNCTION("""COMPUTED_VALUE"""),100.562608)</f>
        <v>100.562608</v>
      </c>
      <c r="AF1066" s="3" t="str">
        <f>IFERROR(__xludf.DUMMYFUNCTION("""COMPUTED_VALUE"""),"MBC โรงไฟฟ้าพระนครใต้ สมุทปราการ-21838")</f>
        <v>MBC โรงไฟฟ้าพระนครใต้ สมุทปราการ-21838</v>
      </c>
      <c r="AG1066" s="3" t="str">
        <f>IFERROR(__xludf.DUMMYFUNCTION("""COMPUTED_VALUE"""),"กลาง")</f>
        <v>กลาง</v>
      </c>
      <c r="AH1066" s="3" t="str">
        <f>IFERROR(__xludf.DUMMYFUNCTION("""COMPUTED_VALUE"""),"#N/A")</f>
        <v>#N/A</v>
      </c>
      <c r="AI1066" s="3" t="str">
        <f>IFERROR(__xludf.DUMMYFUNCTION("""COMPUTED_VALUE"""),"Out of warranty")</f>
        <v>Out of warranty</v>
      </c>
      <c r="AJ1066" s="3">
        <f>IFERROR(__xludf.DUMMYFUNCTION("""COMPUTED_VALUE"""),79.0)</f>
        <v>79</v>
      </c>
      <c r="AK1066" s="3" t="str">
        <f>IFERROR(__xludf.DUMMYFUNCTION("""COMPUTED_VALUE"""),"MMS02")</f>
        <v>MMS02</v>
      </c>
      <c r="AL1066" s="3"/>
    </row>
    <row r="1067" ht="15.75" customHeight="1">
      <c r="A1067" s="1" t="str">
        <f>IFERROR(__xludf.DUMMYFUNCTION("""COMPUTED_VALUE"""),"21839")</f>
        <v>21839</v>
      </c>
      <c r="B1067" s="2">
        <f>IFERROR(__xludf.DUMMYFUNCTION("""COMPUTED_VALUE"""),21839.0)</f>
        <v>21839</v>
      </c>
      <c r="C1067" s="3" t="str">
        <f>IFERROR(__xludf.DUMMYFUNCTION("""COMPUTED_VALUE"""),"MBC โรงพบาบาลชัยภูมิ ชัยภูมิ")</f>
        <v>MBC โรงพบาบาลชัยภูมิ ชัยภูมิ</v>
      </c>
      <c r="D1067" s="3" t="str">
        <f>IFERROR(__xludf.DUMMYFUNCTION("""COMPUTED_VALUE"""),"BCM CHAIYAPHUM HOSPITAL")</f>
        <v>BCM CHAIYAPHUM HOSPITAL</v>
      </c>
      <c r="E1067" s="1" t="str">
        <f>IFERROR(__xludf.DUMMYFUNCTION("""COMPUTED_VALUE"""),"บิ๊กซี MINI")</f>
        <v>บิ๊กซี MINI</v>
      </c>
      <c r="F1067" s="1" t="str">
        <f>IFERROR(__xludf.DUMMYFUNCTION("""COMPUTED_VALUE"""),"291105")</f>
        <v>291105</v>
      </c>
      <c r="G1067" s="1" t="str">
        <f>IFERROR(__xludf.DUMMYFUNCTION("""COMPUTED_VALUE"""),"นายสราวุฒิ พณิชยกุล")</f>
        <v>นายสราวุฒิ พณิชยกุล</v>
      </c>
      <c r="H1067" s="1" t="str">
        <f>IFERROR(__xludf.DUMMYFUNCTION("""COMPUTED_VALUE"""),"371396")</f>
        <v>371396</v>
      </c>
      <c r="I1067" s="1" t="str">
        <f>IFERROR(__xludf.DUMMYFUNCTION("""COMPUTED_VALUE"""),"น.ส.สุภาวดี วิลัยพร")</f>
        <v>น.ส.สุภาวดี วิลัยพร</v>
      </c>
      <c r="J1067" s="3">
        <f>IFERROR(__xludf.DUMMYFUNCTION("""COMPUTED_VALUE"""),15361.0)</f>
        <v>15361</v>
      </c>
      <c r="K1067" s="3" t="str">
        <f>IFERROR(__xludf.DUMMYFUNCTION("""COMPUTED_VALUE"""),"นายสมบูรณ์ พรหมในเมือง")</f>
        <v>นายสมบูรณ์ พรหมในเมือง</v>
      </c>
      <c r="L1067" s="1" t="str">
        <f>IFERROR(__xludf.DUMMYFUNCTION("""COMPUTED_VALUE"""),"04 K.Somboon P.")</f>
        <v>04 K.Somboon P.</v>
      </c>
      <c r="M1067" s="1" t="str">
        <f>IFERROR(__xludf.DUMMYFUNCTION("""COMPUTED_VALUE"""),"087-965-3051")</f>
        <v>087-965-3051</v>
      </c>
      <c r="N1067" s="3">
        <f>IFERROR(__xludf.DUMMYFUNCTION("""COMPUTED_VALUE"""),21869.0)</f>
        <v>21869</v>
      </c>
      <c r="O1067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067" s="4">
        <f>IFERROR(__xludf.DUMMYFUNCTION("""COMPUTED_VALUE"""),43646.0)</f>
        <v>43646</v>
      </c>
      <c r="Q1067" s="3" t="str">
        <f>IFERROR(__xludf.DUMMYFUNCTION("""COMPUTED_VALUE"""),"A")</f>
        <v>A</v>
      </c>
      <c r="R1067" s="3" t="str">
        <f>IFERROR(__xludf.DUMMYFUNCTION("""COMPUTED_VALUE"""),"Small Format")</f>
        <v>Small Format</v>
      </c>
      <c r="S1067" s="3" t="str">
        <f>IFERROR(__xludf.DUMMYFUNCTION("""COMPUTED_VALUE"""),"BCM")</f>
        <v>BCM</v>
      </c>
      <c r="T1067" s="3" t="str">
        <f>IFERROR(__xludf.DUMMYFUNCTION("""COMPUTED_VALUE"""),"#N/A")</f>
        <v>#N/A</v>
      </c>
      <c r="U1067" s="3" t="str">
        <f>IFERROR(__xludf.DUMMYFUNCTION("""COMPUTED_VALUE"""),"#N/A")</f>
        <v>#N/A</v>
      </c>
      <c r="V1067" s="3" t="str">
        <f>IFERROR(__xludf.DUMMYFUNCTION("""COMPUTED_VALUE"""),"N")</f>
        <v>N</v>
      </c>
      <c r="W1067" s="3">
        <f>IFERROR(__xludf.DUMMYFUNCTION("""COMPUTED_VALUE"""),211816.0)</f>
        <v>211816</v>
      </c>
      <c r="X1067" s="3" t="str">
        <f>IFERROR(__xludf.DUMMYFUNCTION("""COMPUTED_VALUE"""),"48/9 ถนนบรรณาการ ตำบลในเมือง อำเภอเมืองชัยภูมิ จังหวัดชัยภูมิ 36000")</f>
        <v>48/9 ถนนบรรณาการ ตำบลในเมือง อำเภอเมืองชัยภูมิ จังหวัดชัยภูมิ 36000</v>
      </c>
      <c r="Y1067" s="3" t="str">
        <f>IFERROR(__xludf.DUMMYFUNCTION("""COMPUTED_VALUE"""),"ถนนบรรณาการ")</f>
        <v>ถนนบรรณาการ</v>
      </c>
      <c r="Z1067" s="3" t="str">
        <f>IFERROR(__xludf.DUMMYFUNCTION("""COMPUTED_VALUE"""),"ในเมือง")</f>
        <v>ในเมือง</v>
      </c>
      <c r="AA1067" s="3" t="str">
        <f>IFERROR(__xludf.DUMMYFUNCTION("""COMPUTED_VALUE"""),"เมือง")</f>
        <v>เมือง</v>
      </c>
      <c r="AB1067" s="3" t="str">
        <f>IFERROR(__xludf.DUMMYFUNCTION("""COMPUTED_VALUE"""),"ชัยภูมิ")</f>
        <v>ชัยภูมิ</v>
      </c>
      <c r="AC1067" s="3">
        <f>IFERROR(__xludf.DUMMYFUNCTION("""COMPUTED_VALUE"""),36000.0)</f>
        <v>36000</v>
      </c>
      <c r="AD1067" s="3">
        <f>IFERROR(__xludf.DUMMYFUNCTION("""COMPUTED_VALUE"""),15.806114)</f>
        <v>15.806114</v>
      </c>
      <c r="AE1067" s="3">
        <f>IFERROR(__xludf.DUMMYFUNCTION("""COMPUTED_VALUE"""),102.036991)</f>
        <v>102.036991</v>
      </c>
      <c r="AF1067" s="3" t="str">
        <f>IFERROR(__xludf.DUMMYFUNCTION("""COMPUTED_VALUE"""),"MBC โรงพบาบาลชัยภูมิ ชัยภูมิ-21839")</f>
        <v>MBC โรงพบาบาลชัยภูมิ ชัยภูมิ-21839</v>
      </c>
      <c r="AG1067" s="3" t="str">
        <f>IFERROR(__xludf.DUMMYFUNCTION("""COMPUTED_VALUE"""),"ตะวันออกเฉียงเหนือ")</f>
        <v>ตะวันออกเฉียงเหนือ</v>
      </c>
      <c r="AH1067" s="3" t="str">
        <f>IFERROR(__xludf.DUMMYFUNCTION("""COMPUTED_VALUE"""),"#N/A")</f>
        <v>#N/A</v>
      </c>
      <c r="AI1067" s="3" t="str">
        <f>IFERROR(__xludf.DUMMYFUNCTION("""COMPUTED_VALUE"""),"Out of warranty")</f>
        <v>Out of warranty</v>
      </c>
      <c r="AJ1067" s="3">
        <f>IFERROR(__xludf.DUMMYFUNCTION("""COMPUTED_VALUE"""),79.0)</f>
        <v>79</v>
      </c>
      <c r="AK1067" s="3" t="str">
        <f>IFERROR(__xludf.DUMMYFUNCTION("""COMPUTED_VALUE"""),"MMS11")</f>
        <v>MMS11</v>
      </c>
      <c r="AL1067" s="3"/>
    </row>
    <row r="1068" ht="15.75" customHeight="1">
      <c r="A1068" s="1" t="str">
        <f>IFERROR(__xludf.DUMMYFUNCTION("""COMPUTED_VALUE"""),"21840")</f>
        <v>21840</v>
      </c>
      <c r="B1068" s="2">
        <f>IFERROR(__xludf.DUMMYFUNCTION("""COMPUTED_VALUE"""),21840.0)</f>
        <v>21840</v>
      </c>
      <c r="C1068" s="3" t="str">
        <f>IFERROR(__xludf.DUMMYFUNCTION("""COMPUTED_VALUE"""),"MBC บ้านค่ายหมื่นแผ้ว ชัยภูมิ")</f>
        <v>MBC บ้านค่ายหมื่นแผ้ว ชัยภูมิ</v>
      </c>
      <c r="D1068" s="3" t="str">
        <f>IFERROR(__xludf.DUMMYFUNCTION("""COMPUTED_VALUE"""),"BCM BAN KHAI MUEN PHAEOW")</f>
        <v>BCM BAN KHAI MUEN PHAEOW</v>
      </c>
      <c r="E1068" s="1" t="str">
        <f>IFERROR(__xludf.DUMMYFUNCTION("""COMPUTED_VALUE"""),"บิ๊กซี MINI")</f>
        <v>บิ๊กซี MINI</v>
      </c>
      <c r="F1068" s="1" t="str">
        <f>IFERROR(__xludf.DUMMYFUNCTION("""COMPUTED_VALUE"""),"291105")</f>
        <v>291105</v>
      </c>
      <c r="G1068" s="1" t="str">
        <f>IFERROR(__xludf.DUMMYFUNCTION("""COMPUTED_VALUE"""),"นายสราวุฒิ พณิชยกุล")</f>
        <v>นายสราวุฒิ พณิชยกุล</v>
      </c>
      <c r="H1068" s="1" t="str">
        <f>IFERROR(__xludf.DUMMYFUNCTION("""COMPUTED_VALUE"""),"371396")</f>
        <v>371396</v>
      </c>
      <c r="I1068" s="1" t="str">
        <f>IFERROR(__xludf.DUMMYFUNCTION("""COMPUTED_VALUE"""),"น.ส.สุภาวดี วิลัยพร")</f>
        <v>น.ส.สุภาวดี วิลัยพร</v>
      </c>
      <c r="J1068" s="3">
        <f>IFERROR(__xludf.DUMMYFUNCTION("""COMPUTED_VALUE"""),15361.0)</f>
        <v>15361</v>
      </c>
      <c r="K1068" s="3" t="str">
        <f>IFERROR(__xludf.DUMMYFUNCTION("""COMPUTED_VALUE"""),"นายสมบูรณ์ พรหมในเมือง")</f>
        <v>นายสมบูรณ์ พรหมในเมือง</v>
      </c>
      <c r="L1068" s="1" t="str">
        <f>IFERROR(__xludf.DUMMYFUNCTION("""COMPUTED_VALUE"""),"04 K.Somboon P.")</f>
        <v>04 K.Somboon P.</v>
      </c>
      <c r="M1068" s="1" t="str">
        <f>IFERROR(__xludf.DUMMYFUNCTION("""COMPUTED_VALUE"""),"087-965-3051")</f>
        <v>087-965-3051</v>
      </c>
      <c r="N1068" s="3">
        <f>IFERROR(__xludf.DUMMYFUNCTION("""COMPUTED_VALUE"""),21869.0)</f>
        <v>21869</v>
      </c>
      <c r="O1068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068" s="4">
        <f>IFERROR(__xludf.DUMMYFUNCTION("""COMPUTED_VALUE"""),43646.0)</f>
        <v>43646</v>
      </c>
      <c r="Q1068" s="3" t="str">
        <f>IFERROR(__xludf.DUMMYFUNCTION("""COMPUTED_VALUE"""),"A")</f>
        <v>A</v>
      </c>
      <c r="R1068" s="3" t="str">
        <f>IFERROR(__xludf.DUMMYFUNCTION("""COMPUTED_VALUE"""),"Small Format")</f>
        <v>Small Format</v>
      </c>
      <c r="S1068" s="3" t="str">
        <f>IFERROR(__xludf.DUMMYFUNCTION("""COMPUTED_VALUE"""),"BCM")</f>
        <v>BCM</v>
      </c>
      <c r="T1068" s="3" t="str">
        <f>IFERROR(__xludf.DUMMYFUNCTION("""COMPUTED_VALUE"""),"#N/A")</f>
        <v>#N/A</v>
      </c>
      <c r="U1068" s="3" t="str">
        <f>IFERROR(__xludf.DUMMYFUNCTION("""COMPUTED_VALUE"""),"#N/A")</f>
        <v>#N/A</v>
      </c>
      <c r="V1068" s="3" t="str">
        <f>IFERROR(__xludf.DUMMYFUNCTION("""COMPUTED_VALUE"""),"N")</f>
        <v>N</v>
      </c>
      <c r="W1068" s="3">
        <f>IFERROR(__xludf.DUMMYFUNCTION("""COMPUTED_VALUE"""),211796.0)</f>
        <v>211796</v>
      </c>
      <c r="X1068" s="3" t="str">
        <f>IFERROR(__xludf.DUMMYFUNCTION("""COMPUTED_VALUE"""),"858 หมู่1 ตำบลบ้านค่าย อำเภอเมืองชัยภูมิ จังหวัดชัยภูมิ 36240")</f>
        <v>858 หมู่1 ตำบลบ้านค่าย อำเภอเมืองชัยภูมิ จังหวัดชัยภูมิ 36240</v>
      </c>
      <c r="Y1068" s="3"/>
      <c r="Z1068" s="3" t="str">
        <f>IFERROR(__xludf.DUMMYFUNCTION("""COMPUTED_VALUE"""),"บ้านค่าย")</f>
        <v>บ้านค่าย</v>
      </c>
      <c r="AA1068" s="3" t="str">
        <f>IFERROR(__xludf.DUMMYFUNCTION("""COMPUTED_VALUE"""),"เมือง")</f>
        <v>เมือง</v>
      </c>
      <c r="AB1068" s="3" t="str">
        <f>IFERROR(__xludf.DUMMYFUNCTION("""COMPUTED_VALUE"""),"ชัยภูมิ")</f>
        <v>ชัยภูมิ</v>
      </c>
      <c r="AC1068" s="3">
        <f>IFERROR(__xludf.DUMMYFUNCTION("""COMPUTED_VALUE"""),36240.0)</f>
        <v>36240</v>
      </c>
      <c r="AD1068" s="3">
        <f>IFERROR(__xludf.DUMMYFUNCTION("""COMPUTED_VALUE"""),15.690997)</f>
        <v>15.690997</v>
      </c>
      <c r="AE1068" s="3">
        <f>IFERROR(__xludf.DUMMYFUNCTION("""COMPUTED_VALUE"""),102.01192)</f>
        <v>102.01192</v>
      </c>
      <c r="AF1068" s="3" t="str">
        <f>IFERROR(__xludf.DUMMYFUNCTION("""COMPUTED_VALUE"""),"MBC บ้านค่ายหมื่นแผ้ว ชัยภูมิ-21840")</f>
        <v>MBC บ้านค่ายหมื่นแผ้ว ชัยภูมิ-21840</v>
      </c>
      <c r="AG1068" s="3" t="str">
        <f>IFERROR(__xludf.DUMMYFUNCTION("""COMPUTED_VALUE"""),"ตะวันออกเฉียงเหนือ")</f>
        <v>ตะวันออกเฉียงเหนือ</v>
      </c>
      <c r="AH1068" s="3" t="str">
        <f>IFERROR(__xludf.DUMMYFUNCTION("""COMPUTED_VALUE"""),"#N/A")</f>
        <v>#N/A</v>
      </c>
      <c r="AI1068" s="3" t="str">
        <f>IFERROR(__xludf.DUMMYFUNCTION("""COMPUTED_VALUE"""),"Out of warranty")</f>
        <v>Out of warranty</v>
      </c>
      <c r="AJ1068" s="3">
        <f>IFERROR(__xludf.DUMMYFUNCTION("""COMPUTED_VALUE"""),79.0)</f>
        <v>79</v>
      </c>
      <c r="AK1068" s="3" t="str">
        <f>IFERROR(__xludf.DUMMYFUNCTION("""COMPUTED_VALUE"""),"MMS11")</f>
        <v>MMS11</v>
      </c>
      <c r="AL1068" s="3"/>
    </row>
    <row r="1069" ht="15.75" customHeight="1">
      <c r="A1069" s="1" t="str">
        <f>IFERROR(__xludf.DUMMYFUNCTION("""COMPUTED_VALUE"""),"21841")</f>
        <v>21841</v>
      </c>
      <c r="B1069" s="2">
        <f>IFERROR(__xludf.DUMMYFUNCTION("""COMPUTED_VALUE"""),21841.0)</f>
        <v>21841</v>
      </c>
      <c r="C1069" s="3" t="str">
        <f>IFERROR(__xludf.DUMMYFUNCTION("""COMPUTED_VALUE"""),"MBC ตลาดสดชุมพร ชุมพร")</f>
        <v>MBC ตลาดสดชุมพร ชุมพร</v>
      </c>
      <c r="D1069" s="3" t="str">
        <f>IFERROR(__xludf.DUMMYFUNCTION("""COMPUTED_VALUE"""),"MBC TALAD SOD CHUMPHON")</f>
        <v>MBC TALAD SOD CHUMPHON</v>
      </c>
      <c r="E1069" s="1" t="str">
        <f>IFERROR(__xludf.DUMMYFUNCTION("""COMPUTED_VALUE"""),"บิ๊กซี MINI")</f>
        <v>บิ๊กซี MINI</v>
      </c>
      <c r="F1069" s="1" t="str">
        <f>IFERROR(__xludf.DUMMYFUNCTION("""COMPUTED_VALUE"""),"2010918")</f>
        <v>2010918</v>
      </c>
      <c r="G1069" s="1" t="str">
        <f>IFERROR(__xludf.DUMMYFUNCTION("""COMPUTED_VALUE"""),"น.ส.สุดารัตน์ รัตนประดิษฐ์")</f>
        <v>น.ส.สุดารัตน์ รัตนประดิษฐ์</v>
      </c>
      <c r="H1069" s="1" t="str">
        <f>IFERROR(__xludf.DUMMYFUNCTION("""COMPUTED_VALUE"""),"356760")</f>
        <v>356760</v>
      </c>
      <c r="I1069" s="1" t="str">
        <f>IFERROR(__xludf.DUMMYFUNCTION("""COMPUTED_VALUE"""),"นายภูมิภัทร แก้วพรรณราย")</f>
        <v>นายภูมิภัทร แก้วพรรณราย</v>
      </c>
      <c r="J1069" s="3">
        <f>IFERROR(__xludf.DUMMYFUNCTION("""COMPUTED_VALUE"""),2.0470331E7)</f>
        <v>20470331</v>
      </c>
      <c r="K1069" s="3" t="str">
        <f>IFERROR(__xludf.DUMMYFUNCTION("""COMPUTED_VALUE"""),"นายสมชาย ลักษณะสุวรรณ")</f>
        <v>นายสมชาย ลักษณะสุวรรณ</v>
      </c>
      <c r="L1069" s="1" t="str">
        <f>IFERROR(__xludf.DUMMYFUNCTION("""COMPUTED_VALUE"""),"15 K.Somchai L")</f>
        <v>15 K.Somchai L</v>
      </c>
      <c r="M1069" s="1" t="str">
        <f>IFERROR(__xludf.DUMMYFUNCTION("""COMPUTED_VALUE"""),"0655107372")</f>
        <v>0655107372</v>
      </c>
      <c r="N1069" s="3">
        <f>IFERROR(__xludf.DUMMYFUNCTION("""COMPUTED_VALUE"""),21723.0)</f>
        <v>21723</v>
      </c>
      <c r="O1069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069" s="4">
        <f>IFERROR(__xludf.DUMMYFUNCTION("""COMPUTED_VALUE"""),43645.0)</f>
        <v>43645</v>
      </c>
      <c r="Q1069" s="3" t="str">
        <f>IFERROR(__xludf.DUMMYFUNCTION("""COMPUTED_VALUE"""),"I")</f>
        <v>I</v>
      </c>
      <c r="R1069" s="3" t="str">
        <f>IFERROR(__xludf.DUMMYFUNCTION("""COMPUTED_VALUE"""),"Small Format")</f>
        <v>Small Format</v>
      </c>
      <c r="S1069" s="3" t="str">
        <f>IFERROR(__xludf.DUMMYFUNCTION("""COMPUTED_VALUE"""),"BCM")</f>
        <v>BCM</v>
      </c>
      <c r="T1069" s="3" t="str">
        <f>IFERROR(__xludf.DUMMYFUNCTION("""COMPUTED_VALUE"""),"#N/A")</f>
        <v>#N/A</v>
      </c>
      <c r="U1069" s="3" t="str">
        <f>IFERROR(__xludf.DUMMYFUNCTION("""COMPUTED_VALUE"""),"#N/A")</f>
        <v>#N/A</v>
      </c>
      <c r="V1069" s="3" t="str">
        <f>IFERROR(__xludf.DUMMYFUNCTION("""COMPUTED_VALUE"""),"N")</f>
        <v>N</v>
      </c>
      <c r="W1069" s="3">
        <f>IFERROR(__xludf.DUMMYFUNCTION("""COMPUTED_VALUE"""),211826.0)</f>
        <v>211826</v>
      </c>
      <c r="X1069" s="3" t="str">
        <f>IFERROR(__xludf.DUMMYFUNCTION("""COMPUTED_VALUE"""),"121 ถนนประชาอุทิศ ตำบลท่าตะเภา อำเภอเมืองชุมพร จังหวัดชุมพร 86000")</f>
        <v>121 ถนนประชาอุทิศ ตำบลท่าตะเภา อำเภอเมืองชุมพร จังหวัดชุมพร 86000</v>
      </c>
      <c r="Y1069" s="3" t="str">
        <f>IFERROR(__xludf.DUMMYFUNCTION("""COMPUTED_VALUE"""),"ถนนประชาอุทิศ")</f>
        <v>ถนนประชาอุทิศ</v>
      </c>
      <c r="Z1069" s="3" t="str">
        <f>IFERROR(__xludf.DUMMYFUNCTION("""COMPUTED_VALUE"""),"ท่าตะเภา")</f>
        <v>ท่าตะเภา</v>
      </c>
      <c r="AA1069" s="3" t="str">
        <f>IFERROR(__xludf.DUMMYFUNCTION("""COMPUTED_VALUE"""),"เมือง")</f>
        <v>เมือง</v>
      </c>
      <c r="AB1069" s="3" t="str">
        <f>IFERROR(__xludf.DUMMYFUNCTION("""COMPUTED_VALUE"""),"ชุมพร")</f>
        <v>ชุมพร</v>
      </c>
      <c r="AC1069" s="3">
        <f>IFERROR(__xludf.DUMMYFUNCTION("""COMPUTED_VALUE"""),86000.0)</f>
        <v>86000</v>
      </c>
      <c r="AD1069" s="3">
        <f>IFERROR(__xludf.DUMMYFUNCTION("""COMPUTED_VALUE"""),10.496131)</f>
        <v>10.496131</v>
      </c>
      <c r="AE1069" s="3">
        <f>IFERROR(__xludf.DUMMYFUNCTION("""COMPUTED_VALUE"""),99.178072)</f>
        <v>99.178072</v>
      </c>
      <c r="AF1069" s="3" t="str">
        <f>IFERROR(__xludf.DUMMYFUNCTION("""COMPUTED_VALUE"""),"MBC ตลาดสดชุมพร ชุมพร-21841")</f>
        <v>MBC ตลาดสดชุมพร ชุมพร-21841</v>
      </c>
      <c r="AG1069" s="3" t="str">
        <f>IFERROR(__xludf.DUMMYFUNCTION("""COMPUTED_VALUE"""),"ใต้")</f>
        <v>ใต้</v>
      </c>
      <c r="AH1069" s="3" t="str">
        <f>IFERROR(__xludf.DUMMYFUNCTION("""COMPUTED_VALUE"""),"#N/A")</f>
        <v>#N/A</v>
      </c>
      <c r="AI1069" s="3" t="str">
        <f>IFERROR(__xludf.DUMMYFUNCTION("""COMPUTED_VALUE"""),"Out of warranty")</f>
        <v>Out of warranty</v>
      </c>
      <c r="AJ1069" s="3">
        <f>IFERROR(__xludf.DUMMYFUNCTION("""COMPUTED_VALUE"""),79.0)</f>
        <v>79</v>
      </c>
      <c r="AK1069" s="3"/>
      <c r="AL1069" s="3"/>
    </row>
    <row r="1070" ht="15.75" customHeight="1">
      <c r="A1070" s="1" t="str">
        <f>IFERROR(__xludf.DUMMYFUNCTION("""COMPUTED_VALUE"""),"21842")</f>
        <v>21842</v>
      </c>
      <c r="B1070" s="2">
        <f>IFERROR(__xludf.DUMMYFUNCTION("""COMPUTED_VALUE"""),21842.0)</f>
        <v>21842</v>
      </c>
      <c r="C1070" s="3" t="str">
        <f>IFERROR(__xludf.DUMMYFUNCTION("""COMPUTED_VALUE"""),"MBC บางจากพุทธมณฑลสาย 4 นครปฐม")</f>
        <v>MBC บางจากพุทธมณฑลสาย 4 นครปฐม</v>
      </c>
      <c r="D1070" s="3" t="str">
        <f>IFERROR(__xludf.DUMMYFUNCTION("""COMPUTED_VALUE"""),"BCM BCP PHUTTHAMONTHON SAI 4")</f>
        <v>BCM BCP PHUTTHAMONTHON SAI 4</v>
      </c>
      <c r="E1070" s="1" t="str">
        <f>IFERROR(__xludf.DUMMYFUNCTION("""COMPUTED_VALUE"""),"บิ๊กซี MINI")</f>
        <v>บิ๊กซี MINI</v>
      </c>
      <c r="F1070" s="1" t="str">
        <f>IFERROR(__xludf.DUMMYFUNCTION("""COMPUTED_VALUE"""),"296229")</f>
        <v>296229</v>
      </c>
      <c r="G1070" s="1" t="str">
        <f>IFERROR(__xludf.DUMMYFUNCTION("""COMPUTED_VALUE"""),"นายทนงศักดิ์ บุญมา")</f>
        <v>นายทนงศักดิ์ บุญมา</v>
      </c>
      <c r="H1070" s="1" t="str">
        <f>IFERROR(__xludf.DUMMYFUNCTION("""COMPUTED_VALUE"""),"295245")</f>
        <v>295245</v>
      </c>
      <c r="I1070" s="1" t="str">
        <f>IFERROR(__xludf.DUMMYFUNCTION("""COMPUTED_VALUE"""),"นายมานะ วงศ์สุโชโต")</f>
        <v>นายมานะ วงศ์สุโชโต</v>
      </c>
      <c r="J1070" s="3">
        <f>IFERROR(__xludf.DUMMYFUNCTION("""COMPUTED_VALUE"""),46214.0)</f>
        <v>46214</v>
      </c>
      <c r="K1070" s="3" t="str">
        <f>IFERROR(__xludf.DUMMYFUNCTION("""COMPUTED_VALUE"""),"นายศักดิ์ชัย เด็ดดอกฟ้า")</f>
        <v>นายศักดิ์ชัย เด็ดดอกฟ้า</v>
      </c>
      <c r="L1070" s="1" t="str">
        <f>IFERROR(__xludf.DUMMYFUNCTION("""COMPUTED_VALUE"""),"02 K.Sakchai D")</f>
        <v>02 K.Sakchai D</v>
      </c>
      <c r="M1070" s="1" t="str">
        <f>IFERROR(__xludf.DUMMYFUNCTION("""COMPUTED_VALUE"""),"065-510-7376")</f>
        <v>065-510-7376</v>
      </c>
      <c r="N1070" s="3">
        <f>IFERROR(__xludf.DUMMYFUNCTION("""COMPUTED_VALUE"""),21714.0)</f>
        <v>21714</v>
      </c>
      <c r="O1070" s="3" t="str">
        <f>IFERROR(__xludf.DUMMYFUNCTION("""COMPUTED_VALUE"""),"MBC เอสโซ่ วัดโบสถ์")</f>
        <v>MBC เอสโซ่ วัดโบสถ์</v>
      </c>
      <c r="P1070" s="4">
        <f>IFERROR(__xludf.DUMMYFUNCTION("""COMPUTED_VALUE"""),43632.0)</f>
        <v>43632</v>
      </c>
      <c r="Q1070" s="3" t="str">
        <f>IFERROR(__xludf.DUMMYFUNCTION("""COMPUTED_VALUE"""),"A")</f>
        <v>A</v>
      </c>
      <c r="R1070" s="3" t="str">
        <f>IFERROR(__xludf.DUMMYFUNCTION("""COMPUTED_VALUE"""),"Small Format")</f>
        <v>Small Format</v>
      </c>
      <c r="S1070" s="3" t="str">
        <f>IFERROR(__xludf.DUMMYFUNCTION("""COMPUTED_VALUE"""),"BCM")</f>
        <v>BCM</v>
      </c>
      <c r="T1070" s="3" t="str">
        <f>IFERROR(__xludf.DUMMYFUNCTION("""COMPUTED_VALUE"""),"#N/A")</f>
        <v>#N/A</v>
      </c>
      <c r="U1070" s="3" t="str">
        <f>IFERROR(__xludf.DUMMYFUNCTION("""COMPUTED_VALUE"""),"#N/A")</f>
        <v>#N/A</v>
      </c>
      <c r="V1070" s="3" t="str">
        <f>IFERROR(__xludf.DUMMYFUNCTION("""COMPUTED_VALUE"""),"N")</f>
        <v>N</v>
      </c>
      <c r="W1070" s="3">
        <f>IFERROR(__xludf.DUMMYFUNCTION("""COMPUTED_VALUE"""),211853.0)</f>
        <v>211853</v>
      </c>
      <c r="X1070" s="3" t="str">
        <f>IFERROR(__xludf.DUMMYFUNCTION("""COMPUTED_VALUE"""),"111/3 หมู่8 ตำบลกระทุ่มล้ม อำเภอสามพราน จังหวัดนครปฐม 73220")</f>
        <v>111/3 หมู่8 ตำบลกระทุ่มล้ม อำเภอสามพราน จังหวัดนครปฐม 73220</v>
      </c>
      <c r="Y1070" s="3"/>
      <c r="Z1070" s="3" t="str">
        <f>IFERROR(__xludf.DUMMYFUNCTION("""COMPUTED_VALUE"""),"กระทุ่มล้ม")</f>
        <v>กระทุ่มล้ม</v>
      </c>
      <c r="AA1070" s="3" t="str">
        <f>IFERROR(__xludf.DUMMYFUNCTION("""COMPUTED_VALUE"""),"สามพราน")</f>
        <v>สามพราน</v>
      </c>
      <c r="AB1070" s="3" t="str">
        <f>IFERROR(__xludf.DUMMYFUNCTION("""COMPUTED_VALUE"""),"นครปฐม")</f>
        <v>นครปฐม</v>
      </c>
      <c r="AC1070" s="3">
        <f>IFERROR(__xludf.DUMMYFUNCTION("""COMPUTED_VALUE"""),73220.0)</f>
        <v>73220</v>
      </c>
      <c r="AD1070" s="3">
        <f>IFERROR(__xludf.DUMMYFUNCTION("""COMPUTED_VALUE"""),13.758399)</f>
        <v>13.758399</v>
      </c>
      <c r="AE1070" s="3">
        <f>IFERROR(__xludf.DUMMYFUNCTION("""COMPUTED_VALUE"""),100.329153)</f>
        <v>100.329153</v>
      </c>
      <c r="AF1070" s="3" t="str">
        <f>IFERROR(__xludf.DUMMYFUNCTION("""COMPUTED_VALUE"""),"MBC บางจากพุทธมณฑลสาย 4 นครปฐม-21842")</f>
        <v>MBC บางจากพุทธมณฑลสาย 4 นครปฐม-21842</v>
      </c>
      <c r="AG1070" s="3" t="str">
        <f>IFERROR(__xludf.DUMMYFUNCTION("""COMPUTED_VALUE"""),"กลาง")</f>
        <v>กลาง</v>
      </c>
      <c r="AH1070" s="3" t="str">
        <f>IFERROR(__xludf.DUMMYFUNCTION("""COMPUTED_VALUE"""),"#N/A")</f>
        <v>#N/A</v>
      </c>
      <c r="AI1070" s="3" t="str">
        <f>IFERROR(__xludf.DUMMYFUNCTION("""COMPUTED_VALUE"""),"Out of warranty")</f>
        <v>Out of warranty</v>
      </c>
      <c r="AJ1070" s="3">
        <f>IFERROR(__xludf.DUMMYFUNCTION("""COMPUTED_VALUE"""),80.0)</f>
        <v>80</v>
      </c>
      <c r="AK1070" s="3" t="str">
        <f>IFERROR(__xludf.DUMMYFUNCTION("""COMPUTED_VALUE"""),"MMS05")</f>
        <v>MMS05</v>
      </c>
      <c r="AL1070" s="3"/>
    </row>
    <row r="1071" ht="15.75" customHeight="1">
      <c r="A1071" s="1" t="str">
        <f>IFERROR(__xludf.DUMMYFUNCTION("""COMPUTED_VALUE"""),"21843")</f>
        <v>21843</v>
      </c>
      <c r="B1071" s="2">
        <f>IFERROR(__xludf.DUMMYFUNCTION("""COMPUTED_VALUE"""),21843.0)</f>
        <v>21843</v>
      </c>
      <c r="C1071" s="3" t="str">
        <f>IFERROR(__xludf.DUMMYFUNCTION("""COMPUTED_VALUE"""),"MBC มาบยางพร-วังตาผิน2 ระยอง")</f>
        <v>MBC มาบยางพร-วังตาผิน2 ระยอง</v>
      </c>
      <c r="D1071" s="3" t="str">
        <f>IFERROR(__xludf.DUMMYFUNCTION("""COMPUTED_VALUE"""),"BCM MABYANGPORN-WANGTAPIN 2")</f>
        <v>BCM MABYANGPORN-WANGTAPIN 2</v>
      </c>
      <c r="E1071" s="1" t="str">
        <f>IFERROR(__xludf.DUMMYFUNCTION("""COMPUTED_VALUE"""),"บิ๊กซี MINI")</f>
        <v>บิ๊กซี MINI</v>
      </c>
      <c r="F1071" s="1" t="str">
        <f>IFERROR(__xludf.DUMMYFUNCTION("""COMPUTED_VALUE"""),"221716")</f>
        <v>221716</v>
      </c>
      <c r="G1071" s="1" t="str">
        <f>IFERROR(__xludf.DUMMYFUNCTION("""COMPUTED_VALUE"""),"น.ส.เบญจพร โพธิสาร")</f>
        <v>น.ส.เบญจพร โพธิสาร</v>
      </c>
      <c r="H1071" s="1" t="str">
        <f>IFERROR(__xludf.DUMMYFUNCTION("""COMPUTED_VALUE"""),"371384")</f>
        <v>371384</v>
      </c>
      <c r="I1071" s="1" t="str">
        <f>IFERROR(__xludf.DUMMYFUNCTION("""COMPUTED_VALUE"""),"น.ส.นิลเนตร สิงห์ทอง")</f>
        <v>น.ส.นิลเนตร สิงห์ทอง</v>
      </c>
      <c r="J1071" s="3">
        <f>IFERROR(__xludf.DUMMYFUNCTION("""COMPUTED_VALUE"""),2452376.0)</f>
        <v>2452376</v>
      </c>
      <c r="K1071" s="3" t="str">
        <f>IFERROR(__xludf.DUMMYFUNCTION("""COMPUTED_VALUE"""),"นายภาคภูมิ ทวีกุล")</f>
        <v>นายภาคภูมิ ทวีกุล</v>
      </c>
      <c r="L1071" s="1" t="str">
        <f>IFERROR(__xludf.DUMMYFUNCTION("""COMPUTED_VALUE"""),"08 K.Parkphum T.")</f>
        <v>08 K.Parkphum T.</v>
      </c>
      <c r="M1071" s="1" t="str">
        <f>IFERROR(__xludf.DUMMYFUNCTION("""COMPUTED_VALUE"""),"097-919-5476")</f>
        <v>097-919-5476</v>
      </c>
      <c r="N1071" s="3">
        <f>IFERROR(__xludf.DUMMYFUNCTION("""COMPUTED_VALUE"""),22028.0)</f>
        <v>22028</v>
      </c>
      <c r="O1071" s="3" t="str">
        <f>IFERROR(__xludf.DUMMYFUNCTION("""COMPUTED_VALUE"""),"MBC ทํบมา ระยอง")</f>
        <v>MBC ทํบมา ระยอง</v>
      </c>
      <c r="P1071" s="4">
        <f>IFERROR(__xludf.DUMMYFUNCTION("""COMPUTED_VALUE"""),43634.0)</f>
        <v>43634</v>
      </c>
      <c r="Q1071" s="3" t="str">
        <f>IFERROR(__xludf.DUMMYFUNCTION("""COMPUTED_VALUE"""),"A")</f>
        <v>A</v>
      </c>
      <c r="R1071" s="3" t="str">
        <f>IFERROR(__xludf.DUMMYFUNCTION("""COMPUTED_VALUE"""),"Small Format")</f>
        <v>Small Format</v>
      </c>
      <c r="S1071" s="3" t="str">
        <f>IFERROR(__xludf.DUMMYFUNCTION("""COMPUTED_VALUE"""),"BCM")</f>
        <v>BCM</v>
      </c>
      <c r="T1071" s="3" t="str">
        <f>IFERROR(__xludf.DUMMYFUNCTION("""COMPUTED_VALUE"""),"#N/A")</f>
        <v>#N/A</v>
      </c>
      <c r="U1071" s="3" t="str">
        <f>IFERROR(__xludf.DUMMYFUNCTION("""COMPUTED_VALUE"""),"#N/A")</f>
        <v>#N/A</v>
      </c>
      <c r="V1071" s="3" t="str">
        <f>IFERROR(__xludf.DUMMYFUNCTION("""COMPUTED_VALUE"""),"N")</f>
        <v>N</v>
      </c>
      <c r="W1071" s="3">
        <f>IFERROR(__xludf.DUMMYFUNCTION("""COMPUTED_VALUE"""),211842.0)</f>
        <v>211842</v>
      </c>
      <c r="X1071" s="3" t="str">
        <f>IFERROR(__xludf.DUMMYFUNCTION("""COMPUTED_VALUE"""),"125/4 หมู่3 ตำบลมาบยางพร อำเภอปลวกแดง จังหวัดระยอง 21140")</f>
        <v>125/4 หมู่3 ตำบลมาบยางพร อำเภอปลวกแดง จังหวัดระยอง 21140</v>
      </c>
      <c r="Y1071" s="3"/>
      <c r="Z1071" s="3" t="str">
        <f>IFERROR(__xludf.DUMMYFUNCTION("""COMPUTED_VALUE"""),"มาบยางพร")</f>
        <v>มาบยางพร</v>
      </c>
      <c r="AA1071" s="3" t="str">
        <f>IFERROR(__xludf.DUMMYFUNCTION("""COMPUTED_VALUE"""),"ปลวกแดง")</f>
        <v>ปลวกแดง</v>
      </c>
      <c r="AB1071" s="3" t="str">
        <f>IFERROR(__xludf.DUMMYFUNCTION("""COMPUTED_VALUE"""),"ระยอง")</f>
        <v>ระยอง</v>
      </c>
      <c r="AC1071" s="3">
        <f>IFERROR(__xludf.DUMMYFUNCTION("""COMPUTED_VALUE"""),21140.0)</f>
        <v>21140</v>
      </c>
      <c r="AD1071" s="3">
        <f>IFERROR(__xludf.DUMMYFUNCTION("""COMPUTED_VALUE"""),12.991234)</f>
        <v>12.991234</v>
      </c>
      <c r="AE1071" s="3">
        <f>IFERROR(__xludf.DUMMYFUNCTION("""COMPUTED_VALUE"""),101.147536)</f>
        <v>101.147536</v>
      </c>
      <c r="AF1071" s="3" t="str">
        <f>IFERROR(__xludf.DUMMYFUNCTION("""COMPUTED_VALUE"""),"MBC มาบยางพร-วังตาผิน2 ระยอง-21843")</f>
        <v>MBC มาบยางพร-วังตาผิน2 ระยอง-21843</v>
      </c>
      <c r="AG1071" s="3" t="str">
        <f>IFERROR(__xludf.DUMMYFUNCTION("""COMPUTED_VALUE"""),"ตะวันออก")</f>
        <v>ตะวันออก</v>
      </c>
      <c r="AH1071" s="3" t="str">
        <f>IFERROR(__xludf.DUMMYFUNCTION("""COMPUTED_VALUE"""),"#N/A")</f>
        <v>#N/A</v>
      </c>
      <c r="AI1071" s="3" t="str">
        <f>IFERROR(__xludf.DUMMYFUNCTION("""COMPUTED_VALUE"""),"Out of warranty")</f>
        <v>Out of warranty</v>
      </c>
      <c r="AJ1071" s="3">
        <f>IFERROR(__xludf.DUMMYFUNCTION("""COMPUTED_VALUE"""),80.0)</f>
        <v>80</v>
      </c>
      <c r="AK1071" s="3" t="str">
        <f>IFERROR(__xludf.DUMMYFUNCTION("""COMPUTED_VALUE"""),"MMS07")</f>
        <v>MMS07</v>
      </c>
      <c r="AL1071" s="3"/>
    </row>
    <row r="1072" ht="15.75" customHeight="1">
      <c r="A1072" s="1" t="str">
        <f>IFERROR(__xludf.DUMMYFUNCTION("""COMPUTED_VALUE"""),"21844")</f>
        <v>21844</v>
      </c>
      <c r="B1072" s="2">
        <f>IFERROR(__xludf.DUMMYFUNCTION("""COMPUTED_VALUE"""),21844.0)</f>
        <v>21844</v>
      </c>
      <c r="C1072" s="3" t="str">
        <f>IFERROR(__xludf.DUMMYFUNCTION("""COMPUTED_VALUE"""),"MBC มาบยางพร 19 ระยอง")</f>
        <v>MBC มาบยางพร 19 ระยอง</v>
      </c>
      <c r="D1072" s="3" t="str">
        <f>IFERROR(__xludf.DUMMYFUNCTION("""COMPUTED_VALUE"""),"BCM MABYANGPORN 19,RAYONG")</f>
        <v>BCM MABYANGPORN 19,RAYONG</v>
      </c>
      <c r="E1072" s="1" t="str">
        <f>IFERROR(__xludf.DUMMYFUNCTION("""COMPUTED_VALUE"""),"บิ๊กซี MINI")</f>
        <v>บิ๊กซี MINI</v>
      </c>
      <c r="F1072" s="1" t="str">
        <f>IFERROR(__xludf.DUMMYFUNCTION("""COMPUTED_VALUE"""),"221716")</f>
        <v>221716</v>
      </c>
      <c r="G1072" s="1" t="str">
        <f>IFERROR(__xludf.DUMMYFUNCTION("""COMPUTED_VALUE"""),"น.ส.เบญจพร โพธิสาร")</f>
        <v>น.ส.เบญจพร โพธิสาร</v>
      </c>
      <c r="H1072" s="1" t="str">
        <f>IFERROR(__xludf.DUMMYFUNCTION("""COMPUTED_VALUE"""),"371384")</f>
        <v>371384</v>
      </c>
      <c r="I1072" s="1" t="str">
        <f>IFERROR(__xludf.DUMMYFUNCTION("""COMPUTED_VALUE"""),"น.ส.นิลเนตร สิงห์ทอง")</f>
        <v>น.ส.นิลเนตร สิงห์ทอง</v>
      </c>
      <c r="J1072" s="3">
        <f>IFERROR(__xludf.DUMMYFUNCTION("""COMPUTED_VALUE"""),2452376.0)</f>
        <v>2452376</v>
      </c>
      <c r="K1072" s="3" t="str">
        <f>IFERROR(__xludf.DUMMYFUNCTION("""COMPUTED_VALUE"""),"นายภาคภูมิ ทวีกุล")</f>
        <v>นายภาคภูมิ ทวีกุล</v>
      </c>
      <c r="L1072" s="1" t="str">
        <f>IFERROR(__xludf.DUMMYFUNCTION("""COMPUTED_VALUE"""),"08 K.Parkphum T.")</f>
        <v>08 K.Parkphum T.</v>
      </c>
      <c r="M1072" s="1" t="str">
        <f>IFERROR(__xludf.DUMMYFUNCTION("""COMPUTED_VALUE"""),"097-919-5476")</f>
        <v>097-919-5476</v>
      </c>
      <c r="N1072" s="3">
        <f>IFERROR(__xludf.DUMMYFUNCTION("""COMPUTED_VALUE"""),22028.0)</f>
        <v>22028</v>
      </c>
      <c r="O1072" s="3" t="str">
        <f>IFERROR(__xludf.DUMMYFUNCTION("""COMPUTED_VALUE"""),"MBC ทํบมา ระยอง")</f>
        <v>MBC ทํบมา ระยอง</v>
      </c>
      <c r="P1072" s="4">
        <f>IFERROR(__xludf.DUMMYFUNCTION("""COMPUTED_VALUE"""),43640.0)</f>
        <v>43640</v>
      </c>
      <c r="Q1072" s="3" t="str">
        <f>IFERROR(__xludf.DUMMYFUNCTION("""COMPUTED_VALUE"""),"A")</f>
        <v>A</v>
      </c>
      <c r="R1072" s="3" t="str">
        <f>IFERROR(__xludf.DUMMYFUNCTION("""COMPUTED_VALUE"""),"Small Format")</f>
        <v>Small Format</v>
      </c>
      <c r="S1072" s="3" t="str">
        <f>IFERROR(__xludf.DUMMYFUNCTION("""COMPUTED_VALUE"""),"BCM")</f>
        <v>BCM</v>
      </c>
      <c r="T1072" s="3" t="str">
        <f>IFERROR(__xludf.DUMMYFUNCTION("""COMPUTED_VALUE"""),"#N/A")</f>
        <v>#N/A</v>
      </c>
      <c r="U1072" s="3" t="str">
        <f>IFERROR(__xludf.DUMMYFUNCTION("""COMPUTED_VALUE"""),"#N/A")</f>
        <v>#N/A</v>
      </c>
      <c r="V1072" s="3" t="str">
        <f>IFERROR(__xludf.DUMMYFUNCTION("""COMPUTED_VALUE"""),"N")</f>
        <v>N</v>
      </c>
      <c r="W1072" s="3">
        <f>IFERROR(__xludf.DUMMYFUNCTION("""COMPUTED_VALUE"""),211811.0)</f>
        <v>211811</v>
      </c>
      <c r="X1072" s="3" t="str">
        <f>IFERROR(__xludf.DUMMYFUNCTION("""COMPUTED_VALUE"""),"17/346 หมู่2 ตำบลมาบยางพร อำเภอปลวกแดง จังหวัดระยอง 21140")</f>
        <v>17/346 หมู่2 ตำบลมาบยางพร อำเภอปลวกแดง จังหวัดระยอง 21140</v>
      </c>
      <c r="Y1072" s="3"/>
      <c r="Z1072" s="3" t="str">
        <f>IFERROR(__xludf.DUMMYFUNCTION("""COMPUTED_VALUE"""),"มาบยางพร")</f>
        <v>มาบยางพร</v>
      </c>
      <c r="AA1072" s="3" t="str">
        <f>IFERROR(__xludf.DUMMYFUNCTION("""COMPUTED_VALUE"""),"ปลวกแดง")</f>
        <v>ปลวกแดง</v>
      </c>
      <c r="AB1072" s="3" t="str">
        <f>IFERROR(__xludf.DUMMYFUNCTION("""COMPUTED_VALUE"""),"ระยอง")</f>
        <v>ระยอง</v>
      </c>
      <c r="AC1072" s="3">
        <f>IFERROR(__xludf.DUMMYFUNCTION("""COMPUTED_VALUE"""),21140.0)</f>
        <v>21140</v>
      </c>
      <c r="AD1072" s="3">
        <f>IFERROR(__xludf.DUMMYFUNCTION("""COMPUTED_VALUE"""),12.977322)</f>
        <v>12.977322</v>
      </c>
      <c r="AE1072" s="3">
        <f>IFERROR(__xludf.DUMMYFUNCTION("""COMPUTED_VALUE"""),101.153296)</f>
        <v>101.153296</v>
      </c>
      <c r="AF1072" s="3" t="str">
        <f>IFERROR(__xludf.DUMMYFUNCTION("""COMPUTED_VALUE"""),"MBC มาบยางพร 19 ระยอง-21844")</f>
        <v>MBC มาบยางพร 19 ระยอง-21844</v>
      </c>
      <c r="AG1072" s="3" t="str">
        <f>IFERROR(__xludf.DUMMYFUNCTION("""COMPUTED_VALUE"""),"ตะวันออก")</f>
        <v>ตะวันออก</v>
      </c>
      <c r="AH1072" s="3" t="str">
        <f>IFERROR(__xludf.DUMMYFUNCTION("""COMPUTED_VALUE"""),"#N/A")</f>
        <v>#N/A</v>
      </c>
      <c r="AI1072" s="3" t="str">
        <f>IFERROR(__xludf.DUMMYFUNCTION("""COMPUTED_VALUE"""),"Out of warranty")</f>
        <v>Out of warranty</v>
      </c>
      <c r="AJ1072" s="3">
        <f>IFERROR(__xludf.DUMMYFUNCTION("""COMPUTED_VALUE"""),79.0)</f>
        <v>79</v>
      </c>
      <c r="AK1072" s="3" t="str">
        <f>IFERROR(__xludf.DUMMYFUNCTION("""COMPUTED_VALUE"""),"MMS07")</f>
        <v>MMS07</v>
      </c>
      <c r="AL1072" s="3"/>
    </row>
    <row r="1073" ht="15.75" customHeight="1">
      <c r="A1073" s="1" t="str">
        <f>IFERROR(__xludf.DUMMYFUNCTION("""COMPUTED_VALUE"""),"21845")</f>
        <v>21845</v>
      </c>
      <c r="B1073" s="2">
        <f>IFERROR(__xludf.DUMMYFUNCTION("""COMPUTED_VALUE"""),21845.0)</f>
        <v>21845</v>
      </c>
      <c r="C1073" s="3" t="str">
        <f>IFERROR(__xludf.DUMMYFUNCTION("""COMPUTED_VALUE"""),"MBC บางจากศรีราชา ชลบุรี")</f>
        <v>MBC บางจากศรีราชา ชลบุรี</v>
      </c>
      <c r="D1073" s="3" t="str">
        <f>IFERROR(__xludf.DUMMYFUNCTION("""COMPUTED_VALUE"""),"BCM BCP SRIRACHA,CHONBURI")</f>
        <v>BCM BCP SRIRACHA,CHONBURI</v>
      </c>
      <c r="E1073" s="1" t="str">
        <f>IFERROR(__xludf.DUMMYFUNCTION("""COMPUTED_VALUE"""),"บิ๊กซี MINI")</f>
        <v>บิ๊กซี MINI</v>
      </c>
      <c r="F1073" s="1" t="str">
        <f>IFERROR(__xludf.DUMMYFUNCTION("""COMPUTED_VALUE"""),"221716")</f>
        <v>221716</v>
      </c>
      <c r="G1073" s="1" t="str">
        <f>IFERROR(__xludf.DUMMYFUNCTION("""COMPUTED_VALUE"""),"น.ส.เบญจพร โพธิสาร")</f>
        <v>น.ส.เบญจพร โพธิสาร</v>
      </c>
      <c r="H1073" s="1" t="str">
        <f>IFERROR(__xludf.DUMMYFUNCTION("""COMPUTED_VALUE"""),"476018")</f>
        <v>476018</v>
      </c>
      <c r="I1073" s="1" t="str">
        <f>IFERROR(__xludf.DUMMYFUNCTION("""COMPUTED_VALUE"""),"นายศราวุฒิ ชูพันดุง")</f>
        <v>นายศราวุฒิ ชูพันดุง</v>
      </c>
      <c r="J1073" s="3">
        <f>IFERROR(__xludf.DUMMYFUNCTION("""COMPUTED_VALUE"""),1.3461215E7)</f>
        <v>13461215</v>
      </c>
      <c r="K1073" s="3" t="str">
        <f>IFERROR(__xludf.DUMMYFUNCTION("""COMPUTED_VALUE"""),"นายธีรภัทร สังข์เงิน")</f>
        <v>นายธีรภัทร สังข์เงิน</v>
      </c>
      <c r="L1073" s="1" t="str">
        <f>IFERROR(__xludf.DUMMYFUNCTION("""COMPUTED_VALUE"""),"06 K.Teerapat")</f>
        <v>06 K.Teerapat</v>
      </c>
      <c r="M1073" s="1" t="str">
        <f>IFERROR(__xludf.DUMMYFUNCTION("""COMPUTED_VALUE"""),"063-601-6803")</f>
        <v>063-601-6803</v>
      </c>
      <c r="N1073" s="3">
        <f>IFERROR(__xludf.DUMMYFUNCTION("""COMPUTED_VALUE"""),22115.0)</f>
        <v>22115</v>
      </c>
      <c r="O1073" s="3" t="str">
        <f>IFERROR(__xludf.DUMMYFUNCTION("""COMPUTED_VALUE"""),"MBC เลี่ยงหนองมน ชลบุรี")</f>
        <v>MBC เลี่ยงหนองมน ชลบุรี</v>
      </c>
      <c r="P1073" s="4">
        <f>IFERROR(__xludf.DUMMYFUNCTION("""COMPUTED_VALUE"""),43638.0)</f>
        <v>43638</v>
      </c>
      <c r="Q1073" s="3" t="str">
        <f>IFERROR(__xludf.DUMMYFUNCTION("""COMPUTED_VALUE"""),"A")</f>
        <v>A</v>
      </c>
      <c r="R1073" s="3" t="str">
        <f>IFERROR(__xludf.DUMMYFUNCTION("""COMPUTED_VALUE"""),"Small Format")</f>
        <v>Small Format</v>
      </c>
      <c r="S1073" s="3" t="str">
        <f>IFERROR(__xludf.DUMMYFUNCTION("""COMPUTED_VALUE"""),"BCM")</f>
        <v>BCM</v>
      </c>
      <c r="T1073" s="3" t="str">
        <f>IFERROR(__xludf.DUMMYFUNCTION("""COMPUTED_VALUE"""),"#N/A")</f>
        <v>#N/A</v>
      </c>
      <c r="U1073" s="3" t="str">
        <f>IFERROR(__xludf.DUMMYFUNCTION("""COMPUTED_VALUE"""),"#N/A")</f>
        <v>#N/A</v>
      </c>
      <c r="V1073" s="3" t="str">
        <f>IFERROR(__xludf.DUMMYFUNCTION("""COMPUTED_VALUE"""),"N")</f>
        <v>N</v>
      </c>
      <c r="W1073" s="3">
        <f>IFERROR(__xludf.DUMMYFUNCTION("""COMPUTED_VALUE"""),211855.0)</f>
        <v>211855</v>
      </c>
      <c r="X1073" s="3" t="str">
        <f>IFERROR(__xludf.DUMMYFUNCTION("""COMPUTED_VALUE"""),"137/101 ถนนสุขุมวิท ตำบลศรีราชา อำเภอศรีราชา จังหวัดชลบุรี 20110")</f>
        <v>137/101 ถนนสุขุมวิท ตำบลศรีราชา อำเภอศรีราชา จังหวัดชลบุรี 20110</v>
      </c>
      <c r="Y1073" s="3" t="str">
        <f>IFERROR(__xludf.DUMMYFUNCTION("""COMPUTED_VALUE"""),"ถนนสุขุมวิท")</f>
        <v>ถนนสุขุมวิท</v>
      </c>
      <c r="Z1073" s="3" t="str">
        <f>IFERROR(__xludf.DUMMYFUNCTION("""COMPUTED_VALUE"""),"ศรีราชา")</f>
        <v>ศรีราชา</v>
      </c>
      <c r="AA1073" s="3" t="str">
        <f>IFERROR(__xludf.DUMMYFUNCTION("""COMPUTED_VALUE"""),"ศรีราชา")</f>
        <v>ศรีราชา</v>
      </c>
      <c r="AB1073" s="3" t="str">
        <f>IFERROR(__xludf.DUMMYFUNCTION("""COMPUTED_VALUE"""),"ชลบุรี")</f>
        <v>ชลบุรี</v>
      </c>
      <c r="AC1073" s="3">
        <f>IFERROR(__xludf.DUMMYFUNCTION("""COMPUTED_VALUE"""),20110.0)</f>
        <v>20110</v>
      </c>
      <c r="AD1073" s="3">
        <f>IFERROR(__xludf.DUMMYFUNCTION("""COMPUTED_VALUE"""),13.159478)</f>
        <v>13.159478</v>
      </c>
      <c r="AE1073" s="3">
        <f>IFERROR(__xludf.DUMMYFUNCTION("""COMPUTED_VALUE"""),100.923847)</f>
        <v>100.923847</v>
      </c>
      <c r="AF1073" s="3" t="str">
        <f>IFERROR(__xludf.DUMMYFUNCTION("""COMPUTED_VALUE"""),"MBC บางจากศรีราชา ชลบุรี-21845")</f>
        <v>MBC บางจากศรีราชา ชลบุรี-21845</v>
      </c>
      <c r="AG1073" s="3" t="str">
        <f>IFERROR(__xludf.DUMMYFUNCTION("""COMPUTED_VALUE"""),"ตะวันออก")</f>
        <v>ตะวันออก</v>
      </c>
      <c r="AH1073" s="3" t="str">
        <f>IFERROR(__xludf.DUMMYFUNCTION("""COMPUTED_VALUE"""),"#N/A")</f>
        <v>#N/A</v>
      </c>
      <c r="AI1073" s="3" t="str">
        <f>IFERROR(__xludf.DUMMYFUNCTION("""COMPUTED_VALUE"""),"Out of warranty")</f>
        <v>Out of warranty</v>
      </c>
      <c r="AJ1073" s="3">
        <f>IFERROR(__xludf.DUMMYFUNCTION("""COMPUTED_VALUE"""),79.0)</f>
        <v>79</v>
      </c>
      <c r="AK1073" s="3" t="str">
        <f>IFERROR(__xludf.DUMMYFUNCTION("""COMPUTED_VALUE"""),"MMS06")</f>
        <v>MMS06</v>
      </c>
      <c r="AL1073" s="3"/>
    </row>
    <row r="1074" ht="15.75" customHeight="1">
      <c r="A1074" s="1" t="str">
        <f>IFERROR(__xludf.DUMMYFUNCTION("""COMPUTED_VALUE"""),"21846")</f>
        <v>21846</v>
      </c>
      <c r="B1074" s="2">
        <f>IFERROR(__xludf.DUMMYFUNCTION("""COMPUTED_VALUE"""),21846.0)</f>
        <v>21846</v>
      </c>
      <c r="C1074" s="3" t="str">
        <f>IFERROR(__xludf.DUMMYFUNCTION("""COMPUTED_VALUE"""),"MBC เพชรเกษมพลาซ่า สุรินทร์")</f>
        <v>MBC เพชรเกษมพลาซ่า สุรินทร์</v>
      </c>
      <c r="D1074" s="3" t="str">
        <f>IFERROR(__xludf.DUMMYFUNCTION("""COMPUTED_VALUE"""),"BCM PETCHKASEM PLAZA,SURIN")</f>
        <v>BCM PETCHKASEM PLAZA,SURIN</v>
      </c>
      <c r="E1074" s="1" t="str">
        <f>IFERROR(__xludf.DUMMYFUNCTION("""COMPUTED_VALUE"""),"บิ๊กซี MINI")</f>
        <v>บิ๊กซี MINI</v>
      </c>
      <c r="F1074" s="1" t="str">
        <f>IFERROR(__xludf.DUMMYFUNCTION("""COMPUTED_VALUE"""),"291105")</f>
        <v>291105</v>
      </c>
      <c r="G1074" s="1" t="str">
        <f>IFERROR(__xludf.DUMMYFUNCTION("""COMPUTED_VALUE"""),"นายสราวุฒิ พณิชยกุล")</f>
        <v>นายสราวุฒิ พณิชยกุล</v>
      </c>
      <c r="H1074" s="1" t="str">
        <f>IFERROR(__xludf.DUMMYFUNCTION("""COMPUTED_VALUE"""),"398146")</f>
        <v>398146</v>
      </c>
      <c r="I1074" s="1" t="str">
        <f>IFERROR(__xludf.DUMMYFUNCTION("""COMPUTED_VALUE"""),"น.ส.กนกสิริ สุขหอม")</f>
        <v>น.ส.กนกสิริ สุขหอม</v>
      </c>
      <c r="J1074" s="3">
        <f>IFERROR(__xludf.DUMMYFUNCTION("""COMPUTED_VALUE"""),2454781.0)</f>
        <v>2454781</v>
      </c>
      <c r="K1074" s="3" t="str">
        <f>IFERROR(__xludf.DUMMYFUNCTION("""COMPUTED_VALUE"""),"นายฌานกฤช นันทะโคต")</f>
        <v>นายฌานกฤช นันทะโคต</v>
      </c>
      <c r="L1074" s="1" t="str">
        <f>IFERROR(__xludf.DUMMYFUNCTION("""COMPUTED_VALUE"""),"05 K.Chanakrit N.")</f>
        <v>05 K.Chanakrit N.</v>
      </c>
      <c r="M1074" s="1" t="str">
        <f>IFERROR(__xludf.DUMMYFUNCTION("""COMPUTED_VALUE"""),"090-978-9785 ,065-929-1320")</f>
        <v>090-978-9785 ,065-929-1320</v>
      </c>
      <c r="N1074" s="3">
        <f>IFERROR(__xludf.DUMMYFUNCTION("""COMPUTED_VALUE"""),22195.0)</f>
        <v>22195</v>
      </c>
      <c r="O1074" s="3" t="str">
        <f>IFERROR(__xludf.DUMMYFUNCTION("""COMPUTED_VALUE"""),"MBC กันทรลักษ์ ศรีสะเกษ")</f>
        <v>MBC กันทรลักษ์ ศรีสะเกษ</v>
      </c>
      <c r="P1074" s="4">
        <f>IFERROR(__xludf.DUMMYFUNCTION("""COMPUTED_VALUE"""),43644.0)</f>
        <v>43644</v>
      </c>
      <c r="Q1074" s="3" t="str">
        <f>IFERROR(__xludf.DUMMYFUNCTION("""COMPUTED_VALUE"""),"A")</f>
        <v>A</v>
      </c>
      <c r="R1074" s="3" t="str">
        <f>IFERROR(__xludf.DUMMYFUNCTION("""COMPUTED_VALUE"""),"Small Format")</f>
        <v>Small Format</v>
      </c>
      <c r="S1074" s="3" t="str">
        <f>IFERROR(__xludf.DUMMYFUNCTION("""COMPUTED_VALUE"""),"BCM")</f>
        <v>BCM</v>
      </c>
      <c r="T1074" s="3" t="str">
        <f>IFERROR(__xludf.DUMMYFUNCTION("""COMPUTED_VALUE"""),"#N/A")</f>
        <v>#N/A</v>
      </c>
      <c r="U1074" s="3" t="str">
        <f>IFERROR(__xludf.DUMMYFUNCTION("""COMPUTED_VALUE"""),"#N/A")</f>
        <v>#N/A</v>
      </c>
      <c r="V1074" s="3" t="str">
        <f>IFERROR(__xludf.DUMMYFUNCTION("""COMPUTED_VALUE"""),"N")</f>
        <v>N</v>
      </c>
      <c r="W1074" s="3">
        <f>IFERROR(__xludf.DUMMYFUNCTION("""COMPUTED_VALUE"""),211868.0)</f>
        <v>211868</v>
      </c>
      <c r="X1074" s="3" t="str">
        <f>IFERROR(__xludf.DUMMYFUNCTION("""COMPUTED_VALUE"""),"233/3 ถนนเทศบาล1 ตำบลในเมือง อำเภอเมืองสุรินทร์ จังหวัดสุรินทร์ 32000")</f>
        <v>233/3 ถนนเทศบาล1 ตำบลในเมือง อำเภอเมืองสุรินทร์ จังหวัดสุรินทร์ 32000</v>
      </c>
      <c r="Y1074" s="3" t="str">
        <f>IFERROR(__xludf.DUMMYFUNCTION("""COMPUTED_VALUE"""),"ถนนเทศบาล1")</f>
        <v>ถนนเทศบาล1</v>
      </c>
      <c r="Z1074" s="3" t="str">
        <f>IFERROR(__xludf.DUMMYFUNCTION("""COMPUTED_VALUE"""),"ในเมือง")</f>
        <v>ในเมือง</v>
      </c>
      <c r="AA1074" s="3" t="str">
        <f>IFERROR(__xludf.DUMMYFUNCTION("""COMPUTED_VALUE"""),"เมือง")</f>
        <v>เมือง</v>
      </c>
      <c r="AB1074" s="3" t="str">
        <f>IFERROR(__xludf.DUMMYFUNCTION("""COMPUTED_VALUE"""),"สุรินทร์")</f>
        <v>สุรินทร์</v>
      </c>
      <c r="AC1074" s="3">
        <f>IFERROR(__xludf.DUMMYFUNCTION("""COMPUTED_VALUE"""),32000.0)</f>
        <v>32000</v>
      </c>
      <c r="AD1074" s="3">
        <f>IFERROR(__xludf.DUMMYFUNCTION("""COMPUTED_VALUE"""),14.888277)</f>
        <v>14.888277</v>
      </c>
      <c r="AE1074" s="3">
        <f>IFERROR(__xludf.DUMMYFUNCTION("""COMPUTED_VALUE"""),103.493735)</f>
        <v>103.493735</v>
      </c>
      <c r="AF1074" s="3" t="str">
        <f>IFERROR(__xludf.DUMMYFUNCTION("""COMPUTED_VALUE"""),"MBC เพชรเกษมพลาซ่า สุรินทร์-21846")</f>
        <v>MBC เพชรเกษมพลาซ่า สุรินทร์-21846</v>
      </c>
      <c r="AG1074" s="3" t="str">
        <f>IFERROR(__xludf.DUMMYFUNCTION("""COMPUTED_VALUE"""),"ตะวันออกเฉียงเหนือ")</f>
        <v>ตะวันออกเฉียงเหนือ</v>
      </c>
      <c r="AH1074" s="3" t="str">
        <f>IFERROR(__xludf.DUMMYFUNCTION("""COMPUTED_VALUE"""),"#N/A")</f>
        <v>#N/A</v>
      </c>
      <c r="AI1074" s="3" t="str">
        <f>IFERROR(__xludf.DUMMYFUNCTION("""COMPUTED_VALUE"""),"Out of warranty")</f>
        <v>Out of warranty</v>
      </c>
      <c r="AJ1074" s="3">
        <f>IFERROR(__xludf.DUMMYFUNCTION("""COMPUTED_VALUE"""),79.0)</f>
        <v>79</v>
      </c>
      <c r="AK1074" s="3" t="str">
        <f>IFERROR(__xludf.DUMMYFUNCTION("""COMPUTED_VALUE"""),"MMS13")</f>
        <v>MMS13</v>
      </c>
      <c r="AL1074" s="3"/>
    </row>
    <row r="1075" ht="15.75" customHeight="1">
      <c r="A1075" s="1" t="str">
        <f>IFERROR(__xludf.DUMMYFUNCTION("""COMPUTED_VALUE"""),"21847")</f>
        <v>21847</v>
      </c>
      <c r="B1075" s="2">
        <f>IFERROR(__xludf.DUMMYFUNCTION("""COMPUTED_VALUE"""),21847.0)</f>
        <v>21847</v>
      </c>
      <c r="C1075" s="3" t="str">
        <f>IFERROR(__xludf.DUMMYFUNCTION("""COMPUTED_VALUE"""),"MBC ตลาดเทศบาลสุรินทร์ สุรินทร์")</f>
        <v>MBC ตลาดเทศบาลสุรินทร์ สุรินทร์</v>
      </c>
      <c r="D1075" s="3" t="str">
        <f>IFERROR(__xludf.DUMMYFUNCTION("""COMPUTED_VALUE"""),"BCM TALAD TESSABAN SURIN")</f>
        <v>BCM TALAD TESSABAN SURIN</v>
      </c>
      <c r="E1075" s="1" t="str">
        <f>IFERROR(__xludf.DUMMYFUNCTION("""COMPUTED_VALUE"""),"บิ๊กซี MINI")</f>
        <v>บิ๊กซี MINI</v>
      </c>
      <c r="F1075" s="1" t="str">
        <f>IFERROR(__xludf.DUMMYFUNCTION("""COMPUTED_VALUE"""),"291105")</f>
        <v>291105</v>
      </c>
      <c r="G1075" s="1" t="str">
        <f>IFERROR(__xludf.DUMMYFUNCTION("""COMPUTED_VALUE"""),"นายสราวุฒิ พณิชยกุล")</f>
        <v>นายสราวุฒิ พณิชยกุล</v>
      </c>
      <c r="H1075" s="1" t="str">
        <f>IFERROR(__xludf.DUMMYFUNCTION("""COMPUTED_VALUE"""),"398146")</f>
        <v>398146</v>
      </c>
      <c r="I1075" s="1" t="str">
        <f>IFERROR(__xludf.DUMMYFUNCTION("""COMPUTED_VALUE"""),"น.ส.กนกสิริ สุขหอม")</f>
        <v>น.ส.กนกสิริ สุขหอม</v>
      </c>
      <c r="J1075" s="3">
        <f>IFERROR(__xludf.DUMMYFUNCTION("""COMPUTED_VALUE"""),2454781.0)</f>
        <v>2454781</v>
      </c>
      <c r="K1075" s="3" t="str">
        <f>IFERROR(__xludf.DUMMYFUNCTION("""COMPUTED_VALUE"""),"นายฌานกฤช นันทะโคต")</f>
        <v>นายฌานกฤช นันทะโคต</v>
      </c>
      <c r="L1075" s="1" t="str">
        <f>IFERROR(__xludf.DUMMYFUNCTION("""COMPUTED_VALUE"""),"05 K.Chanakrit N.")</f>
        <v>05 K.Chanakrit N.</v>
      </c>
      <c r="M1075" s="1" t="str">
        <f>IFERROR(__xludf.DUMMYFUNCTION("""COMPUTED_VALUE"""),"090-978-9785 ,065-929-1320")</f>
        <v>090-978-9785 ,065-929-1320</v>
      </c>
      <c r="N1075" s="3">
        <f>IFERROR(__xludf.DUMMYFUNCTION("""COMPUTED_VALUE"""),22195.0)</f>
        <v>22195</v>
      </c>
      <c r="O1075" s="3" t="str">
        <f>IFERROR(__xludf.DUMMYFUNCTION("""COMPUTED_VALUE"""),"MBC กันทรลักษ์ ศรีสะเกษ")</f>
        <v>MBC กันทรลักษ์ ศรีสะเกษ</v>
      </c>
      <c r="P1075" s="4">
        <f>IFERROR(__xludf.DUMMYFUNCTION("""COMPUTED_VALUE"""),43644.0)</f>
        <v>43644</v>
      </c>
      <c r="Q1075" s="3" t="str">
        <f>IFERROR(__xludf.DUMMYFUNCTION("""COMPUTED_VALUE"""),"A")</f>
        <v>A</v>
      </c>
      <c r="R1075" s="3" t="str">
        <f>IFERROR(__xludf.DUMMYFUNCTION("""COMPUTED_VALUE"""),"Small Format")</f>
        <v>Small Format</v>
      </c>
      <c r="S1075" s="3" t="str">
        <f>IFERROR(__xludf.DUMMYFUNCTION("""COMPUTED_VALUE"""),"BCM")</f>
        <v>BCM</v>
      </c>
      <c r="T1075" s="3" t="str">
        <f>IFERROR(__xludf.DUMMYFUNCTION("""COMPUTED_VALUE"""),"#N/A")</f>
        <v>#N/A</v>
      </c>
      <c r="U1075" s="3" t="str">
        <f>IFERROR(__xludf.DUMMYFUNCTION("""COMPUTED_VALUE"""),"#N/A")</f>
        <v>#N/A</v>
      </c>
      <c r="V1075" s="3" t="str">
        <f>IFERROR(__xludf.DUMMYFUNCTION("""COMPUTED_VALUE"""),"N")</f>
        <v>N</v>
      </c>
      <c r="W1075" s="3">
        <f>IFERROR(__xludf.DUMMYFUNCTION("""COMPUTED_VALUE"""),211869.0)</f>
        <v>211869</v>
      </c>
      <c r="X1075" s="3" t="str">
        <f>IFERROR(__xludf.DUMMYFUNCTION("""COMPUTED_VALUE"""),"179,181,183 ถนนกรุงศรีใน ตำบลในเมือง อำเภอเมืองสุรินทร์ จังหวัดสุรินทร์ 32000")</f>
        <v>179,181,183 ถนนกรุงศรีใน ตำบลในเมือง อำเภอเมืองสุรินทร์ จังหวัดสุรินทร์ 32000</v>
      </c>
      <c r="Y1075" s="3" t="str">
        <f>IFERROR(__xludf.DUMMYFUNCTION("""COMPUTED_VALUE"""),"ถนนกรุงศรีใน")</f>
        <v>ถนนกรุงศรีใน</v>
      </c>
      <c r="Z1075" s="3" t="str">
        <f>IFERROR(__xludf.DUMMYFUNCTION("""COMPUTED_VALUE"""),"ในเมือง")</f>
        <v>ในเมือง</v>
      </c>
      <c r="AA1075" s="3" t="str">
        <f>IFERROR(__xludf.DUMMYFUNCTION("""COMPUTED_VALUE"""),"เมือง")</f>
        <v>เมือง</v>
      </c>
      <c r="AB1075" s="3" t="str">
        <f>IFERROR(__xludf.DUMMYFUNCTION("""COMPUTED_VALUE"""),"สุรินทร์")</f>
        <v>สุรินทร์</v>
      </c>
      <c r="AC1075" s="3">
        <f>IFERROR(__xludf.DUMMYFUNCTION("""COMPUTED_VALUE"""),32000.0)</f>
        <v>32000</v>
      </c>
      <c r="AD1075" s="3">
        <f>IFERROR(__xludf.DUMMYFUNCTION("""COMPUTED_VALUE"""),14.887448)</f>
        <v>14.887448</v>
      </c>
      <c r="AE1075" s="3">
        <f>IFERROR(__xludf.DUMMYFUNCTION("""COMPUTED_VALUE"""),103.489667)</f>
        <v>103.489667</v>
      </c>
      <c r="AF1075" s="3" t="str">
        <f>IFERROR(__xludf.DUMMYFUNCTION("""COMPUTED_VALUE"""),"MBC ตลาดเทศบาลสุรินทร์ สุรินทร์-21847")</f>
        <v>MBC ตลาดเทศบาลสุรินทร์ สุรินทร์-21847</v>
      </c>
      <c r="AG1075" s="3" t="str">
        <f>IFERROR(__xludf.DUMMYFUNCTION("""COMPUTED_VALUE"""),"ตะวันออกเฉียงเหนือ")</f>
        <v>ตะวันออกเฉียงเหนือ</v>
      </c>
      <c r="AH1075" s="3" t="str">
        <f>IFERROR(__xludf.DUMMYFUNCTION("""COMPUTED_VALUE"""),"#N/A")</f>
        <v>#N/A</v>
      </c>
      <c r="AI1075" s="3" t="str">
        <f>IFERROR(__xludf.DUMMYFUNCTION("""COMPUTED_VALUE"""),"Out of warranty")</f>
        <v>Out of warranty</v>
      </c>
      <c r="AJ1075" s="3">
        <f>IFERROR(__xludf.DUMMYFUNCTION("""COMPUTED_VALUE"""),79.0)</f>
        <v>79</v>
      </c>
      <c r="AK1075" s="3" t="str">
        <f>IFERROR(__xludf.DUMMYFUNCTION("""COMPUTED_VALUE"""),"MMS13")</f>
        <v>MMS13</v>
      </c>
      <c r="AL1075" s="3"/>
    </row>
    <row r="1076" ht="15.75" customHeight="1">
      <c r="A1076" s="1" t="str">
        <f>IFERROR(__xludf.DUMMYFUNCTION("""COMPUTED_VALUE"""),"21848")</f>
        <v>21848</v>
      </c>
      <c r="B1076" s="2">
        <f>IFERROR(__xludf.DUMMYFUNCTION("""COMPUTED_VALUE"""),21848.0)</f>
        <v>21848</v>
      </c>
      <c r="C1076" s="3" t="str">
        <f>IFERROR(__xludf.DUMMYFUNCTION("""COMPUTED_VALUE"""),"MBC เดชอุดม อุบลราชธานี")</f>
        <v>MBC เดชอุดม อุบลราชธานี</v>
      </c>
      <c r="D1076" s="3" t="str">
        <f>IFERROR(__xludf.DUMMYFUNCTION("""COMPUTED_VALUE"""),"BCM DET UDOM,UBON RATCHATHANI")</f>
        <v>BCM DET UDOM,UBON RATCHATHANI</v>
      </c>
      <c r="E1076" s="1" t="str">
        <f>IFERROR(__xludf.DUMMYFUNCTION("""COMPUTED_VALUE"""),"บิ๊กซี MINI")</f>
        <v>บิ๊กซี MINI</v>
      </c>
      <c r="F1076" s="1" t="str">
        <f>IFERROR(__xludf.DUMMYFUNCTION("""COMPUTED_VALUE"""),"291105")</f>
        <v>291105</v>
      </c>
      <c r="G1076" s="1" t="str">
        <f>IFERROR(__xludf.DUMMYFUNCTION("""COMPUTED_VALUE"""),"นายสราวุฒิ พณิชยกุล")</f>
        <v>นายสราวุฒิ พณิชยกุล</v>
      </c>
      <c r="H1076" s="1" t="str">
        <f>IFERROR(__xludf.DUMMYFUNCTION("""COMPUTED_VALUE"""),"250772")</f>
        <v>250772</v>
      </c>
      <c r="I1076" s="1" t="str">
        <f>IFERROR(__xludf.DUMMYFUNCTION("""COMPUTED_VALUE"""),"น.ส.วรุณยุพา จรูญไธสง")</f>
        <v>น.ส.วรุณยุพา จรูญไธสง</v>
      </c>
      <c r="J1076" s="3">
        <f>IFERROR(__xludf.DUMMYFUNCTION("""COMPUTED_VALUE"""),2454781.0)</f>
        <v>2454781</v>
      </c>
      <c r="K1076" s="3" t="str">
        <f>IFERROR(__xludf.DUMMYFUNCTION("""COMPUTED_VALUE"""),"นายฌานกฤช นันทะโคต")</f>
        <v>นายฌานกฤช นันทะโคต</v>
      </c>
      <c r="L1076" s="1" t="str">
        <f>IFERROR(__xludf.DUMMYFUNCTION("""COMPUTED_VALUE"""),"05 K.Chanakrit N.")</f>
        <v>05 K.Chanakrit N.</v>
      </c>
      <c r="M1076" s="1" t="str">
        <f>IFERROR(__xludf.DUMMYFUNCTION("""COMPUTED_VALUE"""),"090-978-9785 ,065-929-1320")</f>
        <v>090-978-9785 ,065-929-1320</v>
      </c>
      <c r="N1076" s="3">
        <f>IFERROR(__xludf.DUMMYFUNCTION("""COMPUTED_VALUE"""),22195.0)</f>
        <v>22195</v>
      </c>
      <c r="O1076" s="3" t="str">
        <f>IFERROR(__xludf.DUMMYFUNCTION("""COMPUTED_VALUE"""),"MBC กันทรลักษ์ ศรีสะเกษ")</f>
        <v>MBC กันทรลักษ์ ศรีสะเกษ</v>
      </c>
      <c r="P1076" s="4">
        <f>IFERROR(__xludf.DUMMYFUNCTION("""COMPUTED_VALUE"""),43643.0)</f>
        <v>43643</v>
      </c>
      <c r="Q1076" s="3" t="str">
        <f>IFERROR(__xludf.DUMMYFUNCTION("""COMPUTED_VALUE"""),"A")</f>
        <v>A</v>
      </c>
      <c r="R1076" s="3" t="str">
        <f>IFERROR(__xludf.DUMMYFUNCTION("""COMPUTED_VALUE"""),"Small Format")</f>
        <v>Small Format</v>
      </c>
      <c r="S1076" s="3" t="str">
        <f>IFERROR(__xludf.DUMMYFUNCTION("""COMPUTED_VALUE"""),"BCM")</f>
        <v>BCM</v>
      </c>
      <c r="T1076" s="3" t="str">
        <f>IFERROR(__xludf.DUMMYFUNCTION("""COMPUTED_VALUE"""),"#N/A")</f>
        <v>#N/A</v>
      </c>
      <c r="U1076" s="3" t="str">
        <f>IFERROR(__xludf.DUMMYFUNCTION("""COMPUTED_VALUE"""),"#N/A")</f>
        <v>#N/A</v>
      </c>
      <c r="V1076" s="3" t="str">
        <f>IFERROR(__xludf.DUMMYFUNCTION("""COMPUTED_VALUE"""),"N")</f>
        <v>N</v>
      </c>
      <c r="W1076" s="3">
        <f>IFERROR(__xludf.DUMMYFUNCTION("""COMPUTED_VALUE"""),211870.0)</f>
        <v>211870</v>
      </c>
      <c r="X1076" s="3" t="str">
        <f>IFERROR(__xludf.DUMMYFUNCTION("""COMPUTED_VALUE"""),"83/4 หมุ่24 ตำบลเมืองเดช อำเภอเดชอุดม จังหวัดอุบลราชธานี 34160")</f>
        <v>83/4 หมุ่24 ตำบลเมืองเดช อำเภอเดชอุดม จังหวัดอุบลราชธานี 34160</v>
      </c>
      <c r="Y1076" s="3"/>
      <c r="Z1076" s="3" t="str">
        <f>IFERROR(__xludf.DUMMYFUNCTION("""COMPUTED_VALUE"""),"เมืองเดช")</f>
        <v>เมืองเดช</v>
      </c>
      <c r="AA1076" s="3" t="str">
        <f>IFERROR(__xludf.DUMMYFUNCTION("""COMPUTED_VALUE"""),"เดชอุดม")</f>
        <v>เดชอุดม</v>
      </c>
      <c r="AB1076" s="3" t="str">
        <f>IFERROR(__xludf.DUMMYFUNCTION("""COMPUTED_VALUE"""),"อุบลราชธานี")</f>
        <v>อุบลราชธานี</v>
      </c>
      <c r="AC1076" s="3">
        <f>IFERROR(__xludf.DUMMYFUNCTION("""COMPUTED_VALUE"""),34160.0)</f>
        <v>34160</v>
      </c>
      <c r="AD1076" s="3">
        <f>IFERROR(__xludf.DUMMYFUNCTION("""COMPUTED_VALUE"""),14.903545)</f>
        <v>14.903545</v>
      </c>
      <c r="AE1076" s="3">
        <f>IFERROR(__xludf.DUMMYFUNCTION("""COMPUTED_VALUE"""),105.073042)</f>
        <v>105.073042</v>
      </c>
      <c r="AF1076" s="3" t="str">
        <f>IFERROR(__xludf.DUMMYFUNCTION("""COMPUTED_VALUE"""),"MBC เดชอุดม อุบลราชธานี-21848")</f>
        <v>MBC เดชอุดม อุบลราชธานี-21848</v>
      </c>
      <c r="AG1076" s="3" t="str">
        <f>IFERROR(__xludf.DUMMYFUNCTION("""COMPUTED_VALUE"""),"ตะวันออกเฉียงเหนือ")</f>
        <v>ตะวันออกเฉียงเหนือ</v>
      </c>
      <c r="AH1076" s="3" t="str">
        <f>IFERROR(__xludf.DUMMYFUNCTION("""COMPUTED_VALUE"""),"#N/A")</f>
        <v>#N/A</v>
      </c>
      <c r="AI1076" s="3" t="str">
        <f>IFERROR(__xludf.DUMMYFUNCTION("""COMPUTED_VALUE"""),"Out of warranty")</f>
        <v>Out of warranty</v>
      </c>
      <c r="AJ1076" s="3">
        <f>IFERROR(__xludf.DUMMYFUNCTION("""COMPUTED_VALUE"""),79.0)</f>
        <v>79</v>
      </c>
      <c r="AK1076" s="3" t="str">
        <f>IFERROR(__xludf.DUMMYFUNCTION("""COMPUTED_VALUE"""),"MMS13")</f>
        <v>MMS13</v>
      </c>
      <c r="AL1076" s="3"/>
    </row>
    <row r="1077" ht="15.75" customHeight="1">
      <c r="A1077" s="1" t="str">
        <f>IFERROR(__xludf.DUMMYFUNCTION("""COMPUTED_VALUE"""),"21849")</f>
        <v>21849</v>
      </c>
      <c r="B1077" s="2">
        <f>IFERROR(__xludf.DUMMYFUNCTION("""COMPUTED_VALUE"""),21849.0)</f>
        <v>21849</v>
      </c>
      <c r="C1077" s="3" t="str">
        <f>IFERROR(__xludf.DUMMYFUNCTION("""COMPUTED_VALUE"""),"MBC ตลาดเจริญศรี อุบลราชธานี")</f>
        <v>MBC ตลาดเจริญศรี อุบลราชธานี</v>
      </c>
      <c r="D1077" s="3" t="str">
        <f>IFERROR(__xludf.DUMMYFUNCTION("""COMPUTED_VALUE"""),"BCM TALAD CHAROEN SRI")</f>
        <v>BCM TALAD CHAROEN SRI</v>
      </c>
      <c r="E1077" s="1" t="str">
        <f>IFERROR(__xludf.DUMMYFUNCTION("""COMPUTED_VALUE"""),"บิ๊กซี MINI")</f>
        <v>บิ๊กซี MINI</v>
      </c>
      <c r="F1077" s="1" t="str">
        <f>IFERROR(__xludf.DUMMYFUNCTION("""COMPUTED_VALUE"""),"291105")</f>
        <v>291105</v>
      </c>
      <c r="G1077" s="1" t="str">
        <f>IFERROR(__xludf.DUMMYFUNCTION("""COMPUTED_VALUE"""),"นายสราวุฒิ พณิชยกุล")</f>
        <v>นายสราวุฒิ พณิชยกุล</v>
      </c>
      <c r="H1077" s="1" t="str">
        <f>IFERROR(__xludf.DUMMYFUNCTION("""COMPUTED_VALUE"""),"250772")</f>
        <v>250772</v>
      </c>
      <c r="I1077" s="1" t="str">
        <f>IFERROR(__xludf.DUMMYFUNCTION("""COMPUTED_VALUE"""),"น.ส.วรุณยุพา จรูญไธสง")</f>
        <v>น.ส.วรุณยุพา จรูญไธสง</v>
      </c>
      <c r="J1077" s="3">
        <f>IFERROR(__xludf.DUMMYFUNCTION("""COMPUTED_VALUE"""),2454781.0)</f>
        <v>2454781</v>
      </c>
      <c r="K1077" s="3" t="str">
        <f>IFERROR(__xludf.DUMMYFUNCTION("""COMPUTED_VALUE"""),"นายฌานกฤช นันทะโคต")</f>
        <v>นายฌานกฤช นันทะโคต</v>
      </c>
      <c r="L1077" s="1" t="str">
        <f>IFERROR(__xludf.DUMMYFUNCTION("""COMPUTED_VALUE"""),"05 K.Chanakrit N.")</f>
        <v>05 K.Chanakrit N.</v>
      </c>
      <c r="M1077" s="1" t="str">
        <f>IFERROR(__xludf.DUMMYFUNCTION("""COMPUTED_VALUE"""),"090-978-9785 ,065-929-1320")</f>
        <v>090-978-9785 ,065-929-1320</v>
      </c>
      <c r="N1077" s="3">
        <f>IFERROR(__xludf.DUMMYFUNCTION("""COMPUTED_VALUE"""),22195.0)</f>
        <v>22195</v>
      </c>
      <c r="O1077" s="3" t="str">
        <f>IFERROR(__xludf.DUMMYFUNCTION("""COMPUTED_VALUE"""),"MBC กันทรลักษ์ ศรีสะเกษ")</f>
        <v>MBC กันทรลักษ์ ศรีสะเกษ</v>
      </c>
      <c r="P1077" s="4">
        <f>IFERROR(__xludf.DUMMYFUNCTION("""COMPUTED_VALUE"""),43643.0)</f>
        <v>43643</v>
      </c>
      <c r="Q1077" s="3" t="str">
        <f>IFERROR(__xludf.DUMMYFUNCTION("""COMPUTED_VALUE"""),"A")</f>
        <v>A</v>
      </c>
      <c r="R1077" s="3" t="str">
        <f>IFERROR(__xludf.DUMMYFUNCTION("""COMPUTED_VALUE"""),"Small Format")</f>
        <v>Small Format</v>
      </c>
      <c r="S1077" s="3" t="str">
        <f>IFERROR(__xludf.DUMMYFUNCTION("""COMPUTED_VALUE"""),"BCM")</f>
        <v>BCM</v>
      </c>
      <c r="T1077" s="3" t="str">
        <f>IFERROR(__xludf.DUMMYFUNCTION("""COMPUTED_VALUE"""),"#N/A")</f>
        <v>#N/A</v>
      </c>
      <c r="U1077" s="3" t="str">
        <f>IFERROR(__xludf.DUMMYFUNCTION("""COMPUTED_VALUE"""),"#N/A")</f>
        <v>#N/A</v>
      </c>
      <c r="V1077" s="3" t="str">
        <f>IFERROR(__xludf.DUMMYFUNCTION("""COMPUTED_VALUE"""),"N")</f>
        <v>N</v>
      </c>
      <c r="W1077" s="3">
        <f>IFERROR(__xludf.DUMMYFUNCTION("""COMPUTED_VALUE"""),211863.0)</f>
        <v>211863</v>
      </c>
      <c r="X1077" s="3" t="str">
        <f>IFERROR(__xludf.DUMMYFUNCTION("""COMPUTED_VALUE"""),"55/2 หมู่16 ตำบลแสนสุข อำเภอวารินชำราบ จังหวัดอุบลราชธานี 34190")</f>
        <v>55/2 หมู่16 ตำบลแสนสุข อำเภอวารินชำราบ จังหวัดอุบลราชธานี 34190</v>
      </c>
      <c r="Y1077" s="3"/>
      <c r="Z1077" s="3" t="str">
        <f>IFERROR(__xludf.DUMMYFUNCTION("""COMPUTED_VALUE"""),"แสนสุข")</f>
        <v>แสนสุข</v>
      </c>
      <c r="AA1077" s="3" t="str">
        <f>IFERROR(__xludf.DUMMYFUNCTION("""COMPUTED_VALUE"""),"วารินชำราบ")</f>
        <v>วารินชำราบ</v>
      </c>
      <c r="AB1077" s="3" t="str">
        <f>IFERROR(__xludf.DUMMYFUNCTION("""COMPUTED_VALUE"""),"อุบลราชธานี")</f>
        <v>อุบลราชธานี</v>
      </c>
      <c r="AC1077" s="3">
        <f>IFERROR(__xludf.DUMMYFUNCTION("""COMPUTED_VALUE"""),34190.0)</f>
        <v>34190</v>
      </c>
      <c r="AD1077" s="3">
        <f>IFERROR(__xludf.DUMMYFUNCTION("""COMPUTED_VALUE"""),15.172869)</f>
        <v>15.172869</v>
      </c>
      <c r="AE1077" s="3">
        <f>IFERROR(__xludf.DUMMYFUNCTION("""COMPUTED_VALUE"""),104.873571)</f>
        <v>104.873571</v>
      </c>
      <c r="AF1077" s="3" t="str">
        <f>IFERROR(__xludf.DUMMYFUNCTION("""COMPUTED_VALUE"""),"MBC ตลาดเจริญศรี อุบลราชธานี-21849")</f>
        <v>MBC ตลาดเจริญศรี อุบลราชธานี-21849</v>
      </c>
      <c r="AG1077" s="3" t="str">
        <f>IFERROR(__xludf.DUMMYFUNCTION("""COMPUTED_VALUE"""),"ตะวันออกเฉียงเหนือ")</f>
        <v>ตะวันออกเฉียงเหนือ</v>
      </c>
      <c r="AH1077" s="3" t="str">
        <f>IFERROR(__xludf.DUMMYFUNCTION("""COMPUTED_VALUE"""),"#N/A")</f>
        <v>#N/A</v>
      </c>
      <c r="AI1077" s="3" t="str">
        <f>IFERROR(__xludf.DUMMYFUNCTION("""COMPUTED_VALUE"""),"Out of warranty")</f>
        <v>Out of warranty</v>
      </c>
      <c r="AJ1077" s="3">
        <f>IFERROR(__xludf.DUMMYFUNCTION("""COMPUTED_VALUE"""),79.0)</f>
        <v>79</v>
      </c>
      <c r="AK1077" s="3" t="str">
        <f>IFERROR(__xludf.DUMMYFUNCTION("""COMPUTED_VALUE"""),"MMS13")</f>
        <v>MMS13</v>
      </c>
      <c r="AL1077" s="3"/>
    </row>
    <row r="1078" ht="15.75" customHeight="1">
      <c r="A1078" s="1" t="str">
        <f>IFERROR(__xludf.DUMMYFUNCTION("""COMPUTED_VALUE"""),"21850")</f>
        <v>21850</v>
      </c>
      <c r="B1078" s="2">
        <f>IFERROR(__xludf.DUMMYFUNCTION("""COMPUTED_VALUE"""),21850.0)</f>
        <v>21850</v>
      </c>
      <c r="C1078" s="3" t="str">
        <f>IFERROR(__xludf.DUMMYFUNCTION("""COMPUTED_VALUE"""),"MBC เอสโซ่ เรส แอเรีย แม่กลองสมุทรสงคราม")</f>
        <v>MBC เอสโซ่ เรส แอเรีย แม่กลองสมุทรสงคราม</v>
      </c>
      <c r="D1078" s="3" t="str">
        <f>IFERROR(__xludf.DUMMYFUNCTION("""COMPUTED_VALUE"""),"BCM ESSO REST AREA MAEKLONG")</f>
        <v>BCM ESSO REST AREA MAEKLONG</v>
      </c>
      <c r="E1078" s="1" t="str">
        <f>IFERROR(__xludf.DUMMYFUNCTION("""COMPUTED_VALUE"""),"บิ๊กซี MINI")</f>
        <v>บิ๊กซี MINI</v>
      </c>
      <c r="F1078" s="1" t="str">
        <f>IFERROR(__xludf.DUMMYFUNCTION("""COMPUTED_VALUE"""),"2083447")</f>
        <v>2083447</v>
      </c>
      <c r="G1078" s="1" t="str">
        <f>IFERROR(__xludf.DUMMYFUNCTION("""COMPUTED_VALUE"""),"นายอนุกูล ศรีลัดดา")</f>
        <v>นายอนุกูล ศรีลัดดา</v>
      </c>
      <c r="H1078" s="1" t="str">
        <f>IFERROR(__xludf.DUMMYFUNCTION("""COMPUTED_VALUE"""),"391191")</f>
        <v>391191</v>
      </c>
      <c r="I1078" s="1" t="str">
        <f>IFERROR(__xludf.DUMMYFUNCTION("""COMPUTED_VALUE"""),"นายวสันต์ สรงพรมทิพย์")</f>
        <v>นายวสันต์ สรงพรมทิพย์</v>
      </c>
      <c r="J1078" s="3">
        <f>IFERROR(__xludf.DUMMYFUNCTION("""COMPUTED_VALUE"""),2451655.0)</f>
        <v>2451655</v>
      </c>
      <c r="K1078" s="3" t="str">
        <f>IFERROR(__xludf.DUMMYFUNCTION("""COMPUTED_VALUE"""),"นายวิษณุพงษ์ ชินบุตร")</f>
        <v>นายวิษณุพงษ์ ชินบุตร</v>
      </c>
      <c r="L1078" s="1" t="str">
        <f>IFERROR(__xludf.DUMMYFUNCTION("""COMPUTED_VALUE"""),"13 K.Wisanupong Ch")</f>
        <v>13 K.Wisanupong Ch</v>
      </c>
      <c r="M1078" s="1" t="str">
        <f>IFERROR(__xludf.DUMMYFUNCTION("""COMPUTED_VALUE"""),"0843374693")</f>
        <v>0843374693</v>
      </c>
      <c r="N1078" s="3">
        <f>IFERROR(__xludf.DUMMYFUNCTION("""COMPUTED_VALUE"""),22729.0)</f>
        <v>22729</v>
      </c>
      <c r="O1078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078" s="4">
        <f>IFERROR(__xludf.DUMMYFUNCTION("""COMPUTED_VALUE"""),43639.0)</f>
        <v>43639</v>
      </c>
      <c r="Q1078" s="3" t="str">
        <f>IFERROR(__xludf.DUMMYFUNCTION("""COMPUTED_VALUE"""),"A")</f>
        <v>A</v>
      </c>
      <c r="R1078" s="3" t="str">
        <f>IFERROR(__xludf.DUMMYFUNCTION("""COMPUTED_VALUE"""),"Small Format")</f>
        <v>Small Format</v>
      </c>
      <c r="S1078" s="3" t="str">
        <f>IFERROR(__xludf.DUMMYFUNCTION("""COMPUTED_VALUE"""),"BCM")</f>
        <v>BCM</v>
      </c>
      <c r="T1078" s="3" t="str">
        <f>IFERROR(__xludf.DUMMYFUNCTION("""COMPUTED_VALUE"""),"#N/A")</f>
        <v>#N/A</v>
      </c>
      <c r="U1078" s="3" t="str">
        <f>IFERROR(__xludf.DUMMYFUNCTION("""COMPUTED_VALUE"""),"#N/A")</f>
        <v>#N/A</v>
      </c>
      <c r="V1078" s="3" t="str">
        <f>IFERROR(__xludf.DUMMYFUNCTION("""COMPUTED_VALUE"""),"N")</f>
        <v>N</v>
      </c>
      <c r="W1078" s="3">
        <f>IFERROR(__xludf.DUMMYFUNCTION("""COMPUTED_VALUE"""),211923.0)</f>
        <v>211923</v>
      </c>
      <c r="X1078" s="3" t="str">
        <f>IFERROR(__xludf.DUMMYFUNCTION("""COMPUTED_VALUE"""),"151/3 หมู่6 ตำบลแพรกหนานแดง อำเภออัมพวา จังหวัดสมุทรสงคราม 75110")</f>
        <v>151/3 หมู่6 ตำบลแพรกหนานแดง อำเภออัมพวา จังหวัดสมุทรสงคราม 75110</v>
      </c>
      <c r="Y1078" s="3"/>
      <c r="Z1078" s="3" t="str">
        <f>IFERROR(__xludf.DUMMYFUNCTION("""COMPUTED_VALUE"""),"แพรกหนานแดง")</f>
        <v>แพรกหนานแดง</v>
      </c>
      <c r="AA1078" s="3" t="str">
        <f>IFERROR(__xludf.DUMMYFUNCTION("""COMPUTED_VALUE"""),"อัมพวา")</f>
        <v>อัมพวา</v>
      </c>
      <c r="AB1078" s="3" t="str">
        <f>IFERROR(__xludf.DUMMYFUNCTION("""COMPUTED_VALUE"""),"สมุทรสงคราม")</f>
        <v>สมุทรสงคราม</v>
      </c>
      <c r="AC1078" s="3">
        <f>IFERROR(__xludf.DUMMYFUNCTION("""COMPUTED_VALUE"""),75110.0)</f>
        <v>75110</v>
      </c>
      <c r="AD1078" s="3">
        <f>IFERROR(__xludf.DUMMYFUNCTION("""COMPUTED_VALUE"""),13.344263)</f>
        <v>13.344263</v>
      </c>
      <c r="AE1078" s="3">
        <f>IFERROR(__xludf.DUMMYFUNCTION("""COMPUTED_VALUE"""),99.871374)</f>
        <v>99.871374</v>
      </c>
      <c r="AF1078" s="3" t="str">
        <f>IFERROR(__xludf.DUMMYFUNCTION("""COMPUTED_VALUE"""),"MBC เอสโซ่ เรส แอเรีย แม่กลองสมุทรสงคราม-21850")</f>
        <v>MBC เอสโซ่ เรส แอเรีย แม่กลองสมุทรสงคราม-21850</v>
      </c>
      <c r="AG1078" s="3" t="str">
        <f>IFERROR(__xludf.DUMMYFUNCTION("""COMPUTED_VALUE"""),"กลาง")</f>
        <v>กลาง</v>
      </c>
      <c r="AH1078" s="3" t="str">
        <f>IFERROR(__xludf.DUMMYFUNCTION("""COMPUTED_VALUE"""),"#N/A")</f>
        <v>#N/A</v>
      </c>
      <c r="AI1078" s="3" t="str">
        <f>IFERROR(__xludf.DUMMYFUNCTION("""COMPUTED_VALUE"""),"Out of warranty")</f>
        <v>Out of warranty</v>
      </c>
      <c r="AJ1078" s="3">
        <f>IFERROR(__xludf.DUMMYFUNCTION("""COMPUTED_VALUE"""),79.0)</f>
        <v>79</v>
      </c>
      <c r="AK1078" s="3" t="str">
        <f>IFERROR(__xludf.DUMMYFUNCTION("""COMPUTED_VALUE"""),"MMS05")</f>
        <v>MMS05</v>
      </c>
      <c r="AL1078" s="3"/>
    </row>
    <row r="1079" ht="15.75" customHeight="1">
      <c r="A1079" s="1" t="str">
        <f>IFERROR(__xludf.DUMMYFUNCTION("""COMPUTED_VALUE"""),"21851")</f>
        <v>21851</v>
      </c>
      <c r="B1079" s="2">
        <f>IFERROR(__xludf.DUMMYFUNCTION("""COMPUTED_VALUE"""),21851.0)</f>
        <v>21851</v>
      </c>
      <c r="C1079" s="3" t="str">
        <f>IFERROR(__xludf.DUMMYFUNCTION("""COMPUTED_VALUE"""),"MBC เอสโซ่ ถนนชัยพฤกษ์ นนทบุรี")</f>
        <v>MBC เอสโซ่ ถนนชัยพฤกษ์ นนทบุรี</v>
      </c>
      <c r="D1079" s="3" t="str">
        <f>IFERROR(__xludf.DUMMYFUNCTION("""COMPUTED_VALUE"""),"BCM ESSO THANON CHAIYAPRUK")</f>
        <v>BCM ESSO THANON CHAIYAPRUK</v>
      </c>
      <c r="E1079" s="1" t="str">
        <f>IFERROR(__xludf.DUMMYFUNCTION("""COMPUTED_VALUE"""),"บิ๊กซี MINI")</f>
        <v>บิ๊กซี MINI</v>
      </c>
      <c r="F1079" s="1" t="str">
        <f>IFERROR(__xludf.DUMMYFUNCTION("""COMPUTED_VALUE"""),"291008")</f>
        <v>291008</v>
      </c>
      <c r="G1079" s="1" t="str">
        <f>IFERROR(__xludf.DUMMYFUNCTION("""COMPUTED_VALUE"""),"น.ส.รัชดาพร อีศรัตน์")</f>
        <v>น.ส.รัชดาพร อีศรัตน์</v>
      </c>
      <c r="H1079" s="1" t="str">
        <f>IFERROR(__xludf.DUMMYFUNCTION("""COMPUTED_VALUE"""),"180055")</f>
        <v>180055</v>
      </c>
      <c r="I1079" s="1" t="str">
        <f>IFERROR(__xludf.DUMMYFUNCTION("""COMPUTED_VALUE"""),"น.ส.สุดารัตน์ บุญล้ำ")</f>
        <v>น.ส.สุดารัตน์ บุญล้ำ</v>
      </c>
      <c r="J1079" s="3">
        <f>IFERROR(__xludf.DUMMYFUNCTION("""COMPUTED_VALUE"""),296608.0)</f>
        <v>296608</v>
      </c>
      <c r="K1079" s="3" t="str">
        <f>IFERROR(__xludf.DUMMYFUNCTION("""COMPUTED_VALUE"""),"นายภาคภูมิ เพ็ชรนิล")</f>
        <v>นายภาคภูมิ เพ็ชรนิล</v>
      </c>
      <c r="L1079" s="1" t="str">
        <f>IFERROR(__xludf.DUMMYFUNCTION("""COMPUTED_VALUE"""),"10 K.Phakphoom P.")</f>
        <v>10 K.Phakphoom P.</v>
      </c>
      <c r="M1079" s="1" t="str">
        <f>IFERROR(__xludf.DUMMYFUNCTION("""COMPUTED_VALUE"""),"063-8955329")</f>
        <v>063-8955329</v>
      </c>
      <c r="N1079" s="3">
        <f>IFERROR(__xludf.DUMMYFUNCTION("""COMPUTED_VALUE"""),22584.0)</f>
        <v>22584</v>
      </c>
      <c r="O1079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079" s="4">
        <f>IFERROR(__xludf.DUMMYFUNCTION("""COMPUTED_VALUE"""),43645.0)</f>
        <v>43645</v>
      </c>
      <c r="Q1079" s="3" t="str">
        <f>IFERROR(__xludf.DUMMYFUNCTION("""COMPUTED_VALUE"""),"A")</f>
        <v>A</v>
      </c>
      <c r="R1079" s="3" t="str">
        <f>IFERROR(__xludf.DUMMYFUNCTION("""COMPUTED_VALUE"""),"Small Format")</f>
        <v>Small Format</v>
      </c>
      <c r="S1079" s="3" t="str">
        <f>IFERROR(__xludf.DUMMYFUNCTION("""COMPUTED_VALUE"""),"BCM")</f>
        <v>BCM</v>
      </c>
      <c r="T1079" s="3" t="str">
        <f>IFERROR(__xludf.DUMMYFUNCTION("""COMPUTED_VALUE"""),"#N/A")</f>
        <v>#N/A</v>
      </c>
      <c r="U1079" s="3" t="str">
        <f>IFERROR(__xludf.DUMMYFUNCTION("""COMPUTED_VALUE"""),"#N/A")</f>
        <v>#N/A</v>
      </c>
      <c r="V1079" s="3" t="str">
        <f>IFERROR(__xludf.DUMMYFUNCTION("""COMPUTED_VALUE"""),"N")</f>
        <v>N</v>
      </c>
      <c r="W1079" s="3">
        <f>IFERROR(__xludf.DUMMYFUNCTION("""COMPUTED_VALUE"""),211922.0)</f>
        <v>211922</v>
      </c>
      <c r="X1079" s="3" t="str">
        <f>IFERROR(__xludf.DUMMYFUNCTION("""COMPUTED_VALUE"""),"222/1 หมู่2 ตำบลบางบัวทอง อำเภอบางบัวทอง จังหวัดนนทบุรี 11110")</f>
        <v>222/1 หมู่2 ตำบลบางบัวทอง อำเภอบางบัวทอง จังหวัดนนทบุรี 11110</v>
      </c>
      <c r="Y1079" s="3"/>
      <c r="Z1079" s="3" t="str">
        <f>IFERROR(__xludf.DUMMYFUNCTION("""COMPUTED_VALUE"""),"บางบัวทอง")</f>
        <v>บางบัวทอง</v>
      </c>
      <c r="AA1079" s="3" t="str">
        <f>IFERROR(__xludf.DUMMYFUNCTION("""COMPUTED_VALUE"""),"บางบัวทอง")</f>
        <v>บางบัวทอง</v>
      </c>
      <c r="AB1079" s="3" t="str">
        <f>IFERROR(__xludf.DUMMYFUNCTION("""COMPUTED_VALUE"""),"นนทบุรี")</f>
        <v>นนทบุรี</v>
      </c>
      <c r="AC1079" s="3">
        <f>IFERROR(__xludf.DUMMYFUNCTION("""COMPUTED_VALUE"""),11110.0)</f>
        <v>11110</v>
      </c>
      <c r="AD1079" s="3">
        <f>IFERROR(__xludf.DUMMYFUNCTION("""COMPUTED_VALUE"""),13.922937)</f>
        <v>13.922937</v>
      </c>
      <c r="AE1079" s="3">
        <f>IFERROR(__xludf.DUMMYFUNCTION("""COMPUTED_VALUE"""),100.419786)</f>
        <v>100.419786</v>
      </c>
      <c r="AF1079" s="3" t="str">
        <f>IFERROR(__xludf.DUMMYFUNCTION("""COMPUTED_VALUE"""),"MBC เอสโซ่ ถนนชัยพฤกษ์ นนทบุรี-21851")</f>
        <v>MBC เอสโซ่ ถนนชัยพฤกษ์ นนทบุรี-21851</v>
      </c>
      <c r="AG1079" s="3" t="str">
        <f>IFERROR(__xludf.DUMMYFUNCTION("""COMPUTED_VALUE"""),"กลาง")</f>
        <v>กลาง</v>
      </c>
      <c r="AH1079" s="3" t="str">
        <f>IFERROR(__xludf.DUMMYFUNCTION("""COMPUTED_VALUE"""),"#N/A")</f>
        <v>#N/A</v>
      </c>
      <c r="AI1079" s="3" t="str">
        <f>IFERROR(__xludf.DUMMYFUNCTION("""COMPUTED_VALUE"""),"Out of warranty")</f>
        <v>Out of warranty</v>
      </c>
      <c r="AJ1079" s="3">
        <f>IFERROR(__xludf.DUMMYFUNCTION("""COMPUTED_VALUE"""),79.0)</f>
        <v>79</v>
      </c>
      <c r="AK1079" s="3" t="str">
        <f>IFERROR(__xludf.DUMMYFUNCTION("""COMPUTED_VALUE"""),"MMS04")</f>
        <v>MMS04</v>
      </c>
      <c r="AL1079" s="3"/>
    </row>
    <row r="1080" ht="15.75" customHeight="1">
      <c r="A1080" s="1" t="str">
        <f>IFERROR(__xludf.DUMMYFUNCTION("""COMPUTED_VALUE"""),"21852")</f>
        <v>21852</v>
      </c>
      <c r="B1080" s="2">
        <f>IFERROR(__xludf.DUMMYFUNCTION("""COMPUTED_VALUE"""),21852.0)</f>
        <v>21852</v>
      </c>
      <c r="C1080" s="3" t="str">
        <f>IFERROR(__xludf.DUMMYFUNCTION("""COMPUTED_VALUE"""),"MBC เอสโซ่บางนา กม.40 ฉะเชิงเทรา")</f>
        <v>MBC เอสโซ่บางนา กม.40 ฉะเชิงเทรา</v>
      </c>
      <c r="D1080" s="3" t="str">
        <f>IFERROR(__xludf.DUMMYFUNCTION("""COMPUTED_VALUE"""),"BCM ESSO BANGNA K.M.40")</f>
        <v>BCM ESSO BANGNA K.M.40</v>
      </c>
      <c r="E1080" s="1" t="str">
        <f>IFERROR(__xludf.DUMMYFUNCTION("""COMPUTED_VALUE"""),"บิ๊กซี MINI")</f>
        <v>บิ๊กซี MINI</v>
      </c>
      <c r="F1080" s="1" t="str">
        <f>IFERROR(__xludf.DUMMYFUNCTION("""COMPUTED_VALUE"""),"2083447")</f>
        <v>2083447</v>
      </c>
      <c r="G1080" s="1" t="str">
        <f>IFERROR(__xludf.DUMMYFUNCTION("""COMPUTED_VALUE"""),"นายอนุกูล ศรีลัดดา")</f>
        <v>นายอนุกูล ศรีลัดดา</v>
      </c>
      <c r="H1080" s="1" t="str">
        <f>IFERROR(__xludf.DUMMYFUNCTION("""COMPUTED_VALUE"""),"254957")</f>
        <v>254957</v>
      </c>
      <c r="I1080" s="1" t="str">
        <f>IFERROR(__xludf.DUMMYFUNCTION("""COMPUTED_VALUE"""),"น.ส.ศิริพร รุ่งธัญญา")</f>
        <v>น.ส.ศิริพร รุ่งธัญญา</v>
      </c>
      <c r="J1080" s="3">
        <f>IFERROR(__xludf.DUMMYFUNCTION("""COMPUTED_VALUE"""),510143.0)</f>
        <v>510143</v>
      </c>
      <c r="K1080" s="3" t="str">
        <f>IFERROR(__xludf.DUMMYFUNCTION("""COMPUTED_VALUE"""),"นายธีระวัฒน์ บุญสิทธิ์")</f>
        <v>นายธีระวัฒน์ บุญสิทธิ์</v>
      </c>
      <c r="L1080" s="1" t="str">
        <f>IFERROR(__xludf.DUMMYFUNCTION("""COMPUTED_VALUE"""),"12 K.Theerawat B.")</f>
        <v>12 K.Theerawat B.</v>
      </c>
      <c r="M1080" s="1" t="str">
        <f>IFERROR(__xludf.DUMMYFUNCTION("""COMPUTED_VALUE"""),"0655107379")</f>
        <v>0655107379</v>
      </c>
      <c r="N1080" s="3">
        <f>IFERROR(__xludf.DUMMYFUNCTION("""COMPUTED_VALUE"""),21062.0)</f>
        <v>21062</v>
      </c>
      <c r="O1080" s="3" t="str">
        <f>IFERROR(__xludf.DUMMYFUNCTION("""COMPUTED_VALUE"""),"MBC นิคมนวนคร")</f>
        <v>MBC นิคมนวนคร</v>
      </c>
      <c r="P1080" s="4">
        <f>IFERROR(__xludf.DUMMYFUNCTION("""COMPUTED_VALUE"""),43646.0)</f>
        <v>43646</v>
      </c>
      <c r="Q1080" s="3" t="str">
        <f>IFERROR(__xludf.DUMMYFUNCTION("""COMPUTED_VALUE"""),"A")</f>
        <v>A</v>
      </c>
      <c r="R1080" s="3" t="str">
        <f>IFERROR(__xludf.DUMMYFUNCTION("""COMPUTED_VALUE"""),"Small Format")</f>
        <v>Small Format</v>
      </c>
      <c r="S1080" s="3" t="str">
        <f>IFERROR(__xludf.DUMMYFUNCTION("""COMPUTED_VALUE"""),"BCM")</f>
        <v>BCM</v>
      </c>
      <c r="T1080" s="3" t="str">
        <f>IFERROR(__xludf.DUMMYFUNCTION("""COMPUTED_VALUE"""),"#N/A")</f>
        <v>#N/A</v>
      </c>
      <c r="U1080" s="3" t="str">
        <f>IFERROR(__xludf.DUMMYFUNCTION("""COMPUTED_VALUE"""),"#N/A")</f>
        <v>#N/A</v>
      </c>
      <c r="V1080" s="3" t="str">
        <f>IFERROR(__xludf.DUMMYFUNCTION("""COMPUTED_VALUE"""),"N")</f>
        <v>N</v>
      </c>
      <c r="W1080" s="3">
        <f>IFERROR(__xludf.DUMMYFUNCTION("""COMPUTED_VALUE"""),211901.0)</f>
        <v>211901</v>
      </c>
      <c r="X1080" s="3" t="str">
        <f>IFERROR(__xludf.DUMMYFUNCTION("""COMPUTED_VALUE"""),"12/8 หมู่9 ตำบลบางวัว อำเภอบางปะกง จังหวัดฉะเชิงเทรา 24180")</f>
        <v>12/8 หมู่9 ตำบลบางวัว อำเภอบางปะกง จังหวัดฉะเชิงเทรา 24180</v>
      </c>
      <c r="Y1080" s="3"/>
      <c r="Z1080" s="3" t="str">
        <f>IFERROR(__xludf.DUMMYFUNCTION("""COMPUTED_VALUE"""),"บางวัว")</f>
        <v>บางวัว</v>
      </c>
      <c r="AA1080" s="3" t="str">
        <f>IFERROR(__xludf.DUMMYFUNCTION("""COMPUTED_VALUE"""),"บางปะกง")</f>
        <v>บางปะกง</v>
      </c>
      <c r="AB1080" s="3" t="str">
        <f>IFERROR(__xludf.DUMMYFUNCTION("""COMPUTED_VALUE"""),"ฉะเชิงเทรา")</f>
        <v>ฉะเชิงเทรา</v>
      </c>
      <c r="AC1080" s="3">
        <f>IFERROR(__xludf.DUMMYFUNCTION("""COMPUTED_VALUE"""),24180.0)</f>
        <v>24180</v>
      </c>
      <c r="AD1080" s="3">
        <f>IFERROR(__xludf.DUMMYFUNCTION("""COMPUTED_VALUE"""),13.56072)</f>
        <v>13.56072</v>
      </c>
      <c r="AE1080" s="3">
        <f>IFERROR(__xludf.DUMMYFUNCTION("""COMPUTED_VALUE"""),100.9544)</f>
        <v>100.9544</v>
      </c>
      <c r="AF1080" s="3" t="str">
        <f>IFERROR(__xludf.DUMMYFUNCTION("""COMPUTED_VALUE"""),"MBC เอสโซ่บางนา กม.40 ฉะเชิงเทรา-21852")</f>
        <v>MBC เอสโซ่บางนา กม.40 ฉะเชิงเทรา-21852</v>
      </c>
      <c r="AG1080" s="3" t="str">
        <f>IFERROR(__xludf.DUMMYFUNCTION("""COMPUTED_VALUE"""),"ตะวันออก")</f>
        <v>ตะวันออก</v>
      </c>
      <c r="AH1080" s="3" t="str">
        <f>IFERROR(__xludf.DUMMYFUNCTION("""COMPUTED_VALUE"""),"#N/A")</f>
        <v>#N/A</v>
      </c>
      <c r="AI1080" s="3" t="str">
        <f>IFERROR(__xludf.DUMMYFUNCTION("""COMPUTED_VALUE"""),"Out of warranty")</f>
        <v>Out of warranty</v>
      </c>
      <c r="AJ1080" s="3">
        <f>IFERROR(__xludf.DUMMYFUNCTION("""COMPUTED_VALUE"""),79.0)</f>
        <v>79</v>
      </c>
      <c r="AK1080" s="3" t="str">
        <f>IFERROR(__xludf.DUMMYFUNCTION("""COMPUTED_VALUE"""),"MMS03")</f>
        <v>MMS03</v>
      </c>
      <c r="AL1080" s="3"/>
    </row>
    <row r="1081" ht="15.75" customHeight="1">
      <c r="A1081" s="1" t="str">
        <f>IFERROR(__xludf.DUMMYFUNCTION("""COMPUTED_VALUE"""),"21853")</f>
        <v>21853</v>
      </c>
      <c r="B1081" s="2">
        <f>IFERROR(__xludf.DUMMYFUNCTION("""COMPUTED_VALUE"""),21853.0)</f>
        <v>21853</v>
      </c>
      <c r="C1081" s="3" t="str">
        <f>IFERROR(__xludf.DUMMYFUNCTION("""COMPUTED_VALUE"""),"MBC ตลาดสดเทศบาลสุราษฎร์ธานี สุราษฎร์ธานี")</f>
        <v>MBC ตลาดสดเทศบาลสุราษฎร์ธานี สุราษฎร์ธานี</v>
      </c>
      <c r="D1081" s="3" t="str">
        <f>IFERROR(__xludf.DUMMYFUNCTION("""COMPUTED_VALUE"""),"MBC TALAD SOD TESSABAN")</f>
        <v>MBC TALAD SOD TESSABAN</v>
      </c>
      <c r="E1081" s="1" t="str">
        <f>IFERROR(__xludf.DUMMYFUNCTION("""COMPUTED_VALUE"""),"บิ๊กซี MINI")</f>
        <v>บิ๊กซี MINI</v>
      </c>
      <c r="F1081" s="1" t="str">
        <f>IFERROR(__xludf.DUMMYFUNCTION("""COMPUTED_VALUE"""),"2010918")</f>
        <v>2010918</v>
      </c>
      <c r="G1081" s="1" t="str">
        <f>IFERROR(__xludf.DUMMYFUNCTION("""COMPUTED_VALUE"""),"น.ส.สุดารัตน์ รัตนประดิษฐ์")</f>
        <v>น.ส.สุดารัตน์ รัตนประดิษฐ์</v>
      </c>
      <c r="H1081" s="1" t="str">
        <f>IFERROR(__xludf.DUMMYFUNCTION("""COMPUTED_VALUE"""),"228389")</f>
        <v>228389</v>
      </c>
      <c r="I1081" s="1" t="str">
        <f>IFERROR(__xludf.DUMMYFUNCTION("""COMPUTED_VALUE"""),"นายมณีรันดร์ ชัยชนะ")</f>
        <v>นายมณีรันดร์ ชัยชนะ</v>
      </c>
      <c r="J1081" s="3">
        <f>IFERROR(__xludf.DUMMYFUNCTION("""COMPUTED_VALUE"""),2.0470331E7)</f>
        <v>20470331</v>
      </c>
      <c r="K1081" s="3" t="str">
        <f>IFERROR(__xludf.DUMMYFUNCTION("""COMPUTED_VALUE"""),"นายสมชาย ลักษณะสุวรรณ")</f>
        <v>นายสมชาย ลักษณะสุวรรณ</v>
      </c>
      <c r="L1081" s="1" t="str">
        <f>IFERROR(__xludf.DUMMYFUNCTION("""COMPUTED_VALUE"""),"15 K.Somchai L")</f>
        <v>15 K.Somchai L</v>
      </c>
      <c r="M1081" s="1" t="str">
        <f>IFERROR(__xludf.DUMMYFUNCTION("""COMPUTED_VALUE"""),"0655107372")</f>
        <v>0655107372</v>
      </c>
      <c r="N1081" s="3">
        <f>IFERROR(__xludf.DUMMYFUNCTION("""COMPUTED_VALUE"""),21723.0)</f>
        <v>21723</v>
      </c>
      <c r="O108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081" s="4">
        <f>IFERROR(__xludf.DUMMYFUNCTION("""COMPUTED_VALUE"""),43646.0)</f>
        <v>43646</v>
      </c>
      <c r="Q1081" s="3" t="str">
        <f>IFERROR(__xludf.DUMMYFUNCTION("""COMPUTED_VALUE"""),"I")</f>
        <v>I</v>
      </c>
      <c r="R1081" s="3" t="str">
        <f>IFERROR(__xludf.DUMMYFUNCTION("""COMPUTED_VALUE"""),"Small Format")</f>
        <v>Small Format</v>
      </c>
      <c r="S1081" s="3" t="str">
        <f>IFERROR(__xludf.DUMMYFUNCTION("""COMPUTED_VALUE"""),"BCM")</f>
        <v>BCM</v>
      </c>
      <c r="T1081" s="3" t="str">
        <f>IFERROR(__xludf.DUMMYFUNCTION("""COMPUTED_VALUE"""),"#N/A")</f>
        <v>#N/A</v>
      </c>
      <c r="U1081" s="3" t="str">
        <f>IFERROR(__xludf.DUMMYFUNCTION("""COMPUTED_VALUE"""),"#N/A")</f>
        <v>#N/A</v>
      </c>
      <c r="V1081" s="3" t="str">
        <f>IFERROR(__xludf.DUMMYFUNCTION("""COMPUTED_VALUE"""),"N")</f>
        <v>N</v>
      </c>
      <c r="W1081" s="3">
        <f>IFERROR(__xludf.DUMMYFUNCTION("""COMPUTED_VALUE"""),211798.0)</f>
        <v>211798</v>
      </c>
      <c r="X1081" s="3" t="str">
        <f>IFERROR(__xludf.DUMMYFUNCTION("""COMPUTED_VALUE"""),"555 ถนนหน้าเมือง ตำบลตลาด อำเภอเมืองสุราษฎร์ธานี จังหวัดสุราษฎร์ธานี 84000")</f>
        <v>555 ถนนหน้าเมือง ตำบลตลาด อำเภอเมืองสุราษฎร์ธานี จังหวัดสุราษฎร์ธานี 84000</v>
      </c>
      <c r="Y1081" s="3" t="str">
        <f>IFERROR(__xludf.DUMMYFUNCTION("""COMPUTED_VALUE"""),"ถนนหน้าเมือง")</f>
        <v>ถนนหน้าเมือง</v>
      </c>
      <c r="Z1081" s="3" t="str">
        <f>IFERROR(__xludf.DUMMYFUNCTION("""COMPUTED_VALUE"""),"ตลาด")</f>
        <v>ตลาด</v>
      </c>
      <c r="AA1081" s="3" t="str">
        <f>IFERROR(__xludf.DUMMYFUNCTION("""COMPUTED_VALUE"""),"เมือง")</f>
        <v>เมือง</v>
      </c>
      <c r="AB1081" s="3" t="str">
        <f>IFERROR(__xludf.DUMMYFUNCTION("""COMPUTED_VALUE"""),"สุราษฎร์ธานี")</f>
        <v>สุราษฎร์ธานี</v>
      </c>
      <c r="AC1081" s="3">
        <f>IFERROR(__xludf.DUMMYFUNCTION("""COMPUTED_VALUE"""),84000.0)</f>
        <v>84000</v>
      </c>
      <c r="AD1081" s="3">
        <f>IFERROR(__xludf.DUMMYFUNCTION("""COMPUTED_VALUE"""),9.141711)</f>
        <v>9.141711</v>
      </c>
      <c r="AE1081" s="3">
        <f>IFERROR(__xludf.DUMMYFUNCTION("""COMPUTED_VALUE"""),99.323531)</f>
        <v>99.323531</v>
      </c>
      <c r="AF1081" s="3" t="str">
        <f>IFERROR(__xludf.DUMMYFUNCTION("""COMPUTED_VALUE"""),"MBC ตลาดสดเทศบาลสุราษฎร์ธานี สุราษฎร์ธานี-21853")</f>
        <v>MBC ตลาดสดเทศบาลสุราษฎร์ธานี สุราษฎร์ธานี-21853</v>
      </c>
      <c r="AG1081" s="3" t="str">
        <f>IFERROR(__xludf.DUMMYFUNCTION("""COMPUTED_VALUE"""),"ใต้")</f>
        <v>ใต้</v>
      </c>
      <c r="AH1081" s="3" t="str">
        <f>IFERROR(__xludf.DUMMYFUNCTION("""COMPUTED_VALUE"""),"#N/A")</f>
        <v>#N/A</v>
      </c>
      <c r="AI1081" s="3" t="str">
        <f>IFERROR(__xludf.DUMMYFUNCTION("""COMPUTED_VALUE"""),"Out of warranty")</f>
        <v>Out of warranty</v>
      </c>
      <c r="AJ1081" s="3">
        <f>IFERROR(__xludf.DUMMYFUNCTION("""COMPUTED_VALUE"""),79.0)</f>
        <v>79</v>
      </c>
      <c r="AK1081" s="3"/>
      <c r="AL1081" s="3"/>
    </row>
    <row r="1082" ht="15.75" customHeight="1">
      <c r="A1082" s="1" t="str">
        <f>IFERROR(__xludf.DUMMYFUNCTION("""COMPUTED_VALUE"""),"21854")</f>
        <v>21854</v>
      </c>
      <c r="B1082" s="2">
        <f>IFERROR(__xludf.DUMMYFUNCTION("""COMPUTED_VALUE"""),21854.0)</f>
        <v>21854</v>
      </c>
      <c r="C1082" s="3" t="str">
        <f>IFERROR(__xludf.DUMMYFUNCTION("""COMPUTED_VALUE"""),"MBC เชลล์ ปลวกแดง ระยอง")</f>
        <v>MBC เชลล์ ปลวกแดง ระยอง</v>
      </c>
      <c r="D1082" s="3" t="str">
        <f>IFERROR(__xludf.DUMMYFUNCTION("""COMPUTED_VALUE"""),"MBC SHELL PLUAKDAENG")</f>
        <v>MBC SHELL PLUAKDAENG</v>
      </c>
      <c r="E1082" s="1" t="str">
        <f>IFERROR(__xludf.DUMMYFUNCTION("""COMPUTED_VALUE"""),"บิ๊กซี MINI")</f>
        <v>บิ๊กซี MINI</v>
      </c>
      <c r="F1082" s="3"/>
      <c r="G1082" s="3"/>
      <c r="H1082" s="3"/>
      <c r="I1082" s="3"/>
      <c r="J1082" s="3"/>
      <c r="K1082" s="3"/>
      <c r="L1082" s="1" t="str">
        <f>IFERROR(__xludf.DUMMYFUNCTION("""COMPUTED_VALUE"""),"0")</f>
        <v>0</v>
      </c>
      <c r="M1082" s="1" t="str">
        <f>IFERROR(__xludf.DUMMYFUNCTION("""COMPUTED_VALUE"""),"0")</f>
        <v>0</v>
      </c>
      <c r="N1082" s="3"/>
      <c r="O1082" s="3"/>
      <c r="P1082" s="3" t="str">
        <f>IFERROR(__xludf.DUMMYFUNCTION("""COMPUTED_VALUE"""),"0/1/1900")</f>
        <v>0/1/1900</v>
      </c>
      <c r="Q1082" s="3" t="str">
        <f>IFERROR(__xludf.DUMMYFUNCTION("""COMPUTED_VALUE"""),"I")</f>
        <v>I</v>
      </c>
      <c r="R1082" s="3" t="str">
        <f>IFERROR(__xludf.DUMMYFUNCTION("""COMPUTED_VALUE"""),"Small Format")</f>
        <v>Small Format</v>
      </c>
      <c r="S1082" s="3" t="str">
        <f>IFERROR(__xludf.DUMMYFUNCTION("""COMPUTED_VALUE"""),"BCM")</f>
        <v>BCM</v>
      </c>
      <c r="T1082" s="3" t="str">
        <f>IFERROR(__xludf.DUMMYFUNCTION("""COMPUTED_VALUE"""),"#N/A")</f>
        <v>#N/A</v>
      </c>
      <c r="U1082" s="3" t="str">
        <f>IFERROR(__xludf.DUMMYFUNCTION("""COMPUTED_VALUE"""),"#N/A")</f>
        <v>#N/A</v>
      </c>
      <c r="V1082" s="3" t="str">
        <f>IFERROR(__xludf.DUMMYFUNCTION("""COMPUTED_VALUE"""),"N")</f>
        <v>N</v>
      </c>
      <c r="W1082" s="3">
        <f>IFERROR(__xludf.DUMMYFUNCTION("""COMPUTED_VALUE"""),0.0)</f>
        <v>0</v>
      </c>
      <c r="X1082" s="3" t="str">
        <f>IFERROR(__xludf.DUMMYFUNCTION("""COMPUTED_VALUE"""),"432 หมู่5 ตำบลแม่น้ำคู้ อำเภอปลวกแดง จังหวัดระยอง 21140")</f>
        <v>432 หมู่5 ตำบลแม่น้ำคู้ อำเภอปลวกแดง จังหวัดระยอง 21140</v>
      </c>
      <c r="Y1082" s="3"/>
      <c r="Z1082" s="3" t="str">
        <f>IFERROR(__xludf.DUMMYFUNCTION("""COMPUTED_VALUE"""),"แม่น้ำคู้")</f>
        <v>แม่น้ำคู้</v>
      </c>
      <c r="AA1082" s="3" t="str">
        <f>IFERROR(__xludf.DUMMYFUNCTION("""COMPUTED_VALUE"""),"ปลวกแดง")</f>
        <v>ปลวกแดง</v>
      </c>
      <c r="AB1082" s="3" t="str">
        <f>IFERROR(__xludf.DUMMYFUNCTION("""COMPUTED_VALUE"""),"ระยอง")</f>
        <v>ระยอง</v>
      </c>
      <c r="AC1082" s="3">
        <f>IFERROR(__xludf.DUMMYFUNCTION("""COMPUTED_VALUE"""),21140.0)</f>
        <v>21140</v>
      </c>
      <c r="AD1082" s="3" t="str">
        <f>IFERROR(__xludf.DUMMYFUNCTION("""COMPUTED_VALUE"""),"#N/A")</f>
        <v>#N/A</v>
      </c>
      <c r="AE1082" s="3" t="str">
        <f>IFERROR(__xludf.DUMMYFUNCTION("""COMPUTED_VALUE"""),"#N/A")</f>
        <v>#N/A</v>
      </c>
      <c r="AF1082" s="3" t="str">
        <f>IFERROR(__xludf.DUMMYFUNCTION("""COMPUTED_VALUE"""),"MBC เชลล์ ปลวกแดง ระยอง-21854")</f>
        <v>MBC เชลล์ ปลวกแดง ระยอง-21854</v>
      </c>
      <c r="AG1082" s="3" t="str">
        <f>IFERROR(__xludf.DUMMYFUNCTION("""COMPUTED_VALUE"""),"ตะวันออก")</f>
        <v>ตะวันออก</v>
      </c>
      <c r="AH1082" s="3" t="str">
        <f>IFERROR(__xludf.DUMMYFUNCTION("""COMPUTED_VALUE"""),"#N/A")</f>
        <v>#N/A</v>
      </c>
      <c r="AI1082" s="3" t="str">
        <f>IFERROR(__xludf.DUMMYFUNCTION("""COMPUTED_VALUE"""),"Out of warranty")</f>
        <v>Out of warranty</v>
      </c>
      <c r="AJ1082" s="3">
        <f>IFERROR(__xludf.DUMMYFUNCTION("""COMPUTED_VALUE"""),1513.0)</f>
        <v>1513</v>
      </c>
      <c r="AK1082" s="3"/>
      <c r="AL1082" s="3"/>
    </row>
    <row r="1083" ht="15.75" customHeight="1">
      <c r="A1083" s="1" t="str">
        <f>IFERROR(__xludf.DUMMYFUNCTION("""COMPUTED_VALUE"""),"21855")</f>
        <v>21855</v>
      </c>
      <c r="B1083" s="2">
        <f>IFERROR(__xludf.DUMMYFUNCTION("""COMPUTED_VALUE"""),21855.0)</f>
        <v>21855</v>
      </c>
      <c r="C1083" s="3" t="str">
        <f>IFERROR(__xludf.DUMMYFUNCTION("""COMPUTED_VALUE"""),"MBC หน้าเมือง (สมุย) สุราษฎร์ธานี")</f>
        <v>MBC หน้าเมือง (สมุย) สุราษฎร์ธานี</v>
      </c>
      <c r="D1083" s="3" t="str">
        <f>IFERROR(__xludf.DUMMYFUNCTION("""COMPUTED_VALUE"""),"BCM NA MUEANG (SAMUI)")</f>
        <v>BCM NA MUEANG (SAMUI)</v>
      </c>
      <c r="E1083" s="1" t="str">
        <f>IFERROR(__xludf.DUMMYFUNCTION("""COMPUTED_VALUE"""),"บิ๊กซี MINI")</f>
        <v>บิ๊กซี MINI</v>
      </c>
      <c r="F1083" s="1" t="str">
        <f>IFERROR(__xludf.DUMMYFUNCTION("""COMPUTED_VALUE"""),"250760")</f>
        <v>250760</v>
      </c>
      <c r="G1083" s="1" t="str">
        <f>IFERROR(__xludf.DUMMYFUNCTION("""COMPUTED_VALUE"""),"นายประทวน สาราบรรณ์")</f>
        <v>นายประทวน สาราบรรณ์</v>
      </c>
      <c r="H1083" s="1" t="str">
        <f>IFERROR(__xludf.DUMMYFUNCTION("""COMPUTED_VALUE"""),"356760")</f>
        <v>356760</v>
      </c>
      <c r="I1083" s="1" t="str">
        <f>IFERROR(__xludf.DUMMYFUNCTION("""COMPUTED_VALUE"""),"นายภูมิภัทร แก้วพรรณราย")</f>
        <v>นายภูมิภัทร แก้วพรรณราย</v>
      </c>
      <c r="J1083" s="3">
        <f>IFERROR(__xludf.DUMMYFUNCTION("""COMPUTED_VALUE"""),25324.0)</f>
        <v>25324</v>
      </c>
      <c r="K1083" s="3" t="str">
        <f>IFERROR(__xludf.DUMMYFUNCTION("""COMPUTED_VALUE"""),"นายวิเชฎฐ์ ติรัตนะประคม")</f>
        <v>นายวิเชฎฐ์ ติรัตนะประคม</v>
      </c>
      <c r="L1083" s="1" t="str">
        <f>IFERROR(__xludf.DUMMYFUNCTION("""COMPUTED_VALUE"""),"14 K.Wichet T.")</f>
        <v>14 K.Wichet T.</v>
      </c>
      <c r="M1083" s="1" t="str">
        <f>IFERROR(__xludf.DUMMYFUNCTION("""COMPUTED_VALUE"""),"061-417-6569 / 086-445-5636")</f>
        <v>061-417-6569 / 086-445-5636</v>
      </c>
      <c r="N1083" s="3">
        <f>IFERROR(__xludf.DUMMYFUNCTION("""COMPUTED_VALUE"""),22658.0)</f>
        <v>22658</v>
      </c>
      <c r="O1083" s="3" t="str">
        <f>IFERROR(__xludf.DUMMYFUNCTION("""COMPUTED_VALUE"""),"BCM ถ.วิรัชหงษ์หยก ภูเก็ต")</f>
        <v>BCM ถ.วิรัชหงษ์หยก ภูเก็ต</v>
      </c>
      <c r="P1083" s="4">
        <f>IFERROR(__xludf.DUMMYFUNCTION("""COMPUTED_VALUE"""),43651.0)</f>
        <v>43651</v>
      </c>
      <c r="Q1083" s="3" t="str">
        <f>IFERROR(__xludf.DUMMYFUNCTION("""COMPUTED_VALUE"""),"A")</f>
        <v>A</v>
      </c>
      <c r="R1083" s="3" t="str">
        <f>IFERROR(__xludf.DUMMYFUNCTION("""COMPUTED_VALUE"""),"Small Format")</f>
        <v>Small Format</v>
      </c>
      <c r="S1083" s="3" t="str">
        <f>IFERROR(__xludf.DUMMYFUNCTION("""COMPUTED_VALUE"""),"BCM")</f>
        <v>BCM</v>
      </c>
      <c r="T1083" s="3" t="str">
        <f>IFERROR(__xludf.DUMMYFUNCTION("""COMPUTED_VALUE"""),"#N/A")</f>
        <v>#N/A</v>
      </c>
      <c r="U1083" s="3" t="str">
        <f>IFERROR(__xludf.DUMMYFUNCTION("""COMPUTED_VALUE"""),"#N/A")</f>
        <v>#N/A</v>
      </c>
      <c r="V1083" s="3" t="str">
        <f>IFERROR(__xludf.DUMMYFUNCTION("""COMPUTED_VALUE"""),"N")</f>
        <v>N</v>
      </c>
      <c r="W1083" s="3">
        <f>IFERROR(__xludf.DUMMYFUNCTION("""COMPUTED_VALUE"""),211828.0)</f>
        <v>211828</v>
      </c>
      <c r="X1083" s="3" t="str">
        <f>IFERROR(__xludf.DUMMYFUNCTION("""COMPUTED_VALUE"""),"110/31 หมู่5 ตำบลหน้าเมือง อำเภอเกาะสมุย จังหวัดสุราษฎร์ธานี 84140")</f>
        <v>110/31 หมู่5 ตำบลหน้าเมือง อำเภอเกาะสมุย จังหวัดสุราษฎร์ธานี 84140</v>
      </c>
      <c r="Y1083" s="3"/>
      <c r="Z1083" s="3" t="str">
        <f>IFERROR(__xludf.DUMMYFUNCTION("""COMPUTED_VALUE"""),"หน้าเมือง")</f>
        <v>หน้าเมือง</v>
      </c>
      <c r="AA1083" s="3" t="str">
        <f>IFERROR(__xludf.DUMMYFUNCTION("""COMPUTED_VALUE"""),"เกาะสมุย")</f>
        <v>เกาะสมุย</v>
      </c>
      <c r="AB1083" s="3" t="str">
        <f>IFERROR(__xludf.DUMMYFUNCTION("""COMPUTED_VALUE"""),"สุราษฎร์ธานี")</f>
        <v>สุราษฎร์ธานี</v>
      </c>
      <c r="AC1083" s="3">
        <f>IFERROR(__xludf.DUMMYFUNCTION("""COMPUTED_VALUE"""),84140.0)</f>
        <v>84140</v>
      </c>
      <c r="AD1083" s="3">
        <f>IFERROR(__xludf.DUMMYFUNCTION("""COMPUTED_VALUE"""),9.451581)</f>
        <v>9.451581</v>
      </c>
      <c r="AE1083" s="3">
        <f>IFERROR(__xludf.DUMMYFUNCTION("""COMPUTED_VALUE"""),99.999147)</f>
        <v>99.999147</v>
      </c>
      <c r="AF1083" s="3" t="str">
        <f>IFERROR(__xludf.DUMMYFUNCTION("""COMPUTED_VALUE"""),"MBC หน้าเมือง (สมุย) สุราษฎร์ธานี-21855")</f>
        <v>MBC หน้าเมือง (สมุย) สุราษฎร์ธานี-21855</v>
      </c>
      <c r="AG1083" s="3" t="str">
        <f>IFERROR(__xludf.DUMMYFUNCTION("""COMPUTED_VALUE"""),"ใต้")</f>
        <v>ใต้</v>
      </c>
      <c r="AH1083" s="3" t="str">
        <f>IFERROR(__xludf.DUMMYFUNCTION("""COMPUTED_VALUE"""),"#N/A")</f>
        <v>#N/A</v>
      </c>
      <c r="AI1083" s="3" t="str">
        <f>IFERROR(__xludf.DUMMYFUNCTION("""COMPUTED_VALUE"""),"Out of warranty")</f>
        <v>Out of warranty</v>
      </c>
      <c r="AJ1083" s="3">
        <f>IFERROR(__xludf.DUMMYFUNCTION("""COMPUTED_VALUE"""),79.0)</f>
        <v>79</v>
      </c>
      <c r="AK1083" s="3" t="str">
        <f>IFERROR(__xludf.DUMMYFUNCTION("""COMPUTED_VALUE"""),"MMS14")</f>
        <v>MMS14</v>
      </c>
      <c r="AL1083" s="3"/>
    </row>
    <row r="1084" ht="15.75" customHeight="1">
      <c r="A1084" s="1" t="str">
        <f>IFERROR(__xludf.DUMMYFUNCTION("""COMPUTED_VALUE"""),"21856")</f>
        <v>21856</v>
      </c>
      <c r="B1084" s="2">
        <f>IFERROR(__xludf.DUMMYFUNCTION("""COMPUTED_VALUE"""),21856.0)</f>
        <v>21856</v>
      </c>
      <c r="C1084" s="3" t="str">
        <f>IFERROR(__xludf.DUMMYFUNCTION("""COMPUTED_VALUE"""),"MBC ลาซาลซอย11 กรุงเทพฯ")</f>
        <v>MBC ลาซาลซอย11 กรุงเทพฯ</v>
      </c>
      <c r="D1084" s="3" t="str">
        <f>IFERROR(__xludf.DUMMYFUNCTION("""COMPUTED_VALUE"""),"MBC LA SALLE SOI 11,BANGKOK")</f>
        <v>MBC LA SALLE SOI 11,BANGKOK</v>
      </c>
      <c r="E1084" s="1" t="str">
        <f>IFERROR(__xludf.DUMMYFUNCTION("""COMPUTED_VALUE"""),"บิ๊กซี MINI")</f>
        <v>บิ๊กซี MINI</v>
      </c>
      <c r="F1084" s="3"/>
      <c r="G1084" s="3"/>
      <c r="H1084" s="3"/>
      <c r="I1084" s="3"/>
      <c r="J1084" s="3"/>
      <c r="K1084" s="3"/>
      <c r="L1084" s="1" t="str">
        <f>IFERROR(__xludf.DUMMYFUNCTION("""COMPUTED_VALUE"""),"0")</f>
        <v>0</v>
      </c>
      <c r="M1084" s="1" t="str">
        <f>IFERROR(__xludf.DUMMYFUNCTION("""COMPUTED_VALUE"""),"0")</f>
        <v>0</v>
      </c>
      <c r="N1084" s="3"/>
      <c r="O1084" s="3"/>
      <c r="P1084" s="3" t="str">
        <f>IFERROR(__xludf.DUMMYFUNCTION("""COMPUTED_VALUE"""),"0/1/1900")</f>
        <v>0/1/1900</v>
      </c>
      <c r="Q1084" s="3" t="str">
        <f>IFERROR(__xludf.DUMMYFUNCTION("""COMPUTED_VALUE"""),"I")</f>
        <v>I</v>
      </c>
      <c r="R1084" s="3" t="str">
        <f>IFERROR(__xludf.DUMMYFUNCTION("""COMPUTED_VALUE"""),"Small Format")</f>
        <v>Small Format</v>
      </c>
      <c r="S1084" s="3" t="str">
        <f>IFERROR(__xludf.DUMMYFUNCTION("""COMPUTED_VALUE"""),"BCM")</f>
        <v>BCM</v>
      </c>
      <c r="T1084" s="3" t="str">
        <f>IFERROR(__xludf.DUMMYFUNCTION("""COMPUTED_VALUE"""),"#N/A")</f>
        <v>#N/A</v>
      </c>
      <c r="U1084" s="3" t="str">
        <f>IFERROR(__xludf.DUMMYFUNCTION("""COMPUTED_VALUE"""),"#N/A")</f>
        <v>#N/A</v>
      </c>
      <c r="V1084" s="3" t="str">
        <f>IFERROR(__xludf.DUMMYFUNCTION("""COMPUTED_VALUE"""),"N")</f>
        <v>N</v>
      </c>
      <c r="W1084" s="3">
        <f>IFERROR(__xludf.DUMMYFUNCTION("""COMPUTED_VALUE"""),0.0)</f>
        <v>0</v>
      </c>
      <c r="X1084" s="3" t="str">
        <f>IFERROR(__xludf.DUMMYFUNCTION("""COMPUTED_VALUE"""),"209 ถนนลาซาล แขวงบางนาใต้ เขตบางนา กรุงเทพมหานคร 10260")</f>
        <v>209 ถนนลาซาล แขวงบางนาใต้ เขตบางนา กรุงเทพมหานคร 10260</v>
      </c>
      <c r="Y1084" s="3" t="str">
        <f>IFERROR(__xludf.DUMMYFUNCTION("""COMPUTED_VALUE"""),"ถนนลาซาล")</f>
        <v>ถนนลาซาล</v>
      </c>
      <c r="Z1084" s="3" t="str">
        <f>IFERROR(__xludf.DUMMYFUNCTION("""COMPUTED_VALUE"""),"บางนาใต้")</f>
        <v>บางนาใต้</v>
      </c>
      <c r="AA1084" s="3" t="str">
        <f>IFERROR(__xludf.DUMMYFUNCTION("""COMPUTED_VALUE"""),"บางนา")</f>
        <v>บางนา</v>
      </c>
      <c r="AB1084" s="3" t="str">
        <f>IFERROR(__xludf.DUMMYFUNCTION("""COMPUTED_VALUE"""),"กรุงเทพมหานคร")</f>
        <v>กรุงเทพมหานคร</v>
      </c>
      <c r="AC1084" s="3">
        <f>IFERROR(__xludf.DUMMYFUNCTION("""COMPUTED_VALUE"""),10260.0)</f>
        <v>10260</v>
      </c>
      <c r="AD1084" s="3" t="str">
        <f>IFERROR(__xludf.DUMMYFUNCTION("""COMPUTED_VALUE"""),"#N/A")</f>
        <v>#N/A</v>
      </c>
      <c r="AE1084" s="3" t="str">
        <f>IFERROR(__xludf.DUMMYFUNCTION("""COMPUTED_VALUE"""),"#N/A")</f>
        <v>#N/A</v>
      </c>
      <c r="AF1084" s="3" t="str">
        <f>IFERROR(__xludf.DUMMYFUNCTION("""COMPUTED_VALUE"""),"MBC ลาซาลซอย11 กรุงเทพฯ-21856")</f>
        <v>MBC ลาซาลซอย11 กรุงเทพฯ-21856</v>
      </c>
      <c r="AG1084" s="3" t="str">
        <f>IFERROR(__xludf.DUMMYFUNCTION("""COMPUTED_VALUE"""),"กลาง")</f>
        <v>กลาง</v>
      </c>
      <c r="AH1084" s="3" t="str">
        <f>IFERROR(__xludf.DUMMYFUNCTION("""COMPUTED_VALUE"""),"#N/A")</f>
        <v>#N/A</v>
      </c>
      <c r="AI1084" s="3" t="str">
        <f>IFERROR(__xludf.DUMMYFUNCTION("""COMPUTED_VALUE"""),"Out of warranty")</f>
        <v>Out of warranty</v>
      </c>
      <c r="AJ1084" s="3">
        <f>IFERROR(__xludf.DUMMYFUNCTION("""COMPUTED_VALUE"""),1513.0)</f>
        <v>1513</v>
      </c>
      <c r="AK1084" s="3"/>
      <c r="AL1084" s="3"/>
    </row>
    <row r="1085" ht="15.75" customHeight="1">
      <c r="A1085" s="1" t="str">
        <f>IFERROR(__xludf.DUMMYFUNCTION("""COMPUTED_VALUE"""),"21857")</f>
        <v>21857</v>
      </c>
      <c r="B1085" s="2">
        <f>IFERROR(__xludf.DUMMYFUNCTION("""COMPUTED_VALUE"""),21857.0)</f>
        <v>21857</v>
      </c>
      <c r="C1085" s="3" t="str">
        <f>IFERROR(__xludf.DUMMYFUNCTION("""COMPUTED_VALUE"""),"MBC จัตุรัส ชัยภูมิ")</f>
        <v>MBC จัตุรัส ชัยภูมิ</v>
      </c>
      <c r="D1085" s="3" t="str">
        <f>IFERROR(__xludf.DUMMYFUNCTION("""COMPUTED_VALUE"""),"BCM CHATURAT, CHAIYAPHUM")</f>
        <v>BCM CHATURAT, CHAIYAPHUM</v>
      </c>
      <c r="E1085" s="1" t="str">
        <f>IFERROR(__xludf.DUMMYFUNCTION("""COMPUTED_VALUE"""),"บิ๊กซี MINI")</f>
        <v>บิ๊กซี MINI</v>
      </c>
      <c r="F1085" s="1" t="str">
        <f>IFERROR(__xludf.DUMMYFUNCTION("""COMPUTED_VALUE"""),"291100")</f>
        <v>291100</v>
      </c>
      <c r="G1085" s="1" t="str">
        <f>IFERROR(__xludf.DUMMYFUNCTION("""COMPUTED_VALUE"""),"น.ส.จารุณี ฮวบอินทร์")</f>
        <v>น.ส.จารุณี ฮวบอินทร์</v>
      </c>
      <c r="H1085" s="1" t="str">
        <f>IFERROR(__xludf.DUMMYFUNCTION("""COMPUTED_VALUE"""),"281315")</f>
        <v>281315</v>
      </c>
      <c r="I1085" s="1" t="str">
        <f>IFERROR(__xludf.DUMMYFUNCTION("""COMPUTED_VALUE"""),"นายกิตติพงษ์ มั่นคง")</f>
        <v>นายกิตติพงษ์ มั่นคง</v>
      </c>
      <c r="J1085" s="3">
        <f>IFERROR(__xludf.DUMMYFUNCTION("""COMPUTED_VALUE"""),295886.0)</f>
        <v>295886</v>
      </c>
      <c r="K1085" s="3" t="str">
        <f>IFERROR(__xludf.DUMMYFUNCTION("""COMPUTED_VALUE"""),"นายจิระพงษ์ โพธิ์นิล")</f>
        <v>นายจิระพงษ์ โพธิ์นิล</v>
      </c>
      <c r="L1085" s="1" t="str">
        <f>IFERROR(__xludf.DUMMYFUNCTION("""COMPUTED_VALUE"""),"นายจิระพงษ์ โพธิ์นิล")</f>
        <v>นายจิระพงษ์ โพธิ์นิล</v>
      </c>
      <c r="M1085" s="1" t="str">
        <f>IFERROR(__xludf.DUMMYFUNCTION("""COMPUTED_VALUE"""),"0933290754")</f>
        <v>0933290754</v>
      </c>
      <c r="N1085" s="3">
        <f>IFERROR(__xludf.DUMMYFUNCTION("""COMPUTED_VALUE"""),21465.0)</f>
        <v>21465</v>
      </c>
      <c r="O1085" s="3" t="str">
        <f>IFERROR(__xludf.DUMMYFUNCTION("""COMPUTED_VALUE"""),"MBC สถานีตำรวจอุดร")</f>
        <v>MBC สถานีตำรวจอุดร</v>
      </c>
      <c r="P1085" s="4">
        <f>IFERROR(__xludf.DUMMYFUNCTION("""COMPUTED_VALUE"""),43661.0)</f>
        <v>43661</v>
      </c>
      <c r="Q1085" s="3" t="str">
        <f>IFERROR(__xludf.DUMMYFUNCTION("""COMPUTED_VALUE"""),"I")</f>
        <v>I</v>
      </c>
      <c r="R1085" s="3" t="str">
        <f>IFERROR(__xludf.DUMMYFUNCTION("""COMPUTED_VALUE"""),"Small Format")</f>
        <v>Small Format</v>
      </c>
      <c r="S1085" s="3" t="str">
        <f>IFERROR(__xludf.DUMMYFUNCTION("""COMPUTED_VALUE"""),"BCM")</f>
        <v>BCM</v>
      </c>
      <c r="T1085" s="3" t="str">
        <f>IFERROR(__xludf.DUMMYFUNCTION("""COMPUTED_VALUE"""),"#N/A")</f>
        <v>#N/A</v>
      </c>
      <c r="U1085" s="3" t="str">
        <f>IFERROR(__xludf.DUMMYFUNCTION("""COMPUTED_VALUE"""),"#N/A")</f>
        <v>#N/A</v>
      </c>
      <c r="V1085" s="3" t="str">
        <f>IFERROR(__xludf.DUMMYFUNCTION("""COMPUTED_VALUE"""),"N")</f>
        <v>N</v>
      </c>
      <c r="W1085" s="3">
        <f>IFERROR(__xludf.DUMMYFUNCTION("""COMPUTED_VALUE"""),211860.0)</f>
        <v>211860</v>
      </c>
      <c r="X1085" s="3" t="str">
        <f>IFERROR(__xludf.DUMMYFUNCTION("""COMPUTED_VALUE"""),"6-8 หมู่2 ตำบลบ้านกอก อำเภอจัตุรัส จังหวัดชัยภูมิ 36130")</f>
        <v>6-8 หมู่2 ตำบลบ้านกอก อำเภอจัตุรัส จังหวัดชัยภูมิ 36130</v>
      </c>
      <c r="Y1085" s="3"/>
      <c r="Z1085" s="3" t="str">
        <f>IFERROR(__xludf.DUMMYFUNCTION("""COMPUTED_VALUE"""),"บ้านกอก")</f>
        <v>บ้านกอก</v>
      </c>
      <c r="AA1085" s="3" t="str">
        <f>IFERROR(__xludf.DUMMYFUNCTION("""COMPUTED_VALUE"""),"จัตุรัส")</f>
        <v>จัตุรัส</v>
      </c>
      <c r="AB1085" s="3" t="str">
        <f>IFERROR(__xludf.DUMMYFUNCTION("""COMPUTED_VALUE"""),"ชัยภูมิ")</f>
        <v>ชัยภูมิ</v>
      </c>
      <c r="AC1085" s="3">
        <f>IFERROR(__xludf.DUMMYFUNCTION("""COMPUTED_VALUE"""),36130.0)</f>
        <v>36130</v>
      </c>
      <c r="AD1085" s="3">
        <f>IFERROR(__xludf.DUMMYFUNCTION("""COMPUTED_VALUE"""),15.563267)</f>
        <v>15.563267</v>
      </c>
      <c r="AE1085" s="3">
        <f>IFERROR(__xludf.DUMMYFUNCTION("""COMPUTED_VALUE"""),101.849079)</f>
        <v>101.849079</v>
      </c>
      <c r="AF1085" s="3" t="str">
        <f>IFERROR(__xludf.DUMMYFUNCTION("""COMPUTED_VALUE"""),"MBC จัตุรัส ชัยภูมิ-21857")</f>
        <v>MBC จัตุรัส ชัยภูมิ-21857</v>
      </c>
      <c r="AG1085" s="3" t="str">
        <f>IFERROR(__xludf.DUMMYFUNCTION("""COMPUTED_VALUE"""),"ตะวันออกเฉียงเหนือ")</f>
        <v>ตะวันออกเฉียงเหนือ</v>
      </c>
      <c r="AH1085" s="3" t="str">
        <f>IFERROR(__xludf.DUMMYFUNCTION("""COMPUTED_VALUE"""),"#N/A")</f>
        <v>#N/A</v>
      </c>
      <c r="AI1085" s="3" t="str">
        <f>IFERROR(__xludf.DUMMYFUNCTION("""COMPUTED_VALUE"""),"Out of warranty")</f>
        <v>Out of warranty</v>
      </c>
      <c r="AJ1085" s="3">
        <f>IFERROR(__xludf.DUMMYFUNCTION("""COMPUTED_VALUE"""),79.0)</f>
        <v>79</v>
      </c>
      <c r="AK1085" s="3"/>
      <c r="AL1085" s="3"/>
    </row>
    <row r="1086" ht="15.75" customHeight="1">
      <c r="A1086" s="1" t="str">
        <f>IFERROR(__xludf.DUMMYFUNCTION("""COMPUTED_VALUE"""),"21858")</f>
        <v>21858</v>
      </c>
      <c r="B1086" s="2">
        <f>IFERROR(__xludf.DUMMYFUNCTION("""COMPUTED_VALUE"""),21858.0)</f>
        <v>21858</v>
      </c>
      <c r="C1086" s="3" t="str">
        <f>IFERROR(__xludf.DUMMYFUNCTION("""COMPUTED_VALUE"""),"MBC ถนนสามัคคี นนทบุรี")</f>
        <v>MBC ถนนสามัคคี นนทบุรี</v>
      </c>
      <c r="D1086" s="3" t="str">
        <f>IFERROR(__xludf.DUMMYFUNCTION("""COMPUTED_VALUE"""),"BCM THANON SAMAKKHI")</f>
        <v>BCM THANON SAMAKKHI</v>
      </c>
      <c r="E1086" s="1" t="str">
        <f>IFERROR(__xludf.DUMMYFUNCTION("""COMPUTED_VALUE"""),"บิ๊กซี MINI")</f>
        <v>บิ๊กซี MINI</v>
      </c>
      <c r="F1086" s="1" t="str">
        <f>IFERROR(__xludf.DUMMYFUNCTION("""COMPUTED_VALUE"""),"291008")</f>
        <v>291008</v>
      </c>
      <c r="G1086" s="1" t="str">
        <f>IFERROR(__xludf.DUMMYFUNCTION("""COMPUTED_VALUE"""),"น.ส.รัชดาพร อีศรัตน์")</f>
        <v>น.ส.รัชดาพร อีศรัตน์</v>
      </c>
      <c r="H1086" s="1" t="str">
        <f>IFERROR(__xludf.DUMMYFUNCTION("""COMPUTED_VALUE"""),"034068")</f>
        <v>034068</v>
      </c>
      <c r="I1086" s="1" t="str">
        <f>IFERROR(__xludf.DUMMYFUNCTION("""COMPUTED_VALUE"""),"นายสมศักดิ์ ฐานทองดี")</f>
        <v>นายสมศักดิ์ ฐานทองดี</v>
      </c>
      <c r="J1086" s="1" t="str">
        <f>IFERROR(__xludf.DUMMYFUNCTION("""COMPUTED_VALUE"""),"296608")</f>
        <v>296608</v>
      </c>
      <c r="K1086" s="3" t="str">
        <f>IFERROR(__xludf.DUMMYFUNCTION("""COMPUTED_VALUE"""),"นายภาคภูมิ เพ็ชรนิล")</f>
        <v>นายภาคภูมิ เพ็ชรนิล</v>
      </c>
      <c r="L1086" s="1" t="str">
        <f>IFERROR(__xludf.DUMMYFUNCTION("""COMPUTED_VALUE"""),"10 K.Phakphoom P.")</f>
        <v>10 K.Phakphoom P.</v>
      </c>
      <c r="M1086" s="1" t="str">
        <f>IFERROR(__xludf.DUMMYFUNCTION("""COMPUTED_VALUE"""),"063-8955329")</f>
        <v>063-8955329</v>
      </c>
      <c r="N1086" s="3">
        <f>IFERROR(__xludf.DUMMYFUNCTION("""COMPUTED_VALUE"""),22584.0)</f>
        <v>22584</v>
      </c>
      <c r="O1086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086" s="4">
        <f>IFERROR(__xludf.DUMMYFUNCTION("""COMPUTED_VALUE"""),43657.0)</f>
        <v>43657</v>
      </c>
      <c r="Q1086" s="3" t="str">
        <f>IFERROR(__xludf.DUMMYFUNCTION("""COMPUTED_VALUE"""),"A")</f>
        <v>A</v>
      </c>
      <c r="R1086" s="3" t="str">
        <f>IFERROR(__xludf.DUMMYFUNCTION("""COMPUTED_VALUE"""),"Small Format")</f>
        <v>Small Format</v>
      </c>
      <c r="S1086" s="3" t="str">
        <f>IFERROR(__xludf.DUMMYFUNCTION("""COMPUTED_VALUE"""),"BCM")</f>
        <v>BCM</v>
      </c>
      <c r="T1086" s="3" t="str">
        <f>IFERROR(__xludf.DUMMYFUNCTION("""COMPUTED_VALUE"""),"#N/A")</f>
        <v>#N/A</v>
      </c>
      <c r="U1086" s="3" t="str">
        <f>IFERROR(__xludf.DUMMYFUNCTION("""COMPUTED_VALUE"""),"#N/A")</f>
        <v>#N/A</v>
      </c>
      <c r="V1086" s="3" t="str">
        <f>IFERROR(__xludf.DUMMYFUNCTION("""COMPUTED_VALUE"""),"N")</f>
        <v>N</v>
      </c>
      <c r="W1086" s="3">
        <f>IFERROR(__xludf.DUMMYFUNCTION("""COMPUTED_VALUE"""),211799.0)</f>
        <v>211799</v>
      </c>
      <c r="X1086" s="3" t="str">
        <f>IFERROR(__xludf.DUMMYFUNCTION("""COMPUTED_VALUE"""),"371/3 ถนนสามัคคี ตำบลท่าทราย อำเภอเมืองนนทบุรี จังหวัดนนทบุรี 11000")</f>
        <v>371/3 ถนนสามัคคี ตำบลท่าทราย อำเภอเมืองนนทบุรี จังหวัดนนทบุรี 11000</v>
      </c>
      <c r="Y1086" s="3" t="str">
        <f>IFERROR(__xludf.DUMMYFUNCTION("""COMPUTED_VALUE"""),"ถนนสามัคคี")</f>
        <v>ถนนสามัคคี</v>
      </c>
      <c r="Z1086" s="3" t="str">
        <f>IFERROR(__xludf.DUMMYFUNCTION("""COMPUTED_VALUE"""),"ท่าทราย")</f>
        <v>ท่าทราย</v>
      </c>
      <c r="AA1086" s="3" t="str">
        <f>IFERROR(__xludf.DUMMYFUNCTION("""COMPUTED_VALUE"""),"เมืองนนทบุรี")</f>
        <v>เมืองนนทบุรี</v>
      </c>
      <c r="AB1086" s="3" t="str">
        <f>IFERROR(__xludf.DUMMYFUNCTION("""COMPUTED_VALUE"""),"นนทบุรี")</f>
        <v>นนทบุรี</v>
      </c>
      <c r="AC1086" s="3">
        <f>IFERROR(__xludf.DUMMYFUNCTION("""COMPUTED_VALUE"""),11000.0)</f>
        <v>11000</v>
      </c>
      <c r="AD1086" s="3">
        <f>IFERROR(__xludf.DUMMYFUNCTION("""COMPUTED_VALUE"""),13.88408)</f>
        <v>13.88408</v>
      </c>
      <c r="AE1086" s="3">
        <f>IFERROR(__xludf.DUMMYFUNCTION("""COMPUTED_VALUE"""),100.52563)</f>
        <v>100.52563</v>
      </c>
      <c r="AF1086" s="3" t="str">
        <f>IFERROR(__xludf.DUMMYFUNCTION("""COMPUTED_VALUE"""),"MBC ถนนสามัคคี นนทบุรี-21858")</f>
        <v>MBC ถนนสามัคคี นนทบุรี-21858</v>
      </c>
      <c r="AG1086" s="3" t="str">
        <f>IFERROR(__xludf.DUMMYFUNCTION("""COMPUTED_VALUE"""),"กลาง")</f>
        <v>กลาง</v>
      </c>
      <c r="AH1086" s="3" t="str">
        <f>IFERROR(__xludf.DUMMYFUNCTION("""COMPUTED_VALUE"""),"#N/A")</f>
        <v>#N/A</v>
      </c>
      <c r="AI1086" s="3" t="str">
        <f>IFERROR(__xludf.DUMMYFUNCTION("""COMPUTED_VALUE"""),"Out of warranty")</f>
        <v>Out of warranty</v>
      </c>
      <c r="AJ1086" s="3">
        <f>IFERROR(__xludf.DUMMYFUNCTION("""COMPUTED_VALUE"""),79.0)</f>
        <v>79</v>
      </c>
      <c r="AK1086" s="3" t="str">
        <f>IFERROR(__xludf.DUMMYFUNCTION("""COMPUTED_VALUE"""),"MMS01")</f>
        <v>MMS01</v>
      </c>
      <c r="AL1086" s="3"/>
    </row>
    <row r="1087" ht="15.75" customHeight="1">
      <c r="A1087" s="1" t="str">
        <f>IFERROR(__xludf.DUMMYFUNCTION("""COMPUTED_VALUE"""),"21859")</f>
        <v>21859</v>
      </c>
      <c r="B1087" s="2">
        <f>IFERROR(__xludf.DUMMYFUNCTION("""COMPUTED_VALUE"""),21859.0)</f>
        <v>21859</v>
      </c>
      <c r="C1087" s="3" t="str">
        <f>IFERROR(__xludf.DUMMYFUNCTION("""COMPUTED_VALUE"""),"MBC เทศบาลบ้านฉาง 46ระยอง")</f>
        <v>MBC เทศบาลบ้านฉาง 46ระยอง</v>
      </c>
      <c r="D1087" s="3" t="str">
        <f>IFERROR(__xludf.DUMMYFUNCTION("""COMPUTED_VALUE"""),"BCM TESSABAN BANCHANG 46")</f>
        <v>BCM TESSABAN BANCHANG 46</v>
      </c>
      <c r="E1087" s="1" t="str">
        <f>IFERROR(__xludf.DUMMYFUNCTION("""COMPUTED_VALUE"""),"บิ๊กซี MINI")</f>
        <v>บิ๊กซี MINI</v>
      </c>
      <c r="F1087" s="1" t="str">
        <f>IFERROR(__xludf.DUMMYFUNCTION("""COMPUTED_VALUE"""),"221716")</f>
        <v>221716</v>
      </c>
      <c r="G1087" s="1" t="str">
        <f>IFERROR(__xludf.DUMMYFUNCTION("""COMPUTED_VALUE"""),"น.ส.เบญจพร โพธิสาร")</f>
        <v>น.ส.เบญจพร โพธิสาร</v>
      </c>
      <c r="H1087" s="1" t="str">
        <f>IFERROR(__xludf.DUMMYFUNCTION("""COMPUTED_VALUE"""),"359233")</f>
        <v>359233</v>
      </c>
      <c r="I1087" s="1" t="str">
        <f>IFERROR(__xludf.DUMMYFUNCTION("""COMPUTED_VALUE"""),"น.ส.ปยุดา คำมีอ่อน")</f>
        <v>น.ส.ปยุดา คำมีอ่อน</v>
      </c>
      <c r="J1087" s="3">
        <f>IFERROR(__xludf.DUMMYFUNCTION("""COMPUTED_VALUE"""),2452376.0)</f>
        <v>2452376</v>
      </c>
      <c r="K1087" s="3" t="str">
        <f>IFERROR(__xludf.DUMMYFUNCTION("""COMPUTED_VALUE"""),"นายภาคภูมิ ทวีกุล")</f>
        <v>นายภาคภูมิ ทวีกุล</v>
      </c>
      <c r="L1087" s="1" t="str">
        <f>IFERROR(__xludf.DUMMYFUNCTION("""COMPUTED_VALUE"""),"08 K.Parkphum T.")</f>
        <v>08 K.Parkphum T.</v>
      </c>
      <c r="M1087" s="1" t="str">
        <f>IFERROR(__xludf.DUMMYFUNCTION("""COMPUTED_VALUE"""),"097-919-5476")</f>
        <v>097-919-5476</v>
      </c>
      <c r="N1087" s="3">
        <f>IFERROR(__xludf.DUMMYFUNCTION("""COMPUTED_VALUE"""),22028.0)</f>
        <v>22028</v>
      </c>
      <c r="O1087" s="3" t="str">
        <f>IFERROR(__xludf.DUMMYFUNCTION("""COMPUTED_VALUE"""),"MBC ทํบมา ระยอง")</f>
        <v>MBC ทํบมา ระยอง</v>
      </c>
      <c r="P1087" s="4">
        <f>IFERROR(__xludf.DUMMYFUNCTION("""COMPUTED_VALUE"""),43660.0)</f>
        <v>43660</v>
      </c>
      <c r="Q1087" s="3" t="str">
        <f>IFERROR(__xludf.DUMMYFUNCTION("""COMPUTED_VALUE"""),"A")</f>
        <v>A</v>
      </c>
      <c r="R1087" s="3" t="str">
        <f>IFERROR(__xludf.DUMMYFUNCTION("""COMPUTED_VALUE"""),"Small Format")</f>
        <v>Small Format</v>
      </c>
      <c r="S1087" s="3" t="str">
        <f>IFERROR(__xludf.DUMMYFUNCTION("""COMPUTED_VALUE"""),"BCM")</f>
        <v>BCM</v>
      </c>
      <c r="T1087" s="3" t="str">
        <f>IFERROR(__xludf.DUMMYFUNCTION("""COMPUTED_VALUE"""),"#N/A")</f>
        <v>#N/A</v>
      </c>
      <c r="U1087" s="3" t="str">
        <f>IFERROR(__xludf.DUMMYFUNCTION("""COMPUTED_VALUE"""),"#N/A")</f>
        <v>#N/A</v>
      </c>
      <c r="V1087" s="3" t="str">
        <f>IFERROR(__xludf.DUMMYFUNCTION("""COMPUTED_VALUE"""),"N")</f>
        <v>N</v>
      </c>
      <c r="W1087" s="3">
        <f>IFERROR(__xludf.DUMMYFUNCTION("""COMPUTED_VALUE"""),211840.0)</f>
        <v>211840</v>
      </c>
      <c r="X1087" s="3" t="str">
        <f>IFERROR(__xludf.DUMMYFUNCTION("""COMPUTED_VALUE"""),"131/11 หมู่5 ตำบลบ้านฉาง อำเภอบ้านฉาง จังหวัดระยอง 21130")</f>
        <v>131/11 หมู่5 ตำบลบ้านฉาง อำเภอบ้านฉาง จังหวัดระยอง 21130</v>
      </c>
      <c r="Y1087" s="3"/>
      <c r="Z1087" s="3" t="str">
        <f>IFERROR(__xludf.DUMMYFUNCTION("""COMPUTED_VALUE"""),"บ้านฉาง")</f>
        <v>บ้านฉาง</v>
      </c>
      <c r="AA1087" s="3" t="str">
        <f>IFERROR(__xludf.DUMMYFUNCTION("""COMPUTED_VALUE"""),"บ้านฉาง")</f>
        <v>บ้านฉาง</v>
      </c>
      <c r="AB1087" s="3" t="str">
        <f>IFERROR(__xludf.DUMMYFUNCTION("""COMPUTED_VALUE"""),"ระยอง")</f>
        <v>ระยอง</v>
      </c>
      <c r="AC1087" s="3">
        <f>IFERROR(__xludf.DUMMYFUNCTION("""COMPUTED_VALUE"""),21130.0)</f>
        <v>21130</v>
      </c>
      <c r="AD1087" s="3">
        <f>IFERROR(__xludf.DUMMYFUNCTION("""COMPUTED_VALUE"""),12.727027)</f>
        <v>12.727027</v>
      </c>
      <c r="AE1087" s="3">
        <f>IFERROR(__xludf.DUMMYFUNCTION("""COMPUTED_VALUE"""),101.064168)</f>
        <v>101.064168</v>
      </c>
      <c r="AF1087" s="3" t="str">
        <f>IFERROR(__xludf.DUMMYFUNCTION("""COMPUTED_VALUE"""),"MBC เทศบาลบ้านฉาง 46ระยอง-21859")</f>
        <v>MBC เทศบาลบ้านฉาง 46ระยอง-21859</v>
      </c>
      <c r="AG1087" s="3" t="str">
        <f>IFERROR(__xludf.DUMMYFUNCTION("""COMPUTED_VALUE"""),"ตะวันออก")</f>
        <v>ตะวันออก</v>
      </c>
      <c r="AH1087" s="3" t="str">
        <f>IFERROR(__xludf.DUMMYFUNCTION("""COMPUTED_VALUE"""),"#N/A")</f>
        <v>#N/A</v>
      </c>
      <c r="AI1087" s="3" t="str">
        <f>IFERROR(__xludf.DUMMYFUNCTION("""COMPUTED_VALUE"""),"Out of warranty")</f>
        <v>Out of warranty</v>
      </c>
      <c r="AJ1087" s="3">
        <f>IFERROR(__xludf.DUMMYFUNCTION("""COMPUTED_VALUE"""),79.0)</f>
        <v>79</v>
      </c>
      <c r="AK1087" s="3" t="str">
        <f>IFERROR(__xludf.DUMMYFUNCTION("""COMPUTED_VALUE"""),"MMS07")</f>
        <v>MMS07</v>
      </c>
      <c r="AL1087" s="3"/>
    </row>
    <row r="1088" ht="15.75" customHeight="1">
      <c r="A1088" s="1" t="str">
        <f>IFERROR(__xludf.DUMMYFUNCTION("""COMPUTED_VALUE"""),"21860")</f>
        <v>21860</v>
      </c>
      <c r="B1088" s="2">
        <f>IFERROR(__xludf.DUMMYFUNCTION("""COMPUTED_VALUE"""),21860.0)</f>
        <v>21860</v>
      </c>
      <c r="C1088" s="3" t="str">
        <f>IFERROR(__xludf.DUMMYFUNCTION("""COMPUTED_VALUE"""),"MBC ถนนพรประภานิมิตร(พัทยา) ชลบุรี")</f>
        <v>MBC ถนนพรประภานิมิตร(พัทยา) ชลบุรี</v>
      </c>
      <c r="D1088" s="3" t="str">
        <f>IFERROR(__xludf.DUMMYFUNCTION("""COMPUTED_VALUE"""),"BCM THANON PRONPRAPANIMIT")</f>
        <v>BCM THANON PRONPRAPANIMIT</v>
      </c>
      <c r="E1088" s="1" t="str">
        <f>IFERROR(__xludf.DUMMYFUNCTION("""COMPUTED_VALUE"""),"บิ๊กซี MINI")</f>
        <v>บิ๊กซี MINI</v>
      </c>
      <c r="F1088" s="1" t="str">
        <f>IFERROR(__xludf.DUMMYFUNCTION("""COMPUTED_VALUE"""),"221716")</f>
        <v>221716</v>
      </c>
      <c r="G1088" s="1" t="str">
        <f>IFERROR(__xludf.DUMMYFUNCTION("""COMPUTED_VALUE"""),"น.ส.เบญจพร โพธิสาร")</f>
        <v>น.ส.เบญจพร โพธิสาร</v>
      </c>
      <c r="H1088" s="1" t="str">
        <f>IFERROR(__xludf.DUMMYFUNCTION("""COMPUTED_VALUE"""),"313065")</f>
        <v>313065</v>
      </c>
      <c r="I1088" s="1" t="str">
        <f>IFERROR(__xludf.DUMMYFUNCTION("""COMPUTED_VALUE"""),"นายจิรายุทธ กันทา")</f>
        <v>นายจิรายุทธ กันทา</v>
      </c>
      <c r="J1088" s="1" t="str">
        <f>IFERROR(__xludf.DUMMYFUNCTION("""COMPUTED_VALUE"""),"13461215")</f>
        <v>13461215</v>
      </c>
      <c r="K1088" s="3" t="str">
        <f>IFERROR(__xludf.DUMMYFUNCTION("""COMPUTED_VALUE"""),"นายธีรภัทร สังข์เงิน")</f>
        <v>นายธีรภัทร สังข์เงิน</v>
      </c>
      <c r="L1088" s="1" t="str">
        <f>IFERROR(__xludf.DUMMYFUNCTION("""COMPUTED_VALUE"""),"06 K.Teerapat")</f>
        <v>06 K.Teerapat</v>
      </c>
      <c r="M1088" s="1" t="str">
        <f>IFERROR(__xludf.DUMMYFUNCTION("""COMPUTED_VALUE"""),"063-601-6803")</f>
        <v>063-601-6803</v>
      </c>
      <c r="N1088" s="3">
        <f>IFERROR(__xludf.DUMMYFUNCTION("""COMPUTED_VALUE"""),22115.0)</f>
        <v>22115</v>
      </c>
      <c r="O1088" s="3" t="str">
        <f>IFERROR(__xludf.DUMMYFUNCTION("""COMPUTED_VALUE"""),"MBC เลี่ยงหนองมน ชลบุรี")</f>
        <v>MBC เลี่ยงหนองมน ชลบุรี</v>
      </c>
      <c r="P1088" s="4">
        <f>IFERROR(__xludf.DUMMYFUNCTION("""COMPUTED_VALUE"""),43708.0)</f>
        <v>43708</v>
      </c>
      <c r="Q1088" s="3" t="str">
        <f>IFERROR(__xludf.DUMMYFUNCTION("""COMPUTED_VALUE"""),"A")</f>
        <v>A</v>
      </c>
      <c r="R1088" s="3" t="str">
        <f>IFERROR(__xludf.DUMMYFUNCTION("""COMPUTED_VALUE"""),"Small Format")</f>
        <v>Small Format</v>
      </c>
      <c r="S1088" s="3" t="str">
        <f>IFERROR(__xludf.DUMMYFUNCTION("""COMPUTED_VALUE"""),"BCM")</f>
        <v>BCM</v>
      </c>
      <c r="T1088" s="3" t="str">
        <f>IFERROR(__xludf.DUMMYFUNCTION("""COMPUTED_VALUE"""),"#N/A")</f>
        <v>#N/A</v>
      </c>
      <c r="U1088" s="3" t="str">
        <f>IFERROR(__xludf.DUMMYFUNCTION("""COMPUTED_VALUE"""),"#N/A")</f>
        <v>#N/A</v>
      </c>
      <c r="V1088" s="3" t="str">
        <f>IFERROR(__xludf.DUMMYFUNCTION("""COMPUTED_VALUE"""),"N")</f>
        <v>N</v>
      </c>
      <c r="W1088" s="3">
        <f>IFERROR(__xludf.DUMMYFUNCTION("""COMPUTED_VALUE"""),211838.0)</f>
        <v>211838</v>
      </c>
      <c r="X1088" s="3" t="str">
        <f>IFERROR(__xludf.DUMMYFUNCTION("""COMPUTED_VALUE"""),"8/156-158 หมู่9 ตำบลหนองปรือ อำเภอบางละมุง จังหวัดชลบุรี 20150")</f>
        <v>8/156-158 หมู่9 ตำบลหนองปรือ อำเภอบางละมุง จังหวัดชลบุรี 20150</v>
      </c>
      <c r="Y1088" s="3"/>
      <c r="Z1088" s="3" t="str">
        <f>IFERROR(__xludf.DUMMYFUNCTION("""COMPUTED_VALUE"""),"หนองปรือ")</f>
        <v>หนองปรือ</v>
      </c>
      <c r="AA1088" s="3" t="str">
        <f>IFERROR(__xludf.DUMMYFUNCTION("""COMPUTED_VALUE"""),"บางละมุง")</f>
        <v>บางละมุง</v>
      </c>
      <c r="AB1088" s="3" t="str">
        <f>IFERROR(__xludf.DUMMYFUNCTION("""COMPUTED_VALUE"""),"ชลบุรี")</f>
        <v>ชลบุรี</v>
      </c>
      <c r="AC1088" s="3">
        <f>IFERROR(__xludf.DUMMYFUNCTION("""COMPUTED_VALUE"""),20150.0)</f>
        <v>20150</v>
      </c>
      <c r="AD1088" s="3">
        <f>IFERROR(__xludf.DUMMYFUNCTION("""COMPUTED_VALUE"""),12.93455)</f>
        <v>12.93455</v>
      </c>
      <c r="AE1088" s="3">
        <f>IFERROR(__xludf.DUMMYFUNCTION("""COMPUTED_VALUE"""),100.903269)</f>
        <v>100.903269</v>
      </c>
      <c r="AF1088" s="3" t="str">
        <f>IFERROR(__xludf.DUMMYFUNCTION("""COMPUTED_VALUE"""),"MBC ถนนพรประภานิมิตร(พัทยา) ชลบุรี-21860")</f>
        <v>MBC ถนนพรประภานิมิตร(พัทยา) ชลบุรี-21860</v>
      </c>
      <c r="AG1088" s="3" t="str">
        <f>IFERROR(__xludf.DUMMYFUNCTION("""COMPUTED_VALUE"""),"ตะวันออก")</f>
        <v>ตะวันออก</v>
      </c>
      <c r="AH1088" s="3" t="str">
        <f>IFERROR(__xludf.DUMMYFUNCTION("""COMPUTED_VALUE"""),"#N/A")</f>
        <v>#N/A</v>
      </c>
      <c r="AI1088" s="3" t="str">
        <f>IFERROR(__xludf.DUMMYFUNCTION("""COMPUTED_VALUE"""),"Out of warranty")</f>
        <v>Out of warranty</v>
      </c>
      <c r="AJ1088" s="3">
        <f>IFERROR(__xludf.DUMMYFUNCTION("""COMPUTED_VALUE"""),77.0)</f>
        <v>77</v>
      </c>
      <c r="AK1088" s="3" t="str">
        <f>IFERROR(__xludf.DUMMYFUNCTION("""COMPUTED_VALUE"""),"MMS06")</f>
        <v>MMS06</v>
      </c>
      <c r="AL1088" s="3"/>
    </row>
    <row r="1089" ht="15.75" customHeight="1">
      <c r="A1089" s="1" t="str">
        <f>IFERROR(__xludf.DUMMYFUNCTION("""COMPUTED_VALUE"""),"21861")</f>
        <v>21861</v>
      </c>
      <c r="B1089" s="2">
        <f>IFERROR(__xludf.DUMMYFUNCTION("""COMPUTED_VALUE"""),21861.0)</f>
        <v>21861</v>
      </c>
      <c r="C1089" s="3" t="str">
        <f>IFERROR(__xludf.DUMMYFUNCTION("""COMPUTED_VALUE"""),"MBC บ้านกรวด บุรีรัมย์")</f>
        <v>MBC บ้านกรวด บุรีรัมย์</v>
      </c>
      <c r="D1089" s="3" t="str">
        <f>IFERROR(__xludf.DUMMYFUNCTION("""COMPUTED_VALUE"""),"BCM BANKUAD,BURIRAM")</f>
        <v>BCM BANKUAD,BURIRAM</v>
      </c>
      <c r="E1089" s="1" t="str">
        <f>IFERROR(__xludf.DUMMYFUNCTION("""COMPUTED_VALUE"""),"บิ๊กซี MINI")</f>
        <v>บิ๊กซี MINI</v>
      </c>
      <c r="F1089" s="1" t="str">
        <f>IFERROR(__xludf.DUMMYFUNCTION("""COMPUTED_VALUE"""),"291105")</f>
        <v>291105</v>
      </c>
      <c r="G1089" s="1" t="str">
        <f>IFERROR(__xludf.DUMMYFUNCTION("""COMPUTED_VALUE"""),"นายสราวุฒิ พณิชยกุล")</f>
        <v>นายสราวุฒิ พณิชยกุล</v>
      </c>
      <c r="H1089" s="1" t="str">
        <f>IFERROR(__xludf.DUMMYFUNCTION("""COMPUTED_VALUE"""),"398136")</f>
        <v>398136</v>
      </c>
      <c r="I1089" s="1" t="str">
        <f>IFERROR(__xludf.DUMMYFUNCTION("""COMPUTED_VALUE"""),"นายประยูร ธาดาวงษา")</f>
        <v>นายประยูร ธาดาวงษา</v>
      </c>
      <c r="J1089" s="3">
        <f>IFERROR(__xludf.DUMMYFUNCTION("""COMPUTED_VALUE"""),15361.0)</f>
        <v>15361</v>
      </c>
      <c r="K1089" s="3" t="str">
        <f>IFERROR(__xludf.DUMMYFUNCTION("""COMPUTED_VALUE"""),"นายสมบูรณ์ พรหมในเมือง")</f>
        <v>นายสมบูรณ์ พรหมในเมือง</v>
      </c>
      <c r="L1089" s="3" t="str">
        <f>IFERROR(__xludf.DUMMYFUNCTION("""COMPUTED_VALUE"""),"04 K.Somboon P.")</f>
        <v>04 K.Somboon P.</v>
      </c>
      <c r="M1089" s="1" t="str">
        <f>IFERROR(__xludf.DUMMYFUNCTION("""COMPUTED_VALUE"""),"087-965-3051")</f>
        <v>087-965-3051</v>
      </c>
      <c r="N1089" s="3">
        <f>IFERROR(__xludf.DUMMYFUNCTION("""COMPUTED_VALUE"""),21869.0)</f>
        <v>21869</v>
      </c>
      <c r="O1089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089" s="4">
        <f>IFERROR(__xludf.DUMMYFUNCTION("""COMPUTED_VALUE"""),43671.0)</f>
        <v>43671</v>
      </c>
      <c r="Q1089" s="3" t="str">
        <f>IFERROR(__xludf.DUMMYFUNCTION("""COMPUTED_VALUE"""),"A")</f>
        <v>A</v>
      </c>
      <c r="R1089" s="3" t="str">
        <f>IFERROR(__xludf.DUMMYFUNCTION("""COMPUTED_VALUE"""),"Small Format")</f>
        <v>Small Format</v>
      </c>
      <c r="S1089" s="3" t="str">
        <f>IFERROR(__xludf.DUMMYFUNCTION("""COMPUTED_VALUE"""),"BCM")</f>
        <v>BCM</v>
      </c>
      <c r="T1089" s="3" t="str">
        <f>IFERROR(__xludf.DUMMYFUNCTION("""COMPUTED_VALUE"""),"#N/A")</f>
        <v>#N/A</v>
      </c>
      <c r="U1089" s="3" t="str">
        <f>IFERROR(__xludf.DUMMYFUNCTION("""COMPUTED_VALUE"""),"#N/A")</f>
        <v>#N/A</v>
      </c>
      <c r="V1089" s="3" t="str">
        <f>IFERROR(__xludf.DUMMYFUNCTION("""COMPUTED_VALUE"""),"N")</f>
        <v>N</v>
      </c>
      <c r="W1089" s="3">
        <f>IFERROR(__xludf.DUMMYFUNCTION("""COMPUTED_VALUE"""),211886.0)</f>
        <v>211886</v>
      </c>
      <c r="X1089" s="3" t="str">
        <f>IFERROR(__xludf.DUMMYFUNCTION("""COMPUTED_VALUE"""),"197 หมู่4 ตำบลปราสาท อำเภอบ้านกรวด จังหวัดบุรีรัมย์ 31180")</f>
        <v>197 หมู่4 ตำบลปราสาท อำเภอบ้านกรวด จังหวัดบุรีรัมย์ 31180</v>
      </c>
      <c r="Y1089" s="3"/>
      <c r="Z1089" s="3" t="str">
        <f>IFERROR(__xludf.DUMMYFUNCTION("""COMPUTED_VALUE"""),"ปราสาท")</f>
        <v>ปราสาท</v>
      </c>
      <c r="AA1089" s="3" t="str">
        <f>IFERROR(__xludf.DUMMYFUNCTION("""COMPUTED_VALUE"""),"บ้านกรวด")</f>
        <v>บ้านกรวด</v>
      </c>
      <c r="AB1089" s="3" t="str">
        <f>IFERROR(__xludf.DUMMYFUNCTION("""COMPUTED_VALUE"""),"บุรีรัมย์")</f>
        <v>บุรีรัมย์</v>
      </c>
      <c r="AC1089" s="3">
        <f>IFERROR(__xludf.DUMMYFUNCTION("""COMPUTED_VALUE"""),31180.0)</f>
        <v>31180</v>
      </c>
      <c r="AD1089" s="3">
        <f>IFERROR(__xludf.DUMMYFUNCTION("""COMPUTED_VALUE"""),14.416412)</f>
        <v>14.416412</v>
      </c>
      <c r="AE1089" s="3">
        <f>IFERROR(__xludf.DUMMYFUNCTION("""COMPUTED_VALUE"""),103.102708)</f>
        <v>103.102708</v>
      </c>
      <c r="AF1089" s="3" t="str">
        <f>IFERROR(__xludf.DUMMYFUNCTION("""COMPUTED_VALUE"""),"MBC บ้านกรวด บุรีรัมย์-21861")</f>
        <v>MBC บ้านกรวด บุรีรัมย์-21861</v>
      </c>
      <c r="AG1089" s="3" t="str">
        <f>IFERROR(__xludf.DUMMYFUNCTION("""COMPUTED_VALUE"""),"ตะวันออกเฉียงเหนือ")</f>
        <v>ตะวันออกเฉียงเหนือ</v>
      </c>
      <c r="AH1089" s="3" t="str">
        <f>IFERROR(__xludf.DUMMYFUNCTION("""COMPUTED_VALUE"""),"#N/A")</f>
        <v>#N/A</v>
      </c>
      <c r="AI1089" s="3" t="str">
        <f>IFERROR(__xludf.DUMMYFUNCTION("""COMPUTED_VALUE"""),"Out of warranty")</f>
        <v>Out of warranty</v>
      </c>
      <c r="AJ1089" s="3">
        <f>IFERROR(__xludf.DUMMYFUNCTION("""COMPUTED_VALUE"""),78.0)</f>
        <v>78</v>
      </c>
      <c r="AK1089" s="3" t="str">
        <f>IFERROR(__xludf.DUMMYFUNCTION("""COMPUTED_VALUE"""),"MMS11")</f>
        <v>MMS11</v>
      </c>
      <c r="AL1089" s="3"/>
    </row>
    <row r="1090" ht="15.75" customHeight="1">
      <c r="A1090" s="1" t="str">
        <f>IFERROR(__xludf.DUMMYFUNCTION("""COMPUTED_VALUE"""),"21862")</f>
        <v>21862</v>
      </c>
      <c r="B1090" s="2">
        <f>IFERROR(__xludf.DUMMYFUNCTION("""COMPUTED_VALUE"""),21862.0)</f>
        <v>21862</v>
      </c>
      <c r="C1090" s="3" t="str">
        <f>IFERROR(__xludf.DUMMYFUNCTION("""COMPUTED_VALUE"""),"MBC ตลาดบุ่งหวาย อุบลราชธานี")</f>
        <v>MBC ตลาดบุ่งหวาย อุบลราชธานี</v>
      </c>
      <c r="D1090" s="3" t="str">
        <f>IFERROR(__xludf.DUMMYFUNCTION("""COMPUTED_VALUE"""),"BCM TALAD BUNG WAI")</f>
        <v>BCM TALAD BUNG WAI</v>
      </c>
      <c r="E1090" s="1" t="str">
        <f>IFERROR(__xludf.DUMMYFUNCTION("""COMPUTED_VALUE"""),"บิ๊กซี MINI")</f>
        <v>บิ๊กซี MINI</v>
      </c>
      <c r="F1090" s="1" t="str">
        <f>IFERROR(__xludf.DUMMYFUNCTION("""COMPUTED_VALUE"""),"291105")</f>
        <v>291105</v>
      </c>
      <c r="G1090" s="1" t="str">
        <f>IFERROR(__xludf.DUMMYFUNCTION("""COMPUTED_VALUE"""),"นายสราวุฒิ พณิชยกุล")</f>
        <v>นายสราวุฒิ พณิชยกุล</v>
      </c>
      <c r="H1090" s="1" t="str">
        <f>IFERROR(__xludf.DUMMYFUNCTION("""COMPUTED_VALUE"""),"250772")</f>
        <v>250772</v>
      </c>
      <c r="I1090" s="1" t="str">
        <f>IFERROR(__xludf.DUMMYFUNCTION("""COMPUTED_VALUE"""),"น.ส.วรุณยุพา จรูญไธสง")</f>
        <v>น.ส.วรุณยุพา จรูญไธสง</v>
      </c>
      <c r="J1090" s="3">
        <f>IFERROR(__xludf.DUMMYFUNCTION("""COMPUTED_VALUE"""),2454781.0)</f>
        <v>2454781</v>
      </c>
      <c r="K1090" s="3" t="str">
        <f>IFERROR(__xludf.DUMMYFUNCTION("""COMPUTED_VALUE"""),"นายฌานกฤช นันทะโคต")</f>
        <v>นายฌานกฤช นันทะโคต</v>
      </c>
      <c r="L1090" s="1" t="str">
        <f>IFERROR(__xludf.DUMMYFUNCTION("""COMPUTED_VALUE"""),"05 K.Chanakrit N.")</f>
        <v>05 K.Chanakrit N.</v>
      </c>
      <c r="M1090" s="1" t="str">
        <f>IFERROR(__xludf.DUMMYFUNCTION("""COMPUTED_VALUE"""),"090-978-9785 ,065-929-1320")</f>
        <v>090-978-9785 ,065-929-1320</v>
      </c>
      <c r="N1090" s="3">
        <f>IFERROR(__xludf.DUMMYFUNCTION("""COMPUTED_VALUE"""),22195.0)</f>
        <v>22195</v>
      </c>
      <c r="O1090" s="3" t="str">
        <f>IFERROR(__xludf.DUMMYFUNCTION("""COMPUTED_VALUE"""),"MBC กันทรลักษ์ ศรีสะเกษ")</f>
        <v>MBC กันทรลักษ์ ศรีสะเกษ</v>
      </c>
      <c r="P1090" s="4">
        <f>IFERROR(__xludf.DUMMYFUNCTION("""COMPUTED_VALUE"""),43672.0)</f>
        <v>43672</v>
      </c>
      <c r="Q1090" s="3" t="str">
        <f>IFERROR(__xludf.DUMMYFUNCTION("""COMPUTED_VALUE"""),"A")</f>
        <v>A</v>
      </c>
      <c r="R1090" s="3" t="str">
        <f>IFERROR(__xludf.DUMMYFUNCTION("""COMPUTED_VALUE"""),"Small Format")</f>
        <v>Small Format</v>
      </c>
      <c r="S1090" s="3" t="str">
        <f>IFERROR(__xludf.DUMMYFUNCTION("""COMPUTED_VALUE"""),"BCM")</f>
        <v>BCM</v>
      </c>
      <c r="T1090" s="3" t="str">
        <f>IFERROR(__xludf.DUMMYFUNCTION("""COMPUTED_VALUE"""),"#N/A")</f>
        <v>#N/A</v>
      </c>
      <c r="U1090" s="3" t="str">
        <f>IFERROR(__xludf.DUMMYFUNCTION("""COMPUTED_VALUE"""),"#N/A")</f>
        <v>#N/A</v>
      </c>
      <c r="V1090" s="3" t="str">
        <f>IFERROR(__xludf.DUMMYFUNCTION("""COMPUTED_VALUE"""),"N")</f>
        <v>N</v>
      </c>
      <c r="W1090" s="3">
        <f>IFERROR(__xludf.DUMMYFUNCTION("""COMPUTED_VALUE"""),211821.0)</f>
        <v>211821</v>
      </c>
      <c r="X1090" s="3" t="str">
        <f>IFERROR(__xludf.DUMMYFUNCTION("""COMPUTED_VALUE"""),"165, หมู่19 ตำบลบุ่งหวาย อำเภอวารินชำราบ จังหวัดอุบลราชธานี 34310")</f>
        <v>165, หมู่19 ตำบลบุ่งหวาย อำเภอวารินชำราบ จังหวัดอุบลราชธานี 34310</v>
      </c>
      <c r="Y1090" s="3"/>
      <c r="Z1090" s="3" t="str">
        <f>IFERROR(__xludf.DUMMYFUNCTION("""COMPUTED_VALUE"""),"บุ่งหวาย")</f>
        <v>บุ่งหวาย</v>
      </c>
      <c r="AA1090" s="3" t="str">
        <f>IFERROR(__xludf.DUMMYFUNCTION("""COMPUTED_VALUE"""),"วารินชำราบ")</f>
        <v>วารินชำราบ</v>
      </c>
      <c r="AB1090" s="3" t="str">
        <f>IFERROR(__xludf.DUMMYFUNCTION("""COMPUTED_VALUE"""),"อุบลราชธานี")</f>
        <v>อุบลราชธานี</v>
      </c>
      <c r="AC1090" s="3">
        <f>IFERROR(__xludf.DUMMYFUNCTION("""COMPUTED_VALUE"""),34310.0)</f>
        <v>34310</v>
      </c>
      <c r="AD1090" s="3">
        <f>IFERROR(__xludf.DUMMYFUNCTION("""COMPUTED_VALUE"""),15.159441)</f>
        <v>15.159441</v>
      </c>
      <c r="AE1090" s="3">
        <f>IFERROR(__xludf.DUMMYFUNCTION("""COMPUTED_VALUE"""),104.776661)</f>
        <v>104.776661</v>
      </c>
      <c r="AF1090" s="3" t="str">
        <f>IFERROR(__xludf.DUMMYFUNCTION("""COMPUTED_VALUE"""),"MBC ตลาดบุ่งหวาย อุบลราชธานี-21862")</f>
        <v>MBC ตลาดบุ่งหวาย อุบลราชธานี-21862</v>
      </c>
      <c r="AG1090" s="3" t="str">
        <f>IFERROR(__xludf.DUMMYFUNCTION("""COMPUTED_VALUE"""),"ตะวันออกเฉียงเหนือ")</f>
        <v>ตะวันออกเฉียงเหนือ</v>
      </c>
      <c r="AH1090" s="3" t="str">
        <f>IFERROR(__xludf.DUMMYFUNCTION("""COMPUTED_VALUE"""),"#N/A")</f>
        <v>#N/A</v>
      </c>
      <c r="AI1090" s="3" t="str">
        <f>IFERROR(__xludf.DUMMYFUNCTION("""COMPUTED_VALUE"""),"Out of warranty")</f>
        <v>Out of warranty</v>
      </c>
      <c r="AJ1090" s="3">
        <f>IFERROR(__xludf.DUMMYFUNCTION("""COMPUTED_VALUE"""),78.0)</f>
        <v>78</v>
      </c>
      <c r="AK1090" s="3" t="str">
        <f>IFERROR(__xludf.DUMMYFUNCTION("""COMPUTED_VALUE"""),"MMS13")</f>
        <v>MMS13</v>
      </c>
      <c r="AL1090" s="3"/>
    </row>
    <row r="1091" ht="15.75" customHeight="1">
      <c r="A1091" s="1" t="str">
        <f>IFERROR(__xludf.DUMMYFUNCTION("""COMPUTED_VALUE"""),"21863")</f>
        <v>21863</v>
      </c>
      <c r="B1091" s="2">
        <f>IFERROR(__xludf.DUMMYFUNCTION("""COMPUTED_VALUE"""),21863.0)</f>
        <v>21863</v>
      </c>
      <c r="C1091" s="3" t="str">
        <f>IFERROR(__xludf.DUMMYFUNCTION("""COMPUTED_VALUE"""),"MBC มาบยางพร 26ระยอง")</f>
        <v>MBC มาบยางพร 26ระยอง</v>
      </c>
      <c r="D1091" s="3" t="str">
        <f>IFERROR(__xludf.DUMMYFUNCTION("""COMPUTED_VALUE"""),"BCM MABYANGPORN 26,RAYONG")</f>
        <v>BCM MABYANGPORN 26,RAYONG</v>
      </c>
      <c r="E1091" s="1" t="str">
        <f>IFERROR(__xludf.DUMMYFUNCTION("""COMPUTED_VALUE"""),"บิ๊กซี MINI")</f>
        <v>บิ๊กซี MINI</v>
      </c>
      <c r="F1091" s="1" t="str">
        <f>IFERROR(__xludf.DUMMYFUNCTION("""COMPUTED_VALUE"""),"221716")</f>
        <v>221716</v>
      </c>
      <c r="G1091" s="1" t="str">
        <f>IFERROR(__xludf.DUMMYFUNCTION("""COMPUTED_VALUE"""),"น.ส.เบญจพร โพธิสาร")</f>
        <v>น.ส.เบญจพร โพธิสาร</v>
      </c>
      <c r="H1091" s="1" t="str">
        <f>IFERROR(__xludf.DUMMYFUNCTION("""COMPUTED_VALUE"""),"371384")</f>
        <v>371384</v>
      </c>
      <c r="I1091" s="1" t="str">
        <f>IFERROR(__xludf.DUMMYFUNCTION("""COMPUTED_VALUE"""),"น.ส.นิลเนตร สิงห์ทอง")</f>
        <v>น.ส.นิลเนตร สิงห์ทอง</v>
      </c>
      <c r="J1091" s="3">
        <f>IFERROR(__xludf.DUMMYFUNCTION("""COMPUTED_VALUE"""),2452376.0)</f>
        <v>2452376</v>
      </c>
      <c r="K1091" s="3" t="str">
        <f>IFERROR(__xludf.DUMMYFUNCTION("""COMPUTED_VALUE"""),"นายภาคภูมิ ทวีกุล")</f>
        <v>นายภาคภูมิ ทวีกุล</v>
      </c>
      <c r="L1091" s="1" t="str">
        <f>IFERROR(__xludf.DUMMYFUNCTION("""COMPUTED_VALUE"""),"08 K.Parkphum T.")</f>
        <v>08 K.Parkphum T.</v>
      </c>
      <c r="M1091" s="1" t="str">
        <f>IFERROR(__xludf.DUMMYFUNCTION("""COMPUTED_VALUE"""),"097-919-5476")</f>
        <v>097-919-5476</v>
      </c>
      <c r="N1091" s="3">
        <f>IFERROR(__xludf.DUMMYFUNCTION("""COMPUTED_VALUE"""),22028.0)</f>
        <v>22028</v>
      </c>
      <c r="O1091" s="3" t="str">
        <f>IFERROR(__xludf.DUMMYFUNCTION("""COMPUTED_VALUE"""),"MBC ทํบมา ระยอง")</f>
        <v>MBC ทํบมา ระยอง</v>
      </c>
      <c r="P1091" s="4">
        <f>IFERROR(__xludf.DUMMYFUNCTION("""COMPUTED_VALUE"""),43674.0)</f>
        <v>43674</v>
      </c>
      <c r="Q1091" s="3" t="str">
        <f>IFERROR(__xludf.DUMMYFUNCTION("""COMPUTED_VALUE"""),"A")</f>
        <v>A</v>
      </c>
      <c r="R1091" s="3" t="str">
        <f>IFERROR(__xludf.DUMMYFUNCTION("""COMPUTED_VALUE"""),"Small Format")</f>
        <v>Small Format</v>
      </c>
      <c r="S1091" s="3" t="str">
        <f>IFERROR(__xludf.DUMMYFUNCTION("""COMPUTED_VALUE"""),"BCM")</f>
        <v>BCM</v>
      </c>
      <c r="T1091" s="3" t="str">
        <f>IFERROR(__xludf.DUMMYFUNCTION("""COMPUTED_VALUE"""),"#N/A")</f>
        <v>#N/A</v>
      </c>
      <c r="U1091" s="3" t="str">
        <f>IFERROR(__xludf.DUMMYFUNCTION("""COMPUTED_VALUE"""),"#N/A")</f>
        <v>#N/A</v>
      </c>
      <c r="V1091" s="3" t="str">
        <f>IFERROR(__xludf.DUMMYFUNCTION("""COMPUTED_VALUE"""),"N")</f>
        <v>N</v>
      </c>
      <c r="W1091" s="3">
        <f>IFERROR(__xludf.DUMMYFUNCTION("""COMPUTED_VALUE"""),211841.0)</f>
        <v>211841</v>
      </c>
      <c r="X1091" s="3" t="str">
        <f>IFERROR(__xludf.DUMMYFUNCTION("""COMPUTED_VALUE"""),"82/53 หมู่3 ตำบลมาบยางพร อำเภอปลวกแดง จังหวัดระยอง 21140")</f>
        <v>82/53 หมู่3 ตำบลมาบยางพร อำเภอปลวกแดง จังหวัดระยอง 21140</v>
      </c>
      <c r="Y1091" s="3"/>
      <c r="Z1091" s="3" t="str">
        <f>IFERROR(__xludf.DUMMYFUNCTION("""COMPUTED_VALUE"""),"มาบยางพร")</f>
        <v>มาบยางพร</v>
      </c>
      <c r="AA1091" s="3" t="str">
        <f>IFERROR(__xludf.DUMMYFUNCTION("""COMPUTED_VALUE"""),"ปลวกแดง")</f>
        <v>ปลวกแดง</v>
      </c>
      <c r="AB1091" s="3" t="str">
        <f>IFERROR(__xludf.DUMMYFUNCTION("""COMPUTED_VALUE"""),"ระยอง")</f>
        <v>ระยอง</v>
      </c>
      <c r="AC1091" s="3">
        <f>IFERROR(__xludf.DUMMYFUNCTION("""COMPUTED_VALUE"""),21140.0)</f>
        <v>21140</v>
      </c>
      <c r="AD1091" s="3">
        <f>IFERROR(__xludf.DUMMYFUNCTION("""COMPUTED_VALUE"""),13.003501)</f>
        <v>13.003501</v>
      </c>
      <c r="AE1091" s="3">
        <f>IFERROR(__xludf.DUMMYFUNCTION("""COMPUTED_VALUE"""),101.129804)</f>
        <v>101.129804</v>
      </c>
      <c r="AF1091" s="3" t="str">
        <f>IFERROR(__xludf.DUMMYFUNCTION("""COMPUTED_VALUE"""),"MBC มาบยางพร 26ระยอง-21863")</f>
        <v>MBC มาบยางพร 26ระยอง-21863</v>
      </c>
      <c r="AG1091" s="3" t="str">
        <f>IFERROR(__xludf.DUMMYFUNCTION("""COMPUTED_VALUE"""),"ตะวันออก")</f>
        <v>ตะวันออก</v>
      </c>
      <c r="AH1091" s="3" t="str">
        <f>IFERROR(__xludf.DUMMYFUNCTION("""COMPUTED_VALUE"""),"#N/A")</f>
        <v>#N/A</v>
      </c>
      <c r="AI1091" s="3" t="str">
        <f>IFERROR(__xludf.DUMMYFUNCTION("""COMPUTED_VALUE"""),"Out of warranty")</f>
        <v>Out of warranty</v>
      </c>
      <c r="AJ1091" s="3">
        <f>IFERROR(__xludf.DUMMYFUNCTION("""COMPUTED_VALUE"""),78.0)</f>
        <v>78</v>
      </c>
      <c r="AK1091" s="3" t="str">
        <f>IFERROR(__xludf.DUMMYFUNCTION("""COMPUTED_VALUE"""),"MMS07")</f>
        <v>MMS07</v>
      </c>
      <c r="AL1091" s="3"/>
    </row>
    <row r="1092" ht="15.75" customHeight="1">
      <c r="A1092" s="1" t="str">
        <f>IFERROR(__xludf.DUMMYFUNCTION("""COMPUTED_VALUE"""),"21864")</f>
        <v>21864</v>
      </c>
      <c r="B1092" s="2">
        <f>IFERROR(__xludf.DUMMYFUNCTION("""COMPUTED_VALUE"""),21864.0)</f>
        <v>21864</v>
      </c>
      <c r="C1092" s="3" t="str">
        <f>IFERROR(__xludf.DUMMYFUNCTION("""COMPUTED_VALUE"""),"MBC ขามใหญ่ อุบลราชธานี")</f>
        <v>MBC ขามใหญ่ อุบลราชธานี</v>
      </c>
      <c r="D1092" s="3" t="str">
        <f>IFERROR(__xludf.DUMMYFUNCTION("""COMPUTED_VALUE"""),"BCM KHAM YAI,UBON RATCHATHANI")</f>
        <v>BCM KHAM YAI,UBON RATCHATHANI</v>
      </c>
      <c r="E1092" s="1" t="str">
        <f>IFERROR(__xludf.DUMMYFUNCTION("""COMPUTED_VALUE"""),"บิ๊กซี MINI")</f>
        <v>บิ๊กซี MINI</v>
      </c>
      <c r="F1092" s="1" t="str">
        <f>IFERROR(__xludf.DUMMYFUNCTION("""COMPUTED_VALUE"""),"291105")</f>
        <v>291105</v>
      </c>
      <c r="G1092" s="1" t="str">
        <f>IFERROR(__xludf.DUMMYFUNCTION("""COMPUTED_VALUE"""),"นายสราวุฒิ พณิชยกุล")</f>
        <v>นายสราวุฒิ พณิชยกุล</v>
      </c>
      <c r="H1092" s="1" t="str">
        <f>IFERROR(__xludf.DUMMYFUNCTION("""COMPUTED_VALUE"""),"250772")</f>
        <v>250772</v>
      </c>
      <c r="I1092" s="1" t="str">
        <f>IFERROR(__xludf.DUMMYFUNCTION("""COMPUTED_VALUE"""),"น.ส.วรุณยุพา จรูญไธสง")</f>
        <v>น.ส.วรุณยุพา จรูญไธสง</v>
      </c>
      <c r="J1092" s="3">
        <f>IFERROR(__xludf.DUMMYFUNCTION("""COMPUTED_VALUE"""),2454781.0)</f>
        <v>2454781</v>
      </c>
      <c r="K1092" s="3" t="str">
        <f>IFERROR(__xludf.DUMMYFUNCTION("""COMPUTED_VALUE"""),"นายฌานกฤช นันทะโคต")</f>
        <v>นายฌานกฤช นันทะโคต</v>
      </c>
      <c r="L1092" s="1" t="str">
        <f>IFERROR(__xludf.DUMMYFUNCTION("""COMPUTED_VALUE"""),"05 K.Chanakrit N.")</f>
        <v>05 K.Chanakrit N.</v>
      </c>
      <c r="M1092" s="1" t="str">
        <f>IFERROR(__xludf.DUMMYFUNCTION("""COMPUTED_VALUE"""),"090-978-9785 ,065-929-1320")</f>
        <v>090-978-9785 ,065-929-1320</v>
      </c>
      <c r="N1092" s="3">
        <f>IFERROR(__xludf.DUMMYFUNCTION("""COMPUTED_VALUE"""),22195.0)</f>
        <v>22195</v>
      </c>
      <c r="O1092" s="3" t="str">
        <f>IFERROR(__xludf.DUMMYFUNCTION("""COMPUTED_VALUE"""),"MBC กันทรลักษ์ ศรีสะเกษ")</f>
        <v>MBC กันทรลักษ์ ศรีสะเกษ</v>
      </c>
      <c r="P1092" s="4">
        <f>IFERROR(__xludf.DUMMYFUNCTION("""COMPUTED_VALUE"""),43675.0)</f>
        <v>43675</v>
      </c>
      <c r="Q1092" s="3" t="str">
        <f>IFERROR(__xludf.DUMMYFUNCTION("""COMPUTED_VALUE"""),"A")</f>
        <v>A</v>
      </c>
      <c r="R1092" s="3" t="str">
        <f>IFERROR(__xludf.DUMMYFUNCTION("""COMPUTED_VALUE"""),"Small Format")</f>
        <v>Small Format</v>
      </c>
      <c r="S1092" s="3" t="str">
        <f>IFERROR(__xludf.DUMMYFUNCTION("""COMPUTED_VALUE"""),"BCM")</f>
        <v>BCM</v>
      </c>
      <c r="T1092" s="3" t="str">
        <f>IFERROR(__xludf.DUMMYFUNCTION("""COMPUTED_VALUE"""),"#N/A")</f>
        <v>#N/A</v>
      </c>
      <c r="U1092" s="3" t="str">
        <f>IFERROR(__xludf.DUMMYFUNCTION("""COMPUTED_VALUE"""),"#N/A")</f>
        <v>#N/A</v>
      </c>
      <c r="V1092" s="3" t="str">
        <f>IFERROR(__xludf.DUMMYFUNCTION("""COMPUTED_VALUE"""),"N")</f>
        <v>N</v>
      </c>
      <c r="W1092" s="3">
        <f>IFERROR(__xludf.DUMMYFUNCTION("""COMPUTED_VALUE"""),211820.0)</f>
        <v>211820</v>
      </c>
      <c r="X1092" s="3" t="str">
        <f>IFERROR(__xludf.DUMMYFUNCTION("""COMPUTED_VALUE"""),"240 หมู่3 ตำบลขามใหญ่ อำเภอเมืองอุบลราชธานี จังหวัดอุบลราชธานี 34000")</f>
        <v>240 หมู่3 ตำบลขามใหญ่ อำเภอเมืองอุบลราชธานี จังหวัดอุบลราชธานี 34000</v>
      </c>
      <c r="Y1092" s="3"/>
      <c r="Z1092" s="3" t="str">
        <f>IFERROR(__xludf.DUMMYFUNCTION("""COMPUTED_VALUE"""),"ขามใหญ่")</f>
        <v>ขามใหญ่</v>
      </c>
      <c r="AA1092" s="3" t="str">
        <f>IFERROR(__xludf.DUMMYFUNCTION("""COMPUTED_VALUE"""),"เมือง")</f>
        <v>เมือง</v>
      </c>
      <c r="AB1092" s="3" t="str">
        <f>IFERROR(__xludf.DUMMYFUNCTION("""COMPUTED_VALUE"""),"อุบลราชธานี")</f>
        <v>อุบลราชธานี</v>
      </c>
      <c r="AC1092" s="3">
        <f>IFERROR(__xludf.DUMMYFUNCTION("""COMPUTED_VALUE"""),34000.0)</f>
        <v>34000</v>
      </c>
      <c r="AD1092" s="3">
        <f>IFERROR(__xludf.DUMMYFUNCTION("""COMPUTED_VALUE"""),15.277545)</f>
        <v>15.277545</v>
      </c>
      <c r="AE1092" s="3">
        <f>IFERROR(__xludf.DUMMYFUNCTION("""COMPUTED_VALUE"""),104.854476)</f>
        <v>104.854476</v>
      </c>
      <c r="AF1092" s="3" t="str">
        <f>IFERROR(__xludf.DUMMYFUNCTION("""COMPUTED_VALUE"""),"MBC ขามใหญ่ อุบลราชธานี-21864")</f>
        <v>MBC ขามใหญ่ อุบลราชธานี-21864</v>
      </c>
      <c r="AG1092" s="3" t="str">
        <f>IFERROR(__xludf.DUMMYFUNCTION("""COMPUTED_VALUE"""),"ตะวันออกเฉียงเหนือ")</f>
        <v>ตะวันออกเฉียงเหนือ</v>
      </c>
      <c r="AH1092" s="3" t="str">
        <f>IFERROR(__xludf.DUMMYFUNCTION("""COMPUTED_VALUE"""),"#N/A")</f>
        <v>#N/A</v>
      </c>
      <c r="AI1092" s="3" t="str">
        <f>IFERROR(__xludf.DUMMYFUNCTION("""COMPUTED_VALUE"""),"Out of warranty")</f>
        <v>Out of warranty</v>
      </c>
      <c r="AJ1092" s="3">
        <f>IFERROR(__xludf.DUMMYFUNCTION("""COMPUTED_VALUE"""),78.0)</f>
        <v>78</v>
      </c>
      <c r="AK1092" s="3" t="str">
        <f>IFERROR(__xludf.DUMMYFUNCTION("""COMPUTED_VALUE"""),"MMS13")</f>
        <v>MMS13</v>
      </c>
      <c r="AL1092" s="3"/>
    </row>
    <row r="1093" ht="15.75" customHeight="1">
      <c r="A1093" s="1" t="str">
        <f>IFERROR(__xludf.DUMMYFUNCTION("""COMPUTED_VALUE"""),"21865")</f>
        <v>21865</v>
      </c>
      <c r="B1093" s="2">
        <f>IFERROR(__xludf.DUMMYFUNCTION("""COMPUTED_VALUE"""),21865.0)</f>
        <v>21865</v>
      </c>
      <c r="C1093" s="3" t="str">
        <f>IFERROR(__xludf.DUMMYFUNCTION("""COMPUTED_VALUE"""),"MBC เขื่อนอุบลรัตน์ ขอนแก่น")</f>
        <v>MBC เขื่อนอุบลรัตน์ ขอนแก่น</v>
      </c>
      <c r="D1093" s="3" t="str">
        <f>IFERROR(__xludf.DUMMYFUNCTION("""COMPUTED_VALUE"""),"BCM UBONRAT DAM,KHON KAEN")</f>
        <v>BCM UBONRAT DAM,KHON KAEN</v>
      </c>
      <c r="E1093" s="1" t="str">
        <f>IFERROR(__xludf.DUMMYFUNCTION("""COMPUTED_VALUE"""),"บิ๊กซี MINI")</f>
        <v>บิ๊กซี MINI</v>
      </c>
      <c r="F1093" s="1" t="str">
        <f>IFERROR(__xludf.DUMMYFUNCTION("""COMPUTED_VALUE"""),"291105")</f>
        <v>291105</v>
      </c>
      <c r="G1093" s="1" t="str">
        <f>IFERROR(__xludf.DUMMYFUNCTION("""COMPUTED_VALUE"""),"นายสราวุฒิ พณิชยกุล")</f>
        <v>นายสราวุฒิ พณิชยกุล</v>
      </c>
      <c r="H1093" s="1" t="str">
        <f>IFERROR(__xludf.DUMMYFUNCTION("""COMPUTED_VALUE"""),"305119")</f>
        <v>305119</v>
      </c>
      <c r="I1093" s="1" t="str">
        <f>IFERROR(__xludf.DUMMYFUNCTION("""COMPUTED_VALUE"""),"นายไชยกร ลีพิบูลย์สวัสดิ์")</f>
        <v>นายไชยกร ลีพิบูลย์สวัสดิ์</v>
      </c>
      <c r="J1093" s="3">
        <f>IFERROR(__xludf.DUMMYFUNCTION("""COMPUTED_VALUE"""),296868.0)</f>
        <v>296868</v>
      </c>
      <c r="K1093" s="3" t="str">
        <f>IFERROR(__xludf.DUMMYFUNCTION("""COMPUTED_VALUE"""),"นายพีระพงษ์ แก้วดวงดี")</f>
        <v>นายพีระพงษ์ แก้วดวงดี</v>
      </c>
      <c r="L1093" s="1" t="str">
        <f>IFERROR(__xludf.DUMMYFUNCTION("""COMPUTED_VALUE"""),"03 K.Peerapong K.")</f>
        <v>03 K.Peerapong K.</v>
      </c>
      <c r="M1093" s="1" t="str">
        <f>IFERROR(__xludf.DUMMYFUNCTION("""COMPUTED_VALUE"""),"089-002-6599")</f>
        <v>089-002-6599</v>
      </c>
      <c r="N1093" s="3">
        <f>IFERROR(__xludf.DUMMYFUNCTION("""COMPUTED_VALUE"""),21946.0)</f>
        <v>21946</v>
      </c>
      <c r="O1093" s="3" t="str">
        <f>IFERROR(__xludf.DUMMYFUNCTION("""COMPUTED_VALUE"""),"MBC เซกา บึงกาฬ")</f>
        <v>MBC เซกา บึงกาฬ</v>
      </c>
      <c r="P1093" s="4">
        <f>IFERROR(__xludf.DUMMYFUNCTION("""COMPUTED_VALUE"""),43686.0)</f>
        <v>43686</v>
      </c>
      <c r="Q1093" s="3" t="str">
        <f>IFERROR(__xludf.DUMMYFUNCTION("""COMPUTED_VALUE"""),"A")</f>
        <v>A</v>
      </c>
      <c r="R1093" s="3" t="str">
        <f>IFERROR(__xludf.DUMMYFUNCTION("""COMPUTED_VALUE"""),"Small Format")</f>
        <v>Small Format</v>
      </c>
      <c r="S1093" s="3" t="str">
        <f>IFERROR(__xludf.DUMMYFUNCTION("""COMPUTED_VALUE"""),"BCM")</f>
        <v>BCM</v>
      </c>
      <c r="T1093" s="3" t="str">
        <f>IFERROR(__xludf.DUMMYFUNCTION("""COMPUTED_VALUE"""),"#N/A")</f>
        <v>#N/A</v>
      </c>
      <c r="U1093" s="3" t="str">
        <f>IFERROR(__xludf.DUMMYFUNCTION("""COMPUTED_VALUE"""),"#N/A")</f>
        <v>#N/A</v>
      </c>
      <c r="V1093" s="3" t="str">
        <f>IFERROR(__xludf.DUMMYFUNCTION("""COMPUTED_VALUE"""),"N")</f>
        <v>N</v>
      </c>
      <c r="W1093" s="3">
        <f>IFERROR(__xludf.DUMMYFUNCTION("""COMPUTED_VALUE"""),211873.0)</f>
        <v>211873</v>
      </c>
      <c r="X1093" s="3" t="str">
        <f>IFERROR(__xludf.DUMMYFUNCTION("""COMPUTED_VALUE"""),"308 หมู่2 ตำบลเขื่อนอุบลรัตน์ อำเภออุบลรัตน์ จังหวัดขอนแก่น 40250")</f>
        <v>308 หมู่2 ตำบลเขื่อนอุบลรัตน์ อำเภออุบลรัตน์ จังหวัดขอนแก่น 40250</v>
      </c>
      <c r="Y1093" s="3"/>
      <c r="Z1093" s="3" t="str">
        <f>IFERROR(__xludf.DUMMYFUNCTION("""COMPUTED_VALUE"""),"เขื่อนอุบลรัตน์")</f>
        <v>เขื่อนอุบลรัตน์</v>
      </c>
      <c r="AA1093" s="3" t="str">
        <f>IFERROR(__xludf.DUMMYFUNCTION("""COMPUTED_VALUE"""),"อุบลรัตน์")</f>
        <v>อุบลรัตน์</v>
      </c>
      <c r="AB1093" s="3" t="str">
        <f>IFERROR(__xludf.DUMMYFUNCTION("""COMPUTED_VALUE"""),"ขอนแก่น")</f>
        <v>ขอนแก่น</v>
      </c>
      <c r="AC1093" s="3">
        <f>IFERROR(__xludf.DUMMYFUNCTION("""COMPUTED_VALUE"""),40250.0)</f>
        <v>40250</v>
      </c>
      <c r="AD1093" s="3">
        <f>IFERROR(__xludf.DUMMYFUNCTION("""COMPUTED_VALUE"""),16.76089)</f>
        <v>16.76089</v>
      </c>
      <c r="AE1093" s="3">
        <f>IFERROR(__xludf.DUMMYFUNCTION("""COMPUTED_VALUE"""),102.635241)</f>
        <v>102.635241</v>
      </c>
      <c r="AF1093" s="3" t="str">
        <f>IFERROR(__xludf.DUMMYFUNCTION("""COMPUTED_VALUE"""),"MBC เขื่อนอุบลรัตน์ ขอนแก่น-21865")</f>
        <v>MBC เขื่อนอุบลรัตน์ ขอนแก่น-21865</v>
      </c>
      <c r="AG1093" s="3" t="str">
        <f>IFERROR(__xludf.DUMMYFUNCTION("""COMPUTED_VALUE"""),"ตะวันออกเฉียงเหนือ")</f>
        <v>ตะวันออกเฉียงเหนือ</v>
      </c>
      <c r="AH1093" s="3" t="str">
        <f>IFERROR(__xludf.DUMMYFUNCTION("""COMPUTED_VALUE"""),"#N/A")</f>
        <v>#N/A</v>
      </c>
      <c r="AI1093" s="3" t="str">
        <f>IFERROR(__xludf.DUMMYFUNCTION("""COMPUTED_VALUE"""),"Out of warranty")</f>
        <v>Out of warranty</v>
      </c>
      <c r="AJ1093" s="3">
        <f>IFERROR(__xludf.DUMMYFUNCTION("""COMPUTED_VALUE"""),78.0)</f>
        <v>78</v>
      </c>
      <c r="AK1093" s="3" t="str">
        <f>IFERROR(__xludf.DUMMYFUNCTION("""COMPUTED_VALUE"""),"MMS12")</f>
        <v>MMS12</v>
      </c>
      <c r="AL1093" s="3"/>
    </row>
    <row r="1094" ht="15.75" customHeight="1">
      <c r="A1094" s="1" t="str">
        <f>IFERROR(__xludf.DUMMYFUNCTION("""COMPUTED_VALUE"""),"21866")</f>
        <v>21866</v>
      </c>
      <c r="B1094" s="2">
        <f>IFERROR(__xludf.DUMMYFUNCTION("""COMPUTED_VALUE"""),21866.0)</f>
        <v>21866</v>
      </c>
      <c r="C1094" s="3" t="str">
        <f>IFERROR(__xludf.DUMMYFUNCTION("""COMPUTED_VALUE"""),"MBC สอยดาวจันทบุรี")</f>
        <v>MBC สอยดาวจันทบุรี</v>
      </c>
      <c r="D1094" s="3" t="str">
        <f>IFERROR(__xludf.DUMMYFUNCTION("""COMPUTED_VALUE"""),"BCM SOI DAO,CHANTHABURI")</f>
        <v>BCM SOI DAO,CHANTHABURI</v>
      </c>
      <c r="E1094" s="1" t="str">
        <f>IFERROR(__xludf.DUMMYFUNCTION("""COMPUTED_VALUE"""),"บิ๊กซี MINI")</f>
        <v>บิ๊กซี MINI</v>
      </c>
      <c r="F1094" s="1" t="str">
        <f>IFERROR(__xludf.DUMMYFUNCTION("""COMPUTED_VALUE"""),"221716")</f>
        <v>221716</v>
      </c>
      <c r="G1094" s="1" t="str">
        <f>IFERROR(__xludf.DUMMYFUNCTION("""COMPUTED_VALUE"""),"น.ส.เบญจพร โพธิสาร")</f>
        <v>น.ส.เบญจพร โพธิสาร</v>
      </c>
      <c r="H1094" s="1" t="str">
        <f>IFERROR(__xludf.DUMMYFUNCTION("""COMPUTED_VALUE"""),"318151")</f>
        <v>318151</v>
      </c>
      <c r="I1094" s="1" t="str">
        <f>IFERROR(__xludf.DUMMYFUNCTION("""COMPUTED_VALUE"""),"นายพลฬกฤตต์ เนตมณี")</f>
        <v>นายพลฬกฤตต์ เนตมณี</v>
      </c>
      <c r="J1094" s="3">
        <f>IFERROR(__xludf.DUMMYFUNCTION("""COMPUTED_VALUE"""),2452376.0)</f>
        <v>2452376</v>
      </c>
      <c r="K1094" s="3" t="str">
        <f>IFERROR(__xludf.DUMMYFUNCTION("""COMPUTED_VALUE"""),"นายภาคภูมิ ทวีกุล")</f>
        <v>นายภาคภูมิ ทวีกุล</v>
      </c>
      <c r="L1094" s="1" t="str">
        <f>IFERROR(__xludf.DUMMYFUNCTION("""COMPUTED_VALUE"""),"08 K.Parkphum T.")</f>
        <v>08 K.Parkphum T.</v>
      </c>
      <c r="M1094" s="1" t="str">
        <f>IFERROR(__xludf.DUMMYFUNCTION("""COMPUTED_VALUE"""),"097-919-5476")</f>
        <v>097-919-5476</v>
      </c>
      <c r="N1094" s="3">
        <f>IFERROR(__xludf.DUMMYFUNCTION("""COMPUTED_VALUE"""),22028.0)</f>
        <v>22028</v>
      </c>
      <c r="O1094" s="3" t="str">
        <f>IFERROR(__xludf.DUMMYFUNCTION("""COMPUTED_VALUE"""),"MBC ทํบมา ระยอง")</f>
        <v>MBC ทํบมา ระยอง</v>
      </c>
      <c r="P1094" s="4">
        <f>IFERROR(__xludf.DUMMYFUNCTION("""COMPUTED_VALUE"""),43677.0)</f>
        <v>43677</v>
      </c>
      <c r="Q1094" s="3" t="str">
        <f>IFERROR(__xludf.DUMMYFUNCTION("""COMPUTED_VALUE"""),"A")</f>
        <v>A</v>
      </c>
      <c r="R1094" s="3" t="str">
        <f>IFERROR(__xludf.DUMMYFUNCTION("""COMPUTED_VALUE"""),"Small Format")</f>
        <v>Small Format</v>
      </c>
      <c r="S1094" s="3" t="str">
        <f>IFERROR(__xludf.DUMMYFUNCTION("""COMPUTED_VALUE"""),"BCM")</f>
        <v>BCM</v>
      </c>
      <c r="T1094" s="3" t="str">
        <f>IFERROR(__xludf.DUMMYFUNCTION("""COMPUTED_VALUE"""),"#N/A")</f>
        <v>#N/A</v>
      </c>
      <c r="U1094" s="3" t="str">
        <f>IFERROR(__xludf.DUMMYFUNCTION("""COMPUTED_VALUE"""),"#N/A")</f>
        <v>#N/A</v>
      </c>
      <c r="V1094" s="3" t="str">
        <f>IFERROR(__xludf.DUMMYFUNCTION("""COMPUTED_VALUE"""),"N")</f>
        <v>N</v>
      </c>
      <c r="W1094" s="3">
        <f>IFERROR(__xludf.DUMMYFUNCTION("""COMPUTED_VALUE"""),211882.0)</f>
        <v>211882</v>
      </c>
      <c r="X1094" s="3" t="str">
        <f>IFERROR(__xludf.DUMMYFUNCTION("""COMPUTED_VALUE"""),"248/3-6 หมู่1 ตำบลปะตง อำเภอสอยดาว จังหวัดจันทบุรี 22180")</f>
        <v>248/3-6 หมู่1 ตำบลปะตง อำเภอสอยดาว จังหวัดจันทบุรี 22180</v>
      </c>
      <c r="Y1094" s="3"/>
      <c r="Z1094" s="3" t="str">
        <f>IFERROR(__xludf.DUMMYFUNCTION("""COMPUTED_VALUE"""),"ปะตง")</f>
        <v>ปะตง</v>
      </c>
      <c r="AA1094" s="3" t="str">
        <f>IFERROR(__xludf.DUMMYFUNCTION("""COMPUTED_VALUE"""),"สอยดาว")</f>
        <v>สอยดาว</v>
      </c>
      <c r="AB1094" s="3" t="str">
        <f>IFERROR(__xludf.DUMMYFUNCTION("""COMPUTED_VALUE"""),"จันทบุรี")</f>
        <v>จันทบุรี</v>
      </c>
      <c r="AC1094" s="3">
        <f>IFERROR(__xludf.DUMMYFUNCTION("""COMPUTED_VALUE"""),22180.0)</f>
        <v>22180</v>
      </c>
      <c r="AD1094" s="3">
        <f>IFERROR(__xludf.DUMMYFUNCTION("""COMPUTED_VALUE"""),13.128117)</f>
        <v>13.128117</v>
      </c>
      <c r="AE1094" s="3">
        <f>IFERROR(__xludf.DUMMYFUNCTION("""COMPUTED_VALUE"""),102.212845)</f>
        <v>102.212845</v>
      </c>
      <c r="AF1094" s="3" t="str">
        <f>IFERROR(__xludf.DUMMYFUNCTION("""COMPUTED_VALUE"""),"MBC สอยดาวจันทบุรี-21866")</f>
        <v>MBC สอยดาวจันทบุรี-21866</v>
      </c>
      <c r="AG1094" s="3" t="str">
        <f>IFERROR(__xludf.DUMMYFUNCTION("""COMPUTED_VALUE"""),"ตะวันออก")</f>
        <v>ตะวันออก</v>
      </c>
      <c r="AH1094" s="3" t="str">
        <f>IFERROR(__xludf.DUMMYFUNCTION("""COMPUTED_VALUE"""),"#N/A")</f>
        <v>#N/A</v>
      </c>
      <c r="AI1094" s="3" t="str">
        <f>IFERROR(__xludf.DUMMYFUNCTION("""COMPUTED_VALUE"""),"Out of warranty")</f>
        <v>Out of warranty</v>
      </c>
      <c r="AJ1094" s="3">
        <f>IFERROR(__xludf.DUMMYFUNCTION("""COMPUTED_VALUE"""),78.0)</f>
        <v>78</v>
      </c>
      <c r="AK1094" s="3" t="str">
        <f>IFERROR(__xludf.DUMMYFUNCTION("""COMPUTED_VALUE"""),"MMS08")</f>
        <v>MMS08</v>
      </c>
      <c r="AL1094" s="3"/>
    </row>
    <row r="1095" ht="15.75" customHeight="1">
      <c r="A1095" s="1" t="str">
        <f>IFERROR(__xludf.DUMMYFUNCTION("""COMPUTED_VALUE"""),"21867")</f>
        <v>21867</v>
      </c>
      <c r="B1095" s="2">
        <f>IFERROR(__xludf.DUMMYFUNCTION("""COMPUTED_VALUE"""),21867.0)</f>
        <v>21867</v>
      </c>
      <c r="C1095" s="3" t="str">
        <f>IFERROR(__xludf.DUMMYFUNCTION("""COMPUTED_VALUE"""),"MBC สุขสวัสดิ์ 70 สมุทรปราการ")</f>
        <v>MBC สุขสวัสดิ์ 70 สมุทรปราการ</v>
      </c>
      <c r="D1095" s="3" t="str">
        <f>IFERROR(__xludf.DUMMYFUNCTION("""COMPUTED_VALUE"""),"BCM SUKSAWAT 70,SAMUT PRAKAN")</f>
        <v>BCM SUKSAWAT 70,SAMUT PRAKAN</v>
      </c>
      <c r="E1095" s="1" t="str">
        <f>IFERROR(__xludf.DUMMYFUNCTION("""COMPUTED_VALUE"""),"บิ๊กซี MINI")</f>
        <v>บิ๊กซี MINI</v>
      </c>
      <c r="F1095" s="1" t="str">
        <f>IFERROR(__xludf.DUMMYFUNCTION("""COMPUTED_VALUE"""),"2083447")</f>
        <v>2083447</v>
      </c>
      <c r="G1095" s="1" t="str">
        <f>IFERROR(__xludf.DUMMYFUNCTION("""COMPUTED_VALUE"""),"นายอนุกูล ศรีลัดดา")</f>
        <v>นายอนุกูล ศรีลัดดา</v>
      </c>
      <c r="H1095" s="1" t="str">
        <f>IFERROR(__xludf.DUMMYFUNCTION("""COMPUTED_VALUE"""),"379037")</f>
        <v>379037</v>
      </c>
      <c r="I1095" s="1" t="str">
        <f>IFERROR(__xludf.DUMMYFUNCTION("""COMPUTED_VALUE"""),"นางแก้วใจ แก้วกาญจน์")</f>
        <v>นางแก้วใจ แก้วกาญจน์</v>
      </c>
      <c r="J1095" s="3">
        <f>IFERROR(__xludf.DUMMYFUNCTION("""COMPUTED_VALUE"""),2451655.0)</f>
        <v>2451655</v>
      </c>
      <c r="K1095" s="3" t="str">
        <f>IFERROR(__xludf.DUMMYFUNCTION("""COMPUTED_VALUE"""),"นายวิษณุพงษ์ ชินบุตร")</f>
        <v>นายวิษณุพงษ์ ชินบุตร</v>
      </c>
      <c r="L1095" s="1" t="str">
        <f>IFERROR(__xludf.DUMMYFUNCTION("""COMPUTED_VALUE"""),"13 K.Wisanupong Ch")</f>
        <v>13 K.Wisanupong Ch</v>
      </c>
      <c r="M1095" s="1" t="str">
        <f>IFERROR(__xludf.DUMMYFUNCTION("""COMPUTED_VALUE"""),"0843374693")</f>
        <v>0843374693</v>
      </c>
      <c r="N1095" s="3">
        <f>IFERROR(__xludf.DUMMYFUNCTION("""COMPUTED_VALUE"""),22729.0)</f>
        <v>22729</v>
      </c>
      <c r="O1095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095" s="4">
        <f>IFERROR(__xludf.DUMMYFUNCTION("""COMPUTED_VALUE"""),43677.0)</f>
        <v>43677</v>
      </c>
      <c r="Q1095" s="3" t="str">
        <f>IFERROR(__xludf.DUMMYFUNCTION("""COMPUTED_VALUE"""),"A")</f>
        <v>A</v>
      </c>
      <c r="R1095" s="3" t="str">
        <f>IFERROR(__xludf.DUMMYFUNCTION("""COMPUTED_VALUE"""),"Small Format")</f>
        <v>Small Format</v>
      </c>
      <c r="S1095" s="3" t="str">
        <f>IFERROR(__xludf.DUMMYFUNCTION("""COMPUTED_VALUE"""),"BCM")</f>
        <v>BCM</v>
      </c>
      <c r="T1095" s="3" t="str">
        <f>IFERROR(__xludf.DUMMYFUNCTION("""COMPUTED_VALUE"""),"#N/A")</f>
        <v>#N/A</v>
      </c>
      <c r="U1095" s="3" t="str">
        <f>IFERROR(__xludf.DUMMYFUNCTION("""COMPUTED_VALUE"""),"#N/A")</f>
        <v>#N/A</v>
      </c>
      <c r="V1095" s="3" t="str">
        <f>IFERROR(__xludf.DUMMYFUNCTION("""COMPUTED_VALUE"""),"N")</f>
        <v>N</v>
      </c>
      <c r="W1095" s="3">
        <f>IFERROR(__xludf.DUMMYFUNCTION("""COMPUTED_VALUE"""),211835.0)</f>
        <v>211835</v>
      </c>
      <c r="X1095" s="3" t="str">
        <f>IFERROR(__xludf.DUMMYFUNCTION("""COMPUTED_VALUE"""),"5/10 หมู่13 ตำบลบางครุ อำเภอพระประแดง จังหวัดสมุทรปราการ 10130")</f>
        <v>5/10 หมู่13 ตำบลบางครุ อำเภอพระประแดง จังหวัดสมุทรปราการ 10130</v>
      </c>
      <c r="Y1095" s="3"/>
      <c r="Z1095" s="3" t="str">
        <f>IFERROR(__xludf.DUMMYFUNCTION("""COMPUTED_VALUE"""),"บางครุ")</f>
        <v>บางครุ</v>
      </c>
      <c r="AA1095" s="3" t="str">
        <f>IFERROR(__xludf.DUMMYFUNCTION("""COMPUTED_VALUE"""),"พระประแดง")</f>
        <v>พระประแดง</v>
      </c>
      <c r="AB1095" s="3" t="str">
        <f>IFERROR(__xludf.DUMMYFUNCTION("""COMPUTED_VALUE"""),"สมุทรปราการ")</f>
        <v>สมุทรปราการ</v>
      </c>
      <c r="AC1095" s="3">
        <f>IFERROR(__xludf.DUMMYFUNCTION("""COMPUTED_VALUE"""),10130.0)</f>
        <v>10130</v>
      </c>
      <c r="AD1095" s="3">
        <f>IFERROR(__xludf.DUMMYFUNCTION("""COMPUTED_VALUE"""),13.634648)</f>
        <v>13.634648</v>
      </c>
      <c r="AE1095" s="3">
        <f>IFERROR(__xludf.DUMMYFUNCTION("""COMPUTED_VALUE"""),100.518973)</f>
        <v>100.518973</v>
      </c>
      <c r="AF1095" s="3" t="str">
        <f>IFERROR(__xludf.DUMMYFUNCTION("""COMPUTED_VALUE"""),"MBC สุขสวัสดิ์ 70 สมุทรปราการ-21867")</f>
        <v>MBC สุขสวัสดิ์ 70 สมุทรปราการ-21867</v>
      </c>
      <c r="AG1095" s="3" t="str">
        <f>IFERROR(__xludf.DUMMYFUNCTION("""COMPUTED_VALUE"""),"กลาง")</f>
        <v>กลาง</v>
      </c>
      <c r="AH1095" s="3" t="str">
        <f>IFERROR(__xludf.DUMMYFUNCTION("""COMPUTED_VALUE"""),"#N/A")</f>
        <v>#N/A</v>
      </c>
      <c r="AI1095" s="3" t="str">
        <f>IFERROR(__xludf.DUMMYFUNCTION("""COMPUTED_VALUE"""),"Out of warranty")</f>
        <v>Out of warranty</v>
      </c>
      <c r="AJ1095" s="3">
        <f>IFERROR(__xludf.DUMMYFUNCTION("""COMPUTED_VALUE"""),78.0)</f>
        <v>78</v>
      </c>
      <c r="AK1095" s="3" t="str">
        <f>IFERROR(__xludf.DUMMYFUNCTION("""COMPUTED_VALUE"""),"MMS02")</f>
        <v>MMS02</v>
      </c>
      <c r="AL1095" s="3"/>
    </row>
    <row r="1096" ht="15.75" customHeight="1">
      <c r="A1096" s="1" t="str">
        <f>IFERROR(__xludf.DUMMYFUNCTION("""COMPUTED_VALUE"""),"21868")</f>
        <v>21868</v>
      </c>
      <c r="B1096" s="2">
        <f>IFERROR(__xludf.DUMMYFUNCTION("""COMPUTED_VALUE"""),21868.0)</f>
        <v>21868</v>
      </c>
      <c r="C1096" s="3" t="str">
        <f>IFERROR(__xludf.DUMMYFUNCTION("""COMPUTED_VALUE"""),"MBC หมู่บ้านนารา ปราจีนบุรี")</f>
        <v>MBC หมู่บ้านนารา ปราจีนบุรี</v>
      </c>
      <c r="D1096" s="3" t="str">
        <f>IFERROR(__xludf.DUMMYFUNCTION("""COMPUTED_VALUE"""),"BCM MOOBAN NARA,PRACHINBURI")</f>
        <v>BCM MOOBAN NARA,PRACHINBURI</v>
      </c>
      <c r="E1096" s="1" t="str">
        <f>IFERROR(__xludf.DUMMYFUNCTION("""COMPUTED_VALUE"""),"บิ๊กซี MINI")</f>
        <v>บิ๊กซี MINI</v>
      </c>
      <c r="F1096" s="1" t="str">
        <f>IFERROR(__xludf.DUMMYFUNCTION("""COMPUTED_VALUE"""),"2083447")</f>
        <v>2083447</v>
      </c>
      <c r="G1096" s="1" t="str">
        <f>IFERROR(__xludf.DUMMYFUNCTION("""COMPUTED_VALUE"""),"นายอนุกูล ศรีลัดดา")</f>
        <v>นายอนุกูล ศรีลัดดา</v>
      </c>
      <c r="H1096" s="1" t="str">
        <f>IFERROR(__xludf.DUMMYFUNCTION("""COMPUTED_VALUE"""),"259808")</f>
        <v>259808</v>
      </c>
      <c r="I1096" s="1" t="str">
        <f>IFERROR(__xludf.DUMMYFUNCTION("""COMPUTED_VALUE"""),"น.ส.สกุลรัตน์ พิกุลแก้ว")</f>
        <v>น.ส.สกุลรัตน์ พิกุลแก้ว</v>
      </c>
      <c r="J1096" s="3">
        <f>IFERROR(__xludf.DUMMYFUNCTION("""COMPUTED_VALUE"""),510143.0)</f>
        <v>510143</v>
      </c>
      <c r="K1096" s="3" t="str">
        <f>IFERROR(__xludf.DUMMYFUNCTION("""COMPUTED_VALUE"""),"นายธีระวัฒน์ บุญสิทธิ์")</f>
        <v>นายธีระวัฒน์ บุญสิทธิ์</v>
      </c>
      <c r="L1096" s="1" t="str">
        <f>IFERROR(__xludf.DUMMYFUNCTION("""COMPUTED_VALUE"""),"12 K.Theerawat B.")</f>
        <v>12 K.Theerawat B.</v>
      </c>
      <c r="M1096" s="1" t="str">
        <f>IFERROR(__xludf.DUMMYFUNCTION("""COMPUTED_VALUE"""),"0655107379")</f>
        <v>0655107379</v>
      </c>
      <c r="N1096" s="3">
        <f>IFERROR(__xludf.DUMMYFUNCTION("""COMPUTED_VALUE"""),21062.0)</f>
        <v>21062</v>
      </c>
      <c r="O1096" s="3" t="str">
        <f>IFERROR(__xludf.DUMMYFUNCTION("""COMPUTED_VALUE"""),"MBC นิคมนวนคร")</f>
        <v>MBC นิคมนวนคร</v>
      </c>
      <c r="P1096" s="4">
        <f>IFERROR(__xludf.DUMMYFUNCTION("""COMPUTED_VALUE"""),43684.0)</f>
        <v>43684</v>
      </c>
      <c r="Q1096" s="3" t="str">
        <f>IFERROR(__xludf.DUMMYFUNCTION("""COMPUTED_VALUE"""),"A")</f>
        <v>A</v>
      </c>
      <c r="R1096" s="3" t="str">
        <f>IFERROR(__xludf.DUMMYFUNCTION("""COMPUTED_VALUE"""),"Small Format")</f>
        <v>Small Format</v>
      </c>
      <c r="S1096" s="3" t="str">
        <f>IFERROR(__xludf.DUMMYFUNCTION("""COMPUTED_VALUE"""),"BCM")</f>
        <v>BCM</v>
      </c>
      <c r="T1096" s="3" t="str">
        <f>IFERROR(__xludf.DUMMYFUNCTION("""COMPUTED_VALUE"""),"#N/A")</f>
        <v>#N/A</v>
      </c>
      <c r="U1096" s="3" t="str">
        <f>IFERROR(__xludf.DUMMYFUNCTION("""COMPUTED_VALUE"""),"#N/A")</f>
        <v>#N/A</v>
      </c>
      <c r="V1096" s="3" t="str">
        <f>IFERROR(__xludf.DUMMYFUNCTION("""COMPUTED_VALUE"""),"N")</f>
        <v>N</v>
      </c>
      <c r="W1096" s="3">
        <f>IFERROR(__xludf.DUMMYFUNCTION("""COMPUTED_VALUE"""),211924.0)</f>
        <v>211924</v>
      </c>
      <c r="X1096" s="3" t="str">
        <f>IFERROR(__xludf.DUMMYFUNCTION("""COMPUTED_VALUE"""),"224,224/1-2 หมู่7 ตำบลศรีมหาโพธิ อำเภอศรีมหาโพธิ จังหวัดปราจีนบุรี 25140")</f>
        <v>224,224/1-2 หมู่7 ตำบลศรีมหาโพธิ อำเภอศรีมหาโพธิ จังหวัดปราจีนบุรี 25140</v>
      </c>
      <c r="Y1096" s="3"/>
      <c r="Z1096" s="3" t="str">
        <f>IFERROR(__xludf.DUMMYFUNCTION("""COMPUTED_VALUE"""),"ศรีมหาโพธิ")</f>
        <v>ศรีมหาโพธิ</v>
      </c>
      <c r="AA1096" s="3" t="str">
        <f>IFERROR(__xludf.DUMMYFUNCTION("""COMPUTED_VALUE"""),"ศรีมหาโพธิ")</f>
        <v>ศรีมหาโพธิ</v>
      </c>
      <c r="AB1096" s="3" t="str">
        <f>IFERROR(__xludf.DUMMYFUNCTION("""COMPUTED_VALUE"""),"ปราจีนบุรี")</f>
        <v>ปราจีนบุรี</v>
      </c>
      <c r="AC1096" s="3">
        <f>IFERROR(__xludf.DUMMYFUNCTION("""COMPUTED_VALUE"""),25140.0)</f>
        <v>25140</v>
      </c>
      <c r="AD1096" s="3">
        <f>IFERROR(__xludf.DUMMYFUNCTION("""COMPUTED_VALUE"""),13.942025)</f>
        <v>13.942025</v>
      </c>
      <c r="AE1096" s="3">
        <f>IFERROR(__xludf.DUMMYFUNCTION("""COMPUTED_VALUE"""),101.528428)</f>
        <v>101.528428</v>
      </c>
      <c r="AF1096" s="3" t="str">
        <f>IFERROR(__xludf.DUMMYFUNCTION("""COMPUTED_VALUE"""),"MBC หมู่บ้านนารา ปราจีนบุรี-21868")</f>
        <v>MBC หมู่บ้านนารา ปราจีนบุรี-21868</v>
      </c>
      <c r="AG1096" s="3" t="str">
        <f>IFERROR(__xludf.DUMMYFUNCTION("""COMPUTED_VALUE"""),"ตะวันออก")</f>
        <v>ตะวันออก</v>
      </c>
      <c r="AH1096" s="3" t="str">
        <f>IFERROR(__xludf.DUMMYFUNCTION("""COMPUTED_VALUE"""),"#N/A")</f>
        <v>#N/A</v>
      </c>
      <c r="AI1096" s="3" t="str">
        <f>IFERROR(__xludf.DUMMYFUNCTION("""COMPUTED_VALUE"""),"Out of warranty")</f>
        <v>Out of warranty</v>
      </c>
      <c r="AJ1096" s="3">
        <f>IFERROR(__xludf.DUMMYFUNCTION("""COMPUTED_VALUE"""),78.0)</f>
        <v>78</v>
      </c>
      <c r="AK1096" s="3" t="str">
        <f>IFERROR(__xludf.DUMMYFUNCTION("""COMPUTED_VALUE"""),"MMS08")</f>
        <v>MMS08</v>
      </c>
      <c r="AL1096" s="3"/>
    </row>
    <row r="1097" ht="15.75" customHeight="1">
      <c r="A1097" s="1" t="str">
        <f>IFERROR(__xludf.DUMMYFUNCTION("""COMPUTED_VALUE"""),"21869")</f>
        <v>21869</v>
      </c>
      <c r="B1097" s="2">
        <f>IFERROR(__xludf.DUMMYFUNCTION("""COMPUTED_VALUE"""),21869.0)</f>
        <v>21869</v>
      </c>
      <c r="C1097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D1097" s="3" t="str">
        <f>IFERROR(__xludf.DUMMYFUNCTION("""COMPUTED_VALUE"""),"BCM KHAI SURANAREE HOSPITAL")</f>
        <v>BCM KHAI SURANAREE HOSPITAL</v>
      </c>
      <c r="E1097" s="1" t="str">
        <f>IFERROR(__xludf.DUMMYFUNCTION("""COMPUTED_VALUE"""),"บิ๊กซี MINI")</f>
        <v>บิ๊กซี MINI</v>
      </c>
      <c r="F1097" s="1" t="str">
        <f>IFERROR(__xludf.DUMMYFUNCTION("""COMPUTED_VALUE"""),"291105")</f>
        <v>291105</v>
      </c>
      <c r="G1097" s="1" t="str">
        <f>IFERROR(__xludf.DUMMYFUNCTION("""COMPUTED_VALUE"""),"นายสราวุฒิ พณิชยกุล")</f>
        <v>นายสราวุฒิ พณิชยกุล</v>
      </c>
      <c r="H1097" s="1" t="str">
        <f>IFERROR(__xludf.DUMMYFUNCTION("""COMPUTED_VALUE"""),"281315")</f>
        <v>281315</v>
      </c>
      <c r="I1097" s="1" t="str">
        <f>IFERROR(__xludf.DUMMYFUNCTION("""COMPUTED_VALUE"""),"นายกิตติพงษ์ มั่นคง")</f>
        <v>นายกิตติพงษ์ มั่นคง</v>
      </c>
      <c r="J1097" s="3">
        <f>IFERROR(__xludf.DUMMYFUNCTION("""COMPUTED_VALUE"""),15361.0)</f>
        <v>15361</v>
      </c>
      <c r="K1097" s="3" t="str">
        <f>IFERROR(__xludf.DUMMYFUNCTION("""COMPUTED_VALUE"""),"นายสมบูรณ์ พรหมในเมือง")</f>
        <v>นายสมบูรณ์ พรหมในเมือง</v>
      </c>
      <c r="L1097" s="1" t="str">
        <f>IFERROR(__xludf.DUMMYFUNCTION("""COMPUTED_VALUE"""),"04 K.Somboon P.")</f>
        <v>04 K.Somboon P.</v>
      </c>
      <c r="M1097" s="1" t="str">
        <f>IFERROR(__xludf.DUMMYFUNCTION("""COMPUTED_VALUE"""),"087-965-3051")</f>
        <v>087-965-3051</v>
      </c>
      <c r="N1097" s="3">
        <f>IFERROR(__xludf.DUMMYFUNCTION("""COMPUTED_VALUE"""),21869.0)</f>
        <v>21869</v>
      </c>
      <c r="O1097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097" s="4">
        <f>IFERROR(__xludf.DUMMYFUNCTION("""COMPUTED_VALUE"""),43677.0)</f>
        <v>43677</v>
      </c>
      <c r="Q1097" s="3" t="str">
        <f>IFERROR(__xludf.DUMMYFUNCTION("""COMPUTED_VALUE"""),"A")</f>
        <v>A</v>
      </c>
      <c r="R1097" s="3" t="str">
        <f>IFERROR(__xludf.DUMMYFUNCTION("""COMPUTED_VALUE"""),"Small Format")</f>
        <v>Small Format</v>
      </c>
      <c r="S1097" s="3" t="str">
        <f>IFERROR(__xludf.DUMMYFUNCTION("""COMPUTED_VALUE"""),"BCM")</f>
        <v>BCM</v>
      </c>
      <c r="T1097" s="3" t="str">
        <f>IFERROR(__xludf.DUMMYFUNCTION("""COMPUTED_VALUE"""),"#N/A")</f>
        <v>#N/A</v>
      </c>
      <c r="U1097" s="3" t="str">
        <f>IFERROR(__xludf.DUMMYFUNCTION("""COMPUTED_VALUE"""),"#N/A")</f>
        <v>#N/A</v>
      </c>
      <c r="V1097" s="3" t="str">
        <f>IFERROR(__xludf.DUMMYFUNCTION("""COMPUTED_VALUE"""),"N")</f>
        <v>N</v>
      </c>
      <c r="W1097" s="3">
        <f>IFERROR(__xludf.DUMMYFUNCTION("""COMPUTED_VALUE"""),211859.0)</f>
        <v>211859</v>
      </c>
      <c r="X1097" s="3" t="str">
        <f>IFERROR(__xludf.DUMMYFUNCTION("""COMPUTED_VALUE"""),"125/20 หมู่7 ตำบลหนองไผ่ล้อม อำเภอเมืองนครราชสีมา จังหวัดนครราชสีมา 30000")</f>
        <v>125/20 หมู่7 ตำบลหนองไผ่ล้อม อำเภอเมืองนครราชสีมา จังหวัดนครราชสีมา 30000</v>
      </c>
      <c r="Y1097" s="3"/>
      <c r="Z1097" s="3" t="str">
        <f>IFERROR(__xludf.DUMMYFUNCTION("""COMPUTED_VALUE"""),"หนองไผ่ล้อม")</f>
        <v>หนองไผ่ล้อม</v>
      </c>
      <c r="AA1097" s="3" t="str">
        <f>IFERROR(__xludf.DUMMYFUNCTION("""COMPUTED_VALUE"""),"เมือง")</f>
        <v>เมือง</v>
      </c>
      <c r="AB1097" s="3" t="str">
        <f>IFERROR(__xludf.DUMMYFUNCTION("""COMPUTED_VALUE"""),"นครราชสีมา")</f>
        <v>นครราชสีมา</v>
      </c>
      <c r="AC1097" s="3">
        <f>IFERROR(__xludf.DUMMYFUNCTION("""COMPUTED_VALUE"""),30000.0)</f>
        <v>30000</v>
      </c>
      <c r="AD1097" s="3">
        <f>IFERROR(__xludf.DUMMYFUNCTION("""COMPUTED_VALUE"""),14.966526)</f>
        <v>14.966526</v>
      </c>
      <c r="AE1097" s="3">
        <f>IFERROR(__xludf.DUMMYFUNCTION("""COMPUTED_VALUE"""),102.088338)</f>
        <v>102.088338</v>
      </c>
      <c r="AF1097" s="3" t="str">
        <f>IFERROR(__xludf.DUMMYFUNCTION("""COMPUTED_VALUE"""),"MBC โรงพยาบาลค่ายสุรนารี นครราชสีมา-21869")</f>
        <v>MBC โรงพยาบาลค่ายสุรนารี นครราชสีมา-21869</v>
      </c>
      <c r="AG1097" s="3" t="str">
        <f>IFERROR(__xludf.DUMMYFUNCTION("""COMPUTED_VALUE"""),"ตะวันออกเฉียงเหนือ")</f>
        <v>ตะวันออกเฉียงเหนือ</v>
      </c>
      <c r="AH1097" s="3" t="str">
        <f>IFERROR(__xludf.DUMMYFUNCTION("""COMPUTED_VALUE"""),"#N/A")</f>
        <v>#N/A</v>
      </c>
      <c r="AI1097" s="3" t="str">
        <f>IFERROR(__xludf.DUMMYFUNCTION("""COMPUTED_VALUE"""),"Out of warranty")</f>
        <v>Out of warranty</v>
      </c>
      <c r="AJ1097" s="3">
        <f>IFERROR(__xludf.DUMMYFUNCTION("""COMPUTED_VALUE"""),78.0)</f>
        <v>78</v>
      </c>
      <c r="AK1097" s="3" t="str">
        <f>IFERROR(__xludf.DUMMYFUNCTION("""COMPUTED_VALUE"""),"MMS11")</f>
        <v>MMS11</v>
      </c>
      <c r="AL1097" s="3"/>
    </row>
    <row r="1098" ht="15.75" customHeight="1">
      <c r="A1098" s="1" t="str">
        <f>IFERROR(__xludf.DUMMYFUNCTION("""COMPUTED_VALUE"""),"21870")</f>
        <v>21870</v>
      </c>
      <c r="B1098" s="2">
        <f>IFERROR(__xludf.DUMMYFUNCTION("""COMPUTED_VALUE"""),21870.0)</f>
        <v>21870</v>
      </c>
      <c r="C1098" s="3" t="str">
        <f>IFERROR(__xludf.DUMMYFUNCTION("""COMPUTED_VALUE"""),"MBC วิหารแดง สระบุรี")</f>
        <v>MBC วิหารแดง สระบุรี</v>
      </c>
      <c r="D1098" s="3" t="str">
        <f>IFERROR(__xludf.DUMMYFUNCTION("""COMPUTED_VALUE"""),"BCM WIHAN DAENG,SARABURI")</f>
        <v>BCM WIHAN DAENG,SARABURI</v>
      </c>
      <c r="E1098" s="1" t="str">
        <f>IFERROR(__xludf.DUMMYFUNCTION("""COMPUTED_VALUE"""),"บิ๊กซี MINI")</f>
        <v>บิ๊กซี MINI</v>
      </c>
      <c r="F1098" s="1" t="str">
        <f>IFERROR(__xludf.DUMMYFUNCTION("""COMPUTED_VALUE"""),"296229")</f>
        <v>296229</v>
      </c>
      <c r="G1098" s="1" t="str">
        <f>IFERROR(__xludf.DUMMYFUNCTION("""COMPUTED_VALUE"""),"นายทนงศักดิ์ บุญมา")</f>
        <v>นายทนงศักดิ์ บุญมา</v>
      </c>
      <c r="H1098" s="1" t="str">
        <f>IFERROR(__xludf.DUMMYFUNCTION("""COMPUTED_VALUE"""),"318233")</f>
        <v>318233</v>
      </c>
      <c r="I1098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1098" s="3">
        <f>IFERROR(__xludf.DUMMYFUNCTION("""COMPUTED_VALUE"""),46214.0)</f>
        <v>46214</v>
      </c>
      <c r="K1098" s="3" t="str">
        <f>IFERROR(__xludf.DUMMYFUNCTION("""COMPUTED_VALUE"""),"นายศักดิ์ชัย เด็ดดอกฟ้า")</f>
        <v>นายศักดิ์ชัย เด็ดดอกฟ้า</v>
      </c>
      <c r="L1098" s="1" t="str">
        <f>IFERROR(__xludf.DUMMYFUNCTION("""COMPUTED_VALUE"""),"02 K.Sakchai D")</f>
        <v>02 K.Sakchai D</v>
      </c>
      <c r="M1098" s="1" t="str">
        <f>IFERROR(__xludf.DUMMYFUNCTION("""COMPUTED_VALUE"""),"065-510-7376")</f>
        <v>065-510-7376</v>
      </c>
      <c r="N1098" s="3">
        <f>IFERROR(__xludf.DUMMYFUNCTION("""COMPUTED_VALUE"""),21714.0)</f>
        <v>21714</v>
      </c>
      <c r="O1098" s="3" t="str">
        <f>IFERROR(__xludf.DUMMYFUNCTION("""COMPUTED_VALUE"""),"MBC เอสโซ่ วัดโบสถ์")</f>
        <v>MBC เอสโซ่ วัดโบสถ์</v>
      </c>
      <c r="P1098" s="4">
        <f>IFERROR(__xludf.DUMMYFUNCTION("""COMPUTED_VALUE"""),43677.0)</f>
        <v>43677</v>
      </c>
      <c r="Q1098" s="3" t="str">
        <f>IFERROR(__xludf.DUMMYFUNCTION("""COMPUTED_VALUE"""),"A")</f>
        <v>A</v>
      </c>
      <c r="R1098" s="3" t="str">
        <f>IFERROR(__xludf.DUMMYFUNCTION("""COMPUTED_VALUE"""),"Small Format")</f>
        <v>Small Format</v>
      </c>
      <c r="S1098" s="3" t="str">
        <f>IFERROR(__xludf.DUMMYFUNCTION("""COMPUTED_VALUE"""),"BCM")</f>
        <v>BCM</v>
      </c>
      <c r="T1098" s="3" t="str">
        <f>IFERROR(__xludf.DUMMYFUNCTION("""COMPUTED_VALUE"""),"#N/A")</f>
        <v>#N/A</v>
      </c>
      <c r="U1098" s="3" t="str">
        <f>IFERROR(__xludf.DUMMYFUNCTION("""COMPUTED_VALUE"""),"#N/A")</f>
        <v>#N/A</v>
      </c>
      <c r="V1098" s="3" t="str">
        <f>IFERROR(__xludf.DUMMYFUNCTION("""COMPUTED_VALUE"""),"N")</f>
        <v>N</v>
      </c>
      <c r="W1098" s="3">
        <f>IFERROR(__xludf.DUMMYFUNCTION("""COMPUTED_VALUE"""),211740.0)</f>
        <v>211740</v>
      </c>
      <c r="X1098" s="3" t="str">
        <f>IFERROR(__xludf.DUMMYFUNCTION("""COMPUTED_VALUE"""),"61,61/2 หมู่10 ตำบลหนองสรวง อำเภอวิหารแดง จังหวัดสระบุรี 18150")</f>
        <v>61,61/2 หมู่10 ตำบลหนองสรวง อำเภอวิหารแดง จังหวัดสระบุรี 18150</v>
      </c>
      <c r="Y1098" s="3"/>
      <c r="Z1098" s="3" t="str">
        <f>IFERROR(__xludf.DUMMYFUNCTION("""COMPUTED_VALUE"""),"หนองสรวง")</f>
        <v>หนองสรวง</v>
      </c>
      <c r="AA1098" s="3" t="str">
        <f>IFERROR(__xludf.DUMMYFUNCTION("""COMPUTED_VALUE"""),"วิหารแดง")</f>
        <v>วิหารแดง</v>
      </c>
      <c r="AB1098" s="3" t="str">
        <f>IFERROR(__xludf.DUMMYFUNCTION("""COMPUTED_VALUE"""),"สระบุรี")</f>
        <v>สระบุรี</v>
      </c>
      <c r="AC1098" s="3">
        <f>IFERROR(__xludf.DUMMYFUNCTION("""COMPUTED_VALUE"""),18150.0)</f>
        <v>18150</v>
      </c>
      <c r="AD1098" s="3">
        <f>IFERROR(__xludf.DUMMYFUNCTION("""COMPUTED_VALUE"""),14.339941)</f>
        <v>14.339941</v>
      </c>
      <c r="AE1098" s="3">
        <f>IFERROR(__xludf.DUMMYFUNCTION("""COMPUTED_VALUE"""),100.995005)</f>
        <v>100.995005</v>
      </c>
      <c r="AF1098" s="3" t="str">
        <f>IFERROR(__xludf.DUMMYFUNCTION("""COMPUTED_VALUE"""),"MBC วิหารแดง สระบุรี-21870")</f>
        <v>MBC วิหารแดง สระบุรี-21870</v>
      </c>
      <c r="AG1098" s="3" t="str">
        <f>IFERROR(__xludf.DUMMYFUNCTION("""COMPUTED_VALUE"""),"กลาง")</f>
        <v>กลาง</v>
      </c>
      <c r="AH1098" s="3" t="str">
        <f>IFERROR(__xludf.DUMMYFUNCTION("""COMPUTED_VALUE"""),"#N/A")</f>
        <v>#N/A</v>
      </c>
      <c r="AI1098" s="3" t="str">
        <f>IFERROR(__xludf.DUMMYFUNCTION("""COMPUTED_VALUE"""),"Out of warranty")</f>
        <v>Out of warranty</v>
      </c>
      <c r="AJ1098" s="3">
        <f>IFERROR(__xludf.DUMMYFUNCTION("""COMPUTED_VALUE"""),78.0)</f>
        <v>78</v>
      </c>
      <c r="AK1098" s="3" t="str">
        <f>IFERROR(__xludf.DUMMYFUNCTION("""COMPUTED_VALUE"""),"MMS09")</f>
        <v>MMS09</v>
      </c>
      <c r="AL1098" s="3"/>
    </row>
    <row r="1099" ht="15.75" customHeight="1">
      <c r="A1099" s="1" t="str">
        <f>IFERROR(__xludf.DUMMYFUNCTION("""COMPUTED_VALUE"""),"21871")</f>
        <v>21871</v>
      </c>
      <c r="B1099" s="2">
        <f>IFERROR(__xludf.DUMMYFUNCTION("""COMPUTED_VALUE"""),21871.0)</f>
        <v>21871</v>
      </c>
      <c r="C1099" s="3" t="str">
        <f>IFERROR(__xludf.DUMMYFUNCTION("""COMPUTED_VALUE"""),"MBC เชียงยืน อุดรธานี")</f>
        <v>MBC เชียงยืน อุดรธานี</v>
      </c>
      <c r="D1099" s="3" t="str">
        <f>IFERROR(__xludf.DUMMYFUNCTION("""COMPUTED_VALUE"""),"BCM CHIANG YUEN,UDONTHANI")</f>
        <v>BCM CHIANG YUEN,UDONTHANI</v>
      </c>
      <c r="E1099" s="1" t="str">
        <f>IFERROR(__xludf.DUMMYFUNCTION("""COMPUTED_VALUE"""),"บิ๊กซี MINI")</f>
        <v>บิ๊กซี MINI</v>
      </c>
      <c r="F1099" s="1" t="str">
        <f>IFERROR(__xludf.DUMMYFUNCTION("""COMPUTED_VALUE"""),"291105")</f>
        <v>291105</v>
      </c>
      <c r="G1099" s="1" t="str">
        <f>IFERROR(__xludf.DUMMYFUNCTION("""COMPUTED_VALUE"""),"นายสราวุฒิ พณิชยกุล")</f>
        <v>นายสราวุฒิ พณิชยกุล</v>
      </c>
      <c r="H1099" s="1" t="str">
        <f>IFERROR(__xludf.DUMMYFUNCTION("""COMPUTED_VALUE"""),"392005")</f>
        <v>392005</v>
      </c>
      <c r="I1099" s="1" t="str">
        <f>IFERROR(__xludf.DUMMYFUNCTION("""COMPUTED_VALUE"""),"นายรัฐพล หาญลำยวง")</f>
        <v>นายรัฐพล หาญลำยวง</v>
      </c>
      <c r="J1099" s="3">
        <f>IFERROR(__xludf.DUMMYFUNCTION("""COMPUTED_VALUE"""),295886.0)</f>
        <v>295886</v>
      </c>
      <c r="K1099" s="3" t="str">
        <f>IFERROR(__xludf.DUMMYFUNCTION("""COMPUTED_VALUE"""),"นายจิระพงษ์ โพธิ์นิล")</f>
        <v>นายจิระพงษ์ โพธิ์นิล</v>
      </c>
      <c r="L1099" s="1" t="str">
        <f>IFERROR(__xludf.DUMMYFUNCTION("""COMPUTED_VALUE"""),"นายจิระพงษ์ โพธิ์นิล")</f>
        <v>นายจิระพงษ์ โพธิ์นิล</v>
      </c>
      <c r="M1099" s="1" t="str">
        <f>IFERROR(__xludf.DUMMYFUNCTION("""COMPUTED_VALUE"""),"0933290754")</f>
        <v>0933290754</v>
      </c>
      <c r="N1099" s="3">
        <f>IFERROR(__xludf.DUMMYFUNCTION("""COMPUTED_VALUE"""),21622.0)</f>
        <v>21622</v>
      </c>
      <c r="O1099" s="3" t="str">
        <f>IFERROR(__xludf.DUMMYFUNCTION("""COMPUTED_VALUE"""),"MBC ตลาดบ้านดอน")</f>
        <v>MBC ตลาดบ้านดอน</v>
      </c>
      <c r="P1099" s="4">
        <f>IFERROR(__xludf.DUMMYFUNCTION("""COMPUTED_VALUE"""),43686.0)</f>
        <v>43686</v>
      </c>
      <c r="Q1099" s="3" t="str">
        <f>IFERROR(__xludf.DUMMYFUNCTION("""COMPUTED_VALUE"""),"I")</f>
        <v>I</v>
      </c>
      <c r="R1099" s="3" t="str">
        <f>IFERROR(__xludf.DUMMYFUNCTION("""COMPUTED_VALUE"""),"Small Format")</f>
        <v>Small Format</v>
      </c>
      <c r="S1099" s="3" t="str">
        <f>IFERROR(__xludf.DUMMYFUNCTION("""COMPUTED_VALUE"""),"BCM")</f>
        <v>BCM</v>
      </c>
      <c r="T1099" s="3" t="str">
        <f>IFERROR(__xludf.DUMMYFUNCTION("""COMPUTED_VALUE"""),"#N/A")</f>
        <v>#N/A</v>
      </c>
      <c r="U1099" s="3" t="str">
        <f>IFERROR(__xludf.DUMMYFUNCTION("""COMPUTED_VALUE"""),"#N/A")</f>
        <v>#N/A</v>
      </c>
      <c r="V1099" s="3" t="str">
        <f>IFERROR(__xludf.DUMMYFUNCTION("""COMPUTED_VALUE"""),"N")</f>
        <v>N</v>
      </c>
      <c r="W1099" s="3">
        <f>IFERROR(__xludf.DUMMYFUNCTION("""COMPUTED_VALUE"""),211891.0)</f>
        <v>211891</v>
      </c>
      <c r="X1099" s="3" t="str">
        <f>IFERROR(__xludf.DUMMYFUNCTION("""COMPUTED_VALUE"""),"243 หมู่2 ตำบลเชียงยืน อำเภอเมืองอุดรธานี จังหวัดอุดรธานี 41000")</f>
        <v>243 หมู่2 ตำบลเชียงยืน อำเภอเมืองอุดรธานี จังหวัดอุดรธานี 41000</v>
      </c>
      <c r="Y1099" s="3"/>
      <c r="Z1099" s="3" t="str">
        <f>IFERROR(__xludf.DUMMYFUNCTION("""COMPUTED_VALUE"""),"เชียงยืน")</f>
        <v>เชียงยืน</v>
      </c>
      <c r="AA1099" s="3" t="str">
        <f>IFERROR(__xludf.DUMMYFUNCTION("""COMPUTED_VALUE"""),"เมือง")</f>
        <v>เมือง</v>
      </c>
      <c r="AB1099" s="3" t="str">
        <f>IFERROR(__xludf.DUMMYFUNCTION("""COMPUTED_VALUE"""),"อุดรธานี")</f>
        <v>อุดรธานี</v>
      </c>
      <c r="AC1099" s="3">
        <f>IFERROR(__xludf.DUMMYFUNCTION("""COMPUTED_VALUE"""),41000.0)</f>
        <v>41000</v>
      </c>
      <c r="AD1099" s="3">
        <f>IFERROR(__xludf.DUMMYFUNCTION("""COMPUTED_VALUE"""),17.451852)</f>
        <v>17.451852</v>
      </c>
      <c r="AE1099" s="3">
        <f>IFERROR(__xludf.DUMMYFUNCTION("""COMPUTED_VALUE"""),102.695711)</f>
        <v>102.695711</v>
      </c>
      <c r="AF1099" s="3" t="str">
        <f>IFERROR(__xludf.DUMMYFUNCTION("""COMPUTED_VALUE"""),"MBC เชียงยืน อุดรธานี-21871")</f>
        <v>MBC เชียงยืน อุดรธานี-21871</v>
      </c>
      <c r="AG1099" s="3" t="str">
        <f>IFERROR(__xludf.DUMMYFUNCTION("""COMPUTED_VALUE"""),"ตะวันออกเฉียงเหนือ")</f>
        <v>ตะวันออกเฉียงเหนือ</v>
      </c>
      <c r="AH1099" s="3" t="str">
        <f>IFERROR(__xludf.DUMMYFUNCTION("""COMPUTED_VALUE"""),"#N/A")</f>
        <v>#N/A</v>
      </c>
      <c r="AI1099" s="3" t="str">
        <f>IFERROR(__xludf.DUMMYFUNCTION("""COMPUTED_VALUE"""),"Out of warranty")</f>
        <v>Out of warranty</v>
      </c>
      <c r="AJ1099" s="3">
        <f>IFERROR(__xludf.DUMMYFUNCTION("""COMPUTED_VALUE"""),78.0)</f>
        <v>78</v>
      </c>
      <c r="AK1099" s="3" t="str">
        <f>IFERROR(__xludf.DUMMYFUNCTION("""COMPUTED_VALUE"""),"MMS12")</f>
        <v>MMS12</v>
      </c>
      <c r="AL1099" s="3"/>
    </row>
    <row r="1100" ht="15.75" customHeight="1">
      <c r="A1100" s="1" t="str">
        <f>IFERROR(__xludf.DUMMYFUNCTION("""COMPUTED_VALUE"""),"21872")</f>
        <v>21872</v>
      </c>
      <c r="B1100" s="2">
        <f>IFERROR(__xludf.DUMMYFUNCTION("""COMPUTED_VALUE"""),21872.0)</f>
        <v>21872</v>
      </c>
      <c r="C1100" s="3" t="str">
        <f>IFERROR(__xludf.DUMMYFUNCTION("""COMPUTED_VALUE"""),"MBC ตลาดเทศบาลพิบูลมังสาหาร อุบลราชธานี")</f>
        <v>MBC ตลาดเทศบาลพิบูลมังสาหาร อุบลราชธานี</v>
      </c>
      <c r="D1100" s="3" t="str">
        <f>IFERROR(__xludf.DUMMYFUNCTION("""COMPUTED_VALUE"""),"BCM TALAD PHIBUN MANGSAHAN")</f>
        <v>BCM TALAD PHIBUN MANGSAHAN</v>
      </c>
      <c r="E1100" s="1" t="str">
        <f>IFERROR(__xludf.DUMMYFUNCTION("""COMPUTED_VALUE"""),"บิ๊กซี MINI")</f>
        <v>บิ๊กซี MINI</v>
      </c>
      <c r="F1100" s="1" t="str">
        <f>IFERROR(__xludf.DUMMYFUNCTION("""COMPUTED_VALUE"""),"291105")</f>
        <v>291105</v>
      </c>
      <c r="G1100" s="1" t="str">
        <f>IFERROR(__xludf.DUMMYFUNCTION("""COMPUTED_VALUE"""),"นายสราวุฒิ พณิชยกุล")</f>
        <v>นายสราวุฒิ พณิชยกุล</v>
      </c>
      <c r="H1100" s="1" t="str">
        <f>IFERROR(__xludf.DUMMYFUNCTION("""COMPUTED_VALUE"""),"250772")</f>
        <v>250772</v>
      </c>
      <c r="I1100" s="1" t="str">
        <f>IFERROR(__xludf.DUMMYFUNCTION("""COMPUTED_VALUE"""),"น.ส.วรุณยุพา จรูญไธสง")</f>
        <v>น.ส.วรุณยุพา จรูญไธสง</v>
      </c>
      <c r="J1100" s="3">
        <f>IFERROR(__xludf.DUMMYFUNCTION("""COMPUTED_VALUE"""),2454781.0)</f>
        <v>2454781</v>
      </c>
      <c r="K1100" s="3" t="str">
        <f>IFERROR(__xludf.DUMMYFUNCTION("""COMPUTED_VALUE"""),"นายฌานกฤช นันทะโคต")</f>
        <v>นายฌานกฤช นันทะโคต</v>
      </c>
      <c r="L1100" s="1" t="str">
        <f>IFERROR(__xludf.DUMMYFUNCTION("""COMPUTED_VALUE"""),"05 K.Chanakrit N.")</f>
        <v>05 K.Chanakrit N.</v>
      </c>
      <c r="M1100" s="1" t="str">
        <f>IFERROR(__xludf.DUMMYFUNCTION("""COMPUTED_VALUE"""),"090-978-9785 ,065-929-1320")</f>
        <v>090-978-9785 ,065-929-1320</v>
      </c>
      <c r="N1100" s="3">
        <f>IFERROR(__xludf.DUMMYFUNCTION("""COMPUTED_VALUE"""),22195.0)</f>
        <v>22195</v>
      </c>
      <c r="O1100" s="3" t="str">
        <f>IFERROR(__xludf.DUMMYFUNCTION("""COMPUTED_VALUE"""),"MBC กันทรลักษ์ ศรีสะเกษ")</f>
        <v>MBC กันทรลักษ์ ศรีสะเกษ</v>
      </c>
      <c r="P1100" s="4">
        <f>IFERROR(__xludf.DUMMYFUNCTION("""COMPUTED_VALUE"""),43689.0)</f>
        <v>43689</v>
      </c>
      <c r="Q1100" s="3" t="str">
        <f>IFERROR(__xludf.DUMMYFUNCTION("""COMPUTED_VALUE"""),"A")</f>
        <v>A</v>
      </c>
      <c r="R1100" s="3" t="str">
        <f>IFERROR(__xludf.DUMMYFUNCTION("""COMPUTED_VALUE"""),"Small Format")</f>
        <v>Small Format</v>
      </c>
      <c r="S1100" s="3" t="str">
        <f>IFERROR(__xludf.DUMMYFUNCTION("""COMPUTED_VALUE"""),"BCM")</f>
        <v>BCM</v>
      </c>
      <c r="T1100" s="3" t="str">
        <f>IFERROR(__xludf.DUMMYFUNCTION("""COMPUTED_VALUE"""),"#N/A")</f>
        <v>#N/A</v>
      </c>
      <c r="U1100" s="3" t="str">
        <f>IFERROR(__xludf.DUMMYFUNCTION("""COMPUTED_VALUE"""),"#N/A")</f>
        <v>#N/A</v>
      </c>
      <c r="V1100" s="3" t="str">
        <f>IFERROR(__xludf.DUMMYFUNCTION("""COMPUTED_VALUE"""),"N")</f>
        <v>N</v>
      </c>
      <c r="W1100" s="3">
        <f>IFERROR(__xludf.DUMMYFUNCTION("""COMPUTED_VALUE"""),211890.0)</f>
        <v>211890</v>
      </c>
      <c r="X1100" s="3" t="str">
        <f>IFERROR(__xludf.DUMMYFUNCTION("""COMPUTED_VALUE"""),"18-22 ถนนพรหมแสง ตำบลพิบูล อำเภอพิบูลมังสาหาร จังหวัดอุบลราชธานี 34110")</f>
        <v>18-22 ถนนพรหมแสง ตำบลพิบูล อำเภอพิบูลมังสาหาร จังหวัดอุบลราชธานี 34110</v>
      </c>
      <c r="Y1100" s="3" t="str">
        <f>IFERROR(__xludf.DUMMYFUNCTION("""COMPUTED_VALUE"""),"ถนนพรหมแสง")</f>
        <v>ถนนพรหมแสง</v>
      </c>
      <c r="Z1100" s="3" t="str">
        <f>IFERROR(__xludf.DUMMYFUNCTION("""COMPUTED_VALUE"""),"พิบูล")</f>
        <v>พิบูล</v>
      </c>
      <c r="AA1100" s="3" t="str">
        <f>IFERROR(__xludf.DUMMYFUNCTION("""COMPUTED_VALUE"""),"พิบูลมังสาหาร")</f>
        <v>พิบูลมังสาหาร</v>
      </c>
      <c r="AB1100" s="3" t="str">
        <f>IFERROR(__xludf.DUMMYFUNCTION("""COMPUTED_VALUE"""),"อุบลราชธานี")</f>
        <v>อุบลราชธานี</v>
      </c>
      <c r="AC1100" s="3">
        <f>IFERROR(__xludf.DUMMYFUNCTION("""COMPUTED_VALUE"""),34110.0)</f>
        <v>34110</v>
      </c>
      <c r="AD1100" s="3">
        <f>IFERROR(__xludf.DUMMYFUNCTION("""COMPUTED_VALUE"""),15.245955)</f>
        <v>15.245955</v>
      </c>
      <c r="AE1100" s="3">
        <f>IFERROR(__xludf.DUMMYFUNCTION("""COMPUTED_VALUE"""),105.234107)</f>
        <v>105.234107</v>
      </c>
      <c r="AF1100" s="3" t="str">
        <f>IFERROR(__xludf.DUMMYFUNCTION("""COMPUTED_VALUE"""),"MBC ตลาดเทศบาลพิบูลมังสาหาร อุบลราชธานี-21872")</f>
        <v>MBC ตลาดเทศบาลพิบูลมังสาหาร อุบลราชธานี-21872</v>
      </c>
      <c r="AG1100" s="3" t="str">
        <f>IFERROR(__xludf.DUMMYFUNCTION("""COMPUTED_VALUE"""),"ตะวันออกเฉียงเหนือ")</f>
        <v>ตะวันออกเฉียงเหนือ</v>
      </c>
      <c r="AH1100" s="3" t="str">
        <f>IFERROR(__xludf.DUMMYFUNCTION("""COMPUTED_VALUE"""),"#N/A")</f>
        <v>#N/A</v>
      </c>
      <c r="AI1100" s="3" t="str">
        <f>IFERROR(__xludf.DUMMYFUNCTION("""COMPUTED_VALUE"""),"Out of warranty")</f>
        <v>Out of warranty</v>
      </c>
      <c r="AJ1100" s="3">
        <f>IFERROR(__xludf.DUMMYFUNCTION("""COMPUTED_VALUE"""),78.0)</f>
        <v>78</v>
      </c>
      <c r="AK1100" s="3" t="str">
        <f>IFERROR(__xludf.DUMMYFUNCTION("""COMPUTED_VALUE"""),"MMS13")</f>
        <v>MMS13</v>
      </c>
      <c r="AL1100" s="3"/>
    </row>
    <row r="1101" ht="15.75" customHeight="1">
      <c r="A1101" s="1" t="str">
        <f>IFERROR(__xludf.DUMMYFUNCTION("""COMPUTED_VALUE"""),"21873")</f>
        <v>21873</v>
      </c>
      <c r="B1101" s="2">
        <f>IFERROR(__xludf.DUMMYFUNCTION("""COMPUTED_VALUE"""),21873.0)</f>
        <v>21873</v>
      </c>
      <c r="C1101" s="3" t="str">
        <f>IFERROR(__xludf.DUMMYFUNCTION("""COMPUTED_VALUE"""),"MBC อำเภอดอนสัก สุราษฎร์ธานี")</f>
        <v>MBC อำเภอดอนสัก สุราษฎร์ธานี</v>
      </c>
      <c r="D1101" s="3" t="str">
        <f>IFERROR(__xludf.DUMMYFUNCTION("""COMPUTED_VALUE"""),"BCM AMPHOE DONSAK,SURAT THANI")</f>
        <v>BCM AMPHOE DONSAK,SURAT THANI</v>
      </c>
      <c r="E1101" s="1" t="str">
        <f>IFERROR(__xludf.DUMMYFUNCTION("""COMPUTED_VALUE"""),"บิ๊กซี MINI")</f>
        <v>บิ๊กซี MINI</v>
      </c>
      <c r="F1101" s="1" t="str">
        <f>IFERROR(__xludf.DUMMYFUNCTION("""COMPUTED_VALUE"""),"250760")</f>
        <v>250760</v>
      </c>
      <c r="G1101" s="1" t="str">
        <f>IFERROR(__xludf.DUMMYFUNCTION("""COMPUTED_VALUE"""),"นายประทวน สาราบรรณ์")</f>
        <v>นายประทวน สาราบรรณ์</v>
      </c>
      <c r="H1101" s="1" t="str">
        <f>IFERROR(__xludf.DUMMYFUNCTION("""COMPUTED_VALUE"""),"356760")</f>
        <v>356760</v>
      </c>
      <c r="I1101" s="1" t="str">
        <f>IFERROR(__xludf.DUMMYFUNCTION("""COMPUTED_VALUE"""),"นายภูมิภัทร แก้วพรรณราย")</f>
        <v>นายภูมิภัทร แก้วพรรณราย</v>
      </c>
      <c r="J1101" s="3">
        <f>IFERROR(__xludf.DUMMYFUNCTION("""COMPUTED_VALUE"""),25324.0)</f>
        <v>25324</v>
      </c>
      <c r="K1101" s="3" t="str">
        <f>IFERROR(__xludf.DUMMYFUNCTION("""COMPUTED_VALUE"""),"นายวิเชฎฐ์ ติรัตนะประคม")</f>
        <v>นายวิเชฎฐ์ ติรัตนะประคม</v>
      </c>
      <c r="L1101" s="1" t="str">
        <f>IFERROR(__xludf.DUMMYFUNCTION("""COMPUTED_VALUE"""),"14 K.Wichet T.")</f>
        <v>14 K.Wichet T.</v>
      </c>
      <c r="M1101" s="1" t="str">
        <f>IFERROR(__xludf.DUMMYFUNCTION("""COMPUTED_VALUE"""),"061-417-6569 / 086-445-5636")</f>
        <v>061-417-6569 / 086-445-5636</v>
      </c>
      <c r="N1101" s="3">
        <f>IFERROR(__xludf.DUMMYFUNCTION("""COMPUTED_VALUE"""),22658.0)</f>
        <v>22658</v>
      </c>
      <c r="O1101" s="3" t="str">
        <f>IFERROR(__xludf.DUMMYFUNCTION("""COMPUTED_VALUE"""),"BCM ถ.วิรัชหงษ์หยก ภูเก็ต")</f>
        <v>BCM ถ.วิรัชหงษ์หยก ภูเก็ต</v>
      </c>
      <c r="P1101" s="4">
        <f>IFERROR(__xludf.DUMMYFUNCTION("""COMPUTED_VALUE"""),43704.0)</f>
        <v>43704</v>
      </c>
      <c r="Q1101" s="3" t="str">
        <f>IFERROR(__xludf.DUMMYFUNCTION("""COMPUTED_VALUE"""),"A")</f>
        <v>A</v>
      </c>
      <c r="R1101" s="3" t="str">
        <f>IFERROR(__xludf.DUMMYFUNCTION("""COMPUTED_VALUE"""),"Small Format")</f>
        <v>Small Format</v>
      </c>
      <c r="S1101" s="3" t="str">
        <f>IFERROR(__xludf.DUMMYFUNCTION("""COMPUTED_VALUE"""),"BCM")</f>
        <v>BCM</v>
      </c>
      <c r="T1101" s="3" t="str">
        <f>IFERROR(__xludf.DUMMYFUNCTION("""COMPUTED_VALUE"""),"#N/A")</f>
        <v>#N/A</v>
      </c>
      <c r="U1101" s="3" t="str">
        <f>IFERROR(__xludf.DUMMYFUNCTION("""COMPUTED_VALUE"""),"#N/A")</f>
        <v>#N/A</v>
      </c>
      <c r="V1101" s="3" t="str">
        <f>IFERROR(__xludf.DUMMYFUNCTION("""COMPUTED_VALUE"""),"N")</f>
        <v>N</v>
      </c>
      <c r="W1101" s="3">
        <f>IFERROR(__xludf.DUMMYFUNCTION("""COMPUTED_VALUE"""),211864.0)</f>
        <v>211864</v>
      </c>
      <c r="X1101" s="3" t="str">
        <f>IFERROR(__xludf.DUMMYFUNCTION("""COMPUTED_VALUE"""),"17 หมู่5 ถนนชลคราม ตำบลดอนสัก อำเภอดอนสัก จังหวัดสุราษฎร์ธานี 84220")</f>
        <v>17 หมู่5 ถนนชลคราม ตำบลดอนสัก อำเภอดอนสัก จังหวัดสุราษฎร์ธานี 84220</v>
      </c>
      <c r="Y1101" s="3"/>
      <c r="Z1101" s="3" t="str">
        <f>IFERROR(__xludf.DUMMYFUNCTION("""COMPUTED_VALUE"""),"ดอนสัก")</f>
        <v>ดอนสัก</v>
      </c>
      <c r="AA1101" s="3" t="str">
        <f>IFERROR(__xludf.DUMMYFUNCTION("""COMPUTED_VALUE"""),"ดอนสัก")</f>
        <v>ดอนสัก</v>
      </c>
      <c r="AB1101" s="3" t="str">
        <f>IFERROR(__xludf.DUMMYFUNCTION("""COMPUTED_VALUE"""),"สุราษฎร์ธานี")</f>
        <v>สุราษฎร์ธานี</v>
      </c>
      <c r="AC1101" s="3">
        <f>IFERROR(__xludf.DUMMYFUNCTION("""COMPUTED_VALUE"""),84220.0)</f>
        <v>84220</v>
      </c>
      <c r="AD1101" s="3">
        <f>IFERROR(__xludf.DUMMYFUNCTION("""COMPUTED_VALUE"""),9.311836)</f>
        <v>9.311836</v>
      </c>
      <c r="AE1101" s="3">
        <f>IFERROR(__xludf.DUMMYFUNCTION("""COMPUTED_VALUE"""),99.687256)</f>
        <v>99.687256</v>
      </c>
      <c r="AF1101" s="3" t="str">
        <f>IFERROR(__xludf.DUMMYFUNCTION("""COMPUTED_VALUE"""),"MBC อำเภอดอนสัก สุราษฎร์ธานี-21873")</f>
        <v>MBC อำเภอดอนสัก สุราษฎร์ธานี-21873</v>
      </c>
      <c r="AG1101" s="3" t="str">
        <f>IFERROR(__xludf.DUMMYFUNCTION("""COMPUTED_VALUE"""),"ใต้")</f>
        <v>ใต้</v>
      </c>
      <c r="AH1101" s="3" t="str">
        <f>IFERROR(__xludf.DUMMYFUNCTION("""COMPUTED_VALUE"""),"#N/A")</f>
        <v>#N/A</v>
      </c>
      <c r="AI1101" s="3" t="str">
        <f>IFERROR(__xludf.DUMMYFUNCTION("""COMPUTED_VALUE"""),"Out of warranty")</f>
        <v>Out of warranty</v>
      </c>
      <c r="AJ1101" s="3">
        <f>IFERROR(__xludf.DUMMYFUNCTION("""COMPUTED_VALUE"""),77.0)</f>
        <v>77</v>
      </c>
      <c r="AK1101" s="3" t="str">
        <f>IFERROR(__xludf.DUMMYFUNCTION("""COMPUTED_VALUE"""),"MMS14")</f>
        <v>MMS14</v>
      </c>
      <c r="AL1101" s="3"/>
    </row>
    <row r="1102" ht="15.75" customHeight="1">
      <c r="A1102" s="1" t="str">
        <f>IFERROR(__xludf.DUMMYFUNCTION("""COMPUTED_VALUE"""),"21874")</f>
        <v>21874</v>
      </c>
      <c r="B1102" s="2">
        <f>IFERROR(__xludf.DUMMYFUNCTION("""COMPUTED_VALUE"""),21874.0)</f>
        <v>21874</v>
      </c>
      <c r="C1102" s="3" t="str">
        <f>IFERROR(__xludf.DUMMYFUNCTION("""COMPUTED_VALUE"""),"MBC ตลาดบ้านพริก นครนายก")</f>
        <v>MBC ตลาดบ้านพริก นครนายก</v>
      </c>
      <c r="D1102" s="3" t="str">
        <f>IFERROR(__xludf.DUMMYFUNCTION("""COMPUTED_VALUE"""),"BCM TALAD BAN PRIK")</f>
        <v>BCM TALAD BAN PRIK</v>
      </c>
      <c r="E1102" s="1" t="str">
        <f>IFERROR(__xludf.DUMMYFUNCTION("""COMPUTED_VALUE"""),"บิ๊กซี MINI")</f>
        <v>บิ๊กซี MINI</v>
      </c>
      <c r="F1102" s="1" t="str">
        <f>IFERROR(__xludf.DUMMYFUNCTION("""COMPUTED_VALUE"""),"2083447")</f>
        <v>2083447</v>
      </c>
      <c r="G1102" s="1" t="str">
        <f>IFERROR(__xludf.DUMMYFUNCTION("""COMPUTED_VALUE"""),"นายอนุกูล ศรีลัดดา")</f>
        <v>นายอนุกูล ศรีลัดดา</v>
      </c>
      <c r="H1102" s="1" t="str">
        <f>IFERROR(__xludf.DUMMYFUNCTION("""COMPUTED_VALUE"""),"254957")</f>
        <v>254957</v>
      </c>
      <c r="I1102" s="1" t="str">
        <f>IFERROR(__xludf.DUMMYFUNCTION("""COMPUTED_VALUE"""),"น.ส.ศิริพร รุ่งธัญญา")</f>
        <v>น.ส.ศิริพร รุ่งธัญญา</v>
      </c>
      <c r="J1102" s="3">
        <f>IFERROR(__xludf.DUMMYFUNCTION("""COMPUTED_VALUE"""),510143.0)</f>
        <v>510143</v>
      </c>
      <c r="K1102" s="3" t="str">
        <f>IFERROR(__xludf.DUMMYFUNCTION("""COMPUTED_VALUE"""),"นายธีระวัฒน์ บุญสิทธิ์")</f>
        <v>นายธีระวัฒน์ บุญสิทธิ์</v>
      </c>
      <c r="L1102" s="1" t="str">
        <f>IFERROR(__xludf.DUMMYFUNCTION("""COMPUTED_VALUE"""),"12 K.Theerawat B.")</f>
        <v>12 K.Theerawat B.</v>
      </c>
      <c r="M1102" s="1" t="str">
        <f>IFERROR(__xludf.DUMMYFUNCTION("""COMPUTED_VALUE"""),"0655107379")</f>
        <v>0655107379</v>
      </c>
      <c r="N1102" s="3">
        <f>IFERROR(__xludf.DUMMYFUNCTION("""COMPUTED_VALUE"""),21062.0)</f>
        <v>21062</v>
      </c>
      <c r="O1102" s="3" t="str">
        <f>IFERROR(__xludf.DUMMYFUNCTION("""COMPUTED_VALUE"""),"MBC นิคมนวนคร")</f>
        <v>MBC นิคมนวนคร</v>
      </c>
      <c r="P1102" s="4">
        <f>IFERROR(__xludf.DUMMYFUNCTION("""COMPUTED_VALUE"""),43685.0)</f>
        <v>43685</v>
      </c>
      <c r="Q1102" s="3" t="str">
        <f>IFERROR(__xludf.DUMMYFUNCTION("""COMPUTED_VALUE"""),"A")</f>
        <v>A</v>
      </c>
      <c r="R1102" s="3" t="str">
        <f>IFERROR(__xludf.DUMMYFUNCTION("""COMPUTED_VALUE"""),"Small Format")</f>
        <v>Small Format</v>
      </c>
      <c r="S1102" s="3" t="str">
        <f>IFERROR(__xludf.DUMMYFUNCTION("""COMPUTED_VALUE"""),"BCM")</f>
        <v>BCM</v>
      </c>
      <c r="T1102" s="3" t="str">
        <f>IFERROR(__xludf.DUMMYFUNCTION("""COMPUTED_VALUE"""),"#N/A")</f>
        <v>#N/A</v>
      </c>
      <c r="U1102" s="3" t="str">
        <f>IFERROR(__xludf.DUMMYFUNCTION("""COMPUTED_VALUE"""),"#N/A")</f>
        <v>#N/A</v>
      </c>
      <c r="V1102" s="3" t="str">
        <f>IFERROR(__xludf.DUMMYFUNCTION("""COMPUTED_VALUE"""),"N")</f>
        <v>N</v>
      </c>
      <c r="W1102" s="3">
        <f>IFERROR(__xludf.DUMMYFUNCTION("""COMPUTED_VALUE"""),211865.0)</f>
        <v>211865</v>
      </c>
      <c r="X1102" s="3" t="str">
        <f>IFERROR(__xludf.DUMMYFUNCTION("""COMPUTED_VALUE"""),"197 หมู่8 ตำบลบ้านพริก อำเภอบ้านนา จังหวัดนครนายก 26110")</f>
        <v>197 หมู่8 ตำบลบ้านพริก อำเภอบ้านนา จังหวัดนครนายก 26110</v>
      </c>
      <c r="Y1102" s="3"/>
      <c r="Z1102" s="3" t="str">
        <f>IFERROR(__xludf.DUMMYFUNCTION("""COMPUTED_VALUE"""),"บ้านพริก")</f>
        <v>บ้านพริก</v>
      </c>
      <c r="AA1102" s="3" t="str">
        <f>IFERROR(__xludf.DUMMYFUNCTION("""COMPUTED_VALUE"""),"บ้านนา")</f>
        <v>บ้านนา</v>
      </c>
      <c r="AB1102" s="3" t="str">
        <f>IFERROR(__xludf.DUMMYFUNCTION("""COMPUTED_VALUE"""),"นครนายก")</f>
        <v>นครนายก</v>
      </c>
      <c r="AC1102" s="3">
        <f>IFERROR(__xludf.DUMMYFUNCTION("""COMPUTED_VALUE"""),26110.0)</f>
        <v>26110</v>
      </c>
      <c r="AD1102" s="3">
        <f>IFERROR(__xludf.DUMMYFUNCTION("""COMPUTED_VALUE"""),14.304613)</f>
        <v>14.304613</v>
      </c>
      <c r="AE1102" s="3">
        <f>IFERROR(__xludf.DUMMYFUNCTION("""COMPUTED_VALUE"""),101.02769)</f>
        <v>101.02769</v>
      </c>
      <c r="AF1102" s="3" t="str">
        <f>IFERROR(__xludf.DUMMYFUNCTION("""COMPUTED_VALUE"""),"MBC ตลาดบ้านพริก นครนายก-21874")</f>
        <v>MBC ตลาดบ้านพริก นครนายก-21874</v>
      </c>
      <c r="AG1102" s="3" t="str">
        <f>IFERROR(__xludf.DUMMYFUNCTION("""COMPUTED_VALUE"""),"กลาง")</f>
        <v>กลาง</v>
      </c>
      <c r="AH1102" s="3" t="str">
        <f>IFERROR(__xludf.DUMMYFUNCTION("""COMPUTED_VALUE"""),"#N/A")</f>
        <v>#N/A</v>
      </c>
      <c r="AI1102" s="3" t="str">
        <f>IFERROR(__xludf.DUMMYFUNCTION("""COMPUTED_VALUE"""),"Out of warranty")</f>
        <v>Out of warranty</v>
      </c>
      <c r="AJ1102" s="3">
        <f>IFERROR(__xludf.DUMMYFUNCTION("""COMPUTED_VALUE"""),78.0)</f>
        <v>78</v>
      </c>
      <c r="AK1102" s="3" t="str">
        <f>IFERROR(__xludf.DUMMYFUNCTION("""COMPUTED_VALUE"""),"MMS04")</f>
        <v>MMS04</v>
      </c>
      <c r="AL1102" s="3"/>
    </row>
    <row r="1103" ht="15.75" customHeight="1">
      <c r="A1103" s="1" t="str">
        <f>IFERROR(__xludf.DUMMYFUNCTION("""COMPUTED_VALUE"""),"21875")</f>
        <v>21875</v>
      </c>
      <c r="B1103" s="2">
        <f>IFERROR(__xludf.DUMMYFUNCTION("""COMPUTED_VALUE"""),21875.0)</f>
        <v>21875</v>
      </c>
      <c r="C1103" s="3" t="str">
        <f>IFERROR(__xludf.DUMMYFUNCTION("""COMPUTED_VALUE"""),"MBC ถนนบางวัว 8 ฉะเชิงเทรา")</f>
        <v>MBC ถนนบางวัว 8 ฉะเชิงเทรา</v>
      </c>
      <c r="D1103" s="3" t="str">
        <f>IFERROR(__xludf.DUMMYFUNCTION("""COMPUTED_VALUE"""),"BCM THANON BANG WUA 8")</f>
        <v>BCM THANON BANG WUA 8</v>
      </c>
      <c r="E1103" s="1" t="str">
        <f>IFERROR(__xludf.DUMMYFUNCTION("""COMPUTED_VALUE"""),"บิ๊กซี MINI")</f>
        <v>บิ๊กซี MINI</v>
      </c>
      <c r="F1103" s="1" t="str">
        <f>IFERROR(__xludf.DUMMYFUNCTION("""COMPUTED_VALUE"""),"2083447")</f>
        <v>2083447</v>
      </c>
      <c r="G1103" s="1" t="str">
        <f>IFERROR(__xludf.DUMMYFUNCTION("""COMPUTED_VALUE"""),"นายอนุกูล ศรีลัดดา")</f>
        <v>นายอนุกูล ศรีลัดดา</v>
      </c>
      <c r="H1103" s="1" t="str">
        <f>IFERROR(__xludf.DUMMYFUNCTION("""COMPUTED_VALUE"""),"254957")</f>
        <v>254957</v>
      </c>
      <c r="I1103" s="1" t="str">
        <f>IFERROR(__xludf.DUMMYFUNCTION("""COMPUTED_VALUE"""),"น.ส.ศิริพร รุ่งธัญญา")</f>
        <v>น.ส.ศิริพร รุ่งธัญญา</v>
      </c>
      <c r="J1103" s="3">
        <f>IFERROR(__xludf.DUMMYFUNCTION("""COMPUTED_VALUE"""),510143.0)</f>
        <v>510143</v>
      </c>
      <c r="K1103" s="3" t="str">
        <f>IFERROR(__xludf.DUMMYFUNCTION("""COMPUTED_VALUE"""),"นายธีระวัฒน์ บุญสิทธิ์")</f>
        <v>นายธีระวัฒน์ บุญสิทธิ์</v>
      </c>
      <c r="L1103" s="3" t="str">
        <f>IFERROR(__xludf.DUMMYFUNCTION("""COMPUTED_VALUE"""),"12 K.Theerawat B.")</f>
        <v>12 K.Theerawat B.</v>
      </c>
      <c r="M1103" s="1" t="str">
        <f>IFERROR(__xludf.DUMMYFUNCTION("""COMPUTED_VALUE"""),"0655107379")</f>
        <v>0655107379</v>
      </c>
      <c r="N1103" s="3">
        <f>IFERROR(__xludf.DUMMYFUNCTION("""COMPUTED_VALUE"""),21062.0)</f>
        <v>21062</v>
      </c>
      <c r="O1103" s="3" t="str">
        <f>IFERROR(__xludf.DUMMYFUNCTION("""COMPUTED_VALUE"""),"MBC นิคมนวนคร")</f>
        <v>MBC นิคมนวนคร</v>
      </c>
      <c r="P1103" s="4">
        <f>IFERROR(__xludf.DUMMYFUNCTION("""COMPUTED_VALUE"""),43691.0)</f>
        <v>43691</v>
      </c>
      <c r="Q1103" s="3" t="str">
        <f>IFERROR(__xludf.DUMMYFUNCTION("""COMPUTED_VALUE"""),"A")</f>
        <v>A</v>
      </c>
      <c r="R1103" s="3" t="str">
        <f>IFERROR(__xludf.DUMMYFUNCTION("""COMPUTED_VALUE"""),"Small Format")</f>
        <v>Small Format</v>
      </c>
      <c r="S1103" s="3" t="str">
        <f>IFERROR(__xludf.DUMMYFUNCTION("""COMPUTED_VALUE"""),"BCM")</f>
        <v>BCM</v>
      </c>
      <c r="T1103" s="3" t="str">
        <f>IFERROR(__xludf.DUMMYFUNCTION("""COMPUTED_VALUE"""),"#N/A")</f>
        <v>#N/A</v>
      </c>
      <c r="U1103" s="3" t="str">
        <f>IFERROR(__xludf.DUMMYFUNCTION("""COMPUTED_VALUE"""),"#N/A")</f>
        <v>#N/A</v>
      </c>
      <c r="V1103" s="3" t="str">
        <f>IFERROR(__xludf.DUMMYFUNCTION("""COMPUTED_VALUE"""),"N")</f>
        <v>N</v>
      </c>
      <c r="W1103" s="3">
        <f>IFERROR(__xludf.DUMMYFUNCTION("""COMPUTED_VALUE"""),211878.0)</f>
        <v>211878</v>
      </c>
      <c r="X1103" s="3" t="str">
        <f>IFERROR(__xludf.DUMMYFUNCTION("""COMPUTED_VALUE"""),"60/3 หมู่8 ตำบลบางวัว อำเภอบางปะกง จังหวัดฉะเชิงเทรา 24180")</f>
        <v>60/3 หมู่8 ตำบลบางวัว อำเภอบางปะกง จังหวัดฉะเชิงเทรา 24180</v>
      </c>
      <c r="Y1103" s="3"/>
      <c r="Z1103" s="3" t="str">
        <f>IFERROR(__xludf.DUMMYFUNCTION("""COMPUTED_VALUE"""),"บางวัว")</f>
        <v>บางวัว</v>
      </c>
      <c r="AA1103" s="3" t="str">
        <f>IFERROR(__xludf.DUMMYFUNCTION("""COMPUTED_VALUE"""),"บางปะกง")</f>
        <v>บางปะกง</v>
      </c>
      <c r="AB1103" s="3" t="str">
        <f>IFERROR(__xludf.DUMMYFUNCTION("""COMPUTED_VALUE"""),"ฉะเชิงเทรา")</f>
        <v>ฉะเชิงเทรา</v>
      </c>
      <c r="AC1103" s="3">
        <f>IFERROR(__xludf.DUMMYFUNCTION("""COMPUTED_VALUE"""),24180.0)</f>
        <v>24180</v>
      </c>
      <c r="AD1103" s="3">
        <f>IFERROR(__xludf.DUMMYFUNCTION("""COMPUTED_VALUE"""),13.556345)</f>
        <v>13.556345</v>
      </c>
      <c r="AE1103" s="3">
        <f>IFERROR(__xludf.DUMMYFUNCTION("""COMPUTED_VALUE"""),100.963222)</f>
        <v>100.963222</v>
      </c>
      <c r="AF1103" s="3" t="str">
        <f>IFERROR(__xludf.DUMMYFUNCTION("""COMPUTED_VALUE"""),"MBC ถนนบางวัว 8 ฉะเชิงเทรา-21875")</f>
        <v>MBC ถนนบางวัว 8 ฉะเชิงเทรา-21875</v>
      </c>
      <c r="AG1103" s="3" t="str">
        <f>IFERROR(__xludf.DUMMYFUNCTION("""COMPUTED_VALUE"""),"ตะวันออก")</f>
        <v>ตะวันออก</v>
      </c>
      <c r="AH1103" s="3" t="str">
        <f>IFERROR(__xludf.DUMMYFUNCTION("""COMPUTED_VALUE"""),"#N/A")</f>
        <v>#N/A</v>
      </c>
      <c r="AI1103" s="3" t="str">
        <f>IFERROR(__xludf.DUMMYFUNCTION("""COMPUTED_VALUE"""),"Out of warranty")</f>
        <v>Out of warranty</v>
      </c>
      <c r="AJ1103" s="3">
        <f>IFERROR(__xludf.DUMMYFUNCTION("""COMPUTED_VALUE"""),78.0)</f>
        <v>78</v>
      </c>
      <c r="AK1103" s="3" t="str">
        <f>IFERROR(__xludf.DUMMYFUNCTION("""COMPUTED_VALUE"""),"MMS03")</f>
        <v>MMS03</v>
      </c>
      <c r="AL1103" s="3"/>
    </row>
    <row r="1104" ht="15.75" customHeight="1">
      <c r="A1104" s="1" t="str">
        <f>IFERROR(__xludf.DUMMYFUNCTION("""COMPUTED_VALUE"""),"21876")</f>
        <v>21876</v>
      </c>
      <c r="B1104" s="2">
        <f>IFERROR(__xludf.DUMMYFUNCTION("""COMPUTED_VALUE"""),21876.0)</f>
        <v>21876</v>
      </c>
      <c r="C1104" s="3" t="str">
        <f>IFERROR(__xludf.DUMMYFUNCTION("""COMPUTED_VALUE"""),"MBC เพิ่มสิน 64 กรุงเทพมหานคร")</f>
        <v>MBC เพิ่มสิน 64 กรุงเทพมหานคร</v>
      </c>
      <c r="D1104" s="3" t="str">
        <f>IFERROR(__xludf.DUMMYFUNCTION("""COMPUTED_VALUE"""),"BCM PHOEM SIN 64, BANGKOK")</f>
        <v>BCM PHOEM SIN 64, BANGKOK</v>
      </c>
      <c r="E1104" s="1" t="str">
        <f>IFERROR(__xludf.DUMMYFUNCTION("""COMPUTED_VALUE"""),"บิ๊กซี MINI")</f>
        <v>บิ๊กซี MINI</v>
      </c>
      <c r="F1104" s="1" t="str">
        <f>IFERROR(__xludf.DUMMYFUNCTION("""COMPUTED_VALUE"""),"291008")</f>
        <v>291008</v>
      </c>
      <c r="G1104" s="1" t="str">
        <f>IFERROR(__xludf.DUMMYFUNCTION("""COMPUTED_VALUE"""),"น.ส.รัชดาพร อีศรัตน์")</f>
        <v>น.ส.รัชดาพร อีศรัตน์</v>
      </c>
      <c r="H1104" s="1" t="str">
        <f>IFERROR(__xludf.DUMMYFUNCTION("""COMPUTED_VALUE"""),"034068")</f>
        <v>034068</v>
      </c>
      <c r="I1104" s="1" t="str">
        <f>IFERROR(__xludf.DUMMYFUNCTION("""COMPUTED_VALUE"""),"นายสมศักดิ์ ฐานทองดี")</f>
        <v>นายสมศักดิ์ ฐานทองดี</v>
      </c>
      <c r="J1104" s="3">
        <f>IFERROR(__xludf.DUMMYFUNCTION("""COMPUTED_VALUE"""),3510104.0)</f>
        <v>3510104</v>
      </c>
      <c r="K1104" s="3" t="str">
        <f>IFERROR(__xludf.DUMMYFUNCTION("""COMPUTED_VALUE"""),"นายวิโรจน์ อับดุลสมัด")</f>
        <v>นายวิโรจน์ อับดุลสมัด</v>
      </c>
      <c r="L1104" s="1" t="str">
        <f>IFERROR(__xludf.DUMMYFUNCTION("""COMPUTED_VALUE"""),"09 K.Wirode A")</f>
        <v>09 K.Wirode A</v>
      </c>
      <c r="M1104" s="1" t="str">
        <f>IFERROR(__xludf.DUMMYFUNCTION("""COMPUTED_VALUE"""),"080-235-4465")</f>
        <v>080-235-4465</v>
      </c>
      <c r="N1104" s="3">
        <f>IFERROR(__xludf.DUMMYFUNCTION("""COMPUTED_VALUE"""),21324.0)</f>
        <v>21324</v>
      </c>
      <c r="O1104" s="3" t="str">
        <f>IFERROR(__xludf.DUMMYFUNCTION("""COMPUTED_VALUE"""),"MBC BCP สุวินทวงศ์")</f>
        <v>MBC BCP สุวินทวงศ์</v>
      </c>
      <c r="P1104" s="4">
        <f>IFERROR(__xludf.DUMMYFUNCTION("""COMPUTED_VALUE"""),43860.0)</f>
        <v>43860</v>
      </c>
      <c r="Q1104" s="3" t="str">
        <f>IFERROR(__xludf.DUMMYFUNCTION("""COMPUTED_VALUE"""),"I")</f>
        <v>I</v>
      </c>
      <c r="R1104" s="3" t="str">
        <f>IFERROR(__xludf.DUMMYFUNCTION("""COMPUTED_VALUE"""),"Small Format")</f>
        <v>Small Format</v>
      </c>
      <c r="S1104" s="3" t="str">
        <f>IFERROR(__xludf.DUMMYFUNCTION("""COMPUTED_VALUE"""),"BCM")</f>
        <v>BCM</v>
      </c>
      <c r="T1104" s="3" t="str">
        <f>IFERROR(__xludf.DUMMYFUNCTION("""COMPUTED_VALUE"""),"#N/A")</f>
        <v>#N/A</v>
      </c>
      <c r="U1104" s="3" t="str">
        <f>IFERROR(__xludf.DUMMYFUNCTION("""COMPUTED_VALUE"""),"#N/A")</f>
        <v>#N/A</v>
      </c>
      <c r="V1104" s="3" t="str">
        <f>IFERROR(__xludf.DUMMYFUNCTION("""COMPUTED_VALUE"""),"N")</f>
        <v>N</v>
      </c>
      <c r="W1104" s="3">
        <f>IFERROR(__xludf.DUMMYFUNCTION("""COMPUTED_VALUE"""),211875.0)</f>
        <v>211875</v>
      </c>
      <c r="X1104" s="3" t="str">
        <f>IFERROR(__xludf.DUMMYFUNCTION("""COMPUTED_VALUE"""),"81,81/1-2 ถนนเพิ่มสิน แขวงออเงิน เขตสายไหม กรุงเทพมหานคร 10220")</f>
        <v>81,81/1-2 ถนนเพิ่มสิน แขวงออเงิน เขตสายไหม กรุงเทพมหานคร 10220</v>
      </c>
      <c r="Y1104" s="3" t="str">
        <f>IFERROR(__xludf.DUMMYFUNCTION("""COMPUTED_VALUE"""),"ถนนเพิ่มสิน")</f>
        <v>ถนนเพิ่มสิน</v>
      </c>
      <c r="Z1104" s="3" t="str">
        <f>IFERROR(__xludf.DUMMYFUNCTION("""COMPUTED_VALUE"""),"ออเงิน")</f>
        <v>ออเงิน</v>
      </c>
      <c r="AA1104" s="3" t="str">
        <f>IFERROR(__xludf.DUMMYFUNCTION("""COMPUTED_VALUE"""),"สายไหม")</f>
        <v>สายไหม</v>
      </c>
      <c r="AB1104" s="3" t="str">
        <f>IFERROR(__xludf.DUMMYFUNCTION("""COMPUTED_VALUE"""),"กรุงเทพมหานคร")</f>
        <v>กรุงเทพมหานคร</v>
      </c>
      <c r="AC1104" s="3">
        <f>IFERROR(__xludf.DUMMYFUNCTION("""COMPUTED_VALUE"""),10220.0)</f>
        <v>10220</v>
      </c>
      <c r="AD1104" s="3">
        <f>IFERROR(__xludf.DUMMYFUNCTION("""COMPUTED_VALUE"""),13.902973)</f>
        <v>13.902973</v>
      </c>
      <c r="AE1104" s="3">
        <f>IFERROR(__xludf.DUMMYFUNCTION("""COMPUTED_VALUE"""),100.661113)</f>
        <v>100.661113</v>
      </c>
      <c r="AF1104" s="3" t="str">
        <f>IFERROR(__xludf.DUMMYFUNCTION("""COMPUTED_VALUE"""),"MBC เพิ่มสิน 64 กรุงเทพมหานคร-21876")</f>
        <v>MBC เพิ่มสิน 64 กรุงเทพมหานคร-21876</v>
      </c>
      <c r="AG1104" s="3" t="str">
        <f>IFERROR(__xludf.DUMMYFUNCTION("""COMPUTED_VALUE"""),"กลาง")</f>
        <v>กลาง</v>
      </c>
      <c r="AH1104" s="3" t="str">
        <f>IFERROR(__xludf.DUMMYFUNCTION("""COMPUTED_VALUE"""),"#N/A")</f>
        <v>#N/A</v>
      </c>
      <c r="AI1104" s="3" t="str">
        <f>IFERROR(__xludf.DUMMYFUNCTION("""COMPUTED_VALUE"""),"Out of warranty")</f>
        <v>Out of warranty</v>
      </c>
      <c r="AJ1104" s="3">
        <f>IFERROR(__xludf.DUMMYFUNCTION("""COMPUTED_VALUE"""),72.0)</f>
        <v>72</v>
      </c>
      <c r="AK1104" s="3"/>
      <c r="AL1104" s="3"/>
    </row>
    <row r="1105" ht="15.75" customHeight="1">
      <c r="A1105" s="1" t="str">
        <f>IFERROR(__xludf.DUMMYFUNCTION("""COMPUTED_VALUE"""),"21877")</f>
        <v>21877</v>
      </c>
      <c r="B1105" s="2">
        <f>IFERROR(__xludf.DUMMYFUNCTION("""COMPUTED_VALUE"""),21877.0)</f>
        <v>21877</v>
      </c>
      <c r="C1105" s="3" t="str">
        <f>IFERROR(__xludf.DUMMYFUNCTION("""COMPUTED_VALUE"""),"MBC ตลาดสดรุ่งโรจน์ กระบี่")</f>
        <v>MBC ตลาดสดรุ่งโรจน์ กระบี่</v>
      </c>
      <c r="D1105" s="3" t="str">
        <f>IFERROR(__xludf.DUMMYFUNCTION("""COMPUTED_VALUE"""),"BCM TALAD SOT RUNGROJ, KRABI")</f>
        <v>BCM TALAD SOT RUNGROJ, KRABI</v>
      </c>
      <c r="E1105" s="1" t="str">
        <f>IFERROR(__xludf.DUMMYFUNCTION("""COMPUTED_VALUE"""),"บิ๊กซี MINI")</f>
        <v>บิ๊กซี MINI</v>
      </c>
      <c r="F1105" s="1" t="str">
        <f>IFERROR(__xludf.DUMMYFUNCTION("""COMPUTED_VALUE"""),"250760")</f>
        <v>250760</v>
      </c>
      <c r="G1105" s="1" t="str">
        <f>IFERROR(__xludf.DUMMYFUNCTION("""COMPUTED_VALUE"""),"นายประทวน สาราบรรณ์")</f>
        <v>นายประทวน สาราบรรณ์</v>
      </c>
      <c r="H1105" s="1" t="str">
        <f>IFERROR(__xludf.DUMMYFUNCTION("""COMPUTED_VALUE"""),"394143")</f>
        <v>394143</v>
      </c>
      <c r="I1105" s="1" t="str">
        <f>IFERROR(__xludf.DUMMYFUNCTION("""COMPUTED_VALUE"""),"นายวิษณุ เพชรหัตถ์")</f>
        <v>นายวิษณุ เพชรหัตถ์</v>
      </c>
      <c r="J1105" s="3">
        <f>IFERROR(__xludf.DUMMYFUNCTION("""COMPUTED_VALUE"""),2.0470331E7)</f>
        <v>20470331</v>
      </c>
      <c r="K1105" s="3" t="str">
        <f>IFERROR(__xludf.DUMMYFUNCTION("""COMPUTED_VALUE"""),"นายสมชาย ลักษณะสุวรรณ")</f>
        <v>นายสมชาย ลักษณะสุวรรณ</v>
      </c>
      <c r="L1105" s="1" t="str">
        <f>IFERROR(__xludf.DUMMYFUNCTION("""COMPUTED_VALUE"""),"15 K.Somchai L")</f>
        <v>15 K.Somchai L</v>
      </c>
      <c r="M1105" s="1" t="str">
        <f>IFERROR(__xludf.DUMMYFUNCTION("""COMPUTED_VALUE"""),"0655107372")</f>
        <v>0655107372</v>
      </c>
      <c r="N1105" s="3">
        <f>IFERROR(__xludf.DUMMYFUNCTION("""COMPUTED_VALUE"""),21723.0)</f>
        <v>21723</v>
      </c>
      <c r="O1105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105" s="4">
        <f>IFERROR(__xludf.DUMMYFUNCTION("""COMPUTED_VALUE"""),43736.0)</f>
        <v>43736</v>
      </c>
      <c r="Q1105" s="3" t="str">
        <f>IFERROR(__xludf.DUMMYFUNCTION("""COMPUTED_VALUE"""),"A")</f>
        <v>A</v>
      </c>
      <c r="R1105" s="3" t="str">
        <f>IFERROR(__xludf.DUMMYFUNCTION("""COMPUTED_VALUE"""),"Small Format")</f>
        <v>Small Format</v>
      </c>
      <c r="S1105" s="3" t="str">
        <f>IFERROR(__xludf.DUMMYFUNCTION("""COMPUTED_VALUE"""),"BCM")</f>
        <v>BCM</v>
      </c>
      <c r="T1105" s="3" t="str">
        <f>IFERROR(__xludf.DUMMYFUNCTION("""COMPUTED_VALUE"""),"#N/A")</f>
        <v>#N/A</v>
      </c>
      <c r="U1105" s="3" t="str">
        <f>IFERROR(__xludf.DUMMYFUNCTION("""COMPUTED_VALUE"""),"#N/A")</f>
        <v>#N/A</v>
      </c>
      <c r="V1105" s="3" t="str">
        <f>IFERROR(__xludf.DUMMYFUNCTION("""COMPUTED_VALUE"""),"N")</f>
        <v>N</v>
      </c>
      <c r="W1105" s="3">
        <f>IFERROR(__xludf.DUMMYFUNCTION("""COMPUTED_VALUE"""),211929.0)</f>
        <v>211929</v>
      </c>
      <c r="X1105" s="3" t="str">
        <f>IFERROR(__xludf.DUMMYFUNCTION("""COMPUTED_VALUE"""),"235 หมู่2 ถนนเพชรเกษม ตำบลเหนือคลอง อำเภอเหนือคลอง จังหวัดกระบี่ 81130")</f>
        <v>235 หมู่2 ถนนเพชรเกษม ตำบลเหนือคลอง อำเภอเหนือคลอง จังหวัดกระบี่ 81130</v>
      </c>
      <c r="Y1105" s="3"/>
      <c r="Z1105" s="3" t="str">
        <f>IFERROR(__xludf.DUMMYFUNCTION("""COMPUTED_VALUE"""),"เหนือคลอง")</f>
        <v>เหนือคลอง</v>
      </c>
      <c r="AA1105" s="3" t="str">
        <f>IFERROR(__xludf.DUMMYFUNCTION("""COMPUTED_VALUE"""),"เหนือคลอง")</f>
        <v>เหนือคลอง</v>
      </c>
      <c r="AB1105" s="3" t="str">
        <f>IFERROR(__xludf.DUMMYFUNCTION("""COMPUTED_VALUE"""),"กระบี่")</f>
        <v>กระบี่</v>
      </c>
      <c r="AC1105" s="3">
        <f>IFERROR(__xludf.DUMMYFUNCTION("""COMPUTED_VALUE"""),81130.0)</f>
        <v>81130</v>
      </c>
      <c r="AD1105" s="3">
        <f>IFERROR(__xludf.DUMMYFUNCTION("""COMPUTED_VALUE"""),8.068822)</f>
        <v>8.068822</v>
      </c>
      <c r="AE1105" s="3">
        <f>IFERROR(__xludf.DUMMYFUNCTION("""COMPUTED_VALUE"""),98.999642)</f>
        <v>98.999642</v>
      </c>
      <c r="AF1105" s="3" t="str">
        <f>IFERROR(__xludf.DUMMYFUNCTION("""COMPUTED_VALUE"""),"MBC ตลาดสดรุ่งโรจน์ กระบี่-21877")</f>
        <v>MBC ตลาดสดรุ่งโรจน์ กระบี่-21877</v>
      </c>
      <c r="AG1105" s="3" t="str">
        <f>IFERROR(__xludf.DUMMYFUNCTION("""COMPUTED_VALUE"""),"ใต้")</f>
        <v>ใต้</v>
      </c>
      <c r="AH1105" s="3" t="str">
        <f>IFERROR(__xludf.DUMMYFUNCTION("""COMPUTED_VALUE"""),"#N/A")</f>
        <v>#N/A</v>
      </c>
      <c r="AI1105" s="3" t="str">
        <f>IFERROR(__xludf.DUMMYFUNCTION("""COMPUTED_VALUE"""),"Out of warranty")</f>
        <v>Out of warranty</v>
      </c>
      <c r="AJ1105" s="3">
        <f>IFERROR(__xludf.DUMMYFUNCTION("""COMPUTED_VALUE"""),76.0)</f>
        <v>76</v>
      </c>
      <c r="AK1105" s="3" t="str">
        <f>IFERROR(__xludf.DUMMYFUNCTION("""COMPUTED_VALUE"""),"MMS15")</f>
        <v>MMS15</v>
      </c>
      <c r="AL1105" s="3"/>
    </row>
    <row r="1106" ht="15.75" customHeight="1">
      <c r="A1106" s="1" t="str">
        <f>IFERROR(__xludf.DUMMYFUNCTION("""COMPUTED_VALUE"""),"21878")</f>
        <v>21878</v>
      </c>
      <c r="B1106" s="2">
        <f>IFERROR(__xludf.DUMMYFUNCTION("""COMPUTED_VALUE"""),21878.0)</f>
        <v>21878</v>
      </c>
      <c r="C1106" s="3" t="str">
        <f>IFERROR(__xludf.DUMMYFUNCTION("""COMPUTED_VALUE"""),"MBC ชุมชนหนองหว้าชลบุรี")</f>
        <v>MBC ชุมชนหนองหว้าชลบุรี</v>
      </c>
      <c r="D1106" s="3" t="str">
        <f>IFERROR(__xludf.DUMMYFUNCTION("""COMPUTED_VALUE"""),"BCM CHUMCHON NONGWA")</f>
        <v>BCM CHUMCHON NONGWA</v>
      </c>
      <c r="E1106" s="1" t="str">
        <f>IFERROR(__xludf.DUMMYFUNCTION("""COMPUTED_VALUE"""),"บิ๊กซี MINI")</f>
        <v>บิ๊กซี MINI</v>
      </c>
      <c r="F1106" s="1" t="str">
        <f>IFERROR(__xludf.DUMMYFUNCTION("""COMPUTED_VALUE"""),"221716")</f>
        <v>221716</v>
      </c>
      <c r="G1106" s="1" t="str">
        <f>IFERROR(__xludf.DUMMYFUNCTION("""COMPUTED_VALUE"""),"น.ส.เบญจพร โพธิสาร")</f>
        <v>น.ส.เบญจพร โพธิสาร</v>
      </c>
      <c r="H1106" s="1" t="str">
        <f>IFERROR(__xludf.DUMMYFUNCTION("""COMPUTED_VALUE"""),"376139")</f>
        <v>376139</v>
      </c>
      <c r="I1106" s="1" t="str">
        <f>IFERROR(__xludf.DUMMYFUNCTION("""COMPUTED_VALUE"""),"นายอนุชา อำไพ")</f>
        <v>นายอนุชา อำไพ</v>
      </c>
      <c r="J1106" s="3">
        <f>IFERROR(__xludf.DUMMYFUNCTION("""COMPUTED_VALUE"""),296942.0)</f>
        <v>296942</v>
      </c>
      <c r="K1106" s="3" t="str">
        <f>IFERROR(__xludf.DUMMYFUNCTION("""COMPUTED_VALUE"""),"นายปิยะ รักษากิจ")</f>
        <v>นายปิยะ รักษากิจ</v>
      </c>
      <c r="L1106" s="1" t="str">
        <f>IFERROR(__xludf.DUMMYFUNCTION("""COMPUTED_VALUE"""),"07 K.Piya R.")</f>
        <v>07 K.Piya R.</v>
      </c>
      <c r="M1106" s="1" t="str">
        <f>IFERROR(__xludf.DUMMYFUNCTION("""COMPUTED_VALUE"""),"097-919-5476")</f>
        <v>097-919-5476</v>
      </c>
      <c r="N1106" s="3">
        <f>IFERROR(__xludf.DUMMYFUNCTION("""COMPUTED_VALUE"""),21332.0)</f>
        <v>21332</v>
      </c>
      <c r="O1106" s="3" t="str">
        <f>IFERROR(__xludf.DUMMYFUNCTION("""COMPUTED_VALUE"""),"MBC BCP อ่อนนุช 17/1")</f>
        <v>MBC BCP อ่อนนุช 17/1</v>
      </c>
      <c r="P1106" s="4">
        <f>IFERROR(__xludf.DUMMYFUNCTION("""COMPUTED_VALUE"""),43697.0)</f>
        <v>43697</v>
      </c>
      <c r="Q1106" s="3" t="str">
        <f>IFERROR(__xludf.DUMMYFUNCTION("""COMPUTED_VALUE"""),"A")</f>
        <v>A</v>
      </c>
      <c r="R1106" s="3" t="str">
        <f>IFERROR(__xludf.DUMMYFUNCTION("""COMPUTED_VALUE"""),"Small Format")</f>
        <v>Small Format</v>
      </c>
      <c r="S1106" s="3" t="str">
        <f>IFERROR(__xludf.DUMMYFUNCTION("""COMPUTED_VALUE"""),"BCM")</f>
        <v>BCM</v>
      </c>
      <c r="T1106" s="3" t="str">
        <f>IFERROR(__xludf.DUMMYFUNCTION("""COMPUTED_VALUE"""),"#N/A")</f>
        <v>#N/A</v>
      </c>
      <c r="U1106" s="3" t="str">
        <f>IFERROR(__xludf.DUMMYFUNCTION("""COMPUTED_VALUE"""),"#N/A")</f>
        <v>#N/A</v>
      </c>
      <c r="V1106" s="3" t="str">
        <f>IFERROR(__xludf.DUMMYFUNCTION("""COMPUTED_VALUE"""),"N")</f>
        <v>N</v>
      </c>
      <c r="W1106" s="3">
        <f>IFERROR(__xludf.DUMMYFUNCTION("""COMPUTED_VALUE"""),211880.0)</f>
        <v>211880</v>
      </c>
      <c r="X1106" s="3" t="str">
        <f>IFERROR(__xludf.DUMMYFUNCTION("""COMPUTED_VALUE"""),"290/116 หมู่7 ตำบลบึง อำเภอศรีราชา จังหวัดชลบุรี 20230")</f>
        <v>290/116 หมู่7 ตำบลบึง อำเภอศรีราชา จังหวัดชลบุรี 20230</v>
      </c>
      <c r="Y1106" s="3"/>
      <c r="Z1106" s="3" t="str">
        <f>IFERROR(__xludf.DUMMYFUNCTION("""COMPUTED_VALUE"""),"บึง")</f>
        <v>บึง</v>
      </c>
      <c r="AA1106" s="3" t="str">
        <f>IFERROR(__xludf.DUMMYFUNCTION("""COMPUTED_VALUE"""),"ศรีราชา")</f>
        <v>ศรีราชา</v>
      </c>
      <c r="AB1106" s="3" t="str">
        <f>IFERROR(__xludf.DUMMYFUNCTION("""COMPUTED_VALUE"""),"ชลบุรี")</f>
        <v>ชลบุรี</v>
      </c>
      <c r="AC1106" s="3">
        <f>IFERROR(__xludf.DUMMYFUNCTION("""COMPUTED_VALUE"""),20230.0)</f>
        <v>20230</v>
      </c>
      <c r="AD1106" s="3">
        <f>IFERROR(__xludf.DUMMYFUNCTION("""COMPUTED_VALUE"""),13.075662)</f>
        <v>13.075662</v>
      </c>
      <c r="AE1106" s="3">
        <f>IFERROR(__xludf.DUMMYFUNCTION("""COMPUTED_VALUE"""),101.018482)</f>
        <v>101.018482</v>
      </c>
      <c r="AF1106" s="3" t="str">
        <f>IFERROR(__xludf.DUMMYFUNCTION("""COMPUTED_VALUE"""),"MBC ชุมชนหนองหว้าชลบุรี-21878")</f>
        <v>MBC ชุมชนหนองหว้าชลบุรี-21878</v>
      </c>
      <c r="AG1106" s="3" t="str">
        <f>IFERROR(__xludf.DUMMYFUNCTION("""COMPUTED_VALUE"""),"ตะวันออก")</f>
        <v>ตะวันออก</v>
      </c>
      <c r="AH1106" s="3" t="str">
        <f>IFERROR(__xludf.DUMMYFUNCTION("""COMPUTED_VALUE"""),"#N/A")</f>
        <v>#N/A</v>
      </c>
      <c r="AI1106" s="3" t="str">
        <f>IFERROR(__xludf.DUMMYFUNCTION("""COMPUTED_VALUE"""),"Out of warranty")</f>
        <v>Out of warranty</v>
      </c>
      <c r="AJ1106" s="3">
        <f>IFERROR(__xludf.DUMMYFUNCTION("""COMPUTED_VALUE"""),78.0)</f>
        <v>78</v>
      </c>
      <c r="AK1106" s="3" t="str">
        <f>IFERROR(__xludf.DUMMYFUNCTION("""COMPUTED_VALUE"""),"MMS07")</f>
        <v>MMS07</v>
      </c>
      <c r="AL1106" s="3"/>
    </row>
    <row r="1107" ht="15.75" customHeight="1">
      <c r="A1107" s="1" t="str">
        <f>IFERROR(__xludf.DUMMYFUNCTION("""COMPUTED_VALUE"""),"21879")</f>
        <v>21879</v>
      </c>
      <c r="B1107" s="2">
        <f>IFERROR(__xludf.DUMMYFUNCTION("""COMPUTED_VALUE"""),21879.0)</f>
        <v>21879</v>
      </c>
      <c r="C1107" s="3" t="str">
        <f>IFERROR(__xludf.DUMMYFUNCTION("""COMPUTED_VALUE"""),"MBC ไชยวาน อุดรธานี")</f>
        <v>MBC ไชยวาน อุดรธานี</v>
      </c>
      <c r="D1107" s="3" t="str">
        <f>IFERROR(__xludf.DUMMYFUNCTION("""COMPUTED_VALUE"""),"BCM CHAI WAN,UDONTHANI")</f>
        <v>BCM CHAI WAN,UDONTHANI</v>
      </c>
      <c r="E1107" s="1" t="str">
        <f>IFERROR(__xludf.DUMMYFUNCTION("""COMPUTED_VALUE"""),"บิ๊กซี MINI")</f>
        <v>บิ๊กซี MINI</v>
      </c>
      <c r="F1107" s="1" t="str">
        <f>IFERROR(__xludf.DUMMYFUNCTION("""COMPUTED_VALUE"""),"291105")</f>
        <v>291105</v>
      </c>
      <c r="G1107" s="1" t="str">
        <f>IFERROR(__xludf.DUMMYFUNCTION("""COMPUTED_VALUE"""),"นายสราวุฒิ พณิชยกุล")</f>
        <v>นายสราวุฒิ พณิชยกุล</v>
      </c>
      <c r="H1107" s="1" t="str">
        <f>IFERROR(__xludf.DUMMYFUNCTION("""COMPUTED_VALUE"""),"392885")</f>
        <v>392885</v>
      </c>
      <c r="I1107" s="1" t="str">
        <f>IFERROR(__xludf.DUMMYFUNCTION("""COMPUTED_VALUE"""),"น.ส.วราพร จันปลิว")</f>
        <v>น.ส.วราพร จันปลิว</v>
      </c>
      <c r="J1107" s="3">
        <f>IFERROR(__xludf.DUMMYFUNCTION("""COMPUTED_VALUE"""),296868.0)</f>
        <v>296868</v>
      </c>
      <c r="K1107" s="3" t="str">
        <f>IFERROR(__xludf.DUMMYFUNCTION("""COMPUTED_VALUE"""),"นายพีระพงษ์ แก้วดวงดี")</f>
        <v>นายพีระพงษ์ แก้วดวงดี</v>
      </c>
      <c r="L1107" s="1" t="str">
        <f>IFERROR(__xludf.DUMMYFUNCTION("""COMPUTED_VALUE"""),"03 K.Peerapong K.")</f>
        <v>03 K.Peerapong K.</v>
      </c>
      <c r="M1107" s="1" t="str">
        <f>IFERROR(__xludf.DUMMYFUNCTION("""COMPUTED_VALUE"""),"089-002-6599")</f>
        <v>089-002-6599</v>
      </c>
      <c r="N1107" s="3">
        <f>IFERROR(__xludf.DUMMYFUNCTION("""COMPUTED_VALUE"""),21946.0)</f>
        <v>21946</v>
      </c>
      <c r="O1107" s="3" t="str">
        <f>IFERROR(__xludf.DUMMYFUNCTION("""COMPUTED_VALUE"""),"MBC เซกา บึงกาฬ")</f>
        <v>MBC เซกา บึงกาฬ</v>
      </c>
      <c r="P1107" s="4">
        <f>IFERROR(__xludf.DUMMYFUNCTION("""COMPUTED_VALUE"""),43718.0)</f>
        <v>43718</v>
      </c>
      <c r="Q1107" s="3" t="str">
        <f>IFERROR(__xludf.DUMMYFUNCTION("""COMPUTED_VALUE"""),"A")</f>
        <v>A</v>
      </c>
      <c r="R1107" s="3" t="str">
        <f>IFERROR(__xludf.DUMMYFUNCTION("""COMPUTED_VALUE"""),"Small Format")</f>
        <v>Small Format</v>
      </c>
      <c r="S1107" s="3" t="str">
        <f>IFERROR(__xludf.DUMMYFUNCTION("""COMPUTED_VALUE"""),"BCM")</f>
        <v>BCM</v>
      </c>
      <c r="T1107" s="3" t="str">
        <f>IFERROR(__xludf.DUMMYFUNCTION("""COMPUTED_VALUE"""),"#N/A")</f>
        <v>#N/A</v>
      </c>
      <c r="U1107" s="3" t="str">
        <f>IFERROR(__xludf.DUMMYFUNCTION("""COMPUTED_VALUE"""),"#N/A")</f>
        <v>#N/A</v>
      </c>
      <c r="V1107" s="3" t="str">
        <f>IFERROR(__xludf.DUMMYFUNCTION("""COMPUTED_VALUE"""),"N")</f>
        <v>N</v>
      </c>
      <c r="W1107" s="3">
        <f>IFERROR(__xludf.DUMMYFUNCTION("""COMPUTED_VALUE"""),211915.0)</f>
        <v>211915</v>
      </c>
      <c r="X1107" s="3" t="str">
        <f>IFERROR(__xludf.DUMMYFUNCTION("""COMPUTED_VALUE"""),"111,111/1-3 หมู่12 ตำบลไชยวาน อำเภอไวยวาน จังหวัดอุดรธานี 41290")</f>
        <v>111,111/1-3 หมู่12 ตำบลไชยวาน อำเภอไวยวาน จังหวัดอุดรธานี 41290</v>
      </c>
      <c r="Y1107" s="3"/>
      <c r="Z1107" s="3" t="str">
        <f>IFERROR(__xludf.DUMMYFUNCTION("""COMPUTED_VALUE"""),"ไชยวาน")</f>
        <v>ไชยวาน</v>
      </c>
      <c r="AA1107" s="3" t="str">
        <f>IFERROR(__xludf.DUMMYFUNCTION("""COMPUTED_VALUE"""),"ไวยวาน")</f>
        <v>ไวยวาน</v>
      </c>
      <c r="AB1107" s="3" t="str">
        <f>IFERROR(__xludf.DUMMYFUNCTION("""COMPUTED_VALUE"""),"อุดรธานี")</f>
        <v>อุดรธานี</v>
      </c>
      <c r="AC1107" s="3">
        <f>IFERROR(__xludf.DUMMYFUNCTION("""COMPUTED_VALUE"""),41290.0)</f>
        <v>41290</v>
      </c>
      <c r="AD1107" s="3">
        <f>IFERROR(__xludf.DUMMYFUNCTION("""COMPUTED_VALUE"""),17.296266)</f>
        <v>17.296266</v>
      </c>
      <c r="AE1107" s="3">
        <f>IFERROR(__xludf.DUMMYFUNCTION("""COMPUTED_VALUE"""),103.232777)</f>
        <v>103.232777</v>
      </c>
      <c r="AF1107" s="3" t="str">
        <f>IFERROR(__xludf.DUMMYFUNCTION("""COMPUTED_VALUE"""),"MBC ไชยวาน อุดรธานี-21879")</f>
        <v>MBC ไชยวาน อุดรธานี-21879</v>
      </c>
      <c r="AG1107" s="3" t="str">
        <f>IFERROR(__xludf.DUMMYFUNCTION("""COMPUTED_VALUE"""),"ตะวันออกเฉียงเหนือ")</f>
        <v>ตะวันออกเฉียงเหนือ</v>
      </c>
      <c r="AH1107" s="3" t="str">
        <f>IFERROR(__xludf.DUMMYFUNCTION("""COMPUTED_VALUE"""),"#N/A")</f>
        <v>#N/A</v>
      </c>
      <c r="AI1107" s="3" t="str">
        <f>IFERROR(__xludf.DUMMYFUNCTION("""COMPUTED_VALUE"""),"Out of warranty")</f>
        <v>Out of warranty</v>
      </c>
      <c r="AJ1107" s="3">
        <f>IFERROR(__xludf.DUMMYFUNCTION("""COMPUTED_VALUE"""),77.0)</f>
        <v>77</v>
      </c>
      <c r="AK1107" s="3" t="str">
        <f>IFERROR(__xludf.DUMMYFUNCTION("""COMPUTED_VALUE"""),"MMS12")</f>
        <v>MMS12</v>
      </c>
      <c r="AL1107" s="3"/>
    </row>
    <row r="1108" ht="15.75" customHeight="1">
      <c r="A1108" s="1" t="str">
        <f>IFERROR(__xludf.DUMMYFUNCTION("""COMPUTED_VALUE"""),"21880")</f>
        <v>21880</v>
      </c>
      <c r="B1108" s="2">
        <f>IFERROR(__xludf.DUMMYFUNCTION("""COMPUTED_VALUE"""),21880.0)</f>
        <v>21880</v>
      </c>
      <c r="C1108" s="3" t="str">
        <f>IFERROR(__xludf.DUMMYFUNCTION("""COMPUTED_VALUE"""),"MBC คูเมือง บุรีรัมย์")</f>
        <v>MBC คูเมือง บุรีรัมย์</v>
      </c>
      <c r="D1108" s="3" t="str">
        <f>IFERROR(__xludf.DUMMYFUNCTION("""COMPUTED_VALUE"""),"BCM KHU MUEANG,BURIRAM")</f>
        <v>BCM KHU MUEANG,BURIRAM</v>
      </c>
      <c r="E1108" s="1" t="str">
        <f>IFERROR(__xludf.DUMMYFUNCTION("""COMPUTED_VALUE"""),"บิ๊กซี MINI")</f>
        <v>บิ๊กซี MINI</v>
      </c>
      <c r="F1108" s="1" t="str">
        <f>IFERROR(__xludf.DUMMYFUNCTION("""COMPUTED_VALUE"""),"291100")</f>
        <v>291100</v>
      </c>
      <c r="G1108" s="1" t="str">
        <f>IFERROR(__xludf.DUMMYFUNCTION("""COMPUTED_VALUE"""),"น.ส.จารุณี ฮวบอินทร์")</f>
        <v>น.ส.จารุณี ฮวบอินทร์</v>
      </c>
      <c r="H1108" s="1" t="str">
        <f>IFERROR(__xludf.DUMMYFUNCTION("""COMPUTED_VALUE"""),"228127")</f>
        <v>228127</v>
      </c>
      <c r="I1108" s="1" t="str">
        <f>IFERROR(__xludf.DUMMYFUNCTION("""COMPUTED_VALUE"""),"นายสุวรรณชัย แสงศักดิ์")</f>
        <v>นายสุวรรณชัย แสงศักดิ์</v>
      </c>
      <c r="J1108" s="3">
        <f>IFERROR(__xludf.DUMMYFUNCTION("""COMPUTED_VALUE"""),3510104.0)</f>
        <v>3510104</v>
      </c>
      <c r="K1108" s="3" t="str">
        <f>IFERROR(__xludf.DUMMYFUNCTION("""COMPUTED_VALUE"""),"นายวิโรจน์ อับดุลสมัด")</f>
        <v>นายวิโรจน์ อับดุลสมัด</v>
      </c>
      <c r="L1108" s="1" t="str">
        <f>IFERROR(__xludf.DUMMYFUNCTION("""COMPUTED_VALUE"""),"09 K.Wirode A")</f>
        <v>09 K.Wirode A</v>
      </c>
      <c r="M1108" s="1" t="str">
        <f>IFERROR(__xludf.DUMMYFUNCTION("""COMPUTED_VALUE"""),"080-235-4465")</f>
        <v>080-235-4465</v>
      </c>
      <c r="N1108" s="3">
        <f>IFERROR(__xludf.DUMMYFUNCTION("""COMPUTED_VALUE"""),21465.0)</f>
        <v>21465</v>
      </c>
      <c r="O1108" s="3" t="str">
        <f>IFERROR(__xludf.DUMMYFUNCTION("""COMPUTED_VALUE"""),"MBC สถานีตำรวจอุดร")</f>
        <v>MBC สถานีตำรวจอุดร</v>
      </c>
      <c r="P1108" s="4">
        <f>IFERROR(__xludf.DUMMYFUNCTION("""COMPUTED_VALUE"""),43731.0)</f>
        <v>43731</v>
      </c>
      <c r="Q1108" s="3" t="str">
        <f>IFERROR(__xludf.DUMMYFUNCTION("""COMPUTED_VALUE"""),"I")</f>
        <v>I</v>
      </c>
      <c r="R1108" s="3" t="str">
        <f>IFERROR(__xludf.DUMMYFUNCTION("""COMPUTED_VALUE"""),"Small Format")</f>
        <v>Small Format</v>
      </c>
      <c r="S1108" s="3" t="str">
        <f>IFERROR(__xludf.DUMMYFUNCTION("""COMPUTED_VALUE"""),"BCM")</f>
        <v>BCM</v>
      </c>
      <c r="T1108" s="3" t="str">
        <f>IFERROR(__xludf.DUMMYFUNCTION("""COMPUTED_VALUE"""),"#N/A")</f>
        <v>#N/A</v>
      </c>
      <c r="U1108" s="3" t="str">
        <f>IFERROR(__xludf.DUMMYFUNCTION("""COMPUTED_VALUE"""),"#N/A")</f>
        <v>#N/A</v>
      </c>
      <c r="V1108" s="3" t="str">
        <f>IFERROR(__xludf.DUMMYFUNCTION("""COMPUTED_VALUE"""),"N")</f>
        <v>N</v>
      </c>
      <c r="W1108" s="3">
        <f>IFERROR(__xludf.DUMMYFUNCTION("""COMPUTED_VALUE"""),211885.0)</f>
        <v>211885</v>
      </c>
      <c r="X1108" s="3" t="str">
        <f>IFERROR(__xludf.DUMMYFUNCTION("""COMPUTED_VALUE"""),"421 หมู่10 ตำบลคูเมือง อำเภอคูเมือง จังหวัดบุรีรัมย์ 31190")</f>
        <v>421 หมู่10 ตำบลคูเมือง อำเภอคูเมือง จังหวัดบุรีรัมย์ 31190</v>
      </c>
      <c r="Y1108" s="3"/>
      <c r="Z1108" s="3" t="str">
        <f>IFERROR(__xludf.DUMMYFUNCTION("""COMPUTED_VALUE"""),"คูเมือง")</f>
        <v>คูเมือง</v>
      </c>
      <c r="AA1108" s="3" t="str">
        <f>IFERROR(__xludf.DUMMYFUNCTION("""COMPUTED_VALUE"""),"คูเมือง")</f>
        <v>คูเมือง</v>
      </c>
      <c r="AB1108" s="3" t="str">
        <f>IFERROR(__xludf.DUMMYFUNCTION("""COMPUTED_VALUE"""),"บุรีรัมย์")</f>
        <v>บุรีรัมย์</v>
      </c>
      <c r="AC1108" s="3">
        <f>IFERROR(__xludf.DUMMYFUNCTION("""COMPUTED_VALUE"""),31190.0)</f>
        <v>31190</v>
      </c>
      <c r="AD1108" s="3">
        <f>IFERROR(__xludf.DUMMYFUNCTION("""COMPUTED_VALUE"""),15.271011)</f>
        <v>15.271011</v>
      </c>
      <c r="AE1108" s="3">
        <f>IFERROR(__xludf.DUMMYFUNCTION("""COMPUTED_VALUE"""),102.999412)</f>
        <v>102.999412</v>
      </c>
      <c r="AF1108" s="3" t="str">
        <f>IFERROR(__xludf.DUMMYFUNCTION("""COMPUTED_VALUE"""),"MBC คูเมือง บุรีรัมย์-21880")</f>
        <v>MBC คูเมือง บุรีรัมย์-21880</v>
      </c>
      <c r="AG1108" s="3" t="str">
        <f>IFERROR(__xludf.DUMMYFUNCTION("""COMPUTED_VALUE"""),"ตะวันออกเฉียงเหนือ")</f>
        <v>ตะวันออกเฉียงเหนือ</v>
      </c>
      <c r="AH1108" s="3" t="str">
        <f>IFERROR(__xludf.DUMMYFUNCTION("""COMPUTED_VALUE"""),"#N/A")</f>
        <v>#N/A</v>
      </c>
      <c r="AI1108" s="3" t="str">
        <f>IFERROR(__xludf.DUMMYFUNCTION("""COMPUTED_VALUE"""),"Out of warranty")</f>
        <v>Out of warranty</v>
      </c>
      <c r="AJ1108" s="3">
        <f>IFERROR(__xludf.DUMMYFUNCTION("""COMPUTED_VALUE"""),76.0)</f>
        <v>76</v>
      </c>
      <c r="AK1108" s="3"/>
      <c r="AL1108" s="3"/>
    </row>
    <row r="1109" ht="15.75" customHeight="1">
      <c r="A1109" s="1" t="str">
        <f>IFERROR(__xludf.DUMMYFUNCTION("""COMPUTED_VALUE"""),"21881")</f>
        <v>21881</v>
      </c>
      <c r="B1109" s="2">
        <f>IFERROR(__xludf.DUMMYFUNCTION("""COMPUTED_VALUE"""),21881.0)</f>
        <v>21881</v>
      </c>
      <c r="C1109" s="3" t="str">
        <f>IFERROR(__xludf.DUMMYFUNCTION("""COMPUTED_VALUE"""),"MBC ศรีราชา-หนองยายบู่ชลบุรี")</f>
        <v>MBC ศรีราชา-หนองยายบู่ชลบุรี</v>
      </c>
      <c r="D1109" s="3" t="str">
        <f>IFERROR(__xludf.DUMMYFUNCTION("""COMPUTED_VALUE"""),"BCM SRIRACHA-NONG YAI BU")</f>
        <v>BCM SRIRACHA-NONG YAI BU</v>
      </c>
      <c r="E1109" s="1" t="str">
        <f>IFERROR(__xludf.DUMMYFUNCTION("""COMPUTED_VALUE"""),"บิ๊กซี MINI")</f>
        <v>บิ๊กซี MINI</v>
      </c>
      <c r="F1109" s="1" t="str">
        <f>IFERROR(__xludf.DUMMYFUNCTION("""COMPUTED_VALUE"""),"221716")</f>
        <v>221716</v>
      </c>
      <c r="G1109" s="1" t="str">
        <f>IFERROR(__xludf.DUMMYFUNCTION("""COMPUTED_VALUE"""),"น.ส.เบญจพร โพธิสาร")</f>
        <v>น.ส.เบญจพร โพธิสาร</v>
      </c>
      <c r="H1109" s="1" t="str">
        <f>IFERROR(__xludf.DUMMYFUNCTION("""COMPUTED_VALUE"""),"291061")</f>
        <v>291061</v>
      </c>
      <c r="I1109" s="1" t="str">
        <f>IFERROR(__xludf.DUMMYFUNCTION("""COMPUTED_VALUE"""),"นายสมศักดิ์ เสียงก้อง")</f>
        <v>นายสมศักดิ์ เสียงก้อง</v>
      </c>
      <c r="J1109" s="3">
        <f>IFERROR(__xludf.DUMMYFUNCTION("""COMPUTED_VALUE"""),3510104.0)</f>
        <v>3510104</v>
      </c>
      <c r="K1109" s="3" t="str">
        <f>IFERROR(__xludf.DUMMYFUNCTION("""COMPUTED_VALUE"""),"นายวิโรจน์ อับดุลสมัด")</f>
        <v>นายวิโรจน์ อับดุลสมัด</v>
      </c>
      <c r="L1109" s="1" t="str">
        <f>IFERROR(__xludf.DUMMYFUNCTION("""COMPUTED_VALUE"""),"09 K.Wirode A")</f>
        <v>09 K.Wirode A</v>
      </c>
      <c r="M1109" s="1" t="str">
        <f>IFERROR(__xludf.DUMMYFUNCTION("""COMPUTED_VALUE"""),"080-235-4465")</f>
        <v>080-235-4465</v>
      </c>
      <c r="N1109" s="3">
        <f>IFERROR(__xludf.DUMMYFUNCTION("""COMPUTED_VALUE"""),21324.0)</f>
        <v>21324</v>
      </c>
      <c r="O1109" s="3" t="str">
        <f>IFERROR(__xludf.DUMMYFUNCTION("""COMPUTED_VALUE"""),"MBC BCP สุวินทวงศ์")</f>
        <v>MBC BCP สุวินทวงศ์</v>
      </c>
      <c r="P1109" s="4">
        <f>IFERROR(__xludf.DUMMYFUNCTION("""COMPUTED_VALUE"""),43708.0)</f>
        <v>43708</v>
      </c>
      <c r="Q1109" s="3" t="str">
        <f>IFERROR(__xludf.DUMMYFUNCTION("""COMPUTED_VALUE"""),"I")</f>
        <v>I</v>
      </c>
      <c r="R1109" s="3" t="str">
        <f>IFERROR(__xludf.DUMMYFUNCTION("""COMPUTED_VALUE"""),"Small Format")</f>
        <v>Small Format</v>
      </c>
      <c r="S1109" s="3" t="str">
        <f>IFERROR(__xludf.DUMMYFUNCTION("""COMPUTED_VALUE"""),"BCM")</f>
        <v>BCM</v>
      </c>
      <c r="T1109" s="3" t="str">
        <f>IFERROR(__xludf.DUMMYFUNCTION("""COMPUTED_VALUE"""),"#N/A")</f>
        <v>#N/A</v>
      </c>
      <c r="U1109" s="3" t="str">
        <f>IFERROR(__xludf.DUMMYFUNCTION("""COMPUTED_VALUE"""),"#N/A")</f>
        <v>#N/A</v>
      </c>
      <c r="V1109" s="3" t="str">
        <f>IFERROR(__xludf.DUMMYFUNCTION("""COMPUTED_VALUE"""),"N")</f>
        <v>N</v>
      </c>
      <c r="W1109" s="3">
        <f>IFERROR(__xludf.DUMMYFUNCTION("""COMPUTED_VALUE"""),211879.0)</f>
        <v>211879</v>
      </c>
      <c r="X1109" s="3" t="str">
        <f>IFERROR(__xludf.DUMMYFUNCTION("""COMPUTED_VALUE"""),"117/15 หมู่10 ตำบลหนองขาม อำเภอศรีราชา จังหวัดชลบุรี 20230")</f>
        <v>117/15 หมู่10 ตำบลหนองขาม อำเภอศรีราชา จังหวัดชลบุรี 20230</v>
      </c>
      <c r="Y1109" s="3"/>
      <c r="Z1109" s="3" t="str">
        <f>IFERROR(__xludf.DUMMYFUNCTION("""COMPUTED_VALUE"""),"หนองขาม")</f>
        <v>หนองขาม</v>
      </c>
      <c r="AA1109" s="3" t="str">
        <f>IFERROR(__xludf.DUMMYFUNCTION("""COMPUTED_VALUE"""),"ศรีราชา")</f>
        <v>ศรีราชา</v>
      </c>
      <c r="AB1109" s="3" t="str">
        <f>IFERROR(__xludf.DUMMYFUNCTION("""COMPUTED_VALUE"""),"ชลบุรี")</f>
        <v>ชลบุรี</v>
      </c>
      <c r="AC1109" s="3">
        <f>IFERROR(__xludf.DUMMYFUNCTION("""COMPUTED_VALUE"""),20230.0)</f>
        <v>20230</v>
      </c>
      <c r="AD1109" s="3">
        <f>IFERROR(__xludf.DUMMYFUNCTION("""COMPUTED_VALUE"""),13.1474068)</f>
        <v>13.1474068</v>
      </c>
      <c r="AE1109" s="3">
        <f>IFERROR(__xludf.DUMMYFUNCTION("""COMPUTED_VALUE"""),100.979606)</f>
        <v>100.979606</v>
      </c>
      <c r="AF1109" s="3" t="str">
        <f>IFERROR(__xludf.DUMMYFUNCTION("""COMPUTED_VALUE"""),"MBC ศรีราชา-หนองยายบู่ชลบุรี-21881")</f>
        <v>MBC ศรีราชา-หนองยายบู่ชลบุรี-21881</v>
      </c>
      <c r="AG1109" s="3" t="str">
        <f>IFERROR(__xludf.DUMMYFUNCTION("""COMPUTED_VALUE"""),"ตะวันออก")</f>
        <v>ตะวันออก</v>
      </c>
      <c r="AH1109" s="3" t="str">
        <f>IFERROR(__xludf.DUMMYFUNCTION("""COMPUTED_VALUE"""),"#N/A")</f>
        <v>#N/A</v>
      </c>
      <c r="AI1109" s="3" t="str">
        <f>IFERROR(__xludf.DUMMYFUNCTION("""COMPUTED_VALUE"""),"Out of warranty")</f>
        <v>Out of warranty</v>
      </c>
      <c r="AJ1109" s="3">
        <f>IFERROR(__xludf.DUMMYFUNCTION("""COMPUTED_VALUE"""),77.0)</f>
        <v>77</v>
      </c>
      <c r="AK1109" s="3" t="str">
        <f>IFERROR(__xludf.DUMMYFUNCTION("""COMPUTED_VALUE"""),"MMS06")</f>
        <v>MMS06</v>
      </c>
      <c r="AL1109" s="3"/>
    </row>
    <row r="1110" ht="15.75" customHeight="1">
      <c r="A1110" s="1" t="str">
        <f>IFERROR(__xludf.DUMMYFUNCTION("""COMPUTED_VALUE"""),"21882")</f>
        <v>21882</v>
      </c>
      <c r="B1110" s="2">
        <f>IFERROR(__xludf.DUMMYFUNCTION("""COMPUTED_VALUE"""),21882.0)</f>
        <v>21882</v>
      </c>
      <c r="C1110" s="3" t="str">
        <f>IFERROR(__xludf.DUMMYFUNCTION("""COMPUTED_VALUE"""),"MBC ท่าฉลอม สมุทรสาคร")</f>
        <v>MBC ท่าฉลอม สมุทรสาคร</v>
      </c>
      <c r="D1110" s="3" t="str">
        <f>IFERROR(__xludf.DUMMYFUNCTION("""COMPUTED_VALUE"""),"BCM THA CHALOM,SAMUT SAKHON")</f>
        <v>BCM THA CHALOM,SAMUT SAKHON</v>
      </c>
      <c r="E1110" s="1" t="str">
        <f>IFERROR(__xludf.DUMMYFUNCTION("""COMPUTED_VALUE"""),"บิ๊กซี MINI")</f>
        <v>บิ๊กซี MINI</v>
      </c>
      <c r="F1110" s="1" t="str">
        <f>IFERROR(__xludf.DUMMYFUNCTION("""COMPUTED_VALUE"""),"2083447")</f>
        <v>2083447</v>
      </c>
      <c r="G1110" s="1" t="str">
        <f>IFERROR(__xludf.DUMMYFUNCTION("""COMPUTED_VALUE"""),"นายอนุกูล ศรีลัดดา")</f>
        <v>นายอนุกูล ศรีลัดดา</v>
      </c>
      <c r="H1110" s="1" t="str">
        <f>IFERROR(__xludf.DUMMYFUNCTION("""COMPUTED_VALUE"""),"2455053")</f>
        <v>2455053</v>
      </c>
      <c r="I1110" s="1" t="str">
        <f>IFERROR(__xludf.DUMMYFUNCTION("""COMPUTED_VALUE"""),"นายพันธมิตร โพธิ")</f>
        <v>นายพันธมิตร โพธิ</v>
      </c>
      <c r="J1110" s="3">
        <f>IFERROR(__xludf.DUMMYFUNCTION("""COMPUTED_VALUE"""),2451655.0)</f>
        <v>2451655</v>
      </c>
      <c r="K1110" s="3" t="str">
        <f>IFERROR(__xludf.DUMMYFUNCTION("""COMPUTED_VALUE"""),"นายวิษณุพงษ์ ชินบุตร")</f>
        <v>นายวิษณุพงษ์ ชินบุตร</v>
      </c>
      <c r="L1110" s="1" t="str">
        <f>IFERROR(__xludf.DUMMYFUNCTION("""COMPUTED_VALUE"""),"13 K.Wisanupong Ch")</f>
        <v>13 K.Wisanupong Ch</v>
      </c>
      <c r="M1110" s="1" t="str">
        <f>IFERROR(__xludf.DUMMYFUNCTION("""COMPUTED_VALUE"""),"0843374693")</f>
        <v>0843374693</v>
      </c>
      <c r="N1110" s="3">
        <f>IFERROR(__xludf.DUMMYFUNCTION("""COMPUTED_VALUE"""),22729.0)</f>
        <v>22729</v>
      </c>
      <c r="O1110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110" s="4">
        <f>IFERROR(__xludf.DUMMYFUNCTION("""COMPUTED_VALUE"""),43708.0)</f>
        <v>43708</v>
      </c>
      <c r="Q1110" s="3" t="str">
        <f>IFERROR(__xludf.DUMMYFUNCTION("""COMPUTED_VALUE"""),"A")</f>
        <v>A</v>
      </c>
      <c r="R1110" s="3" t="str">
        <f>IFERROR(__xludf.DUMMYFUNCTION("""COMPUTED_VALUE"""),"Small Format")</f>
        <v>Small Format</v>
      </c>
      <c r="S1110" s="3" t="str">
        <f>IFERROR(__xludf.DUMMYFUNCTION("""COMPUTED_VALUE"""),"BCM")</f>
        <v>BCM</v>
      </c>
      <c r="T1110" s="3" t="str">
        <f>IFERROR(__xludf.DUMMYFUNCTION("""COMPUTED_VALUE"""),"#N/A")</f>
        <v>#N/A</v>
      </c>
      <c r="U1110" s="3" t="str">
        <f>IFERROR(__xludf.DUMMYFUNCTION("""COMPUTED_VALUE"""),"#N/A")</f>
        <v>#N/A</v>
      </c>
      <c r="V1110" s="3" t="str">
        <f>IFERROR(__xludf.DUMMYFUNCTION("""COMPUTED_VALUE"""),"N")</f>
        <v>N</v>
      </c>
      <c r="W1110" s="3">
        <f>IFERROR(__xludf.DUMMYFUNCTION("""COMPUTED_VALUE"""),211902.0)</f>
        <v>211902</v>
      </c>
      <c r="X1110" s="3" t="str">
        <f>IFERROR(__xludf.DUMMYFUNCTION("""COMPUTED_VALUE"""),"705/44 ถนนสุทธิวาตวิถี ตำบลท่าฉลอม อำเภอเมืองสมุทรสาคร จังหวัดสมุทรสาคร 74000")</f>
        <v>705/44 ถนนสุทธิวาตวิถี ตำบลท่าฉลอม อำเภอเมืองสมุทรสาคร จังหวัดสมุทรสาคร 74000</v>
      </c>
      <c r="Y1110" s="3" t="str">
        <f>IFERROR(__xludf.DUMMYFUNCTION("""COMPUTED_VALUE"""),"ถนนสุทธิวาตวิถี")</f>
        <v>ถนนสุทธิวาตวิถี</v>
      </c>
      <c r="Z1110" s="3" t="str">
        <f>IFERROR(__xludf.DUMMYFUNCTION("""COMPUTED_VALUE"""),"ท่าฉลอม")</f>
        <v>ท่าฉลอม</v>
      </c>
      <c r="AA1110" s="3" t="str">
        <f>IFERROR(__xludf.DUMMYFUNCTION("""COMPUTED_VALUE"""),"เมือง")</f>
        <v>เมือง</v>
      </c>
      <c r="AB1110" s="3" t="str">
        <f>IFERROR(__xludf.DUMMYFUNCTION("""COMPUTED_VALUE"""),"สมุทรสาคร")</f>
        <v>สมุทรสาคร</v>
      </c>
      <c r="AC1110" s="3">
        <f>IFERROR(__xludf.DUMMYFUNCTION("""COMPUTED_VALUE"""),74000.0)</f>
        <v>74000</v>
      </c>
      <c r="AD1110" s="3">
        <f>IFERROR(__xludf.DUMMYFUNCTION("""COMPUTED_VALUE"""),13.5439)</f>
        <v>13.5439</v>
      </c>
      <c r="AE1110" s="3">
        <f>IFERROR(__xludf.DUMMYFUNCTION("""COMPUTED_VALUE"""),100.268783)</f>
        <v>100.268783</v>
      </c>
      <c r="AF1110" s="3" t="str">
        <f>IFERROR(__xludf.DUMMYFUNCTION("""COMPUTED_VALUE"""),"MBC ท่าฉลอม สมุทรสาคร-21882")</f>
        <v>MBC ท่าฉลอม สมุทรสาคร-21882</v>
      </c>
      <c r="AG1110" s="3" t="str">
        <f>IFERROR(__xludf.DUMMYFUNCTION("""COMPUTED_VALUE"""),"กลาง")</f>
        <v>กลาง</v>
      </c>
      <c r="AH1110" s="3" t="str">
        <f>IFERROR(__xludf.DUMMYFUNCTION("""COMPUTED_VALUE"""),"#N/A")</f>
        <v>#N/A</v>
      </c>
      <c r="AI1110" s="3" t="str">
        <f>IFERROR(__xludf.DUMMYFUNCTION("""COMPUTED_VALUE"""),"Out of warranty")</f>
        <v>Out of warranty</v>
      </c>
      <c r="AJ1110" s="3">
        <f>IFERROR(__xludf.DUMMYFUNCTION("""COMPUTED_VALUE"""),77.0)</f>
        <v>77</v>
      </c>
      <c r="AK1110" s="3" t="str">
        <f>IFERROR(__xludf.DUMMYFUNCTION("""COMPUTED_VALUE"""),"MMS05")</f>
        <v>MMS05</v>
      </c>
      <c r="AL1110" s="3"/>
    </row>
    <row r="1111" ht="15.75" customHeight="1">
      <c r="A1111" s="1" t="str">
        <f>IFERROR(__xludf.DUMMYFUNCTION("""COMPUTED_VALUE"""),"21883")</f>
        <v>21883</v>
      </c>
      <c r="B1111" s="2">
        <f>IFERROR(__xludf.DUMMYFUNCTION("""COMPUTED_VALUE"""),21883.0)</f>
        <v>21883</v>
      </c>
      <c r="C1111" s="3" t="str">
        <f>IFERROR(__xludf.DUMMYFUNCTION("""COMPUTED_VALUE"""),"MBC บ้านบ่อกาญจนบุรี")</f>
        <v>MBC บ้านบ่อกาญจนบุรี</v>
      </c>
      <c r="D1111" s="3" t="str">
        <f>IFERROR(__xludf.DUMMYFUNCTION("""COMPUTED_VALUE"""),"BCM BAN BO, KANCHANABURI")</f>
        <v>BCM BAN BO, KANCHANABURI</v>
      </c>
      <c r="E1111" s="1" t="str">
        <f>IFERROR(__xludf.DUMMYFUNCTION("""COMPUTED_VALUE"""),"บิ๊กซี MINI")</f>
        <v>บิ๊กซี MINI</v>
      </c>
      <c r="F1111" s="1" t="str">
        <f>IFERROR(__xludf.DUMMYFUNCTION("""COMPUTED_VALUE"""),"2083447")</f>
        <v>2083447</v>
      </c>
      <c r="G1111" s="1" t="str">
        <f>IFERROR(__xludf.DUMMYFUNCTION("""COMPUTED_VALUE"""),"นายอนุกูล ศรีลัดดา")</f>
        <v>นายอนุกูล ศรีลัดดา</v>
      </c>
      <c r="H1111" s="1" t="str">
        <f>IFERROR(__xludf.DUMMYFUNCTION("""COMPUTED_VALUE"""),"391191")</f>
        <v>391191</v>
      </c>
      <c r="I1111" s="1" t="str">
        <f>IFERROR(__xludf.DUMMYFUNCTION("""COMPUTED_VALUE"""),"นายวสันต์ สรงพรมทิพย์")</f>
        <v>นายวสันต์ สรงพรมทิพย์</v>
      </c>
      <c r="J1111" s="3">
        <f>IFERROR(__xludf.DUMMYFUNCTION("""COMPUTED_VALUE"""),2451655.0)</f>
        <v>2451655</v>
      </c>
      <c r="K1111" s="3" t="str">
        <f>IFERROR(__xludf.DUMMYFUNCTION("""COMPUTED_VALUE"""),"นายวิษณุพงษ์ ชินบุตร")</f>
        <v>นายวิษณุพงษ์ ชินบุตร</v>
      </c>
      <c r="L1111" s="1" t="str">
        <f>IFERROR(__xludf.DUMMYFUNCTION("""COMPUTED_VALUE"""),"13 K.Wisanupong Ch")</f>
        <v>13 K.Wisanupong Ch</v>
      </c>
      <c r="M1111" s="1" t="str">
        <f>IFERROR(__xludf.DUMMYFUNCTION("""COMPUTED_VALUE"""),"0843374693")</f>
        <v>0843374693</v>
      </c>
      <c r="N1111" s="3">
        <f>IFERROR(__xludf.DUMMYFUNCTION("""COMPUTED_VALUE"""),22729.0)</f>
        <v>22729</v>
      </c>
      <c r="O1111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111" s="4">
        <f>IFERROR(__xludf.DUMMYFUNCTION("""COMPUTED_VALUE"""),43708.0)</f>
        <v>43708</v>
      </c>
      <c r="Q1111" s="3" t="str">
        <f>IFERROR(__xludf.DUMMYFUNCTION("""COMPUTED_VALUE"""),"A")</f>
        <v>A</v>
      </c>
      <c r="R1111" s="3" t="str">
        <f>IFERROR(__xludf.DUMMYFUNCTION("""COMPUTED_VALUE"""),"Small Format")</f>
        <v>Small Format</v>
      </c>
      <c r="S1111" s="3" t="str">
        <f>IFERROR(__xludf.DUMMYFUNCTION("""COMPUTED_VALUE"""),"BCM")</f>
        <v>BCM</v>
      </c>
      <c r="T1111" s="3" t="str">
        <f>IFERROR(__xludf.DUMMYFUNCTION("""COMPUTED_VALUE"""),"#N/A")</f>
        <v>#N/A</v>
      </c>
      <c r="U1111" s="3" t="str">
        <f>IFERROR(__xludf.DUMMYFUNCTION("""COMPUTED_VALUE"""),"#N/A")</f>
        <v>#N/A</v>
      </c>
      <c r="V1111" s="3" t="str">
        <f>IFERROR(__xludf.DUMMYFUNCTION("""COMPUTED_VALUE"""),"N")</f>
        <v>N</v>
      </c>
      <c r="W1111" s="3">
        <f>IFERROR(__xludf.DUMMYFUNCTION("""COMPUTED_VALUE"""),211877.0)</f>
        <v>211877</v>
      </c>
      <c r="X1111" s="3" t="str">
        <f>IFERROR(__xludf.DUMMYFUNCTION("""COMPUTED_VALUE"""),"13/22 ถนนพัฒากาญจน์ ตำบลปากแพรก อำเภอเมืองกาญจนบุรี จังหวัดกาญจนบุรี 71000")</f>
        <v>13/22 ถนนพัฒากาญจน์ ตำบลปากแพรก อำเภอเมืองกาญจนบุรี จังหวัดกาญจนบุรี 71000</v>
      </c>
      <c r="Y1111" s="3" t="str">
        <f>IFERROR(__xludf.DUMMYFUNCTION("""COMPUTED_VALUE"""),"ถนนพัฒากาญจน์")</f>
        <v>ถนนพัฒากาญจน์</v>
      </c>
      <c r="Z1111" s="3" t="str">
        <f>IFERROR(__xludf.DUMMYFUNCTION("""COMPUTED_VALUE"""),"ปากแพรก")</f>
        <v>ปากแพรก</v>
      </c>
      <c r="AA1111" s="3" t="str">
        <f>IFERROR(__xludf.DUMMYFUNCTION("""COMPUTED_VALUE"""),"เมือง")</f>
        <v>เมือง</v>
      </c>
      <c r="AB1111" s="3" t="str">
        <f>IFERROR(__xludf.DUMMYFUNCTION("""COMPUTED_VALUE"""),"กาญจนบุรี")</f>
        <v>กาญจนบุรี</v>
      </c>
      <c r="AC1111" s="3">
        <f>IFERROR(__xludf.DUMMYFUNCTION("""COMPUTED_VALUE"""),71000.0)</f>
        <v>71000</v>
      </c>
      <c r="AD1111" s="3">
        <f>IFERROR(__xludf.DUMMYFUNCTION("""COMPUTED_VALUE"""),14.011953)</f>
        <v>14.011953</v>
      </c>
      <c r="AE1111" s="3">
        <f>IFERROR(__xludf.DUMMYFUNCTION("""COMPUTED_VALUE"""),99.548042)</f>
        <v>99.548042</v>
      </c>
      <c r="AF1111" s="3" t="str">
        <f>IFERROR(__xludf.DUMMYFUNCTION("""COMPUTED_VALUE"""),"MBC บ้านบ่อกาญจนบุรี-21883")</f>
        <v>MBC บ้านบ่อกาญจนบุรี-21883</v>
      </c>
      <c r="AG1111" s="3" t="str">
        <f>IFERROR(__xludf.DUMMYFUNCTION("""COMPUTED_VALUE"""),"ตะวันตก")</f>
        <v>ตะวันตก</v>
      </c>
      <c r="AH1111" s="3" t="str">
        <f>IFERROR(__xludf.DUMMYFUNCTION("""COMPUTED_VALUE"""),"#N/A")</f>
        <v>#N/A</v>
      </c>
      <c r="AI1111" s="3" t="str">
        <f>IFERROR(__xludf.DUMMYFUNCTION("""COMPUTED_VALUE"""),"Out of warranty")</f>
        <v>Out of warranty</v>
      </c>
      <c r="AJ1111" s="3">
        <f>IFERROR(__xludf.DUMMYFUNCTION("""COMPUTED_VALUE"""),77.0)</f>
        <v>77</v>
      </c>
      <c r="AK1111" s="3" t="str">
        <f>IFERROR(__xludf.DUMMYFUNCTION("""COMPUTED_VALUE"""),"MMS05")</f>
        <v>MMS05</v>
      </c>
      <c r="AL1111" s="3"/>
    </row>
    <row r="1112" ht="15.75" customHeight="1">
      <c r="A1112" s="1" t="str">
        <f>IFERROR(__xludf.DUMMYFUNCTION("""COMPUTED_VALUE"""),"21884")</f>
        <v>21884</v>
      </c>
      <c r="B1112" s="2">
        <f>IFERROR(__xludf.DUMMYFUNCTION("""COMPUTED_VALUE"""),21884.0)</f>
        <v>21884</v>
      </c>
      <c r="C1112" s="3" t="str">
        <f>IFERROR(__xludf.DUMMYFUNCTION("""COMPUTED_VALUE"""),"MBC ตลาดจิรกานต์ นนทบุรี")</f>
        <v>MBC ตลาดจิรกานต์ นนทบุรี</v>
      </c>
      <c r="D1112" s="3" t="str">
        <f>IFERROR(__xludf.DUMMYFUNCTION("""COMPUTED_VALUE"""),"BCM TALAD JIRAKARN,NONTHABURI")</f>
        <v>BCM TALAD JIRAKARN,NONTHABURI</v>
      </c>
      <c r="E1112" s="1" t="str">
        <f>IFERROR(__xludf.DUMMYFUNCTION("""COMPUTED_VALUE"""),"บิ๊กซี MINI")</f>
        <v>บิ๊กซี MINI</v>
      </c>
      <c r="F1112" s="1" t="str">
        <f>IFERROR(__xludf.DUMMYFUNCTION("""COMPUTED_VALUE"""),"291008")</f>
        <v>291008</v>
      </c>
      <c r="G1112" s="1" t="str">
        <f>IFERROR(__xludf.DUMMYFUNCTION("""COMPUTED_VALUE"""),"น.ส.รัชดาพร อีศรัตน์")</f>
        <v>น.ส.รัชดาพร อีศรัตน์</v>
      </c>
      <c r="H1112" s="1" t="str">
        <f>IFERROR(__xludf.DUMMYFUNCTION("""COMPUTED_VALUE"""),"180055")</f>
        <v>180055</v>
      </c>
      <c r="I1112" s="1" t="str">
        <f>IFERROR(__xludf.DUMMYFUNCTION("""COMPUTED_VALUE"""),"น.ส.สุดารัตน์ บุญล้ำ")</f>
        <v>น.ส.สุดารัตน์ บุญล้ำ</v>
      </c>
      <c r="J1112" s="3">
        <f>IFERROR(__xludf.DUMMYFUNCTION("""COMPUTED_VALUE"""),296608.0)</f>
        <v>296608</v>
      </c>
      <c r="K1112" s="3" t="str">
        <f>IFERROR(__xludf.DUMMYFUNCTION("""COMPUTED_VALUE"""),"นายภาคภูมิ เพ็ชรนิล")</f>
        <v>นายภาคภูมิ เพ็ชรนิล</v>
      </c>
      <c r="L1112" s="1" t="str">
        <f>IFERROR(__xludf.DUMMYFUNCTION("""COMPUTED_VALUE"""),"10 K.Phakphoom P.")</f>
        <v>10 K.Phakphoom P.</v>
      </c>
      <c r="M1112" s="1" t="str">
        <f>IFERROR(__xludf.DUMMYFUNCTION("""COMPUTED_VALUE"""),"063-8955329")</f>
        <v>063-8955329</v>
      </c>
      <c r="N1112" s="3">
        <f>IFERROR(__xludf.DUMMYFUNCTION("""COMPUTED_VALUE"""),22584.0)</f>
        <v>22584</v>
      </c>
      <c r="O1112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112" s="4">
        <f>IFERROR(__xludf.DUMMYFUNCTION("""COMPUTED_VALUE"""),43708.0)</f>
        <v>43708</v>
      </c>
      <c r="Q1112" s="3" t="str">
        <f>IFERROR(__xludf.DUMMYFUNCTION("""COMPUTED_VALUE"""),"A")</f>
        <v>A</v>
      </c>
      <c r="R1112" s="3" t="str">
        <f>IFERROR(__xludf.DUMMYFUNCTION("""COMPUTED_VALUE"""),"Small Format")</f>
        <v>Small Format</v>
      </c>
      <c r="S1112" s="3" t="str">
        <f>IFERROR(__xludf.DUMMYFUNCTION("""COMPUTED_VALUE"""),"BCM")</f>
        <v>BCM</v>
      </c>
      <c r="T1112" s="3" t="str">
        <f>IFERROR(__xludf.DUMMYFUNCTION("""COMPUTED_VALUE"""),"#N/A")</f>
        <v>#N/A</v>
      </c>
      <c r="U1112" s="3" t="str">
        <f>IFERROR(__xludf.DUMMYFUNCTION("""COMPUTED_VALUE"""),"#N/A")</f>
        <v>#N/A</v>
      </c>
      <c r="V1112" s="3" t="str">
        <f>IFERROR(__xludf.DUMMYFUNCTION("""COMPUTED_VALUE"""),"N")</f>
        <v>N</v>
      </c>
      <c r="W1112" s="3">
        <f>IFERROR(__xludf.DUMMYFUNCTION("""COMPUTED_VALUE"""),211872.0)</f>
        <v>211872</v>
      </c>
      <c r="X1112" s="3" t="str">
        <f>IFERROR(__xludf.DUMMYFUNCTION("""COMPUTED_VALUE"""),"91 หมู่4 ตำบลไทรน้อย อำเภอไทรน้อย จังหวัดนนทบุรี 11150")</f>
        <v>91 หมู่4 ตำบลไทรน้อย อำเภอไทรน้อย จังหวัดนนทบุรี 11150</v>
      </c>
      <c r="Y1112" s="3"/>
      <c r="Z1112" s="3" t="str">
        <f>IFERROR(__xludf.DUMMYFUNCTION("""COMPUTED_VALUE"""),"ไทรน้อย")</f>
        <v>ไทรน้อย</v>
      </c>
      <c r="AA1112" s="3" t="str">
        <f>IFERROR(__xludf.DUMMYFUNCTION("""COMPUTED_VALUE"""),"ไทรน้อย")</f>
        <v>ไทรน้อย</v>
      </c>
      <c r="AB1112" s="3" t="str">
        <f>IFERROR(__xludf.DUMMYFUNCTION("""COMPUTED_VALUE"""),"นนทบุรี")</f>
        <v>นนทบุรี</v>
      </c>
      <c r="AC1112" s="3">
        <f>IFERROR(__xludf.DUMMYFUNCTION("""COMPUTED_VALUE"""),11150.0)</f>
        <v>11150</v>
      </c>
      <c r="AD1112" s="3">
        <f>IFERROR(__xludf.DUMMYFUNCTION("""COMPUTED_VALUE"""),13.582834)</f>
        <v>13.582834</v>
      </c>
      <c r="AE1112" s="3">
        <f>IFERROR(__xludf.DUMMYFUNCTION("""COMPUTED_VALUE"""),100.200595)</f>
        <v>100.200595</v>
      </c>
      <c r="AF1112" s="3" t="str">
        <f>IFERROR(__xludf.DUMMYFUNCTION("""COMPUTED_VALUE"""),"MBC ตลาดจิรกานต์ นนทบุรี-21884")</f>
        <v>MBC ตลาดจิรกานต์ นนทบุรี-21884</v>
      </c>
      <c r="AG1112" s="3" t="str">
        <f>IFERROR(__xludf.DUMMYFUNCTION("""COMPUTED_VALUE"""),"กลาง")</f>
        <v>กลาง</v>
      </c>
      <c r="AH1112" s="3" t="str">
        <f>IFERROR(__xludf.DUMMYFUNCTION("""COMPUTED_VALUE"""),"#N/A")</f>
        <v>#N/A</v>
      </c>
      <c r="AI1112" s="3" t="str">
        <f>IFERROR(__xludf.DUMMYFUNCTION("""COMPUTED_VALUE"""),"Out of warranty")</f>
        <v>Out of warranty</v>
      </c>
      <c r="AJ1112" s="3">
        <f>IFERROR(__xludf.DUMMYFUNCTION("""COMPUTED_VALUE"""),77.0)</f>
        <v>77</v>
      </c>
      <c r="AK1112" s="3" t="str">
        <f>IFERROR(__xludf.DUMMYFUNCTION("""COMPUTED_VALUE"""),"MMS04")</f>
        <v>MMS04</v>
      </c>
      <c r="AL1112" s="3"/>
    </row>
    <row r="1113" ht="15.75" customHeight="1">
      <c r="A1113" s="1" t="str">
        <f>IFERROR(__xludf.DUMMYFUNCTION("""COMPUTED_VALUE"""),"21885")</f>
        <v>21885</v>
      </c>
      <c r="B1113" s="2">
        <f>IFERROR(__xludf.DUMMYFUNCTION("""COMPUTED_VALUE"""),21885.0)</f>
        <v>21885</v>
      </c>
      <c r="C1113" s="3" t="str">
        <f>IFERROR(__xludf.DUMMYFUNCTION("""COMPUTED_VALUE"""),"MBC หนองมะหาด ระยอง")</f>
        <v>MBC หนองมะหาด ระยอง</v>
      </c>
      <c r="D1113" s="3" t="str">
        <f>IFERROR(__xludf.DUMMYFUNCTION("""COMPUTED_VALUE"""),"BCM NONG MAHAD, RAYONG")</f>
        <v>BCM NONG MAHAD, RAYONG</v>
      </c>
      <c r="E1113" s="1" t="str">
        <f>IFERROR(__xludf.DUMMYFUNCTION("""COMPUTED_VALUE"""),"บิ๊กซี MINI")</f>
        <v>บิ๊กซี MINI</v>
      </c>
      <c r="F1113" s="1" t="str">
        <f>IFERROR(__xludf.DUMMYFUNCTION("""COMPUTED_VALUE"""),"221716")</f>
        <v>221716</v>
      </c>
      <c r="G1113" s="1" t="str">
        <f>IFERROR(__xludf.DUMMYFUNCTION("""COMPUTED_VALUE"""),"น.ส.เบญจพร โพธิสาร")</f>
        <v>น.ส.เบญจพร โพธิสาร</v>
      </c>
      <c r="H1113" s="1" t="str">
        <f>IFERROR(__xludf.DUMMYFUNCTION("""COMPUTED_VALUE"""),"359233")</f>
        <v>359233</v>
      </c>
      <c r="I1113" s="1" t="str">
        <f>IFERROR(__xludf.DUMMYFUNCTION("""COMPUTED_VALUE"""),"น.ส.ปยุดา คำมีอ่อน")</f>
        <v>น.ส.ปยุดา คำมีอ่อน</v>
      </c>
      <c r="J1113" s="3">
        <f>IFERROR(__xludf.DUMMYFUNCTION("""COMPUTED_VALUE"""),3510104.0)</f>
        <v>3510104</v>
      </c>
      <c r="K1113" s="3" t="str">
        <f>IFERROR(__xludf.DUMMYFUNCTION("""COMPUTED_VALUE"""),"นายวิโรจน์ อับดุลสมัด")</f>
        <v>นายวิโรจน์ อับดุลสมัด</v>
      </c>
      <c r="L1113" s="1" t="str">
        <f>IFERROR(__xludf.DUMMYFUNCTION("""COMPUTED_VALUE"""),"09 K.Wirode A")</f>
        <v>09 K.Wirode A</v>
      </c>
      <c r="M1113" s="1" t="str">
        <f>IFERROR(__xludf.DUMMYFUNCTION("""COMPUTED_VALUE"""),"080-235-4465")</f>
        <v>080-235-4465</v>
      </c>
      <c r="N1113" s="3">
        <f>IFERROR(__xludf.DUMMYFUNCTION("""COMPUTED_VALUE"""),21324.0)</f>
        <v>21324</v>
      </c>
      <c r="O1113" s="3" t="str">
        <f>IFERROR(__xludf.DUMMYFUNCTION("""COMPUTED_VALUE"""),"MBC BCP สุวินทวงศ์")</f>
        <v>MBC BCP สุวินทวงศ์</v>
      </c>
      <c r="P1113" s="4">
        <f>IFERROR(__xludf.DUMMYFUNCTION("""COMPUTED_VALUE"""),43708.0)</f>
        <v>43708</v>
      </c>
      <c r="Q1113" s="3" t="str">
        <f>IFERROR(__xludf.DUMMYFUNCTION("""COMPUTED_VALUE"""),"I")</f>
        <v>I</v>
      </c>
      <c r="R1113" s="3" t="str">
        <f>IFERROR(__xludf.DUMMYFUNCTION("""COMPUTED_VALUE"""),"Small Format")</f>
        <v>Small Format</v>
      </c>
      <c r="S1113" s="3" t="str">
        <f>IFERROR(__xludf.DUMMYFUNCTION("""COMPUTED_VALUE"""),"BCM")</f>
        <v>BCM</v>
      </c>
      <c r="T1113" s="3" t="str">
        <f>IFERROR(__xludf.DUMMYFUNCTION("""COMPUTED_VALUE"""),"#N/A")</f>
        <v>#N/A</v>
      </c>
      <c r="U1113" s="3" t="str">
        <f>IFERROR(__xludf.DUMMYFUNCTION("""COMPUTED_VALUE"""),"#N/A")</f>
        <v>#N/A</v>
      </c>
      <c r="V1113" s="3" t="str">
        <f>IFERROR(__xludf.DUMMYFUNCTION("""COMPUTED_VALUE"""),"N")</f>
        <v>N</v>
      </c>
      <c r="W1113" s="3">
        <f>IFERROR(__xludf.DUMMYFUNCTION("""COMPUTED_VALUE"""),211881.0)</f>
        <v>211881</v>
      </c>
      <c r="X1113" s="3" t="str">
        <f>IFERROR(__xludf.DUMMYFUNCTION("""COMPUTED_VALUE"""),"31/1 หมู่3 ตำบลทับมา อำเภอเมืองระยอง จังหวัดระยอง 21000")</f>
        <v>31/1 หมู่3 ตำบลทับมา อำเภอเมืองระยอง จังหวัดระยอง 21000</v>
      </c>
      <c r="Y1113" s="3"/>
      <c r="Z1113" s="3" t="str">
        <f>IFERROR(__xludf.DUMMYFUNCTION("""COMPUTED_VALUE"""),"ทับมา")</f>
        <v>ทับมา</v>
      </c>
      <c r="AA1113" s="3" t="str">
        <f>IFERROR(__xludf.DUMMYFUNCTION("""COMPUTED_VALUE"""),"เมือง")</f>
        <v>เมือง</v>
      </c>
      <c r="AB1113" s="3" t="str">
        <f>IFERROR(__xludf.DUMMYFUNCTION("""COMPUTED_VALUE"""),"ระยอง")</f>
        <v>ระยอง</v>
      </c>
      <c r="AC1113" s="3">
        <f>IFERROR(__xludf.DUMMYFUNCTION("""COMPUTED_VALUE"""),21000.0)</f>
        <v>21000</v>
      </c>
      <c r="AD1113" s="3">
        <f>IFERROR(__xludf.DUMMYFUNCTION("""COMPUTED_VALUE"""),12.696028)</f>
        <v>12.696028</v>
      </c>
      <c r="AE1113" s="3">
        <f>IFERROR(__xludf.DUMMYFUNCTION("""COMPUTED_VALUE"""),101.251944)</f>
        <v>101.251944</v>
      </c>
      <c r="AF1113" s="3" t="str">
        <f>IFERROR(__xludf.DUMMYFUNCTION("""COMPUTED_VALUE"""),"MBC หนองมะหาด ระยอง-21885")</f>
        <v>MBC หนองมะหาด ระยอง-21885</v>
      </c>
      <c r="AG1113" s="3" t="str">
        <f>IFERROR(__xludf.DUMMYFUNCTION("""COMPUTED_VALUE"""),"ตะวันออก")</f>
        <v>ตะวันออก</v>
      </c>
      <c r="AH1113" s="3" t="str">
        <f>IFERROR(__xludf.DUMMYFUNCTION("""COMPUTED_VALUE"""),"#N/A")</f>
        <v>#N/A</v>
      </c>
      <c r="AI1113" s="3" t="str">
        <f>IFERROR(__xludf.DUMMYFUNCTION("""COMPUTED_VALUE"""),"Out of warranty")</f>
        <v>Out of warranty</v>
      </c>
      <c r="AJ1113" s="3">
        <f>IFERROR(__xludf.DUMMYFUNCTION("""COMPUTED_VALUE"""),77.0)</f>
        <v>77</v>
      </c>
      <c r="AK1113" s="3" t="str">
        <f>IFERROR(__xludf.DUMMYFUNCTION("""COMPUTED_VALUE"""),"MMS08")</f>
        <v>MMS08</v>
      </c>
      <c r="AL1113" s="3"/>
    </row>
    <row r="1114" ht="15.75" customHeight="1">
      <c r="A1114" s="1" t="str">
        <f>IFERROR(__xludf.DUMMYFUNCTION("""COMPUTED_VALUE"""),"21886")</f>
        <v>21886</v>
      </c>
      <c r="B1114" s="2">
        <f>IFERROR(__xludf.DUMMYFUNCTION("""COMPUTED_VALUE"""),21886.0)</f>
        <v>21886</v>
      </c>
      <c r="C1114" s="3" t="str">
        <f>IFERROR(__xludf.DUMMYFUNCTION("""COMPUTED_VALUE"""),"MBC บ้านลาดใหญ่ ชัยภูมิ")</f>
        <v>MBC บ้านลาดใหญ่ ชัยภูมิ</v>
      </c>
      <c r="D1114" s="3" t="str">
        <f>IFERROR(__xludf.DUMMYFUNCTION("""COMPUTED_VALUE"""),"BCM BAN LAD YAI,CHAIYAPHUM")</f>
        <v>BCM BAN LAD YAI,CHAIYAPHUM</v>
      </c>
      <c r="E1114" s="1" t="str">
        <f>IFERROR(__xludf.DUMMYFUNCTION("""COMPUTED_VALUE"""),"บิ๊กซี MINI")</f>
        <v>บิ๊กซี MINI</v>
      </c>
      <c r="F1114" s="1" t="str">
        <f>IFERROR(__xludf.DUMMYFUNCTION("""COMPUTED_VALUE"""),"291105")</f>
        <v>291105</v>
      </c>
      <c r="G1114" s="1" t="str">
        <f>IFERROR(__xludf.DUMMYFUNCTION("""COMPUTED_VALUE"""),"นายสราวุฒิ พณิชยกุล")</f>
        <v>นายสราวุฒิ พณิชยกุล</v>
      </c>
      <c r="H1114" s="1" t="str">
        <f>IFERROR(__xludf.DUMMYFUNCTION("""COMPUTED_VALUE"""),"371396")</f>
        <v>371396</v>
      </c>
      <c r="I1114" s="1" t="str">
        <f>IFERROR(__xludf.DUMMYFUNCTION("""COMPUTED_VALUE"""),"น.ส.สุภาวดี วิลัยพร")</f>
        <v>น.ส.สุภาวดี วิลัยพร</v>
      </c>
      <c r="J1114" s="3">
        <f>IFERROR(__xludf.DUMMYFUNCTION("""COMPUTED_VALUE"""),15361.0)</f>
        <v>15361</v>
      </c>
      <c r="K1114" s="3" t="str">
        <f>IFERROR(__xludf.DUMMYFUNCTION("""COMPUTED_VALUE"""),"นายสมบูรณ์ พรหมในเมือง")</f>
        <v>นายสมบูรณ์ พรหมในเมือง</v>
      </c>
      <c r="L1114" s="1" t="str">
        <f>IFERROR(__xludf.DUMMYFUNCTION("""COMPUTED_VALUE"""),"04 K.Somboon P.")</f>
        <v>04 K.Somboon P.</v>
      </c>
      <c r="M1114" s="1" t="str">
        <f>IFERROR(__xludf.DUMMYFUNCTION("""COMPUTED_VALUE"""),"087-965-3051")</f>
        <v>087-965-3051</v>
      </c>
      <c r="N1114" s="3">
        <f>IFERROR(__xludf.DUMMYFUNCTION("""COMPUTED_VALUE"""),21869.0)</f>
        <v>21869</v>
      </c>
      <c r="O1114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114" s="4">
        <f>IFERROR(__xludf.DUMMYFUNCTION("""COMPUTED_VALUE"""),43703.0)</f>
        <v>43703</v>
      </c>
      <c r="Q1114" s="3" t="str">
        <f>IFERROR(__xludf.DUMMYFUNCTION("""COMPUTED_VALUE"""),"A")</f>
        <v>A</v>
      </c>
      <c r="R1114" s="3" t="str">
        <f>IFERROR(__xludf.DUMMYFUNCTION("""COMPUTED_VALUE"""),"Small Format")</f>
        <v>Small Format</v>
      </c>
      <c r="S1114" s="3" t="str">
        <f>IFERROR(__xludf.DUMMYFUNCTION("""COMPUTED_VALUE"""),"BCM")</f>
        <v>BCM</v>
      </c>
      <c r="T1114" s="3" t="str">
        <f>IFERROR(__xludf.DUMMYFUNCTION("""COMPUTED_VALUE"""),"#N/A")</f>
        <v>#N/A</v>
      </c>
      <c r="U1114" s="3" t="str">
        <f>IFERROR(__xludf.DUMMYFUNCTION("""COMPUTED_VALUE"""),"#N/A")</f>
        <v>#N/A</v>
      </c>
      <c r="V1114" s="3" t="str">
        <f>IFERROR(__xludf.DUMMYFUNCTION("""COMPUTED_VALUE"""),"N")</f>
        <v>N</v>
      </c>
      <c r="W1114" s="3">
        <f>IFERROR(__xludf.DUMMYFUNCTION("""COMPUTED_VALUE"""),211845.0)</f>
        <v>211845</v>
      </c>
      <c r="X1114" s="3" t="str">
        <f>IFERROR(__xludf.DUMMYFUNCTION("""COMPUTED_VALUE"""),"225/5 หมู่3 ตำบลลาดใหญ่ อำเภอเมืองชัยภูมิ จังหวัดชัยภูมิ 36000")</f>
        <v>225/5 หมู่3 ตำบลลาดใหญ่ อำเภอเมืองชัยภูมิ จังหวัดชัยภูมิ 36000</v>
      </c>
      <c r="Y1114" s="3"/>
      <c r="Z1114" s="3" t="str">
        <f>IFERROR(__xludf.DUMMYFUNCTION("""COMPUTED_VALUE"""),"ลาดใหญ่")</f>
        <v>ลาดใหญ่</v>
      </c>
      <c r="AA1114" s="3" t="str">
        <f>IFERROR(__xludf.DUMMYFUNCTION("""COMPUTED_VALUE"""),"เมือง")</f>
        <v>เมือง</v>
      </c>
      <c r="AB1114" s="3" t="str">
        <f>IFERROR(__xludf.DUMMYFUNCTION("""COMPUTED_VALUE"""),"ชัยภูมิ")</f>
        <v>ชัยภูมิ</v>
      </c>
      <c r="AC1114" s="3">
        <f>IFERROR(__xludf.DUMMYFUNCTION("""COMPUTED_VALUE"""),36000.0)</f>
        <v>36000</v>
      </c>
      <c r="AD1114" s="3">
        <f>IFERROR(__xludf.DUMMYFUNCTION("""COMPUTED_VALUE"""),15.785179)</f>
        <v>15.785179</v>
      </c>
      <c r="AE1114" s="3">
        <f>IFERROR(__xludf.DUMMYFUNCTION("""COMPUTED_VALUE"""),102.200532)</f>
        <v>102.200532</v>
      </c>
      <c r="AF1114" s="3" t="str">
        <f>IFERROR(__xludf.DUMMYFUNCTION("""COMPUTED_VALUE"""),"MBC บ้านลาดใหญ่ ชัยภูมิ-21886")</f>
        <v>MBC บ้านลาดใหญ่ ชัยภูมิ-21886</v>
      </c>
      <c r="AG1114" s="3" t="str">
        <f>IFERROR(__xludf.DUMMYFUNCTION("""COMPUTED_VALUE"""),"ตะวันออกเฉียงเหนือ")</f>
        <v>ตะวันออกเฉียงเหนือ</v>
      </c>
      <c r="AH1114" s="3" t="str">
        <f>IFERROR(__xludf.DUMMYFUNCTION("""COMPUTED_VALUE"""),"#N/A")</f>
        <v>#N/A</v>
      </c>
      <c r="AI1114" s="3" t="str">
        <f>IFERROR(__xludf.DUMMYFUNCTION("""COMPUTED_VALUE"""),"Out of warranty")</f>
        <v>Out of warranty</v>
      </c>
      <c r="AJ1114" s="3">
        <f>IFERROR(__xludf.DUMMYFUNCTION("""COMPUTED_VALUE"""),77.0)</f>
        <v>77</v>
      </c>
      <c r="AK1114" s="3" t="str">
        <f>IFERROR(__xludf.DUMMYFUNCTION("""COMPUTED_VALUE"""),"MMS11")</f>
        <v>MMS11</v>
      </c>
      <c r="AL1114" s="3"/>
    </row>
    <row r="1115" ht="15.75" customHeight="1">
      <c r="A1115" s="1" t="str">
        <f>IFERROR(__xludf.DUMMYFUNCTION("""COMPUTED_VALUE"""),"21887")</f>
        <v>21887</v>
      </c>
      <c r="B1115" s="2">
        <f>IFERROR(__xludf.DUMMYFUNCTION("""COMPUTED_VALUE"""),21887.0)</f>
        <v>21887</v>
      </c>
      <c r="C1115" s="3" t="str">
        <f>IFERROR(__xludf.DUMMYFUNCTION("""COMPUTED_VALUE"""),"MBC ตลาดวัดธาตุ หนองคาย")</f>
        <v>MBC ตลาดวัดธาตุ หนองคาย</v>
      </c>
      <c r="D1115" s="3" t="str">
        <f>IFERROR(__xludf.DUMMYFUNCTION("""COMPUTED_VALUE"""),"BCM TALAD WAT THAT,NONG KHAI")</f>
        <v>BCM TALAD WAT THAT,NONG KHAI</v>
      </c>
      <c r="E1115" s="1" t="str">
        <f>IFERROR(__xludf.DUMMYFUNCTION("""COMPUTED_VALUE"""),"บิ๊กซี MINI")</f>
        <v>บิ๊กซี MINI</v>
      </c>
      <c r="F1115" s="1" t="str">
        <f>IFERROR(__xludf.DUMMYFUNCTION("""COMPUTED_VALUE"""),"291105")</f>
        <v>291105</v>
      </c>
      <c r="G1115" s="1" t="str">
        <f>IFERROR(__xludf.DUMMYFUNCTION("""COMPUTED_VALUE"""),"นายสราวุฒิ พณิชยกุล")</f>
        <v>นายสราวุฒิ พณิชยกุล</v>
      </c>
      <c r="H1115" s="1" t="str">
        <f>IFERROR(__xludf.DUMMYFUNCTION("""COMPUTED_VALUE"""),"392005")</f>
        <v>392005</v>
      </c>
      <c r="I1115" s="1" t="str">
        <f>IFERROR(__xludf.DUMMYFUNCTION("""COMPUTED_VALUE"""),"นายรัฐพล หาญลำยวง")</f>
        <v>นายรัฐพล หาญลำยวง</v>
      </c>
      <c r="J1115" s="3">
        <f>IFERROR(__xludf.DUMMYFUNCTION("""COMPUTED_VALUE"""),296868.0)</f>
        <v>296868</v>
      </c>
      <c r="K1115" s="3" t="str">
        <f>IFERROR(__xludf.DUMMYFUNCTION("""COMPUTED_VALUE"""),"นายพีระพงษ์ แก้วดวงดี")</f>
        <v>นายพีระพงษ์ แก้วดวงดี</v>
      </c>
      <c r="L1115" s="1" t="str">
        <f>IFERROR(__xludf.DUMMYFUNCTION("""COMPUTED_VALUE"""),"03 K.Peerapong K.")</f>
        <v>03 K.Peerapong K.</v>
      </c>
      <c r="M1115" s="1" t="str">
        <f>IFERROR(__xludf.DUMMYFUNCTION("""COMPUTED_VALUE"""),"089-002-6599")</f>
        <v>089-002-6599</v>
      </c>
      <c r="N1115" s="3">
        <f>IFERROR(__xludf.DUMMYFUNCTION("""COMPUTED_VALUE"""),21946.0)</f>
        <v>21946</v>
      </c>
      <c r="O1115" s="3" t="str">
        <f>IFERROR(__xludf.DUMMYFUNCTION("""COMPUTED_VALUE"""),"MBC เซกา บึงกาฬ")</f>
        <v>MBC เซกา บึงกาฬ</v>
      </c>
      <c r="P1115" s="4">
        <f>IFERROR(__xludf.DUMMYFUNCTION("""COMPUTED_VALUE"""),43708.0)</f>
        <v>43708</v>
      </c>
      <c r="Q1115" s="3" t="str">
        <f>IFERROR(__xludf.DUMMYFUNCTION("""COMPUTED_VALUE"""),"A")</f>
        <v>A</v>
      </c>
      <c r="R1115" s="3" t="str">
        <f>IFERROR(__xludf.DUMMYFUNCTION("""COMPUTED_VALUE"""),"Small Format")</f>
        <v>Small Format</v>
      </c>
      <c r="S1115" s="3" t="str">
        <f>IFERROR(__xludf.DUMMYFUNCTION("""COMPUTED_VALUE"""),"BCM")</f>
        <v>BCM</v>
      </c>
      <c r="T1115" s="3" t="str">
        <f>IFERROR(__xludf.DUMMYFUNCTION("""COMPUTED_VALUE"""),"#N/A")</f>
        <v>#N/A</v>
      </c>
      <c r="U1115" s="3" t="str">
        <f>IFERROR(__xludf.DUMMYFUNCTION("""COMPUTED_VALUE"""),"#N/A")</f>
        <v>#N/A</v>
      </c>
      <c r="V1115" s="3" t="str">
        <f>IFERROR(__xludf.DUMMYFUNCTION("""COMPUTED_VALUE"""),"N")</f>
        <v>N</v>
      </c>
      <c r="W1115" s="3">
        <f>IFERROR(__xludf.DUMMYFUNCTION("""COMPUTED_VALUE"""),211916.0)</f>
        <v>211916</v>
      </c>
      <c r="X1115" s="3" t="str">
        <f>IFERROR(__xludf.DUMMYFUNCTION("""COMPUTED_VALUE"""),"333/8-11 หมู่1 ตำบลหาดคำ อำเภอเมืองหนองคาย จังหวัดหนองคาย 43000")</f>
        <v>333/8-11 หมู่1 ตำบลหาดคำ อำเภอเมืองหนองคาย จังหวัดหนองคาย 43000</v>
      </c>
      <c r="Y1115" s="3"/>
      <c r="Z1115" s="3" t="str">
        <f>IFERROR(__xludf.DUMMYFUNCTION("""COMPUTED_VALUE"""),"หาดคำ")</f>
        <v>หาดคำ</v>
      </c>
      <c r="AA1115" s="3" t="str">
        <f>IFERROR(__xludf.DUMMYFUNCTION("""COMPUTED_VALUE"""),"เมือง")</f>
        <v>เมือง</v>
      </c>
      <c r="AB1115" s="3" t="str">
        <f>IFERROR(__xludf.DUMMYFUNCTION("""COMPUTED_VALUE"""),"หนองคาย")</f>
        <v>หนองคาย</v>
      </c>
      <c r="AC1115" s="3">
        <f>IFERROR(__xludf.DUMMYFUNCTION("""COMPUTED_VALUE"""),43000.0)</f>
        <v>43000</v>
      </c>
      <c r="AD1115" s="3">
        <f>IFERROR(__xludf.DUMMYFUNCTION("""COMPUTED_VALUE"""),17.898166)</f>
        <v>17.898166</v>
      </c>
      <c r="AE1115" s="3">
        <f>IFERROR(__xludf.DUMMYFUNCTION("""COMPUTED_VALUE"""),102.770727)</f>
        <v>102.770727</v>
      </c>
      <c r="AF1115" s="3" t="str">
        <f>IFERROR(__xludf.DUMMYFUNCTION("""COMPUTED_VALUE"""),"MBC ตลาดวัดธาตุ หนองคาย-21887")</f>
        <v>MBC ตลาดวัดธาตุ หนองคาย-21887</v>
      </c>
      <c r="AG1115" s="3" t="str">
        <f>IFERROR(__xludf.DUMMYFUNCTION("""COMPUTED_VALUE"""),"ตะวันออกเฉียงเหนือ")</f>
        <v>ตะวันออกเฉียงเหนือ</v>
      </c>
      <c r="AH1115" s="3" t="str">
        <f>IFERROR(__xludf.DUMMYFUNCTION("""COMPUTED_VALUE"""),"#N/A")</f>
        <v>#N/A</v>
      </c>
      <c r="AI1115" s="3" t="str">
        <f>IFERROR(__xludf.DUMMYFUNCTION("""COMPUTED_VALUE"""),"Out of warranty")</f>
        <v>Out of warranty</v>
      </c>
      <c r="AJ1115" s="3">
        <f>IFERROR(__xludf.DUMMYFUNCTION("""COMPUTED_VALUE"""),77.0)</f>
        <v>77</v>
      </c>
      <c r="AK1115" s="3" t="str">
        <f>IFERROR(__xludf.DUMMYFUNCTION("""COMPUTED_VALUE"""),"MMS12")</f>
        <v>MMS12</v>
      </c>
      <c r="AL1115" s="3"/>
    </row>
    <row r="1116" ht="15.75" customHeight="1">
      <c r="A1116" s="1" t="str">
        <f>IFERROR(__xludf.DUMMYFUNCTION("""COMPUTED_VALUE"""),"21888")</f>
        <v>21888</v>
      </c>
      <c r="B1116" s="2">
        <f>IFERROR(__xludf.DUMMYFUNCTION("""COMPUTED_VALUE"""),21888.0)</f>
        <v>21888</v>
      </c>
      <c r="C1116" s="3" t="str">
        <f>IFERROR(__xludf.DUMMYFUNCTION("""COMPUTED_VALUE"""),"MBC สตึก บุรีรัมย์")</f>
        <v>MBC สตึก บุรีรัมย์</v>
      </c>
      <c r="D1116" s="3" t="str">
        <f>IFERROR(__xludf.DUMMYFUNCTION("""COMPUTED_VALUE"""),"BCM SATUEK, BURIRAM")</f>
        <v>BCM SATUEK, BURIRAM</v>
      </c>
      <c r="E1116" s="1" t="str">
        <f>IFERROR(__xludf.DUMMYFUNCTION("""COMPUTED_VALUE"""),"บิ๊กซี MINI")</f>
        <v>บิ๊กซี MINI</v>
      </c>
      <c r="F1116" s="1" t="str">
        <f>IFERROR(__xludf.DUMMYFUNCTION("""COMPUTED_VALUE"""),"291105")</f>
        <v>291105</v>
      </c>
      <c r="G1116" s="1" t="str">
        <f>IFERROR(__xludf.DUMMYFUNCTION("""COMPUTED_VALUE"""),"นายสราวุฒิ พณิชยกุล")</f>
        <v>นายสราวุฒิ พณิชยกุล</v>
      </c>
      <c r="H1116" s="1" t="str">
        <f>IFERROR(__xludf.DUMMYFUNCTION("""COMPUTED_VALUE"""),"398136")</f>
        <v>398136</v>
      </c>
      <c r="I1116" s="1" t="str">
        <f>IFERROR(__xludf.DUMMYFUNCTION("""COMPUTED_VALUE"""),"นายประยูร ธาดาวงษา")</f>
        <v>นายประยูร ธาดาวงษา</v>
      </c>
      <c r="J1116" s="3">
        <f>IFERROR(__xludf.DUMMYFUNCTION("""COMPUTED_VALUE"""),15361.0)</f>
        <v>15361</v>
      </c>
      <c r="K1116" s="3" t="str">
        <f>IFERROR(__xludf.DUMMYFUNCTION("""COMPUTED_VALUE"""),"นายสมบูรณ์ พรหมในเมือง")</f>
        <v>นายสมบูรณ์ พรหมในเมือง</v>
      </c>
      <c r="L1116" s="1" t="str">
        <f>IFERROR(__xludf.DUMMYFUNCTION("""COMPUTED_VALUE"""),"04 K.Somboon P.")</f>
        <v>04 K.Somboon P.</v>
      </c>
      <c r="M1116" s="1" t="str">
        <f>IFERROR(__xludf.DUMMYFUNCTION("""COMPUTED_VALUE"""),"087-965-3051")</f>
        <v>087-965-3051</v>
      </c>
      <c r="N1116" s="3">
        <f>IFERROR(__xludf.DUMMYFUNCTION("""COMPUTED_VALUE"""),21869.0)</f>
        <v>21869</v>
      </c>
      <c r="O1116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116" s="4">
        <f>IFERROR(__xludf.DUMMYFUNCTION("""COMPUTED_VALUE"""),43716.0)</f>
        <v>43716</v>
      </c>
      <c r="Q1116" s="3" t="str">
        <f>IFERROR(__xludf.DUMMYFUNCTION("""COMPUTED_VALUE"""),"A")</f>
        <v>A</v>
      </c>
      <c r="R1116" s="3" t="str">
        <f>IFERROR(__xludf.DUMMYFUNCTION("""COMPUTED_VALUE"""),"Small Format")</f>
        <v>Small Format</v>
      </c>
      <c r="S1116" s="3" t="str">
        <f>IFERROR(__xludf.DUMMYFUNCTION("""COMPUTED_VALUE"""),"BCM")</f>
        <v>BCM</v>
      </c>
      <c r="T1116" s="3" t="str">
        <f>IFERROR(__xludf.DUMMYFUNCTION("""COMPUTED_VALUE"""),"#N/A")</f>
        <v>#N/A</v>
      </c>
      <c r="U1116" s="3" t="str">
        <f>IFERROR(__xludf.DUMMYFUNCTION("""COMPUTED_VALUE"""),"#N/A")</f>
        <v>#N/A</v>
      </c>
      <c r="V1116" s="3" t="str">
        <f>IFERROR(__xludf.DUMMYFUNCTION("""COMPUTED_VALUE"""),"N")</f>
        <v>N</v>
      </c>
      <c r="W1116" s="3">
        <f>IFERROR(__xludf.DUMMYFUNCTION("""COMPUTED_VALUE"""),211930.0)</f>
        <v>211930</v>
      </c>
      <c r="X1116" s="3" t="str">
        <f>IFERROR(__xludf.DUMMYFUNCTION("""COMPUTED_VALUE"""),"418 หมู่16 ตำบลนิคม อำเภอสตึก จังหวัดบุรีรัมย์ 31150")</f>
        <v>418 หมู่16 ตำบลนิคม อำเภอสตึก จังหวัดบุรีรัมย์ 31150</v>
      </c>
      <c r="Y1116" s="3"/>
      <c r="Z1116" s="3" t="str">
        <f>IFERROR(__xludf.DUMMYFUNCTION("""COMPUTED_VALUE"""),"นิคม")</f>
        <v>นิคม</v>
      </c>
      <c r="AA1116" s="3" t="str">
        <f>IFERROR(__xludf.DUMMYFUNCTION("""COMPUTED_VALUE"""),"สตึก")</f>
        <v>สตึก</v>
      </c>
      <c r="AB1116" s="3" t="str">
        <f>IFERROR(__xludf.DUMMYFUNCTION("""COMPUTED_VALUE"""),"บุรีรัมย์")</f>
        <v>บุรีรัมย์</v>
      </c>
      <c r="AC1116" s="3">
        <f>IFERROR(__xludf.DUMMYFUNCTION("""COMPUTED_VALUE"""),31150.0)</f>
        <v>31150</v>
      </c>
      <c r="AD1116" s="3">
        <f>IFERROR(__xludf.DUMMYFUNCTION("""COMPUTED_VALUE"""),15.296055)</f>
        <v>15.296055</v>
      </c>
      <c r="AE1116" s="3">
        <f>IFERROR(__xludf.DUMMYFUNCTION("""COMPUTED_VALUE"""),103.296014)</f>
        <v>103.296014</v>
      </c>
      <c r="AF1116" s="3" t="str">
        <f>IFERROR(__xludf.DUMMYFUNCTION("""COMPUTED_VALUE"""),"MBC สตึก บุรีรัมย์-21888")</f>
        <v>MBC สตึก บุรีรัมย์-21888</v>
      </c>
      <c r="AG1116" s="3" t="str">
        <f>IFERROR(__xludf.DUMMYFUNCTION("""COMPUTED_VALUE"""),"ตะวันออกเฉียงเหนือ")</f>
        <v>ตะวันออกเฉียงเหนือ</v>
      </c>
      <c r="AH1116" s="3" t="str">
        <f>IFERROR(__xludf.DUMMYFUNCTION("""COMPUTED_VALUE"""),"#N/A")</f>
        <v>#N/A</v>
      </c>
      <c r="AI1116" s="3" t="str">
        <f>IFERROR(__xludf.DUMMYFUNCTION("""COMPUTED_VALUE"""),"Out of warranty")</f>
        <v>Out of warranty</v>
      </c>
      <c r="AJ1116" s="3">
        <f>IFERROR(__xludf.DUMMYFUNCTION("""COMPUTED_VALUE"""),77.0)</f>
        <v>77</v>
      </c>
      <c r="AK1116" s="3" t="str">
        <f>IFERROR(__xludf.DUMMYFUNCTION("""COMPUTED_VALUE"""),"MMS11")</f>
        <v>MMS11</v>
      </c>
      <c r="AL1116" s="3"/>
    </row>
    <row r="1117" ht="15.75" customHeight="1">
      <c r="A1117" s="1" t="str">
        <f>IFERROR(__xludf.DUMMYFUNCTION("""COMPUTED_VALUE"""),"21889")</f>
        <v>21889</v>
      </c>
      <c r="B1117" s="2">
        <f>IFERROR(__xludf.DUMMYFUNCTION("""COMPUTED_VALUE"""),21889.0)</f>
        <v>21889</v>
      </c>
      <c r="C1117" s="3" t="str">
        <f>IFERROR(__xludf.DUMMYFUNCTION("""COMPUTED_VALUE"""),"MBC กันทรวิชัย มหาสารคาม")</f>
        <v>MBC กันทรวิชัย มหาสารคาม</v>
      </c>
      <c r="D1117" s="3" t="str">
        <f>IFERROR(__xludf.DUMMYFUNCTION("""COMPUTED_VALUE"""),"BCM KANTARAVICHAI")</f>
        <v>BCM KANTARAVICHAI</v>
      </c>
      <c r="E1117" s="1" t="str">
        <f>IFERROR(__xludf.DUMMYFUNCTION("""COMPUTED_VALUE"""),"บิ๊กซี MINI")</f>
        <v>บิ๊กซี MINI</v>
      </c>
      <c r="F1117" s="1" t="str">
        <f>IFERROR(__xludf.DUMMYFUNCTION("""COMPUTED_VALUE"""),"291105")</f>
        <v>291105</v>
      </c>
      <c r="G1117" s="1" t="str">
        <f>IFERROR(__xludf.DUMMYFUNCTION("""COMPUTED_VALUE"""),"นายสราวุฒิ พณิชยกุล")</f>
        <v>นายสราวุฒิ พณิชยกุล</v>
      </c>
      <c r="H1117" s="1" t="str">
        <f>IFERROR(__xludf.DUMMYFUNCTION("""COMPUTED_VALUE"""),"392433")</f>
        <v>392433</v>
      </c>
      <c r="I1117" s="1" t="str">
        <f>IFERROR(__xludf.DUMMYFUNCTION("""COMPUTED_VALUE"""),"นายพรธิวา ใจอ่อน")</f>
        <v>นายพรธิวา ใจอ่อน</v>
      </c>
      <c r="J1117" s="3">
        <f>IFERROR(__xludf.DUMMYFUNCTION("""COMPUTED_VALUE"""),2454781.0)</f>
        <v>2454781</v>
      </c>
      <c r="K1117" s="3" t="str">
        <f>IFERROR(__xludf.DUMMYFUNCTION("""COMPUTED_VALUE"""),"นายฌานกฤช นันทะโคต")</f>
        <v>นายฌานกฤช นันทะโคต</v>
      </c>
      <c r="L1117" s="1" t="str">
        <f>IFERROR(__xludf.DUMMYFUNCTION("""COMPUTED_VALUE"""),"05 K.Chanakrit N.")</f>
        <v>05 K.Chanakrit N.</v>
      </c>
      <c r="M1117" s="1" t="str">
        <f>IFERROR(__xludf.DUMMYFUNCTION("""COMPUTED_VALUE"""),"090-978-9785 ,065-929-1320")</f>
        <v>090-978-9785 ,065-929-1320</v>
      </c>
      <c r="N1117" s="3">
        <f>IFERROR(__xludf.DUMMYFUNCTION("""COMPUTED_VALUE"""),22195.0)</f>
        <v>22195</v>
      </c>
      <c r="O1117" s="3" t="str">
        <f>IFERROR(__xludf.DUMMYFUNCTION("""COMPUTED_VALUE"""),"MBC กันทรลักษ์ ศรีสะเกษ")</f>
        <v>MBC กันทรลักษ์ ศรีสะเกษ</v>
      </c>
      <c r="P1117" s="4">
        <f>IFERROR(__xludf.DUMMYFUNCTION("""COMPUTED_VALUE"""),43723.0)</f>
        <v>43723</v>
      </c>
      <c r="Q1117" s="3" t="str">
        <f>IFERROR(__xludf.DUMMYFUNCTION("""COMPUTED_VALUE"""),"A")</f>
        <v>A</v>
      </c>
      <c r="R1117" s="3" t="str">
        <f>IFERROR(__xludf.DUMMYFUNCTION("""COMPUTED_VALUE"""),"Small Format")</f>
        <v>Small Format</v>
      </c>
      <c r="S1117" s="3" t="str">
        <f>IFERROR(__xludf.DUMMYFUNCTION("""COMPUTED_VALUE"""),"BCM")</f>
        <v>BCM</v>
      </c>
      <c r="T1117" s="3" t="str">
        <f>IFERROR(__xludf.DUMMYFUNCTION("""COMPUTED_VALUE"""),"#N/A")</f>
        <v>#N/A</v>
      </c>
      <c r="U1117" s="3" t="str">
        <f>IFERROR(__xludf.DUMMYFUNCTION("""COMPUTED_VALUE"""),"#N/A")</f>
        <v>#N/A</v>
      </c>
      <c r="V1117" s="3" t="str">
        <f>IFERROR(__xludf.DUMMYFUNCTION("""COMPUTED_VALUE"""),"N")</f>
        <v>N</v>
      </c>
      <c r="W1117" s="3">
        <f>IFERROR(__xludf.DUMMYFUNCTION("""COMPUTED_VALUE"""),211947.0)</f>
        <v>211947</v>
      </c>
      <c r="X1117" s="3" t="str">
        <f>IFERROR(__xludf.DUMMYFUNCTION("""COMPUTED_VALUE"""),"226-227 หมู่2 ตำบลโคกพระ อำเภอกันทรวิชัย จังหวัดมหาสารคาม 44150")</f>
        <v>226-227 หมู่2 ตำบลโคกพระ อำเภอกันทรวิชัย จังหวัดมหาสารคาม 44150</v>
      </c>
      <c r="Y1117" s="3"/>
      <c r="Z1117" s="3" t="str">
        <f>IFERROR(__xludf.DUMMYFUNCTION("""COMPUTED_VALUE"""),"โคกพระ")</f>
        <v>โคกพระ</v>
      </c>
      <c r="AA1117" s="3" t="str">
        <f>IFERROR(__xludf.DUMMYFUNCTION("""COMPUTED_VALUE"""),"กันทรวิชัย")</f>
        <v>กันทรวิชัย</v>
      </c>
      <c r="AB1117" s="3" t="str">
        <f>IFERROR(__xludf.DUMMYFUNCTION("""COMPUTED_VALUE"""),"มหาสารคาม")</f>
        <v>มหาสารคาม</v>
      </c>
      <c r="AC1117" s="3">
        <f>IFERROR(__xludf.DUMMYFUNCTION("""COMPUTED_VALUE"""),44150.0)</f>
        <v>44150</v>
      </c>
      <c r="AD1117" s="3">
        <f>IFERROR(__xludf.DUMMYFUNCTION("""COMPUTED_VALUE"""),16.323776)</f>
        <v>16.323776</v>
      </c>
      <c r="AE1117" s="3">
        <f>IFERROR(__xludf.DUMMYFUNCTION("""COMPUTED_VALUE"""),103.299205)</f>
        <v>103.299205</v>
      </c>
      <c r="AF1117" s="3" t="str">
        <f>IFERROR(__xludf.DUMMYFUNCTION("""COMPUTED_VALUE"""),"MBC กันทรวิชัย มหาสารคาม-21889")</f>
        <v>MBC กันทรวิชัย มหาสารคาม-21889</v>
      </c>
      <c r="AG1117" s="3" t="str">
        <f>IFERROR(__xludf.DUMMYFUNCTION("""COMPUTED_VALUE"""),"ตะวันออกเฉียงเหนือ")</f>
        <v>ตะวันออกเฉียงเหนือ</v>
      </c>
      <c r="AH1117" s="3" t="str">
        <f>IFERROR(__xludf.DUMMYFUNCTION("""COMPUTED_VALUE"""),"#N/A")</f>
        <v>#N/A</v>
      </c>
      <c r="AI1117" s="3" t="str">
        <f>IFERROR(__xludf.DUMMYFUNCTION("""COMPUTED_VALUE"""),"Out of warranty")</f>
        <v>Out of warranty</v>
      </c>
      <c r="AJ1117" s="3">
        <f>IFERROR(__xludf.DUMMYFUNCTION("""COMPUTED_VALUE"""),77.0)</f>
        <v>77</v>
      </c>
      <c r="AK1117" s="3" t="str">
        <f>IFERROR(__xludf.DUMMYFUNCTION("""COMPUTED_VALUE"""),"MMS13")</f>
        <v>MMS13</v>
      </c>
      <c r="AL1117" s="3"/>
    </row>
    <row r="1118" ht="15.75" customHeight="1">
      <c r="A1118" s="1" t="str">
        <f>IFERROR(__xludf.DUMMYFUNCTION("""COMPUTED_VALUE"""),"21890")</f>
        <v>21890</v>
      </c>
      <c r="B1118" s="2">
        <f>IFERROR(__xludf.DUMMYFUNCTION("""COMPUTED_VALUE"""),21890.0)</f>
        <v>21890</v>
      </c>
      <c r="C1118" s="3" t="str">
        <f>IFERROR(__xludf.DUMMYFUNCTION("""COMPUTED_VALUE"""),"MBC สะเดียง เพชรบูรณ์")</f>
        <v>MBC สะเดียง เพชรบูรณ์</v>
      </c>
      <c r="D1118" s="3" t="str">
        <f>IFERROR(__xludf.DUMMYFUNCTION("""COMPUTED_VALUE"""),"BCM SA DIENG,PHETCHABUN")</f>
        <v>BCM SA DIENG,PHETCHABUN</v>
      </c>
      <c r="E1118" s="1" t="str">
        <f>IFERROR(__xludf.DUMMYFUNCTION("""COMPUTED_VALUE"""),"บิ๊กซี MINI")</f>
        <v>บิ๊กซี MINI</v>
      </c>
      <c r="F1118" s="1" t="str">
        <f>IFERROR(__xludf.DUMMYFUNCTION("""COMPUTED_VALUE"""),"296229")</f>
        <v>296229</v>
      </c>
      <c r="G1118" s="1" t="str">
        <f>IFERROR(__xludf.DUMMYFUNCTION("""COMPUTED_VALUE"""),"นายทนงศักดิ์ บุญมา")</f>
        <v>นายทนงศักดิ์ บุญมา</v>
      </c>
      <c r="H1118" s="1" t="str">
        <f>IFERROR(__xludf.DUMMYFUNCTION("""COMPUTED_VALUE"""),"291082")</f>
        <v>291082</v>
      </c>
      <c r="I1118" s="1" t="str">
        <f>IFERROR(__xludf.DUMMYFUNCTION("""COMPUTED_VALUE"""),"น.ส.วจี กันเกตุ")</f>
        <v>น.ส.วจี กันเกตุ</v>
      </c>
      <c r="J1118" s="3">
        <f>IFERROR(__xludf.DUMMYFUNCTION("""COMPUTED_VALUE"""),46214.0)</f>
        <v>46214</v>
      </c>
      <c r="K1118" s="3" t="str">
        <f>IFERROR(__xludf.DUMMYFUNCTION("""COMPUTED_VALUE"""),"นายศักดิ์ชัย เด็ดดอกฟ้า")</f>
        <v>นายศักดิ์ชัย เด็ดดอกฟ้า</v>
      </c>
      <c r="L1118" s="1" t="str">
        <f>IFERROR(__xludf.DUMMYFUNCTION("""COMPUTED_VALUE"""),"02 K.Sakchai D")</f>
        <v>02 K.Sakchai D</v>
      </c>
      <c r="M1118" s="1" t="str">
        <f>IFERROR(__xludf.DUMMYFUNCTION("""COMPUTED_VALUE"""),"065-510-7376")</f>
        <v>065-510-7376</v>
      </c>
      <c r="N1118" s="3">
        <f>IFERROR(__xludf.DUMMYFUNCTION("""COMPUTED_VALUE"""),21714.0)</f>
        <v>21714</v>
      </c>
      <c r="O1118" s="3" t="str">
        <f>IFERROR(__xludf.DUMMYFUNCTION("""COMPUTED_VALUE"""),"MBC เอสโซ่ วัดโบสถ์")</f>
        <v>MBC เอสโซ่ วัดโบสถ์</v>
      </c>
      <c r="P1118" s="4">
        <f>IFERROR(__xludf.DUMMYFUNCTION("""COMPUTED_VALUE"""),43723.0)</f>
        <v>43723</v>
      </c>
      <c r="Q1118" s="3" t="str">
        <f>IFERROR(__xludf.DUMMYFUNCTION("""COMPUTED_VALUE"""),"A")</f>
        <v>A</v>
      </c>
      <c r="R1118" s="3" t="str">
        <f>IFERROR(__xludf.DUMMYFUNCTION("""COMPUTED_VALUE"""),"Small Format")</f>
        <v>Small Format</v>
      </c>
      <c r="S1118" s="3" t="str">
        <f>IFERROR(__xludf.DUMMYFUNCTION("""COMPUTED_VALUE"""),"BCM")</f>
        <v>BCM</v>
      </c>
      <c r="T1118" s="3" t="str">
        <f>IFERROR(__xludf.DUMMYFUNCTION("""COMPUTED_VALUE"""),"#N/A")</f>
        <v>#N/A</v>
      </c>
      <c r="U1118" s="3" t="str">
        <f>IFERROR(__xludf.DUMMYFUNCTION("""COMPUTED_VALUE"""),"#N/A")</f>
        <v>#N/A</v>
      </c>
      <c r="V1118" s="3" t="str">
        <f>IFERROR(__xludf.DUMMYFUNCTION("""COMPUTED_VALUE"""),"N")</f>
        <v>N</v>
      </c>
      <c r="W1118" s="3">
        <f>IFERROR(__xludf.DUMMYFUNCTION("""COMPUTED_VALUE"""),211952.0)</f>
        <v>211952</v>
      </c>
      <c r="X1118" s="3" t="str">
        <f>IFERROR(__xludf.DUMMYFUNCTION("""COMPUTED_VALUE"""),"15/1 ถนนบูรกรรมโกวิท ตำบลในเมือง อำเภอเมืองเพชรบูรณ์ จังหวัดเพชรบูรณ์ 67000")</f>
        <v>15/1 ถนนบูรกรรมโกวิท ตำบลในเมือง อำเภอเมืองเพชรบูรณ์ จังหวัดเพชรบูรณ์ 67000</v>
      </c>
      <c r="Y1118" s="3" t="str">
        <f>IFERROR(__xludf.DUMMYFUNCTION("""COMPUTED_VALUE"""),"ถนนบูรกรรมโกวิท")</f>
        <v>ถนนบูรกรรมโกวิท</v>
      </c>
      <c r="Z1118" s="3" t="str">
        <f>IFERROR(__xludf.DUMMYFUNCTION("""COMPUTED_VALUE"""),"ในเมือง")</f>
        <v>ในเมือง</v>
      </c>
      <c r="AA1118" s="3" t="str">
        <f>IFERROR(__xludf.DUMMYFUNCTION("""COMPUTED_VALUE"""),"เมือง")</f>
        <v>เมือง</v>
      </c>
      <c r="AB1118" s="3" t="str">
        <f>IFERROR(__xludf.DUMMYFUNCTION("""COMPUTED_VALUE"""),"เพชรบูรณ์")</f>
        <v>เพชรบูรณ์</v>
      </c>
      <c r="AC1118" s="3">
        <f>IFERROR(__xludf.DUMMYFUNCTION("""COMPUTED_VALUE"""),67000.0)</f>
        <v>67000</v>
      </c>
      <c r="AD1118" s="3">
        <f>IFERROR(__xludf.DUMMYFUNCTION("""COMPUTED_VALUE"""),16.418963)</f>
        <v>16.418963</v>
      </c>
      <c r="AE1118" s="3">
        <f>IFERROR(__xludf.DUMMYFUNCTION("""COMPUTED_VALUE"""),101.151201)</f>
        <v>101.151201</v>
      </c>
      <c r="AF1118" s="3" t="str">
        <f>IFERROR(__xludf.DUMMYFUNCTION("""COMPUTED_VALUE"""),"MBC สะเดียง เพชรบูรณ์-21890")</f>
        <v>MBC สะเดียง เพชรบูรณ์-21890</v>
      </c>
      <c r="AG1118" s="3" t="str">
        <f>IFERROR(__xludf.DUMMYFUNCTION("""COMPUTED_VALUE"""),"กลาง")</f>
        <v>กลาง</v>
      </c>
      <c r="AH1118" s="3" t="str">
        <f>IFERROR(__xludf.DUMMYFUNCTION("""COMPUTED_VALUE"""),"#N/A")</f>
        <v>#N/A</v>
      </c>
      <c r="AI1118" s="3" t="str">
        <f>IFERROR(__xludf.DUMMYFUNCTION("""COMPUTED_VALUE"""),"Out of warranty")</f>
        <v>Out of warranty</v>
      </c>
      <c r="AJ1118" s="3">
        <f>IFERROR(__xludf.DUMMYFUNCTION("""COMPUTED_VALUE"""),77.0)</f>
        <v>77</v>
      </c>
      <c r="AK1118" s="3" t="str">
        <f>IFERROR(__xludf.DUMMYFUNCTION("""COMPUTED_VALUE"""),"MMS09")</f>
        <v>MMS09</v>
      </c>
      <c r="AL1118" s="3"/>
    </row>
    <row r="1119" ht="15.75" customHeight="1">
      <c r="A1119" s="1" t="str">
        <f>IFERROR(__xludf.DUMMYFUNCTION("""COMPUTED_VALUE"""),"21891")</f>
        <v>21891</v>
      </c>
      <c r="B1119" s="2">
        <f>IFERROR(__xludf.DUMMYFUNCTION("""COMPUTED_VALUE"""),21891.0)</f>
        <v>21891</v>
      </c>
      <c r="C1119" s="3" t="str">
        <f>IFERROR(__xludf.DUMMYFUNCTION("""COMPUTED_VALUE"""),"MBC ตลาดสดเทศบาลตำบลขนอม นครศรีธรรมราช")</f>
        <v>MBC ตลาดสดเทศบาลตำบลขนอม นครศรีธรรมราช</v>
      </c>
      <c r="D1119" s="3" t="str">
        <f>IFERROR(__xludf.DUMMYFUNCTION("""COMPUTED_VALUE"""),"BCM TALAD SOT TAMBON KHANOM")</f>
        <v>BCM TALAD SOT TAMBON KHANOM</v>
      </c>
      <c r="E1119" s="1" t="str">
        <f>IFERROR(__xludf.DUMMYFUNCTION("""COMPUTED_VALUE"""),"บิ๊กซี MINI")</f>
        <v>บิ๊กซี MINI</v>
      </c>
      <c r="F1119" s="1" t="str">
        <f>IFERROR(__xludf.DUMMYFUNCTION("""COMPUTED_VALUE"""),"250760")</f>
        <v>250760</v>
      </c>
      <c r="G1119" s="1" t="str">
        <f>IFERROR(__xludf.DUMMYFUNCTION("""COMPUTED_VALUE"""),"นายประทวน สาราบรรณ์")</f>
        <v>นายประทวน สาราบรรณ์</v>
      </c>
      <c r="H1119" s="1" t="str">
        <f>IFERROR(__xludf.DUMMYFUNCTION("""COMPUTED_VALUE"""),"356760")</f>
        <v>356760</v>
      </c>
      <c r="I1119" s="1" t="str">
        <f>IFERROR(__xludf.DUMMYFUNCTION("""COMPUTED_VALUE"""),"นายภูมิภัทร แก้วพรรณราย")</f>
        <v>นายภูมิภัทร แก้วพรรณราย</v>
      </c>
      <c r="J1119" s="3">
        <f>IFERROR(__xludf.DUMMYFUNCTION("""COMPUTED_VALUE"""),25324.0)</f>
        <v>25324</v>
      </c>
      <c r="K1119" s="3" t="str">
        <f>IFERROR(__xludf.DUMMYFUNCTION("""COMPUTED_VALUE"""),"นายวิเชฎฐ์ ติรัตนะประคม")</f>
        <v>นายวิเชฎฐ์ ติรัตนะประคม</v>
      </c>
      <c r="L1119" s="1" t="str">
        <f>IFERROR(__xludf.DUMMYFUNCTION("""COMPUTED_VALUE"""),"14 K.Wichet T.")</f>
        <v>14 K.Wichet T.</v>
      </c>
      <c r="M1119" s="1" t="str">
        <f>IFERROR(__xludf.DUMMYFUNCTION("""COMPUTED_VALUE"""),"061-417-6569 / 086-445-5636")</f>
        <v>061-417-6569 / 086-445-5636</v>
      </c>
      <c r="N1119" s="3">
        <f>IFERROR(__xludf.DUMMYFUNCTION("""COMPUTED_VALUE"""),22658.0)</f>
        <v>22658</v>
      </c>
      <c r="O1119" s="3" t="str">
        <f>IFERROR(__xludf.DUMMYFUNCTION("""COMPUTED_VALUE"""),"BCM ถ.วิรัชหงษ์หยก ภูเก็ต")</f>
        <v>BCM ถ.วิรัชหงษ์หยก ภูเก็ต</v>
      </c>
      <c r="P1119" s="4">
        <f>IFERROR(__xludf.DUMMYFUNCTION("""COMPUTED_VALUE"""),43729.0)</f>
        <v>43729</v>
      </c>
      <c r="Q1119" s="3" t="str">
        <f>IFERROR(__xludf.DUMMYFUNCTION("""COMPUTED_VALUE"""),"A")</f>
        <v>A</v>
      </c>
      <c r="R1119" s="3" t="str">
        <f>IFERROR(__xludf.DUMMYFUNCTION("""COMPUTED_VALUE"""),"Small Format")</f>
        <v>Small Format</v>
      </c>
      <c r="S1119" s="3" t="str">
        <f>IFERROR(__xludf.DUMMYFUNCTION("""COMPUTED_VALUE"""),"BCM")</f>
        <v>BCM</v>
      </c>
      <c r="T1119" s="3" t="str">
        <f>IFERROR(__xludf.DUMMYFUNCTION("""COMPUTED_VALUE"""),"#N/A")</f>
        <v>#N/A</v>
      </c>
      <c r="U1119" s="3" t="str">
        <f>IFERROR(__xludf.DUMMYFUNCTION("""COMPUTED_VALUE"""),"#N/A")</f>
        <v>#N/A</v>
      </c>
      <c r="V1119" s="3" t="str">
        <f>IFERROR(__xludf.DUMMYFUNCTION("""COMPUTED_VALUE"""),"N")</f>
        <v>N</v>
      </c>
      <c r="W1119" s="3">
        <f>IFERROR(__xludf.DUMMYFUNCTION("""COMPUTED_VALUE"""),211963.0)</f>
        <v>211963</v>
      </c>
      <c r="X1119" s="3" t="str">
        <f>IFERROR(__xludf.DUMMYFUNCTION("""COMPUTED_VALUE"""),"78/5 หมู่1 ตำบลขนอม อำเภอขนอม จังหวัดนครศรีธรรมราช 80210")</f>
        <v>78/5 หมู่1 ตำบลขนอม อำเภอขนอม จังหวัดนครศรีธรรมราช 80210</v>
      </c>
      <c r="Y1119" s="3"/>
      <c r="Z1119" s="3" t="str">
        <f>IFERROR(__xludf.DUMMYFUNCTION("""COMPUTED_VALUE"""),"ขนอม")</f>
        <v>ขนอม</v>
      </c>
      <c r="AA1119" s="3" t="str">
        <f>IFERROR(__xludf.DUMMYFUNCTION("""COMPUTED_VALUE"""),"ขนอม")</f>
        <v>ขนอม</v>
      </c>
      <c r="AB1119" s="3" t="str">
        <f>IFERROR(__xludf.DUMMYFUNCTION("""COMPUTED_VALUE"""),"นครศรีธรรมราช")</f>
        <v>นครศรีธรรมราช</v>
      </c>
      <c r="AC1119" s="3">
        <f>IFERROR(__xludf.DUMMYFUNCTION("""COMPUTED_VALUE"""),80210.0)</f>
        <v>80210</v>
      </c>
      <c r="AD1119" s="3">
        <f>IFERROR(__xludf.DUMMYFUNCTION("""COMPUTED_VALUE"""),9.214975)</f>
        <v>9.214975</v>
      </c>
      <c r="AE1119" s="3">
        <f>IFERROR(__xludf.DUMMYFUNCTION("""COMPUTED_VALUE"""),99.860483)</f>
        <v>99.860483</v>
      </c>
      <c r="AF1119" s="3" t="str">
        <f>IFERROR(__xludf.DUMMYFUNCTION("""COMPUTED_VALUE"""),"MBC ตลาดสดเทศบาลตำบลขนอม นครศรีธรรมราช-21891")</f>
        <v>MBC ตลาดสดเทศบาลตำบลขนอม นครศรีธรรมราช-21891</v>
      </c>
      <c r="AG1119" s="3" t="str">
        <f>IFERROR(__xludf.DUMMYFUNCTION("""COMPUTED_VALUE"""),"ใต้")</f>
        <v>ใต้</v>
      </c>
      <c r="AH1119" s="3" t="str">
        <f>IFERROR(__xludf.DUMMYFUNCTION("""COMPUTED_VALUE"""),"#N/A")</f>
        <v>#N/A</v>
      </c>
      <c r="AI1119" s="3" t="str">
        <f>IFERROR(__xludf.DUMMYFUNCTION("""COMPUTED_VALUE"""),"Out of warranty")</f>
        <v>Out of warranty</v>
      </c>
      <c r="AJ1119" s="3">
        <f>IFERROR(__xludf.DUMMYFUNCTION("""COMPUTED_VALUE"""),76.0)</f>
        <v>76</v>
      </c>
      <c r="AK1119" s="3" t="str">
        <f>IFERROR(__xludf.DUMMYFUNCTION("""COMPUTED_VALUE"""),"MMS15")</f>
        <v>MMS15</v>
      </c>
      <c r="AL1119" s="3"/>
    </row>
    <row r="1120" ht="15.75" customHeight="1">
      <c r="A1120" s="1" t="str">
        <f>IFERROR(__xludf.DUMMYFUNCTION("""COMPUTED_VALUE"""),"21892")</f>
        <v>21892</v>
      </c>
      <c r="B1120" s="2">
        <f>IFERROR(__xludf.DUMMYFUNCTION("""COMPUTED_VALUE"""),21892.0)</f>
        <v>21892</v>
      </c>
      <c r="C1120" s="3" t="str">
        <f>IFERROR(__xludf.DUMMYFUNCTION("""COMPUTED_VALUE"""),"MBC ดงมูลเหล็ก เพชรบูรณ์")</f>
        <v>MBC ดงมูลเหล็ก เพชรบูรณ์</v>
      </c>
      <c r="D1120" s="3" t="str">
        <f>IFERROR(__xludf.DUMMYFUNCTION("""COMPUTED_VALUE"""),"BCM DONG MUN LEK,PHETCHABUN")</f>
        <v>BCM DONG MUN LEK,PHETCHABUN</v>
      </c>
      <c r="E1120" s="1" t="str">
        <f>IFERROR(__xludf.DUMMYFUNCTION("""COMPUTED_VALUE"""),"บิ๊กซี MINI")</f>
        <v>บิ๊กซี MINI</v>
      </c>
      <c r="F1120" s="1" t="str">
        <f>IFERROR(__xludf.DUMMYFUNCTION("""COMPUTED_VALUE"""),"296229")</f>
        <v>296229</v>
      </c>
      <c r="G1120" s="1" t="str">
        <f>IFERROR(__xludf.DUMMYFUNCTION("""COMPUTED_VALUE"""),"นายทนงศักดิ์ บุญมา")</f>
        <v>นายทนงศักดิ์ บุญมา</v>
      </c>
      <c r="H1120" s="1" t="str">
        <f>IFERROR(__xludf.DUMMYFUNCTION("""COMPUTED_VALUE"""),"291082")</f>
        <v>291082</v>
      </c>
      <c r="I1120" s="1" t="str">
        <f>IFERROR(__xludf.DUMMYFUNCTION("""COMPUTED_VALUE"""),"น.ส.วจี กันเกตุ")</f>
        <v>น.ส.วจี กันเกตุ</v>
      </c>
      <c r="J1120" s="3">
        <f>IFERROR(__xludf.DUMMYFUNCTION("""COMPUTED_VALUE"""),46214.0)</f>
        <v>46214</v>
      </c>
      <c r="K1120" s="3" t="str">
        <f>IFERROR(__xludf.DUMMYFUNCTION("""COMPUTED_VALUE"""),"นายศักดิ์ชัย เด็ดดอกฟ้า")</f>
        <v>นายศักดิ์ชัย เด็ดดอกฟ้า</v>
      </c>
      <c r="L1120" s="1" t="str">
        <f>IFERROR(__xludf.DUMMYFUNCTION("""COMPUTED_VALUE"""),"02 K.Sakchai D")</f>
        <v>02 K.Sakchai D</v>
      </c>
      <c r="M1120" s="1" t="str">
        <f>IFERROR(__xludf.DUMMYFUNCTION("""COMPUTED_VALUE"""),"065-510-7376")</f>
        <v>065-510-7376</v>
      </c>
      <c r="N1120" s="3">
        <f>IFERROR(__xludf.DUMMYFUNCTION("""COMPUTED_VALUE"""),21714.0)</f>
        <v>21714</v>
      </c>
      <c r="O1120" s="3" t="str">
        <f>IFERROR(__xludf.DUMMYFUNCTION("""COMPUTED_VALUE"""),"MBC เอสโซ่ วัดโบสถ์")</f>
        <v>MBC เอสโซ่ วัดโบสถ์</v>
      </c>
      <c r="P1120" s="4">
        <f>IFERROR(__xludf.DUMMYFUNCTION("""COMPUTED_VALUE"""),43731.0)</f>
        <v>43731</v>
      </c>
      <c r="Q1120" s="3" t="str">
        <f>IFERROR(__xludf.DUMMYFUNCTION("""COMPUTED_VALUE"""),"A")</f>
        <v>A</v>
      </c>
      <c r="R1120" s="3" t="str">
        <f>IFERROR(__xludf.DUMMYFUNCTION("""COMPUTED_VALUE"""),"Small Format")</f>
        <v>Small Format</v>
      </c>
      <c r="S1120" s="3" t="str">
        <f>IFERROR(__xludf.DUMMYFUNCTION("""COMPUTED_VALUE"""),"BCM")</f>
        <v>BCM</v>
      </c>
      <c r="T1120" s="3" t="str">
        <f>IFERROR(__xludf.DUMMYFUNCTION("""COMPUTED_VALUE"""),"#N/A")</f>
        <v>#N/A</v>
      </c>
      <c r="U1120" s="3" t="str">
        <f>IFERROR(__xludf.DUMMYFUNCTION("""COMPUTED_VALUE"""),"#N/A")</f>
        <v>#N/A</v>
      </c>
      <c r="V1120" s="3" t="str">
        <f>IFERROR(__xludf.DUMMYFUNCTION("""COMPUTED_VALUE"""),"N")</f>
        <v>N</v>
      </c>
      <c r="W1120" s="3">
        <f>IFERROR(__xludf.DUMMYFUNCTION("""COMPUTED_VALUE"""),211951.0)</f>
        <v>211951</v>
      </c>
      <c r="X1120" s="3" t="str">
        <f>IFERROR(__xludf.DUMMYFUNCTION("""COMPUTED_VALUE"""),"88 หมู่2 ตำบลดงมูลเหล็ก อำเภอเมืองเพชรบรูณ์ จังหวัดเพชรบรูณ์ 67000")</f>
        <v>88 หมู่2 ตำบลดงมูลเหล็ก อำเภอเมืองเพชรบรูณ์ จังหวัดเพชรบรูณ์ 67000</v>
      </c>
      <c r="Y1120" s="3"/>
      <c r="Z1120" s="3" t="str">
        <f>IFERROR(__xludf.DUMMYFUNCTION("""COMPUTED_VALUE"""),"ดงมูลเหล็ก")</f>
        <v>ดงมูลเหล็ก</v>
      </c>
      <c r="AA1120" s="3" t="str">
        <f>IFERROR(__xludf.DUMMYFUNCTION("""COMPUTED_VALUE"""),"เมือง")</f>
        <v>เมือง</v>
      </c>
      <c r="AB1120" s="3" t="str">
        <f>IFERROR(__xludf.DUMMYFUNCTION("""COMPUTED_VALUE"""),"เพชรบูรณ์")</f>
        <v>เพชรบูรณ์</v>
      </c>
      <c r="AC1120" s="3">
        <f>IFERROR(__xludf.DUMMYFUNCTION("""COMPUTED_VALUE"""),67000.0)</f>
        <v>67000</v>
      </c>
      <c r="AD1120" s="3">
        <f>IFERROR(__xludf.DUMMYFUNCTION("""COMPUTED_VALUE"""),16.443523)</f>
        <v>16.443523</v>
      </c>
      <c r="AE1120" s="3">
        <f>IFERROR(__xludf.DUMMYFUNCTION("""COMPUTED_VALUE"""),101.195504)</f>
        <v>101.195504</v>
      </c>
      <c r="AF1120" s="3" t="str">
        <f>IFERROR(__xludf.DUMMYFUNCTION("""COMPUTED_VALUE"""),"MBC ดงมูลเหล็ก เพชรบูรณ์-21892")</f>
        <v>MBC ดงมูลเหล็ก เพชรบูรณ์-21892</v>
      </c>
      <c r="AG1120" s="3" t="str">
        <f>IFERROR(__xludf.DUMMYFUNCTION("""COMPUTED_VALUE"""),"กลาง")</f>
        <v>กลาง</v>
      </c>
      <c r="AH1120" s="3" t="str">
        <f>IFERROR(__xludf.DUMMYFUNCTION("""COMPUTED_VALUE"""),"#N/A")</f>
        <v>#N/A</v>
      </c>
      <c r="AI1120" s="3" t="str">
        <f>IFERROR(__xludf.DUMMYFUNCTION("""COMPUTED_VALUE"""),"Out of warranty")</f>
        <v>Out of warranty</v>
      </c>
      <c r="AJ1120" s="3">
        <f>IFERROR(__xludf.DUMMYFUNCTION("""COMPUTED_VALUE"""),76.0)</f>
        <v>76</v>
      </c>
      <c r="AK1120" s="3" t="str">
        <f>IFERROR(__xludf.DUMMYFUNCTION("""COMPUTED_VALUE"""),"MMS09")</f>
        <v>MMS09</v>
      </c>
      <c r="AL1120" s="3"/>
    </row>
    <row r="1121" ht="15.75" customHeight="1">
      <c r="A1121" s="1" t="str">
        <f>IFERROR(__xludf.DUMMYFUNCTION("""COMPUTED_VALUE"""),"21893")</f>
        <v>21893</v>
      </c>
      <c r="B1121" s="2">
        <f>IFERROR(__xludf.DUMMYFUNCTION("""COMPUTED_VALUE"""),21893.0)</f>
        <v>21893</v>
      </c>
      <c r="C1121" s="3" t="str">
        <f>IFERROR(__xludf.DUMMYFUNCTION("""COMPUTED_VALUE"""),"MBC เดอะมิกซ์ นิคมพัฒนา ระยอง")</f>
        <v>MBC เดอะมิกซ์ นิคมพัฒนา ระยอง</v>
      </c>
      <c r="D1121" s="3" t="str">
        <f>IFERROR(__xludf.DUMMYFUNCTION("""COMPUTED_VALUE"""),"BCM THE MIX NIKHOMPHATTHANA")</f>
        <v>BCM THE MIX NIKHOMPHATTHANA</v>
      </c>
      <c r="E1121" s="1" t="str">
        <f>IFERROR(__xludf.DUMMYFUNCTION("""COMPUTED_VALUE"""),"บิ๊กซี MINI")</f>
        <v>บิ๊กซี MINI</v>
      </c>
      <c r="F1121" s="1" t="str">
        <f>IFERROR(__xludf.DUMMYFUNCTION("""COMPUTED_VALUE"""),"221716")</f>
        <v>221716</v>
      </c>
      <c r="G1121" s="1" t="str">
        <f>IFERROR(__xludf.DUMMYFUNCTION("""COMPUTED_VALUE"""),"น.ส.เบญจพร โพธิสาร")</f>
        <v>น.ส.เบญจพร โพธิสาร</v>
      </c>
      <c r="H1121" s="1" t="str">
        <f>IFERROR(__xludf.DUMMYFUNCTION("""COMPUTED_VALUE"""),"359233")</f>
        <v>359233</v>
      </c>
      <c r="I1121" s="1" t="str">
        <f>IFERROR(__xludf.DUMMYFUNCTION("""COMPUTED_VALUE"""),"น.ส.ปยุดา คำมีอ่อน")</f>
        <v>น.ส.ปยุดา คำมีอ่อน</v>
      </c>
      <c r="J1121" s="3">
        <f>IFERROR(__xludf.DUMMYFUNCTION("""COMPUTED_VALUE"""),2452376.0)</f>
        <v>2452376</v>
      </c>
      <c r="K1121" s="3" t="str">
        <f>IFERROR(__xludf.DUMMYFUNCTION("""COMPUTED_VALUE"""),"นายภาคภูมิ ทวีกุล")</f>
        <v>นายภาคภูมิ ทวีกุล</v>
      </c>
      <c r="L1121" s="1" t="str">
        <f>IFERROR(__xludf.DUMMYFUNCTION("""COMPUTED_VALUE"""),"08 K.Parkphum T.")</f>
        <v>08 K.Parkphum T.</v>
      </c>
      <c r="M1121" s="1" t="str">
        <f>IFERROR(__xludf.DUMMYFUNCTION("""COMPUTED_VALUE"""),"097-919-5476")</f>
        <v>097-919-5476</v>
      </c>
      <c r="N1121" s="3">
        <f>IFERROR(__xludf.DUMMYFUNCTION("""COMPUTED_VALUE"""),22028.0)</f>
        <v>22028</v>
      </c>
      <c r="O1121" s="3" t="str">
        <f>IFERROR(__xludf.DUMMYFUNCTION("""COMPUTED_VALUE"""),"MBC ทํบมา ระยอง")</f>
        <v>MBC ทํบมา ระยอง</v>
      </c>
      <c r="P1121" s="4">
        <f>IFERROR(__xludf.DUMMYFUNCTION("""COMPUTED_VALUE"""),43815.0)</f>
        <v>43815</v>
      </c>
      <c r="Q1121" s="3" t="str">
        <f>IFERROR(__xludf.DUMMYFUNCTION("""COMPUTED_VALUE"""),"A")</f>
        <v>A</v>
      </c>
      <c r="R1121" s="3" t="str">
        <f>IFERROR(__xludf.DUMMYFUNCTION("""COMPUTED_VALUE"""),"Small Format")</f>
        <v>Small Format</v>
      </c>
      <c r="S1121" s="3" t="str">
        <f>IFERROR(__xludf.DUMMYFUNCTION("""COMPUTED_VALUE"""),"BCM")</f>
        <v>BCM</v>
      </c>
      <c r="T1121" s="3" t="str">
        <f>IFERROR(__xludf.DUMMYFUNCTION("""COMPUTED_VALUE"""),"#N/A")</f>
        <v>#N/A</v>
      </c>
      <c r="U1121" s="3" t="str">
        <f>IFERROR(__xludf.DUMMYFUNCTION("""COMPUTED_VALUE"""),"#N/A")</f>
        <v>#N/A</v>
      </c>
      <c r="V1121" s="3" t="str">
        <f>IFERROR(__xludf.DUMMYFUNCTION("""COMPUTED_VALUE"""),"N")</f>
        <v>N</v>
      </c>
      <c r="W1121" s="3">
        <f>IFERROR(__xludf.DUMMYFUNCTION("""COMPUTED_VALUE"""),211959.0)</f>
        <v>211959</v>
      </c>
      <c r="X1121" s="3" t="str">
        <f>IFERROR(__xludf.DUMMYFUNCTION("""COMPUTED_VALUE"""),"444/390 หมู่6 ตำบลนิคมพัฒนา อำเภอนิคมพัฒนา จังหวัดระยอง 21180")</f>
        <v>444/390 หมู่6 ตำบลนิคมพัฒนา อำเภอนิคมพัฒนา จังหวัดระยอง 21180</v>
      </c>
      <c r="Y1121" s="3"/>
      <c r="Z1121" s="3" t="str">
        <f>IFERROR(__xludf.DUMMYFUNCTION("""COMPUTED_VALUE"""),"นิคมพัฒนา")</f>
        <v>นิคมพัฒนา</v>
      </c>
      <c r="AA1121" s="3" t="str">
        <f>IFERROR(__xludf.DUMMYFUNCTION("""COMPUTED_VALUE"""),"นิคมพัฒนา")</f>
        <v>นิคมพัฒนา</v>
      </c>
      <c r="AB1121" s="3" t="str">
        <f>IFERROR(__xludf.DUMMYFUNCTION("""COMPUTED_VALUE"""),"ระยอง")</f>
        <v>ระยอง</v>
      </c>
      <c r="AC1121" s="3">
        <f>IFERROR(__xludf.DUMMYFUNCTION("""COMPUTED_VALUE"""),21180.0)</f>
        <v>21180</v>
      </c>
      <c r="AD1121" s="3">
        <f>IFERROR(__xludf.DUMMYFUNCTION("""COMPUTED_VALUE"""),12.849983)</f>
        <v>12.849983</v>
      </c>
      <c r="AE1121" s="3">
        <f>IFERROR(__xludf.DUMMYFUNCTION("""COMPUTED_VALUE"""),101.169535)</f>
        <v>101.169535</v>
      </c>
      <c r="AF1121" s="3" t="str">
        <f>IFERROR(__xludf.DUMMYFUNCTION("""COMPUTED_VALUE"""),"MBC เดอะมิกซ์ นิคมพัฒนา ระยอง-21893")</f>
        <v>MBC เดอะมิกซ์ นิคมพัฒนา ระยอง-21893</v>
      </c>
      <c r="AG1121" s="3" t="str">
        <f>IFERROR(__xludf.DUMMYFUNCTION("""COMPUTED_VALUE"""),"ตะวันออก")</f>
        <v>ตะวันออก</v>
      </c>
      <c r="AH1121" s="3" t="str">
        <f>IFERROR(__xludf.DUMMYFUNCTION("""COMPUTED_VALUE"""),"#N/A")</f>
        <v>#N/A</v>
      </c>
      <c r="AI1121" s="3" t="str">
        <f>IFERROR(__xludf.DUMMYFUNCTION("""COMPUTED_VALUE"""),"Out of warranty")</f>
        <v>Out of warranty</v>
      </c>
      <c r="AJ1121" s="3">
        <f>IFERROR(__xludf.DUMMYFUNCTION("""COMPUTED_VALUE"""),74.0)</f>
        <v>74</v>
      </c>
      <c r="AK1121" s="3" t="str">
        <f>IFERROR(__xludf.DUMMYFUNCTION("""COMPUTED_VALUE"""),"MMS07")</f>
        <v>MMS07</v>
      </c>
      <c r="AL1121" s="3"/>
    </row>
    <row r="1122" ht="15.75" customHeight="1">
      <c r="A1122" s="1" t="str">
        <f>IFERROR(__xludf.DUMMYFUNCTION("""COMPUTED_VALUE"""),"21894")</f>
        <v>21894</v>
      </c>
      <c r="B1122" s="2">
        <f>IFERROR(__xludf.DUMMYFUNCTION("""COMPUTED_VALUE"""),21894.0)</f>
        <v>21894</v>
      </c>
      <c r="C1122" s="3" t="str">
        <f>IFERROR(__xludf.DUMMYFUNCTION("""COMPUTED_VALUE"""),"MBC คาล์เท็กซ์ เดอะ แจส อมตะ ชลบุรี")</f>
        <v>MBC คาล์เท็กซ์ เดอะ แจส อมตะ ชลบุรี</v>
      </c>
      <c r="D1122" s="3" t="str">
        <f>IFERROR(__xludf.DUMMYFUNCTION("""COMPUTED_VALUE"""),"BCM CALTEX THE JAS AMATA")</f>
        <v>BCM CALTEX THE JAS AMATA</v>
      </c>
      <c r="E1122" s="1" t="str">
        <f>IFERROR(__xludf.DUMMYFUNCTION("""COMPUTED_VALUE"""),"บิ๊กซี MINI")</f>
        <v>บิ๊กซี MINI</v>
      </c>
      <c r="F1122" s="1" t="str">
        <f>IFERROR(__xludf.DUMMYFUNCTION("""COMPUTED_VALUE"""),"221716")</f>
        <v>221716</v>
      </c>
      <c r="G1122" s="1" t="str">
        <f>IFERROR(__xludf.DUMMYFUNCTION("""COMPUTED_VALUE"""),"น.ส.เบญจพร โพธิสาร")</f>
        <v>น.ส.เบญจพร โพธิสาร</v>
      </c>
      <c r="H1122" s="1" t="str">
        <f>IFERROR(__xludf.DUMMYFUNCTION("""COMPUTED_VALUE"""),"034605")</f>
        <v>034605</v>
      </c>
      <c r="I1122" s="1" t="str">
        <f>IFERROR(__xludf.DUMMYFUNCTION("""COMPUTED_VALUE"""),"นายธรรมรัตน์ สุขเจริญ")</f>
        <v>นายธรรมรัตน์ สุขเจริญ</v>
      </c>
      <c r="J1122" s="3">
        <f>IFERROR(__xludf.DUMMYFUNCTION("""COMPUTED_VALUE"""),1.3461215E7)</f>
        <v>13461215</v>
      </c>
      <c r="K1122" s="3" t="str">
        <f>IFERROR(__xludf.DUMMYFUNCTION("""COMPUTED_VALUE"""),"นายธีรภัทร สังข์เงิน")</f>
        <v>นายธีรภัทร สังข์เงิน</v>
      </c>
      <c r="L1122" s="1" t="str">
        <f>IFERROR(__xludf.DUMMYFUNCTION("""COMPUTED_VALUE"""),"06 K.Teerapat")</f>
        <v>06 K.Teerapat</v>
      </c>
      <c r="M1122" s="1" t="str">
        <f>IFERROR(__xludf.DUMMYFUNCTION("""COMPUTED_VALUE"""),"063-601-6803")</f>
        <v>063-601-6803</v>
      </c>
      <c r="N1122" s="3">
        <f>IFERROR(__xludf.DUMMYFUNCTION("""COMPUTED_VALUE"""),22115.0)</f>
        <v>22115</v>
      </c>
      <c r="O1122" s="3" t="str">
        <f>IFERROR(__xludf.DUMMYFUNCTION("""COMPUTED_VALUE"""),"MBC เลี่ยงหนองมน ชลบุรี")</f>
        <v>MBC เลี่ยงหนองมน ชลบุรี</v>
      </c>
      <c r="P1122" s="4">
        <f>IFERROR(__xludf.DUMMYFUNCTION("""COMPUTED_VALUE"""),43827.0)</f>
        <v>43827</v>
      </c>
      <c r="Q1122" s="3" t="str">
        <f>IFERROR(__xludf.DUMMYFUNCTION("""COMPUTED_VALUE"""),"A")</f>
        <v>A</v>
      </c>
      <c r="R1122" s="3" t="str">
        <f>IFERROR(__xludf.DUMMYFUNCTION("""COMPUTED_VALUE"""),"Small Format")</f>
        <v>Small Format</v>
      </c>
      <c r="S1122" s="3" t="str">
        <f>IFERROR(__xludf.DUMMYFUNCTION("""COMPUTED_VALUE"""),"BCM")</f>
        <v>BCM</v>
      </c>
      <c r="T1122" s="3" t="str">
        <f>IFERROR(__xludf.DUMMYFUNCTION("""COMPUTED_VALUE"""),"#N/A")</f>
        <v>#N/A</v>
      </c>
      <c r="U1122" s="3" t="str">
        <f>IFERROR(__xludf.DUMMYFUNCTION("""COMPUTED_VALUE"""),"#N/A")</f>
        <v>#N/A</v>
      </c>
      <c r="V1122" s="3" t="str">
        <f>IFERROR(__xludf.DUMMYFUNCTION("""COMPUTED_VALUE"""),"N")</f>
        <v>N</v>
      </c>
      <c r="W1122" s="3">
        <f>IFERROR(__xludf.DUMMYFUNCTION("""COMPUTED_VALUE"""),211953.0)</f>
        <v>211953</v>
      </c>
      <c r="X1122" s="3" t="str">
        <f>IFERROR(__xludf.DUMMYFUNCTION("""COMPUTED_VALUE"""),"98/1 หมู่1 ตำบลนาป่า อำเภอเมืองชลบุรี จังหวัดชลบุรี 20000")</f>
        <v>98/1 หมู่1 ตำบลนาป่า อำเภอเมืองชลบุรี จังหวัดชลบุรี 20000</v>
      </c>
      <c r="Y1122" s="3"/>
      <c r="Z1122" s="3" t="str">
        <f>IFERROR(__xludf.DUMMYFUNCTION("""COMPUTED_VALUE"""),"นาป่า")</f>
        <v>นาป่า</v>
      </c>
      <c r="AA1122" s="3" t="str">
        <f>IFERROR(__xludf.DUMMYFUNCTION("""COMPUTED_VALUE"""),"เมือง")</f>
        <v>เมือง</v>
      </c>
      <c r="AB1122" s="3" t="str">
        <f>IFERROR(__xludf.DUMMYFUNCTION("""COMPUTED_VALUE"""),"ชลบุรี")</f>
        <v>ชลบุรี</v>
      </c>
      <c r="AC1122" s="3">
        <f>IFERROR(__xludf.DUMMYFUNCTION("""COMPUTED_VALUE"""),20000.0)</f>
        <v>20000</v>
      </c>
      <c r="AD1122" s="3">
        <f>IFERROR(__xludf.DUMMYFUNCTION("""COMPUTED_VALUE"""),13.402334)</f>
        <v>13.402334</v>
      </c>
      <c r="AE1122" s="3">
        <f>IFERROR(__xludf.DUMMYFUNCTION("""COMPUTED_VALUE"""),101.034684)</f>
        <v>101.034684</v>
      </c>
      <c r="AF1122" s="3" t="str">
        <f>IFERROR(__xludf.DUMMYFUNCTION("""COMPUTED_VALUE"""),"MBC คาล์เท็กซ์ เดอะ แจส อมตะ ชลบุรี-21894")</f>
        <v>MBC คาล์เท็กซ์ เดอะ แจส อมตะ ชลบุรี-21894</v>
      </c>
      <c r="AG1122" s="3" t="str">
        <f>IFERROR(__xludf.DUMMYFUNCTION("""COMPUTED_VALUE"""),"ตะวันออก")</f>
        <v>ตะวันออก</v>
      </c>
      <c r="AH1122" s="3" t="str">
        <f>IFERROR(__xludf.DUMMYFUNCTION("""COMPUTED_VALUE"""),"#N/A")</f>
        <v>#N/A</v>
      </c>
      <c r="AI1122" s="3" t="str">
        <f>IFERROR(__xludf.DUMMYFUNCTION("""COMPUTED_VALUE"""),"Out of warranty")</f>
        <v>Out of warranty</v>
      </c>
      <c r="AJ1122" s="3">
        <f>IFERROR(__xludf.DUMMYFUNCTION("""COMPUTED_VALUE"""),73.0)</f>
        <v>73</v>
      </c>
      <c r="AK1122" s="3" t="str">
        <f>IFERROR(__xludf.DUMMYFUNCTION("""COMPUTED_VALUE"""),"MMS06")</f>
        <v>MMS06</v>
      </c>
      <c r="AL1122" s="3"/>
    </row>
    <row r="1123" ht="15.75" customHeight="1">
      <c r="A1123" s="1" t="str">
        <f>IFERROR(__xludf.DUMMYFUNCTION("""COMPUTED_VALUE"""),"21895")</f>
        <v>21895</v>
      </c>
      <c r="B1123" s="2">
        <f>IFERROR(__xludf.DUMMYFUNCTION("""COMPUTED_VALUE"""),21895.0)</f>
        <v>21895</v>
      </c>
      <c r="C1123" s="3" t="str">
        <f>IFERROR(__xludf.DUMMYFUNCTION("""COMPUTED_VALUE"""),"MBC เขาปีบ ชุมพร")</f>
        <v>MBC เขาปีบ ชุมพร</v>
      </c>
      <c r="D1123" s="3" t="str">
        <f>IFERROR(__xludf.DUMMYFUNCTION("""COMPUTED_VALUE"""),"BCM KHAO PIP, CHUMPHON")</f>
        <v>BCM KHAO PIP, CHUMPHON</v>
      </c>
      <c r="E1123" s="1" t="str">
        <f>IFERROR(__xludf.DUMMYFUNCTION("""COMPUTED_VALUE"""),"บิ๊กซี MINI")</f>
        <v>บิ๊กซี MINI</v>
      </c>
      <c r="F1123" s="1" t="str">
        <f>IFERROR(__xludf.DUMMYFUNCTION("""COMPUTED_VALUE"""),"250760")</f>
        <v>250760</v>
      </c>
      <c r="G1123" s="1" t="str">
        <f>IFERROR(__xludf.DUMMYFUNCTION("""COMPUTED_VALUE"""),"นายประทวน สาราบรรณ์")</f>
        <v>นายประทวน สาราบรรณ์</v>
      </c>
      <c r="H1123" s="1" t="str">
        <f>IFERROR(__xludf.DUMMYFUNCTION("""COMPUTED_VALUE"""),"228389")</f>
        <v>228389</v>
      </c>
      <c r="I1123" s="1" t="str">
        <f>IFERROR(__xludf.DUMMYFUNCTION("""COMPUTED_VALUE"""),"นายมณีรันดร์ ชัยชนะ")</f>
        <v>นายมณีรันดร์ ชัยชนะ</v>
      </c>
      <c r="J1123" s="3">
        <f>IFERROR(__xludf.DUMMYFUNCTION("""COMPUTED_VALUE"""),25324.0)</f>
        <v>25324</v>
      </c>
      <c r="K1123" s="3" t="str">
        <f>IFERROR(__xludf.DUMMYFUNCTION("""COMPUTED_VALUE"""),"นายวิเชฎฐ์ ติรัตนะประคม")</f>
        <v>นายวิเชฎฐ์ ติรัตนะประคม</v>
      </c>
      <c r="L1123" s="1" t="str">
        <f>IFERROR(__xludf.DUMMYFUNCTION("""COMPUTED_VALUE"""),"14 K.Wichet T.")</f>
        <v>14 K.Wichet T.</v>
      </c>
      <c r="M1123" s="1" t="str">
        <f>IFERROR(__xludf.DUMMYFUNCTION("""COMPUTED_VALUE"""),"061-417-6569 / 086-445-5636")</f>
        <v>061-417-6569 / 086-445-5636</v>
      </c>
      <c r="N1123" s="3">
        <f>IFERROR(__xludf.DUMMYFUNCTION("""COMPUTED_VALUE"""),22658.0)</f>
        <v>22658</v>
      </c>
      <c r="O1123" s="3" t="str">
        <f>IFERROR(__xludf.DUMMYFUNCTION("""COMPUTED_VALUE"""),"BCM ถ.วิรัชหงษ์หยก ภูเก็ต")</f>
        <v>BCM ถ.วิรัชหงษ์หยก ภูเก็ต</v>
      </c>
      <c r="P1123" s="4">
        <f>IFERROR(__xludf.DUMMYFUNCTION("""COMPUTED_VALUE"""),43799.0)</f>
        <v>43799</v>
      </c>
      <c r="Q1123" s="3" t="str">
        <f>IFERROR(__xludf.DUMMYFUNCTION("""COMPUTED_VALUE"""),"A")</f>
        <v>A</v>
      </c>
      <c r="R1123" s="3" t="str">
        <f>IFERROR(__xludf.DUMMYFUNCTION("""COMPUTED_VALUE"""),"Small Format")</f>
        <v>Small Format</v>
      </c>
      <c r="S1123" s="3" t="str">
        <f>IFERROR(__xludf.DUMMYFUNCTION("""COMPUTED_VALUE"""),"BCM")</f>
        <v>BCM</v>
      </c>
      <c r="T1123" s="3" t="str">
        <f>IFERROR(__xludf.DUMMYFUNCTION("""COMPUTED_VALUE"""),"#N/A")</f>
        <v>#N/A</v>
      </c>
      <c r="U1123" s="3" t="str">
        <f>IFERROR(__xludf.DUMMYFUNCTION("""COMPUTED_VALUE"""),"#N/A")</f>
        <v>#N/A</v>
      </c>
      <c r="V1123" s="3" t="str">
        <f>IFERROR(__xludf.DUMMYFUNCTION("""COMPUTED_VALUE"""),"N")</f>
        <v>N</v>
      </c>
      <c r="W1123" s="3">
        <f>IFERROR(__xludf.DUMMYFUNCTION("""COMPUTED_VALUE"""),211920.0)</f>
        <v>211920</v>
      </c>
      <c r="X1123" s="3" t="str">
        <f>IFERROR(__xludf.DUMMYFUNCTION("""COMPUTED_VALUE"""),"57/9 หมู่6 ตำบลทุ่งตระไคร อำเภอทุ่งตะโก จังหวัดชุมพร 86220")</f>
        <v>57/9 หมู่6 ตำบลทุ่งตระไคร อำเภอทุ่งตะโก จังหวัดชุมพร 86220</v>
      </c>
      <c r="Y1123" s="3"/>
      <c r="Z1123" s="3" t="str">
        <f>IFERROR(__xludf.DUMMYFUNCTION("""COMPUTED_VALUE"""),"ทุ่งตระไคร")</f>
        <v>ทุ่งตระไคร</v>
      </c>
      <c r="AA1123" s="3" t="str">
        <f>IFERROR(__xludf.DUMMYFUNCTION("""COMPUTED_VALUE"""),"ทุ่งตะโก")</f>
        <v>ทุ่งตะโก</v>
      </c>
      <c r="AB1123" s="3" t="str">
        <f>IFERROR(__xludf.DUMMYFUNCTION("""COMPUTED_VALUE"""),"ชุมพร")</f>
        <v>ชุมพร</v>
      </c>
      <c r="AC1123" s="3">
        <f>IFERROR(__xludf.DUMMYFUNCTION("""COMPUTED_VALUE"""),86220.0)</f>
        <v>86220</v>
      </c>
      <c r="AD1123" s="3">
        <f>IFERROR(__xludf.DUMMYFUNCTION("""COMPUTED_VALUE"""),10.136516)</f>
        <v>10.136516</v>
      </c>
      <c r="AE1123" s="3">
        <f>IFERROR(__xludf.DUMMYFUNCTION("""COMPUTED_VALUE"""),99.090574)</f>
        <v>99.090574</v>
      </c>
      <c r="AF1123" s="3" t="str">
        <f>IFERROR(__xludf.DUMMYFUNCTION("""COMPUTED_VALUE"""),"MBC เขาปีบ ชุมพร-21895")</f>
        <v>MBC เขาปีบ ชุมพร-21895</v>
      </c>
      <c r="AG1123" s="3" t="str">
        <f>IFERROR(__xludf.DUMMYFUNCTION("""COMPUTED_VALUE"""),"ใต้")</f>
        <v>ใต้</v>
      </c>
      <c r="AH1123" s="3" t="str">
        <f>IFERROR(__xludf.DUMMYFUNCTION("""COMPUTED_VALUE"""),"#N/A")</f>
        <v>#N/A</v>
      </c>
      <c r="AI1123" s="3" t="str">
        <f>IFERROR(__xludf.DUMMYFUNCTION("""COMPUTED_VALUE"""),"Out of warranty")</f>
        <v>Out of warranty</v>
      </c>
      <c r="AJ1123" s="3">
        <f>IFERROR(__xludf.DUMMYFUNCTION("""COMPUTED_VALUE"""),74.0)</f>
        <v>74</v>
      </c>
      <c r="AK1123" s="3" t="str">
        <f>IFERROR(__xludf.DUMMYFUNCTION("""COMPUTED_VALUE"""),"MMS14")</f>
        <v>MMS14</v>
      </c>
      <c r="AL1123" s="3"/>
    </row>
    <row r="1124" ht="15.75" customHeight="1">
      <c r="A1124" s="1" t="str">
        <f>IFERROR(__xludf.DUMMYFUNCTION("""COMPUTED_VALUE"""),"21896")</f>
        <v>21896</v>
      </c>
      <c r="B1124" s="2">
        <f>IFERROR(__xludf.DUMMYFUNCTION("""COMPUTED_VALUE"""),21896.0)</f>
        <v>21896</v>
      </c>
      <c r="C1124" s="3" t="str">
        <f>IFERROR(__xludf.DUMMYFUNCTION("""COMPUTED_VALUE"""),"MBC ตลาดสันติสุข2 อุบลราชธานี")</f>
        <v>MBC ตลาดสันติสุข2 อุบลราชธานี</v>
      </c>
      <c r="D1124" s="3" t="str">
        <f>IFERROR(__xludf.DUMMYFUNCTION("""COMPUTED_VALUE"""),"BCM TALAD SUNTISOOK2")</f>
        <v>BCM TALAD SUNTISOOK2</v>
      </c>
      <c r="E1124" s="1" t="str">
        <f>IFERROR(__xludf.DUMMYFUNCTION("""COMPUTED_VALUE"""),"บิ๊กซี MINI")</f>
        <v>บิ๊กซี MINI</v>
      </c>
      <c r="F1124" s="1" t="str">
        <f>IFERROR(__xludf.DUMMYFUNCTION("""COMPUTED_VALUE"""),"291105")</f>
        <v>291105</v>
      </c>
      <c r="G1124" s="1" t="str">
        <f>IFERROR(__xludf.DUMMYFUNCTION("""COMPUTED_VALUE"""),"นายสราวุฒิ พณิชยกุล")</f>
        <v>นายสราวุฒิ พณิชยกุล</v>
      </c>
      <c r="H1124" s="1" t="str">
        <f>IFERROR(__xludf.DUMMYFUNCTION("""COMPUTED_VALUE"""),"250772")</f>
        <v>250772</v>
      </c>
      <c r="I1124" s="1" t="str">
        <f>IFERROR(__xludf.DUMMYFUNCTION("""COMPUTED_VALUE"""),"น.ส.วรุณยุพา จรูญไธสง")</f>
        <v>น.ส.วรุณยุพา จรูญไธสง</v>
      </c>
      <c r="J1124" s="3">
        <f>IFERROR(__xludf.DUMMYFUNCTION("""COMPUTED_VALUE"""),2454781.0)</f>
        <v>2454781</v>
      </c>
      <c r="K1124" s="3" t="str">
        <f>IFERROR(__xludf.DUMMYFUNCTION("""COMPUTED_VALUE"""),"นายฌานกฤช นันทะโคต")</f>
        <v>นายฌานกฤช นันทะโคต</v>
      </c>
      <c r="L1124" s="1" t="str">
        <f>IFERROR(__xludf.DUMMYFUNCTION("""COMPUTED_VALUE"""),"05 K.Chanakrit N.")</f>
        <v>05 K.Chanakrit N.</v>
      </c>
      <c r="M1124" s="1" t="str">
        <f>IFERROR(__xludf.DUMMYFUNCTION("""COMPUTED_VALUE"""),"090-978-9785 ,065-929-1320")</f>
        <v>090-978-9785 ,065-929-1320</v>
      </c>
      <c r="N1124" s="3">
        <f>IFERROR(__xludf.DUMMYFUNCTION("""COMPUTED_VALUE"""),22195.0)</f>
        <v>22195</v>
      </c>
      <c r="O1124" s="3" t="str">
        <f>IFERROR(__xludf.DUMMYFUNCTION("""COMPUTED_VALUE"""),"MBC กันทรลักษ์ ศรีสะเกษ")</f>
        <v>MBC กันทรลักษ์ ศรีสะเกษ</v>
      </c>
      <c r="P1124" s="4">
        <f>IFERROR(__xludf.DUMMYFUNCTION("""COMPUTED_VALUE"""),43732.0)</f>
        <v>43732</v>
      </c>
      <c r="Q1124" s="3" t="str">
        <f>IFERROR(__xludf.DUMMYFUNCTION("""COMPUTED_VALUE"""),"A")</f>
        <v>A</v>
      </c>
      <c r="R1124" s="3" t="str">
        <f>IFERROR(__xludf.DUMMYFUNCTION("""COMPUTED_VALUE"""),"Small Format")</f>
        <v>Small Format</v>
      </c>
      <c r="S1124" s="3" t="str">
        <f>IFERROR(__xludf.DUMMYFUNCTION("""COMPUTED_VALUE"""),"BCM")</f>
        <v>BCM</v>
      </c>
      <c r="T1124" s="3" t="str">
        <f>IFERROR(__xludf.DUMMYFUNCTION("""COMPUTED_VALUE"""),"#N/A")</f>
        <v>#N/A</v>
      </c>
      <c r="U1124" s="3" t="str">
        <f>IFERROR(__xludf.DUMMYFUNCTION("""COMPUTED_VALUE"""),"#N/A")</f>
        <v>#N/A</v>
      </c>
      <c r="V1124" s="3" t="str">
        <f>IFERROR(__xludf.DUMMYFUNCTION("""COMPUTED_VALUE"""),"N")</f>
        <v>N</v>
      </c>
      <c r="W1124" s="3">
        <f>IFERROR(__xludf.DUMMYFUNCTION("""COMPUTED_VALUE"""),211914.0)</f>
        <v>211914</v>
      </c>
      <c r="X1124" s="3" t="str">
        <f>IFERROR(__xludf.DUMMYFUNCTION("""COMPUTED_VALUE"""),"557 หมู่16 ตำบลไร่น้อย อำเภอเมืองอุบลราชธานี จังหวัดอุบลราชธานี 34000")</f>
        <v>557 หมู่16 ตำบลไร่น้อย อำเภอเมืองอุบลราชธานี จังหวัดอุบลราชธานี 34000</v>
      </c>
      <c r="Y1124" s="3"/>
      <c r="Z1124" s="3" t="str">
        <f>IFERROR(__xludf.DUMMYFUNCTION("""COMPUTED_VALUE"""),"ไร่น้อย")</f>
        <v>ไร่น้อย</v>
      </c>
      <c r="AA1124" s="3" t="str">
        <f>IFERROR(__xludf.DUMMYFUNCTION("""COMPUTED_VALUE"""),"เมือง")</f>
        <v>เมือง</v>
      </c>
      <c r="AB1124" s="3" t="str">
        <f>IFERROR(__xludf.DUMMYFUNCTION("""COMPUTED_VALUE"""),"อุบลราชธานี")</f>
        <v>อุบลราชธานี</v>
      </c>
      <c r="AC1124" s="3">
        <f>IFERROR(__xludf.DUMMYFUNCTION("""COMPUTED_VALUE"""),34000.0)</f>
        <v>34000</v>
      </c>
      <c r="AD1124" s="3">
        <f>IFERROR(__xludf.DUMMYFUNCTION("""COMPUTED_VALUE"""),15.294706)</f>
        <v>15.294706</v>
      </c>
      <c r="AE1124" s="3">
        <f>IFERROR(__xludf.DUMMYFUNCTION("""COMPUTED_VALUE"""),104.889868)</f>
        <v>104.889868</v>
      </c>
      <c r="AF1124" s="3" t="str">
        <f>IFERROR(__xludf.DUMMYFUNCTION("""COMPUTED_VALUE"""),"MBC ตลาดสันติสุข2 อุบลราชธานี-21896")</f>
        <v>MBC ตลาดสันติสุข2 อุบลราชธานี-21896</v>
      </c>
      <c r="AG1124" s="3" t="str">
        <f>IFERROR(__xludf.DUMMYFUNCTION("""COMPUTED_VALUE"""),"ตะวันออกเฉียงเหนือ")</f>
        <v>ตะวันออกเฉียงเหนือ</v>
      </c>
      <c r="AH1124" s="3" t="str">
        <f>IFERROR(__xludf.DUMMYFUNCTION("""COMPUTED_VALUE"""),"#N/A")</f>
        <v>#N/A</v>
      </c>
      <c r="AI1124" s="3" t="str">
        <f>IFERROR(__xludf.DUMMYFUNCTION("""COMPUTED_VALUE"""),"Out of warranty")</f>
        <v>Out of warranty</v>
      </c>
      <c r="AJ1124" s="3">
        <f>IFERROR(__xludf.DUMMYFUNCTION("""COMPUTED_VALUE"""),76.0)</f>
        <v>76</v>
      </c>
      <c r="AK1124" s="3" t="str">
        <f>IFERROR(__xludf.DUMMYFUNCTION("""COMPUTED_VALUE"""),"MMS13")</f>
        <v>MMS13</v>
      </c>
      <c r="AL1124" s="3"/>
    </row>
    <row r="1125" ht="15.75" customHeight="1">
      <c r="A1125" s="1" t="str">
        <f>IFERROR(__xludf.DUMMYFUNCTION("""COMPUTED_VALUE"""),"21897")</f>
        <v>21897</v>
      </c>
      <c r="B1125" s="2">
        <f>IFERROR(__xludf.DUMMYFUNCTION("""COMPUTED_VALUE"""),21897.0)</f>
        <v>21897</v>
      </c>
      <c r="C1125" s="3" t="str">
        <f>IFERROR(__xludf.DUMMYFUNCTION("""COMPUTED_VALUE"""),"MBC ทุ่งคา ชลบุรี")</f>
        <v>MBC ทุ่งคา ชลบุรี</v>
      </c>
      <c r="D1125" s="3" t="str">
        <f>IFERROR(__xludf.DUMMYFUNCTION("""COMPUTED_VALUE"""),"BCM THUNGKHA,CHONBURI")</f>
        <v>BCM THUNGKHA,CHONBURI</v>
      </c>
      <c r="E1125" s="1" t="str">
        <f>IFERROR(__xludf.DUMMYFUNCTION("""COMPUTED_VALUE"""),"บิ๊กซี MINI")</f>
        <v>บิ๊กซี MINI</v>
      </c>
      <c r="F1125" s="1" t="str">
        <f>IFERROR(__xludf.DUMMYFUNCTION("""COMPUTED_VALUE"""),"221716")</f>
        <v>221716</v>
      </c>
      <c r="G1125" s="1" t="str">
        <f>IFERROR(__xludf.DUMMYFUNCTION("""COMPUTED_VALUE"""),"น.ส.เบญจพร โพธิสาร")</f>
        <v>น.ส.เบญจพร โพธิสาร</v>
      </c>
      <c r="H1125" s="1" t="str">
        <f>IFERROR(__xludf.DUMMYFUNCTION("""COMPUTED_VALUE"""),"313065")</f>
        <v>313065</v>
      </c>
      <c r="I1125" s="1" t="str">
        <f>IFERROR(__xludf.DUMMYFUNCTION("""COMPUTED_VALUE"""),"นายจิรายุทธ กันทา")</f>
        <v>นายจิรายุทธ กันทา</v>
      </c>
      <c r="J1125" s="3">
        <f>IFERROR(__xludf.DUMMYFUNCTION("""COMPUTED_VALUE"""),1.3461215E7)</f>
        <v>13461215</v>
      </c>
      <c r="K1125" s="3" t="str">
        <f>IFERROR(__xludf.DUMMYFUNCTION("""COMPUTED_VALUE"""),"นายธีรภัทร สังข์เงิน")</f>
        <v>นายธีรภัทร สังข์เงิน</v>
      </c>
      <c r="L1125" s="1" t="str">
        <f>IFERROR(__xludf.DUMMYFUNCTION("""COMPUTED_VALUE"""),"06 K.Teerapat")</f>
        <v>06 K.Teerapat</v>
      </c>
      <c r="M1125" s="1" t="str">
        <f>IFERROR(__xludf.DUMMYFUNCTION("""COMPUTED_VALUE"""),"063-601-6803")</f>
        <v>063-601-6803</v>
      </c>
      <c r="N1125" s="3">
        <f>IFERROR(__xludf.DUMMYFUNCTION("""COMPUTED_VALUE"""),22115.0)</f>
        <v>22115</v>
      </c>
      <c r="O1125" s="3" t="str">
        <f>IFERROR(__xludf.DUMMYFUNCTION("""COMPUTED_VALUE"""),"MBC เลี่ยงหนองมน ชลบุรี")</f>
        <v>MBC เลี่ยงหนองมน ชลบุรี</v>
      </c>
      <c r="P1125" s="4">
        <f>IFERROR(__xludf.DUMMYFUNCTION("""COMPUTED_VALUE"""),43736.0)</f>
        <v>43736</v>
      </c>
      <c r="Q1125" s="3" t="str">
        <f>IFERROR(__xludf.DUMMYFUNCTION("""COMPUTED_VALUE"""),"A")</f>
        <v>A</v>
      </c>
      <c r="R1125" s="3" t="str">
        <f>IFERROR(__xludf.DUMMYFUNCTION("""COMPUTED_VALUE"""),"Small Format")</f>
        <v>Small Format</v>
      </c>
      <c r="S1125" s="3" t="str">
        <f>IFERROR(__xludf.DUMMYFUNCTION("""COMPUTED_VALUE"""),"BCM")</f>
        <v>BCM</v>
      </c>
      <c r="T1125" s="3" t="str">
        <f>IFERROR(__xludf.DUMMYFUNCTION("""COMPUTED_VALUE"""),"#N/A")</f>
        <v>#N/A</v>
      </c>
      <c r="U1125" s="3" t="str">
        <f>IFERROR(__xludf.DUMMYFUNCTION("""COMPUTED_VALUE"""),"#N/A")</f>
        <v>#N/A</v>
      </c>
      <c r="V1125" s="3" t="str">
        <f>IFERROR(__xludf.DUMMYFUNCTION("""COMPUTED_VALUE"""),"N")</f>
        <v>N</v>
      </c>
      <c r="W1125" s="3">
        <f>IFERROR(__xludf.DUMMYFUNCTION("""COMPUTED_VALUE"""),211957.0)</f>
        <v>211957</v>
      </c>
      <c r="X1125" s="3" t="str">
        <f>IFERROR(__xludf.DUMMYFUNCTION("""COMPUTED_VALUE"""),"63/13 หมู่1 ตำบลห้วยใหญ่ อำเภอบางละมุง จังหวัดชลบุรี 20150")</f>
        <v>63/13 หมู่1 ตำบลห้วยใหญ่ อำเภอบางละมุง จังหวัดชลบุรี 20150</v>
      </c>
      <c r="Y1125" s="3"/>
      <c r="Z1125" s="3" t="str">
        <f>IFERROR(__xludf.DUMMYFUNCTION("""COMPUTED_VALUE"""),"ห้วยใหญ่")</f>
        <v>ห้วยใหญ่</v>
      </c>
      <c r="AA1125" s="3" t="str">
        <f>IFERROR(__xludf.DUMMYFUNCTION("""COMPUTED_VALUE"""),"บางละมุง")</f>
        <v>บางละมุง</v>
      </c>
      <c r="AB1125" s="3" t="str">
        <f>IFERROR(__xludf.DUMMYFUNCTION("""COMPUTED_VALUE"""),"ชลบุรี")</f>
        <v>ชลบุรี</v>
      </c>
      <c r="AC1125" s="3">
        <f>IFERROR(__xludf.DUMMYFUNCTION("""COMPUTED_VALUE"""),20150.0)</f>
        <v>20150</v>
      </c>
      <c r="AD1125" s="3">
        <f>IFERROR(__xludf.DUMMYFUNCTION("""COMPUTED_VALUE"""),12.861035)</f>
        <v>12.861035</v>
      </c>
      <c r="AE1125" s="3">
        <f>IFERROR(__xludf.DUMMYFUNCTION("""COMPUTED_VALUE"""),100.929309)</f>
        <v>100.929309</v>
      </c>
      <c r="AF1125" s="3" t="str">
        <f>IFERROR(__xludf.DUMMYFUNCTION("""COMPUTED_VALUE"""),"MBC ทุ่งคา ชลบุรี-21897")</f>
        <v>MBC ทุ่งคา ชลบุรี-21897</v>
      </c>
      <c r="AG1125" s="3" t="str">
        <f>IFERROR(__xludf.DUMMYFUNCTION("""COMPUTED_VALUE"""),"ตะวันออก")</f>
        <v>ตะวันออก</v>
      </c>
      <c r="AH1125" s="3" t="str">
        <f>IFERROR(__xludf.DUMMYFUNCTION("""COMPUTED_VALUE"""),"#N/A")</f>
        <v>#N/A</v>
      </c>
      <c r="AI1125" s="3" t="str">
        <f>IFERROR(__xludf.DUMMYFUNCTION("""COMPUTED_VALUE"""),"Out of warranty")</f>
        <v>Out of warranty</v>
      </c>
      <c r="AJ1125" s="3">
        <f>IFERROR(__xludf.DUMMYFUNCTION("""COMPUTED_VALUE"""),76.0)</f>
        <v>76</v>
      </c>
      <c r="AK1125" s="3" t="str">
        <f>IFERROR(__xludf.DUMMYFUNCTION("""COMPUTED_VALUE"""),"MMS08")</f>
        <v>MMS08</v>
      </c>
      <c r="AL1125" s="3"/>
    </row>
    <row r="1126" ht="15.75" customHeight="1">
      <c r="A1126" s="1" t="str">
        <f>IFERROR(__xludf.DUMMYFUNCTION("""COMPUTED_VALUE"""),"21898")</f>
        <v>21898</v>
      </c>
      <c r="B1126" s="2">
        <f>IFERROR(__xludf.DUMMYFUNCTION("""COMPUTED_VALUE"""),21898.0)</f>
        <v>21898</v>
      </c>
      <c r="C1126" s="3" t="str">
        <f>IFERROR(__xludf.DUMMYFUNCTION("""COMPUTED_VALUE"""),"MBC ตลาดเทศบาลกันทรารมย์ ศรีสะเกษ")</f>
        <v>MBC ตลาดเทศบาลกันทรารมย์ ศรีสะเกษ</v>
      </c>
      <c r="D1126" s="3" t="str">
        <f>IFERROR(__xludf.DUMMYFUNCTION("""COMPUTED_VALUE"""),"BCM TALAD TESSABAN KANTRARAROM")</f>
        <v>BCM TALAD TESSABAN KANTRARAROM</v>
      </c>
      <c r="E1126" s="1" t="str">
        <f>IFERROR(__xludf.DUMMYFUNCTION("""COMPUTED_VALUE"""),"บิ๊กซี MINI")</f>
        <v>บิ๊กซี MINI</v>
      </c>
      <c r="F1126" s="1" t="str">
        <f>IFERROR(__xludf.DUMMYFUNCTION("""COMPUTED_VALUE"""),"291105")</f>
        <v>291105</v>
      </c>
      <c r="G1126" s="1" t="str">
        <f>IFERROR(__xludf.DUMMYFUNCTION("""COMPUTED_VALUE"""),"นายสราวุฒิ พณิชยกุล")</f>
        <v>นายสราวุฒิ พณิชยกุล</v>
      </c>
      <c r="H1126" s="1" t="str">
        <f>IFERROR(__xludf.DUMMYFUNCTION("""COMPUTED_VALUE"""),"398146")</f>
        <v>398146</v>
      </c>
      <c r="I1126" s="1" t="str">
        <f>IFERROR(__xludf.DUMMYFUNCTION("""COMPUTED_VALUE"""),"น.ส.กนกสิริ สุขหอม")</f>
        <v>น.ส.กนกสิริ สุขหอม</v>
      </c>
      <c r="J1126" s="3">
        <f>IFERROR(__xludf.DUMMYFUNCTION("""COMPUTED_VALUE"""),2454781.0)</f>
        <v>2454781</v>
      </c>
      <c r="K1126" s="3" t="str">
        <f>IFERROR(__xludf.DUMMYFUNCTION("""COMPUTED_VALUE"""),"นายฌานกฤช นันทะโคต")</f>
        <v>นายฌานกฤช นันทะโคต</v>
      </c>
      <c r="L1126" s="1" t="str">
        <f>IFERROR(__xludf.DUMMYFUNCTION("""COMPUTED_VALUE"""),"05 K.Chanakrit N.")</f>
        <v>05 K.Chanakrit N.</v>
      </c>
      <c r="M1126" s="1" t="str">
        <f>IFERROR(__xludf.DUMMYFUNCTION("""COMPUTED_VALUE"""),"090-978-9785 ,065-929-1320")</f>
        <v>090-978-9785 ,065-929-1320</v>
      </c>
      <c r="N1126" s="3">
        <f>IFERROR(__xludf.DUMMYFUNCTION("""COMPUTED_VALUE"""),22195.0)</f>
        <v>22195</v>
      </c>
      <c r="O1126" s="3" t="str">
        <f>IFERROR(__xludf.DUMMYFUNCTION("""COMPUTED_VALUE"""),"MBC กันทรลักษ์ ศรีสะเกษ")</f>
        <v>MBC กันทรลักษ์ ศรีสะเกษ</v>
      </c>
      <c r="P1126" s="4">
        <f>IFERROR(__xludf.DUMMYFUNCTION("""COMPUTED_VALUE"""),43738.0)</f>
        <v>43738</v>
      </c>
      <c r="Q1126" s="3" t="str">
        <f>IFERROR(__xludf.DUMMYFUNCTION("""COMPUTED_VALUE"""),"A")</f>
        <v>A</v>
      </c>
      <c r="R1126" s="3" t="str">
        <f>IFERROR(__xludf.DUMMYFUNCTION("""COMPUTED_VALUE"""),"Small Format")</f>
        <v>Small Format</v>
      </c>
      <c r="S1126" s="3" t="str">
        <f>IFERROR(__xludf.DUMMYFUNCTION("""COMPUTED_VALUE"""),"BCM")</f>
        <v>BCM</v>
      </c>
      <c r="T1126" s="3" t="str">
        <f>IFERROR(__xludf.DUMMYFUNCTION("""COMPUTED_VALUE"""),"#N/A")</f>
        <v>#N/A</v>
      </c>
      <c r="U1126" s="3" t="str">
        <f>IFERROR(__xludf.DUMMYFUNCTION("""COMPUTED_VALUE"""),"#N/A")</f>
        <v>#N/A</v>
      </c>
      <c r="V1126" s="3" t="str">
        <f>IFERROR(__xludf.DUMMYFUNCTION("""COMPUTED_VALUE"""),"N")</f>
        <v>N</v>
      </c>
      <c r="W1126" s="3">
        <f>IFERROR(__xludf.DUMMYFUNCTION("""COMPUTED_VALUE"""),211888.0)</f>
        <v>211888</v>
      </c>
      <c r="X1126" s="3" t="str">
        <f>IFERROR(__xludf.DUMMYFUNCTION("""COMPUTED_VALUE"""),"64/17 หมู่5 ตำบลดูน อำเภอกันทรารมย์ จังหวัดศรีสะเกษ 33130")</f>
        <v>64/17 หมู่5 ตำบลดูน อำเภอกันทรารมย์ จังหวัดศรีสะเกษ 33130</v>
      </c>
      <c r="Y1126" s="3"/>
      <c r="Z1126" s="3" t="str">
        <f>IFERROR(__xludf.DUMMYFUNCTION("""COMPUTED_VALUE"""),"ดูน")</f>
        <v>ดูน</v>
      </c>
      <c r="AA1126" s="3" t="str">
        <f>IFERROR(__xludf.DUMMYFUNCTION("""COMPUTED_VALUE"""),"กันทรารมย์")</f>
        <v>กันทรารมย์</v>
      </c>
      <c r="AB1126" s="3" t="str">
        <f>IFERROR(__xludf.DUMMYFUNCTION("""COMPUTED_VALUE"""),"ศรีสะเกษ")</f>
        <v>ศรีสะเกษ</v>
      </c>
      <c r="AC1126" s="3">
        <f>IFERROR(__xludf.DUMMYFUNCTION("""COMPUTED_VALUE"""),33130.0)</f>
        <v>33130</v>
      </c>
      <c r="AD1126" s="3">
        <f>IFERROR(__xludf.DUMMYFUNCTION("""COMPUTED_VALUE"""),15.102527)</f>
        <v>15.102527</v>
      </c>
      <c r="AE1126" s="3">
        <f>IFERROR(__xludf.DUMMYFUNCTION("""COMPUTED_VALUE"""),104.570851)</f>
        <v>104.570851</v>
      </c>
      <c r="AF1126" s="3" t="str">
        <f>IFERROR(__xludf.DUMMYFUNCTION("""COMPUTED_VALUE"""),"MBC ตลาดเทศบาลกันทรารมย์ ศรีสะเกษ-21898")</f>
        <v>MBC ตลาดเทศบาลกันทรารมย์ ศรีสะเกษ-21898</v>
      </c>
      <c r="AG1126" s="3" t="str">
        <f>IFERROR(__xludf.DUMMYFUNCTION("""COMPUTED_VALUE"""),"ตะวันออกเฉียงเหนือ")</f>
        <v>ตะวันออกเฉียงเหนือ</v>
      </c>
      <c r="AH1126" s="3" t="str">
        <f>IFERROR(__xludf.DUMMYFUNCTION("""COMPUTED_VALUE"""),"#N/A")</f>
        <v>#N/A</v>
      </c>
      <c r="AI1126" s="3" t="str">
        <f>IFERROR(__xludf.DUMMYFUNCTION("""COMPUTED_VALUE"""),"Out of warranty")</f>
        <v>Out of warranty</v>
      </c>
      <c r="AJ1126" s="3">
        <f>IFERROR(__xludf.DUMMYFUNCTION("""COMPUTED_VALUE"""),76.0)</f>
        <v>76</v>
      </c>
      <c r="AK1126" s="3" t="str">
        <f>IFERROR(__xludf.DUMMYFUNCTION("""COMPUTED_VALUE"""),"MMS13")</f>
        <v>MMS13</v>
      </c>
      <c r="AL1126" s="3"/>
    </row>
    <row r="1127" ht="15.75" customHeight="1">
      <c r="A1127" s="1" t="str">
        <f>IFERROR(__xludf.DUMMYFUNCTION("""COMPUTED_VALUE"""),"21899")</f>
        <v>21899</v>
      </c>
      <c r="B1127" s="2">
        <f>IFERROR(__xludf.DUMMYFUNCTION("""COMPUTED_VALUE"""),21899.0)</f>
        <v>21899</v>
      </c>
      <c r="C1127" s="3" t="str">
        <f>IFERROR(__xludf.DUMMYFUNCTION("""COMPUTED_VALUE"""),"MBC เขาตะเกียบ ประจวบคีรีขันธ์")</f>
        <v>MBC เขาตะเกียบ ประจวบคีรีขันธ์</v>
      </c>
      <c r="D1127" s="3" t="str">
        <f>IFERROR(__xludf.DUMMYFUNCTION("""COMPUTED_VALUE"""),"BCM KHAO TAKIAB")</f>
        <v>BCM KHAO TAKIAB</v>
      </c>
      <c r="E1127" s="1" t="str">
        <f>IFERROR(__xludf.DUMMYFUNCTION("""COMPUTED_VALUE"""),"บิ๊กซี MINI")</f>
        <v>บิ๊กซี MINI</v>
      </c>
      <c r="F1127" s="1" t="str">
        <f>IFERROR(__xludf.DUMMYFUNCTION("""COMPUTED_VALUE"""),"250760")</f>
        <v>250760</v>
      </c>
      <c r="G1127" s="1" t="str">
        <f>IFERROR(__xludf.DUMMYFUNCTION("""COMPUTED_VALUE"""),"นายประทวน สาราบรรณ์")</f>
        <v>นายประทวน สาราบรรณ์</v>
      </c>
      <c r="H1127" s="1" t="str">
        <f>IFERROR(__xludf.DUMMYFUNCTION("""COMPUTED_VALUE"""),"311437")</f>
        <v>311437</v>
      </c>
      <c r="I1127" s="1" t="str">
        <f>IFERROR(__xludf.DUMMYFUNCTION("""COMPUTED_VALUE"""),"นายฉัตรทพร รักวิเชียร")</f>
        <v>นายฉัตรทพร รักวิเชียร</v>
      </c>
      <c r="J1127" s="3">
        <f>IFERROR(__xludf.DUMMYFUNCTION("""COMPUTED_VALUE"""),25324.0)</f>
        <v>25324</v>
      </c>
      <c r="K1127" s="3" t="str">
        <f>IFERROR(__xludf.DUMMYFUNCTION("""COMPUTED_VALUE"""),"นายวิเชฎฐ์ ติรัตนะประคม")</f>
        <v>นายวิเชฎฐ์ ติรัตนะประคม</v>
      </c>
      <c r="L1127" s="1" t="str">
        <f>IFERROR(__xludf.DUMMYFUNCTION("""COMPUTED_VALUE"""),"14 K.Wichet T.")</f>
        <v>14 K.Wichet T.</v>
      </c>
      <c r="M1127" s="1" t="str">
        <f>IFERROR(__xludf.DUMMYFUNCTION("""COMPUTED_VALUE"""),"061-417-6569 / 086-445-5636")</f>
        <v>061-417-6569 / 086-445-5636</v>
      </c>
      <c r="N1127" s="3">
        <f>IFERROR(__xludf.DUMMYFUNCTION("""COMPUTED_VALUE"""),22658.0)</f>
        <v>22658</v>
      </c>
      <c r="O1127" s="3" t="str">
        <f>IFERROR(__xludf.DUMMYFUNCTION("""COMPUTED_VALUE"""),"BCM ถ.วิรัชหงษ์หยก ภูเก็ต")</f>
        <v>BCM ถ.วิรัชหงษ์หยก ภูเก็ต</v>
      </c>
      <c r="P1127" s="4">
        <f>IFERROR(__xludf.DUMMYFUNCTION("""COMPUTED_VALUE"""),43738.0)</f>
        <v>43738</v>
      </c>
      <c r="Q1127" s="3" t="str">
        <f>IFERROR(__xludf.DUMMYFUNCTION("""COMPUTED_VALUE"""),"A")</f>
        <v>A</v>
      </c>
      <c r="R1127" s="3" t="str">
        <f>IFERROR(__xludf.DUMMYFUNCTION("""COMPUTED_VALUE"""),"Small Format")</f>
        <v>Small Format</v>
      </c>
      <c r="S1127" s="3" t="str">
        <f>IFERROR(__xludf.DUMMYFUNCTION("""COMPUTED_VALUE"""),"BCM")</f>
        <v>BCM</v>
      </c>
      <c r="T1127" s="3" t="str">
        <f>IFERROR(__xludf.DUMMYFUNCTION("""COMPUTED_VALUE"""),"#N/A")</f>
        <v>#N/A</v>
      </c>
      <c r="U1127" s="3" t="str">
        <f>IFERROR(__xludf.DUMMYFUNCTION("""COMPUTED_VALUE"""),"#N/A")</f>
        <v>#N/A</v>
      </c>
      <c r="V1127" s="3" t="str">
        <f>IFERROR(__xludf.DUMMYFUNCTION("""COMPUTED_VALUE"""),"N")</f>
        <v>N</v>
      </c>
      <c r="W1127" s="3">
        <f>IFERROR(__xludf.DUMMYFUNCTION("""COMPUTED_VALUE"""),211917.0)</f>
        <v>211917</v>
      </c>
      <c r="X1127" s="3" t="str">
        <f>IFERROR(__xludf.DUMMYFUNCTION("""COMPUTED_VALUE"""),"121/11 ซอยหมู่บ้านหนองแก ตำบลหนองแก อำเภอหัวหิน จังหวัดประจวบคีรีขันธ์ 77110")</f>
        <v>121/11 ซอยหมู่บ้านหนองแก ตำบลหนองแก อำเภอหัวหิน จังหวัดประจวบคีรีขันธ์ 77110</v>
      </c>
      <c r="Y1127" s="3" t="str">
        <f>IFERROR(__xludf.DUMMYFUNCTION("""COMPUTED_VALUE"""),"ซอยหมู่บ้านหนองแก")</f>
        <v>ซอยหมู่บ้านหนองแก</v>
      </c>
      <c r="Z1127" s="3" t="str">
        <f>IFERROR(__xludf.DUMMYFUNCTION("""COMPUTED_VALUE"""),"หนองแก")</f>
        <v>หนองแก</v>
      </c>
      <c r="AA1127" s="3" t="str">
        <f>IFERROR(__xludf.DUMMYFUNCTION("""COMPUTED_VALUE"""),"หัวหิน")</f>
        <v>หัวหิน</v>
      </c>
      <c r="AB1127" s="3" t="str">
        <f>IFERROR(__xludf.DUMMYFUNCTION("""COMPUTED_VALUE"""),"ประจวบคีรีขันธ์")</f>
        <v>ประจวบคีรีขันธ์</v>
      </c>
      <c r="AC1127" s="3">
        <f>IFERROR(__xludf.DUMMYFUNCTION("""COMPUTED_VALUE"""),77110.0)</f>
        <v>77110</v>
      </c>
      <c r="AD1127" s="3">
        <f>IFERROR(__xludf.DUMMYFUNCTION("""COMPUTED_VALUE"""),12.53261)</f>
        <v>12.53261</v>
      </c>
      <c r="AE1127" s="3">
        <f>IFERROR(__xludf.DUMMYFUNCTION("""COMPUTED_VALUE"""),99.96563)</f>
        <v>99.96563</v>
      </c>
      <c r="AF1127" s="3" t="str">
        <f>IFERROR(__xludf.DUMMYFUNCTION("""COMPUTED_VALUE"""),"MBC เขาตะเกียบ ประจวบคีรีขันธ์-21899")</f>
        <v>MBC เขาตะเกียบ ประจวบคีรีขันธ์-21899</v>
      </c>
      <c r="AG1127" s="3" t="str">
        <f>IFERROR(__xludf.DUMMYFUNCTION("""COMPUTED_VALUE"""),"ตะวันตก")</f>
        <v>ตะวันตก</v>
      </c>
      <c r="AH1127" s="3" t="str">
        <f>IFERROR(__xludf.DUMMYFUNCTION("""COMPUTED_VALUE"""),"#N/A")</f>
        <v>#N/A</v>
      </c>
      <c r="AI1127" s="3" t="str">
        <f>IFERROR(__xludf.DUMMYFUNCTION("""COMPUTED_VALUE"""),"Out of warranty")</f>
        <v>Out of warranty</v>
      </c>
      <c r="AJ1127" s="3">
        <f>IFERROR(__xludf.DUMMYFUNCTION("""COMPUTED_VALUE"""),76.0)</f>
        <v>76</v>
      </c>
      <c r="AK1127" s="3" t="str">
        <f>IFERROR(__xludf.DUMMYFUNCTION("""COMPUTED_VALUE"""),"MMS14")</f>
        <v>MMS14</v>
      </c>
      <c r="AL1127" s="3"/>
    </row>
    <row r="1128" ht="15.75" customHeight="1">
      <c r="A1128" s="1" t="str">
        <f>IFERROR(__xludf.DUMMYFUNCTION("""COMPUTED_VALUE"""),"21900")</f>
        <v>21900</v>
      </c>
      <c r="B1128" s="2">
        <f>IFERROR(__xludf.DUMMYFUNCTION("""COMPUTED_VALUE"""),21900.0)</f>
        <v>21900</v>
      </c>
      <c r="C1128" s="3" t="str">
        <f>IFERROR(__xludf.DUMMYFUNCTION("""COMPUTED_VALUE"""),"MBC หมู่บ้านสุกัญญา ปราจีนบุรี")</f>
        <v>MBC หมู่บ้านสุกัญญา ปราจีนบุรี</v>
      </c>
      <c r="D1128" s="3" t="str">
        <f>IFERROR(__xludf.DUMMYFUNCTION("""COMPUTED_VALUE"""),"BCM MOOBAN SUKANYA")</f>
        <v>BCM MOOBAN SUKANYA</v>
      </c>
      <c r="E1128" s="1" t="str">
        <f>IFERROR(__xludf.DUMMYFUNCTION("""COMPUTED_VALUE"""),"บิ๊กซี MINI")</f>
        <v>บิ๊กซี MINI</v>
      </c>
      <c r="F1128" s="1" t="str">
        <f>IFERROR(__xludf.DUMMYFUNCTION("""COMPUTED_VALUE"""),"2083447")</f>
        <v>2083447</v>
      </c>
      <c r="G1128" s="1" t="str">
        <f>IFERROR(__xludf.DUMMYFUNCTION("""COMPUTED_VALUE"""),"นายอนุกูล ศรีลัดดา")</f>
        <v>นายอนุกูล ศรีลัดดา</v>
      </c>
      <c r="H1128" s="1" t="str">
        <f>IFERROR(__xludf.DUMMYFUNCTION("""COMPUTED_VALUE"""),"259808")</f>
        <v>259808</v>
      </c>
      <c r="I1128" s="1" t="str">
        <f>IFERROR(__xludf.DUMMYFUNCTION("""COMPUTED_VALUE"""),"น.ส.สกุลรัตน์ พิกุลแก้ว")</f>
        <v>น.ส.สกุลรัตน์ พิกุลแก้ว</v>
      </c>
      <c r="J1128" s="3">
        <f>IFERROR(__xludf.DUMMYFUNCTION("""COMPUTED_VALUE"""),510143.0)</f>
        <v>510143</v>
      </c>
      <c r="K1128" s="3" t="str">
        <f>IFERROR(__xludf.DUMMYFUNCTION("""COMPUTED_VALUE"""),"นายธีระวัฒน์ บุญสิทธิ์")</f>
        <v>นายธีระวัฒน์ บุญสิทธิ์</v>
      </c>
      <c r="L1128" s="1" t="str">
        <f>IFERROR(__xludf.DUMMYFUNCTION("""COMPUTED_VALUE"""),"12 K.Theerawat B.")</f>
        <v>12 K.Theerawat B.</v>
      </c>
      <c r="M1128" s="1" t="str">
        <f>IFERROR(__xludf.DUMMYFUNCTION("""COMPUTED_VALUE"""),"0655107379")</f>
        <v>0655107379</v>
      </c>
      <c r="N1128" s="3">
        <f>IFERROR(__xludf.DUMMYFUNCTION("""COMPUTED_VALUE"""),21062.0)</f>
        <v>21062</v>
      </c>
      <c r="O1128" s="3" t="str">
        <f>IFERROR(__xludf.DUMMYFUNCTION("""COMPUTED_VALUE"""),"MBC นิคมนวนคร")</f>
        <v>MBC นิคมนวนคร</v>
      </c>
      <c r="P1128" s="4">
        <f>IFERROR(__xludf.DUMMYFUNCTION("""COMPUTED_VALUE"""),43738.0)</f>
        <v>43738</v>
      </c>
      <c r="Q1128" s="3" t="str">
        <f>IFERROR(__xludf.DUMMYFUNCTION("""COMPUTED_VALUE"""),"A")</f>
        <v>A</v>
      </c>
      <c r="R1128" s="3" t="str">
        <f>IFERROR(__xludf.DUMMYFUNCTION("""COMPUTED_VALUE"""),"Small Format")</f>
        <v>Small Format</v>
      </c>
      <c r="S1128" s="3" t="str">
        <f>IFERROR(__xludf.DUMMYFUNCTION("""COMPUTED_VALUE"""),"BCM")</f>
        <v>BCM</v>
      </c>
      <c r="T1128" s="3" t="str">
        <f>IFERROR(__xludf.DUMMYFUNCTION("""COMPUTED_VALUE"""),"#N/A")</f>
        <v>#N/A</v>
      </c>
      <c r="U1128" s="3" t="str">
        <f>IFERROR(__xludf.DUMMYFUNCTION("""COMPUTED_VALUE"""),"#N/A")</f>
        <v>#N/A</v>
      </c>
      <c r="V1128" s="3" t="str">
        <f>IFERROR(__xludf.DUMMYFUNCTION("""COMPUTED_VALUE"""),"N")</f>
        <v>N</v>
      </c>
      <c r="W1128" s="3">
        <f>IFERROR(__xludf.DUMMYFUNCTION("""COMPUTED_VALUE"""),211908.0)</f>
        <v>211908</v>
      </c>
      <c r="X1128" s="3" t="str">
        <f>IFERROR(__xludf.DUMMYFUNCTION("""COMPUTED_VALUE"""),"207 หมู่4 ตำบลกรอกสมบรูณ์ อำเภอศรีมหาโพธิ จังหวัดปราจีนบุรี 25140")</f>
        <v>207 หมู่4 ตำบลกรอกสมบรูณ์ อำเภอศรีมหาโพธิ จังหวัดปราจีนบุรี 25140</v>
      </c>
      <c r="Y1128" s="3"/>
      <c r="Z1128" s="3" t="str">
        <f>IFERROR(__xludf.DUMMYFUNCTION("""COMPUTED_VALUE"""),"กรอกสมบรูณ์")</f>
        <v>กรอกสมบรูณ์</v>
      </c>
      <c r="AA1128" s="3" t="str">
        <f>IFERROR(__xludf.DUMMYFUNCTION("""COMPUTED_VALUE"""),"ศรีมหาโพธิ")</f>
        <v>ศรีมหาโพธิ</v>
      </c>
      <c r="AB1128" s="3" t="str">
        <f>IFERROR(__xludf.DUMMYFUNCTION("""COMPUTED_VALUE"""),"ปราจีนบุรี")</f>
        <v>ปราจีนบุรี</v>
      </c>
      <c r="AC1128" s="3">
        <f>IFERROR(__xludf.DUMMYFUNCTION("""COMPUTED_VALUE"""),25140.0)</f>
        <v>25140</v>
      </c>
      <c r="AD1128" s="3">
        <f>IFERROR(__xludf.DUMMYFUNCTION("""COMPUTED_VALUE"""),13.89284)</f>
        <v>13.89284</v>
      </c>
      <c r="AE1128" s="3">
        <f>IFERROR(__xludf.DUMMYFUNCTION("""COMPUTED_VALUE"""),101.5889)</f>
        <v>101.5889</v>
      </c>
      <c r="AF1128" s="3" t="str">
        <f>IFERROR(__xludf.DUMMYFUNCTION("""COMPUTED_VALUE"""),"MBC หมู่บ้านสุกัญญา ปราจีนบุรี-21900")</f>
        <v>MBC หมู่บ้านสุกัญญา ปราจีนบุรี-21900</v>
      </c>
      <c r="AG1128" s="3" t="str">
        <f>IFERROR(__xludf.DUMMYFUNCTION("""COMPUTED_VALUE"""),"ตะวันออก")</f>
        <v>ตะวันออก</v>
      </c>
      <c r="AH1128" s="3" t="str">
        <f>IFERROR(__xludf.DUMMYFUNCTION("""COMPUTED_VALUE"""),"#N/A")</f>
        <v>#N/A</v>
      </c>
      <c r="AI1128" s="3" t="str">
        <f>IFERROR(__xludf.DUMMYFUNCTION("""COMPUTED_VALUE"""),"Out of warranty")</f>
        <v>Out of warranty</v>
      </c>
      <c r="AJ1128" s="3">
        <f>IFERROR(__xludf.DUMMYFUNCTION("""COMPUTED_VALUE"""),76.0)</f>
        <v>76</v>
      </c>
      <c r="AK1128" s="3" t="str">
        <f>IFERROR(__xludf.DUMMYFUNCTION("""COMPUTED_VALUE"""),"MMS08")</f>
        <v>MMS08</v>
      </c>
      <c r="AL1128" s="3"/>
    </row>
    <row r="1129" ht="15.75" customHeight="1">
      <c r="A1129" s="1" t="str">
        <f>IFERROR(__xludf.DUMMYFUNCTION("""COMPUTED_VALUE"""),"21901")</f>
        <v>21901</v>
      </c>
      <c r="B1129" s="2">
        <f>IFERROR(__xludf.DUMMYFUNCTION("""COMPUTED_VALUE"""),21901.0)</f>
        <v>21901</v>
      </c>
      <c r="C1129" s="3" t="str">
        <f>IFERROR(__xludf.DUMMYFUNCTION("""COMPUTED_VALUE"""),"MBC มาบอำมฤต ชุมพร")</f>
        <v>MBC มาบอำมฤต ชุมพร</v>
      </c>
      <c r="D1129" s="3" t="str">
        <f>IFERROR(__xludf.DUMMYFUNCTION("""COMPUTED_VALUE"""),"BCM MAB AMMARIT,CHUMPHON")</f>
        <v>BCM MAB AMMARIT,CHUMPHON</v>
      </c>
      <c r="E1129" s="1" t="str">
        <f>IFERROR(__xludf.DUMMYFUNCTION("""COMPUTED_VALUE"""),"บิ๊กซี MINI")</f>
        <v>บิ๊กซี MINI</v>
      </c>
      <c r="F1129" s="1" t="str">
        <f>IFERROR(__xludf.DUMMYFUNCTION("""COMPUTED_VALUE"""),"250760")</f>
        <v>250760</v>
      </c>
      <c r="G1129" s="1" t="str">
        <f>IFERROR(__xludf.DUMMYFUNCTION("""COMPUTED_VALUE"""),"นายประทวน สาราบรรณ์")</f>
        <v>นายประทวน สาราบรรณ์</v>
      </c>
      <c r="H1129" s="1" t="str">
        <f>IFERROR(__xludf.DUMMYFUNCTION("""COMPUTED_VALUE"""),"311437")</f>
        <v>311437</v>
      </c>
      <c r="I1129" s="1" t="str">
        <f>IFERROR(__xludf.DUMMYFUNCTION("""COMPUTED_VALUE"""),"นายฉัตรทพร รักวิเชียร")</f>
        <v>นายฉัตรทพร รักวิเชียร</v>
      </c>
      <c r="J1129" s="3">
        <f>IFERROR(__xludf.DUMMYFUNCTION("""COMPUTED_VALUE"""),25324.0)</f>
        <v>25324</v>
      </c>
      <c r="K1129" s="3" t="str">
        <f>IFERROR(__xludf.DUMMYFUNCTION("""COMPUTED_VALUE"""),"นายวิเชฎฐ์ ติรัตนะประคม")</f>
        <v>นายวิเชฎฐ์ ติรัตนะประคม</v>
      </c>
      <c r="L1129" s="1" t="str">
        <f>IFERROR(__xludf.DUMMYFUNCTION("""COMPUTED_VALUE"""),"14 K.Wichet T.")</f>
        <v>14 K.Wichet T.</v>
      </c>
      <c r="M1129" s="1" t="str">
        <f>IFERROR(__xludf.DUMMYFUNCTION("""COMPUTED_VALUE"""),"061-417-6569 / 086-445-5636")</f>
        <v>061-417-6569 / 086-445-5636</v>
      </c>
      <c r="N1129" s="3">
        <f>IFERROR(__xludf.DUMMYFUNCTION("""COMPUTED_VALUE"""),22658.0)</f>
        <v>22658</v>
      </c>
      <c r="O1129" s="3" t="str">
        <f>IFERROR(__xludf.DUMMYFUNCTION("""COMPUTED_VALUE"""),"BCM ถ.วิรัชหงษ์หยก ภูเก็ต")</f>
        <v>BCM ถ.วิรัชหงษ์หยก ภูเก็ต</v>
      </c>
      <c r="P1129" s="4">
        <f>IFERROR(__xludf.DUMMYFUNCTION("""COMPUTED_VALUE"""),43738.0)</f>
        <v>43738</v>
      </c>
      <c r="Q1129" s="3" t="str">
        <f>IFERROR(__xludf.DUMMYFUNCTION("""COMPUTED_VALUE"""),"A")</f>
        <v>A</v>
      </c>
      <c r="R1129" s="3" t="str">
        <f>IFERROR(__xludf.DUMMYFUNCTION("""COMPUTED_VALUE"""),"Small Format")</f>
        <v>Small Format</v>
      </c>
      <c r="S1129" s="3" t="str">
        <f>IFERROR(__xludf.DUMMYFUNCTION("""COMPUTED_VALUE"""),"BCM")</f>
        <v>BCM</v>
      </c>
      <c r="T1129" s="3" t="str">
        <f>IFERROR(__xludf.DUMMYFUNCTION("""COMPUTED_VALUE"""),"#N/A")</f>
        <v>#N/A</v>
      </c>
      <c r="U1129" s="3" t="str">
        <f>IFERROR(__xludf.DUMMYFUNCTION("""COMPUTED_VALUE"""),"#N/A")</f>
        <v>#N/A</v>
      </c>
      <c r="V1129" s="3" t="str">
        <f>IFERROR(__xludf.DUMMYFUNCTION("""COMPUTED_VALUE"""),"N")</f>
        <v>N</v>
      </c>
      <c r="W1129" s="3">
        <f>IFERROR(__xludf.DUMMYFUNCTION("""COMPUTED_VALUE"""),211874.0)</f>
        <v>211874</v>
      </c>
      <c r="X1129" s="3" t="str">
        <f>IFERROR(__xludf.DUMMYFUNCTION("""COMPUTED_VALUE"""),"32/12 หมู่1 ตำบลดอนยาง อำเภอปะทิว จังหวัดชุมพร 86210")</f>
        <v>32/12 หมู่1 ตำบลดอนยาง อำเภอปะทิว จังหวัดชุมพร 86210</v>
      </c>
      <c r="Y1129" s="3"/>
      <c r="Z1129" s="3" t="str">
        <f>IFERROR(__xludf.DUMMYFUNCTION("""COMPUTED_VALUE"""),"ดอนยาง")</f>
        <v>ดอนยาง</v>
      </c>
      <c r="AA1129" s="3" t="str">
        <f>IFERROR(__xludf.DUMMYFUNCTION("""COMPUTED_VALUE"""),"ปะทิว")</f>
        <v>ปะทิว</v>
      </c>
      <c r="AB1129" s="3" t="str">
        <f>IFERROR(__xludf.DUMMYFUNCTION("""COMPUTED_VALUE"""),"ชุมพร")</f>
        <v>ชุมพร</v>
      </c>
      <c r="AC1129" s="3">
        <f>IFERROR(__xludf.DUMMYFUNCTION("""COMPUTED_VALUE"""),86210.0)</f>
        <v>86210</v>
      </c>
      <c r="AD1129" s="3">
        <f>IFERROR(__xludf.DUMMYFUNCTION("""COMPUTED_VALUE"""),10.867853)</f>
        <v>10.867853</v>
      </c>
      <c r="AE1129" s="3">
        <f>IFERROR(__xludf.DUMMYFUNCTION("""COMPUTED_VALUE"""),99.346155)</f>
        <v>99.346155</v>
      </c>
      <c r="AF1129" s="3" t="str">
        <f>IFERROR(__xludf.DUMMYFUNCTION("""COMPUTED_VALUE"""),"MBC มาบอำมฤต ชุมพร-21901")</f>
        <v>MBC มาบอำมฤต ชุมพร-21901</v>
      </c>
      <c r="AG1129" s="3" t="str">
        <f>IFERROR(__xludf.DUMMYFUNCTION("""COMPUTED_VALUE"""),"ใต้")</f>
        <v>ใต้</v>
      </c>
      <c r="AH1129" s="3" t="str">
        <f>IFERROR(__xludf.DUMMYFUNCTION("""COMPUTED_VALUE"""),"#N/A")</f>
        <v>#N/A</v>
      </c>
      <c r="AI1129" s="3" t="str">
        <f>IFERROR(__xludf.DUMMYFUNCTION("""COMPUTED_VALUE"""),"Out of warranty")</f>
        <v>Out of warranty</v>
      </c>
      <c r="AJ1129" s="3">
        <f>IFERROR(__xludf.DUMMYFUNCTION("""COMPUTED_VALUE"""),76.0)</f>
        <v>76</v>
      </c>
      <c r="AK1129" s="3" t="str">
        <f>IFERROR(__xludf.DUMMYFUNCTION("""COMPUTED_VALUE"""),"MMS14")</f>
        <v>MMS14</v>
      </c>
      <c r="AL1129" s="3"/>
    </row>
    <row r="1130" ht="15.75" customHeight="1">
      <c r="A1130" s="1" t="str">
        <f>IFERROR(__xludf.DUMMYFUNCTION("""COMPUTED_VALUE"""),"21902")</f>
        <v>21902</v>
      </c>
      <c r="B1130" s="2">
        <f>IFERROR(__xludf.DUMMYFUNCTION("""COMPUTED_VALUE"""),21902.0)</f>
        <v>21902</v>
      </c>
      <c r="C1130" s="3" t="str">
        <f>IFERROR(__xludf.DUMMYFUNCTION("""COMPUTED_VALUE"""),"MBC บ้านแม่น้ำ (สมุย) สุราษฎร์ธานี")</f>
        <v>MBC บ้านแม่น้ำ (สมุย) สุราษฎร์ธานี</v>
      </c>
      <c r="D1130" s="3" t="str">
        <f>IFERROR(__xludf.DUMMYFUNCTION("""COMPUTED_VALUE"""),"BCM BAN MAENAM (SAMUI)")</f>
        <v>BCM BAN MAENAM (SAMUI)</v>
      </c>
      <c r="E1130" s="1" t="str">
        <f>IFERROR(__xludf.DUMMYFUNCTION("""COMPUTED_VALUE"""),"บิ๊กซี MINI")</f>
        <v>บิ๊กซี MINI</v>
      </c>
      <c r="F1130" s="1" t="str">
        <f>IFERROR(__xludf.DUMMYFUNCTION("""COMPUTED_VALUE"""),"250760")</f>
        <v>250760</v>
      </c>
      <c r="G1130" s="1" t="str">
        <f>IFERROR(__xludf.DUMMYFUNCTION("""COMPUTED_VALUE"""),"นายประทวน สาราบรรณ์")</f>
        <v>นายประทวน สาราบรรณ์</v>
      </c>
      <c r="H1130" s="1" t="str">
        <f>IFERROR(__xludf.DUMMYFUNCTION("""COMPUTED_VALUE"""),"356760")</f>
        <v>356760</v>
      </c>
      <c r="I1130" s="1" t="str">
        <f>IFERROR(__xludf.DUMMYFUNCTION("""COMPUTED_VALUE"""),"นายภูมิภัทร แก้วพรรณราย")</f>
        <v>นายภูมิภัทร แก้วพรรณราย</v>
      </c>
      <c r="J1130" s="3">
        <f>IFERROR(__xludf.DUMMYFUNCTION("""COMPUTED_VALUE"""),25324.0)</f>
        <v>25324</v>
      </c>
      <c r="K1130" s="3" t="str">
        <f>IFERROR(__xludf.DUMMYFUNCTION("""COMPUTED_VALUE"""),"นายวิเชฎฐ์ ติรัตนะประคม")</f>
        <v>นายวิเชฎฐ์ ติรัตนะประคม</v>
      </c>
      <c r="L1130" s="1" t="str">
        <f>IFERROR(__xludf.DUMMYFUNCTION("""COMPUTED_VALUE"""),"14 K.Wichet T.")</f>
        <v>14 K.Wichet T.</v>
      </c>
      <c r="M1130" s="1" t="str">
        <f>IFERROR(__xludf.DUMMYFUNCTION("""COMPUTED_VALUE"""),"061-417-6569 / 086-445-5636")</f>
        <v>061-417-6569 / 086-445-5636</v>
      </c>
      <c r="N1130" s="3">
        <f>IFERROR(__xludf.DUMMYFUNCTION("""COMPUTED_VALUE"""),22658.0)</f>
        <v>22658</v>
      </c>
      <c r="O1130" s="3" t="str">
        <f>IFERROR(__xludf.DUMMYFUNCTION("""COMPUTED_VALUE"""),"BCM ถ.วิรัชหงษ์หยก ภูเก็ต")</f>
        <v>BCM ถ.วิรัชหงษ์หยก ภูเก็ต</v>
      </c>
      <c r="P1130" s="4">
        <f>IFERROR(__xludf.DUMMYFUNCTION("""COMPUTED_VALUE"""),43721.0)</f>
        <v>43721</v>
      </c>
      <c r="Q1130" s="3" t="str">
        <f>IFERROR(__xludf.DUMMYFUNCTION("""COMPUTED_VALUE"""),"A")</f>
        <v>A</v>
      </c>
      <c r="R1130" s="3" t="str">
        <f>IFERROR(__xludf.DUMMYFUNCTION("""COMPUTED_VALUE"""),"Small Format")</f>
        <v>Small Format</v>
      </c>
      <c r="S1130" s="3" t="str">
        <f>IFERROR(__xludf.DUMMYFUNCTION("""COMPUTED_VALUE"""),"BCM")</f>
        <v>BCM</v>
      </c>
      <c r="T1130" s="3" t="str">
        <f>IFERROR(__xludf.DUMMYFUNCTION("""COMPUTED_VALUE"""),"#N/A")</f>
        <v>#N/A</v>
      </c>
      <c r="U1130" s="3" t="str">
        <f>IFERROR(__xludf.DUMMYFUNCTION("""COMPUTED_VALUE"""),"#N/A")</f>
        <v>#N/A</v>
      </c>
      <c r="V1130" s="3" t="str">
        <f>IFERROR(__xludf.DUMMYFUNCTION("""COMPUTED_VALUE"""),"N")</f>
        <v>N</v>
      </c>
      <c r="W1130" s="3">
        <f>IFERROR(__xludf.DUMMYFUNCTION("""COMPUTED_VALUE"""),211830.0)</f>
        <v>211830</v>
      </c>
      <c r="X1130" s="3" t="str">
        <f>IFERROR(__xludf.DUMMYFUNCTION("""COMPUTED_VALUE"""),"231/9 หมู่1 ตำบลแม่น้ำ อำเภอเกาะสมุย จังหวัดสุราษฎร์ธานี 84330")</f>
        <v>231/9 หมู่1 ตำบลแม่น้ำ อำเภอเกาะสมุย จังหวัดสุราษฎร์ธานี 84330</v>
      </c>
      <c r="Y1130" s="3"/>
      <c r="Z1130" s="3" t="str">
        <f>IFERROR(__xludf.DUMMYFUNCTION("""COMPUTED_VALUE"""),"แม่น้ำ")</f>
        <v>แม่น้ำ</v>
      </c>
      <c r="AA1130" s="3" t="str">
        <f>IFERROR(__xludf.DUMMYFUNCTION("""COMPUTED_VALUE"""),"เกาะสมุย")</f>
        <v>เกาะสมุย</v>
      </c>
      <c r="AB1130" s="3" t="str">
        <f>IFERROR(__xludf.DUMMYFUNCTION("""COMPUTED_VALUE"""),"สุราษฎร์ธานี")</f>
        <v>สุราษฎร์ธานี</v>
      </c>
      <c r="AC1130" s="3">
        <f>IFERROR(__xludf.DUMMYFUNCTION("""COMPUTED_VALUE"""),84330.0)</f>
        <v>84330</v>
      </c>
      <c r="AD1130" s="3">
        <f>IFERROR(__xludf.DUMMYFUNCTION("""COMPUTED_VALUE"""),9.569794)</f>
        <v>9.569794</v>
      </c>
      <c r="AE1130" s="3">
        <f>IFERROR(__xludf.DUMMYFUNCTION("""COMPUTED_VALUE"""),99.99472)</f>
        <v>99.99472</v>
      </c>
      <c r="AF1130" s="3" t="str">
        <f>IFERROR(__xludf.DUMMYFUNCTION("""COMPUTED_VALUE"""),"MBC บ้านแม่น้ำ (สมุย) สุราษฎร์ธานี-21902")</f>
        <v>MBC บ้านแม่น้ำ (สมุย) สุราษฎร์ธานี-21902</v>
      </c>
      <c r="AG1130" s="3" t="str">
        <f>IFERROR(__xludf.DUMMYFUNCTION("""COMPUTED_VALUE"""),"ใต้")</f>
        <v>ใต้</v>
      </c>
      <c r="AH1130" s="3" t="str">
        <f>IFERROR(__xludf.DUMMYFUNCTION("""COMPUTED_VALUE"""),"#N/A")</f>
        <v>#N/A</v>
      </c>
      <c r="AI1130" s="3" t="str">
        <f>IFERROR(__xludf.DUMMYFUNCTION("""COMPUTED_VALUE"""),"Out of warranty")</f>
        <v>Out of warranty</v>
      </c>
      <c r="AJ1130" s="3">
        <f>IFERROR(__xludf.DUMMYFUNCTION("""COMPUTED_VALUE"""),77.0)</f>
        <v>77</v>
      </c>
      <c r="AK1130" s="3" t="str">
        <f>IFERROR(__xludf.DUMMYFUNCTION("""COMPUTED_VALUE"""),"MMS14")</f>
        <v>MMS14</v>
      </c>
      <c r="AL1130" s="3"/>
    </row>
    <row r="1131" ht="15.75" customHeight="1">
      <c r="A1131" s="1" t="str">
        <f>IFERROR(__xludf.DUMMYFUNCTION("""COMPUTED_VALUE"""),"21903")</f>
        <v>21903</v>
      </c>
      <c r="B1131" s="2">
        <f>IFERROR(__xludf.DUMMYFUNCTION("""COMPUTED_VALUE"""),21903.0)</f>
        <v>21903</v>
      </c>
      <c r="C1131" s="3" t="str">
        <f>IFERROR(__xludf.DUMMYFUNCTION("""COMPUTED_VALUE"""),"MBC ถนนราชชุมพล (คอ.2) ระยอง")</f>
        <v>MBC ถนนราชชุมพล (คอ.2) ระยอง</v>
      </c>
      <c r="D1131" s="3" t="str">
        <f>IFERROR(__xludf.DUMMYFUNCTION("""COMPUTED_VALUE"""),"BCM THANON RATCHUMPHON(KHOR2)")</f>
        <v>BCM THANON RATCHUMPHON(KHOR2)</v>
      </c>
      <c r="E1131" s="1" t="str">
        <f>IFERROR(__xludf.DUMMYFUNCTION("""COMPUTED_VALUE"""),"บิ๊กซี MINI")</f>
        <v>บิ๊กซี MINI</v>
      </c>
      <c r="F1131" s="1" t="str">
        <f>IFERROR(__xludf.DUMMYFUNCTION("""COMPUTED_VALUE"""),"221716")</f>
        <v>221716</v>
      </c>
      <c r="G1131" s="1" t="str">
        <f>IFERROR(__xludf.DUMMYFUNCTION("""COMPUTED_VALUE"""),"น.ส.เบญจพร โพธิสาร")</f>
        <v>น.ส.เบญจพร โพธิสาร</v>
      </c>
      <c r="H1131" s="1" t="str">
        <f>IFERROR(__xludf.DUMMYFUNCTION("""COMPUTED_VALUE"""),"359233")</f>
        <v>359233</v>
      </c>
      <c r="I1131" s="1" t="str">
        <f>IFERROR(__xludf.DUMMYFUNCTION("""COMPUTED_VALUE"""),"น.ส.ปยุดา คำมีอ่อน")</f>
        <v>น.ส.ปยุดา คำมีอ่อน</v>
      </c>
      <c r="J1131" s="3">
        <f>IFERROR(__xludf.DUMMYFUNCTION("""COMPUTED_VALUE"""),2452376.0)</f>
        <v>2452376</v>
      </c>
      <c r="K1131" s="3" t="str">
        <f>IFERROR(__xludf.DUMMYFUNCTION("""COMPUTED_VALUE"""),"นายภาคภูมิ ทวีกุล")</f>
        <v>นายภาคภูมิ ทวีกุล</v>
      </c>
      <c r="L1131" s="1" t="str">
        <f>IFERROR(__xludf.DUMMYFUNCTION("""COMPUTED_VALUE"""),"08 K.Parkphum T.")</f>
        <v>08 K.Parkphum T.</v>
      </c>
      <c r="M1131" s="1" t="str">
        <f>IFERROR(__xludf.DUMMYFUNCTION("""COMPUTED_VALUE"""),"097-919-5476")</f>
        <v>097-919-5476</v>
      </c>
      <c r="N1131" s="3">
        <f>IFERROR(__xludf.DUMMYFUNCTION("""COMPUTED_VALUE"""),22028.0)</f>
        <v>22028</v>
      </c>
      <c r="O1131" s="3" t="str">
        <f>IFERROR(__xludf.DUMMYFUNCTION("""COMPUTED_VALUE"""),"MBC ทํบมา ระยอง")</f>
        <v>MBC ทํบมา ระยอง</v>
      </c>
      <c r="P1131" s="4">
        <f>IFERROR(__xludf.DUMMYFUNCTION("""COMPUTED_VALUE"""),43722.0)</f>
        <v>43722</v>
      </c>
      <c r="Q1131" s="3" t="str">
        <f>IFERROR(__xludf.DUMMYFUNCTION("""COMPUTED_VALUE"""),"A")</f>
        <v>A</v>
      </c>
      <c r="R1131" s="3" t="str">
        <f>IFERROR(__xludf.DUMMYFUNCTION("""COMPUTED_VALUE"""),"Small Format")</f>
        <v>Small Format</v>
      </c>
      <c r="S1131" s="3" t="str">
        <f>IFERROR(__xludf.DUMMYFUNCTION("""COMPUTED_VALUE"""),"BCM")</f>
        <v>BCM</v>
      </c>
      <c r="T1131" s="3" t="str">
        <f>IFERROR(__xludf.DUMMYFUNCTION("""COMPUTED_VALUE"""),"#N/A")</f>
        <v>#N/A</v>
      </c>
      <c r="U1131" s="3" t="str">
        <f>IFERROR(__xludf.DUMMYFUNCTION("""COMPUTED_VALUE"""),"#N/A")</f>
        <v>#N/A</v>
      </c>
      <c r="V1131" s="3" t="str">
        <f>IFERROR(__xludf.DUMMYFUNCTION("""COMPUTED_VALUE"""),"N")</f>
        <v>N</v>
      </c>
      <c r="W1131" s="3">
        <f>IFERROR(__xludf.DUMMYFUNCTION("""COMPUTED_VALUE"""),211907.0)</f>
        <v>211907</v>
      </c>
      <c r="X1131" s="3" t="str">
        <f>IFERROR(__xludf.DUMMYFUNCTION("""COMPUTED_VALUE"""),"3/20 หมู่2 ตำบลเนินพระ อำเภอเมืองระยอง จังหวัดระยอง 21000")</f>
        <v>3/20 หมู่2 ตำบลเนินพระ อำเภอเมืองระยอง จังหวัดระยอง 21000</v>
      </c>
      <c r="Y1131" s="3"/>
      <c r="Z1131" s="3" t="str">
        <f>IFERROR(__xludf.DUMMYFUNCTION("""COMPUTED_VALUE"""),"เนินพระ")</f>
        <v>เนินพระ</v>
      </c>
      <c r="AA1131" s="3" t="str">
        <f>IFERROR(__xludf.DUMMYFUNCTION("""COMPUTED_VALUE"""),"เมือง")</f>
        <v>เมือง</v>
      </c>
      <c r="AB1131" s="3" t="str">
        <f>IFERROR(__xludf.DUMMYFUNCTION("""COMPUTED_VALUE"""),"ระยอง")</f>
        <v>ระยอง</v>
      </c>
      <c r="AC1131" s="3">
        <f>IFERROR(__xludf.DUMMYFUNCTION("""COMPUTED_VALUE"""),21000.0)</f>
        <v>21000</v>
      </c>
      <c r="AD1131" s="3">
        <f>IFERROR(__xludf.DUMMYFUNCTION("""COMPUTED_VALUE"""),12.68789)</f>
        <v>12.68789</v>
      </c>
      <c r="AE1131" s="3">
        <f>IFERROR(__xludf.DUMMYFUNCTION("""COMPUTED_VALUE"""),101.2404)</f>
        <v>101.2404</v>
      </c>
      <c r="AF1131" s="3" t="str">
        <f>IFERROR(__xludf.DUMMYFUNCTION("""COMPUTED_VALUE"""),"MBC ถนนราชชุมพล (คอ.2) ระยอง-21903")</f>
        <v>MBC ถนนราชชุมพล (คอ.2) ระยอง-21903</v>
      </c>
      <c r="AG1131" s="3" t="str">
        <f>IFERROR(__xludf.DUMMYFUNCTION("""COMPUTED_VALUE"""),"ตะวันออก")</f>
        <v>ตะวันออก</v>
      </c>
      <c r="AH1131" s="3" t="str">
        <f>IFERROR(__xludf.DUMMYFUNCTION("""COMPUTED_VALUE"""),"#N/A")</f>
        <v>#N/A</v>
      </c>
      <c r="AI1131" s="3" t="str">
        <f>IFERROR(__xludf.DUMMYFUNCTION("""COMPUTED_VALUE"""),"Out of warranty")</f>
        <v>Out of warranty</v>
      </c>
      <c r="AJ1131" s="3">
        <f>IFERROR(__xludf.DUMMYFUNCTION("""COMPUTED_VALUE"""),77.0)</f>
        <v>77</v>
      </c>
      <c r="AK1131" s="3" t="str">
        <f>IFERROR(__xludf.DUMMYFUNCTION("""COMPUTED_VALUE"""),"MMS08")</f>
        <v>MMS08</v>
      </c>
      <c r="AL1131" s="3"/>
    </row>
    <row r="1132" ht="15.75" customHeight="1">
      <c r="A1132" s="1" t="str">
        <f>IFERROR(__xludf.DUMMYFUNCTION("""COMPUTED_VALUE"""),"21904")</f>
        <v>21904</v>
      </c>
      <c r="B1132" s="2">
        <f>IFERROR(__xludf.DUMMYFUNCTION("""COMPUTED_VALUE"""),21904.0)</f>
        <v>21904</v>
      </c>
      <c r="C1132" s="3" t="str">
        <f>IFERROR(__xludf.DUMMYFUNCTION("""COMPUTED_VALUE"""),"MBC เอสโซ่เขาแหลม จันทบุรี")</f>
        <v>MBC เอสโซ่เขาแหลม จันทบุรี</v>
      </c>
      <c r="D1132" s="3" t="str">
        <f>IFERROR(__xludf.DUMMYFUNCTION("""COMPUTED_VALUE"""),"BCM ESSO KHAO LAEM,CHANTHABURI")</f>
        <v>BCM ESSO KHAO LAEM,CHANTHABURI</v>
      </c>
      <c r="E1132" s="1" t="str">
        <f>IFERROR(__xludf.DUMMYFUNCTION("""COMPUTED_VALUE"""),"บิ๊กซี MINI")</f>
        <v>บิ๊กซี MINI</v>
      </c>
      <c r="F1132" s="1" t="str">
        <f>IFERROR(__xludf.DUMMYFUNCTION("""COMPUTED_VALUE"""),"221716")</f>
        <v>221716</v>
      </c>
      <c r="G1132" s="1" t="str">
        <f>IFERROR(__xludf.DUMMYFUNCTION("""COMPUTED_VALUE"""),"น.ส.เบญจพร โพธิสาร")</f>
        <v>น.ส.เบญจพร โพธิสาร</v>
      </c>
      <c r="H1132" s="1" t="str">
        <f>IFERROR(__xludf.DUMMYFUNCTION("""COMPUTED_VALUE"""),"318151")</f>
        <v>318151</v>
      </c>
      <c r="I1132" s="1" t="str">
        <f>IFERROR(__xludf.DUMMYFUNCTION("""COMPUTED_VALUE"""),"นายพลฬกฤตต์ เนตมณี")</f>
        <v>นายพลฬกฤตต์ เนตมณี</v>
      </c>
      <c r="J1132" s="3">
        <f>IFERROR(__xludf.DUMMYFUNCTION("""COMPUTED_VALUE"""),2452376.0)</f>
        <v>2452376</v>
      </c>
      <c r="K1132" s="3" t="str">
        <f>IFERROR(__xludf.DUMMYFUNCTION("""COMPUTED_VALUE"""),"นายภาคภูมิ ทวีกุล")</f>
        <v>นายภาคภูมิ ทวีกุล</v>
      </c>
      <c r="L1132" s="1" t="str">
        <f>IFERROR(__xludf.DUMMYFUNCTION("""COMPUTED_VALUE"""),"08 K.Parkphum T.")</f>
        <v>08 K.Parkphum T.</v>
      </c>
      <c r="M1132" s="1" t="str">
        <f>IFERROR(__xludf.DUMMYFUNCTION("""COMPUTED_VALUE"""),"097-919-5476")</f>
        <v>097-919-5476</v>
      </c>
      <c r="N1132" s="3">
        <f>IFERROR(__xludf.DUMMYFUNCTION("""COMPUTED_VALUE"""),22028.0)</f>
        <v>22028</v>
      </c>
      <c r="O1132" s="3" t="str">
        <f>IFERROR(__xludf.DUMMYFUNCTION("""COMPUTED_VALUE"""),"MBC ทํบมา ระยอง")</f>
        <v>MBC ทํบมา ระยอง</v>
      </c>
      <c r="P1132" s="4">
        <f>IFERROR(__xludf.DUMMYFUNCTION("""COMPUTED_VALUE"""),43730.0)</f>
        <v>43730</v>
      </c>
      <c r="Q1132" s="3" t="str">
        <f>IFERROR(__xludf.DUMMYFUNCTION("""COMPUTED_VALUE"""),"A")</f>
        <v>A</v>
      </c>
      <c r="R1132" s="3" t="str">
        <f>IFERROR(__xludf.DUMMYFUNCTION("""COMPUTED_VALUE"""),"Small Format")</f>
        <v>Small Format</v>
      </c>
      <c r="S1132" s="3" t="str">
        <f>IFERROR(__xludf.DUMMYFUNCTION("""COMPUTED_VALUE"""),"BCM")</f>
        <v>BCM</v>
      </c>
      <c r="T1132" s="3" t="str">
        <f>IFERROR(__xludf.DUMMYFUNCTION("""COMPUTED_VALUE"""),"#N/A")</f>
        <v>#N/A</v>
      </c>
      <c r="U1132" s="3" t="str">
        <f>IFERROR(__xludf.DUMMYFUNCTION("""COMPUTED_VALUE"""),"#N/A")</f>
        <v>#N/A</v>
      </c>
      <c r="V1132" s="3" t="str">
        <f>IFERROR(__xludf.DUMMYFUNCTION("""COMPUTED_VALUE"""),"N")</f>
        <v>N</v>
      </c>
      <c r="W1132" s="3">
        <f>IFERROR(__xludf.DUMMYFUNCTION("""COMPUTED_VALUE"""),210004.0)</f>
        <v>210004</v>
      </c>
      <c r="X1132" s="3" t="str">
        <f>IFERROR(__xludf.DUMMYFUNCTION("""COMPUTED_VALUE"""),"251/16 หมู่13 ตำบลทับช้าง อำเภอสอยดาว จังหวัดจันทบุรี 22180")</f>
        <v>251/16 หมู่13 ตำบลทับช้าง อำเภอสอยดาว จังหวัดจันทบุรี 22180</v>
      </c>
      <c r="Y1132" s="3"/>
      <c r="Z1132" s="3" t="str">
        <f>IFERROR(__xludf.DUMMYFUNCTION("""COMPUTED_VALUE"""),"ทับช้าง")</f>
        <v>ทับช้าง</v>
      </c>
      <c r="AA1132" s="3" t="str">
        <f>IFERROR(__xludf.DUMMYFUNCTION("""COMPUTED_VALUE"""),"สอยดาว")</f>
        <v>สอยดาว</v>
      </c>
      <c r="AB1132" s="3" t="str">
        <f>IFERROR(__xludf.DUMMYFUNCTION("""COMPUTED_VALUE"""),"จันทบุรี")</f>
        <v>จันทบุรี</v>
      </c>
      <c r="AC1132" s="3">
        <f>IFERROR(__xludf.DUMMYFUNCTION("""COMPUTED_VALUE"""),22180.0)</f>
        <v>22180</v>
      </c>
      <c r="AD1132" s="3">
        <f>IFERROR(__xludf.DUMMYFUNCTION("""COMPUTED_VALUE"""),13.31265)</f>
        <v>13.31265</v>
      </c>
      <c r="AE1132" s="3">
        <f>IFERROR(__xludf.DUMMYFUNCTION("""COMPUTED_VALUE"""),102.165159)</f>
        <v>102.165159</v>
      </c>
      <c r="AF1132" s="3" t="str">
        <f>IFERROR(__xludf.DUMMYFUNCTION("""COMPUTED_VALUE"""),"MBC เอสโซ่เขาแหลม จันทบุรี-21904")</f>
        <v>MBC เอสโซ่เขาแหลม จันทบุรี-21904</v>
      </c>
      <c r="AG1132" s="3" t="str">
        <f>IFERROR(__xludf.DUMMYFUNCTION("""COMPUTED_VALUE"""),"ตะวันออก")</f>
        <v>ตะวันออก</v>
      </c>
      <c r="AH1132" s="3" t="str">
        <f>IFERROR(__xludf.DUMMYFUNCTION("""COMPUTED_VALUE"""),"#N/A")</f>
        <v>#N/A</v>
      </c>
      <c r="AI1132" s="3" t="str">
        <f>IFERROR(__xludf.DUMMYFUNCTION("""COMPUTED_VALUE"""),"Out of warranty")</f>
        <v>Out of warranty</v>
      </c>
      <c r="AJ1132" s="3">
        <f>IFERROR(__xludf.DUMMYFUNCTION("""COMPUTED_VALUE"""),76.0)</f>
        <v>76</v>
      </c>
      <c r="AK1132" s="3"/>
      <c r="AL1132" s="3"/>
    </row>
    <row r="1133" ht="15.75" customHeight="1">
      <c r="A1133" s="1" t="str">
        <f>IFERROR(__xludf.DUMMYFUNCTION("""COMPUTED_VALUE"""),"21905")</f>
        <v>21905</v>
      </c>
      <c r="B1133" s="2">
        <f>IFERROR(__xludf.DUMMYFUNCTION("""COMPUTED_VALUE"""),21905.0)</f>
        <v>21905</v>
      </c>
      <c r="C1133" s="3" t="str">
        <f>IFERROR(__xludf.DUMMYFUNCTION("""COMPUTED_VALUE"""),"MBC เอสโซ่ มโนรมย์ ชัยนาท")</f>
        <v>MBC เอสโซ่ มโนรมย์ ชัยนาท</v>
      </c>
      <c r="D1133" s="3" t="str">
        <f>IFERROR(__xludf.DUMMYFUNCTION("""COMPUTED_VALUE"""),"BCM ESSO MANOROM,CHAINAT")</f>
        <v>BCM ESSO MANOROM,CHAINAT</v>
      </c>
      <c r="E1133" s="1" t="str">
        <f>IFERROR(__xludf.DUMMYFUNCTION("""COMPUTED_VALUE"""),"บิ๊กซี MINI")</f>
        <v>บิ๊กซี MINI</v>
      </c>
      <c r="F1133" s="1" t="str">
        <f>IFERROR(__xludf.DUMMYFUNCTION("""COMPUTED_VALUE"""),"296229")</f>
        <v>296229</v>
      </c>
      <c r="G1133" s="1" t="str">
        <f>IFERROR(__xludf.DUMMYFUNCTION("""COMPUTED_VALUE"""),"นายทนงศักดิ์ บุญมา")</f>
        <v>นายทนงศักดิ์ บุญมา</v>
      </c>
      <c r="H1133" s="1" t="str">
        <f>IFERROR(__xludf.DUMMYFUNCTION("""COMPUTED_VALUE"""),"318186")</f>
        <v>318186</v>
      </c>
      <c r="I1133" s="1" t="str">
        <f>IFERROR(__xludf.DUMMYFUNCTION("""COMPUTED_VALUE"""),"น.ส.พนมวัลย์ เรืองรัตน์")</f>
        <v>น.ส.พนมวัลย์ เรืองรัตน์</v>
      </c>
      <c r="J1133" s="3">
        <f>IFERROR(__xludf.DUMMYFUNCTION("""COMPUTED_VALUE"""),46214.0)</f>
        <v>46214</v>
      </c>
      <c r="K1133" s="3" t="str">
        <f>IFERROR(__xludf.DUMMYFUNCTION("""COMPUTED_VALUE"""),"นายศักดิ์ชัย เด็ดดอกฟ้า")</f>
        <v>นายศักดิ์ชัย เด็ดดอกฟ้า</v>
      </c>
      <c r="L1133" s="1" t="str">
        <f>IFERROR(__xludf.DUMMYFUNCTION("""COMPUTED_VALUE"""),"02 K.Sakchai D")</f>
        <v>02 K.Sakchai D</v>
      </c>
      <c r="M1133" s="1" t="str">
        <f>IFERROR(__xludf.DUMMYFUNCTION("""COMPUTED_VALUE"""),"065-510-7376")</f>
        <v>065-510-7376</v>
      </c>
      <c r="N1133" s="3">
        <f>IFERROR(__xludf.DUMMYFUNCTION("""COMPUTED_VALUE"""),21714.0)</f>
        <v>21714</v>
      </c>
      <c r="O1133" s="3" t="str">
        <f>IFERROR(__xludf.DUMMYFUNCTION("""COMPUTED_VALUE"""),"MBC เอสโซ่ วัดโบสถ์")</f>
        <v>MBC เอสโซ่ วัดโบสถ์</v>
      </c>
      <c r="P1133" s="4">
        <f>IFERROR(__xludf.DUMMYFUNCTION("""COMPUTED_VALUE"""),43732.0)</f>
        <v>43732</v>
      </c>
      <c r="Q1133" s="3" t="str">
        <f>IFERROR(__xludf.DUMMYFUNCTION("""COMPUTED_VALUE"""),"A")</f>
        <v>A</v>
      </c>
      <c r="R1133" s="3" t="str">
        <f>IFERROR(__xludf.DUMMYFUNCTION("""COMPUTED_VALUE"""),"Small Format")</f>
        <v>Small Format</v>
      </c>
      <c r="S1133" s="3" t="str">
        <f>IFERROR(__xludf.DUMMYFUNCTION("""COMPUTED_VALUE"""),"BCM")</f>
        <v>BCM</v>
      </c>
      <c r="T1133" s="3" t="str">
        <f>IFERROR(__xludf.DUMMYFUNCTION("""COMPUTED_VALUE"""),"#N/A")</f>
        <v>#N/A</v>
      </c>
      <c r="U1133" s="3" t="str">
        <f>IFERROR(__xludf.DUMMYFUNCTION("""COMPUTED_VALUE"""),"#N/A")</f>
        <v>#N/A</v>
      </c>
      <c r="V1133" s="3" t="str">
        <f>IFERROR(__xludf.DUMMYFUNCTION("""COMPUTED_VALUE"""),"N")</f>
        <v>N</v>
      </c>
      <c r="W1133" s="3">
        <f>IFERROR(__xludf.DUMMYFUNCTION("""COMPUTED_VALUE"""),211993.0)</f>
        <v>211993</v>
      </c>
      <c r="X1133" s="3" t="str">
        <f>IFERROR(__xludf.DUMMYFUNCTION("""COMPUTED_VALUE"""),"190 หมู่8 ตำบลท่าฉนวน อำเภอมโนรมย์ จังหวัดชัยนาท 17110")</f>
        <v>190 หมู่8 ตำบลท่าฉนวน อำเภอมโนรมย์ จังหวัดชัยนาท 17110</v>
      </c>
      <c r="Y1133" s="3"/>
      <c r="Z1133" s="3" t="str">
        <f>IFERROR(__xludf.DUMMYFUNCTION("""COMPUTED_VALUE"""),"ท่าฉนวน")</f>
        <v>ท่าฉนวน</v>
      </c>
      <c r="AA1133" s="3" t="str">
        <f>IFERROR(__xludf.DUMMYFUNCTION("""COMPUTED_VALUE"""),"มโนรมย์")</f>
        <v>มโนรมย์</v>
      </c>
      <c r="AB1133" s="3" t="str">
        <f>IFERROR(__xludf.DUMMYFUNCTION("""COMPUTED_VALUE"""),"ชัยนาท")</f>
        <v>ชัยนาท</v>
      </c>
      <c r="AC1133" s="3">
        <f>IFERROR(__xludf.DUMMYFUNCTION("""COMPUTED_VALUE"""),17110.0)</f>
        <v>17110</v>
      </c>
      <c r="AD1133" s="3">
        <f>IFERROR(__xludf.DUMMYFUNCTION("""COMPUTED_VALUE"""),15.376449)</f>
        <v>15.376449</v>
      </c>
      <c r="AE1133" s="3">
        <f>IFERROR(__xludf.DUMMYFUNCTION("""COMPUTED_VALUE"""),100.153937)</f>
        <v>100.153937</v>
      </c>
      <c r="AF1133" s="3" t="str">
        <f>IFERROR(__xludf.DUMMYFUNCTION("""COMPUTED_VALUE"""),"MBC เอสโซ่ มโนรมย์ ชัยนาท-21905")</f>
        <v>MBC เอสโซ่ มโนรมย์ ชัยนาท-21905</v>
      </c>
      <c r="AG1133" s="3" t="str">
        <f>IFERROR(__xludf.DUMMYFUNCTION("""COMPUTED_VALUE"""),"กลาง")</f>
        <v>กลาง</v>
      </c>
      <c r="AH1133" s="3" t="str">
        <f>IFERROR(__xludf.DUMMYFUNCTION("""COMPUTED_VALUE"""),"#N/A")</f>
        <v>#N/A</v>
      </c>
      <c r="AI1133" s="3" t="str">
        <f>IFERROR(__xludf.DUMMYFUNCTION("""COMPUTED_VALUE"""),"Out of warranty")</f>
        <v>Out of warranty</v>
      </c>
      <c r="AJ1133" s="3">
        <f>IFERROR(__xludf.DUMMYFUNCTION("""COMPUTED_VALUE"""),76.0)</f>
        <v>76</v>
      </c>
      <c r="AK1133" s="3" t="str">
        <f>IFERROR(__xludf.DUMMYFUNCTION("""COMPUTED_VALUE"""),"MMS09")</f>
        <v>MMS09</v>
      </c>
      <c r="AL1133" s="3"/>
    </row>
    <row r="1134" ht="15.75" customHeight="1">
      <c r="A1134" s="1" t="str">
        <f>IFERROR(__xludf.DUMMYFUNCTION("""COMPUTED_VALUE"""),"21906")</f>
        <v>21906</v>
      </c>
      <c r="B1134" s="2">
        <f>IFERROR(__xludf.DUMMYFUNCTION("""COMPUTED_VALUE"""),21906.0)</f>
        <v>21906</v>
      </c>
      <c r="C1134" s="3" t="str">
        <f>IFERROR(__xludf.DUMMYFUNCTION("""COMPUTED_VALUE"""),"MBC นครชัยมงคล ปทุมธานี")</f>
        <v>MBC นครชัยมงคล ปทุมธานี</v>
      </c>
      <c r="D1134" s="3" t="str">
        <f>IFERROR(__xludf.DUMMYFUNCTION("""COMPUTED_VALUE"""),"BCM NAKHONCHAIMONGKOL")</f>
        <v>BCM NAKHONCHAIMONGKOL</v>
      </c>
      <c r="E1134" s="1" t="str">
        <f>IFERROR(__xludf.DUMMYFUNCTION("""COMPUTED_VALUE"""),"บิ๊กซี MINI")</f>
        <v>บิ๊กซี MINI</v>
      </c>
      <c r="F1134" s="1" t="str">
        <f>IFERROR(__xludf.DUMMYFUNCTION("""COMPUTED_VALUE"""),"2083447")</f>
        <v>2083447</v>
      </c>
      <c r="G1134" s="1" t="str">
        <f>IFERROR(__xludf.DUMMYFUNCTION("""COMPUTED_VALUE"""),"นายอนุกูล ศรีลัดดา")</f>
        <v>นายอนุกูล ศรีลัดดา</v>
      </c>
      <c r="H1134" s="1" t="str">
        <f>IFERROR(__xludf.DUMMYFUNCTION("""COMPUTED_VALUE"""),"373849")</f>
        <v>373849</v>
      </c>
      <c r="I1134" s="1" t="str">
        <f>IFERROR(__xludf.DUMMYFUNCTION("""COMPUTED_VALUE"""),"น.ส.อรอุมา นิ่มวิศิษย์")</f>
        <v>น.ส.อรอุมา นิ่มวิศิษย์</v>
      </c>
      <c r="J1134" s="3">
        <f>IFERROR(__xludf.DUMMYFUNCTION("""COMPUTED_VALUE"""),510143.0)</f>
        <v>510143</v>
      </c>
      <c r="K1134" s="3" t="str">
        <f>IFERROR(__xludf.DUMMYFUNCTION("""COMPUTED_VALUE"""),"นายธีระวัฒน์ บุญสิทธิ์")</f>
        <v>นายธีระวัฒน์ บุญสิทธิ์</v>
      </c>
      <c r="L1134" s="1" t="str">
        <f>IFERROR(__xludf.DUMMYFUNCTION("""COMPUTED_VALUE"""),"12 K.Theerawat B.")</f>
        <v>12 K.Theerawat B.</v>
      </c>
      <c r="M1134" s="1" t="str">
        <f>IFERROR(__xludf.DUMMYFUNCTION("""COMPUTED_VALUE"""),"0655107379")</f>
        <v>0655107379</v>
      </c>
      <c r="N1134" s="3">
        <f>IFERROR(__xludf.DUMMYFUNCTION("""COMPUTED_VALUE"""),21062.0)</f>
        <v>21062</v>
      </c>
      <c r="O1134" s="3" t="str">
        <f>IFERROR(__xludf.DUMMYFUNCTION("""COMPUTED_VALUE"""),"MBC นิคมนวนคร")</f>
        <v>MBC นิคมนวนคร</v>
      </c>
      <c r="P1134" s="4">
        <f>IFERROR(__xludf.DUMMYFUNCTION("""COMPUTED_VALUE"""),43736.0)</f>
        <v>43736</v>
      </c>
      <c r="Q1134" s="3" t="str">
        <f>IFERROR(__xludf.DUMMYFUNCTION("""COMPUTED_VALUE"""),"A")</f>
        <v>A</v>
      </c>
      <c r="R1134" s="3" t="str">
        <f>IFERROR(__xludf.DUMMYFUNCTION("""COMPUTED_VALUE"""),"Small Format")</f>
        <v>Small Format</v>
      </c>
      <c r="S1134" s="3" t="str">
        <f>IFERROR(__xludf.DUMMYFUNCTION("""COMPUTED_VALUE"""),"BCM")</f>
        <v>BCM</v>
      </c>
      <c r="T1134" s="3" t="str">
        <f>IFERROR(__xludf.DUMMYFUNCTION("""COMPUTED_VALUE"""),"#N/A")</f>
        <v>#N/A</v>
      </c>
      <c r="U1134" s="3" t="str">
        <f>IFERROR(__xludf.DUMMYFUNCTION("""COMPUTED_VALUE"""),"#N/A")</f>
        <v>#N/A</v>
      </c>
      <c r="V1134" s="3" t="str">
        <f>IFERROR(__xludf.DUMMYFUNCTION("""COMPUTED_VALUE"""),"N")</f>
        <v>N</v>
      </c>
      <c r="W1134" s="3">
        <f>IFERROR(__xludf.DUMMYFUNCTION("""COMPUTED_VALUE"""),211900.0)</f>
        <v>211900</v>
      </c>
      <c r="X1134" s="3" t="str">
        <f>IFERROR(__xludf.DUMMYFUNCTION("""COMPUTED_VALUE"""),"58/694 หมู่13 ตำบลคลองหนึ่ง อำเภอคลองหลวง จังหวัดปทุมธานี 12120")</f>
        <v>58/694 หมู่13 ตำบลคลองหนึ่ง อำเภอคลองหลวง จังหวัดปทุมธานี 12120</v>
      </c>
      <c r="Y1134" s="3"/>
      <c r="Z1134" s="3" t="str">
        <f>IFERROR(__xludf.DUMMYFUNCTION("""COMPUTED_VALUE"""),"คลองหนึ่ง")</f>
        <v>คลองหนึ่ง</v>
      </c>
      <c r="AA1134" s="3" t="str">
        <f>IFERROR(__xludf.DUMMYFUNCTION("""COMPUTED_VALUE"""),"คลองหลวง")</f>
        <v>คลองหลวง</v>
      </c>
      <c r="AB1134" s="3" t="str">
        <f>IFERROR(__xludf.DUMMYFUNCTION("""COMPUTED_VALUE"""),"ปทุมธานี")</f>
        <v>ปทุมธานี</v>
      </c>
      <c r="AC1134" s="3">
        <f>IFERROR(__xludf.DUMMYFUNCTION("""COMPUTED_VALUE"""),12120.0)</f>
        <v>12120</v>
      </c>
      <c r="AD1134" s="3">
        <f>IFERROR(__xludf.DUMMYFUNCTION("""COMPUTED_VALUE"""),14.11422)</f>
        <v>14.11422</v>
      </c>
      <c r="AE1134" s="3">
        <f>IFERROR(__xludf.DUMMYFUNCTION("""COMPUTED_VALUE"""),100.615)</f>
        <v>100.615</v>
      </c>
      <c r="AF1134" s="3" t="str">
        <f>IFERROR(__xludf.DUMMYFUNCTION("""COMPUTED_VALUE"""),"MBC นครชัยมงคล ปทุมธานี-21906")</f>
        <v>MBC นครชัยมงคล ปทุมธานี-21906</v>
      </c>
      <c r="AG1134" s="3" t="str">
        <f>IFERROR(__xludf.DUMMYFUNCTION("""COMPUTED_VALUE"""),"กลาง")</f>
        <v>กลาง</v>
      </c>
      <c r="AH1134" s="3" t="str">
        <f>IFERROR(__xludf.DUMMYFUNCTION("""COMPUTED_VALUE"""),"#N/A")</f>
        <v>#N/A</v>
      </c>
      <c r="AI1134" s="3" t="str">
        <f>IFERROR(__xludf.DUMMYFUNCTION("""COMPUTED_VALUE"""),"Out of warranty")</f>
        <v>Out of warranty</v>
      </c>
      <c r="AJ1134" s="3">
        <f>IFERROR(__xludf.DUMMYFUNCTION("""COMPUTED_VALUE"""),76.0)</f>
        <v>76</v>
      </c>
      <c r="AK1134" s="3" t="str">
        <f>IFERROR(__xludf.DUMMYFUNCTION("""COMPUTED_VALUE"""),"MMS04")</f>
        <v>MMS04</v>
      </c>
      <c r="AL1134" s="3"/>
    </row>
    <row r="1135" ht="15.75" customHeight="1">
      <c r="A1135" s="1" t="str">
        <f>IFERROR(__xludf.DUMMYFUNCTION("""COMPUTED_VALUE"""),"21907")</f>
        <v>21907</v>
      </c>
      <c r="B1135" s="2">
        <f>IFERROR(__xludf.DUMMYFUNCTION("""COMPUTED_VALUE"""),21907.0)</f>
        <v>21907</v>
      </c>
      <c r="C1135" s="3" t="str">
        <f>IFERROR(__xludf.DUMMYFUNCTION("""COMPUTED_VALUE"""),"MBC แยกช่อระกา ชัยภูมิ")</f>
        <v>MBC แยกช่อระกา ชัยภูมิ</v>
      </c>
      <c r="D1135" s="3" t="str">
        <f>IFERROR(__xludf.DUMMYFUNCTION("""COMPUTED_VALUE"""),"BCM YEAK CHO RAKA, CHAIYAPHUM")</f>
        <v>BCM YEAK CHO RAKA, CHAIYAPHUM</v>
      </c>
      <c r="E1135" s="1" t="str">
        <f>IFERROR(__xludf.DUMMYFUNCTION("""COMPUTED_VALUE"""),"บิ๊กซี MINI")</f>
        <v>บิ๊กซี MINI</v>
      </c>
      <c r="F1135" s="1" t="str">
        <f>IFERROR(__xludf.DUMMYFUNCTION("""COMPUTED_VALUE"""),"291105")</f>
        <v>291105</v>
      </c>
      <c r="G1135" s="1" t="str">
        <f>IFERROR(__xludf.DUMMYFUNCTION("""COMPUTED_VALUE"""),"นายสราวุฒิ พณิชยกุล")</f>
        <v>นายสราวุฒิ พณิชยกุล</v>
      </c>
      <c r="H1135" s="1" t="str">
        <f>IFERROR(__xludf.DUMMYFUNCTION("""COMPUTED_VALUE"""),"371396")</f>
        <v>371396</v>
      </c>
      <c r="I1135" s="1" t="str">
        <f>IFERROR(__xludf.DUMMYFUNCTION("""COMPUTED_VALUE"""),"น.ส.สุภาวดี วิลัยพร")</f>
        <v>น.ส.สุภาวดี วิลัยพร</v>
      </c>
      <c r="J1135" s="3">
        <f>IFERROR(__xludf.DUMMYFUNCTION("""COMPUTED_VALUE"""),15361.0)</f>
        <v>15361</v>
      </c>
      <c r="K1135" s="3" t="str">
        <f>IFERROR(__xludf.DUMMYFUNCTION("""COMPUTED_VALUE"""),"นายสมบูรณ์ พรหมในเมือง")</f>
        <v>นายสมบูรณ์ พรหมในเมือง</v>
      </c>
      <c r="L1135" s="1" t="str">
        <f>IFERROR(__xludf.DUMMYFUNCTION("""COMPUTED_VALUE"""),"04 K.Somboon P.")</f>
        <v>04 K.Somboon P.</v>
      </c>
      <c r="M1135" s="1" t="str">
        <f>IFERROR(__xludf.DUMMYFUNCTION("""COMPUTED_VALUE"""),"087-965-3051")</f>
        <v>087-965-3051</v>
      </c>
      <c r="N1135" s="3">
        <f>IFERROR(__xludf.DUMMYFUNCTION("""COMPUTED_VALUE"""),21869.0)</f>
        <v>21869</v>
      </c>
      <c r="O1135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135" s="4">
        <f>IFERROR(__xludf.DUMMYFUNCTION("""COMPUTED_VALUE"""),43748.0)</f>
        <v>43748</v>
      </c>
      <c r="Q1135" s="3" t="str">
        <f>IFERROR(__xludf.DUMMYFUNCTION("""COMPUTED_VALUE"""),"A")</f>
        <v>A</v>
      </c>
      <c r="R1135" s="3" t="str">
        <f>IFERROR(__xludf.DUMMYFUNCTION("""COMPUTED_VALUE"""),"Small Format")</f>
        <v>Small Format</v>
      </c>
      <c r="S1135" s="3" t="str">
        <f>IFERROR(__xludf.DUMMYFUNCTION("""COMPUTED_VALUE"""),"BCM")</f>
        <v>BCM</v>
      </c>
      <c r="T1135" s="3" t="str">
        <f>IFERROR(__xludf.DUMMYFUNCTION("""COMPUTED_VALUE"""),"#N/A")</f>
        <v>#N/A</v>
      </c>
      <c r="U1135" s="3" t="str">
        <f>IFERROR(__xludf.DUMMYFUNCTION("""COMPUTED_VALUE"""),"#N/A")</f>
        <v>#N/A</v>
      </c>
      <c r="V1135" s="3" t="str">
        <f>IFERROR(__xludf.DUMMYFUNCTION("""COMPUTED_VALUE"""),"N")</f>
        <v>N</v>
      </c>
      <c r="W1135" s="3">
        <f>IFERROR(__xludf.DUMMYFUNCTION("""COMPUTED_VALUE"""),211909.0)</f>
        <v>211909</v>
      </c>
      <c r="X1135" s="3" t="str">
        <f>IFERROR(__xludf.DUMMYFUNCTION("""COMPUTED_VALUE"""),"106/1 หมู่17 ตำบลนาฝาย อำเภอเมืองชัยภูมิ จังหวัดชัยภูมิ 36000")</f>
        <v>106/1 หมู่17 ตำบลนาฝาย อำเภอเมืองชัยภูมิ จังหวัดชัยภูมิ 36000</v>
      </c>
      <c r="Y1135" s="3"/>
      <c r="Z1135" s="3" t="str">
        <f>IFERROR(__xludf.DUMMYFUNCTION("""COMPUTED_VALUE"""),"นาฝาย")</f>
        <v>นาฝาย</v>
      </c>
      <c r="AA1135" s="3" t="str">
        <f>IFERROR(__xludf.DUMMYFUNCTION("""COMPUTED_VALUE"""),"เมือง")</f>
        <v>เมือง</v>
      </c>
      <c r="AB1135" s="3" t="str">
        <f>IFERROR(__xludf.DUMMYFUNCTION("""COMPUTED_VALUE"""),"ชัยภูมิ")</f>
        <v>ชัยภูมิ</v>
      </c>
      <c r="AC1135" s="3">
        <f>IFERROR(__xludf.DUMMYFUNCTION("""COMPUTED_VALUE"""),36000.0)</f>
        <v>36000</v>
      </c>
      <c r="AD1135" s="3">
        <f>IFERROR(__xludf.DUMMYFUNCTION("""COMPUTED_VALUE"""),15.863452)</f>
        <v>15.863452</v>
      </c>
      <c r="AE1135" s="3">
        <f>IFERROR(__xludf.DUMMYFUNCTION("""COMPUTED_VALUE"""),102.01844)</f>
        <v>102.01844</v>
      </c>
      <c r="AF1135" s="3" t="str">
        <f>IFERROR(__xludf.DUMMYFUNCTION("""COMPUTED_VALUE"""),"MBC แยกช่อระกา ชัยภูมิ-21907")</f>
        <v>MBC แยกช่อระกา ชัยภูมิ-21907</v>
      </c>
      <c r="AG1135" s="3" t="str">
        <f>IFERROR(__xludf.DUMMYFUNCTION("""COMPUTED_VALUE"""),"ตะวันออกเฉียงเหนือ")</f>
        <v>ตะวันออกเฉียงเหนือ</v>
      </c>
      <c r="AH1135" s="3" t="str">
        <f>IFERROR(__xludf.DUMMYFUNCTION("""COMPUTED_VALUE"""),"#N/A")</f>
        <v>#N/A</v>
      </c>
      <c r="AI1135" s="3" t="str">
        <f>IFERROR(__xludf.DUMMYFUNCTION("""COMPUTED_VALUE"""),"Out of warranty")</f>
        <v>Out of warranty</v>
      </c>
      <c r="AJ1135" s="3">
        <f>IFERROR(__xludf.DUMMYFUNCTION("""COMPUTED_VALUE"""),76.0)</f>
        <v>76</v>
      </c>
      <c r="AK1135" s="3" t="str">
        <f>IFERROR(__xludf.DUMMYFUNCTION("""COMPUTED_VALUE"""),"MMS11")</f>
        <v>MMS11</v>
      </c>
      <c r="AL1135" s="3"/>
    </row>
    <row r="1136" ht="15.75" customHeight="1">
      <c r="A1136" s="1" t="str">
        <f>IFERROR(__xludf.DUMMYFUNCTION("""COMPUTED_VALUE"""),"21908")</f>
        <v>21908</v>
      </c>
      <c r="B1136" s="2">
        <f>IFERROR(__xludf.DUMMYFUNCTION("""COMPUTED_VALUE"""),21908.0)</f>
        <v>21908</v>
      </c>
      <c r="C1136" s="3" t="str">
        <f>IFERROR(__xludf.DUMMYFUNCTION("""COMPUTED_VALUE"""),"MBC ลำปลายมาศ บุรีรัมย์")</f>
        <v>MBC ลำปลายมาศ บุรีรัมย์</v>
      </c>
      <c r="D1136" s="3" t="str">
        <f>IFERROR(__xludf.DUMMYFUNCTION("""COMPUTED_VALUE"""),"BCM LAMPLAIMAT,BURIRAM")</f>
        <v>BCM LAMPLAIMAT,BURIRAM</v>
      </c>
      <c r="E1136" s="1" t="str">
        <f>IFERROR(__xludf.DUMMYFUNCTION("""COMPUTED_VALUE"""),"บิ๊กซี MINI")</f>
        <v>บิ๊กซี MINI</v>
      </c>
      <c r="F1136" s="1" t="str">
        <f>IFERROR(__xludf.DUMMYFUNCTION("""COMPUTED_VALUE"""),"291105")</f>
        <v>291105</v>
      </c>
      <c r="G1136" s="1" t="str">
        <f>IFERROR(__xludf.DUMMYFUNCTION("""COMPUTED_VALUE"""),"นายสราวุฒิ พณิชยกุล")</f>
        <v>นายสราวุฒิ พณิชยกุล</v>
      </c>
      <c r="H1136" s="1" t="str">
        <f>IFERROR(__xludf.DUMMYFUNCTION("""COMPUTED_VALUE"""),"398136")</f>
        <v>398136</v>
      </c>
      <c r="I1136" s="1" t="str">
        <f>IFERROR(__xludf.DUMMYFUNCTION("""COMPUTED_VALUE"""),"นายประยูร ธาดาวงษา")</f>
        <v>นายประยูร ธาดาวงษา</v>
      </c>
      <c r="J1136" s="3">
        <f>IFERROR(__xludf.DUMMYFUNCTION("""COMPUTED_VALUE"""),15361.0)</f>
        <v>15361</v>
      </c>
      <c r="K1136" s="3" t="str">
        <f>IFERROR(__xludf.DUMMYFUNCTION("""COMPUTED_VALUE"""),"นายสมบูรณ์ พรหมในเมือง")</f>
        <v>นายสมบูรณ์ พรหมในเมือง</v>
      </c>
      <c r="L1136" s="1" t="str">
        <f>IFERROR(__xludf.DUMMYFUNCTION("""COMPUTED_VALUE"""),"04 K.Somboon P.")</f>
        <v>04 K.Somboon P.</v>
      </c>
      <c r="M1136" s="1" t="str">
        <f>IFERROR(__xludf.DUMMYFUNCTION("""COMPUTED_VALUE"""),"087-965-3051")</f>
        <v>087-965-3051</v>
      </c>
      <c r="N1136" s="3">
        <f>IFERROR(__xludf.DUMMYFUNCTION("""COMPUTED_VALUE"""),21869.0)</f>
        <v>21869</v>
      </c>
      <c r="O1136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136" s="4">
        <f>IFERROR(__xludf.DUMMYFUNCTION("""COMPUTED_VALUE"""),43738.0)</f>
        <v>43738</v>
      </c>
      <c r="Q1136" s="3" t="str">
        <f>IFERROR(__xludf.DUMMYFUNCTION("""COMPUTED_VALUE"""),"A")</f>
        <v>A</v>
      </c>
      <c r="R1136" s="3" t="str">
        <f>IFERROR(__xludf.DUMMYFUNCTION("""COMPUTED_VALUE"""),"Small Format")</f>
        <v>Small Format</v>
      </c>
      <c r="S1136" s="3" t="str">
        <f>IFERROR(__xludf.DUMMYFUNCTION("""COMPUTED_VALUE"""),"BCM")</f>
        <v>BCM</v>
      </c>
      <c r="T1136" s="3" t="str">
        <f>IFERROR(__xludf.DUMMYFUNCTION("""COMPUTED_VALUE"""),"#N/A")</f>
        <v>#N/A</v>
      </c>
      <c r="U1136" s="3" t="str">
        <f>IFERROR(__xludf.DUMMYFUNCTION("""COMPUTED_VALUE"""),"#N/A")</f>
        <v>#N/A</v>
      </c>
      <c r="V1136" s="3" t="str">
        <f>IFERROR(__xludf.DUMMYFUNCTION("""COMPUTED_VALUE"""),"N")</f>
        <v>N</v>
      </c>
      <c r="W1136" s="3">
        <f>IFERROR(__xludf.DUMMYFUNCTION("""COMPUTED_VALUE"""),211948.0)</f>
        <v>211948</v>
      </c>
      <c r="X1136" s="3" t="str">
        <f>IFERROR(__xludf.DUMMYFUNCTION("""COMPUTED_VALUE"""),"5 หมู่1 ตำบลลำปลายมาศ อำเภอลำปลายมาศ จังหวัดบุรีรัมย์ 31130")</f>
        <v>5 หมู่1 ตำบลลำปลายมาศ อำเภอลำปลายมาศ จังหวัดบุรีรัมย์ 31130</v>
      </c>
      <c r="Y1136" s="3"/>
      <c r="Z1136" s="3" t="str">
        <f>IFERROR(__xludf.DUMMYFUNCTION("""COMPUTED_VALUE"""),"ลำปลายมาศ")</f>
        <v>ลำปลายมาศ</v>
      </c>
      <c r="AA1136" s="3" t="str">
        <f>IFERROR(__xludf.DUMMYFUNCTION("""COMPUTED_VALUE"""),"ลำปลายมาศ")</f>
        <v>ลำปลายมาศ</v>
      </c>
      <c r="AB1136" s="3" t="str">
        <f>IFERROR(__xludf.DUMMYFUNCTION("""COMPUTED_VALUE"""),"บุรีรัมย์")</f>
        <v>บุรีรัมย์</v>
      </c>
      <c r="AC1136" s="3">
        <f>IFERROR(__xludf.DUMMYFUNCTION("""COMPUTED_VALUE"""),31130.0)</f>
        <v>31130</v>
      </c>
      <c r="AD1136" s="3">
        <f>IFERROR(__xludf.DUMMYFUNCTION("""COMPUTED_VALUE"""),15.022139)</f>
        <v>15.022139</v>
      </c>
      <c r="AE1136" s="3">
        <f>IFERROR(__xludf.DUMMYFUNCTION("""COMPUTED_VALUE"""),102.8311725)</f>
        <v>102.8311725</v>
      </c>
      <c r="AF1136" s="3" t="str">
        <f>IFERROR(__xludf.DUMMYFUNCTION("""COMPUTED_VALUE"""),"MBC ลำปลายมาศ บุรีรัมย์-21908")</f>
        <v>MBC ลำปลายมาศ บุรีรัมย์-21908</v>
      </c>
      <c r="AG1136" s="3" t="str">
        <f>IFERROR(__xludf.DUMMYFUNCTION("""COMPUTED_VALUE"""),"ตะวันออกเฉียงเหนือ")</f>
        <v>ตะวันออกเฉียงเหนือ</v>
      </c>
      <c r="AH1136" s="3" t="str">
        <f>IFERROR(__xludf.DUMMYFUNCTION("""COMPUTED_VALUE"""),"#N/A")</f>
        <v>#N/A</v>
      </c>
      <c r="AI1136" s="3" t="str">
        <f>IFERROR(__xludf.DUMMYFUNCTION("""COMPUTED_VALUE"""),"Out of warranty")</f>
        <v>Out of warranty</v>
      </c>
      <c r="AJ1136" s="3">
        <f>IFERROR(__xludf.DUMMYFUNCTION("""COMPUTED_VALUE"""),76.0)</f>
        <v>76</v>
      </c>
      <c r="AK1136" s="3" t="str">
        <f>IFERROR(__xludf.DUMMYFUNCTION("""COMPUTED_VALUE"""),"MMS11")</f>
        <v>MMS11</v>
      </c>
      <c r="AL1136" s="3"/>
    </row>
    <row r="1137" ht="15.75" customHeight="1">
      <c r="A1137" s="1" t="str">
        <f>IFERROR(__xludf.DUMMYFUNCTION("""COMPUTED_VALUE"""),"21909")</f>
        <v>21909</v>
      </c>
      <c r="B1137" s="2">
        <f>IFERROR(__xludf.DUMMYFUNCTION("""COMPUTED_VALUE"""),21909.0)</f>
        <v>21909</v>
      </c>
      <c r="C1137" s="3" t="str">
        <f>IFERROR(__xludf.DUMMYFUNCTION("""COMPUTED_VALUE"""),"MBC หมู่บ้านศิริวรรณ-บางบัวทอง นนทบุรี")</f>
        <v>MBC หมู่บ้านศิริวรรณ-บางบัวทอง นนทบุรี</v>
      </c>
      <c r="D1137" s="3" t="str">
        <f>IFERROR(__xludf.DUMMYFUNCTION("""COMPUTED_VALUE"""),"BCM MOOBAN SIRIWAN,NONTHABURI")</f>
        <v>BCM MOOBAN SIRIWAN,NONTHABURI</v>
      </c>
      <c r="E1137" s="1" t="str">
        <f>IFERROR(__xludf.DUMMYFUNCTION("""COMPUTED_VALUE"""),"บิ๊กซี MINI")</f>
        <v>บิ๊กซี MINI</v>
      </c>
      <c r="F1137" s="1" t="str">
        <f>IFERROR(__xludf.DUMMYFUNCTION("""COMPUTED_VALUE"""),"291008")</f>
        <v>291008</v>
      </c>
      <c r="G1137" s="1" t="str">
        <f>IFERROR(__xludf.DUMMYFUNCTION("""COMPUTED_VALUE"""),"น.ส.รัชดาพร อีศรัตน์")</f>
        <v>น.ส.รัชดาพร อีศรัตน์</v>
      </c>
      <c r="H1137" s="1" t="str">
        <f>IFERROR(__xludf.DUMMYFUNCTION("""COMPUTED_VALUE"""),"180055")</f>
        <v>180055</v>
      </c>
      <c r="I1137" s="1" t="str">
        <f>IFERROR(__xludf.DUMMYFUNCTION("""COMPUTED_VALUE"""),"น.ส.สุดารัตน์ บุญล้ำ")</f>
        <v>น.ส.สุดารัตน์ บุญล้ำ</v>
      </c>
      <c r="J1137" s="3">
        <f>IFERROR(__xludf.DUMMYFUNCTION("""COMPUTED_VALUE"""),296608.0)</f>
        <v>296608</v>
      </c>
      <c r="K1137" s="3" t="str">
        <f>IFERROR(__xludf.DUMMYFUNCTION("""COMPUTED_VALUE"""),"นายภาคภูมิ เพ็ชรนิล")</f>
        <v>นายภาคภูมิ เพ็ชรนิล</v>
      </c>
      <c r="L1137" s="1" t="str">
        <f>IFERROR(__xludf.DUMMYFUNCTION("""COMPUTED_VALUE"""),"10 K.Phakphoom P.")</f>
        <v>10 K.Phakphoom P.</v>
      </c>
      <c r="M1137" s="1" t="str">
        <f>IFERROR(__xludf.DUMMYFUNCTION("""COMPUTED_VALUE"""),"063-8955329")</f>
        <v>063-8955329</v>
      </c>
      <c r="N1137" s="3">
        <f>IFERROR(__xludf.DUMMYFUNCTION("""COMPUTED_VALUE"""),22584.0)</f>
        <v>22584</v>
      </c>
      <c r="O1137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137" s="4">
        <f>IFERROR(__xludf.DUMMYFUNCTION("""COMPUTED_VALUE"""),43724.0)</f>
        <v>43724</v>
      </c>
      <c r="Q1137" s="3" t="str">
        <f>IFERROR(__xludf.DUMMYFUNCTION("""COMPUTED_VALUE"""),"A")</f>
        <v>A</v>
      </c>
      <c r="R1137" s="3" t="str">
        <f>IFERROR(__xludf.DUMMYFUNCTION("""COMPUTED_VALUE"""),"Small Format")</f>
        <v>Small Format</v>
      </c>
      <c r="S1137" s="3" t="str">
        <f>IFERROR(__xludf.DUMMYFUNCTION("""COMPUTED_VALUE"""),"BCM")</f>
        <v>BCM</v>
      </c>
      <c r="T1137" s="3" t="str">
        <f>IFERROR(__xludf.DUMMYFUNCTION("""COMPUTED_VALUE"""),"#N/A")</f>
        <v>#N/A</v>
      </c>
      <c r="U1137" s="3" t="str">
        <f>IFERROR(__xludf.DUMMYFUNCTION("""COMPUTED_VALUE"""),"#N/A")</f>
        <v>#N/A</v>
      </c>
      <c r="V1137" s="3" t="str">
        <f>IFERROR(__xludf.DUMMYFUNCTION("""COMPUTED_VALUE"""),"N")</f>
        <v>N</v>
      </c>
      <c r="W1137" s="3">
        <f>IFERROR(__xludf.DUMMYFUNCTION("""COMPUTED_VALUE"""),211899.0)</f>
        <v>211899</v>
      </c>
      <c r="X1137" s="3" t="str">
        <f>IFERROR(__xludf.DUMMYFUNCTION("""COMPUTED_VALUE"""),"25/6 หมู่11 ตำบลบางบัวทอง อำเภอบางบัวทอง จังหวัดนนทบุรี 11110")</f>
        <v>25/6 หมู่11 ตำบลบางบัวทอง อำเภอบางบัวทอง จังหวัดนนทบุรี 11110</v>
      </c>
      <c r="Y1137" s="3"/>
      <c r="Z1137" s="3" t="str">
        <f>IFERROR(__xludf.DUMMYFUNCTION("""COMPUTED_VALUE"""),"บางบัวทอง")</f>
        <v>บางบัวทอง</v>
      </c>
      <c r="AA1137" s="3" t="str">
        <f>IFERROR(__xludf.DUMMYFUNCTION("""COMPUTED_VALUE"""),"บางบัวทอง")</f>
        <v>บางบัวทอง</v>
      </c>
      <c r="AB1137" s="3" t="str">
        <f>IFERROR(__xludf.DUMMYFUNCTION("""COMPUTED_VALUE"""),"นนทบุรี")</f>
        <v>นนทบุรี</v>
      </c>
      <c r="AC1137" s="3">
        <f>IFERROR(__xludf.DUMMYFUNCTION("""COMPUTED_VALUE"""),11110.0)</f>
        <v>11110</v>
      </c>
      <c r="AD1137" s="3">
        <f>IFERROR(__xludf.DUMMYFUNCTION("""COMPUTED_VALUE"""),13.95255)</f>
        <v>13.95255</v>
      </c>
      <c r="AE1137" s="3">
        <f>IFERROR(__xludf.DUMMYFUNCTION("""COMPUTED_VALUE"""),100.3722)</f>
        <v>100.3722</v>
      </c>
      <c r="AF1137" s="3" t="str">
        <f>IFERROR(__xludf.DUMMYFUNCTION("""COMPUTED_VALUE"""),"MBC หมู่บ้านศิริวรรณ-บางบัวทอง นนทบุรี-21909")</f>
        <v>MBC หมู่บ้านศิริวรรณ-บางบัวทอง นนทบุรี-21909</v>
      </c>
      <c r="AG1137" s="3" t="str">
        <f>IFERROR(__xludf.DUMMYFUNCTION("""COMPUTED_VALUE"""),"กลาง")</f>
        <v>กลาง</v>
      </c>
      <c r="AH1137" s="3" t="str">
        <f>IFERROR(__xludf.DUMMYFUNCTION("""COMPUTED_VALUE"""),"#N/A")</f>
        <v>#N/A</v>
      </c>
      <c r="AI1137" s="3" t="str">
        <f>IFERROR(__xludf.DUMMYFUNCTION("""COMPUTED_VALUE"""),"Out of warranty")</f>
        <v>Out of warranty</v>
      </c>
      <c r="AJ1137" s="3">
        <f>IFERROR(__xludf.DUMMYFUNCTION("""COMPUTED_VALUE"""),77.0)</f>
        <v>77</v>
      </c>
      <c r="AK1137" s="3" t="str">
        <f>IFERROR(__xludf.DUMMYFUNCTION("""COMPUTED_VALUE"""),"MMS04")</f>
        <v>MMS04</v>
      </c>
      <c r="AL1137" s="3"/>
    </row>
    <row r="1138" ht="15.75" customHeight="1">
      <c r="A1138" s="1" t="str">
        <f>IFERROR(__xludf.DUMMYFUNCTION("""COMPUTED_VALUE"""),"21910")</f>
        <v>21910</v>
      </c>
      <c r="B1138" s="2">
        <f>IFERROR(__xludf.DUMMYFUNCTION("""COMPUTED_VALUE"""),21910.0)</f>
        <v>21910</v>
      </c>
      <c r="C1138" s="3" t="str">
        <f>IFERROR(__xludf.DUMMYFUNCTION("""COMPUTED_VALUE"""),"MBC ครบุรี นครราชสีมา")</f>
        <v>MBC ครบุรี นครราชสีมา</v>
      </c>
      <c r="D1138" s="3" t="str">
        <f>IFERROR(__xludf.DUMMYFUNCTION("""COMPUTED_VALUE"""),"BCM KHONBURI,NAKHON RATCHASIMA")</f>
        <v>BCM KHONBURI,NAKHON RATCHASIMA</v>
      </c>
      <c r="E1138" s="1" t="str">
        <f>IFERROR(__xludf.DUMMYFUNCTION("""COMPUTED_VALUE"""),"บิ๊กซี MINI")</f>
        <v>บิ๊กซี MINI</v>
      </c>
      <c r="F1138" s="1" t="str">
        <f>IFERROR(__xludf.DUMMYFUNCTION("""COMPUTED_VALUE"""),"291105")</f>
        <v>291105</v>
      </c>
      <c r="G1138" s="1" t="str">
        <f>IFERROR(__xludf.DUMMYFUNCTION("""COMPUTED_VALUE"""),"นายสราวุฒิ พณิชยกุล")</f>
        <v>นายสราวุฒิ พณิชยกุล</v>
      </c>
      <c r="H1138" s="1" t="str">
        <f>IFERROR(__xludf.DUMMYFUNCTION("""COMPUTED_VALUE"""),"281315")</f>
        <v>281315</v>
      </c>
      <c r="I1138" s="1" t="str">
        <f>IFERROR(__xludf.DUMMYFUNCTION("""COMPUTED_VALUE"""),"นายกิตติพงษ์ มั่นคง")</f>
        <v>นายกิตติพงษ์ มั่นคง</v>
      </c>
      <c r="J1138" s="3">
        <f>IFERROR(__xludf.DUMMYFUNCTION("""COMPUTED_VALUE"""),15361.0)</f>
        <v>15361</v>
      </c>
      <c r="K1138" s="3" t="str">
        <f>IFERROR(__xludf.DUMMYFUNCTION("""COMPUTED_VALUE"""),"นายสมบูรณ์ พรหมในเมือง")</f>
        <v>นายสมบูรณ์ พรหมในเมือง</v>
      </c>
      <c r="L1138" s="1" t="str">
        <f>IFERROR(__xludf.DUMMYFUNCTION("""COMPUTED_VALUE"""),"04 K.Somboon P.")</f>
        <v>04 K.Somboon P.</v>
      </c>
      <c r="M1138" s="1" t="str">
        <f>IFERROR(__xludf.DUMMYFUNCTION("""COMPUTED_VALUE"""),"087-965-3051")</f>
        <v>087-965-3051</v>
      </c>
      <c r="N1138" s="3">
        <f>IFERROR(__xludf.DUMMYFUNCTION("""COMPUTED_VALUE"""),21869.0)</f>
        <v>21869</v>
      </c>
      <c r="O1138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138" s="4">
        <f>IFERROR(__xludf.DUMMYFUNCTION("""COMPUTED_VALUE"""),43731.0)</f>
        <v>43731</v>
      </c>
      <c r="Q1138" s="3" t="str">
        <f>IFERROR(__xludf.DUMMYFUNCTION("""COMPUTED_VALUE"""),"A")</f>
        <v>A</v>
      </c>
      <c r="R1138" s="3" t="str">
        <f>IFERROR(__xludf.DUMMYFUNCTION("""COMPUTED_VALUE"""),"Small Format")</f>
        <v>Small Format</v>
      </c>
      <c r="S1138" s="3" t="str">
        <f>IFERROR(__xludf.DUMMYFUNCTION("""COMPUTED_VALUE"""),"BCM")</f>
        <v>BCM</v>
      </c>
      <c r="T1138" s="3" t="str">
        <f>IFERROR(__xludf.DUMMYFUNCTION("""COMPUTED_VALUE"""),"#N/A")</f>
        <v>#N/A</v>
      </c>
      <c r="U1138" s="3" t="str">
        <f>IFERROR(__xludf.DUMMYFUNCTION("""COMPUTED_VALUE"""),"#N/A")</f>
        <v>#N/A</v>
      </c>
      <c r="V1138" s="3" t="str">
        <f>IFERROR(__xludf.DUMMYFUNCTION("""COMPUTED_VALUE"""),"N")</f>
        <v>N</v>
      </c>
      <c r="W1138" s="3">
        <f>IFERROR(__xludf.DUMMYFUNCTION("""COMPUTED_VALUE"""),211884.0)</f>
        <v>211884</v>
      </c>
      <c r="X1138" s="3" t="str">
        <f>IFERROR(__xludf.DUMMYFUNCTION("""COMPUTED_VALUE"""),"894 หมู่3 ตำบลแชะ อำเภอครบุรี จังหวัดนครราชสีมา 30250")</f>
        <v>894 หมู่3 ตำบลแชะ อำเภอครบุรี จังหวัดนครราชสีมา 30250</v>
      </c>
      <c r="Y1138" s="3"/>
      <c r="Z1138" s="3" t="str">
        <f>IFERROR(__xludf.DUMMYFUNCTION("""COMPUTED_VALUE"""),"แชะ")</f>
        <v>แชะ</v>
      </c>
      <c r="AA1138" s="3" t="str">
        <f>IFERROR(__xludf.DUMMYFUNCTION("""COMPUTED_VALUE"""),"ครบุรี")</f>
        <v>ครบุรี</v>
      </c>
      <c r="AB1138" s="3" t="str">
        <f>IFERROR(__xludf.DUMMYFUNCTION("""COMPUTED_VALUE"""),"นครราชสีมา")</f>
        <v>นครราชสีมา</v>
      </c>
      <c r="AC1138" s="3">
        <f>IFERROR(__xludf.DUMMYFUNCTION("""COMPUTED_VALUE"""),30250.0)</f>
        <v>30250</v>
      </c>
      <c r="AD1138" s="3">
        <f>IFERROR(__xludf.DUMMYFUNCTION("""COMPUTED_VALUE"""),14.526623)</f>
        <v>14.526623</v>
      </c>
      <c r="AE1138" s="3">
        <f>IFERROR(__xludf.DUMMYFUNCTION("""COMPUTED_VALUE"""),102.242861)</f>
        <v>102.242861</v>
      </c>
      <c r="AF1138" s="3" t="str">
        <f>IFERROR(__xludf.DUMMYFUNCTION("""COMPUTED_VALUE"""),"MBC ครบุรี นครราชสีมา-21910")</f>
        <v>MBC ครบุรี นครราชสีมา-21910</v>
      </c>
      <c r="AG1138" s="3" t="str">
        <f>IFERROR(__xludf.DUMMYFUNCTION("""COMPUTED_VALUE"""),"ตะวันออกเฉียงเหนือ")</f>
        <v>ตะวันออกเฉียงเหนือ</v>
      </c>
      <c r="AH1138" s="3" t="str">
        <f>IFERROR(__xludf.DUMMYFUNCTION("""COMPUTED_VALUE"""),"#N/A")</f>
        <v>#N/A</v>
      </c>
      <c r="AI1138" s="3" t="str">
        <f>IFERROR(__xludf.DUMMYFUNCTION("""COMPUTED_VALUE"""),"Out of warranty")</f>
        <v>Out of warranty</v>
      </c>
      <c r="AJ1138" s="3">
        <f>IFERROR(__xludf.DUMMYFUNCTION("""COMPUTED_VALUE"""),76.0)</f>
        <v>76</v>
      </c>
      <c r="AK1138" s="3" t="str">
        <f>IFERROR(__xludf.DUMMYFUNCTION("""COMPUTED_VALUE"""),"MMS11")</f>
        <v>MMS11</v>
      </c>
      <c r="AL1138" s="3"/>
    </row>
    <row r="1139" ht="15.75" customHeight="1">
      <c r="A1139" s="1" t="str">
        <f>IFERROR(__xludf.DUMMYFUNCTION("""COMPUTED_VALUE"""),"21911")</f>
        <v>21911</v>
      </c>
      <c r="B1139" s="2">
        <f>IFERROR(__xludf.DUMMYFUNCTION("""COMPUTED_VALUE"""),21911.0)</f>
        <v>21911</v>
      </c>
      <c r="C1139" s="3" t="str">
        <f>IFERROR(__xludf.DUMMYFUNCTION("""COMPUTED_VALUE"""),"MBC ลำทะเมนชัย นครราชสีมา")</f>
        <v>MBC ลำทะเมนชัย นครราชสีมา</v>
      </c>
      <c r="D1139" s="3" t="str">
        <f>IFERROR(__xludf.DUMMYFUNCTION("""COMPUTED_VALUE"""),"BCM LAMTHAMENCHAI")</f>
        <v>BCM LAMTHAMENCHAI</v>
      </c>
      <c r="E1139" s="1" t="str">
        <f>IFERROR(__xludf.DUMMYFUNCTION("""COMPUTED_VALUE"""),"บิ๊กซี MINI")</f>
        <v>บิ๊กซี MINI</v>
      </c>
      <c r="F1139" s="1" t="str">
        <f>IFERROR(__xludf.DUMMYFUNCTION("""COMPUTED_VALUE"""),"291105")</f>
        <v>291105</v>
      </c>
      <c r="G1139" s="1" t="str">
        <f>IFERROR(__xludf.DUMMYFUNCTION("""COMPUTED_VALUE"""),"นายสราวุฒิ พณิชยกุล")</f>
        <v>นายสราวุฒิ พณิชยกุล</v>
      </c>
      <c r="H1139" s="1" t="str">
        <f>IFERROR(__xludf.DUMMYFUNCTION("""COMPUTED_VALUE"""),"281315")</f>
        <v>281315</v>
      </c>
      <c r="I1139" s="1" t="str">
        <f>IFERROR(__xludf.DUMMYFUNCTION("""COMPUTED_VALUE"""),"นายกิตติพงษ์ มั่นคง")</f>
        <v>นายกิตติพงษ์ มั่นคง</v>
      </c>
      <c r="J1139" s="3">
        <f>IFERROR(__xludf.DUMMYFUNCTION("""COMPUTED_VALUE"""),295886.0)</f>
        <v>295886</v>
      </c>
      <c r="K1139" s="3" t="str">
        <f>IFERROR(__xludf.DUMMYFUNCTION("""COMPUTED_VALUE"""),"นายจิระพงษ์ โพธิ์นิล")</f>
        <v>นายจิระพงษ์ โพธิ์นิล</v>
      </c>
      <c r="L1139" s="1" t="str">
        <f>IFERROR(__xludf.DUMMYFUNCTION("""COMPUTED_VALUE"""),"นายจิระพงษ์ โพธิ์นิล")</f>
        <v>นายจิระพงษ์ โพธิ์นิล</v>
      </c>
      <c r="M1139" s="1" t="str">
        <f>IFERROR(__xludf.DUMMYFUNCTION("""COMPUTED_VALUE"""),"0933290754")</f>
        <v>0933290754</v>
      </c>
      <c r="N1139" s="3">
        <f>IFERROR(__xludf.DUMMYFUNCTION("""COMPUTED_VALUE"""),21622.0)</f>
        <v>21622</v>
      </c>
      <c r="O1139" s="3" t="str">
        <f>IFERROR(__xludf.DUMMYFUNCTION("""COMPUTED_VALUE"""),"MBC ตลาดบ้านดอน")</f>
        <v>MBC ตลาดบ้านดอน</v>
      </c>
      <c r="P1139" s="4">
        <f>IFERROR(__xludf.DUMMYFUNCTION("""COMPUTED_VALUE"""),43737.0)</f>
        <v>43737</v>
      </c>
      <c r="Q1139" s="3" t="str">
        <f>IFERROR(__xludf.DUMMYFUNCTION("""COMPUTED_VALUE"""),"I")</f>
        <v>I</v>
      </c>
      <c r="R1139" s="3" t="str">
        <f>IFERROR(__xludf.DUMMYFUNCTION("""COMPUTED_VALUE"""),"Small Format")</f>
        <v>Small Format</v>
      </c>
      <c r="S1139" s="3" t="str">
        <f>IFERROR(__xludf.DUMMYFUNCTION("""COMPUTED_VALUE"""),"BCM")</f>
        <v>BCM</v>
      </c>
      <c r="T1139" s="3" t="str">
        <f>IFERROR(__xludf.DUMMYFUNCTION("""COMPUTED_VALUE"""),"#N/A")</f>
        <v>#N/A</v>
      </c>
      <c r="U1139" s="3" t="str">
        <f>IFERROR(__xludf.DUMMYFUNCTION("""COMPUTED_VALUE"""),"#N/A")</f>
        <v>#N/A</v>
      </c>
      <c r="V1139" s="3" t="str">
        <f>IFERROR(__xludf.DUMMYFUNCTION("""COMPUTED_VALUE"""),"N")</f>
        <v>N</v>
      </c>
      <c r="W1139" s="3">
        <f>IFERROR(__xludf.DUMMYFUNCTION("""COMPUTED_VALUE"""),210005.0)</f>
        <v>210005</v>
      </c>
      <c r="X1139" s="3" t="str">
        <f>IFERROR(__xludf.DUMMYFUNCTION("""COMPUTED_VALUE"""),"340 หมู่9 ตำบลขุย อำเภอลำทะเมนชัย จังหวัดนครราชสีมา 30270")</f>
        <v>340 หมู่9 ตำบลขุย อำเภอลำทะเมนชัย จังหวัดนครราชสีมา 30270</v>
      </c>
      <c r="Y1139" s="3"/>
      <c r="Z1139" s="3" t="str">
        <f>IFERROR(__xludf.DUMMYFUNCTION("""COMPUTED_VALUE"""),"ขุย")</f>
        <v>ขุย</v>
      </c>
      <c r="AA1139" s="3" t="str">
        <f>IFERROR(__xludf.DUMMYFUNCTION("""COMPUTED_VALUE"""),"ลำทะเมนชัย")</f>
        <v>ลำทะเมนชัย</v>
      </c>
      <c r="AB1139" s="3" t="str">
        <f>IFERROR(__xludf.DUMMYFUNCTION("""COMPUTED_VALUE"""),"นครราชสีมา")</f>
        <v>นครราชสีมา</v>
      </c>
      <c r="AC1139" s="3">
        <f>IFERROR(__xludf.DUMMYFUNCTION("""COMPUTED_VALUE"""),30270.0)</f>
        <v>30270</v>
      </c>
      <c r="AD1139" s="3">
        <f>IFERROR(__xludf.DUMMYFUNCTION("""COMPUTED_VALUE"""),15.355785)</f>
        <v>15.355785</v>
      </c>
      <c r="AE1139" s="3">
        <f>IFERROR(__xludf.DUMMYFUNCTION("""COMPUTED_VALUE"""),102.910639)</f>
        <v>102.910639</v>
      </c>
      <c r="AF1139" s="3" t="str">
        <f>IFERROR(__xludf.DUMMYFUNCTION("""COMPUTED_VALUE"""),"MBC ลำทะเมนชัย นครราชสีมา-21911")</f>
        <v>MBC ลำทะเมนชัย นครราชสีมา-21911</v>
      </c>
      <c r="AG1139" s="3" t="str">
        <f>IFERROR(__xludf.DUMMYFUNCTION("""COMPUTED_VALUE"""),"ตะวันออกเฉียงเหนือ")</f>
        <v>ตะวันออกเฉียงเหนือ</v>
      </c>
      <c r="AH1139" s="3" t="str">
        <f>IFERROR(__xludf.DUMMYFUNCTION("""COMPUTED_VALUE"""),"#N/A")</f>
        <v>#N/A</v>
      </c>
      <c r="AI1139" s="3" t="str">
        <f>IFERROR(__xludf.DUMMYFUNCTION("""COMPUTED_VALUE"""),"Out of warranty")</f>
        <v>Out of warranty</v>
      </c>
      <c r="AJ1139" s="3">
        <f>IFERROR(__xludf.DUMMYFUNCTION("""COMPUTED_VALUE"""),76.0)</f>
        <v>76</v>
      </c>
      <c r="AK1139" s="3" t="str">
        <f>IFERROR(__xludf.DUMMYFUNCTION("""COMPUTED_VALUE"""),"MMS11")</f>
        <v>MMS11</v>
      </c>
      <c r="AL1139" s="3"/>
    </row>
    <row r="1140" ht="15.75" customHeight="1">
      <c r="A1140" s="1" t="str">
        <f>IFERROR(__xludf.DUMMYFUNCTION("""COMPUTED_VALUE"""),"21912")</f>
        <v>21912</v>
      </c>
      <c r="B1140" s="2">
        <f>IFERROR(__xludf.DUMMYFUNCTION("""COMPUTED_VALUE"""),21912.0)</f>
        <v>21912</v>
      </c>
      <c r="C1140" s="3" t="str">
        <f>IFERROR(__xludf.DUMMYFUNCTION("""COMPUTED_VALUE"""),"MBC โอเอซิส-พัฒนาการ 53")</f>
        <v>MBC โอเอซิส-พัฒนาการ 53</v>
      </c>
      <c r="D1140" s="3" t="str">
        <f>IFERROR(__xludf.DUMMYFUNCTION("""COMPUTED_VALUE"""),"BCM OASIS PHATTHANAKAN 53")</f>
        <v>BCM OASIS PHATTHANAKAN 53</v>
      </c>
      <c r="E1140" s="1" t="str">
        <f>IFERROR(__xludf.DUMMYFUNCTION("""COMPUTED_VALUE"""),"บิ๊กซี MINI")</f>
        <v>บิ๊กซี MINI</v>
      </c>
      <c r="F1140" s="1" t="str">
        <f>IFERROR(__xludf.DUMMYFUNCTION("""COMPUTED_VALUE"""),"291008")</f>
        <v>291008</v>
      </c>
      <c r="G1140" s="1" t="str">
        <f>IFERROR(__xludf.DUMMYFUNCTION("""COMPUTED_VALUE"""),"น.ส.รัชดาพร อีศรัตน์")</f>
        <v>น.ส.รัชดาพร อีศรัตน์</v>
      </c>
      <c r="H1140" s="1" t="str">
        <f>IFERROR(__xludf.DUMMYFUNCTION("""COMPUTED_VALUE"""),"359054")</f>
        <v>359054</v>
      </c>
      <c r="I1140" s="1" t="str">
        <f>IFERROR(__xludf.DUMMYFUNCTION("""COMPUTED_VALUE"""),"น.ส.กรรณิการ์ พุทธวงค์")</f>
        <v>น.ส.กรรณิการ์ พุทธวงค์</v>
      </c>
      <c r="J1140" s="3">
        <f>IFERROR(__xludf.DUMMYFUNCTION("""COMPUTED_VALUE"""),2452378.0)</f>
        <v>2452378</v>
      </c>
      <c r="K1140" s="3" t="str">
        <f>IFERROR(__xludf.DUMMYFUNCTION("""COMPUTED_VALUE"""),"นายศักดิ์ดา พวงประดับ")</f>
        <v>นายศักดิ์ดา พวงประดับ</v>
      </c>
      <c r="L1140" s="1" t="str">
        <f>IFERROR(__xludf.DUMMYFUNCTION("""COMPUTED_VALUE"""),"11 K.Sakda P.")</f>
        <v>11 K.Sakda P.</v>
      </c>
      <c r="M1140" s="1" t="str">
        <f>IFERROR(__xludf.DUMMYFUNCTION("""COMPUTED_VALUE"""),"065-929-1279")</f>
        <v>065-929-1279</v>
      </c>
      <c r="N1140" s="3">
        <f>IFERROR(__xludf.DUMMYFUNCTION("""COMPUTED_VALUE"""),21002.0)</f>
        <v>21002</v>
      </c>
      <c r="O1140" s="3" t="str">
        <f>IFERROR(__xludf.DUMMYFUNCTION("""COMPUTED_VALUE"""),"MBC อุดมสุข")</f>
        <v>MBC อุดมสุข</v>
      </c>
      <c r="P1140" s="4">
        <f>IFERROR(__xludf.DUMMYFUNCTION("""COMPUTED_VALUE"""),43746.0)</f>
        <v>43746</v>
      </c>
      <c r="Q1140" s="3" t="str">
        <f>IFERROR(__xludf.DUMMYFUNCTION("""COMPUTED_VALUE"""),"A")</f>
        <v>A</v>
      </c>
      <c r="R1140" s="3" t="str">
        <f>IFERROR(__xludf.DUMMYFUNCTION("""COMPUTED_VALUE"""),"Small Format")</f>
        <v>Small Format</v>
      </c>
      <c r="S1140" s="3" t="str">
        <f>IFERROR(__xludf.DUMMYFUNCTION("""COMPUTED_VALUE"""),"BCM")</f>
        <v>BCM</v>
      </c>
      <c r="T1140" s="3" t="str">
        <f>IFERROR(__xludf.DUMMYFUNCTION("""COMPUTED_VALUE"""),"#N/A")</f>
        <v>#N/A</v>
      </c>
      <c r="U1140" s="3" t="str">
        <f>IFERROR(__xludf.DUMMYFUNCTION("""COMPUTED_VALUE"""),"#N/A")</f>
        <v>#N/A</v>
      </c>
      <c r="V1140" s="3" t="str">
        <f>IFERROR(__xludf.DUMMYFUNCTION("""COMPUTED_VALUE"""),"N")</f>
        <v>N</v>
      </c>
      <c r="W1140" s="3">
        <f>IFERROR(__xludf.DUMMYFUNCTION("""COMPUTED_VALUE"""),211988.0)</f>
        <v>211988</v>
      </c>
      <c r="X1140" s="3" t="str">
        <f>IFERROR(__xludf.DUMMYFUNCTION("""COMPUTED_VALUE"""),"358/7 ซอยพัฒนาการ53 แขวงสวนหลวง เขตสวนหลวง กรุงเทพมหานคร 10250")</f>
        <v>358/7 ซอยพัฒนาการ53 แขวงสวนหลวง เขตสวนหลวง กรุงเทพมหานคร 10250</v>
      </c>
      <c r="Y1140" s="3" t="str">
        <f>IFERROR(__xludf.DUMMYFUNCTION("""COMPUTED_VALUE"""),"ซอยพัฒนาการ53")</f>
        <v>ซอยพัฒนาการ53</v>
      </c>
      <c r="Z1140" s="3" t="str">
        <f>IFERROR(__xludf.DUMMYFUNCTION("""COMPUTED_VALUE"""),"สวนหลวง")</f>
        <v>สวนหลวง</v>
      </c>
      <c r="AA1140" s="3" t="str">
        <f>IFERROR(__xludf.DUMMYFUNCTION("""COMPUTED_VALUE"""),"สวนหลวง")</f>
        <v>สวนหลวง</v>
      </c>
      <c r="AB1140" s="3" t="str">
        <f>IFERROR(__xludf.DUMMYFUNCTION("""COMPUTED_VALUE"""),"กรุงเทพมหานคร")</f>
        <v>กรุงเทพมหานคร</v>
      </c>
      <c r="AC1140" s="3">
        <f>IFERROR(__xludf.DUMMYFUNCTION("""COMPUTED_VALUE"""),10250.0)</f>
        <v>10250</v>
      </c>
      <c r="AD1140" s="3">
        <f>IFERROR(__xludf.DUMMYFUNCTION("""COMPUTED_VALUE"""),13.811038)</f>
        <v>13.811038</v>
      </c>
      <c r="AE1140" s="3">
        <f>IFERROR(__xludf.DUMMYFUNCTION("""COMPUTED_VALUE"""),100.340947)</f>
        <v>100.340947</v>
      </c>
      <c r="AF1140" s="3" t="str">
        <f>IFERROR(__xludf.DUMMYFUNCTION("""COMPUTED_VALUE"""),"MBC โอเอซิส-พัฒนาการ 53-21912")</f>
        <v>MBC โอเอซิส-พัฒนาการ 53-21912</v>
      </c>
      <c r="AG1140" s="3" t="str">
        <f>IFERROR(__xludf.DUMMYFUNCTION("""COMPUTED_VALUE"""),"กลาง")</f>
        <v>กลาง</v>
      </c>
      <c r="AH1140" s="3" t="str">
        <f>IFERROR(__xludf.DUMMYFUNCTION("""COMPUTED_VALUE"""),"#N/A")</f>
        <v>#N/A</v>
      </c>
      <c r="AI1140" s="3" t="str">
        <f>IFERROR(__xludf.DUMMYFUNCTION("""COMPUTED_VALUE"""),"Out of warranty")</f>
        <v>Out of warranty</v>
      </c>
      <c r="AJ1140" s="3">
        <f>IFERROR(__xludf.DUMMYFUNCTION("""COMPUTED_VALUE"""),76.0)</f>
        <v>76</v>
      </c>
      <c r="AK1140" s="3" t="str">
        <f>IFERROR(__xludf.DUMMYFUNCTION("""COMPUTED_VALUE"""),"MMS03")</f>
        <v>MMS03</v>
      </c>
      <c r="AL1140" s="3"/>
    </row>
    <row r="1141" ht="15.75" customHeight="1">
      <c r="A1141" s="1" t="str">
        <f>IFERROR(__xludf.DUMMYFUNCTION("""COMPUTED_VALUE"""),"21913")</f>
        <v>21913</v>
      </c>
      <c r="B1141" s="2">
        <f>IFERROR(__xludf.DUMMYFUNCTION("""COMPUTED_VALUE"""),21913.0)</f>
        <v>21913</v>
      </c>
      <c r="C1141" s="3" t="str">
        <f>IFERROR(__xludf.DUMMYFUNCTION("""COMPUTED_VALUE"""),"MBC หนองนิล สุราษฏร์ธานี")</f>
        <v>MBC หนองนิล สุราษฏร์ธานี</v>
      </c>
      <c r="D1141" s="3" t="str">
        <f>IFERROR(__xludf.DUMMYFUNCTION("""COMPUTED_VALUE"""),"BCM NONG NIL, SURAT THANI")</f>
        <v>BCM NONG NIL, SURAT THANI</v>
      </c>
      <c r="E1141" s="1" t="str">
        <f>IFERROR(__xludf.DUMMYFUNCTION("""COMPUTED_VALUE"""),"บิ๊กซี MINI")</f>
        <v>บิ๊กซี MINI</v>
      </c>
      <c r="F1141" s="1" t="str">
        <f>IFERROR(__xludf.DUMMYFUNCTION("""COMPUTED_VALUE"""),"250760")</f>
        <v>250760</v>
      </c>
      <c r="G1141" s="1" t="str">
        <f>IFERROR(__xludf.DUMMYFUNCTION("""COMPUTED_VALUE"""),"นายประทวน สาราบรรณ์")</f>
        <v>นายประทวน สาราบรรณ์</v>
      </c>
      <c r="H1141" s="1" t="str">
        <f>IFERROR(__xludf.DUMMYFUNCTION("""COMPUTED_VALUE"""),"228389")</f>
        <v>228389</v>
      </c>
      <c r="I1141" s="1" t="str">
        <f>IFERROR(__xludf.DUMMYFUNCTION("""COMPUTED_VALUE"""),"นายมณีรันดร์ ชัยชนะ")</f>
        <v>นายมณีรันดร์ ชัยชนะ</v>
      </c>
      <c r="J1141" s="3">
        <f>IFERROR(__xludf.DUMMYFUNCTION("""COMPUTED_VALUE"""),25324.0)</f>
        <v>25324</v>
      </c>
      <c r="K1141" s="3" t="str">
        <f>IFERROR(__xludf.DUMMYFUNCTION("""COMPUTED_VALUE"""),"นายวิเชฎฐ์ ติรัตนะประคม")</f>
        <v>นายวิเชฎฐ์ ติรัตนะประคม</v>
      </c>
      <c r="L1141" s="1" t="str">
        <f>IFERROR(__xludf.DUMMYFUNCTION("""COMPUTED_VALUE"""),"14 K.Wichet T.")</f>
        <v>14 K.Wichet T.</v>
      </c>
      <c r="M1141" s="1" t="str">
        <f>IFERROR(__xludf.DUMMYFUNCTION("""COMPUTED_VALUE"""),"061-417-6569 / 086-445-5636")</f>
        <v>061-417-6569 / 086-445-5636</v>
      </c>
      <c r="N1141" s="3">
        <f>IFERROR(__xludf.DUMMYFUNCTION("""COMPUTED_VALUE"""),22658.0)</f>
        <v>22658</v>
      </c>
      <c r="O1141" s="3" t="str">
        <f>IFERROR(__xludf.DUMMYFUNCTION("""COMPUTED_VALUE"""),"BCM ถ.วิรัชหงษ์หยก ภูเก็ต")</f>
        <v>BCM ถ.วิรัชหงษ์หยก ภูเก็ต</v>
      </c>
      <c r="P1141" s="4">
        <f>IFERROR(__xludf.DUMMYFUNCTION("""COMPUTED_VALUE"""),43737.0)</f>
        <v>43737</v>
      </c>
      <c r="Q1141" s="3" t="str">
        <f>IFERROR(__xludf.DUMMYFUNCTION("""COMPUTED_VALUE"""),"A")</f>
        <v>A</v>
      </c>
      <c r="R1141" s="3" t="str">
        <f>IFERROR(__xludf.DUMMYFUNCTION("""COMPUTED_VALUE"""),"Small Format")</f>
        <v>Small Format</v>
      </c>
      <c r="S1141" s="3" t="str">
        <f>IFERROR(__xludf.DUMMYFUNCTION("""COMPUTED_VALUE"""),"BCM")</f>
        <v>BCM</v>
      </c>
      <c r="T1141" s="3" t="str">
        <f>IFERROR(__xludf.DUMMYFUNCTION("""COMPUTED_VALUE"""),"#N/A")</f>
        <v>#N/A</v>
      </c>
      <c r="U1141" s="3" t="str">
        <f>IFERROR(__xludf.DUMMYFUNCTION("""COMPUTED_VALUE"""),"#N/A")</f>
        <v>#N/A</v>
      </c>
      <c r="V1141" s="3" t="str">
        <f>IFERROR(__xludf.DUMMYFUNCTION("""COMPUTED_VALUE"""),"N")</f>
        <v>N</v>
      </c>
      <c r="W1141" s="3">
        <f>IFERROR(__xludf.DUMMYFUNCTION("""COMPUTED_VALUE"""),211962.0)</f>
        <v>211962</v>
      </c>
      <c r="X1141" s="3" t="str">
        <f>IFERROR(__xludf.DUMMYFUNCTION("""COMPUTED_VALUE"""),"44,44/1 หมู่10 ตำบลสมอทอง อำเภอท่าชนะ จังหวัดสุราษฎร์ธานี 84170")</f>
        <v>44,44/1 หมู่10 ตำบลสมอทอง อำเภอท่าชนะ จังหวัดสุราษฎร์ธานี 84170</v>
      </c>
      <c r="Y1141" s="3"/>
      <c r="Z1141" s="3" t="str">
        <f>IFERROR(__xludf.DUMMYFUNCTION("""COMPUTED_VALUE"""),"สมอทอง")</f>
        <v>สมอทอง</v>
      </c>
      <c r="AA1141" s="3" t="str">
        <f>IFERROR(__xludf.DUMMYFUNCTION("""COMPUTED_VALUE"""),"ท่าชนะ")</f>
        <v>ท่าชนะ</v>
      </c>
      <c r="AB1141" s="3" t="str">
        <f>IFERROR(__xludf.DUMMYFUNCTION("""COMPUTED_VALUE"""),"สุราษฎร์ธานี")</f>
        <v>สุราษฎร์ธานี</v>
      </c>
      <c r="AC1141" s="3">
        <f>IFERROR(__xludf.DUMMYFUNCTION("""COMPUTED_VALUE"""),84170.0)</f>
        <v>84170</v>
      </c>
      <c r="AD1141" s="3">
        <f>IFERROR(__xludf.DUMMYFUNCTION("""COMPUTED_VALUE"""),9.567028)</f>
        <v>9.567028</v>
      </c>
      <c r="AE1141" s="3">
        <f>IFERROR(__xludf.DUMMYFUNCTION("""COMPUTED_VALUE"""),99.128813)</f>
        <v>99.128813</v>
      </c>
      <c r="AF1141" s="3" t="str">
        <f>IFERROR(__xludf.DUMMYFUNCTION("""COMPUTED_VALUE"""),"MBC หนองนิล สุราษฏร์ธานี-21913")</f>
        <v>MBC หนองนิล สุราษฏร์ธานี-21913</v>
      </c>
      <c r="AG1141" s="3" t="str">
        <f>IFERROR(__xludf.DUMMYFUNCTION("""COMPUTED_VALUE"""),"ใต้")</f>
        <v>ใต้</v>
      </c>
      <c r="AH1141" s="3" t="str">
        <f>IFERROR(__xludf.DUMMYFUNCTION("""COMPUTED_VALUE"""),"#N/A")</f>
        <v>#N/A</v>
      </c>
      <c r="AI1141" s="3" t="str">
        <f>IFERROR(__xludf.DUMMYFUNCTION("""COMPUTED_VALUE"""),"Out of warranty")</f>
        <v>Out of warranty</v>
      </c>
      <c r="AJ1141" s="3">
        <f>IFERROR(__xludf.DUMMYFUNCTION("""COMPUTED_VALUE"""),76.0)</f>
        <v>76</v>
      </c>
      <c r="AK1141" s="3" t="str">
        <f>IFERROR(__xludf.DUMMYFUNCTION("""COMPUTED_VALUE"""),"MMS14")</f>
        <v>MMS14</v>
      </c>
      <c r="AL1141" s="3"/>
    </row>
    <row r="1142" ht="15.75" customHeight="1">
      <c r="A1142" s="1" t="str">
        <f>IFERROR(__xludf.DUMMYFUNCTION("""COMPUTED_VALUE"""),"21914")</f>
        <v>21914</v>
      </c>
      <c r="B1142" s="2">
        <f>IFERROR(__xludf.DUMMYFUNCTION("""COMPUTED_VALUE"""),21914.0)</f>
        <v>21914</v>
      </c>
      <c r="C1142" s="3" t="str">
        <f>IFERROR(__xludf.DUMMYFUNCTION("""COMPUTED_VALUE"""),"MBC ห้วยวังนอง อุบลราชธานี")</f>
        <v>MBC ห้วยวังนอง อุบลราชธานี</v>
      </c>
      <c r="D1142" s="3" t="str">
        <f>IFERROR(__xludf.DUMMYFUNCTION("""COMPUTED_VALUE"""),"BCM HUAI WANG NONG")</f>
        <v>BCM HUAI WANG NONG</v>
      </c>
      <c r="E1142" s="1" t="str">
        <f>IFERROR(__xludf.DUMMYFUNCTION("""COMPUTED_VALUE"""),"บิ๊กซี MINI")</f>
        <v>บิ๊กซี MINI</v>
      </c>
      <c r="F1142" s="1" t="str">
        <f>IFERROR(__xludf.DUMMYFUNCTION("""COMPUTED_VALUE"""),"291105")</f>
        <v>291105</v>
      </c>
      <c r="G1142" s="1" t="str">
        <f>IFERROR(__xludf.DUMMYFUNCTION("""COMPUTED_VALUE"""),"นายสราวุฒิ พณิชยกุล")</f>
        <v>นายสราวุฒิ พณิชยกุล</v>
      </c>
      <c r="H1142" s="1" t="str">
        <f>IFERROR(__xludf.DUMMYFUNCTION("""COMPUTED_VALUE"""),"250772")</f>
        <v>250772</v>
      </c>
      <c r="I1142" s="1" t="str">
        <f>IFERROR(__xludf.DUMMYFUNCTION("""COMPUTED_VALUE"""),"น.ส.วรุณยุพา จรูญไธสง")</f>
        <v>น.ส.วรุณยุพา จรูญไธสง</v>
      </c>
      <c r="J1142" s="3">
        <f>IFERROR(__xludf.DUMMYFUNCTION("""COMPUTED_VALUE"""),2454781.0)</f>
        <v>2454781</v>
      </c>
      <c r="K1142" s="3" t="str">
        <f>IFERROR(__xludf.DUMMYFUNCTION("""COMPUTED_VALUE"""),"นายฌานกฤช นันทะโคต")</f>
        <v>นายฌานกฤช นันทะโคต</v>
      </c>
      <c r="L1142" s="1" t="str">
        <f>IFERROR(__xludf.DUMMYFUNCTION("""COMPUTED_VALUE"""),"05 K.Chanakrit N.")</f>
        <v>05 K.Chanakrit N.</v>
      </c>
      <c r="M1142" s="1" t="str">
        <f>IFERROR(__xludf.DUMMYFUNCTION("""COMPUTED_VALUE"""),"090-978-9785 ,065-929-1320")</f>
        <v>090-978-9785 ,065-929-1320</v>
      </c>
      <c r="N1142" s="3">
        <f>IFERROR(__xludf.DUMMYFUNCTION("""COMPUTED_VALUE"""),22195.0)</f>
        <v>22195</v>
      </c>
      <c r="O1142" s="3" t="str">
        <f>IFERROR(__xludf.DUMMYFUNCTION("""COMPUTED_VALUE"""),"MBC กันทรลักษ์ ศรีสะเกษ")</f>
        <v>MBC กันทรลักษ์ ศรีสะเกษ</v>
      </c>
      <c r="P1142" s="4">
        <f>IFERROR(__xludf.DUMMYFUNCTION("""COMPUTED_VALUE"""),43737.0)</f>
        <v>43737</v>
      </c>
      <c r="Q1142" s="3" t="str">
        <f>IFERROR(__xludf.DUMMYFUNCTION("""COMPUTED_VALUE"""),"A")</f>
        <v>A</v>
      </c>
      <c r="R1142" s="3" t="str">
        <f>IFERROR(__xludf.DUMMYFUNCTION("""COMPUTED_VALUE"""),"Small Format")</f>
        <v>Small Format</v>
      </c>
      <c r="S1142" s="3" t="str">
        <f>IFERROR(__xludf.DUMMYFUNCTION("""COMPUTED_VALUE"""),"BCM")</f>
        <v>BCM</v>
      </c>
      <c r="T1142" s="3" t="str">
        <f>IFERROR(__xludf.DUMMYFUNCTION("""COMPUTED_VALUE"""),"#N/A")</f>
        <v>#N/A</v>
      </c>
      <c r="U1142" s="3" t="str">
        <f>IFERROR(__xludf.DUMMYFUNCTION("""COMPUTED_VALUE"""),"#N/A")</f>
        <v>#N/A</v>
      </c>
      <c r="V1142" s="3" t="str">
        <f>IFERROR(__xludf.DUMMYFUNCTION("""COMPUTED_VALUE"""),"N")</f>
        <v>N</v>
      </c>
      <c r="W1142" s="3">
        <f>IFERROR(__xludf.DUMMYFUNCTION("""COMPUTED_VALUE"""),210044.0)</f>
        <v>210044</v>
      </c>
      <c r="X1142" s="3" t="str">
        <f>IFERROR(__xludf.DUMMYFUNCTION("""COMPUTED_VALUE"""),"234 หมู่11 ตำบลปทุม อำเภอเมืองอุบลราชธานี จังหวัดอุบลราชธานี 34000")</f>
        <v>234 หมู่11 ตำบลปทุม อำเภอเมืองอุบลราชธานี จังหวัดอุบลราชธานี 34000</v>
      </c>
      <c r="Y1142" s="3"/>
      <c r="Z1142" s="3" t="str">
        <f>IFERROR(__xludf.DUMMYFUNCTION("""COMPUTED_VALUE"""),"ปทุม")</f>
        <v>ปทุม</v>
      </c>
      <c r="AA1142" s="3" t="str">
        <f>IFERROR(__xludf.DUMMYFUNCTION("""COMPUTED_VALUE"""),"เมือง")</f>
        <v>เมือง</v>
      </c>
      <c r="AB1142" s="3" t="str">
        <f>IFERROR(__xludf.DUMMYFUNCTION("""COMPUTED_VALUE"""),"อุบลราชธานี")</f>
        <v>อุบลราชธานี</v>
      </c>
      <c r="AC1142" s="3">
        <f>IFERROR(__xludf.DUMMYFUNCTION("""COMPUTED_VALUE"""),34000.0)</f>
        <v>34000</v>
      </c>
      <c r="AD1142" s="3">
        <f>IFERROR(__xludf.DUMMYFUNCTION("""COMPUTED_VALUE"""),15.241898)</f>
        <v>15.241898</v>
      </c>
      <c r="AE1142" s="3">
        <f>IFERROR(__xludf.DUMMYFUNCTION("""COMPUTED_VALUE"""),104.886305)</f>
        <v>104.886305</v>
      </c>
      <c r="AF1142" s="3" t="str">
        <f>IFERROR(__xludf.DUMMYFUNCTION("""COMPUTED_VALUE"""),"MBC ห้วยวังนอง อุบลราชธานี-21914")</f>
        <v>MBC ห้วยวังนอง อุบลราชธานี-21914</v>
      </c>
      <c r="AG1142" s="3" t="str">
        <f>IFERROR(__xludf.DUMMYFUNCTION("""COMPUTED_VALUE"""),"ตะวันออกเฉียงเหนือ")</f>
        <v>ตะวันออกเฉียงเหนือ</v>
      </c>
      <c r="AH1142" s="3" t="str">
        <f>IFERROR(__xludf.DUMMYFUNCTION("""COMPUTED_VALUE"""),"#N/A")</f>
        <v>#N/A</v>
      </c>
      <c r="AI1142" s="3" t="str">
        <f>IFERROR(__xludf.DUMMYFUNCTION("""COMPUTED_VALUE"""),"Out of warranty")</f>
        <v>Out of warranty</v>
      </c>
      <c r="AJ1142" s="3">
        <f>IFERROR(__xludf.DUMMYFUNCTION("""COMPUTED_VALUE"""),76.0)</f>
        <v>76</v>
      </c>
      <c r="AK1142" s="3" t="str">
        <f>IFERROR(__xludf.DUMMYFUNCTION("""COMPUTED_VALUE"""),"MMS13")</f>
        <v>MMS13</v>
      </c>
      <c r="AL1142" s="3"/>
    </row>
    <row r="1143" ht="15.75" customHeight="1">
      <c r="A1143" s="1" t="str">
        <f>IFERROR(__xludf.DUMMYFUNCTION("""COMPUTED_VALUE"""),"21915")</f>
        <v>21915</v>
      </c>
      <c r="B1143" s="2">
        <f>IFERROR(__xludf.DUMMYFUNCTION("""COMPUTED_VALUE"""),21915.0)</f>
        <v>21915</v>
      </c>
      <c r="C1143" s="3" t="str">
        <f>IFERROR(__xludf.DUMMYFUNCTION("""COMPUTED_VALUE"""),"MBC คลองใหญ่ ตราด")</f>
        <v>MBC คลองใหญ่ ตราด</v>
      </c>
      <c r="D1143" s="3" t="str">
        <f>IFERROR(__xludf.DUMMYFUNCTION("""COMPUTED_VALUE"""),"BCM KLONG YAI,TRAT")</f>
        <v>BCM KLONG YAI,TRAT</v>
      </c>
      <c r="E1143" s="1" t="str">
        <f>IFERROR(__xludf.DUMMYFUNCTION("""COMPUTED_VALUE"""),"บิ๊กซี MINI")</f>
        <v>บิ๊กซี MINI</v>
      </c>
      <c r="F1143" s="1" t="str">
        <f>IFERROR(__xludf.DUMMYFUNCTION("""COMPUTED_VALUE"""),"221716")</f>
        <v>221716</v>
      </c>
      <c r="G1143" s="1" t="str">
        <f>IFERROR(__xludf.DUMMYFUNCTION("""COMPUTED_VALUE"""),"น.ส.เบญจพร โพธิสาร")</f>
        <v>น.ส.เบญจพร โพธิสาร</v>
      </c>
      <c r="H1143" s="1" t="str">
        <f>IFERROR(__xludf.DUMMYFUNCTION("""COMPUTED_VALUE"""),"318151")</f>
        <v>318151</v>
      </c>
      <c r="I1143" s="1" t="str">
        <f>IFERROR(__xludf.DUMMYFUNCTION("""COMPUTED_VALUE"""),"นายพลฬกฤตต์ เนตมณี")</f>
        <v>นายพลฬกฤตต์ เนตมณี</v>
      </c>
      <c r="J1143" s="3">
        <f>IFERROR(__xludf.DUMMYFUNCTION("""COMPUTED_VALUE"""),2452376.0)</f>
        <v>2452376</v>
      </c>
      <c r="K1143" s="3" t="str">
        <f>IFERROR(__xludf.DUMMYFUNCTION("""COMPUTED_VALUE"""),"นายภาคภูมิ ทวีกุล")</f>
        <v>นายภาคภูมิ ทวีกุล</v>
      </c>
      <c r="L1143" s="3" t="str">
        <f>IFERROR(__xludf.DUMMYFUNCTION("""COMPUTED_VALUE"""),"08 K.Parkphum T.")</f>
        <v>08 K.Parkphum T.</v>
      </c>
      <c r="M1143" s="1" t="str">
        <f>IFERROR(__xludf.DUMMYFUNCTION("""COMPUTED_VALUE"""),"097-919-5476")</f>
        <v>097-919-5476</v>
      </c>
      <c r="N1143" s="3">
        <f>IFERROR(__xludf.DUMMYFUNCTION("""COMPUTED_VALUE"""),22028.0)</f>
        <v>22028</v>
      </c>
      <c r="O1143" s="3" t="str">
        <f>IFERROR(__xludf.DUMMYFUNCTION("""COMPUTED_VALUE"""),"MBC ทํบมา ระยอง")</f>
        <v>MBC ทํบมา ระยอง</v>
      </c>
      <c r="P1143" s="4">
        <f>IFERROR(__xludf.DUMMYFUNCTION("""COMPUTED_VALUE"""),43737.0)</f>
        <v>43737</v>
      </c>
      <c r="Q1143" s="3" t="str">
        <f>IFERROR(__xludf.DUMMYFUNCTION("""COMPUTED_VALUE"""),"A")</f>
        <v>A</v>
      </c>
      <c r="R1143" s="3" t="str">
        <f>IFERROR(__xludf.DUMMYFUNCTION("""COMPUTED_VALUE"""),"Small Format")</f>
        <v>Small Format</v>
      </c>
      <c r="S1143" s="3" t="str">
        <f>IFERROR(__xludf.DUMMYFUNCTION("""COMPUTED_VALUE"""),"BCM")</f>
        <v>BCM</v>
      </c>
      <c r="T1143" s="3" t="str">
        <f>IFERROR(__xludf.DUMMYFUNCTION("""COMPUTED_VALUE"""),"#N/A")</f>
        <v>#N/A</v>
      </c>
      <c r="U1143" s="3" t="str">
        <f>IFERROR(__xludf.DUMMYFUNCTION("""COMPUTED_VALUE"""),"#N/A")</f>
        <v>#N/A</v>
      </c>
      <c r="V1143" s="3" t="str">
        <f>IFERROR(__xludf.DUMMYFUNCTION("""COMPUTED_VALUE"""),"N")</f>
        <v>N</v>
      </c>
      <c r="W1143" s="3">
        <f>IFERROR(__xludf.DUMMYFUNCTION("""COMPUTED_VALUE"""),210045.0)</f>
        <v>210045</v>
      </c>
      <c r="X1143" s="3" t="str">
        <f>IFERROR(__xludf.DUMMYFUNCTION("""COMPUTED_VALUE"""),"216 หมู่2 ตำบลคลองใหญ่ อำเภอคลองใหญ่ จังหวัดตราด 23110")</f>
        <v>216 หมู่2 ตำบลคลองใหญ่ อำเภอคลองใหญ่ จังหวัดตราด 23110</v>
      </c>
      <c r="Y1143" s="3"/>
      <c r="Z1143" s="3" t="str">
        <f>IFERROR(__xludf.DUMMYFUNCTION("""COMPUTED_VALUE"""),"คลองใหญ่")</f>
        <v>คลองใหญ่</v>
      </c>
      <c r="AA1143" s="3" t="str">
        <f>IFERROR(__xludf.DUMMYFUNCTION("""COMPUTED_VALUE"""),"คลองใหญ่")</f>
        <v>คลองใหญ่</v>
      </c>
      <c r="AB1143" s="3" t="str">
        <f>IFERROR(__xludf.DUMMYFUNCTION("""COMPUTED_VALUE"""),"ตราด")</f>
        <v>ตราด</v>
      </c>
      <c r="AC1143" s="3">
        <f>IFERROR(__xludf.DUMMYFUNCTION("""COMPUTED_VALUE"""),23110.0)</f>
        <v>23110</v>
      </c>
      <c r="AD1143" s="3">
        <f>IFERROR(__xludf.DUMMYFUNCTION("""COMPUTED_VALUE"""),11.775818)</f>
        <v>11.775818</v>
      </c>
      <c r="AE1143" s="3">
        <f>IFERROR(__xludf.DUMMYFUNCTION("""COMPUTED_VALUE"""),102.883416)</f>
        <v>102.883416</v>
      </c>
      <c r="AF1143" s="3" t="str">
        <f>IFERROR(__xludf.DUMMYFUNCTION("""COMPUTED_VALUE"""),"MBC คลองใหญ่ ตราด-21915")</f>
        <v>MBC คลองใหญ่ ตราด-21915</v>
      </c>
      <c r="AG1143" s="3" t="str">
        <f>IFERROR(__xludf.DUMMYFUNCTION("""COMPUTED_VALUE"""),"ตะวันออก")</f>
        <v>ตะวันออก</v>
      </c>
      <c r="AH1143" s="3" t="str">
        <f>IFERROR(__xludf.DUMMYFUNCTION("""COMPUTED_VALUE"""),"#N/A")</f>
        <v>#N/A</v>
      </c>
      <c r="AI1143" s="3" t="str">
        <f>IFERROR(__xludf.DUMMYFUNCTION("""COMPUTED_VALUE"""),"Out of warranty")</f>
        <v>Out of warranty</v>
      </c>
      <c r="AJ1143" s="3">
        <f>IFERROR(__xludf.DUMMYFUNCTION("""COMPUTED_VALUE"""),76.0)</f>
        <v>76</v>
      </c>
      <c r="AK1143" s="3" t="str">
        <f>IFERROR(__xludf.DUMMYFUNCTION("""COMPUTED_VALUE"""),"MMS08")</f>
        <v>MMS08</v>
      </c>
      <c r="AL1143" s="3"/>
    </row>
    <row r="1144" ht="15.75" customHeight="1">
      <c r="A1144" s="1" t="str">
        <f>IFERROR(__xludf.DUMMYFUNCTION("""COMPUTED_VALUE"""),"21916")</f>
        <v>21916</v>
      </c>
      <c r="B1144" s="2">
        <f>IFERROR(__xludf.DUMMYFUNCTION("""COMPUTED_VALUE"""),21916.0)</f>
        <v>21916</v>
      </c>
      <c r="C1144" s="3" t="str">
        <f>IFERROR(__xludf.DUMMYFUNCTION("""COMPUTED_VALUE"""),"MBC คลองสน ตราด")</f>
        <v>MBC คลองสน ตราด</v>
      </c>
      <c r="D1144" s="3" t="str">
        <f>IFERROR(__xludf.DUMMYFUNCTION("""COMPUTED_VALUE"""),"BCM KLONG SON, TRAT")</f>
        <v>BCM KLONG SON, TRAT</v>
      </c>
      <c r="E1144" s="1" t="str">
        <f>IFERROR(__xludf.DUMMYFUNCTION("""COMPUTED_VALUE"""),"บิ๊กซี MINI")</f>
        <v>บิ๊กซี MINI</v>
      </c>
      <c r="F1144" s="1" t="str">
        <f>IFERROR(__xludf.DUMMYFUNCTION("""COMPUTED_VALUE"""),"221716")</f>
        <v>221716</v>
      </c>
      <c r="G1144" s="1" t="str">
        <f>IFERROR(__xludf.DUMMYFUNCTION("""COMPUTED_VALUE"""),"น.ส.เบญจพร โพธิสาร")</f>
        <v>น.ส.เบญจพร โพธิสาร</v>
      </c>
      <c r="H1144" s="1" t="str">
        <f>IFERROR(__xludf.DUMMYFUNCTION("""COMPUTED_VALUE"""),"318151")</f>
        <v>318151</v>
      </c>
      <c r="I1144" s="1" t="str">
        <f>IFERROR(__xludf.DUMMYFUNCTION("""COMPUTED_VALUE"""),"นายพลฬกฤตต์ เนตมณี")</f>
        <v>นายพลฬกฤตต์ เนตมณี</v>
      </c>
      <c r="J1144" s="3">
        <f>IFERROR(__xludf.DUMMYFUNCTION("""COMPUTED_VALUE"""),2452376.0)</f>
        <v>2452376</v>
      </c>
      <c r="K1144" s="3" t="str">
        <f>IFERROR(__xludf.DUMMYFUNCTION("""COMPUTED_VALUE"""),"นายภาคภูมิ ทวีกุล")</f>
        <v>นายภาคภูมิ ทวีกุล</v>
      </c>
      <c r="L1144" s="1" t="str">
        <f>IFERROR(__xludf.DUMMYFUNCTION("""COMPUTED_VALUE"""),"08 K.Parkphum T.")</f>
        <v>08 K.Parkphum T.</v>
      </c>
      <c r="M1144" s="1" t="str">
        <f>IFERROR(__xludf.DUMMYFUNCTION("""COMPUTED_VALUE"""),"097-919-5476")</f>
        <v>097-919-5476</v>
      </c>
      <c r="N1144" s="3">
        <f>IFERROR(__xludf.DUMMYFUNCTION("""COMPUTED_VALUE"""),22028.0)</f>
        <v>22028</v>
      </c>
      <c r="O1144" s="3" t="str">
        <f>IFERROR(__xludf.DUMMYFUNCTION("""COMPUTED_VALUE"""),"MBC ทํบมา ระยอง")</f>
        <v>MBC ทํบมา ระยอง</v>
      </c>
      <c r="P1144" s="4">
        <f>IFERROR(__xludf.DUMMYFUNCTION("""COMPUTED_VALUE"""),43742.0)</f>
        <v>43742</v>
      </c>
      <c r="Q1144" s="3" t="str">
        <f>IFERROR(__xludf.DUMMYFUNCTION("""COMPUTED_VALUE"""),"A")</f>
        <v>A</v>
      </c>
      <c r="R1144" s="3" t="str">
        <f>IFERROR(__xludf.DUMMYFUNCTION("""COMPUTED_VALUE"""),"Small Format")</f>
        <v>Small Format</v>
      </c>
      <c r="S1144" s="3" t="str">
        <f>IFERROR(__xludf.DUMMYFUNCTION("""COMPUTED_VALUE"""),"BCM")</f>
        <v>BCM</v>
      </c>
      <c r="T1144" s="3" t="str">
        <f>IFERROR(__xludf.DUMMYFUNCTION("""COMPUTED_VALUE"""),"#N/A")</f>
        <v>#N/A</v>
      </c>
      <c r="U1144" s="3" t="str">
        <f>IFERROR(__xludf.DUMMYFUNCTION("""COMPUTED_VALUE"""),"#N/A")</f>
        <v>#N/A</v>
      </c>
      <c r="V1144" s="3" t="str">
        <f>IFERROR(__xludf.DUMMYFUNCTION("""COMPUTED_VALUE"""),"N")</f>
        <v>N</v>
      </c>
      <c r="W1144" s="3">
        <f>IFERROR(__xludf.DUMMYFUNCTION("""COMPUTED_VALUE"""),210046.0)</f>
        <v>210046</v>
      </c>
      <c r="X1144" s="3" t="str">
        <f>IFERROR(__xludf.DUMMYFUNCTION("""COMPUTED_VALUE"""),"75/2 หมู่5 ตำบลหาดเล็ก อำเภอคลองใหญ่ จังหวัดตราด 23110")</f>
        <v>75/2 หมู่5 ตำบลหาดเล็ก อำเภอคลองใหญ่ จังหวัดตราด 23110</v>
      </c>
      <c r="Y1144" s="3"/>
      <c r="Z1144" s="3" t="str">
        <f>IFERROR(__xludf.DUMMYFUNCTION("""COMPUTED_VALUE"""),"หาดเล็ก")</f>
        <v>หาดเล็ก</v>
      </c>
      <c r="AA1144" s="3" t="str">
        <f>IFERROR(__xludf.DUMMYFUNCTION("""COMPUTED_VALUE"""),"คลองใหญ่")</f>
        <v>คลองใหญ่</v>
      </c>
      <c r="AB1144" s="3" t="str">
        <f>IFERROR(__xludf.DUMMYFUNCTION("""COMPUTED_VALUE"""),"ตราด")</f>
        <v>ตราด</v>
      </c>
      <c r="AC1144" s="3">
        <f>IFERROR(__xludf.DUMMYFUNCTION("""COMPUTED_VALUE"""),23110.0)</f>
        <v>23110</v>
      </c>
      <c r="AD1144" s="3">
        <f>IFERROR(__xludf.DUMMYFUNCTION("""COMPUTED_VALUE"""),11.734371)</f>
        <v>11.734371</v>
      </c>
      <c r="AE1144" s="3">
        <f>IFERROR(__xludf.DUMMYFUNCTION("""COMPUTED_VALUE"""),102.901415)</f>
        <v>102.901415</v>
      </c>
      <c r="AF1144" s="3" t="str">
        <f>IFERROR(__xludf.DUMMYFUNCTION("""COMPUTED_VALUE"""),"MBC คลองสน ตราด-21916")</f>
        <v>MBC คลองสน ตราด-21916</v>
      </c>
      <c r="AG1144" s="3" t="str">
        <f>IFERROR(__xludf.DUMMYFUNCTION("""COMPUTED_VALUE"""),"ตะวันออก")</f>
        <v>ตะวันออก</v>
      </c>
      <c r="AH1144" s="3" t="str">
        <f>IFERROR(__xludf.DUMMYFUNCTION("""COMPUTED_VALUE"""),"#N/A")</f>
        <v>#N/A</v>
      </c>
      <c r="AI1144" s="3" t="str">
        <f>IFERROR(__xludf.DUMMYFUNCTION("""COMPUTED_VALUE"""),"Out of warranty")</f>
        <v>Out of warranty</v>
      </c>
      <c r="AJ1144" s="3">
        <f>IFERROR(__xludf.DUMMYFUNCTION("""COMPUTED_VALUE"""),76.0)</f>
        <v>76</v>
      </c>
      <c r="AK1144" s="3" t="str">
        <f>IFERROR(__xludf.DUMMYFUNCTION("""COMPUTED_VALUE"""),"MMS08")</f>
        <v>MMS08</v>
      </c>
      <c r="AL1144" s="3"/>
    </row>
    <row r="1145" ht="15.75" customHeight="1">
      <c r="A1145" s="1" t="str">
        <f>IFERROR(__xludf.DUMMYFUNCTION("""COMPUTED_VALUE"""),"21917")</f>
        <v>21917</v>
      </c>
      <c r="B1145" s="2">
        <f>IFERROR(__xludf.DUMMYFUNCTION("""COMPUTED_VALUE"""),21917.0)</f>
        <v>21917</v>
      </c>
      <c r="C1145" s="3" t="str">
        <f>IFERROR(__xludf.DUMMYFUNCTION("""COMPUTED_VALUE"""),"MBC ประชาอุทิศ-คู่สร้าง สมุทรปราการ")</f>
        <v>MBC ประชาอุทิศ-คู่สร้าง สมุทรปราการ</v>
      </c>
      <c r="D1145" s="3" t="str">
        <f>IFERROR(__xludf.DUMMYFUNCTION("""COMPUTED_VALUE"""),"BCM PRACHA UTHIT-KHU SANG")</f>
        <v>BCM PRACHA UTHIT-KHU SANG</v>
      </c>
      <c r="E1145" s="1" t="str">
        <f>IFERROR(__xludf.DUMMYFUNCTION("""COMPUTED_VALUE"""),"บิ๊กซี MINI")</f>
        <v>บิ๊กซี MINI</v>
      </c>
      <c r="F1145" s="1" t="str">
        <f>IFERROR(__xludf.DUMMYFUNCTION("""COMPUTED_VALUE"""),"2083447")</f>
        <v>2083447</v>
      </c>
      <c r="G1145" s="1" t="str">
        <f>IFERROR(__xludf.DUMMYFUNCTION("""COMPUTED_VALUE"""),"นายอนุกูล ศรีลัดดา")</f>
        <v>นายอนุกูล ศรีลัดดา</v>
      </c>
      <c r="H1145" s="1" t="str">
        <f>IFERROR(__xludf.DUMMYFUNCTION("""COMPUTED_VALUE"""),"379037")</f>
        <v>379037</v>
      </c>
      <c r="I1145" s="1" t="str">
        <f>IFERROR(__xludf.DUMMYFUNCTION("""COMPUTED_VALUE"""),"นางแก้วใจ แก้วกาญจน์")</f>
        <v>นางแก้วใจ แก้วกาญจน์</v>
      </c>
      <c r="J1145" s="3">
        <f>IFERROR(__xludf.DUMMYFUNCTION("""COMPUTED_VALUE"""),2451655.0)</f>
        <v>2451655</v>
      </c>
      <c r="K1145" s="3" t="str">
        <f>IFERROR(__xludf.DUMMYFUNCTION("""COMPUTED_VALUE"""),"นายวิษณุพงษ์ ชินบุตร")</f>
        <v>นายวิษณุพงษ์ ชินบุตร</v>
      </c>
      <c r="L1145" s="1" t="str">
        <f>IFERROR(__xludf.DUMMYFUNCTION("""COMPUTED_VALUE"""),"13 K.Wisanupong Ch")</f>
        <v>13 K.Wisanupong Ch</v>
      </c>
      <c r="M1145" s="1" t="str">
        <f>IFERROR(__xludf.DUMMYFUNCTION("""COMPUTED_VALUE"""),"0843374693")</f>
        <v>0843374693</v>
      </c>
      <c r="N1145" s="3">
        <f>IFERROR(__xludf.DUMMYFUNCTION("""COMPUTED_VALUE"""),22729.0)</f>
        <v>22729</v>
      </c>
      <c r="O1145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145" s="4">
        <f>IFERROR(__xludf.DUMMYFUNCTION("""COMPUTED_VALUE"""),43748.0)</f>
        <v>43748</v>
      </c>
      <c r="Q1145" s="3" t="str">
        <f>IFERROR(__xludf.DUMMYFUNCTION("""COMPUTED_VALUE"""),"A")</f>
        <v>A</v>
      </c>
      <c r="R1145" s="3" t="str">
        <f>IFERROR(__xludf.DUMMYFUNCTION("""COMPUTED_VALUE"""),"Small Format")</f>
        <v>Small Format</v>
      </c>
      <c r="S1145" s="3" t="str">
        <f>IFERROR(__xludf.DUMMYFUNCTION("""COMPUTED_VALUE"""),"BCM")</f>
        <v>BCM</v>
      </c>
      <c r="T1145" s="3" t="str">
        <f>IFERROR(__xludf.DUMMYFUNCTION("""COMPUTED_VALUE"""),"#N/A")</f>
        <v>#N/A</v>
      </c>
      <c r="U1145" s="3" t="str">
        <f>IFERROR(__xludf.DUMMYFUNCTION("""COMPUTED_VALUE"""),"#N/A")</f>
        <v>#N/A</v>
      </c>
      <c r="V1145" s="3" t="str">
        <f>IFERROR(__xludf.DUMMYFUNCTION("""COMPUTED_VALUE"""),"N")</f>
        <v>N</v>
      </c>
      <c r="W1145" s="3">
        <f>IFERROR(__xludf.DUMMYFUNCTION("""COMPUTED_VALUE"""),211939.0)</f>
        <v>211939</v>
      </c>
      <c r="X1145" s="3" t="str">
        <f>IFERROR(__xludf.DUMMYFUNCTION("""COMPUTED_VALUE"""),"770 หมู่9 ตำบลในคลองบางปลากด อำเภอพระสมุทรเจดีย์ จังหวัดสมุทรปราการ 10290")</f>
        <v>770 หมู่9 ตำบลในคลองบางปลากด อำเภอพระสมุทรเจดีย์ จังหวัดสมุทรปราการ 10290</v>
      </c>
      <c r="Y1145" s="3"/>
      <c r="Z1145" s="3" t="str">
        <f>IFERROR(__xludf.DUMMYFUNCTION("""COMPUTED_VALUE"""),"ในคลองบางปลากด")</f>
        <v>ในคลองบางปลากด</v>
      </c>
      <c r="AA1145" s="3" t="str">
        <f>IFERROR(__xludf.DUMMYFUNCTION("""COMPUTED_VALUE"""),"พระสมุทรเจดีย์")</f>
        <v>พระสมุทรเจดีย์</v>
      </c>
      <c r="AB1145" s="3" t="str">
        <f>IFERROR(__xludf.DUMMYFUNCTION("""COMPUTED_VALUE"""),"สมุทรปราการ")</f>
        <v>สมุทรปราการ</v>
      </c>
      <c r="AC1145" s="3">
        <f>IFERROR(__xludf.DUMMYFUNCTION("""COMPUTED_VALUE"""),10290.0)</f>
        <v>10290</v>
      </c>
      <c r="AD1145" s="3">
        <f>IFERROR(__xludf.DUMMYFUNCTION("""COMPUTED_VALUE"""),13.582116)</f>
        <v>13.582116</v>
      </c>
      <c r="AE1145" s="3">
        <f>IFERROR(__xludf.DUMMYFUNCTION("""COMPUTED_VALUE"""),100.525552)</f>
        <v>100.525552</v>
      </c>
      <c r="AF1145" s="3" t="str">
        <f>IFERROR(__xludf.DUMMYFUNCTION("""COMPUTED_VALUE"""),"MBC ประชาอุทิศ-คู่สร้าง สมุทรปราการ-21917")</f>
        <v>MBC ประชาอุทิศ-คู่สร้าง สมุทรปราการ-21917</v>
      </c>
      <c r="AG1145" s="3" t="str">
        <f>IFERROR(__xludf.DUMMYFUNCTION("""COMPUTED_VALUE"""),"กลาง")</f>
        <v>กลาง</v>
      </c>
      <c r="AH1145" s="3" t="str">
        <f>IFERROR(__xludf.DUMMYFUNCTION("""COMPUTED_VALUE"""),"#N/A")</f>
        <v>#N/A</v>
      </c>
      <c r="AI1145" s="3" t="str">
        <f>IFERROR(__xludf.DUMMYFUNCTION("""COMPUTED_VALUE"""),"Out of warranty")</f>
        <v>Out of warranty</v>
      </c>
      <c r="AJ1145" s="3">
        <f>IFERROR(__xludf.DUMMYFUNCTION("""COMPUTED_VALUE"""),76.0)</f>
        <v>76</v>
      </c>
      <c r="AK1145" s="3" t="str">
        <f>IFERROR(__xludf.DUMMYFUNCTION("""COMPUTED_VALUE"""),"MMS02")</f>
        <v>MMS02</v>
      </c>
      <c r="AL1145" s="3"/>
    </row>
    <row r="1146" ht="15.75" customHeight="1">
      <c r="A1146" s="1" t="str">
        <f>IFERROR(__xludf.DUMMYFUNCTION("""COMPUTED_VALUE"""),"21918")</f>
        <v>21918</v>
      </c>
      <c r="B1146" s="2">
        <f>IFERROR(__xludf.DUMMYFUNCTION("""COMPUTED_VALUE"""),21918.0)</f>
        <v>21918</v>
      </c>
      <c r="C1146" s="3" t="str">
        <f>IFERROR(__xludf.DUMMYFUNCTION("""COMPUTED_VALUE"""),"MBC ศรีสวัสดิ์ดำเนิน มหาสารคาม")</f>
        <v>MBC ศรีสวัสดิ์ดำเนิน มหาสารคาม</v>
      </c>
      <c r="D1146" s="3" t="str">
        <f>IFERROR(__xludf.DUMMYFUNCTION("""COMPUTED_VALUE"""),"BCM SRI SAWAT DAMNOEN")</f>
        <v>BCM SRI SAWAT DAMNOEN</v>
      </c>
      <c r="E1146" s="1" t="str">
        <f>IFERROR(__xludf.DUMMYFUNCTION("""COMPUTED_VALUE"""),"บิ๊กซี MINI")</f>
        <v>บิ๊กซี MINI</v>
      </c>
      <c r="F1146" s="1" t="str">
        <f>IFERROR(__xludf.DUMMYFUNCTION("""COMPUTED_VALUE"""),"291105")</f>
        <v>291105</v>
      </c>
      <c r="G1146" s="1" t="str">
        <f>IFERROR(__xludf.DUMMYFUNCTION("""COMPUTED_VALUE"""),"นายสราวุฒิ พณิชยกุล")</f>
        <v>นายสราวุฒิ พณิชยกุล</v>
      </c>
      <c r="H1146" s="1" t="str">
        <f>IFERROR(__xludf.DUMMYFUNCTION("""COMPUTED_VALUE"""),"398136")</f>
        <v>398136</v>
      </c>
      <c r="I1146" s="1" t="str">
        <f>IFERROR(__xludf.DUMMYFUNCTION("""COMPUTED_VALUE"""),"นายประยูร ธาดาวงษา")</f>
        <v>นายประยูร ธาดาวงษา</v>
      </c>
      <c r="J1146" s="3">
        <f>IFERROR(__xludf.DUMMYFUNCTION("""COMPUTED_VALUE"""),295886.0)</f>
        <v>295886</v>
      </c>
      <c r="K1146" s="3" t="str">
        <f>IFERROR(__xludf.DUMMYFUNCTION("""COMPUTED_VALUE"""),"นายจิระพงษ์ โพธิ์นิล")</f>
        <v>นายจิระพงษ์ โพธิ์นิล</v>
      </c>
      <c r="L1146" s="1" t="str">
        <f>IFERROR(__xludf.DUMMYFUNCTION("""COMPUTED_VALUE"""),"นายจิระพงษ์ โพธิ์นิล")</f>
        <v>นายจิระพงษ์ โพธิ์นิล</v>
      </c>
      <c r="M1146" s="1" t="str">
        <f>IFERROR(__xludf.DUMMYFUNCTION("""COMPUTED_VALUE"""),"0933290754")</f>
        <v>0933290754</v>
      </c>
      <c r="N1146" s="3">
        <f>IFERROR(__xludf.DUMMYFUNCTION("""COMPUTED_VALUE"""),21622.0)</f>
        <v>21622</v>
      </c>
      <c r="O1146" s="3" t="str">
        <f>IFERROR(__xludf.DUMMYFUNCTION("""COMPUTED_VALUE"""),"MBC ตลาดบ้านดอน")</f>
        <v>MBC ตลาดบ้านดอน</v>
      </c>
      <c r="P1146" s="4">
        <f>IFERROR(__xludf.DUMMYFUNCTION("""COMPUTED_VALUE"""),43748.0)</f>
        <v>43748</v>
      </c>
      <c r="Q1146" s="3" t="str">
        <f>IFERROR(__xludf.DUMMYFUNCTION("""COMPUTED_VALUE"""),"I")</f>
        <v>I</v>
      </c>
      <c r="R1146" s="3" t="str">
        <f>IFERROR(__xludf.DUMMYFUNCTION("""COMPUTED_VALUE"""),"Small Format")</f>
        <v>Small Format</v>
      </c>
      <c r="S1146" s="3" t="str">
        <f>IFERROR(__xludf.DUMMYFUNCTION("""COMPUTED_VALUE"""),"BCM")</f>
        <v>BCM</v>
      </c>
      <c r="T1146" s="3" t="str">
        <f>IFERROR(__xludf.DUMMYFUNCTION("""COMPUTED_VALUE"""),"#N/A")</f>
        <v>#N/A</v>
      </c>
      <c r="U1146" s="3" t="str">
        <f>IFERROR(__xludf.DUMMYFUNCTION("""COMPUTED_VALUE"""),"#N/A")</f>
        <v>#N/A</v>
      </c>
      <c r="V1146" s="3" t="str">
        <f>IFERROR(__xludf.DUMMYFUNCTION("""COMPUTED_VALUE"""),"N")</f>
        <v>N</v>
      </c>
      <c r="W1146" s="3">
        <f>IFERROR(__xludf.DUMMYFUNCTION("""COMPUTED_VALUE"""),211946.0)</f>
        <v>211946</v>
      </c>
      <c r="X1146" s="3" t="str">
        <f>IFERROR(__xludf.DUMMYFUNCTION("""COMPUTED_VALUE"""),"473,475,477,479 ถนนศรีสวัสดิ์ดำเนิน ตำบลตลาด อำเภอเมืองมหาสารคาม จังหวัดมหาสารคาม 44000")</f>
        <v>473,475,477,479 ถนนศรีสวัสดิ์ดำเนิน ตำบลตลาด อำเภอเมืองมหาสารคาม จังหวัดมหาสารคาม 44000</v>
      </c>
      <c r="Y1146" s="3" t="str">
        <f>IFERROR(__xludf.DUMMYFUNCTION("""COMPUTED_VALUE"""),"ถนนศรีสวัสดิ์ดำเนิน")</f>
        <v>ถนนศรีสวัสดิ์ดำเนิน</v>
      </c>
      <c r="Z1146" s="3" t="str">
        <f>IFERROR(__xludf.DUMMYFUNCTION("""COMPUTED_VALUE"""),"ตลาด")</f>
        <v>ตลาด</v>
      </c>
      <c r="AA1146" s="3" t="str">
        <f>IFERROR(__xludf.DUMMYFUNCTION("""COMPUTED_VALUE"""),"เมือง")</f>
        <v>เมือง</v>
      </c>
      <c r="AB1146" s="3" t="str">
        <f>IFERROR(__xludf.DUMMYFUNCTION("""COMPUTED_VALUE"""),"มหาสารคาม")</f>
        <v>มหาสารคาม</v>
      </c>
      <c r="AC1146" s="3">
        <f>IFERROR(__xludf.DUMMYFUNCTION("""COMPUTED_VALUE"""),44000.0)</f>
        <v>44000</v>
      </c>
      <c r="AD1146" s="3">
        <f>IFERROR(__xludf.DUMMYFUNCTION("""COMPUTED_VALUE"""),16.194921)</f>
        <v>16.194921</v>
      </c>
      <c r="AE1146" s="3">
        <f>IFERROR(__xludf.DUMMYFUNCTION("""COMPUTED_VALUE"""),103.281143)</f>
        <v>103.281143</v>
      </c>
      <c r="AF1146" s="3" t="str">
        <f>IFERROR(__xludf.DUMMYFUNCTION("""COMPUTED_VALUE"""),"MBC ศรีสวัสดิ์ดำเนิน มหาสารคาม-21918")</f>
        <v>MBC ศรีสวัสดิ์ดำเนิน มหาสารคาม-21918</v>
      </c>
      <c r="AG1146" s="3" t="str">
        <f>IFERROR(__xludf.DUMMYFUNCTION("""COMPUTED_VALUE"""),"ตะวันออกเฉียงเหนือ")</f>
        <v>ตะวันออกเฉียงเหนือ</v>
      </c>
      <c r="AH1146" s="3" t="str">
        <f>IFERROR(__xludf.DUMMYFUNCTION("""COMPUTED_VALUE"""),"#N/A")</f>
        <v>#N/A</v>
      </c>
      <c r="AI1146" s="3" t="str">
        <f>IFERROR(__xludf.DUMMYFUNCTION("""COMPUTED_VALUE"""),"Out of warranty")</f>
        <v>Out of warranty</v>
      </c>
      <c r="AJ1146" s="3">
        <f>IFERROR(__xludf.DUMMYFUNCTION("""COMPUTED_VALUE"""),76.0)</f>
        <v>76</v>
      </c>
      <c r="AK1146" s="3" t="str">
        <f>IFERROR(__xludf.DUMMYFUNCTION("""COMPUTED_VALUE"""),"MMS13")</f>
        <v>MMS13</v>
      </c>
      <c r="AL1146" s="3"/>
    </row>
    <row r="1147" ht="15.75" customHeight="1">
      <c r="A1147" s="1" t="str">
        <f>IFERROR(__xludf.DUMMYFUNCTION("""COMPUTED_VALUE"""),"21919")</f>
        <v>21919</v>
      </c>
      <c r="B1147" s="2">
        <f>IFERROR(__xludf.DUMMYFUNCTION("""COMPUTED_VALUE"""),21919.0)</f>
        <v>21919</v>
      </c>
      <c r="C1147" s="3" t="str">
        <f>IFERROR(__xludf.DUMMYFUNCTION("""COMPUTED_VALUE"""),"MBC ถนนกะละพอ ปัตตานี")</f>
        <v>MBC ถนนกะละพอ ปัตตานี</v>
      </c>
      <c r="D1147" s="3" t="str">
        <f>IFERROR(__xludf.DUMMYFUNCTION("""COMPUTED_VALUE"""),"BCM THANON KA LA PHO,PATTANI")</f>
        <v>BCM THANON KA LA PHO,PATTANI</v>
      </c>
      <c r="E1147" s="1" t="str">
        <f>IFERROR(__xludf.DUMMYFUNCTION("""COMPUTED_VALUE"""),"บิ๊กซี MINI")</f>
        <v>บิ๊กซี MINI</v>
      </c>
      <c r="F1147" s="1" t="str">
        <f>IFERROR(__xludf.DUMMYFUNCTION("""COMPUTED_VALUE"""),"250760")</f>
        <v>250760</v>
      </c>
      <c r="G1147" s="1" t="str">
        <f>IFERROR(__xludf.DUMMYFUNCTION("""COMPUTED_VALUE"""),"นายประทวน สาราบรรณ์")</f>
        <v>นายประทวน สาราบรรณ์</v>
      </c>
      <c r="H1147" s="1" t="str">
        <f>IFERROR(__xludf.DUMMYFUNCTION("""COMPUTED_VALUE"""),"394185")</f>
        <v>394185</v>
      </c>
      <c r="I1147" s="1" t="str">
        <f>IFERROR(__xludf.DUMMYFUNCTION("""COMPUTED_VALUE"""),"น.ส.ฐาปนี สุวรรณรัตน์")</f>
        <v>น.ส.ฐาปนี สุวรรณรัตน์</v>
      </c>
      <c r="J1147" s="3">
        <f>IFERROR(__xludf.DUMMYFUNCTION("""COMPUTED_VALUE"""),2.0470331E7)</f>
        <v>20470331</v>
      </c>
      <c r="K1147" s="3" t="str">
        <f>IFERROR(__xludf.DUMMYFUNCTION("""COMPUTED_VALUE"""),"นายสมชาย ลักษณะสุวรรณ")</f>
        <v>นายสมชาย ลักษณะสุวรรณ</v>
      </c>
      <c r="L1147" s="1" t="str">
        <f>IFERROR(__xludf.DUMMYFUNCTION("""COMPUTED_VALUE"""),"15 K.Somchai L")</f>
        <v>15 K.Somchai L</v>
      </c>
      <c r="M1147" s="1" t="str">
        <f>IFERROR(__xludf.DUMMYFUNCTION("""COMPUTED_VALUE"""),"0655107372")</f>
        <v>0655107372</v>
      </c>
      <c r="N1147" s="3">
        <f>IFERROR(__xludf.DUMMYFUNCTION("""COMPUTED_VALUE"""),21723.0)</f>
        <v>21723</v>
      </c>
      <c r="O1147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147" s="4">
        <f>IFERROR(__xludf.DUMMYFUNCTION("""COMPUTED_VALUE"""),43751.0)</f>
        <v>43751</v>
      </c>
      <c r="Q1147" s="3" t="str">
        <f>IFERROR(__xludf.DUMMYFUNCTION("""COMPUTED_VALUE"""),"A")</f>
        <v>A</v>
      </c>
      <c r="R1147" s="3" t="str">
        <f>IFERROR(__xludf.DUMMYFUNCTION("""COMPUTED_VALUE"""),"Small Format")</f>
        <v>Small Format</v>
      </c>
      <c r="S1147" s="3" t="str">
        <f>IFERROR(__xludf.DUMMYFUNCTION("""COMPUTED_VALUE"""),"BCM")</f>
        <v>BCM</v>
      </c>
      <c r="T1147" s="3" t="str">
        <f>IFERROR(__xludf.DUMMYFUNCTION("""COMPUTED_VALUE"""),"#N/A")</f>
        <v>#N/A</v>
      </c>
      <c r="U1147" s="3" t="str">
        <f>IFERROR(__xludf.DUMMYFUNCTION("""COMPUTED_VALUE"""),"#N/A")</f>
        <v>#N/A</v>
      </c>
      <c r="V1147" s="3" t="str">
        <f>IFERROR(__xludf.DUMMYFUNCTION("""COMPUTED_VALUE"""),"N")</f>
        <v>N</v>
      </c>
      <c r="W1147" s="3">
        <f>IFERROR(__xludf.DUMMYFUNCTION("""COMPUTED_VALUE"""),211987.0)</f>
        <v>211987</v>
      </c>
      <c r="X1147" s="3" t="str">
        <f>IFERROR(__xludf.DUMMYFUNCTION("""COMPUTED_VALUE"""),"24/2-4 ถนนกะลาพอ ตำบลอาเนาะรู อำเภอเมืองปัตตานี จังหวัดปัตตานี 94000")</f>
        <v>24/2-4 ถนนกะลาพอ ตำบลอาเนาะรู อำเภอเมืองปัตตานี จังหวัดปัตตานี 94000</v>
      </c>
      <c r="Y1147" s="3" t="str">
        <f>IFERROR(__xludf.DUMMYFUNCTION("""COMPUTED_VALUE"""),"ถนนกะลาพอ")</f>
        <v>ถนนกะลาพอ</v>
      </c>
      <c r="Z1147" s="3" t="str">
        <f>IFERROR(__xludf.DUMMYFUNCTION("""COMPUTED_VALUE"""),"อาเนาะรู")</f>
        <v>อาเนาะรู</v>
      </c>
      <c r="AA1147" s="3" t="str">
        <f>IFERROR(__xludf.DUMMYFUNCTION("""COMPUTED_VALUE"""),"เมือง")</f>
        <v>เมือง</v>
      </c>
      <c r="AB1147" s="3" t="str">
        <f>IFERROR(__xludf.DUMMYFUNCTION("""COMPUTED_VALUE"""),"ปัตตานี")</f>
        <v>ปัตตานี</v>
      </c>
      <c r="AC1147" s="3">
        <f>IFERROR(__xludf.DUMMYFUNCTION("""COMPUTED_VALUE"""),94000.0)</f>
        <v>94000</v>
      </c>
      <c r="AD1147" s="3">
        <f>IFERROR(__xludf.DUMMYFUNCTION("""COMPUTED_VALUE"""),6.863022)</f>
        <v>6.863022</v>
      </c>
      <c r="AE1147" s="3">
        <f>IFERROR(__xludf.DUMMYFUNCTION("""COMPUTED_VALUE"""),101.254003)</f>
        <v>101.254003</v>
      </c>
      <c r="AF1147" s="3" t="str">
        <f>IFERROR(__xludf.DUMMYFUNCTION("""COMPUTED_VALUE"""),"MBC ถนนกะละพอ ปัตตานี-21919")</f>
        <v>MBC ถนนกะละพอ ปัตตานี-21919</v>
      </c>
      <c r="AG1147" s="3" t="str">
        <f>IFERROR(__xludf.DUMMYFUNCTION("""COMPUTED_VALUE"""),"ใต้")</f>
        <v>ใต้</v>
      </c>
      <c r="AH1147" s="3" t="str">
        <f>IFERROR(__xludf.DUMMYFUNCTION("""COMPUTED_VALUE"""),"#N/A")</f>
        <v>#N/A</v>
      </c>
      <c r="AI1147" s="3" t="str">
        <f>IFERROR(__xludf.DUMMYFUNCTION("""COMPUTED_VALUE"""),"Out of warranty")</f>
        <v>Out of warranty</v>
      </c>
      <c r="AJ1147" s="3">
        <f>IFERROR(__xludf.DUMMYFUNCTION("""COMPUTED_VALUE"""),76.0)</f>
        <v>76</v>
      </c>
      <c r="AK1147" s="3" t="str">
        <f>IFERROR(__xludf.DUMMYFUNCTION("""COMPUTED_VALUE"""),"MMS16")</f>
        <v>MMS16</v>
      </c>
      <c r="AL1147" s="3"/>
    </row>
    <row r="1148" ht="15.75" customHeight="1">
      <c r="A1148" s="1" t="str">
        <f>IFERROR(__xludf.DUMMYFUNCTION("""COMPUTED_VALUE"""),"21920")</f>
        <v>21920</v>
      </c>
      <c r="B1148" s="2">
        <f>IFERROR(__xludf.DUMMYFUNCTION("""COMPUTED_VALUE"""),21920.0)</f>
        <v>21920</v>
      </c>
      <c r="C1148" s="3" t="str">
        <f>IFERROR(__xludf.DUMMYFUNCTION("""COMPUTED_VALUE"""),"MBC แยกโคกขวาง ปราจีนบุรี")</f>
        <v>MBC แยกโคกขวาง ปราจีนบุรี</v>
      </c>
      <c r="D1148" s="3" t="str">
        <f>IFERROR(__xludf.DUMMYFUNCTION("""COMPUTED_VALUE"""),"BCM YAEK KHOK KWANG")</f>
        <v>BCM YAEK KHOK KWANG</v>
      </c>
      <c r="E1148" s="1" t="str">
        <f>IFERROR(__xludf.DUMMYFUNCTION("""COMPUTED_VALUE"""),"บิ๊กซี MINI")</f>
        <v>บิ๊กซี MINI</v>
      </c>
      <c r="F1148" s="1" t="str">
        <f>IFERROR(__xludf.DUMMYFUNCTION("""COMPUTED_VALUE"""),"2083447")</f>
        <v>2083447</v>
      </c>
      <c r="G1148" s="1" t="str">
        <f>IFERROR(__xludf.DUMMYFUNCTION("""COMPUTED_VALUE"""),"นายอนุกูล ศรีลัดดา")</f>
        <v>นายอนุกูล ศรีลัดดา</v>
      </c>
      <c r="H1148" s="1" t="str">
        <f>IFERROR(__xludf.DUMMYFUNCTION("""COMPUTED_VALUE"""),"259808")</f>
        <v>259808</v>
      </c>
      <c r="I1148" s="1" t="str">
        <f>IFERROR(__xludf.DUMMYFUNCTION("""COMPUTED_VALUE"""),"น.ส.สกุลรัตน์ พิกุลแก้ว")</f>
        <v>น.ส.สกุลรัตน์ พิกุลแก้ว</v>
      </c>
      <c r="J1148" s="3">
        <f>IFERROR(__xludf.DUMMYFUNCTION("""COMPUTED_VALUE"""),510143.0)</f>
        <v>510143</v>
      </c>
      <c r="K1148" s="3" t="str">
        <f>IFERROR(__xludf.DUMMYFUNCTION("""COMPUTED_VALUE"""),"นายธีระวัฒน์ บุญสิทธิ์")</f>
        <v>นายธีระวัฒน์ บุญสิทธิ์</v>
      </c>
      <c r="L1148" s="1" t="str">
        <f>IFERROR(__xludf.DUMMYFUNCTION("""COMPUTED_VALUE"""),"12 K.Theerawat B.")</f>
        <v>12 K.Theerawat B.</v>
      </c>
      <c r="M1148" s="1" t="str">
        <f>IFERROR(__xludf.DUMMYFUNCTION("""COMPUTED_VALUE"""),"0655107379")</f>
        <v>0655107379</v>
      </c>
      <c r="N1148" s="3">
        <f>IFERROR(__xludf.DUMMYFUNCTION("""COMPUTED_VALUE"""),21062.0)</f>
        <v>21062</v>
      </c>
      <c r="O1148" s="3" t="str">
        <f>IFERROR(__xludf.DUMMYFUNCTION("""COMPUTED_VALUE"""),"MBC นิคมนวนคร")</f>
        <v>MBC นิคมนวนคร</v>
      </c>
      <c r="P1148" s="4">
        <f>IFERROR(__xludf.DUMMYFUNCTION("""COMPUTED_VALUE"""),43749.0)</f>
        <v>43749</v>
      </c>
      <c r="Q1148" s="3" t="str">
        <f>IFERROR(__xludf.DUMMYFUNCTION("""COMPUTED_VALUE"""),"A")</f>
        <v>A</v>
      </c>
      <c r="R1148" s="3" t="str">
        <f>IFERROR(__xludf.DUMMYFUNCTION("""COMPUTED_VALUE"""),"Small Format")</f>
        <v>Small Format</v>
      </c>
      <c r="S1148" s="3" t="str">
        <f>IFERROR(__xludf.DUMMYFUNCTION("""COMPUTED_VALUE"""),"BCM")</f>
        <v>BCM</v>
      </c>
      <c r="T1148" s="3" t="str">
        <f>IFERROR(__xludf.DUMMYFUNCTION("""COMPUTED_VALUE"""),"#N/A")</f>
        <v>#N/A</v>
      </c>
      <c r="U1148" s="3" t="str">
        <f>IFERROR(__xludf.DUMMYFUNCTION("""COMPUTED_VALUE"""),"#N/A")</f>
        <v>#N/A</v>
      </c>
      <c r="V1148" s="3" t="str">
        <f>IFERROR(__xludf.DUMMYFUNCTION("""COMPUTED_VALUE"""),"N")</f>
        <v>N</v>
      </c>
      <c r="W1148" s="3">
        <f>IFERROR(__xludf.DUMMYFUNCTION("""COMPUTED_VALUE"""),211960.0)</f>
        <v>211960</v>
      </c>
      <c r="X1148" s="3" t="str">
        <f>IFERROR(__xludf.DUMMYFUNCTION("""COMPUTED_VALUE"""),"149/8,149/9,171 หมู่9 ตำบลศรีมหาโพธิ อำเภอศรีมหาโพธิ จังหวัดปราจีนบุรี 25140")</f>
        <v>149/8,149/9,171 หมู่9 ตำบลศรีมหาโพธิ อำเภอศรีมหาโพธิ จังหวัดปราจีนบุรี 25140</v>
      </c>
      <c r="Y1148" s="3"/>
      <c r="Z1148" s="3" t="str">
        <f>IFERROR(__xludf.DUMMYFUNCTION("""COMPUTED_VALUE"""),"ศรีมหาโพธิ")</f>
        <v>ศรีมหาโพธิ</v>
      </c>
      <c r="AA1148" s="3" t="str">
        <f>IFERROR(__xludf.DUMMYFUNCTION("""COMPUTED_VALUE"""),"ศรีมหาโพธิ")</f>
        <v>ศรีมหาโพธิ</v>
      </c>
      <c r="AB1148" s="3" t="str">
        <f>IFERROR(__xludf.DUMMYFUNCTION("""COMPUTED_VALUE"""),"ปราจีนบุรี")</f>
        <v>ปราจีนบุรี</v>
      </c>
      <c r="AC1148" s="3">
        <f>IFERROR(__xludf.DUMMYFUNCTION("""COMPUTED_VALUE"""),25140.0)</f>
        <v>25140</v>
      </c>
      <c r="AD1148" s="3">
        <f>IFERROR(__xludf.DUMMYFUNCTION("""COMPUTED_VALUE"""),13.950345)</f>
        <v>13.950345</v>
      </c>
      <c r="AE1148" s="3">
        <f>IFERROR(__xludf.DUMMYFUNCTION("""COMPUTED_VALUE"""),101.509455)</f>
        <v>101.509455</v>
      </c>
      <c r="AF1148" s="3" t="str">
        <f>IFERROR(__xludf.DUMMYFUNCTION("""COMPUTED_VALUE"""),"MBC แยกโคกขวาง ปราจีนบุรี-21920")</f>
        <v>MBC แยกโคกขวาง ปราจีนบุรี-21920</v>
      </c>
      <c r="AG1148" s="3" t="str">
        <f>IFERROR(__xludf.DUMMYFUNCTION("""COMPUTED_VALUE"""),"ตะวันออก")</f>
        <v>ตะวันออก</v>
      </c>
      <c r="AH1148" s="3" t="str">
        <f>IFERROR(__xludf.DUMMYFUNCTION("""COMPUTED_VALUE"""),"#N/A")</f>
        <v>#N/A</v>
      </c>
      <c r="AI1148" s="3" t="str">
        <f>IFERROR(__xludf.DUMMYFUNCTION("""COMPUTED_VALUE"""),"Out of warranty")</f>
        <v>Out of warranty</v>
      </c>
      <c r="AJ1148" s="3">
        <f>IFERROR(__xludf.DUMMYFUNCTION("""COMPUTED_VALUE"""),76.0)</f>
        <v>76</v>
      </c>
      <c r="AK1148" s="3" t="str">
        <f>IFERROR(__xludf.DUMMYFUNCTION("""COMPUTED_VALUE"""),"MMS08")</f>
        <v>MMS08</v>
      </c>
      <c r="AL1148" s="3"/>
    </row>
    <row r="1149" ht="15.75" customHeight="1">
      <c r="A1149" s="1" t="str">
        <f>IFERROR(__xludf.DUMMYFUNCTION("""COMPUTED_VALUE"""),"21921")</f>
        <v>21921</v>
      </c>
      <c r="B1149" s="2">
        <f>IFERROR(__xludf.DUMMYFUNCTION("""COMPUTED_VALUE"""),21921.0)</f>
        <v>21921</v>
      </c>
      <c r="C1149" s="3" t="str">
        <f>IFERROR(__xludf.DUMMYFUNCTION("""COMPUTED_VALUE"""),"MBC นาวัง(ตะเคียนเตี้ย) ชลบุรี")</f>
        <v>MBC นาวัง(ตะเคียนเตี้ย) ชลบุรี</v>
      </c>
      <c r="D1149" s="3" t="str">
        <f>IFERROR(__xludf.DUMMYFUNCTION("""COMPUTED_VALUE"""),"BCM NAWANG (TAKHIANTIA)")</f>
        <v>BCM NAWANG (TAKHIANTIA)</v>
      </c>
      <c r="E1149" s="1" t="str">
        <f>IFERROR(__xludf.DUMMYFUNCTION("""COMPUTED_VALUE"""),"บิ๊กซี MINI")</f>
        <v>บิ๊กซี MINI</v>
      </c>
      <c r="F1149" s="1" t="str">
        <f>IFERROR(__xludf.DUMMYFUNCTION("""COMPUTED_VALUE"""),"221716")</f>
        <v>221716</v>
      </c>
      <c r="G1149" s="1" t="str">
        <f>IFERROR(__xludf.DUMMYFUNCTION("""COMPUTED_VALUE"""),"น.ส.เบญจพร โพธิสาร")</f>
        <v>น.ส.เบญจพร โพธิสาร</v>
      </c>
      <c r="H1149" s="1" t="str">
        <f>IFERROR(__xludf.DUMMYFUNCTION("""COMPUTED_VALUE"""),"291061")</f>
        <v>291061</v>
      </c>
      <c r="I1149" s="1" t="str">
        <f>IFERROR(__xludf.DUMMYFUNCTION("""COMPUTED_VALUE"""),"นายสมศักดิ์ เสียงก้อง")</f>
        <v>นายสมศักดิ์ เสียงก้อง</v>
      </c>
      <c r="J1149" s="3">
        <f>IFERROR(__xludf.DUMMYFUNCTION("""COMPUTED_VALUE"""),296942.0)</f>
        <v>296942</v>
      </c>
      <c r="K1149" s="3" t="str">
        <f>IFERROR(__xludf.DUMMYFUNCTION("""COMPUTED_VALUE"""),"นายปิยะ รักษากิจ")</f>
        <v>นายปิยะ รักษากิจ</v>
      </c>
      <c r="L1149" s="1" t="str">
        <f>IFERROR(__xludf.DUMMYFUNCTION("""COMPUTED_VALUE"""),"07 K.Piya R.")</f>
        <v>07 K.Piya R.</v>
      </c>
      <c r="M1149" s="1" t="str">
        <f>IFERROR(__xludf.DUMMYFUNCTION("""COMPUTED_VALUE"""),"097-919-5476")</f>
        <v>097-919-5476</v>
      </c>
      <c r="N1149" s="3">
        <f>IFERROR(__xludf.DUMMYFUNCTION("""COMPUTED_VALUE"""),21332.0)</f>
        <v>21332</v>
      </c>
      <c r="O1149" s="3" t="str">
        <f>IFERROR(__xludf.DUMMYFUNCTION("""COMPUTED_VALUE"""),"MBC BCP อ่อนนุช 17/1")</f>
        <v>MBC BCP อ่อนนุช 17/1</v>
      </c>
      <c r="P1149" s="4">
        <f>IFERROR(__xludf.DUMMYFUNCTION("""COMPUTED_VALUE"""),43749.0)</f>
        <v>43749</v>
      </c>
      <c r="Q1149" s="3" t="str">
        <f>IFERROR(__xludf.DUMMYFUNCTION("""COMPUTED_VALUE"""),"A")</f>
        <v>A</v>
      </c>
      <c r="R1149" s="3" t="str">
        <f>IFERROR(__xludf.DUMMYFUNCTION("""COMPUTED_VALUE"""),"Small Format")</f>
        <v>Small Format</v>
      </c>
      <c r="S1149" s="3" t="str">
        <f>IFERROR(__xludf.DUMMYFUNCTION("""COMPUTED_VALUE"""),"BCM")</f>
        <v>BCM</v>
      </c>
      <c r="T1149" s="3" t="str">
        <f>IFERROR(__xludf.DUMMYFUNCTION("""COMPUTED_VALUE"""),"#N/A")</f>
        <v>#N/A</v>
      </c>
      <c r="U1149" s="3" t="str">
        <f>IFERROR(__xludf.DUMMYFUNCTION("""COMPUTED_VALUE"""),"#N/A")</f>
        <v>#N/A</v>
      </c>
      <c r="V1149" s="3" t="str">
        <f>IFERROR(__xludf.DUMMYFUNCTION("""COMPUTED_VALUE"""),"N")</f>
        <v>N</v>
      </c>
      <c r="W1149" s="3">
        <f>IFERROR(__xludf.DUMMYFUNCTION("""COMPUTED_VALUE"""),211926.0)</f>
        <v>211926</v>
      </c>
      <c r="X1149" s="3" t="str">
        <f>IFERROR(__xludf.DUMMYFUNCTION("""COMPUTED_VALUE"""),"159/32 หมู่4 ตำบลตะเคียนเตี้ย อำเภอบางละมุง จังหวัดชลบุรี 20150")</f>
        <v>159/32 หมู่4 ตำบลตะเคียนเตี้ย อำเภอบางละมุง จังหวัดชลบุรี 20150</v>
      </c>
      <c r="Y1149" s="3"/>
      <c r="Z1149" s="3" t="str">
        <f>IFERROR(__xludf.DUMMYFUNCTION("""COMPUTED_VALUE"""),"ตะเคียนเตี้ย")</f>
        <v>ตะเคียนเตี้ย</v>
      </c>
      <c r="AA1149" s="3" t="str">
        <f>IFERROR(__xludf.DUMMYFUNCTION("""COMPUTED_VALUE"""),"บางละมุง")</f>
        <v>บางละมุง</v>
      </c>
      <c r="AB1149" s="3" t="str">
        <f>IFERROR(__xludf.DUMMYFUNCTION("""COMPUTED_VALUE"""),"ชลบุรี")</f>
        <v>ชลบุรี</v>
      </c>
      <c r="AC1149" s="3">
        <f>IFERROR(__xludf.DUMMYFUNCTION("""COMPUTED_VALUE"""),20150.0)</f>
        <v>20150</v>
      </c>
      <c r="AD1149" s="3">
        <f>IFERROR(__xludf.DUMMYFUNCTION("""COMPUTED_VALUE"""),13.004726)</f>
        <v>13.004726</v>
      </c>
      <c r="AE1149" s="3">
        <f>IFERROR(__xludf.DUMMYFUNCTION("""COMPUTED_VALUE"""),100.991648)</f>
        <v>100.991648</v>
      </c>
      <c r="AF1149" s="3" t="str">
        <f>IFERROR(__xludf.DUMMYFUNCTION("""COMPUTED_VALUE"""),"MBC นาวัง(ตะเคียนเตี้ย) ชลบุรี-21921")</f>
        <v>MBC นาวัง(ตะเคียนเตี้ย) ชลบุรี-21921</v>
      </c>
      <c r="AG1149" s="3" t="str">
        <f>IFERROR(__xludf.DUMMYFUNCTION("""COMPUTED_VALUE"""),"ตะวันออก")</f>
        <v>ตะวันออก</v>
      </c>
      <c r="AH1149" s="3" t="str">
        <f>IFERROR(__xludf.DUMMYFUNCTION("""COMPUTED_VALUE"""),"#N/A")</f>
        <v>#N/A</v>
      </c>
      <c r="AI1149" s="3" t="str">
        <f>IFERROR(__xludf.DUMMYFUNCTION("""COMPUTED_VALUE"""),"Out of warranty")</f>
        <v>Out of warranty</v>
      </c>
      <c r="AJ1149" s="3">
        <f>IFERROR(__xludf.DUMMYFUNCTION("""COMPUTED_VALUE"""),76.0)</f>
        <v>76</v>
      </c>
      <c r="AK1149" s="3" t="str">
        <f>IFERROR(__xludf.DUMMYFUNCTION("""COMPUTED_VALUE"""),"MMS07")</f>
        <v>MMS07</v>
      </c>
      <c r="AL1149" s="3"/>
    </row>
    <row r="1150" ht="15.75" customHeight="1">
      <c r="A1150" s="1" t="str">
        <f>IFERROR(__xludf.DUMMYFUNCTION("""COMPUTED_VALUE"""),"21922")</f>
        <v>21922</v>
      </c>
      <c r="B1150" s="2">
        <f>IFERROR(__xludf.DUMMYFUNCTION("""COMPUTED_VALUE"""),21922.0)</f>
        <v>21922</v>
      </c>
      <c r="C1150" s="3" t="str">
        <f>IFERROR(__xludf.DUMMYFUNCTION("""COMPUTED_VALUE"""),"MBC สนม สุรินทร์")</f>
        <v>MBC สนม สุรินทร์</v>
      </c>
      <c r="D1150" s="3" t="str">
        <f>IFERROR(__xludf.DUMMYFUNCTION("""COMPUTED_VALUE"""),"BCM SANOM,SURIN")</f>
        <v>BCM SANOM,SURIN</v>
      </c>
      <c r="E1150" s="1" t="str">
        <f>IFERROR(__xludf.DUMMYFUNCTION("""COMPUTED_VALUE"""),"บิ๊กซี MINI")</f>
        <v>บิ๊กซี MINI</v>
      </c>
      <c r="F1150" s="1" t="str">
        <f>IFERROR(__xludf.DUMMYFUNCTION("""COMPUTED_VALUE"""),"291105")</f>
        <v>291105</v>
      </c>
      <c r="G1150" s="1" t="str">
        <f>IFERROR(__xludf.DUMMYFUNCTION("""COMPUTED_VALUE"""),"นายสราวุฒิ พณิชยกุล")</f>
        <v>นายสราวุฒิ พณิชยกุล</v>
      </c>
      <c r="H1150" s="1" t="str">
        <f>IFERROR(__xludf.DUMMYFUNCTION("""COMPUTED_VALUE"""),"398146")</f>
        <v>398146</v>
      </c>
      <c r="I1150" s="1" t="str">
        <f>IFERROR(__xludf.DUMMYFUNCTION("""COMPUTED_VALUE"""),"น.ส.กนกสิริ สุขหอม")</f>
        <v>น.ส.กนกสิริ สุขหอม</v>
      </c>
      <c r="J1150" s="3">
        <f>IFERROR(__xludf.DUMMYFUNCTION("""COMPUTED_VALUE"""),2454781.0)</f>
        <v>2454781</v>
      </c>
      <c r="K1150" s="3" t="str">
        <f>IFERROR(__xludf.DUMMYFUNCTION("""COMPUTED_VALUE"""),"นายฌานกฤช นันทะโคต")</f>
        <v>นายฌานกฤช นันทะโคต</v>
      </c>
      <c r="L1150" s="3" t="str">
        <f>IFERROR(__xludf.DUMMYFUNCTION("""COMPUTED_VALUE"""),"05 K.Chanakrit N.")</f>
        <v>05 K.Chanakrit N.</v>
      </c>
      <c r="M1150" s="1" t="str">
        <f>IFERROR(__xludf.DUMMYFUNCTION("""COMPUTED_VALUE"""),"090-978-9785 ,065-929-1320")</f>
        <v>090-978-9785 ,065-929-1320</v>
      </c>
      <c r="N1150" s="3">
        <f>IFERROR(__xludf.DUMMYFUNCTION("""COMPUTED_VALUE"""),22195.0)</f>
        <v>22195</v>
      </c>
      <c r="O1150" s="3" t="str">
        <f>IFERROR(__xludf.DUMMYFUNCTION("""COMPUTED_VALUE"""),"MBC กันทรลักษ์ ศรีสะเกษ")</f>
        <v>MBC กันทรลักษ์ ศรีสะเกษ</v>
      </c>
      <c r="P1150" s="4">
        <f>IFERROR(__xludf.DUMMYFUNCTION("""COMPUTED_VALUE"""),43750.0)</f>
        <v>43750</v>
      </c>
      <c r="Q1150" s="3" t="str">
        <f>IFERROR(__xludf.DUMMYFUNCTION("""COMPUTED_VALUE"""),"A")</f>
        <v>A</v>
      </c>
      <c r="R1150" s="3" t="str">
        <f>IFERROR(__xludf.DUMMYFUNCTION("""COMPUTED_VALUE"""),"Small Format")</f>
        <v>Small Format</v>
      </c>
      <c r="S1150" s="3" t="str">
        <f>IFERROR(__xludf.DUMMYFUNCTION("""COMPUTED_VALUE"""),"BCM")</f>
        <v>BCM</v>
      </c>
      <c r="T1150" s="3" t="str">
        <f>IFERROR(__xludf.DUMMYFUNCTION("""COMPUTED_VALUE"""),"#N/A")</f>
        <v>#N/A</v>
      </c>
      <c r="U1150" s="3" t="str">
        <f>IFERROR(__xludf.DUMMYFUNCTION("""COMPUTED_VALUE"""),"#N/A")</f>
        <v>#N/A</v>
      </c>
      <c r="V1150" s="3" t="str">
        <f>IFERROR(__xludf.DUMMYFUNCTION("""COMPUTED_VALUE"""),"N")</f>
        <v>N</v>
      </c>
      <c r="W1150" s="3">
        <f>IFERROR(__xludf.DUMMYFUNCTION("""COMPUTED_VALUE"""),211950.0)</f>
        <v>211950</v>
      </c>
      <c r="X1150" s="3" t="str">
        <f>IFERROR(__xludf.DUMMYFUNCTION("""COMPUTED_VALUE"""),"90/10 หมู่2 ตำบลสนม อำเภอสนม จังหวัดสุรินทร์ 32160")</f>
        <v>90/10 หมู่2 ตำบลสนม อำเภอสนม จังหวัดสุรินทร์ 32160</v>
      </c>
      <c r="Y1150" s="3"/>
      <c r="Z1150" s="3" t="str">
        <f>IFERROR(__xludf.DUMMYFUNCTION("""COMPUTED_VALUE"""),"สนม")</f>
        <v>สนม</v>
      </c>
      <c r="AA1150" s="3" t="str">
        <f>IFERROR(__xludf.DUMMYFUNCTION("""COMPUTED_VALUE"""),"สนม")</f>
        <v>สนม</v>
      </c>
      <c r="AB1150" s="3" t="str">
        <f>IFERROR(__xludf.DUMMYFUNCTION("""COMPUTED_VALUE"""),"สุรินทร์")</f>
        <v>สุรินทร์</v>
      </c>
      <c r="AC1150" s="3">
        <f>IFERROR(__xludf.DUMMYFUNCTION("""COMPUTED_VALUE"""),32160.0)</f>
        <v>32160</v>
      </c>
      <c r="AD1150" s="3">
        <f>IFERROR(__xludf.DUMMYFUNCTION("""COMPUTED_VALUE"""),15.200176)</f>
        <v>15.200176</v>
      </c>
      <c r="AE1150" s="3">
        <f>IFERROR(__xludf.DUMMYFUNCTION("""COMPUTED_VALUE"""),103.760315)</f>
        <v>103.760315</v>
      </c>
      <c r="AF1150" s="3" t="str">
        <f>IFERROR(__xludf.DUMMYFUNCTION("""COMPUTED_VALUE"""),"MBC สนม สุรินทร์-21922")</f>
        <v>MBC สนม สุรินทร์-21922</v>
      </c>
      <c r="AG1150" s="3" t="str">
        <f>IFERROR(__xludf.DUMMYFUNCTION("""COMPUTED_VALUE"""),"ตะวันออกเฉียงเหนือ")</f>
        <v>ตะวันออกเฉียงเหนือ</v>
      </c>
      <c r="AH1150" s="3" t="str">
        <f>IFERROR(__xludf.DUMMYFUNCTION("""COMPUTED_VALUE"""),"#N/A")</f>
        <v>#N/A</v>
      </c>
      <c r="AI1150" s="3" t="str">
        <f>IFERROR(__xludf.DUMMYFUNCTION("""COMPUTED_VALUE"""),"Out of warranty")</f>
        <v>Out of warranty</v>
      </c>
      <c r="AJ1150" s="3">
        <f>IFERROR(__xludf.DUMMYFUNCTION("""COMPUTED_VALUE"""),76.0)</f>
        <v>76</v>
      </c>
      <c r="AK1150" s="3" t="str">
        <f>IFERROR(__xludf.DUMMYFUNCTION("""COMPUTED_VALUE"""),"MMS13")</f>
        <v>MMS13</v>
      </c>
      <c r="AL1150" s="3"/>
    </row>
    <row r="1151" ht="15.75" customHeight="1">
      <c r="A1151" s="1" t="str">
        <f>IFERROR(__xludf.DUMMYFUNCTION("""COMPUTED_VALUE"""),"21923")</f>
        <v>21923</v>
      </c>
      <c r="B1151" s="2">
        <f>IFERROR(__xludf.DUMMYFUNCTION("""COMPUTED_VALUE"""),21923.0)</f>
        <v>21923</v>
      </c>
      <c r="C1151" s="3" t="str">
        <f>IFERROR(__xludf.DUMMYFUNCTION("""COMPUTED_VALUE"""),"MBC บ้านลภาวัน10 นนทบุรี")</f>
        <v>MBC บ้านลภาวัน10 นนทบุรี</v>
      </c>
      <c r="D1151" s="3" t="str">
        <f>IFERROR(__xludf.DUMMYFUNCTION("""COMPUTED_VALUE"""),"BCM BAN LAPHAWAN 10")</f>
        <v>BCM BAN LAPHAWAN 10</v>
      </c>
      <c r="E1151" s="1" t="str">
        <f>IFERROR(__xludf.DUMMYFUNCTION("""COMPUTED_VALUE"""),"บิ๊กซี MINI")</f>
        <v>บิ๊กซี MINI</v>
      </c>
      <c r="F1151" s="1" t="str">
        <f>IFERROR(__xludf.DUMMYFUNCTION("""COMPUTED_VALUE"""),"291008")</f>
        <v>291008</v>
      </c>
      <c r="G1151" s="1" t="str">
        <f>IFERROR(__xludf.DUMMYFUNCTION("""COMPUTED_VALUE"""),"น.ส.รัชดาพร อีศรัตน์")</f>
        <v>น.ส.รัชดาพร อีศรัตน์</v>
      </c>
      <c r="H1151" s="1" t="str">
        <f>IFERROR(__xludf.DUMMYFUNCTION("""COMPUTED_VALUE"""),"034068")</f>
        <v>034068</v>
      </c>
      <c r="I1151" s="1" t="str">
        <f>IFERROR(__xludf.DUMMYFUNCTION("""COMPUTED_VALUE"""),"นายสมศักดิ์ ฐานทองดี")</f>
        <v>นายสมศักดิ์ ฐานทองดี</v>
      </c>
      <c r="J1151" s="3">
        <f>IFERROR(__xludf.DUMMYFUNCTION("""COMPUTED_VALUE"""),296608.0)</f>
        <v>296608</v>
      </c>
      <c r="K1151" s="3" t="str">
        <f>IFERROR(__xludf.DUMMYFUNCTION("""COMPUTED_VALUE"""),"นายภาคภูมิ เพ็ชรนิล")</f>
        <v>นายภาคภูมิ เพ็ชรนิล</v>
      </c>
      <c r="L1151" s="1" t="str">
        <f>IFERROR(__xludf.DUMMYFUNCTION("""COMPUTED_VALUE"""),"10 K.Phakphoom P.")</f>
        <v>10 K.Phakphoom P.</v>
      </c>
      <c r="M1151" s="1" t="str">
        <f>IFERROR(__xludf.DUMMYFUNCTION("""COMPUTED_VALUE"""),"063-8955329")</f>
        <v>063-8955329</v>
      </c>
      <c r="N1151" s="3">
        <f>IFERROR(__xludf.DUMMYFUNCTION("""COMPUTED_VALUE"""),22584.0)</f>
        <v>22584</v>
      </c>
      <c r="O1151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151" s="4">
        <f>IFERROR(__xludf.DUMMYFUNCTION("""COMPUTED_VALUE"""),43746.0)</f>
        <v>43746</v>
      </c>
      <c r="Q1151" s="3" t="str">
        <f>IFERROR(__xludf.DUMMYFUNCTION("""COMPUTED_VALUE"""),"A")</f>
        <v>A</v>
      </c>
      <c r="R1151" s="3" t="str">
        <f>IFERROR(__xludf.DUMMYFUNCTION("""COMPUTED_VALUE"""),"Small Format")</f>
        <v>Small Format</v>
      </c>
      <c r="S1151" s="3" t="str">
        <f>IFERROR(__xludf.DUMMYFUNCTION("""COMPUTED_VALUE"""),"BCM")</f>
        <v>BCM</v>
      </c>
      <c r="T1151" s="3" t="str">
        <f>IFERROR(__xludf.DUMMYFUNCTION("""COMPUTED_VALUE"""),"#N/A")</f>
        <v>#N/A</v>
      </c>
      <c r="U1151" s="3" t="str">
        <f>IFERROR(__xludf.DUMMYFUNCTION("""COMPUTED_VALUE"""),"#N/A")</f>
        <v>#N/A</v>
      </c>
      <c r="V1151" s="3" t="str">
        <f>IFERROR(__xludf.DUMMYFUNCTION("""COMPUTED_VALUE"""),"N")</f>
        <v>N</v>
      </c>
      <c r="W1151" s="3">
        <f>IFERROR(__xludf.DUMMYFUNCTION("""COMPUTED_VALUE"""),211898.0)</f>
        <v>211898</v>
      </c>
      <c r="X1151" s="3" t="str">
        <f>IFERROR(__xludf.DUMMYFUNCTION("""COMPUTED_VALUE"""),"65/15 หมู่2 ตำบลบางพลับ อำเภอปากเกร็ด จังหวัดนนทบุรี 11120")</f>
        <v>65/15 หมู่2 ตำบลบางพลับ อำเภอปากเกร็ด จังหวัดนนทบุรี 11120</v>
      </c>
      <c r="Y1151" s="3"/>
      <c r="Z1151" s="3" t="str">
        <f>IFERROR(__xludf.DUMMYFUNCTION("""COMPUTED_VALUE"""),"บางพลับ")</f>
        <v>บางพลับ</v>
      </c>
      <c r="AA1151" s="3" t="str">
        <f>IFERROR(__xludf.DUMMYFUNCTION("""COMPUTED_VALUE"""),"ปากเกร็ด")</f>
        <v>ปากเกร็ด</v>
      </c>
      <c r="AB1151" s="3" t="str">
        <f>IFERROR(__xludf.DUMMYFUNCTION("""COMPUTED_VALUE"""),"นนทบุรี")</f>
        <v>นนทบุรี</v>
      </c>
      <c r="AC1151" s="3">
        <f>IFERROR(__xludf.DUMMYFUNCTION("""COMPUTED_VALUE"""),11120.0)</f>
        <v>11120</v>
      </c>
      <c r="AD1151" s="3">
        <f>IFERROR(__xludf.DUMMYFUNCTION("""COMPUTED_VALUE"""),13.91971)</f>
        <v>13.91971</v>
      </c>
      <c r="AE1151" s="3">
        <f>IFERROR(__xludf.DUMMYFUNCTION("""COMPUTED_VALUE"""),100.437807)</f>
        <v>100.437807</v>
      </c>
      <c r="AF1151" s="3" t="str">
        <f>IFERROR(__xludf.DUMMYFUNCTION("""COMPUTED_VALUE"""),"MBC บ้านลภาวัน10 นนทบุรี-21923")</f>
        <v>MBC บ้านลภาวัน10 นนทบุรี-21923</v>
      </c>
      <c r="AG1151" s="3" t="str">
        <f>IFERROR(__xludf.DUMMYFUNCTION("""COMPUTED_VALUE"""),"กลาง")</f>
        <v>กลาง</v>
      </c>
      <c r="AH1151" s="3" t="str">
        <f>IFERROR(__xludf.DUMMYFUNCTION("""COMPUTED_VALUE"""),"#N/A")</f>
        <v>#N/A</v>
      </c>
      <c r="AI1151" s="3" t="str">
        <f>IFERROR(__xludf.DUMMYFUNCTION("""COMPUTED_VALUE"""),"Out of warranty")</f>
        <v>Out of warranty</v>
      </c>
      <c r="AJ1151" s="3">
        <f>IFERROR(__xludf.DUMMYFUNCTION("""COMPUTED_VALUE"""),76.0)</f>
        <v>76</v>
      </c>
      <c r="AK1151" s="3" t="str">
        <f>IFERROR(__xludf.DUMMYFUNCTION("""COMPUTED_VALUE"""),"MMS04")</f>
        <v>MMS04</v>
      </c>
      <c r="AL1151" s="3"/>
    </row>
    <row r="1152" ht="15.75" customHeight="1">
      <c r="A1152" s="1" t="str">
        <f>IFERROR(__xludf.DUMMYFUNCTION("""COMPUTED_VALUE"""),"21924")</f>
        <v>21924</v>
      </c>
      <c r="B1152" s="2">
        <f>IFERROR(__xludf.DUMMYFUNCTION("""COMPUTED_VALUE"""),21924.0)</f>
        <v>21924</v>
      </c>
      <c r="C1152" s="3" t="str">
        <f>IFERROR(__xludf.DUMMYFUNCTION("""COMPUTED_VALUE"""),"MBC เอื้ออาทรวัดกู้ 2 นนทบุรี")</f>
        <v>MBC เอื้ออาทรวัดกู้ 2 นนทบุรี</v>
      </c>
      <c r="D1152" s="3" t="str">
        <f>IFERROR(__xludf.DUMMYFUNCTION("""COMPUTED_VALUE"""),"BCM AUR ARTHORN WATKU 2")</f>
        <v>BCM AUR ARTHORN WATKU 2</v>
      </c>
      <c r="E1152" s="1" t="str">
        <f>IFERROR(__xludf.DUMMYFUNCTION("""COMPUTED_VALUE"""),"บิ๊กซี MINI")</f>
        <v>บิ๊กซี MINI</v>
      </c>
      <c r="F1152" s="1" t="str">
        <f>IFERROR(__xludf.DUMMYFUNCTION("""COMPUTED_VALUE"""),"291008")</f>
        <v>291008</v>
      </c>
      <c r="G1152" s="1" t="str">
        <f>IFERROR(__xludf.DUMMYFUNCTION("""COMPUTED_VALUE"""),"น.ส.รัชดาพร อีศรัตน์")</f>
        <v>น.ส.รัชดาพร อีศรัตน์</v>
      </c>
      <c r="H1152" s="1" t="str">
        <f>IFERROR(__xludf.DUMMYFUNCTION("""COMPUTED_VALUE"""),"034068")</f>
        <v>034068</v>
      </c>
      <c r="I1152" s="1" t="str">
        <f>IFERROR(__xludf.DUMMYFUNCTION("""COMPUTED_VALUE"""),"นายสมศักดิ์ ฐานทองดี")</f>
        <v>นายสมศักดิ์ ฐานทองดี</v>
      </c>
      <c r="J1152" s="3">
        <f>IFERROR(__xludf.DUMMYFUNCTION("""COMPUTED_VALUE"""),296608.0)</f>
        <v>296608</v>
      </c>
      <c r="K1152" s="3" t="str">
        <f>IFERROR(__xludf.DUMMYFUNCTION("""COMPUTED_VALUE"""),"นายภาคภูมิ เพ็ชรนิล")</f>
        <v>นายภาคภูมิ เพ็ชรนิล</v>
      </c>
      <c r="L1152" s="1" t="str">
        <f>IFERROR(__xludf.DUMMYFUNCTION("""COMPUTED_VALUE"""),"10 K.Phakphoom P.")</f>
        <v>10 K.Phakphoom P.</v>
      </c>
      <c r="M1152" s="1" t="str">
        <f>IFERROR(__xludf.DUMMYFUNCTION("""COMPUTED_VALUE"""),"063-8955329")</f>
        <v>063-8955329</v>
      </c>
      <c r="N1152" s="3">
        <f>IFERROR(__xludf.DUMMYFUNCTION("""COMPUTED_VALUE"""),22584.0)</f>
        <v>22584</v>
      </c>
      <c r="O1152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152" s="4">
        <f>IFERROR(__xludf.DUMMYFUNCTION("""COMPUTED_VALUE"""),43748.0)</f>
        <v>43748</v>
      </c>
      <c r="Q1152" s="3" t="str">
        <f>IFERROR(__xludf.DUMMYFUNCTION("""COMPUTED_VALUE"""),"A")</f>
        <v>A</v>
      </c>
      <c r="R1152" s="3" t="str">
        <f>IFERROR(__xludf.DUMMYFUNCTION("""COMPUTED_VALUE"""),"Small Format")</f>
        <v>Small Format</v>
      </c>
      <c r="S1152" s="3" t="str">
        <f>IFERROR(__xludf.DUMMYFUNCTION("""COMPUTED_VALUE"""),"BCM")</f>
        <v>BCM</v>
      </c>
      <c r="T1152" s="3" t="str">
        <f>IFERROR(__xludf.DUMMYFUNCTION("""COMPUTED_VALUE"""),"#N/A")</f>
        <v>#N/A</v>
      </c>
      <c r="U1152" s="3" t="str">
        <f>IFERROR(__xludf.DUMMYFUNCTION("""COMPUTED_VALUE"""),"#N/A")</f>
        <v>#N/A</v>
      </c>
      <c r="V1152" s="3" t="str">
        <f>IFERROR(__xludf.DUMMYFUNCTION("""COMPUTED_VALUE"""),"N")</f>
        <v>N</v>
      </c>
      <c r="W1152" s="3">
        <f>IFERROR(__xludf.DUMMYFUNCTION("""COMPUTED_VALUE"""),211942.0)</f>
        <v>211942</v>
      </c>
      <c r="X1152" s="3" t="str">
        <f>IFERROR(__xludf.DUMMYFUNCTION("""COMPUTED_VALUE"""),"219/20-22 หมู่3 ตำบลบางพูด อำเภอปากเกร็ด จังหวัดนนทบุรี 11120")</f>
        <v>219/20-22 หมู่3 ตำบลบางพูด อำเภอปากเกร็ด จังหวัดนนทบุรี 11120</v>
      </c>
      <c r="Y1152" s="3"/>
      <c r="Z1152" s="3" t="str">
        <f>IFERROR(__xludf.DUMMYFUNCTION("""COMPUTED_VALUE"""),"บางพูด")</f>
        <v>บางพูด</v>
      </c>
      <c r="AA1152" s="3" t="str">
        <f>IFERROR(__xludf.DUMMYFUNCTION("""COMPUTED_VALUE"""),"ปากเกร็ด")</f>
        <v>ปากเกร็ด</v>
      </c>
      <c r="AB1152" s="3" t="str">
        <f>IFERROR(__xludf.DUMMYFUNCTION("""COMPUTED_VALUE"""),"นนทบุรี")</f>
        <v>นนทบุรี</v>
      </c>
      <c r="AC1152" s="3">
        <f>IFERROR(__xludf.DUMMYFUNCTION("""COMPUTED_VALUE"""),11120.0)</f>
        <v>11120</v>
      </c>
      <c r="AD1152" s="3">
        <f>IFERROR(__xludf.DUMMYFUNCTION("""COMPUTED_VALUE"""),13.555398)</f>
        <v>13.555398</v>
      </c>
      <c r="AE1152" s="3">
        <f>IFERROR(__xludf.DUMMYFUNCTION("""COMPUTED_VALUE"""),100.310706)</f>
        <v>100.310706</v>
      </c>
      <c r="AF1152" s="3" t="str">
        <f>IFERROR(__xludf.DUMMYFUNCTION("""COMPUTED_VALUE"""),"MBC เอื้ออาทรวัดกู้ 2 นนทบุรี-21924")</f>
        <v>MBC เอื้ออาทรวัดกู้ 2 นนทบุรี-21924</v>
      </c>
      <c r="AG1152" s="3" t="str">
        <f>IFERROR(__xludf.DUMMYFUNCTION("""COMPUTED_VALUE"""),"กลาง")</f>
        <v>กลาง</v>
      </c>
      <c r="AH1152" s="3" t="str">
        <f>IFERROR(__xludf.DUMMYFUNCTION("""COMPUTED_VALUE"""),"#N/A")</f>
        <v>#N/A</v>
      </c>
      <c r="AI1152" s="3" t="str">
        <f>IFERROR(__xludf.DUMMYFUNCTION("""COMPUTED_VALUE"""),"Out of warranty")</f>
        <v>Out of warranty</v>
      </c>
      <c r="AJ1152" s="3">
        <f>IFERROR(__xludf.DUMMYFUNCTION("""COMPUTED_VALUE"""),76.0)</f>
        <v>76</v>
      </c>
      <c r="AK1152" s="3" t="str">
        <f>IFERROR(__xludf.DUMMYFUNCTION("""COMPUTED_VALUE"""),"MMS01")</f>
        <v>MMS01</v>
      </c>
      <c r="AL1152" s="3"/>
    </row>
    <row r="1153" ht="15.75" customHeight="1">
      <c r="A1153" s="1" t="str">
        <f>IFERROR(__xludf.DUMMYFUNCTION("""COMPUTED_VALUE"""),"21925")</f>
        <v>21925</v>
      </c>
      <c r="B1153" s="2">
        <f>IFERROR(__xludf.DUMMYFUNCTION("""COMPUTED_VALUE"""),21925.0)</f>
        <v>21925</v>
      </c>
      <c r="C1153" s="3" t="str">
        <f>IFERROR(__xludf.DUMMYFUNCTION("""COMPUTED_VALUE"""),"MBC ถนนอุบล-ตระการ อุบลราชธานี")</f>
        <v>MBC ถนนอุบล-ตระการ อุบลราชธานี</v>
      </c>
      <c r="D1153" s="3" t="str">
        <f>IFERROR(__xludf.DUMMYFUNCTION("""COMPUTED_VALUE"""),"BCM THANON UBON-THAKAN")</f>
        <v>BCM THANON UBON-THAKAN</v>
      </c>
      <c r="E1153" s="1" t="str">
        <f>IFERROR(__xludf.DUMMYFUNCTION("""COMPUTED_VALUE"""),"บิ๊กซี MINI")</f>
        <v>บิ๊กซี MINI</v>
      </c>
      <c r="F1153" s="1" t="str">
        <f>IFERROR(__xludf.DUMMYFUNCTION("""COMPUTED_VALUE"""),"291105")</f>
        <v>291105</v>
      </c>
      <c r="G1153" s="1" t="str">
        <f>IFERROR(__xludf.DUMMYFUNCTION("""COMPUTED_VALUE"""),"นายสราวุฒิ พณิชยกุล")</f>
        <v>นายสราวุฒิ พณิชยกุล</v>
      </c>
      <c r="H1153" s="1" t="str">
        <f>IFERROR(__xludf.DUMMYFUNCTION("""COMPUTED_VALUE"""),"250772")</f>
        <v>250772</v>
      </c>
      <c r="I1153" s="1" t="str">
        <f>IFERROR(__xludf.DUMMYFUNCTION("""COMPUTED_VALUE"""),"น.ส.วรุณยุพา จรูญไธสง")</f>
        <v>น.ส.วรุณยุพา จรูญไธสง</v>
      </c>
      <c r="J1153" s="3">
        <f>IFERROR(__xludf.DUMMYFUNCTION("""COMPUTED_VALUE"""),2454781.0)</f>
        <v>2454781</v>
      </c>
      <c r="K1153" s="3" t="str">
        <f>IFERROR(__xludf.DUMMYFUNCTION("""COMPUTED_VALUE"""),"นายฌานกฤช นันทะโคต")</f>
        <v>นายฌานกฤช นันทะโคต</v>
      </c>
      <c r="L1153" s="1" t="str">
        <f>IFERROR(__xludf.DUMMYFUNCTION("""COMPUTED_VALUE"""),"05 K.Chanakrit N.")</f>
        <v>05 K.Chanakrit N.</v>
      </c>
      <c r="M1153" s="1" t="str">
        <f>IFERROR(__xludf.DUMMYFUNCTION("""COMPUTED_VALUE"""),"090-978-9785 ,065-929-1320")</f>
        <v>090-978-9785 ,065-929-1320</v>
      </c>
      <c r="N1153" s="3">
        <f>IFERROR(__xludf.DUMMYFUNCTION("""COMPUTED_VALUE"""),22195.0)</f>
        <v>22195</v>
      </c>
      <c r="O1153" s="3" t="str">
        <f>IFERROR(__xludf.DUMMYFUNCTION("""COMPUTED_VALUE"""),"MBC กันทรลักษ์ ศรีสะเกษ")</f>
        <v>MBC กันทรลักษ์ ศรีสะเกษ</v>
      </c>
      <c r="P1153" s="4">
        <f>IFERROR(__xludf.DUMMYFUNCTION("""COMPUTED_VALUE"""),43749.0)</f>
        <v>43749</v>
      </c>
      <c r="Q1153" s="3" t="str">
        <f>IFERROR(__xludf.DUMMYFUNCTION("""COMPUTED_VALUE"""),"A")</f>
        <v>A</v>
      </c>
      <c r="R1153" s="3" t="str">
        <f>IFERROR(__xludf.DUMMYFUNCTION("""COMPUTED_VALUE"""),"Small Format")</f>
        <v>Small Format</v>
      </c>
      <c r="S1153" s="3" t="str">
        <f>IFERROR(__xludf.DUMMYFUNCTION("""COMPUTED_VALUE"""),"BCM")</f>
        <v>BCM</v>
      </c>
      <c r="T1153" s="3" t="str">
        <f>IFERROR(__xludf.DUMMYFUNCTION("""COMPUTED_VALUE"""),"#N/A")</f>
        <v>#N/A</v>
      </c>
      <c r="U1153" s="3" t="str">
        <f>IFERROR(__xludf.DUMMYFUNCTION("""COMPUTED_VALUE"""),"#N/A")</f>
        <v>#N/A</v>
      </c>
      <c r="V1153" s="3" t="str">
        <f>IFERROR(__xludf.DUMMYFUNCTION("""COMPUTED_VALUE"""),"N")</f>
        <v>N</v>
      </c>
      <c r="W1153" s="3">
        <f>IFERROR(__xludf.DUMMYFUNCTION("""COMPUTED_VALUE"""),211912.0)</f>
        <v>211912</v>
      </c>
      <c r="X1153" s="3" t="str">
        <f>IFERROR(__xludf.DUMMYFUNCTION("""COMPUTED_VALUE"""),"142/9 ถนนอุบล-ตระการ ตำบลในเมือง อำเภอเมืองอุบลราชธานี จังหวัดอุบลราชธานี 34000")</f>
        <v>142/9 ถนนอุบล-ตระการ ตำบลในเมือง อำเภอเมืองอุบลราชธานี จังหวัดอุบลราชธานี 34000</v>
      </c>
      <c r="Y1153" s="3" t="str">
        <f>IFERROR(__xludf.DUMMYFUNCTION("""COMPUTED_VALUE"""),"ถนนอุบล-ตระการ")</f>
        <v>ถนนอุบล-ตระการ</v>
      </c>
      <c r="Z1153" s="3" t="str">
        <f>IFERROR(__xludf.DUMMYFUNCTION("""COMPUTED_VALUE"""),"ในเมือง")</f>
        <v>ในเมือง</v>
      </c>
      <c r="AA1153" s="3" t="str">
        <f>IFERROR(__xludf.DUMMYFUNCTION("""COMPUTED_VALUE"""),"เมือง")</f>
        <v>เมือง</v>
      </c>
      <c r="AB1153" s="3" t="str">
        <f>IFERROR(__xludf.DUMMYFUNCTION("""COMPUTED_VALUE"""),"อุบลราชธานี")</f>
        <v>อุบลราชธานี</v>
      </c>
      <c r="AC1153" s="3">
        <f>IFERROR(__xludf.DUMMYFUNCTION("""COMPUTED_VALUE"""),34000.0)</f>
        <v>34000</v>
      </c>
      <c r="AD1153" s="3">
        <f>IFERROR(__xludf.DUMMYFUNCTION("""COMPUTED_VALUE"""),15.244902)</f>
        <v>15.244902</v>
      </c>
      <c r="AE1153" s="3">
        <f>IFERROR(__xludf.DUMMYFUNCTION("""COMPUTED_VALUE"""),104.87546)</f>
        <v>104.87546</v>
      </c>
      <c r="AF1153" s="3" t="str">
        <f>IFERROR(__xludf.DUMMYFUNCTION("""COMPUTED_VALUE"""),"MBC ถนนอุบล-ตระการ อุบลราชธานี-21925")</f>
        <v>MBC ถนนอุบล-ตระการ อุบลราชธานี-21925</v>
      </c>
      <c r="AG1153" s="3" t="str">
        <f>IFERROR(__xludf.DUMMYFUNCTION("""COMPUTED_VALUE"""),"ตะวันออกเฉียงเหนือ")</f>
        <v>ตะวันออกเฉียงเหนือ</v>
      </c>
      <c r="AH1153" s="3" t="str">
        <f>IFERROR(__xludf.DUMMYFUNCTION("""COMPUTED_VALUE"""),"#N/A")</f>
        <v>#N/A</v>
      </c>
      <c r="AI1153" s="3" t="str">
        <f>IFERROR(__xludf.DUMMYFUNCTION("""COMPUTED_VALUE"""),"Out of warranty")</f>
        <v>Out of warranty</v>
      </c>
      <c r="AJ1153" s="3">
        <f>IFERROR(__xludf.DUMMYFUNCTION("""COMPUTED_VALUE"""),76.0)</f>
        <v>76</v>
      </c>
      <c r="AK1153" s="3" t="str">
        <f>IFERROR(__xludf.DUMMYFUNCTION("""COMPUTED_VALUE"""),"MMS13")</f>
        <v>MMS13</v>
      </c>
      <c r="AL1153" s="3"/>
    </row>
    <row r="1154" ht="15.75" customHeight="1">
      <c r="A1154" s="1" t="str">
        <f>IFERROR(__xludf.DUMMYFUNCTION("""COMPUTED_VALUE"""),"21926")</f>
        <v>21926</v>
      </c>
      <c r="B1154" s="2">
        <f>IFERROR(__xludf.DUMMYFUNCTION("""COMPUTED_VALUE"""),21926.0)</f>
        <v>21926</v>
      </c>
      <c r="C1154" s="3" t="str">
        <f>IFERROR(__xludf.DUMMYFUNCTION("""COMPUTED_VALUE"""),"MBC เขมราฐ อุบลราชธานี")</f>
        <v>MBC เขมราฐ อุบลราชธานี</v>
      </c>
      <c r="D1154" s="3" t="str">
        <f>IFERROR(__xludf.DUMMYFUNCTION("""COMPUTED_VALUE"""),"BCM KHEMARAT,UBON RATCHATHANI")</f>
        <v>BCM KHEMARAT,UBON RATCHATHANI</v>
      </c>
      <c r="E1154" s="1" t="str">
        <f>IFERROR(__xludf.DUMMYFUNCTION("""COMPUTED_VALUE"""),"บิ๊กซี MINI")</f>
        <v>บิ๊กซี MINI</v>
      </c>
      <c r="F1154" s="1" t="str">
        <f>IFERROR(__xludf.DUMMYFUNCTION("""COMPUTED_VALUE"""),"291105")</f>
        <v>291105</v>
      </c>
      <c r="G1154" s="1" t="str">
        <f>IFERROR(__xludf.DUMMYFUNCTION("""COMPUTED_VALUE"""),"นายสราวุฒิ พณิชยกุล")</f>
        <v>นายสราวุฒิ พณิชยกุล</v>
      </c>
      <c r="H1154" s="1" t="str">
        <f>IFERROR(__xludf.DUMMYFUNCTION("""COMPUTED_VALUE"""),"250772")</f>
        <v>250772</v>
      </c>
      <c r="I1154" s="1" t="str">
        <f>IFERROR(__xludf.DUMMYFUNCTION("""COMPUTED_VALUE"""),"น.ส.วรุณยุพา จรูญไธสง")</f>
        <v>น.ส.วรุณยุพา จรูญไธสง</v>
      </c>
      <c r="J1154" s="3">
        <f>IFERROR(__xludf.DUMMYFUNCTION("""COMPUTED_VALUE"""),2454781.0)</f>
        <v>2454781</v>
      </c>
      <c r="K1154" s="3" t="str">
        <f>IFERROR(__xludf.DUMMYFUNCTION("""COMPUTED_VALUE"""),"นายฌานกฤช นันทะโคต")</f>
        <v>นายฌานกฤช นันทะโคต</v>
      </c>
      <c r="L1154" s="1" t="str">
        <f>IFERROR(__xludf.DUMMYFUNCTION("""COMPUTED_VALUE"""),"05 K.Chanakrit N.")</f>
        <v>05 K.Chanakrit N.</v>
      </c>
      <c r="M1154" s="1" t="str">
        <f>IFERROR(__xludf.DUMMYFUNCTION("""COMPUTED_VALUE"""),"090-978-9785 ,065-929-1320")</f>
        <v>090-978-9785 ,065-929-1320</v>
      </c>
      <c r="N1154" s="3">
        <f>IFERROR(__xludf.DUMMYFUNCTION("""COMPUTED_VALUE"""),22195.0)</f>
        <v>22195</v>
      </c>
      <c r="O1154" s="3" t="str">
        <f>IFERROR(__xludf.DUMMYFUNCTION("""COMPUTED_VALUE"""),"MBC กันทรลักษ์ ศรีสะเกษ")</f>
        <v>MBC กันทรลักษ์ ศรีสะเกษ</v>
      </c>
      <c r="P1154" s="4">
        <f>IFERROR(__xludf.DUMMYFUNCTION("""COMPUTED_VALUE"""),43751.0)</f>
        <v>43751</v>
      </c>
      <c r="Q1154" s="3" t="str">
        <f>IFERROR(__xludf.DUMMYFUNCTION("""COMPUTED_VALUE"""),"A")</f>
        <v>A</v>
      </c>
      <c r="R1154" s="3" t="str">
        <f>IFERROR(__xludf.DUMMYFUNCTION("""COMPUTED_VALUE"""),"Small Format")</f>
        <v>Small Format</v>
      </c>
      <c r="S1154" s="3" t="str">
        <f>IFERROR(__xludf.DUMMYFUNCTION("""COMPUTED_VALUE"""),"BCM")</f>
        <v>BCM</v>
      </c>
      <c r="T1154" s="3" t="str">
        <f>IFERROR(__xludf.DUMMYFUNCTION("""COMPUTED_VALUE"""),"#N/A")</f>
        <v>#N/A</v>
      </c>
      <c r="U1154" s="3" t="str">
        <f>IFERROR(__xludf.DUMMYFUNCTION("""COMPUTED_VALUE"""),"#N/A")</f>
        <v>#N/A</v>
      </c>
      <c r="V1154" s="3" t="str">
        <f>IFERROR(__xludf.DUMMYFUNCTION("""COMPUTED_VALUE"""),"N")</f>
        <v>N</v>
      </c>
      <c r="W1154" s="3">
        <f>IFERROR(__xludf.DUMMYFUNCTION("""COMPUTED_VALUE"""),211913.0)</f>
        <v>211913</v>
      </c>
      <c r="X1154" s="3" t="str">
        <f>IFERROR(__xludf.DUMMYFUNCTION("""COMPUTED_VALUE"""),"25,27 หมู่7 ถนนอรุณประเสริฐ ตำบลเขมราฐ อำเภอเขมราฐ จังหวัดอุบลราชธานี 34170")</f>
        <v>25,27 หมู่7 ถนนอรุณประเสริฐ ตำบลเขมราฐ อำเภอเขมราฐ จังหวัดอุบลราชธานี 34170</v>
      </c>
      <c r="Y1154" s="3"/>
      <c r="Z1154" s="3" t="str">
        <f>IFERROR(__xludf.DUMMYFUNCTION("""COMPUTED_VALUE"""),"เขมราฐ")</f>
        <v>เขมราฐ</v>
      </c>
      <c r="AA1154" s="3" t="str">
        <f>IFERROR(__xludf.DUMMYFUNCTION("""COMPUTED_VALUE"""),"เขมราฐ")</f>
        <v>เขมราฐ</v>
      </c>
      <c r="AB1154" s="3" t="str">
        <f>IFERROR(__xludf.DUMMYFUNCTION("""COMPUTED_VALUE"""),"อุบลราชธานี")</f>
        <v>อุบลราชธานี</v>
      </c>
      <c r="AC1154" s="3">
        <f>IFERROR(__xludf.DUMMYFUNCTION("""COMPUTED_VALUE"""),34170.0)</f>
        <v>34170</v>
      </c>
      <c r="AD1154" s="3">
        <f>IFERROR(__xludf.DUMMYFUNCTION("""COMPUTED_VALUE"""),16.041046)</f>
        <v>16.041046</v>
      </c>
      <c r="AE1154" s="3">
        <f>IFERROR(__xludf.DUMMYFUNCTION("""COMPUTED_VALUE"""),105.223417)</f>
        <v>105.223417</v>
      </c>
      <c r="AF1154" s="3" t="str">
        <f>IFERROR(__xludf.DUMMYFUNCTION("""COMPUTED_VALUE"""),"MBC เขมราฐ อุบลราชธานี-21926")</f>
        <v>MBC เขมราฐ อุบลราชธานี-21926</v>
      </c>
      <c r="AG1154" s="3" t="str">
        <f>IFERROR(__xludf.DUMMYFUNCTION("""COMPUTED_VALUE"""),"ตะวันออกเฉียงเหนือ")</f>
        <v>ตะวันออกเฉียงเหนือ</v>
      </c>
      <c r="AH1154" s="3" t="str">
        <f>IFERROR(__xludf.DUMMYFUNCTION("""COMPUTED_VALUE"""),"#N/A")</f>
        <v>#N/A</v>
      </c>
      <c r="AI1154" s="3" t="str">
        <f>IFERROR(__xludf.DUMMYFUNCTION("""COMPUTED_VALUE"""),"Out of warranty")</f>
        <v>Out of warranty</v>
      </c>
      <c r="AJ1154" s="3">
        <f>IFERROR(__xludf.DUMMYFUNCTION("""COMPUTED_VALUE"""),76.0)</f>
        <v>76</v>
      </c>
      <c r="AK1154" s="3" t="str">
        <f>IFERROR(__xludf.DUMMYFUNCTION("""COMPUTED_VALUE"""),"MMS13")</f>
        <v>MMS13</v>
      </c>
      <c r="AL1154" s="3"/>
    </row>
    <row r="1155" ht="15.75" customHeight="1">
      <c r="A1155" s="1" t="str">
        <f>IFERROR(__xludf.DUMMYFUNCTION("""COMPUTED_VALUE"""),"21927")</f>
        <v>21927</v>
      </c>
      <c r="B1155" s="2">
        <f>IFERROR(__xludf.DUMMYFUNCTION("""COMPUTED_VALUE"""),21927.0)</f>
        <v>21927</v>
      </c>
      <c r="C1155" s="3" t="str">
        <f>IFERROR(__xludf.DUMMYFUNCTION("""COMPUTED_VALUE"""),"MBC ซอยร่วมพัฒนา ชลบุรี")</f>
        <v>MBC ซอยร่วมพัฒนา ชลบุรี</v>
      </c>
      <c r="D1155" s="3" t="str">
        <f>IFERROR(__xludf.DUMMYFUNCTION("""COMPUTED_VALUE"""),"BCM SOI RUAM PHATTHANA")</f>
        <v>BCM SOI RUAM PHATTHANA</v>
      </c>
      <c r="E1155" s="1" t="str">
        <f>IFERROR(__xludf.DUMMYFUNCTION("""COMPUTED_VALUE"""),"บิ๊กซี MINI")</f>
        <v>บิ๊กซี MINI</v>
      </c>
      <c r="F1155" s="1" t="str">
        <f>IFERROR(__xludf.DUMMYFUNCTION("""COMPUTED_VALUE"""),"221716")</f>
        <v>221716</v>
      </c>
      <c r="G1155" s="1" t="str">
        <f>IFERROR(__xludf.DUMMYFUNCTION("""COMPUTED_VALUE"""),"น.ส.เบญจพร โพธิสาร")</f>
        <v>น.ส.เบญจพร โพธิสาร</v>
      </c>
      <c r="H1155" s="1" t="str">
        <f>IFERROR(__xludf.DUMMYFUNCTION("""COMPUTED_VALUE"""),"034605")</f>
        <v>034605</v>
      </c>
      <c r="I1155" s="1" t="str">
        <f>IFERROR(__xludf.DUMMYFUNCTION("""COMPUTED_VALUE"""),"นายธรรมรัตน์ สุขเจริญ")</f>
        <v>นายธรรมรัตน์ สุขเจริญ</v>
      </c>
      <c r="J1155" s="3">
        <f>IFERROR(__xludf.DUMMYFUNCTION("""COMPUTED_VALUE"""),1.3461215E7)</f>
        <v>13461215</v>
      </c>
      <c r="K1155" s="3" t="str">
        <f>IFERROR(__xludf.DUMMYFUNCTION("""COMPUTED_VALUE"""),"นายธีรภัทร สังข์เงิน")</f>
        <v>นายธีรภัทร สังข์เงิน</v>
      </c>
      <c r="L1155" s="1" t="str">
        <f>IFERROR(__xludf.DUMMYFUNCTION("""COMPUTED_VALUE"""),"06 K.Teerapat")</f>
        <v>06 K.Teerapat</v>
      </c>
      <c r="M1155" s="1" t="str">
        <f>IFERROR(__xludf.DUMMYFUNCTION("""COMPUTED_VALUE"""),"063-601-6803")</f>
        <v>063-601-6803</v>
      </c>
      <c r="N1155" s="3">
        <f>IFERROR(__xludf.DUMMYFUNCTION("""COMPUTED_VALUE"""),22115.0)</f>
        <v>22115</v>
      </c>
      <c r="O1155" s="3" t="str">
        <f>IFERROR(__xludf.DUMMYFUNCTION("""COMPUTED_VALUE"""),"MBC เลี่ยงหนองมน ชลบุรี")</f>
        <v>MBC เลี่ยงหนองมน ชลบุรี</v>
      </c>
      <c r="P1155" s="4">
        <f>IFERROR(__xludf.DUMMYFUNCTION("""COMPUTED_VALUE"""),43753.0)</f>
        <v>43753</v>
      </c>
      <c r="Q1155" s="3" t="str">
        <f>IFERROR(__xludf.DUMMYFUNCTION("""COMPUTED_VALUE"""),"A")</f>
        <v>A</v>
      </c>
      <c r="R1155" s="3" t="str">
        <f>IFERROR(__xludf.DUMMYFUNCTION("""COMPUTED_VALUE"""),"Small Format")</f>
        <v>Small Format</v>
      </c>
      <c r="S1155" s="3" t="str">
        <f>IFERROR(__xludf.DUMMYFUNCTION("""COMPUTED_VALUE"""),"BCM")</f>
        <v>BCM</v>
      </c>
      <c r="T1155" s="3" t="str">
        <f>IFERROR(__xludf.DUMMYFUNCTION("""COMPUTED_VALUE"""),"#N/A")</f>
        <v>#N/A</v>
      </c>
      <c r="U1155" s="3" t="str">
        <f>IFERROR(__xludf.DUMMYFUNCTION("""COMPUTED_VALUE"""),"#N/A")</f>
        <v>#N/A</v>
      </c>
      <c r="V1155" s="3" t="str">
        <f>IFERROR(__xludf.DUMMYFUNCTION("""COMPUTED_VALUE"""),"N")</f>
        <v>N</v>
      </c>
      <c r="W1155" s="3">
        <f>IFERROR(__xludf.DUMMYFUNCTION("""COMPUTED_VALUE"""),211955.0)</f>
        <v>211955</v>
      </c>
      <c r="X1155" s="3" t="str">
        <f>IFERROR(__xludf.DUMMYFUNCTION("""COMPUTED_VALUE"""),"68/105 หมู่5 ตำบลอ่างศิลา อำเภอเมืองชลบุรี จังหวัดชลบุรี 20000")</f>
        <v>68/105 หมู่5 ตำบลอ่างศิลา อำเภอเมืองชลบุรี จังหวัดชลบุรี 20000</v>
      </c>
      <c r="Y1155" s="3"/>
      <c r="Z1155" s="3" t="str">
        <f>IFERROR(__xludf.DUMMYFUNCTION("""COMPUTED_VALUE"""),"อ่างศิลา")</f>
        <v>อ่างศิลา</v>
      </c>
      <c r="AA1155" s="3" t="str">
        <f>IFERROR(__xludf.DUMMYFUNCTION("""COMPUTED_VALUE"""),"เมือง")</f>
        <v>เมือง</v>
      </c>
      <c r="AB1155" s="3" t="str">
        <f>IFERROR(__xludf.DUMMYFUNCTION("""COMPUTED_VALUE"""),"ชลบุรี")</f>
        <v>ชลบุรี</v>
      </c>
      <c r="AC1155" s="3">
        <f>IFERROR(__xludf.DUMMYFUNCTION("""COMPUTED_VALUE"""),20000.0)</f>
        <v>20000</v>
      </c>
      <c r="AD1155" s="3">
        <f>IFERROR(__xludf.DUMMYFUNCTION("""COMPUTED_VALUE"""),13.332656)</f>
        <v>13.332656</v>
      </c>
      <c r="AE1155" s="3">
        <f>IFERROR(__xludf.DUMMYFUNCTION("""COMPUTED_VALUE"""),100.927422)</f>
        <v>100.927422</v>
      </c>
      <c r="AF1155" s="3" t="str">
        <f>IFERROR(__xludf.DUMMYFUNCTION("""COMPUTED_VALUE"""),"MBC ซอยร่วมพัฒนา ชลบุรี-21927")</f>
        <v>MBC ซอยร่วมพัฒนา ชลบุรี-21927</v>
      </c>
      <c r="AG1155" s="3" t="str">
        <f>IFERROR(__xludf.DUMMYFUNCTION("""COMPUTED_VALUE"""),"ตะวันออก")</f>
        <v>ตะวันออก</v>
      </c>
      <c r="AH1155" s="3" t="str">
        <f>IFERROR(__xludf.DUMMYFUNCTION("""COMPUTED_VALUE"""),"#N/A")</f>
        <v>#N/A</v>
      </c>
      <c r="AI1155" s="3" t="str">
        <f>IFERROR(__xludf.DUMMYFUNCTION("""COMPUTED_VALUE"""),"Out of warranty")</f>
        <v>Out of warranty</v>
      </c>
      <c r="AJ1155" s="3">
        <f>IFERROR(__xludf.DUMMYFUNCTION("""COMPUTED_VALUE"""),76.0)</f>
        <v>76</v>
      </c>
      <c r="AK1155" s="3" t="str">
        <f>IFERROR(__xludf.DUMMYFUNCTION("""COMPUTED_VALUE"""),"MMS06")</f>
        <v>MMS06</v>
      </c>
      <c r="AL1155" s="3"/>
    </row>
    <row r="1156" ht="15.75" customHeight="1">
      <c r="A1156" s="1" t="str">
        <f>IFERROR(__xludf.DUMMYFUNCTION("""COMPUTED_VALUE"""),"21928")</f>
        <v>21928</v>
      </c>
      <c r="B1156" s="2">
        <f>IFERROR(__xludf.DUMMYFUNCTION("""COMPUTED_VALUE"""),21928.0)</f>
        <v>21928</v>
      </c>
      <c r="C1156" s="3" t="str">
        <f>IFERROR(__xludf.DUMMYFUNCTION("""COMPUTED_VALUE"""),"MBC คลองวาฬ ประจวบคีรีขันธ์")</f>
        <v>MBC คลองวาฬ ประจวบคีรีขันธ์</v>
      </c>
      <c r="D1156" s="3" t="str">
        <f>IFERROR(__xludf.DUMMYFUNCTION("""COMPUTED_VALUE"""),"BCM KLONG WAN")</f>
        <v>BCM KLONG WAN</v>
      </c>
      <c r="E1156" s="1" t="str">
        <f>IFERROR(__xludf.DUMMYFUNCTION("""COMPUTED_VALUE"""),"บิ๊กซี MINI")</f>
        <v>บิ๊กซี MINI</v>
      </c>
      <c r="F1156" s="1" t="str">
        <f>IFERROR(__xludf.DUMMYFUNCTION("""COMPUTED_VALUE"""),"250760")</f>
        <v>250760</v>
      </c>
      <c r="G1156" s="1" t="str">
        <f>IFERROR(__xludf.DUMMYFUNCTION("""COMPUTED_VALUE"""),"นายประทวน สาราบรรณ์")</f>
        <v>นายประทวน สาราบรรณ์</v>
      </c>
      <c r="H1156" s="1" t="str">
        <f>IFERROR(__xludf.DUMMYFUNCTION("""COMPUTED_VALUE"""),"311437")</f>
        <v>311437</v>
      </c>
      <c r="I1156" s="1" t="str">
        <f>IFERROR(__xludf.DUMMYFUNCTION("""COMPUTED_VALUE"""),"นายฉัตรทพร รักวิเชียร")</f>
        <v>นายฉัตรทพร รักวิเชียร</v>
      </c>
      <c r="J1156" s="3">
        <f>IFERROR(__xludf.DUMMYFUNCTION("""COMPUTED_VALUE"""),2.0470331E7)</f>
        <v>20470331</v>
      </c>
      <c r="K1156" s="3" t="str">
        <f>IFERROR(__xludf.DUMMYFUNCTION("""COMPUTED_VALUE"""),"นายสมชาย ลักษณะสุวรรณ")</f>
        <v>นายสมชาย ลักษณะสุวรรณ</v>
      </c>
      <c r="L1156" s="1" t="str">
        <f>IFERROR(__xludf.DUMMYFUNCTION("""COMPUTED_VALUE"""),"15 K.Somchai L")</f>
        <v>15 K.Somchai L</v>
      </c>
      <c r="M1156" s="1" t="str">
        <f>IFERROR(__xludf.DUMMYFUNCTION("""COMPUTED_VALUE"""),"0655107372")</f>
        <v>0655107372</v>
      </c>
      <c r="N1156" s="3">
        <f>IFERROR(__xludf.DUMMYFUNCTION("""COMPUTED_VALUE"""),21723.0)</f>
        <v>21723</v>
      </c>
      <c r="O1156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156" s="4">
        <f>IFERROR(__xludf.DUMMYFUNCTION("""COMPUTED_VALUE"""),43754.0)</f>
        <v>43754</v>
      </c>
      <c r="Q1156" s="3" t="str">
        <f>IFERROR(__xludf.DUMMYFUNCTION("""COMPUTED_VALUE"""),"I")</f>
        <v>I</v>
      </c>
      <c r="R1156" s="3" t="str">
        <f>IFERROR(__xludf.DUMMYFUNCTION("""COMPUTED_VALUE"""),"Small Format")</f>
        <v>Small Format</v>
      </c>
      <c r="S1156" s="3" t="str">
        <f>IFERROR(__xludf.DUMMYFUNCTION("""COMPUTED_VALUE"""),"BCM")</f>
        <v>BCM</v>
      </c>
      <c r="T1156" s="3" t="str">
        <f>IFERROR(__xludf.DUMMYFUNCTION("""COMPUTED_VALUE"""),"#N/A")</f>
        <v>#N/A</v>
      </c>
      <c r="U1156" s="3" t="str">
        <f>IFERROR(__xludf.DUMMYFUNCTION("""COMPUTED_VALUE"""),"#N/A")</f>
        <v>#N/A</v>
      </c>
      <c r="V1156" s="3" t="str">
        <f>IFERROR(__xludf.DUMMYFUNCTION("""COMPUTED_VALUE"""),"N")</f>
        <v>N</v>
      </c>
      <c r="W1156" s="3">
        <f>IFERROR(__xludf.DUMMYFUNCTION("""COMPUTED_VALUE"""),211918.0)</f>
        <v>211918</v>
      </c>
      <c r="X1156" s="3" t="str">
        <f>IFERROR(__xludf.DUMMYFUNCTION("""COMPUTED_VALUE"""),"381 หมู่1 ตำบลคลองวาฬ อำเภอเมืองประจวบคีรีขันธ์ จังหวัดประจวบคีรีขันธ์ 77000")</f>
        <v>381 หมู่1 ตำบลคลองวาฬ อำเภอเมืองประจวบคีรีขันธ์ จังหวัดประจวบคีรีขันธ์ 77000</v>
      </c>
      <c r="Y1156" s="3"/>
      <c r="Z1156" s="3" t="str">
        <f>IFERROR(__xludf.DUMMYFUNCTION("""COMPUTED_VALUE"""),"คลองวาฬ")</f>
        <v>คลองวาฬ</v>
      </c>
      <c r="AA1156" s="3" t="str">
        <f>IFERROR(__xludf.DUMMYFUNCTION("""COMPUTED_VALUE"""),"เมือง")</f>
        <v>เมือง</v>
      </c>
      <c r="AB1156" s="3" t="str">
        <f>IFERROR(__xludf.DUMMYFUNCTION("""COMPUTED_VALUE"""),"ประจวบคีรีขันธ์")</f>
        <v>ประจวบคีรีขันธ์</v>
      </c>
      <c r="AC1156" s="3">
        <f>IFERROR(__xludf.DUMMYFUNCTION("""COMPUTED_VALUE"""),77000.0)</f>
        <v>77000</v>
      </c>
      <c r="AD1156" s="3">
        <f>IFERROR(__xludf.DUMMYFUNCTION("""COMPUTED_VALUE"""),11.744177)</f>
        <v>11.744177</v>
      </c>
      <c r="AE1156" s="3">
        <f>IFERROR(__xludf.DUMMYFUNCTION("""COMPUTED_VALUE"""),99.788161)</f>
        <v>99.788161</v>
      </c>
      <c r="AF1156" s="3" t="str">
        <f>IFERROR(__xludf.DUMMYFUNCTION("""COMPUTED_VALUE"""),"MBC คลองวาฬ ประจวบคีรีขันธ์-21928")</f>
        <v>MBC คลองวาฬ ประจวบคีรีขันธ์-21928</v>
      </c>
      <c r="AG1156" s="3" t="str">
        <f>IFERROR(__xludf.DUMMYFUNCTION("""COMPUTED_VALUE"""),"ตะวันตก")</f>
        <v>ตะวันตก</v>
      </c>
      <c r="AH1156" s="3" t="str">
        <f>IFERROR(__xludf.DUMMYFUNCTION("""COMPUTED_VALUE"""),"#N/A")</f>
        <v>#N/A</v>
      </c>
      <c r="AI1156" s="3" t="str">
        <f>IFERROR(__xludf.DUMMYFUNCTION("""COMPUTED_VALUE"""),"Out of warranty")</f>
        <v>Out of warranty</v>
      </c>
      <c r="AJ1156" s="3">
        <f>IFERROR(__xludf.DUMMYFUNCTION("""COMPUTED_VALUE"""),76.0)</f>
        <v>76</v>
      </c>
      <c r="AK1156" s="3" t="str">
        <f>IFERROR(__xludf.DUMMYFUNCTION("""COMPUTED_VALUE"""),"MMS14")</f>
        <v>MMS14</v>
      </c>
      <c r="AL1156" s="3"/>
    </row>
    <row r="1157" ht="15.75" customHeight="1">
      <c r="A1157" s="1" t="str">
        <f>IFERROR(__xludf.DUMMYFUNCTION("""COMPUTED_VALUE"""),"21929")</f>
        <v>21929</v>
      </c>
      <c r="B1157" s="2">
        <f>IFERROR(__xludf.DUMMYFUNCTION("""COMPUTED_VALUE"""),21929.0)</f>
        <v>21929</v>
      </c>
      <c r="C1157" s="3" t="str">
        <f>IFERROR(__xludf.DUMMYFUNCTION("""COMPUTED_VALUE"""),"MBC หนองแขวะ ชลบุรี")</f>
        <v>MBC หนองแขวะ ชลบุรี</v>
      </c>
      <c r="D1157" s="3" t="str">
        <f>IFERROR(__xludf.DUMMYFUNCTION("""COMPUTED_VALUE"""),"BCM NONG KWAE, CHONBURI")</f>
        <v>BCM NONG KWAE, CHONBURI</v>
      </c>
      <c r="E1157" s="1" t="str">
        <f>IFERROR(__xludf.DUMMYFUNCTION("""COMPUTED_VALUE"""),"บิ๊กซี MINI")</f>
        <v>บิ๊กซี MINI</v>
      </c>
      <c r="F1157" s="1" t="str">
        <f>IFERROR(__xludf.DUMMYFUNCTION("""COMPUTED_VALUE"""),"221716")</f>
        <v>221716</v>
      </c>
      <c r="G1157" s="1" t="str">
        <f>IFERROR(__xludf.DUMMYFUNCTION("""COMPUTED_VALUE"""),"น.ส.เบญจพร โพธิสาร")</f>
        <v>น.ส.เบญจพร โพธิสาร</v>
      </c>
      <c r="H1157" s="1" t="str">
        <f>IFERROR(__xludf.DUMMYFUNCTION("""COMPUTED_VALUE"""),"291061")</f>
        <v>291061</v>
      </c>
      <c r="I1157" s="1" t="str">
        <f>IFERROR(__xludf.DUMMYFUNCTION("""COMPUTED_VALUE"""),"นายสมศักดิ์ เสียงก้อง")</f>
        <v>นายสมศักดิ์ เสียงก้อง</v>
      </c>
      <c r="J1157" s="3">
        <f>IFERROR(__xludf.DUMMYFUNCTION("""COMPUTED_VALUE"""),296942.0)</f>
        <v>296942</v>
      </c>
      <c r="K1157" s="3" t="str">
        <f>IFERROR(__xludf.DUMMYFUNCTION("""COMPUTED_VALUE"""),"นายปิยะ รักษากิจ")</f>
        <v>นายปิยะ รักษากิจ</v>
      </c>
      <c r="L1157" s="1" t="str">
        <f>IFERROR(__xludf.DUMMYFUNCTION("""COMPUTED_VALUE"""),"07 K.Piya R.")</f>
        <v>07 K.Piya R.</v>
      </c>
      <c r="M1157" s="1" t="str">
        <f>IFERROR(__xludf.DUMMYFUNCTION("""COMPUTED_VALUE"""),"097-919-5476")</f>
        <v>097-919-5476</v>
      </c>
      <c r="N1157" s="3">
        <f>IFERROR(__xludf.DUMMYFUNCTION("""COMPUTED_VALUE"""),21332.0)</f>
        <v>21332</v>
      </c>
      <c r="O1157" s="3" t="str">
        <f>IFERROR(__xludf.DUMMYFUNCTION("""COMPUTED_VALUE"""),"MBC BCP อ่อนนุช 17/1")</f>
        <v>MBC BCP อ่อนนุช 17/1</v>
      </c>
      <c r="P1157" s="4">
        <f>IFERROR(__xludf.DUMMYFUNCTION("""COMPUTED_VALUE"""),43755.0)</f>
        <v>43755</v>
      </c>
      <c r="Q1157" s="3" t="str">
        <f>IFERROR(__xludf.DUMMYFUNCTION("""COMPUTED_VALUE"""),"A")</f>
        <v>A</v>
      </c>
      <c r="R1157" s="3" t="str">
        <f>IFERROR(__xludf.DUMMYFUNCTION("""COMPUTED_VALUE"""),"Small Format")</f>
        <v>Small Format</v>
      </c>
      <c r="S1157" s="3" t="str">
        <f>IFERROR(__xludf.DUMMYFUNCTION("""COMPUTED_VALUE"""),"BCM")</f>
        <v>BCM</v>
      </c>
      <c r="T1157" s="3" t="str">
        <f>IFERROR(__xludf.DUMMYFUNCTION("""COMPUTED_VALUE"""),"#N/A")</f>
        <v>#N/A</v>
      </c>
      <c r="U1157" s="3" t="str">
        <f>IFERROR(__xludf.DUMMYFUNCTION("""COMPUTED_VALUE"""),"#N/A")</f>
        <v>#N/A</v>
      </c>
      <c r="V1157" s="3" t="str">
        <f>IFERROR(__xludf.DUMMYFUNCTION("""COMPUTED_VALUE"""),"N")</f>
        <v>N</v>
      </c>
      <c r="W1157" s="3">
        <f>IFERROR(__xludf.DUMMYFUNCTION("""COMPUTED_VALUE"""),211905.0)</f>
        <v>211905</v>
      </c>
      <c r="X1157" s="3" t="str">
        <f>IFERROR(__xludf.DUMMYFUNCTION("""COMPUTED_VALUE"""),"57/3 หมู่4 ตำบลบึง อำเภอศรีราชา จังหวัดชลบุรี 20230")</f>
        <v>57/3 หมู่4 ตำบลบึง อำเภอศรีราชา จังหวัดชลบุรี 20230</v>
      </c>
      <c r="Y1157" s="3"/>
      <c r="Z1157" s="3" t="str">
        <f>IFERROR(__xludf.DUMMYFUNCTION("""COMPUTED_VALUE"""),"บึง")</f>
        <v>บึง</v>
      </c>
      <c r="AA1157" s="3" t="str">
        <f>IFERROR(__xludf.DUMMYFUNCTION("""COMPUTED_VALUE"""),"ศรีราชา")</f>
        <v>ศรีราชา</v>
      </c>
      <c r="AB1157" s="3" t="str">
        <f>IFERROR(__xludf.DUMMYFUNCTION("""COMPUTED_VALUE"""),"ชลบุรี")</f>
        <v>ชลบุรี</v>
      </c>
      <c r="AC1157" s="3">
        <f>IFERROR(__xludf.DUMMYFUNCTION("""COMPUTED_VALUE"""),20230.0)</f>
        <v>20230</v>
      </c>
      <c r="AD1157" s="3">
        <f>IFERROR(__xludf.DUMMYFUNCTION("""COMPUTED_VALUE"""),13.057768)</f>
        <v>13.057768</v>
      </c>
      <c r="AE1157" s="3">
        <f>IFERROR(__xludf.DUMMYFUNCTION("""COMPUTED_VALUE"""),100.984307)</f>
        <v>100.984307</v>
      </c>
      <c r="AF1157" s="3" t="str">
        <f>IFERROR(__xludf.DUMMYFUNCTION("""COMPUTED_VALUE"""),"MBC หนองแขวะ ชลบุรี-21929")</f>
        <v>MBC หนองแขวะ ชลบุรี-21929</v>
      </c>
      <c r="AG1157" s="3" t="str">
        <f>IFERROR(__xludf.DUMMYFUNCTION("""COMPUTED_VALUE"""),"ตะวันออก")</f>
        <v>ตะวันออก</v>
      </c>
      <c r="AH1157" s="3" t="str">
        <f>IFERROR(__xludf.DUMMYFUNCTION("""COMPUTED_VALUE"""),"#N/A")</f>
        <v>#N/A</v>
      </c>
      <c r="AI1157" s="3" t="str">
        <f>IFERROR(__xludf.DUMMYFUNCTION("""COMPUTED_VALUE"""),"Out of warranty")</f>
        <v>Out of warranty</v>
      </c>
      <c r="AJ1157" s="3">
        <f>IFERROR(__xludf.DUMMYFUNCTION("""COMPUTED_VALUE"""),76.0)</f>
        <v>76</v>
      </c>
      <c r="AK1157" s="3" t="str">
        <f>IFERROR(__xludf.DUMMYFUNCTION("""COMPUTED_VALUE"""),"MMS06")</f>
        <v>MMS06</v>
      </c>
      <c r="AL1157" s="3"/>
    </row>
    <row r="1158" ht="15.75" customHeight="1">
      <c r="A1158" s="1" t="str">
        <f>IFERROR(__xludf.DUMMYFUNCTION("""COMPUTED_VALUE"""),"21930")</f>
        <v>21930</v>
      </c>
      <c r="B1158" s="2">
        <f>IFERROR(__xludf.DUMMYFUNCTION("""COMPUTED_VALUE"""),21930.0)</f>
        <v>21930</v>
      </c>
      <c r="C1158" s="3" t="str">
        <f>IFERROR(__xludf.DUMMYFUNCTION("""COMPUTED_VALUE"""),"MBC บางขนุน นนทบุรี")</f>
        <v>MBC บางขนุน นนทบุรี</v>
      </c>
      <c r="D1158" s="3" t="str">
        <f>IFERROR(__xludf.DUMMYFUNCTION("""COMPUTED_VALUE"""),"BCM BANG KHANUN, NONTHABURI")</f>
        <v>BCM BANG KHANUN, NONTHABURI</v>
      </c>
      <c r="E1158" s="1" t="str">
        <f>IFERROR(__xludf.DUMMYFUNCTION("""COMPUTED_VALUE"""),"บิ๊กซี MINI")</f>
        <v>บิ๊กซี MINI</v>
      </c>
      <c r="F1158" s="1" t="str">
        <f>IFERROR(__xludf.DUMMYFUNCTION("""COMPUTED_VALUE"""),"291008")</f>
        <v>291008</v>
      </c>
      <c r="G1158" s="1" t="str">
        <f>IFERROR(__xludf.DUMMYFUNCTION("""COMPUTED_VALUE"""),"น.ส.รัชดาพร อีศรัตน์")</f>
        <v>น.ส.รัชดาพร อีศรัตน์</v>
      </c>
      <c r="H1158" s="1" t="str">
        <f>IFERROR(__xludf.DUMMYFUNCTION("""COMPUTED_VALUE"""),"034068")</f>
        <v>034068</v>
      </c>
      <c r="I1158" s="1" t="str">
        <f>IFERROR(__xludf.DUMMYFUNCTION("""COMPUTED_VALUE"""),"นายสมศักดิ์ ฐานทองดี")</f>
        <v>นายสมศักดิ์ ฐานทองดี</v>
      </c>
      <c r="J1158" s="3">
        <f>IFERROR(__xludf.DUMMYFUNCTION("""COMPUTED_VALUE"""),296608.0)</f>
        <v>296608</v>
      </c>
      <c r="K1158" s="3" t="str">
        <f>IFERROR(__xludf.DUMMYFUNCTION("""COMPUTED_VALUE"""),"นายภาคภูมิ เพ็ชรนิล")</f>
        <v>นายภาคภูมิ เพ็ชรนิล</v>
      </c>
      <c r="L1158" s="1" t="str">
        <f>IFERROR(__xludf.DUMMYFUNCTION("""COMPUTED_VALUE"""),"10 K.Phakphoom P.")</f>
        <v>10 K.Phakphoom P.</v>
      </c>
      <c r="M1158" s="1" t="str">
        <f>IFERROR(__xludf.DUMMYFUNCTION("""COMPUTED_VALUE"""),"063-8955329")</f>
        <v>063-8955329</v>
      </c>
      <c r="N1158" s="3">
        <f>IFERROR(__xludf.DUMMYFUNCTION("""COMPUTED_VALUE"""),22584.0)</f>
        <v>22584</v>
      </c>
      <c r="O1158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158" s="4">
        <f>IFERROR(__xludf.DUMMYFUNCTION("""COMPUTED_VALUE"""),43756.0)</f>
        <v>43756</v>
      </c>
      <c r="Q1158" s="3" t="str">
        <f>IFERROR(__xludf.DUMMYFUNCTION("""COMPUTED_VALUE"""),"A")</f>
        <v>A</v>
      </c>
      <c r="R1158" s="3" t="str">
        <f>IFERROR(__xludf.DUMMYFUNCTION("""COMPUTED_VALUE"""),"Small Format")</f>
        <v>Small Format</v>
      </c>
      <c r="S1158" s="3" t="str">
        <f>IFERROR(__xludf.DUMMYFUNCTION("""COMPUTED_VALUE"""),"BCM")</f>
        <v>BCM</v>
      </c>
      <c r="T1158" s="3" t="str">
        <f>IFERROR(__xludf.DUMMYFUNCTION("""COMPUTED_VALUE"""),"#N/A")</f>
        <v>#N/A</v>
      </c>
      <c r="U1158" s="3" t="str">
        <f>IFERROR(__xludf.DUMMYFUNCTION("""COMPUTED_VALUE"""),"#N/A")</f>
        <v>#N/A</v>
      </c>
      <c r="V1158" s="3" t="str">
        <f>IFERROR(__xludf.DUMMYFUNCTION("""COMPUTED_VALUE"""),"N")</f>
        <v>N</v>
      </c>
      <c r="W1158" s="3">
        <f>IFERROR(__xludf.DUMMYFUNCTION("""COMPUTED_VALUE"""),211941.0)</f>
        <v>211941</v>
      </c>
      <c r="X1158" s="3" t="str">
        <f>IFERROR(__xludf.DUMMYFUNCTION("""COMPUTED_VALUE"""),"279/10 หมู่2 ตำบลบางขนุน อำเภอบางกรวย จังหวัดนนทบุรี 11130")</f>
        <v>279/10 หมู่2 ตำบลบางขนุน อำเภอบางกรวย จังหวัดนนทบุรี 11130</v>
      </c>
      <c r="Y1158" s="3"/>
      <c r="Z1158" s="3" t="str">
        <f>IFERROR(__xludf.DUMMYFUNCTION("""COMPUTED_VALUE"""),"บางขนุน")</f>
        <v>บางขนุน</v>
      </c>
      <c r="AA1158" s="3" t="str">
        <f>IFERROR(__xludf.DUMMYFUNCTION("""COMPUTED_VALUE"""),"บางกรวย")</f>
        <v>บางกรวย</v>
      </c>
      <c r="AB1158" s="3" t="str">
        <f>IFERROR(__xludf.DUMMYFUNCTION("""COMPUTED_VALUE"""),"นนทบุรี")</f>
        <v>นนทบุรี</v>
      </c>
      <c r="AC1158" s="3">
        <f>IFERROR(__xludf.DUMMYFUNCTION("""COMPUTED_VALUE"""),11130.0)</f>
        <v>11130</v>
      </c>
      <c r="AD1158" s="3">
        <f>IFERROR(__xludf.DUMMYFUNCTION("""COMPUTED_VALUE"""),13.816396)</f>
        <v>13.816396</v>
      </c>
      <c r="AE1158" s="3">
        <f>IFERROR(__xludf.DUMMYFUNCTION("""COMPUTED_VALUE"""),100.460138)</f>
        <v>100.460138</v>
      </c>
      <c r="AF1158" s="3" t="str">
        <f>IFERROR(__xludf.DUMMYFUNCTION("""COMPUTED_VALUE"""),"MBC บางขนุน นนทบุรี-21930")</f>
        <v>MBC บางขนุน นนทบุรี-21930</v>
      </c>
      <c r="AG1158" s="3" t="str">
        <f>IFERROR(__xludf.DUMMYFUNCTION("""COMPUTED_VALUE"""),"กลาง")</f>
        <v>กลาง</v>
      </c>
      <c r="AH1158" s="3" t="str">
        <f>IFERROR(__xludf.DUMMYFUNCTION("""COMPUTED_VALUE"""),"#N/A")</f>
        <v>#N/A</v>
      </c>
      <c r="AI1158" s="3" t="str">
        <f>IFERROR(__xludf.DUMMYFUNCTION("""COMPUTED_VALUE"""),"Out of warranty")</f>
        <v>Out of warranty</v>
      </c>
      <c r="AJ1158" s="3">
        <f>IFERROR(__xludf.DUMMYFUNCTION("""COMPUTED_VALUE"""),76.0)</f>
        <v>76</v>
      </c>
      <c r="AK1158" s="3" t="str">
        <f>IFERROR(__xludf.DUMMYFUNCTION("""COMPUTED_VALUE"""),"MMS01")</f>
        <v>MMS01</v>
      </c>
      <c r="AL1158" s="3"/>
    </row>
    <row r="1159" ht="15.75" customHeight="1">
      <c r="A1159" s="1" t="str">
        <f>IFERROR(__xludf.DUMMYFUNCTION("""COMPUTED_VALUE"""),"21931")</f>
        <v>21931</v>
      </c>
      <c r="B1159" s="2">
        <f>IFERROR(__xludf.DUMMYFUNCTION("""COMPUTED_VALUE"""),21931.0)</f>
        <v>21931</v>
      </c>
      <c r="C1159" s="3" t="str">
        <f>IFERROR(__xludf.DUMMYFUNCTION("""COMPUTED_VALUE"""),"MBC แหลมแท่น ชลบุรี")</f>
        <v>MBC แหลมแท่น ชลบุรี</v>
      </c>
      <c r="D1159" s="3" t="str">
        <f>IFERROR(__xludf.DUMMYFUNCTION("""COMPUTED_VALUE"""),"BCM LAEM THAEN,CHONBURI")</f>
        <v>BCM LAEM THAEN,CHONBURI</v>
      </c>
      <c r="E1159" s="1" t="str">
        <f>IFERROR(__xludf.DUMMYFUNCTION("""COMPUTED_VALUE"""),"บิ๊กซี MINI")</f>
        <v>บิ๊กซี MINI</v>
      </c>
      <c r="F1159" s="1" t="str">
        <f>IFERROR(__xludf.DUMMYFUNCTION("""COMPUTED_VALUE"""),"221716")</f>
        <v>221716</v>
      </c>
      <c r="G1159" s="1" t="str">
        <f>IFERROR(__xludf.DUMMYFUNCTION("""COMPUTED_VALUE"""),"น.ส.เบญจพร โพธิสาร")</f>
        <v>น.ส.เบญจพร โพธิสาร</v>
      </c>
      <c r="H1159" s="1" t="str">
        <f>IFERROR(__xludf.DUMMYFUNCTION("""COMPUTED_VALUE"""),"476018")</f>
        <v>476018</v>
      </c>
      <c r="I1159" s="1" t="str">
        <f>IFERROR(__xludf.DUMMYFUNCTION("""COMPUTED_VALUE"""),"นายศราวุฒิ ชูพันดุง")</f>
        <v>นายศราวุฒิ ชูพันดุง</v>
      </c>
      <c r="J1159" s="3">
        <f>IFERROR(__xludf.DUMMYFUNCTION("""COMPUTED_VALUE"""),1.3461215E7)</f>
        <v>13461215</v>
      </c>
      <c r="K1159" s="3" t="str">
        <f>IFERROR(__xludf.DUMMYFUNCTION("""COMPUTED_VALUE"""),"นายธีรภัทร สังข์เงิน")</f>
        <v>นายธีรภัทร สังข์เงิน</v>
      </c>
      <c r="L1159" s="1" t="str">
        <f>IFERROR(__xludf.DUMMYFUNCTION("""COMPUTED_VALUE"""),"06 K.Teerapat")</f>
        <v>06 K.Teerapat</v>
      </c>
      <c r="M1159" s="1" t="str">
        <f>IFERROR(__xludf.DUMMYFUNCTION("""COMPUTED_VALUE"""),"063-601-6803")</f>
        <v>063-601-6803</v>
      </c>
      <c r="N1159" s="3">
        <f>IFERROR(__xludf.DUMMYFUNCTION("""COMPUTED_VALUE"""),22115.0)</f>
        <v>22115</v>
      </c>
      <c r="O1159" s="3" t="str">
        <f>IFERROR(__xludf.DUMMYFUNCTION("""COMPUTED_VALUE"""),"MBC เลี่ยงหนองมน ชลบุรี")</f>
        <v>MBC เลี่ยงหนองมน ชลบุรี</v>
      </c>
      <c r="P1159" s="4">
        <f>IFERROR(__xludf.DUMMYFUNCTION("""COMPUTED_VALUE"""),43758.0)</f>
        <v>43758</v>
      </c>
      <c r="Q1159" s="3" t="str">
        <f>IFERROR(__xludf.DUMMYFUNCTION("""COMPUTED_VALUE"""),"A")</f>
        <v>A</v>
      </c>
      <c r="R1159" s="3" t="str">
        <f>IFERROR(__xludf.DUMMYFUNCTION("""COMPUTED_VALUE"""),"Small Format")</f>
        <v>Small Format</v>
      </c>
      <c r="S1159" s="3" t="str">
        <f>IFERROR(__xludf.DUMMYFUNCTION("""COMPUTED_VALUE"""),"BCM")</f>
        <v>BCM</v>
      </c>
      <c r="T1159" s="3" t="str">
        <f>IFERROR(__xludf.DUMMYFUNCTION("""COMPUTED_VALUE"""),"#N/A")</f>
        <v>#N/A</v>
      </c>
      <c r="U1159" s="3" t="str">
        <f>IFERROR(__xludf.DUMMYFUNCTION("""COMPUTED_VALUE"""),"#N/A")</f>
        <v>#N/A</v>
      </c>
      <c r="V1159" s="3" t="str">
        <f>IFERROR(__xludf.DUMMYFUNCTION("""COMPUTED_VALUE"""),"N")</f>
        <v>N</v>
      </c>
      <c r="W1159" s="3">
        <f>IFERROR(__xludf.DUMMYFUNCTION("""COMPUTED_VALUE"""),211956.0)</f>
        <v>211956</v>
      </c>
      <c r="X1159" s="3" t="str">
        <f>IFERROR(__xludf.DUMMYFUNCTION("""COMPUTED_VALUE"""),"162 ถนนบางแสนสาย1 ตำบลแสนสุข อำเภอเมืองชลบุรี จังหวัดชลบุรี 20130")</f>
        <v>162 ถนนบางแสนสาย1 ตำบลแสนสุข อำเภอเมืองชลบุรี จังหวัดชลบุรี 20130</v>
      </c>
      <c r="Y1159" s="3" t="str">
        <f>IFERROR(__xludf.DUMMYFUNCTION("""COMPUTED_VALUE"""),"ถนนบางแสนสาย1")</f>
        <v>ถนนบางแสนสาย1</v>
      </c>
      <c r="Z1159" s="3" t="str">
        <f>IFERROR(__xludf.DUMMYFUNCTION("""COMPUTED_VALUE"""),"แสนสุข")</f>
        <v>แสนสุข</v>
      </c>
      <c r="AA1159" s="3" t="str">
        <f>IFERROR(__xludf.DUMMYFUNCTION("""COMPUTED_VALUE"""),"เมือง")</f>
        <v>เมือง</v>
      </c>
      <c r="AB1159" s="3" t="str">
        <f>IFERROR(__xludf.DUMMYFUNCTION("""COMPUTED_VALUE"""),"ชลบุรี")</f>
        <v>ชลบุรี</v>
      </c>
      <c r="AC1159" s="3">
        <f>IFERROR(__xludf.DUMMYFUNCTION("""COMPUTED_VALUE"""),20130.0)</f>
        <v>20130</v>
      </c>
      <c r="AD1159" s="3">
        <f>IFERROR(__xludf.DUMMYFUNCTION("""COMPUTED_VALUE"""),13.303056)</f>
        <v>13.303056</v>
      </c>
      <c r="AE1159" s="3">
        <f>IFERROR(__xludf.DUMMYFUNCTION("""COMPUTED_VALUE"""),100.93228)</f>
        <v>100.93228</v>
      </c>
      <c r="AF1159" s="3" t="str">
        <f>IFERROR(__xludf.DUMMYFUNCTION("""COMPUTED_VALUE"""),"MBC แหลมแท่น ชลบุรี-21931")</f>
        <v>MBC แหลมแท่น ชลบุรี-21931</v>
      </c>
      <c r="AG1159" s="3" t="str">
        <f>IFERROR(__xludf.DUMMYFUNCTION("""COMPUTED_VALUE"""),"ตะวันออก")</f>
        <v>ตะวันออก</v>
      </c>
      <c r="AH1159" s="3" t="str">
        <f>IFERROR(__xludf.DUMMYFUNCTION("""COMPUTED_VALUE"""),"#N/A")</f>
        <v>#N/A</v>
      </c>
      <c r="AI1159" s="3" t="str">
        <f>IFERROR(__xludf.DUMMYFUNCTION("""COMPUTED_VALUE"""),"Out of warranty")</f>
        <v>Out of warranty</v>
      </c>
      <c r="AJ1159" s="3">
        <f>IFERROR(__xludf.DUMMYFUNCTION("""COMPUTED_VALUE"""),76.0)</f>
        <v>76</v>
      </c>
      <c r="AK1159" s="3" t="str">
        <f>IFERROR(__xludf.DUMMYFUNCTION("""COMPUTED_VALUE"""),"MMS06")</f>
        <v>MMS06</v>
      </c>
      <c r="AL1159" s="3"/>
    </row>
    <row r="1160" ht="15.75" customHeight="1">
      <c r="A1160" s="1" t="str">
        <f>IFERROR(__xludf.DUMMYFUNCTION("""COMPUTED_VALUE"""),"21932")</f>
        <v>21932</v>
      </c>
      <c r="B1160" s="2">
        <f>IFERROR(__xludf.DUMMYFUNCTION("""COMPUTED_VALUE"""),21932.0)</f>
        <v>21932</v>
      </c>
      <c r="C1160" s="3" t="str">
        <f>IFERROR(__xludf.DUMMYFUNCTION("""COMPUTED_VALUE"""),"MBC เอสโซ่หนองเบน นครสวรรค์")</f>
        <v>MBC เอสโซ่หนองเบน นครสวรรค์</v>
      </c>
      <c r="D1160" s="3" t="str">
        <f>IFERROR(__xludf.DUMMYFUNCTION("""COMPUTED_VALUE"""),"BCM ESSO NONG BEN")</f>
        <v>BCM ESSO NONG BEN</v>
      </c>
      <c r="E1160" s="1" t="str">
        <f>IFERROR(__xludf.DUMMYFUNCTION("""COMPUTED_VALUE"""),"บิ๊กซี MINI")</f>
        <v>บิ๊กซี MINI</v>
      </c>
      <c r="F1160" s="1" t="str">
        <f>IFERROR(__xludf.DUMMYFUNCTION("""COMPUTED_VALUE"""),"296229")</f>
        <v>296229</v>
      </c>
      <c r="G1160" s="1" t="str">
        <f>IFERROR(__xludf.DUMMYFUNCTION("""COMPUTED_VALUE"""),"นายทนงศักดิ์ บุญมา")</f>
        <v>นายทนงศักดิ์ บุญมา</v>
      </c>
      <c r="H1160" s="1" t="str">
        <f>IFERROR(__xludf.DUMMYFUNCTION("""COMPUTED_VALUE"""),"318186")</f>
        <v>318186</v>
      </c>
      <c r="I1160" s="1" t="str">
        <f>IFERROR(__xludf.DUMMYFUNCTION("""COMPUTED_VALUE"""),"น.ส.พนมวัลย์ เรืองรัตน์")</f>
        <v>น.ส.พนมวัลย์ เรืองรัตน์</v>
      </c>
      <c r="J1160" s="3">
        <f>IFERROR(__xludf.DUMMYFUNCTION("""COMPUTED_VALUE"""),46214.0)</f>
        <v>46214</v>
      </c>
      <c r="K1160" s="3" t="str">
        <f>IFERROR(__xludf.DUMMYFUNCTION("""COMPUTED_VALUE"""),"นายศักดิ์ชัย เด็ดดอกฟ้า")</f>
        <v>นายศักดิ์ชัย เด็ดดอกฟ้า</v>
      </c>
      <c r="L1160" s="1" t="str">
        <f>IFERROR(__xludf.DUMMYFUNCTION("""COMPUTED_VALUE"""),"02 K.Sakchai D")</f>
        <v>02 K.Sakchai D</v>
      </c>
      <c r="M1160" s="1" t="str">
        <f>IFERROR(__xludf.DUMMYFUNCTION("""COMPUTED_VALUE"""),"065-510-7376")</f>
        <v>065-510-7376</v>
      </c>
      <c r="N1160" s="3">
        <f>IFERROR(__xludf.DUMMYFUNCTION("""COMPUTED_VALUE"""),21714.0)</f>
        <v>21714</v>
      </c>
      <c r="O1160" s="3" t="str">
        <f>IFERROR(__xludf.DUMMYFUNCTION("""COMPUTED_VALUE"""),"MBC เอสโซ่ วัดโบสถ์")</f>
        <v>MBC เอสโซ่ วัดโบสถ์</v>
      </c>
      <c r="P1160" s="4">
        <f>IFERROR(__xludf.DUMMYFUNCTION("""COMPUTED_VALUE"""),43759.0)</f>
        <v>43759</v>
      </c>
      <c r="Q1160" s="3" t="str">
        <f>IFERROR(__xludf.DUMMYFUNCTION("""COMPUTED_VALUE"""),"A")</f>
        <v>A</v>
      </c>
      <c r="R1160" s="3" t="str">
        <f>IFERROR(__xludf.DUMMYFUNCTION("""COMPUTED_VALUE"""),"Small Format")</f>
        <v>Small Format</v>
      </c>
      <c r="S1160" s="3" t="str">
        <f>IFERROR(__xludf.DUMMYFUNCTION("""COMPUTED_VALUE"""),"BCM")</f>
        <v>BCM</v>
      </c>
      <c r="T1160" s="3" t="str">
        <f>IFERROR(__xludf.DUMMYFUNCTION("""COMPUTED_VALUE"""),"#N/A")</f>
        <v>#N/A</v>
      </c>
      <c r="U1160" s="3" t="str">
        <f>IFERROR(__xludf.DUMMYFUNCTION("""COMPUTED_VALUE"""),"#N/A")</f>
        <v>#N/A</v>
      </c>
      <c r="V1160" s="3" t="str">
        <f>IFERROR(__xludf.DUMMYFUNCTION("""COMPUTED_VALUE"""),"N")</f>
        <v>N</v>
      </c>
      <c r="W1160" s="3">
        <f>IFERROR(__xludf.DUMMYFUNCTION("""COMPUTED_VALUE"""),210053.0)</f>
        <v>210053</v>
      </c>
      <c r="X1160" s="3" t="str">
        <f>IFERROR(__xludf.DUMMYFUNCTION("""COMPUTED_VALUE"""),"12/2 หมู่7 ตำบลหนองกรด อำเภอเมืองนครสวรรค์ จังหวัดนครสวรรค์ 60240")</f>
        <v>12/2 หมู่7 ตำบลหนองกรด อำเภอเมืองนครสวรรค์ จังหวัดนครสวรรค์ 60240</v>
      </c>
      <c r="Y1160" s="3"/>
      <c r="Z1160" s="3" t="str">
        <f>IFERROR(__xludf.DUMMYFUNCTION("""COMPUTED_VALUE"""),"หนองกรด")</f>
        <v>หนองกรด</v>
      </c>
      <c r="AA1160" s="3" t="str">
        <f>IFERROR(__xludf.DUMMYFUNCTION("""COMPUTED_VALUE"""),"เมือง")</f>
        <v>เมือง</v>
      </c>
      <c r="AB1160" s="3" t="str">
        <f>IFERROR(__xludf.DUMMYFUNCTION("""COMPUTED_VALUE"""),"นครสวรรค์")</f>
        <v>นครสวรรค์</v>
      </c>
      <c r="AC1160" s="3">
        <f>IFERROR(__xludf.DUMMYFUNCTION("""COMPUTED_VALUE"""),60240.0)</f>
        <v>60240</v>
      </c>
      <c r="AD1160" s="3">
        <f>IFERROR(__xludf.DUMMYFUNCTION("""COMPUTED_VALUE"""),15.761861)</f>
        <v>15.761861</v>
      </c>
      <c r="AE1160" s="3">
        <f>IFERROR(__xludf.DUMMYFUNCTION("""COMPUTED_VALUE"""),99.992542)</f>
        <v>99.992542</v>
      </c>
      <c r="AF1160" s="3" t="str">
        <f>IFERROR(__xludf.DUMMYFUNCTION("""COMPUTED_VALUE"""),"MBC เอสโซ่หนองเบน นครสวรรค์-21932")</f>
        <v>MBC เอสโซ่หนองเบน นครสวรรค์-21932</v>
      </c>
      <c r="AG1160" s="3" t="str">
        <f>IFERROR(__xludf.DUMMYFUNCTION("""COMPUTED_VALUE"""),"กลาง")</f>
        <v>กลาง</v>
      </c>
      <c r="AH1160" s="3" t="str">
        <f>IFERROR(__xludf.DUMMYFUNCTION("""COMPUTED_VALUE"""),"#N/A")</f>
        <v>#N/A</v>
      </c>
      <c r="AI1160" s="3" t="str">
        <f>IFERROR(__xludf.DUMMYFUNCTION("""COMPUTED_VALUE"""),"Out of warranty")</f>
        <v>Out of warranty</v>
      </c>
      <c r="AJ1160" s="3">
        <f>IFERROR(__xludf.DUMMYFUNCTION("""COMPUTED_VALUE"""),75.0)</f>
        <v>75</v>
      </c>
      <c r="AK1160" s="3" t="str">
        <f>IFERROR(__xludf.DUMMYFUNCTION("""COMPUTED_VALUE"""),"MMS09")</f>
        <v>MMS09</v>
      </c>
      <c r="AL1160" s="3"/>
    </row>
    <row r="1161" ht="15.75" customHeight="1">
      <c r="A1161" s="1" t="str">
        <f>IFERROR(__xludf.DUMMYFUNCTION("""COMPUTED_VALUE"""),"21933")</f>
        <v>21933</v>
      </c>
      <c r="B1161" s="2">
        <f>IFERROR(__xludf.DUMMYFUNCTION("""COMPUTED_VALUE"""),21933.0)</f>
        <v>21933</v>
      </c>
      <c r="C1161" s="3" t="str">
        <f>IFERROR(__xludf.DUMMYFUNCTION("""COMPUTED_VALUE"""),"MBC ซอยสวนส้ม สมุทรสาคร")</f>
        <v>MBC ซอยสวนส้ม สมุทรสาคร</v>
      </c>
      <c r="D1161" s="3" t="str">
        <f>IFERROR(__xludf.DUMMYFUNCTION("""COMPUTED_VALUE"""),"BCM SOI SUAN SOM")</f>
        <v>BCM SOI SUAN SOM</v>
      </c>
      <c r="E1161" s="1" t="str">
        <f>IFERROR(__xludf.DUMMYFUNCTION("""COMPUTED_VALUE"""),"บิ๊กซี MINI")</f>
        <v>บิ๊กซี MINI</v>
      </c>
      <c r="F1161" s="1" t="str">
        <f>IFERROR(__xludf.DUMMYFUNCTION("""COMPUTED_VALUE"""),"2083447")</f>
        <v>2083447</v>
      </c>
      <c r="G1161" s="1" t="str">
        <f>IFERROR(__xludf.DUMMYFUNCTION("""COMPUTED_VALUE"""),"นายอนุกูล ศรีลัดดา")</f>
        <v>นายอนุกูล ศรีลัดดา</v>
      </c>
      <c r="H1161" s="1" t="str">
        <f>IFERROR(__xludf.DUMMYFUNCTION("""COMPUTED_VALUE"""),"2455053")</f>
        <v>2455053</v>
      </c>
      <c r="I1161" s="1" t="str">
        <f>IFERROR(__xludf.DUMMYFUNCTION("""COMPUTED_VALUE"""),"นายพันธมิตร โพธิ")</f>
        <v>นายพันธมิตร โพธิ</v>
      </c>
      <c r="J1161" s="3">
        <f>IFERROR(__xludf.DUMMYFUNCTION("""COMPUTED_VALUE"""),2451655.0)</f>
        <v>2451655</v>
      </c>
      <c r="K1161" s="3" t="str">
        <f>IFERROR(__xludf.DUMMYFUNCTION("""COMPUTED_VALUE"""),"นายวิษณุพงษ์ ชินบุตร")</f>
        <v>นายวิษณุพงษ์ ชินบุตร</v>
      </c>
      <c r="L1161" s="1" t="str">
        <f>IFERROR(__xludf.DUMMYFUNCTION("""COMPUTED_VALUE"""),"13 K.Wisanupong Ch")</f>
        <v>13 K.Wisanupong Ch</v>
      </c>
      <c r="M1161" s="1" t="str">
        <f>IFERROR(__xludf.DUMMYFUNCTION("""COMPUTED_VALUE"""),"0843374693")</f>
        <v>0843374693</v>
      </c>
      <c r="N1161" s="3">
        <f>IFERROR(__xludf.DUMMYFUNCTION("""COMPUTED_VALUE"""),22729.0)</f>
        <v>22729</v>
      </c>
      <c r="O1161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161" s="4">
        <f>IFERROR(__xludf.DUMMYFUNCTION("""COMPUTED_VALUE"""),43759.0)</f>
        <v>43759</v>
      </c>
      <c r="Q1161" s="3" t="str">
        <f>IFERROR(__xludf.DUMMYFUNCTION("""COMPUTED_VALUE"""),"A")</f>
        <v>A</v>
      </c>
      <c r="R1161" s="3" t="str">
        <f>IFERROR(__xludf.DUMMYFUNCTION("""COMPUTED_VALUE"""),"Small Format")</f>
        <v>Small Format</v>
      </c>
      <c r="S1161" s="3" t="str">
        <f>IFERROR(__xludf.DUMMYFUNCTION("""COMPUTED_VALUE"""),"BCM")</f>
        <v>BCM</v>
      </c>
      <c r="T1161" s="3" t="str">
        <f>IFERROR(__xludf.DUMMYFUNCTION("""COMPUTED_VALUE"""),"#N/A")</f>
        <v>#N/A</v>
      </c>
      <c r="U1161" s="3" t="str">
        <f>IFERROR(__xludf.DUMMYFUNCTION("""COMPUTED_VALUE"""),"#N/A")</f>
        <v>#N/A</v>
      </c>
      <c r="V1161" s="3" t="str">
        <f>IFERROR(__xludf.DUMMYFUNCTION("""COMPUTED_VALUE"""),"N")</f>
        <v>N</v>
      </c>
      <c r="W1161" s="3">
        <f>IFERROR(__xludf.DUMMYFUNCTION("""COMPUTED_VALUE"""),211903.0)</f>
        <v>211903</v>
      </c>
      <c r="X1161" s="3" t="str">
        <f>IFERROR(__xludf.DUMMYFUNCTION("""COMPUTED_VALUE"""),"9/15 หมู่8 ตำบลบ้านเกาะ อำเภอเมืองสมุทรสาคร จังหวัดสมุทรสาคร 74000")</f>
        <v>9/15 หมู่8 ตำบลบ้านเกาะ อำเภอเมืองสมุทรสาคร จังหวัดสมุทรสาคร 74000</v>
      </c>
      <c r="Y1161" s="3"/>
      <c r="Z1161" s="3" t="str">
        <f>IFERROR(__xludf.DUMMYFUNCTION("""COMPUTED_VALUE"""),"บ้านเกาะ")</f>
        <v>บ้านเกาะ</v>
      </c>
      <c r="AA1161" s="3" t="str">
        <f>IFERROR(__xludf.DUMMYFUNCTION("""COMPUTED_VALUE"""),"เมือง")</f>
        <v>เมือง</v>
      </c>
      <c r="AB1161" s="3" t="str">
        <f>IFERROR(__xludf.DUMMYFUNCTION("""COMPUTED_VALUE"""),"สมุทรสาคร")</f>
        <v>สมุทรสาคร</v>
      </c>
      <c r="AC1161" s="3">
        <f>IFERROR(__xludf.DUMMYFUNCTION("""COMPUTED_VALUE"""),74000.0)</f>
        <v>74000</v>
      </c>
      <c r="AD1161" s="3">
        <f>IFERROR(__xludf.DUMMYFUNCTION("""COMPUTED_VALUE"""),13.5696)</f>
        <v>13.5696</v>
      </c>
      <c r="AE1161" s="3">
        <f>IFERROR(__xludf.DUMMYFUNCTION("""COMPUTED_VALUE"""),100.21294)</f>
        <v>100.21294</v>
      </c>
      <c r="AF1161" s="3" t="str">
        <f>IFERROR(__xludf.DUMMYFUNCTION("""COMPUTED_VALUE"""),"MBC ซอยสวนส้ม สมุทรสาคร-21933")</f>
        <v>MBC ซอยสวนส้ม สมุทรสาคร-21933</v>
      </c>
      <c r="AG1161" s="3" t="str">
        <f>IFERROR(__xludf.DUMMYFUNCTION("""COMPUTED_VALUE"""),"กลาง")</f>
        <v>กลาง</v>
      </c>
      <c r="AH1161" s="3" t="str">
        <f>IFERROR(__xludf.DUMMYFUNCTION("""COMPUTED_VALUE"""),"#N/A")</f>
        <v>#N/A</v>
      </c>
      <c r="AI1161" s="3" t="str">
        <f>IFERROR(__xludf.DUMMYFUNCTION("""COMPUTED_VALUE"""),"Out of warranty")</f>
        <v>Out of warranty</v>
      </c>
      <c r="AJ1161" s="3">
        <f>IFERROR(__xludf.DUMMYFUNCTION("""COMPUTED_VALUE"""),75.0)</f>
        <v>75</v>
      </c>
      <c r="AK1161" s="3" t="str">
        <f>IFERROR(__xludf.DUMMYFUNCTION("""COMPUTED_VALUE"""),"MMS05")</f>
        <v>MMS05</v>
      </c>
      <c r="AL1161" s="3"/>
    </row>
    <row r="1162" ht="15.75" customHeight="1">
      <c r="A1162" s="1" t="str">
        <f>IFERROR(__xludf.DUMMYFUNCTION("""COMPUTED_VALUE"""),"21934")</f>
        <v>21934</v>
      </c>
      <c r="B1162" s="2">
        <f>IFERROR(__xludf.DUMMYFUNCTION("""COMPUTED_VALUE"""),21934.0)</f>
        <v>21934</v>
      </c>
      <c r="C1162" s="3" t="str">
        <f>IFERROR(__xludf.DUMMYFUNCTION("""COMPUTED_VALUE"""),"MBC ชุมชนวัดสะแก อยุธยา")</f>
        <v>MBC ชุมชนวัดสะแก อยุธยา</v>
      </c>
      <c r="D1162" s="3" t="str">
        <f>IFERROR(__xludf.DUMMYFUNCTION("""COMPUTED_VALUE"""),"BCM CHUMCHON WAT SAKAE")</f>
        <v>BCM CHUMCHON WAT SAKAE</v>
      </c>
      <c r="E1162" s="1" t="str">
        <f>IFERROR(__xludf.DUMMYFUNCTION("""COMPUTED_VALUE"""),"บิ๊กซี MINI")</f>
        <v>บิ๊กซี MINI</v>
      </c>
      <c r="F1162" s="1" t="str">
        <f>IFERROR(__xludf.DUMMYFUNCTION("""COMPUTED_VALUE"""),"296229")</f>
        <v>296229</v>
      </c>
      <c r="G1162" s="1" t="str">
        <f>IFERROR(__xludf.DUMMYFUNCTION("""COMPUTED_VALUE"""),"นายทนงศักดิ์ บุญมา")</f>
        <v>นายทนงศักดิ์ บุญมา</v>
      </c>
      <c r="H1162" s="1" t="str">
        <f>IFERROR(__xludf.DUMMYFUNCTION("""COMPUTED_VALUE"""),"318233")</f>
        <v>318233</v>
      </c>
      <c r="I1162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1162" s="3">
        <f>IFERROR(__xludf.DUMMYFUNCTION("""COMPUTED_VALUE"""),46214.0)</f>
        <v>46214</v>
      </c>
      <c r="K1162" s="3" t="str">
        <f>IFERROR(__xludf.DUMMYFUNCTION("""COMPUTED_VALUE"""),"นายศักดิ์ชัย เด็ดดอกฟ้า")</f>
        <v>นายศักดิ์ชัย เด็ดดอกฟ้า</v>
      </c>
      <c r="L1162" s="1" t="str">
        <f>IFERROR(__xludf.DUMMYFUNCTION("""COMPUTED_VALUE"""),"02 K.Sakchai D")</f>
        <v>02 K.Sakchai D</v>
      </c>
      <c r="M1162" s="1" t="str">
        <f>IFERROR(__xludf.DUMMYFUNCTION("""COMPUTED_VALUE"""),"065-510-7376")</f>
        <v>065-510-7376</v>
      </c>
      <c r="N1162" s="3">
        <f>IFERROR(__xludf.DUMMYFUNCTION("""COMPUTED_VALUE"""),21714.0)</f>
        <v>21714</v>
      </c>
      <c r="O1162" s="3" t="str">
        <f>IFERROR(__xludf.DUMMYFUNCTION("""COMPUTED_VALUE"""),"MBC เอสโซ่ วัดโบสถ์")</f>
        <v>MBC เอสโซ่ วัดโบสถ์</v>
      </c>
      <c r="P1162" s="4">
        <f>IFERROR(__xludf.DUMMYFUNCTION("""COMPUTED_VALUE"""),43765.0)</f>
        <v>43765</v>
      </c>
      <c r="Q1162" s="3" t="str">
        <f>IFERROR(__xludf.DUMMYFUNCTION("""COMPUTED_VALUE"""),"A")</f>
        <v>A</v>
      </c>
      <c r="R1162" s="3" t="str">
        <f>IFERROR(__xludf.DUMMYFUNCTION("""COMPUTED_VALUE"""),"Small Format")</f>
        <v>Small Format</v>
      </c>
      <c r="S1162" s="3" t="str">
        <f>IFERROR(__xludf.DUMMYFUNCTION("""COMPUTED_VALUE"""),"BCM")</f>
        <v>BCM</v>
      </c>
      <c r="T1162" s="3" t="str">
        <f>IFERROR(__xludf.DUMMYFUNCTION("""COMPUTED_VALUE"""),"#N/A")</f>
        <v>#N/A</v>
      </c>
      <c r="U1162" s="3" t="str">
        <f>IFERROR(__xludf.DUMMYFUNCTION("""COMPUTED_VALUE"""),"#N/A")</f>
        <v>#N/A</v>
      </c>
      <c r="V1162" s="3" t="str">
        <f>IFERROR(__xludf.DUMMYFUNCTION("""COMPUTED_VALUE"""),"N")</f>
        <v>N</v>
      </c>
      <c r="W1162" s="3">
        <f>IFERROR(__xludf.DUMMYFUNCTION("""COMPUTED_VALUE"""),210052.0)</f>
        <v>210052</v>
      </c>
      <c r="X1162" s="3" t="str">
        <f>IFERROR(__xludf.DUMMYFUNCTION("""COMPUTED_VALUE"""),"32/3 หมู่2 ตำบลธนู อำเภออุทัย จังหวัดพระนครศรีอยุธยา 13210")</f>
        <v>32/3 หมู่2 ตำบลธนู อำเภออุทัย จังหวัดพระนครศรีอยุธยา 13210</v>
      </c>
      <c r="Y1162" s="3"/>
      <c r="Z1162" s="3" t="str">
        <f>IFERROR(__xludf.DUMMYFUNCTION("""COMPUTED_VALUE"""),"ธนู")</f>
        <v>ธนู</v>
      </c>
      <c r="AA1162" s="3" t="str">
        <f>IFERROR(__xludf.DUMMYFUNCTION("""COMPUTED_VALUE"""),"อุทัย")</f>
        <v>อุทัย</v>
      </c>
      <c r="AB1162" s="3" t="str">
        <f>IFERROR(__xludf.DUMMYFUNCTION("""COMPUTED_VALUE"""),"พระนครศรีอยุธยา")</f>
        <v>พระนครศรีอยุธยา</v>
      </c>
      <c r="AC1162" s="3">
        <f>IFERROR(__xludf.DUMMYFUNCTION("""COMPUTED_VALUE"""),13210.0)</f>
        <v>13210</v>
      </c>
      <c r="AD1162" s="3">
        <f>IFERROR(__xludf.DUMMYFUNCTION("""COMPUTED_VALUE"""),14.357151)</f>
        <v>14.357151</v>
      </c>
      <c r="AE1162" s="3">
        <f>IFERROR(__xludf.DUMMYFUNCTION("""COMPUTED_VALUE"""),100.614294)</f>
        <v>100.614294</v>
      </c>
      <c r="AF1162" s="3" t="str">
        <f>IFERROR(__xludf.DUMMYFUNCTION("""COMPUTED_VALUE"""),"MBC ชุมชนวัดสะแก อยุธยา-21934")</f>
        <v>MBC ชุมชนวัดสะแก อยุธยา-21934</v>
      </c>
      <c r="AG1162" s="3" t="str">
        <f>IFERROR(__xludf.DUMMYFUNCTION("""COMPUTED_VALUE"""),"กลาง")</f>
        <v>กลาง</v>
      </c>
      <c r="AH1162" s="3" t="str">
        <f>IFERROR(__xludf.DUMMYFUNCTION("""COMPUTED_VALUE"""),"#N/A")</f>
        <v>#N/A</v>
      </c>
      <c r="AI1162" s="3" t="str">
        <f>IFERROR(__xludf.DUMMYFUNCTION("""COMPUTED_VALUE"""),"Out of warranty")</f>
        <v>Out of warranty</v>
      </c>
      <c r="AJ1162" s="3">
        <f>IFERROR(__xludf.DUMMYFUNCTION("""COMPUTED_VALUE"""),75.0)</f>
        <v>75</v>
      </c>
      <c r="AK1162" s="3" t="str">
        <f>IFERROR(__xludf.DUMMYFUNCTION("""COMPUTED_VALUE"""),"MMS04")</f>
        <v>MMS04</v>
      </c>
      <c r="AL1162" s="3"/>
    </row>
    <row r="1163" ht="15.75" customHeight="1">
      <c r="A1163" s="1" t="str">
        <f>IFERROR(__xludf.DUMMYFUNCTION("""COMPUTED_VALUE"""),"21935")</f>
        <v>21935</v>
      </c>
      <c r="B1163" s="2">
        <f>IFERROR(__xludf.DUMMYFUNCTION("""COMPUTED_VALUE"""),21935.0)</f>
        <v>21935</v>
      </c>
      <c r="C1163" s="3" t="str">
        <f>IFERROR(__xludf.DUMMYFUNCTION("""COMPUTED_VALUE"""),"MBC เอสโซ่บางคล้า ขาเข้า ฉะเชิงเทรา")</f>
        <v>MBC เอสโซ่บางคล้า ขาเข้า ฉะเชิงเทรา</v>
      </c>
      <c r="D1163" s="3" t="str">
        <f>IFERROR(__xludf.DUMMYFUNCTION("""COMPUTED_VALUE"""),"BCM ESSO BANG KHLA (INBOUND)")</f>
        <v>BCM ESSO BANG KHLA (INBOUND)</v>
      </c>
      <c r="E1163" s="1" t="str">
        <f>IFERROR(__xludf.DUMMYFUNCTION("""COMPUTED_VALUE"""),"บิ๊กซี MINI")</f>
        <v>บิ๊กซี MINI</v>
      </c>
      <c r="F1163" s="1" t="str">
        <f>IFERROR(__xludf.DUMMYFUNCTION("""COMPUTED_VALUE"""),"2083447")</f>
        <v>2083447</v>
      </c>
      <c r="G1163" s="1" t="str">
        <f>IFERROR(__xludf.DUMMYFUNCTION("""COMPUTED_VALUE"""),"นายอนุกูล ศรีลัดดา")</f>
        <v>นายอนุกูล ศรีลัดดา</v>
      </c>
      <c r="H1163" s="1" t="str">
        <f>IFERROR(__xludf.DUMMYFUNCTION("""COMPUTED_VALUE"""),"254957")</f>
        <v>254957</v>
      </c>
      <c r="I1163" s="1" t="str">
        <f>IFERROR(__xludf.DUMMYFUNCTION("""COMPUTED_VALUE"""),"น.ส.ศิริพร รุ่งธัญญา")</f>
        <v>น.ส.ศิริพร รุ่งธัญญา</v>
      </c>
      <c r="J1163" s="3">
        <f>IFERROR(__xludf.DUMMYFUNCTION("""COMPUTED_VALUE"""),510143.0)</f>
        <v>510143</v>
      </c>
      <c r="K1163" s="3" t="str">
        <f>IFERROR(__xludf.DUMMYFUNCTION("""COMPUTED_VALUE"""),"นายธีระวัฒน์ บุญสิทธิ์")</f>
        <v>นายธีระวัฒน์ บุญสิทธิ์</v>
      </c>
      <c r="L1163" s="1" t="str">
        <f>IFERROR(__xludf.DUMMYFUNCTION("""COMPUTED_VALUE"""),"12 K.Theerawat B.")</f>
        <v>12 K.Theerawat B.</v>
      </c>
      <c r="M1163" s="1" t="str">
        <f>IFERROR(__xludf.DUMMYFUNCTION("""COMPUTED_VALUE"""),"0655107379")</f>
        <v>0655107379</v>
      </c>
      <c r="N1163" s="3">
        <f>IFERROR(__xludf.DUMMYFUNCTION("""COMPUTED_VALUE"""),21062.0)</f>
        <v>21062</v>
      </c>
      <c r="O1163" s="3" t="str">
        <f>IFERROR(__xludf.DUMMYFUNCTION("""COMPUTED_VALUE"""),"MBC นิคมนวนคร")</f>
        <v>MBC นิคมนวนคร</v>
      </c>
      <c r="P1163" s="4">
        <f>IFERROR(__xludf.DUMMYFUNCTION("""COMPUTED_VALUE"""),43760.0)</f>
        <v>43760</v>
      </c>
      <c r="Q1163" s="3" t="str">
        <f>IFERROR(__xludf.DUMMYFUNCTION("""COMPUTED_VALUE"""),"A")</f>
        <v>A</v>
      </c>
      <c r="R1163" s="3" t="str">
        <f>IFERROR(__xludf.DUMMYFUNCTION("""COMPUTED_VALUE"""),"Small Format")</f>
        <v>Small Format</v>
      </c>
      <c r="S1163" s="3" t="str">
        <f>IFERROR(__xludf.DUMMYFUNCTION("""COMPUTED_VALUE"""),"BCM")</f>
        <v>BCM</v>
      </c>
      <c r="T1163" s="3" t="str">
        <f>IFERROR(__xludf.DUMMYFUNCTION("""COMPUTED_VALUE"""),"#N/A")</f>
        <v>#N/A</v>
      </c>
      <c r="U1163" s="3" t="str">
        <f>IFERROR(__xludf.DUMMYFUNCTION("""COMPUTED_VALUE"""),"#N/A")</f>
        <v>#N/A</v>
      </c>
      <c r="V1163" s="3" t="str">
        <f>IFERROR(__xludf.DUMMYFUNCTION("""COMPUTED_VALUE"""),"N")</f>
        <v>N</v>
      </c>
      <c r="W1163" s="3">
        <f>IFERROR(__xludf.DUMMYFUNCTION("""COMPUTED_VALUE"""),210025.0)</f>
        <v>210025</v>
      </c>
      <c r="X1163" s="3" t="str">
        <f>IFERROR(__xludf.DUMMYFUNCTION("""COMPUTED_VALUE"""),"88/1 หมู่1 ตำบลเสม็ดเหนือ อำเภอบางคล้า จังหวัดฉะเชิงเทรา 24110")</f>
        <v>88/1 หมู่1 ตำบลเสม็ดเหนือ อำเภอบางคล้า จังหวัดฉะเชิงเทรา 24110</v>
      </c>
      <c r="Y1163" s="3"/>
      <c r="Z1163" s="3" t="str">
        <f>IFERROR(__xludf.DUMMYFUNCTION("""COMPUTED_VALUE"""),"เสม็ดเหนือ")</f>
        <v>เสม็ดเหนือ</v>
      </c>
      <c r="AA1163" s="3" t="str">
        <f>IFERROR(__xludf.DUMMYFUNCTION("""COMPUTED_VALUE"""),"บางคล้า")</f>
        <v>บางคล้า</v>
      </c>
      <c r="AB1163" s="3" t="str">
        <f>IFERROR(__xludf.DUMMYFUNCTION("""COMPUTED_VALUE"""),"ฉะเชิงเทรา")</f>
        <v>ฉะเชิงเทรา</v>
      </c>
      <c r="AC1163" s="3">
        <f>IFERROR(__xludf.DUMMYFUNCTION("""COMPUTED_VALUE"""),24110.0)</f>
        <v>24110</v>
      </c>
      <c r="AD1163" s="3">
        <f>IFERROR(__xludf.DUMMYFUNCTION("""COMPUTED_VALUE"""),13.668085)</f>
        <v>13.668085</v>
      </c>
      <c r="AE1163" s="3">
        <f>IFERROR(__xludf.DUMMYFUNCTION("""COMPUTED_VALUE"""),101.19346)</f>
        <v>101.19346</v>
      </c>
      <c r="AF1163" s="3" t="str">
        <f>IFERROR(__xludf.DUMMYFUNCTION("""COMPUTED_VALUE"""),"MBC เอสโซ่บางคล้า ขาเข้า ฉะเชิงเทรา-21935")</f>
        <v>MBC เอสโซ่บางคล้า ขาเข้า ฉะเชิงเทรา-21935</v>
      </c>
      <c r="AG1163" s="3" t="str">
        <f>IFERROR(__xludf.DUMMYFUNCTION("""COMPUTED_VALUE"""),"ตะวันออก")</f>
        <v>ตะวันออก</v>
      </c>
      <c r="AH1163" s="3" t="str">
        <f>IFERROR(__xludf.DUMMYFUNCTION("""COMPUTED_VALUE"""),"#N/A")</f>
        <v>#N/A</v>
      </c>
      <c r="AI1163" s="3" t="str">
        <f>IFERROR(__xludf.DUMMYFUNCTION("""COMPUTED_VALUE"""),"Out of warranty")</f>
        <v>Out of warranty</v>
      </c>
      <c r="AJ1163" s="3">
        <f>IFERROR(__xludf.DUMMYFUNCTION("""COMPUTED_VALUE"""),75.0)</f>
        <v>75</v>
      </c>
      <c r="AK1163" s="3" t="str">
        <f>IFERROR(__xludf.DUMMYFUNCTION("""COMPUTED_VALUE"""),"MMS07")</f>
        <v>MMS07</v>
      </c>
      <c r="AL1163" s="3"/>
    </row>
    <row r="1164" ht="15.75" customHeight="1">
      <c r="A1164" s="1" t="str">
        <f>IFERROR(__xludf.DUMMYFUNCTION("""COMPUTED_VALUE"""),"21936")</f>
        <v>21936</v>
      </c>
      <c r="B1164" s="2">
        <f>IFERROR(__xludf.DUMMYFUNCTION("""COMPUTED_VALUE"""),21936.0)</f>
        <v>21936</v>
      </c>
      <c r="C1164" s="3" t="str">
        <f>IFERROR(__xludf.DUMMYFUNCTION("""COMPUTED_VALUE"""),"MBC ท่าตูม สุรินทร์")</f>
        <v>MBC ท่าตูม สุรินทร์</v>
      </c>
      <c r="D1164" s="3" t="str">
        <f>IFERROR(__xludf.DUMMYFUNCTION("""COMPUTED_VALUE"""),"BCM THA TUM SURIN")</f>
        <v>BCM THA TUM SURIN</v>
      </c>
      <c r="E1164" s="1" t="str">
        <f>IFERROR(__xludf.DUMMYFUNCTION("""COMPUTED_VALUE"""),"บิ๊กซี MINI")</f>
        <v>บิ๊กซี MINI</v>
      </c>
      <c r="F1164" s="1" t="str">
        <f>IFERROR(__xludf.DUMMYFUNCTION("""COMPUTED_VALUE"""),"291105")</f>
        <v>291105</v>
      </c>
      <c r="G1164" s="1" t="str">
        <f>IFERROR(__xludf.DUMMYFUNCTION("""COMPUTED_VALUE"""),"นายสราวุฒิ พณิชยกุล")</f>
        <v>นายสราวุฒิ พณิชยกุล</v>
      </c>
      <c r="H1164" s="1" t="str">
        <f>IFERROR(__xludf.DUMMYFUNCTION("""COMPUTED_VALUE"""),"398146")</f>
        <v>398146</v>
      </c>
      <c r="I1164" s="1" t="str">
        <f>IFERROR(__xludf.DUMMYFUNCTION("""COMPUTED_VALUE"""),"น.ส.กนกสิริ สุขหอม")</f>
        <v>น.ส.กนกสิริ สุขหอม</v>
      </c>
      <c r="J1164" s="3">
        <f>IFERROR(__xludf.DUMMYFUNCTION("""COMPUTED_VALUE"""),2454781.0)</f>
        <v>2454781</v>
      </c>
      <c r="K1164" s="3" t="str">
        <f>IFERROR(__xludf.DUMMYFUNCTION("""COMPUTED_VALUE"""),"นายฌานกฤช นันทะโคต")</f>
        <v>นายฌานกฤช นันทะโคต</v>
      </c>
      <c r="L1164" s="1" t="str">
        <f>IFERROR(__xludf.DUMMYFUNCTION("""COMPUTED_VALUE"""),"05 K.Chanakrit N.")</f>
        <v>05 K.Chanakrit N.</v>
      </c>
      <c r="M1164" s="1" t="str">
        <f>IFERROR(__xludf.DUMMYFUNCTION("""COMPUTED_VALUE"""),"090-978-9785 ,065-929-1320")</f>
        <v>090-978-9785 ,065-929-1320</v>
      </c>
      <c r="N1164" s="3">
        <f>IFERROR(__xludf.DUMMYFUNCTION("""COMPUTED_VALUE"""),22195.0)</f>
        <v>22195</v>
      </c>
      <c r="O1164" s="3" t="str">
        <f>IFERROR(__xludf.DUMMYFUNCTION("""COMPUTED_VALUE"""),"MBC กันทรลักษ์ ศรีสะเกษ")</f>
        <v>MBC กันทรลักษ์ ศรีสะเกษ</v>
      </c>
      <c r="P1164" s="4">
        <f>IFERROR(__xludf.DUMMYFUNCTION("""COMPUTED_VALUE"""),43761.0)</f>
        <v>43761</v>
      </c>
      <c r="Q1164" s="3" t="str">
        <f>IFERROR(__xludf.DUMMYFUNCTION("""COMPUTED_VALUE"""),"A")</f>
        <v>A</v>
      </c>
      <c r="R1164" s="3" t="str">
        <f>IFERROR(__xludf.DUMMYFUNCTION("""COMPUTED_VALUE"""),"Small Format")</f>
        <v>Small Format</v>
      </c>
      <c r="S1164" s="3" t="str">
        <f>IFERROR(__xludf.DUMMYFUNCTION("""COMPUTED_VALUE"""),"BCM")</f>
        <v>BCM</v>
      </c>
      <c r="T1164" s="3" t="str">
        <f>IFERROR(__xludf.DUMMYFUNCTION("""COMPUTED_VALUE"""),"#N/A")</f>
        <v>#N/A</v>
      </c>
      <c r="U1164" s="3" t="str">
        <f>IFERROR(__xludf.DUMMYFUNCTION("""COMPUTED_VALUE"""),"#N/A")</f>
        <v>#N/A</v>
      </c>
      <c r="V1164" s="3" t="str">
        <f>IFERROR(__xludf.DUMMYFUNCTION("""COMPUTED_VALUE"""),"N")</f>
        <v>N</v>
      </c>
      <c r="W1164" s="3">
        <f>IFERROR(__xludf.DUMMYFUNCTION("""COMPUTED_VALUE"""),211910.0)</f>
        <v>211910</v>
      </c>
      <c r="X1164" s="3" t="str">
        <f>IFERROR(__xludf.DUMMYFUNCTION("""COMPUTED_VALUE"""),"44/5 หมู่7 ตำบลท่าตูม อำเภอท่าตูม จังหวัดสุรินทร์ 32120")</f>
        <v>44/5 หมู่7 ตำบลท่าตูม อำเภอท่าตูม จังหวัดสุรินทร์ 32120</v>
      </c>
      <c r="Y1164" s="3"/>
      <c r="Z1164" s="3" t="str">
        <f>IFERROR(__xludf.DUMMYFUNCTION("""COMPUTED_VALUE"""),"ท่าตูม")</f>
        <v>ท่าตูม</v>
      </c>
      <c r="AA1164" s="3" t="str">
        <f>IFERROR(__xludf.DUMMYFUNCTION("""COMPUTED_VALUE"""),"ท่าตูม")</f>
        <v>ท่าตูม</v>
      </c>
      <c r="AB1164" s="3" t="str">
        <f>IFERROR(__xludf.DUMMYFUNCTION("""COMPUTED_VALUE"""),"สุรินทร์")</f>
        <v>สุรินทร์</v>
      </c>
      <c r="AC1164" s="3">
        <f>IFERROR(__xludf.DUMMYFUNCTION("""COMPUTED_VALUE"""),32120.0)</f>
        <v>32120</v>
      </c>
      <c r="AD1164" s="3">
        <f>IFERROR(__xludf.DUMMYFUNCTION("""COMPUTED_VALUE"""),15.324658)</f>
        <v>15.324658</v>
      </c>
      <c r="AE1164" s="3">
        <f>IFERROR(__xludf.DUMMYFUNCTION("""COMPUTED_VALUE"""),103.6761)</f>
        <v>103.6761</v>
      </c>
      <c r="AF1164" s="3" t="str">
        <f>IFERROR(__xludf.DUMMYFUNCTION("""COMPUTED_VALUE"""),"MBC ท่าตูม สุรินทร์-21936")</f>
        <v>MBC ท่าตูม สุรินทร์-21936</v>
      </c>
      <c r="AG1164" s="3" t="str">
        <f>IFERROR(__xludf.DUMMYFUNCTION("""COMPUTED_VALUE"""),"ตะวันออกเฉียงเหนือ")</f>
        <v>ตะวันออกเฉียงเหนือ</v>
      </c>
      <c r="AH1164" s="3" t="str">
        <f>IFERROR(__xludf.DUMMYFUNCTION("""COMPUTED_VALUE"""),"#N/A")</f>
        <v>#N/A</v>
      </c>
      <c r="AI1164" s="3" t="str">
        <f>IFERROR(__xludf.DUMMYFUNCTION("""COMPUTED_VALUE"""),"Out of warranty")</f>
        <v>Out of warranty</v>
      </c>
      <c r="AJ1164" s="3">
        <f>IFERROR(__xludf.DUMMYFUNCTION("""COMPUTED_VALUE"""),75.0)</f>
        <v>75</v>
      </c>
      <c r="AK1164" s="3" t="str">
        <f>IFERROR(__xludf.DUMMYFUNCTION("""COMPUTED_VALUE"""),"MMS13")</f>
        <v>MMS13</v>
      </c>
      <c r="AL1164" s="3"/>
    </row>
    <row r="1165" ht="15.75" customHeight="1">
      <c r="A1165" s="1" t="str">
        <f>IFERROR(__xludf.DUMMYFUNCTION("""COMPUTED_VALUE"""),"21937")</f>
        <v>21937</v>
      </c>
      <c r="B1165" s="2">
        <f>IFERROR(__xludf.DUMMYFUNCTION("""COMPUTED_VALUE"""),21937.0)</f>
        <v>21937</v>
      </c>
      <c r="C1165" s="3" t="str">
        <f>IFERROR(__xludf.DUMMYFUNCTION("""COMPUTED_VALUE"""),"MBC ลำดวน สุรินทร์")</f>
        <v>MBC ลำดวน สุรินทร์</v>
      </c>
      <c r="D1165" s="3" t="str">
        <f>IFERROR(__xludf.DUMMYFUNCTION("""COMPUTED_VALUE"""),"BCM LAMDAUN, SURIN")</f>
        <v>BCM LAMDAUN, SURIN</v>
      </c>
      <c r="E1165" s="1" t="str">
        <f>IFERROR(__xludf.DUMMYFUNCTION("""COMPUTED_VALUE"""),"บิ๊กซี MINI")</f>
        <v>บิ๊กซี MINI</v>
      </c>
      <c r="F1165" s="1" t="str">
        <f>IFERROR(__xludf.DUMMYFUNCTION("""COMPUTED_VALUE"""),"291105")</f>
        <v>291105</v>
      </c>
      <c r="G1165" s="1" t="str">
        <f>IFERROR(__xludf.DUMMYFUNCTION("""COMPUTED_VALUE"""),"นายสราวุฒิ พณิชยกุล")</f>
        <v>นายสราวุฒิ พณิชยกุล</v>
      </c>
      <c r="H1165" s="1" t="str">
        <f>IFERROR(__xludf.DUMMYFUNCTION("""COMPUTED_VALUE"""),"398146")</f>
        <v>398146</v>
      </c>
      <c r="I1165" s="1" t="str">
        <f>IFERROR(__xludf.DUMMYFUNCTION("""COMPUTED_VALUE"""),"น.ส.กนกสิริ สุขหอม")</f>
        <v>น.ส.กนกสิริ สุขหอม</v>
      </c>
      <c r="J1165" s="3">
        <f>IFERROR(__xludf.DUMMYFUNCTION("""COMPUTED_VALUE"""),2454781.0)</f>
        <v>2454781</v>
      </c>
      <c r="K1165" s="3" t="str">
        <f>IFERROR(__xludf.DUMMYFUNCTION("""COMPUTED_VALUE"""),"นายฌานกฤช นันทะโคต")</f>
        <v>นายฌานกฤช นันทะโคต</v>
      </c>
      <c r="L1165" s="1" t="str">
        <f>IFERROR(__xludf.DUMMYFUNCTION("""COMPUTED_VALUE"""),"05 K.Chanakrit N.")</f>
        <v>05 K.Chanakrit N.</v>
      </c>
      <c r="M1165" s="1" t="str">
        <f>IFERROR(__xludf.DUMMYFUNCTION("""COMPUTED_VALUE"""),"090-978-9785 ,065-929-1320")</f>
        <v>090-978-9785 ,065-929-1320</v>
      </c>
      <c r="N1165" s="3">
        <f>IFERROR(__xludf.DUMMYFUNCTION("""COMPUTED_VALUE"""),22195.0)</f>
        <v>22195</v>
      </c>
      <c r="O1165" s="3" t="str">
        <f>IFERROR(__xludf.DUMMYFUNCTION("""COMPUTED_VALUE"""),"MBC กันทรลักษ์ ศรีสะเกษ")</f>
        <v>MBC กันทรลักษ์ ศรีสะเกษ</v>
      </c>
      <c r="P1165" s="4">
        <f>IFERROR(__xludf.DUMMYFUNCTION("""COMPUTED_VALUE"""),43761.0)</f>
        <v>43761</v>
      </c>
      <c r="Q1165" s="3" t="str">
        <f>IFERROR(__xludf.DUMMYFUNCTION("""COMPUTED_VALUE"""),"A")</f>
        <v>A</v>
      </c>
      <c r="R1165" s="3" t="str">
        <f>IFERROR(__xludf.DUMMYFUNCTION("""COMPUTED_VALUE"""),"Small Format")</f>
        <v>Small Format</v>
      </c>
      <c r="S1165" s="3" t="str">
        <f>IFERROR(__xludf.DUMMYFUNCTION("""COMPUTED_VALUE"""),"BCM")</f>
        <v>BCM</v>
      </c>
      <c r="T1165" s="3" t="str">
        <f>IFERROR(__xludf.DUMMYFUNCTION("""COMPUTED_VALUE"""),"#N/A")</f>
        <v>#N/A</v>
      </c>
      <c r="U1165" s="3" t="str">
        <f>IFERROR(__xludf.DUMMYFUNCTION("""COMPUTED_VALUE"""),"#N/A")</f>
        <v>#N/A</v>
      </c>
      <c r="V1165" s="3" t="str">
        <f>IFERROR(__xludf.DUMMYFUNCTION("""COMPUTED_VALUE"""),"N")</f>
        <v>N</v>
      </c>
      <c r="W1165" s="3">
        <f>IFERROR(__xludf.DUMMYFUNCTION("""COMPUTED_VALUE"""),210059.0)</f>
        <v>210059</v>
      </c>
      <c r="X1165" s="3" t="str">
        <f>IFERROR(__xludf.DUMMYFUNCTION("""COMPUTED_VALUE"""),"272/1-3 หมู่3 ตำบลลำดวน อำเภอลำดวน จังหวัดสุรินทร์ 32220")</f>
        <v>272/1-3 หมู่3 ตำบลลำดวน อำเภอลำดวน จังหวัดสุรินทร์ 32220</v>
      </c>
      <c r="Y1165" s="3"/>
      <c r="Z1165" s="3" t="str">
        <f>IFERROR(__xludf.DUMMYFUNCTION("""COMPUTED_VALUE"""),"ลำดวน")</f>
        <v>ลำดวน</v>
      </c>
      <c r="AA1165" s="3" t="str">
        <f>IFERROR(__xludf.DUMMYFUNCTION("""COMPUTED_VALUE"""),"ลำดวน")</f>
        <v>ลำดวน</v>
      </c>
      <c r="AB1165" s="3" t="str">
        <f>IFERROR(__xludf.DUMMYFUNCTION("""COMPUTED_VALUE"""),"สุรินทร์")</f>
        <v>สุรินทร์</v>
      </c>
      <c r="AC1165" s="3">
        <f>IFERROR(__xludf.DUMMYFUNCTION("""COMPUTED_VALUE"""),32220.0)</f>
        <v>32220</v>
      </c>
      <c r="AD1165" s="3">
        <f>IFERROR(__xludf.DUMMYFUNCTION("""COMPUTED_VALUE"""),14.72393)</f>
        <v>14.72393</v>
      </c>
      <c r="AE1165" s="3">
        <f>IFERROR(__xludf.DUMMYFUNCTION("""COMPUTED_VALUE"""),103.669009)</f>
        <v>103.669009</v>
      </c>
      <c r="AF1165" s="3" t="str">
        <f>IFERROR(__xludf.DUMMYFUNCTION("""COMPUTED_VALUE"""),"MBC ลำดวน สุรินทร์-21937")</f>
        <v>MBC ลำดวน สุรินทร์-21937</v>
      </c>
      <c r="AG1165" s="3" t="str">
        <f>IFERROR(__xludf.DUMMYFUNCTION("""COMPUTED_VALUE"""),"ตะวันออกเฉียงเหนือ")</f>
        <v>ตะวันออกเฉียงเหนือ</v>
      </c>
      <c r="AH1165" s="3" t="str">
        <f>IFERROR(__xludf.DUMMYFUNCTION("""COMPUTED_VALUE"""),"#N/A")</f>
        <v>#N/A</v>
      </c>
      <c r="AI1165" s="3" t="str">
        <f>IFERROR(__xludf.DUMMYFUNCTION("""COMPUTED_VALUE"""),"Out of warranty")</f>
        <v>Out of warranty</v>
      </c>
      <c r="AJ1165" s="3">
        <f>IFERROR(__xludf.DUMMYFUNCTION("""COMPUTED_VALUE"""),75.0)</f>
        <v>75</v>
      </c>
      <c r="AK1165" s="3" t="str">
        <f>IFERROR(__xludf.DUMMYFUNCTION("""COMPUTED_VALUE"""),"MMS13")</f>
        <v>MMS13</v>
      </c>
      <c r="AL1165" s="3"/>
    </row>
    <row r="1166" ht="15.75" customHeight="1">
      <c r="A1166" s="1" t="str">
        <f>IFERROR(__xludf.DUMMYFUNCTION("""COMPUTED_VALUE"""),"21938")</f>
        <v>21938</v>
      </c>
      <c r="B1166" s="2">
        <f>IFERROR(__xludf.DUMMYFUNCTION("""COMPUTED_VALUE"""),21938.0)</f>
        <v>21938</v>
      </c>
      <c r="C1166" s="3" t="str">
        <f>IFERROR(__xludf.DUMMYFUNCTION("""COMPUTED_VALUE"""),"MBC ซอยกำนัน อุดรธานี")</f>
        <v>MBC ซอยกำนัน อุดรธานี</v>
      </c>
      <c r="D1166" s="3" t="str">
        <f>IFERROR(__xludf.DUMMYFUNCTION("""COMPUTED_VALUE"""),"BCM SOI KAM NAN UDON THANI")</f>
        <v>BCM SOI KAM NAN UDON THANI</v>
      </c>
      <c r="E1166" s="1" t="str">
        <f>IFERROR(__xludf.DUMMYFUNCTION("""COMPUTED_VALUE"""),"บิ๊กซี MINI")</f>
        <v>บิ๊กซี MINI</v>
      </c>
      <c r="F1166" s="1" t="str">
        <f>IFERROR(__xludf.DUMMYFUNCTION("""COMPUTED_VALUE"""),"291105")</f>
        <v>291105</v>
      </c>
      <c r="G1166" s="1" t="str">
        <f>IFERROR(__xludf.DUMMYFUNCTION("""COMPUTED_VALUE"""),"นายสราวุฒิ พณิชยกุล")</f>
        <v>นายสราวุฒิ พณิชยกุล</v>
      </c>
      <c r="H1166" s="1" t="str">
        <f>IFERROR(__xludf.DUMMYFUNCTION("""COMPUTED_VALUE"""),"392005")</f>
        <v>392005</v>
      </c>
      <c r="I1166" s="1" t="str">
        <f>IFERROR(__xludf.DUMMYFUNCTION("""COMPUTED_VALUE"""),"นายรัฐพล หาญลำยวง")</f>
        <v>นายรัฐพล หาญลำยวง</v>
      </c>
      <c r="J1166" s="3">
        <f>IFERROR(__xludf.DUMMYFUNCTION("""COMPUTED_VALUE"""),296868.0)</f>
        <v>296868</v>
      </c>
      <c r="K1166" s="3" t="str">
        <f>IFERROR(__xludf.DUMMYFUNCTION("""COMPUTED_VALUE"""),"นายพีระพงษ์ แก้วดวงดี")</f>
        <v>นายพีระพงษ์ แก้วดวงดี</v>
      </c>
      <c r="L1166" s="1" t="str">
        <f>IFERROR(__xludf.DUMMYFUNCTION("""COMPUTED_VALUE"""),"03 K.Peerapong K.")</f>
        <v>03 K.Peerapong K.</v>
      </c>
      <c r="M1166" s="1" t="str">
        <f>IFERROR(__xludf.DUMMYFUNCTION("""COMPUTED_VALUE"""),"089-002-6599")</f>
        <v>089-002-6599</v>
      </c>
      <c r="N1166" s="3">
        <f>IFERROR(__xludf.DUMMYFUNCTION("""COMPUTED_VALUE"""),21946.0)</f>
        <v>21946</v>
      </c>
      <c r="O1166" s="3" t="str">
        <f>IFERROR(__xludf.DUMMYFUNCTION("""COMPUTED_VALUE"""),"MBC เซกา บึงกาฬ")</f>
        <v>MBC เซกา บึงกาฬ</v>
      </c>
      <c r="P1166" s="4">
        <f>IFERROR(__xludf.DUMMYFUNCTION("""COMPUTED_VALUE"""),43762.0)</f>
        <v>43762</v>
      </c>
      <c r="Q1166" s="3" t="str">
        <f>IFERROR(__xludf.DUMMYFUNCTION("""COMPUTED_VALUE"""),"A")</f>
        <v>A</v>
      </c>
      <c r="R1166" s="3" t="str">
        <f>IFERROR(__xludf.DUMMYFUNCTION("""COMPUTED_VALUE"""),"Small Format")</f>
        <v>Small Format</v>
      </c>
      <c r="S1166" s="3" t="str">
        <f>IFERROR(__xludf.DUMMYFUNCTION("""COMPUTED_VALUE"""),"BCM")</f>
        <v>BCM</v>
      </c>
      <c r="T1166" s="3" t="str">
        <f>IFERROR(__xludf.DUMMYFUNCTION("""COMPUTED_VALUE"""),"#N/A")</f>
        <v>#N/A</v>
      </c>
      <c r="U1166" s="3" t="str">
        <f>IFERROR(__xludf.DUMMYFUNCTION("""COMPUTED_VALUE"""),"#N/A")</f>
        <v>#N/A</v>
      </c>
      <c r="V1166" s="3" t="str">
        <f>IFERROR(__xludf.DUMMYFUNCTION("""COMPUTED_VALUE"""),"N")</f>
        <v>N</v>
      </c>
      <c r="W1166" s="3">
        <f>IFERROR(__xludf.DUMMYFUNCTION("""COMPUTED_VALUE"""),211818.0)</f>
        <v>211818</v>
      </c>
      <c r="X1166" s="3" t="str">
        <f>IFERROR(__xludf.DUMMYFUNCTION("""COMPUTED_VALUE"""),"160/13 หมู่1 ซอยบ้านหนองบัว ตำบลหมากแข้ง อำเภอเมืองอุดรธานี จังหวัดอุดรธานี 41000")</f>
        <v>160/13 หมู่1 ซอยบ้านหนองบัว ตำบลหมากแข้ง อำเภอเมืองอุดรธานี จังหวัดอุดรธานี 41000</v>
      </c>
      <c r="Y1166" s="3"/>
      <c r="Z1166" s="3" t="str">
        <f>IFERROR(__xludf.DUMMYFUNCTION("""COMPUTED_VALUE"""),"หมากแข้ง")</f>
        <v>หมากแข้ง</v>
      </c>
      <c r="AA1166" s="3" t="str">
        <f>IFERROR(__xludf.DUMMYFUNCTION("""COMPUTED_VALUE"""),"เมือง")</f>
        <v>เมือง</v>
      </c>
      <c r="AB1166" s="3" t="str">
        <f>IFERROR(__xludf.DUMMYFUNCTION("""COMPUTED_VALUE"""),"อุดรธานี")</f>
        <v>อุดรธานี</v>
      </c>
      <c r="AC1166" s="3">
        <f>IFERROR(__xludf.DUMMYFUNCTION("""COMPUTED_VALUE"""),41000.0)</f>
        <v>41000</v>
      </c>
      <c r="AD1166" s="3">
        <f>IFERROR(__xludf.DUMMYFUNCTION("""COMPUTED_VALUE"""),17.399809)</f>
        <v>17.399809</v>
      </c>
      <c r="AE1166" s="3">
        <f>IFERROR(__xludf.DUMMYFUNCTION("""COMPUTED_VALUE"""),102.812561)</f>
        <v>102.812561</v>
      </c>
      <c r="AF1166" s="3" t="str">
        <f>IFERROR(__xludf.DUMMYFUNCTION("""COMPUTED_VALUE"""),"MBC ซอยกำนัน อุดรธานี-21938")</f>
        <v>MBC ซอยกำนัน อุดรธานี-21938</v>
      </c>
      <c r="AG1166" s="3" t="str">
        <f>IFERROR(__xludf.DUMMYFUNCTION("""COMPUTED_VALUE"""),"ตะวันออกเฉียงเหนือ")</f>
        <v>ตะวันออกเฉียงเหนือ</v>
      </c>
      <c r="AH1166" s="3" t="str">
        <f>IFERROR(__xludf.DUMMYFUNCTION("""COMPUTED_VALUE"""),"#N/A")</f>
        <v>#N/A</v>
      </c>
      <c r="AI1166" s="3" t="str">
        <f>IFERROR(__xludf.DUMMYFUNCTION("""COMPUTED_VALUE"""),"Out of warranty")</f>
        <v>Out of warranty</v>
      </c>
      <c r="AJ1166" s="3">
        <f>IFERROR(__xludf.DUMMYFUNCTION("""COMPUTED_VALUE"""),75.0)</f>
        <v>75</v>
      </c>
      <c r="AK1166" s="3" t="str">
        <f>IFERROR(__xludf.DUMMYFUNCTION("""COMPUTED_VALUE"""),"MMS12")</f>
        <v>MMS12</v>
      </c>
      <c r="AL1166" s="3"/>
    </row>
    <row r="1167" ht="15.75" customHeight="1">
      <c r="A1167" s="1" t="str">
        <f>IFERROR(__xludf.DUMMYFUNCTION("""COMPUTED_VALUE"""),"21939")</f>
        <v>21939</v>
      </c>
      <c r="B1167" s="2">
        <f>IFERROR(__xludf.DUMMYFUNCTION("""COMPUTED_VALUE"""),21939.0)</f>
        <v>21939</v>
      </c>
      <c r="C1167" s="3" t="str">
        <f>IFERROR(__xludf.DUMMYFUNCTION("""COMPUTED_VALUE"""),"MBC อินนิซิโอ (สำเร็จพัฒนา) นนทบุรี")</f>
        <v>MBC อินนิซิโอ (สำเร็จพัฒนา) นนทบุรี</v>
      </c>
      <c r="D1167" s="3" t="str">
        <f>IFERROR(__xludf.DUMMYFUNCTION("""COMPUTED_VALUE"""),"BCM INIZIO (SAMRET PHATTHANA)")</f>
        <v>BCM INIZIO (SAMRET PHATTHANA)</v>
      </c>
      <c r="E1167" s="1" t="str">
        <f>IFERROR(__xludf.DUMMYFUNCTION("""COMPUTED_VALUE"""),"บิ๊กซี MINI")</f>
        <v>บิ๊กซี MINI</v>
      </c>
      <c r="F1167" s="1" t="str">
        <f>IFERROR(__xludf.DUMMYFUNCTION("""COMPUTED_VALUE"""),"291008")</f>
        <v>291008</v>
      </c>
      <c r="G1167" s="1" t="str">
        <f>IFERROR(__xludf.DUMMYFUNCTION("""COMPUTED_VALUE"""),"น.ส.รัชดาพร อีศรัตน์")</f>
        <v>น.ส.รัชดาพร อีศรัตน์</v>
      </c>
      <c r="H1167" s="1" t="str">
        <f>IFERROR(__xludf.DUMMYFUNCTION("""COMPUTED_VALUE"""),"180055")</f>
        <v>180055</v>
      </c>
      <c r="I1167" s="1" t="str">
        <f>IFERROR(__xludf.DUMMYFUNCTION("""COMPUTED_VALUE"""),"น.ส.สุดารัตน์ บุญล้ำ")</f>
        <v>น.ส.สุดารัตน์ บุญล้ำ</v>
      </c>
      <c r="J1167" s="3">
        <f>IFERROR(__xludf.DUMMYFUNCTION("""COMPUTED_VALUE"""),296608.0)</f>
        <v>296608</v>
      </c>
      <c r="K1167" s="3" t="str">
        <f>IFERROR(__xludf.DUMMYFUNCTION("""COMPUTED_VALUE"""),"นายภาคภูมิ เพ็ชรนิล")</f>
        <v>นายภาคภูมิ เพ็ชรนิล</v>
      </c>
      <c r="L1167" s="1" t="str">
        <f>IFERROR(__xludf.DUMMYFUNCTION("""COMPUTED_VALUE"""),"10 K.Phakphoom P.")</f>
        <v>10 K.Phakphoom P.</v>
      </c>
      <c r="M1167" s="1" t="str">
        <f>IFERROR(__xludf.DUMMYFUNCTION("""COMPUTED_VALUE"""),"063-8955329")</f>
        <v>063-8955329</v>
      </c>
      <c r="N1167" s="3">
        <f>IFERROR(__xludf.DUMMYFUNCTION("""COMPUTED_VALUE"""),22584.0)</f>
        <v>22584</v>
      </c>
      <c r="O1167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167" s="4">
        <f>IFERROR(__xludf.DUMMYFUNCTION("""COMPUTED_VALUE"""),43762.0)</f>
        <v>43762</v>
      </c>
      <c r="Q1167" s="3" t="str">
        <f>IFERROR(__xludf.DUMMYFUNCTION("""COMPUTED_VALUE"""),"A")</f>
        <v>A</v>
      </c>
      <c r="R1167" s="3" t="str">
        <f>IFERROR(__xludf.DUMMYFUNCTION("""COMPUTED_VALUE"""),"Small Format")</f>
        <v>Small Format</v>
      </c>
      <c r="S1167" s="3" t="str">
        <f>IFERROR(__xludf.DUMMYFUNCTION("""COMPUTED_VALUE"""),"BCM")</f>
        <v>BCM</v>
      </c>
      <c r="T1167" s="3" t="str">
        <f>IFERROR(__xludf.DUMMYFUNCTION("""COMPUTED_VALUE"""),"#N/A")</f>
        <v>#N/A</v>
      </c>
      <c r="U1167" s="3" t="str">
        <f>IFERROR(__xludf.DUMMYFUNCTION("""COMPUTED_VALUE"""),"#N/A")</f>
        <v>#N/A</v>
      </c>
      <c r="V1167" s="3" t="str">
        <f>IFERROR(__xludf.DUMMYFUNCTION("""COMPUTED_VALUE"""),"N")</f>
        <v>N</v>
      </c>
      <c r="W1167" s="3">
        <f>IFERROR(__xludf.DUMMYFUNCTION("""COMPUTED_VALUE"""),211966.0)</f>
        <v>211966</v>
      </c>
      <c r="X1167" s="3" t="str">
        <f>IFERROR(__xludf.DUMMYFUNCTION("""COMPUTED_VALUE"""),"33 หมู่5 ตำบลศาลากลาง อำเภอบางกรวย จังหวัดนนทบุรี 11130")</f>
        <v>33 หมู่5 ตำบลศาลากลาง อำเภอบางกรวย จังหวัดนนทบุรี 11130</v>
      </c>
      <c r="Y1167" s="3"/>
      <c r="Z1167" s="3" t="str">
        <f>IFERROR(__xludf.DUMMYFUNCTION("""COMPUTED_VALUE"""),"ศาลากลาง")</f>
        <v>ศาลากลาง</v>
      </c>
      <c r="AA1167" s="3" t="str">
        <f>IFERROR(__xludf.DUMMYFUNCTION("""COMPUTED_VALUE"""),"บางกรวย")</f>
        <v>บางกรวย</v>
      </c>
      <c r="AB1167" s="3" t="str">
        <f>IFERROR(__xludf.DUMMYFUNCTION("""COMPUTED_VALUE"""),"นนทบุรี")</f>
        <v>นนทบุรี</v>
      </c>
      <c r="AC1167" s="3">
        <f>IFERROR(__xludf.DUMMYFUNCTION("""COMPUTED_VALUE"""),11130.0)</f>
        <v>11130</v>
      </c>
      <c r="AD1167" s="3">
        <f>IFERROR(__xludf.DUMMYFUNCTION("""COMPUTED_VALUE"""),13.484093)</f>
        <v>13.484093</v>
      </c>
      <c r="AE1167" s="3">
        <f>IFERROR(__xludf.DUMMYFUNCTION("""COMPUTED_VALUE"""),100.203517)</f>
        <v>100.203517</v>
      </c>
      <c r="AF1167" s="3" t="str">
        <f>IFERROR(__xludf.DUMMYFUNCTION("""COMPUTED_VALUE"""),"MBC อินนิซิโอ (สำเร็จพัฒนา) นนทบุรี-21939")</f>
        <v>MBC อินนิซิโอ (สำเร็จพัฒนา) นนทบุรี-21939</v>
      </c>
      <c r="AG1167" s="3" t="str">
        <f>IFERROR(__xludf.DUMMYFUNCTION("""COMPUTED_VALUE"""),"กลาง")</f>
        <v>กลาง</v>
      </c>
      <c r="AH1167" s="3" t="str">
        <f>IFERROR(__xludf.DUMMYFUNCTION("""COMPUTED_VALUE"""),"#N/A")</f>
        <v>#N/A</v>
      </c>
      <c r="AI1167" s="3" t="str">
        <f>IFERROR(__xludf.DUMMYFUNCTION("""COMPUTED_VALUE"""),"Out of warranty")</f>
        <v>Out of warranty</v>
      </c>
      <c r="AJ1167" s="3">
        <f>IFERROR(__xludf.DUMMYFUNCTION("""COMPUTED_VALUE"""),75.0)</f>
        <v>75</v>
      </c>
      <c r="AK1167" s="3" t="str">
        <f>IFERROR(__xludf.DUMMYFUNCTION("""COMPUTED_VALUE"""),"MMS05")</f>
        <v>MMS05</v>
      </c>
      <c r="AL1167" s="3"/>
    </row>
    <row r="1168" ht="15.75" customHeight="1">
      <c r="A1168" s="1" t="str">
        <f>IFERROR(__xludf.DUMMYFUNCTION("""COMPUTED_VALUE"""),"21940")</f>
        <v>21940</v>
      </c>
      <c r="B1168" s="2">
        <f>IFERROR(__xludf.DUMMYFUNCTION("""COMPUTED_VALUE"""),21940.0)</f>
        <v>21940</v>
      </c>
      <c r="C1168" s="3" t="str">
        <f>IFERROR(__xludf.DUMMYFUNCTION("""COMPUTED_VALUE"""),"MBC ประทิว ชุมพร")</f>
        <v>MBC ประทิว ชุมพร</v>
      </c>
      <c r="D1168" s="3" t="str">
        <f>IFERROR(__xludf.DUMMYFUNCTION("""COMPUTED_VALUE"""),"BCM PATHIO,CHUMPHON")</f>
        <v>BCM PATHIO,CHUMPHON</v>
      </c>
      <c r="E1168" s="1" t="str">
        <f>IFERROR(__xludf.DUMMYFUNCTION("""COMPUTED_VALUE"""),"บิ๊กซี MINI")</f>
        <v>บิ๊กซี MINI</v>
      </c>
      <c r="F1168" s="1" t="str">
        <f>IFERROR(__xludf.DUMMYFUNCTION("""COMPUTED_VALUE"""),"250760")</f>
        <v>250760</v>
      </c>
      <c r="G1168" s="1" t="str">
        <f>IFERROR(__xludf.DUMMYFUNCTION("""COMPUTED_VALUE"""),"นายประทวน สาราบรรณ์")</f>
        <v>นายประทวน สาราบรรณ์</v>
      </c>
      <c r="H1168" s="1" t="str">
        <f>IFERROR(__xludf.DUMMYFUNCTION("""COMPUTED_VALUE"""),"311437")</f>
        <v>311437</v>
      </c>
      <c r="I1168" s="1" t="str">
        <f>IFERROR(__xludf.DUMMYFUNCTION("""COMPUTED_VALUE"""),"นายฉัตรทพร รักวิเชียร")</f>
        <v>นายฉัตรทพร รักวิเชียร</v>
      </c>
      <c r="J1168" s="3">
        <f>IFERROR(__xludf.DUMMYFUNCTION("""COMPUTED_VALUE"""),25324.0)</f>
        <v>25324</v>
      </c>
      <c r="K1168" s="3" t="str">
        <f>IFERROR(__xludf.DUMMYFUNCTION("""COMPUTED_VALUE"""),"นายวิเชฎฐ์ ติรัตนะประคม")</f>
        <v>นายวิเชฎฐ์ ติรัตนะประคม</v>
      </c>
      <c r="L1168" s="1" t="str">
        <f>IFERROR(__xludf.DUMMYFUNCTION("""COMPUTED_VALUE"""),"14 K.Wichet T.")</f>
        <v>14 K.Wichet T.</v>
      </c>
      <c r="M1168" s="1" t="str">
        <f>IFERROR(__xludf.DUMMYFUNCTION("""COMPUTED_VALUE"""),"061-417-6569 / 086-445-5636")</f>
        <v>061-417-6569 / 086-445-5636</v>
      </c>
      <c r="N1168" s="3">
        <f>IFERROR(__xludf.DUMMYFUNCTION("""COMPUTED_VALUE"""),22658.0)</f>
        <v>22658</v>
      </c>
      <c r="O1168" s="3" t="str">
        <f>IFERROR(__xludf.DUMMYFUNCTION("""COMPUTED_VALUE"""),"BCM ถ.วิรัชหงษ์หยก ภูเก็ต")</f>
        <v>BCM ถ.วิรัชหงษ์หยก ภูเก็ต</v>
      </c>
      <c r="P1168" s="4">
        <f>IFERROR(__xludf.DUMMYFUNCTION("""COMPUTED_VALUE"""),43799.0)</f>
        <v>43799</v>
      </c>
      <c r="Q1168" s="3" t="str">
        <f>IFERROR(__xludf.DUMMYFUNCTION("""COMPUTED_VALUE"""),"A")</f>
        <v>A</v>
      </c>
      <c r="R1168" s="3" t="str">
        <f>IFERROR(__xludf.DUMMYFUNCTION("""COMPUTED_VALUE"""),"Small Format")</f>
        <v>Small Format</v>
      </c>
      <c r="S1168" s="3" t="str">
        <f>IFERROR(__xludf.DUMMYFUNCTION("""COMPUTED_VALUE"""),"BCM")</f>
        <v>BCM</v>
      </c>
      <c r="T1168" s="3" t="str">
        <f>IFERROR(__xludf.DUMMYFUNCTION("""COMPUTED_VALUE"""),"#N/A")</f>
        <v>#N/A</v>
      </c>
      <c r="U1168" s="3" t="str">
        <f>IFERROR(__xludf.DUMMYFUNCTION("""COMPUTED_VALUE"""),"#N/A")</f>
        <v>#N/A</v>
      </c>
      <c r="V1168" s="3" t="str">
        <f>IFERROR(__xludf.DUMMYFUNCTION("""COMPUTED_VALUE"""),"N")</f>
        <v>N</v>
      </c>
      <c r="W1168" s="3">
        <f>IFERROR(__xludf.DUMMYFUNCTION("""COMPUTED_VALUE"""),211978.0)</f>
        <v>211978</v>
      </c>
      <c r="X1168" s="3" t="str">
        <f>IFERROR(__xludf.DUMMYFUNCTION("""COMPUTED_VALUE"""),"40/2 หมู่7 ตำบลบางสน อำเภอปะทิว จังหวัดชุมพร 86160")</f>
        <v>40/2 หมู่7 ตำบลบางสน อำเภอปะทิว จังหวัดชุมพร 86160</v>
      </c>
      <c r="Y1168" s="3"/>
      <c r="Z1168" s="3" t="str">
        <f>IFERROR(__xludf.DUMMYFUNCTION("""COMPUTED_VALUE"""),"บางสน")</f>
        <v>บางสน</v>
      </c>
      <c r="AA1168" s="3" t="str">
        <f>IFERROR(__xludf.DUMMYFUNCTION("""COMPUTED_VALUE"""),"ปะทิว")</f>
        <v>ปะทิว</v>
      </c>
      <c r="AB1168" s="3" t="str">
        <f>IFERROR(__xludf.DUMMYFUNCTION("""COMPUTED_VALUE"""),"ชุมพร")</f>
        <v>ชุมพร</v>
      </c>
      <c r="AC1168" s="3">
        <f>IFERROR(__xludf.DUMMYFUNCTION("""COMPUTED_VALUE"""),86160.0)</f>
        <v>86160</v>
      </c>
      <c r="AD1168" s="3">
        <f>IFERROR(__xludf.DUMMYFUNCTION("""COMPUTED_VALUE"""),10.710043)</f>
        <v>10.710043</v>
      </c>
      <c r="AE1168" s="3">
        <f>IFERROR(__xludf.DUMMYFUNCTION("""COMPUTED_VALUE"""),99.317882)</f>
        <v>99.317882</v>
      </c>
      <c r="AF1168" s="3" t="str">
        <f>IFERROR(__xludf.DUMMYFUNCTION("""COMPUTED_VALUE"""),"MBC ประทิว ชุมพร-21940")</f>
        <v>MBC ประทิว ชุมพร-21940</v>
      </c>
      <c r="AG1168" s="3" t="str">
        <f>IFERROR(__xludf.DUMMYFUNCTION("""COMPUTED_VALUE"""),"ใต้")</f>
        <v>ใต้</v>
      </c>
      <c r="AH1168" s="3" t="str">
        <f>IFERROR(__xludf.DUMMYFUNCTION("""COMPUTED_VALUE"""),"#N/A")</f>
        <v>#N/A</v>
      </c>
      <c r="AI1168" s="3" t="str">
        <f>IFERROR(__xludf.DUMMYFUNCTION("""COMPUTED_VALUE"""),"Out of warranty")</f>
        <v>Out of warranty</v>
      </c>
      <c r="AJ1168" s="3">
        <f>IFERROR(__xludf.DUMMYFUNCTION("""COMPUTED_VALUE"""),74.0)</f>
        <v>74</v>
      </c>
      <c r="AK1168" s="3" t="str">
        <f>IFERROR(__xludf.DUMMYFUNCTION("""COMPUTED_VALUE"""),"MMS14")</f>
        <v>MMS14</v>
      </c>
      <c r="AL1168" s="3"/>
    </row>
    <row r="1169" ht="15.75" customHeight="1">
      <c r="A1169" s="1" t="str">
        <f>IFERROR(__xludf.DUMMYFUNCTION("""COMPUTED_VALUE"""),"21941")</f>
        <v>21941</v>
      </c>
      <c r="B1169" s="2">
        <f>IFERROR(__xludf.DUMMYFUNCTION("""COMPUTED_VALUE"""),21941.0)</f>
        <v>21941</v>
      </c>
      <c r="C1169" s="3" t="str">
        <f>IFERROR(__xludf.DUMMYFUNCTION("""COMPUTED_VALUE"""),"MBC ตลาดบ้านปากน้ำ เพชรบูรณ์")</f>
        <v>MBC ตลาดบ้านปากน้ำ เพชรบูรณ์</v>
      </c>
      <c r="D1169" s="3" t="str">
        <f>IFERROR(__xludf.DUMMYFUNCTION("""COMPUTED_VALUE"""),"BCM TALAD BAN PAKNAM")</f>
        <v>BCM TALAD BAN PAKNAM</v>
      </c>
      <c r="E1169" s="1" t="str">
        <f>IFERROR(__xludf.DUMMYFUNCTION("""COMPUTED_VALUE"""),"บิ๊กซี MINI")</f>
        <v>บิ๊กซี MINI</v>
      </c>
      <c r="F1169" s="1" t="str">
        <f>IFERROR(__xludf.DUMMYFUNCTION("""COMPUTED_VALUE"""),"296229")</f>
        <v>296229</v>
      </c>
      <c r="G1169" s="1" t="str">
        <f>IFERROR(__xludf.DUMMYFUNCTION("""COMPUTED_VALUE"""),"นายทนงศักดิ์ บุญมา")</f>
        <v>นายทนงศักดิ์ บุญมา</v>
      </c>
      <c r="H1169" s="1" t="str">
        <f>IFERROR(__xludf.DUMMYFUNCTION("""COMPUTED_VALUE"""),"291082")</f>
        <v>291082</v>
      </c>
      <c r="I1169" s="1" t="str">
        <f>IFERROR(__xludf.DUMMYFUNCTION("""COMPUTED_VALUE"""),"น.ส.วจี กันเกตุ")</f>
        <v>น.ส.วจี กันเกตุ</v>
      </c>
      <c r="J1169" s="3">
        <f>IFERROR(__xludf.DUMMYFUNCTION("""COMPUTED_VALUE"""),46214.0)</f>
        <v>46214</v>
      </c>
      <c r="K1169" s="3" t="str">
        <f>IFERROR(__xludf.DUMMYFUNCTION("""COMPUTED_VALUE"""),"นายศักดิ์ชัย เด็ดดอกฟ้า")</f>
        <v>นายศักดิ์ชัย เด็ดดอกฟ้า</v>
      </c>
      <c r="L1169" s="1" t="str">
        <f>IFERROR(__xludf.DUMMYFUNCTION("""COMPUTED_VALUE"""),"02 K.Sakchai D")</f>
        <v>02 K.Sakchai D</v>
      </c>
      <c r="M1169" s="1" t="str">
        <f>IFERROR(__xludf.DUMMYFUNCTION("""COMPUTED_VALUE"""),"065-510-7376")</f>
        <v>065-510-7376</v>
      </c>
      <c r="N1169" s="3">
        <f>IFERROR(__xludf.DUMMYFUNCTION("""COMPUTED_VALUE"""),21714.0)</f>
        <v>21714</v>
      </c>
      <c r="O1169" s="3" t="str">
        <f>IFERROR(__xludf.DUMMYFUNCTION("""COMPUTED_VALUE"""),"MBC เอสโซ่ วัดโบสถ์")</f>
        <v>MBC เอสโซ่ วัดโบสถ์</v>
      </c>
      <c r="P1169" s="4">
        <f>IFERROR(__xludf.DUMMYFUNCTION("""COMPUTED_VALUE"""),43764.0)</f>
        <v>43764</v>
      </c>
      <c r="Q1169" s="3" t="str">
        <f>IFERROR(__xludf.DUMMYFUNCTION("""COMPUTED_VALUE"""),"A")</f>
        <v>A</v>
      </c>
      <c r="R1169" s="3" t="str">
        <f>IFERROR(__xludf.DUMMYFUNCTION("""COMPUTED_VALUE"""),"Small Format")</f>
        <v>Small Format</v>
      </c>
      <c r="S1169" s="3" t="str">
        <f>IFERROR(__xludf.DUMMYFUNCTION("""COMPUTED_VALUE"""),"BCM")</f>
        <v>BCM</v>
      </c>
      <c r="T1169" s="3" t="str">
        <f>IFERROR(__xludf.DUMMYFUNCTION("""COMPUTED_VALUE"""),"#N/A")</f>
        <v>#N/A</v>
      </c>
      <c r="U1169" s="3" t="str">
        <f>IFERROR(__xludf.DUMMYFUNCTION("""COMPUTED_VALUE"""),"#N/A")</f>
        <v>#N/A</v>
      </c>
      <c r="V1169" s="3" t="str">
        <f>IFERROR(__xludf.DUMMYFUNCTION("""COMPUTED_VALUE"""),"N")</f>
        <v>N</v>
      </c>
      <c r="W1169" s="3">
        <f>IFERROR(__xludf.DUMMYFUNCTION("""COMPUTED_VALUE"""),211969.0)</f>
        <v>211969</v>
      </c>
      <c r="X1169" s="3" t="str">
        <f>IFERROR(__xludf.DUMMYFUNCTION("""COMPUTED_VALUE"""),"282 หมู่11 ตำบลนาป่า อำเภอเมืองเพชรบรูณ์ จังหวัดเพชรบรูณ์ 67000")</f>
        <v>282 หมู่11 ตำบลนาป่า อำเภอเมืองเพชรบรูณ์ จังหวัดเพชรบรูณ์ 67000</v>
      </c>
      <c r="Y1169" s="3"/>
      <c r="Z1169" s="3" t="str">
        <f>IFERROR(__xludf.DUMMYFUNCTION("""COMPUTED_VALUE"""),"นาป่า")</f>
        <v>นาป่า</v>
      </c>
      <c r="AA1169" s="3" t="str">
        <f>IFERROR(__xludf.DUMMYFUNCTION("""COMPUTED_VALUE"""),"เมือง")</f>
        <v>เมือง</v>
      </c>
      <c r="AB1169" s="3" t="str">
        <f>IFERROR(__xludf.DUMMYFUNCTION("""COMPUTED_VALUE"""),"เพชรบูรณ์")</f>
        <v>เพชรบูรณ์</v>
      </c>
      <c r="AC1169" s="3">
        <f>IFERROR(__xludf.DUMMYFUNCTION("""COMPUTED_VALUE"""),67000.0)</f>
        <v>67000</v>
      </c>
      <c r="AD1169" s="3">
        <f>IFERROR(__xludf.DUMMYFUNCTION("""COMPUTED_VALUE"""),16.393014)</f>
        <v>16.393014</v>
      </c>
      <c r="AE1169" s="3">
        <f>IFERROR(__xludf.DUMMYFUNCTION("""COMPUTED_VALUE"""),101.172149)</f>
        <v>101.172149</v>
      </c>
      <c r="AF1169" s="3" t="str">
        <f>IFERROR(__xludf.DUMMYFUNCTION("""COMPUTED_VALUE"""),"MBC ตลาดบ้านปากน้ำ เพชรบูรณ์-21941")</f>
        <v>MBC ตลาดบ้านปากน้ำ เพชรบูรณ์-21941</v>
      </c>
      <c r="AG1169" s="3" t="str">
        <f>IFERROR(__xludf.DUMMYFUNCTION("""COMPUTED_VALUE"""),"กลาง")</f>
        <v>กลาง</v>
      </c>
      <c r="AH1169" s="3" t="str">
        <f>IFERROR(__xludf.DUMMYFUNCTION("""COMPUTED_VALUE"""),"#N/A")</f>
        <v>#N/A</v>
      </c>
      <c r="AI1169" s="3" t="str">
        <f>IFERROR(__xludf.DUMMYFUNCTION("""COMPUTED_VALUE"""),"Out of warranty")</f>
        <v>Out of warranty</v>
      </c>
      <c r="AJ1169" s="3">
        <f>IFERROR(__xludf.DUMMYFUNCTION("""COMPUTED_VALUE"""),75.0)</f>
        <v>75</v>
      </c>
      <c r="AK1169" s="3" t="str">
        <f>IFERROR(__xludf.DUMMYFUNCTION("""COMPUTED_VALUE"""),"MMS09")</f>
        <v>MMS09</v>
      </c>
      <c r="AL1169" s="3"/>
    </row>
    <row r="1170" ht="15.75" customHeight="1">
      <c r="A1170" s="1" t="str">
        <f>IFERROR(__xludf.DUMMYFUNCTION("""COMPUTED_VALUE"""),"21942")</f>
        <v>21942</v>
      </c>
      <c r="B1170" s="2">
        <f>IFERROR(__xludf.DUMMYFUNCTION("""COMPUTED_VALUE"""),21942.0)</f>
        <v>21942</v>
      </c>
      <c r="C1170" s="3" t="str">
        <f>IFERROR(__xludf.DUMMYFUNCTION("""COMPUTED_VALUE"""),"MBC ตลาดเทศบาลบึงกาฬ บึงกาฬ")</f>
        <v>MBC ตลาดเทศบาลบึงกาฬ บึงกาฬ</v>
      </c>
      <c r="D1170" s="3" t="str">
        <f>IFERROR(__xludf.DUMMYFUNCTION("""COMPUTED_VALUE"""),"BCM TALAD TESSABAN BUENG KAN")</f>
        <v>BCM TALAD TESSABAN BUENG KAN</v>
      </c>
      <c r="E1170" s="1" t="str">
        <f>IFERROR(__xludf.DUMMYFUNCTION("""COMPUTED_VALUE"""),"บิ๊กซี MINI")</f>
        <v>บิ๊กซี MINI</v>
      </c>
      <c r="F1170" s="1" t="str">
        <f>IFERROR(__xludf.DUMMYFUNCTION("""COMPUTED_VALUE"""),"291105")</f>
        <v>291105</v>
      </c>
      <c r="G1170" s="1" t="str">
        <f>IFERROR(__xludf.DUMMYFUNCTION("""COMPUTED_VALUE"""),"นายสราวุฒิ พณิชยกุล")</f>
        <v>นายสราวุฒิ พณิชยกุล</v>
      </c>
      <c r="H1170" s="1" t="str">
        <f>IFERROR(__xludf.DUMMYFUNCTION("""COMPUTED_VALUE"""),"392885")</f>
        <v>392885</v>
      </c>
      <c r="I1170" s="1" t="str">
        <f>IFERROR(__xludf.DUMMYFUNCTION("""COMPUTED_VALUE"""),"น.ส.วราพร จันปลิว")</f>
        <v>น.ส.วราพร จันปลิว</v>
      </c>
      <c r="J1170" s="3">
        <f>IFERROR(__xludf.DUMMYFUNCTION("""COMPUTED_VALUE"""),296868.0)</f>
        <v>296868</v>
      </c>
      <c r="K1170" s="3" t="str">
        <f>IFERROR(__xludf.DUMMYFUNCTION("""COMPUTED_VALUE"""),"นายพีระพงษ์ แก้วดวงดี")</f>
        <v>นายพีระพงษ์ แก้วดวงดี</v>
      </c>
      <c r="L1170" s="1" t="str">
        <f>IFERROR(__xludf.DUMMYFUNCTION("""COMPUTED_VALUE"""),"03 K.Peerapong K.")</f>
        <v>03 K.Peerapong K.</v>
      </c>
      <c r="M1170" s="1" t="str">
        <f>IFERROR(__xludf.DUMMYFUNCTION("""COMPUTED_VALUE"""),"089-002-6599")</f>
        <v>089-002-6599</v>
      </c>
      <c r="N1170" s="3">
        <f>IFERROR(__xludf.DUMMYFUNCTION("""COMPUTED_VALUE"""),21946.0)</f>
        <v>21946</v>
      </c>
      <c r="O1170" s="3" t="str">
        <f>IFERROR(__xludf.DUMMYFUNCTION("""COMPUTED_VALUE"""),"MBC เซกา บึงกาฬ")</f>
        <v>MBC เซกา บึงกาฬ</v>
      </c>
      <c r="P1170" s="4">
        <f>IFERROR(__xludf.DUMMYFUNCTION("""COMPUTED_VALUE"""),43766.0)</f>
        <v>43766</v>
      </c>
      <c r="Q1170" s="3" t="str">
        <f>IFERROR(__xludf.DUMMYFUNCTION("""COMPUTED_VALUE"""),"A")</f>
        <v>A</v>
      </c>
      <c r="R1170" s="3" t="str">
        <f>IFERROR(__xludf.DUMMYFUNCTION("""COMPUTED_VALUE"""),"Small Format")</f>
        <v>Small Format</v>
      </c>
      <c r="S1170" s="3" t="str">
        <f>IFERROR(__xludf.DUMMYFUNCTION("""COMPUTED_VALUE"""),"BCM")</f>
        <v>BCM</v>
      </c>
      <c r="T1170" s="3" t="str">
        <f>IFERROR(__xludf.DUMMYFUNCTION("""COMPUTED_VALUE"""),"#N/A")</f>
        <v>#N/A</v>
      </c>
      <c r="U1170" s="3" t="str">
        <f>IFERROR(__xludf.DUMMYFUNCTION("""COMPUTED_VALUE"""),"#N/A")</f>
        <v>#N/A</v>
      </c>
      <c r="V1170" s="3" t="str">
        <f>IFERROR(__xludf.DUMMYFUNCTION("""COMPUTED_VALUE"""),"N")</f>
        <v>N</v>
      </c>
      <c r="W1170" s="3">
        <f>IFERROR(__xludf.DUMMYFUNCTION("""COMPUTED_VALUE"""),211823.0)</f>
        <v>211823</v>
      </c>
      <c r="X1170" s="3" t="str">
        <f>IFERROR(__xludf.DUMMYFUNCTION("""COMPUTED_VALUE"""),"429 หมู่1 ถนนบำรุงราษฏร์ ตำบลบึงกาฬ อำเภอเมืองบึงกาฬ จังหวัดบึงกาฬ 38000")</f>
        <v>429 หมู่1 ถนนบำรุงราษฏร์ ตำบลบึงกาฬ อำเภอเมืองบึงกาฬ จังหวัดบึงกาฬ 38000</v>
      </c>
      <c r="Y1170" s="3"/>
      <c r="Z1170" s="3" t="str">
        <f>IFERROR(__xludf.DUMMYFUNCTION("""COMPUTED_VALUE"""),"บึงกาฬ")</f>
        <v>บึงกาฬ</v>
      </c>
      <c r="AA1170" s="3" t="str">
        <f>IFERROR(__xludf.DUMMYFUNCTION("""COMPUTED_VALUE"""),"เมือง")</f>
        <v>เมือง</v>
      </c>
      <c r="AB1170" s="3" t="str">
        <f>IFERROR(__xludf.DUMMYFUNCTION("""COMPUTED_VALUE"""),"บึงกาฬ")</f>
        <v>บึงกาฬ</v>
      </c>
      <c r="AC1170" s="3">
        <f>IFERROR(__xludf.DUMMYFUNCTION("""COMPUTED_VALUE"""),38000.0)</f>
        <v>38000</v>
      </c>
      <c r="AD1170" s="3">
        <f>IFERROR(__xludf.DUMMYFUNCTION("""COMPUTED_VALUE"""),18.36531)</f>
        <v>18.36531</v>
      </c>
      <c r="AE1170" s="3">
        <f>IFERROR(__xludf.DUMMYFUNCTION("""COMPUTED_VALUE"""),103.653872)</f>
        <v>103.653872</v>
      </c>
      <c r="AF1170" s="3" t="str">
        <f>IFERROR(__xludf.DUMMYFUNCTION("""COMPUTED_VALUE"""),"MBC ตลาดเทศบาลบึงกาฬ บึงกาฬ-21942")</f>
        <v>MBC ตลาดเทศบาลบึงกาฬ บึงกาฬ-21942</v>
      </c>
      <c r="AG1170" s="3" t="str">
        <f>IFERROR(__xludf.DUMMYFUNCTION("""COMPUTED_VALUE"""),"ตะวันออกเฉียงเหนือ")</f>
        <v>ตะวันออกเฉียงเหนือ</v>
      </c>
      <c r="AH1170" s="3" t="str">
        <f>IFERROR(__xludf.DUMMYFUNCTION("""COMPUTED_VALUE"""),"#N/A")</f>
        <v>#N/A</v>
      </c>
      <c r="AI1170" s="3" t="str">
        <f>IFERROR(__xludf.DUMMYFUNCTION("""COMPUTED_VALUE"""),"Out of warranty")</f>
        <v>Out of warranty</v>
      </c>
      <c r="AJ1170" s="3">
        <f>IFERROR(__xludf.DUMMYFUNCTION("""COMPUTED_VALUE"""),75.0)</f>
        <v>75</v>
      </c>
      <c r="AK1170" s="3" t="str">
        <f>IFERROR(__xludf.DUMMYFUNCTION("""COMPUTED_VALUE"""),"MMS12")</f>
        <v>MMS12</v>
      </c>
      <c r="AL1170" s="3"/>
    </row>
    <row r="1171" ht="15.75" customHeight="1">
      <c r="A1171" s="1" t="str">
        <f>IFERROR(__xludf.DUMMYFUNCTION("""COMPUTED_VALUE"""),"21943")</f>
        <v>21943</v>
      </c>
      <c r="B1171" s="2">
        <f>IFERROR(__xludf.DUMMYFUNCTION("""COMPUTED_VALUE"""),21943.0)</f>
        <v>21943</v>
      </c>
      <c r="C1171" s="3" t="str">
        <f>IFERROR(__xludf.DUMMYFUNCTION("""COMPUTED_VALUE"""),"MBC แยกต้นเกว๋น เชียงใหม่")</f>
        <v>MBC แยกต้นเกว๋น เชียงใหม่</v>
      </c>
      <c r="D1171" s="3" t="str">
        <f>IFERROR(__xludf.DUMMYFUNCTION("""COMPUTED_VALUE"""),"BCM YAEK TON KWAIN,CHIANG MAI")</f>
        <v>BCM YAEK TON KWAIN,CHIANG MAI</v>
      </c>
      <c r="E1171" s="1" t="str">
        <f>IFERROR(__xludf.DUMMYFUNCTION("""COMPUTED_VALUE"""),"บิ๊กซี MINI")</f>
        <v>บิ๊กซี MINI</v>
      </c>
      <c r="F1171" s="1" t="str">
        <f>IFERROR(__xludf.DUMMYFUNCTION("""COMPUTED_VALUE"""),"296229")</f>
        <v>296229</v>
      </c>
      <c r="G1171" s="1" t="str">
        <f>IFERROR(__xludf.DUMMYFUNCTION("""COMPUTED_VALUE"""),"นายทนงศักดิ์ บุญมา")</f>
        <v>นายทนงศักดิ์ บุญมา</v>
      </c>
      <c r="H1171" s="1" t="str">
        <f>IFERROR(__xludf.DUMMYFUNCTION("""COMPUTED_VALUE"""),"392003")</f>
        <v>392003</v>
      </c>
      <c r="I1171" s="1" t="str">
        <f>IFERROR(__xludf.DUMMYFUNCTION("""COMPUTED_VALUE"""),"นายวรภพ เศษสูงเนิน")</f>
        <v>นายวรภพ เศษสูงเนิน</v>
      </c>
      <c r="J1171" s="3">
        <f>IFERROR(__xludf.DUMMYFUNCTION("""COMPUTED_VALUE"""),2010016.0)</f>
        <v>2010016</v>
      </c>
      <c r="K1171" s="3" t="str">
        <f>IFERROR(__xludf.DUMMYFUNCTION("""COMPUTED_VALUE"""),"นายตวงธรรม ใหม่ยศ")</f>
        <v>นายตวงธรรม ใหม่ยศ</v>
      </c>
      <c r="L1171" s="1" t="str">
        <f>IFERROR(__xludf.DUMMYFUNCTION("""COMPUTED_VALUE"""),"01 K.Tuangtham M.")</f>
        <v>01 K.Tuangtham M.</v>
      </c>
      <c r="M1171" s="1" t="str">
        <f>IFERROR(__xludf.DUMMYFUNCTION("""COMPUTED_VALUE"""),"063-976-595")</f>
        <v>063-976-595</v>
      </c>
      <c r="N1171" s="3">
        <f>IFERROR(__xludf.DUMMYFUNCTION("""COMPUTED_VALUE"""),22574.0)</f>
        <v>22574</v>
      </c>
      <c r="O1171" s="3" t="str">
        <f>IFERROR(__xludf.DUMMYFUNCTION("""COMPUTED_VALUE"""),"BCM ชุมชนศรีชุม ลำปาง")</f>
        <v>BCM ชุมชนศรีชุม ลำปาง</v>
      </c>
      <c r="P1171" s="4">
        <f>IFERROR(__xludf.DUMMYFUNCTION("""COMPUTED_VALUE"""),43767.0)</f>
        <v>43767</v>
      </c>
      <c r="Q1171" s="3" t="str">
        <f>IFERROR(__xludf.DUMMYFUNCTION("""COMPUTED_VALUE"""),"A")</f>
        <v>A</v>
      </c>
      <c r="R1171" s="3" t="str">
        <f>IFERROR(__xludf.DUMMYFUNCTION("""COMPUTED_VALUE"""),"Small Format")</f>
        <v>Small Format</v>
      </c>
      <c r="S1171" s="3" t="str">
        <f>IFERROR(__xludf.DUMMYFUNCTION("""COMPUTED_VALUE"""),"BCM")</f>
        <v>BCM</v>
      </c>
      <c r="T1171" s="3" t="str">
        <f>IFERROR(__xludf.DUMMYFUNCTION("""COMPUTED_VALUE"""),"#N/A")</f>
        <v>#N/A</v>
      </c>
      <c r="U1171" s="3" t="str">
        <f>IFERROR(__xludf.DUMMYFUNCTION("""COMPUTED_VALUE"""),"#N/A")</f>
        <v>#N/A</v>
      </c>
      <c r="V1171" s="3" t="str">
        <f>IFERROR(__xludf.DUMMYFUNCTION("""COMPUTED_VALUE"""),"N")</f>
        <v>N</v>
      </c>
      <c r="W1171" s="3">
        <f>IFERROR(__xludf.DUMMYFUNCTION("""COMPUTED_VALUE"""),211943.0)</f>
        <v>211943</v>
      </c>
      <c r="X1171" s="3" t="str">
        <f>IFERROR(__xludf.DUMMYFUNCTION("""COMPUTED_VALUE"""),"185/1 หมู่6 ตำบลหนองควาย อำเภอหางดง จังหวัดเชียงใหม่ 50230")</f>
        <v>185/1 หมู่6 ตำบลหนองควาย อำเภอหางดง จังหวัดเชียงใหม่ 50230</v>
      </c>
      <c r="Y1171" s="3"/>
      <c r="Z1171" s="3" t="str">
        <f>IFERROR(__xludf.DUMMYFUNCTION("""COMPUTED_VALUE"""),"หนองควาย")</f>
        <v>หนองควาย</v>
      </c>
      <c r="AA1171" s="3" t="str">
        <f>IFERROR(__xludf.DUMMYFUNCTION("""COMPUTED_VALUE"""),"หางดง")</f>
        <v>หางดง</v>
      </c>
      <c r="AB1171" s="3" t="str">
        <f>IFERROR(__xludf.DUMMYFUNCTION("""COMPUTED_VALUE"""),"เชียงใหม่")</f>
        <v>เชียงใหม่</v>
      </c>
      <c r="AC1171" s="3">
        <f>IFERROR(__xludf.DUMMYFUNCTION("""COMPUTED_VALUE"""),50230.0)</f>
        <v>50230</v>
      </c>
      <c r="AD1171" s="3">
        <f>IFERROR(__xludf.DUMMYFUNCTION("""COMPUTED_VALUE"""),18.7241)</f>
        <v>18.7241</v>
      </c>
      <c r="AE1171" s="3">
        <f>IFERROR(__xludf.DUMMYFUNCTION("""COMPUTED_VALUE"""),98.929287)</f>
        <v>98.929287</v>
      </c>
      <c r="AF1171" s="3" t="str">
        <f>IFERROR(__xludf.DUMMYFUNCTION("""COMPUTED_VALUE"""),"MBC แยกต้นเกว๋น เชียงใหม่-21943")</f>
        <v>MBC แยกต้นเกว๋น เชียงใหม่-21943</v>
      </c>
      <c r="AG1171" s="3" t="str">
        <f>IFERROR(__xludf.DUMMYFUNCTION("""COMPUTED_VALUE"""),"เหนือ")</f>
        <v>เหนือ</v>
      </c>
      <c r="AH1171" s="3" t="str">
        <f>IFERROR(__xludf.DUMMYFUNCTION("""COMPUTED_VALUE"""),"#N/A")</f>
        <v>#N/A</v>
      </c>
      <c r="AI1171" s="3" t="str">
        <f>IFERROR(__xludf.DUMMYFUNCTION("""COMPUTED_VALUE"""),"Out of warranty")</f>
        <v>Out of warranty</v>
      </c>
      <c r="AJ1171" s="3">
        <f>IFERROR(__xludf.DUMMYFUNCTION("""COMPUTED_VALUE"""),75.0)</f>
        <v>75</v>
      </c>
      <c r="AK1171" s="3" t="str">
        <f>IFERROR(__xludf.DUMMYFUNCTION("""COMPUTED_VALUE"""),"MMS10")</f>
        <v>MMS10</v>
      </c>
      <c r="AL1171" s="3"/>
    </row>
    <row r="1172" ht="15.75" customHeight="1">
      <c r="A1172" s="1" t="str">
        <f>IFERROR(__xludf.DUMMYFUNCTION("""COMPUTED_VALUE"""),"21944")</f>
        <v>21944</v>
      </c>
      <c r="B1172" s="2">
        <f>IFERROR(__xludf.DUMMYFUNCTION("""COMPUTED_VALUE"""),21944.0)</f>
        <v>21944</v>
      </c>
      <c r="C1172" s="3" t="str">
        <f>IFERROR(__xludf.DUMMYFUNCTION("""COMPUTED_VALUE"""),"MBC ถนนหฤทัย ชัยภูมิ")</f>
        <v>MBC ถนนหฤทัย ชัยภูมิ</v>
      </c>
      <c r="D1172" s="3" t="str">
        <f>IFERROR(__xludf.DUMMYFUNCTION("""COMPUTED_VALUE"""),"BCM THANON HARUTHAI")</f>
        <v>BCM THANON HARUTHAI</v>
      </c>
      <c r="E1172" s="1" t="str">
        <f>IFERROR(__xludf.DUMMYFUNCTION("""COMPUTED_VALUE"""),"บิ๊กซี MINI")</f>
        <v>บิ๊กซี MINI</v>
      </c>
      <c r="F1172" s="1" t="str">
        <f>IFERROR(__xludf.DUMMYFUNCTION("""COMPUTED_VALUE"""),"291105")</f>
        <v>291105</v>
      </c>
      <c r="G1172" s="1" t="str">
        <f>IFERROR(__xludf.DUMMYFUNCTION("""COMPUTED_VALUE"""),"นายสราวุฒิ พณิชยกุล")</f>
        <v>นายสราวุฒิ พณิชยกุล</v>
      </c>
      <c r="H1172" s="1" t="str">
        <f>IFERROR(__xludf.DUMMYFUNCTION("""COMPUTED_VALUE"""),"371396")</f>
        <v>371396</v>
      </c>
      <c r="I1172" s="1" t="str">
        <f>IFERROR(__xludf.DUMMYFUNCTION("""COMPUTED_VALUE"""),"น.ส.สุภาวดี วิลัยพร")</f>
        <v>น.ส.สุภาวดี วิลัยพร</v>
      </c>
      <c r="J1172" s="3">
        <f>IFERROR(__xludf.DUMMYFUNCTION("""COMPUTED_VALUE"""),15361.0)</f>
        <v>15361</v>
      </c>
      <c r="K1172" s="3" t="str">
        <f>IFERROR(__xludf.DUMMYFUNCTION("""COMPUTED_VALUE"""),"นายสมบูรณ์ พรหมในเมือง")</f>
        <v>นายสมบูรณ์ พรหมในเมือง</v>
      </c>
      <c r="L1172" s="1" t="str">
        <f>IFERROR(__xludf.DUMMYFUNCTION("""COMPUTED_VALUE"""),"04 K.Somboon P.")</f>
        <v>04 K.Somboon P.</v>
      </c>
      <c r="M1172" s="1" t="str">
        <f>IFERROR(__xludf.DUMMYFUNCTION("""COMPUTED_VALUE"""),"087-965-3051")</f>
        <v>087-965-3051</v>
      </c>
      <c r="N1172" s="3">
        <f>IFERROR(__xludf.DUMMYFUNCTION("""COMPUTED_VALUE"""),21869.0)</f>
        <v>21869</v>
      </c>
      <c r="O1172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172" s="4">
        <f>IFERROR(__xludf.DUMMYFUNCTION("""COMPUTED_VALUE"""),43805.0)</f>
        <v>43805</v>
      </c>
      <c r="Q1172" s="3" t="str">
        <f>IFERROR(__xludf.DUMMYFUNCTION("""COMPUTED_VALUE"""),"A")</f>
        <v>A</v>
      </c>
      <c r="R1172" s="3" t="str">
        <f>IFERROR(__xludf.DUMMYFUNCTION("""COMPUTED_VALUE"""),"Small Format")</f>
        <v>Small Format</v>
      </c>
      <c r="S1172" s="3" t="str">
        <f>IFERROR(__xludf.DUMMYFUNCTION("""COMPUTED_VALUE"""),"BCM")</f>
        <v>BCM</v>
      </c>
      <c r="T1172" s="3" t="str">
        <f>IFERROR(__xludf.DUMMYFUNCTION("""COMPUTED_VALUE"""),"#N/A")</f>
        <v>#N/A</v>
      </c>
      <c r="U1172" s="3" t="str">
        <f>IFERROR(__xludf.DUMMYFUNCTION("""COMPUTED_VALUE"""),"#N/A")</f>
        <v>#N/A</v>
      </c>
      <c r="V1172" s="3" t="str">
        <f>IFERROR(__xludf.DUMMYFUNCTION("""COMPUTED_VALUE"""),"N")</f>
        <v>N</v>
      </c>
      <c r="W1172" s="3">
        <f>IFERROR(__xludf.DUMMYFUNCTION("""COMPUTED_VALUE"""),211817.0)</f>
        <v>211817</v>
      </c>
      <c r="X1172" s="3" t="str">
        <f>IFERROR(__xludf.DUMMYFUNCTION("""COMPUTED_VALUE"""),"336/124-125ก ถนนหฤทัย ตำบลในเมือง อำเภอเมืองชัยภูมิ จังหวัดชัยภูมิ 36000")</f>
        <v>336/124-125ก ถนนหฤทัย ตำบลในเมือง อำเภอเมืองชัยภูมิ จังหวัดชัยภูมิ 36000</v>
      </c>
      <c r="Y1172" s="3" t="str">
        <f>IFERROR(__xludf.DUMMYFUNCTION("""COMPUTED_VALUE"""),"ถนนหฤทัย")</f>
        <v>ถนนหฤทัย</v>
      </c>
      <c r="Z1172" s="3" t="str">
        <f>IFERROR(__xludf.DUMMYFUNCTION("""COMPUTED_VALUE"""),"ในเมือง")</f>
        <v>ในเมือง</v>
      </c>
      <c r="AA1172" s="3" t="str">
        <f>IFERROR(__xludf.DUMMYFUNCTION("""COMPUTED_VALUE"""),"เมือง")</f>
        <v>เมือง</v>
      </c>
      <c r="AB1172" s="3" t="str">
        <f>IFERROR(__xludf.DUMMYFUNCTION("""COMPUTED_VALUE"""),"ชัยภูมิ")</f>
        <v>ชัยภูมิ</v>
      </c>
      <c r="AC1172" s="3">
        <f>IFERROR(__xludf.DUMMYFUNCTION("""COMPUTED_VALUE"""),36000.0)</f>
        <v>36000</v>
      </c>
      <c r="AD1172" s="3">
        <f>IFERROR(__xludf.DUMMYFUNCTION("""COMPUTED_VALUE"""),15.808397)</f>
        <v>15.808397</v>
      </c>
      <c r="AE1172" s="3">
        <f>IFERROR(__xludf.DUMMYFUNCTION("""COMPUTED_VALUE"""),102.031445)</f>
        <v>102.031445</v>
      </c>
      <c r="AF1172" s="3" t="str">
        <f>IFERROR(__xludf.DUMMYFUNCTION("""COMPUTED_VALUE"""),"MBC ถนนหฤทัย ชัยภูมิ-21944")</f>
        <v>MBC ถนนหฤทัย ชัยภูมิ-21944</v>
      </c>
      <c r="AG1172" s="3" t="str">
        <f>IFERROR(__xludf.DUMMYFUNCTION("""COMPUTED_VALUE"""),"ตะวันออกเฉียงเหนือ")</f>
        <v>ตะวันออกเฉียงเหนือ</v>
      </c>
      <c r="AH1172" s="3" t="str">
        <f>IFERROR(__xludf.DUMMYFUNCTION("""COMPUTED_VALUE"""),"#N/A")</f>
        <v>#N/A</v>
      </c>
      <c r="AI1172" s="3" t="str">
        <f>IFERROR(__xludf.DUMMYFUNCTION("""COMPUTED_VALUE"""),"Out of warranty")</f>
        <v>Out of warranty</v>
      </c>
      <c r="AJ1172" s="3">
        <f>IFERROR(__xludf.DUMMYFUNCTION("""COMPUTED_VALUE"""),74.0)</f>
        <v>74</v>
      </c>
      <c r="AK1172" s="3" t="str">
        <f>IFERROR(__xludf.DUMMYFUNCTION("""COMPUTED_VALUE"""),"MMS11")</f>
        <v>MMS11</v>
      </c>
      <c r="AL1172" s="3"/>
    </row>
    <row r="1173" ht="15.75" customHeight="1">
      <c r="A1173" s="1" t="str">
        <f>IFERROR(__xludf.DUMMYFUNCTION("""COMPUTED_VALUE"""),"21945")</f>
        <v>21945</v>
      </c>
      <c r="B1173" s="2">
        <f>IFERROR(__xludf.DUMMYFUNCTION("""COMPUTED_VALUE"""),21945.0)</f>
        <v>21945</v>
      </c>
      <c r="C1173" s="3" t="str">
        <f>IFERROR(__xludf.DUMMYFUNCTION("""COMPUTED_VALUE"""),"MBC ตลาดโรงเกลือพระพุทธบาท สระบุรี")</f>
        <v>MBC ตลาดโรงเกลือพระพุทธบาท สระบุรี</v>
      </c>
      <c r="D1173" s="3" t="str">
        <f>IFERROR(__xludf.DUMMYFUNCTION("""COMPUTED_VALUE"""),"BCM RONG KLUEA PHRA PHUTTHABAT")</f>
        <v>BCM RONG KLUEA PHRA PHUTTHABAT</v>
      </c>
      <c r="E1173" s="1" t="str">
        <f>IFERROR(__xludf.DUMMYFUNCTION("""COMPUTED_VALUE"""),"บิ๊กซี MINI")</f>
        <v>บิ๊กซี MINI</v>
      </c>
      <c r="F1173" s="1" t="str">
        <f>IFERROR(__xludf.DUMMYFUNCTION("""COMPUTED_VALUE"""),"296229")</f>
        <v>296229</v>
      </c>
      <c r="G1173" s="1" t="str">
        <f>IFERROR(__xludf.DUMMYFUNCTION("""COMPUTED_VALUE"""),"นายทนงศักดิ์ บุญมา")</f>
        <v>นายทนงศักดิ์ บุญมา</v>
      </c>
      <c r="H1173" s="1" t="str">
        <f>IFERROR(__xludf.DUMMYFUNCTION("""COMPUTED_VALUE"""),"291082")</f>
        <v>291082</v>
      </c>
      <c r="I1173" s="1" t="str">
        <f>IFERROR(__xludf.DUMMYFUNCTION("""COMPUTED_VALUE"""),"น.ส.วจี กันเกตุ")</f>
        <v>น.ส.วจี กันเกตุ</v>
      </c>
      <c r="J1173" s="3">
        <f>IFERROR(__xludf.DUMMYFUNCTION("""COMPUTED_VALUE"""),46214.0)</f>
        <v>46214</v>
      </c>
      <c r="K1173" s="3" t="str">
        <f>IFERROR(__xludf.DUMMYFUNCTION("""COMPUTED_VALUE"""),"นายศักดิ์ชัย เด็ดดอกฟ้า")</f>
        <v>นายศักดิ์ชัย เด็ดดอกฟ้า</v>
      </c>
      <c r="L1173" s="1" t="str">
        <f>IFERROR(__xludf.DUMMYFUNCTION("""COMPUTED_VALUE"""),"02 K.Sakchai D")</f>
        <v>02 K.Sakchai D</v>
      </c>
      <c r="M1173" s="1" t="str">
        <f>IFERROR(__xludf.DUMMYFUNCTION("""COMPUTED_VALUE"""),"065-510-7376")</f>
        <v>065-510-7376</v>
      </c>
      <c r="N1173" s="3">
        <f>IFERROR(__xludf.DUMMYFUNCTION("""COMPUTED_VALUE"""),21714.0)</f>
        <v>21714</v>
      </c>
      <c r="O1173" s="3" t="str">
        <f>IFERROR(__xludf.DUMMYFUNCTION("""COMPUTED_VALUE"""),"MBC เอสโซ่ วัดโบสถ์")</f>
        <v>MBC เอสโซ่ วัดโบสถ์</v>
      </c>
      <c r="P1173" s="4">
        <f>IFERROR(__xludf.DUMMYFUNCTION("""COMPUTED_VALUE"""),43768.0)</f>
        <v>43768</v>
      </c>
      <c r="Q1173" s="3" t="str">
        <f>IFERROR(__xludf.DUMMYFUNCTION("""COMPUTED_VALUE"""),"A")</f>
        <v>A</v>
      </c>
      <c r="R1173" s="3" t="str">
        <f>IFERROR(__xludf.DUMMYFUNCTION("""COMPUTED_VALUE"""),"Small Format")</f>
        <v>Small Format</v>
      </c>
      <c r="S1173" s="3" t="str">
        <f>IFERROR(__xludf.DUMMYFUNCTION("""COMPUTED_VALUE"""),"BCM")</f>
        <v>BCM</v>
      </c>
      <c r="T1173" s="3" t="str">
        <f>IFERROR(__xludf.DUMMYFUNCTION("""COMPUTED_VALUE"""),"#N/A")</f>
        <v>#N/A</v>
      </c>
      <c r="U1173" s="3" t="str">
        <f>IFERROR(__xludf.DUMMYFUNCTION("""COMPUTED_VALUE"""),"#N/A")</f>
        <v>#N/A</v>
      </c>
      <c r="V1173" s="3" t="str">
        <f>IFERROR(__xludf.DUMMYFUNCTION("""COMPUTED_VALUE"""),"N")</f>
        <v>N</v>
      </c>
      <c r="W1173" s="3">
        <f>IFERROR(__xludf.DUMMYFUNCTION("""COMPUTED_VALUE"""),211883.0)</f>
        <v>211883</v>
      </c>
      <c r="X1173" s="3" t="str">
        <f>IFERROR(__xludf.DUMMYFUNCTION("""COMPUTED_VALUE"""),"60/4 หมู่3 ตำบลนายาว อำเภอพระพุทธบาท จังหวัดสระบุรี 18120")</f>
        <v>60/4 หมู่3 ตำบลนายาว อำเภอพระพุทธบาท จังหวัดสระบุรี 18120</v>
      </c>
      <c r="Y1173" s="3"/>
      <c r="Z1173" s="3" t="str">
        <f>IFERROR(__xludf.DUMMYFUNCTION("""COMPUTED_VALUE"""),"นายาว")</f>
        <v>นายาว</v>
      </c>
      <c r="AA1173" s="3" t="str">
        <f>IFERROR(__xludf.DUMMYFUNCTION("""COMPUTED_VALUE"""),"พระพุทธบาท")</f>
        <v>พระพุทธบาท</v>
      </c>
      <c r="AB1173" s="3" t="str">
        <f>IFERROR(__xludf.DUMMYFUNCTION("""COMPUTED_VALUE"""),"สระบุรี")</f>
        <v>สระบุรี</v>
      </c>
      <c r="AC1173" s="3">
        <f>IFERROR(__xludf.DUMMYFUNCTION("""COMPUTED_VALUE"""),18120.0)</f>
        <v>18120</v>
      </c>
      <c r="AD1173" s="3">
        <f>IFERROR(__xludf.DUMMYFUNCTION("""COMPUTED_VALUE"""),14.748445)</f>
        <v>14.748445</v>
      </c>
      <c r="AE1173" s="3">
        <f>IFERROR(__xludf.DUMMYFUNCTION("""COMPUTED_VALUE"""),100.747771)</f>
        <v>100.747771</v>
      </c>
      <c r="AF1173" s="3" t="str">
        <f>IFERROR(__xludf.DUMMYFUNCTION("""COMPUTED_VALUE"""),"MBC ตลาดโรงเกลือพระพุทธบาท สระบุรี-21945")</f>
        <v>MBC ตลาดโรงเกลือพระพุทธบาท สระบุรี-21945</v>
      </c>
      <c r="AG1173" s="3" t="str">
        <f>IFERROR(__xludf.DUMMYFUNCTION("""COMPUTED_VALUE"""),"กลาง")</f>
        <v>กลาง</v>
      </c>
      <c r="AH1173" s="3" t="str">
        <f>IFERROR(__xludf.DUMMYFUNCTION("""COMPUTED_VALUE"""),"#N/A")</f>
        <v>#N/A</v>
      </c>
      <c r="AI1173" s="3" t="str">
        <f>IFERROR(__xludf.DUMMYFUNCTION("""COMPUTED_VALUE"""),"Out of warranty")</f>
        <v>Out of warranty</v>
      </c>
      <c r="AJ1173" s="3">
        <f>IFERROR(__xludf.DUMMYFUNCTION("""COMPUTED_VALUE"""),75.0)</f>
        <v>75</v>
      </c>
      <c r="AK1173" s="3" t="str">
        <f>IFERROR(__xludf.DUMMYFUNCTION("""COMPUTED_VALUE"""),"MMS09")</f>
        <v>MMS09</v>
      </c>
      <c r="AL1173" s="3"/>
    </row>
    <row r="1174" ht="15.75" customHeight="1">
      <c r="A1174" s="1" t="str">
        <f>IFERROR(__xludf.DUMMYFUNCTION("""COMPUTED_VALUE"""),"21946")</f>
        <v>21946</v>
      </c>
      <c r="B1174" s="2">
        <f>IFERROR(__xludf.DUMMYFUNCTION("""COMPUTED_VALUE"""),21946.0)</f>
        <v>21946</v>
      </c>
      <c r="C1174" s="3" t="str">
        <f>IFERROR(__xludf.DUMMYFUNCTION("""COMPUTED_VALUE"""),"MBC เซกา บึงกาฬ")</f>
        <v>MBC เซกา บึงกาฬ</v>
      </c>
      <c r="D1174" s="3" t="str">
        <f>IFERROR(__xludf.DUMMYFUNCTION("""COMPUTED_VALUE"""),"BCM SEKA,BUENG KAN")</f>
        <v>BCM SEKA,BUENG KAN</v>
      </c>
      <c r="E1174" s="1" t="str">
        <f>IFERROR(__xludf.DUMMYFUNCTION("""COMPUTED_VALUE"""),"บิ๊กซี MINI")</f>
        <v>บิ๊กซี MINI</v>
      </c>
      <c r="F1174" s="1" t="str">
        <f>IFERROR(__xludf.DUMMYFUNCTION("""COMPUTED_VALUE"""),"291105")</f>
        <v>291105</v>
      </c>
      <c r="G1174" s="1" t="str">
        <f>IFERROR(__xludf.DUMMYFUNCTION("""COMPUTED_VALUE"""),"นายสราวุฒิ พณิชยกุล")</f>
        <v>นายสราวุฒิ พณิชยกุล</v>
      </c>
      <c r="H1174" s="1" t="str">
        <f>IFERROR(__xludf.DUMMYFUNCTION("""COMPUTED_VALUE"""),"392885")</f>
        <v>392885</v>
      </c>
      <c r="I1174" s="1" t="str">
        <f>IFERROR(__xludf.DUMMYFUNCTION("""COMPUTED_VALUE"""),"น.ส.วราพร จันปลิว")</f>
        <v>น.ส.วราพร จันปลิว</v>
      </c>
      <c r="J1174" s="3">
        <f>IFERROR(__xludf.DUMMYFUNCTION("""COMPUTED_VALUE"""),296868.0)</f>
        <v>296868</v>
      </c>
      <c r="K1174" s="3" t="str">
        <f>IFERROR(__xludf.DUMMYFUNCTION("""COMPUTED_VALUE"""),"นายพีระพงษ์ แก้วดวงดี")</f>
        <v>นายพีระพงษ์ แก้วดวงดี</v>
      </c>
      <c r="L1174" s="1" t="str">
        <f>IFERROR(__xludf.DUMMYFUNCTION("""COMPUTED_VALUE"""),"03 K.Peerapong K.")</f>
        <v>03 K.Peerapong K.</v>
      </c>
      <c r="M1174" s="1" t="str">
        <f>IFERROR(__xludf.DUMMYFUNCTION("""COMPUTED_VALUE"""),"089-002-6599")</f>
        <v>089-002-6599</v>
      </c>
      <c r="N1174" s="3">
        <f>IFERROR(__xludf.DUMMYFUNCTION("""COMPUTED_VALUE"""),21946.0)</f>
        <v>21946</v>
      </c>
      <c r="O1174" s="3" t="str">
        <f>IFERROR(__xludf.DUMMYFUNCTION("""COMPUTED_VALUE"""),"MBC เซกา บึงกาฬ")</f>
        <v>MBC เซกา บึงกาฬ</v>
      </c>
      <c r="P1174" s="4">
        <f>IFERROR(__xludf.DUMMYFUNCTION("""COMPUTED_VALUE"""),43767.0)</f>
        <v>43767</v>
      </c>
      <c r="Q1174" s="3" t="str">
        <f>IFERROR(__xludf.DUMMYFUNCTION("""COMPUTED_VALUE"""),"A")</f>
        <v>A</v>
      </c>
      <c r="R1174" s="3" t="str">
        <f>IFERROR(__xludf.DUMMYFUNCTION("""COMPUTED_VALUE"""),"Small Format")</f>
        <v>Small Format</v>
      </c>
      <c r="S1174" s="3" t="str">
        <f>IFERROR(__xludf.DUMMYFUNCTION("""COMPUTED_VALUE"""),"BCM")</f>
        <v>BCM</v>
      </c>
      <c r="T1174" s="3" t="str">
        <f>IFERROR(__xludf.DUMMYFUNCTION("""COMPUTED_VALUE"""),"#N/A")</f>
        <v>#N/A</v>
      </c>
      <c r="U1174" s="3" t="str">
        <f>IFERROR(__xludf.DUMMYFUNCTION("""COMPUTED_VALUE"""),"#N/A")</f>
        <v>#N/A</v>
      </c>
      <c r="V1174" s="3" t="str">
        <f>IFERROR(__xludf.DUMMYFUNCTION("""COMPUTED_VALUE"""),"N")</f>
        <v>N</v>
      </c>
      <c r="W1174" s="3">
        <f>IFERROR(__xludf.DUMMYFUNCTION("""COMPUTED_VALUE"""),211986.0)</f>
        <v>211986</v>
      </c>
      <c r="X1174" s="3" t="str">
        <f>IFERROR(__xludf.DUMMYFUNCTION("""COMPUTED_VALUE"""),"333/1-4 หมู่1 ตำบลเซกา อำเภอเซกา จังหวัดบึงกาฬ 38150")</f>
        <v>333/1-4 หมู่1 ตำบลเซกา อำเภอเซกา จังหวัดบึงกาฬ 38150</v>
      </c>
      <c r="Y1174" s="3"/>
      <c r="Z1174" s="3" t="str">
        <f>IFERROR(__xludf.DUMMYFUNCTION("""COMPUTED_VALUE"""),"เซกา")</f>
        <v>เซกา</v>
      </c>
      <c r="AA1174" s="3" t="str">
        <f>IFERROR(__xludf.DUMMYFUNCTION("""COMPUTED_VALUE"""),"เซกา")</f>
        <v>เซกา</v>
      </c>
      <c r="AB1174" s="3" t="str">
        <f>IFERROR(__xludf.DUMMYFUNCTION("""COMPUTED_VALUE"""),"บึงกาฬ")</f>
        <v>บึงกาฬ</v>
      </c>
      <c r="AC1174" s="3">
        <f>IFERROR(__xludf.DUMMYFUNCTION("""COMPUTED_VALUE"""),38150.0)</f>
        <v>38150</v>
      </c>
      <c r="AD1174" s="3">
        <f>IFERROR(__xludf.DUMMYFUNCTION("""COMPUTED_VALUE"""),17.928455)</f>
        <v>17.928455</v>
      </c>
      <c r="AE1174" s="3">
        <f>IFERROR(__xludf.DUMMYFUNCTION("""COMPUTED_VALUE"""),103.950837)</f>
        <v>103.950837</v>
      </c>
      <c r="AF1174" s="3" t="str">
        <f>IFERROR(__xludf.DUMMYFUNCTION("""COMPUTED_VALUE"""),"MBC เซกา บึงกาฬ-21946")</f>
        <v>MBC เซกา บึงกาฬ-21946</v>
      </c>
      <c r="AG1174" s="3" t="str">
        <f>IFERROR(__xludf.DUMMYFUNCTION("""COMPUTED_VALUE"""),"ตะวันออกเฉียงเหนือ")</f>
        <v>ตะวันออกเฉียงเหนือ</v>
      </c>
      <c r="AH1174" s="3" t="str">
        <f>IFERROR(__xludf.DUMMYFUNCTION("""COMPUTED_VALUE"""),"#N/A")</f>
        <v>#N/A</v>
      </c>
      <c r="AI1174" s="3" t="str">
        <f>IFERROR(__xludf.DUMMYFUNCTION("""COMPUTED_VALUE"""),"Out of warranty")</f>
        <v>Out of warranty</v>
      </c>
      <c r="AJ1174" s="3">
        <f>IFERROR(__xludf.DUMMYFUNCTION("""COMPUTED_VALUE"""),75.0)</f>
        <v>75</v>
      </c>
      <c r="AK1174" s="3" t="str">
        <f>IFERROR(__xludf.DUMMYFUNCTION("""COMPUTED_VALUE"""),"MMS12")</f>
        <v>MMS12</v>
      </c>
      <c r="AL1174" s="3"/>
    </row>
    <row r="1175" ht="15.75" customHeight="1">
      <c r="A1175" s="1" t="str">
        <f>IFERROR(__xludf.DUMMYFUNCTION("""COMPUTED_VALUE"""),"21947")</f>
        <v>21947</v>
      </c>
      <c r="B1175" s="2">
        <f>IFERROR(__xludf.DUMMYFUNCTION("""COMPUTED_VALUE"""),21947.0)</f>
        <v>21947</v>
      </c>
      <c r="C1175" s="3" t="str">
        <f>IFERROR(__xludf.DUMMYFUNCTION("""COMPUTED_VALUE"""),"MBC ปะคำ บุรีรัมย์")</f>
        <v>MBC ปะคำ บุรีรัมย์</v>
      </c>
      <c r="D1175" s="3" t="str">
        <f>IFERROR(__xludf.DUMMYFUNCTION("""COMPUTED_VALUE"""),"BCM PAKHAM, BURIRAM")</f>
        <v>BCM PAKHAM, BURIRAM</v>
      </c>
      <c r="E1175" s="1" t="str">
        <f>IFERROR(__xludf.DUMMYFUNCTION("""COMPUTED_VALUE"""),"บิ๊กซี MINI")</f>
        <v>บิ๊กซี MINI</v>
      </c>
      <c r="F1175" s="1" t="str">
        <f>IFERROR(__xludf.DUMMYFUNCTION("""COMPUTED_VALUE"""),"291105")</f>
        <v>291105</v>
      </c>
      <c r="G1175" s="1" t="str">
        <f>IFERROR(__xludf.DUMMYFUNCTION("""COMPUTED_VALUE"""),"นายสราวุฒิ พณิชยกุล")</f>
        <v>นายสราวุฒิ พณิชยกุล</v>
      </c>
      <c r="H1175" s="1" t="str">
        <f>IFERROR(__xludf.DUMMYFUNCTION("""COMPUTED_VALUE"""),"180347")</f>
        <v>180347</v>
      </c>
      <c r="I1175" s="1" t="str">
        <f>IFERROR(__xludf.DUMMYFUNCTION("""COMPUTED_VALUE"""),"นายณัฐพงษ์ สุตะวงค์")</f>
        <v>นายณัฐพงษ์ สุตะวงค์</v>
      </c>
      <c r="J1175" s="3">
        <f>IFERROR(__xludf.DUMMYFUNCTION("""COMPUTED_VALUE"""),295886.0)</f>
        <v>295886</v>
      </c>
      <c r="K1175" s="3" t="str">
        <f>IFERROR(__xludf.DUMMYFUNCTION("""COMPUTED_VALUE"""),"นายจิระพงษ์ โพธิ์นิล")</f>
        <v>นายจิระพงษ์ โพธิ์นิล</v>
      </c>
      <c r="L1175" s="1" t="str">
        <f>IFERROR(__xludf.DUMMYFUNCTION("""COMPUTED_VALUE"""),"นายจิระพงษ์ โพธิ์นิล")</f>
        <v>นายจิระพงษ์ โพธิ์นิล</v>
      </c>
      <c r="M1175" s="1" t="str">
        <f>IFERROR(__xludf.DUMMYFUNCTION("""COMPUTED_VALUE"""),"0933290754")</f>
        <v>0933290754</v>
      </c>
      <c r="N1175" s="3">
        <f>IFERROR(__xludf.DUMMYFUNCTION("""COMPUTED_VALUE"""),21622.0)</f>
        <v>21622</v>
      </c>
      <c r="O1175" s="3" t="str">
        <f>IFERROR(__xludf.DUMMYFUNCTION("""COMPUTED_VALUE"""),"MBC ตลาดบ้านดอน")</f>
        <v>MBC ตลาดบ้านดอน</v>
      </c>
      <c r="P1175" s="4">
        <f>IFERROR(__xludf.DUMMYFUNCTION("""COMPUTED_VALUE"""),43768.0)</f>
        <v>43768</v>
      </c>
      <c r="Q1175" s="3" t="str">
        <f>IFERROR(__xludf.DUMMYFUNCTION("""COMPUTED_VALUE"""),"I")</f>
        <v>I</v>
      </c>
      <c r="R1175" s="3" t="str">
        <f>IFERROR(__xludf.DUMMYFUNCTION("""COMPUTED_VALUE"""),"Small Format")</f>
        <v>Small Format</v>
      </c>
      <c r="S1175" s="3" t="str">
        <f>IFERROR(__xludf.DUMMYFUNCTION("""COMPUTED_VALUE"""),"BCM")</f>
        <v>BCM</v>
      </c>
      <c r="T1175" s="3" t="str">
        <f>IFERROR(__xludf.DUMMYFUNCTION("""COMPUTED_VALUE"""),"#N/A")</f>
        <v>#N/A</v>
      </c>
      <c r="U1175" s="3" t="str">
        <f>IFERROR(__xludf.DUMMYFUNCTION("""COMPUTED_VALUE"""),"#N/A")</f>
        <v>#N/A</v>
      </c>
      <c r="V1175" s="3" t="str">
        <f>IFERROR(__xludf.DUMMYFUNCTION("""COMPUTED_VALUE"""),"N")</f>
        <v>N</v>
      </c>
      <c r="W1175" s="3">
        <f>IFERROR(__xludf.DUMMYFUNCTION("""COMPUTED_VALUE"""),210032.0)</f>
        <v>210032</v>
      </c>
      <c r="X1175" s="3" t="str">
        <f>IFERROR(__xludf.DUMMYFUNCTION("""COMPUTED_VALUE"""),"3 หมู่6 ตำบลปะคำ อำเภอปะคำ จังหวัดบุรีรัมย์ 31220")</f>
        <v>3 หมู่6 ตำบลปะคำ อำเภอปะคำ จังหวัดบุรีรัมย์ 31220</v>
      </c>
      <c r="Y1175" s="3"/>
      <c r="Z1175" s="3" t="str">
        <f>IFERROR(__xludf.DUMMYFUNCTION("""COMPUTED_VALUE"""),"ปะคำ")</f>
        <v>ปะคำ</v>
      </c>
      <c r="AA1175" s="3" t="str">
        <f>IFERROR(__xludf.DUMMYFUNCTION("""COMPUTED_VALUE"""),"ปะคำ")</f>
        <v>ปะคำ</v>
      </c>
      <c r="AB1175" s="3" t="str">
        <f>IFERROR(__xludf.DUMMYFUNCTION("""COMPUTED_VALUE"""),"บุรีรัมย์")</f>
        <v>บุรีรัมย์</v>
      </c>
      <c r="AC1175" s="3">
        <f>IFERROR(__xludf.DUMMYFUNCTION("""COMPUTED_VALUE"""),31220.0)</f>
        <v>31220</v>
      </c>
      <c r="AD1175" s="3">
        <f>IFERROR(__xludf.DUMMYFUNCTION("""COMPUTED_VALUE"""),14.44296)</f>
        <v>14.44296</v>
      </c>
      <c r="AE1175" s="3">
        <f>IFERROR(__xludf.DUMMYFUNCTION("""COMPUTED_VALUE"""),102.719715)</f>
        <v>102.719715</v>
      </c>
      <c r="AF1175" s="3" t="str">
        <f>IFERROR(__xludf.DUMMYFUNCTION("""COMPUTED_VALUE"""),"MBC ปะคำ บุรีรัมย์-21947")</f>
        <v>MBC ปะคำ บุรีรัมย์-21947</v>
      </c>
      <c r="AG1175" s="3" t="str">
        <f>IFERROR(__xludf.DUMMYFUNCTION("""COMPUTED_VALUE"""),"ตะวันออกเฉียงเหนือ")</f>
        <v>ตะวันออกเฉียงเหนือ</v>
      </c>
      <c r="AH1175" s="3" t="str">
        <f>IFERROR(__xludf.DUMMYFUNCTION("""COMPUTED_VALUE"""),"#N/A")</f>
        <v>#N/A</v>
      </c>
      <c r="AI1175" s="3" t="str">
        <f>IFERROR(__xludf.DUMMYFUNCTION("""COMPUTED_VALUE"""),"Out of warranty")</f>
        <v>Out of warranty</v>
      </c>
      <c r="AJ1175" s="3">
        <f>IFERROR(__xludf.DUMMYFUNCTION("""COMPUTED_VALUE"""),75.0)</f>
        <v>75</v>
      </c>
      <c r="AK1175" s="3" t="str">
        <f>IFERROR(__xludf.DUMMYFUNCTION("""COMPUTED_VALUE"""),"MMS11")</f>
        <v>MMS11</v>
      </c>
      <c r="AL1175" s="3"/>
    </row>
    <row r="1176" ht="15.75" customHeight="1">
      <c r="A1176" s="1" t="str">
        <f>IFERROR(__xludf.DUMMYFUNCTION("""COMPUTED_VALUE"""),"21948")</f>
        <v>21948</v>
      </c>
      <c r="B1176" s="2">
        <f>IFERROR(__xludf.DUMMYFUNCTION("""COMPUTED_VALUE"""),21948.0)</f>
        <v>21948</v>
      </c>
      <c r="C1176" s="3" t="str">
        <f>IFERROR(__xludf.DUMMYFUNCTION("""COMPUTED_VALUE"""),"MBC หน้าโรงพยาบาลอำนาจเจริญ อำนาจเจริญ")</f>
        <v>MBC หน้าโรงพยาบาลอำนาจเจริญ อำนาจเจริญ</v>
      </c>
      <c r="D1176" s="3" t="str">
        <f>IFERROR(__xludf.DUMMYFUNCTION("""COMPUTED_VALUE"""),"BCM AMNAT CHAROEN HOSPITAL")</f>
        <v>BCM AMNAT CHAROEN HOSPITAL</v>
      </c>
      <c r="E1176" s="1" t="str">
        <f>IFERROR(__xludf.DUMMYFUNCTION("""COMPUTED_VALUE"""),"บิ๊กซี MINI")</f>
        <v>บิ๊กซี MINI</v>
      </c>
      <c r="F1176" s="1" t="str">
        <f>IFERROR(__xludf.DUMMYFUNCTION("""COMPUTED_VALUE"""),"291105")</f>
        <v>291105</v>
      </c>
      <c r="G1176" s="1" t="str">
        <f>IFERROR(__xludf.DUMMYFUNCTION("""COMPUTED_VALUE"""),"นายสราวุฒิ พณิชยกุล")</f>
        <v>นายสราวุฒิ พณิชยกุล</v>
      </c>
      <c r="H1176" s="1" t="str">
        <f>IFERROR(__xludf.DUMMYFUNCTION("""COMPUTED_VALUE"""),"398285")</f>
        <v>398285</v>
      </c>
      <c r="I1176" s="1" t="str">
        <f>IFERROR(__xludf.DUMMYFUNCTION("""COMPUTED_VALUE"""),"น.ส.พชิรา บุญจูง")</f>
        <v>น.ส.พชิรา บุญจูง</v>
      </c>
      <c r="J1176" s="3">
        <f>IFERROR(__xludf.DUMMYFUNCTION("""COMPUTED_VALUE"""),2454781.0)</f>
        <v>2454781</v>
      </c>
      <c r="K1176" s="3" t="str">
        <f>IFERROR(__xludf.DUMMYFUNCTION("""COMPUTED_VALUE"""),"นายฌานกฤช นันทะโคต")</f>
        <v>นายฌานกฤช นันทะโคต</v>
      </c>
      <c r="L1176" s="1" t="str">
        <f>IFERROR(__xludf.DUMMYFUNCTION("""COMPUTED_VALUE"""),"05 K.Chanakrit N.")</f>
        <v>05 K.Chanakrit N.</v>
      </c>
      <c r="M1176" s="1" t="str">
        <f>IFERROR(__xludf.DUMMYFUNCTION("""COMPUTED_VALUE"""),"090-978-9785 ,065-929-1320")</f>
        <v>090-978-9785 ,065-929-1320</v>
      </c>
      <c r="N1176" s="3">
        <f>IFERROR(__xludf.DUMMYFUNCTION("""COMPUTED_VALUE"""),22195.0)</f>
        <v>22195</v>
      </c>
      <c r="O1176" s="3" t="str">
        <f>IFERROR(__xludf.DUMMYFUNCTION("""COMPUTED_VALUE"""),"MBC กันทรลักษ์ ศรีสะเกษ")</f>
        <v>MBC กันทรลักษ์ ศรีสะเกษ</v>
      </c>
      <c r="P1176" s="4">
        <f>IFERROR(__xludf.DUMMYFUNCTION("""COMPUTED_VALUE"""),43770.0)</f>
        <v>43770</v>
      </c>
      <c r="Q1176" s="3" t="str">
        <f>IFERROR(__xludf.DUMMYFUNCTION("""COMPUTED_VALUE"""),"A")</f>
        <v>A</v>
      </c>
      <c r="R1176" s="3" t="str">
        <f>IFERROR(__xludf.DUMMYFUNCTION("""COMPUTED_VALUE"""),"Small Format")</f>
        <v>Small Format</v>
      </c>
      <c r="S1176" s="3" t="str">
        <f>IFERROR(__xludf.DUMMYFUNCTION("""COMPUTED_VALUE"""),"BCM")</f>
        <v>BCM</v>
      </c>
      <c r="T1176" s="3" t="str">
        <f>IFERROR(__xludf.DUMMYFUNCTION("""COMPUTED_VALUE"""),"#N/A")</f>
        <v>#N/A</v>
      </c>
      <c r="U1176" s="3" t="str">
        <f>IFERROR(__xludf.DUMMYFUNCTION("""COMPUTED_VALUE"""),"#N/A")</f>
        <v>#N/A</v>
      </c>
      <c r="V1176" s="3" t="str">
        <f>IFERROR(__xludf.DUMMYFUNCTION("""COMPUTED_VALUE"""),"N")</f>
        <v>N</v>
      </c>
      <c r="W1176" s="3">
        <f>IFERROR(__xludf.DUMMYFUNCTION("""COMPUTED_VALUE"""),211974.0)</f>
        <v>211974</v>
      </c>
      <c r="X1176" s="3" t="str">
        <f>IFERROR(__xludf.DUMMYFUNCTION("""COMPUTED_VALUE"""),"194/1-2-3-4 หมู่6 ตำบลบุ่ง อำเภอเมืองอำนาจเจริญ จังหวัดอำนาจเจริญ 37000")</f>
        <v>194/1-2-3-4 หมู่6 ตำบลบุ่ง อำเภอเมืองอำนาจเจริญ จังหวัดอำนาจเจริญ 37000</v>
      </c>
      <c r="Y1176" s="3"/>
      <c r="Z1176" s="3" t="str">
        <f>IFERROR(__xludf.DUMMYFUNCTION("""COMPUTED_VALUE"""),"บุ่ง")</f>
        <v>บุ่ง</v>
      </c>
      <c r="AA1176" s="3" t="str">
        <f>IFERROR(__xludf.DUMMYFUNCTION("""COMPUTED_VALUE"""),"เมือง")</f>
        <v>เมือง</v>
      </c>
      <c r="AB1176" s="3" t="str">
        <f>IFERROR(__xludf.DUMMYFUNCTION("""COMPUTED_VALUE"""),"อำนาจเจริญ")</f>
        <v>อำนาจเจริญ</v>
      </c>
      <c r="AC1176" s="3">
        <f>IFERROR(__xludf.DUMMYFUNCTION("""COMPUTED_VALUE"""),37000.0)</f>
        <v>37000</v>
      </c>
      <c r="AD1176" s="3">
        <f>IFERROR(__xludf.DUMMYFUNCTION("""COMPUTED_VALUE"""),15.862891)</f>
        <v>15.862891</v>
      </c>
      <c r="AE1176" s="3">
        <f>IFERROR(__xludf.DUMMYFUNCTION("""COMPUTED_VALUE"""),104.625063)</f>
        <v>104.625063</v>
      </c>
      <c r="AF1176" s="3" t="str">
        <f>IFERROR(__xludf.DUMMYFUNCTION("""COMPUTED_VALUE"""),"MBC หน้าโรงพยาบาลอำนาจเจริญ อำนาจเจริญ-21948")</f>
        <v>MBC หน้าโรงพยาบาลอำนาจเจริญ อำนาจเจริญ-21948</v>
      </c>
      <c r="AG1176" s="3" t="str">
        <f>IFERROR(__xludf.DUMMYFUNCTION("""COMPUTED_VALUE"""),"ตะวันออกเฉียงเหนือ")</f>
        <v>ตะวันออกเฉียงเหนือ</v>
      </c>
      <c r="AH1176" s="3" t="str">
        <f>IFERROR(__xludf.DUMMYFUNCTION("""COMPUTED_VALUE"""),"#N/A")</f>
        <v>#N/A</v>
      </c>
      <c r="AI1176" s="3" t="str">
        <f>IFERROR(__xludf.DUMMYFUNCTION("""COMPUTED_VALUE"""),"Out of warranty")</f>
        <v>Out of warranty</v>
      </c>
      <c r="AJ1176" s="3">
        <f>IFERROR(__xludf.DUMMYFUNCTION("""COMPUTED_VALUE"""),75.0)</f>
        <v>75</v>
      </c>
      <c r="AK1176" s="3" t="str">
        <f>IFERROR(__xludf.DUMMYFUNCTION("""COMPUTED_VALUE"""),"MMS13")</f>
        <v>MMS13</v>
      </c>
      <c r="AL1176" s="3"/>
    </row>
    <row r="1177" ht="15.75" customHeight="1">
      <c r="A1177" s="1" t="str">
        <f>IFERROR(__xludf.DUMMYFUNCTION("""COMPUTED_VALUE"""),"21949")</f>
        <v>21949</v>
      </c>
      <c r="B1177" s="2">
        <f>IFERROR(__xludf.DUMMYFUNCTION("""COMPUTED_VALUE"""),21949.0)</f>
        <v>21949</v>
      </c>
      <c r="C1177" s="3" t="str">
        <f>IFERROR(__xludf.DUMMYFUNCTION("""COMPUTED_VALUE"""),"MBC ตลาดเทศบาล ดงแคนใหญ่ ยโสธร")</f>
        <v>MBC ตลาดเทศบาล ดงแคนใหญ่ ยโสธร</v>
      </c>
      <c r="D1177" s="3" t="str">
        <f>IFERROR(__xludf.DUMMYFUNCTION("""COMPUTED_VALUE"""),"BCM TALAD DONG KHAN YAI")</f>
        <v>BCM TALAD DONG KHAN YAI</v>
      </c>
      <c r="E1177" s="1" t="str">
        <f>IFERROR(__xludf.DUMMYFUNCTION("""COMPUTED_VALUE"""),"บิ๊กซี MINI")</f>
        <v>บิ๊กซี MINI</v>
      </c>
      <c r="F1177" s="1" t="str">
        <f>IFERROR(__xludf.DUMMYFUNCTION("""COMPUTED_VALUE"""),"291105")</f>
        <v>291105</v>
      </c>
      <c r="G1177" s="1" t="str">
        <f>IFERROR(__xludf.DUMMYFUNCTION("""COMPUTED_VALUE"""),"นายสราวุฒิ พณิชยกุล")</f>
        <v>นายสราวุฒิ พณิชยกุล</v>
      </c>
      <c r="H1177" s="1" t="str">
        <f>IFERROR(__xludf.DUMMYFUNCTION("""COMPUTED_VALUE"""),"398285")</f>
        <v>398285</v>
      </c>
      <c r="I1177" s="1" t="str">
        <f>IFERROR(__xludf.DUMMYFUNCTION("""COMPUTED_VALUE"""),"น.ส.พชิรา บุญจูง")</f>
        <v>น.ส.พชิรา บุญจูง</v>
      </c>
      <c r="J1177" s="3">
        <f>IFERROR(__xludf.DUMMYFUNCTION("""COMPUTED_VALUE"""),2454781.0)</f>
        <v>2454781</v>
      </c>
      <c r="K1177" s="3" t="str">
        <f>IFERROR(__xludf.DUMMYFUNCTION("""COMPUTED_VALUE"""),"นายฌานกฤช นันทะโคต")</f>
        <v>นายฌานกฤช นันทะโคต</v>
      </c>
      <c r="L1177" s="1" t="str">
        <f>IFERROR(__xludf.DUMMYFUNCTION("""COMPUTED_VALUE"""),"05 K.Chanakrit N.")</f>
        <v>05 K.Chanakrit N.</v>
      </c>
      <c r="M1177" s="1" t="str">
        <f>IFERROR(__xludf.DUMMYFUNCTION("""COMPUTED_VALUE"""),"090-978-9785 ,065-929-1320")</f>
        <v>090-978-9785 ,065-929-1320</v>
      </c>
      <c r="N1177" s="3">
        <f>IFERROR(__xludf.DUMMYFUNCTION("""COMPUTED_VALUE"""),22195.0)</f>
        <v>22195</v>
      </c>
      <c r="O1177" s="3" t="str">
        <f>IFERROR(__xludf.DUMMYFUNCTION("""COMPUTED_VALUE"""),"MBC กันทรลักษ์ ศรีสะเกษ")</f>
        <v>MBC กันทรลักษ์ ศรีสะเกษ</v>
      </c>
      <c r="P1177" s="4">
        <f>IFERROR(__xludf.DUMMYFUNCTION("""COMPUTED_VALUE"""),43771.0)</f>
        <v>43771</v>
      </c>
      <c r="Q1177" s="3" t="str">
        <f>IFERROR(__xludf.DUMMYFUNCTION("""COMPUTED_VALUE"""),"A")</f>
        <v>A</v>
      </c>
      <c r="R1177" s="3" t="str">
        <f>IFERROR(__xludf.DUMMYFUNCTION("""COMPUTED_VALUE"""),"Small Format")</f>
        <v>Small Format</v>
      </c>
      <c r="S1177" s="3" t="str">
        <f>IFERROR(__xludf.DUMMYFUNCTION("""COMPUTED_VALUE"""),"BCM")</f>
        <v>BCM</v>
      </c>
      <c r="T1177" s="3" t="str">
        <f>IFERROR(__xludf.DUMMYFUNCTION("""COMPUTED_VALUE"""),"#N/A")</f>
        <v>#N/A</v>
      </c>
      <c r="U1177" s="3" t="str">
        <f>IFERROR(__xludf.DUMMYFUNCTION("""COMPUTED_VALUE"""),"#N/A")</f>
        <v>#N/A</v>
      </c>
      <c r="V1177" s="3" t="str">
        <f>IFERROR(__xludf.DUMMYFUNCTION("""COMPUTED_VALUE"""),"N")</f>
        <v>N</v>
      </c>
      <c r="W1177" s="3">
        <f>IFERROR(__xludf.DUMMYFUNCTION("""COMPUTED_VALUE"""),210062.0)</f>
        <v>210062</v>
      </c>
      <c r="X1177" s="3" t="str">
        <f>IFERROR(__xludf.DUMMYFUNCTION("""COMPUTED_VALUE"""),"135 หมู่4 ตำบลดงแคนใหญ่ อำเภอคำเขื่อนแก้ว จังหวัดยโสธร 35180")</f>
        <v>135 หมู่4 ตำบลดงแคนใหญ่ อำเภอคำเขื่อนแก้ว จังหวัดยโสธร 35180</v>
      </c>
      <c r="Y1177" s="3"/>
      <c r="Z1177" s="3" t="str">
        <f>IFERROR(__xludf.DUMMYFUNCTION("""COMPUTED_VALUE"""),"ดงแคนใหญ่")</f>
        <v>ดงแคนใหญ่</v>
      </c>
      <c r="AA1177" s="3" t="str">
        <f>IFERROR(__xludf.DUMMYFUNCTION("""COMPUTED_VALUE"""),"คำเขื่อนแก้ว")</f>
        <v>คำเขื่อนแก้ว</v>
      </c>
      <c r="AB1177" s="3" t="str">
        <f>IFERROR(__xludf.DUMMYFUNCTION("""COMPUTED_VALUE"""),"ยโสธร")</f>
        <v>ยโสธร</v>
      </c>
      <c r="AC1177" s="3">
        <f>IFERROR(__xludf.DUMMYFUNCTION("""COMPUTED_VALUE"""),35180.0)</f>
        <v>35180</v>
      </c>
      <c r="AD1177" s="3">
        <f>IFERROR(__xludf.DUMMYFUNCTION("""COMPUTED_VALUE"""),15.577937)</f>
        <v>15.577937</v>
      </c>
      <c r="AE1177" s="3">
        <f>IFERROR(__xludf.DUMMYFUNCTION("""COMPUTED_VALUE"""),104.399264)</f>
        <v>104.399264</v>
      </c>
      <c r="AF1177" s="3" t="str">
        <f>IFERROR(__xludf.DUMMYFUNCTION("""COMPUTED_VALUE"""),"MBC ตลาดเทศบาล ดงแคนใหญ่ ยโสธร-21949")</f>
        <v>MBC ตลาดเทศบาล ดงแคนใหญ่ ยโสธร-21949</v>
      </c>
      <c r="AG1177" s="3" t="str">
        <f>IFERROR(__xludf.DUMMYFUNCTION("""COMPUTED_VALUE"""),"ตะวันออกเฉียงเหนือ")</f>
        <v>ตะวันออกเฉียงเหนือ</v>
      </c>
      <c r="AH1177" s="3" t="str">
        <f>IFERROR(__xludf.DUMMYFUNCTION("""COMPUTED_VALUE"""),"#N/A")</f>
        <v>#N/A</v>
      </c>
      <c r="AI1177" s="3" t="str">
        <f>IFERROR(__xludf.DUMMYFUNCTION("""COMPUTED_VALUE"""),"Out of warranty")</f>
        <v>Out of warranty</v>
      </c>
      <c r="AJ1177" s="3">
        <f>IFERROR(__xludf.DUMMYFUNCTION("""COMPUTED_VALUE"""),75.0)</f>
        <v>75</v>
      </c>
      <c r="AK1177" s="3" t="str">
        <f>IFERROR(__xludf.DUMMYFUNCTION("""COMPUTED_VALUE"""),"MMS13")</f>
        <v>MMS13</v>
      </c>
      <c r="AL1177" s="3"/>
    </row>
    <row r="1178" ht="15.75" customHeight="1">
      <c r="A1178" s="1" t="str">
        <f>IFERROR(__xludf.DUMMYFUNCTION("""COMPUTED_VALUE"""),"21950")</f>
        <v>21950</v>
      </c>
      <c r="B1178" s="2">
        <f>IFERROR(__xludf.DUMMYFUNCTION("""COMPUTED_VALUE"""),21950.0)</f>
        <v>21950</v>
      </c>
      <c r="C1178" s="3" t="str">
        <f>IFERROR(__xludf.DUMMYFUNCTION("""COMPUTED_VALUE"""),"MBC ชุมชนหนองคล้า ชลบุรี")</f>
        <v>MBC ชุมชนหนองคล้า ชลบุรี</v>
      </c>
      <c r="D1178" s="3" t="str">
        <f>IFERROR(__xludf.DUMMYFUNCTION("""COMPUTED_VALUE"""),"BCM CHOM CHON NONG KLA")</f>
        <v>BCM CHOM CHON NONG KLA</v>
      </c>
      <c r="E1178" s="1" t="str">
        <f>IFERROR(__xludf.DUMMYFUNCTION("""COMPUTED_VALUE"""),"บิ๊กซี MINI")</f>
        <v>บิ๊กซี MINI</v>
      </c>
      <c r="F1178" s="1" t="str">
        <f>IFERROR(__xludf.DUMMYFUNCTION("""COMPUTED_VALUE"""),"221716")</f>
        <v>221716</v>
      </c>
      <c r="G1178" s="1" t="str">
        <f>IFERROR(__xludf.DUMMYFUNCTION("""COMPUTED_VALUE"""),"น.ส.เบญจพร โพธิสาร")</f>
        <v>น.ส.เบญจพร โพธิสาร</v>
      </c>
      <c r="H1178" s="1" t="str">
        <f>IFERROR(__xludf.DUMMYFUNCTION("""COMPUTED_VALUE"""),"291061")</f>
        <v>291061</v>
      </c>
      <c r="I1178" s="1" t="str">
        <f>IFERROR(__xludf.DUMMYFUNCTION("""COMPUTED_VALUE"""),"นายสมศักดิ์ เสียงก้อง")</f>
        <v>นายสมศักดิ์ เสียงก้อง</v>
      </c>
      <c r="J1178" s="3">
        <f>IFERROR(__xludf.DUMMYFUNCTION("""COMPUTED_VALUE"""),296942.0)</f>
        <v>296942</v>
      </c>
      <c r="K1178" s="3" t="str">
        <f>IFERROR(__xludf.DUMMYFUNCTION("""COMPUTED_VALUE"""),"นายปิยะ รักษากิจ")</f>
        <v>นายปิยะ รักษากิจ</v>
      </c>
      <c r="L1178" s="1" t="str">
        <f>IFERROR(__xludf.DUMMYFUNCTION("""COMPUTED_VALUE"""),"07 K.Piya R.")</f>
        <v>07 K.Piya R.</v>
      </c>
      <c r="M1178" s="1" t="str">
        <f>IFERROR(__xludf.DUMMYFUNCTION("""COMPUTED_VALUE"""),"097-919-5476")</f>
        <v>097-919-5476</v>
      </c>
      <c r="N1178" s="3">
        <f>IFERROR(__xludf.DUMMYFUNCTION("""COMPUTED_VALUE"""),21332.0)</f>
        <v>21332</v>
      </c>
      <c r="O1178" s="3" t="str">
        <f>IFERROR(__xludf.DUMMYFUNCTION("""COMPUTED_VALUE"""),"MBC BCP อ่อนนุช 17/1")</f>
        <v>MBC BCP อ่อนนุช 17/1</v>
      </c>
      <c r="P1178" s="4">
        <f>IFERROR(__xludf.DUMMYFUNCTION("""COMPUTED_VALUE"""),43801.0)</f>
        <v>43801</v>
      </c>
      <c r="Q1178" s="3" t="str">
        <f>IFERROR(__xludf.DUMMYFUNCTION("""COMPUTED_VALUE"""),"A")</f>
        <v>A</v>
      </c>
      <c r="R1178" s="3" t="str">
        <f>IFERROR(__xludf.DUMMYFUNCTION("""COMPUTED_VALUE"""),"Small Format")</f>
        <v>Small Format</v>
      </c>
      <c r="S1178" s="3" t="str">
        <f>IFERROR(__xludf.DUMMYFUNCTION("""COMPUTED_VALUE"""),"BCM")</f>
        <v>BCM</v>
      </c>
      <c r="T1178" s="3" t="str">
        <f>IFERROR(__xludf.DUMMYFUNCTION("""COMPUTED_VALUE"""),"#N/A")</f>
        <v>#N/A</v>
      </c>
      <c r="U1178" s="3" t="str">
        <f>IFERROR(__xludf.DUMMYFUNCTION("""COMPUTED_VALUE"""),"#N/A")</f>
        <v>#N/A</v>
      </c>
      <c r="V1178" s="3" t="str">
        <f>IFERROR(__xludf.DUMMYFUNCTION("""COMPUTED_VALUE"""),"N")</f>
        <v>N</v>
      </c>
      <c r="W1178" s="3">
        <f>IFERROR(__xludf.DUMMYFUNCTION("""COMPUTED_VALUE"""),211806.0)</f>
        <v>211806</v>
      </c>
      <c r="X1178" s="3" t="str">
        <f>IFERROR(__xludf.DUMMYFUNCTION("""COMPUTED_VALUE"""),"67/122 หมู่10 ตำบลบึง อำเภอศรีราชา จังหวัดชลบุรี 20230")</f>
        <v>67/122 หมู่10 ตำบลบึง อำเภอศรีราชา จังหวัดชลบุรี 20230</v>
      </c>
      <c r="Y1178" s="3"/>
      <c r="Z1178" s="3" t="str">
        <f>IFERROR(__xludf.DUMMYFUNCTION("""COMPUTED_VALUE"""),"บึง")</f>
        <v>บึง</v>
      </c>
      <c r="AA1178" s="3" t="str">
        <f>IFERROR(__xludf.DUMMYFUNCTION("""COMPUTED_VALUE"""),"ศรีราชา")</f>
        <v>ศรีราชา</v>
      </c>
      <c r="AB1178" s="3" t="str">
        <f>IFERROR(__xludf.DUMMYFUNCTION("""COMPUTED_VALUE"""),"ชลบุรี")</f>
        <v>ชลบุรี</v>
      </c>
      <c r="AC1178" s="3">
        <f>IFERROR(__xludf.DUMMYFUNCTION("""COMPUTED_VALUE"""),20230.0)</f>
        <v>20230</v>
      </c>
      <c r="AD1178" s="3">
        <f>IFERROR(__xludf.DUMMYFUNCTION("""COMPUTED_VALUE"""),12.928947)</f>
        <v>12.928947</v>
      </c>
      <c r="AE1178" s="3">
        <f>IFERROR(__xludf.DUMMYFUNCTION("""COMPUTED_VALUE"""),100.926653)</f>
        <v>100.926653</v>
      </c>
      <c r="AF1178" s="3" t="str">
        <f>IFERROR(__xludf.DUMMYFUNCTION("""COMPUTED_VALUE"""),"MBC ชุมชนหนองคล้า ชลบุรี-21950")</f>
        <v>MBC ชุมชนหนองคล้า ชลบุรี-21950</v>
      </c>
      <c r="AG1178" s="3" t="str">
        <f>IFERROR(__xludf.DUMMYFUNCTION("""COMPUTED_VALUE"""),"ตะวันออก")</f>
        <v>ตะวันออก</v>
      </c>
      <c r="AH1178" s="3" t="str">
        <f>IFERROR(__xludf.DUMMYFUNCTION("""COMPUTED_VALUE"""),"#N/A")</f>
        <v>#N/A</v>
      </c>
      <c r="AI1178" s="3" t="str">
        <f>IFERROR(__xludf.DUMMYFUNCTION("""COMPUTED_VALUE"""),"Out of warranty")</f>
        <v>Out of warranty</v>
      </c>
      <c r="AJ1178" s="3">
        <f>IFERROR(__xludf.DUMMYFUNCTION("""COMPUTED_VALUE"""),74.0)</f>
        <v>74</v>
      </c>
      <c r="AK1178" s="3" t="str">
        <f>IFERROR(__xludf.DUMMYFUNCTION("""COMPUTED_VALUE"""),"MMS06")</f>
        <v>MMS06</v>
      </c>
      <c r="AL1178" s="3"/>
    </row>
    <row r="1179" ht="15.75" customHeight="1">
      <c r="A1179" s="1" t="str">
        <f>IFERROR(__xludf.DUMMYFUNCTION("""COMPUTED_VALUE"""),"21951")</f>
        <v>21951</v>
      </c>
      <c r="B1179" s="2">
        <f>IFERROR(__xludf.DUMMYFUNCTION("""COMPUTED_VALUE"""),21951.0)</f>
        <v>21951</v>
      </c>
      <c r="C1179" s="3" t="str">
        <f>IFERROR(__xludf.DUMMYFUNCTION("""COMPUTED_VALUE"""),"MBC ตลาดไดโนเสาร์ ใหม่ ประจวบคีรีขันธ์")</f>
        <v>MBC ตลาดไดโนเสาร์ ใหม่ ประจวบคีรีขันธ์</v>
      </c>
      <c r="D1179" s="3" t="str">
        <f>IFERROR(__xludf.DUMMYFUNCTION("""COMPUTED_VALUE"""),"BCM TALAD DINOSAO MAI")</f>
        <v>BCM TALAD DINOSAO MAI</v>
      </c>
      <c r="E1179" s="1" t="str">
        <f>IFERROR(__xludf.DUMMYFUNCTION("""COMPUTED_VALUE"""),"บิ๊กซี MINI")</f>
        <v>บิ๊กซี MINI</v>
      </c>
      <c r="F1179" s="1" t="str">
        <f>IFERROR(__xludf.DUMMYFUNCTION("""COMPUTED_VALUE"""),"250760")</f>
        <v>250760</v>
      </c>
      <c r="G1179" s="1" t="str">
        <f>IFERROR(__xludf.DUMMYFUNCTION("""COMPUTED_VALUE"""),"นายประทวน สาราบรรณ์")</f>
        <v>นายประทวน สาราบรรณ์</v>
      </c>
      <c r="H1179" s="1" t="str">
        <f>IFERROR(__xludf.DUMMYFUNCTION("""COMPUTED_VALUE"""),"311437")</f>
        <v>311437</v>
      </c>
      <c r="I1179" s="1" t="str">
        <f>IFERROR(__xludf.DUMMYFUNCTION("""COMPUTED_VALUE"""),"นายฉัตรทพร รักวิเชียร")</f>
        <v>นายฉัตรทพร รักวิเชียร</v>
      </c>
      <c r="J1179" s="3">
        <f>IFERROR(__xludf.DUMMYFUNCTION("""COMPUTED_VALUE"""),25324.0)</f>
        <v>25324</v>
      </c>
      <c r="K1179" s="3" t="str">
        <f>IFERROR(__xludf.DUMMYFUNCTION("""COMPUTED_VALUE"""),"นายวิเชฎฐ์ ติรัตนะประคม")</f>
        <v>นายวิเชฎฐ์ ติรัตนะประคม</v>
      </c>
      <c r="L1179" s="3" t="str">
        <f>IFERROR(__xludf.DUMMYFUNCTION("""COMPUTED_VALUE"""),"14 K.Wichet T.")</f>
        <v>14 K.Wichet T.</v>
      </c>
      <c r="M1179" s="1" t="str">
        <f>IFERROR(__xludf.DUMMYFUNCTION("""COMPUTED_VALUE"""),"061-417-6569 / 086-445-5636")</f>
        <v>061-417-6569 / 086-445-5636</v>
      </c>
      <c r="N1179" s="3">
        <f>IFERROR(__xludf.DUMMYFUNCTION("""COMPUTED_VALUE"""),22658.0)</f>
        <v>22658</v>
      </c>
      <c r="O1179" s="3" t="str">
        <f>IFERROR(__xludf.DUMMYFUNCTION("""COMPUTED_VALUE"""),"BCM ถ.วิรัชหงษ์หยก ภูเก็ต")</f>
        <v>BCM ถ.วิรัชหงษ์หยก ภูเก็ต</v>
      </c>
      <c r="P1179" s="4">
        <f>IFERROR(__xludf.DUMMYFUNCTION("""COMPUTED_VALUE"""),43796.0)</f>
        <v>43796</v>
      </c>
      <c r="Q1179" s="3" t="str">
        <f>IFERROR(__xludf.DUMMYFUNCTION("""COMPUTED_VALUE"""),"A")</f>
        <v>A</v>
      </c>
      <c r="R1179" s="3" t="str">
        <f>IFERROR(__xludf.DUMMYFUNCTION("""COMPUTED_VALUE"""),"Small Format")</f>
        <v>Small Format</v>
      </c>
      <c r="S1179" s="3" t="str">
        <f>IFERROR(__xludf.DUMMYFUNCTION("""COMPUTED_VALUE"""),"BCM")</f>
        <v>BCM</v>
      </c>
      <c r="T1179" s="3" t="str">
        <f>IFERROR(__xludf.DUMMYFUNCTION("""COMPUTED_VALUE"""),"#N/A")</f>
        <v>#N/A</v>
      </c>
      <c r="U1179" s="3" t="str">
        <f>IFERROR(__xludf.DUMMYFUNCTION("""COMPUTED_VALUE"""),"#N/A")</f>
        <v>#N/A</v>
      </c>
      <c r="V1179" s="3" t="str">
        <f>IFERROR(__xludf.DUMMYFUNCTION("""COMPUTED_VALUE"""),"N")</f>
        <v>N</v>
      </c>
      <c r="W1179" s="3">
        <f>IFERROR(__xludf.DUMMYFUNCTION("""COMPUTED_VALUE"""),211976.0)</f>
        <v>211976</v>
      </c>
      <c r="X1179" s="3" t="str">
        <f>IFERROR(__xludf.DUMMYFUNCTION("""COMPUTED_VALUE"""),"23/101-103 ซอยหมู่บ้านเขาน้อย ตำบลหัวหิน อำเภอหัวหิน จังหวัดประจวบคีรีขันธ์ 77110")</f>
        <v>23/101-103 ซอยหมู่บ้านเขาน้อย ตำบลหัวหิน อำเภอหัวหิน จังหวัดประจวบคีรีขันธ์ 77110</v>
      </c>
      <c r="Y1179" s="3" t="str">
        <f>IFERROR(__xludf.DUMMYFUNCTION("""COMPUTED_VALUE"""),"ซอยหมู่บ้านเขาน้อย")</f>
        <v>ซอยหมู่บ้านเขาน้อย</v>
      </c>
      <c r="Z1179" s="3" t="str">
        <f>IFERROR(__xludf.DUMMYFUNCTION("""COMPUTED_VALUE"""),"หัวหิน")</f>
        <v>หัวหิน</v>
      </c>
      <c r="AA1179" s="3" t="str">
        <f>IFERROR(__xludf.DUMMYFUNCTION("""COMPUTED_VALUE"""),"หัวหิน")</f>
        <v>หัวหิน</v>
      </c>
      <c r="AB1179" s="3" t="str">
        <f>IFERROR(__xludf.DUMMYFUNCTION("""COMPUTED_VALUE"""),"ประจวบคีรีขันธ์")</f>
        <v>ประจวบคีรีขันธ์</v>
      </c>
      <c r="AC1179" s="3">
        <f>IFERROR(__xludf.DUMMYFUNCTION("""COMPUTED_VALUE"""),77110.0)</f>
        <v>77110</v>
      </c>
      <c r="AD1179" s="3">
        <f>IFERROR(__xludf.DUMMYFUNCTION("""COMPUTED_VALUE"""),12.582116)</f>
        <v>12.582116</v>
      </c>
      <c r="AE1179" s="3">
        <f>IFERROR(__xludf.DUMMYFUNCTION("""COMPUTED_VALUE"""),99.942408)</f>
        <v>99.942408</v>
      </c>
      <c r="AF1179" s="3" t="str">
        <f>IFERROR(__xludf.DUMMYFUNCTION("""COMPUTED_VALUE"""),"MBC ตลาดไดโนเสาร์ ใหม่ ประจวบคีรีขันธ์-21951")</f>
        <v>MBC ตลาดไดโนเสาร์ ใหม่ ประจวบคีรีขันธ์-21951</v>
      </c>
      <c r="AG1179" s="3" t="str">
        <f>IFERROR(__xludf.DUMMYFUNCTION("""COMPUTED_VALUE"""),"ตะวันตก")</f>
        <v>ตะวันตก</v>
      </c>
      <c r="AH1179" s="3" t="str">
        <f>IFERROR(__xludf.DUMMYFUNCTION("""COMPUTED_VALUE"""),"#N/A")</f>
        <v>#N/A</v>
      </c>
      <c r="AI1179" s="3" t="str">
        <f>IFERROR(__xludf.DUMMYFUNCTION("""COMPUTED_VALUE"""),"Out of warranty")</f>
        <v>Out of warranty</v>
      </c>
      <c r="AJ1179" s="3">
        <f>IFERROR(__xludf.DUMMYFUNCTION("""COMPUTED_VALUE"""),74.0)</f>
        <v>74</v>
      </c>
      <c r="AK1179" s="3" t="str">
        <f>IFERROR(__xludf.DUMMYFUNCTION("""COMPUTED_VALUE"""),"MMS14")</f>
        <v>MMS14</v>
      </c>
      <c r="AL1179" s="3"/>
    </row>
    <row r="1180" ht="15.75" customHeight="1">
      <c r="A1180" s="1" t="str">
        <f>IFERROR(__xludf.DUMMYFUNCTION("""COMPUTED_VALUE"""),"21952")</f>
        <v>21952</v>
      </c>
      <c r="B1180" s="2">
        <f>IFERROR(__xludf.DUMMYFUNCTION("""COMPUTED_VALUE"""),21952.0)</f>
        <v>21952</v>
      </c>
      <c r="C1180" s="3" t="str">
        <f>IFERROR(__xludf.DUMMYFUNCTION("""COMPUTED_VALUE"""),"MBC ถนนจิระ บุรีรัมย์")</f>
        <v>MBC ถนนจิระ บุรีรัมย์</v>
      </c>
      <c r="D1180" s="3" t="str">
        <f>IFERROR(__xludf.DUMMYFUNCTION("""COMPUTED_VALUE"""),"BCM THANON JIRA,BURIRAM")</f>
        <v>BCM THANON JIRA,BURIRAM</v>
      </c>
      <c r="E1180" s="1" t="str">
        <f>IFERROR(__xludf.DUMMYFUNCTION("""COMPUTED_VALUE"""),"บิ๊กซี MINI")</f>
        <v>บิ๊กซี MINI</v>
      </c>
      <c r="F1180" s="1" t="str">
        <f>IFERROR(__xludf.DUMMYFUNCTION("""COMPUTED_VALUE"""),"291105")</f>
        <v>291105</v>
      </c>
      <c r="G1180" s="1" t="str">
        <f>IFERROR(__xludf.DUMMYFUNCTION("""COMPUTED_VALUE"""),"นายสราวุฒิ พณิชยกุล")</f>
        <v>นายสราวุฒิ พณิชยกุล</v>
      </c>
      <c r="H1180" s="1" t="str">
        <f>IFERROR(__xludf.DUMMYFUNCTION("""COMPUTED_VALUE"""),"398136")</f>
        <v>398136</v>
      </c>
      <c r="I1180" s="1" t="str">
        <f>IFERROR(__xludf.DUMMYFUNCTION("""COMPUTED_VALUE"""),"นายประยูร ธาดาวงษา")</f>
        <v>นายประยูร ธาดาวงษา</v>
      </c>
      <c r="J1180" s="3">
        <f>IFERROR(__xludf.DUMMYFUNCTION("""COMPUTED_VALUE"""),15361.0)</f>
        <v>15361</v>
      </c>
      <c r="K1180" s="3" t="str">
        <f>IFERROR(__xludf.DUMMYFUNCTION("""COMPUTED_VALUE"""),"นายสมบูรณ์ พรหมในเมือง")</f>
        <v>นายสมบูรณ์ พรหมในเมือง</v>
      </c>
      <c r="L1180" s="1" t="str">
        <f>IFERROR(__xludf.DUMMYFUNCTION("""COMPUTED_VALUE"""),"04 K.Somboon P.")</f>
        <v>04 K.Somboon P.</v>
      </c>
      <c r="M1180" s="1" t="str">
        <f>IFERROR(__xludf.DUMMYFUNCTION("""COMPUTED_VALUE"""),"087-965-3051")</f>
        <v>087-965-3051</v>
      </c>
      <c r="N1180" s="3">
        <f>IFERROR(__xludf.DUMMYFUNCTION("""COMPUTED_VALUE"""),21869.0)</f>
        <v>21869</v>
      </c>
      <c r="O1180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180" s="4">
        <f>IFERROR(__xludf.DUMMYFUNCTION("""COMPUTED_VALUE"""),43770.0)</f>
        <v>43770</v>
      </c>
      <c r="Q1180" s="3" t="str">
        <f>IFERROR(__xludf.DUMMYFUNCTION("""COMPUTED_VALUE"""),"A")</f>
        <v>A</v>
      </c>
      <c r="R1180" s="3" t="str">
        <f>IFERROR(__xludf.DUMMYFUNCTION("""COMPUTED_VALUE"""),"Small Format")</f>
        <v>Small Format</v>
      </c>
      <c r="S1180" s="3" t="str">
        <f>IFERROR(__xludf.DUMMYFUNCTION("""COMPUTED_VALUE"""),"BCM")</f>
        <v>BCM</v>
      </c>
      <c r="T1180" s="3" t="str">
        <f>IFERROR(__xludf.DUMMYFUNCTION("""COMPUTED_VALUE"""),"#N/A")</f>
        <v>#N/A</v>
      </c>
      <c r="U1180" s="3" t="str">
        <f>IFERROR(__xludf.DUMMYFUNCTION("""COMPUTED_VALUE"""),"#N/A")</f>
        <v>#N/A</v>
      </c>
      <c r="V1180" s="3" t="str">
        <f>IFERROR(__xludf.DUMMYFUNCTION("""COMPUTED_VALUE"""),"N")</f>
        <v>N</v>
      </c>
      <c r="W1180" s="3">
        <f>IFERROR(__xludf.DUMMYFUNCTION("""COMPUTED_VALUE"""),211887.0)</f>
        <v>211887</v>
      </c>
      <c r="X1180" s="3" t="str">
        <f>IFERROR(__xludf.DUMMYFUNCTION("""COMPUTED_VALUE"""),"495/5 ถนนจิระ ตำบลในเมือง อำเภอเมืองบุรีรัมย์ จังหวัดบุรีรัมย์ 31000")</f>
        <v>495/5 ถนนจิระ ตำบลในเมือง อำเภอเมืองบุรีรัมย์ จังหวัดบุรีรัมย์ 31000</v>
      </c>
      <c r="Y1180" s="3" t="str">
        <f>IFERROR(__xludf.DUMMYFUNCTION("""COMPUTED_VALUE"""),"ถนนจิระ")</f>
        <v>ถนนจิระ</v>
      </c>
      <c r="Z1180" s="3" t="str">
        <f>IFERROR(__xludf.DUMMYFUNCTION("""COMPUTED_VALUE"""),"ในเมือง")</f>
        <v>ในเมือง</v>
      </c>
      <c r="AA1180" s="3" t="str">
        <f>IFERROR(__xludf.DUMMYFUNCTION("""COMPUTED_VALUE"""),"เมือง")</f>
        <v>เมือง</v>
      </c>
      <c r="AB1180" s="3" t="str">
        <f>IFERROR(__xludf.DUMMYFUNCTION("""COMPUTED_VALUE"""),"บุรีรัมย์")</f>
        <v>บุรีรัมย์</v>
      </c>
      <c r="AC1180" s="3">
        <f>IFERROR(__xludf.DUMMYFUNCTION("""COMPUTED_VALUE"""),31000.0)</f>
        <v>31000</v>
      </c>
      <c r="AD1180" s="3">
        <f>IFERROR(__xludf.DUMMYFUNCTION("""COMPUTED_VALUE"""),14.990215)</f>
        <v>14.990215</v>
      </c>
      <c r="AE1180" s="3">
        <f>IFERROR(__xludf.DUMMYFUNCTION("""COMPUTED_VALUE"""),103.093864)</f>
        <v>103.093864</v>
      </c>
      <c r="AF1180" s="3" t="str">
        <f>IFERROR(__xludf.DUMMYFUNCTION("""COMPUTED_VALUE"""),"MBC ถนนจิระ บุรีรัมย์-21952")</f>
        <v>MBC ถนนจิระ บุรีรัมย์-21952</v>
      </c>
      <c r="AG1180" s="3" t="str">
        <f>IFERROR(__xludf.DUMMYFUNCTION("""COMPUTED_VALUE"""),"ตะวันออกเฉียงเหนือ")</f>
        <v>ตะวันออกเฉียงเหนือ</v>
      </c>
      <c r="AH1180" s="3" t="str">
        <f>IFERROR(__xludf.DUMMYFUNCTION("""COMPUTED_VALUE"""),"#N/A")</f>
        <v>#N/A</v>
      </c>
      <c r="AI1180" s="3" t="str">
        <f>IFERROR(__xludf.DUMMYFUNCTION("""COMPUTED_VALUE"""),"Out of warranty")</f>
        <v>Out of warranty</v>
      </c>
      <c r="AJ1180" s="3">
        <f>IFERROR(__xludf.DUMMYFUNCTION("""COMPUTED_VALUE"""),75.0)</f>
        <v>75</v>
      </c>
      <c r="AK1180" s="3" t="str">
        <f>IFERROR(__xludf.DUMMYFUNCTION("""COMPUTED_VALUE"""),"MMS11")</f>
        <v>MMS11</v>
      </c>
      <c r="AL1180" s="3"/>
    </row>
    <row r="1181" ht="15.75" customHeight="1">
      <c r="A1181" s="1" t="str">
        <f>IFERROR(__xludf.DUMMYFUNCTION("""COMPUTED_VALUE"""),"21953")</f>
        <v>21953</v>
      </c>
      <c r="B1181" s="2">
        <f>IFERROR(__xludf.DUMMYFUNCTION("""COMPUTED_VALUE"""),21953.0)</f>
        <v>21953</v>
      </c>
      <c r="C1181" s="3" t="str">
        <f>IFERROR(__xludf.DUMMYFUNCTION("""COMPUTED_VALUE"""),"MBC ราชภัฎยะลา ยะลา")</f>
        <v>MBC ราชภัฎยะลา ยะลา</v>
      </c>
      <c r="D1181" s="3" t="str">
        <f>IFERROR(__xludf.DUMMYFUNCTION("""COMPUTED_VALUE"""),"BCM RAJABHAT YALA, YALA")</f>
        <v>BCM RAJABHAT YALA, YALA</v>
      </c>
      <c r="E1181" s="1" t="str">
        <f>IFERROR(__xludf.DUMMYFUNCTION("""COMPUTED_VALUE"""),"บิ๊กซี MINI")</f>
        <v>บิ๊กซี MINI</v>
      </c>
      <c r="F1181" s="1" t="str">
        <f>IFERROR(__xludf.DUMMYFUNCTION("""COMPUTED_VALUE"""),"250760")</f>
        <v>250760</v>
      </c>
      <c r="G1181" s="1" t="str">
        <f>IFERROR(__xludf.DUMMYFUNCTION("""COMPUTED_VALUE"""),"นายประทวน สาราบรรณ์")</f>
        <v>นายประทวน สาราบรรณ์</v>
      </c>
      <c r="H1181" s="1" t="str">
        <f>IFERROR(__xludf.DUMMYFUNCTION("""COMPUTED_VALUE"""),"485279")</f>
        <v>485279</v>
      </c>
      <c r="I1181" s="1" t="str">
        <f>IFERROR(__xludf.DUMMYFUNCTION("""COMPUTED_VALUE"""),"นายสิริพงศ์ ชูชื่น")</f>
        <v>นายสิริพงศ์ ชูชื่น</v>
      </c>
      <c r="J1181" s="3">
        <f>IFERROR(__xludf.DUMMYFUNCTION("""COMPUTED_VALUE"""),2.0470331E7)</f>
        <v>20470331</v>
      </c>
      <c r="K1181" s="3" t="str">
        <f>IFERROR(__xludf.DUMMYFUNCTION("""COMPUTED_VALUE"""),"นายสมชาย ลักษณะสุวรรณ")</f>
        <v>นายสมชาย ลักษณะสุวรรณ</v>
      </c>
      <c r="L1181" s="1" t="str">
        <f>IFERROR(__xludf.DUMMYFUNCTION("""COMPUTED_VALUE"""),"15 K.Somchai L")</f>
        <v>15 K.Somchai L</v>
      </c>
      <c r="M1181" s="1" t="str">
        <f>IFERROR(__xludf.DUMMYFUNCTION("""COMPUTED_VALUE"""),"0655107372")</f>
        <v>0655107372</v>
      </c>
      <c r="N1181" s="3">
        <f>IFERROR(__xludf.DUMMYFUNCTION("""COMPUTED_VALUE"""),21723.0)</f>
        <v>21723</v>
      </c>
      <c r="O118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181" s="4">
        <f>IFERROR(__xludf.DUMMYFUNCTION("""COMPUTED_VALUE"""),43783.0)</f>
        <v>43783</v>
      </c>
      <c r="Q1181" s="3" t="str">
        <f>IFERROR(__xludf.DUMMYFUNCTION("""COMPUTED_VALUE"""),"A")</f>
        <v>A</v>
      </c>
      <c r="R1181" s="3" t="str">
        <f>IFERROR(__xludf.DUMMYFUNCTION("""COMPUTED_VALUE"""),"Small Format")</f>
        <v>Small Format</v>
      </c>
      <c r="S1181" s="3" t="str">
        <f>IFERROR(__xludf.DUMMYFUNCTION("""COMPUTED_VALUE"""),"BCM")</f>
        <v>BCM</v>
      </c>
      <c r="T1181" s="3" t="str">
        <f>IFERROR(__xludf.DUMMYFUNCTION("""COMPUTED_VALUE"""),"#N/A")</f>
        <v>#N/A</v>
      </c>
      <c r="U1181" s="3" t="str">
        <f>IFERROR(__xludf.DUMMYFUNCTION("""COMPUTED_VALUE"""),"#N/A")</f>
        <v>#N/A</v>
      </c>
      <c r="V1181" s="3" t="str">
        <f>IFERROR(__xludf.DUMMYFUNCTION("""COMPUTED_VALUE"""),"N")</f>
        <v>N</v>
      </c>
      <c r="W1181" s="3">
        <f>IFERROR(__xludf.DUMMYFUNCTION("""COMPUTED_VALUE"""),210017.0)</f>
        <v>210017</v>
      </c>
      <c r="X1181" s="3" t="str">
        <f>IFERROR(__xludf.DUMMYFUNCTION("""COMPUTED_VALUE"""),"133 ถนนเทศบาล3 ตำบลสะเตง อำเภอเมืองยะลา จังหวัดยะลา 95000")</f>
        <v>133 ถนนเทศบาล3 ตำบลสะเตง อำเภอเมืองยะลา จังหวัดยะลา 95000</v>
      </c>
      <c r="Y1181" s="3" t="str">
        <f>IFERROR(__xludf.DUMMYFUNCTION("""COMPUTED_VALUE"""),"ถนนเทศบาล3")</f>
        <v>ถนนเทศบาล3</v>
      </c>
      <c r="Z1181" s="3" t="str">
        <f>IFERROR(__xludf.DUMMYFUNCTION("""COMPUTED_VALUE"""),"สะเตง")</f>
        <v>สะเตง</v>
      </c>
      <c r="AA1181" s="3" t="str">
        <f>IFERROR(__xludf.DUMMYFUNCTION("""COMPUTED_VALUE"""),"เมือง")</f>
        <v>เมือง</v>
      </c>
      <c r="AB1181" s="3" t="str">
        <f>IFERROR(__xludf.DUMMYFUNCTION("""COMPUTED_VALUE"""),"ยะลา")</f>
        <v>ยะลา</v>
      </c>
      <c r="AC1181" s="3">
        <f>IFERROR(__xludf.DUMMYFUNCTION("""COMPUTED_VALUE"""),95000.0)</f>
        <v>95000</v>
      </c>
      <c r="AD1181" s="3">
        <f>IFERROR(__xludf.DUMMYFUNCTION("""COMPUTED_VALUE"""),6.550756)</f>
        <v>6.550756</v>
      </c>
      <c r="AE1181" s="3">
        <f>IFERROR(__xludf.DUMMYFUNCTION("""COMPUTED_VALUE"""),101.292597)</f>
        <v>101.292597</v>
      </c>
      <c r="AF1181" s="3" t="str">
        <f>IFERROR(__xludf.DUMMYFUNCTION("""COMPUTED_VALUE"""),"MBC ราชภัฎยะลา ยะลา-21953")</f>
        <v>MBC ราชภัฎยะลา ยะลา-21953</v>
      </c>
      <c r="AG1181" s="3" t="str">
        <f>IFERROR(__xludf.DUMMYFUNCTION("""COMPUTED_VALUE"""),"ใต้")</f>
        <v>ใต้</v>
      </c>
      <c r="AH1181" s="3" t="str">
        <f>IFERROR(__xludf.DUMMYFUNCTION("""COMPUTED_VALUE"""),"#N/A")</f>
        <v>#N/A</v>
      </c>
      <c r="AI1181" s="3" t="str">
        <f>IFERROR(__xludf.DUMMYFUNCTION("""COMPUTED_VALUE"""),"Out of warranty")</f>
        <v>Out of warranty</v>
      </c>
      <c r="AJ1181" s="3">
        <f>IFERROR(__xludf.DUMMYFUNCTION("""COMPUTED_VALUE"""),75.0)</f>
        <v>75</v>
      </c>
      <c r="AK1181" s="3" t="str">
        <f>IFERROR(__xludf.DUMMYFUNCTION("""COMPUTED_VALUE"""),"MMS16")</f>
        <v>MMS16</v>
      </c>
      <c r="AL1181" s="3"/>
    </row>
    <row r="1182" ht="15.75" customHeight="1">
      <c r="A1182" s="1" t="str">
        <f>IFERROR(__xludf.DUMMYFUNCTION("""COMPUTED_VALUE"""),"21954")</f>
        <v>21954</v>
      </c>
      <c r="B1182" s="2">
        <f>IFERROR(__xludf.DUMMYFUNCTION("""COMPUTED_VALUE"""),21954.0)</f>
        <v>21954</v>
      </c>
      <c r="C1182" s="3" t="str">
        <f>IFERROR(__xludf.DUMMYFUNCTION("""COMPUTED_VALUE"""),"MBC ถนนมะกรูด ปัตตานี")</f>
        <v>MBC ถนนมะกรูด ปัตตานี</v>
      </c>
      <c r="D1182" s="3" t="str">
        <f>IFERROR(__xludf.DUMMYFUNCTION("""COMPUTED_VALUE"""),"BCM THANON MA KRUT,PATTANI")</f>
        <v>BCM THANON MA KRUT,PATTANI</v>
      </c>
      <c r="E1182" s="1" t="str">
        <f>IFERROR(__xludf.DUMMYFUNCTION("""COMPUTED_VALUE"""),"บิ๊กซี MINI")</f>
        <v>บิ๊กซี MINI</v>
      </c>
      <c r="F1182" s="1" t="str">
        <f>IFERROR(__xludf.DUMMYFUNCTION("""COMPUTED_VALUE"""),"250760")</f>
        <v>250760</v>
      </c>
      <c r="G1182" s="1" t="str">
        <f>IFERROR(__xludf.DUMMYFUNCTION("""COMPUTED_VALUE"""),"นายประทวน สาราบรรณ์")</f>
        <v>นายประทวน สาราบรรณ์</v>
      </c>
      <c r="H1182" s="1" t="str">
        <f>IFERROR(__xludf.DUMMYFUNCTION("""COMPUTED_VALUE"""),"394185")</f>
        <v>394185</v>
      </c>
      <c r="I1182" s="1" t="str">
        <f>IFERROR(__xludf.DUMMYFUNCTION("""COMPUTED_VALUE"""),"น.ส.ฐาปนี สุวรรณรัตน์")</f>
        <v>น.ส.ฐาปนี สุวรรณรัตน์</v>
      </c>
      <c r="J1182" s="3">
        <f>IFERROR(__xludf.DUMMYFUNCTION("""COMPUTED_VALUE"""),2.0470331E7)</f>
        <v>20470331</v>
      </c>
      <c r="K1182" s="3" t="str">
        <f>IFERROR(__xludf.DUMMYFUNCTION("""COMPUTED_VALUE"""),"นายสมชาย ลักษณะสุวรรณ")</f>
        <v>นายสมชาย ลักษณะสุวรรณ</v>
      </c>
      <c r="L1182" s="1" t="str">
        <f>IFERROR(__xludf.DUMMYFUNCTION("""COMPUTED_VALUE"""),"15 K.Somchai L")</f>
        <v>15 K.Somchai L</v>
      </c>
      <c r="M1182" s="1" t="str">
        <f>IFERROR(__xludf.DUMMYFUNCTION("""COMPUTED_VALUE"""),"0655107372")</f>
        <v>0655107372</v>
      </c>
      <c r="N1182" s="3">
        <f>IFERROR(__xludf.DUMMYFUNCTION("""COMPUTED_VALUE"""),21723.0)</f>
        <v>21723</v>
      </c>
      <c r="O1182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182" s="4">
        <f>IFERROR(__xludf.DUMMYFUNCTION("""COMPUTED_VALUE"""),43784.0)</f>
        <v>43784</v>
      </c>
      <c r="Q1182" s="3" t="str">
        <f>IFERROR(__xludf.DUMMYFUNCTION("""COMPUTED_VALUE"""),"A")</f>
        <v>A</v>
      </c>
      <c r="R1182" s="3" t="str">
        <f>IFERROR(__xludf.DUMMYFUNCTION("""COMPUTED_VALUE"""),"Small Format")</f>
        <v>Small Format</v>
      </c>
      <c r="S1182" s="3" t="str">
        <f>IFERROR(__xludf.DUMMYFUNCTION("""COMPUTED_VALUE"""),"BCM")</f>
        <v>BCM</v>
      </c>
      <c r="T1182" s="3" t="str">
        <f>IFERROR(__xludf.DUMMYFUNCTION("""COMPUTED_VALUE"""),"#N/A")</f>
        <v>#N/A</v>
      </c>
      <c r="U1182" s="3" t="str">
        <f>IFERROR(__xludf.DUMMYFUNCTION("""COMPUTED_VALUE"""),"#N/A")</f>
        <v>#N/A</v>
      </c>
      <c r="V1182" s="3" t="str">
        <f>IFERROR(__xludf.DUMMYFUNCTION("""COMPUTED_VALUE"""),"N")</f>
        <v>N</v>
      </c>
      <c r="W1182" s="3">
        <f>IFERROR(__xludf.DUMMYFUNCTION("""COMPUTED_VALUE"""),211980.0)</f>
        <v>211980</v>
      </c>
      <c r="X1182" s="3" t="str">
        <f>IFERROR(__xludf.DUMMYFUNCTION("""COMPUTED_VALUE"""),"14/1 ถนนมะกรูด ตำบลสะบารัง อำเภอเมืองปัตตานี จังหวัดปัตตานี 94000")</f>
        <v>14/1 ถนนมะกรูด ตำบลสะบารัง อำเภอเมืองปัตตานี จังหวัดปัตตานี 94000</v>
      </c>
      <c r="Y1182" s="3" t="str">
        <f>IFERROR(__xludf.DUMMYFUNCTION("""COMPUTED_VALUE"""),"ถนนมะกรูด")</f>
        <v>ถนนมะกรูด</v>
      </c>
      <c r="Z1182" s="3" t="str">
        <f>IFERROR(__xludf.DUMMYFUNCTION("""COMPUTED_VALUE"""),"สะบารัง")</f>
        <v>สะบารัง</v>
      </c>
      <c r="AA1182" s="3" t="str">
        <f>IFERROR(__xludf.DUMMYFUNCTION("""COMPUTED_VALUE"""),"เมือง")</f>
        <v>เมือง</v>
      </c>
      <c r="AB1182" s="3" t="str">
        <f>IFERROR(__xludf.DUMMYFUNCTION("""COMPUTED_VALUE"""),"ปัตตานี")</f>
        <v>ปัตตานี</v>
      </c>
      <c r="AC1182" s="3">
        <f>IFERROR(__xludf.DUMMYFUNCTION("""COMPUTED_VALUE"""),94000.0)</f>
        <v>94000</v>
      </c>
      <c r="AD1182" s="3">
        <f>IFERROR(__xludf.DUMMYFUNCTION("""COMPUTED_VALUE"""),6.866247)</f>
        <v>6.866247</v>
      </c>
      <c r="AE1182" s="3">
        <f>IFERROR(__xludf.DUMMYFUNCTION("""COMPUTED_VALUE"""),101.248853)</f>
        <v>101.248853</v>
      </c>
      <c r="AF1182" s="3" t="str">
        <f>IFERROR(__xludf.DUMMYFUNCTION("""COMPUTED_VALUE"""),"MBC ถนนมะกรูด ปัตตานี-21954")</f>
        <v>MBC ถนนมะกรูด ปัตตานี-21954</v>
      </c>
      <c r="AG1182" s="3" t="str">
        <f>IFERROR(__xludf.DUMMYFUNCTION("""COMPUTED_VALUE"""),"ใต้")</f>
        <v>ใต้</v>
      </c>
      <c r="AH1182" s="3" t="str">
        <f>IFERROR(__xludf.DUMMYFUNCTION("""COMPUTED_VALUE"""),"#N/A")</f>
        <v>#N/A</v>
      </c>
      <c r="AI1182" s="3" t="str">
        <f>IFERROR(__xludf.DUMMYFUNCTION("""COMPUTED_VALUE"""),"Out of warranty")</f>
        <v>Out of warranty</v>
      </c>
      <c r="AJ1182" s="3">
        <f>IFERROR(__xludf.DUMMYFUNCTION("""COMPUTED_VALUE"""),75.0)</f>
        <v>75</v>
      </c>
      <c r="AK1182" s="3" t="str">
        <f>IFERROR(__xludf.DUMMYFUNCTION("""COMPUTED_VALUE"""),"MMS16")</f>
        <v>MMS16</v>
      </c>
      <c r="AL1182" s="3"/>
    </row>
    <row r="1183" ht="15.75" customHeight="1">
      <c r="A1183" s="1" t="str">
        <f>IFERROR(__xludf.DUMMYFUNCTION("""COMPUTED_VALUE"""),"21955")</f>
        <v>21955</v>
      </c>
      <c r="B1183" s="2">
        <f>IFERROR(__xludf.DUMMYFUNCTION("""COMPUTED_VALUE"""),21955.0)</f>
        <v>21955</v>
      </c>
      <c r="C1183" s="3" t="str">
        <f>IFERROR(__xludf.DUMMYFUNCTION("""COMPUTED_VALUE"""),"MBC บ้านช้าง ชลบุรี")</f>
        <v>MBC บ้านช้าง ชลบุรี</v>
      </c>
      <c r="D1183" s="3" t="str">
        <f>IFERROR(__xludf.DUMMYFUNCTION("""COMPUTED_VALUE"""),"BCM BAN CHANG,CHONBURI")</f>
        <v>BCM BAN CHANG,CHONBURI</v>
      </c>
      <c r="E1183" s="1" t="str">
        <f>IFERROR(__xludf.DUMMYFUNCTION("""COMPUTED_VALUE"""),"บิ๊กซี MINI")</f>
        <v>บิ๊กซี MINI</v>
      </c>
      <c r="F1183" s="1" t="str">
        <f>IFERROR(__xludf.DUMMYFUNCTION("""COMPUTED_VALUE"""),"221716")</f>
        <v>221716</v>
      </c>
      <c r="G1183" s="1" t="str">
        <f>IFERROR(__xludf.DUMMYFUNCTION("""COMPUTED_VALUE"""),"น.ส.เบญจพร โพธิสาร")</f>
        <v>น.ส.เบญจพร โพธิสาร</v>
      </c>
      <c r="H1183" s="1" t="str">
        <f>IFERROR(__xludf.DUMMYFUNCTION("""COMPUTED_VALUE"""),"2452265")</f>
        <v>2452265</v>
      </c>
      <c r="I1183" s="1" t="str">
        <f>IFERROR(__xludf.DUMMYFUNCTION("""COMPUTED_VALUE"""),"นายพิทยา จันทร์ประเทศ")</f>
        <v>นายพิทยา จันทร์ประเทศ</v>
      </c>
      <c r="J1183" s="3">
        <f>IFERROR(__xludf.DUMMYFUNCTION("""COMPUTED_VALUE"""),296942.0)</f>
        <v>296942</v>
      </c>
      <c r="K1183" s="3" t="str">
        <f>IFERROR(__xludf.DUMMYFUNCTION("""COMPUTED_VALUE"""),"นายปิยะ รักษากิจ")</f>
        <v>นายปิยะ รักษากิจ</v>
      </c>
      <c r="L1183" s="1" t="str">
        <f>IFERROR(__xludf.DUMMYFUNCTION("""COMPUTED_VALUE"""),"07 K.Piya R.")</f>
        <v>07 K.Piya R.</v>
      </c>
      <c r="M1183" s="1" t="str">
        <f>IFERROR(__xludf.DUMMYFUNCTION("""COMPUTED_VALUE"""),"097-919-5476")</f>
        <v>097-919-5476</v>
      </c>
      <c r="N1183" s="3">
        <f>IFERROR(__xludf.DUMMYFUNCTION("""COMPUTED_VALUE"""),21332.0)</f>
        <v>21332</v>
      </c>
      <c r="O1183" s="3" t="str">
        <f>IFERROR(__xludf.DUMMYFUNCTION("""COMPUTED_VALUE"""),"MBC BCP อ่อนนุช 17/1")</f>
        <v>MBC BCP อ่อนนุช 17/1</v>
      </c>
      <c r="P1183" s="4">
        <f>IFERROR(__xludf.DUMMYFUNCTION("""COMPUTED_VALUE"""),43771.0)</f>
        <v>43771</v>
      </c>
      <c r="Q1183" s="3" t="str">
        <f>IFERROR(__xludf.DUMMYFUNCTION("""COMPUTED_VALUE"""),"A")</f>
        <v>A</v>
      </c>
      <c r="R1183" s="3" t="str">
        <f>IFERROR(__xludf.DUMMYFUNCTION("""COMPUTED_VALUE"""),"Small Format")</f>
        <v>Small Format</v>
      </c>
      <c r="S1183" s="3" t="str">
        <f>IFERROR(__xludf.DUMMYFUNCTION("""COMPUTED_VALUE"""),"BCM")</f>
        <v>BCM</v>
      </c>
      <c r="T1183" s="3" t="str">
        <f>IFERROR(__xludf.DUMMYFUNCTION("""COMPUTED_VALUE"""),"#N/A")</f>
        <v>#N/A</v>
      </c>
      <c r="U1183" s="3" t="str">
        <f>IFERROR(__xludf.DUMMYFUNCTION("""COMPUTED_VALUE"""),"#N/A")</f>
        <v>#N/A</v>
      </c>
      <c r="V1183" s="3" t="str">
        <f>IFERROR(__xludf.DUMMYFUNCTION("""COMPUTED_VALUE"""),"N")</f>
        <v>N</v>
      </c>
      <c r="W1183" s="3">
        <f>IFERROR(__xludf.DUMMYFUNCTION("""COMPUTED_VALUE"""),211866.0)</f>
        <v>211866</v>
      </c>
      <c r="X1183" s="3" t="str">
        <f>IFERROR(__xludf.DUMMYFUNCTION("""COMPUTED_VALUE"""),"22/2 หมู่4 ตำบลบ้านช้าง อำเภอพนัสนิคม จังหวัดชลบุรี 20140")</f>
        <v>22/2 หมู่4 ตำบลบ้านช้าง อำเภอพนัสนิคม จังหวัดชลบุรี 20140</v>
      </c>
      <c r="Y1183" s="3"/>
      <c r="Z1183" s="3" t="str">
        <f>IFERROR(__xludf.DUMMYFUNCTION("""COMPUTED_VALUE"""),"บ้านช้าง")</f>
        <v>บ้านช้าง</v>
      </c>
      <c r="AA1183" s="3" t="str">
        <f>IFERROR(__xludf.DUMMYFUNCTION("""COMPUTED_VALUE"""),"พนัสนิคม")</f>
        <v>พนัสนิคม</v>
      </c>
      <c r="AB1183" s="3" t="str">
        <f>IFERROR(__xludf.DUMMYFUNCTION("""COMPUTED_VALUE"""),"ชลบุรี")</f>
        <v>ชลบุรี</v>
      </c>
      <c r="AC1183" s="3">
        <f>IFERROR(__xludf.DUMMYFUNCTION("""COMPUTED_VALUE"""),20140.0)</f>
        <v>20140</v>
      </c>
      <c r="AD1183" s="3">
        <f>IFERROR(__xludf.DUMMYFUNCTION("""COMPUTED_VALUE"""),13.438826)</f>
        <v>13.438826</v>
      </c>
      <c r="AE1183" s="3">
        <f>IFERROR(__xludf.DUMMYFUNCTION("""COMPUTED_VALUE"""),101.190502)</f>
        <v>101.190502</v>
      </c>
      <c r="AF1183" s="3" t="str">
        <f>IFERROR(__xludf.DUMMYFUNCTION("""COMPUTED_VALUE"""),"MBC บ้านช้าง ชลบุรี-21955")</f>
        <v>MBC บ้านช้าง ชลบุรี-21955</v>
      </c>
      <c r="AG1183" s="3" t="str">
        <f>IFERROR(__xludf.DUMMYFUNCTION("""COMPUTED_VALUE"""),"ตะวันออก")</f>
        <v>ตะวันออก</v>
      </c>
      <c r="AH1183" s="3" t="str">
        <f>IFERROR(__xludf.DUMMYFUNCTION("""COMPUTED_VALUE"""),"#N/A")</f>
        <v>#N/A</v>
      </c>
      <c r="AI1183" s="3" t="str">
        <f>IFERROR(__xludf.DUMMYFUNCTION("""COMPUTED_VALUE"""),"Out of warranty")</f>
        <v>Out of warranty</v>
      </c>
      <c r="AJ1183" s="3">
        <f>IFERROR(__xludf.DUMMYFUNCTION("""COMPUTED_VALUE"""),75.0)</f>
        <v>75</v>
      </c>
      <c r="AK1183" s="3" t="str">
        <f>IFERROR(__xludf.DUMMYFUNCTION("""COMPUTED_VALUE"""),"MMS07")</f>
        <v>MMS07</v>
      </c>
      <c r="AL1183" s="3"/>
    </row>
    <row r="1184" ht="15.75" customHeight="1">
      <c r="A1184" s="1" t="str">
        <f>IFERROR(__xludf.DUMMYFUNCTION("""COMPUTED_VALUE"""),"21956")</f>
        <v>21956</v>
      </c>
      <c r="B1184" s="2">
        <f>IFERROR(__xludf.DUMMYFUNCTION("""COMPUTED_VALUE"""),21956.0)</f>
        <v>21956</v>
      </c>
      <c r="C1184" s="3" t="str">
        <f>IFERROR(__xludf.DUMMYFUNCTION("""COMPUTED_VALUE"""),"MBC ผดุงพันธ์ ซอย13 กรุงเทพมหานคร")</f>
        <v>MBC ผดุงพันธ์ ซอย13 กรุงเทพมหานคร</v>
      </c>
      <c r="D1184" s="3" t="str">
        <f>IFERROR(__xludf.DUMMYFUNCTION("""COMPUTED_VALUE"""),"BCM PHADUNG PHAN SOI 13")</f>
        <v>BCM PHADUNG PHAN SOI 13</v>
      </c>
      <c r="E1184" s="1" t="str">
        <f>IFERROR(__xludf.DUMMYFUNCTION("""COMPUTED_VALUE"""),"บิ๊กซี MINI")</f>
        <v>บิ๊กซี MINI</v>
      </c>
      <c r="F1184" s="1" t="str">
        <f>IFERROR(__xludf.DUMMYFUNCTION("""COMPUTED_VALUE"""),"291008")</f>
        <v>291008</v>
      </c>
      <c r="G1184" s="1" t="str">
        <f>IFERROR(__xludf.DUMMYFUNCTION("""COMPUTED_VALUE"""),"น.ส.รัชดาพร อีศรัตน์")</f>
        <v>น.ส.รัชดาพร อีศรัตน์</v>
      </c>
      <c r="H1184" s="1" t="str">
        <f>IFERROR(__xludf.DUMMYFUNCTION("""COMPUTED_VALUE"""),"228242")</f>
        <v>228242</v>
      </c>
      <c r="I1184" s="1" t="str">
        <f>IFERROR(__xludf.DUMMYFUNCTION("""COMPUTED_VALUE"""),"นายสมชาย เยมรัมย์")</f>
        <v>นายสมชาย เยมรัมย์</v>
      </c>
      <c r="J1184" s="3">
        <f>IFERROR(__xludf.DUMMYFUNCTION("""COMPUTED_VALUE"""),3510104.0)</f>
        <v>3510104</v>
      </c>
      <c r="K1184" s="3" t="str">
        <f>IFERROR(__xludf.DUMMYFUNCTION("""COMPUTED_VALUE"""),"นายวิโรจน์ อับดุลสมัด")</f>
        <v>นายวิโรจน์ อับดุลสมัด</v>
      </c>
      <c r="L1184" s="1" t="str">
        <f>IFERROR(__xludf.DUMMYFUNCTION("""COMPUTED_VALUE"""),"09 K.Wirode A")</f>
        <v>09 K.Wirode A</v>
      </c>
      <c r="M1184" s="1" t="str">
        <f>IFERROR(__xludf.DUMMYFUNCTION("""COMPUTED_VALUE"""),"080-235-4465")</f>
        <v>080-235-4465</v>
      </c>
      <c r="N1184" s="3">
        <f>IFERROR(__xludf.DUMMYFUNCTION("""COMPUTED_VALUE"""),21324.0)</f>
        <v>21324</v>
      </c>
      <c r="O1184" s="3" t="str">
        <f>IFERROR(__xludf.DUMMYFUNCTION("""COMPUTED_VALUE"""),"MBC BCP สุวินทวงศ์")</f>
        <v>MBC BCP สุวินทวงศ์</v>
      </c>
      <c r="P1184" s="4">
        <f>IFERROR(__xludf.DUMMYFUNCTION("""COMPUTED_VALUE"""),43773.0)</f>
        <v>43773</v>
      </c>
      <c r="Q1184" s="3" t="str">
        <f>IFERROR(__xludf.DUMMYFUNCTION("""COMPUTED_VALUE"""),"A")</f>
        <v>A</v>
      </c>
      <c r="R1184" s="3" t="str">
        <f>IFERROR(__xludf.DUMMYFUNCTION("""COMPUTED_VALUE"""),"Small Format")</f>
        <v>Small Format</v>
      </c>
      <c r="S1184" s="3" t="str">
        <f>IFERROR(__xludf.DUMMYFUNCTION("""COMPUTED_VALUE"""),"BCM")</f>
        <v>BCM</v>
      </c>
      <c r="T1184" s="3" t="str">
        <f>IFERROR(__xludf.DUMMYFUNCTION("""COMPUTED_VALUE"""),"#N/A")</f>
        <v>#N/A</v>
      </c>
      <c r="U1184" s="3" t="str">
        <f>IFERROR(__xludf.DUMMYFUNCTION("""COMPUTED_VALUE"""),"#N/A")</f>
        <v>#N/A</v>
      </c>
      <c r="V1184" s="3" t="str">
        <f>IFERROR(__xludf.DUMMYFUNCTION("""COMPUTED_VALUE"""),"N")</f>
        <v>N</v>
      </c>
      <c r="W1184" s="3">
        <f>IFERROR(__xludf.DUMMYFUNCTION("""COMPUTED_VALUE"""),211937.0)</f>
        <v>211937</v>
      </c>
      <c r="X1184" s="3" t="str">
        <f>IFERROR(__xludf.DUMMYFUNCTION("""COMPUTED_VALUE"""),"65/489 หมู่7 แขวงหนองจอก เขตหนองจอก กรุงเทพมหานคร 10530")</f>
        <v>65/489 หมู่7 แขวงหนองจอก เขตหนองจอก กรุงเทพมหานคร 10530</v>
      </c>
      <c r="Y1184" s="3"/>
      <c r="Z1184" s="3" t="str">
        <f>IFERROR(__xludf.DUMMYFUNCTION("""COMPUTED_VALUE"""),"หนองจอก")</f>
        <v>หนองจอก</v>
      </c>
      <c r="AA1184" s="3" t="str">
        <f>IFERROR(__xludf.DUMMYFUNCTION("""COMPUTED_VALUE"""),"หนองจอก")</f>
        <v>หนองจอก</v>
      </c>
      <c r="AB1184" s="3" t="str">
        <f>IFERROR(__xludf.DUMMYFUNCTION("""COMPUTED_VALUE"""),"กรุงเทพมหานคร")</f>
        <v>กรุงเทพมหานคร</v>
      </c>
      <c r="AC1184" s="3">
        <f>IFERROR(__xludf.DUMMYFUNCTION("""COMPUTED_VALUE"""),10530.0)</f>
        <v>10530</v>
      </c>
      <c r="AD1184" s="3">
        <f>IFERROR(__xludf.DUMMYFUNCTION("""COMPUTED_VALUE"""),13.856738)</f>
        <v>13.856738</v>
      </c>
      <c r="AE1184" s="3">
        <f>IFERROR(__xludf.DUMMYFUNCTION("""COMPUTED_VALUE"""),100.872431)</f>
        <v>100.872431</v>
      </c>
      <c r="AF1184" s="3" t="str">
        <f>IFERROR(__xludf.DUMMYFUNCTION("""COMPUTED_VALUE"""),"MBC ผดุงพันธ์ ซอย13 กรุงเทพมหานคร-21956")</f>
        <v>MBC ผดุงพันธ์ ซอย13 กรุงเทพมหานคร-21956</v>
      </c>
      <c r="AG1184" s="3" t="str">
        <f>IFERROR(__xludf.DUMMYFUNCTION("""COMPUTED_VALUE"""),"กลาง")</f>
        <v>กลาง</v>
      </c>
      <c r="AH1184" s="3" t="str">
        <f>IFERROR(__xludf.DUMMYFUNCTION("""COMPUTED_VALUE"""),"#N/A")</f>
        <v>#N/A</v>
      </c>
      <c r="AI1184" s="3" t="str">
        <f>IFERROR(__xludf.DUMMYFUNCTION("""COMPUTED_VALUE"""),"Out of warranty")</f>
        <v>Out of warranty</v>
      </c>
      <c r="AJ1184" s="3">
        <f>IFERROR(__xludf.DUMMYFUNCTION("""COMPUTED_VALUE"""),75.0)</f>
        <v>75</v>
      </c>
      <c r="AK1184" s="3" t="str">
        <f>IFERROR(__xludf.DUMMYFUNCTION("""COMPUTED_VALUE"""),"MMS04")</f>
        <v>MMS04</v>
      </c>
      <c r="AL1184" s="3"/>
    </row>
    <row r="1185" ht="15.75" customHeight="1">
      <c r="A1185" s="1" t="str">
        <f>IFERROR(__xludf.DUMMYFUNCTION("""COMPUTED_VALUE"""),"21957")</f>
        <v>21957</v>
      </c>
      <c r="B1185" s="2">
        <f>IFERROR(__xludf.DUMMYFUNCTION("""COMPUTED_VALUE"""),21957.0)</f>
        <v>21957</v>
      </c>
      <c r="C1185" s="3" t="str">
        <f>IFERROR(__xludf.DUMMYFUNCTION("""COMPUTED_VALUE"""),"MBC ตลาดกวางทอง สระบุรี")</f>
        <v>MBC ตลาดกวางทอง สระบุรี</v>
      </c>
      <c r="D1185" s="3" t="str">
        <f>IFERROR(__xludf.DUMMYFUNCTION("""COMPUTED_VALUE"""),"BCM TALAD KWANG THONG")</f>
        <v>BCM TALAD KWANG THONG</v>
      </c>
      <c r="E1185" s="1" t="str">
        <f>IFERROR(__xludf.DUMMYFUNCTION("""COMPUTED_VALUE"""),"บิ๊กซี MINI")</f>
        <v>บิ๊กซี MINI</v>
      </c>
      <c r="F1185" s="1" t="str">
        <f>IFERROR(__xludf.DUMMYFUNCTION("""COMPUTED_VALUE"""),"296229")</f>
        <v>296229</v>
      </c>
      <c r="G1185" s="1" t="str">
        <f>IFERROR(__xludf.DUMMYFUNCTION("""COMPUTED_VALUE"""),"นายทนงศักดิ์ บุญมา")</f>
        <v>นายทนงศักดิ์ บุญมา</v>
      </c>
      <c r="H1185" s="1" t="str">
        <f>IFERROR(__xludf.DUMMYFUNCTION("""COMPUTED_VALUE"""),"318233")</f>
        <v>318233</v>
      </c>
      <c r="I1185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1185" s="3">
        <f>IFERROR(__xludf.DUMMYFUNCTION("""COMPUTED_VALUE"""),46214.0)</f>
        <v>46214</v>
      </c>
      <c r="K1185" s="3" t="str">
        <f>IFERROR(__xludf.DUMMYFUNCTION("""COMPUTED_VALUE"""),"นายศักดิ์ชัย เด็ดดอกฟ้า")</f>
        <v>นายศักดิ์ชัย เด็ดดอกฟ้า</v>
      </c>
      <c r="L1185" s="1" t="str">
        <f>IFERROR(__xludf.DUMMYFUNCTION("""COMPUTED_VALUE"""),"02 K.Sakchai D")</f>
        <v>02 K.Sakchai D</v>
      </c>
      <c r="M1185" s="1" t="str">
        <f>IFERROR(__xludf.DUMMYFUNCTION("""COMPUTED_VALUE"""),"065-510-7376")</f>
        <v>065-510-7376</v>
      </c>
      <c r="N1185" s="3">
        <f>IFERROR(__xludf.DUMMYFUNCTION("""COMPUTED_VALUE"""),21714.0)</f>
        <v>21714</v>
      </c>
      <c r="O1185" s="3" t="str">
        <f>IFERROR(__xludf.DUMMYFUNCTION("""COMPUTED_VALUE"""),"MBC เอสโซ่ วัดโบสถ์")</f>
        <v>MBC เอสโซ่ วัดโบสถ์</v>
      </c>
      <c r="P1185" s="4">
        <f>IFERROR(__xludf.DUMMYFUNCTION("""COMPUTED_VALUE"""),43774.0)</f>
        <v>43774</v>
      </c>
      <c r="Q1185" s="3" t="str">
        <f>IFERROR(__xludf.DUMMYFUNCTION("""COMPUTED_VALUE"""),"A")</f>
        <v>A</v>
      </c>
      <c r="R1185" s="3" t="str">
        <f>IFERROR(__xludf.DUMMYFUNCTION("""COMPUTED_VALUE"""),"Small Format")</f>
        <v>Small Format</v>
      </c>
      <c r="S1185" s="3" t="str">
        <f>IFERROR(__xludf.DUMMYFUNCTION("""COMPUTED_VALUE"""),"BCM")</f>
        <v>BCM</v>
      </c>
      <c r="T1185" s="3" t="str">
        <f>IFERROR(__xludf.DUMMYFUNCTION("""COMPUTED_VALUE"""),"#N/A")</f>
        <v>#N/A</v>
      </c>
      <c r="U1185" s="3" t="str">
        <f>IFERROR(__xludf.DUMMYFUNCTION("""COMPUTED_VALUE"""),"#N/A")</f>
        <v>#N/A</v>
      </c>
      <c r="V1185" s="3" t="str">
        <f>IFERROR(__xludf.DUMMYFUNCTION("""COMPUTED_VALUE"""),"N")</f>
        <v>N</v>
      </c>
      <c r="W1185" s="3">
        <f>IFERROR(__xludf.DUMMYFUNCTION("""COMPUTED_VALUE"""),210055.0)</f>
        <v>210055</v>
      </c>
      <c r="X1185" s="3" t="str">
        <f>IFERROR(__xludf.DUMMYFUNCTION("""COMPUTED_VALUE"""),"2/2 หมู่9 ตำบลทับกวาง อำเภอแก่งคอย จังหวัดสระบุรี 18260")</f>
        <v>2/2 หมู่9 ตำบลทับกวาง อำเภอแก่งคอย จังหวัดสระบุรี 18260</v>
      </c>
      <c r="Y1185" s="3"/>
      <c r="Z1185" s="3" t="str">
        <f>IFERROR(__xludf.DUMMYFUNCTION("""COMPUTED_VALUE"""),"ทับกวาง")</f>
        <v>ทับกวาง</v>
      </c>
      <c r="AA1185" s="3" t="str">
        <f>IFERROR(__xludf.DUMMYFUNCTION("""COMPUTED_VALUE"""),"แก่งคอย")</f>
        <v>แก่งคอย</v>
      </c>
      <c r="AB1185" s="3" t="str">
        <f>IFERROR(__xludf.DUMMYFUNCTION("""COMPUTED_VALUE"""),"สระบุรี")</f>
        <v>สระบุรี</v>
      </c>
      <c r="AC1185" s="3">
        <f>IFERROR(__xludf.DUMMYFUNCTION("""COMPUTED_VALUE"""),18260.0)</f>
        <v>18260</v>
      </c>
      <c r="AD1185" s="3">
        <f>IFERROR(__xludf.DUMMYFUNCTION("""COMPUTED_VALUE"""),14.604198)</f>
        <v>14.604198</v>
      </c>
      <c r="AE1185" s="3">
        <f>IFERROR(__xludf.DUMMYFUNCTION("""COMPUTED_VALUE"""),101.06223)</f>
        <v>101.06223</v>
      </c>
      <c r="AF1185" s="3" t="str">
        <f>IFERROR(__xludf.DUMMYFUNCTION("""COMPUTED_VALUE"""),"MBC ตลาดกวางทอง สระบุรี-21957")</f>
        <v>MBC ตลาดกวางทอง สระบุรี-21957</v>
      </c>
      <c r="AG1185" s="3" t="str">
        <f>IFERROR(__xludf.DUMMYFUNCTION("""COMPUTED_VALUE"""),"กลาง")</f>
        <v>กลาง</v>
      </c>
      <c r="AH1185" s="3" t="str">
        <f>IFERROR(__xludf.DUMMYFUNCTION("""COMPUTED_VALUE"""),"#N/A")</f>
        <v>#N/A</v>
      </c>
      <c r="AI1185" s="3" t="str">
        <f>IFERROR(__xludf.DUMMYFUNCTION("""COMPUTED_VALUE"""),"Out of warranty")</f>
        <v>Out of warranty</v>
      </c>
      <c r="AJ1185" s="3">
        <f>IFERROR(__xludf.DUMMYFUNCTION("""COMPUTED_VALUE"""),75.0)</f>
        <v>75</v>
      </c>
      <c r="AK1185" s="3" t="str">
        <f>IFERROR(__xludf.DUMMYFUNCTION("""COMPUTED_VALUE"""),"MMS09")</f>
        <v>MMS09</v>
      </c>
      <c r="AL1185" s="3"/>
    </row>
    <row r="1186" ht="15.75" customHeight="1">
      <c r="A1186" s="1" t="str">
        <f>IFERROR(__xludf.DUMMYFUNCTION("""COMPUTED_VALUE"""),"21958")</f>
        <v>21958</v>
      </c>
      <c r="B1186" s="2">
        <f>IFERROR(__xludf.DUMMYFUNCTION("""COMPUTED_VALUE"""),21958.0)</f>
        <v>21958</v>
      </c>
      <c r="C1186" s="3" t="str">
        <f>IFERROR(__xludf.DUMMYFUNCTION("""COMPUTED_VALUE"""),"MBC เก้าเลี้ยว นครสวรรค์")</f>
        <v>MBC เก้าเลี้ยว นครสวรรค์</v>
      </c>
      <c r="D1186" s="3" t="str">
        <f>IFERROR(__xludf.DUMMYFUNCTION("""COMPUTED_VALUE"""),"BCM KAO LIAO,NAKHONSAWAN")</f>
        <v>BCM KAO LIAO,NAKHONSAWAN</v>
      </c>
      <c r="E1186" s="1" t="str">
        <f>IFERROR(__xludf.DUMMYFUNCTION("""COMPUTED_VALUE"""),"บิ๊กซี MINI")</f>
        <v>บิ๊กซี MINI</v>
      </c>
      <c r="F1186" s="1" t="str">
        <f>IFERROR(__xludf.DUMMYFUNCTION("""COMPUTED_VALUE"""),"296229")</f>
        <v>296229</v>
      </c>
      <c r="G1186" s="1" t="str">
        <f>IFERROR(__xludf.DUMMYFUNCTION("""COMPUTED_VALUE"""),"นายทนงศักดิ์ บุญมา")</f>
        <v>นายทนงศักดิ์ บุญมา</v>
      </c>
      <c r="H1186" s="1" t="str">
        <f>IFERROR(__xludf.DUMMYFUNCTION("""COMPUTED_VALUE"""),"291082")</f>
        <v>291082</v>
      </c>
      <c r="I1186" s="1" t="str">
        <f>IFERROR(__xludf.DUMMYFUNCTION("""COMPUTED_VALUE"""),"น.ส.วจี กันเกตุ")</f>
        <v>น.ส.วจี กันเกตุ</v>
      </c>
      <c r="J1186" s="3">
        <f>IFERROR(__xludf.DUMMYFUNCTION("""COMPUTED_VALUE"""),46214.0)</f>
        <v>46214</v>
      </c>
      <c r="K1186" s="3" t="str">
        <f>IFERROR(__xludf.DUMMYFUNCTION("""COMPUTED_VALUE"""),"นายศักดิ์ชัย เด็ดดอกฟ้า")</f>
        <v>นายศักดิ์ชัย เด็ดดอกฟ้า</v>
      </c>
      <c r="L1186" s="1" t="str">
        <f>IFERROR(__xludf.DUMMYFUNCTION("""COMPUTED_VALUE"""),"02 K.Sakchai D")</f>
        <v>02 K.Sakchai D</v>
      </c>
      <c r="M1186" s="1" t="str">
        <f>IFERROR(__xludf.DUMMYFUNCTION("""COMPUTED_VALUE"""),"065-510-7376")</f>
        <v>065-510-7376</v>
      </c>
      <c r="N1186" s="3">
        <f>IFERROR(__xludf.DUMMYFUNCTION("""COMPUTED_VALUE"""),21441.0)</f>
        <v>21441</v>
      </c>
      <c r="O1186" s="3" t="str">
        <f>IFERROR(__xludf.DUMMYFUNCTION("""COMPUTED_VALUE"""),"MBC บ้านกร่าง พิษณุโลก")</f>
        <v>MBC บ้านกร่าง พิษณุโลก</v>
      </c>
      <c r="P1186" s="4">
        <f>IFERROR(__xludf.DUMMYFUNCTION("""COMPUTED_VALUE"""),43775.0)</f>
        <v>43775</v>
      </c>
      <c r="Q1186" s="3" t="str">
        <f>IFERROR(__xludf.DUMMYFUNCTION("""COMPUTED_VALUE"""),"I")</f>
        <v>I</v>
      </c>
      <c r="R1186" s="3" t="str">
        <f>IFERROR(__xludf.DUMMYFUNCTION("""COMPUTED_VALUE"""),"Small Format")</f>
        <v>Small Format</v>
      </c>
      <c r="S1186" s="3" t="str">
        <f>IFERROR(__xludf.DUMMYFUNCTION("""COMPUTED_VALUE"""),"BCM")</f>
        <v>BCM</v>
      </c>
      <c r="T1186" s="3" t="str">
        <f>IFERROR(__xludf.DUMMYFUNCTION("""COMPUTED_VALUE"""),"#N/A")</f>
        <v>#N/A</v>
      </c>
      <c r="U1186" s="3" t="str">
        <f>IFERROR(__xludf.DUMMYFUNCTION("""COMPUTED_VALUE"""),"#N/A")</f>
        <v>#N/A</v>
      </c>
      <c r="V1186" s="3" t="str">
        <f>IFERROR(__xludf.DUMMYFUNCTION("""COMPUTED_VALUE"""),"N")</f>
        <v>N</v>
      </c>
      <c r="W1186" s="3">
        <f>IFERROR(__xludf.DUMMYFUNCTION("""COMPUTED_VALUE"""),211982.0)</f>
        <v>211982</v>
      </c>
      <c r="X1186" s="3" t="str">
        <f>IFERROR(__xludf.DUMMYFUNCTION("""COMPUTED_VALUE"""),"266/4-7 หมู่2 ตำบลเก้าเลี้ยว อำเภอเก้าเลี้ยว จังหวัดนครสวรรค์ 60230")</f>
        <v>266/4-7 หมู่2 ตำบลเก้าเลี้ยว อำเภอเก้าเลี้ยว จังหวัดนครสวรรค์ 60230</v>
      </c>
      <c r="Y1186" s="3"/>
      <c r="Z1186" s="3" t="str">
        <f>IFERROR(__xludf.DUMMYFUNCTION("""COMPUTED_VALUE"""),"เก้าเลี้ยว")</f>
        <v>เก้าเลี้ยว</v>
      </c>
      <c r="AA1186" s="3" t="str">
        <f>IFERROR(__xludf.DUMMYFUNCTION("""COMPUTED_VALUE"""),"เก้าเลี้ยว")</f>
        <v>เก้าเลี้ยว</v>
      </c>
      <c r="AB1186" s="3" t="str">
        <f>IFERROR(__xludf.DUMMYFUNCTION("""COMPUTED_VALUE"""),"นครสวรรค์")</f>
        <v>นครสวรรค์</v>
      </c>
      <c r="AC1186" s="3">
        <f>IFERROR(__xludf.DUMMYFUNCTION("""COMPUTED_VALUE"""),60230.0)</f>
        <v>60230</v>
      </c>
      <c r="AD1186" s="3">
        <f>IFERROR(__xludf.DUMMYFUNCTION("""COMPUTED_VALUE"""),15.376449)</f>
        <v>15.376449</v>
      </c>
      <c r="AE1186" s="3">
        <f>IFERROR(__xludf.DUMMYFUNCTION("""COMPUTED_VALUE"""),100.153937)</f>
        <v>100.153937</v>
      </c>
      <c r="AF1186" s="3" t="str">
        <f>IFERROR(__xludf.DUMMYFUNCTION("""COMPUTED_VALUE"""),"MBC เก้าเลี้ยว นครสวรรค์-21958")</f>
        <v>MBC เก้าเลี้ยว นครสวรรค์-21958</v>
      </c>
      <c r="AG1186" s="3" t="str">
        <f>IFERROR(__xludf.DUMMYFUNCTION("""COMPUTED_VALUE"""),"กลาง")</f>
        <v>กลาง</v>
      </c>
      <c r="AH1186" s="3" t="str">
        <f>IFERROR(__xludf.DUMMYFUNCTION("""COMPUTED_VALUE"""),"#N/A")</f>
        <v>#N/A</v>
      </c>
      <c r="AI1186" s="3" t="str">
        <f>IFERROR(__xludf.DUMMYFUNCTION("""COMPUTED_VALUE"""),"Out of warranty")</f>
        <v>Out of warranty</v>
      </c>
      <c r="AJ1186" s="3">
        <f>IFERROR(__xludf.DUMMYFUNCTION("""COMPUTED_VALUE"""),75.0)</f>
        <v>75</v>
      </c>
      <c r="AK1186" s="3"/>
      <c r="AL1186" s="3"/>
    </row>
    <row r="1187" ht="15.75" customHeight="1">
      <c r="A1187" s="1" t="str">
        <f>IFERROR(__xludf.DUMMYFUNCTION("""COMPUTED_VALUE"""),"21959")</f>
        <v>21959</v>
      </c>
      <c r="B1187" s="2">
        <f>IFERROR(__xludf.DUMMYFUNCTION("""COMPUTED_VALUE"""),21959.0)</f>
        <v>21959</v>
      </c>
      <c r="C1187" s="3" t="str">
        <f>IFERROR(__xludf.DUMMYFUNCTION("""COMPUTED_VALUE"""),"MBC บ้านหัวนา กาญจนบุรี")</f>
        <v>MBC บ้านหัวนา กาญจนบุรี</v>
      </c>
      <c r="D1187" s="3" t="str">
        <f>IFERROR(__xludf.DUMMYFUNCTION("""COMPUTED_VALUE"""),"BCM BAN HUA NA, KANCHANABURI")</f>
        <v>BCM BAN HUA NA, KANCHANABURI</v>
      </c>
      <c r="E1187" s="1" t="str">
        <f>IFERROR(__xludf.DUMMYFUNCTION("""COMPUTED_VALUE"""),"บิ๊กซี MINI")</f>
        <v>บิ๊กซี MINI</v>
      </c>
      <c r="F1187" s="1" t="str">
        <f>IFERROR(__xludf.DUMMYFUNCTION("""COMPUTED_VALUE"""),"2083447")</f>
        <v>2083447</v>
      </c>
      <c r="G1187" s="1" t="str">
        <f>IFERROR(__xludf.DUMMYFUNCTION("""COMPUTED_VALUE"""),"นายอนุกูล ศรีลัดดา")</f>
        <v>นายอนุกูล ศรีลัดดา</v>
      </c>
      <c r="H1187" s="1" t="str">
        <f>IFERROR(__xludf.DUMMYFUNCTION("""COMPUTED_VALUE"""),"391191")</f>
        <v>391191</v>
      </c>
      <c r="I1187" s="1" t="str">
        <f>IFERROR(__xludf.DUMMYFUNCTION("""COMPUTED_VALUE"""),"นายวสันต์ สรงพรมทิพย์")</f>
        <v>นายวสันต์ สรงพรมทิพย์</v>
      </c>
      <c r="J1187" s="3">
        <f>IFERROR(__xludf.DUMMYFUNCTION("""COMPUTED_VALUE"""),2451655.0)</f>
        <v>2451655</v>
      </c>
      <c r="K1187" s="3" t="str">
        <f>IFERROR(__xludf.DUMMYFUNCTION("""COMPUTED_VALUE"""),"นายวิษณุพงษ์ ชินบุตร")</f>
        <v>นายวิษณุพงษ์ ชินบุตร</v>
      </c>
      <c r="L1187" s="1" t="str">
        <f>IFERROR(__xludf.DUMMYFUNCTION("""COMPUTED_VALUE"""),"13 K.Wisanupong Ch")</f>
        <v>13 K.Wisanupong Ch</v>
      </c>
      <c r="M1187" s="1" t="str">
        <f>IFERROR(__xludf.DUMMYFUNCTION("""COMPUTED_VALUE"""),"0843374693")</f>
        <v>0843374693</v>
      </c>
      <c r="N1187" s="3">
        <f>IFERROR(__xludf.DUMMYFUNCTION("""COMPUTED_VALUE"""),22729.0)</f>
        <v>22729</v>
      </c>
      <c r="O1187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187" s="4">
        <f>IFERROR(__xludf.DUMMYFUNCTION("""COMPUTED_VALUE"""),43776.0)</f>
        <v>43776</v>
      </c>
      <c r="Q1187" s="3" t="str">
        <f>IFERROR(__xludf.DUMMYFUNCTION("""COMPUTED_VALUE"""),"A")</f>
        <v>A</v>
      </c>
      <c r="R1187" s="3" t="str">
        <f>IFERROR(__xludf.DUMMYFUNCTION("""COMPUTED_VALUE"""),"Small Format")</f>
        <v>Small Format</v>
      </c>
      <c r="S1187" s="3" t="str">
        <f>IFERROR(__xludf.DUMMYFUNCTION("""COMPUTED_VALUE"""),"BCM")</f>
        <v>BCM</v>
      </c>
      <c r="T1187" s="3" t="str">
        <f>IFERROR(__xludf.DUMMYFUNCTION("""COMPUTED_VALUE"""),"#N/A")</f>
        <v>#N/A</v>
      </c>
      <c r="U1187" s="3" t="str">
        <f>IFERROR(__xludf.DUMMYFUNCTION("""COMPUTED_VALUE"""),"#N/A")</f>
        <v>#N/A</v>
      </c>
      <c r="V1187" s="3" t="str">
        <f>IFERROR(__xludf.DUMMYFUNCTION("""COMPUTED_VALUE"""),"N")</f>
        <v>N</v>
      </c>
      <c r="W1187" s="3">
        <f>IFERROR(__xludf.DUMMYFUNCTION("""COMPUTED_VALUE"""),211928.0)</f>
        <v>211928</v>
      </c>
      <c r="X1187" s="3" t="str">
        <f>IFERROR(__xludf.DUMMYFUNCTION("""COMPUTED_VALUE"""),"288/26 ถนนแสงชูโต ตำบลบ้านเหนือ อำเภอเมืองกาญจนบุรี จังหวัดกาญจนบุรี 71000")</f>
        <v>288/26 ถนนแสงชูโต ตำบลบ้านเหนือ อำเภอเมืองกาญจนบุรี จังหวัดกาญจนบุรี 71000</v>
      </c>
      <c r="Y1187" s="3" t="str">
        <f>IFERROR(__xludf.DUMMYFUNCTION("""COMPUTED_VALUE"""),"ถนนแสงชูโต")</f>
        <v>ถนนแสงชูโต</v>
      </c>
      <c r="Z1187" s="3" t="str">
        <f>IFERROR(__xludf.DUMMYFUNCTION("""COMPUTED_VALUE"""),"บ้านเหนือ")</f>
        <v>บ้านเหนือ</v>
      </c>
      <c r="AA1187" s="3" t="str">
        <f>IFERROR(__xludf.DUMMYFUNCTION("""COMPUTED_VALUE"""),"เมือง")</f>
        <v>เมือง</v>
      </c>
      <c r="AB1187" s="3" t="str">
        <f>IFERROR(__xludf.DUMMYFUNCTION("""COMPUTED_VALUE"""),"กาญจนบุรี")</f>
        <v>กาญจนบุรี</v>
      </c>
      <c r="AC1187" s="3">
        <f>IFERROR(__xludf.DUMMYFUNCTION("""COMPUTED_VALUE"""),71000.0)</f>
        <v>71000</v>
      </c>
      <c r="AD1187" s="3">
        <f>IFERROR(__xludf.DUMMYFUNCTION("""COMPUTED_VALUE"""),14.030166)</f>
        <v>14.030166</v>
      </c>
      <c r="AE1187" s="3">
        <f>IFERROR(__xludf.DUMMYFUNCTION("""COMPUTED_VALUE"""),99.531909)</f>
        <v>99.531909</v>
      </c>
      <c r="AF1187" s="3" t="str">
        <f>IFERROR(__xludf.DUMMYFUNCTION("""COMPUTED_VALUE"""),"MBC บ้านหัวนา กาญจนบุรี-21959")</f>
        <v>MBC บ้านหัวนา กาญจนบุรี-21959</v>
      </c>
      <c r="AG1187" s="3" t="str">
        <f>IFERROR(__xludf.DUMMYFUNCTION("""COMPUTED_VALUE"""),"ตะวันตก")</f>
        <v>ตะวันตก</v>
      </c>
      <c r="AH1187" s="3" t="str">
        <f>IFERROR(__xludf.DUMMYFUNCTION("""COMPUTED_VALUE"""),"#N/A")</f>
        <v>#N/A</v>
      </c>
      <c r="AI1187" s="3" t="str">
        <f>IFERROR(__xludf.DUMMYFUNCTION("""COMPUTED_VALUE"""),"Out of warranty")</f>
        <v>Out of warranty</v>
      </c>
      <c r="AJ1187" s="3">
        <f>IFERROR(__xludf.DUMMYFUNCTION("""COMPUTED_VALUE"""),75.0)</f>
        <v>75</v>
      </c>
      <c r="AK1187" s="3" t="str">
        <f>IFERROR(__xludf.DUMMYFUNCTION("""COMPUTED_VALUE"""),"MMS05")</f>
        <v>MMS05</v>
      </c>
      <c r="AL1187" s="3"/>
    </row>
    <row r="1188" ht="15.75" customHeight="1">
      <c r="A1188" s="1" t="str">
        <f>IFERROR(__xludf.DUMMYFUNCTION("""COMPUTED_VALUE"""),"21960")</f>
        <v>21960</v>
      </c>
      <c r="B1188" s="2">
        <f>IFERROR(__xludf.DUMMYFUNCTION("""COMPUTED_VALUE"""),21960.0)</f>
        <v>21960</v>
      </c>
      <c r="C1188" s="3" t="str">
        <f>IFERROR(__xludf.DUMMYFUNCTION("""COMPUTED_VALUE"""),"MBC ควนมะพร้าว พัทลุง")</f>
        <v>MBC ควนมะพร้าว พัทลุง</v>
      </c>
      <c r="D1188" s="3" t="str">
        <f>IFERROR(__xludf.DUMMYFUNCTION("""COMPUTED_VALUE"""),"BCM KHUAN MAPHRAO")</f>
        <v>BCM KHUAN MAPHRAO</v>
      </c>
      <c r="E1188" s="1" t="str">
        <f>IFERROR(__xludf.DUMMYFUNCTION("""COMPUTED_VALUE"""),"บิ๊กซี MINI")</f>
        <v>บิ๊กซี MINI</v>
      </c>
      <c r="F1188" s="1" t="str">
        <f>IFERROR(__xludf.DUMMYFUNCTION("""COMPUTED_VALUE"""),"250760")</f>
        <v>250760</v>
      </c>
      <c r="G1188" s="1" t="str">
        <f>IFERROR(__xludf.DUMMYFUNCTION("""COMPUTED_VALUE"""),"นายประทวน สาราบรรณ์")</f>
        <v>นายประทวน สาราบรรณ์</v>
      </c>
      <c r="H1188" s="1" t="str">
        <f>IFERROR(__xludf.DUMMYFUNCTION("""COMPUTED_VALUE"""),"394100")</f>
        <v>394100</v>
      </c>
      <c r="I1188" s="1" t="str">
        <f>IFERROR(__xludf.DUMMYFUNCTION("""COMPUTED_VALUE"""),"นายไพโรจน์ ถิระผะลิกะ")</f>
        <v>นายไพโรจน์ ถิระผะลิกะ</v>
      </c>
      <c r="J1188" s="3">
        <f>IFERROR(__xludf.DUMMYFUNCTION("""COMPUTED_VALUE"""),2.0470331E7)</f>
        <v>20470331</v>
      </c>
      <c r="K1188" s="3" t="str">
        <f>IFERROR(__xludf.DUMMYFUNCTION("""COMPUTED_VALUE"""),"นายสมชาย ลักษณะสุวรรณ")</f>
        <v>นายสมชาย ลักษณะสุวรรณ</v>
      </c>
      <c r="L1188" s="1" t="str">
        <f>IFERROR(__xludf.DUMMYFUNCTION("""COMPUTED_VALUE"""),"15 K.Somchai L")</f>
        <v>15 K.Somchai L</v>
      </c>
      <c r="M1188" s="1" t="str">
        <f>IFERROR(__xludf.DUMMYFUNCTION("""COMPUTED_VALUE"""),"0655107372")</f>
        <v>0655107372</v>
      </c>
      <c r="N1188" s="3">
        <f>IFERROR(__xludf.DUMMYFUNCTION("""COMPUTED_VALUE"""),21723.0)</f>
        <v>21723</v>
      </c>
      <c r="O1188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188" s="4">
        <f>IFERROR(__xludf.DUMMYFUNCTION("""COMPUTED_VALUE"""),43780.0)</f>
        <v>43780</v>
      </c>
      <c r="Q1188" s="3" t="str">
        <f>IFERROR(__xludf.DUMMYFUNCTION("""COMPUTED_VALUE"""),"A")</f>
        <v>A</v>
      </c>
      <c r="R1188" s="3" t="str">
        <f>IFERROR(__xludf.DUMMYFUNCTION("""COMPUTED_VALUE"""),"Small Format")</f>
        <v>Small Format</v>
      </c>
      <c r="S1188" s="3" t="str">
        <f>IFERROR(__xludf.DUMMYFUNCTION("""COMPUTED_VALUE"""),"BCM")</f>
        <v>BCM</v>
      </c>
      <c r="T1188" s="3" t="str">
        <f>IFERROR(__xludf.DUMMYFUNCTION("""COMPUTED_VALUE"""),"#N/A")</f>
        <v>#N/A</v>
      </c>
      <c r="U1188" s="3" t="str">
        <f>IFERROR(__xludf.DUMMYFUNCTION("""COMPUTED_VALUE"""),"#N/A")</f>
        <v>#N/A</v>
      </c>
      <c r="V1188" s="3" t="str">
        <f>IFERROR(__xludf.DUMMYFUNCTION("""COMPUTED_VALUE"""),"N")</f>
        <v>N</v>
      </c>
      <c r="W1188" s="3">
        <f>IFERROR(__xludf.DUMMYFUNCTION("""COMPUTED_VALUE"""),211964.0)</f>
        <v>211964</v>
      </c>
      <c r="X1188" s="3" t="str">
        <f>IFERROR(__xludf.DUMMYFUNCTION("""COMPUTED_VALUE"""),"446/8 ถนนอภัยบริรักษ์ ตำบลคูหาสวรรค์ อำเภอเมืองพัทลุง จังหวัดพัทลุง 93000")</f>
        <v>446/8 ถนนอภัยบริรักษ์ ตำบลคูหาสวรรค์ อำเภอเมืองพัทลุง จังหวัดพัทลุง 93000</v>
      </c>
      <c r="Y1188" s="3" t="str">
        <f>IFERROR(__xludf.DUMMYFUNCTION("""COMPUTED_VALUE"""),"ถนนอภัยบริรักษ์")</f>
        <v>ถนนอภัยบริรักษ์</v>
      </c>
      <c r="Z1188" s="3" t="str">
        <f>IFERROR(__xludf.DUMMYFUNCTION("""COMPUTED_VALUE"""),"คูหาสวรรค์")</f>
        <v>คูหาสวรรค์</v>
      </c>
      <c r="AA1188" s="3" t="str">
        <f>IFERROR(__xludf.DUMMYFUNCTION("""COMPUTED_VALUE"""),"เมือง")</f>
        <v>เมือง</v>
      </c>
      <c r="AB1188" s="3" t="str">
        <f>IFERROR(__xludf.DUMMYFUNCTION("""COMPUTED_VALUE"""),"พัทลุง")</f>
        <v>พัทลุง</v>
      </c>
      <c r="AC1188" s="3">
        <f>IFERROR(__xludf.DUMMYFUNCTION("""COMPUTED_VALUE"""),93000.0)</f>
        <v>93000</v>
      </c>
      <c r="AD1188" s="3">
        <f>IFERROR(__xludf.DUMMYFUNCTION("""COMPUTED_VALUE"""),7.626744)</f>
        <v>7.626744</v>
      </c>
      <c r="AE1188" s="3">
        <f>IFERROR(__xludf.DUMMYFUNCTION("""COMPUTED_VALUE"""),100.109908)</f>
        <v>100.109908</v>
      </c>
      <c r="AF1188" s="3" t="str">
        <f>IFERROR(__xludf.DUMMYFUNCTION("""COMPUTED_VALUE"""),"MBC ควนมะพร้าว พัทลุง-21960")</f>
        <v>MBC ควนมะพร้าว พัทลุง-21960</v>
      </c>
      <c r="AG1188" s="3" t="str">
        <f>IFERROR(__xludf.DUMMYFUNCTION("""COMPUTED_VALUE"""),"ใต้")</f>
        <v>ใต้</v>
      </c>
      <c r="AH1188" s="3" t="str">
        <f>IFERROR(__xludf.DUMMYFUNCTION("""COMPUTED_VALUE"""),"#N/A")</f>
        <v>#N/A</v>
      </c>
      <c r="AI1188" s="3" t="str">
        <f>IFERROR(__xludf.DUMMYFUNCTION("""COMPUTED_VALUE"""),"Out of warranty")</f>
        <v>Out of warranty</v>
      </c>
      <c r="AJ1188" s="3">
        <f>IFERROR(__xludf.DUMMYFUNCTION("""COMPUTED_VALUE"""),75.0)</f>
        <v>75</v>
      </c>
      <c r="AK1188" s="3" t="str">
        <f>IFERROR(__xludf.DUMMYFUNCTION("""COMPUTED_VALUE"""),"MMS15")</f>
        <v>MMS15</v>
      </c>
      <c r="AL1188" s="3"/>
    </row>
    <row r="1189" ht="15.75" customHeight="1">
      <c r="A1189" s="1" t="str">
        <f>IFERROR(__xludf.DUMMYFUNCTION("""COMPUTED_VALUE"""),"21961")</f>
        <v>21961</v>
      </c>
      <c r="B1189" s="2">
        <f>IFERROR(__xludf.DUMMYFUNCTION("""COMPUTED_VALUE"""),21961.0)</f>
        <v>21961</v>
      </c>
      <c r="C1189" s="3" t="str">
        <f>IFERROR(__xludf.DUMMYFUNCTION("""COMPUTED_VALUE"""),"MBC บ้านท่าเคียน (หาดใหญ่) สงขลา")</f>
        <v>MBC บ้านท่าเคียน (หาดใหญ่) สงขลา</v>
      </c>
      <c r="D1189" s="3" t="str">
        <f>IFERROR(__xludf.DUMMYFUNCTION("""COMPUTED_VALUE"""),"BCM BAN THA KHIAN (HAT YAI)")</f>
        <v>BCM BAN THA KHIAN (HAT YAI)</v>
      </c>
      <c r="E1189" s="1" t="str">
        <f>IFERROR(__xludf.DUMMYFUNCTION("""COMPUTED_VALUE"""),"บิ๊กซี MINI")</f>
        <v>บิ๊กซี MINI</v>
      </c>
      <c r="F1189" s="1" t="str">
        <f>IFERROR(__xludf.DUMMYFUNCTION("""COMPUTED_VALUE"""),"250760")</f>
        <v>250760</v>
      </c>
      <c r="G1189" s="1" t="str">
        <f>IFERROR(__xludf.DUMMYFUNCTION("""COMPUTED_VALUE"""),"นายประทวน สาราบรรณ์")</f>
        <v>นายประทวน สาราบรรณ์</v>
      </c>
      <c r="H1189" s="1" t="str">
        <f>IFERROR(__xludf.DUMMYFUNCTION("""COMPUTED_VALUE"""),"394100")</f>
        <v>394100</v>
      </c>
      <c r="I1189" s="1" t="str">
        <f>IFERROR(__xludf.DUMMYFUNCTION("""COMPUTED_VALUE"""),"นายไพโรจน์ ถิระผะลิกะ")</f>
        <v>นายไพโรจน์ ถิระผะลิกะ</v>
      </c>
      <c r="J1189" s="3">
        <f>IFERROR(__xludf.DUMMYFUNCTION("""COMPUTED_VALUE"""),2.0470331E7)</f>
        <v>20470331</v>
      </c>
      <c r="K1189" s="3" t="str">
        <f>IFERROR(__xludf.DUMMYFUNCTION("""COMPUTED_VALUE"""),"นายสมชาย ลักษณะสุวรรณ")</f>
        <v>นายสมชาย ลักษณะสุวรรณ</v>
      </c>
      <c r="L1189" s="1" t="str">
        <f>IFERROR(__xludf.DUMMYFUNCTION("""COMPUTED_VALUE"""),"15 K.Somchai L")</f>
        <v>15 K.Somchai L</v>
      </c>
      <c r="M1189" s="1" t="str">
        <f>IFERROR(__xludf.DUMMYFUNCTION("""COMPUTED_VALUE"""),"0655107372")</f>
        <v>0655107372</v>
      </c>
      <c r="N1189" s="3">
        <f>IFERROR(__xludf.DUMMYFUNCTION("""COMPUTED_VALUE"""),21723.0)</f>
        <v>21723</v>
      </c>
      <c r="O1189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189" s="4">
        <f>IFERROR(__xludf.DUMMYFUNCTION("""COMPUTED_VALUE"""),46037.0)</f>
        <v>46037</v>
      </c>
      <c r="Q1189" s="3" t="str">
        <f>IFERROR(__xludf.DUMMYFUNCTION("""COMPUTED_VALUE"""),"A")</f>
        <v>A</v>
      </c>
      <c r="R1189" s="3" t="str">
        <f>IFERROR(__xludf.DUMMYFUNCTION("""COMPUTED_VALUE"""),"Small Format")</f>
        <v>Small Format</v>
      </c>
      <c r="S1189" s="3" t="str">
        <f>IFERROR(__xludf.DUMMYFUNCTION("""COMPUTED_VALUE"""),"BCM")</f>
        <v>BCM</v>
      </c>
      <c r="T1189" s="3" t="str">
        <f>IFERROR(__xludf.DUMMYFUNCTION("""COMPUTED_VALUE"""),"#N/A")</f>
        <v>#N/A</v>
      </c>
      <c r="U1189" s="3" t="str">
        <f>IFERROR(__xludf.DUMMYFUNCTION("""COMPUTED_VALUE"""),"#N/A")</f>
        <v>#N/A</v>
      </c>
      <c r="V1189" s="3" t="str">
        <f>IFERROR(__xludf.DUMMYFUNCTION("""COMPUTED_VALUE"""),"N")</f>
        <v>N</v>
      </c>
      <c r="W1189" s="3">
        <f>IFERROR(__xludf.DUMMYFUNCTION("""COMPUTED_VALUE"""),211894.0)</f>
        <v>211894</v>
      </c>
      <c r="X1189" s="3" t="str">
        <f>IFERROR(__xludf.DUMMYFUNCTION("""COMPUTED_VALUE"""),"243 หมู่1 ซอย27 ถนนเพชรเกษม ตำบลควนลัง อำเภอหาดใหญ่ จังหวัดสงขลา 90110")</f>
        <v>243 หมู่1 ซอย27 ถนนเพชรเกษม ตำบลควนลัง อำเภอหาดใหญ่ จังหวัดสงขลา 90110</v>
      </c>
      <c r="Y1189" s="3"/>
      <c r="Z1189" s="3" t="str">
        <f>IFERROR(__xludf.DUMMYFUNCTION("""COMPUTED_VALUE"""),"ควนลัง")</f>
        <v>ควนลัง</v>
      </c>
      <c r="AA1189" s="3" t="str">
        <f>IFERROR(__xludf.DUMMYFUNCTION("""COMPUTED_VALUE"""),"หาดใหญ่")</f>
        <v>หาดใหญ่</v>
      </c>
      <c r="AB1189" s="3" t="str">
        <f>IFERROR(__xludf.DUMMYFUNCTION("""COMPUTED_VALUE"""),"สงขลา")</f>
        <v>สงขลา</v>
      </c>
      <c r="AC1189" s="3">
        <f>IFERROR(__xludf.DUMMYFUNCTION("""COMPUTED_VALUE"""),90110.0)</f>
        <v>90110</v>
      </c>
      <c r="AD1189" s="3">
        <f>IFERROR(__xludf.DUMMYFUNCTION("""COMPUTED_VALUE"""),6.993525)</f>
        <v>6.993525</v>
      </c>
      <c r="AE1189" s="3">
        <f>IFERROR(__xludf.DUMMYFUNCTION("""COMPUTED_VALUE"""),100.456264)</f>
        <v>100.456264</v>
      </c>
      <c r="AF1189" s="3" t="str">
        <f>IFERROR(__xludf.DUMMYFUNCTION("""COMPUTED_VALUE"""),"MBC บ้านท่าเคียน (หาดใหญ่) สงขลา-21961")</f>
        <v>MBC บ้านท่าเคียน (หาดใหญ่) สงขลา-21961</v>
      </c>
      <c r="AG1189" s="3" t="str">
        <f>IFERROR(__xludf.DUMMYFUNCTION("""COMPUTED_VALUE"""),"ใต้")</f>
        <v>ใต้</v>
      </c>
      <c r="AH1189" s="3" t="str">
        <f>IFERROR(__xludf.DUMMYFUNCTION("""COMPUTED_VALUE"""),"#N/A")</f>
        <v>#N/A</v>
      </c>
      <c r="AI1189" s="3" t="str">
        <f>IFERROR(__xludf.DUMMYFUNCTION("""COMPUTED_VALUE"""),"In warranty")</f>
        <v>In warranty</v>
      </c>
      <c r="AJ1189" s="3">
        <f>IFERROR(__xludf.DUMMYFUNCTION("""COMPUTED_VALUE"""),1.0)</f>
        <v>1</v>
      </c>
      <c r="AK1189" s="3" t="str">
        <f>IFERROR(__xludf.DUMMYFUNCTION("""COMPUTED_VALUE"""),"MMS16")</f>
        <v>MMS16</v>
      </c>
      <c r="AL1189" s="3"/>
    </row>
    <row r="1190" ht="15.75" customHeight="1">
      <c r="A1190" s="1" t="str">
        <f>IFERROR(__xludf.DUMMYFUNCTION("""COMPUTED_VALUE"""),"21962")</f>
        <v>21962</v>
      </c>
      <c r="B1190" s="2">
        <f>IFERROR(__xludf.DUMMYFUNCTION("""COMPUTED_VALUE"""),21962.0)</f>
        <v>21962</v>
      </c>
      <c r="C1190" s="3" t="str">
        <f>IFERROR(__xludf.DUMMYFUNCTION("""COMPUTED_VALUE"""),"MBC หมู่บ้านอยู่สุข สมุทรปราการ")</f>
        <v>MBC หมู่บ้านอยู่สุข สมุทรปราการ</v>
      </c>
      <c r="D1190" s="3" t="str">
        <f>IFERROR(__xludf.DUMMYFUNCTION("""COMPUTED_VALUE"""),"BCM MOOBAAN YUSUK")</f>
        <v>BCM MOOBAAN YUSUK</v>
      </c>
      <c r="E1190" s="1" t="str">
        <f>IFERROR(__xludf.DUMMYFUNCTION("""COMPUTED_VALUE"""),"บิ๊กซี MINI")</f>
        <v>บิ๊กซี MINI</v>
      </c>
      <c r="F1190" s="1" t="str">
        <f>IFERROR(__xludf.DUMMYFUNCTION("""COMPUTED_VALUE"""),"2083447")</f>
        <v>2083447</v>
      </c>
      <c r="G1190" s="1" t="str">
        <f>IFERROR(__xludf.DUMMYFUNCTION("""COMPUTED_VALUE"""),"นายอนุกูล ศรีลัดดา")</f>
        <v>นายอนุกูล ศรีลัดดา</v>
      </c>
      <c r="H1190" s="1" t="str">
        <f>IFERROR(__xludf.DUMMYFUNCTION("""COMPUTED_VALUE"""),"379037")</f>
        <v>379037</v>
      </c>
      <c r="I1190" s="1" t="str">
        <f>IFERROR(__xludf.DUMMYFUNCTION("""COMPUTED_VALUE"""),"นางแก้วใจ แก้วกาญจน์")</f>
        <v>นางแก้วใจ แก้วกาญจน์</v>
      </c>
      <c r="J1190" s="3">
        <f>IFERROR(__xludf.DUMMYFUNCTION("""COMPUTED_VALUE"""),2451655.0)</f>
        <v>2451655</v>
      </c>
      <c r="K1190" s="3" t="str">
        <f>IFERROR(__xludf.DUMMYFUNCTION("""COMPUTED_VALUE"""),"นายวิษณุพงษ์ ชินบุตร")</f>
        <v>นายวิษณุพงษ์ ชินบุตร</v>
      </c>
      <c r="L1190" s="1" t="str">
        <f>IFERROR(__xludf.DUMMYFUNCTION("""COMPUTED_VALUE"""),"13 K.Wisanupong Ch")</f>
        <v>13 K.Wisanupong Ch</v>
      </c>
      <c r="M1190" s="1" t="str">
        <f>IFERROR(__xludf.DUMMYFUNCTION("""COMPUTED_VALUE"""),"0843374693")</f>
        <v>0843374693</v>
      </c>
      <c r="N1190" s="3">
        <f>IFERROR(__xludf.DUMMYFUNCTION("""COMPUTED_VALUE"""),22729.0)</f>
        <v>22729</v>
      </c>
      <c r="O1190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190" s="4">
        <f>IFERROR(__xludf.DUMMYFUNCTION("""COMPUTED_VALUE"""),43789.0)</f>
        <v>43789</v>
      </c>
      <c r="Q1190" s="3" t="str">
        <f>IFERROR(__xludf.DUMMYFUNCTION("""COMPUTED_VALUE"""),"A")</f>
        <v>A</v>
      </c>
      <c r="R1190" s="3" t="str">
        <f>IFERROR(__xludf.DUMMYFUNCTION("""COMPUTED_VALUE"""),"Small Format")</f>
        <v>Small Format</v>
      </c>
      <c r="S1190" s="3" t="str">
        <f>IFERROR(__xludf.DUMMYFUNCTION("""COMPUTED_VALUE"""),"BCM")</f>
        <v>BCM</v>
      </c>
      <c r="T1190" s="3" t="str">
        <f>IFERROR(__xludf.DUMMYFUNCTION("""COMPUTED_VALUE"""),"#N/A")</f>
        <v>#N/A</v>
      </c>
      <c r="U1190" s="3" t="str">
        <f>IFERROR(__xludf.DUMMYFUNCTION("""COMPUTED_VALUE"""),"#N/A")</f>
        <v>#N/A</v>
      </c>
      <c r="V1190" s="3" t="str">
        <f>IFERROR(__xludf.DUMMYFUNCTION("""COMPUTED_VALUE"""),"N")</f>
        <v>N</v>
      </c>
      <c r="W1190" s="3">
        <f>IFERROR(__xludf.DUMMYFUNCTION("""COMPUTED_VALUE"""),211938.0)</f>
        <v>211938</v>
      </c>
      <c r="X1190" s="3" t="str">
        <f>IFERROR(__xludf.DUMMYFUNCTION("""COMPUTED_VALUE"""),"89/141 หมู่7 ตำบลบางเมือง อำเภอเมืองสมุทรปราการ จังหวัดสมุทรปราการ 10270")</f>
        <v>89/141 หมู่7 ตำบลบางเมือง อำเภอเมืองสมุทรปราการ จังหวัดสมุทรปราการ 10270</v>
      </c>
      <c r="Y1190" s="3"/>
      <c r="Z1190" s="3" t="str">
        <f>IFERROR(__xludf.DUMMYFUNCTION("""COMPUTED_VALUE"""),"บางเมือง")</f>
        <v>บางเมือง</v>
      </c>
      <c r="AA1190" s="3" t="str">
        <f>IFERROR(__xludf.DUMMYFUNCTION("""COMPUTED_VALUE"""),"เมืองสมุทรปราการ")</f>
        <v>เมืองสมุทรปราการ</v>
      </c>
      <c r="AB1190" s="3" t="str">
        <f>IFERROR(__xludf.DUMMYFUNCTION("""COMPUTED_VALUE"""),"สมุทรปราการ")</f>
        <v>สมุทรปราการ</v>
      </c>
      <c r="AC1190" s="3">
        <f>IFERROR(__xludf.DUMMYFUNCTION("""COMPUTED_VALUE"""),10270.0)</f>
        <v>10270</v>
      </c>
      <c r="AD1190" s="3">
        <f>IFERROR(__xludf.DUMMYFUNCTION("""COMPUTED_VALUE"""),13.610873)</f>
        <v>13.610873</v>
      </c>
      <c r="AE1190" s="3">
        <f>IFERROR(__xludf.DUMMYFUNCTION("""COMPUTED_VALUE"""),100.609379)</f>
        <v>100.609379</v>
      </c>
      <c r="AF1190" s="3" t="str">
        <f>IFERROR(__xludf.DUMMYFUNCTION("""COMPUTED_VALUE"""),"MBC หมู่บ้านอยู่สุข สมุทรปราการ-21962")</f>
        <v>MBC หมู่บ้านอยู่สุข สมุทรปราการ-21962</v>
      </c>
      <c r="AG1190" s="3" t="str">
        <f>IFERROR(__xludf.DUMMYFUNCTION("""COMPUTED_VALUE"""),"กลาง")</f>
        <v>กลาง</v>
      </c>
      <c r="AH1190" s="3" t="str">
        <f>IFERROR(__xludf.DUMMYFUNCTION("""COMPUTED_VALUE"""),"#N/A")</f>
        <v>#N/A</v>
      </c>
      <c r="AI1190" s="3" t="str">
        <f>IFERROR(__xludf.DUMMYFUNCTION("""COMPUTED_VALUE"""),"Out of warranty")</f>
        <v>Out of warranty</v>
      </c>
      <c r="AJ1190" s="3">
        <f>IFERROR(__xludf.DUMMYFUNCTION("""COMPUTED_VALUE"""),75.0)</f>
        <v>75</v>
      </c>
      <c r="AK1190" s="3" t="str">
        <f>IFERROR(__xludf.DUMMYFUNCTION("""COMPUTED_VALUE"""),"MMS02")</f>
        <v>MMS02</v>
      </c>
      <c r="AL1190" s="3"/>
    </row>
    <row r="1191" ht="15.75" customHeight="1">
      <c r="A1191" s="1" t="str">
        <f>IFERROR(__xludf.DUMMYFUNCTION("""COMPUTED_VALUE"""),"21963")</f>
        <v>21963</v>
      </c>
      <c r="B1191" s="2">
        <f>IFERROR(__xludf.DUMMYFUNCTION("""COMPUTED_VALUE"""),21963.0)</f>
        <v>21963</v>
      </c>
      <c r="C1191" s="3" t="str">
        <f>IFERROR(__xludf.DUMMYFUNCTION("""COMPUTED_VALUE"""),"MBC ถนนตลาดล่าง สราษฎร์ธานี")</f>
        <v>MBC ถนนตลาดล่าง สราษฎร์ธานี</v>
      </c>
      <c r="D1191" s="3" t="str">
        <f>IFERROR(__xludf.DUMMYFUNCTION("""COMPUTED_VALUE"""),"BCM THANON TALAD LANG")</f>
        <v>BCM THANON TALAD LANG</v>
      </c>
      <c r="E1191" s="1" t="str">
        <f>IFERROR(__xludf.DUMMYFUNCTION("""COMPUTED_VALUE"""),"บิ๊กซี MINI")</f>
        <v>บิ๊กซี MINI</v>
      </c>
      <c r="F1191" s="1" t="str">
        <f>IFERROR(__xludf.DUMMYFUNCTION("""COMPUTED_VALUE"""),"250760")</f>
        <v>250760</v>
      </c>
      <c r="G1191" s="1" t="str">
        <f>IFERROR(__xludf.DUMMYFUNCTION("""COMPUTED_VALUE"""),"นายประทวน สาราบรรณ์")</f>
        <v>นายประทวน สาราบรรณ์</v>
      </c>
      <c r="H1191" s="1" t="str">
        <f>IFERROR(__xludf.DUMMYFUNCTION("""COMPUTED_VALUE"""),"228389")</f>
        <v>228389</v>
      </c>
      <c r="I1191" s="1" t="str">
        <f>IFERROR(__xludf.DUMMYFUNCTION("""COMPUTED_VALUE"""),"นายมณีรันดร์ ชัยชนะ")</f>
        <v>นายมณีรันดร์ ชัยชนะ</v>
      </c>
      <c r="J1191" s="3">
        <f>IFERROR(__xludf.DUMMYFUNCTION("""COMPUTED_VALUE"""),25324.0)</f>
        <v>25324</v>
      </c>
      <c r="K1191" s="3" t="str">
        <f>IFERROR(__xludf.DUMMYFUNCTION("""COMPUTED_VALUE"""),"นายวิเชฎฐ์ ติรัตนะประคม")</f>
        <v>นายวิเชฎฐ์ ติรัตนะประคม</v>
      </c>
      <c r="L1191" s="1" t="str">
        <f>IFERROR(__xludf.DUMMYFUNCTION("""COMPUTED_VALUE"""),"14 K.Wichet T.")</f>
        <v>14 K.Wichet T.</v>
      </c>
      <c r="M1191" s="1" t="str">
        <f>IFERROR(__xludf.DUMMYFUNCTION("""COMPUTED_VALUE"""),"061-417-6569 / 086-445-5636")</f>
        <v>061-417-6569 / 086-445-5636</v>
      </c>
      <c r="N1191" s="3">
        <f>IFERROR(__xludf.DUMMYFUNCTION("""COMPUTED_VALUE"""),22658.0)</f>
        <v>22658</v>
      </c>
      <c r="O1191" s="3" t="str">
        <f>IFERROR(__xludf.DUMMYFUNCTION("""COMPUTED_VALUE"""),"BCM ถ.วิรัชหงษ์หยก ภูเก็ต")</f>
        <v>BCM ถ.วิรัชหงษ์หยก ภูเก็ต</v>
      </c>
      <c r="P1191" s="4">
        <f>IFERROR(__xludf.DUMMYFUNCTION("""COMPUTED_VALUE"""),43783.0)</f>
        <v>43783</v>
      </c>
      <c r="Q1191" s="3" t="str">
        <f>IFERROR(__xludf.DUMMYFUNCTION("""COMPUTED_VALUE"""),"A")</f>
        <v>A</v>
      </c>
      <c r="R1191" s="3" t="str">
        <f>IFERROR(__xludf.DUMMYFUNCTION("""COMPUTED_VALUE"""),"Small Format")</f>
        <v>Small Format</v>
      </c>
      <c r="S1191" s="3" t="str">
        <f>IFERROR(__xludf.DUMMYFUNCTION("""COMPUTED_VALUE"""),"BCM")</f>
        <v>BCM</v>
      </c>
      <c r="T1191" s="3" t="str">
        <f>IFERROR(__xludf.DUMMYFUNCTION("""COMPUTED_VALUE"""),"#N/A")</f>
        <v>#N/A</v>
      </c>
      <c r="U1191" s="3" t="str">
        <f>IFERROR(__xludf.DUMMYFUNCTION("""COMPUTED_VALUE"""),"#N/A")</f>
        <v>#N/A</v>
      </c>
      <c r="V1191" s="3" t="str">
        <f>IFERROR(__xludf.DUMMYFUNCTION("""COMPUTED_VALUE"""),"N")</f>
        <v>N</v>
      </c>
      <c r="W1191" s="3">
        <f>IFERROR(__xludf.DUMMYFUNCTION("""COMPUTED_VALUE"""),211979.0)</f>
        <v>211979</v>
      </c>
      <c r="X1191" s="3" t="str">
        <f>IFERROR(__xludf.DUMMYFUNCTION("""COMPUTED_VALUE"""),"90/112 หมู่5 ถนนตลาดล่าง ตำบลมะขามเตี้ย อำเภอเมืองสุราษฎร์ธานี จังหวัดสุราษฎร์ธานี 84000")</f>
        <v>90/112 หมู่5 ถนนตลาดล่าง ตำบลมะขามเตี้ย อำเภอเมืองสุราษฎร์ธานี จังหวัดสุราษฎร์ธานี 84000</v>
      </c>
      <c r="Y1191" s="3"/>
      <c r="Z1191" s="3" t="str">
        <f>IFERROR(__xludf.DUMMYFUNCTION("""COMPUTED_VALUE"""),"มะขามเตี้ย")</f>
        <v>มะขามเตี้ย</v>
      </c>
      <c r="AA1191" s="3" t="str">
        <f>IFERROR(__xludf.DUMMYFUNCTION("""COMPUTED_VALUE"""),"เมือง")</f>
        <v>เมือง</v>
      </c>
      <c r="AB1191" s="3" t="str">
        <f>IFERROR(__xludf.DUMMYFUNCTION("""COMPUTED_VALUE"""),"สุราษฎร์ธานี")</f>
        <v>สุราษฎร์ธานี</v>
      </c>
      <c r="AC1191" s="3">
        <f>IFERROR(__xludf.DUMMYFUNCTION("""COMPUTED_VALUE"""),84000.0)</f>
        <v>84000</v>
      </c>
      <c r="AD1191" s="3">
        <f>IFERROR(__xludf.DUMMYFUNCTION("""COMPUTED_VALUE"""),9.158514)</f>
        <v>9.158514</v>
      </c>
      <c r="AE1191" s="3">
        <f>IFERROR(__xludf.DUMMYFUNCTION("""COMPUTED_VALUE"""),99.338925)</f>
        <v>99.338925</v>
      </c>
      <c r="AF1191" s="3" t="str">
        <f>IFERROR(__xludf.DUMMYFUNCTION("""COMPUTED_VALUE"""),"MBC ถนนตลาดล่าง สราษฎร์ธานี-21963")</f>
        <v>MBC ถนนตลาดล่าง สราษฎร์ธานี-21963</v>
      </c>
      <c r="AG1191" s="3" t="str">
        <f>IFERROR(__xludf.DUMMYFUNCTION("""COMPUTED_VALUE"""),"ใต้")</f>
        <v>ใต้</v>
      </c>
      <c r="AH1191" s="3" t="str">
        <f>IFERROR(__xludf.DUMMYFUNCTION("""COMPUTED_VALUE"""),"#N/A")</f>
        <v>#N/A</v>
      </c>
      <c r="AI1191" s="3" t="str">
        <f>IFERROR(__xludf.DUMMYFUNCTION("""COMPUTED_VALUE"""),"Out of warranty")</f>
        <v>Out of warranty</v>
      </c>
      <c r="AJ1191" s="3">
        <f>IFERROR(__xludf.DUMMYFUNCTION("""COMPUTED_VALUE"""),75.0)</f>
        <v>75</v>
      </c>
      <c r="AK1191" s="3" t="str">
        <f>IFERROR(__xludf.DUMMYFUNCTION("""COMPUTED_VALUE"""),"MMS14")</f>
        <v>MMS14</v>
      </c>
      <c r="AL1191" s="3"/>
    </row>
    <row r="1192" ht="15.75" customHeight="1">
      <c r="A1192" s="1" t="str">
        <f>IFERROR(__xludf.DUMMYFUNCTION("""COMPUTED_VALUE"""),"21964")</f>
        <v>21964</v>
      </c>
      <c r="B1192" s="2">
        <f>IFERROR(__xludf.DUMMYFUNCTION("""COMPUTED_VALUE"""),21964.0)</f>
        <v>21964</v>
      </c>
      <c r="C1192" s="3" t="str">
        <f>IFERROR(__xludf.DUMMYFUNCTION("""COMPUTED_VALUE"""),"MBC ซอยอยู่เจริญคลองสวน สมุทรปราการ")</f>
        <v>MBC ซอยอยู่เจริญคลองสวน สมุทรปราการ</v>
      </c>
      <c r="D1192" s="3" t="str">
        <f>IFERROR(__xludf.DUMMYFUNCTION("""COMPUTED_VALUE"""),"BCM SOI YU CHROEN KHLONG SUAN")</f>
        <v>BCM SOI YU CHROEN KHLONG SUAN</v>
      </c>
      <c r="E1192" s="1" t="str">
        <f>IFERROR(__xludf.DUMMYFUNCTION("""COMPUTED_VALUE"""),"บิ๊กซี MINI")</f>
        <v>บิ๊กซี MINI</v>
      </c>
      <c r="F1192" s="1" t="str">
        <f>IFERROR(__xludf.DUMMYFUNCTION("""COMPUTED_VALUE"""),"2083447")</f>
        <v>2083447</v>
      </c>
      <c r="G1192" s="1" t="str">
        <f>IFERROR(__xludf.DUMMYFUNCTION("""COMPUTED_VALUE"""),"นายอนุกูล ศรีลัดดา")</f>
        <v>นายอนุกูล ศรีลัดดา</v>
      </c>
      <c r="H1192" s="1" t="str">
        <f>IFERROR(__xludf.DUMMYFUNCTION("""COMPUTED_VALUE"""),"379037")</f>
        <v>379037</v>
      </c>
      <c r="I1192" s="1" t="str">
        <f>IFERROR(__xludf.DUMMYFUNCTION("""COMPUTED_VALUE"""),"นางแก้วใจ แก้วกาญจน์")</f>
        <v>นางแก้วใจ แก้วกาญจน์</v>
      </c>
      <c r="J1192" s="3">
        <f>IFERROR(__xludf.DUMMYFUNCTION("""COMPUTED_VALUE"""),2451655.0)</f>
        <v>2451655</v>
      </c>
      <c r="K1192" s="3" t="str">
        <f>IFERROR(__xludf.DUMMYFUNCTION("""COMPUTED_VALUE"""),"นายวิษณุพงษ์ ชินบุตร")</f>
        <v>นายวิษณุพงษ์ ชินบุตร</v>
      </c>
      <c r="L1192" s="1" t="str">
        <f>IFERROR(__xludf.DUMMYFUNCTION("""COMPUTED_VALUE"""),"13 K.Wisanupong Ch")</f>
        <v>13 K.Wisanupong Ch</v>
      </c>
      <c r="M1192" s="1" t="str">
        <f>IFERROR(__xludf.DUMMYFUNCTION("""COMPUTED_VALUE"""),"0843374693")</f>
        <v>0843374693</v>
      </c>
      <c r="N1192" s="3">
        <f>IFERROR(__xludf.DUMMYFUNCTION("""COMPUTED_VALUE"""),22729.0)</f>
        <v>22729</v>
      </c>
      <c r="O1192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192" s="4">
        <f>IFERROR(__xludf.DUMMYFUNCTION("""COMPUTED_VALUE"""),43789.0)</f>
        <v>43789</v>
      </c>
      <c r="Q1192" s="3" t="str">
        <f>IFERROR(__xludf.DUMMYFUNCTION("""COMPUTED_VALUE"""),"A")</f>
        <v>A</v>
      </c>
      <c r="R1192" s="3" t="str">
        <f>IFERROR(__xludf.DUMMYFUNCTION("""COMPUTED_VALUE"""),"Small Format")</f>
        <v>Small Format</v>
      </c>
      <c r="S1192" s="3" t="str">
        <f>IFERROR(__xludf.DUMMYFUNCTION("""COMPUTED_VALUE"""),"BCM")</f>
        <v>BCM</v>
      </c>
      <c r="T1192" s="3" t="str">
        <f>IFERROR(__xludf.DUMMYFUNCTION("""COMPUTED_VALUE"""),"#N/A")</f>
        <v>#N/A</v>
      </c>
      <c r="U1192" s="3" t="str">
        <f>IFERROR(__xludf.DUMMYFUNCTION("""COMPUTED_VALUE"""),"#N/A")</f>
        <v>#N/A</v>
      </c>
      <c r="V1192" s="3" t="str">
        <f>IFERROR(__xludf.DUMMYFUNCTION("""COMPUTED_VALUE"""),"N")</f>
        <v>N</v>
      </c>
      <c r="W1192" s="3">
        <f>IFERROR(__xludf.DUMMYFUNCTION("""COMPUTED_VALUE"""),211940.0)</f>
        <v>211940</v>
      </c>
      <c r="X1192" s="3" t="str">
        <f>IFERROR(__xludf.DUMMYFUNCTION("""COMPUTED_VALUE"""),"514 หมู่4 ตำบลบ้านคลองสวน อำเภอพระสมุทรเจดีย์ จังหวัดสมุทรปราการ 10290")</f>
        <v>514 หมู่4 ตำบลบ้านคลองสวน อำเภอพระสมุทรเจดีย์ จังหวัดสมุทรปราการ 10290</v>
      </c>
      <c r="Y1192" s="3"/>
      <c r="Z1192" s="3" t="str">
        <f>IFERROR(__xludf.DUMMYFUNCTION("""COMPUTED_VALUE"""),"บ้านคลองสวน")</f>
        <v>บ้านคลองสวน</v>
      </c>
      <c r="AA1192" s="3" t="str">
        <f>IFERROR(__xludf.DUMMYFUNCTION("""COMPUTED_VALUE"""),"พระสมุทรเจดีย์")</f>
        <v>พระสมุทรเจดีย์</v>
      </c>
      <c r="AB1192" s="3" t="str">
        <f>IFERROR(__xludf.DUMMYFUNCTION("""COMPUTED_VALUE"""),"สมุทรปราการ")</f>
        <v>สมุทรปราการ</v>
      </c>
      <c r="AC1192" s="3">
        <f>IFERROR(__xludf.DUMMYFUNCTION("""COMPUTED_VALUE"""),10290.0)</f>
        <v>10290</v>
      </c>
      <c r="AD1192" s="3">
        <f>IFERROR(__xludf.DUMMYFUNCTION("""COMPUTED_VALUE"""),13.589275)</f>
        <v>13.589275</v>
      </c>
      <c r="AE1192" s="3">
        <f>IFERROR(__xludf.DUMMYFUNCTION("""COMPUTED_VALUE"""),100.465258)</f>
        <v>100.465258</v>
      </c>
      <c r="AF1192" s="3" t="str">
        <f>IFERROR(__xludf.DUMMYFUNCTION("""COMPUTED_VALUE"""),"MBC ซอยอยู่เจริญคลองสวน สมุทรปราการ-21964")</f>
        <v>MBC ซอยอยู่เจริญคลองสวน สมุทรปราการ-21964</v>
      </c>
      <c r="AG1192" s="3" t="str">
        <f>IFERROR(__xludf.DUMMYFUNCTION("""COMPUTED_VALUE"""),"กลาง")</f>
        <v>กลาง</v>
      </c>
      <c r="AH1192" s="3" t="str">
        <f>IFERROR(__xludf.DUMMYFUNCTION("""COMPUTED_VALUE"""),"#N/A")</f>
        <v>#N/A</v>
      </c>
      <c r="AI1192" s="3" t="str">
        <f>IFERROR(__xludf.DUMMYFUNCTION("""COMPUTED_VALUE"""),"Out of warranty")</f>
        <v>Out of warranty</v>
      </c>
      <c r="AJ1192" s="3">
        <f>IFERROR(__xludf.DUMMYFUNCTION("""COMPUTED_VALUE"""),75.0)</f>
        <v>75</v>
      </c>
      <c r="AK1192" s="3" t="str">
        <f>IFERROR(__xludf.DUMMYFUNCTION("""COMPUTED_VALUE"""),"MMS02")</f>
        <v>MMS02</v>
      </c>
      <c r="AL1192" s="3"/>
    </row>
    <row r="1193" ht="15.75" customHeight="1">
      <c r="A1193" s="1" t="str">
        <f>IFERROR(__xludf.DUMMYFUNCTION("""COMPUTED_VALUE"""),"21965")</f>
        <v>21965</v>
      </c>
      <c r="B1193" s="2">
        <f>IFERROR(__xludf.DUMMYFUNCTION("""COMPUTED_VALUE"""),21965.0)</f>
        <v>21965</v>
      </c>
      <c r="C1193" s="3" t="str">
        <f>IFERROR(__xludf.DUMMYFUNCTION("""COMPUTED_VALUE"""),"MBC ถนนเลี่ยงเมืองหนองมน ชลบุรี")</f>
        <v>MBC ถนนเลี่ยงเมืองหนองมน ชลบุรี</v>
      </c>
      <c r="D1193" s="3" t="str">
        <f>IFERROR(__xludf.DUMMYFUNCTION("""COMPUTED_VALUE"""),"BCM LIANG MEUANG NONG MON")</f>
        <v>BCM LIANG MEUANG NONG MON</v>
      </c>
      <c r="E1193" s="1" t="str">
        <f>IFERROR(__xludf.DUMMYFUNCTION("""COMPUTED_VALUE"""),"บิ๊กซี MINI")</f>
        <v>บิ๊กซี MINI</v>
      </c>
      <c r="F1193" s="1" t="str">
        <f>IFERROR(__xludf.DUMMYFUNCTION("""COMPUTED_VALUE"""),"221716")</f>
        <v>221716</v>
      </c>
      <c r="G1193" s="1" t="str">
        <f>IFERROR(__xludf.DUMMYFUNCTION("""COMPUTED_VALUE"""),"น.ส.เบญจพร โพธิสาร")</f>
        <v>น.ส.เบญจพร โพธิสาร</v>
      </c>
      <c r="H1193" s="1" t="str">
        <f>IFERROR(__xludf.DUMMYFUNCTION("""COMPUTED_VALUE"""),"476018")</f>
        <v>476018</v>
      </c>
      <c r="I1193" s="1" t="str">
        <f>IFERROR(__xludf.DUMMYFUNCTION("""COMPUTED_VALUE"""),"นายศราวุฒิ ชูพันดุง")</f>
        <v>นายศราวุฒิ ชูพันดุง</v>
      </c>
      <c r="J1193" s="3">
        <f>IFERROR(__xludf.DUMMYFUNCTION("""COMPUTED_VALUE"""),1.3461215E7)</f>
        <v>13461215</v>
      </c>
      <c r="K1193" s="3" t="str">
        <f>IFERROR(__xludf.DUMMYFUNCTION("""COMPUTED_VALUE"""),"นายธีรภัทร สังข์เงิน")</f>
        <v>นายธีรภัทร สังข์เงิน</v>
      </c>
      <c r="L1193" s="1" t="str">
        <f>IFERROR(__xludf.DUMMYFUNCTION("""COMPUTED_VALUE"""),"06 K.Teerapat")</f>
        <v>06 K.Teerapat</v>
      </c>
      <c r="M1193" s="1" t="str">
        <f>IFERROR(__xludf.DUMMYFUNCTION("""COMPUTED_VALUE"""),"063-601-6803")</f>
        <v>063-601-6803</v>
      </c>
      <c r="N1193" s="3">
        <f>IFERROR(__xludf.DUMMYFUNCTION("""COMPUTED_VALUE"""),22115.0)</f>
        <v>22115</v>
      </c>
      <c r="O1193" s="3" t="str">
        <f>IFERROR(__xludf.DUMMYFUNCTION("""COMPUTED_VALUE"""),"MBC เลี่ยงหนองมน ชลบุรี")</f>
        <v>MBC เลี่ยงหนองมน ชลบุรี</v>
      </c>
      <c r="P1193" s="4">
        <f>IFERROR(__xludf.DUMMYFUNCTION("""COMPUTED_VALUE"""),43784.0)</f>
        <v>43784</v>
      </c>
      <c r="Q1193" s="3" t="str">
        <f>IFERROR(__xludf.DUMMYFUNCTION("""COMPUTED_VALUE"""),"A")</f>
        <v>A</v>
      </c>
      <c r="R1193" s="3" t="str">
        <f>IFERROR(__xludf.DUMMYFUNCTION("""COMPUTED_VALUE"""),"Small Format")</f>
        <v>Small Format</v>
      </c>
      <c r="S1193" s="3" t="str">
        <f>IFERROR(__xludf.DUMMYFUNCTION("""COMPUTED_VALUE"""),"BCM")</f>
        <v>BCM</v>
      </c>
      <c r="T1193" s="3" t="str">
        <f>IFERROR(__xludf.DUMMYFUNCTION("""COMPUTED_VALUE"""),"#N/A")</f>
        <v>#N/A</v>
      </c>
      <c r="U1193" s="3" t="str">
        <f>IFERROR(__xludf.DUMMYFUNCTION("""COMPUTED_VALUE"""),"#N/A")</f>
        <v>#N/A</v>
      </c>
      <c r="V1193" s="3" t="str">
        <f>IFERROR(__xludf.DUMMYFUNCTION("""COMPUTED_VALUE"""),"N")</f>
        <v>N</v>
      </c>
      <c r="W1193" s="3">
        <f>IFERROR(__xludf.DUMMYFUNCTION("""COMPUTED_VALUE"""),211954.0)</f>
        <v>211954</v>
      </c>
      <c r="X1193" s="3" t="str">
        <f>IFERROR(__xludf.DUMMYFUNCTION("""COMPUTED_VALUE"""),"169 หมู่5 ตำบลห้วยกะปิ อำเภอเมืองชลบุรี จังหวัดชลบุรี 20130")</f>
        <v>169 หมู่5 ตำบลห้วยกะปิ อำเภอเมืองชลบุรี จังหวัดชลบุรี 20130</v>
      </c>
      <c r="Y1193" s="3"/>
      <c r="Z1193" s="3" t="str">
        <f>IFERROR(__xludf.DUMMYFUNCTION("""COMPUTED_VALUE"""),"ห้วยกะปิ")</f>
        <v>ห้วยกะปิ</v>
      </c>
      <c r="AA1193" s="3" t="str">
        <f>IFERROR(__xludf.DUMMYFUNCTION("""COMPUTED_VALUE"""),"เมือง")</f>
        <v>เมือง</v>
      </c>
      <c r="AB1193" s="3" t="str">
        <f>IFERROR(__xludf.DUMMYFUNCTION("""COMPUTED_VALUE"""),"ชลบุรี")</f>
        <v>ชลบุรี</v>
      </c>
      <c r="AC1193" s="3">
        <f>IFERROR(__xludf.DUMMYFUNCTION("""COMPUTED_VALUE"""),20130.0)</f>
        <v>20130</v>
      </c>
      <c r="AD1193" s="3">
        <f>IFERROR(__xludf.DUMMYFUNCTION("""COMPUTED_VALUE"""),13.28466)</f>
        <v>13.28466</v>
      </c>
      <c r="AE1193" s="3">
        <f>IFERROR(__xludf.DUMMYFUNCTION("""COMPUTED_VALUE"""),100.946688)</f>
        <v>100.946688</v>
      </c>
      <c r="AF1193" s="3" t="str">
        <f>IFERROR(__xludf.DUMMYFUNCTION("""COMPUTED_VALUE"""),"MBC ถนนเลี่ยงเมืองหนองมน ชลบุรี-21965")</f>
        <v>MBC ถนนเลี่ยงเมืองหนองมน ชลบุรี-21965</v>
      </c>
      <c r="AG1193" s="3" t="str">
        <f>IFERROR(__xludf.DUMMYFUNCTION("""COMPUTED_VALUE"""),"ตะวันออก")</f>
        <v>ตะวันออก</v>
      </c>
      <c r="AH1193" s="3" t="str">
        <f>IFERROR(__xludf.DUMMYFUNCTION("""COMPUTED_VALUE"""),"#N/A")</f>
        <v>#N/A</v>
      </c>
      <c r="AI1193" s="3" t="str">
        <f>IFERROR(__xludf.DUMMYFUNCTION("""COMPUTED_VALUE"""),"Out of warranty")</f>
        <v>Out of warranty</v>
      </c>
      <c r="AJ1193" s="3">
        <f>IFERROR(__xludf.DUMMYFUNCTION("""COMPUTED_VALUE"""),75.0)</f>
        <v>75</v>
      </c>
      <c r="AK1193" s="3" t="str">
        <f>IFERROR(__xludf.DUMMYFUNCTION("""COMPUTED_VALUE"""),"MMS06")</f>
        <v>MMS06</v>
      </c>
      <c r="AL1193" s="3"/>
    </row>
    <row r="1194" ht="15.75" customHeight="1">
      <c r="A1194" s="1" t="str">
        <f>IFERROR(__xludf.DUMMYFUNCTION("""COMPUTED_VALUE"""),"21966")</f>
        <v>21966</v>
      </c>
      <c r="B1194" s="2">
        <f>IFERROR(__xludf.DUMMYFUNCTION("""COMPUTED_VALUE"""),21966.0)</f>
        <v>21966</v>
      </c>
      <c r="C1194" s="3" t="str">
        <f>IFERROR(__xludf.DUMMYFUNCTION("""COMPUTED_VALUE"""),"MBC แยกโก้งโค้ง (หาดใหญ่) สงขลา")</f>
        <v>MBC แยกโก้งโค้ง (หาดใหญ่) สงขลา</v>
      </c>
      <c r="D1194" s="3" t="str">
        <f>IFERROR(__xludf.DUMMYFUNCTION("""COMPUTED_VALUE"""),"BCM YEAK KHONG KONG")</f>
        <v>BCM YEAK KHONG KONG</v>
      </c>
      <c r="E1194" s="1" t="str">
        <f>IFERROR(__xludf.DUMMYFUNCTION("""COMPUTED_VALUE"""),"บิ๊กซี MINI")</f>
        <v>บิ๊กซี MINI</v>
      </c>
      <c r="F1194" s="1" t="str">
        <f>IFERROR(__xludf.DUMMYFUNCTION("""COMPUTED_VALUE"""),"250760")</f>
        <v>250760</v>
      </c>
      <c r="G1194" s="1" t="str">
        <f>IFERROR(__xludf.DUMMYFUNCTION("""COMPUTED_VALUE"""),"นายประทวน สาราบรรณ์")</f>
        <v>นายประทวน สาราบรรณ์</v>
      </c>
      <c r="H1194" s="1" t="str">
        <f>IFERROR(__xludf.DUMMYFUNCTION("""COMPUTED_VALUE"""),"394100")</f>
        <v>394100</v>
      </c>
      <c r="I1194" s="1" t="str">
        <f>IFERROR(__xludf.DUMMYFUNCTION("""COMPUTED_VALUE"""),"นายไพโรจน์ ถิระผะลิกะ")</f>
        <v>นายไพโรจน์ ถิระผะลิกะ</v>
      </c>
      <c r="J1194" s="3">
        <f>IFERROR(__xludf.DUMMYFUNCTION("""COMPUTED_VALUE"""),2.0470331E7)</f>
        <v>20470331</v>
      </c>
      <c r="K1194" s="3" t="str">
        <f>IFERROR(__xludf.DUMMYFUNCTION("""COMPUTED_VALUE"""),"นายสมชาย ลักษณะสุวรรณ")</f>
        <v>นายสมชาย ลักษณะสุวรรณ</v>
      </c>
      <c r="L1194" s="1" t="str">
        <f>IFERROR(__xludf.DUMMYFUNCTION("""COMPUTED_VALUE"""),"15 K.Somchai L")</f>
        <v>15 K.Somchai L</v>
      </c>
      <c r="M1194" s="1" t="str">
        <f>IFERROR(__xludf.DUMMYFUNCTION("""COMPUTED_VALUE"""),"0655107372")</f>
        <v>0655107372</v>
      </c>
      <c r="N1194" s="3">
        <f>IFERROR(__xludf.DUMMYFUNCTION("""COMPUTED_VALUE"""),21723.0)</f>
        <v>21723</v>
      </c>
      <c r="O1194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194" s="4">
        <f>IFERROR(__xludf.DUMMYFUNCTION("""COMPUTED_VALUE"""),43787.0)</f>
        <v>43787</v>
      </c>
      <c r="Q1194" s="3" t="str">
        <f>IFERROR(__xludf.DUMMYFUNCTION("""COMPUTED_VALUE"""),"A")</f>
        <v>A</v>
      </c>
      <c r="R1194" s="3" t="str">
        <f>IFERROR(__xludf.DUMMYFUNCTION("""COMPUTED_VALUE"""),"Small Format")</f>
        <v>Small Format</v>
      </c>
      <c r="S1194" s="3" t="str">
        <f>IFERROR(__xludf.DUMMYFUNCTION("""COMPUTED_VALUE"""),"BCM")</f>
        <v>BCM</v>
      </c>
      <c r="T1194" s="3" t="str">
        <f>IFERROR(__xludf.DUMMYFUNCTION("""COMPUTED_VALUE"""),"#N/A")</f>
        <v>#N/A</v>
      </c>
      <c r="U1194" s="3" t="str">
        <f>IFERROR(__xludf.DUMMYFUNCTION("""COMPUTED_VALUE"""),"#N/A")</f>
        <v>#N/A</v>
      </c>
      <c r="V1194" s="3" t="str">
        <f>IFERROR(__xludf.DUMMYFUNCTION("""COMPUTED_VALUE"""),"N")</f>
        <v>N</v>
      </c>
      <c r="W1194" s="3">
        <f>IFERROR(__xludf.DUMMYFUNCTION("""COMPUTED_VALUE"""),211927.0)</f>
        <v>211927</v>
      </c>
      <c r="X1194" s="3" t="str">
        <f>IFERROR(__xludf.DUMMYFUNCTION("""COMPUTED_VALUE"""),"111/5 ถนนประชาธิปัตย์ ตำบลหาดใหญ่ อำเภอหาดใหญ่ จังหวัดสงขลา 90110")</f>
        <v>111/5 ถนนประชาธิปัตย์ ตำบลหาดใหญ่ อำเภอหาดใหญ่ จังหวัดสงขลา 90110</v>
      </c>
      <c r="Y1194" s="3" t="str">
        <f>IFERROR(__xludf.DUMMYFUNCTION("""COMPUTED_VALUE"""),"ถนนประชาธิปัตย์")</f>
        <v>ถนนประชาธิปัตย์</v>
      </c>
      <c r="Z1194" s="3" t="str">
        <f>IFERROR(__xludf.DUMMYFUNCTION("""COMPUTED_VALUE"""),"หาดใหญ่")</f>
        <v>หาดใหญ่</v>
      </c>
      <c r="AA1194" s="3" t="str">
        <f>IFERROR(__xludf.DUMMYFUNCTION("""COMPUTED_VALUE"""),"หาดใหญ่")</f>
        <v>หาดใหญ่</v>
      </c>
      <c r="AB1194" s="3" t="str">
        <f>IFERROR(__xludf.DUMMYFUNCTION("""COMPUTED_VALUE"""),"สงขลา")</f>
        <v>สงขลา</v>
      </c>
      <c r="AC1194" s="3">
        <f>IFERROR(__xludf.DUMMYFUNCTION("""COMPUTED_VALUE"""),90110.0)</f>
        <v>90110</v>
      </c>
      <c r="AD1194" s="3">
        <f>IFERROR(__xludf.DUMMYFUNCTION("""COMPUTED_VALUE"""),7.20494)</f>
        <v>7.20494</v>
      </c>
      <c r="AE1194" s="3">
        <f>IFERROR(__xludf.DUMMYFUNCTION("""COMPUTED_VALUE"""),100.459733)</f>
        <v>100.459733</v>
      </c>
      <c r="AF1194" s="3" t="str">
        <f>IFERROR(__xludf.DUMMYFUNCTION("""COMPUTED_VALUE"""),"MBC แยกโก้งโค้ง (หาดใหญ่) สงขลา-21966")</f>
        <v>MBC แยกโก้งโค้ง (หาดใหญ่) สงขลา-21966</v>
      </c>
      <c r="AG1194" s="3" t="str">
        <f>IFERROR(__xludf.DUMMYFUNCTION("""COMPUTED_VALUE"""),"ใต้")</f>
        <v>ใต้</v>
      </c>
      <c r="AH1194" s="3" t="str">
        <f>IFERROR(__xludf.DUMMYFUNCTION("""COMPUTED_VALUE"""),"#N/A")</f>
        <v>#N/A</v>
      </c>
      <c r="AI1194" s="3" t="str">
        <f>IFERROR(__xludf.DUMMYFUNCTION("""COMPUTED_VALUE"""),"Out of warranty")</f>
        <v>Out of warranty</v>
      </c>
      <c r="AJ1194" s="3">
        <f>IFERROR(__xludf.DUMMYFUNCTION("""COMPUTED_VALUE"""),75.0)</f>
        <v>75</v>
      </c>
      <c r="AK1194" s="3" t="str">
        <f>IFERROR(__xludf.DUMMYFUNCTION("""COMPUTED_VALUE"""),"MMS16")</f>
        <v>MMS16</v>
      </c>
      <c r="AL1194" s="3"/>
    </row>
    <row r="1195" ht="15.75" customHeight="1">
      <c r="A1195" s="1" t="str">
        <f>IFERROR(__xludf.DUMMYFUNCTION("""COMPUTED_VALUE"""),"21967")</f>
        <v>21967</v>
      </c>
      <c r="B1195" s="2">
        <f>IFERROR(__xludf.DUMMYFUNCTION("""COMPUTED_VALUE"""),21967.0)</f>
        <v>21967</v>
      </c>
      <c r="C1195" s="3" t="str">
        <f>IFERROR(__xludf.DUMMYFUNCTION("""COMPUTED_VALUE"""),"MBC ซอยจตุโชติ11 กรุงเทพฯ")</f>
        <v>MBC ซอยจตุโชติ11 กรุงเทพฯ</v>
      </c>
      <c r="D1195" s="3" t="str">
        <f>IFERROR(__xludf.DUMMYFUNCTION("""COMPUTED_VALUE"""),"BCM CHATUCHOT11, BANGKOK")</f>
        <v>BCM CHATUCHOT11, BANGKOK</v>
      </c>
      <c r="E1195" s="1" t="str">
        <f>IFERROR(__xludf.DUMMYFUNCTION("""COMPUTED_VALUE"""),"บิ๊กซี MINI")</f>
        <v>บิ๊กซี MINI</v>
      </c>
      <c r="F1195" s="1" t="str">
        <f>IFERROR(__xludf.DUMMYFUNCTION("""COMPUTED_VALUE"""),"291008")</f>
        <v>291008</v>
      </c>
      <c r="G1195" s="1" t="str">
        <f>IFERROR(__xludf.DUMMYFUNCTION("""COMPUTED_VALUE"""),"น.ส.รัชดาพร อีศรัตน์")</f>
        <v>น.ส.รัชดาพร อีศรัตน์</v>
      </c>
      <c r="H1195" s="1" t="str">
        <f>IFERROR(__xludf.DUMMYFUNCTION("""COMPUTED_VALUE"""),"288639")</f>
        <v>288639</v>
      </c>
      <c r="I1195" s="1" t="str">
        <f>IFERROR(__xludf.DUMMYFUNCTION("""COMPUTED_VALUE"""),"น.ส.สมหญิง สีชมภู")</f>
        <v>น.ส.สมหญิง สีชมภู</v>
      </c>
      <c r="J1195" s="3">
        <f>IFERROR(__xludf.DUMMYFUNCTION("""COMPUTED_VALUE"""),3510104.0)</f>
        <v>3510104</v>
      </c>
      <c r="K1195" s="3" t="str">
        <f>IFERROR(__xludf.DUMMYFUNCTION("""COMPUTED_VALUE"""),"นายวิโรจน์ อับดุลสมัด")</f>
        <v>นายวิโรจน์ อับดุลสมัด</v>
      </c>
      <c r="L1195" s="1" t="str">
        <f>IFERROR(__xludf.DUMMYFUNCTION("""COMPUTED_VALUE"""),"09 K.Wirode A")</f>
        <v>09 K.Wirode A</v>
      </c>
      <c r="M1195" s="1" t="str">
        <f>IFERROR(__xludf.DUMMYFUNCTION("""COMPUTED_VALUE"""),"080-235-4465")</f>
        <v>080-235-4465</v>
      </c>
      <c r="N1195" s="3">
        <f>IFERROR(__xludf.DUMMYFUNCTION("""COMPUTED_VALUE"""),21324.0)</f>
        <v>21324</v>
      </c>
      <c r="O1195" s="3" t="str">
        <f>IFERROR(__xludf.DUMMYFUNCTION("""COMPUTED_VALUE"""),"MBC BCP สุวินทวงศ์")</f>
        <v>MBC BCP สุวินทวงศ์</v>
      </c>
      <c r="P1195" s="4">
        <f>IFERROR(__xludf.DUMMYFUNCTION("""COMPUTED_VALUE"""),43791.0)</f>
        <v>43791</v>
      </c>
      <c r="Q1195" s="3" t="str">
        <f>IFERROR(__xludf.DUMMYFUNCTION("""COMPUTED_VALUE"""),"A")</f>
        <v>A</v>
      </c>
      <c r="R1195" s="3" t="str">
        <f>IFERROR(__xludf.DUMMYFUNCTION("""COMPUTED_VALUE"""),"Small Format")</f>
        <v>Small Format</v>
      </c>
      <c r="S1195" s="3" t="str">
        <f>IFERROR(__xludf.DUMMYFUNCTION("""COMPUTED_VALUE"""),"BCM")</f>
        <v>BCM</v>
      </c>
      <c r="T1195" s="3" t="str">
        <f>IFERROR(__xludf.DUMMYFUNCTION("""COMPUTED_VALUE"""),"#N/A")</f>
        <v>#N/A</v>
      </c>
      <c r="U1195" s="3" t="str">
        <f>IFERROR(__xludf.DUMMYFUNCTION("""COMPUTED_VALUE"""),"#N/A")</f>
        <v>#N/A</v>
      </c>
      <c r="V1195" s="3" t="str">
        <f>IFERROR(__xludf.DUMMYFUNCTION("""COMPUTED_VALUE"""),"N")</f>
        <v>N</v>
      </c>
      <c r="W1195" s="3">
        <f>IFERROR(__xludf.DUMMYFUNCTION("""COMPUTED_VALUE"""),211897.0)</f>
        <v>211897</v>
      </c>
      <c r="X1195" s="3" t="str">
        <f>IFERROR(__xludf.DUMMYFUNCTION("""COMPUTED_VALUE"""),"34/14 ถนนจตุโชติ แขวงออเงิน เขตสายไหม กรุงเทพมหานคร 10220")</f>
        <v>34/14 ถนนจตุโชติ แขวงออเงิน เขตสายไหม กรุงเทพมหานคร 10220</v>
      </c>
      <c r="Y1195" s="3" t="str">
        <f>IFERROR(__xludf.DUMMYFUNCTION("""COMPUTED_VALUE"""),"ถนนจตุโชติ")</f>
        <v>ถนนจตุโชติ</v>
      </c>
      <c r="Z1195" s="3" t="str">
        <f>IFERROR(__xludf.DUMMYFUNCTION("""COMPUTED_VALUE"""),"ออเงิน")</f>
        <v>ออเงิน</v>
      </c>
      <c r="AA1195" s="3" t="str">
        <f>IFERROR(__xludf.DUMMYFUNCTION("""COMPUTED_VALUE"""),"สายไหม")</f>
        <v>สายไหม</v>
      </c>
      <c r="AB1195" s="3" t="str">
        <f>IFERROR(__xludf.DUMMYFUNCTION("""COMPUTED_VALUE"""),"กรุงเทพมหานคร")</f>
        <v>กรุงเทพมหานคร</v>
      </c>
      <c r="AC1195" s="3">
        <f>IFERROR(__xludf.DUMMYFUNCTION("""COMPUTED_VALUE"""),10220.0)</f>
        <v>10220</v>
      </c>
      <c r="AD1195" s="3">
        <f>IFERROR(__xludf.DUMMYFUNCTION("""COMPUTED_VALUE"""),13.898108)</f>
        <v>13.898108</v>
      </c>
      <c r="AE1195" s="3">
        <f>IFERROR(__xludf.DUMMYFUNCTION("""COMPUTED_VALUE"""),100.673566)</f>
        <v>100.673566</v>
      </c>
      <c r="AF1195" s="3" t="str">
        <f>IFERROR(__xludf.DUMMYFUNCTION("""COMPUTED_VALUE"""),"MBC ซอยจตุโชติ11 กรุงเทพฯ-21967")</f>
        <v>MBC ซอยจตุโชติ11 กรุงเทพฯ-21967</v>
      </c>
      <c r="AG1195" s="3" t="str">
        <f>IFERROR(__xludf.DUMMYFUNCTION("""COMPUTED_VALUE"""),"กลาง")</f>
        <v>กลาง</v>
      </c>
      <c r="AH1195" s="3" t="str">
        <f>IFERROR(__xludf.DUMMYFUNCTION("""COMPUTED_VALUE"""),"#N/A")</f>
        <v>#N/A</v>
      </c>
      <c r="AI1195" s="3" t="str">
        <f>IFERROR(__xludf.DUMMYFUNCTION("""COMPUTED_VALUE"""),"Out of warranty")</f>
        <v>Out of warranty</v>
      </c>
      <c r="AJ1195" s="3">
        <f>IFERROR(__xludf.DUMMYFUNCTION("""COMPUTED_VALUE"""),74.0)</f>
        <v>74</v>
      </c>
      <c r="AK1195" s="3" t="str">
        <f>IFERROR(__xludf.DUMMYFUNCTION("""COMPUTED_VALUE"""),"MMS01")</f>
        <v>MMS01</v>
      </c>
      <c r="AL1195" s="3"/>
    </row>
    <row r="1196" ht="15.75" customHeight="1">
      <c r="A1196" s="1" t="str">
        <f>IFERROR(__xludf.DUMMYFUNCTION("""COMPUTED_VALUE"""),"21968")</f>
        <v>21968</v>
      </c>
      <c r="B1196" s="2">
        <f>IFERROR(__xludf.DUMMYFUNCTION("""COMPUTED_VALUE"""),21968.0)</f>
        <v>21968</v>
      </c>
      <c r="C1196" s="3" t="str">
        <f>IFERROR(__xludf.DUMMYFUNCTION("""COMPUTED_VALUE"""),"MBC ตลาดทุ่งลม เพชรบุรี")</f>
        <v>MBC ตลาดทุ่งลม เพชรบุรี</v>
      </c>
      <c r="D1196" s="3" t="str">
        <f>IFERROR(__xludf.DUMMYFUNCTION("""COMPUTED_VALUE"""),"BCM TALAD THUNG LOM, PHETBURI")</f>
        <v>BCM TALAD THUNG LOM, PHETBURI</v>
      </c>
      <c r="E1196" s="1" t="str">
        <f>IFERROR(__xludf.DUMMYFUNCTION("""COMPUTED_VALUE"""),"บิ๊กซี MINI")</f>
        <v>บิ๊กซี MINI</v>
      </c>
      <c r="F1196" s="1" t="str">
        <f>IFERROR(__xludf.DUMMYFUNCTION("""COMPUTED_VALUE"""),"250760")</f>
        <v>250760</v>
      </c>
      <c r="G1196" s="1" t="str">
        <f>IFERROR(__xludf.DUMMYFUNCTION("""COMPUTED_VALUE"""),"นายประทวน สาราบรรณ์")</f>
        <v>นายประทวน สาราบรรณ์</v>
      </c>
      <c r="H1196" s="1" t="str">
        <f>IFERROR(__xludf.DUMMYFUNCTION("""COMPUTED_VALUE"""),"311437")</f>
        <v>311437</v>
      </c>
      <c r="I1196" s="1" t="str">
        <f>IFERROR(__xludf.DUMMYFUNCTION("""COMPUTED_VALUE"""),"นายฉัตรทพร รักวิเชียร")</f>
        <v>นายฉัตรทพร รักวิเชียร</v>
      </c>
      <c r="J1196" s="3">
        <f>IFERROR(__xludf.DUMMYFUNCTION("""COMPUTED_VALUE"""),2.0470331E7)</f>
        <v>20470331</v>
      </c>
      <c r="K1196" s="3" t="str">
        <f>IFERROR(__xludf.DUMMYFUNCTION("""COMPUTED_VALUE"""),"นายสมชาย ลักษณะสุวรรณ")</f>
        <v>นายสมชาย ลักษณะสุวรรณ</v>
      </c>
      <c r="L1196" s="1" t="str">
        <f>IFERROR(__xludf.DUMMYFUNCTION("""COMPUTED_VALUE"""),"15 K.Somchai L")</f>
        <v>15 K.Somchai L</v>
      </c>
      <c r="M1196" s="1" t="str">
        <f>IFERROR(__xludf.DUMMYFUNCTION("""COMPUTED_VALUE"""),"0655107372")</f>
        <v>0655107372</v>
      </c>
      <c r="N1196" s="3">
        <f>IFERROR(__xludf.DUMMYFUNCTION("""COMPUTED_VALUE"""),21723.0)</f>
        <v>21723</v>
      </c>
      <c r="O1196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196" s="4">
        <f>IFERROR(__xludf.DUMMYFUNCTION("""COMPUTED_VALUE"""),43791.0)</f>
        <v>43791</v>
      </c>
      <c r="Q1196" s="3" t="str">
        <f>IFERROR(__xludf.DUMMYFUNCTION("""COMPUTED_VALUE"""),"I")</f>
        <v>I</v>
      </c>
      <c r="R1196" s="3" t="str">
        <f>IFERROR(__xludf.DUMMYFUNCTION("""COMPUTED_VALUE"""),"Small Format")</f>
        <v>Small Format</v>
      </c>
      <c r="S1196" s="3" t="str">
        <f>IFERROR(__xludf.DUMMYFUNCTION("""COMPUTED_VALUE"""),"BCM")</f>
        <v>BCM</v>
      </c>
      <c r="T1196" s="3" t="str">
        <f>IFERROR(__xludf.DUMMYFUNCTION("""COMPUTED_VALUE"""),"#N/A")</f>
        <v>#N/A</v>
      </c>
      <c r="U1196" s="3" t="str">
        <f>IFERROR(__xludf.DUMMYFUNCTION("""COMPUTED_VALUE"""),"#N/A")</f>
        <v>#N/A</v>
      </c>
      <c r="V1196" s="3" t="str">
        <f>IFERROR(__xludf.DUMMYFUNCTION("""COMPUTED_VALUE"""),"N")</f>
        <v>N</v>
      </c>
      <c r="W1196" s="3">
        <f>IFERROR(__xludf.DUMMYFUNCTION("""COMPUTED_VALUE"""),210012.0)</f>
        <v>210012</v>
      </c>
      <c r="X1196" s="3" t="str">
        <f>IFERROR(__xludf.DUMMYFUNCTION("""COMPUTED_VALUE"""),"182 หมู่2 ตำบลโพไร่หวาน อำเภอเมืองเพชรบุรี จังหวัดเพชรบุรี 76000")</f>
        <v>182 หมู่2 ตำบลโพไร่หวาน อำเภอเมืองเพชรบุรี จังหวัดเพชรบุรี 76000</v>
      </c>
      <c r="Y1196" s="3"/>
      <c r="Z1196" s="3" t="str">
        <f>IFERROR(__xludf.DUMMYFUNCTION("""COMPUTED_VALUE"""),"โพไร่หวาน")</f>
        <v>โพไร่หวาน</v>
      </c>
      <c r="AA1196" s="3" t="str">
        <f>IFERROR(__xludf.DUMMYFUNCTION("""COMPUTED_VALUE"""),"เมือง")</f>
        <v>เมือง</v>
      </c>
      <c r="AB1196" s="3" t="str">
        <f>IFERROR(__xludf.DUMMYFUNCTION("""COMPUTED_VALUE"""),"เพชรบุรี")</f>
        <v>เพชรบุรี</v>
      </c>
      <c r="AC1196" s="3">
        <f>IFERROR(__xludf.DUMMYFUNCTION("""COMPUTED_VALUE"""),76000.0)</f>
        <v>76000</v>
      </c>
      <c r="AD1196" s="3">
        <f>IFERROR(__xludf.DUMMYFUNCTION("""COMPUTED_VALUE"""),13.08073)</f>
        <v>13.08073</v>
      </c>
      <c r="AE1196" s="3">
        <f>IFERROR(__xludf.DUMMYFUNCTION("""COMPUTED_VALUE"""),99.965139)</f>
        <v>99.965139</v>
      </c>
      <c r="AF1196" s="3" t="str">
        <f>IFERROR(__xludf.DUMMYFUNCTION("""COMPUTED_VALUE"""),"MBC ตลาดทุ่งลม เพชรบุรี-21968")</f>
        <v>MBC ตลาดทุ่งลม เพชรบุรี-21968</v>
      </c>
      <c r="AG1196" s="3" t="str">
        <f>IFERROR(__xludf.DUMMYFUNCTION("""COMPUTED_VALUE"""),"ตะวันตก")</f>
        <v>ตะวันตก</v>
      </c>
      <c r="AH1196" s="3" t="str">
        <f>IFERROR(__xludf.DUMMYFUNCTION("""COMPUTED_VALUE"""),"#N/A")</f>
        <v>#N/A</v>
      </c>
      <c r="AI1196" s="3" t="str">
        <f>IFERROR(__xludf.DUMMYFUNCTION("""COMPUTED_VALUE"""),"Out of warranty")</f>
        <v>Out of warranty</v>
      </c>
      <c r="AJ1196" s="3">
        <f>IFERROR(__xludf.DUMMYFUNCTION("""COMPUTED_VALUE"""),74.0)</f>
        <v>74</v>
      </c>
      <c r="AK1196" s="3" t="str">
        <f>IFERROR(__xludf.DUMMYFUNCTION("""COMPUTED_VALUE"""),"MMS14")</f>
        <v>MMS14</v>
      </c>
      <c r="AL1196" s="3"/>
    </row>
    <row r="1197" ht="15.75" customHeight="1">
      <c r="A1197" s="1" t="str">
        <f>IFERROR(__xludf.DUMMYFUNCTION("""COMPUTED_VALUE"""),"21969")</f>
        <v>21969</v>
      </c>
      <c r="B1197" s="2">
        <f>IFERROR(__xludf.DUMMYFUNCTION("""COMPUTED_VALUE"""),21969.0)</f>
        <v>21969</v>
      </c>
      <c r="C1197" s="3" t="str">
        <f>IFERROR(__xludf.DUMMYFUNCTION("""COMPUTED_VALUE"""),"MBC ตลาดท่าเกษม สระแก้ว")</f>
        <v>MBC ตลาดท่าเกษม สระแก้ว</v>
      </c>
      <c r="D1197" s="3" t="str">
        <f>IFERROR(__xludf.DUMMYFUNCTION("""COMPUTED_VALUE"""),"BCM TALAD THAKASEM, SA KAEO")</f>
        <v>BCM TALAD THAKASEM, SA KAEO</v>
      </c>
      <c r="E1197" s="1" t="str">
        <f>IFERROR(__xludf.DUMMYFUNCTION("""COMPUTED_VALUE"""),"บิ๊กซี MINI")</f>
        <v>บิ๊กซี MINI</v>
      </c>
      <c r="F1197" s="1" t="str">
        <f>IFERROR(__xludf.DUMMYFUNCTION("""COMPUTED_VALUE"""),"2083447")</f>
        <v>2083447</v>
      </c>
      <c r="G1197" s="1" t="str">
        <f>IFERROR(__xludf.DUMMYFUNCTION("""COMPUTED_VALUE"""),"นายอนุกูล ศรีลัดดา")</f>
        <v>นายอนุกูล ศรีลัดดา</v>
      </c>
      <c r="H1197" s="1" t="str">
        <f>IFERROR(__xludf.DUMMYFUNCTION("""COMPUTED_VALUE"""),"259808")</f>
        <v>259808</v>
      </c>
      <c r="I1197" s="1" t="str">
        <f>IFERROR(__xludf.DUMMYFUNCTION("""COMPUTED_VALUE"""),"น.ส.สกุลรัตน์ พิกุลแก้ว")</f>
        <v>น.ส.สกุลรัตน์ พิกุลแก้ว</v>
      </c>
      <c r="J1197" s="3">
        <f>IFERROR(__xludf.DUMMYFUNCTION("""COMPUTED_VALUE"""),510143.0)</f>
        <v>510143</v>
      </c>
      <c r="K1197" s="3" t="str">
        <f>IFERROR(__xludf.DUMMYFUNCTION("""COMPUTED_VALUE"""),"นายธีระวัฒน์ บุญสิทธิ์")</f>
        <v>นายธีระวัฒน์ บุญสิทธิ์</v>
      </c>
      <c r="L1197" s="1" t="str">
        <f>IFERROR(__xludf.DUMMYFUNCTION("""COMPUTED_VALUE"""),"12 K.Theerawat B.")</f>
        <v>12 K.Theerawat B.</v>
      </c>
      <c r="M1197" s="1" t="str">
        <f>IFERROR(__xludf.DUMMYFUNCTION("""COMPUTED_VALUE"""),"0655107379")</f>
        <v>0655107379</v>
      </c>
      <c r="N1197" s="3">
        <f>IFERROR(__xludf.DUMMYFUNCTION("""COMPUTED_VALUE"""),21062.0)</f>
        <v>21062</v>
      </c>
      <c r="O1197" s="3" t="str">
        <f>IFERROR(__xludf.DUMMYFUNCTION("""COMPUTED_VALUE"""),"MBC นิคมนวนคร")</f>
        <v>MBC นิคมนวนคร</v>
      </c>
      <c r="P1197" s="4">
        <f>IFERROR(__xludf.DUMMYFUNCTION("""COMPUTED_VALUE"""),43794.0)</f>
        <v>43794</v>
      </c>
      <c r="Q1197" s="3" t="str">
        <f>IFERROR(__xludf.DUMMYFUNCTION("""COMPUTED_VALUE"""),"A")</f>
        <v>A</v>
      </c>
      <c r="R1197" s="3" t="str">
        <f>IFERROR(__xludf.DUMMYFUNCTION("""COMPUTED_VALUE"""),"Small Format")</f>
        <v>Small Format</v>
      </c>
      <c r="S1197" s="3" t="str">
        <f>IFERROR(__xludf.DUMMYFUNCTION("""COMPUTED_VALUE"""),"BCM")</f>
        <v>BCM</v>
      </c>
      <c r="T1197" s="3" t="str">
        <f>IFERROR(__xludf.DUMMYFUNCTION("""COMPUTED_VALUE"""),"#N/A")</f>
        <v>#N/A</v>
      </c>
      <c r="U1197" s="3" t="str">
        <f>IFERROR(__xludf.DUMMYFUNCTION("""COMPUTED_VALUE"""),"#N/A")</f>
        <v>#N/A</v>
      </c>
      <c r="V1197" s="3" t="str">
        <f>IFERROR(__xludf.DUMMYFUNCTION("""COMPUTED_VALUE"""),"N")</f>
        <v>N</v>
      </c>
      <c r="W1197" s="3">
        <f>IFERROR(__xludf.DUMMYFUNCTION("""COMPUTED_VALUE"""),210023.0)</f>
        <v>210023</v>
      </c>
      <c r="X1197" s="3" t="str">
        <f>IFERROR(__xludf.DUMMYFUNCTION("""COMPUTED_VALUE"""),"1097 หมู่2 ตำบลท่าเกษม อำเภอเมืองสระแก้ว จังหวัดสระแก้ว 27000")</f>
        <v>1097 หมู่2 ตำบลท่าเกษม อำเภอเมืองสระแก้ว จังหวัดสระแก้ว 27000</v>
      </c>
      <c r="Y1197" s="3"/>
      <c r="Z1197" s="3" t="str">
        <f>IFERROR(__xludf.DUMMYFUNCTION("""COMPUTED_VALUE"""),"ท่าเกษม")</f>
        <v>ท่าเกษม</v>
      </c>
      <c r="AA1197" s="3" t="str">
        <f>IFERROR(__xludf.DUMMYFUNCTION("""COMPUTED_VALUE"""),"เมือง")</f>
        <v>เมือง</v>
      </c>
      <c r="AB1197" s="3" t="str">
        <f>IFERROR(__xludf.DUMMYFUNCTION("""COMPUTED_VALUE"""),"สระแก้ว")</f>
        <v>สระแก้ว</v>
      </c>
      <c r="AC1197" s="3">
        <f>IFERROR(__xludf.DUMMYFUNCTION("""COMPUTED_VALUE"""),27000.0)</f>
        <v>27000</v>
      </c>
      <c r="AD1197" s="3">
        <f>IFERROR(__xludf.DUMMYFUNCTION("""COMPUTED_VALUE"""),13.783291)</f>
        <v>13.783291</v>
      </c>
      <c r="AE1197" s="3">
        <f>IFERROR(__xludf.DUMMYFUNCTION("""COMPUTED_VALUE"""),102.165684)</f>
        <v>102.165684</v>
      </c>
      <c r="AF1197" s="3" t="str">
        <f>IFERROR(__xludf.DUMMYFUNCTION("""COMPUTED_VALUE"""),"MBC ตลาดท่าเกษม สระแก้ว-21969")</f>
        <v>MBC ตลาดท่าเกษม สระแก้ว-21969</v>
      </c>
      <c r="AG1197" s="3" t="str">
        <f>IFERROR(__xludf.DUMMYFUNCTION("""COMPUTED_VALUE"""),"ตะวันออก")</f>
        <v>ตะวันออก</v>
      </c>
      <c r="AH1197" s="3" t="str">
        <f>IFERROR(__xludf.DUMMYFUNCTION("""COMPUTED_VALUE"""),"#N/A")</f>
        <v>#N/A</v>
      </c>
      <c r="AI1197" s="3" t="str">
        <f>IFERROR(__xludf.DUMMYFUNCTION("""COMPUTED_VALUE"""),"Out of warranty")</f>
        <v>Out of warranty</v>
      </c>
      <c r="AJ1197" s="3">
        <f>IFERROR(__xludf.DUMMYFUNCTION("""COMPUTED_VALUE"""),74.0)</f>
        <v>74</v>
      </c>
      <c r="AK1197" s="3" t="str">
        <f>IFERROR(__xludf.DUMMYFUNCTION("""COMPUTED_VALUE"""),"MMS08")</f>
        <v>MMS08</v>
      </c>
      <c r="AL1197" s="3"/>
    </row>
    <row r="1198" ht="15.75" customHeight="1">
      <c r="A1198" s="1" t="str">
        <f>IFERROR(__xludf.DUMMYFUNCTION("""COMPUTED_VALUE"""),"21970")</f>
        <v>21970</v>
      </c>
      <c r="B1198" s="2">
        <f>IFERROR(__xludf.DUMMYFUNCTION("""COMPUTED_VALUE"""),21970.0)</f>
        <v>21970</v>
      </c>
      <c r="C1198" s="3" t="str">
        <f>IFERROR(__xludf.DUMMYFUNCTION("""COMPUTED_VALUE"""),"MBC พระทองคำ นครราชสีมา")</f>
        <v>MBC พระทองคำ นครราชสีมา</v>
      </c>
      <c r="D1198" s="3" t="str">
        <f>IFERROR(__xludf.DUMMYFUNCTION("""COMPUTED_VALUE"""),"BCM PHRA THONG KHAM")</f>
        <v>BCM PHRA THONG KHAM</v>
      </c>
      <c r="E1198" s="1" t="str">
        <f>IFERROR(__xludf.DUMMYFUNCTION("""COMPUTED_VALUE"""),"บิ๊กซี MINI")</f>
        <v>บิ๊กซี MINI</v>
      </c>
      <c r="F1198" s="1" t="str">
        <f>IFERROR(__xludf.DUMMYFUNCTION("""COMPUTED_VALUE"""),"291105")</f>
        <v>291105</v>
      </c>
      <c r="G1198" s="1" t="str">
        <f>IFERROR(__xludf.DUMMYFUNCTION("""COMPUTED_VALUE"""),"นายสราวุฒิ พณิชยกุล")</f>
        <v>นายสราวุฒิ พณิชยกุล</v>
      </c>
      <c r="H1198" s="1" t="str">
        <f>IFERROR(__xludf.DUMMYFUNCTION("""COMPUTED_VALUE"""),"281315")</f>
        <v>281315</v>
      </c>
      <c r="I1198" s="1" t="str">
        <f>IFERROR(__xludf.DUMMYFUNCTION("""COMPUTED_VALUE"""),"นายกิตติพงษ์ มั่นคง")</f>
        <v>นายกิตติพงษ์ มั่นคง</v>
      </c>
      <c r="J1198" s="3">
        <f>IFERROR(__xludf.DUMMYFUNCTION("""COMPUTED_VALUE"""),295886.0)</f>
        <v>295886</v>
      </c>
      <c r="K1198" s="3" t="str">
        <f>IFERROR(__xludf.DUMMYFUNCTION("""COMPUTED_VALUE"""),"นายจิระพงษ์ โพธิ์นิล")</f>
        <v>นายจิระพงษ์ โพธิ์นิล</v>
      </c>
      <c r="L1198" s="1" t="str">
        <f>IFERROR(__xludf.DUMMYFUNCTION("""COMPUTED_VALUE"""),"นายจิระพงษ์ โพธิ์นิล")</f>
        <v>นายจิระพงษ์ โพธิ์นิล</v>
      </c>
      <c r="M1198" s="1" t="str">
        <f>IFERROR(__xludf.DUMMYFUNCTION("""COMPUTED_VALUE"""),"0933290754")</f>
        <v>0933290754</v>
      </c>
      <c r="N1198" s="3">
        <f>IFERROR(__xludf.DUMMYFUNCTION("""COMPUTED_VALUE"""),21622.0)</f>
        <v>21622</v>
      </c>
      <c r="O1198" s="3" t="str">
        <f>IFERROR(__xludf.DUMMYFUNCTION("""COMPUTED_VALUE"""),"MBC ตลาดบ้านดอน")</f>
        <v>MBC ตลาดบ้านดอน</v>
      </c>
      <c r="P1198" s="4">
        <f>IFERROR(__xludf.DUMMYFUNCTION("""COMPUTED_VALUE"""),43795.0)</f>
        <v>43795</v>
      </c>
      <c r="Q1198" s="3" t="str">
        <f>IFERROR(__xludf.DUMMYFUNCTION("""COMPUTED_VALUE"""),"I")</f>
        <v>I</v>
      </c>
      <c r="R1198" s="3" t="str">
        <f>IFERROR(__xludf.DUMMYFUNCTION("""COMPUTED_VALUE"""),"Small Format")</f>
        <v>Small Format</v>
      </c>
      <c r="S1198" s="3" t="str">
        <f>IFERROR(__xludf.DUMMYFUNCTION("""COMPUTED_VALUE"""),"BCM")</f>
        <v>BCM</v>
      </c>
      <c r="T1198" s="3" t="str">
        <f>IFERROR(__xludf.DUMMYFUNCTION("""COMPUTED_VALUE"""),"#N/A")</f>
        <v>#N/A</v>
      </c>
      <c r="U1198" s="3" t="str">
        <f>IFERROR(__xludf.DUMMYFUNCTION("""COMPUTED_VALUE"""),"#N/A")</f>
        <v>#N/A</v>
      </c>
      <c r="V1198" s="3" t="str">
        <f>IFERROR(__xludf.DUMMYFUNCTION("""COMPUTED_VALUE"""),"N")</f>
        <v>N</v>
      </c>
      <c r="W1198" s="3">
        <f>IFERROR(__xludf.DUMMYFUNCTION("""COMPUTED_VALUE"""),210006.0)</f>
        <v>210006</v>
      </c>
      <c r="X1198" s="3" t="str">
        <f>IFERROR(__xludf.DUMMYFUNCTION("""COMPUTED_VALUE"""),"11/3 หมู่1 ตำบลสระพระ อำเภอพระทองคำ จังหวัดนครราชสีมา 30220")</f>
        <v>11/3 หมู่1 ตำบลสระพระ อำเภอพระทองคำ จังหวัดนครราชสีมา 30220</v>
      </c>
      <c r="Y1198" s="3"/>
      <c r="Z1198" s="3" t="str">
        <f>IFERROR(__xludf.DUMMYFUNCTION("""COMPUTED_VALUE"""),"สระพระ")</f>
        <v>สระพระ</v>
      </c>
      <c r="AA1198" s="3" t="str">
        <f>IFERROR(__xludf.DUMMYFUNCTION("""COMPUTED_VALUE"""),"พระทองคำ")</f>
        <v>พระทองคำ</v>
      </c>
      <c r="AB1198" s="3" t="str">
        <f>IFERROR(__xludf.DUMMYFUNCTION("""COMPUTED_VALUE"""),"นครราชสีมา")</f>
        <v>นครราชสีมา</v>
      </c>
      <c r="AC1198" s="3">
        <f>IFERROR(__xludf.DUMMYFUNCTION("""COMPUTED_VALUE"""),30220.0)</f>
        <v>30220</v>
      </c>
      <c r="AD1198" s="3">
        <f>IFERROR(__xludf.DUMMYFUNCTION("""COMPUTED_VALUE"""),15.30994)</f>
        <v>15.30994</v>
      </c>
      <c r="AE1198" s="3">
        <f>IFERROR(__xludf.DUMMYFUNCTION("""COMPUTED_VALUE"""),101.967735)</f>
        <v>101.967735</v>
      </c>
      <c r="AF1198" s="3" t="str">
        <f>IFERROR(__xludf.DUMMYFUNCTION("""COMPUTED_VALUE"""),"MBC พระทองคำ นครราชสีมา-21970")</f>
        <v>MBC พระทองคำ นครราชสีมา-21970</v>
      </c>
      <c r="AG1198" s="3" t="str">
        <f>IFERROR(__xludf.DUMMYFUNCTION("""COMPUTED_VALUE"""),"ตะวันออกเฉียงเหนือ")</f>
        <v>ตะวันออกเฉียงเหนือ</v>
      </c>
      <c r="AH1198" s="3" t="str">
        <f>IFERROR(__xludf.DUMMYFUNCTION("""COMPUTED_VALUE"""),"#N/A")</f>
        <v>#N/A</v>
      </c>
      <c r="AI1198" s="3" t="str">
        <f>IFERROR(__xludf.DUMMYFUNCTION("""COMPUTED_VALUE"""),"Out of warranty")</f>
        <v>Out of warranty</v>
      </c>
      <c r="AJ1198" s="3">
        <f>IFERROR(__xludf.DUMMYFUNCTION("""COMPUTED_VALUE"""),74.0)</f>
        <v>74</v>
      </c>
      <c r="AK1198" s="3" t="str">
        <f>IFERROR(__xludf.DUMMYFUNCTION("""COMPUTED_VALUE"""),"MMS11")</f>
        <v>MMS11</v>
      </c>
      <c r="AL1198" s="3"/>
    </row>
    <row r="1199" ht="15.75" customHeight="1">
      <c r="A1199" s="1" t="str">
        <f>IFERROR(__xludf.DUMMYFUNCTION("""COMPUTED_VALUE"""),"21971")</f>
        <v>21971</v>
      </c>
      <c r="B1199" s="2">
        <f>IFERROR(__xludf.DUMMYFUNCTION("""COMPUTED_VALUE"""),21971.0)</f>
        <v>21971</v>
      </c>
      <c r="C1199" s="3" t="str">
        <f>IFERROR(__xludf.DUMMYFUNCTION("""COMPUTED_VALUE"""),"MBC หาดละไม (สมุย) สุราษฎร์ธานี")</f>
        <v>MBC หาดละไม (สมุย) สุราษฎร์ธานี</v>
      </c>
      <c r="D1199" s="3" t="str">
        <f>IFERROR(__xludf.DUMMYFUNCTION("""COMPUTED_VALUE"""),"BCM HAT LAMAI (SAMUI)")</f>
        <v>BCM HAT LAMAI (SAMUI)</v>
      </c>
      <c r="E1199" s="1" t="str">
        <f>IFERROR(__xludf.DUMMYFUNCTION("""COMPUTED_VALUE"""),"บิ๊กซี MINI")</f>
        <v>บิ๊กซี MINI</v>
      </c>
      <c r="F1199" s="1" t="str">
        <f>IFERROR(__xludf.DUMMYFUNCTION("""COMPUTED_VALUE"""),"250760")</f>
        <v>250760</v>
      </c>
      <c r="G1199" s="1" t="str">
        <f>IFERROR(__xludf.DUMMYFUNCTION("""COMPUTED_VALUE"""),"นายประทวน สาราบรรณ์")</f>
        <v>นายประทวน สาราบรรณ์</v>
      </c>
      <c r="H1199" s="1" t="str">
        <f>IFERROR(__xludf.DUMMYFUNCTION("""COMPUTED_VALUE"""),"356760")</f>
        <v>356760</v>
      </c>
      <c r="I1199" s="1" t="str">
        <f>IFERROR(__xludf.DUMMYFUNCTION("""COMPUTED_VALUE"""),"นายภูมิภัทร แก้วพรรณราย")</f>
        <v>นายภูมิภัทร แก้วพรรณราย</v>
      </c>
      <c r="J1199" s="3">
        <f>IFERROR(__xludf.DUMMYFUNCTION("""COMPUTED_VALUE"""),25324.0)</f>
        <v>25324</v>
      </c>
      <c r="K1199" s="3" t="str">
        <f>IFERROR(__xludf.DUMMYFUNCTION("""COMPUTED_VALUE"""),"นายวิเชฎฐ์ ติรัตนะประคม")</f>
        <v>นายวิเชฎฐ์ ติรัตนะประคม</v>
      </c>
      <c r="L1199" s="1" t="str">
        <f>IFERROR(__xludf.DUMMYFUNCTION("""COMPUTED_VALUE"""),"14 K.Wichet T.")</f>
        <v>14 K.Wichet T.</v>
      </c>
      <c r="M1199" s="1" t="str">
        <f>IFERROR(__xludf.DUMMYFUNCTION("""COMPUTED_VALUE"""),"061-417-6569 / 086-445-5636")</f>
        <v>061-417-6569 / 086-445-5636</v>
      </c>
      <c r="N1199" s="3">
        <f>IFERROR(__xludf.DUMMYFUNCTION("""COMPUTED_VALUE"""),22658.0)</f>
        <v>22658</v>
      </c>
      <c r="O1199" s="3" t="str">
        <f>IFERROR(__xludf.DUMMYFUNCTION("""COMPUTED_VALUE"""),"BCM ถ.วิรัชหงษ์หยก ภูเก็ต")</f>
        <v>BCM ถ.วิรัชหงษ์หยก ภูเก็ต</v>
      </c>
      <c r="P1199" s="4">
        <f>IFERROR(__xludf.DUMMYFUNCTION("""COMPUTED_VALUE"""),43795.0)</f>
        <v>43795</v>
      </c>
      <c r="Q1199" s="3" t="str">
        <f>IFERROR(__xludf.DUMMYFUNCTION("""COMPUTED_VALUE"""),"A")</f>
        <v>A</v>
      </c>
      <c r="R1199" s="3" t="str">
        <f>IFERROR(__xludf.DUMMYFUNCTION("""COMPUTED_VALUE"""),"Small Format")</f>
        <v>Small Format</v>
      </c>
      <c r="S1199" s="3" t="str">
        <f>IFERROR(__xludf.DUMMYFUNCTION("""COMPUTED_VALUE"""),"BCM")</f>
        <v>BCM</v>
      </c>
      <c r="T1199" s="3" t="str">
        <f>IFERROR(__xludf.DUMMYFUNCTION("""COMPUTED_VALUE"""),"#N/A")</f>
        <v>#N/A</v>
      </c>
      <c r="U1199" s="3" t="str">
        <f>IFERROR(__xludf.DUMMYFUNCTION("""COMPUTED_VALUE"""),"#N/A")</f>
        <v>#N/A</v>
      </c>
      <c r="V1199" s="3" t="str">
        <f>IFERROR(__xludf.DUMMYFUNCTION("""COMPUTED_VALUE"""),"N")</f>
        <v>N</v>
      </c>
      <c r="W1199" s="3">
        <f>IFERROR(__xludf.DUMMYFUNCTION("""COMPUTED_VALUE"""),211849.0)</f>
        <v>211849</v>
      </c>
      <c r="X1199" s="3" t="str">
        <f>IFERROR(__xludf.DUMMYFUNCTION("""COMPUTED_VALUE"""),"124/694 หมู่3 ตำบลมะเร็ต อำเภอเกาะสมุย จังหวัดสุราษฎร์ธานี 84310")</f>
        <v>124/694 หมู่3 ตำบลมะเร็ต อำเภอเกาะสมุย จังหวัดสุราษฎร์ธานี 84310</v>
      </c>
      <c r="Y1199" s="3"/>
      <c r="Z1199" s="3" t="str">
        <f>IFERROR(__xludf.DUMMYFUNCTION("""COMPUTED_VALUE"""),"มะเร็ต")</f>
        <v>มะเร็ต</v>
      </c>
      <c r="AA1199" s="3" t="str">
        <f>IFERROR(__xludf.DUMMYFUNCTION("""COMPUTED_VALUE"""),"เกาะสมุย")</f>
        <v>เกาะสมุย</v>
      </c>
      <c r="AB1199" s="3" t="str">
        <f>IFERROR(__xludf.DUMMYFUNCTION("""COMPUTED_VALUE"""),"สุราษฎร์ธานี")</f>
        <v>สุราษฎร์ธานี</v>
      </c>
      <c r="AC1199" s="3">
        <f>IFERROR(__xludf.DUMMYFUNCTION("""COMPUTED_VALUE"""),84310.0)</f>
        <v>84310</v>
      </c>
      <c r="AD1199" s="3">
        <f>IFERROR(__xludf.DUMMYFUNCTION("""COMPUTED_VALUE"""),9.466158)</f>
        <v>9.466158</v>
      </c>
      <c r="AE1199" s="3">
        <f>IFERROR(__xludf.DUMMYFUNCTION("""COMPUTED_VALUE"""),100.044928)</f>
        <v>100.044928</v>
      </c>
      <c r="AF1199" s="3" t="str">
        <f>IFERROR(__xludf.DUMMYFUNCTION("""COMPUTED_VALUE"""),"MBC หาดละไม (สมุย) สุราษฎร์ธานี-21971")</f>
        <v>MBC หาดละไม (สมุย) สุราษฎร์ธานี-21971</v>
      </c>
      <c r="AG1199" s="3" t="str">
        <f>IFERROR(__xludf.DUMMYFUNCTION("""COMPUTED_VALUE"""),"ใต้")</f>
        <v>ใต้</v>
      </c>
      <c r="AH1199" s="3" t="str">
        <f>IFERROR(__xludf.DUMMYFUNCTION("""COMPUTED_VALUE"""),"#N/A")</f>
        <v>#N/A</v>
      </c>
      <c r="AI1199" s="3" t="str">
        <f>IFERROR(__xludf.DUMMYFUNCTION("""COMPUTED_VALUE"""),"Out of warranty")</f>
        <v>Out of warranty</v>
      </c>
      <c r="AJ1199" s="3">
        <f>IFERROR(__xludf.DUMMYFUNCTION("""COMPUTED_VALUE"""),74.0)</f>
        <v>74</v>
      </c>
      <c r="AK1199" s="3" t="str">
        <f>IFERROR(__xludf.DUMMYFUNCTION("""COMPUTED_VALUE"""),"MMS14")</f>
        <v>MMS14</v>
      </c>
      <c r="AL1199" s="3"/>
    </row>
    <row r="1200" ht="15.75" customHeight="1">
      <c r="A1200" s="1" t="str">
        <f>IFERROR(__xludf.DUMMYFUNCTION("""COMPUTED_VALUE"""),"21972")</f>
        <v>21972</v>
      </c>
      <c r="B1200" s="2">
        <f>IFERROR(__xludf.DUMMYFUNCTION("""COMPUTED_VALUE"""),21972.0)</f>
        <v>21972</v>
      </c>
      <c r="C1200" s="3" t="str">
        <f>IFERROR(__xludf.DUMMYFUNCTION("""COMPUTED_VALUE"""),"MBC หมู่บ้านกิตติชัย 18 นครปฐม")</f>
        <v>MBC หมู่บ้านกิตติชัย 18 นครปฐม</v>
      </c>
      <c r="D1200" s="3" t="str">
        <f>IFERROR(__xludf.DUMMYFUNCTION("""COMPUTED_VALUE"""),"BCM MOOBAN KITTICHAI 18")</f>
        <v>BCM MOOBAN KITTICHAI 18</v>
      </c>
      <c r="E1200" s="1" t="str">
        <f>IFERROR(__xludf.DUMMYFUNCTION("""COMPUTED_VALUE"""),"บิ๊กซี MINI")</f>
        <v>บิ๊กซี MINI</v>
      </c>
      <c r="F1200" s="1" t="str">
        <f>IFERROR(__xludf.DUMMYFUNCTION("""COMPUTED_VALUE"""),"296229")</f>
        <v>296229</v>
      </c>
      <c r="G1200" s="1" t="str">
        <f>IFERROR(__xludf.DUMMYFUNCTION("""COMPUTED_VALUE"""),"นายทนงศักดิ์ บุญมา")</f>
        <v>นายทนงศักดิ์ บุญมา</v>
      </c>
      <c r="H1200" s="1" t="str">
        <f>IFERROR(__xludf.DUMMYFUNCTION("""COMPUTED_VALUE"""),"295245")</f>
        <v>295245</v>
      </c>
      <c r="I1200" s="1" t="str">
        <f>IFERROR(__xludf.DUMMYFUNCTION("""COMPUTED_VALUE"""),"นายมานะ วงศ์สุโชโต")</f>
        <v>นายมานะ วงศ์สุโชโต</v>
      </c>
      <c r="J1200" s="3">
        <f>IFERROR(__xludf.DUMMYFUNCTION("""COMPUTED_VALUE"""),46214.0)</f>
        <v>46214</v>
      </c>
      <c r="K1200" s="3" t="str">
        <f>IFERROR(__xludf.DUMMYFUNCTION("""COMPUTED_VALUE"""),"นายศักดิ์ชัย เด็ดดอกฟ้า")</f>
        <v>นายศักดิ์ชัย เด็ดดอกฟ้า</v>
      </c>
      <c r="L1200" s="1" t="str">
        <f>IFERROR(__xludf.DUMMYFUNCTION("""COMPUTED_VALUE"""),"02 K.Sakchai D")</f>
        <v>02 K.Sakchai D</v>
      </c>
      <c r="M1200" s="1" t="str">
        <f>IFERROR(__xludf.DUMMYFUNCTION("""COMPUTED_VALUE"""),"065-510-7376")</f>
        <v>065-510-7376</v>
      </c>
      <c r="N1200" s="3">
        <f>IFERROR(__xludf.DUMMYFUNCTION("""COMPUTED_VALUE"""),21714.0)</f>
        <v>21714</v>
      </c>
      <c r="O1200" s="3" t="str">
        <f>IFERROR(__xludf.DUMMYFUNCTION("""COMPUTED_VALUE"""),"MBC เอสโซ่ วัดโบสถ์")</f>
        <v>MBC เอสโซ่ วัดโบสถ์</v>
      </c>
      <c r="P1200" s="4">
        <f>IFERROR(__xludf.DUMMYFUNCTION("""COMPUTED_VALUE"""),43796.0)</f>
        <v>43796</v>
      </c>
      <c r="Q1200" s="3" t="str">
        <f>IFERROR(__xludf.DUMMYFUNCTION("""COMPUTED_VALUE"""),"A")</f>
        <v>A</v>
      </c>
      <c r="R1200" s="3" t="str">
        <f>IFERROR(__xludf.DUMMYFUNCTION("""COMPUTED_VALUE"""),"Small Format")</f>
        <v>Small Format</v>
      </c>
      <c r="S1200" s="3" t="str">
        <f>IFERROR(__xludf.DUMMYFUNCTION("""COMPUTED_VALUE"""),"BCM")</f>
        <v>BCM</v>
      </c>
      <c r="T1200" s="3" t="str">
        <f>IFERROR(__xludf.DUMMYFUNCTION("""COMPUTED_VALUE"""),"#N/A")</f>
        <v>#N/A</v>
      </c>
      <c r="U1200" s="3" t="str">
        <f>IFERROR(__xludf.DUMMYFUNCTION("""COMPUTED_VALUE"""),"#N/A")</f>
        <v>#N/A</v>
      </c>
      <c r="V1200" s="3" t="str">
        <f>IFERROR(__xludf.DUMMYFUNCTION("""COMPUTED_VALUE"""),"N")</f>
        <v>N</v>
      </c>
      <c r="W1200" s="3">
        <f>IFERROR(__xludf.DUMMYFUNCTION("""COMPUTED_VALUE"""),211968.0)</f>
        <v>211968</v>
      </c>
      <c r="X1200" s="3" t="str">
        <f>IFERROR(__xludf.DUMMYFUNCTION("""COMPUTED_VALUE"""),"14/3 หมู่4 ตำบลมหาสวัสดิ์ อำเภอพุทธมณฑล จังหวัดนครปฐม 73170")</f>
        <v>14/3 หมู่4 ตำบลมหาสวัสดิ์ อำเภอพุทธมณฑล จังหวัดนครปฐม 73170</v>
      </c>
      <c r="Y1200" s="3"/>
      <c r="Z1200" s="3" t="str">
        <f>IFERROR(__xludf.DUMMYFUNCTION("""COMPUTED_VALUE"""),"มหาสวัสดิ์")</f>
        <v>มหาสวัสดิ์</v>
      </c>
      <c r="AA1200" s="3" t="str">
        <f>IFERROR(__xludf.DUMMYFUNCTION("""COMPUTED_VALUE"""),"พุทธมณฑล")</f>
        <v>พุทธมณฑล</v>
      </c>
      <c r="AB1200" s="3" t="str">
        <f>IFERROR(__xludf.DUMMYFUNCTION("""COMPUTED_VALUE"""),"นครปฐม")</f>
        <v>นครปฐม</v>
      </c>
      <c r="AC1200" s="3">
        <f>IFERROR(__xludf.DUMMYFUNCTION("""COMPUTED_VALUE"""),73170.0)</f>
        <v>73170</v>
      </c>
      <c r="AD1200" s="3">
        <f>IFERROR(__xludf.DUMMYFUNCTION("""COMPUTED_VALUE"""),13.826831)</f>
        <v>13.826831</v>
      </c>
      <c r="AE1200" s="3">
        <f>IFERROR(__xludf.DUMMYFUNCTION("""COMPUTED_VALUE"""),100.279485)</f>
        <v>100.279485</v>
      </c>
      <c r="AF1200" s="3" t="str">
        <f>IFERROR(__xludf.DUMMYFUNCTION("""COMPUTED_VALUE"""),"MBC หมู่บ้านกิตติชัย 18 นครปฐม-21972")</f>
        <v>MBC หมู่บ้านกิตติชัย 18 นครปฐม-21972</v>
      </c>
      <c r="AG1200" s="3" t="str">
        <f>IFERROR(__xludf.DUMMYFUNCTION("""COMPUTED_VALUE"""),"กลาง")</f>
        <v>กลาง</v>
      </c>
      <c r="AH1200" s="3" t="str">
        <f>IFERROR(__xludf.DUMMYFUNCTION("""COMPUTED_VALUE"""),"#N/A")</f>
        <v>#N/A</v>
      </c>
      <c r="AI1200" s="3" t="str">
        <f>IFERROR(__xludf.DUMMYFUNCTION("""COMPUTED_VALUE"""),"Out of warranty")</f>
        <v>Out of warranty</v>
      </c>
      <c r="AJ1200" s="3">
        <f>IFERROR(__xludf.DUMMYFUNCTION("""COMPUTED_VALUE"""),74.0)</f>
        <v>74</v>
      </c>
      <c r="AK1200" s="3" t="str">
        <f>IFERROR(__xludf.DUMMYFUNCTION("""COMPUTED_VALUE"""),"MMS05")</f>
        <v>MMS05</v>
      </c>
      <c r="AL1200" s="3"/>
    </row>
    <row r="1201" ht="15.75" customHeight="1">
      <c r="A1201" s="1" t="str">
        <f>IFERROR(__xludf.DUMMYFUNCTION("""COMPUTED_VALUE"""),"21973")</f>
        <v>21973</v>
      </c>
      <c r="B1201" s="2">
        <f>IFERROR(__xludf.DUMMYFUNCTION("""COMPUTED_VALUE"""),21973.0)</f>
        <v>21973</v>
      </c>
      <c r="C1201" s="3" t="str">
        <f>IFERROR(__xludf.DUMMYFUNCTION("""COMPUTED_VALUE"""),"MBC ถนนนาเกลือ ปัตตานี")</f>
        <v>MBC ถนนนาเกลือ ปัตตานี</v>
      </c>
      <c r="D1201" s="3" t="str">
        <f>IFERROR(__xludf.DUMMYFUNCTION("""COMPUTED_VALUE"""),"BCM THANON NAKLUA,PATTANI")</f>
        <v>BCM THANON NAKLUA,PATTANI</v>
      </c>
      <c r="E1201" s="1" t="str">
        <f>IFERROR(__xludf.DUMMYFUNCTION("""COMPUTED_VALUE"""),"บิ๊กซี MINI")</f>
        <v>บิ๊กซี MINI</v>
      </c>
      <c r="F1201" s="1" t="str">
        <f>IFERROR(__xludf.DUMMYFUNCTION("""COMPUTED_VALUE"""),"250760")</f>
        <v>250760</v>
      </c>
      <c r="G1201" s="1" t="str">
        <f>IFERROR(__xludf.DUMMYFUNCTION("""COMPUTED_VALUE"""),"นายประทวน สาราบรรณ์")</f>
        <v>นายประทวน สาราบรรณ์</v>
      </c>
      <c r="H1201" s="1" t="str">
        <f>IFERROR(__xludf.DUMMYFUNCTION("""COMPUTED_VALUE"""),"394185")</f>
        <v>394185</v>
      </c>
      <c r="I1201" s="1" t="str">
        <f>IFERROR(__xludf.DUMMYFUNCTION("""COMPUTED_VALUE"""),"น.ส.ฐาปนี สุวรรณรัตน์")</f>
        <v>น.ส.ฐาปนี สุวรรณรัตน์</v>
      </c>
      <c r="J1201" s="3">
        <f>IFERROR(__xludf.DUMMYFUNCTION("""COMPUTED_VALUE"""),2.0470331E7)</f>
        <v>20470331</v>
      </c>
      <c r="K1201" s="3" t="str">
        <f>IFERROR(__xludf.DUMMYFUNCTION("""COMPUTED_VALUE"""),"นายสมชาย ลักษณะสุวรรณ")</f>
        <v>นายสมชาย ลักษณะสุวรรณ</v>
      </c>
      <c r="L1201" s="1" t="str">
        <f>IFERROR(__xludf.DUMMYFUNCTION("""COMPUTED_VALUE"""),"15 K.Somchai L")</f>
        <v>15 K.Somchai L</v>
      </c>
      <c r="M1201" s="1" t="str">
        <f>IFERROR(__xludf.DUMMYFUNCTION("""COMPUTED_VALUE"""),"0655107372")</f>
        <v>0655107372</v>
      </c>
      <c r="N1201" s="3">
        <f>IFERROR(__xludf.DUMMYFUNCTION("""COMPUTED_VALUE"""),21723.0)</f>
        <v>21723</v>
      </c>
      <c r="O120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201" s="4">
        <f>IFERROR(__xludf.DUMMYFUNCTION("""COMPUTED_VALUE"""),43809.0)</f>
        <v>43809</v>
      </c>
      <c r="Q1201" s="3" t="str">
        <f>IFERROR(__xludf.DUMMYFUNCTION("""COMPUTED_VALUE"""),"A")</f>
        <v>A</v>
      </c>
      <c r="R1201" s="3" t="str">
        <f>IFERROR(__xludf.DUMMYFUNCTION("""COMPUTED_VALUE"""),"Small Format")</f>
        <v>Small Format</v>
      </c>
      <c r="S1201" s="3" t="str">
        <f>IFERROR(__xludf.DUMMYFUNCTION("""COMPUTED_VALUE"""),"BCM")</f>
        <v>BCM</v>
      </c>
      <c r="T1201" s="3" t="str">
        <f>IFERROR(__xludf.DUMMYFUNCTION("""COMPUTED_VALUE"""),"#N/A")</f>
        <v>#N/A</v>
      </c>
      <c r="U1201" s="3" t="str">
        <f>IFERROR(__xludf.DUMMYFUNCTION("""COMPUTED_VALUE"""),"#N/A")</f>
        <v>#N/A</v>
      </c>
      <c r="V1201" s="3" t="str">
        <f>IFERROR(__xludf.DUMMYFUNCTION("""COMPUTED_VALUE"""),"N")</f>
        <v>N</v>
      </c>
      <c r="W1201" s="3">
        <f>IFERROR(__xludf.DUMMYFUNCTION("""COMPUTED_VALUE"""),211981.0)</f>
        <v>211981</v>
      </c>
      <c r="X1201" s="3" t="str">
        <f>IFERROR(__xludf.DUMMYFUNCTION("""COMPUTED_VALUE"""),"52/2 ถนนนาเกลือ ตำบลอาเนาะรู อำเภอเมืองปัตตานี จังหวัดปัตตานี 94000")</f>
        <v>52/2 ถนนนาเกลือ ตำบลอาเนาะรู อำเภอเมืองปัตตานี จังหวัดปัตตานี 94000</v>
      </c>
      <c r="Y1201" s="3" t="str">
        <f>IFERROR(__xludf.DUMMYFUNCTION("""COMPUTED_VALUE"""),"ถนนนาเกลือ")</f>
        <v>ถนนนาเกลือ</v>
      </c>
      <c r="Z1201" s="3" t="str">
        <f>IFERROR(__xludf.DUMMYFUNCTION("""COMPUTED_VALUE"""),"อาเนาะรู")</f>
        <v>อาเนาะรู</v>
      </c>
      <c r="AA1201" s="3" t="str">
        <f>IFERROR(__xludf.DUMMYFUNCTION("""COMPUTED_VALUE"""),"เมือง")</f>
        <v>เมือง</v>
      </c>
      <c r="AB1201" s="3" t="str">
        <f>IFERROR(__xludf.DUMMYFUNCTION("""COMPUTED_VALUE"""),"ปัตตานี")</f>
        <v>ปัตตานี</v>
      </c>
      <c r="AC1201" s="3">
        <f>IFERROR(__xludf.DUMMYFUNCTION("""COMPUTED_VALUE"""),94000.0)</f>
        <v>94000</v>
      </c>
      <c r="AD1201" s="3">
        <f>IFERROR(__xludf.DUMMYFUNCTION("""COMPUTED_VALUE"""),6.869967)</f>
        <v>6.869967</v>
      </c>
      <c r="AE1201" s="3">
        <f>IFERROR(__xludf.DUMMYFUNCTION("""COMPUTED_VALUE"""),101.259231)</f>
        <v>101.259231</v>
      </c>
      <c r="AF1201" s="3" t="str">
        <f>IFERROR(__xludf.DUMMYFUNCTION("""COMPUTED_VALUE"""),"MBC ถนนนาเกลือ ปัตตานี-21973")</f>
        <v>MBC ถนนนาเกลือ ปัตตานี-21973</v>
      </c>
      <c r="AG1201" s="3" t="str">
        <f>IFERROR(__xludf.DUMMYFUNCTION("""COMPUTED_VALUE"""),"ใต้")</f>
        <v>ใต้</v>
      </c>
      <c r="AH1201" s="3" t="str">
        <f>IFERROR(__xludf.DUMMYFUNCTION("""COMPUTED_VALUE"""),"#N/A")</f>
        <v>#N/A</v>
      </c>
      <c r="AI1201" s="3" t="str">
        <f>IFERROR(__xludf.DUMMYFUNCTION("""COMPUTED_VALUE"""),"Out of warranty")</f>
        <v>Out of warranty</v>
      </c>
      <c r="AJ1201" s="3">
        <f>IFERROR(__xludf.DUMMYFUNCTION("""COMPUTED_VALUE"""),74.0)</f>
        <v>74</v>
      </c>
      <c r="AK1201" s="3" t="str">
        <f>IFERROR(__xludf.DUMMYFUNCTION("""COMPUTED_VALUE"""),"MMS16")</f>
        <v>MMS16</v>
      </c>
      <c r="AL1201" s="3"/>
    </row>
    <row r="1202" ht="15.75" customHeight="1">
      <c r="A1202" s="1" t="str">
        <f>IFERROR(__xludf.DUMMYFUNCTION("""COMPUTED_VALUE"""),"21974")</f>
        <v>21974</v>
      </c>
      <c r="B1202" s="2">
        <f>IFERROR(__xludf.DUMMYFUNCTION("""COMPUTED_VALUE"""),21974.0)</f>
        <v>21974</v>
      </c>
      <c r="C1202" s="3" t="str">
        <f>IFERROR(__xludf.DUMMYFUNCTION("""COMPUTED_VALUE"""),"MBC ซอยมัยลาภ กรุงเทพมหานคร")</f>
        <v>MBC ซอยมัยลาภ กรุงเทพมหานคร</v>
      </c>
      <c r="D1202" s="3" t="str">
        <f>IFERROR(__xludf.DUMMYFUNCTION("""COMPUTED_VALUE"""),"BCM SOI MAIYALAP, BANGKOK")</f>
        <v>BCM SOI MAIYALAP, BANGKOK</v>
      </c>
      <c r="E1202" s="1" t="str">
        <f>IFERROR(__xludf.DUMMYFUNCTION("""COMPUTED_VALUE"""),"บิ๊กซี MINI")</f>
        <v>บิ๊กซี MINI</v>
      </c>
      <c r="F1202" s="1" t="str">
        <f>IFERROR(__xludf.DUMMYFUNCTION("""COMPUTED_VALUE"""),"291008")</f>
        <v>291008</v>
      </c>
      <c r="G1202" s="1" t="str">
        <f>IFERROR(__xludf.DUMMYFUNCTION("""COMPUTED_VALUE"""),"น.ส.รัชดาพร อีศรัตน์")</f>
        <v>น.ส.รัชดาพร อีศรัตน์</v>
      </c>
      <c r="H1202" s="1" t="str">
        <f>IFERROR(__xludf.DUMMYFUNCTION("""COMPUTED_VALUE"""),"288639")</f>
        <v>288639</v>
      </c>
      <c r="I1202" s="1" t="str">
        <f>IFERROR(__xludf.DUMMYFUNCTION("""COMPUTED_VALUE"""),"น.ส.สมหญิง สีชมภู")</f>
        <v>น.ส.สมหญิง สีชมภู</v>
      </c>
      <c r="J1202" s="3">
        <f>IFERROR(__xludf.DUMMYFUNCTION("""COMPUTED_VALUE"""),3510104.0)</f>
        <v>3510104</v>
      </c>
      <c r="K1202" s="3" t="str">
        <f>IFERROR(__xludf.DUMMYFUNCTION("""COMPUTED_VALUE"""),"นายวิโรจน์ อับดุลสมัด")</f>
        <v>นายวิโรจน์ อับดุลสมัด</v>
      </c>
      <c r="L1202" s="3" t="str">
        <f>IFERROR(__xludf.DUMMYFUNCTION("""COMPUTED_VALUE"""),"09 K.Wirode A")</f>
        <v>09 K.Wirode A</v>
      </c>
      <c r="M1202" s="1" t="str">
        <f>IFERROR(__xludf.DUMMYFUNCTION("""COMPUTED_VALUE"""),"080-235-4465")</f>
        <v>080-235-4465</v>
      </c>
      <c r="N1202" s="3">
        <f>IFERROR(__xludf.DUMMYFUNCTION("""COMPUTED_VALUE"""),21324.0)</f>
        <v>21324</v>
      </c>
      <c r="O1202" s="3" t="str">
        <f>IFERROR(__xludf.DUMMYFUNCTION("""COMPUTED_VALUE"""),"MBC BCP สุวินทวงศ์")</f>
        <v>MBC BCP สุวินทวงศ์</v>
      </c>
      <c r="P1202" s="4">
        <f>IFERROR(__xludf.DUMMYFUNCTION("""COMPUTED_VALUE"""),43798.0)</f>
        <v>43798</v>
      </c>
      <c r="Q1202" s="3" t="str">
        <f>IFERROR(__xludf.DUMMYFUNCTION("""COMPUTED_VALUE"""),"A")</f>
        <v>A</v>
      </c>
      <c r="R1202" s="3" t="str">
        <f>IFERROR(__xludf.DUMMYFUNCTION("""COMPUTED_VALUE"""),"Small Format")</f>
        <v>Small Format</v>
      </c>
      <c r="S1202" s="3" t="str">
        <f>IFERROR(__xludf.DUMMYFUNCTION("""COMPUTED_VALUE"""),"BCM")</f>
        <v>BCM</v>
      </c>
      <c r="T1202" s="3" t="str">
        <f>IFERROR(__xludf.DUMMYFUNCTION("""COMPUTED_VALUE"""),"#N/A")</f>
        <v>#N/A</v>
      </c>
      <c r="U1202" s="3" t="str">
        <f>IFERROR(__xludf.DUMMYFUNCTION("""COMPUTED_VALUE"""),"#N/A")</f>
        <v>#N/A</v>
      </c>
      <c r="V1202" s="3" t="str">
        <f>IFERROR(__xludf.DUMMYFUNCTION("""COMPUTED_VALUE"""),"N")</f>
        <v>N</v>
      </c>
      <c r="W1202" s="3">
        <f>IFERROR(__xludf.DUMMYFUNCTION("""COMPUTED_VALUE"""),210080.0)</f>
        <v>210080</v>
      </c>
      <c r="X1202" s="3" t="str">
        <f>IFERROR(__xludf.DUMMYFUNCTION("""COMPUTED_VALUE"""),"144 ซอยรามอินทรา14 แขวงท่าแร้ง เขตบางเขน กรุงเทพมหานคร 10220")</f>
        <v>144 ซอยรามอินทรา14 แขวงท่าแร้ง เขตบางเขน กรุงเทพมหานคร 10220</v>
      </c>
      <c r="Y1202" s="3" t="str">
        <f>IFERROR(__xludf.DUMMYFUNCTION("""COMPUTED_VALUE"""),"ซอยรามอินทรา14")</f>
        <v>ซอยรามอินทรา14</v>
      </c>
      <c r="Z1202" s="3" t="str">
        <f>IFERROR(__xludf.DUMMYFUNCTION("""COMPUTED_VALUE"""),"ท่าแร้ง")</f>
        <v>ท่าแร้ง</v>
      </c>
      <c r="AA1202" s="3" t="str">
        <f>IFERROR(__xludf.DUMMYFUNCTION("""COMPUTED_VALUE"""),"บางเขน")</f>
        <v>บางเขน</v>
      </c>
      <c r="AB1202" s="3" t="str">
        <f>IFERROR(__xludf.DUMMYFUNCTION("""COMPUTED_VALUE"""),"กรุงเทพมหานคร")</f>
        <v>กรุงเทพมหานคร</v>
      </c>
      <c r="AC1202" s="3">
        <f>IFERROR(__xludf.DUMMYFUNCTION("""COMPUTED_VALUE"""),10220.0)</f>
        <v>10220</v>
      </c>
      <c r="AD1202" s="3">
        <f>IFERROR(__xludf.DUMMYFUNCTION("""COMPUTED_VALUE"""),13.848861)</f>
        <v>13.848861</v>
      </c>
      <c r="AE1202" s="3">
        <f>IFERROR(__xludf.DUMMYFUNCTION("""COMPUTED_VALUE"""),100.623835)</f>
        <v>100.623835</v>
      </c>
      <c r="AF1202" s="3" t="str">
        <f>IFERROR(__xludf.DUMMYFUNCTION("""COMPUTED_VALUE"""),"MBC ซอยมัยลาภ กรุงเทพมหานคร-21974")</f>
        <v>MBC ซอยมัยลาภ กรุงเทพมหานคร-21974</v>
      </c>
      <c r="AG1202" s="3" t="str">
        <f>IFERROR(__xludf.DUMMYFUNCTION("""COMPUTED_VALUE"""),"กลาง")</f>
        <v>กลาง</v>
      </c>
      <c r="AH1202" s="3" t="str">
        <f>IFERROR(__xludf.DUMMYFUNCTION("""COMPUTED_VALUE"""),"#N/A")</f>
        <v>#N/A</v>
      </c>
      <c r="AI1202" s="3" t="str">
        <f>IFERROR(__xludf.DUMMYFUNCTION("""COMPUTED_VALUE"""),"Out of warranty")</f>
        <v>Out of warranty</v>
      </c>
      <c r="AJ1202" s="3">
        <f>IFERROR(__xludf.DUMMYFUNCTION("""COMPUTED_VALUE"""),74.0)</f>
        <v>74</v>
      </c>
      <c r="AK1202" s="3" t="str">
        <f>IFERROR(__xludf.DUMMYFUNCTION("""COMPUTED_VALUE"""),"MMS01")</f>
        <v>MMS01</v>
      </c>
      <c r="AL1202" s="3"/>
    </row>
    <row r="1203" ht="15.75" customHeight="1">
      <c r="A1203" s="1" t="str">
        <f>IFERROR(__xludf.DUMMYFUNCTION("""COMPUTED_VALUE"""),"21975")</f>
        <v>21975</v>
      </c>
      <c r="B1203" s="2">
        <f>IFERROR(__xludf.DUMMYFUNCTION("""COMPUTED_VALUE"""),21975.0)</f>
        <v>21975</v>
      </c>
      <c r="C1203" s="3" t="str">
        <f>IFERROR(__xludf.DUMMYFUNCTION("""COMPUTED_VALUE"""),"MBC เขาพระตำหนัก ซอย 5 ชลบุรี")</f>
        <v>MBC เขาพระตำหนัก ซอย 5 ชลบุรี</v>
      </c>
      <c r="D1203" s="3" t="str">
        <f>IFERROR(__xludf.DUMMYFUNCTION("""COMPUTED_VALUE"""),"BCM KHAO PRATUMNAK SOI 5")</f>
        <v>BCM KHAO PRATUMNAK SOI 5</v>
      </c>
      <c r="E1203" s="1" t="str">
        <f>IFERROR(__xludf.DUMMYFUNCTION("""COMPUTED_VALUE"""),"บิ๊กซี MINI")</f>
        <v>บิ๊กซี MINI</v>
      </c>
      <c r="F1203" s="1" t="str">
        <f>IFERROR(__xludf.DUMMYFUNCTION("""COMPUTED_VALUE"""),"221716")</f>
        <v>221716</v>
      </c>
      <c r="G1203" s="1" t="str">
        <f>IFERROR(__xludf.DUMMYFUNCTION("""COMPUTED_VALUE"""),"น.ส.เบญจพร โพธิสาร")</f>
        <v>น.ส.เบญจพร โพธิสาร</v>
      </c>
      <c r="H1203" s="1" t="str">
        <f>IFERROR(__xludf.DUMMYFUNCTION("""COMPUTED_VALUE"""),"313065")</f>
        <v>313065</v>
      </c>
      <c r="I1203" s="1" t="str">
        <f>IFERROR(__xludf.DUMMYFUNCTION("""COMPUTED_VALUE"""),"นายจิรายุทธ กันทา")</f>
        <v>นายจิรายุทธ กันทา</v>
      </c>
      <c r="J1203" s="3">
        <f>IFERROR(__xludf.DUMMYFUNCTION("""COMPUTED_VALUE"""),1.3461215E7)</f>
        <v>13461215</v>
      </c>
      <c r="K1203" s="3" t="str">
        <f>IFERROR(__xludf.DUMMYFUNCTION("""COMPUTED_VALUE"""),"นายธีรภัทร สังข์เงิน")</f>
        <v>นายธีรภัทร สังข์เงิน</v>
      </c>
      <c r="L1203" s="1" t="str">
        <f>IFERROR(__xludf.DUMMYFUNCTION("""COMPUTED_VALUE"""),"06 K.Teerapat")</f>
        <v>06 K.Teerapat</v>
      </c>
      <c r="M1203" s="1" t="str">
        <f>IFERROR(__xludf.DUMMYFUNCTION("""COMPUTED_VALUE"""),"063-601-6803")</f>
        <v>063-601-6803</v>
      </c>
      <c r="N1203" s="3">
        <f>IFERROR(__xludf.DUMMYFUNCTION("""COMPUTED_VALUE"""),22115.0)</f>
        <v>22115</v>
      </c>
      <c r="O1203" s="3" t="str">
        <f>IFERROR(__xludf.DUMMYFUNCTION("""COMPUTED_VALUE"""),"MBC เลี่ยงหนองมน ชลบุรี")</f>
        <v>MBC เลี่ยงหนองมน ชลบุรี</v>
      </c>
      <c r="P1203" s="4">
        <f>IFERROR(__xludf.DUMMYFUNCTION("""COMPUTED_VALUE"""),43778.0)</f>
        <v>43778</v>
      </c>
      <c r="Q1203" s="3" t="str">
        <f>IFERROR(__xludf.DUMMYFUNCTION("""COMPUTED_VALUE"""),"A")</f>
        <v>A</v>
      </c>
      <c r="R1203" s="3" t="str">
        <f>IFERROR(__xludf.DUMMYFUNCTION("""COMPUTED_VALUE"""),"Small Format")</f>
        <v>Small Format</v>
      </c>
      <c r="S1203" s="3" t="str">
        <f>IFERROR(__xludf.DUMMYFUNCTION("""COMPUTED_VALUE"""),"BCM")</f>
        <v>BCM</v>
      </c>
      <c r="T1203" s="3" t="str">
        <f>IFERROR(__xludf.DUMMYFUNCTION("""COMPUTED_VALUE"""),"#N/A")</f>
        <v>#N/A</v>
      </c>
      <c r="U1203" s="3" t="str">
        <f>IFERROR(__xludf.DUMMYFUNCTION("""COMPUTED_VALUE"""),"#N/A")</f>
        <v>#N/A</v>
      </c>
      <c r="V1203" s="3" t="str">
        <f>IFERROR(__xludf.DUMMYFUNCTION("""COMPUTED_VALUE"""),"N")</f>
        <v>N</v>
      </c>
      <c r="W1203" s="3">
        <f>IFERROR(__xludf.DUMMYFUNCTION("""COMPUTED_VALUE"""),210065.0)</f>
        <v>210065</v>
      </c>
      <c r="X1203" s="3" t="str">
        <f>IFERROR(__xludf.DUMMYFUNCTION("""COMPUTED_VALUE"""),"352/960 หมู่12 ตำบลหนองปรือ อำเภอบางละมุง จังหวัดชลบุรี 20150")</f>
        <v>352/960 หมู่12 ตำบลหนองปรือ อำเภอบางละมุง จังหวัดชลบุรี 20150</v>
      </c>
      <c r="Y1203" s="3"/>
      <c r="Z1203" s="3" t="str">
        <f>IFERROR(__xludf.DUMMYFUNCTION("""COMPUTED_VALUE"""),"หนองปรือ")</f>
        <v>หนองปรือ</v>
      </c>
      <c r="AA1203" s="3" t="str">
        <f>IFERROR(__xludf.DUMMYFUNCTION("""COMPUTED_VALUE"""),"บางละมุง")</f>
        <v>บางละมุง</v>
      </c>
      <c r="AB1203" s="3" t="str">
        <f>IFERROR(__xludf.DUMMYFUNCTION("""COMPUTED_VALUE"""),"ชลบุรี")</f>
        <v>ชลบุรี</v>
      </c>
      <c r="AC1203" s="3">
        <f>IFERROR(__xludf.DUMMYFUNCTION("""COMPUTED_VALUE"""),20150.0)</f>
        <v>20150</v>
      </c>
      <c r="AD1203" s="3">
        <f>IFERROR(__xludf.DUMMYFUNCTION("""COMPUTED_VALUE"""),12.909917)</f>
        <v>12.909917</v>
      </c>
      <c r="AE1203" s="3">
        <f>IFERROR(__xludf.DUMMYFUNCTION("""COMPUTED_VALUE"""),100.858768)</f>
        <v>100.858768</v>
      </c>
      <c r="AF1203" s="3" t="str">
        <f>IFERROR(__xludf.DUMMYFUNCTION("""COMPUTED_VALUE"""),"MBC เขาพระตำหนัก ซอย 5 ชลบุรี-21975")</f>
        <v>MBC เขาพระตำหนัก ซอย 5 ชลบุรี-21975</v>
      </c>
      <c r="AG1203" s="3" t="str">
        <f>IFERROR(__xludf.DUMMYFUNCTION("""COMPUTED_VALUE"""),"ตะวันออก")</f>
        <v>ตะวันออก</v>
      </c>
      <c r="AH1203" s="3" t="str">
        <f>IFERROR(__xludf.DUMMYFUNCTION("""COMPUTED_VALUE"""),"#N/A")</f>
        <v>#N/A</v>
      </c>
      <c r="AI1203" s="3" t="str">
        <f>IFERROR(__xludf.DUMMYFUNCTION("""COMPUTED_VALUE"""),"Out of warranty")</f>
        <v>Out of warranty</v>
      </c>
      <c r="AJ1203" s="3">
        <f>IFERROR(__xludf.DUMMYFUNCTION("""COMPUTED_VALUE"""),75.0)</f>
        <v>75</v>
      </c>
      <c r="AK1203" s="3" t="str">
        <f>IFERROR(__xludf.DUMMYFUNCTION("""COMPUTED_VALUE"""),"MMS06")</f>
        <v>MMS06</v>
      </c>
      <c r="AL1203" s="3"/>
    </row>
    <row r="1204" ht="15.75" customHeight="1">
      <c r="A1204" s="1" t="str">
        <f>IFERROR(__xludf.DUMMYFUNCTION("""COMPUTED_VALUE"""),"21976")</f>
        <v>21976</v>
      </c>
      <c r="B1204" s="2">
        <f>IFERROR(__xludf.DUMMYFUNCTION("""COMPUTED_VALUE"""),21976.0)</f>
        <v>21976</v>
      </c>
      <c r="C1204" s="3" t="str">
        <f>IFERROR(__xludf.DUMMYFUNCTION("""COMPUTED_VALUE"""),"MBC สวี ชุมพร")</f>
        <v>MBC สวี ชุมพร</v>
      </c>
      <c r="D1204" s="3" t="str">
        <f>IFERROR(__xludf.DUMMYFUNCTION("""COMPUTED_VALUE"""),"BCM SAWI,CHUMPHON")</f>
        <v>BCM SAWI,CHUMPHON</v>
      </c>
      <c r="E1204" s="1" t="str">
        <f>IFERROR(__xludf.DUMMYFUNCTION("""COMPUTED_VALUE"""),"บิ๊กซี MINI")</f>
        <v>บิ๊กซี MINI</v>
      </c>
      <c r="F1204" s="1" t="str">
        <f>IFERROR(__xludf.DUMMYFUNCTION("""COMPUTED_VALUE"""),"250760")</f>
        <v>250760</v>
      </c>
      <c r="G1204" s="1" t="str">
        <f>IFERROR(__xludf.DUMMYFUNCTION("""COMPUTED_VALUE"""),"นายประทวน สาราบรรณ์")</f>
        <v>นายประทวน สาราบรรณ์</v>
      </c>
      <c r="H1204" s="1" t="str">
        <f>IFERROR(__xludf.DUMMYFUNCTION("""COMPUTED_VALUE"""),"228389")</f>
        <v>228389</v>
      </c>
      <c r="I1204" s="1" t="str">
        <f>IFERROR(__xludf.DUMMYFUNCTION("""COMPUTED_VALUE"""),"นายมณีรันดร์ ชัยชนะ")</f>
        <v>นายมณีรันดร์ ชัยชนะ</v>
      </c>
      <c r="J1204" s="3">
        <f>IFERROR(__xludf.DUMMYFUNCTION("""COMPUTED_VALUE"""),25324.0)</f>
        <v>25324</v>
      </c>
      <c r="K1204" s="3" t="str">
        <f>IFERROR(__xludf.DUMMYFUNCTION("""COMPUTED_VALUE"""),"นายวิเชฎฐ์ ติรัตนะประคม")</f>
        <v>นายวิเชฎฐ์ ติรัตนะประคม</v>
      </c>
      <c r="L1204" s="1" t="str">
        <f>IFERROR(__xludf.DUMMYFUNCTION("""COMPUTED_VALUE"""),"14 K.Wichet T.")</f>
        <v>14 K.Wichet T.</v>
      </c>
      <c r="M1204" s="1" t="str">
        <f>IFERROR(__xludf.DUMMYFUNCTION("""COMPUTED_VALUE"""),"061-417-6569 / 086-445-5636")</f>
        <v>061-417-6569 / 086-445-5636</v>
      </c>
      <c r="N1204" s="3">
        <f>IFERROR(__xludf.DUMMYFUNCTION("""COMPUTED_VALUE"""),22658.0)</f>
        <v>22658</v>
      </c>
      <c r="O1204" s="3" t="str">
        <f>IFERROR(__xludf.DUMMYFUNCTION("""COMPUTED_VALUE"""),"BCM ถ.วิรัชหงษ์หยก ภูเก็ต")</f>
        <v>BCM ถ.วิรัชหงษ์หยก ภูเก็ต</v>
      </c>
      <c r="P1204" s="4">
        <f>IFERROR(__xludf.DUMMYFUNCTION("""COMPUTED_VALUE"""),43782.0)</f>
        <v>43782</v>
      </c>
      <c r="Q1204" s="3" t="str">
        <f>IFERROR(__xludf.DUMMYFUNCTION("""COMPUTED_VALUE"""),"A")</f>
        <v>A</v>
      </c>
      <c r="R1204" s="3" t="str">
        <f>IFERROR(__xludf.DUMMYFUNCTION("""COMPUTED_VALUE"""),"Small Format")</f>
        <v>Small Format</v>
      </c>
      <c r="S1204" s="3" t="str">
        <f>IFERROR(__xludf.DUMMYFUNCTION("""COMPUTED_VALUE"""),"BCM")</f>
        <v>BCM</v>
      </c>
      <c r="T1204" s="3" t="str">
        <f>IFERROR(__xludf.DUMMYFUNCTION("""COMPUTED_VALUE"""),"#N/A")</f>
        <v>#N/A</v>
      </c>
      <c r="U1204" s="3" t="str">
        <f>IFERROR(__xludf.DUMMYFUNCTION("""COMPUTED_VALUE"""),"#N/A")</f>
        <v>#N/A</v>
      </c>
      <c r="V1204" s="3" t="str">
        <f>IFERROR(__xludf.DUMMYFUNCTION("""COMPUTED_VALUE"""),"N")</f>
        <v>N</v>
      </c>
      <c r="W1204" s="3">
        <f>IFERROR(__xludf.DUMMYFUNCTION("""COMPUTED_VALUE"""),211893.0)</f>
        <v>211893</v>
      </c>
      <c r="X1204" s="3" t="str">
        <f>IFERROR(__xludf.DUMMYFUNCTION("""COMPUTED_VALUE"""),"511 หมู่5 ตำบลนาโพธิ์ อำเภอสวี จังหวัดชุมพร 86130")</f>
        <v>511 หมู่5 ตำบลนาโพธิ์ อำเภอสวี จังหวัดชุมพร 86130</v>
      </c>
      <c r="Y1204" s="3"/>
      <c r="Z1204" s="3" t="str">
        <f>IFERROR(__xludf.DUMMYFUNCTION("""COMPUTED_VALUE"""),"นาโพธิ์")</f>
        <v>นาโพธิ์</v>
      </c>
      <c r="AA1204" s="3" t="str">
        <f>IFERROR(__xludf.DUMMYFUNCTION("""COMPUTED_VALUE"""),"สวี")</f>
        <v>สวี</v>
      </c>
      <c r="AB1204" s="3" t="str">
        <f>IFERROR(__xludf.DUMMYFUNCTION("""COMPUTED_VALUE"""),"ชุมพร")</f>
        <v>ชุมพร</v>
      </c>
      <c r="AC1204" s="3">
        <f>IFERROR(__xludf.DUMMYFUNCTION("""COMPUTED_VALUE"""),86130.0)</f>
        <v>86130</v>
      </c>
      <c r="AD1204" s="3">
        <f>IFERROR(__xludf.DUMMYFUNCTION("""COMPUTED_VALUE"""),10.017881)</f>
        <v>10.017881</v>
      </c>
      <c r="AE1204" s="3">
        <f>IFERROR(__xludf.DUMMYFUNCTION("""COMPUTED_VALUE"""),99.108119)</f>
        <v>99.108119</v>
      </c>
      <c r="AF1204" s="3" t="str">
        <f>IFERROR(__xludf.DUMMYFUNCTION("""COMPUTED_VALUE"""),"MBC สวี ชุมพร-21976")</f>
        <v>MBC สวี ชุมพร-21976</v>
      </c>
      <c r="AG1204" s="3" t="str">
        <f>IFERROR(__xludf.DUMMYFUNCTION("""COMPUTED_VALUE"""),"ใต้")</f>
        <v>ใต้</v>
      </c>
      <c r="AH1204" s="3" t="str">
        <f>IFERROR(__xludf.DUMMYFUNCTION("""COMPUTED_VALUE"""),"#N/A")</f>
        <v>#N/A</v>
      </c>
      <c r="AI1204" s="3" t="str">
        <f>IFERROR(__xludf.DUMMYFUNCTION("""COMPUTED_VALUE"""),"Out of warranty")</f>
        <v>Out of warranty</v>
      </c>
      <c r="AJ1204" s="3">
        <f>IFERROR(__xludf.DUMMYFUNCTION("""COMPUTED_VALUE"""),75.0)</f>
        <v>75</v>
      </c>
      <c r="AK1204" s="3" t="str">
        <f>IFERROR(__xludf.DUMMYFUNCTION("""COMPUTED_VALUE"""),"MMS14")</f>
        <v>MMS14</v>
      </c>
      <c r="AL1204" s="3"/>
    </row>
    <row r="1205" ht="15.75" customHeight="1">
      <c r="A1205" s="1" t="str">
        <f>IFERROR(__xludf.DUMMYFUNCTION("""COMPUTED_VALUE"""),"21977")</f>
        <v>21977</v>
      </c>
      <c r="B1205" s="2">
        <f>IFERROR(__xludf.DUMMYFUNCTION("""COMPUTED_VALUE"""),21977.0)</f>
        <v>21977</v>
      </c>
      <c r="C1205" s="3" t="str">
        <f>IFERROR(__xludf.DUMMYFUNCTION("""COMPUTED_VALUE"""),"MBC บ้านชุมทอง บุรีรัมย์")</f>
        <v>MBC บ้านชุมทอง บุรีรัมย์</v>
      </c>
      <c r="D1205" s="3" t="str">
        <f>IFERROR(__xludf.DUMMYFUNCTION("""COMPUTED_VALUE"""),"BCM BAN CHUMTHONG, BURIRAM")</f>
        <v>BCM BAN CHUMTHONG, BURIRAM</v>
      </c>
      <c r="E1205" s="1" t="str">
        <f>IFERROR(__xludf.DUMMYFUNCTION("""COMPUTED_VALUE"""),"บิ๊กซี MINI")</f>
        <v>บิ๊กซี MINI</v>
      </c>
      <c r="F1205" s="1" t="str">
        <f>IFERROR(__xludf.DUMMYFUNCTION("""COMPUTED_VALUE"""),"291105")</f>
        <v>291105</v>
      </c>
      <c r="G1205" s="1" t="str">
        <f>IFERROR(__xludf.DUMMYFUNCTION("""COMPUTED_VALUE"""),"นายสราวุฒิ พณิชยกุล")</f>
        <v>นายสราวุฒิ พณิชยกุล</v>
      </c>
      <c r="H1205" s="1" t="str">
        <f>IFERROR(__xludf.DUMMYFUNCTION("""COMPUTED_VALUE"""),"398136")</f>
        <v>398136</v>
      </c>
      <c r="I1205" s="1" t="str">
        <f>IFERROR(__xludf.DUMMYFUNCTION("""COMPUTED_VALUE"""),"นายประยูร ธาดาวงษา")</f>
        <v>นายประยูร ธาดาวงษา</v>
      </c>
      <c r="J1205" s="3">
        <f>IFERROR(__xludf.DUMMYFUNCTION("""COMPUTED_VALUE"""),15361.0)</f>
        <v>15361</v>
      </c>
      <c r="K1205" s="3" t="str">
        <f>IFERROR(__xludf.DUMMYFUNCTION("""COMPUTED_VALUE"""),"นายสมบูรณ์ พรหมในเมือง")</f>
        <v>นายสมบูรณ์ พรหมในเมือง</v>
      </c>
      <c r="L1205" s="1" t="str">
        <f>IFERROR(__xludf.DUMMYFUNCTION("""COMPUTED_VALUE"""),"04 K.Somboon P.")</f>
        <v>04 K.Somboon P.</v>
      </c>
      <c r="M1205" s="1" t="str">
        <f>IFERROR(__xludf.DUMMYFUNCTION("""COMPUTED_VALUE"""),"087-965-3051")</f>
        <v>087-965-3051</v>
      </c>
      <c r="N1205" s="3">
        <f>IFERROR(__xludf.DUMMYFUNCTION("""COMPUTED_VALUE"""),21869.0)</f>
        <v>21869</v>
      </c>
      <c r="O1205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205" s="4">
        <f>IFERROR(__xludf.DUMMYFUNCTION("""COMPUTED_VALUE"""),43785.0)</f>
        <v>43785</v>
      </c>
      <c r="Q1205" s="3" t="str">
        <f>IFERROR(__xludf.DUMMYFUNCTION("""COMPUTED_VALUE"""),"A")</f>
        <v>A</v>
      </c>
      <c r="R1205" s="3" t="str">
        <f>IFERROR(__xludf.DUMMYFUNCTION("""COMPUTED_VALUE"""),"Small Format")</f>
        <v>Small Format</v>
      </c>
      <c r="S1205" s="3" t="str">
        <f>IFERROR(__xludf.DUMMYFUNCTION("""COMPUTED_VALUE"""),"BCM")</f>
        <v>BCM</v>
      </c>
      <c r="T1205" s="3" t="str">
        <f>IFERROR(__xludf.DUMMYFUNCTION("""COMPUTED_VALUE"""),"#N/A")</f>
        <v>#N/A</v>
      </c>
      <c r="U1205" s="3" t="str">
        <f>IFERROR(__xludf.DUMMYFUNCTION("""COMPUTED_VALUE"""),"#N/A")</f>
        <v>#N/A</v>
      </c>
      <c r="V1205" s="3" t="str">
        <f>IFERROR(__xludf.DUMMYFUNCTION("""COMPUTED_VALUE"""),"N")</f>
        <v>N</v>
      </c>
      <c r="W1205" s="3">
        <f>IFERROR(__xludf.DUMMYFUNCTION("""COMPUTED_VALUE"""),210109.0)</f>
        <v>210109</v>
      </c>
      <c r="X1205" s="3" t="str">
        <f>IFERROR(__xludf.DUMMYFUNCTION("""COMPUTED_VALUE"""),"175/37 ถนนหน้าสถานี ตำบลในเมือง อำเภอเมืองบุรีรัมย์ จังหวัดบุรีรัมย์ 31000")</f>
        <v>175/37 ถนนหน้าสถานี ตำบลในเมือง อำเภอเมืองบุรีรัมย์ จังหวัดบุรีรัมย์ 31000</v>
      </c>
      <c r="Y1205" s="3" t="str">
        <f>IFERROR(__xludf.DUMMYFUNCTION("""COMPUTED_VALUE"""),"ถนนหน้าสถานี")</f>
        <v>ถนนหน้าสถานี</v>
      </c>
      <c r="Z1205" s="3" t="str">
        <f>IFERROR(__xludf.DUMMYFUNCTION("""COMPUTED_VALUE"""),"ในเมือง")</f>
        <v>ในเมือง</v>
      </c>
      <c r="AA1205" s="3" t="str">
        <f>IFERROR(__xludf.DUMMYFUNCTION("""COMPUTED_VALUE"""),"เมือง")</f>
        <v>เมือง</v>
      </c>
      <c r="AB1205" s="3" t="str">
        <f>IFERROR(__xludf.DUMMYFUNCTION("""COMPUTED_VALUE"""),"บุรีรัมย์")</f>
        <v>บุรีรัมย์</v>
      </c>
      <c r="AC1205" s="3">
        <f>IFERROR(__xludf.DUMMYFUNCTION("""COMPUTED_VALUE"""),31000.0)</f>
        <v>31000</v>
      </c>
      <c r="AD1205" s="3">
        <f>IFERROR(__xludf.DUMMYFUNCTION("""COMPUTED_VALUE"""),15.004116)</f>
        <v>15.004116</v>
      </c>
      <c r="AE1205" s="3">
        <f>IFERROR(__xludf.DUMMYFUNCTION("""COMPUTED_VALUE"""),103.111581)</f>
        <v>103.111581</v>
      </c>
      <c r="AF1205" s="3" t="str">
        <f>IFERROR(__xludf.DUMMYFUNCTION("""COMPUTED_VALUE"""),"MBC บ้านชุมทอง บุรีรัมย์-21977")</f>
        <v>MBC บ้านชุมทอง บุรีรัมย์-21977</v>
      </c>
      <c r="AG1205" s="3" t="str">
        <f>IFERROR(__xludf.DUMMYFUNCTION("""COMPUTED_VALUE"""),"ตะวันออกเฉียงเหนือ")</f>
        <v>ตะวันออกเฉียงเหนือ</v>
      </c>
      <c r="AH1205" s="3" t="str">
        <f>IFERROR(__xludf.DUMMYFUNCTION("""COMPUTED_VALUE"""),"#N/A")</f>
        <v>#N/A</v>
      </c>
      <c r="AI1205" s="3" t="str">
        <f>IFERROR(__xludf.DUMMYFUNCTION("""COMPUTED_VALUE"""),"Out of warranty")</f>
        <v>Out of warranty</v>
      </c>
      <c r="AJ1205" s="3">
        <f>IFERROR(__xludf.DUMMYFUNCTION("""COMPUTED_VALUE"""),75.0)</f>
        <v>75</v>
      </c>
      <c r="AK1205" s="3" t="str">
        <f>IFERROR(__xludf.DUMMYFUNCTION("""COMPUTED_VALUE"""),"MMS11")</f>
        <v>MMS11</v>
      </c>
      <c r="AL1205" s="3"/>
    </row>
    <row r="1206" ht="15.75" customHeight="1">
      <c r="A1206" s="1" t="str">
        <f>IFERROR(__xludf.DUMMYFUNCTION("""COMPUTED_VALUE"""),"21978")</f>
        <v>21978</v>
      </c>
      <c r="B1206" s="2">
        <f>IFERROR(__xludf.DUMMYFUNCTION("""COMPUTED_VALUE"""),21978.0)</f>
        <v>21978</v>
      </c>
      <c r="C1206" s="3" t="str">
        <f>IFERROR(__xludf.DUMMYFUNCTION("""COMPUTED_VALUE"""),"MBC ตลาดโคกหนามแท่ง สระบุรี")</f>
        <v>MBC ตลาดโคกหนามแท่ง สระบุรี</v>
      </c>
      <c r="D1206" s="3" t="str">
        <f>IFERROR(__xludf.DUMMYFUNCTION("""COMPUTED_VALUE"""),"BCM TALAD KHOK NHAM TANG")</f>
        <v>BCM TALAD KHOK NHAM TANG</v>
      </c>
      <c r="E1206" s="1" t="str">
        <f>IFERROR(__xludf.DUMMYFUNCTION("""COMPUTED_VALUE"""),"บิ๊กซี MINI")</f>
        <v>บิ๊กซี MINI</v>
      </c>
      <c r="F1206" s="1" t="str">
        <f>IFERROR(__xludf.DUMMYFUNCTION("""COMPUTED_VALUE"""),"296229")</f>
        <v>296229</v>
      </c>
      <c r="G1206" s="1" t="str">
        <f>IFERROR(__xludf.DUMMYFUNCTION("""COMPUTED_VALUE"""),"นายทนงศักดิ์ บุญมา")</f>
        <v>นายทนงศักดิ์ บุญมา</v>
      </c>
      <c r="H1206" s="1" t="str">
        <f>IFERROR(__xludf.DUMMYFUNCTION("""COMPUTED_VALUE"""),"318233")</f>
        <v>318233</v>
      </c>
      <c r="I1206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1206" s="3">
        <f>IFERROR(__xludf.DUMMYFUNCTION("""COMPUTED_VALUE"""),46214.0)</f>
        <v>46214</v>
      </c>
      <c r="K1206" s="3" t="str">
        <f>IFERROR(__xludf.DUMMYFUNCTION("""COMPUTED_VALUE"""),"นายศักดิ์ชัย เด็ดดอกฟ้า")</f>
        <v>นายศักดิ์ชัย เด็ดดอกฟ้า</v>
      </c>
      <c r="L1206" s="1" t="str">
        <f>IFERROR(__xludf.DUMMYFUNCTION("""COMPUTED_VALUE"""),"02 K.Sakchai D")</f>
        <v>02 K.Sakchai D</v>
      </c>
      <c r="M1206" s="1" t="str">
        <f>IFERROR(__xludf.DUMMYFUNCTION("""COMPUTED_VALUE"""),"065-510-7376")</f>
        <v>065-510-7376</v>
      </c>
      <c r="N1206" s="3">
        <f>IFERROR(__xludf.DUMMYFUNCTION("""COMPUTED_VALUE"""),21714.0)</f>
        <v>21714</v>
      </c>
      <c r="O1206" s="3" t="str">
        <f>IFERROR(__xludf.DUMMYFUNCTION("""COMPUTED_VALUE"""),"MBC เอสโซ่ วัดโบสถ์")</f>
        <v>MBC เอสโซ่ วัดโบสถ์</v>
      </c>
      <c r="P1206" s="4">
        <f>IFERROR(__xludf.DUMMYFUNCTION("""COMPUTED_VALUE"""),43785.0)</f>
        <v>43785</v>
      </c>
      <c r="Q1206" s="3" t="str">
        <f>IFERROR(__xludf.DUMMYFUNCTION("""COMPUTED_VALUE"""),"A")</f>
        <v>A</v>
      </c>
      <c r="R1206" s="3" t="str">
        <f>IFERROR(__xludf.DUMMYFUNCTION("""COMPUTED_VALUE"""),"Small Format")</f>
        <v>Small Format</v>
      </c>
      <c r="S1206" s="3" t="str">
        <f>IFERROR(__xludf.DUMMYFUNCTION("""COMPUTED_VALUE"""),"BCM")</f>
        <v>BCM</v>
      </c>
      <c r="T1206" s="3" t="str">
        <f>IFERROR(__xludf.DUMMYFUNCTION("""COMPUTED_VALUE"""),"#N/A")</f>
        <v>#N/A</v>
      </c>
      <c r="U1206" s="3" t="str">
        <f>IFERROR(__xludf.DUMMYFUNCTION("""COMPUTED_VALUE"""),"#N/A")</f>
        <v>#N/A</v>
      </c>
      <c r="V1206" s="3" t="str">
        <f>IFERROR(__xludf.DUMMYFUNCTION("""COMPUTED_VALUE"""),"N")</f>
        <v>N</v>
      </c>
      <c r="W1206" s="3">
        <f>IFERROR(__xludf.DUMMYFUNCTION("""COMPUTED_VALUE"""),211996.0)</f>
        <v>211996</v>
      </c>
      <c r="X1206" s="3" t="str">
        <f>IFERROR(__xludf.DUMMYFUNCTION("""COMPUTED_VALUE"""),"11/11-13 หมู่3 ตำบลหนองปลาไหล อำเภอเมืองสระบุรี จังหวัดสระบุรี 18000")</f>
        <v>11/11-13 หมู่3 ตำบลหนองปลาไหล อำเภอเมืองสระบุรี จังหวัดสระบุรี 18000</v>
      </c>
      <c r="Y1206" s="3"/>
      <c r="Z1206" s="3" t="str">
        <f>IFERROR(__xludf.DUMMYFUNCTION("""COMPUTED_VALUE"""),"หนองปลาไหล")</f>
        <v>หนองปลาไหล</v>
      </c>
      <c r="AA1206" s="3" t="str">
        <f>IFERROR(__xludf.DUMMYFUNCTION("""COMPUTED_VALUE"""),"เมือง")</f>
        <v>เมือง</v>
      </c>
      <c r="AB1206" s="3" t="str">
        <f>IFERROR(__xludf.DUMMYFUNCTION("""COMPUTED_VALUE"""),"สระบุรี")</f>
        <v>สระบุรี</v>
      </c>
      <c r="AC1206" s="3">
        <f>IFERROR(__xludf.DUMMYFUNCTION("""COMPUTED_VALUE"""),18000.0)</f>
        <v>18000</v>
      </c>
      <c r="AD1206" s="3">
        <f>IFERROR(__xludf.DUMMYFUNCTION("""COMPUTED_VALUE"""),14.468821)</f>
        <v>14.468821</v>
      </c>
      <c r="AE1206" s="3">
        <f>IFERROR(__xludf.DUMMYFUNCTION("""COMPUTED_VALUE"""),100.924421)</f>
        <v>100.924421</v>
      </c>
      <c r="AF1206" s="3" t="str">
        <f>IFERROR(__xludf.DUMMYFUNCTION("""COMPUTED_VALUE"""),"MBC ตลาดโคกหนามแท่ง สระบุรี-21978")</f>
        <v>MBC ตลาดโคกหนามแท่ง สระบุรี-21978</v>
      </c>
      <c r="AG1206" s="3" t="str">
        <f>IFERROR(__xludf.DUMMYFUNCTION("""COMPUTED_VALUE"""),"กลาง")</f>
        <v>กลาง</v>
      </c>
      <c r="AH1206" s="3" t="str">
        <f>IFERROR(__xludf.DUMMYFUNCTION("""COMPUTED_VALUE"""),"#N/A")</f>
        <v>#N/A</v>
      </c>
      <c r="AI1206" s="3" t="str">
        <f>IFERROR(__xludf.DUMMYFUNCTION("""COMPUTED_VALUE"""),"Out of warranty")</f>
        <v>Out of warranty</v>
      </c>
      <c r="AJ1206" s="3">
        <f>IFERROR(__xludf.DUMMYFUNCTION("""COMPUTED_VALUE"""),75.0)</f>
        <v>75</v>
      </c>
      <c r="AK1206" s="3" t="str">
        <f>IFERROR(__xludf.DUMMYFUNCTION("""COMPUTED_VALUE"""),"MMS09")</f>
        <v>MMS09</v>
      </c>
      <c r="AL1206" s="3"/>
    </row>
    <row r="1207" ht="15.75" customHeight="1">
      <c r="A1207" s="1" t="str">
        <f>IFERROR(__xludf.DUMMYFUNCTION("""COMPUTED_VALUE"""),"21979")</f>
        <v>21979</v>
      </c>
      <c r="B1207" s="2">
        <f>IFERROR(__xludf.DUMMYFUNCTION("""COMPUTED_VALUE"""),21979.0)</f>
        <v>21979</v>
      </c>
      <c r="C1207" s="3" t="str">
        <f>IFERROR(__xludf.DUMMYFUNCTION("""COMPUTED_VALUE"""),"MBC บางจากนครพนม นครพนม")</f>
        <v>MBC บางจากนครพนม นครพนม</v>
      </c>
      <c r="D1207" s="3" t="str">
        <f>IFERROR(__xludf.DUMMYFUNCTION("""COMPUTED_VALUE"""),"BCM BCP NAKHON PHANOM")</f>
        <v>BCM BCP NAKHON PHANOM</v>
      </c>
      <c r="E1207" s="1" t="str">
        <f>IFERROR(__xludf.DUMMYFUNCTION("""COMPUTED_VALUE"""),"บิ๊กซี MINI")</f>
        <v>บิ๊กซี MINI</v>
      </c>
      <c r="F1207" s="1" t="str">
        <f>IFERROR(__xludf.DUMMYFUNCTION("""COMPUTED_VALUE"""),"291105")</f>
        <v>291105</v>
      </c>
      <c r="G1207" s="1" t="str">
        <f>IFERROR(__xludf.DUMMYFUNCTION("""COMPUTED_VALUE"""),"นายสราวุฒิ พณิชยกุล")</f>
        <v>นายสราวุฒิ พณิชยกุล</v>
      </c>
      <c r="H1207" s="1" t="str">
        <f>IFERROR(__xludf.DUMMYFUNCTION("""COMPUTED_VALUE"""),"312134")</f>
        <v>312134</v>
      </c>
      <c r="I1207" s="1" t="str">
        <f>IFERROR(__xludf.DUMMYFUNCTION("""COMPUTED_VALUE"""),"น.ส.ปัณทณินันท์ พงศ์ชิระอังกูร")</f>
        <v>น.ส.ปัณทณินันท์ พงศ์ชิระอังกูร</v>
      </c>
      <c r="J1207" s="3">
        <f>IFERROR(__xludf.DUMMYFUNCTION("""COMPUTED_VALUE"""),295886.0)</f>
        <v>295886</v>
      </c>
      <c r="K1207" s="3" t="str">
        <f>IFERROR(__xludf.DUMMYFUNCTION("""COMPUTED_VALUE"""),"นายจิระพงษ์ โพธิ์นิล")</f>
        <v>นายจิระพงษ์ โพธิ์นิล</v>
      </c>
      <c r="L1207" s="1" t="str">
        <f>IFERROR(__xludf.DUMMYFUNCTION("""COMPUTED_VALUE"""),"นายจิระพงษ์ โพธิ์นิล")</f>
        <v>นายจิระพงษ์ โพธิ์นิล</v>
      </c>
      <c r="M1207" s="1" t="str">
        <f>IFERROR(__xludf.DUMMYFUNCTION("""COMPUTED_VALUE"""),"0933290754")</f>
        <v>0933290754</v>
      </c>
      <c r="N1207" s="3">
        <f>IFERROR(__xludf.DUMMYFUNCTION("""COMPUTED_VALUE"""),21622.0)</f>
        <v>21622</v>
      </c>
      <c r="O1207" s="3" t="str">
        <f>IFERROR(__xludf.DUMMYFUNCTION("""COMPUTED_VALUE"""),"MBC ตลาดบ้านดอน")</f>
        <v>MBC ตลาดบ้านดอน</v>
      </c>
      <c r="P1207" s="4">
        <f>IFERROR(__xludf.DUMMYFUNCTION("""COMPUTED_VALUE"""),43801.0)</f>
        <v>43801</v>
      </c>
      <c r="Q1207" s="3" t="str">
        <f>IFERROR(__xludf.DUMMYFUNCTION("""COMPUTED_VALUE"""),"I")</f>
        <v>I</v>
      </c>
      <c r="R1207" s="3" t="str">
        <f>IFERROR(__xludf.DUMMYFUNCTION("""COMPUTED_VALUE"""),"Small Format")</f>
        <v>Small Format</v>
      </c>
      <c r="S1207" s="3" t="str">
        <f>IFERROR(__xludf.DUMMYFUNCTION("""COMPUTED_VALUE"""),"BCM")</f>
        <v>BCM</v>
      </c>
      <c r="T1207" s="3" t="str">
        <f>IFERROR(__xludf.DUMMYFUNCTION("""COMPUTED_VALUE"""),"#N/A")</f>
        <v>#N/A</v>
      </c>
      <c r="U1207" s="3" t="str">
        <f>IFERROR(__xludf.DUMMYFUNCTION("""COMPUTED_VALUE"""),"#N/A")</f>
        <v>#N/A</v>
      </c>
      <c r="V1207" s="3" t="str">
        <f>IFERROR(__xludf.DUMMYFUNCTION("""COMPUTED_VALUE"""),"N")</f>
        <v>N</v>
      </c>
      <c r="W1207" s="3">
        <f>IFERROR(__xludf.DUMMYFUNCTION("""COMPUTED_VALUE"""),361232.0)</f>
        <v>361232</v>
      </c>
      <c r="X1207" s="3" t="str">
        <f>IFERROR(__xludf.DUMMYFUNCTION("""COMPUTED_VALUE"""),"154 หมู่13 ตำบลท่าค้อ อำเภอเมืองนครพนม จังหวัดนครพนม 48000")</f>
        <v>154 หมู่13 ตำบลท่าค้อ อำเภอเมืองนครพนม จังหวัดนครพนม 48000</v>
      </c>
      <c r="Y1207" s="3"/>
      <c r="Z1207" s="3" t="str">
        <f>IFERROR(__xludf.DUMMYFUNCTION("""COMPUTED_VALUE"""),"ท่าค้อ")</f>
        <v>ท่าค้อ</v>
      </c>
      <c r="AA1207" s="3" t="str">
        <f>IFERROR(__xludf.DUMMYFUNCTION("""COMPUTED_VALUE"""),"เมือง")</f>
        <v>เมือง</v>
      </c>
      <c r="AB1207" s="3" t="str">
        <f>IFERROR(__xludf.DUMMYFUNCTION("""COMPUTED_VALUE"""),"นครพนม")</f>
        <v>นครพนม</v>
      </c>
      <c r="AC1207" s="3">
        <f>IFERROR(__xludf.DUMMYFUNCTION("""COMPUTED_VALUE"""),48000.0)</f>
        <v>48000</v>
      </c>
      <c r="AD1207" s="3">
        <f>IFERROR(__xludf.DUMMYFUNCTION("""COMPUTED_VALUE"""),17.268302)</f>
        <v>17.268302</v>
      </c>
      <c r="AE1207" s="3">
        <f>IFERROR(__xludf.DUMMYFUNCTION("""COMPUTED_VALUE"""),104.780325)</f>
        <v>104.780325</v>
      </c>
      <c r="AF1207" s="3" t="str">
        <f>IFERROR(__xludf.DUMMYFUNCTION("""COMPUTED_VALUE"""),"MBC บางจากนครพนม นครพนม-21979")</f>
        <v>MBC บางจากนครพนม นครพนม-21979</v>
      </c>
      <c r="AG1207" s="3" t="str">
        <f>IFERROR(__xludf.DUMMYFUNCTION("""COMPUTED_VALUE"""),"ตะวันออกเฉียงเหนือ")</f>
        <v>ตะวันออกเฉียงเหนือ</v>
      </c>
      <c r="AH1207" s="3" t="str">
        <f>IFERROR(__xludf.DUMMYFUNCTION("""COMPUTED_VALUE"""),"#N/A")</f>
        <v>#N/A</v>
      </c>
      <c r="AI1207" s="3" t="str">
        <f>IFERROR(__xludf.DUMMYFUNCTION("""COMPUTED_VALUE"""),"Out of warranty")</f>
        <v>Out of warranty</v>
      </c>
      <c r="AJ1207" s="3">
        <f>IFERROR(__xludf.DUMMYFUNCTION("""COMPUTED_VALUE"""),74.0)</f>
        <v>74</v>
      </c>
      <c r="AK1207" s="3" t="str">
        <f>IFERROR(__xludf.DUMMYFUNCTION("""COMPUTED_VALUE"""),"MMS12")</f>
        <v>MMS12</v>
      </c>
      <c r="AL1207" s="3"/>
    </row>
    <row r="1208" ht="15.75" customHeight="1">
      <c r="A1208" s="1" t="str">
        <f>IFERROR(__xludf.DUMMYFUNCTION("""COMPUTED_VALUE"""),"21980")</f>
        <v>21980</v>
      </c>
      <c r="B1208" s="2">
        <f>IFERROR(__xludf.DUMMYFUNCTION("""COMPUTED_VALUE"""),21980.0)</f>
        <v>21980</v>
      </c>
      <c r="C1208" s="3" t="str">
        <f>IFERROR(__xludf.DUMMYFUNCTION("""COMPUTED_VALUE"""),"MBC คาลเท็กซ์ ถนนวัดศรีวารีน้อย สมุทรปราการ")</f>
        <v>MBC คาลเท็กซ์ ถนนวัดศรีวารีน้อย สมุทรปราการ</v>
      </c>
      <c r="D1208" s="3" t="str">
        <f>IFERROR(__xludf.DUMMYFUNCTION("""COMPUTED_VALUE"""),"BCM CALTEX WAT SRIWARI NOI")</f>
        <v>BCM CALTEX WAT SRIWARI NOI</v>
      </c>
      <c r="E1208" s="1" t="str">
        <f>IFERROR(__xludf.DUMMYFUNCTION("""COMPUTED_VALUE"""),"บิ๊กซี MINI")</f>
        <v>บิ๊กซี MINI</v>
      </c>
      <c r="F1208" s="1" t="str">
        <f>IFERROR(__xludf.DUMMYFUNCTION("""COMPUTED_VALUE"""),"2083447")</f>
        <v>2083447</v>
      </c>
      <c r="G1208" s="1" t="str">
        <f>IFERROR(__xludf.DUMMYFUNCTION("""COMPUTED_VALUE"""),"นายอนุกูล ศรีลัดดา")</f>
        <v>นายอนุกูล ศรีลัดดา</v>
      </c>
      <c r="H1208" s="1" t="str">
        <f>IFERROR(__xludf.DUMMYFUNCTION("""COMPUTED_VALUE"""),"284752")</f>
        <v>284752</v>
      </c>
      <c r="I1208" s="1" t="str">
        <f>IFERROR(__xludf.DUMMYFUNCTION("""COMPUTED_VALUE"""),"น.ส.วีรนันท์ แสงใส")</f>
        <v>น.ส.วีรนันท์ แสงใส</v>
      </c>
      <c r="J1208" s="3">
        <f>IFERROR(__xludf.DUMMYFUNCTION("""COMPUTED_VALUE"""),2451655.0)</f>
        <v>2451655</v>
      </c>
      <c r="K1208" s="3" t="str">
        <f>IFERROR(__xludf.DUMMYFUNCTION("""COMPUTED_VALUE"""),"นายวิษณุพงษ์ ชินบุตร")</f>
        <v>นายวิษณุพงษ์ ชินบุตร</v>
      </c>
      <c r="L1208" s="1" t="str">
        <f>IFERROR(__xludf.DUMMYFUNCTION("""COMPUTED_VALUE"""),"13 K.Wisanupong Ch")</f>
        <v>13 K.Wisanupong Ch</v>
      </c>
      <c r="M1208" s="1" t="str">
        <f>IFERROR(__xludf.DUMMYFUNCTION("""COMPUTED_VALUE"""),"0843374693")</f>
        <v>0843374693</v>
      </c>
      <c r="N1208" s="3">
        <f>IFERROR(__xludf.DUMMYFUNCTION("""COMPUTED_VALUE"""),22729.0)</f>
        <v>22729</v>
      </c>
      <c r="O1208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208" s="4">
        <f>IFERROR(__xludf.DUMMYFUNCTION("""COMPUTED_VALUE"""),43796.0)</f>
        <v>43796</v>
      </c>
      <c r="Q1208" s="3" t="str">
        <f>IFERROR(__xludf.DUMMYFUNCTION("""COMPUTED_VALUE"""),"A")</f>
        <v>A</v>
      </c>
      <c r="R1208" s="3" t="str">
        <f>IFERROR(__xludf.DUMMYFUNCTION("""COMPUTED_VALUE"""),"Small Format")</f>
        <v>Small Format</v>
      </c>
      <c r="S1208" s="3" t="str">
        <f>IFERROR(__xludf.DUMMYFUNCTION("""COMPUTED_VALUE"""),"BCM")</f>
        <v>BCM</v>
      </c>
      <c r="T1208" s="3" t="str">
        <f>IFERROR(__xludf.DUMMYFUNCTION("""COMPUTED_VALUE"""),"#N/A")</f>
        <v>#N/A</v>
      </c>
      <c r="U1208" s="3" t="str">
        <f>IFERROR(__xludf.DUMMYFUNCTION("""COMPUTED_VALUE"""),"#N/A")</f>
        <v>#N/A</v>
      </c>
      <c r="V1208" s="3" t="str">
        <f>IFERROR(__xludf.DUMMYFUNCTION("""COMPUTED_VALUE"""),"N")</f>
        <v>N</v>
      </c>
      <c r="W1208" s="3">
        <f>IFERROR(__xludf.DUMMYFUNCTION("""COMPUTED_VALUE"""),210103.0)</f>
        <v>210103</v>
      </c>
      <c r="X1208" s="3" t="str">
        <f>IFERROR(__xludf.DUMMYFUNCTION("""COMPUTED_VALUE"""),"26/1 หมู่6 ตำบลศรีษะจรเข้ใหญ่ อำเภอบางเสาธง จังหวัดสมุทรปราการ 10540")</f>
        <v>26/1 หมู่6 ตำบลศรีษะจรเข้ใหญ่ อำเภอบางเสาธง จังหวัดสมุทรปราการ 10540</v>
      </c>
      <c r="Y1208" s="3"/>
      <c r="Z1208" s="3" t="str">
        <f>IFERROR(__xludf.DUMMYFUNCTION("""COMPUTED_VALUE"""),"ศรีษะจรเข้ใหญ่")</f>
        <v>ศรีษะจรเข้ใหญ่</v>
      </c>
      <c r="AA1208" s="3" t="str">
        <f>IFERROR(__xludf.DUMMYFUNCTION("""COMPUTED_VALUE"""),"บางเสาธง")</f>
        <v>บางเสาธง</v>
      </c>
      <c r="AB1208" s="3" t="str">
        <f>IFERROR(__xludf.DUMMYFUNCTION("""COMPUTED_VALUE"""),"สมุทรปราการ")</f>
        <v>สมุทรปราการ</v>
      </c>
      <c r="AC1208" s="3">
        <f>IFERROR(__xludf.DUMMYFUNCTION("""COMPUTED_VALUE"""),10540.0)</f>
        <v>10540</v>
      </c>
      <c r="AD1208" s="3">
        <f>IFERROR(__xludf.DUMMYFUNCTION("""COMPUTED_VALUE"""),13.660231)</f>
        <v>13.660231</v>
      </c>
      <c r="AE1208" s="3">
        <f>IFERROR(__xludf.DUMMYFUNCTION("""COMPUTED_VALUE"""),100.790269)</f>
        <v>100.790269</v>
      </c>
      <c r="AF1208" s="3" t="str">
        <f>IFERROR(__xludf.DUMMYFUNCTION("""COMPUTED_VALUE"""),"MBC คาลเท็กซ์ ถนนวัดศรีวารีน้อย สมุทรปราการ-21980")</f>
        <v>MBC คาลเท็กซ์ ถนนวัดศรีวารีน้อย สมุทรปราการ-21980</v>
      </c>
      <c r="AG1208" s="3" t="str">
        <f>IFERROR(__xludf.DUMMYFUNCTION("""COMPUTED_VALUE"""),"กลาง")</f>
        <v>กลาง</v>
      </c>
      <c r="AH1208" s="3" t="str">
        <f>IFERROR(__xludf.DUMMYFUNCTION("""COMPUTED_VALUE"""),"#N/A")</f>
        <v>#N/A</v>
      </c>
      <c r="AI1208" s="3" t="str">
        <f>IFERROR(__xludf.DUMMYFUNCTION("""COMPUTED_VALUE"""),"Out of warranty")</f>
        <v>Out of warranty</v>
      </c>
      <c r="AJ1208" s="3">
        <f>IFERROR(__xludf.DUMMYFUNCTION("""COMPUTED_VALUE"""),74.0)</f>
        <v>74</v>
      </c>
      <c r="AK1208" s="3" t="str">
        <f>IFERROR(__xludf.DUMMYFUNCTION("""COMPUTED_VALUE"""),"MMS03")</f>
        <v>MMS03</v>
      </c>
      <c r="AL1208" s="3"/>
    </row>
    <row r="1209" ht="15.75" customHeight="1">
      <c r="A1209" s="1" t="str">
        <f>IFERROR(__xludf.DUMMYFUNCTION("""COMPUTED_VALUE"""),"21981")</f>
        <v>21981</v>
      </c>
      <c r="B1209" s="2">
        <f>IFERROR(__xludf.DUMMYFUNCTION("""COMPUTED_VALUE"""),21981.0)</f>
        <v>21981</v>
      </c>
      <c r="C1209" s="3" t="str">
        <f>IFERROR(__xludf.DUMMYFUNCTION("""COMPUTED_VALUE"""),"MBC คาลเท็กซ์ 331-เขาคันทรง ชลบุรี")</f>
        <v>MBC คาลเท็กซ์ 331-เขาคันทรง ชลบุรี</v>
      </c>
      <c r="D1209" s="3" t="str">
        <f>IFERROR(__xludf.DUMMYFUNCTION("""COMPUTED_VALUE"""),"BCM CALTEX 331 KHAO KHAN SONG")</f>
        <v>BCM CALTEX 331 KHAO KHAN SONG</v>
      </c>
      <c r="E1209" s="1" t="str">
        <f>IFERROR(__xludf.DUMMYFUNCTION("""COMPUTED_VALUE"""),"บิ๊กซี MINI")</f>
        <v>บิ๊กซี MINI</v>
      </c>
      <c r="F1209" s="1" t="str">
        <f>IFERROR(__xludf.DUMMYFUNCTION("""COMPUTED_VALUE"""),"221716")</f>
        <v>221716</v>
      </c>
      <c r="G1209" s="1" t="str">
        <f>IFERROR(__xludf.DUMMYFUNCTION("""COMPUTED_VALUE"""),"น.ส.เบญจพร โพธิสาร")</f>
        <v>น.ส.เบญจพร โพธิสาร</v>
      </c>
      <c r="H1209" s="1" t="str">
        <f>IFERROR(__xludf.DUMMYFUNCTION("""COMPUTED_VALUE"""),"376139")</f>
        <v>376139</v>
      </c>
      <c r="I1209" s="1" t="str">
        <f>IFERROR(__xludf.DUMMYFUNCTION("""COMPUTED_VALUE"""),"นายอนุชา อำไพ")</f>
        <v>นายอนุชา อำไพ</v>
      </c>
      <c r="J1209" s="3">
        <f>IFERROR(__xludf.DUMMYFUNCTION("""COMPUTED_VALUE"""),296942.0)</f>
        <v>296942</v>
      </c>
      <c r="K1209" s="3" t="str">
        <f>IFERROR(__xludf.DUMMYFUNCTION("""COMPUTED_VALUE"""),"นายปิยะ รักษากิจ")</f>
        <v>นายปิยะ รักษากิจ</v>
      </c>
      <c r="L1209" s="1" t="str">
        <f>IFERROR(__xludf.DUMMYFUNCTION("""COMPUTED_VALUE"""),"07 K.Piya R.")</f>
        <v>07 K.Piya R.</v>
      </c>
      <c r="M1209" s="1" t="str">
        <f>IFERROR(__xludf.DUMMYFUNCTION("""COMPUTED_VALUE"""),"097-919-5476")</f>
        <v>097-919-5476</v>
      </c>
      <c r="N1209" s="3">
        <f>IFERROR(__xludf.DUMMYFUNCTION("""COMPUTED_VALUE"""),21332.0)</f>
        <v>21332</v>
      </c>
      <c r="O1209" s="3" t="str">
        <f>IFERROR(__xludf.DUMMYFUNCTION("""COMPUTED_VALUE"""),"MBC BCP อ่อนนุช 17/1")</f>
        <v>MBC BCP อ่อนนุช 17/1</v>
      </c>
      <c r="P1209" s="4">
        <f>IFERROR(__xludf.DUMMYFUNCTION("""COMPUTED_VALUE"""),43789.0)</f>
        <v>43789</v>
      </c>
      <c r="Q1209" s="3" t="str">
        <f>IFERROR(__xludf.DUMMYFUNCTION("""COMPUTED_VALUE"""),"A")</f>
        <v>A</v>
      </c>
      <c r="R1209" s="3" t="str">
        <f>IFERROR(__xludf.DUMMYFUNCTION("""COMPUTED_VALUE"""),"Small Format")</f>
        <v>Small Format</v>
      </c>
      <c r="S1209" s="3" t="str">
        <f>IFERROR(__xludf.DUMMYFUNCTION("""COMPUTED_VALUE"""),"BCM")</f>
        <v>BCM</v>
      </c>
      <c r="T1209" s="3" t="str">
        <f>IFERROR(__xludf.DUMMYFUNCTION("""COMPUTED_VALUE"""),"#N/A")</f>
        <v>#N/A</v>
      </c>
      <c r="U1209" s="3" t="str">
        <f>IFERROR(__xludf.DUMMYFUNCTION("""COMPUTED_VALUE"""),"#N/A")</f>
        <v>#N/A</v>
      </c>
      <c r="V1209" s="3" t="str">
        <f>IFERROR(__xludf.DUMMYFUNCTION("""COMPUTED_VALUE"""),"N")</f>
        <v>N</v>
      </c>
      <c r="W1209" s="3">
        <f>IFERROR(__xludf.DUMMYFUNCTION("""COMPUTED_VALUE"""),210089.0)</f>
        <v>210089</v>
      </c>
      <c r="X1209" s="3" t="str">
        <f>IFERROR(__xludf.DUMMYFUNCTION("""COMPUTED_VALUE"""),"959 หมู่9 ตำบลเขาคันทรง อำเภอศรีราชา จังหวัดชลบุรี 20110")</f>
        <v>959 หมู่9 ตำบลเขาคันทรง อำเภอศรีราชา จังหวัดชลบุรี 20110</v>
      </c>
      <c r="Y1209" s="3"/>
      <c r="Z1209" s="3" t="str">
        <f>IFERROR(__xludf.DUMMYFUNCTION("""COMPUTED_VALUE"""),"เขาคันทรง")</f>
        <v>เขาคันทรง</v>
      </c>
      <c r="AA1209" s="3" t="str">
        <f>IFERROR(__xludf.DUMMYFUNCTION("""COMPUTED_VALUE"""),"ศรีราชา")</f>
        <v>ศรีราชา</v>
      </c>
      <c r="AB1209" s="3" t="str">
        <f>IFERROR(__xludf.DUMMYFUNCTION("""COMPUTED_VALUE"""),"ชลบุรี")</f>
        <v>ชลบุรี</v>
      </c>
      <c r="AC1209" s="3">
        <f>IFERROR(__xludf.DUMMYFUNCTION("""COMPUTED_VALUE"""),20110.0)</f>
        <v>20110</v>
      </c>
      <c r="AD1209" s="3">
        <f>IFERROR(__xludf.DUMMYFUNCTION("""COMPUTED_VALUE"""),13.107097)</f>
        <v>13.107097</v>
      </c>
      <c r="AE1209" s="3">
        <f>IFERROR(__xludf.DUMMYFUNCTION("""COMPUTED_VALUE"""),101.14506)</f>
        <v>101.14506</v>
      </c>
      <c r="AF1209" s="3" t="str">
        <f>IFERROR(__xludf.DUMMYFUNCTION("""COMPUTED_VALUE"""),"MBC คาลเท็กซ์ 331-เขาคันทรง ชลบุรี-21981")</f>
        <v>MBC คาลเท็กซ์ 331-เขาคันทรง ชลบุรี-21981</v>
      </c>
      <c r="AG1209" s="3" t="str">
        <f>IFERROR(__xludf.DUMMYFUNCTION("""COMPUTED_VALUE"""),"ตะวันออก")</f>
        <v>ตะวันออก</v>
      </c>
      <c r="AH1209" s="3" t="str">
        <f>IFERROR(__xludf.DUMMYFUNCTION("""COMPUTED_VALUE"""),"#N/A")</f>
        <v>#N/A</v>
      </c>
      <c r="AI1209" s="3" t="str">
        <f>IFERROR(__xludf.DUMMYFUNCTION("""COMPUTED_VALUE"""),"Out of warranty")</f>
        <v>Out of warranty</v>
      </c>
      <c r="AJ1209" s="3">
        <f>IFERROR(__xludf.DUMMYFUNCTION("""COMPUTED_VALUE"""),75.0)</f>
        <v>75</v>
      </c>
      <c r="AK1209" s="3" t="str">
        <f>IFERROR(__xludf.DUMMYFUNCTION("""COMPUTED_VALUE"""),"MMS07")</f>
        <v>MMS07</v>
      </c>
      <c r="AL1209" s="3"/>
    </row>
    <row r="1210" ht="15.75" customHeight="1">
      <c r="A1210" s="1" t="str">
        <f>IFERROR(__xludf.DUMMYFUNCTION("""COMPUTED_VALUE"""),"21982")</f>
        <v>21982</v>
      </c>
      <c r="B1210" s="2">
        <f>IFERROR(__xludf.DUMMYFUNCTION("""COMPUTED_VALUE"""),21982.0)</f>
        <v>21982</v>
      </c>
      <c r="C1210" s="3" t="str">
        <f>IFERROR(__xludf.DUMMYFUNCTION("""COMPUTED_VALUE"""),"MBC ปัทมานนท์ สุรินทร์")</f>
        <v>MBC ปัทมานนท์ สุรินทร์</v>
      </c>
      <c r="D1210" s="3" t="str">
        <f>IFERROR(__xludf.DUMMYFUNCTION("""COMPUTED_VALUE"""),"BCM PATTAMANON, SURIN")</f>
        <v>BCM PATTAMANON, SURIN</v>
      </c>
      <c r="E1210" s="1" t="str">
        <f>IFERROR(__xludf.DUMMYFUNCTION("""COMPUTED_VALUE"""),"บิ๊กซี MINI")</f>
        <v>บิ๊กซี MINI</v>
      </c>
      <c r="F1210" s="1" t="str">
        <f>IFERROR(__xludf.DUMMYFUNCTION("""COMPUTED_VALUE"""),"291105")</f>
        <v>291105</v>
      </c>
      <c r="G1210" s="1" t="str">
        <f>IFERROR(__xludf.DUMMYFUNCTION("""COMPUTED_VALUE"""),"นายสราวุฒิ พณิชยกุล")</f>
        <v>นายสราวุฒิ พณิชยกุล</v>
      </c>
      <c r="H1210" s="1" t="str">
        <f>IFERROR(__xludf.DUMMYFUNCTION("""COMPUTED_VALUE"""),"398146")</f>
        <v>398146</v>
      </c>
      <c r="I1210" s="1" t="str">
        <f>IFERROR(__xludf.DUMMYFUNCTION("""COMPUTED_VALUE"""),"น.ส.กนกสิริ สุขหอม")</f>
        <v>น.ส.กนกสิริ สุขหอม</v>
      </c>
      <c r="J1210" s="3">
        <f>IFERROR(__xludf.DUMMYFUNCTION("""COMPUTED_VALUE"""),2454781.0)</f>
        <v>2454781</v>
      </c>
      <c r="K1210" s="3" t="str">
        <f>IFERROR(__xludf.DUMMYFUNCTION("""COMPUTED_VALUE"""),"นายฌานกฤช นันทะโคต")</f>
        <v>นายฌานกฤช นันทะโคต</v>
      </c>
      <c r="L1210" s="1" t="str">
        <f>IFERROR(__xludf.DUMMYFUNCTION("""COMPUTED_VALUE"""),"05 K.Chanakrit N.")</f>
        <v>05 K.Chanakrit N.</v>
      </c>
      <c r="M1210" s="1" t="str">
        <f>IFERROR(__xludf.DUMMYFUNCTION("""COMPUTED_VALUE"""),"090-978-9785 ,065-929-1320")</f>
        <v>090-978-9785 ,065-929-1320</v>
      </c>
      <c r="N1210" s="3">
        <f>IFERROR(__xludf.DUMMYFUNCTION("""COMPUTED_VALUE"""),22195.0)</f>
        <v>22195</v>
      </c>
      <c r="O1210" s="3" t="str">
        <f>IFERROR(__xludf.DUMMYFUNCTION("""COMPUTED_VALUE"""),"MBC กันทรลักษ์ ศรีสะเกษ")</f>
        <v>MBC กันทรลักษ์ ศรีสะเกษ</v>
      </c>
      <c r="P1210" s="4">
        <f>IFERROR(__xludf.DUMMYFUNCTION("""COMPUTED_VALUE"""),43798.0)</f>
        <v>43798</v>
      </c>
      <c r="Q1210" s="3" t="str">
        <f>IFERROR(__xludf.DUMMYFUNCTION("""COMPUTED_VALUE"""),"A")</f>
        <v>A</v>
      </c>
      <c r="R1210" s="3" t="str">
        <f>IFERROR(__xludf.DUMMYFUNCTION("""COMPUTED_VALUE"""),"Small Format")</f>
        <v>Small Format</v>
      </c>
      <c r="S1210" s="3" t="str">
        <f>IFERROR(__xludf.DUMMYFUNCTION("""COMPUTED_VALUE"""),"BCM")</f>
        <v>BCM</v>
      </c>
      <c r="T1210" s="3" t="str">
        <f>IFERROR(__xludf.DUMMYFUNCTION("""COMPUTED_VALUE"""),"#N/A")</f>
        <v>#N/A</v>
      </c>
      <c r="U1210" s="3" t="str">
        <f>IFERROR(__xludf.DUMMYFUNCTION("""COMPUTED_VALUE"""),"#N/A")</f>
        <v>#N/A</v>
      </c>
      <c r="V1210" s="3" t="str">
        <f>IFERROR(__xludf.DUMMYFUNCTION("""COMPUTED_VALUE"""),"N")</f>
        <v>N</v>
      </c>
      <c r="W1210" s="3">
        <f>IFERROR(__xludf.DUMMYFUNCTION("""COMPUTED_VALUE"""),210008.0)</f>
        <v>210008</v>
      </c>
      <c r="X1210" s="3" t="str">
        <f>IFERROR(__xludf.DUMMYFUNCTION("""COMPUTED_VALUE"""),"73/14 ถนนปัทมานนท์ ตำบลในเมือง อำเภอเมืองสุรินทร์ จังหวัดสุรินทร์ 32000")</f>
        <v>73/14 ถนนปัทมานนท์ ตำบลในเมือง อำเภอเมืองสุรินทร์ จังหวัดสุรินทร์ 32000</v>
      </c>
      <c r="Y1210" s="3" t="str">
        <f>IFERROR(__xludf.DUMMYFUNCTION("""COMPUTED_VALUE"""),"ถนนปัทมานนท์")</f>
        <v>ถนนปัทมานนท์</v>
      </c>
      <c r="Z1210" s="3" t="str">
        <f>IFERROR(__xludf.DUMMYFUNCTION("""COMPUTED_VALUE"""),"ในเมือง")</f>
        <v>ในเมือง</v>
      </c>
      <c r="AA1210" s="3" t="str">
        <f>IFERROR(__xludf.DUMMYFUNCTION("""COMPUTED_VALUE"""),"เมือง")</f>
        <v>เมือง</v>
      </c>
      <c r="AB1210" s="3" t="str">
        <f>IFERROR(__xludf.DUMMYFUNCTION("""COMPUTED_VALUE"""),"สุรินทร์")</f>
        <v>สุรินทร์</v>
      </c>
      <c r="AC1210" s="3">
        <f>IFERROR(__xludf.DUMMYFUNCTION("""COMPUTED_VALUE"""),32000.0)</f>
        <v>32000</v>
      </c>
      <c r="AD1210" s="3">
        <f>IFERROR(__xludf.DUMMYFUNCTION("""COMPUTED_VALUE"""),14.894172)</f>
        <v>14.894172</v>
      </c>
      <c r="AE1210" s="3">
        <f>IFERROR(__xludf.DUMMYFUNCTION("""COMPUTED_VALUE"""),103.498052)</f>
        <v>103.498052</v>
      </c>
      <c r="AF1210" s="3" t="str">
        <f>IFERROR(__xludf.DUMMYFUNCTION("""COMPUTED_VALUE"""),"MBC ปัทมานนท์ สุรินทร์-21982")</f>
        <v>MBC ปัทมานนท์ สุรินทร์-21982</v>
      </c>
      <c r="AG1210" s="3" t="str">
        <f>IFERROR(__xludf.DUMMYFUNCTION("""COMPUTED_VALUE"""),"ตะวันออกเฉียงเหนือ")</f>
        <v>ตะวันออกเฉียงเหนือ</v>
      </c>
      <c r="AH1210" s="3" t="str">
        <f>IFERROR(__xludf.DUMMYFUNCTION("""COMPUTED_VALUE"""),"#N/A")</f>
        <v>#N/A</v>
      </c>
      <c r="AI1210" s="3" t="str">
        <f>IFERROR(__xludf.DUMMYFUNCTION("""COMPUTED_VALUE"""),"Out of warranty")</f>
        <v>Out of warranty</v>
      </c>
      <c r="AJ1210" s="3">
        <f>IFERROR(__xludf.DUMMYFUNCTION("""COMPUTED_VALUE"""),74.0)</f>
        <v>74</v>
      </c>
      <c r="AK1210" s="3" t="str">
        <f>IFERROR(__xludf.DUMMYFUNCTION("""COMPUTED_VALUE"""),"MMS13")</f>
        <v>MMS13</v>
      </c>
      <c r="AL1210" s="3"/>
    </row>
    <row r="1211" ht="15.75" customHeight="1">
      <c r="A1211" s="1" t="str">
        <f>IFERROR(__xludf.DUMMYFUNCTION("""COMPUTED_VALUE"""),"21983")</f>
        <v>21983</v>
      </c>
      <c r="B1211" s="2">
        <f>IFERROR(__xludf.DUMMYFUNCTION("""COMPUTED_VALUE"""),21983.0)</f>
        <v>21983</v>
      </c>
      <c r="C1211" s="3" t="str">
        <f>IFERROR(__xludf.DUMMYFUNCTION("""COMPUTED_VALUE"""),"MBC ถ้ำพรรณรา นครศรีธรรมราช")</f>
        <v>MBC ถ้ำพรรณรา นครศรีธรรมราช</v>
      </c>
      <c r="D1211" s="3" t="str">
        <f>IFERROR(__xludf.DUMMYFUNCTION("""COMPUTED_VALUE"""),"BCM THAM PHANNARA")</f>
        <v>BCM THAM PHANNARA</v>
      </c>
      <c r="E1211" s="1" t="str">
        <f>IFERROR(__xludf.DUMMYFUNCTION("""COMPUTED_VALUE"""),"บิ๊กซี MINI")</f>
        <v>บิ๊กซี MINI</v>
      </c>
      <c r="F1211" s="1" t="str">
        <f>IFERROR(__xludf.DUMMYFUNCTION("""COMPUTED_VALUE"""),"250760")</f>
        <v>250760</v>
      </c>
      <c r="G1211" s="1" t="str">
        <f>IFERROR(__xludf.DUMMYFUNCTION("""COMPUTED_VALUE"""),"นายประทวน สาราบรรณ์")</f>
        <v>นายประทวน สาราบรรณ์</v>
      </c>
      <c r="H1211" s="1" t="str">
        <f>IFERROR(__xludf.DUMMYFUNCTION("""COMPUTED_VALUE"""),"394143")</f>
        <v>394143</v>
      </c>
      <c r="I1211" s="1" t="str">
        <f>IFERROR(__xludf.DUMMYFUNCTION("""COMPUTED_VALUE"""),"นายวิษณุ เพชรหัตถ์")</f>
        <v>นายวิษณุ เพชรหัตถ์</v>
      </c>
      <c r="J1211" s="3">
        <f>IFERROR(__xludf.DUMMYFUNCTION("""COMPUTED_VALUE"""),2.0470331E7)</f>
        <v>20470331</v>
      </c>
      <c r="K1211" s="3" t="str">
        <f>IFERROR(__xludf.DUMMYFUNCTION("""COMPUTED_VALUE"""),"นายสมชาย ลักษณะสุวรรณ")</f>
        <v>นายสมชาย ลักษณะสุวรรณ</v>
      </c>
      <c r="L1211" s="3" t="str">
        <f>IFERROR(__xludf.DUMMYFUNCTION("""COMPUTED_VALUE"""),"15 K.Somchai L")</f>
        <v>15 K.Somchai L</v>
      </c>
      <c r="M1211" s="1" t="str">
        <f>IFERROR(__xludf.DUMMYFUNCTION("""COMPUTED_VALUE"""),"0655107372")</f>
        <v>0655107372</v>
      </c>
      <c r="N1211" s="3">
        <f>IFERROR(__xludf.DUMMYFUNCTION("""COMPUTED_VALUE"""),21723.0)</f>
        <v>21723</v>
      </c>
      <c r="O121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211" s="4">
        <f>IFERROR(__xludf.DUMMYFUNCTION("""COMPUTED_VALUE"""),43799.0)</f>
        <v>43799</v>
      </c>
      <c r="Q1211" s="3" t="str">
        <f>IFERROR(__xludf.DUMMYFUNCTION("""COMPUTED_VALUE"""),"A")</f>
        <v>A</v>
      </c>
      <c r="R1211" s="3" t="str">
        <f>IFERROR(__xludf.DUMMYFUNCTION("""COMPUTED_VALUE"""),"Small Format")</f>
        <v>Small Format</v>
      </c>
      <c r="S1211" s="3" t="str">
        <f>IFERROR(__xludf.DUMMYFUNCTION("""COMPUTED_VALUE"""),"BCM")</f>
        <v>BCM</v>
      </c>
      <c r="T1211" s="3" t="str">
        <f>IFERROR(__xludf.DUMMYFUNCTION("""COMPUTED_VALUE"""),"#N/A")</f>
        <v>#N/A</v>
      </c>
      <c r="U1211" s="3" t="str">
        <f>IFERROR(__xludf.DUMMYFUNCTION("""COMPUTED_VALUE"""),"#N/A")</f>
        <v>#N/A</v>
      </c>
      <c r="V1211" s="3" t="str">
        <f>IFERROR(__xludf.DUMMYFUNCTION("""COMPUTED_VALUE"""),"N")</f>
        <v>N</v>
      </c>
      <c r="W1211" s="3">
        <f>IFERROR(__xludf.DUMMYFUNCTION("""COMPUTED_VALUE"""),210014.0)</f>
        <v>210014</v>
      </c>
      <c r="X1211" s="3" t="str">
        <f>IFERROR(__xludf.DUMMYFUNCTION("""COMPUTED_VALUE"""),"384 หมู่3 ตำบลถ้ำพรรณรา อำเภอถ้ำพรรณรา จังหวัดนครศรีธรรมราช 80260")</f>
        <v>384 หมู่3 ตำบลถ้ำพรรณรา อำเภอถ้ำพรรณรา จังหวัดนครศรีธรรมราช 80260</v>
      </c>
      <c r="Y1211" s="3"/>
      <c r="Z1211" s="3" t="str">
        <f>IFERROR(__xludf.DUMMYFUNCTION("""COMPUTED_VALUE"""),"ถ้ำพรรณรา")</f>
        <v>ถ้ำพรรณรา</v>
      </c>
      <c r="AA1211" s="3" t="str">
        <f>IFERROR(__xludf.DUMMYFUNCTION("""COMPUTED_VALUE"""),"ถ้ำพรรณรา")</f>
        <v>ถ้ำพรรณรา</v>
      </c>
      <c r="AB1211" s="3" t="str">
        <f>IFERROR(__xludf.DUMMYFUNCTION("""COMPUTED_VALUE"""),"นครศรีธรรมราช")</f>
        <v>นครศรีธรรมราช</v>
      </c>
      <c r="AC1211" s="3">
        <f>IFERROR(__xludf.DUMMYFUNCTION("""COMPUTED_VALUE"""),80260.0)</f>
        <v>80260</v>
      </c>
      <c r="AD1211" s="3">
        <f>IFERROR(__xludf.DUMMYFUNCTION("""COMPUTED_VALUE"""),8.420224)</f>
        <v>8.420224</v>
      </c>
      <c r="AE1211" s="3">
        <f>IFERROR(__xludf.DUMMYFUNCTION("""COMPUTED_VALUE"""),99.369096)</f>
        <v>99.369096</v>
      </c>
      <c r="AF1211" s="3" t="str">
        <f>IFERROR(__xludf.DUMMYFUNCTION("""COMPUTED_VALUE"""),"MBC ถ้ำพรรณรา นครศรีธรรมราช-21983")</f>
        <v>MBC ถ้ำพรรณรา นครศรีธรรมราช-21983</v>
      </c>
      <c r="AG1211" s="3" t="str">
        <f>IFERROR(__xludf.DUMMYFUNCTION("""COMPUTED_VALUE"""),"ใต้")</f>
        <v>ใต้</v>
      </c>
      <c r="AH1211" s="3" t="str">
        <f>IFERROR(__xludf.DUMMYFUNCTION("""COMPUTED_VALUE"""),"#N/A")</f>
        <v>#N/A</v>
      </c>
      <c r="AI1211" s="3" t="str">
        <f>IFERROR(__xludf.DUMMYFUNCTION("""COMPUTED_VALUE"""),"Out of warranty")</f>
        <v>Out of warranty</v>
      </c>
      <c r="AJ1211" s="3">
        <f>IFERROR(__xludf.DUMMYFUNCTION("""COMPUTED_VALUE"""),74.0)</f>
        <v>74</v>
      </c>
      <c r="AK1211" s="3" t="str">
        <f>IFERROR(__xludf.DUMMYFUNCTION("""COMPUTED_VALUE"""),"MMS15")</f>
        <v>MMS15</v>
      </c>
      <c r="AL1211" s="3"/>
    </row>
    <row r="1212" ht="15.75" customHeight="1">
      <c r="A1212" s="1" t="str">
        <f>IFERROR(__xludf.DUMMYFUNCTION("""COMPUTED_VALUE"""),"21984")</f>
        <v>21984</v>
      </c>
      <c r="B1212" s="2">
        <f>IFERROR(__xludf.DUMMYFUNCTION("""COMPUTED_VALUE"""),21984.0)</f>
        <v>21984</v>
      </c>
      <c r="C1212" s="3" t="str">
        <f>IFERROR(__xludf.DUMMYFUNCTION("""COMPUTED_VALUE"""),"MBC โพนพิสัย หนองคาย")</f>
        <v>MBC โพนพิสัย หนองคาย</v>
      </c>
      <c r="D1212" s="3" t="str">
        <f>IFERROR(__xludf.DUMMYFUNCTION("""COMPUTED_VALUE"""),"BCM PHONPHISAI, NONG KHAI")</f>
        <v>BCM PHONPHISAI, NONG KHAI</v>
      </c>
      <c r="E1212" s="1" t="str">
        <f>IFERROR(__xludf.DUMMYFUNCTION("""COMPUTED_VALUE"""),"บิ๊กซี MINI")</f>
        <v>บิ๊กซี MINI</v>
      </c>
      <c r="F1212" s="1" t="str">
        <f>IFERROR(__xludf.DUMMYFUNCTION("""COMPUTED_VALUE"""),"291105")</f>
        <v>291105</v>
      </c>
      <c r="G1212" s="1" t="str">
        <f>IFERROR(__xludf.DUMMYFUNCTION("""COMPUTED_VALUE"""),"นายสราวุฒิ พณิชยกุล")</f>
        <v>นายสราวุฒิ พณิชยกุล</v>
      </c>
      <c r="H1212" s="1" t="str">
        <f>IFERROR(__xludf.DUMMYFUNCTION("""COMPUTED_VALUE"""),"392005")</f>
        <v>392005</v>
      </c>
      <c r="I1212" s="1" t="str">
        <f>IFERROR(__xludf.DUMMYFUNCTION("""COMPUTED_VALUE"""),"นายรัฐพล หาญลำยวง")</f>
        <v>นายรัฐพล หาญลำยวง</v>
      </c>
      <c r="J1212" s="3">
        <f>IFERROR(__xludf.DUMMYFUNCTION("""COMPUTED_VALUE"""),296868.0)</f>
        <v>296868</v>
      </c>
      <c r="K1212" s="3" t="str">
        <f>IFERROR(__xludf.DUMMYFUNCTION("""COMPUTED_VALUE"""),"นายพีระพงษ์ แก้วดวงดี")</f>
        <v>นายพีระพงษ์ แก้วดวงดี</v>
      </c>
      <c r="L1212" s="1" t="str">
        <f>IFERROR(__xludf.DUMMYFUNCTION("""COMPUTED_VALUE"""),"03 K.Peerapong K.")</f>
        <v>03 K.Peerapong K.</v>
      </c>
      <c r="M1212" s="1" t="str">
        <f>IFERROR(__xludf.DUMMYFUNCTION("""COMPUTED_VALUE"""),"089-002-6599")</f>
        <v>089-002-6599</v>
      </c>
      <c r="N1212" s="3">
        <f>IFERROR(__xludf.DUMMYFUNCTION("""COMPUTED_VALUE"""),21946.0)</f>
        <v>21946</v>
      </c>
      <c r="O1212" s="3" t="str">
        <f>IFERROR(__xludf.DUMMYFUNCTION("""COMPUTED_VALUE"""),"MBC เซกา บึงกาฬ")</f>
        <v>MBC เซกา บึงกาฬ</v>
      </c>
      <c r="P1212" s="4">
        <f>IFERROR(__xludf.DUMMYFUNCTION("""COMPUTED_VALUE"""),43799.0)</f>
        <v>43799</v>
      </c>
      <c r="Q1212" s="3" t="str">
        <f>IFERROR(__xludf.DUMMYFUNCTION("""COMPUTED_VALUE"""),"A")</f>
        <v>A</v>
      </c>
      <c r="R1212" s="3" t="str">
        <f>IFERROR(__xludf.DUMMYFUNCTION("""COMPUTED_VALUE"""),"Small Format")</f>
        <v>Small Format</v>
      </c>
      <c r="S1212" s="3" t="str">
        <f>IFERROR(__xludf.DUMMYFUNCTION("""COMPUTED_VALUE"""),"BCM")</f>
        <v>BCM</v>
      </c>
      <c r="T1212" s="3" t="str">
        <f>IFERROR(__xludf.DUMMYFUNCTION("""COMPUTED_VALUE"""),"#N/A")</f>
        <v>#N/A</v>
      </c>
      <c r="U1212" s="3" t="str">
        <f>IFERROR(__xludf.DUMMYFUNCTION("""COMPUTED_VALUE"""),"#N/A")</f>
        <v>#N/A</v>
      </c>
      <c r="V1212" s="3" t="str">
        <f>IFERROR(__xludf.DUMMYFUNCTION("""COMPUTED_VALUE"""),"N")</f>
        <v>N</v>
      </c>
      <c r="W1212" s="3">
        <f>IFERROR(__xludf.DUMMYFUNCTION("""COMPUTED_VALUE"""),211985.0)</f>
        <v>211985</v>
      </c>
      <c r="X1212" s="3" t="str">
        <f>IFERROR(__xludf.DUMMYFUNCTION("""COMPUTED_VALUE"""),"212/1 หมู่1 ตำบลจุมพล อำเภอโพนพิสัย จังหวัดหนองคาย 43120")</f>
        <v>212/1 หมู่1 ตำบลจุมพล อำเภอโพนพิสัย จังหวัดหนองคาย 43120</v>
      </c>
      <c r="Y1212" s="3"/>
      <c r="Z1212" s="3" t="str">
        <f>IFERROR(__xludf.DUMMYFUNCTION("""COMPUTED_VALUE"""),"จุมพล")</f>
        <v>จุมพล</v>
      </c>
      <c r="AA1212" s="3" t="str">
        <f>IFERROR(__xludf.DUMMYFUNCTION("""COMPUTED_VALUE"""),"โพนพิสัย")</f>
        <v>โพนพิสัย</v>
      </c>
      <c r="AB1212" s="3" t="str">
        <f>IFERROR(__xludf.DUMMYFUNCTION("""COMPUTED_VALUE"""),"หนองคาย")</f>
        <v>หนองคาย</v>
      </c>
      <c r="AC1212" s="3">
        <f>IFERROR(__xludf.DUMMYFUNCTION("""COMPUTED_VALUE"""),43120.0)</f>
        <v>43120</v>
      </c>
      <c r="AD1212" s="3">
        <f>IFERROR(__xludf.DUMMYFUNCTION("""COMPUTED_VALUE"""),18.02182)</f>
        <v>18.02182</v>
      </c>
      <c r="AE1212" s="3">
        <f>IFERROR(__xludf.DUMMYFUNCTION("""COMPUTED_VALUE"""),103.076146)</f>
        <v>103.076146</v>
      </c>
      <c r="AF1212" s="3" t="str">
        <f>IFERROR(__xludf.DUMMYFUNCTION("""COMPUTED_VALUE"""),"MBC โพนพิสัย หนองคาย-21984")</f>
        <v>MBC โพนพิสัย หนองคาย-21984</v>
      </c>
      <c r="AG1212" s="3" t="str">
        <f>IFERROR(__xludf.DUMMYFUNCTION("""COMPUTED_VALUE"""),"ตะวันออกเฉียงเหนือ")</f>
        <v>ตะวันออกเฉียงเหนือ</v>
      </c>
      <c r="AH1212" s="3" t="str">
        <f>IFERROR(__xludf.DUMMYFUNCTION("""COMPUTED_VALUE"""),"#N/A")</f>
        <v>#N/A</v>
      </c>
      <c r="AI1212" s="3" t="str">
        <f>IFERROR(__xludf.DUMMYFUNCTION("""COMPUTED_VALUE"""),"Out of warranty")</f>
        <v>Out of warranty</v>
      </c>
      <c r="AJ1212" s="3">
        <f>IFERROR(__xludf.DUMMYFUNCTION("""COMPUTED_VALUE"""),74.0)</f>
        <v>74</v>
      </c>
      <c r="AK1212" s="3" t="str">
        <f>IFERROR(__xludf.DUMMYFUNCTION("""COMPUTED_VALUE"""),"MMS12")</f>
        <v>MMS12</v>
      </c>
      <c r="AL1212" s="3"/>
    </row>
    <row r="1213" ht="15.75" customHeight="1">
      <c r="A1213" s="1" t="str">
        <f>IFERROR(__xludf.DUMMYFUNCTION("""COMPUTED_VALUE"""),"21985")</f>
        <v>21985</v>
      </c>
      <c r="B1213" s="2">
        <f>IFERROR(__xludf.DUMMYFUNCTION("""COMPUTED_VALUE"""),21985.0)</f>
        <v>21985</v>
      </c>
      <c r="C1213" s="3" t="str">
        <f>IFERROR(__xludf.DUMMYFUNCTION("""COMPUTED_VALUE"""),"MBC ปากคาด บึงกาฬ")</f>
        <v>MBC ปากคาด บึงกาฬ</v>
      </c>
      <c r="D1213" s="3" t="str">
        <f>IFERROR(__xludf.DUMMYFUNCTION("""COMPUTED_VALUE"""),"BCM PAK KHAD,BUENG KAN")</f>
        <v>BCM PAK KHAD,BUENG KAN</v>
      </c>
      <c r="E1213" s="1" t="str">
        <f>IFERROR(__xludf.DUMMYFUNCTION("""COMPUTED_VALUE"""),"บิ๊กซี MINI")</f>
        <v>บิ๊กซี MINI</v>
      </c>
      <c r="F1213" s="1" t="str">
        <f>IFERROR(__xludf.DUMMYFUNCTION("""COMPUTED_VALUE"""),"291105")</f>
        <v>291105</v>
      </c>
      <c r="G1213" s="1" t="str">
        <f>IFERROR(__xludf.DUMMYFUNCTION("""COMPUTED_VALUE"""),"นายสราวุฒิ พณิชยกุล")</f>
        <v>นายสราวุฒิ พณิชยกุล</v>
      </c>
      <c r="H1213" s="1" t="str">
        <f>IFERROR(__xludf.DUMMYFUNCTION("""COMPUTED_VALUE"""),"392885")</f>
        <v>392885</v>
      </c>
      <c r="I1213" s="1" t="str">
        <f>IFERROR(__xludf.DUMMYFUNCTION("""COMPUTED_VALUE"""),"น.ส.วราพร จันปลิว")</f>
        <v>น.ส.วราพร จันปลิว</v>
      </c>
      <c r="J1213" s="3">
        <f>IFERROR(__xludf.DUMMYFUNCTION("""COMPUTED_VALUE"""),296868.0)</f>
        <v>296868</v>
      </c>
      <c r="K1213" s="3" t="str">
        <f>IFERROR(__xludf.DUMMYFUNCTION("""COMPUTED_VALUE"""),"นายพีระพงษ์ แก้วดวงดี")</f>
        <v>นายพีระพงษ์ แก้วดวงดี</v>
      </c>
      <c r="L1213" s="1" t="str">
        <f>IFERROR(__xludf.DUMMYFUNCTION("""COMPUTED_VALUE"""),"03 K.Peerapong K.")</f>
        <v>03 K.Peerapong K.</v>
      </c>
      <c r="M1213" s="1" t="str">
        <f>IFERROR(__xludf.DUMMYFUNCTION("""COMPUTED_VALUE"""),"089-002-6599")</f>
        <v>089-002-6599</v>
      </c>
      <c r="N1213" s="3">
        <f>IFERROR(__xludf.DUMMYFUNCTION("""COMPUTED_VALUE"""),21946.0)</f>
        <v>21946</v>
      </c>
      <c r="O1213" s="3" t="str">
        <f>IFERROR(__xludf.DUMMYFUNCTION("""COMPUTED_VALUE"""),"MBC เซกา บึงกาฬ")</f>
        <v>MBC เซกา บึงกาฬ</v>
      </c>
      <c r="P1213" s="4">
        <f>IFERROR(__xludf.DUMMYFUNCTION("""COMPUTED_VALUE"""),43803.0)</f>
        <v>43803</v>
      </c>
      <c r="Q1213" s="3" t="str">
        <f>IFERROR(__xludf.DUMMYFUNCTION("""COMPUTED_VALUE"""),"A")</f>
        <v>A</v>
      </c>
      <c r="R1213" s="3" t="str">
        <f>IFERROR(__xludf.DUMMYFUNCTION("""COMPUTED_VALUE"""),"Small Format")</f>
        <v>Small Format</v>
      </c>
      <c r="S1213" s="3" t="str">
        <f>IFERROR(__xludf.DUMMYFUNCTION("""COMPUTED_VALUE"""),"BCM")</f>
        <v>BCM</v>
      </c>
      <c r="T1213" s="3" t="str">
        <f>IFERROR(__xludf.DUMMYFUNCTION("""COMPUTED_VALUE"""),"#N/A")</f>
        <v>#N/A</v>
      </c>
      <c r="U1213" s="3" t="str">
        <f>IFERROR(__xludf.DUMMYFUNCTION("""COMPUTED_VALUE"""),"#N/A")</f>
        <v>#N/A</v>
      </c>
      <c r="V1213" s="3" t="str">
        <f>IFERROR(__xludf.DUMMYFUNCTION("""COMPUTED_VALUE"""),"N")</f>
        <v>N</v>
      </c>
      <c r="W1213" s="3">
        <f>IFERROR(__xludf.DUMMYFUNCTION("""COMPUTED_VALUE"""),210056.0)</f>
        <v>210056</v>
      </c>
      <c r="X1213" s="3" t="str">
        <f>IFERROR(__xludf.DUMMYFUNCTION("""COMPUTED_VALUE"""),"24 หมู่4 ตำบลปากคาด อำเภอปากคาด จังหวัดบึงกาฬ 38190")</f>
        <v>24 หมู่4 ตำบลปากคาด อำเภอปากคาด จังหวัดบึงกาฬ 38190</v>
      </c>
      <c r="Y1213" s="3"/>
      <c r="Z1213" s="3" t="str">
        <f>IFERROR(__xludf.DUMMYFUNCTION("""COMPUTED_VALUE"""),"ปากคาด")</f>
        <v>ปากคาด</v>
      </c>
      <c r="AA1213" s="3" t="str">
        <f>IFERROR(__xludf.DUMMYFUNCTION("""COMPUTED_VALUE"""),"ปากคาด")</f>
        <v>ปากคาด</v>
      </c>
      <c r="AB1213" s="3" t="str">
        <f>IFERROR(__xludf.DUMMYFUNCTION("""COMPUTED_VALUE"""),"บึงกาฬ")</f>
        <v>บึงกาฬ</v>
      </c>
      <c r="AC1213" s="3">
        <f>IFERROR(__xludf.DUMMYFUNCTION("""COMPUTED_VALUE"""),38190.0)</f>
        <v>38190</v>
      </c>
      <c r="AD1213" s="3">
        <f>IFERROR(__xludf.DUMMYFUNCTION("""COMPUTED_VALUE"""),18.305429)</f>
        <v>18.305429</v>
      </c>
      <c r="AE1213" s="3">
        <f>IFERROR(__xludf.DUMMYFUNCTION("""COMPUTED_VALUE"""),103.302855)</f>
        <v>103.302855</v>
      </c>
      <c r="AF1213" s="3" t="str">
        <f>IFERROR(__xludf.DUMMYFUNCTION("""COMPUTED_VALUE"""),"MBC ปากคาด บึงกาฬ-21985")</f>
        <v>MBC ปากคาด บึงกาฬ-21985</v>
      </c>
      <c r="AG1213" s="3" t="str">
        <f>IFERROR(__xludf.DUMMYFUNCTION("""COMPUTED_VALUE"""),"ตะวันออกเฉียงเหนือ")</f>
        <v>ตะวันออกเฉียงเหนือ</v>
      </c>
      <c r="AH1213" s="3" t="str">
        <f>IFERROR(__xludf.DUMMYFUNCTION("""COMPUTED_VALUE"""),"#N/A")</f>
        <v>#N/A</v>
      </c>
      <c r="AI1213" s="3" t="str">
        <f>IFERROR(__xludf.DUMMYFUNCTION("""COMPUTED_VALUE"""),"Out of warranty")</f>
        <v>Out of warranty</v>
      </c>
      <c r="AJ1213" s="3">
        <f>IFERROR(__xludf.DUMMYFUNCTION("""COMPUTED_VALUE"""),74.0)</f>
        <v>74</v>
      </c>
      <c r="AK1213" s="3" t="str">
        <f>IFERROR(__xludf.DUMMYFUNCTION("""COMPUTED_VALUE"""),"MMS12")</f>
        <v>MMS12</v>
      </c>
      <c r="AL1213" s="3"/>
    </row>
    <row r="1214" ht="15.75" customHeight="1">
      <c r="A1214" s="1" t="str">
        <f>IFERROR(__xludf.DUMMYFUNCTION("""COMPUTED_VALUE"""),"21986")</f>
        <v>21986</v>
      </c>
      <c r="B1214" s="2">
        <f>IFERROR(__xludf.DUMMYFUNCTION("""COMPUTED_VALUE"""),21986.0)</f>
        <v>21986</v>
      </c>
      <c r="C1214" s="3" t="str">
        <f>IFERROR(__xludf.DUMMYFUNCTION("""COMPUTED_VALUE"""),"MBC โพธิสาร(พัทยา) ชลบุรี")</f>
        <v>MBC โพธิสาร(พัทยา) ชลบุรี</v>
      </c>
      <c r="D1214" s="3" t="str">
        <f>IFERROR(__xludf.DUMMYFUNCTION("""COMPUTED_VALUE"""),"BCM PHOTISARN (PATTAYA)")</f>
        <v>BCM PHOTISARN (PATTAYA)</v>
      </c>
      <c r="E1214" s="1" t="str">
        <f>IFERROR(__xludf.DUMMYFUNCTION("""COMPUTED_VALUE"""),"บิ๊กซี MINI")</f>
        <v>บิ๊กซี MINI</v>
      </c>
      <c r="F1214" s="1" t="str">
        <f>IFERROR(__xludf.DUMMYFUNCTION("""COMPUTED_VALUE"""),"221716")</f>
        <v>221716</v>
      </c>
      <c r="G1214" s="1" t="str">
        <f>IFERROR(__xludf.DUMMYFUNCTION("""COMPUTED_VALUE"""),"น.ส.เบญจพร โพธิสาร")</f>
        <v>น.ส.เบญจพร โพธิสาร</v>
      </c>
      <c r="H1214" s="1" t="str">
        <f>IFERROR(__xludf.DUMMYFUNCTION("""COMPUTED_VALUE"""),"291061")</f>
        <v>291061</v>
      </c>
      <c r="I1214" s="1" t="str">
        <f>IFERROR(__xludf.DUMMYFUNCTION("""COMPUTED_VALUE"""),"นายสมศักดิ์ เสียงก้อง")</f>
        <v>นายสมศักดิ์ เสียงก้อง</v>
      </c>
      <c r="J1214" s="3">
        <f>IFERROR(__xludf.DUMMYFUNCTION("""COMPUTED_VALUE"""),296942.0)</f>
        <v>296942</v>
      </c>
      <c r="K1214" s="3" t="str">
        <f>IFERROR(__xludf.DUMMYFUNCTION("""COMPUTED_VALUE"""),"นายปิยะ รักษากิจ")</f>
        <v>นายปิยะ รักษากิจ</v>
      </c>
      <c r="L1214" s="1" t="str">
        <f>IFERROR(__xludf.DUMMYFUNCTION("""COMPUTED_VALUE"""),"07 K.Piya R.")</f>
        <v>07 K.Piya R.</v>
      </c>
      <c r="M1214" s="1" t="str">
        <f>IFERROR(__xludf.DUMMYFUNCTION("""COMPUTED_VALUE"""),"097-919-5476")</f>
        <v>097-919-5476</v>
      </c>
      <c r="N1214" s="3">
        <f>IFERROR(__xludf.DUMMYFUNCTION("""COMPUTED_VALUE"""),21332.0)</f>
        <v>21332</v>
      </c>
      <c r="O1214" s="3" t="str">
        <f>IFERROR(__xludf.DUMMYFUNCTION("""COMPUTED_VALUE"""),"MBC BCP อ่อนนุช 17/1")</f>
        <v>MBC BCP อ่อนนุช 17/1</v>
      </c>
      <c r="P1214" s="4">
        <f>IFERROR(__xludf.DUMMYFUNCTION("""COMPUTED_VALUE"""),43794.0)</f>
        <v>43794</v>
      </c>
      <c r="Q1214" s="3" t="str">
        <f>IFERROR(__xludf.DUMMYFUNCTION("""COMPUTED_VALUE"""),"A")</f>
        <v>A</v>
      </c>
      <c r="R1214" s="3" t="str">
        <f>IFERROR(__xludf.DUMMYFUNCTION("""COMPUTED_VALUE"""),"Small Format")</f>
        <v>Small Format</v>
      </c>
      <c r="S1214" s="3" t="str">
        <f>IFERROR(__xludf.DUMMYFUNCTION("""COMPUTED_VALUE"""),"BCM")</f>
        <v>BCM</v>
      </c>
      <c r="T1214" s="3" t="str">
        <f>IFERROR(__xludf.DUMMYFUNCTION("""COMPUTED_VALUE"""),"#N/A")</f>
        <v>#N/A</v>
      </c>
      <c r="U1214" s="3" t="str">
        <f>IFERROR(__xludf.DUMMYFUNCTION("""COMPUTED_VALUE"""),"#N/A")</f>
        <v>#N/A</v>
      </c>
      <c r="V1214" s="3" t="str">
        <f>IFERROR(__xludf.DUMMYFUNCTION("""COMPUTED_VALUE"""),"N")</f>
        <v>N</v>
      </c>
      <c r="W1214" s="3">
        <f>IFERROR(__xludf.DUMMYFUNCTION("""COMPUTED_VALUE"""),210002.0)</f>
        <v>210002</v>
      </c>
      <c r="X1214" s="3" t="str">
        <f>IFERROR(__xludf.DUMMYFUNCTION("""COMPUTED_VALUE"""),"555/44 หมู่5 ตำบลนาเกลือ อำเภอบางละมุง จังหวัดชลบุรี 20150")</f>
        <v>555/44 หมู่5 ตำบลนาเกลือ อำเภอบางละมุง จังหวัดชลบุรี 20150</v>
      </c>
      <c r="Y1214" s="3"/>
      <c r="Z1214" s="3" t="str">
        <f>IFERROR(__xludf.DUMMYFUNCTION("""COMPUTED_VALUE"""),"นาเกลือ")</f>
        <v>นาเกลือ</v>
      </c>
      <c r="AA1214" s="3" t="str">
        <f>IFERROR(__xludf.DUMMYFUNCTION("""COMPUTED_VALUE"""),"บางละมุง")</f>
        <v>บางละมุง</v>
      </c>
      <c r="AB1214" s="3" t="str">
        <f>IFERROR(__xludf.DUMMYFUNCTION("""COMPUTED_VALUE"""),"ชลบุรี")</f>
        <v>ชลบุรี</v>
      </c>
      <c r="AC1214" s="3">
        <f>IFERROR(__xludf.DUMMYFUNCTION("""COMPUTED_VALUE"""),20150.0)</f>
        <v>20150</v>
      </c>
      <c r="AD1214" s="3">
        <f>IFERROR(__xludf.DUMMYFUNCTION("""COMPUTED_VALUE"""),12.959412)</f>
        <v>12.959412</v>
      </c>
      <c r="AE1214" s="3">
        <f>IFERROR(__xludf.DUMMYFUNCTION("""COMPUTED_VALUE"""),100.895301)</f>
        <v>100.895301</v>
      </c>
      <c r="AF1214" s="3" t="str">
        <f>IFERROR(__xludf.DUMMYFUNCTION("""COMPUTED_VALUE"""),"MBC โพธิสาร(พัทยา) ชลบุรี-21986")</f>
        <v>MBC โพธิสาร(พัทยา) ชลบุรี-21986</v>
      </c>
      <c r="AG1214" s="3" t="str">
        <f>IFERROR(__xludf.DUMMYFUNCTION("""COMPUTED_VALUE"""),"ตะวันออก")</f>
        <v>ตะวันออก</v>
      </c>
      <c r="AH1214" s="3" t="str">
        <f>IFERROR(__xludf.DUMMYFUNCTION("""COMPUTED_VALUE"""),"#N/A")</f>
        <v>#N/A</v>
      </c>
      <c r="AI1214" s="3" t="str">
        <f>IFERROR(__xludf.DUMMYFUNCTION("""COMPUTED_VALUE"""),"Out of warranty")</f>
        <v>Out of warranty</v>
      </c>
      <c r="AJ1214" s="3">
        <f>IFERROR(__xludf.DUMMYFUNCTION("""COMPUTED_VALUE"""),74.0)</f>
        <v>74</v>
      </c>
      <c r="AK1214" s="3" t="str">
        <f>IFERROR(__xludf.DUMMYFUNCTION("""COMPUTED_VALUE"""),"MMS06")</f>
        <v>MMS06</v>
      </c>
      <c r="AL1214" s="3"/>
    </row>
    <row r="1215" ht="15.75" customHeight="1">
      <c r="A1215" s="1" t="str">
        <f>IFERROR(__xludf.DUMMYFUNCTION("""COMPUTED_VALUE"""),"21987")</f>
        <v>21987</v>
      </c>
      <c r="B1215" s="2">
        <f>IFERROR(__xludf.DUMMYFUNCTION("""COMPUTED_VALUE"""),21987.0)</f>
        <v>21987</v>
      </c>
      <c r="C1215" s="3" t="str">
        <f>IFERROR(__xludf.DUMMYFUNCTION("""COMPUTED_VALUE"""),"MBC ห้วยทราย สระบุรี")</f>
        <v>MBC ห้วยทราย สระบุรี</v>
      </c>
      <c r="D1215" s="3" t="str">
        <f>IFERROR(__xludf.DUMMYFUNCTION("""COMPUTED_VALUE"""),"BCM HUAI SAI,SARABURI")</f>
        <v>BCM HUAI SAI,SARABURI</v>
      </c>
      <c r="E1215" s="1" t="str">
        <f>IFERROR(__xludf.DUMMYFUNCTION("""COMPUTED_VALUE"""),"บิ๊กซี MINI")</f>
        <v>บิ๊กซี MINI</v>
      </c>
      <c r="F1215" s="1" t="str">
        <f>IFERROR(__xludf.DUMMYFUNCTION("""COMPUTED_VALUE"""),"296229")</f>
        <v>296229</v>
      </c>
      <c r="G1215" s="1" t="str">
        <f>IFERROR(__xludf.DUMMYFUNCTION("""COMPUTED_VALUE"""),"นายทนงศักดิ์ บุญมา")</f>
        <v>นายทนงศักดิ์ บุญมา</v>
      </c>
      <c r="H1215" s="1" t="str">
        <f>IFERROR(__xludf.DUMMYFUNCTION("""COMPUTED_VALUE"""),"318233")</f>
        <v>318233</v>
      </c>
      <c r="I1215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1215" s="3">
        <f>IFERROR(__xludf.DUMMYFUNCTION("""COMPUTED_VALUE"""),46214.0)</f>
        <v>46214</v>
      </c>
      <c r="K1215" s="3" t="str">
        <f>IFERROR(__xludf.DUMMYFUNCTION("""COMPUTED_VALUE"""),"นายศักดิ์ชัย เด็ดดอกฟ้า")</f>
        <v>นายศักดิ์ชัย เด็ดดอกฟ้า</v>
      </c>
      <c r="L1215" s="1" t="str">
        <f>IFERROR(__xludf.DUMMYFUNCTION("""COMPUTED_VALUE"""),"02 K.Sakchai D")</f>
        <v>02 K.Sakchai D</v>
      </c>
      <c r="M1215" s="1" t="str">
        <f>IFERROR(__xludf.DUMMYFUNCTION("""COMPUTED_VALUE"""),"065-510-7376")</f>
        <v>065-510-7376</v>
      </c>
      <c r="N1215" s="3">
        <f>IFERROR(__xludf.DUMMYFUNCTION("""COMPUTED_VALUE"""),21714.0)</f>
        <v>21714</v>
      </c>
      <c r="O1215" s="3" t="str">
        <f>IFERROR(__xludf.DUMMYFUNCTION("""COMPUTED_VALUE"""),"MBC เอสโซ่ วัดโบสถ์")</f>
        <v>MBC เอสโซ่ วัดโบสถ์</v>
      </c>
      <c r="P1215" s="4">
        <f>IFERROR(__xludf.DUMMYFUNCTION("""COMPUTED_VALUE"""),43851.0)</f>
        <v>43851</v>
      </c>
      <c r="Q1215" s="3" t="str">
        <f>IFERROR(__xludf.DUMMYFUNCTION("""COMPUTED_VALUE"""),"A")</f>
        <v>A</v>
      </c>
      <c r="R1215" s="3" t="str">
        <f>IFERROR(__xludf.DUMMYFUNCTION("""COMPUTED_VALUE"""),"Small Format")</f>
        <v>Small Format</v>
      </c>
      <c r="S1215" s="3" t="str">
        <f>IFERROR(__xludf.DUMMYFUNCTION("""COMPUTED_VALUE"""),"BCM")</f>
        <v>BCM</v>
      </c>
      <c r="T1215" s="3" t="str">
        <f>IFERROR(__xludf.DUMMYFUNCTION("""COMPUTED_VALUE"""),"#N/A")</f>
        <v>#N/A</v>
      </c>
      <c r="U1215" s="3" t="str">
        <f>IFERROR(__xludf.DUMMYFUNCTION("""COMPUTED_VALUE"""),"#N/A")</f>
        <v>#N/A</v>
      </c>
      <c r="V1215" s="3" t="str">
        <f>IFERROR(__xludf.DUMMYFUNCTION("""COMPUTED_VALUE"""),"N")</f>
        <v>N</v>
      </c>
      <c r="W1215" s="3">
        <f>IFERROR(__xludf.DUMMYFUNCTION("""COMPUTED_VALUE"""),211995.0)</f>
        <v>211995</v>
      </c>
      <c r="X1215" s="3" t="str">
        <f>IFERROR(__xludf.DUMMYFUNCTION("""COMPUTED_VALUE"""),"62/19-22 หมู่1 ตำบลห้วยทราย อำเภอหนองแค จังหวัดสระบุรี 18230")</f>
        <v>62/19-22 หมู่1 ตำบลห้วยทราย อำเภอหนองแค จังหวัดสระบุรี 18230</v>
      </c>
      <c r="Y1215" s="3"/>
      <c r="Z1215" s="3" t="str">
        <f>IFERROR(__xludf.DUMMYFUNCTION("""COMPUTED_VALUE"""),"ห้วยทราย")</f>
        <v>ห้วยทราย</v>
      </c>
      <c r="AA1215" s="3" t="str">
        <f>IFERROR(__xludf.DUMMYFUNCTION("""COMPUTED_VALUE"""),"หนองแค")</f>
        <v>หนองแค</v>
      </c>
      <c r="AB1215" s="3" t="str">
        <f>IFERROR(__xludf.DUMMYFUNCTION("""COMPUTED_VALUE"""),"สระบุรี")</f>
        <v>สระบุรี</v>
      </c>
      <c r="AC1215" s="3">
        <f>IFERROR(__xludf.DUMMYFUNCTION("""COMPUTED_VALUE"""),18230.0)</f>
        <v>18230</v>
      </c>
      <c r="AD1215" s="3">
        <f>IFERROR(__xludf.DUMMYFUNCTION("""COMPUTED_VALUE"""),14.42686)</f>
        <v>14.42686</v>
      </c>
      <c r="AE1215" s="3">
        <f>IFERROR(__xludf.DUMMYFUNCTION("""COMPUTED_VALUE"""),100.8992)</f>
        <v>100.8992</v>
      </c>
      <c r="AF1215" s="3" t="str">
        <f>IFERROR(__xludf.DUMMYFUNCTION("""COMPUTED_VALUE"""),"MBC ห้วยทราย สระบุรี-21987")</f>
        <v>MBC ห้วยทราย สระบุรี-21987</v>
      </c>
      <c r="AG1215" s="3" t="str">
        <f>IFERROR(__xludf.DUMMYFUNCTION("""COMPUTED_VALUE"""),"กลาง")</f>
        <v>กลาง</v>
      </c>
      <c r="AH1215" s="3" t="str">
        <f>IFERROR(__xludf.DUMMYFUNCTION("""COMPUTED_VALUE"""),"#N/A")</f>
        <v>#N/A</v>
      </c>
      <c r="AI1215" s="3" t="str">
        <f>IFERROR(__xludf.DUMMYFUNCTION("""COMPUTED_VALUE"""),"Out of warranty")</f>
        <v>Out of warranty</v>
      </c>
      <c r="AJ1215" s="3">
        <f>IFERROR(__xludf.DUMMYFUNCTION("""COMPUTED_VALUE"""),72.0)</f>
        <v>72</v>
      </c>
      <c r="AK1215" s="3" t="str">
        <f>IFERROR(__xludf.DUMMYFUNCTION("""COMPUTED_VALUE"""),"MMS09")</f>
        <v>MMS09</v>
      </c>
      <c r="AL1215" s="3"/>
    </row>
    <row r="1216" ht="15.75" customHeight="1">
      <c r="A1216" s="1" t="str">
        <f>IFERROR(__xludf.DUMMYFUNCTION("""COMPUTED_VALUE"""),"21988")</f>
        <v>21988</v>
      </c>
      <c r="B1216" s="2">
        <f>IFERROR(__xludf.DUMMYFUNCTION("""COMPUTED_VALUE"""),21988.0)</f>
        <v>21988</v>
      </c>
      <c r="C1216" s="3" t="str">
        <f>IFERROR(__xludf.DUMMYFUNCTION("""COMPUTED_VALUE"""),"MBC คาล์เท็กซ์ เจ้าคุณทหาร กรุงเทพมหานคร")</f>
        <v>MBC คาล์เท็กซ์ เจ้าคุณทหาร กรุงเทพมหานคร</v>
      </c>
      <c r="D1216" s="3" t="str">
        <f>IFERROR(__xludf.DUMMYFUNCTION("""COMPUTED_VALUE"""),"BCM CALTEX CHAO KHUN THAHAN")</f>
        <v>BCM CALTEX CHAO KHUN THAHAN</v>
      </c>
      <c r="E1216" s="1" t="str">
        <f>IFERROR(__xludf.DUMMYFUNCTION("""COMPUTED_VALUE"""),"บิ๊กซี MINI")</f>
        <v>บิ๊กซี MINI</v>
      </c>
      <c r="F1216" s="1" t="str">
        <f>IFERROR(__xludf.DUMMYFUNCTION("""COMPUTED_VALUE"""),"291008")</f>
        <v>291008</v>
      </c>
      <c r="G1216" s="1" t="str">
        <f>IFERROR(__xludf.DUMMYFUNCTION("""COMPUTED_VALUE"""),"น.ส.รัชดาพร อีศรัตน์")</f>
        <v>น.ส.รัชดาพร อีศรัตน์</v>
      </c>
      <c r="H1216" s="1" t="str">
        <f>IFERROR(__xludf.DUMMYFUNCTION("""COMPUTED_VALUE"""),"359054")</f>
        <v>359054</v>
      </c>
      <c r="I1216" s="1" t="str">
        <f>IFERROR(__xludf.DUMMYFUNCTION("""COMPUTED_VALUE"""),"น.ส.กรรณิการ์ พุทธวงค์")</f>
        <v>น.ส.กรรณิการ์ พุทธวงค์</v>
      </c>
      <c r="J1216" s="3">
        <f>IFERROR(__xludf.DUMMYFUNCTION("""COMPUTED_VALUE"""),2452378.0)</f>
        <v>2452378</v>
      </c>
      <c r="K1216" s="3" t="str">
        <f>IFERROR(__xludf.DUMMYFUNCTION("""COMPUTED_VALUE"""),"นายศักดิ์ดา พวงประดับ")</f>
        <v>นายศักดิ์ดา พวงประดับ</v>
      </c>
      <c r="L1216" s="1" t="str">
        <f>IFERROR(__xludf.DUMMYFUNCTION("""COMPUTED_VALUE"""),"11 K.Sakda P.")</f>
        <v>11 K.Sakda P.</v>
      </c>
      <c r="M1216" s="1" t="str">
        <f>IFERROR(__xludf.DUMMYFUNCTION("""COMPUTED_VALUE"""),"065-929-1279")</f>
        <v>065-929-1279</v>
      </c>
      <c r="N1216" s="3">
        <f>IFERROR(__xludf.DUMMYFUNCTION("""COMPUTED_VALUE"""),21002.0)</f>
        <v>21002</v>
      </c>
      <c r="O1216" s="3" t="str">
        <f>IFERROR(__xludf.DUMMYFUNCTION("""COMPUTED_VALUE"""),"MBC อุดมสุข")</f>
        <v>MBC อุดมสุข</v>
      </c>
      <c r="P1216" s="4">
        <f>IFERROR(__xludf.DUMMYFUNCTION("""COMPUTED_VALUE"""),43820.0)</f>
        <v>43820</v>
      </c>
      <c r="Q1216" s="3" t="str">
        <f>IFERROR(__xludf.DUMMYFUNCTION("""COMPUTED_VALUE"""),"A")</f>
        <v>A</v>
      </c>
      <c r="R1216" s="3" t="str">
        <f>IFERROR(__xludf.DUMMYFUNCTION("""COMPUTED_VALUE"""),"Small Format")</f>
        <v>Small Format</v>
      </c>
      <c r="S1216" s="3" t="str">
        <f>IFERROR(__xludf.DUMMYFUNCTION("""COMPUTED_VALUE"""),"BCM")</f>
        <v>BCM</v>
      </c>
      <c r="T1216" s="3" t="str">
        <f>IFERROR(__xludf.DUMMYFUNCTION("""COMPUTED_VALUE"""),"#N/A")</f>
        <v>#N/A</v>
      </c>
      <c r="U1216" s="3" t="str">
        <f>IFERROR(__xludf.DUMMYFUNCTION("""COMPUTED_VALUE"""),"#N/A")</f>
        <v>#N/A</v>
      </c>
      <c r="V1216" s="3" t="str">
        <f>IFERROR(__xludf.DUMMYFUNCTION("""COMPUTED_VALUE"""),"N")</f>
        <v>N</v>
      </c>
      <c r="W1216" s="3">
        <f>IFERROR(__xludf.DUMMYFUNCTION("""COMPUTED_VALUE"""),210077.0)</f>
        <v>210077</v>
      </c>
      <c r="X1216" s="3" t="str">
        <f>IFERROR(__xludf.DUMMYFUNCTION("""COMPUTED_VALUE"""),"99/18 ถนนคุณทหาร แขวงคลองสามประเวศ เขตลาดกระบัง กรุงเทพมหานคร 10520")</f>
        <v>99/18 ถนนคุณทหาร แขวงคลองสามประเวศ เขตลาดกระบัง กรุงเทพมหานคร 10520</v>
      </c>
      <c r="Y1216" s="3" t="str">
        <f>IFERROR(__xludf.DUMMYFUNCTION("""COMPUTED_VALUE"""),"ถนนคุณทหาร")</f>
        <v>ถนนคุณทหาร</v>
      </c>
      <c r="Z1216" s="3" t="str">
        <f>IFERROR(__xludf.DUMMYFUNCTION("""COMPUTED_VALUE"""),"คลองสามประเวศ")</f>
        <v>คลองสามประเวศ</v>
      </c>
      <c r="AA1216" s="3" t="str">
        <f>IFERROR(__xludf.DUMMYFUNCTION("""COMPUTED_VALUE"""),"ลาดกระบัง")</f>
        <v>ลาดกระบัง</v>
      </c>
      <c r="AB1216" s="3" t="str">
        <f>IFERROR(__xludf.DUMMYFUNCTION("""COMPUTED_VALUE"""),"กรุงเทพมหานคร")</f>
        <v>กรุงเทพมหานคร</v>
      </c>
      <c r="AC1216" s="3">
        <f>IFERROR(__xludf.DUMMYFUNCTION("""COMPUTED_VALUE"""),10520.0)</f>
        <v>10520</v>
      </c>
      <c r="AD1216" s="3">
        <f>IFERROR(__xludf.DUMMYFUNCTION("""COMPUTED_VALUE"""),13.753958)</f>
        <v>13.753958</v>
      </c>
      <c r="AE1216" s="3">
        <f>IFERROR(__xludf.DUMMYFUNCTION("""COMPUTED_VALUE"""),100.767135)</f>
        <v>100.767135</v>
      </c>
      <c r="AF1216" s="3" t="str">
        <f>IFERROR(__xludf.DUMMYFUNCTION("""COMPUTED_VALUE"""),"MBC คาล์เท็กซ์ เจ้าคุณทหาร กรุงเทพมหานคร-21988")</f>
        <v>MBC คาล์เท็กซ์ เจ้าคุณทหาร กรุงเทพมหานคร-21988</v>
      </c>
      <c r="AG1216" s="3" t="str">
        <f>IFERROR(__xludf.DUMMYFUNCTION("""COMPUTED_VALUE"""),"กลาง")</f>
        <v>กลาง</v>
      </c>
      <c r="AH1216" s="3" t="str">
        <f>IFERROR(__xludf.DUMMYFUNCTION("""COMPUTED_VALUE"""),"#N/A")</f>
        <v>#N/A</v>
      </c>
      <c r="AI1216" s="3" t="str">
        <f>IFERROR(__xludf.DUMMYFUNCTION("""COMPUTED_VALUE"""),"Out of warranty")</f>
        <v>Out of warranty</v>
      </c>
      <c r="AJ1216" s="3">
        <f>IFERROR(__xludf.DUMMYFUNCTION("""COMPUTED_VALUE"""),73.0)</f>
        <v>73</v>
      </c>
      <c r="AK1216" s="3" t="str">
        <f>IFERROR(__xludf.DUMMYFUNCTION("""COMPUTED_VALUE"""),"MMS03")</f>
        <v>MMS03</v>
      </c>
      <c r="AL1216" s="3"/>
    </row>
    <row r="1217" ht="15.75" customHeight="1">
      <c r="A1217" s="1" t="str">
        <f>IFERROR(__xludf.DUMMYFUNCTION("""COMPUTED_VALUE"""),"21989")</f>
        <v>21989</v>
      </c>
      <c r="B1217" s="2">
        <f>IFERROR(__xludf.DUMMYFUNCTION("""COMPUTED_VALUE"""),21989.0)</f>
        <v>21989</v>
      </c>
      <c r="C1217" s="3" t="str">
        <f>IFERROR(__xludf.DUMMYFUNCTION("""COMPUTED_VALUE"""),"MBC ถนนบางแสนล่าง ชลบุรี")</f>
        <v>MBC ถนนบางแสนล่าง ชลบุรี</v>
      </c>
      <c r="D1217" s="3" t="str">
        <f>IFERROR(__xludf.DUMMYFUNCTION("""COMPUTED_VALUE"""),"BCM THANON BANGSAEN-LANG")</f>
        <v>BCM THANON BANGSAEN-LANG</v>
      </c>
      <c r="E1217" s="1" t="str">
        <f>IFERROR(__xludf.DUMMYFUNCTION("""COMPUTED_VALUE"""),"บิ๊กซี MINI")</f>
        <v>บิ๊กซี MINI</v>
      </c>
      <c r="F1217" s="1" t="str">
        <f>IFERROR(__xludf.DUMMYFUNCTION("""COMPUTED_VALUE"""),"221716")</f>
        <v>221716</v>
      </c>
      <c r="G1217" s="1" t="str">
        <f>IFERROR(__xludf.DUMMYFUNCTION("""COMPUTED_VALUE"""),"น.ส.เบญจพร โพธิสาร")</f>
        <v>น.ส.เบญจพร โพธิสาร</v>
      </c>
      <c r="H1217" s="1" t="str">
        <f>IFERROR(__xludf.DUMMYFUNCTION("""COMPUTED_VALUE"""),"476018")</f>
        <v>476018</v>
      </c>
      <c r="I1217" s="1" t="str">
        <f>IFERROR(__xludf.DUMMYFUNCTION("""COMPUTED_VALUE"""),"นายศราวุฒิ ชูพันดุง")</f>
        <v>นายศราวุฒิ ชูพันดุง</v>
      </c>
      <c r="J1217" s="3">
        <f>IFERROR(__xludf.DUMMYFUNCTION("""COMPUTED_VALUE"""),3510104.0)</f>
        <v>3510104</v>
      </c>
      <c r="K1217" s="3" t="str">
        <f>IFERROR(__xludf.DUMMYFUNCTION("""COMPUTED_VALUE"""),"นายวิโรจน์ อับดุลสมัด")</f>
        <v>นายวิโรจน์ อับดุลสมัด</v>
      </c>
      <c r="L1217" s="1" t="str">
        <f>IFERROR(__xludf.DUMMYFUNCTION("""COMPUTED_VALUE"""),"09 K.Wirode A")</f>
        <v>09 K.Wirode A</v>
      </c>
      <c r="M1217" s="1" t="str">
        <f>IFERROR(__xludf.DUMMYFUNCTION("""COMPUTED_VALUE"""),"080-235-4465")</f>
        <v>080-235-4465</v>
      </c>
      <c r="N1217" s="3">
        <f>IFERROR(__xludf.DUMMYFUNCTION("""COMPUTED_VALUE"""),21324.0)</f>
        <v>21324</v>
      </c>
      <c r="O1217" s="3" t="str">
        <f>IFERROR(__xludf.DUMMYFUNCTION("""COMPUTED_VALUE"""),"MBC BCP สุวินทวงศ์")</f>
        <v>MBC BCP สุวินทวงศ์</v>
      </c>
      <c r="P1217" s="4">
        <f>IFERROR(__xludf.DUMMYFUNCTION("""COMPUTED_VALUE"""),43843.0)</f>
        <v>43843</v>
      </c>
      <c r="Q1217" s="3" t="str">
        <f>IFERROR(__xludf.DUMMYFUNCTION("""COMPUTED_VALUE"""),"I")</f>
        <v>I</v>
      </c>
      <c r="R1217" s="3" t="str">
        <f>IFERROR(__xludf.DUMMYFUNCTION("""COMPUTED_VALUE"""),"Small Format")</f>
        <v>Small Format</v>
      </c>
      <c r="S1217" s="3" t="str">
        <f>IFERROR(__xludf.DUMMYFUNCTION("""COMPUTED_VALUE"""),"BCM")</f>
        <v>BCM</v>
      </c>
      <c r="T1217" s="3" t="str">
        <f>IFERROR(__xludf.DUMMYFUNCTION("""COMPUTED_VALUE"""),"#N/A")</f>
        <v>#N/A</v>
      </c>
      <c r="U1217" s="3" t="str">
        <f>IFERROR(__xludf.DUMMYFUNCTION("""COMPUTED_VALUE"""),"#N/A")</f>
        <v>#N/A</v>
      </c>
      <c r="V1217" s="3" t="str">
        <f>IFERROR(__xludf.DUMMYFUNCTION("""COMPUTED_VALUE"""),"N")</f>
        <v>N</v>
      </c>
      <c r="W1217" s="3">
        <f>IFERROR(__xludf.DUMMYFUNCTION("""COMPUTED_VALUE"""),211958.0)</f>
        <v>211958</v>
      </c>
      <c r="X1217" s="3" t="str">
        <f>IFERROR(__xludf.DUMMYFUNCTION("""COMPUTED_VALUE"""),"87/1 ถนนบางแสนล่าง ตำบลแสนสุข อำเภอเมืองชลบุรี จังหวัดชลบุรี 20130")</f>
        <v>87/1 ถนนบางแสนล่าง ตำบลแสนสุข อำเภอเมืองชลบุรี จังหวัดชลบุรี 20130</v>
      </c>
      <c r="Y1217" s="3" t="str">
        <f>IFERROR(__xludf.DUMMYFUNCTION("""COMPUTED_VALUE"""),"ถนนบางแสนล่าง")</f>
        <v>ถนนบางแสนล่าง</v>
      </c>
      <c r="Z1217" s="3" t="str">
        <f>IFERROR(__xludf.DUMMYFUNCTION("""COMPUTED_VALUE"""),"แสนสุข")</f>
        <v>แสนสุข</v>
      </c>
      <c r="AA1217" s="3" t="str">
        <f>IFERROR(__xludf.DUMMYFUNCTION("""COMPUTED_VALUE"""),"เมือง")</f>
        <v>เมือง</v>
      </c>
      <c r="AB1217" s="3" t="str">
        <f>IFERROR(__xludf.DUMMYFUNCTION("""COMPUTED_VALUE"""),"ชลบุรี")</f>
        <v>ชลบุรี</v>
      </c>
      <c r="AC1217" s="3">
        <f>IFERROR(__xludf.DUMMYFUNCTION("""COMPUTED_VALUE"""),20130.0)</f>
        <v>20130</v>
      </c>
      <c r="AD1217" s="3">
        <f>IFERROR(__xludf.DUMMYFUNCTION("""COMPUTED_VALUE"""),13.272495)</f>
        <v>13.272495</v>
      </c>
      <c r="AE1217" s="3">
        <f>IFERROR(__xludf.DUMMYFUNCTION("""COMPUTED_VALUE"""),100.92411)</f>
        <v>100.92411</v>
      </c>
      <c r="AF1217" s="3" t="str">
        <f>IFERROR(__xludf.DUMMYFUNCTION("""COMPUTED_VALUE"""),"MBC ถนนบางแสนล่าง ชลบุรี-21989")</f>
        <v>MBC ถนนบางแสนล่าง ชลบุรี-21989</v>
      </c>
      <c r="AG1217" s="3" t="str">
        <f>IFERROR(__xludf.DUMMYFUNCTION("""COMPUTED_VALUE"""),"ตะวันออก")</f>
        <v>ตะวันออก</v>
      </c>
      <c r="AH1217" s="3" t="str">
        <f>IFERROR(__xludf.DUMMYFUNCTION("""COMPUTED_VALUE"""),"#N/A")</f>
        <v>#N/A</v>
      </c>
      <c r="AI1217" s="3" t="str">
        <f>IFERROR(__xludf.DUMMYFUNCTION("""COMPUTED_VALUE"""),"Out of warranty")</f>
        <v>Out of warranty</v>
      </c>
      <c r="AJ1217" s="3">
        <f>IFERROR(__xludf.DUMMYFUNCTION("""COMPUTED_VALUE"""),73.0)</f>
        <v>73</v>
      </c>
      <c r="AK1217" s="3" t="str">
        <f>IFERROR(__xludf.DUMMYFUNCTION("""COMPUTED_VALUE"""),"MMS06")</f>
        <v>MMS06</v>
      </c>
      <c r="AL1217" s="3"/>
    </row>
    <row r="1218" ht="15.75" customHeight="1">
      <c r="A1218" s="1" t="str">
        <f>IFERROR(__xludf.DUMMYFUNCTION("""COMPUTED_VALUE"""),"21990")</f>
        <v>21990</v>
      </c>
      <c r="B1218" s="2">
        <f>IFERROR(__xludf.DUMMYFUNCTION("""COMPUTED_VALUE"""),21990.0)</f>
        <v>21990</v>
      </c>
      <c r="C1218" s="3" t="str">
        <f>IFERROR(__xludf.DUMMYFUNCTION("""COMPUTED_VALUE"""),"MBC เจริญสินธานี - ห้วยปราบ ชลบุรี")</f>
        <v>MBC เจริญสินธานี - ห้วยปราบ ชลบุรี</v>
      </c>
      <c r="D1218" s="3" t="str">
        <f>IFERROR(__xludf.DUMMYFUNCTION("""COMPUTED_VALUE"""),"BCM CHAROENSIN THANI-HUAI PRAB")</f>
        <v>BCM CHAROENSIN THANI-HUAI PRAB</v>
      </c>
      <c r="E1218" s="1" t="str">
        <f>IFERROR(__xludf.DUMMYFUNCTION("""COMPUTED_VALUE"""),"บิ๊กซี MINI")</f>
        <v>บิ๊กซี MINI</v>
      </c>
      <c r="F1218" s="1" t="str">
        <f>IFERROR(__xludf.DUMMYFUNCTION("""COMPUTED_VALUE"""),"221716")</f>
        <v>221716</v>
      </c>
      <c r="G1218" s="1" t="str">
        <f>IFERROR(__xludf.DUMMYFUNCTION("""COMPUTED_VALUE"""),"น.ส.เบญจพร โพธิสาร")</f>
        <v>น.ส.เบญจพร โพธิสาร</v>
      </c>
      <c r="H1218" s="1" t="str">
        <f>IFERROR(__xludf.DUMMYFUNCTION("""COMPUTED_VALUE"""),"376139")</f>
        <v>376139</v>
      </c>
      <c r="I1218" s="1" t="str">
        <f>IFERROR(__xludf.DUMMYFUNCTION("""COMPUTED_VALUE"""),"นายอนุชา อำไพ")</f>
        <v>นายอนุชา อำไพ</v>
      </c>
      <c r="J1218" s="3">
        <f>IFERROR(__xludf.DUMMYFUNCTION("""COMPUTED_VALUE"""),296942.0)</f>
        <v>296942</v>
      </c>
      <c r="K1218" s="3" t="str">
        <f>IFERROR(__xludf.DUMMYFUNCTION("""COMPUTED_VALUE"""),"นายปิยะ รักษากิจ")</f>
        <v>นายปิยะ รักษากิจ</v>
      </c>
      <c r="L1218" s="1" t="str">
        <f>IFERROR(__xludf.DUMMYFUNCTION("""COMPUTED_VALUE"""),"07 K.Piya R.")</f>
        <v>07 K.Piya R.</v>
      </c>
      <c r="M1218" s="1" t="str">
        <f>IFERROR(__xludf.DUMMYFUNCTION("""COMPUTED_VALUE"""),"097-919-5476")</f>
        <v>097-919-5476</v>
      </c>
      <c r="N1218" s="3">
        <f>IFERROR(__xludf.DUMMYFUNCTION("""COMPUTED_VALUE"""),21332.0)</f>
        <v>21332</v>
      </c>
      <c r="O1218" s="3" t="str">
        <f>IFERROR(__xludf.DUMMYFUNCTION("""COMPUTED_VALUE"""),"MBC BCP อ่อนนุช 17/1")</f>
        <v>MBC BCP อ่อนนุช 17/1</v>
      </c>
      <c r="P1218" s="4">
        <f>IFERROR(__xludf.DUMMYFUNCTION("""COMPUTED_VALUE"""),43799.0)</f>
        <v>43799</v>
      </c>
      <c r="Q1218" s="3" t="str">
        <f>IFERROR(__xludf.DUMMYFUNCTION("""COMPUTED_VALUE"""),"A")</f>
        <v>A</v>
      </c>
      <c r="R1218" s="3" t="str">
        <f>IFERROR(__xludf.DUMMYFUNCTION("""COMPUTED_VALUE"""),"Small Format")</f>
        <v>Small Format</v>
      </c>
      <c r="S1218" s="3" t="str">
        <f>IFERROR(__xludf.DUMMYFUNCTION("""COMPUTED_VALUE"""),"BCM")</f>
        <v>BCM</v>
      </c>
      <c r="T1218" s="3" t="str">
        <f>IFERROR(__xludf.DUMMYFUNCTION("""COMPUTED_VALUE"""),"#N/A")</f>
        <v>#N/A</v>
      </c>
      <c r="U1218" s="3" t="str">
        <f>IFERROR(__xludf.DUMMYFUNCTION("""COMPUTED_VALUE"""),"#N/A")</f>
        <v>#N/A</v>
      </c>
      <c r="V1218" s="3" t="str">
        <f>IFERROR(__xludf.DUMMYFUNCTION("""COMPUTED_VALUE"""),"N")</f>
        <v>N</v>
      </c>
      <c r="W1218" s="3">
        <f>IFERROR(__xludf.DUMMYFUNCTION("""COMPUTED_VALUE"""),210027.0)</f>
        <v>210027</v>
      </c>
      <c r="X1218" s="3" t="str">
        <f>IFERROR(__xludf.DUMMYFUNCTION("""COMPUTED_VALUE"""),"317/19-20 หมู่3 ตำบลบ่อวิน อำเภอศรีราชา จังหวัดชลบุรี 20230")</f>
        <v>317/19-20 หมู่3 ตำบลบ่อวิน อำเภอศรีราชา จังหวัดชลบุรี 20230</v>
      </c>
      <c r="Y1218" s="3"/>
      <c r="Z1218" s="3" t="str">
        <f>IFERROR(__xludf.DUMMYFUNCTION("""COMPUTED_VALUE"""),"บ่อวิน")</f>
        <v>บ่อวิน</v>
      </c>
      <c r="AA1218" s="3" t="str">
        <f>IFERROR(__xludf.DUMMYFUNCTION("""COMPUTED_VALUE"""),"ศรีราชา")</f>
        <v>ศรีราชา</v>
      </c>
      <c r="AB1218" s="3" t="str">
        <f>IFERROR(__xludf.DUMMYFUNCTION("""COMPUTED_VALUE"""),"ชลบุรี")</f>
        <v>ชลบุรี</v>
      </c>
      <c r="AC1218" s="3">
        <f>IFERROR(__xludf.DUMMYFUNCTION("""COMPUTED_VALUE"""),20230.0)</f>
        <v>20230</v>
      </c>
      <c r="AD1218" s="3">
        <f>IFERROR(__xludf.DUMMYFUNCTION("""COMPUTED_VALUE"""),13.022647)</f>
        <v>13.022647</v>
      </c>
      <c r="AE1218" s="3">
        <f>IFERROR(__xludf.DUMMYFUNCTION("""COMPUTED_VALUE"""),101.09089)</f>
        <v>101.09089</v>
      </c>
      <c r="AF1218" s="3" t="str">
        <f>IFERROR(__xludf.DUMMYFUNCTION("""COMPUTED_VALUE"""),"MBC เจริญสินธานี - ห้วยปราบ ชลบุรี-21990")</f>
        <v>MBC เจริญสินธานี - ห้วยปราบ ชลบุรี-21990</v>
      </c>
      <c r="AG1218" s="3" t="str">
        <f>IFERROR(__xludf.DUMMYFUNCTION("""COMPUTED_VALUE"""),"ตะวันออก")</f>
        <v>ตะวันออก</v>
      </c>
      <c r="AH1218" s="3" t="str">
        <f>IFERROR(__xludf.DUMMYFUNCTION("""COMPUTED_VALUE"""),"#N/A")</f>
        <v>#N/A</v>
      </c>
      <c r="AI1218" s="3" t="str">
        <f>IFERROR(__xludf.DUMMYFUNCTION("""COMPUTED_VALUE"""),"Out of warranty")</f>
        <v>Out of warranty</v>
      </c>
      <c r="AJ1218" s="3">
        <f>IFERROR(__xludf.DUMMYFUNCTION("""COMPUTED_VALUE"""),74.0)</f>
        <v>74</v>
      </c>
      <c r="AK1218" s="3" t="str">
        <f>IFERROR(__xludf.DUMMYFUNCTION("""COMPUTED_VALUE"""),"MMS07")</f>
        <v>MMS07</v>
      </c>
      <c r="AL1218" s="3"/>
    </row>
    <row r="1219" ht="15.75" customHeight="1">
      <c r="A1219" s="1" t="str">
        <f>IFERROR(__xludf.DUMMYFUNCTION("""COMPUTED_VALUE"""),"21991")</f>
        <v>21991</v>
      </c>
      <c r="B1219" s="2">
        <f>IFERROR(__xludf.DUMMYFUNCTION("""COMPUTED_VALUE"""),21991.0)</f>
        <v>21991</v>
      </c>
      <c r="C1219" s="3" t="str">
        <f>IFERROR(__xludf.DUMMYFUNCTION("""COMPUTED_VALUE"""),"MBC บ้านดุง อุดรธานี")</f>
        <v>MBC บ้านดุง อุดรธานี</v>
      </c>
      <c r="D1219" s="3" t="str">
        <f>IFERROR(__xludf.DUMMYFUNCTION("""COMPUTED_VALUE"""),"BCM BAN DUNG, UDONTHANI")</f>
        <v>BCM BAN DUNG, UDONTHANI</v>
      </c>
      <c r="E1219" s="1" t="str">
        <f>IFERROR(__xludf.DUMMYFUNCTION("""COMPUTED_VALUE"""),"บิ๊กซี MINI")</f>
        <v>บิ๊กซี MINI</v>
      </c>
      <c r="F1219" s="1" t="str">
        <f>IFERROR(__xludf.DUMMYFUNCTION("""COMPUTED_VALUE"""),"291105")</f>
        <v>291105</v>
      </c>
      <c r="G1219" s="1" t="str">
        <f>IFERROR(__xludf.DUMMYFUNCTION("""COMPUTED_VALUE"""),"นายสราวุฒิ พณิชยกุล")</f>
        <v>นายสราวุฒิ พณิชยกุล</v>
      </c>
      <c r="H1219" s="1" t="str">
        <f>IFERROR(__xludf.DUMMYFUNCTION("""COMPUTED_VALUE"""),"392885")</f>
        <v>392885</v>
      </c>
      <c r="I1219" s="1" t="str">
        <f>IFERROR(__xludf.DUMMYFUNCTION("""COMPUTED_VALUE"""),"น.ส.วราพร จันปลิว")</f>
        <v>น.ส.วราพร จันปลิว</v>
      </c>
      <c r="J1219" s="3">
        <f>IFERROR(__xludf.DUMMYFUNCTION("""COMPUTED_VALUE"""),296868.0)</f>
        <v>296868</v>
      </c>
      <c r="K1219" s="3" t="str">
        <f>IFERROR(__xludf.DUMMYFUNCTION("""COMPUTED_VALUE"""),"นายพีระพงษ์ แก้วดวงดี")</f>
        <v>นายพีระพงษ์ แก้วดวงดี</v>
      </c>
      <c r="L1219" s="1" t="str">
        <f>IFERROR(__xludf.DUMMYFUNCTION("""COMPUTED_VALUE"""),"03 K.Peerapong K.")</f>
        <v>03 K.Peerapong K.</v>
      </c>
      <c r="M1219" s="1" t="str">
        <f>IFERROR(__xludf.DUMMYFUNCTION("""COMPUTED_VALUE"""),"089-002-6599")</f>
        <v>089-002-6599</v>
      </c>
      <c r="N1219" s="3">
        <f>IFERROR(__xludf.DUMMYFUNCTION("""COMPUTED_VALUE"""),21946.0)</f>
        <v>21946</v>
      </c>
      <c r="O1219" s="3" t="str">
        <f>IFERROR(__xludf.DUMMYFUNCTION("""COMPUTED_VALUE"""),"MBC เซกา บึงกาฬ")</f>
        <v>MBC เซกา บึงกาฬ</v>
      </c>
      <c r="P1219" s="4">
        <f>IFERROR(__xludf.DUMMYFUNCTION("""COMPUTED_VALUE"""),43824.0)</f>
        <v>43824</v>
      </c>
      <c r="Q1219" s="3" t="str">
        <f>IFERROR(__xludf.DUMMYFUNCTION("""COMPUTED_VALUE"""),"A")</f>
        <v>A</v>
      </c>
      <c r="R1219" s="3" t="str">
        <f>IFERROR(__xludf.DUMMYFUNCTION("""COMPUTED_VALUE"""),"Small Format")</f>
        <v>Small Format</v>
      </c>
      <c r="S1219" s="3" t="str">
        <f>IFERROR(__xludf.DUMMYFUNCTION("""COMPUTED_VALUE"""),"BCM")</f>
        <v>BCM</v>
      </c>
      <c r="T1219" s="3" t="str">
        <f>IFERROR(__xludf.DUMMYFUNCTION("""COMPUTED_VALUE"""),"#N/A")</f>
        <v>#N/A</v>
      </c>
      <c r="U1219" s="3" t="str">
        <f>IFERROR(__xludf.DUMMYFUNCTION("""COMPUTED_VALUE"""),"#N/A")</f>
        <v>#N/A</v>
      </c>
      <c r="V1219" s="3" t="str">
        <f>IFERROR(__xludf.DUMMYFUNCTION("""COMPUTED_VALUE"""),"N")</f>
        <v>N</v>
      </c>
      <c r="W1219" s="3">
        <f>IFERROR(__xludf.DUMMYFUNCTION("""COMPUTED_VALUE"""),210010.0)</f>
        <v>210010</v>
      </c>
      <c r="X1219" s="3" t="str">
        <f>IFERROR(__xludf.DUMMYFUNCTION("""COMPUTED_VALUE"""),"132 หมู่10 ตำบลศรีสุทโธ อำเภอบ้างดุง จังหวัดอุดรธานี 41190")</f>
        <v>132 หมู่10 ตำบลศรีสุทโธ อำเภอบ้างดุง จังหวัดอุดรธานี 41190</v>
      </c>
      <c r="Y1219" s="3"/>
      <c r="Z1219" s="3" t="str">
        <f>IFERROR(__xludf.DUMMYFUNCTION("""COMPUTED_VALUE"""),"ศรีสุทโธ")</f>
        <v>ศรีสุทโธ</v>
      </c>
      <c r="AA1219" s="3" t="str">
        <f>IFERROR(__xludf.DUMMYFUNCTION("""COMPUTED_VALUE"""),"บ้างดุง")</f>
        <v>บ้างดุง</v>
      </c>
      <c r="AB1219" s="3" t="str">
        <f>IFERROR(__xludf.DUMMYFUNCTION("""COMPUTED_VALUE"""),"อุดรธานี")</f>
        <v>อุดรธานี</v>
      </c>
      <c r="AC1219" s="3">
        <f>IFERROR(__xludf.DUMMYFUNCTION("""COMPUTED_VALUE"""),41190.0)</f>
        <v>41190</v>
      </c>
      <c r="AD1219" s="3">
        <f>IFERROR(__xludf.DUMMYFUNCTION("""COMPUTED_VALUE"""),17.696517)</f>
        <v>17.696517</v>
      </c>
      <c r="AE1219" s="3">
        <f>IFERROR(__xludf.DUMMYFUNCTION("""COMPUTED_VALUE"""),103.258974)</f>
        <v>103.258974</v>
      </c>
      <c r="AF1219" s="3" t="str">
        <f>IFERROR(__xludf.DUMMYFUNCTION("""COMPUTED_VALUE"""),"MBC บ้านดุง อุดรธานี-21991")</f>
        <v>MBC บ้านดุง อุดรธานี-21991</v>
      </c>
      <c r="AG1219" s="3" t="str">
        <f>IFERROR(__xludf.DUMMYFUNCTION("""COMPUTED_VALUE"""),"ตะวันออกเฉียงเหนือ")</f>
        <v>ตะวันออกเฉียงเหนือ</v>
      </c>
      <c r="AH1219" s="3" t="str">
        <f>IFERROR(__xludf.DUMMYFUNCTION("""COMPUTED_VALUE"""),"#N/A")</f>
        <v>#N/A</v>
      </c>
      <c r="AI1219" s="3" t="str">
        <f>IFERROR(__xludf.DUMMYFUNCTION("""COMPUTED_VALUE"""),"Out of warranty")</f>
        <v>Out of warranty</v>
      </c>
      <c r="AJ1219" s="3">
        <f>IFERROR(__xludf.DUMMYFUNCTION("""COMPUTED_VALUE"""),73.0)</f>
        <v>73</v>
      </c>
      <c r="AK1219" s="3" t="str">
        <f>IFERROR(__xludf.DUMMYFUNCTION("""COMPUTED_VALUE"""),"MMS12")</f>
        <v>MMS12</v>
      </c>
      <c r="AL1219" s="3"/>
    </row>
    <row r="1220" ht="15.75" customHeight="1">
      <c r="A1220" s="1" t="str">
        <f>IFERROR(__xludf.DUMMYFUNCTION("""COMPUTED_VALUE"""),"21992")</f>
        <v>21992</v>
      </c>
      <c r="B1220" s="2">
        <f>IFERROR(__xludf.DUMMYFUNCTION("""COMPUTED_VALUE"""),21992.0)</f>
        <v>21992</v>
      </c>
      <c r="C1220" s="3" t="str">
        <f>IFERROR(__xludf.DUMMYFUNCTION("""COMPUTED_VALUE"""),"MBC คำชะโนด อุดรธานี")</f>
        <v>MBC คำชะโนด อุดรธานี</v>
      </c>
      <c r="D1220" s="3" t="str">
        <f>IFERROR(__xludf.DUMMYFUNCTION("""COMPUTED_VALUE"""),"BCM KHAM CHANOT,UDONTHANI")</f>
        <v>BCM KHAM CHANOT,UDONTHANI</v>
      </c>
      <c r="E1220" s="1" t="str">
        <f>IFERROR(__xludf.DUMMYFUNCTION("""COMPUTED_VALUE"""),"บิ๊กซี MINI")</f>
        <v>บิ๊กซี MINI</v>
      </c>
      <c r="F1220" s="1" t="str">
        <f>IFERROR(__xludf.DUMMYFUNCTION("""COMPUTED_VALUE"""),"291105")</f>
        <v>291105</v>
      </c>
      <c r="G1220" s="1" t="str">
        <f>IFERROR(__xludf.DUMMYFUNCTION("""COMPUTED_VALUE"""),"นายสราวุฒิ พณิชยกุล")</f>
        <v>นายสราวุฒิ พณิชยกุล</v>
      </c>
      <c r="H1220" s="1" t="str">
        <f>IFERROR(__xludf.DUMMYFUNCTION("""COMPUTED_VALUE"""),"392885")</f>
        <v>392885</v>
      </c>
      <c r="I1220" s="1" t="str">
        <f>IFERROR(__xludf.DUMMYFUNCTION("""COMPUTED_VALUE"""),"น.ส.วราพร จันปลิว")</f>
        <v>น.ส.วราพร จันปลิว</v>
      </c>
      <c r="J1220" s="3">
        <f>IFERROR(__xludf.DUMMYFUNCTION("""COMPUTED_VALUE"""),296868.0)</f>
        <v>296868</v>
      </c>
      <c r="K1220" s="3" t="str">
        <f>IFERROR(__xludf.DUMMYFUNCTION("""COMPUTED_VALUE"""),"นายพีระพงษ์ แก้วดวงดี")</f>
        <v>นายพีระพงษ์ แก้วดวงดี</v>
      </c>
      <c r="L1220" s="1" t="str">
        <f>IFERROR(__xludf.DUMMYFUNCTION("""COMPUTED_VALUE"""),"03 K.Peerapong K.")</f>
        <v>03 K.Peerapong K.</v>
      </c>
      <c r="M1220" s="1" t="str">
        <f>IFERROR(__xludf.DUMMYFUNCTION("""COMPUTED_VALUE"""),"089-002-6599")</f>
        <v>089-002-6599</v>
      </c>
      <c r="N1220" s="3">
        <f>IFERROR(__xludf.DUMMYFUNCTION("""COMPUTED_VALUE"""),21946.0)</f>
        <v>21946</v>
      </c>
      <c r="O1220" s="3" t="str">
        <f>IFERROR(__xludf.DUMMYFUNCTION("""COMPUTED_VALUE"""),"MBC เซกา บึงกาฬ")</f>
        <v>MBC เซกา บึงกาฬ</v>
      </c>
      <c r="P1220" s="4">
        <f>IFERROR(__xludf.DUMMYFUNCTION("""COMPUTED_VALUE"""),43815.0)</f>
        <v>43815</v>
      </c>
      <c r="Q1220" s="3" t="str">
        <f>IFERROR(__xludf.DUMMYFUNCTION("""COMPUTED_VALUE"""),"A")</f>
        <v>A</v>
      </c>
      <c r="R1220" s="3" t="str">
        <f>IFERROR(__xludf.DUMMYFUNCTION("""COMPUTED_VALUE"""),"Small Format")</f>
        <v>Small Format</v>
      </c>
      <c r="S1220" s="3" t="str">
        <f>IFERROR(__xludf.DUMMYFUNCTION("""COMPUTED_VALUE"""),"BCM")</f>
        <v>BCM</v>
      </c>
      <c r="T1220" s="3" t="str">
        <f>IFERROR(__xludf.DUMMYFUNCTION("""COMPUTED_VALUE"""),"#N/A")</f>
        <v>#N/A</v>
      </c>
      <c r="U1220" s="3" t="str">
        <f>IFERROR(__xludf.DUMMYFUNCTION("""COMPUTED_VALUE"""),"#N/A")</f>
        <v>#N/A</v>
      </c>
      <c r="V1220" s="3" t="str">
        <f>IFERROR(__xludf.DUMMYFUNCTION("""COMPUTED_VALUE"""),"N")</f>
        <v>N</v>
      </c>
      <c r="W1220" s="3">
        <f>IFERROR(__xludf.DUMMYFUNCTION("""COMPUTED_VALUE"""),210033.0)</f>
        <v>210033</v>
      </c>
      <c r="X1220" s="3" t="str">
        <f>IFERROR(__xludf.DUMMYFUNCTION("""COMPUTED_VALUE"""),"55 หมู่11 ตำบลบ้านดุง อำเภอบ้านดุง จังหวัดอุดรธานี 41190")</f>
        <v>55 หมู่11 ตำบลบ้านดุง อำเภอบ้านดุง จังหวัดอุดรธานี 41190</v>
      </c>
      <c r="Y1220" s="3"/>
      <c r="Z1220" s="3" t="str">
        <f>IFERROR(__xludf.DUMMYFUNCTION("""COMPUTED_VALUE"""),"บ้านดุง")</f>
        <v>บ้านดุง</v>
      </c>
      <c r="AA1220" s="3" t="str">
        <f>IFERROR(__xludf.DUMMYFUNCTION("""COMPUTED_VALUE"""),"บ้านดุง")</f>
        <v>บ้านดุง</v>
      </c>
      <c r="AB1220" s="3" t="str">
        <f>IFERROR(__xludf.DUMMYFUNCTION("""COMPUTED_VALUE"""),"อุดรธานี")</f>
        <v>อุดรธานี</v>
      </c>
      <c r="AC1220" s="3">
        <f>IFERROR(__xludf.DUMMYFUNCTION("""COMPUTED_VALUE"""),41190.0)</f>
        <v>41190</v>
      </c>
      <c r="AD1220" s="3">
        <f>IFERROR(__xludf.DUMMYFUNCTION("""COMPUTED_VALUE"""),17.745951)</f>
        <v>17.745951</v>
      </c>
      <c r="AE1220" s="3">
        <f>IFERROR(__xludf.DUMMYFUNCTION("""COMPUTED_VALUE"""),103.263798)</f>
        <v>103.263798</v>
      </c>
      <c r="AF1220" s="3" t="str">
        <f>IFERROR(__xludf.DUMMYFUNCTION("""COMPUTED_VALUE"""),"MBC คำชะโนด อุดรธานี-21992")</f>
        <v>MBC คำชะโนด อุดรธานี-21992</v>
      </c>
      <c r="AG1220" s="3" t="str">
        <f>IFERROR(__xludf.DUMMYFUNCTION("""COMPUTED_VALUE"""),"ตะวันออกเฉียงเหนือ")</f>
        <v>ตะวันออกเฉียงเหนือ</v>
      </c>
      <c r="AH1220" s="3" t="str">
        <f>IFERROR(__xludf.DUMMYFUNCTION("""COMPUTED_VALUE"""),"#N/A")</f>
        <v>#N/A</v>
      </c>
      <c r="AI1220" s="3" t="str">
        <f>IFERROR(__xludf.DUMMYFUNCTION("""COMPUTED_VALUE"""),"Out of warranty")</f>
        <v>Out of warranty</v>
      </c>
      <c r="AJ1220" s="3">
        <f>IFERROR(__xludf.DUMMYFUNCTION("""COMPUTED_VALUE"""),74.0)</f>
        <v>74</v>
      </c>
      <c r="AK1220" s="3" t="str">
        <f>IFERROR(__xludf.DUMMYFUNCTION("""COMPUTED_VALUE"""),"MMS12")</f>
        <v>MMS12</v>
      </c>
      <c r="AL1220" s="3"/>
    </row>
    <row r="1221" ht="15.75" customHeight="1">
      <c r="A1221" s="1" t="str">
        <f>IFERROR(__xludf.DUMMYFUNCTION("""COMPUTED_VALUE"""),"21993")</f>
        <v>21993</v>
      </c>
      <c r="B1221" s="2">
        <f>IFERROR(__xludf.DUMMYFUNCTION("""COMPUTED_VALUE"""),21993.0)</f>
        <v>21993</v>
      </c>
      <c r="C1221" s="3" t="str">
        <f>IFERROR(__xludf.DUMMYFUNCTION("""COMPUTED_VALUE"""),"MBC ถนนสามชัย (หาดใหญ่) สงขลา")</f>
        <v>MBC ถนนสามชัย (หาดใหญ่) สงขลา</v>
      </c>
      <c r="D1221" s="3" t="str">
        <f>IFERROR(__xludf.DUMMYFUNCTION("""COMPUTED_VALUE"""),"BCM THANON SAM CHAI (HAT YAI)")</f>
        <v>BCM THANON SAM CHAI (HAT YAI)</v>
      </c>
      <c r="E1221" s="1" t="str">
        <f>IFERROR(__xludf.DUMMYFUNCTION("""COMPUTED_VALUE"""),"บิ๊กซี MINI")</f>
        <v>บิ๊กซี MINI</v>
      </c>
      <c r="F1221" s="1" t="str">
        <f>IFERROR(__xludf.DUMMYFUNCTION("""COMPUTED_VALUE"""),"250760")</f>
        <v>250760</v>
      </c>
      <c r="G1221" s="1" t="str">
        <f>IFERROR(__xludf.DUMMYFUNCTION("""COMPUTED_VALUE"""),"นายประทวน สาราบรรณ์")</f>
        <v>นายประทวน สาราบรรณ์</v>
      </c>
      <c r="H1221" s="1" t="str">
        <f>IFERROR(__xludf.DUMMYFUNCTION("""COMPUTED_VALUE"""),"394100")</f>
        <v>394100</v>
      </c>
      <c r="I1221" s="1" t="str">
        <f>IFERROR(__xludf.DUMMYFUNCTION("""COMPUTED_VALUE"""),"นายไพโรจน์ ถิระผะลิกะ")</f>
        <v>นายไพโรจน์ ถิระผะลิกะ</v>
      </c>
      <c r="J1221" s="3">
        <f>IFERROR(__xludf.DUMMYFUNCTION("""COMPUTED_VALUE"""),2.0470331E7)</f>
        <v>20470331</v>
      </c>
      <c r="K1221" s="3" t="str">
        <f>IFERROR(__xludf.DUMMYFUNCTION("""COMPUTED_VALUE"""),"นายสมชาย ลักษณะสุวรรณ")</f>
        <v>นายสมชาย ลักษณะสุวรรณ</v>
      </c>
      <c r="L1221" s="1" t="str">
        <f>IFERROR(__xludf.DUMMYFUNCTION("""COMPUTED_VALUE"""),"15 K.Somchai L")</f>
        <v>15 K.Somchai L</v>
      </c>
      <c r="M1221" s="1" t="str">
        <f>IFERROR(__xludf.DUMMYFUNCTION("""COMPUTED_VALUE"""),"0655107372")</f>
        <v>0655107372</v>
      </c>
      <c r="N1221" s="3">
        <f>IFERROR(__xludf.DUMMYFUNCTION("""COMPUTED_VALUE"""),21723.0)</f>
        <v>21723</v>
      </c>
      <c r="O122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221" s="4">
        <f>IFERROR(__xludf.DUMMYFUNCTION("""COMPUTED_VALUE"""),46053.0)</f>
        <v>46053</v>
      </c>
      <c r="Q1221" s="3" t="str">
        <f>IFERROR(__xludf.DUMMYFUNCTION("""COMPUTED_VALUE"""),"A")</f>
        <v>A</v>
      </c>
      <c r="R1221" s="3" t="str">
        <f>IFERROR(__xludf.DUMMYFUNCTION("""COMPUTED_VALUE"""),"Small Format")</f>
        <v>Small Format</v>
      </c>
      <c r="S1221" s="3" t="str">
        <f>IFERROR(__xludf.DUMMYFUNCTION("""COMPUTED_VALUE"""),"BCM")</f>
        <v>BCM</v>
      </c>
      <c r="T1221" s="3" t="str">
        <f>IFERROR(__xludf.DUMMYFUNCTION("""COMPUTED_VALUE"""),"#N/A")</f>
        <v>#N/A</v>
      </c>
      <c r="U1221" s="3" t="str">
        <f>IFERROR(__xludf.DUMMYFUNCTION("""COMPUTED_VALUE"""),"#N/A")</f>
        <v>#N/A</v>
      </c>
      <c r="V1221" s="3" t="str">
        <f>IFERROR(__xludf.DUMMYFUNCTION("""COMPUTED_VALUE"""),"N")</f>
        <v>N</v>
      </c>
      <c r="W1221" s="3">
        <f>IFERROR(__xludf.DUMMYFUNCTION("""COMPUTED_VALUE"""),210016.0)</f>
        <v>210016</v>
      </c>
      <c r="X1221" s="3" t="str">
        <f>IFERROR(__xludf.DUMMYFUNCTION("""COMPUTED_VALUE"""),"176,176/1,178 ถนนสามชัย ตำบลหาดใหญ่ อำเภอหาดใหญ่ จังหวัดสงขลา 90110")</f>
        <v>176,176/1,178 ถนนสามชัย ตำบลหาดใหญ่ อำเภอหาดใหญ่ จังหวัดสงขลา 90110</v>
      </c>
      <c r="Y1221" s="3" t="str">
        <f>IFERROR(__xludf.DUMMYFUNCTION("""COMPUTED_VALUE"""),"ถนนสามชัย")</f>
        <v>ถนนสามชัย</v>
      </c>
      <c r="Z1221" s="3" t="str">
        <f>IFERROR(__xludf.DUMMYFUNCTION("""COMPUTED_VALUE"""),"หาดใหญ่")</f>
        <v>หาดใหญ่</v>
      </c>
      <c r="AA1221" s="3" t="str">
        <f>IFERROR(__xludf.DUMMYFUNCTION("""COMPUTED_VALUE"""),"หาดใหญ่")</f>
        <v>หาดใหญ่</v>
      </c>
      <c r="AB1221" s="3" t="str">
        <f>IFERROR(__xludf.DUMMYFUNCTION("""COMPUTED_VALUE"""),"สงขลา")</f>
        <v>สงขลา</v>
      </c>
      <c r="AC1221" s="3">
        <f>IFERROR(__xludf.DUMMYFUNCTION("""COMPUTED_VALUE"""),90110.0)</f>
        <v>90110</v>
      </c>
      <c r="AD1221" s="3">
        <f>IFERROR(__xludf.DUMMYFUNCTION("""COMPUTED_VALUE"""),7.012103)</f>
        <v>7.012103</v>
      </c>
      <c r="AE1221" s="3">
        <f>IFERROR(__xludf.DUMMYFUNCTION("""COMPUTED_VALUE"""),100.479189)</f>
        <v>100.479189</v>
      </c>
      <c r="AF1221" s="3" t="str">
        <f>IFERROR(__xludf.DUMMYFUNCTION("""COMPUTED_VALUE"""),"MBC ถนนสามชัย (หาดใหญ่) สงขลา-21993")</f>
        <v>MBC ถนนสามชัย (หาดใหญ่) สงขลา-21993</v>
      </c>
      <c r="AG1221" s="3" t="str">
        <f>IFERROR(__xludf.DUMMYFUNCTION("""COMPUTED_VALUE"""),"ใต้")</f>
        <v>ใต้</v>
      </c>
      <c r="AH1221" s="3" t="str">
        <f>IFERROR(__xludf.DUMMYFUNCTION("""COMPUTED_VALUE"""),"#N/A")</f>
        <v>#N/A</v>
      </c>
      <c r="AI1221" s="3" t="str">
        <f>IFERROR(__xludf.DUMMYFUNCTION("""COMPUTED_VALUE"""),"In warranty")</f>
        <v>In warranty</v>
      </c>
      <c r="AJ1221" s="3">
        <f>IFERROR(__xludf.DUMMYFUNCTION("""COMPUTED_VALUE"""),0.0)</f>
        <v>0</v>
      </c>
      <c r="AK1221" s="3" t="str">
        <f>IFERROR(__xludf.DUMMYFUNCTION("""COMPUTED_VALUE"""),"MMS16")</f>
        <v>MMS16</v>
      </c>
      <c r="AL1221" s="3"/>
    </row>
    <row r="1222" ht="15.75" customHeight="1">
      <c r="A1222" s="1" t="str">
        <f>IFERROR(__xludf.DUMMYFUNCTION("""COMPUTED_VALUE"""),"21994")</f>
        <v>21994</v>
      </c>
      <c r="B1222" s="2">
        <f>IFERROR(__xludf.DUMMYFUNCTION("""COMPUTED_VALUE"""),21994.0)</f>
        <v>21994</v>
      </c>
      <c r="C1222" s="3" t="str">
        <f>IFERROR(__xludf.DUMMYFUNCTION("""COMPUTED_VALUE"""),"MBC เชลล์แยกตลาดเก่า กระบี่")</f>
        <v>MBC เชลล์แยกตลาดเก่า กระบี่</v>
      </c>
      <c r="D1222" s="3" t="str">
        <f>IFERROR(__xludf.DUMMYFUNCTION("""COMPUTED_VALUE"""),"BCM SHELL YEAK TALAD KAO")</f>
        <v>BCM SHELL YEAK TALAD KAO</v>
      </c>
      <c r="E1222" s="1" t="str">
        <f>IFERROR(__xludf.DUMMYFUNCTION("""COMPUTED_VALUE"""),"บิ๊กซี MINI")</f>
        <v>บิ๊กซี MINI</v>
      </c>
      <c r="F1222" s="1" t="str">
        <f>IFERROR(__xludf.DUMMYFUNCTION("""COMPUTED_VALUE"""),"2010918")</f>
        <v>2010918</v>
      </c>
      <c r="G1222" s="1" t="str">
        <f>IFERROR(__xludf.DUMMYFUNCTION("""COMPUTED_VALUE"""),"น.ส.สุดารัตน์ รัตนประดิษฐ์")</f>
        <v>น.ส.สุดารัตน์ รัตนประดิษฐ์</v>
      </c>
      <c r="H1222" s="1" t="str">
        <f>IFERROR(__xludf.DUMMYFUNCTION("""COMPUTED_VALUE"""),"282500")</f>
        <v>282500</v>
      </c>
      <c r="I1222" s="1" t="str">
        <f>IFERROR(__xludf.DUMMYFUNCTION("""COMPUTED_VALUE"""),"นายเจษฎ์พิพัฒ แก้วกุดั่น")</f>
        <v>นายเจษฎ์พิพัฒ แก้วกุดั่น</v>
      </c>
      <c r="J1222" s="3">
        <f>IFERROR(__xludf.DUMMYFUNCTION("""COMPUTED_VALUE"""),2.0470331E7)</f>
        <v>20470331</v>
      </c>
      <c r="K1222" s="3" t="str">
        <f>IFERROR(__xludf.DUMMYFUNCTION("""COMPUTED_VALUE"""),"นายสมชาย ลักษณะสุวรรณ")</f>
        <v>นายสมชาย ลักษณะสุวรรณ</v>
      </c>
      <c r="L1222" s="1" t="str">
        <f>IFERROR(__xludf.DUMMYFUNCTION("""COMPUTED_VALUE"""),"15 K.Somchai L")</f>
        <v>15 K.Somchai L</v>
      </c>
      <c r="M1222" s="1" t="str">
        <f>IFERROR(__xludf.DUMMYFUNCTION("""COMPUTED_VALUE"""),"0655107372")</f>
        <v>0655107372</v>
      </c>
      <c r="N1222" s="3">
        <f>IFERROR(__xludf.DUMMYFUNCTION("""COMPUTED_VALUE"""),21723.0)</f>
        <v>21723</v>
      </c>
      <c r="O1222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222" s="4">
        <f>IFERROR(__xludf.DUMMYFUNCTION("""COMPUTED_VALUE"""),43792.0)</f>
        <v>43792</v>
      </c>
      <c r="Q1222" s="3" t="str">
        <f>IFERROR(__xludf.DUMMYFUNCTION("""COMPUTED_VALUE"""),"I")</f>
        <v>I</v>
      </c>
      <c r="R1222" s="3" t="str">
        <f>IFERROR(__xludf.DUMMYFUNCTION("""COMPUTED_VALUE"""),"Small Format")</f>
        <v>Small Format</v>
      </c>
      <c r="S1222" s="3" t="str">
        <f>IFERROR(__xludf.DUMMYFUNCTION("""COMPUTED_VALUE"""),"BCM")</f>
        <v>BCM</v>
      </c>
      <c r="T1222" s="3" t="str">
        <f>IFERROR(__xludf.DUMMYFUNCTION("""COMPUTED_VALUE"""),"#N/A")</f>
        <v>#N/A</v>
      </c>
      <c r="U1222" s="3" t="str">
        <f>IFERROR(__xludf.DUMMYFUNCTION("""COMPUTED_VALUE"""),"#N/A")</f>
        <v>#N/A</v>
      </c>
      <c r="V1222" s="3" t="str">
        <f>IFERROR(__xludf.DUMMYFUNCTION("""COMPUTED_VALUE"""),"N")</f>
        <v>N</v>
      </c>
      <c r="W1222" s="3">
        <f>IFERROR(__xludf.DUMMYFUNCTION("""COMPUTED_VALUE"""),210041.0)</f>
        <v>210041</v>
      </c>
      <c r="X1222" s="3" t="str">
        <f>IFERROR(__xludf.DUMMYFUNCTION("""COMPUTED_VALUE"""),"13/1 ถนนศรีพังงา ตำบลกระบี่ใหญ่ อำเภอเมืองกระบี่ จังหวัดกระบี่ 81000")</f>
        <v>13/1 ถนนศรีพังงา ตำบลกระบี่ใหญ่ อำเภอเมืองกระบี่ จังหวัดกระบี่ 81000</v>
      </c>
      <c r="Y1222" s="3" t="str">
        <f>IFERROR(__xludf.DUMMYFUNCTION("""COMPUTED_VALUE"""),"ถนนศรีพังงา")</f>
        <v>ถนนศรีพังงา</v>
      </c>
      <c r="Z1222" s="3" t="str">
        <f>IFERROR(__xludf.DUMMYFUNCTION("""COMPUTED_VALUE"""),"กระบี่ใหญ่")</f>
        <v>กระบี่ใหญ่</v>
      </c>
      <c r="AA1222" s="3" t="str">
        <f>IFERROR(__xludf.DUMMYFUNCTION("""COMPUTED_VALUE"""),"เมือง")</f>
        <v>เมือง</v>
      </c>
      <c r="AB1222" s="3" t="str">
        <f>IFERROR(__xludf.DUMMYFUNCTION("""COMPUTED_VALUE"""),"กระบี่")</f>
        <v>กระบี่</v>
      </c>
      <c r="AC1222" s="3">
        <f>IFERROR(__xludf.DUMMYFUNCTION("""COMPUTED_VALUE"""),81000.0)</f>
        <v>81000</v>
      </c>
      <c r="AD1222" s="3">
        <f>IFERROR(__xludf.DUMMYFUNCTION("""COMPUTED_VALUE"""),8.102506)</f>
        <v>8.102506</v>
      </c>
      <c r="AE1222" s="3">
        <f>IFERROR(__xludf.DUMMYFUNCTION("""COMPUTED_VALUE"""),98.903365)</f>
        <v>98.903365</v>
      </c>
      <c r="AF1222" s="3" t="str">
        <f>IFERROR(__xludf.DUMMYFUNCTION("""COMPUTED_VALUE"""),"MBC เชลล์แยกตลาดเก่า กระบี่-21994")</f>
        <v>MBC เชลล์แยกตลาดเก่า กระบี่-21994</v>
      </c>
      <c r="AG1222" s="3" t="str">
        <f>IFERROR(__xludf.DUMMYFUNCTION("""COMPUTED_VALUE"""),"ใต้")</f>
        <v>ใต้</v>
      </c>
      <c r="AH1222" s="3" t="str">
        <f>IFERROR(__xludf.DUMMYFUNCTION("""COMPUTED_VALUE"""),"#N/A")</f>
        <v>#N/A</v>
      </c>
      <c r="AI1222" s="3" t="str">
        <f>IFERROR(__xludf.DUMMYFUNCTION("""COMPUTED_VALUE"""),"Out of warranty")</f>
        <v>Out of warranty</v>
      </c>
      <c r="AJ1222" s="3">
        <f>IFERROR(__xludf.DUMMYFUNCTION("""COMPUTED_VALUE"""),74.0)</f>
        <v>74</v>
      </c>
      <c r="AK1222" s="3"/>
      <c r="AL1222" s="3"/>
    </row>
    <row r="1223" ht="15.75" customHeight="1">
      <c r="A1223" s="1" t="str">
        <f>IFERROR(__xludf.DUMMYFUNCTION("""COMPUTED_VALUE"""),"21995")</f>
        <v>21995</v>
      </c>
      <c r="B1223" s="2">
        <f>IFERROR(__xludf.DUMMYFUNCTION("""COMPUTED_VALUE"""),21995.0)</f>
        <v>21995</v>
      </c>
      <c r="C1223" s="3" t="str">
        <f>IFERROR(__xludf.DUMMYFUNCTION("""COMPUTED_VALUE"""),"MBC บ้านกลอนโด กาญจนบุรี")</f>
        <v>MBC บ้านกลอนโด กาญจนบุรี</v>
      </c>
      <c r="D1223" s="3" t="str">
        <f>IFERROR(__xludf.DUMMYFUNCTION("""COMPUTED_VALUE"""),"BCM BAN KLON DO")</f>
        <v>BCM BAN KLON DO</v>
      </c>
      <c r="E1223" s="1" t="str">
        <f>IFERROR(__xludf.DUMMYFUNCTION("""COMPUTED_VALUE"""),"บิ๊กซี MINI")</f>
        <v>บิ๊กซี MINI</v>
      </c>
      <c r="F1223" s="1" t="str">
        <f>IFERROR(__xludf.DUMMYFUNCTION("""COMPUTED_VALUE"""),"2083447")</f>
        <v>2083447</v>
      </c>
      <c r="G1223" s="1" t="str">
        <f>IFERROR(__xludf.DUMMYFUNCTION("""COMPUTED_VALUE"""),"นายอนุกูล ศรีลัดดา")</f>
        <v>นายอนุกูล ศรีลัดดา</v>
      </c>
      <c r="H1223" s="1" t="str">
        <f>IFERROR(__xludf.DUMMYFUNCTION("""COMPUTED_VALUE"""),"391191")</f>
        <v>391191</v>
      </c>
      <c r="I1223" s="1" t="str">
        <f>IFERROR(__xludf.DUMMYFUNCTION("""COMPUTED_VALUE"""),"นายวสันต์ สรงพรมทิพย์")</f>
        <v>นายวสันต์ สรงพรมทิพย์</v>
      </c>
      <c r="J1223" s="3">
        <f>IFERROR(__xludf.DUMMYFUNCTION("""COMPUTED_VALUE"""),2451655.0)</f>
        <v>2451655</v>
      </c>
      <c r="K1223" s="3" t="str">
        <f>IFERROR(__xludf.DUMMYFUNCTION("""COMPUTED_VALUE"""),"นายวิษณุพงษ์ ชินบุตร")</f>
        <v>นายวิษณุพงษ์ ชินบุตร</v>
      </c>
      <c r="L1223" s="1" t="str">
        <f>IFERROR(__xludf.DUMMYFUNCTION("""COMPUTED_VALUE"""),"13 K.Wisanupong Ch")</f>
        <v>13 K.Wisanupong Ch</v>
      </c>
      <c r="M1223" s="1" t="str">
        <f>IFERROR(__xludf.DUMMYFUNCTION("""COMPUTED_VALUE"""),"0843374693")</f>
        <v>0843374693</v>
      </c>
      <c r="N1223" s="3">
        <f>IFERROR(__xludf.DUMMYFUNCTION("""COMPUTED_VALUE"""),21013.0)</f>
        <v>21013</v>
      </c>
      <c r="O1223" s="3" t="str">
        <f>IFERROR(__xludf.DUMMYFUNCTION("""COMPUTED_VALUE"""),"MBC รังสิตคลอง2")</f>
        <v>MBC รังสิตคลอง2</v>
      </c>
      <c r="P1223" s="4">
        <f>IFERROR(__xludf.DUMMYFUNCTION("""COMPUTED_VALUE"""),43795.0)</f>
        <v>43795</v>
      </c>
      <c r="Q1223" s="3" t="str">
        <f>IFERROR(__xludf.DUMMYFUNCTION("""COMPUTED_VALUE"""),"I")</f>
        <v>I</v>
      </c>
      <c r="R1223" s="3" t="str">
        <f>IFERROR(__xludf.DUMMYFUNCTION("""COMPUTED_VALUE"""),"Small Format")</f>
        <v>Small Format</v>
      </c>
      <c r="S1223" s="3" t="str">
        <f>IFERROR(__xludf.DUMMYFUNCTION("""COMPUTED_VALUE"""),"BCM")</f>
        <v>BCM</v>
      </c>
      <c r="T1223" s="3" t="str">
        <f>IFERROR(__xludf.DUMMYFUNCTION("""COMPUTED_VALUE"""),"#N/A")</f>
        <v>#N/A</v>
      </c>
      <c r="U1223" s="3" t="str">
        <f>IFERROR(__xludf.DUMMYFUNCTION("""COMPUTED_VALUE"""),"#N/A")</f>
        <v>#N/A</v>
      </c>
      <c r="V1223" s="3" t="str">
        <f>IFERROR(__xludf.DUMMYFUNCTION("""COMPUTED_VALUE"""),"N")</f>
        <v>N</v>
      </c>
      <c r="W1223" s="3">
        <f>IFERROR(__xludf.DUMMYFUNCTION("""COMPUTED_VALUE"""),210037.0)</f>
        <v>210037</v>
      </c>
      <c r="X1223" s="3" t="str">
        <f>IFERROR(__xludf.DUMMYFUNCTION("""COMPUTED_VALUE"""),"55 หมู่1 ตำบลกลอนโด อำเภอด่านมะขามเตี้ย จังหวัดกาญจนบุรี 71260")</f>
        <v>55 หมู่1 ตำบลกลอนโด อำเภอด่านมะขามเตี้ย จังหวัดกาญจนบุรี 71260</v>
      </c>
      <c r="Y1223" s="3"/>
      <c r="Z1223" s="3" t="str">
        <f>IFERROR(__xludf.DUMMYFUNCTION("""COMPUTED_VALUE"""),"กลอนโด")</f>
        <v>กลอนโด</v>
      </c>
      <c r="AA1223" s="3" t="str">
        <f>IFERROR(__xludf.DUMMYFUNCTION("""COMPUTED_VALUE"""),"ด่านมะขามเตี้ย")</f>
        <v>ด่านมะขามเตี้ย</v>
      </c>
      <c r="AB1223" s="3" t="str">
        <f>IFERROR(__xludf.DUMMYFUNCTION("""COMPUTED_VALUE"""),"กาญจนบุรี")</f>
        <v>กาญจนบุรี</v>
      </c>
      <c r="AC1223" s="3">
        <f>IFERROR(__xludf.DUMMYFUNCTION("""COMPUTED_VALUE"""),71260.0)</f>
        <v>71260</v>
      </c>
      <c r="AD1223" s="3">
        <f>IFERROR(__xludf.DUMMYFUNCTION("""COMPUTED_VALUE"""),13.890914)</f>
        <v>13.890914</v>
      </c>
      <c r="AE1223" s="3">
        <f>IFERROR(__xludf.DUMMYFUNCTION("""COMPUTED_VALUE"""),99.468312)</f>
        <v>99.468312</v>
      </c>
      <c r="AF1223" s="3" t="str">
        <f>IFERROR(__xludf.DUMMYFUNCTION("""COMPUTED_VALUE"""),"MBC บ้านกลอนโด กาญจนบุรี-21995")</f>
        <v>MBC บ้านกลอนโด กาญจนบุรี-21995</v>
      </c>
      <c r="AG1223" s="3" t="str">
        <f>IFERROR(__xludf.DUMMYFUNCTION("""COMPUTED_VALUE"""),"ตะวันตก")</f>
        <v>ตะวันตก</v>
      </c>
      <c r="AH1223" s="3" t="str">
        <f>IFERROR(__xludf.DUMMYFUNCTION("""COMPUTED_VALUE"""),"#N/A")</f>
        <v>#N/A</v>
      </c>
      <c r="AI1223" s="3" t="str">
        <f>IFERROR(__xludf.DUMMYFUNCTION("""COMPUTED_VALUE"""),"Out of warranty")</f>
        <v>Out of warranty</v>
      </c>
      <c r="AJ1223" s="3">
        <f>IFERROR(__xludf.DUMMYFUNCTION("""COMPUTED_VALUE"""),74.0)</f>
        <v>74</v>
      </c>
      <c r="AK1223" s="3" t="str">
        <f>IFERROR(__xludf.DUMMYFUNCTION("""COMPUTED_VALUE"""),"MMS05")</f>
        <v>MMS05</v>
      </c>
      <c r="AL1223" s="3"/>
    </row>
    <row r="1224" ht="15.75" customHeight="1">
      <c r="A1224" s="1" t="str">
        <f>IFERROR(__xludf.DUMMYFUNCTION("""COMPUTED_VALUE"""),"21996")</f>
        <v>21996</v>
      </c>
      <c r="B1224" s="2">
        <f>IFERROR(__xludf.DUMMYFUNCTION("""COMPUTED_VALUE"""),21996.0)</f>
        <v>21996</v>
      </c>
      <c r="C1224" s="3" t="str">
        <f>IFERROR(__xludf.DUMMYFUNCTION("""COMPUTED_VALUE"""),"MBC เขวา สินรินทร์ สุรินทร์")</f>
        <v>MBC เขวา สินรินทร์ สุรินทร์</v>
      </c>
      <c r="D1224" s="3" t="str">
        <f>IFERROR(__xludf.DUMMYFUNCTION("""COMPUTED_VALUE"""),"BCM KHWAO SINARIN,SURIN")</f>
        <v>BCM KHWAO SINARIN,SURIN</v>
      </c>
      <c r="E1224" s="1" t="str">
        <f>IFERROR(__xludf.DUMMYFUNCTION("""COMPUTED_VALUE"""),"บิ๊กซี MINI")</f>
        <v>บิ๊กซี MINI</v>
      </c>
      <c r="F1224" s="1" t="str">
        <f>IFERROR(__xludf.DUMMYFUNCTION("""COMPUTED_VALUE"""),"291105")</f>
        <v>291105</v>
      </c>
      <c r="G1224" s="1" t="str">
        <f>IFERROR(__xludf.DUMMYFUNCTION("""COMPUTED_VALUE"""),"นายสราวุฒิ พณิชยกุล")</f>
        <v>นายสราวุฒิ พณิชยกุล</v>
      </c>
      <c r="H1224" s="1" t="str">
        <f>IFERROR(__xludf.DUMMYFUNCTION("""COMPUTED_VALUE"""),"398146")</f>
        <v>398146</v>
      </c>
      <c r="I1224" s="1" t="str">
        <f>IFERROR(__xludf.DUMMYFUNCTION("""COMPUTED_VALUE"""),"น.ส.กนกสิริ สุขหอม")</f>
        <v>น.ส.กนกสิริ สุขหอม</v>
      </c>
      <c r="J1224" s="3">
        <f>IFERROR(__xludf.DUMMYFUNCTION("""COMPUTED_VALUE"""),2454781.0)</f>
        <v>2454781</v>
      </c>
      <c r="K1224" s="3" t="str">
        <f>IFERROR(__xludf.DUMMYFUNCTION("""COMPUTED_VALUE"""),"นายฌานกฤช นันทะโคต")</f>
        <v>นายฌานกฤช นันทะโคต</v>
      </c>
      <c r="L1224" s="1" t="str">
        <f>IFERROR(__xludf.DUMMYFUNCTION("""COMPUTED_VALUE"""),"05 K.Chanakrit N.")</f>
        <v>05 K.Chanakrit N.</v>
      </c>
      <c r="M1224" s="1" t="str">
        <f>IFERROR(__xludf.DUMMYFUNCTION("""COMPUTED_VALUE"""),"090-978-9785 ,065-929-1320")</f>
        <v>090-978-9785 ,065-929-1320</v>
      </c>
      <c r="N1224" s="3">
        <f>IFERROR(__xludf.DUMMYFUNCTION("""COMPUTED_VALUE"""),22195.0)</f>
        <v>22195</v>
      </c>
      <c r="O1224" s="3" t="str">
        <f>IFERROR(__xludf.DUMMYFUNCTION("""COMPUTED_VALUE"""),"MBC กันทรลักษ์ ศรีสะเกษ")</f>
        <v>MBC กันทรลักษ์ ศรีสะเกษ</v>
      </c>
      <c r="P1224" s="4">
        <f>IFERROR(__xludf.DUMMYFUNCTION("""COMPUTED_VALUE"""),43798.0)</f>
        <v>43798</v>
      </c>
      <c r="Q1224" s="3" t="str">
        <f>IFERROR(__xludf.DUMMYFUNCTION("""COMPUTED_VALUE"""),"A")</f>
        <v>A</v>
      </c>
      <c r="R1224" s="3" t="str">
        <f>IFERROR(__xludf.DUMMYFUNCTION("""COMPUTED_VALUE"""),"Small Format")</f>
        <v>Small Format</v>
      </c>
      <c r="S1224" s="3" t="str">
        <f>IFERROR(__xludf.DUMMYFUNCTION("""COMPUTED_VALUE"""),"BCM")</f>
        <v>BCM</v>
      </c>
      <c r="T1224" s="3" t="str">
        <f>IFERROR(__xludf.DUMMYFUNCTION("""COMPUTED_VALUE"""),"#N/A")</f>
        <v>#N/A</v>
      </c>
      <c r="U1224" s="3" t="str">
        <f>IFERROR(__xludf.DUMMYFUNCTION("""COMPUTED_VALUE"""),"#N/A")</f>
        <v>#N/A</v>
      </c>
      <c r="V1224" s="3" t="str">
        <f>IFERROR(__xludf.DUMMYFUNCTION("""COMPUTED_VALUE"""),"N")</f>
        <v>N</v>
      </c>
      <c r="W1224" s="3">
        <f>IFERROR(__xludf.DUMMYFUNCTION("""COMPUTED_VALUE"""),210060.0)</f>
        <v>210060</v>
      </c>
      <c r="X1224" s="3" t="str">
        <f>IFERROR(__xludf.DUMMYFUNCTION("""COMPUTED_VALUE"""),"182/1-2 หมู่1 ตำบลเขวาสินรินทร์ อำเภอเขวาสินรินทร์ จังหวัดสุรินทร์ 32000")</f>
        <v>182/1-2 หมู่1 ตำบลเขวาสินรินทร์ อำเภอเขวาสินรินทร์ จังหวัดสุรินทร์ 32000</v>
      </c>
      <c r="Y1224" s="3"/>
      <c r="Z1224" s="3" t="str">
        <f>IFERROR(__xludf.DUMMYFUNCTION("""COMPUTED_VALUE"""),"เขวาสินรินทร์")</f>
        <v>เขวาสินรินทร์</v>
      </c>
      <c r="AA1224" s="3" t="str">
        <f>IFERROR(__xludf.DUMMYFUNCTION("""COMPUTED_VALUE"""),"เขวาสินรินทร์")</f>
        <v>เขวาสินรินทร์</v>
      </c>
      <c r="AB1224" s="3" t="str">
        <f>IFERROR(__xludf.DUMMYFUNCTION("""COMPUTED_VALUE"""),"สุรินทร์")</f>
        <v>สุรินทร์</v>
      </c>
      <c r="AC1224" s="3">
        <f>IFERROR(__xludf.DUMMYFUNCTION("""COMPUTED_VALUE"""),32000.0)</f>
        <v>32000</v>
      </c>
      <c r="AD1224" s="3">
        <f>IFERROR(__xludf.DUMMYFUNCTION("""COMPUTED_VALUE"""),14.999252)</f>
        <v>14.999252</v>
      </c>
      <c r="AE1224" s="3">
        <f>IFERROR(__xludf.DUMMYFUNCTION("""COMPUTED_VALUE"""),103.592957)</f>
        <v>103.592957</v>
      </c>
      <c r="AF1224" s="3" t="str">
        <f>IFERROR(__xludf.DUMMYFUNCTION("""COMPUTED_VALUE"""),"MBC เขวา สินรินทร์ สุรินทร์-21996")</f>
        <v>MBC เขวา สินรินทร์ สุรินทร์-21996</v>
      </c>
      <c r="AG1224" s="3" t="str">
        <f>IFERROR(__xludf.DUMMYFUNCTION("""COMPUTED_VALUE"""),"ตะวันออกเฉียงเหนือ")</f>
        <v>ตะวันออกเฉียงเหนือ</v>
      </c>
      <c r="AH1224" s="3" t="str">
        <f>IFERROR(__xludf.DUMMYFUNCTION("""COMPUTED_VALUE"""),"#N/A")</f>
        <v>#N/A</v>
      </c>
      <c r="AI1224" s="3" t="str">
        <f>IFERROR(__xludf.DUMMYFUNCTION("""COMPUTED_VALUE"""),"Out of warranty")</f>
        <v>Out of warranty</v>
      </c>
      <c r="AJ1224" s="3">
        <f>IFERROR(__xludf.DUMMYFUNCTION("""COMPUTED_VALUE"""),74.0)</f>
        <v>74</v>
      </c>
      <c r="AK1224" s="3" t="str">
        <f>IFERROR(__xludf.DUMMYFUNCTION("""COMPUTED_VALUE"""),"MMS13")</f>
        <v>MMS13</v>
      </c>
      <c r="AL1224" s="3"/>
    </row>
    <row r="1225" ht="15.75" customHeight="1">
      <c r="A1225" s="1" t="str">
        <f>IFERROR(__xludf.DUMMYFUNCTION("""COMPUTED_VALUE"""),"21997")</f>
        <v>21997</v>
      </c>
      <c r="B1225" s="2">
        <f>IFERROR(__xludf.DUMMYFUNCTION("""COMPUTED_VALUE"""),21997.0)</f>
        <v>21997</v>
      </c>
      <c r="C1225" s="3" t="str">
        <f>IFERROR(__xludf.DUMMYFUNCTION("""COMPUTED_VALUE"""),"MBC บางสีทอง นนทบุรี")</f>
        <v>MBC บางสีทอง นนทบุรี</v>
      </c>
      <c r="D1225" s="3" t="str">
        <f>IFERROR(__xludf.DUMMYFUNCTION("""COMPUTED_VALUE"""),"BCM BANG SI THONG")</f>
        <v>BCM BANG SI THONG</v>
      </c>
      <c r="E1225" s="1" t="str">
        <f>IFERROR(__xludf.DUMMYFUNCTION("""COMPUTED_VALUE"""),"บิ๊กซี MINI")</f>
        <v>บิ๊กซี MINI</v>
      </c>
      <c r="F1225" s="1" t="str">
        <f>IFERROR(__xludf.DUMMYFUNCTION("""COMPUTED_VALUE"""),"291008")</f>
        <v>291008</v>
      </c>
      <c r="G1225" s="1" t="str">
        <f>IFERROR(__xludf.DUMMYFUNCTION("""COMPUTED_VALUE"""),"น.ส.รัชดาพร อีศรัตน์")</f>
        <v>น.ส.รัชดาพร อีศรัตน์</v>
      </c>
      <c r="H1225" s="1" t="str">
        <f>IFERROR(__xludf.DUMMYFUNCTION("""COMPUTED_VALUE"""),"034068")</f>
        <v>034068</v>
      </c>
      <c r="I1225" s="1" t="str">
        <f>IFERROR(__xludf.DUMMYFUNCTION("""COMPUTED_VALUE"""),"นายสมศักดิ์ ฐานทองดี")</f>
        <v>นายสมศักดิ์ ฐานทองดี</v>
      </c>
      <c r="J1225" s="3">
        <f>IFERROR(__xludf.DUMMYFUNCTION("""COMPUTED_VALUE"""),296608.0)</f>
        <v>296608</v>
      </c>
      <c r="K1225" s="3" t="str">
        <f>IFERROR(__xludf.DUMMYFUNCTION("""COMPUTED_VALUE"""),"นายภาคภูมิ เพ็ชรนิล")</f>
        <v>นายภาคภูมิ เพ็ชรนิล</v>
      </c>
      <c r="L1225" s="1" t="str">
        <f>IFERROR(__xludf.DUMMYFUNCTION("""COMPUTED_VALUE"""),"10 K.Phakphoom P.")</f>
        <v>10 K.Phakphoom P.</v>
      </c>
      <c r="M1225" s="1" t="str">
        <f>IFERROR(__xludf.DUMMYFUNCTION("""COMPUTED_VALUE"""),"063-8955329")</f>
        <v>063-8955329</v>
      </c>
      <c r="N1225" s="3">
        <f>IFERROR(__xludf.DUMMYFUNCTION("""COMPUTED_VALUE"""),22584.0)</f>
        <v>22584</v>
      </c>
      <c r="O1225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225" s="4">
        <f>IFERROR(__xludf.DUMMYFUNCTION("""COMPUTED_VALUE"""),43803.0)</f>
        <v>43803</v>
      </c>
      <c r="Q1225" s="3" t="str">
        <f>IFERROR(__xludf.DUMMYFUNCTION("""COMPUTED_VALUE"""),"A")</f>
        <v>A</v>
      </c>
      <c r="R1225" s="3" t="str">
        <f>IFERROR(__xludf.DUMMYFUNCTION("""COMPUTED_VALUE"""),"Small Format")</f>
        <v>Small Format</v>
      </c>
      <c r="S1225" s="3" t="str">
        <f>IFERROR(__xludf.DUMMYFUNCTION("""COMPUTED_VALUE"""),"BCM")</f>
        <v>BCM</v>
      </c>
      <c r="T1225" s="3" t="str">
        <f>IFERROR(__xludf.DUMMYFUNCTION("""COMPUTED_VALUE"""),"#N/A")</f>
        <v>#N/A</v>
      </c>
      <c r="U1225" s="3" t="str">
        <f>IFERROR(__xludf.DUMMYFUNCTION("""COMPUTED_VALUE"""),"#N/A")</f>
        <v>#N/A</v>
      </c>
      <c r="V1225" s="3" t="str">
        <f>IFERROR(__xludf.DUMMYFUNCTION("""COMPUTED_VALUE"""),"N")</f>
        <v>N</v>
      </c>
      <c r="W1225" s="3">
        <f>IFERROR(__xludf.DUMMYFUNCTION("""COMPUTED_VALUE"""),210018.0)</f>
        <v>210018</v>
      </c>
      <c r="X1225" s="3" t="str">
        <f>IFERROR(__xludf.DUMMYFUNCTION("""COMPUTED_VALUE"""),"89/13 หมู่5 ตำบลบางสีทอง อำเภอบางกรวย จังหวัดนนทบุรี 11130")</f>
        <v>89/13 หมู่5 ตำบลบางสีทอง อำเภอบางกรวย จังหวัดนนทบุรี 11130</v>
      </c>
      <c r="Y1225" s="3"/>
      <c r="Z1225" s="3" t="str">
        <f>IFERROR(__xludf.DUMMYFUNCTION("""COMPUTED_VALUE"""),"บางสีทอง")</f>
        <v>บางสีทอง</v>
      </c>
      <c r="AA1225" s="3" t="str">
        <f>IFERROR(__xludf.DUMMYFUNCTION("""COMPUTED_VALUE"""),"บางกรวย")</f>
        <v>บางกรวย</v>
      </c>
      <c r="AB1225" s="3" t="str">
        <f>IFERROR(__xludf.DUMMYFUNCTION("""COMPUTED_VALUE"""),"นนทบุรี")</f>
        <v>นนทบุรี</v>
      </c>
      <c r="AC1225" s="3">
        <f>IFERROR(__xludf.DUMMYFUNCTION("""COMPUTED_VALUE"""),11130.0)</f>
        <v>11130</v>
      </c>
      <c r="AD1225" s="3">
        <f>IFERROR(__xludf.DUMMYFUNCTION("""COMPUTED_VALUE"""),13.485488)</f>
        <v>13.485488</v>
      </c>
      <c r="AE1225" s="3">
        <f>IFERROR(__xludf.DUMMYFUNCTION("""COMPUTED_VALUE"""),100.284758)</f>
        <v>100.284758</v>
      </c>
      <c r="AF1225" s="3" t="str">
        <f>IFERROR(__xludf.DUMMYFUNCTION("""COMPUTED_VALUE"""),"MBC บางสีทอง นนทบุรี-21997")</f>
        <v>MBC บางสีทอง นนทบุรี-21997</v>
      </c>
      <c r="AG1225" s="3" t="str">
        <f>IFERROR(__xludf.DUMMYFUNCTION("""COMPUTED_VALUE"""),"กลาง")</f>
        <v>กลาง</v>
      </c>
      <c r="AH1225" s="3" t="str">
        <f>IFERROR(__xludf.DUMMYFUNCTION("""COMPUTED_VALUE"""),"#N/A")</f>
        <v>#N/A</v>
      </c>
      <c r="AI1225" s="3" t="str">
        <f>IFERROR(__xludf.DUMMYFUNCTION("""COMPUTED_VALUE"""),"Out of warranty")</f>
        <v>Out of warranty</v>
      </c>
      <c r="AJ1225" s="3">
        <f>IFERROR(__xludf.DUMMYFUNCTION("""COMPUTED_VALUE"""),74.0)</f>
        <v>74</v>
      </c>
      <c r="AK1225" s="3" t="str">
        <f>IFERROR(__xludf.DUMMYFUNCTION("""COMPUTED_VALUE"""),"MMS01")</f>
        <v>MMS01</v>
      </c>
      <c r="AL1225" s="3"/>
    </row>
    <row r="1226" ht="15.75" customHeight="1">
      <c r="A1226" s="1" t="str">
        <f>IFERROR(__xludf.DUMMYFUNCTION("""COMPUTED_VALUE"""),"21998")</f>
        <v>21998</v>
      </c>
      <c r="B1226" s="2">
        <f>IFERROR(__xludf.DUMMYFUNCTION("""COMPUTED_VALUE"""),21998.0)</f>
        <v>21998</v>
      </c>
      <c r="C1226" s="3" t="str">
        <f>IFERROR(__xludf.DUMMYFUNCTION("""COMPUTED_VALUE"""),"MBC นนทบุรี39 นนทบุรี")</f>
        <v>MBC นนทบุรี39 นนทบุรี</v>
      </c>
      <c r="D1226" s="3" t="str">
        <f>IFERROR(__xludf.DUMMYFUNCTION("""COMPUTED_VALUE"""),"BCM NONTHABURI 39")</f>
        <v>BCM NONTHABURI 39</v>
      </c>
      <c r="E1226" s="1" t="str">
        <f>IFERROR(__xludf.DUMMYFUNCTION("""COMPUTED_VALUE"""),"บิ๊กซี MINI")</f>
        <v>บิ๊กซี MINI</v>
      </c>
      <c r="F1226" s="1" t="str">
        <f>IFERROR(__xludf.DUMMYFUNCTION("""COMPUTED_VALUE"""),"291008")</f>
        <v>291008</v>
      </c>
      <c r="G1226" s="1" t="str">
        <f>IFERROR(__xludf.DUMMYFUNCTION("""COMPUTED_VALUE"""),"น.ส.รัชดาพร อีศรัตน์")</f>
        <v>น.ส.รัชดาพร อีศรัตน์</v>
      </c>
      <c r="H1226" s="1" t="str">
        <f>IFERROR(__xludf.DUMMYFUNCTION("""COMPUTED_VALUE"""),"034068")</f>
        <v>034068</v>
      </c>
      <c r="I1226" s="1" t="str">
        <f>IFERROR(__xludf.DUMMYFUNCTION("""COMPUTED_VALUE"""),"นายสมศักดิ์ ฐานทองดี")</f>
        <v>นายสมศักดิ์ ฐานทองดี</v>
      </c>
      <c r="J1226" s="3">
        <f>IFERROR(__xludf.DUMMYFUNCTION("""COMPUTED_VALUE"""),296608.0)</f>
        <v>296608</v>
      </c>
      <c r="K1226" s="3" t="str">
        <f>IFERROR(__xludf.DUMMYFUNCTION("""COMPUTED_VALUE"""),"นายภาคภูมิ เพ็ชรนิล")</f>
        <v>นายภาคภูมิ เพ็ชรนิล</v>
      </c>
      <c r="L1226" s="1" t="str">
        <f>IFERROR(__xludf.DUMMYFUNCTION("""COMPUTED_VALUE"""),"10 K.Phakphoom P.")</f>
        <v>10 K.Phakphoom P.</v>
      </c>
      <c r="M1226" s="1" t="str">
        <f>IFERROR(__xludf.DUMMYFUNCTION("""COMPUTED_VALUE"""),"063-8955329")</f>
        <v>063-8955329</v>
      </c>
      <c r="N1226" s="3">
        <f>IFERROR(__xludf.DUMMYFUNCTION("""COMPUTED_VALUE"""),22584.0)</f>
        <v>22584</v>
      </c>
      <c r="O1226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226" s="4">
        <f>IFERROR(__xludf.DUMMYFUNCTION("""COMPUTED_VALUE"""),43804.0)</f>
        <v>43804</v>
      </c>
      <c r="Q1226" s="3" t="str">
        <f>IFERROR(__xludf.DUMMYFUNCTION("""COMPUTED_VALUE"""),"A")</f>
        <v>A</v>
      </c>
      <c r="R1226" s="3" t="str">
        <f>IFERROR(__xludf.DUMMYFUNCTION("""COMPUTED_VALUE"""),"Small Format")</f>
        <v>Small Format</v>
      </c>
      <c r="S1226" s="3" t="str">
        <f>IFERROR(__xludf.DUMMYFUNCTION("""COMPUTED_VALUE"""),"BCM")</f>
        <v>BCM</v>
      </c>
      <c r="T1226" s="3" t="str">
        <f>IFERROR(__xludf.DUMMYFUNCTION("""COMPUTED_VALUE"""),"#N/A")</f>
        <v>#N/A</v>
      </c>
      <c r="U1226" s="3" t="str">
        <f>IFERROR(__xludf.DUMMYFUNCTION("""COMPUTED_VALUE"""),"#N/A")</f>
        <v>#N/A</v>
      </c>
      <c r="V1226" s="3" t="str">
        <f>IFERROR(__xludf.DUMMYFUNCTION("""COMPUTED_VALUE"""),"N")</f>
        <v>N</v>
      </c>
      <c r="W1226" s="3">
        <f>IFERROR(__xludf.DUMMYFUNCTION("""COMPUTED_VALUE"""),211876.0)</f>
        <v>211876</v>
      </c>
      <c r="X1226" s="3" t="str">
        <f>IFERROR(__xludf.DUMMYFUNCTION("""COMPUTED_VALUE"""),"1/2 ซอยนนทบุรี39 ตำบลท่าทราย อำเภอเมืองนนทบุรี จังหวัดนนทบุรี 11000")</f>
        <v>1/2 ซอยนนทบุรี39 ตำบลท่าทราย อำเภอเมืองนนทบุรี จังหวัดนนทบุรี 11000</v>
      </c>
      <c r="Y1226" s="3" t="str">
        <f>IFERROR(__xludf.DUMMYFUNCTION("""COMPUTED_VALUE"""),"ซอยนนทบุรี39")</f>
        <v>ซอยนนทบุรี39</v>
      </c>
      <c r="Z1226" s="3" t="str">
        <f>IFERROR(__xludf.DUMMYFUNCTION("""COMPUTED_VALUE"""),"ท่าทราย")</f>
        <v>ท่าทราย</v>
      </c>
      <c r="AA1226" s="3" t="str">
        <f>IFERROR(__xludf.DUMMYFUNCTION("""COMPUTED_VALUE"""),"เมืองนนทบุรี")</f>
        <v>เมืองนนทบุรี</v>
      </c>
      <c r="AB1226" s="3" t="str">
        <f>IFERROR(__xludf.DUMMYFUNCTION("""COMPUTED_VALUE"""),"นนทบุรี")</f>
        <v>นนทบุรี</v>
      </c>
      <c r="AC1226" s="3">
        <f>IFERROR(__xludf.DUMMYFUNCTION("""COMPUTED_VALUE"""),11000.0)</f>
        <v>11000</v>
      </c>
      <c r="AD1226" s="3">
        <f>IFERROR(__xludf.DUMMYFUNCTION("""COMPUTED_VALUE"""),13.88181)</f>
        <v>13.88181</v>
      </c>
      <c r="AE1226" s="3">
        <f>IFERROR(__xludf.DUMMYFUNCTION("""COMPUTED_VALUE"""),100.503956)</f>
        <v>100.503956</v>
      </c>
      <c r="AF1226" s="3" t="str">
        <f>IFERROR(__xludf.DUMMYFUNCTION("""COMPUTED_VALUE"""),"MBC นนทบุรี39 นนทบุรี-21998")</f>
        <v>MBC นนทบุรี39 นนทบุรี-21998</v>
      </c>
      <c r="AG1226" s="3" t="str">
        <f>IFERROR(__xludf.DUMMYFUNCTION("""COMPUTED_VALUE"""),"กลาง")</f>
        <v>กลาง</v>
      </c>
      <c r="AH1226" s="3" t="str">
        <f>IFERROR(__xludf.DUMMYFUNCTION("""COMPUTED_VALUE"""),"#N/A")</f>
        <v>#N/A</v>
      </c>
      <c r="AI1226" s="3" t="str">
        <f>IFERROR(__xludf.DUMMYFUNCTION("""COMPUTED_VALUE"""),"Out of warranty")</f>
        <v>Out of warranty</v>
      </c>
      <c r="AJ1226" s="3">
        <f>IFERROR(__xludf.DUMMYFUNCTION("""COMPUTED_VALUE"""),74.0)</f>
        <v>74</v>
      </c>
      <c r="AK1226" s="3" t="str">
        <f>IFERROR(__xludf.DUMMYFUNCTION("""COMPUTED_VALUE"""),"MMS01")</f>
        <v>MMS01</v>
      </c>
      <c r="AL1226" s="3"/>
    </row>
    <row r="1227" ht="15.75" customHeight="1">
      <c r="A1227" s="1" t="str">
        <f>IFERROR(__xludf.DUMMYFUNCTION("""COMPUTED_VALUE"""),"21999")</f>
        <v>21999</v>
      </c>
      <c r="B1227" s="2">
        <f>IFERROR(__xludf.DUMMYFUNCTION("""COMPUTED_VALUE"""),21999.0)</f>
        <v>21999</v>
      </c>
      <c r="C1227" s="3" t="str">
        <f>IFERROR(__xludf.DUMMYFUNCTION("""COMPUTED_VALUE"""),"MBC หัวหินซอย 102 ประจวบคีรีขันธ์")</f>
        <v>MBC หัวหินซอย 102 ประจวบคีรีขันธ์</v>
      </c>
      <c r="D1227" s="3" t="str">
        <f>IFERROR(__xludf.DUMMYFUNCTION("""COMPUTED_VALUE"""),"BCM HUA HIN SOI 102")</f>
        <v>BCM HUA HIN SOI 102</v>
      </c>
      <c r="E1227" s="1" t="str">
        <f>IFERROR(__xludf.DUMMYFUNCTION("""COMPUTED_VALUE"""),"บิ๊กซี MINI")</f>
        <v>บิ๊กซี MINI</v>
      </c>
      <c r="F1227" s="1" t="str">
        <f>IFERROR(__xludf.DUMMYFUNCTION("""COMPUTED_VALUE"""),"250760")</f>
        <v>250760</v>
      </c>
      <c r="G1227" s="1" t="str">
        <f>IFERROR(__xludf.DUMMYFUNCTION("""COMPUTED_VALUE"""),"นายประทวน สาราบรรณ์")</f>
        <v>นายประทวน สาราบรรณ์</v>
      </c>
      <c r="H1227" s="1" t="str">
        <f>IFERROR(__xludf.DUMMYFUNCTION("""COMPUTED_VALUE"""),"311437")</f>
        <v>311437</v>
      </c>
      <c r="I1227" s="1" t="str">
        <f>IFERROR(__xludf.DUMMYFUNCTION("""COMPUTED_VALUE"""),"นายฉัตรทพร รักวิเชียร")</f>
        <v>นายฉัตรทพร รักวิเชียร</v>
      </c>
      <c r="J1227" s="3">
        <f>IFERROR(__xludf.DUMMYFUNCTION("""COMPUTED_VALUE"""),25324.0)</f>
        <v>25324</v>
      </c>
      <c r="K1227" s="3" t="str">
        <f>IFERROR(__xludf.DUMMYFUNCTION("""COMPUTED_VALUE"""),"นายวิเชฎฐ์ ติรัตนะประคม")</f>
        <v>นายวิเชฎฐ์ ติรัตนะประคม</v>
      </c>
      <c r="L1227" s="1" t="str">
        <f>IFERROR(__xludf.DUMMYFUNCTION("""COMPUTED_VALUE"""),"14 K.Wichet T.")</f>
        <v>14 K.Wichet T.</v>
      </c>
      <c r="M1227" s="1" t="str">
        <f>IFERROR(__xludf.DUMMYFUNCTION("""COMPUTED_VALUE"""),"061-417-6569 / 086-445-5636")</f>
        <v>061-417-6569 / 086-445-5636</v>
      </c>
      <c r="N1227" s="3">
        <f>IFERROR(__xludf.DUMMYFUNCTION("""COMPUTED_VALUE"""),22658.0)</f>
        <v>22658</v>
      </c>
      <c r="O1227" s="3" t="str">
        <f>IFERROR(__xludf.DUMMYFUNCTION("""COMPUTED_VALUE"""),"BCM ถ.วิรัชหงษ์หยก ภูเก็ต")</f>
        <v>BCM ถ.วิรัชหงษ์หยก ภูเก็ต</v>
      </c>
      <c r="P1227" s="4">
        <f>IFERROR(__xludf.DUMMYFUNCTION("""COMPUTED_VALUE"""),43805.0)</f>
        <v>43805</v>
      </c>
      <c r="Q1227" s="3" t="str">
        <f>IFERROR(__xludf.DUMMYFUNCTION("""COMPUTED_VALUE"""),"A")</f>
        <v>A</v>
      </c>
      <c r="R1227" s="3" t="str">
        <f>IFERROR(__xludf.DUMMYFUNCTION("""COMPUTED_VALUE"""),"Small Format")</f>
        <v>Small Format</v>
      </c>
      <c r="S1227" s="3" t="str">
        <f>IFERROR(__xludf.DUMMYFUNCTION("""COMPUTED_VALUE"""),"BCM")</f>
        <v>BCM</v>
      </c>
      <c r="T1227" s="3" t="str">
        <f>IFERROR(__xludf.DUMMYFUNCTION("""COMPUTED_VALUE"""),"#N/A")</f>
        <v>#N/A</v>
      </c>
      <c r="U1227" s="3" t="str">
        <f>IFERROR(__xludf.DUMMYFUNCTION("""COMPUTED_VALUE"""),"#N/A")</f>
        <v>#N/A</v>
      </c>
      <c r="V1227" s="3" t="str">
        <f>IFERROR(__xludf.DUMMYFUNCTION("""COMPUTED_VALUE"""),"N")</f>
        <v>N</v>
      </c>
      <c r="W1227" s="3">
        <f>IFERROR(__xludf.DUMMYFUNCTION("""COMPUTED_VALUE"""),211977.0)</f>
        <v>211977</v>
      </c>
      <c r="X1227" s="3" t="str">
        <f>IFERROR(__xludf.DUMMYFUNCTION("""COMPUTED_VALUE"""),"136/532 ซอยหมู่บ้านหนองแก ตำบลหนองแก อำเภอหัวหิน จังหวัดประจวบคีรีขันธ์ 77110")</f>
        <v>136/532 ซอยหมู่บ้านหนองแก ตำบลหนองแก อำเภอหัวหิน จังหวัดประจวบคีรีขันธ์ 77110</v>
      </c>
      <c r="Y1227" s="3" t="str">
        <f>IFERROR(__xludf.DUMMYFUNCTION("""COMPUTED_VALUE"""),"ซอยหมู่บ้านหนองแก")</f>
        <v>ซอยหมู่บ้านหนองแก</v>
      </c>
      <c r="Z1227" s="3" t="str">
        <f>IFERROR(__xludf.DUMMYFUNCTION("""COMPUTED_VALUE"""),"หนองแก")</f>
        <v>หนองแก</v>
      </c>
      <c r="AA1227" s="3" t="str">
        <f>IFERROR(__xludf.DUMMYFUNCTION("""COMPUTED_VALUE"""),"หัวหิน")</f>
        <v>หัวหิน</v>
      </c>
      <c r="AB1227" s="3" t="str">
        <f>IFERROR(__xludf.DUMMYFUNCTION("""COMPUTED_VALUE"""),"ประจวบคีรีขันธ์")</f>
        <v>ประจวบคีรีขันธ์</v>
      </c>
      <c r="AC1227" s="3">
        <f>IFERROR(__xludf.DUMMYFUNCTION("""COMPUTED_VALUE"""),77110.0)</f>
        <v>77110</v>
      </c>
      <c r="AD1227" s="3">
        <f>IFERROR(__xludf.DUMMYFUNCTION("""COMPUTED_VALUE"""),12.545672)</f>
        <v>12.545672</v>
      </c>
      <c r="AE1227" s="3">
        <f>IFERROR(__xludf.DUMMYFUNCTION("""COMPUTED_VALUE"""),99.957212)</f>
        <v>99.957212</v>
      </c>
      <c r="AF1227" s="3" t="str">
        <f>IFERROR(__xludf.DUMMYFUNCTION("""COMPUTED_VALUE"""),"MBC หัวหินซอย 102 ประจวบคีรีขันธ์ -21999")</f>
        <v>MBC หัวหินซอย 102 ประจวบคีรีขันธ์ -21999</v>
      </c>
      <c r="AG1227" s="3" t="str">
        <f>IFERROR(__xludf.DUMMYFUNCTION("""COMPUTED_VALUE"""),"ตะวันตก")</f>
        <v>ตะวันตก</v>
      </c>
      <c r="AH1227" s="3" t="str">
        <f>IFERROR(__xludf.DUMMYFUNCTION("""COMPUTED_VALUE"""),"#N/A")</f>
        <v>#N/A</v>
      </c>
      <c r="AI1227" s="3" t="str">
        <f>IFERROR(__xludf.DUMMYFUNCTION("""COMPUTED_VALUE"""),"Out of warranty")</f>
        <v>Out of warranty</v>
      </c>
      <c r="AJ1227" s="3">
        <f>IFERROR(__xludf.DUMMYFUNCTION("""COMPUTED_VALUE"""),74.0)</f>
        <v>74</v>
      </c>
      <c r="AK1227" s="3" t="str">
        <f>IFERROR(__xludf.DUMMYFUNCTION("""COMPUTED_VALUE"""),"MMS14")</f>
        <v>MMS14</v>
      </c>
      <c r="AL1227" s="3"/>
    </row>
    <row r="1228" ht="15.75" customHeight="1">
      <c r="A1228" s="1" t="str">
        <f>IFERROR(__xludf.DUMMYFUNCTION("""COMPUTED_VALUE"""),"21RB002")</f>
        <v>21RB002</v>
      </c>
      <c r="B1228" s="2" t="str">
        <f>IFERROR(__xludf.DUMMYFUNCTION("""COMPUTED_VALUE"""),"21RB002")</f>
        <v>21RB002</v>
      </c>
      <c r="C1228" s="3" t="str">
        <f>IFERROR(__xludf.DUMMYFUNCTION("""COMPUTED_VALUE"""),"เอเซียบุ๊คส ธนิยะพลาซา")</f>
        <v>เอเซียบุ๊คส ธนิยะพลาซา</v>
      </c>
      <c r="D1228" s="3" t="str">
        <f>IFERROR(__xludf.DUMMYFUNCTION("""COMPUTED_VALUE"""),"ABBK-TN:THANIYA PLAZA")</f>
        <v>ABBK-TN:THANIYA PLAZA</v>
      </c>
      <c r="E1228" s="1" t="str">
        <f>IFERROR(__xludf.DUMMYFUNCTION("""COMPUTED_VALUE"""),"AsiaBooks")</f>
        <v>AsiaBooks</v>
      </c>
      <c r="F1228" s="1" t="str">
        <f>IFERROR(__xludf.DUMMYFUNCTION("""COMPUTED_VALUE"""),"1016938")</f>
        <v>1016938</v>
      </c>
      <c r="G1228" s="1" t="str">
        <f>IFERROR(__xludf.DUMMYFUNCTION("""COMPUTED_VALUE"""),"น.ส.ณัฏฐนันท์ ปัญญาสิทธิ์")</f>
        <v>น.ส.ณัฏฐนันท์ ปัญญาสิทธิ์</v>
      </c>
      <c r="H1228" s="1" t="str">
        <f>IFERROR(__xludf.DUMMYFUNCTION("""COMPUTED_VALUE"""),"2010435")</f>
        <v>2010435</v>
      </c>
      <c r="I1228" s="1" t="str">
        <f>IFERROR(__xludf.DUMMYFUNCTION("""COMPUTED_VALUE"""),"น.ส.ลักษณพร เกิดบุญส่ง")</f>
        <v>น.ส.ลักษณพร เกิดบุญส่ง</v>
      </c>
      <c r="J1228" s="3">
        <f>IFERROR(__xludf.DUMMYFUNCTION("""COMPUTED_VALUE"""),1016938.0)</f>
        <v>1016938</v>
      </c>
      <c r="K1228" s="3" t="str">
        <f>IFERROR(__xludf.DUMMYFUNCTION("""COMPUTED_VALUE"""),"น.ส.ณัฏฐนันท์ ปัญญาสิทธิ์")</f>
        <v>น.ส.ณัฏฐนันท์ ปัญญาสิทธิ์</v>
      </c>
      <c r="L1228" s="1" t="str">
        <f>IFERROR(__xludf.DUMMYFUNCTION("""COMPUTED_VALUE"""),"Asia Books")</f>
        <v>Asia Books</v>
      </c>
      <c r="M1228" s="1" t="str">
        <f>IFERROR(__xludf.DUMMYFUNCTION("""COMPUTED_VALUE"""),"0993463946")</f>
        <v>0993463946</v>
      </c>
      <c r="N1228" s="3" t="str">
        <f>IFERROR(__xludf.DUMMYFUNCTION("""COMPUTED_VALUE"""),"21RB002")</f>
        <v>21RB002</v>
      </c>
      <c r="O1228" s="3" t="str">
        <f>IFERROR(__xludf.DUMMYFUNCTION("""COMPUTED_VALUE"""),"เอเซียบุ๊คส ธนิยะพลาซา")</f>
        <v>เอเซียบุ๊คส ธนิยะพลาซา</v>
      </c>
      <c r="P1228" s="4">
        <f>IFERROR(__xludf.DUMMYFUNCTION("""COMPUTED_VALUE"""),43271.0)</f>
        <v>43271</v>
      </c>
      <c r="Q1228" s="3" t="str">
        <f>IFERROR(__xludf.DUMMYFUNCTION("""COMPUTED_VALUE"""),"I")</f>
        <v>I</v>
      </c>
      <c r="R1228" s="3" t="str">
        <f>IFERROR(__xludf.DUMMYFUNCTION("""COMPUTED_VALUE"""),"Small Format")</f>
        <v>Small Format</v>
      </c>
      <c r="S1228" s="3" t="str">
        <f>IFERROR(__xludf.DUMMYFUNCTION("""COMPUTED_VALUE"""),"AsiaBooks")</f>
        <v>AsiaBooks</v>
      </c>
      <c r="T1228" s="3" t="str">
        <f>IFERROR(__xludf.DUMMYFUNCTION("""COMPUTED_VALUE"""),"Asia Books")</f>
        <v>Asia Books</v>
      </c>
      <c r="U1228" s="3" t="str">
        <f>IFERROR(__xludf.DUMMYFUNCTION("""COMPUTED_VALUE"""),"#N/A")</f>
        <v>#N/A</v>
      </c>
      <c r="V1228" s="3" t="str">
        <f>IFERROR(__xludf.DUMMYFUNCTION("""COMPUTED_VALUE"""),"Y")</f>
        <v>Y</v>
      </c>
      <c r="W1228" s="3">
        <f>IFERROR(__xludf.DUMMYFUNCTION("""COMPUTED_VALUE"""),0.0)</f>
        <v>0</v>
      </c>
      <c r="X1228" s="3" t="str">
        <f>IFERROR(__xludf.DUMMYFUNCTION("""COMPUTED_VALUE"""),"ชั้น 3 ห้องเลขที่ 342-343, ศูนย์การค้าธนิยะ พลาซ่า เลขที่ 52 แขวงสุริยวงศ์ เขตบางรัก กรุงเทพมหานคร 10500")</f>
        <v>ชั้น 3 ห้องเลขที่ 342-343, ศูนย์การค้าธนิยะ พลาซ่า เลขที่ 52 แขวงสุริยวงศ์ เขตบางรัก กรุงเทพมหานคร 10500</v>
      </c>
      <c r="Y1228" s="3"/>
      <c r="Z1228" s="3" t="str">
        <f>IFERROR(__xludf.DUMMYFUNCTION("""COMPUTED_VALUE"""),"สุริยวงศ์")</f>
        <v>สุริยวงศ์</v>
      </c>
      <c r="AA1228" s="3" t="str">
        <f>IFERROR(__xludf.DUMMYFUNCTION("""COMPUTED_VALUE"""),"บางรัก")</f>
        <v>บางรัก</v>
      </c>
      <c r="AB1228" s="3" t="str">
        <f>IFERROR(__xludf.DUMMYFUNCTION("""COMPUTED_VALUE"""),"กรุงเทพมหานคร")</f>
        <v>กรุงเทพมหานคร</v>
      </c>
      <c r="AC1228" s="3">
        <f>IFERROR(__xludf.DUMMYFUNCTION("""COMPUTED_VALUE"""),10500.0)</f>
        <v>10500</v>
      </c>
      <c r="AD1228" s="3">
        <f>IFERROR(__xludf.DUMMYFUNCTION("""COMPUTED_VALUE"""),0.0)</f>
        <v>0</v>
      </c>
      <c r="AE1228" s="3">
        <f>IFERROR(__xludf.DUMMYFUNCTION("""COMPUTED_VALUE"""),0.0)</f>
        <v>0</v>
      </c>
      <c r="AF1228" s="3" t="str">
        <f>IFERROR(__xludf.DUMMYFUNCTION("""COMPUTED_VALUE"""),"เอเซียบุ๊คส ธนิยะพลาซา-21RB002")</f>
        <v>เอเซียบุ๊คส ธนิยะพลาซา-21RB002</v>
      </c>
      <c r="AG1228" s="3" t="str">
        <f>IFERROR(__xludf.DUMMYFUNCTION("""COMPUTED_VALUE"""),"กลาง")</f>
        <v>กลาง</v>
      </c>
      <c r="AH1228" s="3" t="str">
        <f>IFERROR(__xludf.DUMMYFUNCTION("""COMPUTED_VALUE"""),"#N/A")</f>
        <v>#N/A</v>
      </c>
      <c r="AI1228" s="3" t="str">
        <f>IFERROR(__xludf.DUMMYFUNCTION("""COMPUTED_VALUE"""),"Out of warranty")</f>
        <v>Out of warranty</v>
      </c>
      <c r="AJ1228" s="3">
        <f>IFERROR(__xludf.DUMMYFUNCTION("""COMPUTED_VALUE"""),92.0)</f>
        <v>92</v>
      </c>
      <c r="AK1228" s="3"/>
      <c r="AL1228" s="3"/>
    </row>
    <row r="1229" ht="15.75" customHeight="1">
      <c r="A1229" s="1" t="str">
        <f>IFERROR(__xludf.DUMMYFUNCTION("""COMPUTED_VALUE"""),"21RB003")</f>
        <v>21RB003</v>
      </c>
      <c r="B1229" s="2" t="str">
        <f>IFERROR(__xludf.DUMMYFUNCTION("""COMPUTED_VALUE"""),"21RB003")</f>
        <v>21RB003</v>
      </c>
      <c r="C1229" s="3" t="str">
        <f>IFERROR(__xludf.DUMMYFUNCTION("""COMPUTED_VALUE"""),"Seacon Square")</f>
        <v>Seacon Square</v>
      </c>
      <c r="D1229" s="3" t="str">
        <f>IFERROR(__xludf.DUMMYFUNCTION("""COMPUTED_VALUE"""),"เอเซียบุ๊คส ซีคอนสแควร์")</f>
        <v>เอเซียบุ๊คส ซีคอนสแควร์</v>
      </c>
      <c r="E1229" s="1" t="str">
        <f>IFERROR(__xludf.DUMMYFUNCTION("""COMPUTED_VALUE"""),"AsiaBooks")</f>
        <v>AsiaBooks</v>
      </c>
      <c r="F1229" s="1" t="str">
        <f>IFERROR(__xludf.DUMMYFUNCTION("""COMPUTED_VALUE"""),"1016938")</f>
        <v>1016938</v>
      </c>
      <c r="G1229" s="1" t="str">
        <f>IFERROR(__xludf.DUMMYFUNCTION("""COMPUTED_VALUE"""),"น.ส.ณัฏฐนันท์ ปัญญาสิทธิ์")</f>
        <v>น.ส.ณัฏฐนันท์ ปัญญาสิทธิ์</v>
      </c>
      <c r="H1229" s="1" t="str">
        <f>IFERROR(__xludf.DUMMYFUNCTION("""COMPUTED_VALUE"""),"2010435")</f>
        <v>2010435</v>
      </c>
      <c r="I1229" s="1" t="str">
        <f>IFERROR(__xludf.DUMMYFUNCTION("""COMPUTED_VALUE"""),"น.ส.ลักษณพร เกิดบุญส่ง")</f>
        <v>น.ส.ลักษณพร เกิดบุญส่ง</v>
      </c>
      <c r="J1229" s="3">
        <f>IFERROR(__xludf.DUMMYFUNCTION("""COMPUTED_VALUE"""),1016938.0)</f>
        <v>1016938</v>
      </c>
      <c r="K1229" s="3" t="str">
        <f>IFERROR(__xludf.DUMMYFUNCTION("""COMPUTED_VALUE"""),"น.ส.ณัฏฐนันท์ ปัญญาสิทธิ์")</f>
        <v>น.ส.ณัฏฐนันท์ ปัญญาสิทธิ์</v>
      </c>
      <c r="L1229" s="1" t="str">
        <f>IFERROR(__xludf.DUMMYFUNCTION("""COMPUTED_VALUE"""),"Asia Books")</f>
        <v>Asia Books</v>
      </c>
      <c r="M1229" s="1" t="str">
        <f>IFERROR(__xludf.DUMMYFUNCTION("""COMPUTED_VALUE"""),"0993463946")</f>
        <v>0993463946</v>
      </c>
      <c r="N1229" s="3" t="str">
        <f>IFERROR(__xludf.DUMMYFUNCTION("""COMPUTED_VALUE"""),"21RB003")</f>
        <v>21RB003</v>
      </c>
      <c r="O1229" s="3" t="str">
        <f>IFERROR(__xludf.DUMMYFUNCTION("""COMPUTED_VALUE"""),"Seacon Square")</f>
        <v>Seacon Square</v>
      </c>
      <c r="P1229" s="4">
        <f>IFERROR(__xludf.DUMMYFUNCTION("""COMPUTED_VALUE"""),43271.0)</f>
        <v>43271</v>
      </c>
      <c r="Q1229" s="3" t="str">
        <f>IFERROR(__xludf.DUMMYFUNCTION("""COMPUTED_VALUE"""),"A")</f>
        <v>A</v>
      </c>
      <c r="R1229" s="3" t="str">
        <f>IFERROR(__xludf.DUMMYFUNCTION("""COMPUTED_VALUE"""),"Small Format")</f>
        <v>Small Format</v>
      </c>
      <c r="S1229" s="3" t="str">
        <f>IFERROR(__xludf.DUMMYFUNCTION("""COMPUTED_VALUE"""),"AsiaBooks")</f>
        <v>AsiaBooks</v>
      </c>
      <c r="T1229" s="3" t="str">
        <f>IFERROR(__xludf.DUMMYFUNCTION("""COMPUTED_VALUE"""),"Asia Books")</f>
        <v>Asia Books</v>
      </c>
      <c r="U1229" s="3" t="str">
        <f>IFERROR(__xludf.DUMMYFUNCTION("""COMPUTED_VALUE"""),"#N/A")</f>
        <v>#N/A</v>
      </c>
      <c r="V1229" s="3" t="str">
        <f>IFERROR(__xludf.DUMMYFUNCTION("""COMPUTED_VALUE"""),"N")</f>
        <v>N</v>
      </c>
      <c r="W1229" s="3">
        <f>IFERROR(__xludf.DUMMYFUNCTION("""COMPUTED_VALUE"""),0.0)</f>
        <v>0</v>
      </c>
      <c r="X1229" s="3" t="str">
        <f>IFERROR(__xludf.DUMMYFUNCTION("""COMPUTED_VALUE"""),"ชั้น 2 ห้องเลขที่ 2077, ศูนย์การค้าซีคอนสแควร์ เลขที่ 55 แขวงหนองบอน เขตประเวศ กรุงเทพมหานคร 10250")</f>
        <v>ชั้น 2 ห้องเลขที่ 2077, ศูนย์การค้าซีคอนสแควร์ เลขที่ 55 แขวงหนองบอน เขตประเวศ กรุงเทพมหานคร 10250</v>
      </c>
      <c r="Y1229" s="3"/>
      <c r="Z1229" s="3" t="str">
        <f>IFERROR(__xludf.DUMMYFUNCTION("""COMPUTED_VALUE"""),"หนองบอน")</f>
        <v>หนองบอน</v>
      </c>
      <c r="AA1229" s="3" t="str">
        <f>IFERROR(__xludf.DUMMYFUNCTION("""COMPUTED_VALUE"""),"ประเวศ")</f>
        <v>ประเวศ</v>
      </c>
      <c r="AB1229" s="3" t="str">
        <f>IFERROR(__xludf.DUMMYFUNCTION("""COMPUTED_VALUE"""),"กรุงเทพมหานคร")</f>
        <v>กรุงเทพมหานคร</v>
      </c>
      <c r="AC1229" s="3">
        <f>IFERROR(__xludf.DUMMYFUNCTION("""COMPUTED_VALUE"""),10250.0)</f>
        <v>10250</v>
      </c>
      <c r="AD1229" s="3">
        <f>IFERROR(__xludf.DUMMYFUNCTION("""COMPUTED_VALUE"""),13.69449161)</f>
        <v>13.69449161</v>
      </c>
      <c r="AE1229" s="3">
        <f>IFERROR(__xludf.DUMMYFUNCTION("""COMPUTED_VALUE"""),100.6484127)</f>
        <v>100.6484127</v>
      </c>
      <c r="AF1229" s="3" t="str">
        <f>IFERROR(__xludf.DUMMYFUNCTION("""COMPUTED_VALUE"""),"Seacon Square-21RB003")</f>
        <v>Seacon Square-21RB003</v>
      </c>
      <c r="AG1229" s="3" t="str">
        <f>IFERROR(__xludf.DUMMYFUNCTION("""COMPUTED_VALUE"""),"กลาง")</f>
        <v>กลาง</v>
      </c>
      <c r="AH1229" s="3" t="str">
        <f>IFERROR(__xludf.DUMMYFUNCTION("""COMPUTED_VALUE"""),"#N/A")</f>
        <v>#N/A</v>
      </c>
      <c r="AI1229" s="3" t="str">
        <f>IFERROR(__xludf.DUMMYFUNCTION("""COMPUTED_VALUE"""),"Out of warranty")</f>
        <v>Out of warranty</v>
      </c>
      <c r="AJ1229" s="3">
        <f>IFERROR(__xludf.DUMMYFUNCTION("""COMPUTED_VALUE"""),92.0)</f>
        <v>92</v>
      </c>
      <c r="AK1229" s="3"/>
      <c r="AL1229" s="3"/>
    </row>
    <row r="1230" ht="15.75" customHeight="1">
      <c r="A1230" s="1" t="str">
        <f>IFERROR(__xludf.DUMMYFUNCTION("""COMPUTED_VALUE"""),"21RB004")</f>
        <v>21RB004</v>
      </c>
      <c r="B1230" s="2" t="str">
        <f>IFERROR(__xludf.DUMMYFUNCTION("""COMPUTED_VALUE"""),"21RB004")</f>
        <v>21RB004</v>
      </c>
      <c r="C1230" s="3" t="str">
        <f>IFERROR(__xludf.DUMMYFUNCTION("""COMPUTED_VALUE"""),"Be Trend - Bang Kae")</f>
        <v>Be Trend - Bang Kae</v>
      </c>
      <c r="D1230" s="3" t="str">
        <f>IFERROR(__xludf.DUMMYFUNCTION("""COMPUTED_VALUE"""),"เอเซียบุ๊คส เดอะมอลล์บางแค")</f>
        <v>เอเซียบุ๊คส เดอะมอลล์บางแค</v>
      </c>
      <c r="E1230" s="1" t="str">
        <f>IFERROR(__xludf.DUMMYFUNCTION("""COMPUTED_VALUE"""),"AsiaBooks")</f>
        <v>AsiaBooks</v>
      </c>
      <c r="F1230" s="1" t="str">
        <f>IFERROR(__xludf.DUMMYFUNCTION("""COMPUTED_VALUE"""),"1016938")</f>
        <v>1016938</v>
      </c>
      <c r="G1230" s="1" t="str">
        <f>IFERROR(__xludf.DUMMYFUNCTION("""COMPUTED_VALUE"""),"น.ส.ณัฏฐนันท์ ปัญญาสิทธิ์")</f>
        <v>น.ส.ณัฏฐนันท์ ปัญญาสิทธิ์</v>
      </c>
      <c r="H1230" s="1" t="str">
        <f>IFERROR(__xludf.DUMMYFUNCTION("""COMPUTED_VALUE"""),"2010435")</f>
        <v>2010435</v>
      </c>
      <c r="I1230" s="1" t="str">
        <f>IFERROR(__xludf.DUMMYFUNCTION("""COMPUTED_VALUE"""),"น.ส.ลักษณพร เกิดบุญส่ง")</f>
        <v>น.ส.ลักษณพร เกิดบุญส่ง</v>
      </c>
      <c r="J1230" s="3">
        <f>IFERROR(__xludf.DUMMYFUNCTION("""COMPUTED_VALUE"""),1016938.0)</f>
        <v>1016938</v>
      </c>
      <c r="K1230" s="3" t="str">
        <f>IFERROR(__xludf.DUMMYFUNCTION("""COMPUTED_VALUE"""),"น.ส.ณัฏฐนันท์ ปัญญาสิทธิ์")</f>
        <v>น.ส.ณัฏฐนันท์ ปัญญาสิทธิ์</v>
      </c>
      <c r="L1230" s="1" t="str">
        <f>IFERROR(__xludf.DUMMYFUNCTION("""COMPUTED_VALUE"""),"Asia Books")</f>
        <v>Asia Books</v>
      </c>
      <c r="M1230" s="1" t="str">
        <f>IFERROR(__xludf.DUMMYFUNCTION("""COMPUTED_VALUE"""),"0993463946")</f>
        <v>0993463946</v>
      </c>
      <c r="N1230" s="3" t="str">
        <f>IFERROR(__xludf.DUMMYFUNCTION("""COMPUTED_VALUE"""),"21RB004")</f>
        <v>21RB004</v>
      </c>
      <c r="O1230" s="3" t="str">
        <f>IFERROR(__xludf.DUMMYFUNCTION("""COMPUTED_VALUE"""),"Be Trend - Bang Kae")</f>
        <v>Be Trend - Bang Kae</v>
      </c>
      <c r="P1230" s="4">
        <f>IFERROR(__xludf.DUMMYFUNCTION("""COMPUTED_VALUE"""),43271.0)</f>
        <v>43271</v>
      </c>
      <c r="Q1230" s="3" t="str">
        <f>IFERROR(__xludf.DUMMYFUNCTION("""COMPUTED_VALUE"""),"A")</f>
        <v>A</v>
      </c>
      <c r="R1230" s="3" t="str">
        <f>IFERROR(__xludf.DUMMYFUNCTION("""COMPUTED_VALUE"""),"Small Format")</f>
        <v>Small Format</v>
      </c>
      <c r="S1230" s="3" t="str">
        <f>IFERROR(__xludf.DUMMYFUNCTION("""COMPUTED_VALUE"""),"AsiaBooks")</f>
        <v>AsiaBooks</v>
      </c>
      <c r="T1230" s="3" t="str">
        <f>IFERROR(__xludf.DUMMYFUNCTION("""COMPUTED_VALUE"""),"Asia Books")</f>
        <v>Asia Books</v>
      </c>
      <c r="U1230" s="3" t="str">
        <f>IFERROR(__xludf.DUMMYFUNCTION("""COMPUTED_VALUE"""),"#N/A")</f>
        <v>#N/A</v>
      </c>
      <c r="V1230" s="3" t="str">
        <f>IFERROR(__xludf.DUMMYFUNCTION("""COMPUTED_VALUE"""),"N")</f>
        <v>N</v>
      </c>
      <c r="W1230" s="3">
        <f>IFERROR(__xludf.DUMMYFUNCTION("""COMPUTED_VALUE"""),0.0)</f>
        <v>0</v>
      </c>
      <c r="X1230" s="3" t="str">
        <f>IFERROR(__xludf.DUMMYFUNCTION("""COMPUTED_VALUE"""),"ชั้นที่ 2 โซนบีเทรนด์, ห้องเลขที่ 7/386 ศูนย์การค้าเดอะมอลล์บางแค เลขที่ 275 แขวงบางแคเหนือ เขตบางแค กรุงเทพมหานคร 10160")</f>
        <v>ชั้นที่ 2 โซนบีเทรนด์, ห้องเลขที่ 7/386 ศูนย์การค้าเดอะมอลล์บางแค เลขที่ 275 แขวงบางแคเหนือ เขตบางแค กรุงเทพมหานคร 10160</v>
      </c>
      <c r="Y1230" s="3"/>
      <c r="Z1230" s="3" t="str">
        <f>IFERROR(__xludf.DUMMYFUNCTION("""COMPUTED_VALUE"""),"บางแคเหนือ")</f>
        <v>บางแคเหนือ</v>
      </c>
      <c r="AA1230" s="3" t="str">
        <f>IFERROR(__xludf.DUMMYFUNCTION("""COMPUTED_VALUE"""),"บางแค")</f>
        <v>บางแค</v>
      </c>
      <c r="AB1230" s="3" t="str">
        <f>IFERROR(__xludf.DUMMYFUNCTION("""COMPUTED_VALUE"""),"กรุงเทพมหานคร")</f>
        <v>กรุงเทพมหานคร</v>
      </c>
      <c r="AC1230" s="3">
        <f>IFERROR(__xludf.DUMMYFUNCTION("""COMPUTED_VALUE"""),10160.0)</f>
        <v>10160</v>
      </c>
      <c r="AD1230" s="3">
        <f>IFERROR(__xludf.DUMMYFUNCTION("""COMPUTED_VALUE"""),0.0)</f>
        <v>0</v>
      </c>
      <c r="AE1230" s="3">
        <f>IFERROR(__xludf.DUMMYFUNCTION("""COMPUTED_VALUE"""),0.0)</f>
        <v>0</v>
      </c>
      <c r="AF1230" s="3" t="str">
        <f>IFERROR(__xludf.DUMMYFUNCTION("""COMPUTED_VALUE"""),"Be Trend - Bang Kae-21RB004")</f>
        <v>Be Trend - Bang Kae-21RB004</v>
      </c>
      <c r="AG1230" s="3" t="str">
        <f>IFERROR(__xludf.DUMMYFUNCTION("""COMPUTED_VALUE"""),"กลาง")</f>
        <v>กลาง</v>
      </c>
      <c r="AH1230" s="3" t="str">
        <f>IFERROR(__xludf.DUMMYFUNCTION("""COMPUTED_VALUE"""),"#N/A")</f>
        <v>#N/A</v>
      </c>
      <c r="AI1230" s="3" t="str">
        <f>IFERROR(__xludf.DUMMYFUNCTION("""COMPUTED_VALUE"""),"Out of warranty")</f>
        <v>Out of warranty</v>
      </c>
      <c r="AJ1230" s="3">
        <f>IFERROR(__xludf.DUMMYFUNCTION("""COMPUTED_VALUE"""),92.0)</f>
        <v>92</v>
      </c>
      <c r="AK1230" s="3"/>
      <c r="AL1230" s="3"/>
    </row>
    <row r="1231" ht="15.75" customHeight="1">
      <c r="A1231" s="1" t="str">
        <f>IFERROR(__xludf.DUMMYFUNCTION("""COMPUTED_VALUE"""),"21RB005")</f>
        <v>21RB005</v>
      </c>
      <c r="B1231" s="2" t="str">
        <f>IFERROR(__xludf.DUMMYFUNCTION("""COMPUTED_VALUE"""),"21RB005")</f>
        <v>21RB005</v>
      </c>
      <c r="C1231" s="3" t="str">
        <f>IFERROR(__xludf.DUMMYFUNCTION("""COMPUTED_VALUE"""),"Central Jangwattana")</f>
        <v>Central Jangwattana</v>
      </c>
      <c r="D1231" s="3" t="str">
        <f>IFERROR(__xludf.DUMMYFUNCTION("""COMPUTED_VALUE"""),"เอเซียบุ๊คส เซ็นทรัล พลาซ่า แจ้งวัฒนะ")</f>
        <v>เอเซียบุ๊คส เซ็นทรัล พลาซ่า แจ้งวัฒนะ</v>
      </c>
      <c r="E1231" s="1" t="str">
        <f>IFERROR(__xludf.DUMMYFUNCTION("""COMPUTED_VALUE"""),"AsiaBooks")</f>
        <v>AsiaBooks</v>
      </c>
      <c r="F1231" s="1" t="str">
        <f>IFERROR(__xludf.DUMMYFUNCTION("""COMPUTED_VALUE"""),"1016938")</f>
        <v>1016938</v>
      </c>
      <c r="G1231" s="1" t="str">
        <f>IFERROR(__xludf.DUMMYFUNCTION("""COMPUTED_VALUE"""),"น.ส.ณัฏฐนันท์ ปัญญาสิทธิ์")</f>
        <v>น.ส.ณัฏฐนันท์ ปัญญาสิทธิ์</v>
      </c>
      <c r="H1231" s="1" t="str">
        <f>IFERROR(__xludf.DUMMYFUNCTION("""COMPUTED_VALUE"""),"1007000")</f>
        <v>1007000</v>
      </c>
      <c r="I1231" s="1" t="str">
        <f>IFERROR(__xludf.DUMMYFUNCTION("""COMPUTED_VALUE"""),"น.ส.เสาวลักษณ์ แป้นงาม")</f>
        <v>น.ส.เสาวลักษณ์ แป้นงาม</v>
      </c>
      <c r="J1231" s="3">
        <f>IFERROR(__xludf.DUMMYFUNCTION("""COMPUTED_VALUE"""),1016938.0)</f>
        <v>1016938</v>
      </c>
      <c r="K1231" s="3" t="str">
        <f>IFERROR(__xludf.DUMMYFUNCTION("""COMPUTED_VALUE"""),"น.ส.ณัฏฐนันท์ ปัญญาสิทธิ์")</f>
        <v>น.ส.ณัฏฐนันท์ ปัญญาสิทธิ์</v>
      </c>
      <c r="L1231" s="1" t="str">
        <f>IFERROR(__xludf.DUMMYFUNCTION("""COMPUTED_VALUE"""),"Asia Books")</f>
        <v>Asia Books</v>
      </c>
      <c r="M1231" s="1" t="str">
        <f>IFERROR(__xludf.DUMMYFUNCTION("""COMPUTED_VALUE"""),"0993463946")</f>
        <v>0993463946</v>
      </c>
      <c r="N1231" s="3" t="str">
        <f>IFERROR(__xludf.DUMMYFUNCTION("""COMPUTED_VALUE"""),"21RB005")</f>
        <v>21RB005</v>
      </c>
      <c r="O1231" s="3" t="str">
        <f>IFERROR(__xludf.DUMMYFUNCTION("""COMPUTED_VALUE"""),"Central Jangwattana")</f>
        <v>Central Jangwattana</v>
      </c>
      <c r="P1231" s="4">
        <f>IFERROR(__xludf.DUMMYFUNCTION("""COMPUTED_VALUE"""),43271.0)</f>
        <v>43271</v>
      </c>
      <c r="Q1231" s="3" t="str">
        <f>IFERROR(__xludf.DUMMYFUNCTION("""COMPUTED_VALUE"""),"A")</f>
        <v>A</v>
      </c>
      <c r="R1231" s="3" t="str">
        <f>IFERROR(__xludf.DUMMYFUNCTION("""COMPUTED_VALUE"""),"Small Format")</f>
        <v>Small Format</v>
      </c>
      <c r="S1231" s="3" t="str">
        <f>IFERROR(__xludf.DUMMYFUNCTION("""COMPUTED_VALUE"""),"AsiaBooks")</f>
        <v>AsiaBooks</v>
      </c>
      <c r="T1231" s="3" t="str">
        <f>IFERROR(__xludf.DUMMYFUNCTION("""COMPUTED_VALUE"""),"Asia Books")</f>
        <v>Asia Books</v>
      </c>
      <c r="U1231" s="3" t="str">
        <f>IFERROR(__xludf.DUMMYFUNCTION("""COMPUTED_VALUE"""),"#N/A")</f>
        <v>#N/A</v>
      </c>
      <c r="V1231" s="3" t="str">
        <f>IFERROR(__xludf.DUMMYFUNCTION("""COMPUTED_VALUE"""),"N")</f>
        <v>N</v>
      </c>
      <c r="W1231" s="3">
        <f>IFERROR(__xludf.DUMMYFUNCTION("""COMPUTED_VALUE"""),0.0)</f>
        <v>0</v>
      </c>
      <c r="X1231" s="3" t="str">
        <f>IFERROR(__xludf.DUMMYFUNCTION("""COMPUTED_VALUE"""),"ชั้น 3 ห้องเลขที่ 343/1-344, ศูนย์การค้าเซ็นทรัล พลาซ่า แจ้งวัฒนะ เลขที่ 99/9 แขวงบางตลาด อำเภอปากเกร็ด จังหวัดนนทบุรี 11120")</f>
        <v>ชั้น 3 ห้องเลขที่ 343/1-344, ศูนย์การค้าเซ็นทรัล พลาซ่า แจ้งวัฒนะ เลขที่ 99/9 แขวงบางตลาด อำเภอปากเกร็ด จังหวัดนนทบุรี 11120</v>
      </c>
      <c r="Y1231" s="3"/>
      <c r="Z1231" s="3" t="str">
        <f>IFERROR(__xludf.DUMMYFUNCTION("""COMPUTED_VALUE"""),"บางตลาด")</f>
        <v>บางตลาด</v>
      </c>
      <c r="AA1231" s="3" t="str">
        <f>IFERROR(__xludf.DUMMYFUNCTION("""COMPUTED_VALUE"""),"ปากเกร็ด")</f>
        <v>ปากเกร็ด</v>
      </c>
      <c r="AB1231" s="3" t="str">
        <f>IFERROR(__xludf.DUMMYFUNCTION("""COMPUTED_VALUE"""),"นนทบุรี")</f>
        <v>นนทบุรี</v>
      </c>
      <c r="AC1231" s="3">
        <f>IFERROR(__xludf.DUMMYFUNCTION("""COMPUTED_VALUE"""),11120.0)</f>
        <v>11120</v>
      </c>
      <c r="AD1231" s="3">
        <f>IFERROR(__xludf.DUMMYFUNCTION("""COMPUTED_VALUE"""),13.90416284)</f>
        <v>13.90416284</v>
      </c>
      <c r="AE1231" s="3">
        <f>IFERROR(__xludf.DUMMYFUNCTION("""COMPUTED_VALUE"""),100.5276375)</f>
        <v>100.5276375</v>
      </c>
      <c r="AF1231" s="3" t="str">
        <f>IFERROR(__xludf.DUMMYFUNCTION("""COMPUTED_VALUE"""),"Central Jangwattana-21RB005")</f>
        <v>Central Jangwattana-21RB005</v>
      </c>
      <c r="AG1231" s="3" t="str">
        <f>IFERROR(__xludf.DUMMYFUNCTION("""COMPUTED_VALUE"""),"กลาง")</f>
        <v>กลาง</v>
      </c>
      <c r="AH1231" s="3" t="str">
        <f>IFERROR(__xludf.DUMMYFUNCTION("""COMPUTED_VALUE"""),"#N/A")</f>
        <v>#N/A</v>
      </c>
      <c r="AI1231" s="3" t="str">
        <f>IFERROR(__xludf.DUMMYFUNCTION("""COMPUTED_VALUE"""),"Out of warranty")</f>
        <v>Out of warranty</v>
      </c>
      <c r="AJ1231" s="3">
        <f>IFERROR(__xludf.DUMMYFUNCTION("""COMPUTED_VALUE"""),92.0)</f>
        <v>92</v>
      </c>
      <c r="AK1231" s="3"/>
      <c r="AL1231" s="3"/>
    </row>
    <row r="1232" ht="15.75" customHeight="1">
      <c r="A1232" s="1" t="str">
        <f>IFERROR(__xludf.DUMMYFUNCTION("""COMPUTED_VALUE"""),"21RB006")</f>
        <v>21RB006</v>
      </c>
      <c r="B1232" s="2" t="str">
        <f>IFERROR(__xludf.DUMMYFUNCTION("""COMPUTED_VALUE"""),"21RB006")</f>
        <v>21RB006</v>
      </c>
      <c r="C1232" s="3" t="str">
        <f>IFERROR(__xludf.DUMMYFUNCTION("""COMPUTED_VALUE"""),"Future Park Rangsit")</f>
        <v>Future Park Rangsit</v>
      </c>
      <c r="D1232" s="3" t="str">
        <f>IFERROR(__xludf.DUMMYFUNCTION("""COMPUTED_VALUE"""),"เอเซียบุ๊คส ฟิวเจอร์พาร์ครังสิต")</f>
        <v>เอเซียบุ๊คส ฟิวเจอร์พาร์ครังสิต</v>
      </c>
      <c r="E1232" s="1" t="str">
        <f>IFERROR(__xludf.DUMMYFUNCTION("""COMPUTED_VALUE"""),"AsiaBooks")</f>
        <v>AsiaBooks</v>
      </c>
      <c r="F1232" s="1" t="str">
        <f>IFERROR(__xludf.DUMMYFUNCTION("""COMPUTED_VALUE"""),"1016938")</f>
        <v>1016938</v>
      </c>
      <c r="G1232" s="1" t="str">
        <f>IFERROR(__xludf.DUMMYFUNCTION("""COMPUTED_VALUE"""),"น.ส.ณัฏฐนันท์ ปัญญาสิทธิ์")</f>
        <v>น.ส.ณัฏฐนันท์ ปัญญาสิทธิ์</v>
      </c>
      <c r="H1232" s="1" t="str">
        <f>IFERROR(__xludf.DUMMYFUNCTION("""COMPUTED_VALUE"""),"1007000")</f>
        <v>1007000</v>
      </c>
      <c r="I1232" s="1" t="str">
        <f>IFERROR(__xludf.DUMMYFUNCTION("""COMPUTED_VALUE"""),"น.ส.เสาวลักษณ์ แป้นงาม")</f>
        <v>น.ส.เสาวลักษณ์ แป้นงาม</v>
      </c>
      <c r="J1232" s="3">
        <f>IFERROR(__xludf.DUMMYFUNCTION("""COMPUTED_VALUE"""),1016938.0)</f>
        <v>1016938</v>
      </c>
      <c r="K1232" s="3" t="str">
        <f>IFERROR(__xludf.DUMMYFUNCTION("""COMPUTED_VALUE"""),"น.ส.ณัฏฐนันท์ ปัญญาสิทธิ์")</f>
        <v>น.ส.ณัฏฐนันท์ ปัญญาสิทธิ์</v>
      </c>
      <c r="L1232" s="1" t="str">
        <f>IFERROR(__xludf.DUMMYFUNCTION("""COMPUTED_VALUE"""),"Asia Books")</f>
        <v>Asia Books</v>
      </c>
      <c r="M1232" s="1" t="str">
        <f>IFERROR(__xludf.DUMMYFUNCTION("""COMPUTED_VALUE"""),"0993463946")</f>
        <v>0993463946</v>
      </c>
      <c r="N1232" s="3" t="str">
        <f>IFERROR(__xludf.DUMMYFUNCTION("""COMPUTED_VALUE"""),"21RB006")</f>
        <v>21RB006</v>
      </c>
      <c r="O1232" s="3" t="str">
        <f>IFERROR(__xludf.DUMMYFUNCTION("""COMPUTED_VALUE"""),"Future Park Rangsit")</f>
        <v>Future Park Rangsit</v>
      </c>
      <c r="P1232" s="4">
        <f>IFERROR(__xludf.DUMMYFUNCTION("""COMPUTED_VALUE"""),43271.0)</f>
        <v>43271</v>
      </c>
      <c r="Q1232" s="3" t="str">
        <f>IFERROR(__xludf.DUMMYFUNCTION("""COMPUTED_VALUE"""),"A")</f>
        <v>A</v>
      </c>
      <c r="R1232" s="3" t="str">
        <f>IFERROR(__xludf.DUMMYFUNCTION("""COMPUTED_VALUE"""),"Small Format")</f>
        <v>Small Format</v>
      </c>
      <c r="S1232" s="3" t="str">
        <f>IFERROR(__xludf.DUMMYFUNCTION("""COMPUTED_VALUE"""),"AsiaBooks")</f>
        <v>AsiaBooks</v>
      </c>
      <c r="T1232" s="3" t="str">
        <f>IFERROR(__xludf.DUMMYFUNCTION("""COMPUTED_VALUE"""),"Asia Books")</f>
        <v>Asia Books</v>
      </c>
      <c r="U1232" s="3" t="str">
        <f>IFERROR(__xludf.DUMMYFUNCTION("""COMPUTED_VALUE"""),"#N/A")</f>
        <v>#N/A</v>
      </c>
      <c r="V1232" s="3" t="str">
        <f>IFERROR(__xludf.DUMMYFUNCTION("""COMPUTED_VALUE"""),"N")</f>
        <v>N</v>
      </c>
      <c r="W1232" s="3">
        <f>IFERROR(__xludf.DUMMYFUNCTION("""COMPUTED_VALUE"""),0.0)</f>
        <v>0</v>
      </c>
      <c r="X1232" s="3" t="str">
        <f>IFERROR(__xludf.DUMMYFUNCTION("""COMPUTED_VALUE"""),"ชั้น 2 ห้องเลขที่ 029B, ศูนย์การค้าฟิวเจอร์พาร์ค รังสิต เลขที่ 94 ตำบลประชาธิปัตย์ อำเภอธัญบุรี จังหวัดปทุมธานี 12130")</f>
        <v>ชั้น 2 ห้องเลขที่ 029B, ศูนย์การค้าฟิวเจอร์พาร์ค รังสิต เลขที่ 94 ตำบลประชาธิปัตย์ อำเภอธัญบุรี จังหวัดปทุมธานี 12130</v>
      </c>
      <c r="Y1232" s="3"/>
      <c r="Z1232" s="3" t="str">
        <f>IFERROR(__xludf.DUMMYFUNCTION("""COMPUTED_VALUE"""),"ประชาธิปัตย์")</f>
        <v>ประชาธิปัตย์</v>
      </c>
      <c r="AA1232" s="3" t="str">
        <f>IFERROR(__xludf.DUMMYFUNCTION("""COMPUTED_VALUE"""),"ธัญบุรี")</f>
        <v>ธัญบุรี</v>
      </c>
      <c r="AB1232" s="3" t="str">
        <f>IFERROR(__xludf.DUMMYFUNCTION("""COMPUTED_VALUE"""),"ปทุมธานี")</f>
        <v>ปทุมธานี</v>
      </c>
      <c r="AC1232" s="3">
        <f>IFERROR(__xludf.DUMMYFUNCTION("""COMPUTED_VALUE"""),12130.0)</f>
        <v>12130</v>
      </c>
      <c r="AD1232" s="3">
        <f>IFERROR(__xludf.DUMMYFUNCTION("""COMPUTED_VALUE"""),13.98883216)</f>
        <v>13.98883216</v>
      </c>
      <c r="AE1232" s="3">
        <f>IFERROR(__xludf.DUMMYFUNCTION("""COMPUTED_VALUE"""),100.6185264)</f>
        <v>100.6185264</v>
      </c>
      <c r="AF1232" s="3" t="str">
        <f>IFERROR(__xludf.DUMMYFUNCTION("""COMPUTED_VALUE"""),"Future Park Rangsit-21RB006")</f>
        <v>Future Park Rangsit-21RB006</v>
      </c>
      <c r="AG1232" s="3" t="str">
        <f>IFERROR(__xludf.DUMMYFUNCTION("""COMPUTED_VALUE"""),"กลาง")</f>
        <v>กลาง</v>
      </c>
      <c r="AH1232" s="3" t="str">
        <f>IFERROR(__xludf.DUMMYFUNCTION("""COMPUTED_VALUE"""),"#N/A")</f>
        <v>#N/A</v>
      </c>
      <c r="AI1232" s="3" t="str">
        <f>IFERROR(__xludf.DUMMYFUNCTION("""COMPUTED_VALUE"""),"Out of warranty")</f>
        <v>Out of warranty</v>
      </c>
      <c r="AJ1232" s="3">
        <f>IFERROR(__xludf.DUMMYFUNCTION("""COMPUTED_VALUE"""),92.0)</f>
        <v>92</v>
      </c>
      <c r="AK1232" s="3"/>
      <c r="AL1232" s="3"/>
    </row>
    <row r="1233" ht="15.75" customHeight="1">
      <c r="A1233" s="1" t="str">
        <f>IFERROR(__xludf.DUMMYFUNCTION("""COMPUTED_VALUE"""),"21RB007")</f>
        <v>21RB007</v>
      </c>
      <c r="B1233" s="2" t="str">
        <f>IFERROR(__xludf.DUMMYFUNCTION("""COMPUTED_VALUE"""),"21RB007")</f>
        <v>21RB007</v>
      </c>
      <c r="C1233" s="3" t="str">
        <f>IFERROR(__xludf.DUMMYFUNCTION("""COMPUTED_VALUE"""),"Bangkok - Samitivej Hospital")</f>
        <v>Bangkok - Samitivej Hospital</v>
      </c>
      <c r="D1233" s="3" t="str">
        <f>IFERROR(__xludf.DUMMYFUNCTION("""COMPUTED_VALUE"""),"บุ๊คกาซีน สมิติเวช")</f>
        <v>บุ๊คกาซีน สมิติเวช</v>
      </c>
      <c r="E1233" s="1" t="str">
        <f>IFERROR(__xludf.DUMMYFUNCTION("""COMPUTED_VALUE"""),"AsiaBooks")</f>
        <v>AsiaBooks</v>
      </c>
      <c r="F1233" s="1" t="str">
        <f>IFERROR(__xludf.DUMMYFUNCTION("""COMPUTED_VALUE"""),"1016938")</f>
        <v>1016938</v>
      </c>
      <c r="G1233" s="1" t="str">
        <f>IFERROR(__xludf.DUMMYFUNCTION("""COMPUTED_VALUE"""),"น.ส.ณัฏฐนันท์ ปัญญาสิทธิ์")</f>
        <v>น.ส.ณัฏฐนันท์ ปัญญาสิทธิ์</v>
      </c>
      <c r="H1233" s="1" t="str">
        <f>IFERROR(__xludf.DUMMYFUNCTION("""COMPUTED_VALUE"""),"2010435")</f>
        <v>2010435</v>
      </c>
      <c r="I1233" s="1" t="str">
        <f>IFERROR(__xludf.DUMMYFUNCTION("""COMPUTED_VALUE"""),"น.ส.ลักษณพร เกิดบุญส่ง")</f>
        <v>น.ส.ลักษณพร เกิดบุญส่ง</v>
      </c>
      <c r="J1233" s="3">
        <f>IFERROR(__xludf.DUMMYFUNCTION("""COMPUTED_VALUE"""),1016938.0)</f>
        <v>1016938</v>
      </c>
      <c r="K1233" s="3" t="str">
        <f>IFERROR(__xludf.DUMMYFUNCTION("""COMPUTED_VALUE"""),"น.ส.ณัฏฐนันท์ ปัญญาสิทธิ์")</f>
        <v>น.ส.ณัฏฐนันท์ ปัญญาสิทธิ์</v>
      </c>
      <c r="L1233" s="1" t="str">
        <f>IFERROR(__xludf.DUMMYFUNCTION("""COMPUTED_VALUE"""),"Asia Books")</f>
        <v>Asia Books</v>
      </c>
      <c r="M1233" s="1" t="str">
        <f>IFERROR(__xludf.DUMMYFUNCTION("""COMPUTED_VALUE"""),"0993463946")</f>
        <v>0993463946</v>
      </c>
      <c r="N1233" s="3" t="str">
        <f>IFERROR(__xludf.DUMMYFUNCTION("""COMPUTED_VALUE"""),"21RB007")</f>
        <v>21RB007</v>
      </c>
      <c r="O1233" s="3" t="str">
        <f>IFERROR(__xludf.DUMMYFUNCTION("""COMPUTED_VALUE"""),"Bangkok - Samitivej Hospital")</f>
        <v>Bangkok - Samitivej Hospital</v>
      </c>
      <c r="P1233" s="4">
        <f>IFERROR(__xludf.DUMMYFUNCTION("""COMPUTED_VALUE"""),43271.0)</f>
        <v>43271</v>
      </c>
      <c r="Q1233" s="3" t="str">
        <f>IFERROR(__xludf.DUMMYFUNCTION("""COMPUTED_VALUE"""),"A")</f>
        <v>A</v>
      </c>
      <c r="R1233" s="3" t="str">
        <f>IFERROR(__xludf.DUMMYFUNCTION("""COMPUTED_VALUE"""),"Small Format")</f>
        <v>Small Format</v>
      </c>
      <c r="S1233" s="3" t="str">
        <f>IFERROR(__xludf.DUMMYFUNCTION("""COMPUTED_VALUE"""),"AsiaBooks")</f>
        <v>AsiaBooks</v>
      </c>
      <c r="T1233" s="3" t="str">
        <f>IFERROR(__xludf.DUMMYFUNCTION("""COMPUTED_VALUE"""),"Asia Books")</f>
        <v>Asia Books</v>
      </c>
      <c r="U1233" s="3" t="str">
        <f>IFERROR(__xludf.DUMMYFUNCTION("""COMPUTED_VALUE"""),"#N/A")</f>
        <v>#N/A</v>
      </c>
      <c r="V1233" s="3" t="str">
        <f>IFERROR(__xludf.DUMMYFUNCTION("""COMPUTED_VALUE"""),"N")</f>
        <v>N</v>
      </c>
      <c r="W1233" s="3">
        <f>IFERROR(__xludf.DUMMYFUNCTION("""COMPUTED_VALUE"""),0.0)</f>
        <v>0</v>
      </c>
      <c r="X1233" s="3" t="str">
        <f>IFERROR(__xludf.DUMMYFUNCTION("""COMPUTED_VALUE"""),"ชั้น G ห้องเลขที่ 3023, โรงพยาบาลสมิติเวช เลขที่ 133 แขวงคลองตันเหนือ เขตวัฒนา กรุงเทพมหานคร 10110")</f>
        <v>ชั้น G ห้องเลขที่ 3023, โรงพยาบาลสมิติเวช เลขที่ 133 แขวงคลองตันเหนือ เขตวัฒนา กรุงเทพมหานคร 10110</v>
      </c>
      <c r="Y1233" s="3"/>
      <c r="Z1233" s="3" t="str">
        <f>IFERROR(__xludf.DUMMYFUNCTION("""COMPUTED_VALUE"""),"คลองตันเหนือ")</f>
        <v>คลองตันเหนือ</v>
      </c>
      <c r="AA1233" s="3" t="str">
        <f>IFERROR(__xludf.DUMMYFUNCTION("""COMPUTED_VALUE"""),"วัฒนา")</f>
        <v>วัฒนา</v>
      </c>
      <c r="AB1233" s="3" t="str">
        <f>IFERROR(__xludf.DUMMYFUNCTION("""COMPUTED_VALUE"""),"กรุงเทพมหานคร")</f>
        <v>กรุงเทพมหานคร</v>
      </c>
      <c r="AC1233" s="3">
        <f>IFERROR(__xludf.DUMMYFUNCTION("""COMPUTED_VALUE"""),10110.0)</f>
        <v>10110</v>
      </c>
      <c r="AD1233" s="3">
        <f>IFERROR(__xludf.DUMMYFUNCTION("""COMPUTED_VALUE"""),13.73681964)</f>
        <v>13.73681964</v>
      </c>
      <c r="AE1233" s="3">
        <f>IFERROR(__xludf.DUMMYFUNCTION("""COMPUTED_VALUE"""),100.5762846)</f>
        <v>100.5762846</v>
      </c>
      <c r="AF1233" s="3" t="str">
        <f>IFERROR(__xludf.DUMMYFUNCTION("""COMPUTED_VALUE"""),"Bangkok - Samitivej Hospital-21RB007")</f>
        <v>Bangkok - Samitivej Hospital-21RB007</v>
      </c>
      <c r="AG1233" s="3" t="str">
        <f>IFERROR(__xludf.DUMMYFUNCTION("""COMPUTED_VALUE"""),"กลาง")</f>
        <v>กลาง</v>
      </c>
      <c r="AH1233" s="3" t="str">
        <f>IFERROR(__xludf.DUMMYFUNCTION("""COMPUTED_VALUE"""),"#N/A")</f>
        <v>#N/A</v>
      </c>
      <c r="AI1233" s="3" t="str">
        <f>IFERROR(__xludf.DUMMYFUNCTION("""COMPUTED_VALUE"""),"Out of warranty")</f>
        <v>Out of warranty</v>
      </c>
      <c r="AJ1233" s="3">
        <f>IFERROR(__xludf.DUMMYFUNCTION("""COMPUTED_VALUE"""),92.0)</f>
        <v>92</v>
      </c>
      <c r="AK1233" s="3"/>
      <c r="AL1233" s="3"/>
    </row>
    <row r="1234" ht="15.75" customHeight="1">
      <c r="A1234" s="1" t="str">
        <f>IFERROR(__xludf.DUMMYFUNCTION("""COMPUTED_VALUE"""),"21RB011")</f>
        <v>21RB011</v>
      </c>
      <c r="B1234" s="2" t="str">
        <f>IFERROR(__xludf.DUMMYFUNCTION("""COMPUTED_VALUE"""),"21RB011")</f>
        <v>21RB011</v>
      </c>
      <c r="C1234" s="3" t="str">
        <f>IFERROR(__xludf.DUMMYFUNCTION("""COMPUTED_VALUE"""),"เอเซียบุ๊คส บีเทรนด์ เดอะมอลล์ งามวงศ์วาน")</f>
        <v>เอเซียบุ๊คส บีเทรนด์ เดอะมอลล์ งามวงศ์วาน</v>
      </c>
      <c r="D1234" s="3" t="str">
        <f>IFERROR(__xludf.DUMMYFUNCTION("""COMPUTED_VALUE"""),"ABBK-BNW:BETREND THEMALL NGAMWONGWAN")</f>
        <v>ABBK-BNW:BETREND THEMALL NGAMWONGWAN</v>
      </c>
      <c r="E1234" s="1" t="str">
        <f>IFERROR(__xludf.DUMMYFUNCTION("""COMPUTED_VALUE"""),"AsiaBooks")</f>
        <v>AsiaBooks</v>
      </c>
      <c r="F1234" s="1" t="str">
        <f>IFERROR(__xludf.DUMMYFUNCTION("""COMPUTED_VALUE"""),"1016938")</f>
        <v>1016938</v>
      </c>
      <c r="G1234" s="1" t="str">
        <f>IFERROR(__xludf.DUMMYFUNCTION("""COMPUTED_VALUE"""),"น.ส.ณัฏฐนันท์ ปัญญาสิทธิ์")</f>
        <v>น.ส.ณัฏฐนันท์ ปัญญาสิทธิ์</v>
      </c>
      <c r="H1234" s="1" t="str">
        <f>IFERROR(__xludf.DUMMYFUNCTION("""COMPUTED_VALUE"""),"025691")</f>
        <v>025691</v>
      </c>
      <c r="I1234" s="1" t="str">
        <f>IFERROR(__xludf.DUMMYFUNCTION("""COMPUTED_VALUE"""),"นายประพันธ์ มุสิกพันธ์")</f>
        <v>นายประพันธ์ มุสิกพันธ์</v>
      </c>
      <c r="J1234" s="3">
        <f>IFERROR(__xludf.DUMMYFUNCTION("""COMPUTED_VALUE"""),1016938.0)</f>
        <v>1016938</v>
      </c>
      <c r="K1234" s="3" t="str">
        <f>IFERROR(__xludf.DUMMYFUNCTION("""COMPUTED_VALUE"""),"น.ส.ณัฏฐนันท์ ปัญญาสิทธิ์")</f>
        <v>น.ส.ณัฏฐนันท์ ปัญญาสิทธิ์</v>
      </c>
      <c r="L1234" s="1" t="str">
        <f>IFERROR(__xludf.DUMMYFUNCTION("""COMPUTED_VALUE"""),"Asia Books")</f>
        <v>Asia Books</v>
      </c>
      <c r="M1234" s="1" t="str">
        <f>IFERROR(__xludf.DUMMYFUNCTION("""COMPUTED_VALUE"""),"0993463946")</f>
        <v>0993463946</v>
      </c>
      <c r="N1234" s="3" t="str">
        <f>IFERROR(__xludf.DUMMYFUNCTION("""COMPUTED_VALUE"""),"21RB011")</f>
        <v>21RB011</v>
      </c>
      <c r="O1234" s="3" t="str">
        <f>IFERROR(__xludf.DUMMYFUNCTION("""COMPUTED_VALUE"""),"เอเซียบุ๊คส บีเทรนด์ เดอะมอลล์ งามวงศ์วาน")</f>
        <v>เอเซียบุ๊คส บีเทรนด์ เดอะมอลล์ งามวงศ์วาน</v>
      </c>
      <c r="P1234" s="4">
        <f>IFERROR(__xludf.DUMMYFUNCTION("""COMPUTED_VALUE"""),43271.0)</f>
        <v>43271</v>
      </c>
      <c r="Q1234" s="3" t="str">
        <f>IFERROR(__xludf.DUMMYFUNCTION("""COMPUTED_VALUE"""),"I")</f>
        <v>I</v>
      </c>
      <c r="R1234" s="3" t="str">
        <f>IFERROR(__xludf.DUMMYFUNCTION("""COMPUTED_VALUE"""),"Small Format")</f>
        <v>Small Format</v>
      </c>
      <c r="S1234" s="3" t="str">
        <f>IFERROR(__xludf.DUMMYFUNCTION("""COMPUTED_VALUE"""),"AsiaBooks")</f>
        <v>AsiaBooks</v>
      </c>
      <c r="T1234" s="3" t="str">
        <f>IFERROR(__xludf.DUMMYFUNCTION("""COMPUTED_VALUE"""),"Asia Books")</f>
        <v>Asia Books</v>
      </c>
      <c r="U1234" s="3" t="str">
        <f>IFERROR(__xludf.DUMMYFUNCTION("""COMPUTED_VALUE"""),"#N/A")</f>
        <v>#N/A</v>
      </c>
      <c r="V1234" s="3" t="str">
        <f>IFERROR(__xludf.DUMMYFUNCTION("""COMPUTED_VALUE"""),"Y")</f>
        <v>Y</v>
      </c>
      <c r="W1234" s="3">
        <f>IFERROR(__xludf.DUMMYFUNCTION("""COMPUTED_VALUE"""),0.0)</f>
        <v>0</v>
      </c>
      <c r="X1234" s="3" t="str">
        <f>IFERROR(__xludf.DUMMYFUNCTION("""COMPUTED_VALUE"""),"ชั้น 3 โซนบีเทรนด์, ศูนย์การค้าเดอะมอลล์งามวงศ์วาน เลขที่ 30/39-50 ตำบลบางเขน อำเภอเมืองนนทบุรี จังหวัดนนทบุรี 11000")</f>
        <v>ชั้น 3 โซนบีเทรนด์, ศูนย์การค้าเดอะมอลล์งามวงศ์วาน เลขที่ 30/39-50 ตำบลบางเขน อำเภอเมืองนนทบุรี จังหวัดนนทบุรี 11000</v>
      </c>
      <c r="Y1234" s="3"/>
      <c r="Z1234" s="3" t="str">
        <f>IFERROR(__xludf.DUMMYFUNCTION("""COMPUTED_VALUE"""),"บางเขน")</f>
        <v>บางเขน</v>
      </c>
      <c r="AA1234" s="3" t="str">
        <f>IFERROR(__xludf.DUMMYFUNCTION("""COMPUTED_VALUE"""),"เมืองนนทบุรี")</f>
        <v>เมืองนนทบุรี</v>
      </c>
      <c r="AB1234" s="3" t="str">
        <f>IFERROR(__xludf.DUMMYFUNCTION("""COMPUTED_VALUE"""),"นนทบุรี")</f>
        <v>นนทบุรี</v>
      </c>
      <c r="AC1234" s="3">
        <f>IFERROR(__xludf.DUMMYFUNCTION("""COMPUTED_VALUE"""),11000.0)</f>
        <v>11000</v>
      </c>
      <c r="AD1234" s="3">
        <f>IFERROR(__xludf.DUMMYFUNCTION("""COMPUTED_VALUE"""),0.0)</f>
        <v>0</v>
      </c>
      <c r="AE1234" s="3">
        <f>IFERROR(__xludf.DUMMYFUNCTION("""COMPUTED_VALUE"""),0.0)</f>
        <v>0</v>
      </c>
      <c r="AF1234" s="3" t="str">
        <f>IFERROR(__xludf.DUMMYFUNCTION("""COMPUTED_VALUE"""),"เอเซียบุ๊คส บีเทรนด์ เดอะมอลล์ งามวงศ์วาน-21RB011")</f>
        <v>เอเซียบุ๊คส บีเทรนด์ เดอะมอลล์ งามวงศ์วาน-21RB011</v>
      </c>
      <c r="AG1234" s="3" t="str">
        <f>IFERROR(__xludf.DUMMYFUNCTION("""COMPUTED_VALUE"""),"กลาง")</f>
        <v>กลาง</v>
      </c>
      <c r="AH1234" s="3" t="str">
        <f>IFERROR(__xludf.DUMMYFUNCTION("""COMPUTED_VALUE"""),"#N/A")</f>
        <v>#N/A</v>
      </c>
      <c r="AI1234" s="3" t="str">
        <f>IFERROR(__xludf.DUMMYFUNCTION("""COMPUTED_VALUE"""),"Out of warranty")</f>
        <v>Out of warranty</v>
      </c>
      <c r="AJ1234" s="3">
        <f>IFERROR(__xludf.DUMMYFUNCTION("""COMPUTED_VALUE"""),92.0)</f>
        <v>92</v>
      </c>
      <c r="AK1234" s="3"/>
      <c r="AL1234" s="3"/>
    </row>
    <row r="1235" ht="15.75" customHeight="1">
      <c r="A1235" s="1" t="str">
        <f>IFERROR(__xludf.DUMMYFUNCTION("""COMPUTED_VALUE"""),"21RB012")</f>
        <v>21RB012</v>
      </c>
      <c r="B1235" s="2" t="str">
        <f>IFERROR(__xludf.DUMMYFUNCTION("""COMPUTED_VALUE"""),"21RB012")</f>
        <v>21RB012</v>
      </c>
      <c r="C1235" s="3" t="str">
        <f>IFERROR(__xludf.DUMMYFUNCTION("""COMPUTED_VALUE"""),"KPS:KPS1-TE7")</f>
        <v>KPS:KPS1-TE7</v>
      </c>
      <c r="D1235" s="3" t="str">
        <f>IFERROR(__xludf.DUMMYFUNCTION("""COMPUTED_VALUE"""),"เอเซียบุ๊คส จำกัด (เคพีเอส 1)")</f>
        <v>เอเซียบุ๊คส จำกัด (เคพีเอส 1)</v>
      </c>
      <c r="E1235" s="1" t="str">
        <f>IFERROR(__xludf.DUMMYFUNCTION("""COMPUTED_VALUE"""),"AsiaBooks")</f>
        <v>AsiaBooks</v>
      </c>
      <c r="F1235" s="1" t="str">
        <f>IFERROR(__xludf.DUMMYFUNCTION("""COMPUTED_VALUE"""),"1016938")</f>
        <v>1016938</v>
      </c>
      <c r="G1235" s="1" t="str">
        <f>IFERROR(__xludf.DUMMYFUNCTION("""COMPUTED_VALUE"""),"น.ส.ณัฏฐนันท์ ปัญญาสิทธิ์")</f>
        <v>น.ส.ณัฏฐนันท์ ปัญญาสิทธิ์</v>
      </c>
      <c r="H1235" s="1" t="str">
        <f>IFERROR(__xludf.DUMMYFUNCTION("""COMPUTED_VALUE"""),"1007000")</f>
        <v>1007000</v>
      </c>
      <c r="I1235" s="1" t="str">
        <f>IFERROR(__xludf.DUMMYFUNCTION("""COMPUTED_VALUE"""),"น.ส.เสาวลักษณ์ แป้นงาม")</f>
        <v>น.ส.เสาวลักษณ์ แป้นงาม</v>
      </c>
      <c r="J1235" s="3">
        <f>IFERROR(__xludf.DUMMYFUNCTION("""COMPUTED_VALUE"""),1016938.0)</f>
        <v>1016938</v>
      </c>
      <c r="K1235" s="3" t="str">
        <f>IFERROR(__xludf.DUMMYFUNCTION("""COMPUTED_VALUE"""),"น.ส.ณัฏฐนันท์ ปัญญาสิทธิ์")</f>
        <v>น.ส.ณัฏฐนันท์ ปัญญาสิทธิ์</v>
      </c>
      <c r="L1235" s="1" t="str">
        <f>IFERROR(__xludf.DUMMYFUNCTION("""COMPUTED_VALUE"""),"Asia Books")</f>
        <v>Asia Books</v>
      </c>
      <c r="M1235" s="1" t="str">
        <f>IFERROR(__xludf.DUMMYFUNCTION("""COMPUTED_VALUE"""),"0993463946")</f>
        <v>0993463946</v>
      </c>
      <c r="N1235" s="3" t="str">
        <f>IFERROR(__xludf.DUMMYFUNCTION("""COMPUTED_VALUE"""),"21RB012")</f>
        <v>21RB012</v>
      </c>
      <c r="O1235" s="3" t="str">
        <f>IFERROR(__xludf.DUMMYFUNCTION("""COMPUTED_VALUE"""),"KPS:KPS1-TE7")</f>
        <v>KPS:KPS1-TE7</v>
      </c>
      <c r="P1235" s="4">
        <f>IFERROR(__xludf.DUMMYFUNCTION("""COMPUTED_VALUE"""),43271.0)</f>
        <v>43271</v>
      </c>
      <c r="Q1235" s="3" t="str">
        <f>IFERROR(__xludf.DUMMYFUNCTION("""COMPUTED_VALUE"""),"A")</f>
        <v>A</v>
      </c>
      <c r="R1235" s="3" t="str">
        <f>IFERROR(__xludf.DUMMYFUNCTION("""COMPUTED_VALUE"""),"Small Format")</f>
        <v>Small Format</v>
      </c>
      <c r="S1235" s="3" t="str">
        <f>IFERROR(__xludf.DUMMYFUNCTION("""COMPUTED_VALUE"""),"AsiaBooks")</f>
        <v>AsiaBooks</v>
      </c>
      <c r="T1235" s="3" t="str">
        <f>IFERROR(__xludf.DUMMYFUNCTION("""COMPUTED_VALUE"""),"Asia Books")</f>
        <v>Asia Books</v>
      </c>
      <c r="U1235" s="3" t="str">
        <f>IFERROR(__xludf.DUMMYFUNCTION("""COMPUTED_VALUE"""),"#N/A")</f>
        <v>#N/A</v>
      </c>
      <c r="V1235" s="3" t="str">
        <f>IFERROR(__xludf.DUMMYFUNCTION("""COMPUTED_VALUE"""),"N")</f>
        <v>N</v>
      </c>
      <c r="W1235" s="3">
        <f>IFERROR(__xludf.DUMMYFUNCTION("""COMPUTED_VALUE"""),0.0)</f>
        <v>0</v>
      </c>
      <c r="X1235" s="3" t="str">
        <f>IFERROR(__xludf.DUMMYFUNCTION("""COMPUTED_VALUE"""),"ชั้น 4 ห้องเลขที่ 4.040, ท่าอากาศยานสุวรรณภูมิ เลขที่ 999 ตำบลหนองปรือ อำเภอบางพลี จังหวัดสมุทรปราการ 10540")</f>
        <v>ชั้น 4 ห้องเลขที่ 4.040, ท่าอากาศยานสุวรรณภูมิ เลขที่ 999 ตำบลหนองปรือ อำเภอบางพลี จังหวัดสมุทรปราการ 10540</v>
      </c>
      <c r="Y1235" s="3"/>
      <c r="Z1235" s="3" t="str">
        <f>IFERROR(__xludf.DUMMYFUNCTION("""COMPUTED_VALUE"""),"หนองปรือ")</f>
        <v>หนองปรือ</v>
      </c>
      <c r="AA1235" s="3" t="str">
        <f>IFERROR(__xludf.DUMMYFUNCTION("""COMPUTED_VALUE"""),"บางพลี")</f>
        <v>บางพลี</v>
      </c>
      <c r="AB1235" s="3" t="str">
        <f>IFERROR(__xludf.DUMMYFUNCTION("""COMPUTED_VALUE"""),"สมุทรปราการ")</f>
        <v>สมุทรปราการ</v>
      </c>
      <c r="AC1235" s="3">
        <f>IFERROR(__xludf.DUMMYFUNCTION("""COMPUTED_VALUE"""),10540.0)</f>
        <v>10540</v>
      </c>
      <c r="AD1235" s="3">
        <f>IFERROR(__xludf.DUMMYFUNCTION("""COMPUTED_VALUE"""),13.68993991)</f>
        <v>13.68993991</v>
      </c>
      <c r="AE1235" s="3">
        <f>IFERROR(__xludf.DUMMYFUNCTION("""COMPUTED_VALUE"""),100.7540622)</f>
        <v>100.7540622</v>
      </c>
      <c r="AF1235" s="3" t="str">
        <f>IFERROR(__xludf.DUMMYFUNCTION("""COMPUTED_VALUE"""),"KPS:KPS1-TE7-21RB012")</f>
        <v>KPS:KPS1-TE7-21RB012</v>
      </c>
      <c r="AG1235" s="3" t="str">
        <f>IFERROR(__xludf.DUMMYFUNCTION("""COMPUTED_VALUE"""),"กลาง")</f>
        <v>กลาง</v>
      </c>
      <c r="AH1235" s="3" t="str">
        <f>IFERROR(__xludf.DUMMYFUNCTION("""COMPUTED_VALUE"""),"#N/A")</f>
        <v>#N/A</v>
      </c>
      <c r="AI1235" s="3" t="str">
        <f>IFERROR(__xludf.DUMMYFUNCTION("""COMPUTED_VALUE"""),"Out of warranty")</f>
        <v>Out of warranty</v>
      </c>
      <c r="AJ1235" s="3">
        <f>IFERROR(__xludf.DUMMYFUNCTION("""COMPUTED_VALUE"""),92.0)</f>
        <v>92</v>
      </c>
      <c r="AK1235" s="3"/>
      <c r="AL1235" s="3"/>
    </row>
    <row r="1236" ht="15.75" customHeight="1">
      <c r="A1236" s="1" t="str">
        <f>IFERROR(__xludf.DUMMYFUNCTION("""COMPUTED_VALUE"""),"21RB013")</f>
        <v>21RB013</v>
      </c>
      <c r="B1236" s="2" t="str">
        <f>IFERROR(__xludf.DUMMYFUNCTION("""COMPUTED_VALUE"""),"21RB013")</f>
        <v>21RB013</v>
      </c>
      <c r="C1236" s="3" t="str">
        <f>IFERROR(__xludf.DUMMYFUNCTION("""COMPUTED_VALUE"""),"KPS:KPS2-TW7")</f>
        <v>KPS:KPS2-TW7</v>
      </c>
      <c r="D1236" s="3" t="str">
        <f>IFERROR(__xludf.DUMMYFUNCTION("""COMPUTED_VALUE"""),"เอเซียบุ๊คส จำกัด (เคพีเอส 2)")</f>
        <v>เอเซียบุ๊คส จำกัด (เคพีเอส 2)</v>
      </c>
      <c r="E1236" s="1" t="str">
        <f>IFERROR(__xludf.DUMMYFUNCTION("""COMPUTED_VALUE"""),"AsiaBooks")</f>
        <v>AsiaBooks</v>
      </c>
      <c r="F1236" s="1" t="str">
        <f>IFERROR(__xludf.DUMMYFUNCTION("""COMPUTED_VALUE"""),"1016938")</f>
        <v>1016938</v>
      </c>
      <c r="G1236" s="1" t="str">
        <f>IFERROR(__xludf.DUMMYFUNCTION("""COMPUTED_VALUE"""),"น.ส.ณัฏฐนันท์ ปัญญาสิทธิ์")</f>
        <v>น.ส.ณัฏฐนันท์ ปัญญาสิทธิ์</v>
      </c>
      <c r="H1236" s="1" t="str">
        <f>IFERROR(__xludf.DUMMYFUNCTION("""COMPUTED_VALUE"""),"1007000")</f>
        <v>1007000</v>
      </c>
      <c r="I1236" s="1" t="str">
        <f>IFERROR(__xludf.DUMMYFUNCTION("""COMPUTED_VALUE"""),"น.ส.เสาวลักษณ์ แป้นงาม")</f>
        <v>น.ส.เสาวลักษณ์ แป้นงาม</v>
      </c>
      <c r="J1236" s="3">
        <f>IFERROR(__xludf.DUMMYFUNCTION("""COMPUTED_VALUE"""),1016938.0)</f>
        <v>1016938</v>
      </c>
      <c r="K1236" s="3" t="str">
        <f>IFERROR(__xludf.DUMMYFUNCTION("""COMPUTED_VALUE"""),"น.ส.ณัฏฐนันท์ ปัญญาสิทธิ์")</f>
        <v>น.ส.ณัฏฐนันท์ ปัญญาสิทธิ์</v>
      </c>
      <c r="L1236" s="1" t="str">
        <f>IFERROR(__xludf.DUMMYFUNCTION("""COMPUTED_VALUE"""),"Asia Books")</f>
        <v>Asia Books</v>
      </c>
      <c r="M1236" s="1" t="str">
        <f>IFERROR(__xludf.DUMMYFUNCTION("""COMPUTED_VALUE"""),"0993463946")</f>
        <v>0993463946</v>
      </c>
      <c r="N1236" s="3" t="str">
        <f>IFERROR(__xludf.DUMMYFUNCTION("""COMPUTED_VALUE"""),"21RB013")</f>
        <v>21RB013</v>
      </c>
      <c r="O1236" s="3" t="str">
        <f>IFERROR(__xludf.DUMMYFUNCTION("""COMPUTED_VALUE"""),"KPS:KPS2-TW7")</f>
        <v>KPS:KPS2-TW7</v>
      </c>
      <c r="P1236" s="4">
        <f>IFERROR(__xludf.DUMMYFUNCTION("""COMPUTED_VALUE"""),43271.0)</f>
        <v>43271</v>
      </c>
      <c r="Q1236" s="3" t="str">
        <f>IFERROR(__xludf.DUMMYFUNCTION("""COMPUTED_VALUE"""),"A")</f>
        <v>A</v>
      </c>
      <c r="R1236" s="3" t="str">
        <f>IFERROR(__xludf.DUMMYFUNCTION("""COMPUTED_VALUE"""),"Small Format")</f>
        <v>Small Format</v>
      </c>
      <c r="S1236" s="3" t="str">
        <f>IFERROR(__xludf.DUMMYFUNCTION("""COMPUTED_VALUE"""),"AsiaBooks")</f>
        <v>AsiaBooks</v>
      </c>
      <c r="T1236" s="3" t="str">
        <f>IFERROR(__xludf.DUMMYFUNCTION("""COMPUTED_VALUE"""),"Asia Books")</f>
        <v>Asia Books</v>
      </c>
      <c r="U1236" s="3" t="str">
        <f>IFERROR(__xludf.DUMMYFUNCTION("""COMPUTED_VALUE"""),"#N/A")</f>
        <v>#N/A</v>
      </c>
      <c r="V1236" s="3" t="str">
        <f>IFERROR(__xludf.DUMMYFUNCTION("""COMPUTED_VALUE"""),"N")</f>
        <v>N</v>
      </c>
      <c r="W1236" s="3">
        <f>IFERROR(__xludf.DUMMYFUNCTION("""COMPUTED_VALUE"""),0.0)</f>
        <v>0</v>
      </c>
      <c r="X1236" s="3" t="str">
        <f>IFERROR(__xludf.DUMMYFUNCTION("""COMPUTED_VALUE"""),"ชั้น 4 ห้องเลขที่ 4.112, ท่าอากาศยานสุวรรณภูมิ เลขที่ 999 ตำบลหนองปรือ อำเภอบางพลี จังหวัดสมุทรปราการ 10540")</f>
        <v>ชั้น 4 ห้องเลขที่ 4.112, ท่าอากาศยานสุวรรณภูมิ เลขที่ 999 ตำบลหนองปรือ อำเภอบางพลี จังหวัดสมุทรปราการ 10540</v>
      </c>
      <c r="Y1236" s="3"/>
      <c r="Z1236" s="3" t="str">
        <f>IFERROR(__xludf.DUMMYFUNCTION("""COMPUTED_VALUE"""),"หนองปรือ")</f>
        <v>หนองปรือ</v>
      </c>
      <c r="AA1236" s="3" t="str">
        <f>IFERROR(__xludf.DUMMYFUNCTION("""COMPUTED_VALUE"""),"บางพลี")</f>
        <v>บางพลี</v>
      </c>
      <c r="AB1236" s="3" t="str">
        <f>IFERROR(__xludf.DUMMYFUNCTION("""COMPUTED_VALUE"""),"สมุทรปราการ")</f>
        <v>สมุทรปราการ</v>
      </c>
      <c r="AC1236" s="3">
        <f>IFERROR(__xludf.DUMMYFUNCTION("""COMPUTED_VALUE"""),10540.0)</f>
        <v>10540</v>
      </c>
      <c r="AD1236" s="3">
        <f>IFERROR(__xludf.DUMMYFUNCTION("""COMPUTED_VALUE"""),13.6916098)</f>
        <v>13.6916098</v>
      </c>
      <c r="AE1236" s="3">
        <f>IFERROR(__xludf.DUMMYFUNCTION("""COMPUTED_VALUE"""),100.7467848)</f>
        <v>100.7467848</v>
      </c>
      <c r="AF1236" s="3" t="str">
        <f>IFERROR(__xludf.DUMMYFUNCTION("""COMPUTED_VALUE"""),"KPS:KPS2-TW7-21RB013")</f>
        <v>KPS:KPS2-TW7-21RB013</v>
      </c>
      <c r="AG1236" s="3" t="str">
        <f>IFERROR(__xludf.DUMMYFUNCTION("""COMPUTED_VALUE"""),"กลาง")</f>
        <v>กลาง</v>
      </c>
      <c r="AH1236" s="3" t="str">
        <f>IFERROR(__xludf.DUMMYFUNCTION("""COMPUTED_VALUE"""),"#N/A")</f>
        <v>#N/A</v>
      </c>
      <c r="AI1236" s="3" t="str">
        <f>IFERROR(__xludf.DUMMYFUNCTION("""COMPUTED_VALUE"""),"Out of warranty")</f>
        <v>Out of warranty</v>
      </c>
      <c r="AJ1236" s="3">
        <f>IFERROR(__xludf.DUMMYFUNCTION("""COMPUTED_VALUE"""),92.0)</f>
        <v>92</v>
      </c>
      <c r="AK1236" s="3"/>
      <c r="AL1236" s="3"/>
    </row>
    <row r="1237" ht="15.75" customHeight="1">
      <c r="A1237" s="1" t="str">
        <f>IFERROR(__xludf.DUMMYFUNCTION("""COMPUTED_VALUE"""),"21RB014")</f>
        <v>21RB014</v>
      </c>
      <c r="B1237" s="2" t="str">
        <f>IFERROR(__xludf.DUMMYFUNCTION("""COMPUTED_VALUE"""),"21RB014")</f>
        <v>21RB014</v>
      </c>
      <c r="C1237" s="3" t="str">
        <f>IFERROR(__xludf.DUMMYFUNCTION("""COMPUTED_VALUE"""),"KPS:KPS4-SE1")</f>
        <v>KPS:KPS4-SE1</v>
      </c>
      <c r="D1237" s="3" t="str">
        <f>IFERROR(__xludf.DUMMYFUNCTION("""COMPUTED_VALUE"""),"เอเซียบุ๊คส จำกัด (เคพีเอส 4)")</f>
        <v>เอเซียบุ๊คส จำกัด (เคพีเอส 4)</v>
      </c>
      <c r="E1237" s="1" t="str">
        <f>IFERROR(__xludf.DUMMYFUNCTION("""COMPUTED_VALUE"""),"AsiaBooks")</f>
        <v>AsiaBooks</v>
      </c>
      <c r="F1237" s="1" t="str">
        <f>IFERROR(__xludf.DUMMYFUNCTION("""COMPUTED_VALUE"""),"1016938")</f>
        <v>1016938</v>
      </c>
      <c r="G1237" s="1" t="str">
        <f>IFERROR(__xludf.DUMMYFUNCTION("""COMPUTED_VALUE"""),"น.ส.ณัฏฐนันท์ ปัญญาสิทธิ์")</f>
        <v>น.ส.ณัฏฐนันท์ ปัญญาสิทธิ์</v>
      </c>
      <c r="H1237" s="1" t="str">
        <f>IFERROR(__xludf.DUMMYFUNCTION("""COMPUTED_VALUE"""),"1007000")</f>
        <v>1007000</v>
      </c>
      <c r="I1237" s="1" t="str">
        <f>IFERROR(__xludf.DUMMYFUNCTION("""COMPUTED_VALUE"""),"น.ส.เสาวลักษณ์ แป้นงาม")</f>
        <v>น.ส.เสาวลักษณ์ แป้นงาม</v>
      </c>
      <c r="J1237" s="3">
        <f>IFERROR(__xludf.DUMMYFUNCTION("""COMPUTED_VALUE"""),1016938.0)</f>
        <v>1016938</v>
      </c>
      <c r="K1237" s="3" t="str">
        <f>IFERROR(__xludf.DUMMYFUNCTION("""COMPUTED_VALUE"""),"น.ส.ณัฏฐนันท์ ปัญญาสิทธิ์")</f>
        <v>น.ส.ณัฏฐนันท์ ปัญญาสิทธิ์</v>
      </c>
      <c r="L1237" s="1" t="str">
        <f>IFERROR(__xludf.DUMMYFUNCTION("""COMPUTED_VALUE"""),"Asia Books")</f>
        <v>Asia Books</v>
      </c>
      <c r="M1237" s="1" t="str">
        <f>IFERROR(__xludf.DUMMYFUNCTION("""COMPUTED_VALUE"""),"0993463946")</f>
        <v>0993463946</v>
      </c>
      <c r="N1237" s="3" t="str">
        <f>IFERROR(__xludf.DUMMYFUNCTION("""COMPUTED_VALUE"""),"21RB014")</f>
        <v>21RB014</v>
      </c>
      <c r="O1237" s="3" t="str">
        <f>IFERROR(__xludf.DUMMYFUNCTION("""COMPUTED_VALUE"""),"KPS:KPS4-SE1")</f>
        <v>KPS:KPS4-SE1</v>
      </c>
      <c r="P1237" s="4">
        <f>IFERROR(__xludf.DUMMYFUNCTION("""COMPUTED_VALUE"""),43271.0)</f>
        <v>43271</v>
      </c>
      <c r="Q1237" s="3" t="str">
        <f>IFERROR(__xludf.DUMMYFUNCTION("""COMPUTED_VALUE"""),"A")</f>
        <v>A</v>
      </c>
      <c r="R1237" s="3" t="str">
        <f>IFERROR(__xludf.DUMMYFUNCTION("""COMPUTED_VALUE"""),"Small Format")</f>
        <v>Small Format</v>
      </c>
      <c r="S1237" s="3" t="str">
        <f>IFERROR(__xludf.DUMMYFUNCTION("""COMPUTED_VALUE"""),"AsiaBooks")</f>
        <v>AsiaBooks</v>
      </c>
      <c r="T1237" s="3" t="str">
        <f>IFERROR(__xludf.DUMMYFUNCTION("""COMPUTED_VALUE"""),"Asia Books")</f>
        <v>Asia Books</v>
      </c>
      <c r="U1237" s="3" t="str">
        <f>IFERROR(__xludf.DUMMYFUNCTION("""COMPUTED_VALUE"""),"#N/A")</f>
        <v>#N/A</v>
      </c>
      <c r="V1237" s="3" t="str">
        <f>IFERROR(__xludf.DUMMYFUNCTION("""COMPUTED_VALUE"""),"N")</f>
        <v>N</v>
      </c>
      <c r="W1237" s="3">
        <f>IFERROR(__xludf.DUMMYFUNCTION("""COMPUTED_VALUE"""),0.0)</f>
        <v>0</v>
      </c>
      <c r="X1237" s="3" t="str">
        <f>IFERROR(__xludf.DUMMYFUNCTION("""COMPUTED_VALUE"""),"ชั้น 3 ห้องเลขที่ 3.060, ท่าอากาศยานสุวรรณภูมิ เลขที่ 999 ตำบลหนองปรือ อำเภอบางพลี จังหวัดสมุทรปราการ 10540")</f>
        <v>ชั้น 3 ห้องเลขที่ 3.060, ท่าอากาศยานสุวรรณภูมิ เลขที่ 999 ตำบลหนองปรือ อำเภอบางพลี จังหวัดสมุทรปราการ 10540</v>
      </c>
      <c r="Y1237" s="3"/>
      <c r="Z1237" s="3" t="str">
        <f>IFERROR(__xludf.DUMMYFUNCTION("""COMPUTED_VALUE"""),"หนองปรือ")</f>
        <v>หนองปรือ</v>
      </c>
      <c r="AA1237" s="3" t="str">
        <f>IFERROR(__xludf.DUMMYFUNCTION("""COMPUTED_VALUE"""),"บางพลี")</f>
        <v>บางพลี</v>
      </c>
      <c r="AB1237" s="3" t="str">
        <f>IFERROR(__xludf.DUMMYFUNCTION("""COMPUTED_VALUE"""),"สมุทรปราการ")</f>
        <v>สมุทรปราการ</v>
      </c>
      <c r="AC1237" s="3">
        <f>IFERROR(__xludf.DUMMYFUNCTION("""COMPUTED_VALUE"""),10540.0)</f>
        <v>10540</v>
      </c>
      <c r="AD1237" s="3">
        <f>IFERROR(__xludf.DUMMYFUNCTION("""COMPUTED_VALUE"""),13.69157623)</f>
        <v>13.69157623</v>
      </c>
      <c r="AE1237" s="3">
        <f>IFERROR(__xludf.DUMMYFUNCTION("""COMPUTED_VALUE"""),100.7505437)</f>
        <v>100.7505437</v>
      </c>
      <c r="AF1237" s="3" t="str">
        <f>IFERROR(__xludf.DUMMYFUNCTION("""COMPUTED_VALUE"""),"KPS:KPS4-SE1-21RB014")</f>
        <v>KPS:KPS4-SE1-21RB014</v>
      </c>
      <c r="AG1237" s="3" t="str">
        <f>IFERROR(__xludf.DUMMYFUNCTION("""COMPUTED_VALUE"""),"กลาง")</f>
        <v>กลาง</v>
      </c>
      <c r="AH1237" s="3" t="str">
        <f>IFERROR(__xludf.DUMMYFUNCTION("""COMPUTED_VALUE"""),"#N/A")</f>
        <v>#N/A</v>
      </c>
      <c r="AI1237" s="3" t="str">
        <f>IFERROR(__xludf.DUMMYFUNCTION("""COMPUTED_VALUE"""),"Out of warranty")</f>
        <v>Out of warranty</v>
      </c>
      <c r="AJ1237" s="3">
        <f>IFERROR(__xludf.DUMMYFUNCTION("""COMPUTED_VALUE"""),92.0)</f>
        <v>92</v>
      </c>
      <c r="AK1237" s="3"/>
      <c r="AL1237" s="3"/>
    </row>
    <row r="1238" ht="15.75" customHeight="1">
      <c r="A1238" s="1" t="str">
        <f>IFERROR(__xludf.DUMMYFUNCTION("""COMPUTED_VALUE"""),"21RB015")</f>
        <v>21RB015</v>
      </c>
      <c r="B1238" s="2" t="str">
        <f>IFERROR(__xludf.DUMMYFUNCTION("""COMPUTED_VALUE"""),"21RB015")</f>
        <v>21RB015</v>
      </c>
      <c r="C1238" s="3" t="str">
        <f>IFERROR(__xludf.DUMMYFUNCTION("""COMPUTED_VALUE"""),"KPS:KPS5-SW1")</f>
        <v>KPS:KPS5-SW1</v>
      </c>
      <c r="D1238" s="3" t="str">
        <f>IFERROR(__xludf.DUMMYFUNCTION("""COMPUTED_VALUE"""),"เอเซียบุ๊คส จำกัด (เคพีเอส 5)")</f>
        <v>เอเซียบุ๊คส จำกัด (เคพีเอส 5)</v>
      </c>
      <c r="E1238" s="1" t="str">
        <f>IFERROR(__xludf.DUMMYFUNCTION("""COMPUTED_VALUE"""),"AsiaBooks")</f>
        <v>AsiaBooks</v>
      </c>
      <c r="F1238" s="1" t="str">
        <f>IFERROR(__xludf.DUMMYFUNCTION("""COMPUTED_VALUE"""),"1016938")</f>
        <v>1016938</v>
      </c>
      <c r="G1238" s="1" t="str">
        <f>IFERROR(__xludf.DUMMYFUNCTION("""COMPUTED_VALUE"""),"น.ส.ณัฏฐนันท์ ปัญญาสิทธิ์")</f>
        <v>น.ส.ณัฏฐนันท์ ปัญญาสิทธิ์</v>
      </c>
      <c r="H1238" s="1" t="str">
        <f>IFERROR(__xludf.DUMMYFUNCTION("""COMPUTED_VALUE"""),"1007000")</f>
        <v>1007000</v>
      </c>
      <c r="I1238" s="1" t="str">
        <f>IFERROR(__xludf.DUMMYFUNCTION("""COMPUTED_VALUE"""),"น.ส.เสาวลักษณ์ แป้นงาม")</f>
        <v>น.ส.เสาวลักษณ์ แป้นงาม</v>
      </c>
      <c r="J1238" s="3">
        <f>IFERROR(__xludf.DUMMYFUNCTION("""COMPUTED_VALUE"""),1016938.0)</f>
        <v>1016938</v>
      </c>
      <c r="K1238" s="3" t="str">
        <f>IFERROR(__xludf.DUMMYFUNCTION("""COMPUTED_VALUE"""),"น.ส.ณัฏฐนันท์ ปัญญาสิทธิ์")</f>
        <v>น.ส.ณัฏฐนันท์ ปัญญาสิทธิ์</v>
      </c>
      <c r="L1238" s="1" t="str">
        <f>IFERROR(__xludf.DUMMYFUNCTION("""COMPUTED_VALUE"""),"Asia Books")</f>
        <v>Asia Books</v>
      </c>
      <c r="M1238" s="1" t="str">
        <f>IFERROR(__xludf.DUMMYFUNCTION("""COMPUTED_VALUE"""),"0993463946")</f>
        <v>0993463946</v>
      </c>
      <c r="N1238" s="3" t="str">
        <f>IFERROR(__xludf.DUMMYFUNCTION("""COMPUTED_VALUE"""),"21RB015")</f>
        <v>21RB015</v>
      </c>
      <c r="O1238" s="3" t="str">
        <f>IFERROR(__xludf.DUMMYFUNCTION("""COMPUTED_VALUE"""),"KPS:KPS5-SW1")</f>
        <v>KPS:KPS5-SW1</v>
      </c>
      <c r="P1238" s="4">
        <f>IFERROR(__xludf.DUMMYFUNCTION("""COMPUTED_VALUE"""),43271.0)</f>
        <v>43271</v>
      </c>
      <c r="Q1238" s="3" t="str">
        <f>IFERROR(__xludf.DUMMYFUNCTION("""COMPUTED_VALUE"""),"A")</f>
        <v>A</v>
      </c>
      <c r="R1238" s="3" t="str">
        <f>IFERROR(__xludf.DUMMYFUNCTION("""COMPUTED_VALUE"""),"Small Format")</f>
        <v>Small Format</v>
      </c>
      <c r="S1238" s="3" t="str">
        <f>IFERROR(__xludf.DUMMYFUNCTION("""COMPUTED_VALUE"""),"AsiaBooks")</f>
        <v>AsiaBooks</v>
      </c>
      <c r="T1238" s="3" t="str">
        <f>IFERROR(__xludf.DUMMYFUNCTION("""COMPUTED_VALUE"""),"Asia Books")</f>
        <v>Asia Books</v>
      </c>
      <c r="U1238" s="3" t="str">
        <f>IFERROR(__xludf.DUMMYFUNCTION("""COMPUTED_VALUE"""),"#N/A")</f>
        <v>#N/A</v>
      </c>
      <c r="V1238" s="3" t="str">
        <f>IFERROR(__xludf.DUMMYFUNCTION("""COMPUTED_VALUE"""),"N")</f>
        <v>N</v>
      </c>
      <c r="W1238" s="3">
        <f>IFERROR(__xludf.DUMMYFUNCTION("""COMPUTED_VALUE"""),0.0)</f>
        <v>0</v>
      </c>
      <c r="X1238" s="3" t="str">
        <f>IFERROR(__xludf.DUMMYFUNCTION("""COMPUTED_VALUE"""),"ชั้น 3 ห้องเลขที่ 3.110, ท่าอากาศยานสุวรรณภูมิ เลขที่ 999 ตำบลหนองปรือ อำเภอบางพลี จังหวัดสมุทรปราการ 10540")</f>
        <v>ชั้น 3 ห้องเลขที่ 3.110, ท่าอากาศยานสุวรรณภูมิ เลขที่ 999 ตำบลหนองปรือ อำเภอบางพลี จังหวัดสมุทรปราการ 10540</v>
      </c>
      <c r="Y1238" s="3"/>
      <c r="Z1238" s="3" t="str">
        <f>IFERROR(__xludf.DUMMYFUNCTION("""COMPUTED_VALUE"""),"หนองปรือ")</f>
        <v>หนองปรือ</v>
      </c>
      <c r="AA1238" s="3" t="str">
        <f>IFERROR(__xludf.DUMMYFUNCTION("""COMPUTED_VALUE"""),"บางพลี")</f>
        <v>บางพลี</v>
      </c>
      <c r="AB1238" s="3" t="str">
        <f>IFERROR(__xludf.DUMMYFUNCTION("""COMPUTED_VALUE"""),"สมุทรปราการ")</f>
        <v>สมุทรปราการ</v>
      </c>
      <c r="AC1238" s="3">
        <f>IFERROR(__xludf.DUMMYFUNCTION("""COMPUTED_VALUE"""),10540.0)</f>
        <v>10540</v>
      </c>
      <c r="AD1238" s="3">
        <f>IFERROR(__xludf.DUMMYFUNCTION("""COMPUTED_VALUE"""),13.69302369)</f>
        <v>13.69302369</v>
      </c>
      <c r="AE1238" s="3">
        <f>IFERROR(__xludf.DUMMYFUNCTION("""COMPUTED_VALUE"""),100.7468225)</f>
        <v>100.7468225</v>
      </c>
      <c r="AF1238" s="3" t="str">
        <f>IFERROR(__xludf.DUMMYFUNCTION("""COMPUTED_VALUE"""),"KPS:KPS5-SW1-21RB015")</f>
        <v>KPS:KPS5-SW1-21RB015</v>
      </c>
      <c r="AG1238" s="3" t="str">
        <f>IFERROR(__xludf.DUMMYFUNCTION("""COMPUTED_VALUE"""),"กลาง")</f>
        <v>กลาง</v>
      </c>
      <c r="AH1238" s="3" t="str">
        <f>IFERROR(__xludf.DUMMYFUNCTION("""COMPUTED_VALUE"""),"#N/A")</f>
        <v>#N/A</v>
      </c>
      <c r="AI1238" s="3" t="str">
        <f>IFERROR(__xludf.DUMMYFUNCTION("""COMPUTED_VALUE"""),"Out of warranty")</f>
        <v>Out of warranty</v>
      </c>
      <c r="AJ1238" s="3">
        <f>IFERROR(__xludf.DUMMYFUNCTION("""COMPUTED_VALUE"""),92.0)</f>
        <v>92</v>
      </c>
      <c r="AK1238" s="3"/>
      <c r="AL1238" s="3"/>
    </row>
    <row r="1239" ht="15.75" customHeight="1">
      <c r="A1239" s="1" t="str">
        <f>IFERROR(__xludf.DUMMYFUNCTION("""COMPUTED_VALUE"""),"21RB016")</f>
        <v>21RB016</v>
      </c>
      <c r="B1239" s="2" t="str">
        <f>IFERROR(__xludf.DUMMYFUNCTION("""COMPUTED_VALUE"""),"21RB016")</f>
        <v>21RB016</v>
      </c>
      <c r="C1239" s="3" t="str">
        <f>IFERROR(__xludf.DUMMYFUNCTION("""COMPUTED_VALUE"""),"เอเซียบุ๊คส เคพีเอส 6")</f>
        <v>เอเซียบุ๊คส เคพีเอส 6</v>
      </c>
      <c r="D1239" s="3" t="str">
        <f>IFERROR(__xludf.DUMMYFUNCTION("""COMPUTED_VALUE"""),"KPS:KPS6")</f>
        <v>KPS:KPS6</v>
      </c>
      <c r="E1239" s="1" t="str">
        <f>IFERROR(__xludf.DUMMYFUNCTION("""COMPUTED_VALUE"""),"AsiaBooks")</f>
        <v>AsiaBooks</v>
      </c>
      <c r="F1239" s="1" t="str">
        <f>IFERROR(__xludf.DUMMYFUNCTION("""COMPUTED_VALUE"""),"1016938")</f>
        <v>1016938</v>
      </c>
      <c r="G1239" s="1" t="str">
        <f>IFERROR(__xludf.DUMMYFUNCTION("""COMPUTED_VALUE"""),"น.ส.ณัฏฐนันท์ ปัญญาสิทธิ์")</f>
        <v>น.ส.ณัฏฐนันท์ ปัญญาสิทธิ์</v>
      </c>
      <c r="H1239" s="1" t="str">
        <f>IFERROR(__xludf.DUMMYFUNCTION("""COMPUTED_VALUE"""),"025691")</f>
        <v>025691</v>
      </c>
      <c r="I1239" s="1" t="str">
        <f>IFERROR(__xludf.DUMMYFUNCTION("""COMPUTED_VALUE"""),"นายประพันธ์ มุสิกพันธ์")</f>
        <v>นายประพันธ์ มุสิกพันธ์</v>
      </c>
      <c r="J1239" s="3">
        <f>IFERROR(__xludf.DUMMYFUNCTION("""COMPUTED_VALUE"""),1016938.0)</f>
        <v>1016938</v>
      </c>
      <c r="K1239" s="3" t="str">
        <f>IFERROR(__xludf.DUMMYFUNCTION("""COMPUTED_VALUE"""),"น.ส.ณัฏฐนันท์ ปัญญาสิทธิ์")</f>
        <v>น.ส.ณัฏฐนันท์ ปัญญาสิทธิ์</v>
      </c>
      <c r="L1239" s="1" t="str">
        <f>IFERROR(__xludf.DUMMYFUNCTION("""COMPUTED_VALUE"""),"Asia Books")</f>
        <v>Asia Books</v>
      </c>
      <c r="M1239" s="1" t="str">
        <f>IFERROR(__xludf.DUMMYFUNCTION("""COMPUTED_VALUE"""),"0993463946")</f>
        <v>0993463946</v>
      </c>
      <c r="N1239" s="3" t="str">
        <f>IFERROR(__xludf.DUMMYFUNCTION("""COMPUTED_VALUE"""),"21RB016")</f>
        <v>21RB016</v>
      </c>
      <c r="O1239" s="3" t="str">
        <f>IFERROR(__xludf.DUMMYFUNCTION("""COMPUTED_VALUE"""),"เอเซียบุ๊คส เคพีเอส 6")</f>
        <v>เอเซียบุ๊คส เคพีเอส 6</v>
      </c>
      <c r="P1239" s="4">
        <f>IFERROR(__xludf.DUMMYFUNCTION("""COMPUTED_VALUE"""),43271.0)</f>
        <v>43271</v>
      </c>
      <c r="Q1239" s="3" t="str">
        <f>IFERROR(__xludf.DUMMYFUNCTION("""COMPUTED_VALUE"""),"I")</f>
        <v>I</v>
      </c>
      <c r="R1239" s="3" t="str">
        <f>IFERROR(__xludf.DUMMYFUNCTION("""COMPUTED_VALUE"""),"Small Format")</f>
        <v>Small Format</v>
      </c>
      <c r="S1239" s="3" t="str">
        <f>IFERROR(__xludf.DUMMYFUNCTION("""COMPUTED_VALUE"""),"AsiaBooks")</f>
        <v>AsiaBooks</v>
      </c>
      <c r="T1239" s="3" t="str">
        <f>IFERROR(__xludf.DUMMYFUNCTION("""COMPUTED_VALUE"""),"Asia Books")</f>
        <v>Asia Books</v>
      </c>
      <c r="U1239" s="3" t="str">
        <f>IFERROR(__xludf.DUMMYFUNCTION("""COMPUTED_VALUE"""),"#N/A")</f>
        <v>#N/A</v>
      </c>
      <c r="V1239" s="3" t="str">
        <f>IFERROR(__xludf.DUMMYFUNCTION("""COMPUTED_VALUE"""),"Y")</f>
        <v>Y</v>
      </c>
      <c r="W1239" s="3">
        <f>IFERROR(__xludf.DUMMYFUNCTION("""COMPUTED_VALUE"""),0.0)</f>
        <v>0</v>
      </c>
      <c r="X1239" s="3" t="str">
        <f>IFERROR(__xludf.DUMMYFUNCTION("""COMPUTED_VALUE"""),"ชั้น 4 ห้องเลขที่ 4.124/2, ท่าอากาศยานสุวรรณภูมิ เลขที่ 999 ตำบลหนองปรือ อำเภอบางพลี จังหวัดสมุทรปราการ 10540")</f>
        <v>ชั้น 4 ห้องเลขที่ 4.124/2, ท่าอากาศยานสุวรรณภูมิ เลขที่ 999 ตำบลหนองปรือ อำเภอบางพลี จังหวัดสมุทรปราการ 10540</v>
      </c>
      <c r="Y1239" s="3"/>
      <c r="Z1239" s="3" t="str">
        <f>IFERROR(__xludf.DUMMYFUNCTION("""COMPUTED_VALUE"""),"หนองปรือ")</f>
        <v>หนองปรือ</v>
      </c>
      <c r="AA1239" s="3" t="str">
        <f>IFERROR(__xludf.DUMMYFUNCTION("""COMPUTED_VALUE"""),"บางพลี")</f>
        <v>บางพลี</v>
      </c>
      <c r="AB1239" s="3" t="str">
        <f>IFERROR(__xludf.DUMMYFUNCTION("""COMPUTED_VALUE"""),"สมุทรปราการ")</f>
        <v>สมุทรปราการ</v>
      </c>
      <c r="AC1239" s="3">
        <f>IFERROR(__xludf.DUMMYFUNCTION("""COMPUTED_VALUE"""),10540.0)</f>
        <v>10540</v>
      </c>
      <c r="AD1239" s="3">
        <f>IFERROR(__xludf.DUMMYFUNCTION("""COMPUTED_VALUE"""),0.0)</f>
        <v>0</v>
      </c>
      <c r="AE1239" s="3">
        <f>IFERROR(__xludf.DUMMYFUNCTION("""COMPUTED_VALUE"""),0.0)</f>
        <v>0</v>
      </c>
      <c r="AF1239" s="3" t="str">
        <f>IFERROR(__xludf.DUMMYFUNCTION("""COMPUTED_VALUE"""),"เอเซียบุ๊คส เคพีเอส 6-21RB016")</f>
        <v>เอเซียบุ๊คส เคพีเอส 6-21RB016</v>
      </c>
      <c r="AG1239" s="3" t="str">
        <f>IFERROR(__xludf.DUMMYFUNCTION("""COMPUTED_VALUE"""),"กลาง")</f>
        <v>กลาง</v>
      </c>
      <c r="AH1239" s="3" t="str">
        <f>IFERROR(__xludf.DUMMYFUNCTION("""COMPUTED_VALUE"""),"#N/A")</f>
        <v>#N/A</v>
      </c>
      <c r="AI1239" s="3" t="str">
        <f>IFERROR(__xludf.DUMMYFUNCTION("""COMPUTED_VALUE"""),"Out of warranty")</f>
        <v>Out of warranty</v>
      </c>
      <c r="AJ1239" s="3">
        <f>IFERROR(__xludf.DUMMYFUNCTION("""COMPUTED_VALUE"""),92.0)</f>
        <v>92</v>
      </c>
      <c r="AK1239" s="3"/>
      <c r="AL1239" s="3"/>
    </row>
    <row r="1240" ht="15.75" customHeight="1">
      <c r="A1240" s="1" t="str">
        <f>IFERROR(__xludf.DUMMYFUNCTION("""COMPUTED_VALUE"""),"21RB017")</f>
        <v>21RB017</v>
      </c>
      <c r="B1240" s="2" t="str">
        <f>IFERROR(__xludf.DUMMYFUNCTION("""COMPUTED_VALUE"""),"21RB017")</f>
        <v>21RB017</v>
      </c>
      <c r="C1240" s="3" t="str">
        <f>IFERROR(__xludf.DUMMYFUNCTION("""COMPUTED_VALUE"""),"All Season place")</f>
        <v>All Season place</v>
      </c>
      <c r="D1240" s="3" t="str">
        <f>IFERROR(__xludf.DUMMYFUNCTION("""COMPUTED_VALUE"""),"เอเซียบุ๊คส ออลซีซันเพลส")</f>
        <v>เอเซียบุ๊คส ออลซีซันเพลส</v>
      </c>
      <c r="E1240" s="1" t="str">
        <f>IFERROR(__xludf.DUMMYFUNCTION("""COMPUTED_VALUE"""),"AsiaBooks")</f>
        <v>AsiaBooks</v>
      </c>
      <c r="F1240" s="1" t="str">
        <f>IFERROR(__xludf.DUMMYFUNCTION("""COMPUTED_VALUE"""),"1016938")</f>
        <v>1016938</v>
      </c>
      <c r="G1240" s="1" t="str">
        <f>IFERROR(__xludf.DUMMYFUNCTION("""COMPUTED_VALUE"""),"น.ส.ณัฏฐนันท์ ปัญญาสิทธิ์")</f>
        <v>น.ส.ณัฏฐนันท์ ปัญญาสิทธิ์</v>
      </c>
      <c r="H1240" s="1" t="str">
        <f>IFERROR(__xludf.DUMMYFUNCTION("""COMPUTED_VALUE"""),"2010435")</f>
        <v>2010435</v>
      </c>
      <c r="I1240" s="1" t="str">
        <f>IFERROR(__xludf.DUMMYFUNCTION("""COMPUTED_VALUE"""),"น.ส.ลักษณพร เกิดบุญส่ง")</f>
        <v>น.ส.ลักษณพร เกิดบุญส่ง</v>
      </c>
      <c r="J1240" s="3">
        <f>IFERROR(__xludf.DUMMYFUNCTION("""COMPUTED_VALUE"""),1016938.0)</f>
        <v>1016938</v>
      </c>
      <c r="K1240" s="3" t="str">
        <f>IFERROR(__xludf.DUMMYFUNCTION("""COMPUTED_VALUE"""),"น.ส.ณัฏฐนันท์ ปัญญาสิทธิ์")</f>
        <v>น.ส.ณัฏฐนันท์ ปัญญาสิทธิ์</v>
      </c>
      <c r="L1240" s="1" t="str">
        <f>IFERROR(__xludf.DUMMYFUNCTION("""COMPUTED_VALUE"""),"Asia Books")</f>
        <v>Asia Books</v>
      </c>
      <c r="M1240" s="1" t="str">
        <f>IFERROR(__xludf.DUMMYFUNCTION("""COMPUTED_VALUE"""),"0993463946")</f>
        <v>0993463946</v>
      </c>
      <c r="N1240" s="3" t="str">
        <f>IFERROR(__xludf.DUMMYFUNCTION("""COMPUTED_VALUE"""),"21RB017")</f>
        <v>21RB017</v>
      </c>
      <c r="O1240" s="3" t="str">
        <f>IFERROR(__xludf.DUMMYFUNCTION("""COMPUTED_VALUE"""),"All Season place")</f>
        <v>All Season place</v>
      </c>
      <c r="P1240" s="4">
        <f>IFERROR(__xludf.DUMMYFUNCTION("""COMPUTED_VALUE"""),43271.0)</f>
        <v>43271</v>
      </c>
      <c r="Q1240" s="3" t="str">
        <f>IFERROR(__xludf.DUMMYFUNCTION("""COMPUTED_VALUE"""),"A")</f>
        <v>A</v>
      </c>
      <c r="R1240" s="3" t="str">
        <f>IFERROR(__xludf.DUMMYFUNCTION("""COMPUTED_VALUE"""),"Small Format")</f>
        <v>Small Format</v>
      </c>
      <c r="S1240" s="3" t="str">
        <f>IFERROR(__xludf.DUMMYFUNCTION("""COMPUTED_VALUE"""),"AsiaBooks")</f>
        <v>AsiaBooks</v>
      </c>
      <c r="T1240" s="3" t="str">
        <f>IFERROR(__xludf.DUMMYFUNCTION("""COMPUTED_VALUE"""),"Asia Books")</f>
        <v>Asia Books</v>
      </c>
      <c r="U1240" s="3" t="str">
        <f>IFERROR(__xludf.DUMMYFUNCTION("""COMPUTED_VALUE"""),"#N/A")</f>
        <v>#N/A</v>
      </c>
      <c r="V1240" s="3" t="str">
        <f>IFERROR(__xludf.DUMMYFUNCTION("""COMPUTED_VALUE"""),"N")</f>
        <v>N</v>
      </c>
      <c r="W1240" s="3">
        <f>IFERROR(__xludf.DUMMYFUNCTION("""COMPUTED_VALUE"""),0.0)</f>
        <v>0</v>
      </c>
      <c r="X1240" s="3" t="str">
        <f>IFERROR(__xludf.DUMMYFUNCTION("""COMPUTED_VALUE"""),"ชั้น 1 ห้องเลขที่ 129A, ออลซีซัน เพลส เลขที่ 87/2 แขวงลุมพินี เขตปทุมวัน กรุงเทพมหานคร 10330")</f>
        <v>ชั้น 1 ห้องเลขที่ 129A, ออลซีซัน เพลส เลขที่ 87/2 แขวงลุมพินี เขตปทุมวัน กรุงเทพมหานคร 10330</v>
      </c>
      <c r="Y1240" s="3"/>
      <c r="Z1240" s="3" t="str">
        <f>IFERROR(__xludf.DUMMYFUNCTION("""COMPUTED_VALUE"""),"ลุมพินี")</f>
        <v>ลุมพินี</v>
      </c>
      <c r="AA1240" s="3" t="str">
        <f>IFERROR(__xludf.DUMMYFUNCTION("""COMPUTED_VALUE"""),"ปทุมวัน")</f>
        <v>ปทุมวัน</v>
      </c>
      <c r="AB1240" s="3" t="str">
        <f>IFERROR(__xludf.DUMMYFUNCTION("""COMPUTED_VALUE"""),"กรุงเทพมหานคร")</f>
        <v>กรุงเทพมหานคร</v>
      </c>
      <c r="AC1240" s="3">
        <f>IFERROR(__xludf.DUMMYFUNCTION("""COMPUTED_VALUE"""),10330.0)</f>
        <v>10330</v>
      </c>
      <c r="AD1240" s="3">
        <f>IFERROR(__xludf.DUMMYFUNCTION("""COMPUTED_VALUE"""),13.73952601)</f>
        <v>13.73952601</v>
      </c>
      <c r="AE1240" s="3">
        <f>IFERROR(__xludf.DUMMYFUNCTION("""COMPUTED_VALUE"""),100.5480379)</f>
        <v>100.5480379</v>
      </c>
      <c r="AF1240" s="3" t="str">
        <f>IFERROR(__xludf.DUMMYFUNCTION("""COMPUTED_VALUE"""),"All Season place-21RB017")</f>
        <v>All Season place-21RB017</v>
      </c>
      <c r="AG1240" s="3" t="str">
        <f>IFERROR(__xludf.DUMMYFUNCTION("""COMPUTED_VALUE"""),"กลาง")</f>
        <v>กลาง</v>
      </c>
      <c r="AH1240" s="3" t="str">
        <f>IFERROR(__xludf.DUMMYFUNCTION("""COMPUTED_VALUE"""),"#N/A")</f>
        <v>#N/A</v>
      </c>
      <c r="AI1240" s="3" t="str">
        <f>IFERROR(__xludf.DUMMYFUNCTION("""COMPUTED_VALUE"""),"Out of warranty")</f>
        <v>Out of warranty</v>
      </c>
      <c r="AJ1240" s="3">
        <f>IFERROR(__xludf.DUMMYFUNCTION("""COMPUTED_VALUE"""),92.0)</f>
        <v>92</v>
      </c>
      <c r="AK1240" s="3"/>
      <c r="AL1240" s="3"/>
    </row>
    <row r="1241" ht="15.75" customHeight="1">
      <c r="A1241" s="1" t="str">
        <f>IFERROR(__xludf.DUMMYFUNCTION("""COMPUTED_VALUE"""),"21RB018")</f>
        <v>21RB018</v>
      </c>
      <c r="B1241" s="2" t="str">
        <f>IFERROR(__xludf.DUMMYFUNCTION("""COMPUTED_VALUE"""),"21RB018")</f>
        <v>21RB018</v>
      </c>
      <c r="C1241" s="3" t="str">
        <f>IFERROR(__xludf.DUMMYFUNCTION("""COMPUTED_VALUE"""),"Central Bangna")</f>
        <v>Central Bangna</v>
      </c>
      <c r="D1241" s="3" t="str">
        <f>IFERROR(__xludf.DUMMYFUNCTION("""COMPUTED_VALUE"""),"เอเซียบุ๊คส เซ็นทรัลบางนา")</f>
        <v>เอเซียบุ๊คส เซ็นทรัลบางนา</v>
      </c>
      <c r="E1241" s="1" t="str">
        <f>IFERROR(__xludf.DUMMYFUNCTION("""COMPUTED_VALUE"""),"AsiaBooks")</f>
        <v>AsiaBooks</v>
      </c>
      <c r="F1241" s="1" t="str">
        <f>IFERROR(__xludf.DUMMYFUNCTION("""COMPUTED_VALUE"""),"1016938")</f>
        <v>1016938</v>
      </c>
      <c r="G1241" s="1" t="str">
        <f>IFERROR(__xludf.DUMMYFUNCTION("""COMPUTED_VALUE"""),"น.ส.ณัฏฐนันท์ ปัญญาสิทธิ์")</f>
        <v>น.ส.ณัฏฐนันท์ ปัญญาสิทธิ์</v>
      </c>
      <c r="H1241" s="1" t="str">
        <f>IFERROR(__xludf.DUMMYFUNCTION("""COMPUTED_VALUE"""),"2010435")</f>
        <v>2010435</v>
      </c>
      <c r="I1241" s="1" t="str">
        <f>IFERROR(__xludf.DUMMYFUNCTION("""COMPUTED_VALUE"""),"น.ส.ลักษณพร เกิดบุญส่ง")</f>
        <v>น.ส.ลักษณพร เกิดบุญส่ง</v>
      </c>
      <c r="J1241" s="3">
        <f>IFERROR(__xludf.DUMMYFUNCTION("""COMPUTED_VALUE"""),1016938.0)</f>
        <v>1016938</v>
      </c>
      <c r="K1241" s="3" t="str">
        <f>IFERROR(__xludf.DUMMYFUNCTION("""COMPUTED_VALUE"""),"น.ส.ณัฏฐนันท์ ปัญญาสิทธิ์")</f>
        <v>น.ส.ณัฏฐนันท์ ปัญญาสิทธิ์</v>
      </c>
      <c r="L1241" s="1" t="str">
        <f>IFERROR(__xludf.DUMMYFUNCTION("""COMPUTED_VALUE"""),"Asia Books")</f>
        <v>Asia Books</v>
      </c>
      <c r="M1241" s="1" t="str">
        <f>IFERROR(__xludf.DUMMYFUNCTION("""COMPUTED_VALUE"""),"0993463946")</f>
        <v>0993463946</v>
      </c>
      <c r="N1241" s="3" t="str">
        <f>IFERROR(__xludf.DUMMYFUNCTION("""COMPUTED_VALUE"""),"21RB018")</f>
        <v>21RB018</v>
      </c>
      <c r="O1241" s="3" t="str">
        <f>IFERROR(__xludf.DUMMYFUNCTION("""COMPUTED_VALUE"""),"Central Bangna")</f>
        <v>Central Bangna</v>
      </c>
      <c r="P1241" s="4">
        <f>IFERROR(__xludf.DUMMYFUNCTION("""COMPUTED_VALUE"""),43271.0)</f>
        <v>43271</v>
      </c>
      <c r="Q1241" s="3" t="str">
        <f>IFERROR(__xludf.DUMMYFUNCTION("""COMPUTED_VALUE"""),"A")</f>
        <v>A</v>
      </c>
      <c r="R1241" s="3" t="str">
        <f>IFERROR(__xludf.DUMMYFUNCTION("""COMPUTED_VALUE"""),"Small Format")</f>
        <v>Small Format</v>
      </c>
      <c r="S1241" s="3" t="str">
        <f>IFERROR(__xludf.DUMMYFUNCTION("""COMPUTED_VALUE"""),"AsiaBooks")</f>
        <v>AsiaBooks</v>
      </c>
      <c r="T1241" s="3" t="str">
        <f>IFERROR(__xludf.DUMMYFUNCTION("""COMPUTED_VALUE"""),"Asia Books")</f>
        <v>Asia Books</v>
      </c>
      <c r="U1241" s="3" t="str">
        <f>IFERROR(__xludf.DUMMYFUNCTION("""COMPUTED_VALUE"""),"#N/A")</f>
        <v>#N/A</v>
      </c>
      <c r="V1241" s="3" t="str">
        <f>IFERROR(__xludf.DUMMYFUNCTION("""COMPUTED_VALUE"""),"N")</f>
        <v>N</v>
      </c>
      <c r="W1241" s="3">
        <f>IFERROR(__xludf.DUMMYFUNCTION("""COMPUTED_VALUE"""),0.0)</f>
        <v>0</v>
      </c>
      <c r="X1241" s="3" t="str">
        <f>IFERROR(__xludf.DUMMYFUNCTION("""COMPUTED_VALUE"""),"ชั้น 3 ยูนิต 309, ศูนย์การค้าเซ็นทรัล ซิตี้บางนา เลขที่ 587 แขวงบางนา เขตบางนา กรุงเทพมหานคร 10260")</f>
        <v>ชั้น 3 ยูนิต 309, ศูนย์การค้าเซ็นทรัล ซิตี้บางนา เลขที่ 587 แขวงบางนา เขตบางนา กรุงเทพมหานคร 10260</v>
      </c>
      <c r="Y1241" s="3"/>
      <c r="Z1241" s="3" t="str">
        <f>IFERROR(__xludf.DUMMYFUNCTION("""COMPUTED_VALUE"""),"บางนา")</f>
        <v>บางนา</v>
      </c>
      <c r="AA1241" s="3" t="str">
        <f>IFERROR(__xludf.DUMMYFUNCTION("""COMPUTED_VALUE"""),"บางนา")</f>
        <v>บางนา</v>
      </c>
      <c r="AB1241" s="3" t="str">
        <f>IFERROR(__xludf.DUMMYFUNCTION("""COMPUTED_VALUE"""),"กรุงเทพมหานคร")</f>
        <v>กรุงเทพมหานคร</v>
      </c>
      <c r="AC1241" s="3">
        <f>IFERROR(__xludf.DUMMYFUNCTION("""COMPUTED_VALUE"""),10260.0)</f>
        <v>10260</v>
      </c>
      <c r="AD1241" s="3">
        <f>IFERROR(__xludf.DUMMYFUNCTION("""COMPUTED_VALUE"""),13.67024936)</f>
        <v>13.67024936</v>
      </c>
      <c r="AE1241" s="3">
        <f>IFERROR(__xludf.DUMMYFUNCTION("""COMPUTED_VALUE"""),100.6351099)</f>
        <v>100.6351099</v>
      </c>
      <c r="AF1241" s="3" t="str">
        <f>IFERROR(__xludf.DUMMYFUNCTION("""COMPUTED_VALUE"""),"Central Bangna-21RB018")</f>
        <v>Central Bangna-21RB018</v>
      </c>
      <c r="AG1241" s="3" t="str">
        <f>IFERROR(__xludf.DUMMYFUNCTION("""COMPUTED_VALUE"""),"กลาง")</f>
        <v>กลาง</v>
      </c>
      <c r="AH1241" s="3" t="str">
        <f>IFERROR(__xludf.DUMMYFUNCTION("""COMPUTED_VALUE"""),"#N/A")</f>
        <v>#N/A</v>
      </c>
      <c r="AI1241" s="3" t="str">
        <f>IFERROR(__xludf.DUMMYFUNCTION("""COMPUTED_VALUE"""),"Out of warranty")</f>
        <v>Out of warranty</v>
      </c>
      <c r="AJ1241" s="3">
        <f>IFERROR(__xludf.DUMMYFUNCTION("""COMPUTED_VALUE"""),92.0)</f>
        <v>92</v>
      </c>
      <c r="AK1241" s="3"/>
      <c r="AL1241" s="3"/>
    </row>
    <row r="1242" ht="15.75" customHeight="1">
      <c r="A1242" s="1" t="str">
        <f>IFERROR(__xludf.DUMMYFUNCTION("""COMPUTED_VALUE"""),"21RB019")</f>
        <v>21RB019</v>
      </c>
      <c r="B1242" s="2" t="str">
        <f>IFERROR(__xludf.DUMMYFUNCTION("""COMPUTED_VALUE"""),"21RB019")</f>
        <v>21RB019</v>
      </c>
      <c r="C1242" s="3" t="str">
        <f>IFERROR(__xludf.DUMMYFUNCTION("""COMPUTED_VALUE"""),"Siam Paragon")</f>
        <v>Siam Paragon</v>
      </c>
      <c r="D1242" s="3" t="str">
        <f>IFERROR(__xludf.DUMMYFUNCTION("""COMPUTED_VALUE"""),"เอเซียบุ๊คส สยามพารากอน")</f>
        <v>เอเซียบุ๊คส สยามพารากอน</v>
      </c>
      <c r="E1242" s="1" t="str">
        <f>IFERROR(__xludf.DUMMYFUNCTION("""COMPUTED_VALUE"""),"AsiaBooks")</f>
        <v>AsiaBooks</v>
      </c>
      <c r="F1242" s="1" t="str">
        <f>IFERROR(__xludf.DUMMYFUNCTION("""COMPUTED_VALUE"""),"1016938")</f>
        <v>1016938</v>
      </c>
      <c r="G1242" s="1" t="str">
        <f>IFERROR(__xludf.DUMMYFUNCTION("""COMPUTED_VALUE"""),"น.ส.ณัฏฐนันท์ ปัญญาสิทธิ์")</f>
        <v>น.ส.ณัฏฐนันท์ ปัญญาสิทธิ์</v>
      </c>
      <c r="H1242" s="1" t="str">
        <f>IFERROR(__xludf.DUMMYFUNCTION("""COMPUTED_VALUE"""),"1007000")</f>
        <v>1007000</v>
      </c>
      <c r="I1242" s="1" t="str">
        <f>IFERROR(__xludf.DUMMYFUNCTION("""COMPUTED_VALUE"""),"น.ส.เสาวลักษณ์ แป้นงาม")</f>
        <v>น.ส.เสาวลักษณ์ แป้นงาม</v>
      </c>
      <c r="J1242" s="3">
        <f>IFERROR(__xludf.DUMMYFUNCTION("""COMPUTED_VALUE"""),1016938.0)</f>
        <v>1016938</v>
      </c>
      <c r="K1242" s="3" t="str">
        <f>IFERROR(__xludf.DUMMYFUNCTION("""COMPUTED_VALUE"""),"น.ส.ณัฏฐนันท์ ปัญญาสิทธิ์")</f>
        <v>น.ส.ณัฏฐนันท์ ปัญญาสิทธิ์</v>
      </c>
      <c r="L1242" s="1" t="str">
        <f>IFERROR(__xludf.DUMMYFUNCTION("""COMPUTED_VALUE"""),"Asia Books")</f>
        <v>Asia Books</v>
      </c>
      <c r="M1242" s="1" t="str">
        <f>IFERROR(__xludf.DUMMYFUNCTION("""COMPUTED_VALUE"""),"0993463946")</f>
        <v>0993463946</v>
      </c>
      <c r="N1242" s="3" t="str">
        <f>IFERROR(__xludf.DUMMYFUNCTION("""COMPUTED_VALUE"""),"21RB019")</f>
        <v>21RB019</v>
      </c>
      <c r="O1242" s="3" t="str">
        <f>IFERROR(__xludf.DUMMYFUNCTION("""COMPUTED_VALUE"""),"Siam Paragon")</f>
        <v>Siam Paragon</v>
      </c>
      <c r="P1242" s="4">
        <f>IFERROR(__xludf.DUMMYFUNCTION("""COMPUTED_VALUE"""),43271.0)</f>
        <v>43271</v>
      </c>
      <c r="Q1242" s="3" t="str">
        <f>IFERROR(__xludf.DUMMYFUNCTION("""COMPUTED_VALUE"""),"A")</f>
        <v>A</v>
      </c>
      <c r="R1242" s="3" t="str">
        <f>IFERROR(__xludf.DUMMYFUNCTION("""COMPUTED_VALUE"""),"Small Format")</f>
        <v>Small Format</v>
      </c>
      <c r="S1242" s="3" t="str">
        <f>IFERROR(__xludf.DUMMYFUNCTION("""COMPUTED_VALUE"""),"AsiaBooks")</f>
        <v>AsiaBooks</v>
      </c>
      <c r="T1242" s="3" t="str">
        <f>IFERROR(__xludf.DUMMYFUNCTION("""COMPUTED_VALUE"""),"Asia Books")</f>
        <v>Asia Books</v>
      </c>
      <c r="U1242" s="3" t="str">
        <f>IFERROR(__xludf.DUMMYFUNCTION("""COMPUTED_VALUE"""),"#N/A")</f>
        <v>#N/A</v>
      </c>
      <c r="V1242" s="3" t="str">
        <f>IFERROR(__xludf.DUMMYFUNCTION("""COMPUTED_VALUE"""),"N")</f>
        <v>N</v>
      </c>
      <c r="W1242" s="3">
        <f>IFERROR(__xludf.DUMMYFUNCTION("""COMPUTED_VALUE"""),0.0)</f>
        <v>0</v>
      </c>
      <c r="X1242" s="3" t="str">
        <f>IFERROR(__xludf.DUMMYFUNCTION("""COMPUTED_VALUE"""),"ชั้น 2 ห้องเลขที่ 2-26, 2-27, 2-28, ศูนย์การค้าสยามพารากอน เลขที่ 991 แขวงปทุมวัน เขตปทุมวัน กรุงเทพมหานคร 10330")</f>
        <v>ชั้น 2 ห้องเลขที่ 2-26, 2-27, 2-28, ศูนย์การค้าสยามพารากอน เลขที่ 991 แขวงปทุมวัน เขตปทุมวัน กรุงเทพมหานคร 10330</v>
      </c>
      <c r="Y1242" s="3"/>
      <c r="Z1242" s="3" t="str">
        <f>IFERROR(__xludf.DUMMYFUNCTION("""COMPUTED_VALUE"""),"ปทุมวัน")</f>
        <v>ปทุมวัน</v>
      </c>
      <c r="AA1242" s="3" t="str">
        <f>IFERROR(__xludf.DUMMYFUNCTION("""COMPUTED_VALUE"""),"ปทุมวัน")</f>
        <v>ปทุมวัน</v>
      </c>
      <c r="AB1242" s="3" t="str">
        <f>IFERROR(__xludf.DUMMYFUNCTION("""COMPUTED_VALUE"""),"กรุงเทพมหานคร")</f>
        <v>กรุงเทพมหานคร</v>
      </c>
      <c r="AC1242" s="3">
        <f>IFERROR(__xludf.DUMMYFUNCTION("""COMPUTED_VALUE"""),10330.0)</f>
        <v>10330</v>
      </c>
      <c r="AD1242" s="3">
        <f>IFERROR(__xludf.DUMMYFUNCTION("""COMPUTED_VALUE"""),13.74759143)</f>
        <v>13.74759143</v>
      </c>
      <c r="AE1242" s="3">
        <f>IFERROR(__xludf.DUMMYFUNCTION("""COMPUTED_VALUE"""),100.5346136)</f>
        <v>100.5346136</v>
      </c>
      <c r="AF1242" s="3" t="str">
        <f>IFERROR(__xludf.DUMMYFUNCTION("""COMPUTED_VALUE"""),"Siam Paragon-21RB019")</f>
        <v>Siam Paragon-21RB019</v>
      </c>
      <c r="AG1242" s="3" t="str">
        <f>IFERROR(__xludf.DUMMYFUNCTION("""COMPUTED_VALUE"""),"กลาง")</f>
        <v>กลาง</v>
      </c>
      <c r="AH1242" s="3" t="str">
        <f>IFERROR(__xludf.DUMMYFUNCTION("""COMPUTED_VALUE"""),"#N/A")</f>
        <v>#N/A</v>
      </c>
      <c r="AI1242" s="3" t="str">
        <f>IFERROR(__xludf.DUMMYFUNCTION("""COMPUTED_VALUE"""),"Out of warranty")</f>
        <v>Out of warranty</v>
      </c>
      <c r="AJ1242" s="3">
        <f>IFERROR(__xludf.DUMMYFUNCTION("""COMPUTED_VALUE"""),92.0)</f>
        <v>92</v>
      </c>
      <c r="AK1242" s="3"/>
      <c r="AL1242" s="3"/>
    </row>
    <row r="1243" ht="15.75" customHeight="1">
      <c r="A1243" s="1" t="str">
        <f>IFERROR(__xludf.DUMMYFUNCTION("""COMPUTED_VALUE"""),"21RB020")</f>
        <v>21RB020</v>
      </c>
      <c r="B1243" s="2" t="str">
        <f>IFERROR(__xludf.DUMMYFUNCTION("""COMPUTED_VALUE"""),"21RB020")</f>
        <v>21RB020</v>
      </c>
      <c r="C1243" s="3" t="str">
        <f>IFERROR(__xludf.DUMMYFUNCTION("""COMPUTED_VALUE"""),"เอเซียบุ๊คส เอ็มโพเรี่ยม")</f>
        <v>เอเซียบุ๊คส เอ็มโพเรี่ยม</v>
      </c>
      <c r="D1243" s="3" t="str">
        <f>IFERROR(__xludf.DUMMYFUNCTION("""COMPUTED_VALUE"""),"ABBK-EM:EMPORIUM")</f>
        <v>ABBK-EM:EMPORIUM</v>
      </c>
      <c r="E1243" s="1" t="str">
        <f>IFERROR(__xludf.DUMMYFUNCTION("""COMPUTED_VALUE"""),"AsiaBooks")</f>
        <v>AsiaBooks</v>
      </c>
      <c r="F1243" s="1" t="str">
        <f>IFERROR(__xludf.DUMMYFUNCTION("""COMPUTED_VALUE"""),"1016938")</f>
        <v>1016938</v>
      </c>
      <c r="G1243" s="1" t="str">
        <f>IFERROR(__xludf.DUMMYFUNCTION("""COMPUTED_VALUE"""),"น.ส.ณัฏฐนันท์ ปัญญาสิทธิ์")</f>
        <v>น.ส.ณัฏฐนันท์ ปัญญาสิทธิ์</v>
      </c>
      <c r="H1243" s="1" t="str">
        <f>IFERROR(__xludf.DUMMYFUNCTION("""COMPUTED_VALUE"""),"1015537")</f>
        <v>1015537</v>
      </c>
      <c r="I1243" s="1" t="str">
        <f>IFERROR(__xludf.DUMMYFUNCTION("""COMPUTED_VALUE"""),"น.ส.มัญชริน เลื่อนแก้ว")</f>
        <v>น.ส.มัญชริน เลื่อนแก้ว</v>
      </c>
      <c r="J1243" s="3">
        <f>IFERROR(__xludf.DUMMYFUNCTION("""COMPUTED_VALUE"""),1016938.0)</f>
        <v>1016938</v>
      </c>
      <c r="K1243" s="3" t="str">
        <f>IFERROR(__xludf.DUMMYFUNCTION("""COMPUTED_VALUE"""),"น.ส.ณัฏฐนันท์ ปัญญาสิทธิ์")</f>
        <v>น.ส.ณัฏฐนันท์ ปัญญาสิทธิ์</v>
      </c>
      <c r="L1243" s="1" t="str">
        <f>IFERROR(__xludf.DUMMYFUNCTION("""COMPUTED_VALUE"""),"Asia Books")</f>
        <v>Asia Books</v>
      </c>
      <c r="M1243" s="1" t="str">
        <f>IFERROR(__xludf.DUMMYFUNCTION("""COMPUTED_VALUE"""),"0993463946")</f>
        <v>0993463946</v>
      </c>
      <c r="N1243" s="3" t="str">
        <f>IFERROR(__xludf.DUMMYFUNCTION("""COMPUTED_VALUE"""),"21RB042")</f>
        <v>21RB042</v>
      </c>
      <c r="O1243" s="3" t="str">
        <f>IFERROR(__xludf.DUMMYFUNCTION("""COMPUTED_VALUE"""),"Central World - Flagship")</f>
        <v>Central World - Flagship</v>
      </c>
      <c r="P1243" s="4">
        <f>IFERROR(__xludf.DUMMYFUNCTION("""COMPUTED_VALUE"""),43271.0)</f>
        <v>43271</v>
      </c>
      <c r="Q1243" s="3" t="str">
        <f>IFERROR(__xludf.DUMMYFUNCTION("""COMPUTED_VALUE"""),"A")</f>
        <v>A</v>
      </c>
      <c r="R1243" s="3" t="str">
        <f>IFERROR(__xludf.DUMMYFUNCTION("""COMPUTED_VALUE"""),"Small Format")</f>
        <v>Small Format</v>
      </c>
      <c r="S1243" s="3" t="str">
        <f>IFERROR(__xludf.DUMMYFUNCTION("""COMPUTED_VALUE"""),"AsiaBooks")</f>
        <v>AsiaBooks</v>
      </c>
      <c r="T1243" s="3" t="str">
        <f>IFERROR(__xludf.DUMMYFUNCTION("""COMPUTED_VALUE"""),"Asia Books")</f>
        <v>Asia Books</v>
      </c>
      <c r="U1243" s="3" t="str">
        <f>IFERROR(__xludf.DUMMYFUNCTION("""COMPUTED_VALUE"""),"#N/A")</f>
        <v>#N/A</v>
      </c>
      <c r="V1243" s="3" t="str">
        <f>IFERROR(__xludf.DUMMYFUNCTION("""COMPUTED_VALUE"""),"N")</f>
        <v>N</v>
      </c>
      <c r="W1243" s="3">
        <f>IFERROR(__xludf.DUMMYFUNCTION("""COMPUTED_VALUE"""),0.0)</f>
        <v>0</v>
      </c>
      <c r="X1243" s="3" t="str">
        <f>IFERROR(__xludf.DUMMYFUNCTION("""COMPUTED_VALUE"""),"ชั้น 2 ห้องเลขที่ 3P19-20, ศูนย์การค้าดิเอ็มโพเรียม เลขที่ 622 แขวงคลองตัน เขตคลองเตย กรุงเทพมหานคร 10110")</f>
        <v>ชั้น 2 ห้องเลขที่ 3P19-20, ศูนย์การค้าดิเอ็มโพเรียม เลขที่ 622 แขวงคลองตัน เขตคลองเตย กรุงเทพมหานคร 10110</v>
      </c>
      <c r="Y1243" s="3"/>
      <c r="Z1243" s="3" t="str">
        <f>IFERROR(__xludf.DUMMYFUNCTION("""COMPUTED_VALUE"""),"คลองต้น")</f>
        <v>คลองต้น</v>
      </c>
      <c r="AA1243" s="3" t="str">
        <f>IFERROR(__xludf.DUMMYFUNCTION("""COMPUTED_VALUE"""),"คลองเตย")</f>
        <v>คลองเตย</v>
      </c>
      <c r="AB1243" s="3" t="str">
        <f>IFERROR(__xludf.DUMMYFUNCTION("""COMPUTED_VALUE"""),"กรุงเทพมหานคร")</f>
        <v>กรุงเทพมหานคร</v>
      </c>
      <c r="AC1243" s="3">
        <f>IFERROR(__xludf.DUMMYFUNCTION("""COMPUTED_VALUE"""),10110.0)</f>
        <v>10110</v>
      </c>
      <c r="AD1243" s="3">
        <f>IFERROR(__xludf.DUMMYFUNCTION("""COMPUTED_VALUE"""),0.0)</f>
        <v>0</v>
      </c>
      <c r="AE1243" s="3">
        <f>IFERROR(__xludf.DUMMYFUNCTION("""COMPUTED_VALUE"""),0.0)</f>
        <v>0</v>
      </c>
      <c r="AF1243" s="3" t="str">
        <f>IFERROR(__xludf.DUMMYFUNCTION("""COMPUTED_VALUE"""),"เอเซียบุ๊คส เอ็มโพเรี่ยม-21RB020")</f>
        <v>เอเซียบุ๊คส เอ็มโพเรี่ยม-21RB020</v>
      </c>
      <c r="AG1243" s="3" t="str">
        <f>IFERROR(__xludf.DUMMYFUNCTION("""COMPUTED_VALUE"""),"กลาง")</f>
        <v>กลาง</v>
      </c>
      <c r="AH1243" s="3" t="str">
        <f>IFERROR(__xludf.DUMMYFUNCTION("""COMPUTED_VALUE"""),"#N/A")</f>
        <v>#N/A</v>
      </c>
      <c r="AI1243" s="3" t="str">
        <f>IFERROR(__xludf.DUMMYFUNCTION("""COMPUTED_VALUE"""),"Out of warranty")</f>
        <v>Out of warranty</v>
      </c>
      <c r="AJ1243" s="3">
        <f>IFERROR(__xludf.DUMMYFUNCTION("""COMPUTED_VALUE"""),92.0)</f>
        <v>92</v>
      </c>
      <c r="AK1243" s="3"/>
      <c r="AL1243" s="3"/>
    </row>
    <row r="1244" ht="15.75" customHeight="1">
      <c r="A1244" s="1" t="str">
        <f>IFERROR(__xludf.DUMMYFUNCTION("""COMPUTED_VALUE"""),"21RB022")</f>
        <v>21RB022</v>
      </c>
      <c r="B1244" s="2" t="str">
        <f>IFERROR(__xludf.DUMMYFUNCTION("""COMPUTED_VALUE"""),"21RB022")</f>
        <v>21RB022</v>
      </c>
      <c r="C1244" s="3" t="str">
        <f>IFERROR(__xludf.DUMMYFUNCTION("""COMPUTED_VALUE"""),"Fashion Island")</f>
        <v>Fashion Island</v>
      </c>
      <c r="D1244" s="3" t="str">
        <f>IFERROR(__xludf.DUMMYFUNCTION("""COMPUTED_VALUE"""),"เอเซียบุ๊คส แฟชั่นไอซ์แลนด์")</f>
        <v>เอเซียบุ๊คส แฟชั่นไอซ์แลนด์</v>
      </c>
      <c r="E1244" s="1" t="str">
        <f>IFERROR(__xludf.DUMMYFUNCTION("""COMPUTED_VALUE"""),"AsiaBooks")</f>
        <v>AsiaBooks</v>
      </c>
      <c r="F1244" s="1" t="str">
        <f>IFERROR(__xludf.DUMMYFUNCTION("""COMPUTED_VALUE"""),"1016938")</f>
        <v>1016938</v>
      </c>
      <c r="G1244" s="1" t="str">
        <f>IFERROR(__xludf.DUMMYFUNCTION("""COMPUTED_VALUE"""),"น.ส.ณัฏฐนันท์ ปัญญาสิทธิ์")</f>
        <v>น.ส.ณัฏฐนันท์ ปัญญาสิทธิ์</v>
      </c>
      <c r="H1244" s="1" t="str">
        <f>IFERROR(__xludf.DUMMYFUNCTION("""COMPUTED_VALUE"""),"1007000")</f>
        <v>1007000</v>
      </c>
      <c r="I1244" s="1" t="str">
        <f>IFERROR(__xludf.DUMMYFUNCTION("""COMPUTED_VALUE"""),"น.ส.เสาวลักษณ์ แป้นงาม")</f>
        <v>น.ส.เสาวลักษณ์ แป้นงาม</v>
      </c>
      <c r="J1244" s="3">
        <f>IFERROR(__xludf.DUMMYFUNCTION("""COMPUTED_VALUE"""),1016938.0)</f>
        <v>1016938</v>
      </c>
      <c r="K1244" s="3" t="str">
        <f>IFERROR(__xludf.DUMMYFUNCTION("""COMPUTED_VALUE"""),"น.ส.ณัฏฐนันท์ ปัญญาสิทธิ์")</f>
        <v>น.ส.ณัฏฐนันท์ ปัญญาสิทธิ์</v>
      </c>
      <c r="L1244" s="1" t="str">
        <f>IFERROR(__xludf.DUMMYFUNCTION("""COMPUTED_VALUE"""),"Asia Books")</f>
        <v>Asia Books</v>
      </c>
      <c r="M1244" s="1" t="str">
        <f>IFERROR(__xludf.DUMMYFUNCTION("""COMPUTED_VALUE"""),"0993463946")</f>
        <v>0993463946</v>
      </c>
      <c r="N1244" s="3" t="str">
        <f>IFERROR(__xludf.DUMMYFUNCTION("""COMPUTED_VALUE"""),"21RB022")</f>
        <v>21RB022</v>
      </c>
      <c r="O1244" s="3" t="str">
        <f>IFERROR(__xludf.DUMMYFUNCTION("""COMPUTED_VALUE"""),"Fashion Island")</f>
        <v>Fashion Island</v>
      </c>
      <c r="P1244" s="4">
        <f>IFERROR(__xludf.DUMMYFUNCTION("""COMPUTED_VALUE"""),43271.0)</f>
        <v>43271</v>
      </c>
      <c r="Q1244" s="3" t="str">
        <f>IFERROR(__xludf.DUMMYFUNCTION("""COMPUTED_VALUE"""),"A")</f>
        <v>A</v>
      </c>
      <c r="R1244" s="3" t="str">
        <f>IFERROR(__xludf.DUMMYFUNCTION("""COMPUTED_VALUE"""),"Small Format")</f>
        <v>Small Format</v>
      </c>
      <c r="S1244" s="3" t="str">
        <f>IFERROR(__xludf.DUMMYFUNCTION("""COMPUTED_VALUE"""),"AsiaBooks")</f>
        <v>AsiaBooks</v>
      </c>
      <c r="T1244" s="3" t="str">
        <f>IFERROR(__xludf.DUMMYFUNCTION("""COMPUTED_VALUE"""),"Asia Books")</f>
        <v>Asia Books</v>
      </c>
      <c r="U1244" s="3" t="str">
        <f>IFERROR(__xludf.DUMMYFUNCTION("""COMPUTED_VALUE"""),"#N/A")</f>
        <v>#N/A</v>
      </c>
      <c r="V1244" s="3" t="str">
        <f>IFERROR(__xludf.DUMMYFUNCTION("""COMPUTED_VALUE"""),"N")</f>
        <v>N</v>
      </c>
      <c r="W1244" s="3">
        <f>IFERROR(__xludf.DUMMYFUNCTION("""COMPUTED_VALUE"""),0.0)</f>
        <v>0</v>
      </c>
      <c r="X1244" s="3" t="str">
        <f>IFERROR(__xludf.DUMMYFUNCTION("""COMPUTED_VALUE"""),"ชั้น 3 ห้องเลขที่ 3065B-3066A, ศูนย์การค้าแฟชั่นไอส์แลนด์ เลขที่ 587,589 แขวงคันนายาว เขตคันนายาว กรุงเทพมหานคร 10230")</f>
        <v>ชั้น 3 ห้องเลขที่ 3065B-3066A, ศูนย์การค้าแฟชั่นไอส์แลนด์ เลขที่ 587,589 แขวงคันนายาว เขตคันนายาว กรุงเทพมหานคร 10230</v>
      </c>
      <c r="Y1244" s="3"/>
      <c r="Z1244" s="3" t="str">
        <f>IFERROR(__xludf.DUMMYFUNCTION("""COMPUTED_VALUE"""),"คันนายาว")</f>
        <v>คันนายาว</v>
      </c>
      <c r="AA1244" s="3" t="str">
        <f>IFERROR(__xludf.DUMMYFUNCTION("""COMPUTED_VALUE"""),"คันนายาว")</f>
        <v>คันนายาว</v>
      </c>
      <c r="AB1244" s="3" t="str">
        <f>IFERROR(__xludf.DUMMYFUNCTION("""COMPUTED_VALUE"""),"กรุงเทพมหานคร")</f>
        <v>กรุงเทพมหานคร</v>
      </c>
      <c r="AC1244" s="3">
        <f>IFERROR(__xludf.DUMMYFUNCTION("""COMPUTED_VALUE"""),10230.0)</f>
        <v>10230</v>
      </c>
      <c r="AD1244" s="3">
        <f>IFERROR(__xludf.DUMMYFUNCTION("""COMPUTED_VALUE"""),13.82645395)</f>
        <v>13.82645395</v>
      </c>
      <c r="AE1244" s="3">
        <f>IFERROR(__xludf.DUMMYFUNCTION("""COMPUTED_VALUE"""),100.6792977)</f>
        <v>100.6792977</v>
      </c>
      <c r="AF1244" s="3" t="str">
        <f>IFERROR(__xludf.DUMMYFUNCTION("""COMPUTED_VALUE"""),"Fashion Island-21RB022")</f>
        <v>Fashion Island-21RB022</v>
      </c>
      <c r="AG1244" s="3" t="str">
        <f>IFERROR(__xludf.DUMMYFUNCTION("""COMPUTED_VALUE"""),"กลาง")</f>
        <v>กลาง</v>
      </c>
      <c r="AH1244" s="3" t="str">
        <f>IFERROR(__xludf.DUMMYFUNCTION("""COMPUTED_VALUE"""),"#N/A")</f>
        <v>#N/A</v>
      </c>
      <c r="AI1244" s="3" t="str">
        <f>IFERROR(__xludf.DUMMYFUNCTION("""COMPUTED_VALUE"""),"Out of warranty")</f>
        <v>Out of warranty</v>
      </c>
      <c r="AJ1244" s="3">
        <f>IFERROR(__xludf.DUMMYFUNCTION("""COMPUTED_VALUE"""),92.0)</f>
        <v>92</v>
      </c>
      <c r="AK1244" s="3"/>
      <c r="AL1244" s="3"/>
    </row>
    <row r="1245" ht="15.75" customHeight="1">
      <c r="A1245" s="1" t="str">
        <f>IFERROR(__xludf.DUMMYFUNCTION("""COMPUTED_VALUE"""),"21RB023")</f>
        <v>21RB023</v>
      </c>
      <c r="B1245" s="2" t="str">
        <f>IFERROR(__xludf.DUMMYFUNCTION("""COMPUTED_VALUE"""),"21RB023")</f>
        <v>21RB023</v>
      </c>
      <c r="C1245" s="3" t="str">
        <f>IFERROR(__xludf.DUMMYFUNCTION("""COMPUTED_VALUE"""),"เอเซียบุ๊คส เซ็นทรัล ขอนแก่น")</f>
        <v>เอเซียบุ๊คส เซ็นทรัล ขอนแก่น</v>
      </c>
      <c r="D1245" s="3" t="str">
        <f>IFERROR(__xludf.DUMMYFUNCTION("""COMPUTED_VALUE"""),"ABKK-CKK:CENTRAL KHONKHAEN")</f>
        <v>ABKK-CKK:CENTRAL KHONKHAEN</v>
      </c>
      <c r="E1245" s="1" t="str">
        <f>IFERROR(__xludf.DUMMYFUNCTION("""COMPUTED_VALUE"""),"AsiaBooks")</f>
        <v>AsiaBooks</v>
      </c>
      <c r="F1245" s="1" t="str">
        <f>IFERROR(__xludf.DUMMYFUNCTION("""COMPUTED_VALUE"""),"1016938")</f>
        <v>1016938</v>
      </c>
      <c r="G1245" s="1" t="str">
        <f>IFERROR(__xludf.DUMMYFUNCTION("""COMPUTED_VALUE"""),"น.ส.ณัฏฐนันท์ ปัญญาสิทธิ์")</f>
        <v>น.ส.ณัฏฐนันท์ ปัญญาสิทธิ์</v>
      </c>
      <c r="H1245" s="1" t="str">
        <f>IFERROR(__xludf.DUMMYFUNCTION("""COMPUTED_VALUE"""),"025691")</f>
        <v>025691</v>
      </c>
      <c r="I1245" s="1" t="str">
        <f>IFERROR(__xludf.DUMMYFUNCTION("""COMPUTED_VALUE"""),"นายประพันธ์ มุสิกพันธ์")</f>
        <v>นายประพันธ์ มุสิกพันธ์</v>
      </c>
      <c r="J1245" s="3">
        <f>IFERROR(__xludf.DUMMYFUNCTION("""COMPUTED_VALUE"""),1016938.0)</f>
        <v>1016938</v>
      </c>
      <c r="K1245" s="3" t="str">
        <f>IFERROR(__xludf.DUMMYFUNCTION("""COMPUTED_VALUE"""),"น.ส.ณัฏฐนันท์ ปัญญาสิทธิ์")</f>
        <v>น.ส.ณัฏฐนันท์ ปัญญาสิทธิ์</v>
      </c>
      <c r="L1245" s="1" t="str">
        <f>IFERROR(__xludf.DUMMYFUNCTION("""COMPUTED_VALUE"""),"Asia Books")</f>
        <v>Asia Books</v>
      </c>
      <c r="M1245" s="1" t="str">
        <f>IFERROR(__xludf.DUMMYFUNCTION("""COMPUTED_VALUE"""),"0993463946")</f>
        <v>0993463946</v>
      </c>
      <c r="N1245" s="3" t="str">
        <f>IFERROR(__xludf.DUMMYFUNCTION("""COMPUTED_VALUE"""),"21RB023")</f>
        <v>21RB023</v>
      </c>
      <c r="O1245" s="3" t="str">
        <f>IFERROR(__xludf.DUMMYFUNCTION("""COMPUTED_VALUE"""),"เอเซียบุ๊คส เซ็นทรัล ขอนแก่น")</f>
        <v>เอเซียบุ๊คส เซ็นทรัล ขอนแก่น</v>
      </c>
      <c r="P1245" s="4">
        <f>IFERROR(__xludf.DUMMYFUNCTION("""COMPUTED_VALUE"""),43271.0)</f>
        <v>43271</v>
      </c>
      <c r="Q1245" s="3" t="str">
        <f>IFERROR(__xludf.DUMMYFUNCTION("""COMPUTED_VALUE"""),"I")</f>
        <v>I</v>
      </c>
      <c r="R1245" s="3" t="str">
        <f>IFERROR(__xludf.DUMMYFUNCTION("""COMPUTED_VALUE"""),"Small Format")</f>
        <v>Small Format</v>
      </c>
      <c r="S1245" s="3" t="str">
        <f>IFERROR(__xludf.DUMMYFUNCTION("""COMPUTED_VALUE"""),"AsiaBooks")</f>
        <v>AsiaBooks</v>
      </c>
      <c r="T1245" s="3" t="str">
        <f>IFERROR(__xludf.DUMMYFUNCTION("""COMPUTED_VALUE"""),"Asia Books")</f>
        <v>Asia Books</v>
      </c>
      <c r="U1245" s="3" t="str">
        <f>IFERROR(__xludf.DUMMYFUNCTION("""COMPUTED_VALUE"""),"#N/A")</f>
        <v>#N/A</v>
      </c>
      <c r="V1245" s="3" t="str">
        <f>IFERROR(__xludf.DUMMYFUNCTION("""COMPUTED_VALUE"""),"Y")</f>
        <v>Y</v>
      </c>
      <c r="W1245" s="3">
        <f>IFERROR(__xludf.DUMMYFUNCTION("""COMPUTED_VALUE"""),0.0)</f>
        <v>0</v>
      </c>
      <c r="X1245" s="3" t="str">
        <f>IFERROR(__xludf.DUMMYFUNCTION("""COMPUTED_VALUE"""),"ชั้น 3 ห้องเลขที่ 327, ศูนย์การค้าพลาซ่าขอนแก่น เลขที่ 99 ตำบลในเมือง อำเภอเมืองขอนแก่น จังหวัดขอนแก่น 40000")</f>
        <v>ชั้น 3 ห้องเลขที่ 327, ศูนย์การค้าพลาซ่าขอนแก่น เลขที่ 99 ตำบลในเมือง อำเภอเมืองขอนแก่น จังหวัดขอนแก่น 40000</v>
      </c>
      <c r="Y1245" s="3"/>
      <c r="Z1245" s="3" t="str">
        <f>IFERROR(__xludf.DUMMYFUNCTION("""COMPUTED_VALUE"""),"ในเมือง")</f>
        <v>ในเมือง</v>
      </c>
      <c r="AA1245" s="3" t="str">
        <f>IFERROR(__xludf.DUMMYFUNCTION("""COMPUTED_VALUE"""),"เมือง")</f>
        <v>เมือง</v>
      </c>
      <c r="AB1245" s="3" t="str">
        <f>IFERROR(__xludf.DUMMYFUNCTION("""COMPUTED_VALUE"""),"ขอนแก่น")</f>
        <v>ขอนแก่น</v>
      </c>
      <c r="AC1245" s="3">
        <f>IFERROR(__xludf.DUMMYFUNCTION("""COMPUTED_VALUE"""),40000.0)</f>
        <v>40000</v>
      </c>
      <c r="AD1245" s="3">
        <f>IFERROR(__xludf.DUMMYFUNCTION("""COMPUTED_VALUE"""),0.0)</f>
        <v>0</v>
      </c>
      <c r="AE1245" s="3">
        <f>IFERROR(__xludf.DUMMYFUNCTION("""COMPUTED_VALUE"""),0.0)</f>
        <v>0</v>
      </c>
      <c r="AF1245" s="3" t="str">
        <f>IFERROR(__xludf.DUMMYFUNCTION("""COMPUTED_VALUE"""),"เอเซียบุ๊คส เซ็นทรัล ขอนแก่น-21RB023")</f>
        <v>เอเซียบุ๊คส เซ็นทรัล ขอนแก่น-21RB023</v>
      </c>
      <c r="AG1245" s="3" t="str">
        <f>IFERROR(__xludf.DUMMYFUNCTION("""COMPUTED_VALUE"""),"ตะวันออกเฉียงเหนือ")</f>
        <v>ตะวันออกเฉียงเหนือ</v>
      </c>
      <c r="AH1245" s="3" t="str">
        <f>IFERROR(__xludf.DUMMYFUNCTION("""COMPUTED_VALUE"""),"#N/A")</f>
        <v>#N/A</v>
      </c>
      <c r="AI1245" s="3" t="str">
        <f>IFERROR(__xludf.DUMMYFUNCTION("""COMPUTED_VALUE"""),"Out of warranty")</f>
        <v>Out of warranty</v>
      </c>
      <c r="AJ1245" s="3">
        <f>IFERROR(__xludf.DUMMYFUNCTION("""COMPUTED_VALUE"""),92.0)</f>
        <v>92</v>
      </c>
      <c r="AK1245" s="3"/>
      <c r="AL1245" s="3"/>
    </row>
    <row r="1246" ht="15.75" customHeight="1">
      <c r="A1246" s="1" t="str">
        <f>IFERROR(__xludf.DUMMYFUNCTION("""COMPUTED_VALUE"""),"21RB024")</f>
        <v>21RB024</v>
      </c>
      <c r="B1246" s="2" t="str">
        <f>IFERROR(__xludf.DUMMYFUNCTION("""COMPUTED_VALUE"""),"21RB024")</f>
        <v>21RB024</v>
      </c>
      <c r="C1246" s="3" t="str">
        <f>IFERROR(__xludf.DUMMYFUNCTION("""COMPUTED_VALUE"""),"Chiang Mai - Airport")</f>
        <v>Chiang Mai - Airport</v>
      </c>
      <c r="D1246" s="3" t="str">
        <f>IFERROR(__xludf.DUMMYFUNCTION("""COMPUTED_VALUE"""),"บุ๊คกาซีน สนามบินเชียงใหม่")</f>
        <v>บุ๊คกาซีน สนามบินเชียงใหม่</v>
      </c>
      <c r="E1246" s="1" t="str">
        <f>IFERROR(__xludf.DUMMYFUNCTION("""COMPUTED_VALUE"""),"AsiaBooks")</f>
        <v>AsiaBooks</v>
      </c>
      <c r="F1246" s="1" t="str">
        <f>IFERROR(__xludf.DUMMYFUNCTION("""COMPUTED_VALUE"""),"1016938")</f>
        <v>1016938</v>
      </c>
      <c r="G1246" s="1" t="str">
        <f>IFERROR(__xludf.DUMMYFUNCTION("""COMPUTED_VALUE"""),"น.ส.ณัฏฐนันท์ ปัญญาสิทธิ์")</f>
        <v>น.ส.ณัฏฐนันท์ ปัญญาสิทธิ์</v>
      </c>
      <c r="H1246" s="1" t="str">
        <f>IFERROR(__xludf.DUMMYFUNCTION("""COMPUTED_VALUE"""),"1015594")</f>
        <v>1015594</v>
      </c>
      <c r="I1246" s="1" t="str">
        <f>IFERROR(__xludf.DUMMYFUNCTION("""COMPUTED_VALUE"""),"น.ส.อาพัทยา ยะอุโมงค์")</f>
        <v>น.ส.อาพัทยา ยะอุโมงค์</v>
      </c>
      <c r="J1246" s="3">
        <f>IFERROR(__xludf.DUMMYFUNCTION("""COMPUTED_VALUE"""),1016938.0)</f>
        <v>1016938</v>
      </c>
      <c r="K1246" s="3" t="str">
        <f>IFERROR(__xludf.DUMMYFUNCTION("""COMPUTED_VALUE"""),"น.ส.ณัฏฐนันท์ ปัญญาสิทธิ์")</f>
        <v>น.ส.ณัฏฐนันท์ ปัญญาสิทธิ์</v>
      </c>
      <c r="L1246" s="1" t="str">
        <f>IFERROR(__xludf.DUMMYFUNCTION("""COMPUTED_VALUE"""),"Asia Books")</f>
        <v>Asia Books</v>
      </c>
      <c r="M1246" s="1" t="str">
        <f>IFERROR(__xludf.DUMMYFUNCTION("""COMPUTED_VALUE"""),"0993463946")</f>
        <v>0993463946</v>
      </c>
      <c r="N1246" s="3" t="str">
        <f>IFERROR(__xludf.DUMMYFUNCTION("""COMPUTED_VALUE"""),"21RB024")</f>
        <v>21RB024</v>
      </c>
      <c r="O1246" s="3" t="str">
        <f>IFERROR(__xludf.DUMMYFUNCTION("""COMPUTED_VALUE"""),"Chiang Mai - Airport")</f>
        <v>Chiang Mai - Airport</v>
      </c>
      <c r="P1246" s="4">
        <f>IFERROR(__xludf.DUMMYFUNCTION("""COMPUTED_VALUE"""),43271.0)</f>
        <v>43271</v>
      </c>
      <c r="Q1246" s="3" t="str">
        <f>IFERROR(__xludf.DUMMYFUNCTION("""COMPUTED_VALUE"""),"A")</f>
        <v>A</v>
      </c>
      <c r="R1246" s="3" t="str">
        <f>IFERROR(__xludf.DUMMYFUNCTION("""COMPUTED_VALUE"""),"Small Format")</f>
        <v>Small Format</v>
      </c>
      <c r="S1246" s="3" t="str">
        <f>IFERROR(__xludf.DUMMYFUNCTION("""COMPUTED_VALUE"""),"AsiaBooks")</f>
        <v>AsiaBooks</v>
      </c>
      <c r="T1246" s="3" t="str">
        <f>IFERROR(__xludf.DUMMYFUNCTION("""COMPUTED_VALUE"""),"Asia Books")</f>
        <v>Asia Books</v>
      </c>
      <c r="U1246" s="3" t="str">
        <f>IFERROR(__xludf.DUMMYFUNCTION("""COMPUTED_VALUE"""),"#N/A")</f>
        <v>#N/A</v>
      </c>
      <c r="V1246" s="3" t="str">
        <f>IFERROR(__xludf.DUMMYFUNCTION("""COMPUTED_VALUE"""),"N")</f>
        <v>N</v>
      </c>
      <c r="W1246" s="3">
        <f>IFERROR(__xludf.DUMMYFUNCTION("""COMPUTED_VALUE"""),0.0)</f>
        <v>0</v>
      </c>
      <c r="X1246" s="3" t="str">
        <f>IFERROR(__xludf.DUMMYFUNCTION("""COMPUTED_VALUE"""),"ชั้น 2 ห้องเลขที่ D2040, ท่าอากาศยานเชียงใหม่ เลขที่ 60 ตำบลสุเทพ อำเภอเมืองเชียงใหม่ จังหวัดเชียงใหม่ 50200")</f>
        <v>ชั้น 2 ห้องเลขที่ D2040, ท่าอากาศยานเชียงใหม่ เลขที่ 60 ตำบลสุเทพ อำเภอเมืองเชียงใหม่ จังหวัดเชียงใหม่ 50200</v>
      </c>
      <c r="Y1246" s="3"/>
      <c r="Z1246" s="3" t="str">
        <f>IFERROR(__xludf.DUMMYFUNCTION("""COMPUTED_VALUE"""),"สุเทพ")</f>
        <v>สุเทพ</v>
      </c>
      <c r="AA1246" s="3" t="str">
        <f>IFERROR(__xludf.DUMMYFUNCTION("""COMPUTED_VALUE"""),"เมือง")</f>
        <v>เมือง</v>
      </c>
      <c r="AB1246" s="3" t="str">
        <f>IFERROR(__xludf.DUMMYFUNCTION("""COMPUTED_VALUE"""),"เชียงใหม่")</f>
        <v>เชียงใหม่</v>
      </c>
      <c r="AC1246" s="3">
        <f>IFERROR(__xludf.DUMMYFUNCTION("""COMPUTED_VALUE"""),50200.0)</f>
        <v>50200</v>
      </c>
      <c r="AD1246" s="3">
        <f>IFERROR(__xludf.DUMMYFUNCTION("""COMPUTED_VALUE"""),18.7678)</f>
        <v>18.7678</v>
      </c>
      <c r="AE1246" s="3">
        <f>IFERROR(__xludf.DUMMYFUNCTION("""COMPUTED_VALUE"""),98.964019)</f>
        <v>98.964019</v>
      </c>
      <c r="AF1246" s="3" t="str">
        <f>IFERROR(__xludf.DUMMYFUNCTION("""COMPUTED_VALUE"""),"Chiang Mai - Airport-21RB024")</f>
        <v>Chiang Mai - Airport-21RB024</v>
      </c>
      <c r="AG1246" s="3" t="str">
        <f>IFERROR(__xludf.DUMMYFUNCTION("""COMPUTED_VALUE"""),"เหนือ")</f>
        <v>เหนือ</v>
      </c>
      <c r="AH1246" s="3" t="str">
        <f>IFERROR(__xludf.DUMMYFUNCTION("""COMPUTED_VALUE"""),"#N/A")</f>
        <v>#N/A</v>
      </c>
      <c r="AI1246" s="3" t="str">
        <f>IFERROR(__xludf.DUMMYFUNCTION("""COMPUTED_VALUE"""),"Out of warranty")</f>
        <v>Out of warranty</v>
      </c>
      <c r="AJ1246" s="3">
        <f>IFERROR(__xludf.DUMMYFUNCTION("""COMPUTED_VALUE"""),92.0)</f>
        <v>92</v>
      </c>
      <c r="AK1246" s="3"/>
      <c r="AL1246" s="3"/>
    </row>
    <row r="1247" ht="15.75" customHeight="1">
      <c r="A1247" s="1" t="str">
        <f>IFERROR(__xludf.DUMMYFUNCTION("""COMPUTED_VALUE"""),"21RB026")</f>
        <v>21RB026</v>
      </c>
      <c r="B1247" s="2" t="str">
        <f>IFERROR(__xludf.DUMMYFUNCTION("""COMPUTED_VALUE"""),"21RB026")</f>
        <v>21RB026</v>
      </c>
      <c r="C1247" s="3" t="str">
        <f>IFERROR(__xludf.DUMMYFUNCTION("""COMPUTED_VALUE"""),"Central Pataya Beach")</f>
        <v>Central Pataya Beach</v>
      </c>
      <c r="D1247" s="3" t="str">
        <f>IFERROR(__xludf.DUMMYFUNCTION("""COMPUTED_VALUE"""),"เอเซียบุ๊คส เซ็นทรัลเฟสติวัล พัทยา บีช")</f>
        <v>เอเซียบุ๊คส เซ็นทรัลเฟสติวัล พัทยา บีช</v>
      </c>
      <c r="E1247" s="1" t="str">
        <f>IFERROR(__xludf.DUMMYFUNCTION("""COMPUTED_VALUE"""),"AsiaBooks")</f>
        <v>AsiaBooks</v>
      </c>
      <c r="F1247" s="1" t="str">
        <f>IFERROR(__xludf.DUMMYFUNCTION("""COMPUTED_VALUE"""),"1016938")</f>
        <v>1016938</v>
      </c>
      <c r="G1247" s="1" t="str">
        <f>IFERROR(__xludf.DUMMYFUNCTION("""COMPUTED_VALUE"""),"น.ส.ณัฏฐนันท์ ปัญญาสิทธิ์")</f>
        <v>น.ส.ณัฏฐนันท์ ปัญญาสิทธิ์</v>
      </c>
      <c r="H1247" s="1" t="str">
        <f>IFERROR(__xludf.DUMMYFUNCTION("""COMPUTED_VALUE"""),"1007000")</f>
        <v>1007000</v>
      </c>
      <c r="I1247" s="1" t="str">
        <f>IFERROR(__xludf.DUMMYFUNCTION("""COMPUTED_VALUE"""),"น.ส.เสาวลักษณ์ แป้นงาม")</f>
        <v>น.ส.เสาวลักษณ์ แป้นงาม</v>
      </c>
      <c r="J1247" s="3">
        <f>IFERROR(__xludf.DUMMYFUNCTION("""COMPUTED_VALUE"""),1016938.0)</f>
        <v>1016938</v>
      </c>
      <c r="K1247" s="3" t="str">
        <f>IFERROR(__xludf.DUMMYFUNCTION("""COMPUTED_VALUE"""),"น.ส.ณัฏฐนันท์ ปัญญาสิทธิ์")</f>
        <v>น.ส.ณัฏฐนันท์ ปัญญาสิทธิ์</v>
      </c>
      <c r="L1247" s="1" t="str">
        <f>IFERROR(__xludf.DUMMYFUNCTION("""COMPUTED_VALUE"""),"Asia Books")</f>
        <v>Asia Books</v>
      </c>
      <c r="M1247" s="1" t="str">
        <f>IFERROR(__xludf.DUMMYFUNCTION("""COMPUTED_VALUE"""),"0993463946")</f>
        <v>0993463946</v>
      </c>
      <c r="N1247" s="3" t="str">
        <f>IFERROR(__xludf.DUMMYFUNCTION("""COMPUTED_VALUE"""),"21RB026")</f>
        <v>21RB026</v>
      </c>
      <c r="O1247" s="3" t="str">
        <f>IFERROR(__xludf.DUMMYFUNCTION("""COMPUTED_VALUE"""),"Central Pataya Beach")</f>
        <v>Central Pataya Beach</v>
      </c>
      <c r="P1247" s="4">
        <f>IFERROR(__xludf.DUMMYFUNCTION("""COMPUTED_VALUE"""),43271.0)</f>
        <v>43271</v>
      </c>
      <c r="Q1247" s="3" t="str">
        <f>IFERROR(__xludf.DUMMYFUNCTION("""COMPUTED_VALUE"""),"A")</f>
        <v>A</v>
      </c>
      <c r="R1247" s="3" t="str">
        <f>IFERROR(__xludf.DUMMYFUNCTION("""COMPUTED_VALUE"""),"Small Format")</f>
        <v>Small Format</v>
      </c>
      <c r="S1247" s="3" t="str">
        <f>IFERROR(__xludf.DUMMYFUNCTION("""COMPUTED_VALUE"""),"AsiaBooks")</f>
        <v>AsiaBooks</v>
      </c>
      <c r="T1247" s="3" t="str">
        <f>IFERROR(__xludf.DUMMYFUNCTION("""COMPUTED_VALUE"""),"Asia Books")</f>
        <v>Asia Books</v>
      </c>
      <c r="U1247" s="3" t="str">
        <f>IFERROR(__xludf.DUMMYFUNCTION("""COMPUTED_VALUE"""),"#N/A")</f>
        <v>#N/A</v>
      </c>
      <c r="V1247" s="3" t="str">
        <f>IFERROR(__xludf.DUMMYFUNCTION("""COMPUTED_VALUE"""),"N")</f>
        <v>N</v>
      </c>
      <c r="W1247" s="3">
        <f>IFERROR(__xludf.DUMMYFUNCTION("""COMPUTED_VALUE"""),0.0)</f>
        <v>0</v>
      </c>
      <c r="X1247" s="3" t="str">
        <f>IFERROR(__xludf.DUMMYFUNCTION("""COMPUTED_VALUE"""),"ชั้น 3 ห้องเลขที่ 303/8, ศูนย์การค้าเซ็นทรัลเฟสติวัล พัทยา บีช เลขที่ 333/99 ตำบลหนองปรือ อำเภอบางละมุง จังหวัดชลบุรี 20260")</f>
        <v>ชั้น 3 ห้องเลขที่ 303/8, ศูนย์การค้าเซ็นทรัลเฟสติวัล พัทยา บีช เลขที่ 333/99 ตำบลหนองปรือ อำเภอบางละมุง จังหวัดชลบุรี 20260</v>
      </c>
      <c r="Y1247" s="3"/>
      <c r="Z1247" s="3" t="str">
        <f>IFERROR(__xludf.DUMMYFUNCTION("""COMPUTED_VALUE"""),"หนองปรือ")</f>
        <v>หนองปรือ</v>
      </c>
      <c r="AA1247" s="3" t="str">
        <f>IFERROR(__xludf.DUMMYFUNCTION("""COMPUTED_VALUE"""),"บางละมุง")</f>
        <v>บางละมุง</v>
      </c>
      <c r="AB1247" s="3" t="str">
        <f>IFERROR(__xludf.DUMMYFUNCTION("""COMPUTED_VALUE"""),"ชลบุรี")</f>
        <v>ชลบุรี</v>
      </c>
      <c r="AC1247" s="3">
        <f>IFERROR(__xludf.DUMMYFUNCTION("""COMPUTED_VALUE"""),20260.0)</f>
        <v>20260</v>
      </c>
      <c r="AD1247" s="3">
        <f>IFERROR(__xludf.DUMMYFUNCTION("""COMPUTED_VALUE"""),12.93517588)</f>
        <v>12.93517588</v>
      </c>
      <c r="AE1247" s="3">
        <f>IFERROR(__xludf.DUMMYFUNCTION("""COMPUTED_VALUE"""),100.8832133)</f>
        <v>100.8832133</v>
      </c>
      <c r="AF1247" s="3" t="str">
        <f>IFERROR(__xludf.DUMMYFUNCTION("""COMPUTED_VALUE"""),"Central Pataya Beach-21RB026")</f>
        <v>Central Pataya Beach-21RB026</v>
      </c>
      <c r="AG1247" s="3" t="str">
        <f>IFERROR(__xludf.DUMMYFUNCTION("""COMPUTED_VALUE"""),"ตะวันออก")</f>
        <v>ตะวันออก</v>
      </c>
      <c r="AH1247" s="3" t="str">
        <f>IFERROR(__xludf.DUMMYFUNCTION("""COMPUTED_VALUE"""),"#N/A")</f>
        <v>#N/A</v>
      </c>
      <c r="AI1247" s="3" t="str">
        <f>IFERROR(__xludf.DUMMYFUNCTION("""COMPUTED_VALUE"""),"Out of warranty")</f>
        <v>Out of warranty</v>
      </c>
      <c r="AJ1247" s="3">
        <f>IFERROR(__xludf.DUMMYFUNCTION("""COMPUTED_VALUE"""),92.0)</f>
        <v>92</v>
      </c>
      <c r="AK1247" s="3"/>
      <c r="AL1247" s="3"/>
    </row>
    <row r="1248" ht="15.75" customHeight="1">
      <c r="A1248" s="1" t="str">
        <f>IFERROR(__xludf.DUMMYFUNCTION("""COMPUTED_VALUE"""),"21RB028")</f>
        <v>21RB028</v>
      </c>
      <c r="B1248" s="2" t="str">
        <f>IFERROR(__xludf.DUMMYFUNCTION("""COMPUTED_VALUE"""),"21RB028")</f>
        <v>21RB028</v>
      </c>
      <c r="C1248" s="3" t="str">
        <f>IFERROR(__xludf.DUMMYFUNCTION("""COMPUTED_VALUE"""),"Market Villa Hua Hin")</f>
        <v>Market Villa Hua Hin</v>
      </c>
      <c r="D1248" s="3" t="str">
        <f>IFERROR(__xludf.DUMMYFUNCTION("""COMPUTED_VALUE"""),"เอเซียบุ๊คส หัวหินมาร์เก็ตวิลเลจ")</f>
        <v>เอเซียบุ๊คส หัวหินมาร์เก็ตวิลเลจ</v>
      </c>
      <c r="E1248" s="1" t="str">
        <f>IFERROR(__xludf.DUMMYFUNCTION("""COMPUTED_VALUE"""),"AsiaBooks")</f>
        <v>AsiaBooks</v>
      </c>
      <c r="F1248" s="1" t="str">
        <f>IFERROR(__xludf.DUMMYFUNCTION("""COMPUTED_VALUE"""),"1016938")</f>
        <v>1016938</v>
      </c>
      <c r="G1248" s="1" t="str">
        <f>IFERROR(__xludf.DUMMYFUNCTION("""COMPUTED_VALUE"""),"น.ส.ณัฏฐนันท์ ปัญญาสิทธิ์")</f>
        <v>น.ส.ณัฏฐนันท์ ปัญญาสิทธิ์</v>
      </c>
      <c r="H1248" s="1" t="str">
        <f>IFERROR(__xludf.DUMMYFUNCTION("""COMPUTED_VALUE"""),"1007000")</f>
        <v>1007000</v>
      </c>
      <c r="I1248" s="1" t="str">
        <f>IFERROR(__xludf.DUMMYFUNCTION("""COMPUTED_VALUE"""),"น.ส.เสาวลักษณ์ แป้นงาม")</f>
        <v>น.ส.เสาวลักษณ์ แป้นงาม</v>
      </c>
      <c r="J1248" s="3">
        <f>IFERROR(__xludf.DUMMYFUNCTION("""COMPUTED_VALUE"""),1016938.0)</f>
        <v>1016938</v>
      </c>
      <c r="K1248" s="3" t="str">
        <f>IFERROR(__xludf.DUMMYFUNCTION("""COMPUTED_VALUE"""),"น.ส.ณัฏฐนันท์ ปัญญาสิทธิ์")</f>
        <v>น.ส.ณัฏฐนันท์ ปัญญาสิทธิ์</v>
      </c>
      <c r="L1248" s="1" t="str">
        <f>IFERROR(__xludf.DUMMYFUNCTION("""COMPUTED_VALUE"""),"Asia Books")</f>
        <v>Asia Books</v>
      </c>
      <c r="M1248" s="1" t="str">
        <f>IFERROR(__xludf.DUMMYFUNCTION("""COMPUTED_VALUE"""),"0993463946")</f>
        <v>0993463946</v>
      </c>
      <c r="N1248" s="3" t="str">
        <f>IFERROR(__xludf.DUMMYFUNCTION("""COMPUTED_VALUE"""),"21RB028")</f>
        <v>21RB028</v>
      </c>
      <c r="O1248" s="3" t="str">
        <f>IFERROR(__xludf.DUMMYFUNCTION("""COMPUTED_VALUE"""),"Market Villa Hua Hin")</f>
        <v>Market Villa Hua Hin</v>
      </c>
      <c r="P1248" s="4">
        <f>IFERROR(__xludf.DUMMYFUNCTION("""COMPUTED_VALUE"""),43271.0)</f>
        <v>43271</v>
      </c>
      <c r="Q1248" s="3" t="str">
        <f>IFERROR(__xludf.DUMMYFUNCTION("""COMPUTED_VALUE"""),"A")</f>
        <v>A</v>
      </c>
      <c r="R1248" s="3" t="str">
        <f>IFERROR(__xludf.DUMMYFUNCTION("""COMPUTED_VALUE"""),"Small Format")</f>
        <v>Small Format</v>
      </c>
      <c r="S1248" s="3" t="str">
        <f>IFERROR(__xludf.DUMMYFUNCTION("""COMPUTED_VALUE"""),"AsiaBooks")</f>
        <v>AsiaBooks</v>
      </c>
      <c r="T1248" s="3" t="str">
        <f>IFERROR(__xludf.DUMMYFUNCTION("""COMPUTED_VALUE"""),"Asia Books")</f>
        <v>Asia Books</v>
      </c>
      <c r="U1248" s="3" t="str">
        <f>IFERROR(__xludf.DUMMYFUNCTION("""COMPUTED_VALUE"""),"#N/A")</f>
        <v>#N/A</v>
      </c>
      <c r="V1248" s="3" t="str">
        <f>IFERROR(__xludf.DUMMYFUNCTION("""COMPUTED_VALUE"""),"N")</f>
        <v>N</v>
      </c>
      <c r="W1248" s="3">
        <f>IFERROR(__xludf.DUMMYFUNCTION("""COMPUTED_VALUE"""),0.0)</f>
        <v>0</v>
      </c>
      <c r="X1248" s="3" t="str">
        <f>IFERROR(__xludf.DUMMYFUNCTION("""COMPUTED_VALUE"""),"ชั้น 2 ห้องเลขที่ C103, ศูนย์การค้าหัวหินมาร์เก็ตวิลเลจ เลขที่ 234/1 ตำบลหัวหิน อำเภอหัวหิน จังหวัดประจวบคีรีขันธ์ 77110")</f>
        <v>ชั้น 2 ห้องเลขที่ C103, ศูนย์การค้าหัวหินมาร์เก็ตวิลเลจ เลขที่ 234/1 ตำบลหัวหิน อำเภอหัวหิน จังหวัดประจวบคีรีขันธ์ 77110</v>
      </c>
      <c r="Y1248" s="3"/>
      <c r="Z1248" s="3" t="str">
        <f>IFERROR(__xludf.DUMMYFUNCTION("""COMPUTED_VALUE"""),"หัวหิน")</f>
        <v>หัวหิน</v>
      </c>
      <c r="AA1248" s="3" t="str">
        <f>IFERROR(__xludf.DUMMYFUNCTION("""COMPUTED_VALUE"""),"หัวหิน")</f>
        <v>หัวหิน</v>
      </c>
      <c r="AB1248" s="3" t="str">
        <f>IFERROR(__xludf.DUMMYFUNCTION("""COMPUTED_VALUE"""),"ประจวบคีรีขันธ์")</f>
        <v>ประจวบคีรีขันธ์</v>
      </c>
      <c r="AC1248" s="3">
        <f>IFERROR(__xludf.DUMMYFUNCTION("""COMPUTED_VALUE"""),77110.0)</f>
        <v>77110</v>
      </c>
      <c r="AD1248" s="3">
        <f>IFERROR(__xludf.DUMMYFUNCTION("""COMPUTED_VALUE"""),12.55939563)</f>
        <v>12.55939563</v>
      </c>
      <c r="AE1248" s="3">
        <f>IFERROR(__xludf.DUMMYFUNCTION("""COMPUTED_VALUE"""),99.9592439)</f>
        <v>99.9592439</v>
      </c>
      <c r="AF1248" s="3" t="str">
        <f>IFERROR(__xludf.DUMMYFUNCTION("""COMPUTED_VALUE"""),"Market Villa Hua Hin-21RB028")</f>
        <v>Market Villa Hua Hin-21RB028</v>
      </c>
      <c r="AG1248" s="3" t="str">
        <f>IFERROR(__xludf.DUMMYFUNCTION("""COMPUTED_VALUE"""),"ตะวันตก")</f>
        <v>ตะวันตก</v>
      </c>
      <c r="AH1248" s="3" t="str">
        <f>IFERROR(__xludf.DUMMYFUNCTION("""COMPUTED_VALUE"""),"#N/A")</f>
        <v>#N/A</v>
      </c>
      <c r="AI1248" s="3" t="str">
        <f>IFERROR(__xludf.DUMMYFUNCTION("""COMPUTED_VALUE"""),"Out of warranty")</f>
        <v>Out of warranty</v>
      </c>
      <c r="AJ1248" s="3">
        <f>IFERROR(__xludf.DUMMYFUNCTION("""COMPUTED_VALUE"""),92.0)</f>
        <v>92</v>
      </c>
      <c r="AK1248" s="3"/>
      <c r="AL1248" s="3"/>
    </row>
    <row r="1249" ht="15.75" customHeight="1">
      <c r="A1249" s="1" t="str">
        <f>IFERROR(__xludf.DUMMYFUNCTION("""COMPUTED_VALUE"""),"21RB029")</f>
        <v>21RB029</v>
      </c>
      <c r="B1249" s="2" t="str">
        <f>IFERROR(__xludf.DUMMYFUNCTION("""COMPUTED_VALUE"""),"21RB029")</f>
        <v>21RB029</v>
      </c>
      <c r="C1249" s="3" t="str">
        <f>IFERROR(__xludf.DUMMYFUNCTION("""COMPUTED_VALUE"""),"เอเซียบุ๊คส จามจุรีสแควร์")</f>
        <v>เอเซียบุ๊คส จามจุรีสแควร์</v>
      </c>
      <c r="D1249" s="3" t="str">
        <f>IFERROR(__xludf.DUMMYFUNCTION("""COMPUTED_VALUE"""),"ABBK-CS:CHAMCHURI SQUARE")</f>
        <v>ABBK-CS:CHAMCHURI SQUARE</v>
      </c>
      <c r="E1249" s="1" t="str">
        <f>IFERROR(__xludf.DUMMYFUNCTION("""COMPUTED_VALUE"""),"AsiaBooks")</f>
        <v>AsiaBooks</v>
      </c>
      <c r="F1249" s="1" t="str">
        <f>IFERROR(__xludf.DUMMYFUNCTION("""COMPUTED_VALUE"""),"1016938")</f>
        <v>1016938</v>
      </c>
      <c r="G1249" s="1" t="str">
        <f>IFERROR(__xludf.DUMMYFUNCTION("""COMPUTED_VALUE"""),"น.ส.ณัฏฐนันท์ ปัญญาสิทธิ์")</f>
        <v>น.ส.ณัฏฐนันท์ ปัญญาสิทธิ์</v>
      </c>
      <c r="H1249" s="1" t="str">
        <f>IFERROR(__xludf.DUMMYFUNCTION("""COMPUTED_VALUE"""),"1015537")</f>
        <v>1015537</v>
      </c>
      <c r="I1249" s="1" t="str">
        <f>IFERROR(__xludf.DUMMYFUNCTION("""COMPUTED_VALUE"""),"น.ส.มัญชริน เลื่อนแก้ว")</f>
        <v>น.ส.มัญชริน เลื่อนแก้ว</v>
      </c>
      <c r="J1249" s="3">
        <f>IFERROR(__xludf.DUMMYFUNCTION("""COMPUTED_VALUE"""),1016938.0)</f>
        <v>1016938</v>
      </c>
      <c r="K1249" s="3" t="str">
        <f>IFERROR(__xludf.DUMMYFUNCTION("""COMPUTED_VALUE"""),"น.ส.ณัฏฐนันท์ ปัญญาสิทธิ์")</f>
        <v>น.ส.ณัฏฐนันท์ ปัญญาสิทธิ์</v>
      </c>
      <c r="L1249" s="1" t="str">
        <f>IFERROR(__xludf.DUMMYFUNCTION("""COMPUTED_VALUE"""),"Asia Books")</f>
        <v>Asia Books</v>
      </c>
      <c r="M1249" s="1" t="str">
        <f>IFERROR(__xludf.DUMMYFUNCTION("""COMPUTED_VALUE"""),"0993463946")</f>
        <v>0993463946</v>
      </c>
      <c r="N1249" s="3" t="str">
        <f>IFERROR(__xludf.DUMMYFUNCTION("""COMPUTED_VALUE"""),"21RB042")</f>
        <v>21RB042</v>
      </c>
      <c r="O1249" s="3" t="str">
        <f>IFERROR(__xludf.DUMMYFUNCTION("""COMPUTED_VALUE"""),"Central World - Flagship")</f>
        <v>Central World - Flagship</v>
      </c>
      <c r="P1249" s="4">
        <f>IFERROR(__xludf.DUMMYFUNCTION("""COMPUTED_VALUE"""),43271.0)</f>
        <v>43271</v>
      </c>
      <c r="Q1249" s="3" t="str">
        <f>IFERROR(__xludf.DUMMYFUNCTION("""COMPUTED_VALUE"""),"A")</f>
        <v>A</v>
      </c>
      <c r="R1249" s="3" t="str">
        <f>IFERROR(__xludf.DUMMYFUNCTION("""COMPUTED_VALUE"""),"Small Format")</f>
        <v>Small Format</v>
      </c>
      <c r="S1249" s="3" t="str">
        <f>IFERROR(__xludf.DUMMYFUNCTION("""COMPUTED_VALUE"""),"AsiaBooks")</f>
        <v>AsiaBooks</v>
      </c>
      <c r="T1249" s="3" t="str">
        <f>IFERROR(__xludf.DUMMYFUNCTION("""COMPUTED_VALUE"""),"Asia Books")</f>
        <v>Asia Books</v>
      </c>
      <c r="U1249" s="3" t="str">
        <f>IFERROR(__xludf.DUMMYFUNCTION("""COMPUTED_VALUE"""),"#N/A")</f>
        <v>#N/A</v>
      </c>
      <c r="V1249" s="3" t="str">
        <f>IFERROR(__xludf.DUMMYFUNCTION("""COMPUTED_VALUE"""),"N")</f>
        <v>N</v>
      </c>
      <c r="W1249" s="3">
        <f>IFERROR(__xludf.DUMMYFUNCTION("""COMPUTED_VALUE"""),0.0)</f>
        <v>0</v>
      </c>
      <c r="X1249" s="3" t="str">
        <f>IFERROR(__xludf.DUMMYFUNCTION("""COMPUTED_VALUE"""),"ชั้น 2 ห้องเลขที่ 211, ศูนย์การค้าจามจุรีสแควร์ เลขที่ 317 แขวงปทุมวัน เขตปทุมวัน กรุงเทพมหานคร 10330")</f>
        <v>ชั้น 2 ห้องเลขที่ 211, ศูนย์การค้าจามจุรีสแควร์ เลขที่ 317 แขวงปทุมวัน เขตปทุมวัน กรุงเทพมหานคร 10330</v>
      </c>
      <c r="Y1249" s="3"/>
      <c r="Z1249" s="3" t="str">
        <f>IFERROR(__xludf.DUMMYFUNCTION("""COMPUTED_VALUE"""),"ปทุมวัน")</f>
        <v>ปทุมวัน</v>
      </c>
      <c r="AA1249" s="3" t="str">
        <f>IFERROR(__xludf.DUMMYFUNCTION("""COMPUTED_VALUE"""),"ปทุมวัน")</f>
        <v>ปทุมวัน</v>
      </c>
      <c r="AB1249" s="3" t="str">
        <f>IFERROR(__xludf.DUMMYFUNCTION("""COMPUTED_VALUE"""),"กรุงเทพมหานคร")</f>
        <v>กรุงเทพมหานคร</v>
      </c>
      <c r="AC1249" s="3">
        <f>IFERROR(__xludf.DUMMYFUNCTION("""COMPUTED_VALUE"""),10330.0)</f>
        <v>10330</v>
      </c>
      <c r="AD1249" s="3">
        <f>IFERROR(__xludf.DUMMYFUNCTION("""COMPUTED_VALUE"""),0.0)</f>
        <v>0</v>
      </c>
      <c r="AE1249" s="3">
        <f>IFERROR(__xludf.DUMMYFUNCTION("""COMPUTED_VALUE"""),0.0)</f>
        <v>0</v>
      </c>
      <c r="AF1249" s="3" t="str">
        <f>IFERROR(__xludf.DUMMYFUNCTION("""COMPUTED_VALUE"""),"เอเซียบุ๊คส จามจุรีสแควร์-21RB029")</f>
        <v>เอเซียบุ๊คส จามจุรีสแควร์-21RB029</v>
      </c>
      <c r="AG1249" s="3" t="str">
        <f>IFERROR(__xludf.DUMMYFUNCTION("""COMPUTED_VALUE"""),"กลาง")</f>
        <v>กลาง</v>
      </c>
      <c r="AH1249" s="3" t="str">
        <f>IFERROR(__xludf.DUMMYFUNCTION("""COMPUTED_VALUE"""),"#N/A")</f>
        <v>#N/A</v>
      </c>
      <c r="AI1249" s="3" t="str">
        <f>IFERROR(__xludf.DUMMYFUNCTION("""COMPUTED_VALUE"""),"Out of warranty")</f>
        <v>Out of warranty</v>
      </c>
      <c r="AJ1249" s="3">
        <f>IFERROR(__xludf.DUMMYFUNCTION("""COMPUTED_VALUE"""),92.0)</f>
        <v>92</v>
      </c>
      <c r="AK1249" s="3"/>
      <c r="AL1249" s="3"/>
    </row>
    <row r="1250" ht="15.75" customHeight="1">
      <c r="A1250" s="1" t="str">
        <f>IFERROR(__xludf.DUMMYFUNCTION("""COMPUTED_VALUE"""),"21RB030")</f>
        <v>21RB030</v>
      </c>
      <c r="B1250" s="2" t="str">
        <f>IFERROR(__xludf.DUMMYFUNCTION("""COMPUTED_VALUE"""),"21RB030")</f>
        <v>21RB030</v>
      </c>
      <c r="C1250" s="3" t="str">
        <f>IFERROR(__xludf.DUMMYFUNCTION("""COMPUTED_VALUE"""),"บุ๊คกาซีน สนามบินภูเก็ต ดีดี1")</f>
        <v>บุ๊คกาซีน สนามบินภูเก็ต ดีดี1</v>
      </c>
      <c r="D1250" s="3" t="str">
        <f>IFERROR(__xludf.DUMMYFUNCTION("""COMPUTED_VALUE"""),"BZPK-DD1:PHUKET INT,L AIRPT (DOM)")</f>
        <v>BZPK-DD1:PHUKET INT,L AIRPT (DOM)</v>
      </c>
      <c r="E1250" s="1" t="str">
        <f>IFERROR(__xludf.DUMMYFUNCTION("""COMPUTED_VALUE"""),"AsiaBooks")</f>
        <v>AsiaBooks</v>
      </c>
      <c r="F1250" s="1" t="str">
        <f>IFERROR(__xludf.DUMMYFUNCTION("""COMPUTED_VALUE"""),"1016938")</f>
        <v>1016938</v>
      </c>
      <c r="G1250" s="1" t="str">
        <f>IFERROR(__xludf.DUMMYFUNCTION("""COMPUTED_VALUE"""),"น.ส.ณัฏฐนันท์ ปัญญาสิทธิ์")</f>
        <v>น.ส.ณัฏฐนันท์ ปัญญาสิทธิ์</v>
      </c>
      <c r="H1250" s="1" t="str">
        <f>IFERROR(__xludf.DUMMYFUNCTION("""COMPUTED_VALUE"""),"025691")</f>
        <v>025691</v>
      </c>
      <c r="I1250" s="1" t="str">
        <f>IFERROR(__xludf.DUMMYFUNCTION("""COMPUTED_VALUE"""),"นายประพันธ์ มุสิกพันธ์")</f>
        <v>นายประพันธ์ มุสิกพันธ์</v>
      </c>
      <c r="J1250" s="3">
        <f>IFERROR(__xludf.DUMMYFUNCTION("""COMPUTED_VALUE"""),1016938.0)</f>
        <v>1016938</v>
      </c>
      <c r="K1250" s="3" t="str">
        <f>IFERROR(__xludf.DUMMYFUNCTION("""COMPUTED_VALUE"""),"น.ส.ณัฏฐนันท์ ปัญญาสิทธิ์")</f>
        <v>น.ส.ณัฏฐนันท์ ปัญญาสิทธิ์</v>
      </c>
      <c r="L1250" s="1" t="str">
        <f>IFERROR(__xludf.DUMMYFUNCTION("""COMPUTED_VALUE"""),"Asia Books")</f>
        <v>Asia Books</v>
      </c>
      <c r="M1250" s="1" t="str">
        <f>IFERROR(__xludf.DUMMYFUNCTION("""COMPUTED_VALUE"""),"0993463946")</f>
        <v>0993463946</v>
      </c>
      <c r="N1250" s="3" t="str">
        <f>IFERROR(__xludf.DUMMYFUNCTION("""COMPUTED_VALUE"""),"21RB030")</f>
        <v>21RB030</v>
      </c>
      <c r="O1250" s="3" t="str">
        <f>IFERROR(__xludf.DUMMYFUNCTION("""COMPUTED_VALUE"""),"บุ๊คกาซีน สนามบินภูเก็ต ดีดี1")</f>
        <v>บุ๊คกาซีน สนามบินภูเก็ต ดีดี1</v>
      </c>
      <c r="P1250" s="4">
        <f>IFERROR(__xludf.DUMMYFUNCTION("""COMPUTED_VALUE"""),43271.0)</f>
        <v>43271</v>
      </c>
      <c r="Q1250" s="3" t="str">
        <f>IFERROR(__xludf.DUMMYFUNCTION("""COMPUTED_VALUE"""),"I")</f>
        <v>I</v>
      </c>
      <c r="R1250" s="3" t="str">
        <f>IFERROR(__xludf.DUMMYFUNCTION("""COMPUTED_VALUE"""),"Small Format")</f>
        <v>Small Format</v>
      </c>
      <c r="S1250" s="3" t="str">
        <f>IFERROR(__xludf.DUMMYFUNCTION("""COMPUTED_VALUE"""),"AsiaBooks")</f>
        <v>AsiaBooks</v>
      </c>
      <c r="T1250" s="3" t="str">
        <f>IFERROR(__xludf.DUMMYFUNCTION("""COMPUTED_VALUE"""),"Asia Books")</f>
        <v>Asia Books</v>
      </c>
      <c r="U1250" s="3" t="str">
        <f>IFERROR(__xludf.DUMMYFUNCTION("""COMPUTED_VALUE"""),"#N/A")</f>
        <v>#N/A</v>
      </c>
      <c r="V1250" s="3" t="str">
        <f>IFERROR(__xludf.DUMMYFUNCTION("""COMPUTED_VALUE"""),"Y")</f>
        <v>Y</v>
      </c>
      <c r="W1250" s="3">
        <f>IFERROR(__xludf.DUMMYFUNCTION("""COMPUTED_VALUE"""),0.0)</f>
        <v>0</v>
      </c>
      <c r="X1250" s="3" t="str">
        <f>IFERROR(__xludf.DUMMYFUNCTION("""COMPUTED_VALUE"""),"ชั้น 2 ห้องเลขที่ 5, ท่าอากาศยานนานาชาติภูเก็ต โซนขาออกภายในประเทศ เลขที่ 222 ตำบลไม้ขาว อำเภอถลาง จังหวัดภูเก็ต 83000")</f>
        <v>ชั้น 2 ห้องเลขที่ 5, ท่าอากาศยานนานาชาติภูเก็ต โซนขาออกภายในประเทศ เลขที่ 222 ตำบลไม้ขาว อำเภอถลาง จังหวัดภูเก็ต 83000</v>
      </c>
      <c r="Y1250" s="3"/>
      <c r="Z1250" s="3" t="str">
        <f>IFERROR(__xludf.DUMMYFUNCTION("""COMPUTED_VALUE"""),"ไม้ขาว")</f>
        <v>ไม้ขาว</v>
      </c>
      <c r="AA1250" s="3" t="str">
        <f>IFERROR(__xludf.DUMMYFUNCTION("""COMPUTED_VALUE"""),"ถลาง")</f>
        <v>ถลาง</v>
      </c>
      <c r="AB1250" s="3" t="str">
        <f>IFERROR(__xludf.DUMMYFUNCTION("""COMPUTED_VALUE"""),"ภูเก็ต")</f>
        <v>ภูเก็ต</v>
      </c>
      <c r="AC1250" s="3">
        <f>IFERROR(__xludf.DUMMYFUNCTION("""COMPUTED_VALUE"""),83000.0)</f>
        <v>83000</v>
      </c>
      <c r="AD1250" s="3">
        <f>IFERROR(__xludf.DUMMYFUNCTION("""COMPUTED_VALUE"""),0.0)</f>
        <v>0</v>
      </c>
      <c r="AE1250" s="3">
        <f>IFERROR(__xludf.DUMMYFUNCTION("""COMPUTED_VALUE"""),0.0)</f>
        <v>0</v>
      </c>
      <c r="AF1250" s="3" t="str">
        <f>IFERROR(__xludf.DUMMYFUNCTION("""COMPUTED_VALUE"""),"บุ๊คกาซีน สนามบินภูเก็ต ดีดี1-21RB030")</f>
        <v>บุ๊คกาซีน สนามบินภูเก็ต ดีดี1-21RB030</v>
      </c>
      <c r="AG1250" s="3" t="str">
        <f>IFERROR(__xludf.DUMMYFUNCTION("""COMPUTED_VALUE"""),"ใต้")</f>
        <v>ใต้</v>
      </c>
      <c r="AH1250" s="3" t="str">
        <f>IFERROR(__xludf.DUMMYFUNCTION("""COMPUTED_VALUE"""),"#N/A")</f>
        <v>#N/A</v>
      </c>
      <c r="AI1250" s="3" t="str">
        <f>IFERROR(__xludf.DUMMYFUNCTION("""COMPUTED_VALUE"""),"Out of warranty")</f>
        <v>Out of warranty</v>
      </c>
      <c r="AJ1250" s="3">
        <f>IFERROR(__xludf.DUMMYFUNCTION("""COMPUTED_VALUE"""),92.0)</f>
        <v>92</v>
      </c>
      <c r="AK1250" s="3"/>
      <c r="AL1250" s="3"/>
    </row>
    <row r="1251" ht="15.75" customHeight="1">
      <c r="A1251" s="1" t="str">
        <f>IFERROR(__xludf.DUMMYFUNCTION("""COMPUTED_VALUE"""),"21RB032")</f>
        <v>21RB032</v>
      </c>
      <c r="B1251" s="2" t="str">
        <f>IFERROR(__xludf.DUMMYFUNCTION("""COMPUTED_VALUE"""),"21RB032")</f>
        <v>21RB032</v>
      </c>
      <c r="C1251" s="3" t="str">
        <f>IFERROR(__xludf.DUMMYFUNCTION("""COMPUTED_VALUE"""),"Paradise Park Seri Center")</f>
        <v>Paradise Park Seri Center</v>
      </c>
      <c r="D1251" s="3" t="str">
        <f>IFERROR(__xludf.DUMMYFUNCTION("""COMPUTED_VALUE"""),"เอเซียบุ๊คส พาราไดซ์ พาร์ค")</f>
        <v>เอเซียบุ๊คส พาราไดซ์ พาร์ค</v>
      </c>
      <c r="E1251" s="1" t="str">
        <f>IFERROR(__xludf.DUMMYFUNCTION("""COMPUTED_VALUE"""),"AsiaBooks")</f>
        <v>AsiaBooks</v>
      </c>
      <c r="F1251" s="1" t="str">
        <f>IFERROR(__xludf.DUMMYFUNCTION("""COMPUTED_VALUE"""),"1016938")</f>
        <v>1016938</v>
      </c>
      <c r="G1251" s="1" t="str">
        <f>IFERROR(__xludf.DUMMYFUNCTION("""COMPUTED_VALUE"""),"น.ส.ณัฏฐนันท์ ปัญญาสิทธิ์")</f>
        <v>น.ส.ณัฏฐนันท์ ปัญญาสิทธิ์</v>
      </c>
      <c r="H1251" s="1" t="str">
        <f>IFERROR(__xludf.DUMMYFUNCTION("""COMPUTED_VALUE"""),"2010435")</f>
        <v>2010435</v>
      </c>
      <c r="I1251" s="1" t="str">
        <f>IFERROR(__xludf.DUMMYFUNCTION("""COMPUTED_VALUE"""),"น.ส.ลักษณพร เกิดบุญส่ง")</f>
        <v>น.ส.ลักษณพร เกิดบุญส่ง</v>
      </c>
      <c r="J1251" s="3">
        <f>IFERROR(__xludf.DUMMYFUNCTION("""COMPUTED_VALUE"""),1016938.0)</f>
        <v>1016938</v>
      </c>
      <c r="K1251" s="3" t="str">
        <f>IFERROR(__xludf.DUMMYFUNCTION("""COMPUTED_VALUE"""),"น.ส.ณัฏฐนันท์ ปัญญาสิทธิ์")</f>
        <v>น.ส.ณัฏฐนันท์ ปัญญาสิทธิ์</v>
      </c>
      <c r="L1251" s="1" t="str">
        <f>IFERROR(__xludf.DUMMYFUNCTION("""COMPUTED_VALUE"""),"Asia Books")</f>
        <v>Asia Books</v>
      </c>
      <c r="M1251" s="1" t="str">
        <f>IFERROR(__xludf.DUMMYFUNCTION("""COMPUTED_VALUE"""),"0993463946")</f>
        <v>0993463946</v>
      </c>
      <c r="N1251" s="3" t="str">
        <f>IFERROR(__xludf.DUMMYFUNCTION("""COMPUTED_VALUE"""),"21RB032")</f>
        <v>21RB032</v>
      </c>
      <c r="O1251" s="3" t="str">
        <f>IFERROR(__xludf.DUMMYFUNCTION("""COMPUTED_VALUE"""),"Paradise Park Seri Center")</f>
        <v>Paradise Park Seri Center</v>
      </c>
      <c r="P1251" s="4">
        <f>IFERROR(__xludf.DUMMYFUNCTION("""COMPUTED_VALUE"""),43271.0)</f>
        <v>43271</v>
      </c>
      <c r="Q1251" s="3" t="str">
        <f>IFERROR(__xludf.DUMMYFUNCTION("""COMPUTED_VALUE"""),"A")</f>
        <v>A</v>
      </c>
      <c r="R1251" s="3" t="str">
        <f>IFERROR(__xludf.DUMMYFUNCTION("""COMPUTED_VALUE"""),"Small Format")</f>
        <v>Small Format</v>
      </c>
      <c r="S1251" s="3" t="str">
        <f>IFERROR(__xludf.DUMMYFUNCTION("""COMPUTED_VALUE"""),"AsiaBooks")</f>
        <v>AsiaBooks</v>
      </c>
      <c r="T1251" s="3" t="str">
        <f>IFERROR(__xludf.DUMMYFUNCTION("""COMPUTED_VALUE"""),"Asia Books")</f>
        <v>Asia Books</v>
      </c>
      <c r="U1251" s="3" t="str">
        <f>IFERROR(__xludf.DUMMYFUNCTION("""COMPUTED_VALUE"""),"#N/A")</f>
        <v>#N/A</v>
      </c>
      <c r="V1251" s="3" t="str">
        <f>IFERROR(__xludf.DUMMYFUNCTION("""COMPUTED_VALUE"""),"N")</f>
        <v>N</v>
      </c>
      <c r="W1251" s="3">
        <f>IFERROR(__xludf.DUMMYFUNCTION("""COMPUTED_VALUE"""),0.0)</f>
        <v>0</v>
      </c>
      <c r="X1251" s="3" t="str">
        <f>IFERROR(__xludf.DUMMYFUNCTION("""COMPUTED_VALUE"""),"ชั้น 2, ศูนย์การค้าพาราไดซ์พาร์ค เลขที่ 61 แขวงหนองบอน เขตประเวศ กรุงเทพมหานคร 10250")</f>
        <v>ชั้น 2, ศูนย์การค้าพาราไดซ์พาร์ค เลขที่ 61 แขวงหนองบอน เขตประเวศ กรุงเทพมหานคร 10250</v>
      </c>
      <c r="Y1251" s="3"/>
      <c r="Z1251" s="3" t="str">
        <f>IFERROR(__xludf.DUMMYFUNCTION("""COMPUTED_VALUE"""),"หนองบอน")</f>
        <v>หนองบอน</v>
      </c>
      <c r="AA1251" s="3" t="str">
        <f>IFERROR(__xludf.DUMMYFUNCTION("""COMPUTED_VALUE"""),"ประเวศ")</f>
        <v>ประเวศ</v>
      </c>
      <c r="AB1251" s="3" t="str">
        <f>IFERROR(__xludf.DUMMYFUNCTION("""COMPUTED_VALUE"""),"กรุงเทพมหานคร")</f>
        <v>กรุงเทพมหานคร</v>
      </c>
      <c r="AC1251" s="3">
        <f>IFERROR(__xludf.DUMMYFUNCTION("""COMPUTED_VALUE"""),10250.0)</f>
        <v>10250</v>
      </c>
      <c r="AD1251" s="3">
        <f>IFERROR(__xludf.DUMMYFUNCTION("""COMPUTED_VALUE"""),13.686729)</f>
        <v>13.686729</v>
      </c>
      <c r="AE1251" s="3">
        <f>IFERROR(__xludf.DUMMYFUNCTION("""COMPUTED_VALUE"""),100.6470712)</f>
        <v>100.6470712</v>
      </c>
      <c r="AF1251" s="3" t="str">
        <f>IFERROR(__xludf.DUMMYFUNCTION("""COMPUTED_VALUE"""),"Paradise Park Seri Center-21RB032")</f>
        <v>Paradise Park Seri Center-21RB032</v>
      </c>
      <c r="AG1251" s="3" t="str">
        <f>IFERROR(__xludf.DUMMYFUNCTION("""COMPUTED_VALUE"""),"กลาง")</f>
        <v>กลาง</v>
      </c>
      <c r="AH1251" s="3" t="str">
        <f>IFERROR(__xludf.DUMMYFUNCTION("""COMPUTED_VALUE"""),"#N/A")</f>
        <v>#N/A</v>
      </c>
      <c r="AI1251" s="3" t="str">
        <f>IFERROR(__xludf.DUMMYFUNCTION("""COMPUTED_VALUE"""),"Out of warranty")</f>
        <v>Out of warranty</v>
      </c>
      <c r="AJ1251" s="3">
        <f>IFERROR(__xludf.DUMMYFUNCTION("""COMPUTED_VALUE"""),92.0)</f>
        <v>92</v>
      </c>
      <c r="AK1251" s="3"/>
      <c r="AL1251" s="3"/>
    </row>
    <row r="1252" ht="15.75" customHeight="1">
      <c r="A1252" s="1" t="str">
        <f>IFERROR(__xludf.DUMMYFUNCTION("""COMPUTED_VALUE"""),"21RB033")</f>
        <v>21RB033</v>
      </c>
      <c r="B1252" s="2" t="str">
        <f>IFERROR(__xludf.DUMMYFUNCTION("""COMPUTED_VALUE"""),"21RB033")</f>
        <v>21RB033</v>
      </c>
      <c r="C1252" s="3" t="str">
        <f>IFERROR(__xludf.DUMMYFUNCTION("""COMPUTED_VALUE"""),"เอเซียบุ๊คส เคพีเอส 7")</f>
        <v>เอเซียบุ๊คส เคพีเอส 7</v>
      </c>
      <c r="D1252" s="3" t="str">
        <f>IFERROR(__xludf.DUMMYFUNCTION("""COMPUTED_VALUE"""),"KPS:KPS7")</f>
        <v>KPS:KPS7</v>
      </c>
      <c r="E1252" s="1" t="str">
        <f>IFERROR(__xludf.DUMMYFUNCTION("""COMPUTED_VALUE"""),"AsiaBooks")</f>
        <v>AsiaBooks</v>
      </c>
      <c r="F1252" s="1" t="str">
        <f>IFERROR(__xludf.DUMMYFUNCTION("""COMPUTED_VALUE"""),"1016938")</f>
        <v>1016938</v>
      </c>
      <c r="G1252" s="1" t="str">
        <f>IFERROR(__xludf.DUMMYFUNCTION("""COMPUTED_VALUE"""),"น.ส.ณัฏฐนันท์ ปัญญาสิทธิ์")</f>
        <v>น.ส.ณัฏฐนันท์ ปัญญาสิทธิ์</v>
      </c>
      <c r="H1252" s="1" t="str">
        <f>IFERROR(__xludf.DUMMYFUNCTION("""COMPUTED_VALUE"""),"1015537")</f>
        <v>1015537</v>
      </c>
      <c r="I1252" s="1" t="str">
        <f>IFERROR(__xludf.DUMMYFUNCTION("""COMPUTED_VALUE"""),"น.ส.มัญชริน เลื่อนแก้ว")</f>
        <v>น.ส.มัญชริน เลื่อนแก้ว</v>
      </c>
      <c r="J1252" s="3">
        <f>IFERROR(__xludf.DUMMYFUNCTION("""COMPUTED_VALUE"""),1016938.0)</f>
        <v>1016938</v>
      </c>
      <c r="K1252" s="3" t="str">
        <f>IFERROR(__xludf.DUMMYFUNCTION("""COMPUTED_VALUE"""),"น.ส.ณัฏฐนันท์ ปัญญาสิทธิ์")</f>
        <v>น.ส.ณัฏฐนันท์ ปัญญาสิทธิ์</v>
      </c>
      <c r="L1252" s="1" t="str">
        <f>IFERROR(__xludf.DUMMYFUNCTION("""COMPUTED_VALUE"""),"Asia Books")</f>
        <v>Asia Books</v>
      </c>
      <c r="M1252" s="1" t="str">
        <f>IFERROR(__xludf.DUMMYFUNCTION("""COMPUTED_VALUE"""),"0993463946")</f>
        <v>0993463946</v>
      </c>
      <c r="N1252" s="3" t="str">
        <f>IFERROR(__xludf.DUMMYFUNCTION("""COMPUTED_VALUE"""),"21RB033")</f>
        <v>21RB033</v>
      </c>
      <c r="O1252" s="3" t="str">
        <f>IFERROR(__xludf.DUMMYFUNCTION("""COMPUTED_VALUE"""),"เอเซียบุ๊คส เคพีเอส 7")</f>
        <v>เอเซียบุ๊คส เคพีเอส 7</v>
      </c>
      <c r="P1252" s="4">
        <f>IFERROR(__xludf.DUMMYFUNCTION("""COMPUTED_VALUE"""),43271.0)</f>
        <v>43271</v>
      </c>
      <c r="Q1252" s="3" t="str">
        <f>IFERROR(__xludf.DUMMYFUNCTION("""COMPUTED_VALUE"""),"I")</f>
        <v>I</v>
      </c>
      <c r="R1252" s="3" t="str">
        <f>IFERROR(__xludf.DUMMYFUNCTION("""COMPUTED_VALUE"""),"Small Format")</f>
        <v>Small Format</v>
      </c>
      <c r="S1252" s="3" t="str">
        <f>IFERROR(__xludf.DUMMYFUNCTION("""COMPUTED_VALUE"""),"AsiaBooks")</f>
        <v>AsiaBooks</v>
      </c>
      <c r="T1252" s="3" t="str">
        <f>IFERROR(__xludf.DUMMYFUNCTION("""COMPUTED_VALUE"""),"Asia Books")</f>
        <v>Asia Books</v>
      </c>
      <c r="U1252" s="3" t="str">
        <f>IFERROR(__xludf.DUMMYFUNCTION("""COMPUTED_VALUE"""),"#N/A")</f>
        <v>#N/A</v>
      </c>
      <c r="V1252" s="3" t="str">
        <f>IFERROR(__xludf.DUMMYFUNCTION("""COMPUTED_VALUE"""),"Y")</f>
        <v>Y</v>
      </c>
      <c r="W1252" s="3">
        <f>IFERROR(__xludf.DUMMYFUNCTION("""COMPUTED_VALUE"""),0.0)</f>
        <v>0</v>
      </c>
      <c r="X1252" s="3" t="str">
        <f>IFERROR(__xludf.DUMMYFUNCTION("""COMPUTED_VALUE"""),"ท่าอากาศยานสุวรรณภูมิ เลขที่ 999 ตำบลหนองปรือ อำเภอบางพลี จังหวัดสมุทรปราการ 10540")</f>
        <v>ท่าอากาศยานสุวรรณภูมิ เลขที่ 999 ตำบลหนองปรือ อำเภอบางพลี จังหวัดสมุทรปราการ 10540</v>
      </c>
      <c r="Y1252" s="3"/>
      <c r="Z1252" s="3" t="str">
        <f>IFERROR(__xludf.DUMMYFUNCTION("""COMPUTED_VALUE"""),"หนองปรือ")</f>
        <v>หนองปรือ</v>
      </c>
      <c r="AA1252" s="3" t="str">
        <f>IFERROR(__xludf.DUMMYFUNCTION("""COMPUTED_VALUE"""),"บางพลี")</f>
        <v>บางพลี</v>
      </c>
      <c r="AB1252" s="3" t="str">
        <f>IFERROR(__xludf.DUMMYFUNCTION("""COMPUTED_VALUE"""),"สมุทรปราการ")</f>
        <v>สมุทรปราการ</v>
      </c>
      <c r="AC1252" s="3">
        <f>IFERROR(__xludf.DUMMYFUNCTION("""COMPUTED_VALUE"""),10540.0)</f>
        <v>10540</v>
      </c>
      <c r="AD1252" s="3">
        <f>IFERROR(__xludf.DUMMYFUNCTION("""COMPUTED_VALUE"""),0.0)</f>
        <v>0</v>
      </c>
      <c r="AE1252" s="3">
        <f>IFERROR(__xludf.DUMMYFUNCTION("""COMPUTED_VALUE"""),0.0)</f>
        <v>0</v>
      </c>
      <c r="AF1252" s="3" t="str">
        <f>IFERROR(__xludf.DUMMYFUNCTION("""COMPUTED_VALUE"""),"เอเซียบุ๊คส เคพีเอส 7-21RB033")</f>
        <v>เอเซียบุ๊คส เคพีเอส 7-21RB033</v>
      </c>
      <c r="AG1252" s="3" t="str">
        <f>IFERROR(__xludf.DUMMYFUNCTION("""COMPUTED_VALUE"""),"กลาง")</f>
        <v>กลาง</v>
      </c>
      <c r="AH1252" s="3" t="str">
        <f>IFERROR(__xludf.DUMMYFUNCTION("""COMPUTED_VALUE"""),"#N/A")</f>
        <v>#N/A</v>
      </c>
      <c r="AI1252" s="3" t="str">
        <f>IFERROR(__xludf.DUMMYFUNCTION("""COMPUTED_VALUE"""),"Out of warranty")</f>
        <v>Out of warranty</v>
      </c>
      <c r="AJ1252" s="3">
        <f>IFERROR(__xludf.DUMMYFUNCTION("""COMPUTED_VALUE"""),92.0)</f>
        <v>92</v>
      </c>
      <c r="AK1252" s="3"/>
      <c r="AL1252" s="3"/>
    </row>
    <row r="1253" ht="15.75" customHeight="1">
      <c r="A1253" s="1" t="str">
        <f>IFERROR(__xludf.DUMMYFUNCTION("""COMPUTED_VALUE"""),"21RB034")</f>
        <v>21RB034</v>
      </c>
      <c r="B1253" s="2" t="str">
        <f>IFERROR(__xludf.DUMMYFUNCTION("""COMPUTED_VALUE"""),"21RB034")</f>
        <v>21RB034</v>
      </c>
      <c r="C1253" s="3" t="str">
        <f>IFERROR(__xludf.DUMMYFUNCTION("""COMPUTED_VALUE"""),"Samui Airport")</f>
        <v>Samui Airport</v>
      </c>
      <c r="D1253" s="3" t="str">
        <f>IFERROR(__xludf.DUMMYFUNCTION("""COMPUTED_VALUE"""),"บุ๊คกาซีน สมุยแอร์พอร์ต")</f>
        <v>บุ๊คกาซีน สมุยแอร์พอร์ต</v>
      </c>
      <c r="E1253" s="1" t="str">
        <f>IFERROR(__xludf.DUMMYFUNCTION("""COMPUTED_VALUE"""),"AsiaBooks")</f>
        <v>AsiaBooks</v>
      </c>
      <c r="F1253" s="1" t="str">
        <f>IFERROR(__xludf.DUMMYFUNCTION("""COMPUTED_VALUE"""),"1016938")</f>
        <v>1016938</v>
      </c>
      <c r="G1253" s="1" t="str">
        <f>IFERROR(__xludf.DUMMYFUNCTION("""COMPUTED_VALUE"""),"น.ส.ณัฏฐนันท์ ปัญญาสิทธิ์")</f>
        <v>น.ส.ณัฏฐนันท์ ปัญญาสิทธิ์</v>
      </c>
      <c r="H1253" s="1" t="str">
        <f>IFERROR(__xludf.DUMMYFUNCTION("""COMPUTED_VALUE"""),"1015537")</f>
        <v>1015537</v>
      </c>
      <c r="I1253" s="1" t="str">
        <f>IFERROR(__xludf.DUMMYFUNCTION("""COMPUTED_VALUE"""),"น.ส.มัญชริน เลื่อนแก้ว")</f>
        <v>น.ส.มัญชริน เลื่อนแก้ว</v>
      </c>
      <c r="J1253" s="3">
        <f>IFERROR(__xludf.DUMMYFUNCTION("""COMPUTED_VALUE"""),1016938.0)</f>
        <v>1016938</v>
      </c>
      <c r="K1253" s="3" t="str">
        <f>IFERROR(__xludf.DUMMYFUNCTION("""COMPUTED_VALUE"""),"น.ส.ณัฏฐนันท์ ปัญญาสิทธิ์")</f>
        <v>น.ส.ณัฏฐนันท์ ปัญญาสิทธิ์</v>
      </c>
      <c r="L1253" s="1" t="str">
        <f>IFERROR(__xludf.DUMMYFUNCTION("""COMPUTED_VALUE"""),"Asia Books")</f>
        <v>Asia Books</v>
      </c>
      <c r="M1253" s="1" t="str">
        <f>IFERROR(__xludf.DUMMYFUNCTION("""COMPUTED_VALUE"""),"0993463946")</f>
        <v>0993463946</v>
      </c>
      <c r="N1253" s="3" t="str">
        <f>IFERROR(__xludf.DUMMYFUNCTION("""COMPUTED_VALUE"""),"21RB034")</f>
        <v>21RB034</v>
      </c>
      <c r="O1253" s="3" t="str">
        <f>IFERROR(__xludf.DUMMYFUNCTION("""COMPUTED_VALUE"""),"Samui Airport")</f>
        <v>Samui Airport</v>
      </c>
      <c r="P1253" s="4">
        <f>IFERROR(__xludf.DUMMYFUNCTION("""COMPUTED_VALUE"""),43271.0)</f>
        <v>43271</v>
      </c>
      <c r="Q1253" s="3" t="str">
        <f>IFERROR(__xludf.DUMMYFUNCTION("""COMPUTED_VALUE"""),"A")</f>
        <v>A</v>
      </c>
      <c r="R1253" s="3" t="str">
        <f>IFERROR(__xludf.DUMMYFUNCTION("""COMPUTED_VALUE"""),"Small Format")</f>
        <v>Small Format</v>
      </c>
      <c r="S1253" s="3" t="str">
        <f>IFERROR(__xludf.DUMMYFUNCTION("""COMPUTED_VALUE"""),"AsiaBooks")</f>
        <v>AsiaBooks</v>
      </c>
      <c r="T1253" s="3" t="str">
        <f>IFERROR(__xludf.DUMMYFUNCTION("""COMPUTED_VALUE"""),"Asia Books")</f>
        <v>Asia Books</v>
      </c>
      <c r="U1253" s="3" t="str">
        <f>IFERROR(__xludf.DUMMYFUNCTION("""COMPUTED_VALUE"""),"#N/A")</f>
        <v>#N/A</v>
      </c>
      <c r="V1253" s="3" t="str">
        <f>IFERROR(__xludf.DUMMYFUNCTION("""COMPUTED_VALUE"""),"N")</f>
        <v>N</v>
      </c>
      <c r="W1253" s="3">
        <f>IFERROR(__xludf.DUMMYFUNCTION("""COMPUTED_VALUE"""),0.0)</f>
        <v>0</v>
      </c>
      <c r="X1253" s="3" t="str">
        <f>IFERROR(__xludf.DUMMYFUNCTION("""COMPUTED_VALUE"""),"ท่าอากาศยานนานาชาติสมุย เลขที่ 99/9 ตำบลบ่อผุด อำเภอเกาะสมุย จังหวัดสุราษฎร์ธานี 84320")</f>
        <v>ท่าอากาศยานนานาชาติสมุย เลขที่ 99/9 ตำบลบ่อผุด อำเภอเกาะสมุย จังหวัดสุราษฎร์ธานี 84320</v>
      </c>
      <c r="Y1253" s="3"/>
      <c r="Z1253" s="3" t="str">
        <f>IFERROR(__xludf.DUMMYFUNCTION("""COMPUTED_VALUE"""),"บ่อผุด")</f>
        <v>บ่อผุด</v>
      </c>
      <c r="AA1253" s="3" t="str">
        <f>IFERROR(__xludf.DUMMYFUNCTION("""COMPUTED_VALUE"""),"เกาะสมุย")</f>
        <v>เกาะสมุย</v>
      </c>
      <c r="AB1253" s="3" t="str">
        <f>IFERROR(__xludf.DUMMYFUNCTION("""COMPUTED_VALUE"""),"สุราษฎร์ธานี")</f>
        <v>สุราษฎร์ธานี</v>
      </c>
      <c r="AC1253" s="3">
        <f>IFERROR(__xludf.DUMMYFUNCTION("""COMPUTED_VALUE"""),84320.0)</f>
        <v>84320</v>
      </c>
      <c r="AD1253" s="3">
        <f>IFERROR(__xludf.DUMMYFUNCTION("""COMPUTED_VALUE"""),9.548222124)</f>
        <v>9.548222124</v>
      </c>
      <c r="AE1253" s="3">
        <f>IFERROR(__xludf.DUMMYFUNCTION("""COMPUTED_VALUE"""),100.0643873)</f>
        <v>100.0643873</v>
      </c>
      <c r="AF1253" s="3" t="str">
        <f>IFERROR(__xludf.DUMMYFUNCTION("""COMPUTED_VALUE"""),"Samui Airport-21RB034")</f>
        <v>Samui Airport-21RB034</v>
      </c>
      <c r="AG1253" s="3" t="str">
        <f>IFERROR(__xludf.DUMMYFUNCTION("""COMPUTED_VALUE"""),"ใต้")</f>
        <v>ใต้</v>
      </c>
      <c r="AH1253" s="3" t="str">
        <f>IFERROR(__xludf.DUMMYFUNCTION("""COMPUTED_VALUE"""),"#N/A")</f>
        <v>#N/A</v>
      </c>
      <c r="AI1253" s="3" t="str">
        <f>IFERROR(__xludf.DUMMYFUNCTION("""COMPUTED_VALUE"""),"Out of warranty")</f>
        <v>Out of warranty</v>
      </c>
      <c r="AJ1253" s="3">
        <f>IFERROR(__xludf.DUMMYFUNCTION("""COMPUTED_VALUE"""),92.0)</f>
        <v>92</v>
      </c>
      <c r="AK1253" s="3"/>
      <c r="AL1253" s="3"/>
    </row>
    <row r="1254" ht="15.75" customHeight="1">
      <c r="A1254" s="1" t="str">
        <f>IFERROR(__xludf.DUMMYFUNCTION("""COMPUTED_VALUE"""),"21RB035")</f>
        <v>21RB035</v>
      </c>
      <c r="B1254" s="2" t="str">
        <f>IFERROR(__xludf.DUMMYFUNCTION("""COMPUTED_VALUE"""),"21RB035")</f>
        <v>21RB035</v>
      </c>
      <c r="C1254" s="3" t="str">
        <f>IFERROR(__xludf.DUMMYFUNCTION("""COMPUTED_VALUE"""),"เอเซียบุ๊คส บีเทรนด์ เดอะมอลล์ โคราช")</f>
        <v>เอเซียบุ๊คส บีเทรนด์ เดอะมอลล์ โคราช</v>
      </c>
      <c r="D1254" s="3" t="str">
        <f>IFERROR(__xludf.DUMMYFUNCTION("""COMPUTED_VALUE"""),"ABKR-BKR:BETREND THE MALL KORAT")</f>
        <v>ABKR-BKR:BETREND THE MALL KORAT</v>
      </c>
      <c r="E1254" s="1" t="str">
        <f>IFERROR(__xludf.DUMMYFUNCTION("""COMPUTED_VALUE"""),"AsiaBooks")</f>
        <v>AsiaBooks</v>
      </c>
      <c r="F1254" s="1" t="str">
        <f>IFERROR(__xludf.DUMMYFUNCTION("""COMPUTED_VALUE"""),"1016938")</f>
        <v>1016938</v>
      </c>
      <c r="G1254" s="1" t="str">
        <f>IFERROR(__xludf.DUMMYFUNCTION("""COMPUTED_VALUE"""),"น.ส.ณัฏฐนันท์ ปัญญาสิทธิ์")</f>
        <v>น.ส.ณัฏฐนันท์ ปัญญาสิทธิ์</v>
      </c>
      <c r="H1254" s="1" t="str">
        <f>IFERROR(__xludf.DUMMYFUNCTION("""COMPUTED_VALUE"""),"1007000")</f>
        <v>1007000</v>
      </c>
      <c r="I1254" s="1" t="str">
        <f>IFERROR(__xludf.DUMMYFUNCTION("""COMPUTED_VALUE"""),"น.ส.เสาวลักษณ์ แป้นงาม")</f>
        <v>น.ส.เสาวลักษณ์ แป้นงาม</v>
      </c>
      <c r="J1254" s="3">
        <f>IFERROR(__xludf.DUMMYFUNCTION("""COMPUTED_VALUE"""),1016938.0)</f>
        <v>1016938</v>
      </c>
      <c r="K1254" s="3" t="str">
        <f>IFERROR(__xludf.DUMMYFUNCTION("""COMPUTED_VALUE"""),"น.ส.ณัฏฐนันท์ ปัญญาสิทธิ์")</f>
        <v>น.ส.ณัฏฐนันท์ ปัญญาสิทธิ์</v>
      </c>
      <c r="L1254" s="1" t="str">
        <f>IFERROR(__xludf.DUMMYFUNCTION("""COMPUTED_VALUE"""),"Asia Books")</f>
        <v>Asia Books</v>
      </c>
      <c r="M1254" s="1" t="str">
        <f>IFERROR(__xludf.DUMMYFUNCTION("""COMPUTED_VALUE"""),"0993463946")</f>
        <v>0993463946</v>
      </c>
      <c r="N1254" s="3" t="str">
        <f>IFERROR(__xludf.DUMMYFUNCTION("""COMPUTED_VALUE"""),"21RB035")</f>
        <v>21RB035</v>
      </c>
      <c r="O1254" s="3" t="str">
        <f>IFERROR(__xludf.DUMMYFUNCTION("""COMPUTED_VALUE"""),"เอเซียบุ๊คส บีเทรนด์ เดอะมอลล์ โคราช")</f>
        <v>เอเซียบุ๊คส บีเทรนด์ เดอะมอลล์ โคราช</v>
      </c>
      <c r="P1254" s="4">
        <f>IFERROR(__xludf.DUMMYFUNCTION("""COMPUTED_VALUE"""),43271.0)</f>
        <v>43271</v>
      </c>
      <c r="Q1254" s="3" t="str">
        <f>IFERROR(__xludf.DUMMYFUNCTION("""COMPUTED_VALUE"""),"I")</f>
        <v>I</v>
      </c>
      <c r="R1254" s="3" t="str">
        <f>IFERROR(__xludf.DUMMYFUNCTION("""COMPUTED_VALUE"""),"Small Format")</f>
        <v>Small Format</v>
      </c>
      <c r="S1254" s="3" t="str">
        <f>IFERROR(__xludf.DUMMYFUNCTION("""COMPUTED_VALUE"""),"AsiaBooks")</f>
        <v>AsiaBooks</v>
      </c>
      <c r="T1254" s="3" t="str">
        <f>IFERROR(__xludf.DUMMYFUNCTION("""COMPUTED_VALUE"""),"Asia Books")</f>
        <v>Asia Books</v>
      </c>
      <c r="U1254" s="3" t="str">
        <f>IFERROR(__xludf.DUMMYFUNCTION("""COMPUTED_VALUE"""),"#N/A")</f>
        <v>#N/A</v>
      </c>
      <c r="V1254" s="3" t="str">
        <f>IFERROR(__xludf.DUMMYFUNCTION("""COMPUTED_VALUE"""),"Y")</f>
        <v>Y</v>
      </c>
      <c r="W1254" s="3">
        <f>IFERROR(__xludf.DUMMYFUNCTION("""COMPUTED_VALUE"""),0.0)</f>
        <v>0</v>
      </c>
      <c r="X1254" s="3" t="str">
        <f>IFERROR(__xludf.DUMMYFUNCTION("""COMPUTED_VALUE"""),"ชั้น 2, โซนบีเทรนด์, ศูนย์การค้าเดอะมอลล์โคราช เลขที่ 1242/2 ตำบลในเมือง อำเภอเมืองนครราชสีมา นครราชสีมา 30000")</f>
        <v>ชั้น 2, โซนบีเทรนด์, ศูนย์การค้าเดอะมอลล์โคราช เลขที่ 1242/2 ตำบลในเมือง อำเภอเมืองนครราชสีมา นครราชสีมา 30000</v>
      </c>
      <c r="Y1254" s="3"/>
      <c r="Z1254" s="3" t="str">
        <f>IFERROR(__xludf.DUMMYFUNCTION("""COMPUTED_VALUE"""),"ในเมือง")</f>
        <v>ในเมือง</v>
      </c>
      <c r="AA1254" s="3" t="str">
        <f>IFERROR(__xludf.DUMMYFUNCTION("""COMPUTED_VALUE"""),"เมือง")</f>
        <v>เมือง</v>
      </c>
      <c r="AB1254" s="3" t="str">
        <f>IFERROR(__xludf.DUMMYFUNCTION("""COMPUTED_VALUE"""),"นครราชสีมา")</f>
        <v>นครราชสีมา</v>
      </c>
      <c r="AC1254" s="3">
        <f>IFERROR(__xludf.DUMMYFUNCTION("""COMPUTED_VALUE"""),30000.0)</f>
        <v>30000</v>
      </c>
      <c r="AD1254" s="3">
        <f>IFERROR(__xludf.DUMMYFUNCTION("""COMPUTED_VALUE"""),0.0)</f>
        <v>0</v>
      </c>
      <c r="AE1254" s="3">
        <f>IFERROR(__xludf.DUMMYFUNCTION("""COMPUTED_VALUE"""),0.0)</f>
        <v>0</v>
      </c>
      <c r="AF1254" s="3" t="str">
        <f>IFERROR(__xludf.DUMMYFUNCTION("""COMPUTED_VALUE"""),"เอเซียบุ๊คส บีเทรนด์ เดอะมอลล์ โคราช-21RB035")</f>
        <v>เอเซียบุ๊คส บีเทรนด์ เดอะมอลล์ โคราช-21RB035</v>
      </c>
      <c r="AG1254" s="3" t="str">
        <f>IFERROR(__xludf.DUMMYFUNCTION("""COMPUTED_VALUE"""),"ตะวันออกเฉียงเหนือ")</f>
        <v>ตะวันออกเฉียงเหนือ</v>
      </c>
      <c r="AH1254" s="3" t="str">
        <f>IFERROR(__xludf.DUMMYFUNCTION("""COMPUTED_VALUE"""),"#N/A")</f>
        <v>#N/A</v>
      </c>
      <c r="AI1254" s="3" t="str">
        <f>IFERROR(__xludf.DUMMYFUNCTION("""COMPUTED_VALUE"""),"Out of warranty")</f>
        <v>Out of warranty</v>
      </c>
      <c r="AJ1254" s="3">
        <f>IFERROR(__xludf.DUMMYFUNCTION("""COMPUTED_VALUE"""),92.0)</f>
        <v>92</v>
      </c>
      <c r="AK1254" s="3"/>
      <c r="AL1254" s="3"/>
    </row>
    <row r="1255" ht="15.75" customHeight="1">
      <c r="A1255" s="1" t="str">
        <f>IFERROR(__xludf.DUMMYFUNCTION("""COMPUTED_VALUE"""),"21RB036")</f>
        <v>21RB036</v>
      </c>
      <c r="B1255" s="2" t="str">
        <f>IFERROR(__xludf.DUMMYFUNCTION("""COMPUTED_VALUE"""),"21RB036")</f>
        <v>21RB036</v>
      </c>
      <c r="C1255" s="3" t="str">
        <f>IFERROR(__xludf.DUMMYFUNCTION("""COMPUTED_VALUE"""),"เอเซียบุ๊คส เซ็นทรัล ลาดพร้าว")</f>
        <v>เอเซียบุ๊คส เซ็นทรัล ลาดพร้าว</v>
      </c>
      <c r="D1255" s="3" t="str">
        <f>IFERROR(__xludf.DUMMYFUNCTION("""COMPUTED_VALUE"""),"ABBK-CL:CENTRAL LARDPHRAO")</f>
        <v>ABBK-CL:CENTRAL LARDPHRAO</v>
      </c>
      <c r="E1255" s="1" t="str">
        <f>IFERROR(__xludf.DUMMYFUNCTION("""COMPUTED_VALUE"""),"AsiaBooks")</f>
        <v>AsiaBooks</v>
      </c>
      <c r="F1255" s="1" t="str">
        <f>IFERROR(__xludf.DUMMYFUNCTION("""COMPUTED_VALUE"""),"1016938")</f>
        <v>1016938</v>
      </c>
      <c r="G1255" s="1" t="str">
        <f>IFERROR(__xludf.DUMMYFUNCTION("""COMPUTED_VALUE"""),"น.ส.ณัฏฐนันท์ ปัญญาสิทธิ์")</f>
        <v>น.ส.ณัฏฐนันท์ ปัญญาสิทธิ์</v>
      </c>
      <c r="H1255" s="1" t="str">
        <f>IFERROR(__xludf.DUMMYFUNCTION("""COMPUTED_VALUE"""),"1007000")</f>
        <v>1007000</v>
      </c>
      <c r="I1255" s="1" t="str">
        <f>IFERROR(__xludf.DUMMYFUNCTION("""COMPUTED_VALUE"""),"น.ส.เสาวลักษณ์ แป้นงาม")</f>
        <v>น.ส.เสาวลักษณ์ แป้นงาม</v>
      </c>
      <c r="J1255" s="3">
        <f>IFERROR(__xludf.DUMMYFUNCTION("""COMPUTED_VALUE"""),1016938.0)</f>
        <v>1016938</v>
      </c>
      <c r="K1255" s="3" t="str">
        <f>IFERROR(__xludf.DUMMYFUNCTION("""COMPUTED_VALUE"""),"น.ส.ณัฏฐนันท์ ปัญญาสิทธิ์")</f>
        <v>น.ส.ณัฏฐนันท์ ปัญญาสิทธิ์</v>
      </c>
      <c r="L1255" s="1" t="str">
        <f>IFERROR(__xludf.DUMMYFUNCTION("""COMPUTED_VALUE"""),"Asia Books")</f>
        <v>Asia Books</v>
      </c>
      <c r="M1255" s="1" t="str">
        <f>IFERROR(__xludf.DUMMYFUNCTION("""COMPUTED_VALUE"""),"0993463946")</f>
        <v>0993463946</v>
      </c>
      <c r="N1255" s="3" t="str">
        <f>IFERROR(__xludf.DUMMYFUNCTION("""COMPUTED_VALUE"""),"21RB036")</f>
        <v>21RB036</v>
      </c>
      <c r="O1255" s="3" t="str">
        <f>IFERROR(__xludf.DUMMYFUNCTION("""COMPUTED_VALUE"""),"เอเซียบุ๊คส เซ็นทรัล ลาดพร้าว")</f>
        <v>เอเซียบุ๊คส เซ็นทรัล ลาดพร้าว</v>
      </c>
      <c r="P1255" s="4">
        <f>IFERROR(__xludf.DUMMYFUNCTION("""COMPUTED_VALUE"""),43271.0)</f>
        <v>43271</v>
      </c>
      <c r="Q1255" s="3" t="str">
        <f>IFERROR(__xludf.DUMMYFUNCTION("""COMPUTED_VALUE"""),"I")</f>
        <v>I</v>
      </c>
      <c r="R1255" s="3" t="str">
        <f>IFERROR(__xludf.DUMMYFUNCTION("""COMPUTED_VALUE"""),"Small Format")</f>
        <v>Small Format</v>
      </c>
      <c r="S1255" s="3" t="str">
        <f>IFERROR(__xludf.DUMMYFUNCTION("""COMPUTED_VALUE"""),"AsiaBooks")</f>
        <v>AsiaBooks</v>
      </c>
      <c r="T1255" s="3" t="str">
        <f>IFERROR(__xludf.DUMMYFUNCTION("""COMPUTED_VALUE"""),"Asia Books")</f>
        <v>Asia Books</v>
      </c>
      <c r="U1255" s="3" t="str">
        <f>IFERROR(__xludf.DUMMYFUNCTION("""COMPUTED_VALUE"""),"#N/A")</f>
        <v>#N/A</v>
      </c>
      <c r="V1255" s="3" t="str">
        <f>IFERROR(__xludf.DUMMYFUNCTION("""COMPUTED_VALUE"""),"Y")</f>
        <v>Y</v>
      </c>
      <c r="W1255" s="3">
        <f>IFERROR(__xludf.DUMMYFUNCTION("""COMPUTED_VALUE"""),0.0)</f>
        <v>0</v>
      </c>
      <c r="X1255" s="3" t="str">
        <f>IFERROR(__xludf.DUMMYFUNCTION("""COMPUTED_VALUE"""),"ชั้น 3, ห้องเลขที่ 301, ศูนย์การค้าเซ็นทรัลพลาซ่า ลาดพร้าว เลขที่ 1693 แขวงจตุจักร เขตจตุจักร กรุงเทพมหานคร 10900")</f>
        <v>ชั้น 3, ห้องเลขที่ 301, ศูนย์การค้าเซ็นทรัลพลาซ่า ลาดพร้าว เลขที่ 1693 แขวงจตุจักร เขตจตุจักร กรุงเทพมหานคร 10900</v>
      </c>
      <c r="Y1255" s="3"/>
      <c r="Z1255" s="3" t="str">
        <f>IFERROR(__xludf.DUMMYFUNCTION("""COMPUTED_VALUE"""),"จตุจักร")</f>
        <v>จตุจักร</v>
      </c>
      <c r="AA1255" s="3" t="str">
        <f>IFERROR(__xludf.DUMMYFUNCTION("""COMPUTED_VALUE"""),"จตุจักร")</f>
        <v>จตุจักร</v>
      </c>
      <c r="AB1255" s="3" t="str">
        <f>IFERROR(__xludf.DUMMYFUNCTION("""COMPUTED_VALUE"""),"กรุงเทพมหานคร")</f>
        <v>กรุงเทพมหานคร</v>
      </c>
      <c r="AC1255" s="3">
        <f>IFERROR(__xludf.DUMMYFUNCTION("""COMPUTED_VALUE"""),10900.0)</f>
        <v>10900</v>
      </c>
      <c r="AD1255" s="3">
        <f>IFERROR(__xludf.DUMMYFUNCTION("""COMPUTED_VALUE"""),0.0)</f>
        <v>0</v>
      </c>
      <c r="AE1255" s="3">
        <f>IFERROR(__xludf.DUMMYFUNCTION("""COMPUTED_VALUE"""),0.0)</f>
        <v>0</v>
      </c>
      <c r="AF1255" s="3" t="str">
        <f>IFERROR(__xludf.DUMMYFUNCTION("""COMPUTED_VALUE"""),"เอเซียบุ๊คส เซ็นทรัล ลาดพร้าว-21RB036")</f>
        <v>เอเซียบุ๊คส เซ็นทรัล ลาดพร้าว-21RB036</v>
      </c>
      <c r="AG1255" s="3" t="str">
        <f>IFERROR(__xludf.DUMMYFUNCTION("""COMPUTED_VALUE"""),"กลาง")</f>
        <v>กลาง</v>
      </c>
      <c r="AH1255" s="3" t="str">
        <f>IFERROR(__xludf.DUMMYFUNCTION("""COMPUTED_VALUE"""),"#N/A")</f>
        <v>#N/A</v>
      </c>
      <c r="AI1255" s="3" t="str">
        <f>IFERROR(__xludf.DUMMYFUNCTION("""COMPUTED_VALUE"""),"Out of warranty")</f>
        <v>Out of warranty</v>
      </c>
      <c r="AJ1255" s="3">
        <f>IFERROR(__xludf.DUMMYFUNCTION("""COMPUTED_VALUE"""),92.0)</f>
        <v>92</v>
      </c>
      <c r="AK1255" s="3"/>
      <c r="AL1255" s="3"/>
    </row>
    <row r="1256" ht="15.75" customHeight="1">
      <c r="A1256" s="1" t="str">
        <f>IFERROR(__xludf.DUMMYFUNCTION("""COMPUTED_VALUE"""),"21RB037")</f>
        <v>21RB037</v>
      </c>
      <c r="B1256" s="2" t="str">
        <f>IFERROR(__xludf.DUMMYFUNCTION("""COMPUTED_VALUE"""),"21RB037")</f>
        <v>21RB037</v>
      </c>
      <c r="C1256" s="3" t="str">
        <f>IFERROR(__xludf.DUMMYFUNCTION("""COMPUTED_VALUE"""),"เอเซียบุ๊คส เซ็นทรัล เชียงใหม่แอร์พอร์ต")</f>
        <v>เอเซียบุ๊คส เซ็นทรัล เชียงใหม่แอร์พอร์ต</v>
      </c>
      <c r="D1256" s="3" t="str">
        <f>IFERROR(__xludf.DUMMYFUNCTION("""COMPUTED_VALUE"""),"ABCM-CA:CENTRAL CHIANGMAI AIRPORT")</f>
        <v>ABCM-CA:CENTRAL CHIANGMAI AIRPORT</v>
      </c>
      <c r="E1256" s="1" t="str">
        <f>IFERROR(__xludf.DUMMYFUNCTION("""COMPUTED_VALUE"""),"AsiaBooks")</f>
        <v>AsiaBooks</v>
      </c>
      <c r="F1256" s="1" t="str">
        <f>IFERROR(__xludf.DUMMYFUNCTION("""COMPUTED_VALUE"""),"1016938")</f>
        <v>1016938</v>
      </c>
      <c r="G1256" s="1" t="str">
        <f>IFERROR(__xludf.DUMMYFUNCTION("""COMPUTED_VALUE"""),"น.ส.ณัฏฐนันท์ ปัญญาสิทธิ์")</f>
        <v>น.ส.ณัฏฐนันท์ ปัญญาสิทธิ์</v>
      </c>
      <c r="H1256" s="1" t="str">
        <f>IFERROR(__xludf.DUMMYFUNCTION("""COMPUTED_VALUE"""),"1007000")</f>
        <v>1007000</v>
      </c>
      <c r="I1256" s="1" t="str">
        <f>IFERROR(__xludf.DUMMYFUNCTION("""COMPUTED_VALUE"""),"น.ส.เสาวลักษณ์ แป้นงาม")</f>
        <v>น.ส.เสาวลักษณ์ แป้นงาม</v>
      </c>
      <c r="J1256" s="3">
        <f>IFERROR(__xludf.DUMMYFUNCTION("""COMPUTED_VALUE"""),1016938.0)</f>
        <v>1016938</v>
      </c>
      <c r="K1256" s="3" t="str">
        <f>IFERROR(__xludf.DUMMYFUNCTION("""COMPUTED_VALUE"""),"น.ส.ณัฏฐนันท์ ปัญญาสิทธิ์")</f>
        <v>น.ส.ณัฏฐนันท์ ปัญญาสิทธิ์</v>
      </c>
      <c r="L1256" s="1" t="str">
        <f>IFERROR(__xludf.DUMMYFUNCTION("""COMPUTED_VALUE"""),"Asia Books")</f>
        <v>Asia Books</v>
      </c>
      <c r="M1256" s="1" t="str">
        <f>IFERROR(__xludf.DUMMYFUNCTION("""COMPUTED_VALUE"""),"0993463946")</f>
        <v>0993463946</v>
      </c>
      <c r="N1256" s="3" t="str">
        <f>IFERROR(__xludf.DUMMYFUNCTION("""COMPUTED_VALUE"""),"21RB037")</f>
        <v>21RB037</v>
      </c>
      <c r="O1256" s="3" t="str">
        <f>IFERROR(__xludf.DUMMYFUNCTION("""COMPUTED_VALUE"""),"เอเซียบุ๊คส เซ็นทรัล เชียงใหม่แอร์พอร์ต")</f>
        <v>เอเซียบุ๊คส เซ็นทรัล เชียงใหม่แอร์พอร์ต</v>
      </c>
      <c r="P1256" s="4">
        <f>IFERROR(__xludf.DUMMYFUNCTION("""COMPUTED_VALUE"""),43271.0)</f>
        <v>43271</v>
      </c>
      <c r="Q1256" s="3" t="str">
        <f>IFERROR(__xludf.DUMMYFUNCTION("""COMPUTED_VALUE"""),"I")</f>
        <v>I</v>
      </c>
      <c r="R1256" s="3" t="str">
        <f>IFERROR(__xludf.DUMMYFUNCTION("""COMPUTED_VALUE"""),"Small Format")</f>
        <v>Small Format</v>
      </c>
      <c r="S1256" s="3" t="str">
        <f>IFERROR(__xludf.DUMMYFUNCTION("""COMPUTED_VALUE"""),"AsiaBooks")</f>
        <v>AsiaBooks</v>
      </c>
      <c r="T1256" s="3" t="str">
        <f>IFERROR(__xludf.DUMMYFUNCTION("""COMPUTED_VALUE"""),"Asia Books")</f>
        <v>Asia Books</v>
      </c>
      <c r="U1256" s="3" t="str">
        <f>IFERROR(__xludf.DUMMYFUNCTION("""COMPUTED_VALUE"""),"#N/A")</f>
        <v>#N/A</v>
      </c>
      <c r="V1256" s="3" t="str">
        <f>IFERROR(__xludf.DUMMYFUNCTION("""COMPUTED_VALUE"""),"Y")</f>
        <v>Y</v>
      </c>
      <c r="W1256" s="3">
        <f>IFERROR(__xludf.DUMMYFUNCTION("""COMPUTED_VALUE"""),0.0)</f>
        <v>0</v>
      </c>
      <c r="X1256" s="3" t="str">
        <f>IFERROR(__xludf.DUMMYFUNCTION("""COMPUTED_VALUE"""),"ชั้น 2, ห้องเลขที่ 258/1, ศูนย์การค้าเซ็นทรัลพลาซา เชียงใหม่ แอร์พอร์ต เลขที่ 2 ตำบลหายยา อำเภอเมืองเชียงใหม่ จังหวัดเชียงใหม่ 50100")</f>
        <v>ชั้น 2, ห้องเลขที่ 258/1, ศูนย์การค้าเซ็นทรัลพลาซา เชียงใหม่ แอร์พอร์ต เลขที่ 2 ตำบลหายยา อำเภอเมืองเชียงใหม่ จังหวัดเชียงใหม่ 50100</v>
      </c>
      <c r="Y1256" s="3"/>
      <c r="Z1256" s="3" t="str">
        <f>IFERROR(__xludf.DUMMYFUNCTION("""COMPUTED_VALUE"""),"หายยา")</f>
        <v>หายยา</v>
      </c>
      <c r="AA1256" s="3" t="str">
        <f>IFERROR(__xludf.DUMMYFUNCTION("""COMPUTED_VALUE"""),"เมือง")</f>
        <v>เมือง</v>
      </c>
      <c r="AB1256" s="3" t="str">
        <f>IFERROR(__xludf.DUMMYFUNCTION("""COMPUTED_VALUE"""),"เชียงใหม่")</f>
        <v>เชียงใหม่</v>
      </c>
      <c r="AC1256" s="3">
        <f>IFERROR(__xludf.DUMMYFUNCTION("""COMPUTED_VALUE"""),50100.0)</f>
        <v>50100</v>
      </c>
      <c r="AD1256" s="3">
        <f>IFERROR(__xludf.DUMMYFUNCTION("""COMPUTED_VALUE"""),0.0)</f>
        <v>0</v>
      </c>
      <c r="AE1256" s="3">
        <f>IFERROR(__xludf.DUMMYFUNCTION("""COMPUTED_VALUE"""),0.0)</f>
        <v>0</v>
      </c>
      <c r="AF1256" s="3" t="str">
        <f>IFERROR(__xludf.DUMMYFUNCTION("""COMPUTED_VALUE"""),"เอเซียบุ๊คส เซ็นทรัล เชียงใหม่แอร์พอร์ต-21RB037")</f>
        <v>เอเซียบุ๊คส เซ็นทรัล เชียงใหม่แอร์พอร์ต-21RB037</v>
      </c>
      <c r="AG1256" s="3" t="str">
        <f>IFERROR(__xludf.DUMMYFUNCTION("""COMPUTED_VALUE"""),"เหนือ")</f>
        <v>เหนือ</v>
      </c>
      <c r="AH1256" s="3" t="str">
        <f>IFERROR(__xludf.DUMMYFUNCTION("""COMPUTED_VALUE"""),"#N/A")</f>
        <v>#N/A</v>
      </c>
      <c r="AI1256" s="3" t="str">
        <f>IFERROR(__xludf.DUMMYFUNCTION("""COMPUTED_VALUE"""),"Out of warranty")</f>
        <v>Out of warranty</v>
      </c>
      <c r="AJ1256" s="3">
        <f>IFERROR(__xludf.DUMMYFUNCTION("""COMPUTED_VALUE"""),92.0)</f>
        <v>92</v>
      </c>
      <c r="AK1256" s="3"/>
      <c r="AL1256" s="3"/>
    </row>
    <row r="1257" ht="15.75" customHeight="1">
      <c r="A1257" s="1" t="str">
        <f>IFERROR(__xludf.DUMMYFUNCTION("""COMPUTED_VALUE"""),"21RB038")</f>
        <v>21RB038</v>
      </c>
      <c r="B1257" s="2" t="str">
        <f>IFERROR(__xludf.DUMMYFUNCTION("""COMPUTED_VALUE"""),"21RB038")</f>
        <v>21RB038</v>
      </c>
      <c r="C1257" s="3" t="str">
        <f>IFERROR(__xludf.DUMMYFUNCTION("""COMPUTED_VALUE"""),"บุ๊คกาซีน โรงพยาบาลบำรุงราษฎร์")</f>
        <v>บุ๊คกาซีน โรงพยาบาลบำรุงราษฎร์</v>
      </c>
      <c r="D1257" s="3" t="str">
        <f>IFERROR(__xludf.DUMMYFUNCTION("""COMPUTED_VALUE"""),"BZBK-BRH:BUMRUNGRAD HOSPITAL")</f>
        <v>BZBK-BRH:BUMRUNGRAD HOSPITAL</v>
      </c>
      <c r="E1257" s="1" t="str">
        <f>IFERROR(__xludf.DUMMYFUNCTION("""COMPUTED_VALUE"""),"AsiaBooks")</f>
        <v>AsiaBooks</v>
      </c>
      <c r="F1257" s="1" t="str">
        <f>IFERROR(__xludf.DUMMYFUNCTION("""COMPUTED_VALUE"""),"1016938")</f>
        <v>1016938</v>
      </c>
      <c r="G1257" s="1" t="str">
        <f>IFERROR(__xludf.DUMMYFUNCTION("""COMPUTED_VALUE"""),"น.ส.ณัฏฐนันท์ ปัญญาสิทธิ์")</f>
        <v>น.ส.ณัฏฐนันท์ ปัญญาสิทธิ์</v>
      </c>
      <c r="H1257" s="1" t="str">
        <f>IFERROR(__xludf.DUMMYFUNCTION("""COMPUTED_VALUE"""),"1007000")</f>
        <v>1007000</v>
      </c>
      <c r="I1257" s="1" t="str">
        <f>IFERROR(__xludf.DUMMYFUNCTION("""COMPUTED_VALUE"""),"น.ส.เสาวลักษณ์ แป้นงาม")</f>
        <v>น.ส.เสาวลักษณ์ แป้นงาม</v>
      </c>
      <c r="J1257" s="3">
        <f>IFERROR(__xludf.DUMMYFUNCTION("""COMPUTED_VALUE"""),1016938.0)</f>
        <v>1016938</v>
      </c>
      <c r="K1257" s="3" t="str">
        <f>IFERROR(__xludf.DUMMYFUNCTION("""COMPUTED_VALUE"""),"น.ส.ณัฏฐนันท์ ปัญญาสิทธิ์")</f>
        <v>น.ส.ณัฏฐนันท์ ปัญญาสิทธิ์</v>
      </c>
      <c r="L1257" s="1" t="str">
        <f>IFERROR(__xludf.DUMMYFUNCTION("""COMPUTED_VALUE"""),"Asia Books")</f>
        <v>Asia Books</v>
      </c>
      <c r="M1257" s="1" t="str">
        <f>IFERROR(__xludf.DUMMYFUNCTION("""COMPUTED_VALUE"""),"0993463946")</f>
        <v>0993463946</v>
      </c>
      <c r="N1257" s="3" t="str">
        <f>IFERROR(__xludf.DUMMYFUNCTION("""COMPUTED_VALUE"""),"21RB042")</f>
        <v>21RB042</v>
      </c>
      <c r="O1257" s="3" t="str">
        <f>IFERROR(__xludf.DUMMYFUNCTION("""COMPUTED_VALUE"""),"Central World - Flagship")</f>
        <v>Central World - Flagship</v>
      </c>
      <c r="P1257" s="4">
        <f>IFERROR(__xludf.DUMMYFUNCTION("""COMPUTED_VALUE"""),43271.0)</f>
        <v>43271</v>
      </c>
      <c r="Q1257" s="3" t="str">
        <f>IFERROR(__xludf.DUMMYFUNCTION("""COMPUTED_VALUE"""),"A")</f>
        <v>A</v>
      </c>
      <c r="R1257" s="3" t="str">
        <f>IFERROR(__xludf.DUMMYFUNCTION("""COMPUTED_VALUE"""),"Small Format")</f>
        <v>Small Format</v>
      </c>
      <c r="S1257" s="3" t="str">
        <f>IFERROR(__xludf.DUMMYFUNCTION("""COMPUTED_VALUE"""),"AsiaBooks")</f>
        <v>AsiaBooks</v>
      </c>
      <c r="T1257" s="3" t="str">
        <f>IFERROR(__xludf.DUMMYFUNCTION("""COMPUTED_VALUE"""),"Asia Books")</f>
        <v>Asia Books</v>
      </c>
      <c r="U1257" s="3" t="str">
        <f>IFERROR(__xludf.DUMMYFUNCTION("""COMPUTED_VALUE"""),"#N/A")</f>
        <v>#N/A</v>
      </c>
      <c r="V1257" s="3" t="str">
        <f>IFERROR(__xludf.DUMMYFUNCTION("""COMPUTED_VALUE"""),"N")</f>
        <v>N</v>
      </c>
      <c r="W1257" s="3">
        <f>IFERROR(__xludf.DUMMYFUNCTION("""COMPUTED_VALUE"""),0.0)</f>
        <v>0</v>
      </c>
      <c r="X1257" s="3" t="str">
        <f>IFERROR(__xludf.DUMMYFUNCTION("""COMPUTED_VALUE"""),"ชั้น 10, โรงพยาบาลบำรุงราษฎร์ เลขที่ 33 แขวงคลองเตยเหนือ เขตวัฒนา กรุงเทพมหานคร 10110")</f>
        <v>ชั้น 10, โรงพยาบาลบำรุงราษฎร์ เลขที่ 33 แขวงคลองเตยเหนือ เขตวัฒนา กรุงเทพมหานคร 10110</v>
      </c>
      <c r="Y1257" s="3"/>
      <c r="Z1257" s="3" t="str">
        <f>IFERROR(__xludf.DUMMYFUNCTION("""COMPUTED_VALUE"""),"คลองเตยเหนือ")</f>
        <v>คลองเตยเหนือ</v>
      </c>
      <c r="AA1257" s="3" t="str">
        <f>IFERROR(__xludf.DUMMYFUNCTION("""COMPUTED_VALUE"""),"วัฒนา")</f>
        <v>วัฒนา</v>
      </c>
      <c r="AB1257" s="3" t="str">
        <f>IFERROR(__xludf.DUMMYFUNCTION("""COMPUTED_VALUE"""),"กรุงเทพมหานคร")</f>
        <v>กรุงเทพมหานคร</v>
      </c>
      <c r="AC1257" s="3">
        <f>IFERROR(__xludf.DUMMYFUNCTION("""COMPUTED_VALUE"""),10110.0)</f>
        <v>10110</v>
      </c>
      <c r="AD1257" s="3">
        <f>IFERROR(__xludf.DUMMYFUNCTION("""COMPUTED_VALUE"""),0.0)</f>
        <v>0</v>
      </c>
      <c r="AE1257" s="3">
        <f>IFERROR(__xludf.DUMMYFUNCTION("""COMPUTED_VALUE"""),0.0)</f>
        <v>0</v>
      </c>
      <c r="AF1257" s="3" t="str">
        <f>IFERROR(__xludf.DUMMYFUNCTION("""COMPUTED_VALUE"""),"บุ๊คกาซีน โรงพยาบาลบำรุงราษฎร์-21RB038")</f>
        <v>บุ๊คกาซีน โรงพยาบาลบำรุงราษฎร์-21RB038</v>
      </c>
      <c r="AG1257" s="3" t="str">
        <f>IFERROR(__xludf.DUMMYFUNCTION("""COMPUTED_VALUE"""),"กลาง")</f>
        <v>กลาง</v>
      </c>
      <c r="AH1257" s="3" t="str">
        <f>IFERROR(__xludf.DUMMYFUNCTION("""COMPUTED_VALUE"""),"#N/A")</f>
        <v>#N/A</v>
      </c>
      <c r="AI1257" s="3" t="str">
        <f>IFERROR(__xludf.DUMMYFUNCTION("""COMPUTED_VALUE"""),"Out of warranty")</f>
        <v>Out of warranty</v>
      </c>
      <c r="AJ1257" s="3">
        <f>IFERROR(__xludf.DUMMYFUNCTION("""COMPUTED_VALUE"""),92.0)</f>
        <v>92</v>
      </c>
      <c r="AK1257" s="3"/>
      <c r="AL1257" s="3"/>
    </row>
    <row r="1258" ht="15.75" customHeight="1">
      <c r="A1258" s="1" t="str">
        <f>IFERROR(__xludf.DUMMYFUNCTION("""COMPUTED_VALUE"""),"21RB039")</f>
        <v>21RB039</v>
      </c>
      <c r="B1258" s="2" t="str">
        <f>IFERROR(__xludf.DUMMYFUNCTION("""COMPUTED_VALUE"""),"21RB039")</f>
        <v>21RB039</v>
      </c>
      <c r="C1258" s="3" t="str">
        <f>IFERROR(__xludf.DUMMYFUNCTION("""COMPUTED_VALUE"""),"Terminal 21")</f>
        <v>Terminal 21</v>
      </c>
      <c r="D1258" s="3" t="str">
        <f>IFERROR(__xludf.DUMMYFUNCTION("""COMPUTED_VALUE"""),"เอเซียบุ๊คส เทอร์มินอล21")</f>
        <v>เอเซียบุ๊คส เทอร์มินอล21</v>
      </c>
      <c r="E1258" s="1" t="str">
        <f>IFERROR(__xludf.DUMMYFUNCTION("""COMPUTED_VALUE"""),"AsiaBooks")</f>
        <v>AsiaBooks</v>
      </c>
      <c r="F1258" s="1" t="str">
        <f>IFERROR(__xludf.DUMMYFUNCTION("""COMPUTED_VALUE"""),"1016938")</f>
        <v>1016938</v>
      </c>
      <c r="G1258" s="1" t="str">
        <f>IFERROR(__xludf.DUMMYFUNCTION("""COMPUTED_VALUE"""),"น.ส.ณัฏฐนันท์ ปัญญาสิทธิ์")</f>
        <v>น.ส.ณัฏฐนันท์ ปัญญาสิทธิ์</v>
      </c>
      <c r="H1258" s="1" t="str">
        <f>IFERROR(__xludf.DUMMYFUNCTION("""COMPUTED_VALUE"""),"2010435")</f>
        <v>2010435</v>
      </c>
      <c r="I1258" s="1" t="str">
        <f>IFERROR(__xludf.DUMMYFUNCTION("""COMPUTED_VALUE"""),"น.ส.ลักษณพร เกิดบุญส่ง")</f>
        <v>น.ส.ลักษณพร เกิดบุญส่ง</v>
      </c>
      <c r="J1258" s="3">
        <f>IFERROR(__xludf.DUMMYFUNCTION("""COMPUTED_VALUE"""),1016938.0)</f>
        <v>1016938</v>
      </c>
      <c r="K1258" s="3" t="str">
        <f>IFERROR(__xludf.DUMMYFUNCTION("""COMPUTED_VALUE"""),"น.ส.ณัฏฐนันท์ ปัญญาสิทธิ์")</f>
        <v>น.ส.ณัฏฐนันท์ ปัญญาสิทธิ์</v>
      </c>
      <c r="L1258" s="1" t="str">
        <f>IFERROR(__xludf.DUMMYFUNCTION("""COMPUTED_VALUE"""),"Asia Books")</f>
        <v>Asia Books</v>
      </c>
      <c r="M1258" s="1" t="str">
        <f>IFERROR(__xludf.DUMMYFUNCTION("""COMPUTED_VALUE"""),"0993463946")</f>
        <v>0993463946</v>
      </c>
      <c r="N1258" s="3" t="str">
        <f>IFERROR(__xludf.DUMMYFUNCTION("""COMPUTED_VALUE"""),"21RB039")</f>
        <v>21RB039</v>
      </c>
      <c r="O1258" s="3" t="str">
        <f>IFERROR(__xludf.DUMMYFUNCTION("""COMPUTED_VALUE"""),"Terminal 21")</f>
        <v>Terminal 21</v>
      </c>
      <c r="P1258" s="4">
        <f>IFERROR(__xludf.DUMMYFUNCTION("""COMPUTED_VALUE"""),43271.0)</f>
        <v>43271</v>
      </c>
      <c r="Q1258" s="3" t="str">
        <f>IFERROR(__xludf.DUMMYFUNCTION("""COMPUTED_VALUE"""),"A")</f>
        <v>A</v>
      </c>
      <c r="R1258" s="3" t="str">
        <f>IFERROR(__xludf.DUMMYFUNCTION("""COMPUTED_VALUE"""),"Small Format")</f>
        <v>Small Format</v>
      </c>
      <c r="S1258" s="3" t="str">
        <f>IFERROR(__xludf.DUMMYFUNCTION("""COMPUTED_VALUE"""),"AsiaBooks")</f>
        <v>AsiaBooks</v>
      </c>
      <c r="T1258" s="3" t="str">
        <f>IFERROR(__xludf.DUMMYFUNCTION("""COMPUTED_VALUE"""),"Asia Books")</f>
        <v>Asia Books</v>
      </c>
      <c r="U1258" s="3" t="str">
        <f>IFERROR(__xludf.DUMMYFUNCTION("""COMPUTED_VALUE"""),"#N/A")</f>
        <v>#N/A</v>
      </c>
      <c r="V1258" s="3" t="str">
        <f>IFERROR(__xludf.DUMMYFUNCTION("""COMPUTED_VALUE"""),"N")</f>
        <v>N</v>
      </c>
      <c r="W1258" s="3">
        <f>IFERROR(__xludf.DUMMYFUNCTION("""COMPUTED_VALUE"""),0.0)</f>
        <v>0</v>
      </c>
      <c r="X1258" s="3" t="str">
        <f>IFERROR(__xludf.DUMMYFUNCTION("""COMPUTED_VALUE"""),"ชั้น LG, ห้องเลขที่ SH-LG-019, ศูนย์การค้าเทอมินอล21 เลขที่ 88 แขวงคลองเตยเหนือ เขตวัฒนา กรุงเทพมหานคร 10110")</f>
        <v>ชั้น LG, ห้องเลขที่ SH-LG-019, ศูนย์การค้าเทอมินอล21 เลขที่ 88 แขวงคลองเตยเหนือ เขตวัฒนา กรุงเทพมหานคร 10110</v>
      </c>
      <c r="Y1258" s="3"/>
      <c r="Z1258" s="3" t="str">
        <f>IFERROR(__xludf.DUMMYFUNCTION("""COMPUTED_VALUE"""),"คลองเตยเหนือ")</f>
        <v>คลองเตยเหนือ</v>
      </c>
      <c r="AA1258" s="3" t="str">
        <f>IFERROR(__xludf.DUMMYFUNCTION("""COMPUTED_VALUE"""),"วัฒนา")</f>
        <v>วัฒนา</v>
      </c>
      <c r="AB1258" s="3" t="str">
        <f>IFERROR(__xludf.DUMMYFUNCTION("""COMPUTED_VALUE"""),"กรุงเทพมหานคร")</f>
        <v>กรุงเทพมหานคร</v>
      </c>
      <c r="AC1258" s="3">
        <f>IFERROR(__xludf.DUMMYFUNCTION("""COMPUTED_VALUE"""),10110.0)</f>
        <v>10110</v>
      </c>
      <c r="AD1258" s="3">
        <f>IFERROR(__xludf.DUMMYFUNCTION("""COMPUTED_VALUE"""),13.73786559)</f>
        <v>13.73786559</v>
      </c>
      <c r="AE1258" s="3">
        <f>IFERROR(__xludf.DUMMYFUNCTION("""COMPUTED_VALUE"""),100.5603484)</f>
        <v>100.5603484</v>
      </c>
      <c r="AF1258" s="3" t="str">
        <f>IFERROR(__xludf.DUMMYFUNCTION("""COMPUTED_VALUE"""),"Terminal 21-21RB039")</f>
        <v>Terminal 21-21RB039</v>
      </c>
      <c r="AG1258" s="3" t="str">
        <f>IFERROR(__xludf.DUMMYFUNCTION("""COMPUTED_VALUE"""),"กลาง")</f>
        <v>กลาง</v>
      </c>
      <c r="AH1258" s="3" t="str">
        <f>IFERROR(__xludf.DUMMYFUNCTION("""COMPUTED_VALUE"""),"#N/A")</f>
        <v>#N/A</v>
      </c>
      <c r="AI1258" s="3" t="str">
        <f>IFERROR(__xludf.DUMMYFUNCTION("""COMPUTED_VALUE"""),"Out of warranty")</f>
        <v>Out of warranty</v>
      </c>
      <c r="AJ1258" s="3">
        <f>IFERROR(__xludf.DUMMYFUNCTION("""COMPUTED_VALUE"""),92.0)</f>
        <v>92</v>
      </c>
      <c r="AK1258" s="3"/>
      <c r="AL1258" s="3"/>
    </row>
    <row r="1259" ht="15.75" customHeight="1">
      <c r="A1259" s="1" t="str">
        <f>IFERROR(__xludf.DUMMYFUNCTION("""COMPUTED_VALUE"""),"21RB040")</f>
        <v>21RB040</v>
      </c>
      <c r="B1259" s="2" t="str">
        <f>IFERROR(__xludf.DUMMYFUNCTION("""COMPUTED_VALUE"""),"21RB040")</f>
        <v>21RB040</v>
      </c>
      <c r="C1259" s="3" t="str">
        <f>IFERROR(__xludf.DUMMYFUNCTION("""COMPUTED_VALUE"""),"Bangkok Hospital BKK")</f>
        <v>Bangkok Hospital BKK</v>
      </c>
      <c r="D1259" s="3" t="str">
        <f>IFERROR(__xludf.DUMMYFUNCTION("""COMPUTED_VALUE"""),"เอเซียบุ๊คส โรงพยาบาลกรุงเทพ")</f>
        <v>เอเซียบุ๊คส โรงพยาบาลกรุงเทพ</v>
      </c>
      <c r="E1259" s="1" t="str">
        <f>IFERROR(__xludf.DUMMYFUNCTION("""COMPUTED_VALUE"""),"AsiaBooks")</f>
        <v>AsiaBooks</v>
      </c>
      <c r="F1259" s="1" t="str">
        <f>IFERROR(__xludf.DUMMYFUNCTION("""COMPUTED_VALUE"""),"1016938")</f>
        <v>1016938</v>
      </c>
      <c r="G1259" s="1" t="str">
        <f>IFERROR(__xludf.DUMMYFUNCTION("""COMPUTED_VALUE"""),"น.ส.ณัฏฐนันท์ ปัญญาสิทธิ์")</f>
        <v>น.ส.ณัฏฐนันท์ ปัญญาสิทธิ์</v>
      </c>
      <c r="H1259" s="1" t="str">
        <f>IFERROR(__xludf.DUMMYFUNCTION("""COMPUTED_VALUE"""),"2010435")</f>
        <v>2010435</v>
      </c>
      <c r="I1259" s="1" t="str">
        <f>IFERROR(__xludf.DUMMYFUNCTION("""COMPUTED_VALUE"""),"น.ส.ลักษณพร เกิดบุญส่ง")</f>
        <v>น.ส.ลักษณพร เกิดบุญส่ง</v>
      </c>
      <c r="J1259" s="3">
        <f>IFERROR(__xludf.DUMMYFUNCTION("""COMPUTED_VALUE"""),1016938.0)</f>
        <v>1016938</v>
      </c>
      <c r="K1259" s="3" t="str">
        <f>IFERROR(__xludf.DUMMYFUNCTION("""COMPUTED_VALUE"""),"น.ส.ณัฏฐนันท์ ปัญญาสิทธิ์")</f>
        <v>น.ส.ณัฏฐนันท์ ปัญญาสิทธิ์</v>
      </c>
      <c r="L1259" s="1" t="str">
        <f>IFERROR(__xludf.DUMMYFUNCTION("""COMPUTED_VALUE"""),"Asia Books")</f>
        <v>Asia Books</v>
      </c>
      <c r="M1259" s="1" t="str">
        <f>IFERROR(__xludf.DUMMYFUNCTION("""COMPUTED_VALUE"""),"0993463946")</f>
        <v>0993463946</v>
      </c>
      <c r="N1259" s="3" t="str">
        <f>IFERROR(__xludf.DUMMYFUNCTION("""COMPUTED_VALUE"""),"21RB040")</f>
        <v>21RB040</v>
      </c>
      <c r="O1259" s="3" t="str">
        <f>IFERROR(__xludf.DUMMYFUNCTION("""COMPUTED_VALUE"""),"Bangkok Hospital BKK")</f>
        <v>Bangkok Hospital BKK</v>
      </c>
      <c r="P1259" s="4">
        <f>IFERROR(__xludf.DUMMYFUNCTION("""COMPUTED_VALUE"""),43271.0)</f>
        <v>43271</v>
      </c>
      <c r="Q1259" s="3" t="str">
        <f>IFERROR(__xludf.DUMMYFUNCTION("""COMPUTED_VALUE"""),"A")</f>
        <v>A</v>
      </c>
      <c r="R1259" s="3" t="str">
        <f>IFERROR(__xludf.DUMMYFUNCTION("""COMPUTED_VALUE"""),"Small Format")</f>
        <v>Small Format</v>
      </c>
      <c r="S1259" s="3" t="str">
        <f>IFERROR(__xludf.DUMMYFUNCTION("""COMPUTED_VALUE"""),"AsiaBooks")</f>
        <v>AsiaBooks</v>
      </c>
      <c r="T1259" s="3" t="str">
        <f>IFERROR(__xludf.DUMMYFUNCTION("""COMPUTED_VALUE"""),"Asia Books")</f>
        <v>Asia Books</v>
      </c>
      <c r="U1259" s="3" t="str">
        <f>IFERROR(__xludf.DUMMYFUNCTION("""COMPUTED_VALUE"""),"#N/A")</f>
        <v>#N/A</v>
      </c>
      <c r="V1259" s="3" t="str">
        <f>IFERROR(__xludf.DUMMYFUNCTION("""COMPUTED_VALUE"""),"N")</f>
        <v>N</v>
      </c>
      <c r="W1259" s="3">
        <f>IFERROR(__xludf.DUMMYFUNCTION("""COMPUTED_VALUE"""),0.0)</f>
        <v>0</v>
      </c>
      <c r="X1259" s="3" t="str">
        <f>IFERROR(__xludf.DUMMYFUNCTION("""COMPUTED_VALUE"""),"ชั้น 1, ห้องเลขที่ 1-06, โรงพยาบาลกรุงเทพ อาคารกรุงเทพพลาซ่า เลขที่ 22 แขวงบางกะปิ เขตห้วยขวาง กรุงเทพมหานคร 10310")</f>
        <v>ชั้น 1, ห้องเลขที่ 1-06, โรงพยาบาลกรุงเทพ อาคารกรุงเทพพลาซ่า เลขที่ 22 แขวงบางกะปิ เขตห้วยขวาง กรุงเทพมหานคร 10310</v>
      </c>
      <c r="Y1259" s="3"/>
      <c r="Z1259" s="3" t="str">
        <f>IFERROR(__xludf.DUMMYFUNCTION("""COMPUTED_VALUE"""),"บางกะปิ")</f>
        <v>บางกะปิ</v>
      </c>
      <c r="AA1259" s="3" t="str">
        <f>IFERROR(__xludf.DUMMYFUNCTION("""COMPUTED_VALUE"""),"ห้วยขวาง")</f>
        <v>ห้วยขวาง</v>
      </c>
      <c r="AB1259" s="3" t="str">
        <f>IFERROR(__xludf.DUMMYFUNCTION("""COMPUTED_VALUE"""),"กรุงเทพมหานคร")</f>
        <v>กรุงเทพมหานคร</v>
      </c>
      <c r="AC1259" s="3">
        <f>IFERROR(__xludf.DUMMYFUNCTION("""COMPUTED_VALUE"""),10310.0)</f>
        <v>10310</v>
      </c>
      <c r="AD1259" s="3">
        <f>IFERROR(__xludf.DUMMYFUNCTION("""COMPUTED_VALUE"""),13.74903287)</f>
        <v>13.74903287</v>
      </c>
      <c r="AE1259" s="3">
        <f>IFERROR(__xludf.DUMMYFUNCTION("""COMPUTED_VALUE"""),100.5831721)</f>
        <v>100.5831721</v>
      </c>
      <c r="AF1259" s="3" t="str">
        <f>IFERROR(__xludf.DUMMYFUNCTION("""COMPUTED_VALUE"""),"Bangkok Hospital BKK-21RB040")</f>
        <v>Bangkok Hospital BKK-21RB040</v>
      </c>
      <c r="AG1259" s="3" t="str">
        <f>IFERROR(__xludf.DUMMYFUNCTION("""COMPUTED_VALUE"""),"กลาง")</f>
        <v>กลาง</v>
      </c>
      <c r="AH1259" s="3" t="str">
        <f>IFERROR(__xludf.DUMMYFUNCTION("""COMPUTED_VALUE"""),"#N/A")</f>
        <v>#N/A</v>
      </c>
      <c r="AI1259" s="3" t="str">
        <f>IFERROR(__xludf.DUMMYFUNCTION("""COMPUTED_VALUE"""),"Out of warranty")</f>
        <v>Out of warranty</v>
      </c>
      <c r="AJ1259" s="3">
        <f>IFERROR(__xludf.DUMMYFUNCTION("""COMPUTED_VALUE"""),92.0)</f>
        <v>92</v>
      </c>
      <c r="AK1259" s="3"/>
      <c r="AL1259" s="3"/>
    </row>
    <row r="1260" ht="15.75" customHeight="1">
      <c r="A1260" s="1" t="str">
        <f>IFERROR(__xludf.DUMMYFUNCTION("""COMPUTED_VALUE"""),"21RB041")</f>
        <v>21RB041</v>
      </c>
      <c r="B1260" s="2" t="str">
        <f>IFERROR(__xludf.DUMMYFUNCTION("""COMPUTED_VALUE"""),"21RB041")</f>
        <v>21RB041</v>
      </c>
      <c r="C1260" s="3" t="str">
        <f>IFERROR(__xludf.DUMMYFUNCTION("""COMPUTED_VALUE"""),"บุ๊คกาซีน หาดใหญ่ แอร์พอร์ต")</f>
        <v>บุ๊คกาซีน หาดใหญ่ แอร์พอร์ต</v>
      </c>
      <c r="D1260" s="3" t="str">
        <f>IFERROR(__xludf.DUMMYFUNCTION("""COMPUTED_VALUE"""),"BZSK-HYAP:HADYAI AIRPORT")</f>
        <v>BZSK-HYAP:HADYAI AIRPORT</v>
      </c>
      <c r="E1260" s="1" t="str">
        <f>IFERROR(__xludf.DUMMYFUNCTION("""COMPUTED_VALUE"""),"AsiaBooks")</f>
        <v>AsiaBooks</v>
      </c>
      <c r="F1260" s="1" t="str">
        <f>IFERROR(__xludf.DUMMYFUNCTION("""COMPUTED_VALUE"""),"1016938")</f>
        <v>1016938</v>
      </c>
      <c r="G1260" s="1" t="str">
        <f>IFERROR(__xludf.DUMMYFUNCTION("""COMPUTED_VALUE"""),"น.ส.ณัฏฐนันท์ ปัญญาสิทธิ์")</f>
        <v>น.ส.ณัฏฐนันท์ ปัญญาสิทธิ์</v>
      </c>
      <c r="H1260" s="1" t="str">
        <f>IFERROR(__xludf.DUMMYFUNCTION("""COMPUTED_VALUE"""),"1007000")</f>
        <v>1007000</v>
      </c>
      <c r="I1260" s="1" t="str">
        <f>IFERROR(__xludf.DUMMYFUNCTION("""COMPUTED_VALUE"""),"น.ส.เสาวลักษณ์ แป้นงาม")</f>
        <v>น.ส.เสาวลักษณ์ แป้นงาม</v>
      </c>
      <c r="J1260" s="3">
        <f>IFERROR(__xludf.DUMMYFUNCTION("""COMPUTED_VALUE"""),1016938.0)</f>
        <v>1016938</v>
      </c>
      <c r="K1260" s="3" t="str">
        <f>IFERROR(__xludf.DUMMYFUNCTION("""COMPUTED_VALUE"""),"น.ส.ณัฏฐนันท์ ปัญญาสิทธิ์")</f>
        <v>น.ส.ณัฏฐนันท์ ปัญญาสิทธิ์</v>
      </c>
      <c r="L1260" s="1" t="str">
        <f>IFERROR(__xludf.DUMMYFUNCTION("""COMPUTED_VALUE"""),"Asia Books")</f>
        <v>Asia Books</v>
      </c>
      <c r="M1260" s="1" t="str">
        <f>IFERROR(__xludf.DUMMYFUNCTION("""COMPUTED_VALUE"""),"0993463946")</f>
        <v>0993463946</v>
      </c>
      <c r="N1260" s="3" t="str">
        <f>IFERROR(__xludf.DUMMYFUNCTION("""COMPUTED_VALUE"""),"21RB041")</f>
        <v>21RB041</v>
      </c>
      <c r="O1260" s="3" t="str">
        <f>IFERROR(__xludf.DUMMYFUNCTION("""COMPUTED_VALUE"""),"บุ๊คกาซีน หาดใหญ่ แอร์พอร์ต")</f>
        <v>บุ๊คกาซีน หาดใหญ่ แอร์พอร์ต</v>
      </c>
      <c r="P1260" s="4">
        <f>IFERROR(__xludf.DUMMYFUNCTION("""COMPUTED_VALUE"""),43271.0)</f>
        <v>43271</v>
      </c>
      <c r="Q1260" s="3" t="str">
        <f>IFERROR(__xludf.DUMMYFUNCTION("""COMPUTED_VALUE"""),"I")</f>
        <v>I</v>
      </c>
      <c r="R1260" s="3" t="str">
        <f>IFERROR(__xludf.DUMMYFUNCTION("""COMPUTED_VALUE"""),"Small Format")</f>
        <v>Small Format</v>
      </c>
      <c r="S1260" s="3" t="str">
        <f>IFERROR(__xludf.DUMMYFUNCTION("""COMPUTED_VALUE"""),"AsiaBooks")</f>
        <v>AsiaBooks</v>
      </c>
      <c r="T1260" s="3" t="str">
        <f>IFERROR(__xludf.DUMMYFUNCTION("""COMPUTED_VALUE"""),"Asia Books")</f>
        <v>Asia Books</v>
      </c>
      <c r="U1260" s="3" t="str">
        <f>IFERROR(__xludf.DUMMYFUNCTION("""COMPUTED_VALUE"""),"#N/A")</f>
        <v>#N/A</v>
      </c>
      <c r="V1260" s="3" t="str">
        <f>IFERROR(__xludf.DUMMYFUNCTION("""COMPUTED_VALUE"""),"Y")</f>
        <v>Y</v>
      </c>
      <c r="W1260" s="3">
        <f>IFERROR(__xludf.DUMMYFUNCTION("""COMPUTED_VALUE"""),0.0)</f>
        <v>0</v>
      </c>
      <c r="X1260" s="3" t="str">
        <f>IFERROR(__xludf.DUMMYFUNCTION("""COMPUTED_VALUE"""),"ท่าอากาศยานหาดใหญ่ เลขที่ 99 ตำบลคลองหลา อำเภอคลองหอยโข่ง จังหวัดสงขลา 90115")</f>
        <v>ท่าอากาศยานหาดใหญ่ เลขที่ 99 ตำบลคลองหลา อำเภอคลองหอยโข่ง จังหวัดสงขลา 90115</v>
      </c>
      <c r="Y1260" s="3"/>
      <c r="Z1260" s="3" t="str">
        <f>IFERROR(__xludf.DUMMYFUNCTION("""COMPUTED_VALUE"""),"คลองหลา")</f>
        <v>คลองหลา</v>
      </c>
      <c r="AA1260" s="3" t="str">
        <f>IFERROR(__xludf.DUMMYFUNCTION("""COMPUTED_VALUE"""),"คลองหอยโข่ง")</f>
        <v>คลองหอยโข่ง</v>
      </c>
      <c r="AB1260" s="3" t="str">
        <f>IFERROR(__xludf.DUMMYFUNCTION("""COMPUTED_VALUE"""),"สงขลา")</f>
        <v>สงขลา</v>
      </c>
      <c r="AC1260" s="3">
        <f>IFERROR(__xludf.DUMMYFUNCTION("""COMPUTED_VALUE"""),90115.0)</f>
        <v>90115</v>
      </c>
      <c r="AD1260" s="3">
        <f>IFERROR(__xludf.DUMMYFUNCTION("""COMPUTED_VALUE"""),0.0)</f>
        <v>0</v>
      </c>
      <c r="AE1260" s="3">
        <f>IFERROR(__xludf.DUMMYFUNCTION("""COMPUTED_VALUE"""),0.0)</f>
        <v>0</v>
      </c>
      <c r="AF1260" s="3" t="str">
        <f>IFERROR(__xludf.DUMMYFUNCTION("""COMPUTED_VALUE"""),"บุ๊คกาซีน หาดใหญ่ แอร์พอร์ต-21RB041")</f>
        <v>บุ๊คกาซีน หาดใหญ่ แอร์พอร์ต-21RB041</v>
      </c>
      <c r="AG1260" s="3" t="str">
        <f>IFERROR(__xludf.DUMMYFUNCTION("""COMPUTED_VALUE"""),"ใต้")</f>
        <v>ใต้</v>
      </c>
      <c r="AH1260" s="3" t="str">
        <f>IFERROR(__xludf.DUMMYFUNCTION("""COMPUTED_VALUE"""),"#N/A")</f>
        <v>#N/A</v>
      </c>
      <c r="AI1260" s="3" t="str">
        <f>IFERROR(__xludf.DUMMYFUNCTION("""COMPUTED_VALUE"""),"Out of warranty")</f>
        <v>Out of warranty</v>
      </c>
      <c r="AJ1260" s="3">
        <f>IFERROR(__xludf.DUMMYFUNCTION("""COMPUTED_VALUE"""),92.0)</f>
        <v>92</v>
      </c>
      <c r="AK1260" s="3"/>
      <c r="AL1260" s="3"/>
    </row>
    <row r="1261" ht="15.75" customHeight="1">
      <c r="A1261" s="1" t="str">
        <f>IFERROR(__xludf.DUMMYFUNCTION("""COMPUTED_VALUE"""),"21RB042")</f>
        <v>21RB042</v>
      </c>
      <c r="B1261" s="2" t="str">
        <f>IFERROR(__xludf.DUMMYFUNCTION("""COMPUTED_VALUE"""),"21RB042")</f>
        <v>21RB042</v>
      </c>
      <c r="C1261" s="3" t="str">
        <f>IFERROR(__xludf.DUMMYFUNCTION("""COMPUTED_VALUE"""),"Central World - Flagship")</f>
        <v>Central World - Flagship</v>
      </c>
      <c r="D1261" s="3" t="str">
        <f>IFERROR(__xludf.DUMMYFUNCTION("""COMPUTED_VALUE"""),"เอเซียบุ๊คส เซ็นทรัลเวิลด์")</f>
        <v>เอเซียบุ๊คส เซ็นทรัลเวิลด์</v>
      </c>
      <c r="E1261" s="1" t="str">
        <f>IFERROR(__xludf.DUMMYFUNCTION("""COMPUTED_VALUE"""),"AsiaBooks")</f>
        <v>AsiaBooks</v>
      </c>
      <c r="F1261" s="1" t="str">
        <f>IFERROR(__xludf.DUMMYFUNCTION("""COMPUTED_VALUE"""),"1016938")</f>
        <v>1016938</v>
      </c>
      <c r="G1261" s="1" t="str">
        <f>IFERROR(__xludf.DUMMYFUNCTION("""COMPUTED_VALUE"""),"น.ส.ณัฏฐนันท์ ปัญญาสิทธิ์")</f>
        <v>น.ส.ณัฏฐนันท์ ปัญญาสิทธิ์</v>
      </c>
      <c r="H1261" s="1" t="str">
        <f>IFERROR(__xludf.DUMMYFUNCTION("""COMPUTED_VALUE"""),"1007000")</f>
        <v>1007000</v>
      </c>
      <c r="I1261" s="1" t="str">
        <f>IFERROR(__xludf.DUMMYFUNCTION("""COMPUTED_VALUE"""),"น.ส.เสาวลักษณ์ แป้นงาม")</f>
        <v>น.ส.เสาวลักษณ์ แป้นงาม</v>
      </c>
      <c r="J1261" s="3">
        <f>IFERROR(__xludf.DUMMYFUNCTION("""COMPUTED_VALUE"""),1016938.0)</f>
        <v>1016938</v>
      </c>
      <c r="K1261" s="3" t="str">
        <f>IFERROR(__xludf.DUMMYFUNCTION("""COMPUTED_VALUE"""),"น.ส.ณัฏฐนันท์ ปัญญาสิทธิ์")</f>
        <v>น.ส.ณัฏฐนันท์ ปัญญาสิทธิ์</v>
      </c>
      <c r="L1261" s="1" t="str">
        <f>IFERROR(__xludf.DUMMYFUNCTION("""COMPUTED_VALUE"""),"Asia Books")</f>
        <v>Asia Books</v>
      </c>
      <c r="M1261" s="1" t="str">
        <f>IFERROR(__xludf.DUMMYFUNCTION("""COMPUTED_VALUE"""),"0993463946")</f>
        <v>0993463946</v>
      </c>
      <c r="N1261" s="3" t="str">
        <f>IFERROR(__xludf.DUMMYFUNCTION("""COMPUTED_VALUE"""),"21RB042")</f>
        <v>21RB042</v>
      </c>
      <c r="O1261" s="3" t="str">
        <f>IFERROR(__xludf.DUMMYFUNCTION("""COMPUTED_VALUE"""),"Central World - Flagship")</f>
        <v>Central World - Flagship</v>
      </c>
      <c r="P1261" s="4">
        <f>IFERROR(__xludf.DUMMYFUNCTION("""COMPUTED_VALUE"""),43271.0)</f>
        <v>43271</v>
      </c>
      <c r="Q1261" s="3" t="str">
        <f>IFERROR(__xludf.DUMMYFUNCTION("""COMPUTED_VALUE"""),"A")</f>
        <v>A</v>
      </c>
      <c r="R1261" s="3" t="str">
        <f>IFERROR(__xludf.DUMMYFUNCTION("""COMPUTED_VALUE"""),"Small Format")</f>
        <v>Small Format</v>
      </c>
      <c r="S1261" s="3" t="str">
        <f>IFERROR(__xludf.DUMMYFUNCTION("""COMPUTED_VALUE"""),"AsiaBooks")</f>
        <v>AsiaBooks</v>
      </c>
      <c r="T1261" s="3" t="str">
        <f>IFERROR(__xludf.DUMMYFUNCTION("""COMPUTED_VALUE"""),"Asia Books")</f>
        <v>Asia Books</v>
      </c>
      <c r="U1261" s="3" t="str">
        <f>IFERROR(__xludf.DUMMYFUNCTION("""COMPUTED_VALUE"""),"#N/A")</f>
        <v>#N/A</v>
      </c>
      <c r="V1261" s="3" t="str">
        <f>IFERROR(__xludf.DUMMYFUNCTION("""COMPUTED_VALUE"""),"N")</f>
        <v>N</v>
      </c>
      <c r="W1261" s="3">
        <f>IFERROR(__xludf.DUMMYFUNCTION("""COMPUTED_VALUE"""),0.0)</f>
        <v>0</v>
      </c>
      <c r="X1261" s="3" t="str">
        <f>IFERROR(__xludf.DUMMYFUNCTION("""COMPUTED_VALUE"""),"ชั้น 6 ห้องเลขที่ C612 ศูนย์การค้าเซ็นทรัลเวิลด์ เลขที่ 4, 4/1-2 แขวงปทุมวัน เขตปทุมวัน กรุงเทพมหานคร 10330")</f>
        <v>ชั้น 6 ห้องเลขที่ C612 ศูนย์การค้าเซ็นทรัลเวิลด์ เลขที่ 4, 4/1-2 แขวงปทุมวัน เขตปทุมวัน กรุงเทพมหานคร 10330</v>
      </c>
      <c r="Y1261" s="3"/>
      <c r="Z1261" s="3" t="str">
        <f>IFERROR(__xludf.DUMMYFUNCTION("""COMPUTED_VALUE"""),"ปทุมวัน")</f>
        <v>ปทุมวัน</v>
      </c>
      <c r="AA1261" s="3" t="str">
        <f>IFERROR(__xludf.DUMMYFUNCTION("""COMPUTED_VALUE"""),"ปทุมวัน")</f>
        <v>ปทุมวัน</v>
      </c>
      <c r="AB1261" s="3" t="str">
        <f>IFERROR(__xludf.DUMMYFUNCTION("""COMPUTED_VALUE"""),"กรุงเทพมหานคร")</f>
        <v>กรุงเทพมหานคร</v>
      </c>
      <c r="AC1261" s="3">
        <f>IFERROR(__xludf.DUMMYFUNCTION("""COMPUTED_VALUE"""),10330.0)</f>
        <v>10330</v>
      </c>
      <c r="AD1261" s="3">
        <f>IFERROR(__xludf.DUMMYFUNCTION("""COMPUTED_VALUE"""),13.74936611)</f>
        <v>13.74936611</v>
      </c>
      <c r="AE1261" s="3">
        <f>IFERROR(__xludf.DUMMYFUNCTION("""COMPUTED_VALUE"""),100.5392344)</f>
        <v>100.5392344</v>
      </c>
      <c r="AF1261" s="3" t="str">
        <f>IFERROR(__xludf.DUMMYFUNCTION("""COMPUTED_VALUE"""),"Central World - Flagship-21RB042")</f>
        <v>Central World - Flagship-21RB042</v>
      </c>
      <c r="AG1261" s="3" t="str">
        <f>IFERROR(__xludf.DUMMYFUNCTION("""COMPUTED_VALUE"""),"กลาง")</f>
        <v>กลาง</v>
      </c>
      <c r="AH1261" s="3" t="str">
        <f>IFERROR(__xludf.DUMMYFUNCTION("""COMPUTED_VALUE"""),"#N/A")</f>
        <v>#N/A</v>
      </c>
      <c r="AI1261" s="3" t="str">
        <f>IFERROR(__xludf.DUMMYFUNCTION("""COMPUTED_VALUE"""),"Out of warranty")</f>
        <v>Out of warranty</v>
      </c>
      <c r="AJ1261" s="3">
        <f>IFERROR(__xludf.DUMMYFUNCTION("""COMPUTED_VALUE"""),92.0)</f>
        <v>92</v>
      </c>
      <c r="AK1261" s="3"/>
      <c r="AL1261" s="3"/>
    </row>
    <row r="1262" ht="15.75" customHeight="1">
      <c r="A1262" s="1" t="str">
        <f>IFERROR(__xludf.DUMMYFUNCTION("""COMPUTED_VALUE"""),"21RB043")</f>
        <v>21RB043</v>
      </c>
      <c r="B1262" s="2" t="str">
        <f>IFERROR(__xludf.DUMMYFUNCTION("""COMPUTED_VALUE"""),"21RB043")</f>
        <v>21RB043</v>
      </c>
      <c r="C1262" s="3" t="str">
        <f>IFERROR(__xludf.DUMMYFUNCTION("""COMPUTED_VALUE"""),"Central Rama9")</f>
        <v>Central Rama9</v>
      </c>
      <c r="D1262" s="3" t="str">
        <f>IFERROR(__xludf.DUMMYFUNCTION("""COMPUTED_VALUE"""),"เอเซียบุ๊คส เซ็นทรัลพระราม9")</f>
        <v>เอเซียบุ๊คส เซ็นทรัลพระราม9</v>
      </c>
      <c r="E1262" s="1" t="str">
        <f>IFERROR(__xludf.DUMMYFUNCTION("""COMPUTED_VALUE"""),"AsiaBooks")</f>
        <v>AsiaBooks</v>
      </c>
      <c r="F1262" s="1" t="str">
        <f>IFERROR(__xludf.DUMMYFUNCTION("""COMPUTED_VALUE"""),"1016938")</f>
        <v>1016938</v>
      </c>
      <c r="G1262" s="1" t="str">
        <f>IFERROR(__xludf.DUMMYFUNCTION("""COMPUTED_VALUE"""),"น.ส.ณัฏฐนันท์ ปัญญาสิทธิ์")</f>
        <v>น.ส.ณัฏฐนันท์ ปัญญาสิทธิ์</v>
      </c>
      <c r="H1262" s="1" t="str">
        <f>IFERROR(__xludf.DUMMYFUNCTION("""COMPUTED_VALUE"""),"2010435")</f>
        <v>2010435</v>
      </c>
      <c r="I1262" s="1" t="str">
        <f>IFERROR(__xludf.DUMMYFUNCTION("""COMPUTED_VALUE"""),"น.ส.ลักษณพร เกิดบุญส่ง")</f>
        <v>น.ส.ลักษณพร เกิดบุญส่ง</v>
      </c>
      <c r="J1262" s="3">
        <f>IFERROR(__xludf.DUMMYFUNCTION("""COMPUTED_VALUE"""),1016938.0)</f>
        <v>1016938</v>
      </c>
      <c r="K1262" s="3" t="str">
        <f>IFERROR(__xludf.DUMMYFUNCTION("""COMPUTED_VALUE"""),"น.ส.ณัฏฐนันท์ ปัญญาสิทธิ์")</f>
        <v>น.ส.ณัฏฐนันท์ ปัญญาสิทธิ์</v>
      </c>
      <c r="L1262" s="1" t="str">
        <f>IFERROR(__xludf.DUMMYFUNCTION("""COMPUTED_VALUE"""),"Asia Books")</f>
        <v>Asia Books</v>
      </c>
      <c r="M1262" s="1" t="str">
        <f>IFERROR(__xludf.DUMMYFUNCTION("""COMPUTED_VALUE"""),"0993463946")</f>
        <v>0993463946</v>
      </c>
      <c r="N1262" s="3" t="str">
        <f>IFERROR(__xludf.DUMMYFUNCTION("""COMPUTED_VALUE"""),"21RB043")</f>
        <v>21RB043</v>
      </c>
      <c r="O1262" s="3" t="str">
        <f>IFERROR(__xludf.DUMMYFUNCTION("""COMPUTED_VALUE"""),"Central Rama9")</f>
        <v>Central Rama9</v>
      </c>
      <c r="P1262" s="4">
        <f>IFERROR(__xludf.DUMMYFUNCTION("""COMPUTED_VALUE"""),43271.0)</f>
        <v>43271</v>
      </c>
      <c r="Q1262" s="3" t="str">
        <f>IFERROR(__xludf.DUMMYFUNCTION("""COMPUTED_VALUE"""),"A")</f>
        <v>A</v>
      </c>
      <c r="R1262" s="3" t="str">
        <f>IFERROR(__xludf.DUMMYFUNCTION("""COMPUTED_VALUE"""),"Small Format")</f>
        <v>Small Format</v>
      </c>
      <c r="S1262" s="3" t="str">
        <f>IFERROR(__xludf.DUMMYFUNCTION("""COMPUTED_VALUE"""),"AsiaBooks")</f>
        <v>AsiaBooks</v>
      </c>
      <c r="T1262" s="3" t="str">
        <f>IFERROR(__xludf.DUMMYFUNCTION("""COMPUTED_VALUE"""),"Asia Books")</f>
        <v>Asia Books</v>
      </c>
      <c r="U1262" s="3" t="str">
        <f>IFERROR(__xludf.DUMMYFUNCTION("""COMPUTED_VALUE"""),"#N/A")</f>
        <v>#N/A</v>
      </c>
      <c r="V1262" s="3" t="str">
        <f>IFERROR(__xludf.DUMMYFUNCTION("""COMPUTED_VALUE"""),"N")</f>
        <v>N</v>
      </c>
      <c r="W1262" s="3">
        <f>IFERROR(__xludf.DUMMYFUNCTION("""COMPUTED_VALUE"""),0.0)</f>
        <v>0</v>
      </c>
      <c r="X1262" s="3" t="str">
        <f>IFERROR(__xludf.DUMMYFUNCTION("""COMPUTED_VALUE"""),"ชั้น 5 ห้องเลขที่ 526/1-526/2, ศูนย์การค้าเซ็นทรัลพลาซาพระราม9 เลขที่ 9/9 แขวงห้วยขวาง เขตห้วยขวาง กรุงเทพมหานคร 10310")</f>
        <v>ชั้น 5 ห้องเลขที่ 526/1-526/2, ศูนย์การค้าเซ็นทรัลพลาซาพระราม9 เลขที่ 9/9 แขวงห้วยขวาง เขตห้วยขวาง กรุงเทพมหานคร 10310</v>
      </c>
      <c r="Y1262" s="3"/>
      <c r="Z1262" s="3" t="str">
        <f>IFERROR(__xludf.DUMMYFUNCTION("""COMPUTED_VALUE"""),"ห้วยขวาง")</f>
        <v>ห้วยขวาง</v>
      </c>
      <c r="AA1262" s="3" t="str">
        <f>IFERROR(__xludf.DUMMYFUNCTION("""COMPUTED_VALUE"""),"ห้วยขวาง")</f>
        <v>ห้วยขวาง</v>
      </c>
      <c r="AB1262" s="3" t="str">
        <f>IFERROR(__xludf.DUMMYFUNCTION("""COMPUTED_VALUE"""),"กรุงเทพมหานคร")</f>
        <v>กรุงเทพมหานคร</v>
      </c>
      <c r="AC1262" s="3">
        <f>IFERROR(__xludf.DUMMYFUNCTION("""COMPUTED_VALUE"""),10310.0)</f>
        <v>10310</v>
      </c>
      <c r="AD1262" s="3">
        <f>IFERROR(__xludf.DUMMYFUNCTION("""COMPUTED_VALUE"""),13.75886961)</f>
        <v>13.75886961</v>
      </c>
      <c r="AE1262" s="3">
        <f>IFERROR(__xludf.DUMMYFUNCTION("""COMPUTED_VALUE"""),100.5659543)</f>
        <v>100.5659543</v>
      </c>
      <c r="AF1262" s="3" t="str">
        <f>IFERROR(__xludf.DUMMYFUNCTION("""COMPUTED_VALUE"""),"Central Rama9-21RB043")</f>
        <v>Central Rama9-21RB043</v>
      </c>
      <c r="AG1262" s="3" t="str">
        <f>IFERROR(__xludf.DUMMYFUNCTION("""COMPUTED_VALUE"""),"กลาง")</f>
        <v>กลาง</v>
      </c>
      <c r="AH1262" s="3" t="str">
        <f>IFERROR(__xludf.DUMMYFUNCTION("""COMPUTED_VALUE"""),"#N/A")</f>
        <v>#N/A</v>
      </c>
      <c r="AI1262" s="3" t="str">
        <f>IFERROR(__xludf.DUMMYFUNCTION("""COMPUTED_VALUE"""),"Out of warranty")</f>
        <v>Out of warranty</v>
      </c>
      <c r="AJ1262" s="3">
        <f>IFERROR(__xludf.DUMMYFUNCTION("""COMPUTED_VALUE"""),92.0)</f>
        <v>92</v>
      </c>
      <c r="AK1262" s="3"/>
      <c r="AL1262" s="3"/>
    </row>
    <row r="1263" ht="15.75" customHeight="1">
      <c r="A1263" s="1" t="str">
        <f>IFERROR(__xludf.DUMMYFUNCTION("""COMPUTED_VALUE"""),"21RB044")</f>
        <v>21RB044</v>
      </c>
      <c r="B1263" s="2" t="str">
        <f>IFERROR(__xludf.DUMMYFUNCTION("""COMPUTED_VALUE"""),"21RB044")</f>
        <v>21RB044</v>
      </c>
      <c r="C1263" s="3" t="str">
        <f>IFERROR(__xludf.DUMMYFUNCTION("""COMPUTED_VALUE"""),"Central Plaza Udonthani")</f>
        <v>Central Plaza Udonthani</v>
      </c>
      <c r="D1263" s="3" t="str">
        <f>IFERROR(__xludf.DUMMYFUNCTION("""COMPUTED_VALUE"""),"เอเซียบุ๊คส เซ็นทรัล พลาซาอุดรธานี")</f>
        <v>เอเซียบุ๊คส เซ็นทรัล พลาซาอุดรธานี</v>
      </c>
      <c r="E1263" s="1" t="str">
        <f>IFERROR(__xludf.DUMMYFUNCTION("""COMPUTED_VALUE"""),"AsiaBooks")</f>
        <v>AsiaBooks</v>
      </c>
      <c r="F1263" s="1" t="str">
        <f>IFERROR(__xludf.DUMMYFUNCTION("""COMPUTED_VALUE"""),"1016938")</f>
        <v>1016938</v>
      </c>
      <c r="G1263" s="1" t="str">
        <f>IFERROR(__xludf.DUMMYFUNCTION("""COMPUTED_VALUE"""),"น.ส.ณัฏฐนันท์ ปัญญาสิทธิ์")</f>
        <v>น.ส.ณัฏฐนันท์ ปัญญาสิทธิ์</v>
      </c>
      <c r="H1263" s="1" t="str">
        <f>IFERROR(__xludf.DUMMYFUNCTION("""COMPUTED_VALUE"""),"1015594")</f>
        <v>1015594</v>
      </c>
      <c r="I1263" s="1" t="str">
        <f>IFERROR(__xludf.DUMMYFUNCTION("""COMPUTED_VALUE"""),"น.ส.อาพัทยา ยะอุโมงค์")</f>
        <v>น.ส.อาพัทยา ยะอุโมงค์</v>
      </c>
      <c r="J1263" s="3">
        <f>IFERROR(__xludf.DUMMYFUNCTION("""COMPUTED_VALUE"""),1016938.0)</f>
        <v>1016938</v>
      </c>
      <c r="K1263" s="3" t="str">
        <f>IFERROR(__xludf.DUMMYFUNCTION("""COMPUTED_VALUE"""),"น.ส.ณัฏฐนันท์ ปัญญาสิทธิ์")</f>
        <v>น.ส.ณัฏฐนันท์ ปัญญาสิทธิ์</v>
      </c>
      <c r="L1263" s="1" t="str">
        <f>IFERROR(__xludf.DUMMYFUNCTION("""COMPUTED_VALUE"""),"Asia Books")</f>
        <v>Asia Books</v>
      </c>
      <c r="M1263" s="1" t="str">
        <f>IFERROR(__xludf.DUMMYFUNCTION("""COMPUTED_VALUE"""),"0993463946")</f>
        <v>0993463946</v>
      </c>
      <c r="N1263" s="3" t="str">
        <f>IFERROR(__xludf.DUMMYFUNCTION("""COMPUTED_VALUE"""),"21RB044")</f>
        <v>21RB044</v>
      </c>
      <c r="O1263" s="3" t="str">
        <f>IFERROR(__xludf.DUMMYFUNCTION("""COMPUTED_VALUE"""),"Central Plaza Udonthani")</f>
        <v>Central Plaza Udonthani</v>
      </c>
      <c r="P1263" s="4">
        <f>IFERROR(__xludf.DUMMYFUNCTION("""COMPUTED_VALUE"""),43271.0)</f>
        <v>43271</v>
      </c>
      <c r="Q1263" s="3" t="str">
        <f>IFERROR(__xludf.DUMMYFUNCTION("""COMPUTED_VALUE"""),"A")</f>
        <v>A</v>
      </c>
      <c r="R1263" s="3" t="str">
        <f>IFERROR(__xludf.DUMMYFUNCTION("""COMPUTED_VALUE"""),"Small Format")</f>
        <v>Small Format</v>
      </c>
      <c r="S1263" s="3" t="str">
        <f>IFERROR(__xludf.DUMMYFUNCTION("""COMPUTED_VALUE"""),"AsiaBooks")</f>
        <v>AsiaBooks</v>
      </c>
      <c r="T1263" s="3" t="str">
        <f>IFERROR(__xludf.DUMMYFUNCTION("""COMPUTED_VALUE"""),"Asia Books")</f>
        <v>Asia Books</v>
      </c>
      <c r="U1263" s="3" t="str">
        <f>IFERROR(__xludf.DUMMYFUNCTION("""COMPUTED_VALUE"""),"#N/A")</f>
        <v>#N/A</v>
      </c>
      <c r="V1263" s="3" t="str">
        <f>IFERROR(__xludf.DUMMYFUNCTION("""COMPUTED_VALUE"""),"N")</f>
        <v>N</v>
      </c>
      <c r="W1263" s="3">
        <f>IFERROR(__xludf.DUMMYFUNCTION("""COMPUTED_VALUE"""),0.0)</f>
        <v>0</v>
      </c>
      <c r="X1263" s="3" t="str">
        <f>IFERROR(__xludf.DUMMYFUNCTION("""COMPUTED_VALUE"""),"ชั้น G ห้องเลขที่ G11, ศูนย์การค้าเซ็นทรัลพลาซาอุดรธานี เลขที่ 277/1-3 ตำบลหมากแข้ง อำเภอเมืองอุดรธานี จังหวัดอุดรธานี 41000")</f>
        <v>ชั้น G ห้องเลขที่ G11, ศูนย์การค้าเซ็นทรัลพลาซาอุดรธานี เลขที่ 277/1-3 ตำบลหมากแข้ง อำเภอเมืองอุดรธานี จังหวัดอุดรธานี 41000</v>
      </c>
      <c r="Y1263" s="3"/>
      <c r="Z1263" s="3" t="str">
        <f>IFERROR(__xludf.DUMMYFUNCTION("""COMPUTED_VALUE"""),"หมากแข้ง")</f>
        <v>หมากแข้ง</v>
      </c>
      <c r="AA1263" s="3" t="str">
        <f>IFERROR(__xludf.DUMMYFUNCTION("""COMPUTED_VALUE"""),"เมือง")</f>
        <v>เมือง</v>
      </c>
      <c r="AB1263" s="3" t="str">
        <f>IFERROR(__xludf.DUMMYFUNCTION("""COMPUTED_VALUE"""),"อุดรธานี")</f>
        <v>อุดรธานี</v>
      </c>
      <c r="AC1263" s="3">
        <f>IFERROR(__xludf.DUMMYFUNCTION("""COMPUTED_VALUE"""),41000.0)</f>
        <v>41000</v>
      </c>
      <c r="AD1263" s="3">
        <f>IFERROR(__xludf.DUMMYFUNCTION("""COMPUTED_VALUE"""),17.40613623)</f>
        <v>17.40613623</v>
      </c>
      <c r="AE1263" s="3">
        <f>IFERROR(__xludf.DUMMYFUNCTION("""COMPUTED_VALUE"""),102.800302)</f>
        <v>102.800302</v>
      </c>
      <c r="AF1263" s="3" t="str">
        <f>IFERROR(__xludf.DUMMYFUNCTION("""COMPUTED_VALUE"""),"Central Plaza Udonthani-21RB044")</f>
        <v>Central Plaza Udonthani-21RB044</v>
      </c>
      <c r="AG1263" s="3" t="str">
        <f>IFERROR(__xludf.DUMMYFUNCTION("""COMPUTED_VALUE"""),"ตะวันออกเฉียงเหนือ")</f>
        <v>ตะวันออกเฉียงเหนือ</v>
      </c>
      <c r="AH1263" s="3" t="str">
        <f>IFERROR(__xludf.DUMMYFUNCTION("""COMPUTED_VALUE"""),"#N/A")</f>
        <v>#N/A</v>
      </c>
      <c r="AI1263" s="3" t="str">
        <f>IFERROR(__xludf.DUMMYFUNCTION("""COMPUTED_VALUE"""),"Out of warranty")</f>
        <v>Out of warranty</v>
      </c>
      <c r="AJ1263" s="3">
        <f>IFERROR(__xludf.DUMMYFUNCTION("""COMPUTED_VALUE"""),92.0)</f>
        <v>92</v>
      </c>
      <c r="AK1263" s="3"/>
      <c r="AL1263" s="3"/>
    </row>
    <row r="1264" ht="15.75" customHeight="1">
      <c r="A1264" s="1" t="str">
        <f>IFERROR(__xludf.DUMMYFUNCTION("""COMPUTED_VALUE"""),"21RB045")</f>
        <v>21RB045</v>
      </c>
      <c r="B1264" s="2" t="str">
        <f>IFERROR(__xludf.DUMMYFUNCTION("""COMPUTED_VALUE"""),"21RB045")</f>
        <v>21RB045</v>
      </c>
      <c r="C1264" s="3" t="str">
        <f>IFERROR(__xludf.DUMMYFUNCTION("""COMPUTED_VALUE"""),"Mega Bangna")</f>
        <v>Mega Bangna</v>
      </c>
      <c r="D1264" s="3" t="str">
        <f>IFERROR(__xludf.DUMMYFUNCTION("""COMPUTED_VALUE"""),"เอเซียบุ๊คส เมกะบางนา")</f>
        <v>เอเซียบุ๊คส เมกะบางนา</v>
      </c>
      <c r="E1264" s="1" t="str">
        <f>IFERROR(__xludf.DUMMYFUNCTION("""COMPUTED_VALUE"""),"AsiaBooks")</f>
        <v>AsiaBooks</v>
      </c>
      <c r="F1264" s="1" t="str">
        <f>IFERROR(__xludf.DUMMYFUNCTION("""COMPUTED_VALUE"""),"1016938")</f>
        <v>1016938</v>
      </c>
      <c r="G1264" s="1" t="str">
        <f>IFERROR(__xludf.DUMMYFUNCTION("""COMPUTED_VALUE"""),"น.ส.ณัฏฐนันท์ ปัญญาสิทธิ์")</f>
        <v>น.ส.ณัฏฐนันท์ ปัญญาสิทธิ์</v>
      </c>
      <c r="H1264" s="1" t="str">
        <f>IFERROR(__xludf.DUMMYFUNCTION("""COMPUTED_VALUE"""),"2010435")</f>
        <v>2010435</v>
      </c>
      <c r="I1264" s="1" t="str">
        <f>IFERROR(__xludf.DUMMYFUNCTION("""COMPUTED_VALUE"""),"น.ส.ลักษณพร เกิดบุญส่ง")</f>
        <v>น.ส.ลักษณพร เกิดบุญส่ง</v>
      </c>
      <c r="J1264" s="3">
        <f>IFERROR(__xludf.DUMMYFUNCTION("""COMPUTED_VALUE"""),1016938.0)</f>
        <v>1016938</v>
      </c>
      <c r="K1264" s="3" t="str">
        <f>IFERROR(__xludf.DUMMYFUNCTION("""COMPUTED_VALUE"""),"น.ส.ณัฏฐนันท์ ปัญญาสิทธิ์")</f>
        <v>น.ส.ณัฏฐนันท์ ปัญญาสิทธิ์</v>
      </c>
      <c r="L1264" s="1" t="str">
        <f>IFERROR(__xludf.DUMMYFUNCTION("""COMPUTED_VALUE"""),"Asia Books")</f>
        <v>Asia Books</v>
      </c>
      <c r="M1264" s="1" t="str">
        <f>IFERROR(__xludf.DUMMYFUNCTION("""COMPUTED_VALUE"""),"0993463946")</f>
        <v>0993463946</v>
      </c>
      <c r="N1264" s="3" t="str">
        <f>IFERROR(__xludf.DUMMYFUNCTION("""COMPUTED_VALUE"""),"21RB045")</f>
        <v>21RB045</v>
      </c>
      <c r="O1264" s="3" t="str">
        <f>IFERROR(__xludf.DUMMYFUNCTION("""COMPUTED_VALUE"""),"Mega Bangna")</f>
        <v>Mega Bangna</v>
      </c>
      <c r="P1264" s="4">
        <f>IFERROR(__xludf.DUMMYFUNCTION("""COMPUTED_VALUE"""),43271.0)</f>
        <v>43271</v>
      </c>
      <c r="Q1264" s="3" t="str">
        <f>IFERROR(__xludf.DUMMYFUNCTION("""COMPUTED_VALUE"""),"A")</f>
        <v>A</v>
      </c>
      <c r="R1264" s="3" t="str">
        <f>IFERROR(__xludf.DUMMYFUNCTION("""COMPUTED_VALUE"""),"Small Format")</f>
        <v>Small Format</v>
      </c>
      <c r="S1264" s="3" t="str">
        <f>IFERROR(__xludf.DUMMYFUNCTION("""COMPUTED_VALUE"""),"AsiaBooks")</f>
        <v>AsiaBooks</v>
      </c>
      <c r="T1264" s="3" t="str">
        <f>IFERROR(__xludf.DUMMYFUNCTION("""COMPUTED_VALUE"""),"Asia Books")</f>
        <v>Asia Books</v>
      </c>
      <c r="U1264" s="3" t="str">
        <f>IFERROR(__xludf.DUMMYFUNCTION("""COMPUTED_VALUE"""),"#N/A")</f>
        <v>#N/A</v>
      </c>
      <c r="V1264" s="3" t="str">
        <f>IFERROR(__xludf.DUMMYFUNCTION("""COMPUTED_VALUE"""),"N")</f>
        <v>N</v>
      </c>
      <c r="W1264" s="3">
        <f>IFERROR(__xludf.DUMMYFUNCTION("""COMPUTED_VALUE"""),0.0)</f>
        <v>0</v>
      </c>
      <c r="X1264" s="3" t="str">
        <f>IFERROR(__xludf.DUMMYFUNCTION("""COMPUTED_VALUE"""),"ชั้น 2 ห้องเลขที่ 2364, ศูนย์การค้าเมกาบางนา เลขที่ 39 ตำบลบางแก้ว อำเภอบางพลี จังหวัดสมุทรปราการ 10540")</f>
        <v>ชั้น 2 ห้องเลขที่ 2364, ศูนย์การค้าเมกาบางนา เลขที่ 39 ตำบลบางแก้ว อำเภอบางพลี จังหวัดสมุทรปราการ 10540</v>
      </c>
      <c r="Y1264" s="3"/>
      <c r="Z1264" s="3" t="str">
        <f>IFERROR(__xludf.DUMMYFUNCTION("""COMPUTED_VALUE"""),"บางแก้ว")</f>
        <v>บางแก้ว</v>
      </c>
      <c r="AA1264" s="3" t="str">
        <f>IFERROR(__xludf.DUMMYFUNCTION("""COMPUTED_VALUE"""),"บางพลี")</f>
        <v>บางพลี</v>
      </c>
      <c r="AB1264" s="3" t="str">
        <f>IFERROR(__xludf.DUMMYFUNCTION("""COMPUTED_VALUE"""),"สมุทรปราการ")</f>
        <v>สมุทรปราการ</v>
      </c>
      <c r="AC1264" s="3">
        <f>IFERROR(__xludf.DUMMYFUNCTION("""COMPUTED_VALUE"""),10540.0)</f>
        <v>10540</v>
      </c>
      <c r="AD1264" s="3">
        <f>IFERROR(__xludf.DUMMYFUNCTION("""COMPUTED_VALUE"""),13.64631949)</f>
        <v>13.64631949</v>
      </c>
      <c r="AE1264" s="3">
        <f>IFERROR(__xludf.DUMMYFUNCTION("""COMPUTED_VALUE"""),100.6804178)</f>
        <v>100.6804178</v>
      </c>
      <c r="AF1264" s="3" t="str">
        <f>IFERROR(__xludf.DUMMYFUNCTION("""COMPUTED_VALUE"""),"Mega Bangna-21RB045")</f>
        <v>Mega Bangna-21RB045</v>
      </c>
      <c r="AG1264" s="3" t="str">
        <f>IFERROR(__xludf.DUMMYFUNCTION("""COMPUTED_VALUE"""),"กลาง")</f>
        <v>กลาง</v>
      </c>
      <c r="AH1264" s="3" t="str">
        <f>IFERROR(__xludf.DUMMYFUNCTION("""COMPUTED_VALUE"""),"#N/A")</f>
        <v>#N/A</v>
      </c>
      <c r="AI1264" s="3" t="str">
        <f>IFERROR(__xludf.DUMMYFUNCTION("""COMPUTED_VALUE"""),"Out of warranty")</f>
        <v>Out of warranty</v>
      </c>
      <c r="AJ1264" s="3">
        <f>IFERROR(__xludf.DUMMYFUNCTION("""COMPUTED_VALUE"""),92.0)</f>
        <v>92</v>
      </c>
      <c r="AK1264" s="3"/>
      <c r="AL1264" s="3"/>
    </row>
    <row r="1265" ht="15.75" customHeight="1">
      <c r="A1265" s="1" t="str">
        <f>IFERROR(__xludf.DUMMYFUNCTION("""COMPUTED_VALUE"""),"21RB046")</f>
        <v>21RB046</v>
      </c>
      <c r="B1265" s="2" t="str">
        <f>IFERROR(__xludf.DUMMYFUNCTION("""COMPUTED_VALUE"""),"21RB046")</f>
        <v>21RB046</v>
      </c>
      <c r="C1265" s="3" t="str">
        <f>IFERROR(__xludf.DUMMYFUNCTION("""COMPUTED_VALUE"""),"Park Venture")</f>
        <v>Park Venture</v>
      </c>
      <c r="D1265" s="3" t="str">
        <f>IFERROR(__xludf.DUMMYFUNCTION("""COMPUTED_VALUE"""),"เอเซียบุ๊คส พาร์คเวนเจอร์")</f>
        <v>เอเซียบุ๊คส พาร์คเวนเจอร์</v>
      </c>
      <c r="E1265" s="1" t="str">
        <f>IFERROR(__xludf.DUMMYFUNCTION("""COMPUTED_VALUE"""),"AsiaBooks")</f>
        <v>AsiaBooks</v>
      </c>
      <c r="F1265" s="1" t="str">
        <f>IFERROR(__xludf.DUMMYFUNCTION("""COMPUTED_VALUE"""),"1016938")</f>
        <v>1016938</v>
      </c>
      <c r="G1265" s="1" t="str">
        <f>IFERROR(__xludf.DUMMYFUNCTION("""COMPUTED_VALUE"""),"น.ส.ณัฏฐนันท์ ปัญญาสิทธิ์")</f>
        <v>น.ส.ณัฏฐนันท์ ปัญญาสิทธิ์</v>
      </c>
      <c r="H1265" s="1" t="str">
        <f>IFERROR(__xludf.DUMMYFUNCTION("""COMPUTED_VALUE"""),"2010435")</f>
        <v>2010435</v>
      </c>
      <c r="I1265" s="1" t="str">
        <f>IFERROR(__xludf.DUMMYFUNCTION("""COMPUTED_VALUE"""),"น.ส.ลักษณพร เกิดบุญส่ง")</f>
        <v>น.ส.ลักษณพร เกิดบุญส่ง</v>
      </c>
      <c r="J1265" s="3">
        <f>IFERROR(__xludf.DUMMYFUNCTION("""COMPUTED_VALUE"""),1016938.0)</f>
        <v>1016938</v>
      </c>
      <c r="K1265" s="3" t="str">
        <f>IFERROR(__xludf.DUMMYFUNCTION("""COMPUTED_VALUE"""),"น.ส.ณัฏฐนันท์ ปัญญาสิทธิ์")</f>
        <v>น.ส.ณัฏฐนันท์ ปัญญาสิทธิ์</v>
      </c>
      <c r="L1265" s="1" t="str">
        <f>IFERROR(__xludf.DUMMYFUNCTION("""COMPUTED_VALUE"""),"Asia Books")</f>
        <v>Asia Books</v>
      </c>
      <c r="M1265" s="1" t="str">
        <f>IFERROR(__xludf.DUMMYFUNCTION("""COMPUTED_VALUE"""),"0993463946")</f>
        <v>0993463946</v>
      </c>
      <c r="N1265" s="3" t="str">
        <f>IFERROR(__xludf.DUMMYFUNCTION("""COMPUTED_VALUE"""),"21RB046")</f>
        <v>21RB046</v>
      </c>
      <c r="O1265" s="3" t="str">
        <f>IFERROR(__xludf.DUMMYFUNCTION("""COMPUTED_VALUE"""),"Park Venture")</f>
        <v>Park Venture</v>
      </c>
      <c r="P1265" s="4">
        <f>IFERROR(__xludf.DUMMYFUNCTION("""COMPUTED_VALUE"""),43271.0)</f>
        <v>43271</v>
      </c>
      <c r="Q1265" s="3" t="str">
        <f>IFERROR(__xludf.DUMMYFUNCTION("""COMPUTED_VALUE"""),"A")</f>
        <v>A</v>
      </c>
      <c r="R1265" s="3" t="str">
        <f>IFERROR(__xludf.DUMMYFUNCTION("""COMPUTED_VALUE"""),"Small Format")</f>
        <v>Small Format</v>
      </c>
      <c r="S1265" s="3" t="str">
        <f>IFERROR(__xludf.DUMMYFUNCTION("""COMPUTED_VALUE"""),"AsiaBooks")</f>
        <v>AsiaBooks</v>
      </c>
      <c r="T1265" s="3" t="str">
        <f>IFERROR(__xludf.DUMMYFUNCTION("""COMPUTED_VALUE"""),"Asia Books")</f>
        <v>Asia Books</v>
      </c>
      <c r="U1265" s="3" t="str">
        <f>IFERROR(__xludf.DUMMYFUNCTION("""COMPUTED_VALUE"""),"#N/A")</f>
        <v>#N/A</v>
      </c>
      <c r="V1265" s="3" t="str">
        <f>IFERROR(__xludf.DUMMYFUNCTION("""COMPUTED_VALUE"""),"N")</f>
        <v>N</v>
      </c>
      <c r="W1265" s="3">
        <f>IFERROR(__xludf.DUMMYFUNCTION("""COMPUTED_VALUE"""),0.0)</f>
        <v>0</v>
      </c>
      <c r="X1265" s="3" t="str">
        <f>IFERROR(__xludf.DUMMYFUNCTION("""COMPUTED_VALUE"""),"ชั้น 1 ห้องเลขที่ K1-3, อาคารพาร์คเวนเจอร์ อีโคเพล็กซ์ เลขที่ 57 แขวงลุมพินี เขตปทุมวัน กรุงเทพมหานคร 10330")</f>
        <v>ชั้น 1 ห้องเลขที่ K1-3, อาคารพาร์คเวนเจอร์ อีโคเพล็กซ์ เลขที่ 57 แขวงลุมพินี เขตปทุมวัน กรุงเทพมหานคร 10330</v>
      </c>
      <c r="Y1265" s="3"/>
      <c r="Z1265" s="3" t="str">
        <f>IFERROR(__xludf.DUMMYFUNCTION("""COMPUTED_VALUE"""),"ลุมพินี")</f>
        <v>ลุมพินี</v>
      </c>
      <c r="AA1265" s="3" t="str">
        <f>IFERROR(__xludf.DUMMYFUNCTION("""COMPUTED_VALUE"""),"ปทุมวัน")</f>
        <v>ปทุมวัน</v>
      </c>
      <c r="AB1265" s="3" t="str">
        <f>IFERROR(__xludf.DUMMYFUNCTION("""COMPUTED_VALUE"""),"กรุงเทพมหานคร")</f>
        <v>กรุงเทพมหานคร</v>
      </c>
      <c r="AC1265" s="3">
        <f>IFERROR(__xludf.DUMMYFUNCTION("""COMPUTED_VALUE"""),10330.0)</f>
        <v>10330</v>
      </c>
      <c r="AD1265" s="3">
        <f>IFERROR(__xludf.DUMMYFUNCTION("""COMPUTED_VALUE"""),13.74370575)</f>
        <v>13.74370575</v>
      </c>
      <c r="AE1265" s="3">
        <f>IFERROR(__xludf.DUMMYFUNCTION("""COMPUTED_VALUE"""),100.5480742)</f>
        <v>100.5480742</v>
      </c>
      <c r="AF1265" s="3" t="str">
        <f>IFERROR(__xludf.DUMMYFUNCTION("""COMPUTED_VALUE"""),"Park Venture-21RB046")</f>
        <v>Park Venture-21RB046</v>
      </c>
      <c r="AG1265" s="3" t="str">
        <f>IFERROR(__xludf.DUMMYFUNCTION("""COMPUTED_VALUE"""),"กลาง")</f>
        <v>กลาง</v>
      </c>
      <c r="AH1265" s="3" t="str">
        <f>IFERROR(__xludf.DUMMYFUNCTION("""COMPUTED_VALUE"""),"#N/A")</f>
        <v>#N/A</v>
      </c>
      <c r="AI1265" s="3" t="str">
        <f>IFERROR(__xludf.DUMMYFUNCTION("""COMPUTED_VALUE"""),"Out of warranty")</f>
        <v>Out of warranty</v>
      </c>
      <c r="AJ1265" s="3">
        <f>IFERROR(__xludf.DUMMYFUNCTION("""COMPUTED_VALUE"""),92.0)</f>
        <v>92</v>
      </c>
      <c r="AK1265" s="3"/>
      <c r="AL1265" s="3"/>
    </row>
    <row r="1266" ht="15.75" customHeight="1">
      <c r="A1266" s="1" t="str">
        <f>IFERROR(__xludf.DUMMYFUNCTION("""COMPUTED_VALUE"""),"21RB047")</f>
        <v>21RB047</v>
      </c>
      <c r="B1266" s="2" t="str">
        <f>IFERROR(__xludf.DUMMYFUNCTION("""COMPUTED_VALUE"""),"21RB047")</f>
        <v>21RB047</v>
      </c>
      <c r="C1266" s="3" t="str">
        <f>IFERROR(__xludf.DUMMYFUNCTION("""COMPUTED_VALUE"""),"Silom Complex")</f>
        <v>Silom Complex</v>
      </c>
      <c r="D1266" s="3" t="str">
        <f>IFERROR(__xludf.DUMMYFUNCTION("""COMPUTED_VALUE"""),"เอเซียบุ๊คส สีลมคอมเพล็กซ์")</f>
        <v>เอเซียบุ๊คส สีลมคอมเพล็กซ์</v>
      </c>
      <c r="E1266" s="1" t="str">
        <f>IFERROR(__xludf.DUMMYFUNCTION("""COMPUTED_VALUE"""),"AsiaBooks")</f>
        <v>AsiaBooks</v>
      </c>
      <c r="F1266" s="1" t="str">
        <f>IFERROR(__xludf.DUMMYFUNCTION("""COMPUTED_VALUE"""),"1016938")</f>
        <v>1016938</v>
      </c>
      <c r="G1266" s="1" t="str">
        <f>IFERROR(__xludf.DUMMYFUNCTION("""COMPUTED_VALUE"""),"น.ส.ณัฏฐนันท์ ปัญญาสิทธิ์")</f>
        <v>น.ส.ณัฏฐนันท์ ปัญญาสิทธิ์</v>
      </c>
      <c r="H1266" s="1" t="str">
        <f>IFERROR(__xludf.DUMMYFUNCTION("""COMPUTED_VALUE"""),"2010435")</f>
        <v>2010435</v>
      </c>
      <c r="I1266" s="1" t="str">
        <f>IFERROR(__xludf.DUMMYFUNCTION("""COMPUTED_VALUE"""),"น.ส.ลักษณพร เกิดบุญส่ง")</f>
        <v>น.ส.ลักษณพร เกิดบุญส่ง</v>
      </c>
      <c r="J1266" s="3">
        <f>IFERROR(__xludf.DUMMYFUNCTION("""COMPUTED_VALUE"""),1016938.0)</f>
        <v>1016938</v>
      </c>
      <c r="K1266" s="3" t="str">
        <f>IFERROR(__xludf.DUMMYFUNCTION("""COMPUTED_VALUE"""),"น.ส.ณัฏฐนันท์ ปัญญาสิทธิ์")</f>
        <v>น.ส.ณัฏฐนันท์ ปัญญาสิทธิ์</v>
      </c>
      <c r="L1266" s="1" t="str">
        <f>IFERROR(__xludf.DUMMYFUNCTION("""COMPUTED_VALUE"""),"Asia Books")</f>
        <v>Asia Books</v>
      </c>
      <c r="M1266" s="1" t="str">
        <f>IFERROR(__xludf.DUMMYFUNCTION("""COMPUTED_VALUE"""),"0993463946")</f>
        <v>0993463946</v>
      </c>
      <c r="N1266" s="3" t="str">
        <f>IFERROR(__xludf.DUMMYFUNCTION("""COMPUTED_VALUE"""),"21RB047")</f>
        <v>21RB047</v>
      </c>
      <c r="O1266" s="3" t="str">
        <f>IFERROR(__xludf.DUMMYFUNCTION("""COMPUTED_VALUE"""),"Silom Complex")</f>
        <v>Silom Complex</v>
      </c>
      <c r="P1266" s="4">
        <f>IFERROR(__xludf.DUMMYFUNCTION("""COMPUTED_VALUE"""),43271.0)</f>
        <v>43271</v>
      </c>
      <c r="Q1266" s="3" t="str">
        <f>IFERROR(__xludf.DUMMYFUNCTION("""COMPUTED_VALUE"""),"A")</f>
        <v>A</v>
      </c>
      <c r="R1266" s="3" t="str">
        <f>IFERROR(__xludf.DUMMYFUNCTION("""COMPUTED_VALUE"""),"Small Format")</f>
        <v>Small Format</v>
      </c>
      <c r="S1266" s="3" t="str">
        <f>IFERROR(__xludf.DUMMYFUNCTION("""COMPUTED_VALUE"""),"AsiaBooks")</f>
        <v>AsiaBooks</v>
      </c>
      <c r="T1266" s="3" t="str">
        <f>IFERROR(__xludf.DUMMYFUNCTION("""COMPUTED_VALUE"""),"Asia Books")</f>
        <v>Asia Books</v>
      </c>
      <c r="U1266" s="3" t="str">
        <f>IFERROR(__xludf.DUMMYFUNCTION("""COMPUTED_VALUE"""),"#N/A")</f>
        <v>#N/A</v>
      </c>
      <c r="V1266" s="3" t="str">
        <f>IFERROR(__xludf.DUMMYFUNCTION("""COMPUTED_VALUE"""),"N")</f>
        <v>N</v>
      </c>
      <c r="W1266" s="3">
        <f>IFERROR(__xludf.DUMMYFUNCTION("""COMPUTED_VALUE"""),0.0)</f>
        <v>0</v>
      </c>
      <c r="X1266" s="3" t="str">
        <f>IFERROR(__xludf.DUMMYFUNCTION("""COMPUTED_VALUE"""),"ชั้น 3 ห้องเลขที่ 307-308, ศูนย์การค้าเซ็นทรัลสีลมคอมเพล็กซ์ เลขที่ 191 แขวงสีลม เขตบางรัก กรุงเทพมหานคร 10500")</f>
        <v>ชั้น 3 ห้องเลขที่ 307-308, ศูนย์การค้าเซ็นทรัลสีลมคอมเพล็กซ์ เลขที่ 191 แขวงสีลม เขตบางรัก กรุงเทพมหานคร 10500</v>
      </c>
      <c r="Y1266" s="3"/>
      <c r="Z1266" s="3" t="str">
        <f>IFERROR(__xludf.DUMMYFUNCTION("""COMPUTED_VALUE"""),"สีลม")</f>
        <v>สีลม</v>
      </c>
      <c r="AA1266" s="3" t="str">
        <f>IFERROR(__xludf.DUMMYFUNCTION("""COMPUTED_VALUE"""),"บางรัก")</f>
        <v>บางรัก</v>
      </c>
      <c r="AB1266" s="3" t="str">
        <f>IFERROR(__xludf.DUMMYFUNCTION("""COMPUTED_VALUE"""),"กรุงเทพมหานคร")</f>
        <v>กรุงเทพมหานคร</v>
      </c>
      <c r="AC1266" s="3">
        <f>IFERROR(__xludf.DUMMYFUNCTION("""COMPUTED_VALUE"""),10500.0)</f>
        <v>10500</v>
      </c>
      <c r="AD1266" s="3">
        <f>IFERROR(__xludf.DUMMYFUNCTION("""COMPUTED_VALUE"""),13.72867949)</f>
        <v>13.72867949</v>
      </c>
      <c r="AE1266" s="3">
        <f>IFERROR(__xludf.DUMMYFUNCTION("""COMPUTED_VALUE"""),100.5351269)</f>
        <v>100.5351269</v>
      </c>
      <c r="AF1266" s="3" t="str">
        <f>IFERROR(__xludf.DUMMYFUNCTION("""COMPUTED_VALUE"""),"Silom Complex-21RB047")</f>
        <v>Silom Complex-21RB047</v>
      </c>
      <c r="AG1266" s="3" t="str">
        <f>IFERROR(__xludf.DUMMYFUNCTION("""COMPUTED_VALUE"""),"กลาง")</f>
        <v>กลาง</v>
      </c>
      <c r="AH1266" s="3" t="str">
        <f>IFERROR(__xludf.DUMMYFUNCTION("""COMPUTED_VALUE"""),"#N/A")</f>
        <v>#N/A</v>
      </c>
      <c r="AI1266" s="3" t="str">
        <f>IFERROR(__xludf.DUMMYFUNCTION("""COMPUTED_VALUE"""),"Out of warranty")</f>
        <v>Out of warranty</v>
      </c>
      <c r="AJ1266" s="3">
        <f>IFERROR(__xludf.DUMMYFUNCTION("""COMPUTED_VALUE"""),92.0)</f>
        <v>92</v>
      </c>
      <c r="AK1266" s="3"/>
      <c r="AL1266" s="3"/>
    </row>
    <row r="1267" ht="15.75" customHeight="1">
      <c r="A1267" s="1" t="str">
        <f>IFERROR(__xludf.DUMMYFUNCTION("""COMPUTED_VALUE"""),"21RB048")</f>
        <v>21RB048</v>
      </c>
      <c r="B1267" s="2" t="str">
        <f>IFERROR(__xludf.DUMMYFUNCTION("""COMPUTED_VALUE"""),"21RB048")</f>
        <v>21RB048</v>
      </c>
      <c r="C1267" s="3" t="str">
        <f>IFERROR(__xludf.DUMMYFUNCTION("""COMPUTED_VALUE"""),"Empire Tower")</f>
        <v>Empire Tower</v>
      </c>
      <c r="D1267" s="3" t="str">
        <f>IFERROR(__xludf.DUMMYFUNCTION("""COMPUTED_VALUE"""),"เอเซียบุ๊คส เอ็มไพร์ทาวเวอร์")</f>
        <v>เอเซียบุ๊คส เอ็มไพร์ทาวเวอร์</v>
      </c>
      <c r="E1267" s="1" t="str">
        <f>IFERROR(__xludf.DUMMYFUNCTION("""COMPUTED_VALUE"""),"AsiaBooks")</f>
        <v>AsiaBooks</v>
      </c>
      <c r="F1267" s="1" t="str">
        <f>IFERROR(__xludf.DUMMYFUNCTION("""COMPUTED_VALUE"""),"1016938")</f>
        <v>1016938</v>
      </c>
      <c r="G1267" s="1" t="str">
        <f>IFERROR(__xludf.DUMMYFUNCTION("""COMPUTED_VALUE"""),"น.ส.ณัฏฐนันท์ ปัญญาสิทธิ์")</f>
        <v>น.ส.ณัฏฐนันท์ ปัญญาสิทธิ์</v>
      </c>
      <c r="H1267" s="1" t="str">
        <f>IFERROR(__xludf.DUMMYFUNCTION("""COMPUTED_VALUE"""),"2010435")</f>
        <v>2010435</v>
      </c>
      <c r="I1267" s="1" t="str">
        <f>IFERROR(__xludf.DUMMYFUNCTION("""COMPUTED_VALUE"""),"น.ส.ลักษณพร เกิดบุญส่ง")</f>
        <v>น.ส.ลักษณพร เกิดบุญส่ง</v>
      </c>
      <c r="J1267" s="3">
        <f>IFERROR(__xludf.DUMMYFUNCTION("""COMPUTED_VALUE"""),1016938.0)</f>
        <v>1016938</v>
      </c>
      <c r="K1267" s="3" t="str">
        <f>IFERROR(__xludf.DUMMYFUNCTION("""COMPUTED_VALUE"""),"น.ส.ณัฏฐนันท์ ปัญญาสิทธิ์")</f>
        <v>น.ส.ณัฏฐนันท์ ปัญญาสิทธิ์</v>
      </c>
      <c r="L1267" s="1" t="str">
        <f>IFERROR(__xludf.DUMMYFUNCTION("""COMPUTED_VALUE"""),"Asia Books")</f>
        <v>Asia Books</v>
      </c>
      <c r="M1267" s="1" t="str">
        <f>IFERROR(__xludf.DUMMYFUNCTION("""COMPUTED_VALUE"""),"0993463946")</f>
        <v>0993463946</v>
      </c>
      <c r="N1267" s="3" t="str">
        <f>IFERROR(__xludf.DUMMYFUNCTION("""COMPUTED_VALUE"""),"21RB048")</f>
        <v>21RB048</v>
      </c>
      <c r="O1267" s="3" t="str">
        <f>IFERROR(__xludf.DUMMYFUNCTION("""COMPUTED_VALUE"""),"Empire Tower")</f>
        <v>Empire Tower</v>
      </c>
      <c r="P1267" s="4">
        <f>IFERROR(__xludf.DUMMYFUNCTION("""COMPUTED_VALUE"""),43271.0)</f>
        <v>43271</v>
      </c>
      <c r="Q1267" s="3" t="str">
        <f>IFERROR(__xludf.DUMMYFUNCTION("""COMPUTED_VALUE"""),"A")</f>
        <v>A</v>
      </c>
      <c r="R1267" s="3" t="str">
        <f>IFERROR(__xludf.DUMMYFUNCTION("""COMPUTED_VALUE"""),"Small Format")</f>
        <v>Small Format</v>
      </c>
      <c r="S1267" s="3" t="str">
        <f>IFERROR(__xludf.DUMMYFUNCTION("""COMPUTED_VALUE"""),"AsiaBooks")</f>
        <v>AsiaBooks</v>
      </c>
      <c r="T1267" s="3" t="str">
        <f>IFERROR(__xludf.DUMMYFUNCTION("""COMPUTED_VALUE"""),"Asia Books")</f>
        <v>Asia Books</v>
      </c>
      <c r="U1267" s="3" t="str">
        <f>IFERROR(__xludf.DUMMYFUNCTION("""COMPUTED_VALUE"""),"#N/A")</f>
        <v>#N/A</v>
      </c>
      <c r="V1267" s="3" t="str">
        <f>IFERROR(__xludf.DUMMYFUNCTION("""COMPUTED_VALUE"""),"N")</f>
        <v>N</v>
      </c>
      <c r="W1267" s="3">
        <f>IFERROR(__xludf.DUMMYFUNCTION("""COMPUTED_VALUE"""),0.0)</f>
        <v>0</v>
      </c>
      <c r="X1267" s="3" t="str">
        <f>IFERROR(__xludf.DUMMYFUNCTION("""COMPUTED_VALUE"""),"ชั้น 2, ห้องเลขที่ 209, เอ็มไพร์ ทาวเวอร์ เลขที่ 195 แขวงยานนาวา เขตสาทร กรุงเทพมหานคร 10120")</f>
        <v>ชั้น 2, ห้องเลขที่ 209, เอ็มไพร์ ทาวเวอร์ เลขที่ 195 แขวงยานนาวา เขตสาทร กรุงเทพมหานคร 10120</v>
      </c>
      <c r="Y1267" s="3"/>
      <c r="Z1267" s="3" t="str">
        <f>IFERROR(__xludf.DUMMYFUNCTION("""COMPUTED_VALUE"""),"ยานนาวา")</f>
        <v>ยานนาวา</v>
      </c>
      <c r="AA1267" s="3" t="str">
        <f>IFERROR(__xludf.DUMMYFUNCTION("""COMPUTED_VALUE"""),"สาทร")</f>
        <v>สาทร</v>
      </c>
      <c r="AB1267" s="3" t="str">
        <f>IFERROR(__xludf.DUMMYFUNCTION("""COMPUTED_VALUE"""),"กรุงเทพมหานคร")</f>
        <v>กรุงเทพมหานคร</v>
      </c>
      <c r="AC1267" s="3">
        <f>IFERROR(__xludf.DUMMYFUNCTION("""COMPUTED_VALUE"""),10120.0)</f>
        <v>10120</v>
      </c>
      <c r="AD1267" s="3">
        <f>IFERROR(__xludf.DUMMYFUNCTION("""COMPUTED_VALUE"""),13.72058313)</f>
        <v>13.72058313</v>
      </c>
      <c r="AE1267" s="3">
        <f>IFERROR(__xludf.DUMMYFUNCTION("""COMPUTED_VALUE"""),100.5302664)</f>
        <v>100.5302664</v>
      </c>
      <c r="AF1267" s="3" t="str">
        <f>IFERROR(__xludf.DUMMYFUNCTION("""COMPUTED_VALUE"""),"Empire Tower-21RB048")</f>
        <v>Empire Tower-21RB048</v>
      </c>
      <c r="AG1267" s="3" t="str">
        <f>IFERROR(__xludf.DUMMYFUNCTION("""COMPUTED_VALUE"""),"กลาง")</f>
        <v>กลาง</v>
      </c>
      <c r="AH1267" s="3" t="str">
        <f>IFERROR(__xludf.DUMMYFUNCTION("""COMPUTED_VALUE"""),"#N/A")</f>
        <v>#N/A</v>
      </c>
      <c r="AI1267" s="3" t="str">
        <f>IFERROR(__xludf.DUMMYFUNCTION("""COMPUTED_VALUE"""),"Out of warranty")</f>
        <v>Out of warranty</v>
      </c>
      <c r="AJ1267" s="3">
        <f>IFERROR(__xludf.DUMMYFUNCTION("""COMPUTED_VALUE"""),92.0)</f>
        <v>92</v>
      </c>
      <c r="AK1267" s="3"/>
      <c r="AL1267" s="3"/>
    </row>
    <row r="1268" ht="15.75" customHeight="1">
      <c r="A1268" s="1" t="str">
        <f>IFERROR(__xludf.DUMMYFUNCTION("""COMPUTED_VALUE"""),"21RB050")</f>
        <v>21RB050</v>
      </c>
      <c r="B1268" s="2" t="str">
        <f>IFERROR(__xludf.DUMMYFUNCTION("""COMPUTED_VALUE"""),"21RB050")</f>
        <v>21RB050</v>
      </c>
      <c r="C1268" s="3" t="str">
        <f>IFERROR(__xludf.DUMMYFUNCTION("""COMPUTED_VALUE"""),"เอเซียบุ๊คส เอ็มควอเทียร์")</f>
        <v>เอเซียบุ๊คส เอ็มควอเทียร์</v>
      </c>
      <c r="D1268" s="3" t="str">
        <f>IFERROR(__xludf.DUMMYFUNCTION("""COMPUTED_VALUE"""),"ABBK-EMQ:KIOSK EMQUARTIER")</f>
        <v>ABBK-EMQ:KIOSK EMQUARTIER</v>
      </c>
      <c r="E1268" s="1" t="str">
        <f>IFERROR(__xludf.DUMMYFUNCTION("""COMPUTED_VALUE"""),"AsiaBooks")</f>
        <v>AsiaBooks</v>
      </c>
      <c r="F1268" s="1" t="str">
        <f>IFERROR(__xludf.DUMMYFUNCTION("""COMPUTED_VALUE"""),"1016938")</f>
        <v>1016938</v>
      </c>
      <c r="G1268" s="1" t="str">
        <f>IFERROR(__xludf.DUMMYFUNCTION("""COMPUTED_VALUE"""),"น.ส.ณัฏฐนันท์ ปัญญาสิทธิ์")</f>
        <v>น.ส.ณัฏฐนันท์ ปัญญาสิทธิ์</v>
      </c>
      <c r="H1268" s="1" t="str">
        <f>IFERROR(__xludf.DUMMYFUNCTION("""COMPUTED_VALUE"""),"1015537")</f>
        <v>1015537</v>
      </c>
      <c r="I1268" s="1" t="str">
        <f>IFERROR(__xludf.DUMMYFUNCTION("""COMPUTED_VALUE"""),"น.ส.มัญชริน เลื่อนแก้ว")</f>
        <v>น.ส.มัญชริน เลื่อนแก้ว</v>
      </c>
      <c r="J1268" s="3">
        <f>IFERROR(__xludf.DUMMYFUNCTION("""COMPUTED_VALUE"""),1016938.0)</f>
        <v>1016938</v>
      </c>
      <c r="K1268" s="3" t="str">
        <f>IFERROR(__xludf.DUMMYFUNCTION("""COMPUTED_VALUE"""),"น.ส.ณัฏฐนันท์ ปัญญาสิทธิ์")</f>
        <v>น.ส.ณัฏฐนันท์ ปัญญาสิทธิ์</v>
      </c>
      <c r="L1268" s="1" t="str">
        <f>IFERROR(__xludf.DUMMYFUNCTION("""COMPUTED_VALUE"""),"Asia Books")</f>
        <v>Asia Books</v>
      </c>
      <c r="M1268" s="1" t="str">
        <f>IFERROR(__xludf.DUMMYFUNCTION("""COMPUTED_VALUE"""),"0993463946")</f>
        <v>0993463946</v>
      </c>
      <c r="N1268" s="3" t="str">
        <f>IFERROR(__xludf.DUMMYFUNCTION("""COMPUTED_VALUE"""),"21RB042")</f>
        <v>21RB042</v>
      </c>
      <c r="O1268" s="3" t="str">
        <f>IFERROR(__xludf.DUMMYFUNCTION("""COMPUTED_VALUE"""),"Central World - Flagship")</f>
        <v>Central World - Flagship</v>
      </c>
      <c r="P1268" s="4">
        <f>IFERROR(__xludf.DUMMYFUNCTION("""COMPUTED_VALUE"""),43271.0)</f>
        <v>43271</v>
      </c>
      <c r="Q1268" s="3" t="str">
        <f>IFERROR(__xludf.DUMMYFUNCTION("""COMPUTED_VALUE"""),"A")</f>
        <v>A</v>
      </c>
      <c r="R1268" s="3" t="str">
        <f>IFERROR(__xludf.DUMMYFUNCTION("""COMPUTED_VALUE"""),"Small Format")</f>
        <v>Small Format</v>
      </c>
      <c r="S1268" s="3" t="str">
        <f>IFERROR(__xludf.DUMMYFUNCTION("""COMPUTED_VALUE"""),"AsiaBooks")</f>
        <v>AsiaBooks</v>
      </c>
      <c r="T1268" s="3" t="str">
        <f>IFERROR(__xludf.DUMMYFUNCTION("""COMPUTED_VALUE"""),"Asia Books")</f>
        <v>Asia Books</v>
      </c>
      <c r="U1268" s="3" t="str">
        <f>IFERROR(__xludf.DUMMYFUNCTION("""COMPUTED_VALUE"""),"#N/A")</f>
        <v>#N/A</v>
      </c>
      <c r="V1268" s="3" t="str">
        <f>IFERROR(__xludf.DUMMYFUNCTION("""COMPUTED_VALUE"""),"N")</f>
        <v>N</v>
      </c>
      <c r="W1268" s="3">
        <f>IFERROR(__xludf.DUMMYFUNCTION("""COMPUTED_VALUE"""),0.0)</f>
        <v>0</v>
      </c>
      <c r="X1268" s="3" t="str">
        <f>IFERROR(__xludf.DUMMYFUNCTION("""COMPUTED_VALUE"""),"ชั้น G, ศูนย์การค้าเอ็มควอเทียร์ เลขที่ 8 แขวงคลองตันเหนือ เขตวัฒนา กรุงเทพมหานคร 10110")</f>
        <v>ชั้น G, ศูนย์การค้าเอ็มควอเทียร์ เลขที่ 8 แขวงคลองตันเหนือ เขตวัฒนา กรุงเทพมหานคร 10110</v>
      </c>
      <c r="Y1268" s="3"/>
      <c r="Z1268" s="3" t="str">
        <f>IFERROR(__xludf.DUMMYFUNCTION("""COMPUTED_VALUE"""),"คลองตันเหนือ")</f>
        <v>คลองตันเหนือ</v>
      </c>
      <c r="AA1268" s="3" t="str">
        <f>IFERROR(__xludf.DUMMYFUNCTION("""COMPUTED_VALUE"""),"วัฒนา")</f>
        <v>วัฒนา</v>
      </c>
      <c r="AB1268" s="3" t="str">
        <f>IFERROR(__xludf.DUMMYFUNCTION("""COMPUTED_VALUE"""),"กรุงเทพมหานคร")</f>
        <v>กรุงเทพมหานคร</v>
      </c>
      <c r="AC1268" s="3">
        <f>IFERROR(__xludf.DUMMYFUNCTION("""COMPUTED_VALUE"""),10110.0)</f>
        <v>10110</v>
      </c>
      <c r="AD1268" s="3">
        <f>IFERROR(__xludf.DUMMYFUNCTION("""COMPUTED_VALUE"""),0.0)</f>
        <v>0</v>
      </c>
      <c r="AE1268" s="3">
        <f>IFERROR(__xludf.DUMMYFUNCTION("""COMPUTED_VALUE"""),0.0)</f>
        <v>0</v>
      </c>
      <c r="AF1268" s="3" t="str">
        <f>IFERROR(__xludf.DUMMYFUNCTION("""COMPUTED_VALUE"""),"เอเซียบุ๊คส เอ็มควอเทียร์-21RB050")</f>
        <v>เอเซียบุ๊คส เอ็มควอเทียร์-21RB050</v>
      </c>
      <c r="AG1268" s="3" t="str">
        <f>IFERROR(__xludf.DUMMYFUNCTION("""COMPUTED_VALUE"""),"กลาง")</f>
        <v>กลาง</v>
      </c>
      <c r="AH1268" s="3" t="str">
        <f>IFERROR(__xludf.DUMMYFUNCTION("""COMPUTED_VALUE"""),"#N/A")</f>
        <v>#N/A</v>
      </c>
      <c r="AI1268" s="3" t="str">
        <f>IFERROR(__xludf.DUMMYFUNCTION("""COMPUTED_VALUE"""),"Out of warranty")</f>
        <v>Out of warranty</v>
      </c>
      <c r="AJ1268" s="3">
        <f>IFERROR(__xludf.DUMMYFUNCTION("""COMPUTED_VALUE"""),92.0)</f>
        <v>92</v>
      </c>
      <c r="AK1268" s="3"/>
      <c r="AL1268" s="3"/>
    </row>
    <row r="1269" ht="15.75" customHeight="1">
      <c r="A1269" s="1" t="str">
        <f>IFERROR(__xludf.DUMMYFUNCTION("""COMPUTED_VALUE"""),"21RB051")</f>
        <v>21RB051</v>
      </c>
      <c r="B1269" s="2" t="str">
        <f>IFERROR(__xludf.DUMMYFUNCTION("""COMPUTED_VALUE"""),"21RB051")</f>
        <v>21RB051</v>
      </c>
      <c r="C1269" s="3" t="str">
        <f>IFERROR(__xludf.DUMMYFUNCTION("""COMPUTED_VALUE"""),"Crystal Park Phase 3")</f>
        <v>Crystal Park Phase 3</v>
      </c>
      <c r="D1269" s="3" t="str">
        <f>IFERROR(__xludf.DUMMYFUNCTION("""COMPUTED_VALUE"""),"เอเซียบุ๊คส เดอะคริสตัล 3")</f>
        <v>เอเซียบุ๊คส เดอะคริสตัล 3</v>
      </c>
      <c r="E1269" s="1" t="str">
        <f>IFERROR(__xludf.DUMMYFUNCTION("""COMPUTED_VALUE"""),"AsiaBooks")</f>
        <v>AsiaBooks</v>
      </c>
      <c r="F1269" s="1" t="str">
        <f>IFERROR(__xludf.DUMMYFUNCTION("""COMPUTED_VALUE"""),"1016938")</f>
        <v>1016938</v>
      </c>
      <c r="G1269" s="1" t="str">
        <f>IFERROR(__xludf.DUMMYFUNCTION("""COMPUTED_VALUE"""),"น.ส.ณัฏฐนันท์ ปัญญาสิทธิ์")</f>
        <v>น.ส.ณัฏฐนันท์ ปัญญาสิทธิ์</v>
      </c>
      <c r="H1269" s="1" t="str">
        <f>IFERROR(__xludf.DUMMYFUNCTION("""COMPUTED_VALUE"""),"1007000")</f>
        <v>1007000</v>
      </c>
      <c r="I1269" s="1" t="str">
        <f>IFERROR(__xludf.DUMMYFUNCTION("""COMPUTED_VALUE"""),"น.ส.เสาวลักษณ์ แป้นงาม")</f>
        <v>น.ส.เสาวลักษณ์ แป้นงาม</v>
      </c>
      <c r="J1269" s="3">
        <f>IFERROR(__xludf.DUMMYFUNCTION("""COMPUTED_VALUE"""),1016938.0)</f>
        <v>1016938</v>
      </c>
      <c r="K1269" s="3" t="str">
        <f>IFERROR(__xludf.DUMMYFUNCTION("""COMPUTED_VALUE"""),"น.ส.ณัฏฐนันท์ ปัญญาสิทธิ์")</f>
        <v>น.ส.ณัฏฐนันท์ ปัญญาสิทธิ์</v>
      </c>
      <c r="L1269" s="1" t="str">
        <f>IFERROR(__xludf.DUMMYFUNCTION("""COMPUTED_VALUE"""),"Asia Books")</f>
        <v>Asia Books</v>
      </c>
      <c r="M1269" s="1" t="str">
        <f>IFERROR(__xludf.DUMMYFUNCTION("""COMPUTED_VALUE"""),"0993463946")</f>
        <v>0993463946</v>
      </c>
      <c r="N1269" s="3" t="str">
        <f>IFERROR(__xludf.DUMMYFUNCTION("""COMPUTED_VALUE"""),"21RB051")</f>
        <v>21RB051</v>
      </c>
      <c r="O1269" s="3" t="str">
        <f>IFERROR(__xludf.DUMMYFUNCTION("""COMPUTED_VALUE"""),"Crystal Park Phase 3")</f>
        <v>Crystal Park Phase 3</v>
      </c>
      <c r="P1269" s="4">
        <f>IFERROR(__xludf.DUMMYFUNCTION("""COMPUTED_VALUE"""),43271.0)</f>
        <v>43271</v>
      </c>
      <c r="Q1269" s="3" t="str">
        <f>IFERROR(__xludf.DUMMYFUNCTION("""COMPUTED_VALUE"""),"A")</f>
        <v>A</v>
      </c>
      <c r="R1269" s="3" t="str">
        <f>IFERROR(__xludf.DUMMYFUNCTION("""COMPUTED_VALUE"""),"Small Format")</f>
        <v>Small Format</v>
      </c>
      <c r="S1269" s="3" t="str">
        <f>IFERROR(__xludf.DUMMYFUNCTION("""COMPUTED_VALUE"""),"AsiaBooks")</f>
        <v>AsiaBooks</v>
      </c>
      <c r="T1269" s="3" t="str">
        <f>IFERROR(__xludf.DUMMYFUNCTION("""COMPUTED_VALUE"""),"Asia Books")</f>
        <v>Asia Books</v>
      </c>
      <c r="U1269" s="3" t="str">
        <f>IFERROR(__xludf.DUMMYFUNCTION("""COMPUTED_VALUE"""),"#N/A")</f>
        <v>#N/A</v>
      </c>
      <c r="V1269" s="3" t="str">
        <f>IFERROR(__xludf.DUMMYFUNCTION("""COMPUTED_VALUE"""),"N")</f>
        <v>N</v>
      </c>
      <c r="W1269" s="3">
        <f>IFERROR(__xludf.DUMMYFUNCTION("""COMPUTED_VALUE"""),0.0)</f>
        <v>0</v>
      </c>
      <c r="X1269" s="3" t="str">
        <f>IFERROR(__xludf.DUMMYFUNCTION("""COMPUTED_VALUE"""),"ชั้น 2 ห้องเลขที่ 201, ศูนย์การค้าเดอะคริสตัล เฟส3 วีรันดา เลขที่ 215 แขวงลาดพร้าว เขตลาดพร้าว กรุงเทพมหานคร 10230")</f>
        <v>ชั้น 2 ห้องเลขที่ 201, ศูนย์การค้าเดอะคริสตัล เฟส3 วีรันดา เลขที่ 215 แขวงลาดพร้าว เขตลาดพร้าว กรุงเทพมหานคร 10230</v>
      </c>
      <c r="Y1269" s="3"/>
      <c r="Z1269" s="3" t="str">
        <f>IFERROR(__xludf.DUMMYFUNCTION("""COMPUTED_VALUE"""),"ลาดพร้าว")</f>
        <v>ลาดพร้าว</v>
      </c>
      <c r="AA1269" s="3" t="str">
        <f>IFERROR(__xludf.DUMMYFUNCTION("""COMPUTED_VALUE"""),"ลาดพร้าว")</f>
        <v>ลาดพร้าว</v>
      </c>
      <c r="AB1269" s="3" t="str">
        <f>IFERROR(__xludf.DUMMYFUNCTION("""COMPUTED_VALUE"""),"กรุงเทพมหานคร")</f>
        <v>กรุงเทพมหานคร</v>
      </c>
      <c r="AC1269" s="3">
        <f>IFERROR(__xludf.DUMMYFUNCTION("""COMPUTED_VALUE"""),10230.0)</f>
        <v>10230</v>
      </c>
      <c r="AD1269" s="3">
        <f>IFERROR(__xludf.DUMMYFUNCTION("""COMPUTED_VALUE"""),13.81223802)</f>
        <v>13.81223802</v>
      </c>
      <c r="AE1269" s="3">
        <f>IFERROR(__xludf.DUMMYFUNCTION("""COMPUTED_VALUE"""),100.6196366)</f>
        <v>100.6196366</v>
      </c>
      <c r="AF1269" s="3" t="str">
        <f>IFERROR(__xludf.DUMMYFUNCTION("""COMPUTED_VALUE"""),"Crystal Park Phase 3-21RB051")</f>
        <v>Crystal Park Phase 3-21RB051</v>
      </c>
      <c r="AG1269" s="3" t="str">
        <f>IFERROR(__xludf.DUMMYFUNCTION("""COMPUTED_VALUE"""),"กลาง")</f>
        <v>กลาง</v>
      </c>
      <c r="AH1269" s="3" t="str">
        <f>IFERROR(__xludf.DUMMYFUNCTION("""COMPUTED_VALUE"""),"#N/A")</f>
        <v>#N/A</v>
      </c>
      <c r="AI1269" s="3" t="str">
        <f>IFERROR(__xludf.DUMMYFUNCTION("""COMPUTED_VALUE"""),"Out of warranty")</f>
        <v>Out of warranty</v>
      </c>
      <c r="AJ1269" s="3">
        <f>IFERROR(__xludf.DUMMYFUNCTION("""COMPUTED_VALUE"""),92.0)</f>
        <v>92</v>
      </c>
      <c r="AK1269" s="3"/>
      <c r="AL1269" s="3"/>
    </row>
    <row r="1270" ht="15.75" customHeight="1">
      <c r="A1270" s="1" t="str">
        <f>IFERROR(__xludf.DUMMYFUNCTION("""COMPUTED_VALUE"""),"21RB052")</f>
        <v>21RB052</v>
      </c>
      <c r="B1270" s="2" t="str">
        <f>IFERROR(__xludf.DUMMYFUNCTION("""COMPUTED_VALUE"""),"21RB052")</f>
        <v>21RB052</v>
      </c>
      <c r="C1270" s="3" t="str">
        <f>IFERROR(__xludf.DUMMYFUNCTION("""COMPUTED_VALUE"""),"KPS-DMD")</f>
        <v>KPS-DMD</v>
      </c>
      <c r="D1270" s="3" t="str">
        <f>IFERROR(__xludf.DUMMYFUNCTION("""COMPUTED_VALUE"""),"เอเซียบุ๊คส สนามบินดอนเมือง")</f>
        <v>เอเซียบุ๊คส สนามบินดอนเมือง</v>
      </c>
      <c r="E1270" s="1" t="str">
        <f>IFERROR(__xludf.DUMMYFUNCTION("""COMPUTED_VALUE"""),"AsiaBooks")</f>
        <v>AsiaBooks</v>
      </c>
      <c r="F1270" s="1" t="str">
        <f>IFERROR(__xludf.DUMMYFUNCTION("""COMPUTED_VALUE"""),"1016938")</f>
        <v>1016938</v>
      </c>
      <c r="G1270" s="1" t="str">
        <f>IFERROR(__xludf.DUMMYFUNCTION("""COMPUTED_VALUE"""),"น.ส.ณัฏฐนันท์ ปัญญาสิทธิ์")</f>
        <v>น.ส.ณัฏฐนันท์ ปัญญาสิทธิ์</v>
      </c>
      <c r="H1270" s="1" t="str">
        <f>IFERROR(__xludf.DUMMYFUNCTION("""COMPUTED_VALUE"""),"1007000")</f>
        <v>1007000</v>
      </c>
      <c r="I1270" s="1" t="str">
        <f>IFERROR(__xludf.DUMMYFUNCTION("""COMPUTED_VALUE"""),"น.ส.เสาวลักษณ์ แป้นงาม")</f>
        <v>น.ส.เสาวลักษณ์ แป้นงาม</v>
      </c>
      <c r="J1270" s="3">
        <f>IFERROR(__xludf.DUMMYFUNCTION("""COMPUTED_VALUE"""),1016938.0)</f>
        <v>1016938</v>
      </c>
      <c r="K1270" s="3" t="str">
        <f>IFERROR(__xludf.DUMMYFUNCTION("""COMPUTED_VALUE"""),"น.ส.ณัฏฐนันท์ ปัญญาสิทธิ์")</f>
        <v>น.ส.ณัฏฐนันท์ ปัญญาสิทธิ์</v>
      </c>
      <c r="L1270" s="1" t="str">
        <f>IFERROR(__xludf.DUMMYFUNCTION("""COMPUTED_VALUE"""),"Asia Books")</f>
        <v>Asia Books</v>
      </c>
      <c r="M1270" s="1" t="str">
        <f>IFERROR(__xludf.DUMMYFUNCTION("""COMPUTED_VALUE"""),"0993463946")</f>
        <v>0993463946</v>
      </c>
      <c r="N1270" s="3" t="str">
        <f>IFERROR(__xludf.DUMMYFUNCTION("""COMPUTED_VALUE"""),"21RB052")</f>
        <v>21RB052</v>
      </c>
      <c r="O1270" s="3" t="str">
        <f>IFERROR(__xludf.DUMMYFUNCTION("""COMPUTED_VALUE"""),"KPS-DMD")</f>
        <v>KPS-DMD</v>
      </c>
      <c r="P1270" s="4">
        <f>IFERROR(__xludf.DUMMYFUNCTION("""COMPUTED_VALUE"""),43271.0)</f>
        <v>43271</v>
      </c>
      <c r="Q1270" s="3" t="str">
        <f>IFERROR(__xludf.DUMMYFUNCTION("""COMPUTED_VALUE"""),"A")</f>
        <v>A</v>
      </c>
      <c r="R1270" s="3" t="str">
        <f>IFERROR(__xludf.DUMMYFUNCTION("""COMPUTED_VALUE"""),"Small Format")</f>
        <v>Small Format</v>
      </c>
      <c r="S1270" s="3" t="str">
        <f>IFERROR(__xludf.DUMMYFUNCTION("""COMPUTED_VALUE"""),"AsiaBooks")</f>
        <v>AsiaBooks</v>
      </c>
      <c r="T1270" s="3" t="str">
        <f>IFERROR(__xludf.DUMMYFUNCTION("""COMPUTED_VALUE"""),"Asia Books")</f>
        <v>Asia Books</v>
      </c>
      <c r="U1270" s="3" t="str">
        <f>IFERROR(__xludf.DUMMYFUNCTION("""COMPUTED_VALUE"""),"#N/A")</f>
        <v>#N/A</v>
      </c>
      <c r="V1270" s="3" t="str">
        <f>IFERROR(__xludf.DUMMYFUNCTION("""COMPUTED_VALUE"""),"N")</f>
        <v>N</v>
      </c>
      <c r="W1270" s="3">
        <f>IFERROR(__xludf.DUMMYFUNCTION("""COMPUTED_VALUE"""),0.0)</f>
        <v>0</v>
      </c>
      <c r="X1270" s="3" t="str">
        <f>IFERROR(__xludf.DUMMYFUNCTION("""COMPUTED_VALUE"""),"ชั้น 3, อาคารผู้โดยสาร1 ท่าอากาศยานดอนเมือง อาคาร1 เลขที่ 222 แขวงสนามบิน เขตดอนเมือง กรุงเทพมหานคร 10210")</f>
        <v>ชั้น 3, อาคารผู้โดยสาร1 ท่าอากาศยานดอนเมือง อาคาร1 เลขที่ 222 แขวงสนามบิน เขตดอนเมือง กรุงเทพมหานคร 10210</v>
      </c>
      <c r="Y1270" s="3"/>
      <c r="Z1270" s="3" t="str">
        <f>IFERROR(__xludf.DUMMYFUNCTION("""COMPUTED_VALUE"""),"สนามบิน")</f>
        <v>สนามบิน</v>
      </c>
      <c r="AA1270" s="3" t="str">
        <f>IFERROR(__xludf.DUMMYFUNCTION("""COMPUTED_VALUE"""),"ดอนเมือง")</f>
        <v>ดอนเมือง</v>
      </c>
      <c r="AB1270" s="3" t="str">
        <f>IFERROR(__xludf.DUMMYFUNCTION("""COMPUTED_VALUE"""),"กรุงเทพมหานคร")</f>
        <v>กรุงเทพมหานคร</v>
      </c>
      <c r="AC1270" s="3">
        <f>IFERROR(__xludf.DUMMYFUNCTION("""COMPUTED_VALUE"""),10210.0)</f>
        <v>10210</v>
      </c>
      <c r="AD1270" s="3">
        <f>IFERROR(__xludf.DUMMYFUNCTION("""COMPUTED_VALUE"""),13.91569183)</f>
        <v>13.91569183</v>
      </c>
      <c r="AE1270" s="3">
        <f>IFERROR(__xludf.DUMMYFUNCTION("""COMPUTED_VALUE"""),100.6043578)</f>
        <v>100.6043578</v>
      </c>
      <c r="AF1270" s="3" t="str">
        <f>IFERROR(__xludf.DUMMYFUNCTION("""COMPUTED_VALUE"""),"KPS-DMD-21RB052")</f>
        <v>KPS-DMD-21RB052</v>
      </c>
      <c r="AG1270" s="3" t="str">
        <f>IFERROR(__xludf.DUMMYFUNCTION("""COMPUTED_VALUE"""),"กลาง")</f>
        <v>กลาง</v>
      </c>
      <c r="AH1270" s="3" t="str">
        <f>IFERROR(__xludf.DUMMYFUNCTION("""COMPUTED_VALUE"""),"#N/A")</f>
        <v>#N/A</v>
      </c>
      <c r="AI1270" s="3" t="str">
        <f>IFERROR(__xludf.DUMMYFUNCTION("""COMPUTED_VALUE"""),"Out of warranty")</f>
        <v>Out of warranty</v>
      </c>
      <c r="AJ1270" s="3">
        <f>IFERROR(__xludf.DUMMYFUNCTION("""COMPUTED_VALUE"""),92.0)</f>
        <v>92</v>
      </c>
      <c r="AK1270" s="3"/>
      <c r="AL1270" s="3"/>
    </row>
    <row r="1271" ht="15.75" customHeight="1">
      <c r="A1271" s="1" t="str">
        <f>IFERROR(__xludf.DUMMYFUNCTION("""COMPUTED_VALUE"""),"21RB053")</f>
        <v>21RB053</v>
      </c>
      <c r="B1271" s="2" t="str">
        <f>IFERROR(__xludf.DUMMYFUNCTION("""COMPUTED_VALUE"""),"21RB053")</f>
        <v>21RB053</v>
      </c>
      <c r="C1271" s="3" t="str">
        <f>IFERROR(__xludf.DUMMYFUNCTION("""COMPUTED_VALUE"""),"Krabi - Airport (Domestic)")</f>
        <v>Krabi - Airport (Domestic)</v>
      </c>
      <c r="D1271" s="3" t="str">
        <f>IFERROR(__xludf.DUMMYFUNCTION("""COMPUTED_VALUE"""),"บุ๊คกาซีน กระบี่แอร์พอร์ต (ในประเทศ)")</f>
        <v>บุ๊คกาซีน กระบี่แอร์พอร์ต (ในประเทศ)</v>
      </c>
      <c r="E1271" s="1" t="str">
        <f>IFERROR(__xludf.DUMMYFUNCTION("""COMPUTED_VALUE"""),"AsiaBooks")</f>
        <v>AsiaBooks</v>
      </c>
      <c r="F1271" s="1" t="str">
        <f>IFERROR(__xludf.DUMMYFUNCTION("""COMPUTED_VALUE"""),"1016938")</f>
        <v>1016938</v>
      </c>
      <c r="G1271" s="1" t="str">
        <f>IFERROR(__xludf.DUMMYFUNCTION("""COMPUTED_VALUE"""),"น.ส.ณัฏฐนันท์ ปัญญาสิทธิ์")</f>
        <v>น.ส.ณัฏฐนันท์ ปัญญาสิทธิ์</v>
      </c>
      <c r="H1271" s="1" t="str">
        <f>IFERROR(__xludf.DUMMYFUNCTION("""COMPUTED_VALUE"""),"1015537")</f>
        <v>1015537</v>
      </c>
      <c r="I1271" s="1" t="str">
        <f>IFERROR(__xludf.DUMMYFUNCTION("""COMPUTED_VALUE"""),"น.ส.มัญชริน เลื่อนแก้ว")</f>
        <v>น.ส.มัญชริน เลื่อนแก้ว</v>
      </c>
      <c r="J1271" s="3">
        <f>IFERROR(__xludf.DUMMYFUNCTION("""COMPUTED_VALUE"""),1016938.0)</f>
        <v>1016938</v>
      </c>
      <c r="K1271" s="3" t="str">
        <f>IFERROR(__xludf.DUMMYFUNCTION("""COMPUTED_VALUE"""),"น.ส.ณัฏฐนันท์ ปัญญาสิทธิ์")</f>
        <v>น.ส.ณัฏฐนันท์ ปัญญาสิทธิ์</v>
      </c>
      <c r="L1271" s="1" t="str">
        <f>IFERROR(__xludf.DUMMYFUNCTION("""COMPUTED_VALUE"""),"Asia Books")</f>
        <v>Asia Books</v>
      </c>
      <c r="M1271" s="1" t="str">
        <f>IFERROR(__xludf.DUMMYFUNCTION("""COMPUTED_VALUE"""),"0993463946")</f>
        <v>0993463946</v>
      </c>
      <c r="N1271" s="3" t="str">
        <f>IFERROR(__xludf.DUMMYFUNCTION("""COMPUTED_VALUE"""),"21RB053")</f>
        <v>21RB053</v>
      </c>
      <c r="O1271" s="3" t="str">
        <f>IFERROR(__xludf.DUMMYFUNCTION("""COMPUTED_VALUE"""),"Krabi - Airport (Domestic)")</f>
        <v>Krabi - Airport (Domestic)</v>
      </c>
      <c r="P1271" s="4">
        <f>IFERROR(__xludf.DUMMYFUNCTION("""COMPUTED_VALUE"""),43271.0)</f>
        <v>43271</v>
      </c>
      <c r="Q1271" s="3" t="str">
        <f>IFERROR(__xludf.DUMMYFUNCTION("""COMPUTED_VALUE"""),"A")</f>
        <v>A</v>
      </c>
      <c r="R1271" s="3" t="str">
        <f>IFERROR(__xludf.DUMMYFUNCTION("""COMPUTED_VALUE"""),"Small Format")</f>
        <v>Small Format</v>
      </c>
      <c r="S1271" s="3" t="str">
        <f>IFERROR(__xludf.DUMMYFUNCTION("""COMPUTED_VALUE"""),"AsiaBooks")</f>
        <v>AsiaBooks</v>
      </c>
      <c r="T1271" s="3" t="str">
        <f>IFERROR(__xludf.DUMMYFUNCTION("""COMPUTED_VALUE"""),"Asia Books")</f>
        <v>Asia Books</v>
      </c>
      <c r="U1271" s="3" t="str">
        <f>IFERROR(__xludf.DUMMYFUNCTION("""COMPUTED_VALUE"""),"#N/A")</f>
        <v>#N/A</v>
      </c>
      <c r="V1271" s="3" t="str">
        <f>IFERROR(__xludf.DUMMYFUNCTION("""COMPUTED_VALUE"""),"N")</f>
        <v>N</v>
      </c>
      <c r="W1271" s="3">
        <f>IFERROR(__xludf.DUMMYFUNCTION("""COMPUTED_VALUE"""),0.0)</f>
        <v>0</v>
      </c>
      <c r="X1271" s="3" t="str">
        <f>IFERROR(__xludf.DUMMYFUNCTION("""COMPUTED_VALUE"""),"ชั้น 2, อาคาร 2, ท่าอากาศยานนานาชาติกระบี่ ผู้โดยสารในประเทศ เลขที่ 133 ตำบลเหนือคลอง อำเภอเหนือคลอง จังหวัดกระบี่ 81130")</f>
        <v>ชั้น 2, อาคาร 2, ท่าอากาศยานนานาชาติกระบี่ ผู้โดยสารในประเทศ เลขที่ 133 ตำบลเหนือคลอง อำเภอเหนือคลอง จังหวัดกระบี่ 81130</v>
      </c>
      <c r="Y1271" s="3"/>
      <c r="Z1271" s="3" t="str">
        <f>IFERROR(__xludf.DUMMYFUNCTION("""COMPUTED_VALUE"""),"เหนือคลอง")</f>
        <v>เหนือคลอง</v>
      </c>
      <c r="AA1271" s="3" t="str">
        <f>IFERROR(__xludf.DUMMYFUNCTION("""COMPUTED_VALUE"""),"เหนือคลอง")</f>
        <v>เหนือคลอง</v>
      </c>
      <c r="AB1271" s="3" t="str">
        <f>IFERROR(__xludf.DUMMYFUNCTION("""COMPUTED_VALUE"""),"กระบี่")</f>
        <v>กระบี่</v>
      </c>
      <c r="AC1271" s="3">
        <f>IFERROR(__xludf.DUMMYFUNCTION("""COMPUTED_VALUE"""),81130.0)</f>
        <v>81130</v>
      </c>
      <c r="AD1271" s="3">
        <f>IFERROR(__xludf.DUMMYFUNCTION("""COMPUTED_VALUE"""),0.0)</f>
        <v>0</v>
      </c>
      <c r="AE1271" s="3">
        <f>IFERROR(__xludf.DUMMYFUNCTION("""COMPUTED_VALUE"""),0.0)</f>
        <v>0</v>
      </c>
      <c r="AF1271" s="3" t="str">
        <f>IFERROR(__xludf.DUMMYFUNCTION("""COMPUTED_VALUE"""),"Krabi - Airport (Domestic)-21RB053")</f>
        <v>Krabi - Airport (Domestic)-21RB053</v>
      </c>
      <c r="AG1271" s="3" t="str">
        <f>IFERROR(__xludf.DUMMYFUNCTION("""COMPUTED_VALUE"""),"ใต้")</f>
        <v>ใต้</v>
      </c>
      <c r="AH1271" s="3" t="str">
        <f>IFERROR(__xludf.DUMMYFUNCTION("""COMPUTED_VALUE"""),"#N/A")</f>
        <v>#N/A</v>
      </c>
      <c r="AI1271" s="3" t="str">
        <f>IFERROR(__xludf.DUMMYFUNCTION("""COMPUTED_VALUE"""),"Out of warranty")</f>
        <v>Out of warranty</v>
      </c>
      <c r="AJ1271" s="3">
        <f>IFERROR(__xludf.DUMMYFUNCTION("""COMPUTED_VALUE"""),92.0)</f>
        <v>92</v>
      </c>
      <c r="AK1271" s="3"/>
      <c r="AL1271" s="3"/>
    </row>
    <row r="1272" ht="15.75" customHeight="1">
      <c r="A1272" s="1" t="str">
        <f>IFERROR(__xludf.DUMMYFUNCTION("""COMPUTED_VALUE"""),"21RB054")</f>
        <v>21RB054</v>
      </c>
      <c r="B1272" s="2" t="str">
        <f>IFERROR(__xludf.DUMMYFUNCTION("""COMPUTED_VALUE"""),"21RB054")</f>
        <v>21RB054</v>
      </c>
      <c r="C1272" s="3" t="str">
        <f>IFERROR(__xludf.DUMMYFUNCTION("""COMPUTED_VALUE"""),"บุ๊คกาซีน กระบี่ แอร์พอร์ต ระหว่างประเทศ")</f>
        <v>บุ๊คกาซีน กระบี่ แอร์พอร์ต ระหว่างประเทศ</v>
      </c>
      <c r="D1272" s="3" t="str">
        <f>IFERROR(__xludf.DUMMYFUNCTION("""COMPUTED_VALUE"""),"BZKB-INT:KRABI AIRPT (INT,L DEPT)")</f>
        <v>BZKB-INT:KRABI AIRPT (INT,L DEPT)</v>
      </c>
      <c r="E1272" s="1" t="str">
        <f>IFERROR(__xludf.DUMMYFUNCTION("""COMPUTED_VALUE"""),"AsiaBooks")</f>
        <v>AsiaBooks</v>
      </c>
      <c r="F1272" s="1" t="str">
        <f>IFERROR(__xludf.DUMMYFUNCTION("""COMPUTED_VALUE"""),"1016938")</f>
        <v>1016938</v>
      </c>
      <c r="G1272" s="1" t="str">
        <f>IFERROR(__xludf.DUMMYFUNCTION("""COMPUTED_VALUE"""),"น.ส.ณัฏฐนันท์ ปัญญาสิทธิ์")</f>
        <v>น.ส.ณัฏฐนันท์ ปัญญาสิทธิ์</v>
      </c>
      <c r="H1272" s="1" t="str">
        <f>IFERROR(__xludf.DUMMYFUNCTION("""COMPUTED_VALUE"""),"1015594")</f>
        <v>1015594</v>
      </c>
      <c r="I1272" s="1" t="str">
        <f>IFERROR(__xludf.DUMMYFUNCTION("""COMPUTED_VALUE"""),"น.ส.อาพัทยา ยะอุโมงค์")</f>
        <v>น.ส.อาพัทยา ยะอุโมงค์</v>
      </c>
      <c r="J1272" s="3">
        <f>IFERROR(__xludf.DUMMYFUNCTION("""COMPUTED_VALUE"""),1016938.0)</f>
        <v>1016938</v>
      </c>
      <c r="K1272" s="3" t="str">
        <f>IFERROR(__xludf.DUMMYFUNCTION("""COMPUTED_VALUE"""),"น.ส.ณัฏฐนันท์ ปัญญาสิทธิ์")</f>
        <v>น.ส.ณัฏฐนันท์ ปัญญาสิทธิ์</v>
      </c>
      <c r="L1272" s="1" t="str">
        <f>IFERROR(__xludf.DUMMYFUNCTION("""COMPUTED_VALUE"""),"Asia Books")</f>
        <v>Asia Books</v>
      </c>
      <c r="M1272" s="1" t="str">
        <f>IFERROR(__xludf.DUMMYFUNCTION("""COMPUTED_VALUE"""),"0993463946")</f>
        <v>0993463946</v>
      </c>
      <c r="N1272" s="3" t="str">
        <f>IFERROR(__xludf.DUMMYFUNCTION("""COMPUTED_VALUE"""),"21RB054")</f>
        <v>21RB054</v>
      </c>
      <c r="O1272" s="3" t="str">
        <f>IFERROR(__xludf.DUMMYFUNCTION("""COMPUTED_VALUE"""),"บุ๊คกาซีน กระบี่ แอร์พอร์ต ระหว่างประเทศ")</f>
        <v>บุ๊คกาซีน กระบี่ แอร์พอร์ต ระหว่างประเทศ</v>
      </c>
      <c r="P1272" s="4">
        <f>IFERROR(__xludf.DUMMYFUNCTION("""COMPUTED_VALUE"""),43271.0)</f>
        <v>43271</v>
      </c>
      <c r="Q1272" s="3" t="str">
        <f>IFERROR(__xludf.DUMMYFUNCTION("""COMPUTED_VALUE"""),"I")</f>
        <v>I</v>
      </c>
      <c r="R1272" s="3" t="str">
        <f>IFERROR(__xludf.DUMMYFUNCTION("""COMPUTED_VALUE"""),"Small Format")</f>
        <v>Small Format</v>
      </c>
      <c r="S1272" s="3" t="str">
        <f>IFERROR(__xludf.DUMMYFUNCTION("""COMPUTED_VALUE"""),"AsiaBooks")</f>
        <v>AsiaBooks</v>
      </c>
      <c r="T1272" s="3" t="str">
        <f>IFERROR(__xludf.DUMMYFUNCTION("""COMPUTED_VALUE"""),"Asia Books")</f>
        <v>Asia Books</v>
      </c>
      <c r="U1272" s="3" t="str">
        <f>IFERROR(__xludf.DUMMYFUNCTION("""COMPUTED_VALUE"""),"#N/A")</f>
        <v>#N/A</v>
      </c>
      <c r="V1272" s="3" t="str">
        <f>IFERROR(__xludf.DUMMYFUNCTION("""COMPUTED_VALUE"""),"Y")</f>
        <v>Y</v>
      </c>
      <c r="W1272" s="3">
        <f>IFERROR(__xludf.DUMMYFUNCTION("""COMPUTED_VALUE"""),0.0)</f>
        <v>0</v>
      </c>
      <c r="X1272" s="3" t="str">
        <f>IFERROR(__xludf.DUMMYFUNCTION("""COMPUTED_VALUE"""),"ชั้น 3, อาคาร 1 , ท่าอากาศยานนานาชาติกระบี่ ผู้โดยสารระหว่างประเทศ เลขที่ 133 ตำบลเหนือคลอง อำเภอเหนือคลอง จังหวัดกระบี่ 81130")</f>
        <v>ชั้น 3, อาคาร 1 , ท่าอากาศยานนานาชาติกระบี่ ผู้โดยสารระหว่างประเทศ เลขที่ 133 ตำบลเหนือคลอง อำเภอเหนือคลอง จังหวัดกระบี่ 81130</v>
      </c>
      <c r="Y1272" s="3"/>
      <c r="Z1272" s="3" t="str">
        <f>IFERROR(__xludf.DUMMYFUNCTION("""COMPUTED_VALUE"""),"เหนือคลอง")</f>
        <v>เหนือคลอง</v>
      </c>
      <c r="AA1272" s="3" t="str">
        <f>IFERROR(__xludf.DUMMYFUNCTION("""COMPUTED_VALUE"""),"เหนือคลอง")</f>
        <v>เหนือคลอง</v>
      </c>
      <c r="AB1272" s="3" t="str">
        <f>IFERROR(__xludf.DUMMYFUNCTION("""COMPUTED_VALUE"""),"กระบี่")</f>
        <v>กระบี่</v>
      </c>
      <c r="AC1272" s="3">
        <f>IFERROR(__xludf.DUMMYFUNCTION("""COMPUTED_VALUE"""),81130.0)</f>
        <v>81130</v>
      </c>
      <c r="AD1272" s="3">
        <f>IFERROR(__xludf.DUMMYFUNCTION("""COMPUTED_VALUE"""),0.0)</f>
        <v>0</v>
      </c>
      <c r="AE1272" s="3">
        <f>IFERROR(__xludf.DUMMYFUNCTION("""COMPUTED_VALUE"""),0.0)</f>
        <v>0</v>
      </c>
      <c r="AF1272" s="3" t="str">
        <f>IFERROR(__xludf.DUMMYFUNCTION("""COMPUTED_VALUE"""),"บุ๊คกาซีน กระบี่ แอร์พอร์ต ระหว่างประเทศ-21RB054")</f>
        <v>บุ๊คกาซีน กระบี่ แอร์พอร์ต ระหว่างประเทศ-21RB054</v>
      </c>
      <c r="AG1272" s="3" t="str">
        <f>IFERROR(__xludf.DUMMYFUNCTION("""COMPUTED_VALUE"""),"ใต้")</f>
        <v>ใต้</v>
      </c>
      <c r="AH1272" s="3" t="str">
        <f>IFERROR(__xludf.DUMMYFUNCTION("""COMPUTED_VALUE"""),"#N/A")</f>
        <v>#N/A</v>
      </c>
      <c r="AI1272" s="3" t="str">
        <f>IFERROR(__xludf.DUMMYFUNCTION("""COMPUTED_VALUE"""),"Out of warranty")</f>
        <v>Out of warranty</v>
      </c>
      <c r="AJ1272" s="3">
        <f>IFERROR(__xludf.DUMMYFUNCTION("""COMPUTED_VALUE"""),92.0)</f>
        <v>92</v>
      </c>
      <c r="AK1272" s="3"/>
      <c r="AL1272" s="3"/>
    </row>
    <row r="1273" ht="15.75" customHeight="1">
      <c r="A1273" s="1" t="str">
        <f>IFERROR(__xludf.DUMMYFUNCTION("""COMPUTED_VALUE"""),"21RB055")</f>
        <v>21RB055</v>
      </c>
      <c r="B1273" s="2" t="str">
        <f>IFERROR(__xludf.DUMMYFUNCTION("""COMPUTED_VALUE"""),"21RB055")</f>
        <v>21RB055</v>
      </c>
      <c r="C1273" s="3" t="str">
        <f>IFERROR(__xludf.DUMMYFUNCTION("""COMPUTED_VALUE"""),"Maya Chiangmai")</f>
        <v>Maya Chiangmai</v>
      </c>
      <c r="D1273" s="3" t="str">
        <f>IFERROR(__xludf.DUMMYFUNCTION("""COMPUTED_VALUE"""),"เอเซียบุ๊คส เมญ่า")</f>
        <v>เอเซียบุ๊คส เมญ่า</v>
      </c>
      <c r="E1273" s="1" t="str">
        <f>IFERROR(__xludf.DUMMYFUNCTION("""COMPUTED_VALUE"""),"AsiaBooks")</f>
        <v>AsiaBooks</v>
      </c>
      <c r="F1273" s="1" t="str">
        <f>IFERROR(__xludf.DUMMYFUNCTION("""COMPUTED_VALUE"""),"1016938")</f>
        <v>1016938</v>
      </c>
      <c r="G1273" s="1" t="str">
        <f>IFERROR(__xludf.DUMMYFUNCTION("""COMPUTED_VALUE"""),"น.ส.ณัฏฐนันท์ ปัญญาสิทธิ์")</f>
        <v>น.ส.ณัฏฐนันท์ ปัญญาสิทธิ์</v>
      </c>
      <c r="H1273" s="1" t="str">
        <f>IFERROR(__xludf.DUMMYFUNCTION("""COMPUTED_VALUE"""),"1015594")</f>
        <v>1015594</v>
      </c>
      <c r="I1273" s="1" t="str">
        <f>IFERROR(__xludf.DUMMYFUNCTION("""COMPUTED_VALUE"""),"น.ส.อาพัทยา ยะอุโมงค์")</f>
        <v>น.ส.อาพัทยา ยะอุโมงค์</v>
      </c>
      <c r="J1273" s="3">
        <f>IFERROR(__xludf.DUMMYFUNCTION("""COMPUTED_VALUE"""),1016938.0)</f>
        <v>1016938</v>
      </c>
      <c r="K1273" s="3" t="str">
        <f>IFERROR(__xludf.DUMMYFUNCTION("""COMPUTED_VALUE"""),"น.ส.ณัฏฐนันท์ ปัญญาสิทธิ์")</f>
        <v>น.ส.ณัฏฐนันท์ ปัญญาสิทธิ์</v>
      </c>
      <c r="L1273" s="1" t="str">
        <f>IFERROR(__xludf.DUMMYFUNCTION("""COMPUTED_VALUE"""),"Asia Books")</f>
        <v>Asia Books</v>
      </c>
      <c r="M1273" s="1" t="str">
        <f>IFERROR(__xludf.DUMMYFUNCTION("""COMPUTED_VALUE"""),"0993463946")</f>
        <v>0993463946</v>
      </c>
      <c r="N1273" s="3" t="str">
        <f>IFERROR(__xludf.DUMMYFUNCTION("""COMPUTED_VALUE"""),"21RB055")</f>
        <v>21RB055</v>
      </c>
      <c r="O1273" s="3" t="str">
        <f>IFERROR(__xludf.DUMMYFUNCTION("""COMPUTED_VALUE"""),"Maya Chiangmai")</f>
        <v>Maya Chiangmai</v>
      </c>
      <c r="P1273" s="4">
        <f>IFERROR(__xludf.DUMMYFUNCTION("""COMPUTED_VALUE"""),43271.0)</f>
        <v>43271</v>
      </c>
      <c r="Q1273" s="3" t="str">
        <f>IFERROR(__xludf.DUMMYFUNCTION("""COMPUTED_VALUE"""),"A")</f>
        <v>A</v>
      </c>
      <c r="R1273" s="3" t="str">
        <f>IFERROR(__xludf.DUMMYFUNCTION("""COMPUTED_VALUE"""),"Small Format")</f>
        <v>Small Format</v>
      </c>
      <c r="S1273" s="3" t="str">
        <f>IFERROR(__xludf.DUMMYFUNCTION("""COMPUTED_VALUE"""),"AsiaBooks")</f>
        <v>AsiaBooks</v>
      </c>
      <c r="T1273" s="3" t="str">
        <f>IFERROR(__xludf.DUMMYFUNCTION("""COMPUTED_VALUE"""),"Asia Books")</f>
        <v>Asia Books</v>
      </c>
      <c r="U1273" s="3" t="str">
        <f>IFERROR(__xludf.DUMMYFUNCTION("""COMPUTED_VALUE"""),"#N/A")</f>
        <v>#N/A</v>
      </c>
      <c r="V1273" s="3" t="str">
        <f>IFERROR(__xludf.DUMMYFUNCTION("""COMPUTED_VALUE"""),"N")</f>
        <v>N</v>
      </c>
      <c r="W1273" s="3">
        <f>IFERROR(__xludf.DUMMYFUNCTION("""COMPUTED_VALUE"""),0.0)</f>
        <v>0</v>
      </c>
      <c r="X1273" s="3" t="str">
        <f>IFERROR(__xludf.DUMMYFUNCTION("""COMPUTED_VALUE"""),"ชั้น 3 ห้อง 308, ศูนย์การค้าเมญ่า เลขที่ 55 ตำบลช้างเผือก อำเภอเมืองเชียงใหม่ จังหวัดเชียงใหม่ 50000")</f>
        <v>ชั้น 3 ห้อง 308, ศูนย์การค้าเมญ่า เลขที่ 55 ตำบลช้างเผือก อำเภอเมืองเชียงใหม่ จังหวัดเชียงใหม่ 50000</v>
      </c>
      <c r="Y1273" s="3"/>
      <c r="Z1273" s="3" t="str">
        <f>IFERROR(__xludf.DUMMYFUNCTION("""COMPUTED_VALUE"""),"ช้างเผือก")</f>
        <v>ช้างเผือก</v>
      </c>
      <c r="AA1273" s="3" t="str">
        <f>IFERROR(__xludf.DUMMYFUNCTION("""COMPUTED_VALUE"""),"เมือง")</f>
        <v>เมือง</v>
      </c>
      <c r="AB1273" s="3" t="str">
        <f>IFERROR(__xludf.DUMMYFUNCTION("""COMPUTED_VALUE"""),"เชียงใหม่")</f>
        <v>เชียงใหม่</v>
      </c>
      <c r="AC1273" s="3">
        <f>IFERROR(__xludf.DUMMYFUNCTION("""COMPUTED_VALUE"""),50000.0)</f>
        <v>50000</v>
      </c>
      <c r="AD1273" s="3">
        <f>IFERROR(__xludf.DUMMYFUNCTION("""COMPUTED_VALUE"""),18.802456)</f>
        <v>18.802456</v>
      </c>
      <c r="AE1273" s="3">
        <f>IFERROR(__xludf.DUMMYFUNCTION("""COMPUTED_VALUE"""),98.967276)</f>
        <v>98.967276</v>
      </c>
      <c r="AF1273" s="3" t="str">
        <f>IFERROR(__xludf.DUMMYFUNCTION("""COMPUTED_VALUE"""),"Maya Chiangmai-21RB055")</f>
        <v>Maya Chiangmai-21RB055</v>
      </c>
      <c r="AG1273" s="3" t="str">
        <f>IFERROR(__xludf.DUMMYFUNCTION("""COMPUTED_VALUE"""),"เหนือ")</f>
        <v>เหนือ</v>
      </c>
      <c r="AH1273" s="3" t="str">
        <f>IFERROR(__xludf.DUMMYFUNCTION("""COMPUTED_VALUE"""),"#N/A")</f>
        <v>#N/A</v>
      </c>
      <c r="AI1273" s="3" t="str">
        <f>IFERROR(__xludf.DUMMYFUNCTION("""COMPUTED_VALUE"""),"Out of warranty")</f>
        <v>Out of warranty</v>
      </c>
      <c r="AJ1273" s="3">
        <f>IFERROR(__xludf.DUMMYFUNCTION("""COMPUTED_VALUE"""),92.0)</f>
        <v>92</v>
      </c>
      <c r="AK1273" s="3"/>
      <c r="AL1273" s="3"/>
    </row>
    <row r="1274" ht="15.75" customHeight="1">
      <c r="A1274" s="1" t="str">
        <f>IFERROR(__xludf.DUMMYFUNCTION("""COMPUTED_VALUE"""),"21RB056")</f>
        <v>21RB056</v>
      </c>
      <c r="B1274" s="2" t="str">
        <f>IFERROR(__xludf.DUMMYFUNCTION("""COMPUTED_VALUE"""),"21RB056")</f>
        <v>21RB056</v>
      </c>
      <c r="C1274" s="3" t="str">
        <f>IFERROR(__xludf.DUMMYFUNCTION("""COMPUTED_VALUE"""),"เอเซียบุ๊คส เคพีเอส ภูเก็ต 1")</f>
        <v>เอเซียบุ๊คส เคพีเอส ภูเก็ต 1</v>
      </c>
      <c r="D1274" s="3" t="str">
        <f>IFERROR(__xludf.DUMMYFUNCTION("""COMPUTED_VALUE"""),"KPS-PK1:PHUKET - AIRPT - AIR SIDE")</f>
        <v>KPS-PK1:PHUKET - AIRPT - AIR SIDE</v>
      </c>
      <c r="E1274" s="1" t="str">
        <f>IFERROR(__xludf.DUMMYFUNCTION("""COMPUTED_VALUE"""),"AsiaBooks")</f>
        <v>AsiaBooks</v>
      </c>
      <c r="F1274" s="1" t="str">
        <f>IFERROR(__xludf.DUMMYFUNCTION("""COMPUTED_VALUE"""),"1016938")</f>
        <v>1016938</v>
      </c>
      <c r="G1274" s="1" t="str">
        <f>IFERROR(__xludf.DUMMYFUNCTION("""COMPUTED_VALUE"""),"น.ส.ณัฏฐนันท์ ปัญญาสิทธิ์")</f>
        <v>น.ส.ณัฏฐนันท์ ปัญญาสิทธิ์</v>
      </c>
      <c r="H1274" s="1" t="str">
        <f>IFERROR(__xludf.DUMMYFUNCTION("""COMPUTED_VALUE"""),"2010435")</f>
        <v>2010435</v>
      </c>
      <c r="I1274" s="1" t="str">
        <f>IFERROR(__xludf.DUMMYFUNCTION("""COMPUTED_VALUE"""),"น.ส.ลักษณพร เกิดบุญส่ง")</f>
        <v>น.ส.ลักษณพร เกิดบุญส่ง</v>
      </c>
      <c r="J1274" s="3">
        <f>IFERROR(__xludf.DUMMYFUNCTION("""COMPUTED_VALUE"""),1016938.0)</f>
        <v>1016938</v>
      </c>
      <c r="K1274" s="3" t="str">
        <f>IFERROR(__xludf.DUMMYFUNCTION("""COMPUTED_VALUE"""),"น.ส.ณัฏฐนันท์ ปัญญาสิทธิ์")</f>
        <v>น.ส.ณัฏฐนันท์ ปัญญาสิทธิ์</v>
      </c>
      <c r="L1274" s="1" t="str">
        <f>IFERROR(__xludf.DUMMYFUNCTION("""COMPUTED_VALUE"""),"Asia Books")</f>
        <v>Asia Books</v>
      </c>
      <c r="M1274" s="1" t="str">
        <f>IFERROR(__xludf.DUMMYFUNCTION("""COMPUTED_VALUE"""),"0993463946")</f>
        <v>0993463946</v>
      </c>
      <c r="N1274" s="3" t="str">
        <f>IFERROR(__xludf.DUMMYFUNCTION("""COMPUTED_VALUE"""),"21RB056")</f>
        <v>21RB056</v>
      </c>
      <c r="O1274" s="3" t="str">
        <f>IFERROR(__xludf.DUMMYFUNCTION("""COMPUTED_VALUE"""),"เอเซียบุ๊คส เคพีเอส ภูเก็ต 1")</f>
        <v>เอเซียบุ๊คส เคพีเอส ภูเก็ต 1</v>
      </c>
      <c r="P1274" s="4">
        <f>IFERROR(__xludf.DUMMYFUNCTION("""COMPUTED_VALUE"""),43271.0)</f>
        <v>43271</v>
      </c>
      <c r="Q1274" s="3" t="str">
        <f>IFERROR(__xludf.DUMMYFUNCTION("""COMPUTED_VALUE"""),"I")</f>
        <v>I</v>
      </c>
      <c r="R1274" s="3" t="str">
        <f>IFERROR(__xludf.DUMMYFUNCTION("""COMPUTED_VALUE"""),"Small Format")</f>
        <v>Small Format</v>
      </c>
      <c r="S1274" s="3" t="str">
        <f>IFERROR(__xludf.DUMMYFUNCTION("""COMPUTED_VALUE"""),"AsiaBooks")</f>
        <v>AsiaBooks</v>
      </c>
      <c r="T1274" s="3" t="str">
        <f>IFERROR(__xludf.DUMMYFUNCTION("""COMPUTED_VALUE"""),"Asia Books")</f>
        <v>Asia Books</v>
      </c>
      <c r="U1274" s="3" t="str">
        <f>IFERROR(__xludf.DUMMYFUNCTION("""COMPUTED_VALUE"""),"#N/A")</f>
        <v>#N/A</v>
      </c>
      <c r="V1274" s="3" t="str">
        <f>IFERROR(__xludf.DUMMYFUNCTION("""COMPUTED_VALUE"""),"Y")</f>
        <v>Y</v>
      </c>
      <c r="W1274" s="3">
        <f>IFERROR(__xludf.DUMMYFUNCTION("""COMPUTED_VALUE"""),0.0)</f>
        <v>0</v>
      </c>
      <c r="X1274" s="3" t="str">
        <f>IFERROR(__xludf.DUMMYFUNCTION("""COMPUTED_VALUE"""),"ชั้น 4 TD14 (ยูนิต 406), สนามบินนานาชาติภูเก็ต ผู้โดยสารระหว่างประเทศ เลขที่ 222 ตำบลไม้ขาว อำเภอถลาง จังหวัดภูเก็ต 83110")</f>
        <v>ชั้น 4 TD14 (ยูนิต 406), สนามบินนานาชาติภูเก็ต ผู้โดยสารระหว่างประเทศ เลขที่ 222 ตำบลไม้ขาว อำเภอถลาง จังหวัดภูเก็ต 83110</v>
      </c>
      <c r="Y1274" s="3"/>
      <c r="Z1274" s="3" t="str">
        <f>IFERROR(__xludf.DUMMYFUNCTION("""COMPUTED_VALUE"""),"ไม้ขาว")</f>
        <v>ไม้ขาว</v>
      </c>
      <c r="AA1274" s="3" t="str">
        <f>IFERROR(__xludf.DUMMYFUNCTION("""COMPUTED_VALUE"""),"ถลาง")</f>
        <v>ถลาง</v>
      </c>
      <c r="AB1274" s="3" t="str">
        <f>IFERROR(__xludf.DUMMYFUNCTION("""COMPUTED_VALUE"""),"ภูเก็ต")</f>
        <v>ภูเก็ต</v>
      </c>
      <c r="AC1274" s="3">
        <f>IFERROR(__xludf.DUMMYFUNCTION("""COMPUTED_VALUE"""),83110.0)</f>
        <v>83110</v>
      </c>
      <c r="AD1274" s="3">
        <f>IFERROR(__xludf.DUMMYFUNCTION("""COMPUTED_VALUE"""),0.0)</f>
        <v>0</v>
      </c>
      <c r="AE1274" s="3">
        <f>IFERROR(__xludf.DUMMYFUNCTION("""COMPUTED_VALUE"""),0.0)</f>
        <v>0</v>
      </c>
      <c r="AF1274" s="3" t="str">
        <f>IFERROR(__xludf.DUMMYFUNCTION("""COMPUTED_VALUE"""),"เอเซียบุ๊คส เคพีเอส ภูเก็ต 1-21RB056")</f>
        <v>เอเซียบุ๊คส เคพีเอส ภูเก็ต 1-21RB056</v>
      </c>
      <c r="AG1274" s="3" t="str">
        <f>IFERROR(__xludf.DUMMYFUNCTION("""COMPUTED_VALUE"""),"ใต้")</f>
        <v>ใต้</v>
      </c>
      <c r="AH1274" s="3" t="str">
        <f>IFERROR(__xludf.DUMMYFUNCTION("""COMPUTED_VALUE"""),"#N/A")</f>
        <v>#N/A</v>
      </c>
      <c r="AI1274" s="3" t="str">
        <f>IFERROR(__xludf.DUMMYFUNCTION("""COMPUTED_VALUE"""),"Out of warranty")</f>
        <v>Out of warranty</v>
      </c>
      <c r="AJ1274" s="3">
        <f>IFERROR(__xludf.DUMMYFUNCTION("""COMPUTED_VALUE"""),92.0)</f>
        <v>92</v>
      </c>
      <c r="AK1274" s="3"/>
      <c r="AL1274" s="3"/>
    </row>
    <row r="1275" ht="15.75" customHeight="1">
      <c r="A1275" s="1" t="str">
        <f>IFERROR(__xludf.DUMMYFUNCTION("""COMPUTED_VALUE"""),"21RB059")</f>
        <v>21RB059</v>
      </c>
      <c r="B1275" s="2" t="str">
        <f>IFERROR(__xludf.DUMMYFUNCTION("""COMPUTED_VALUE"""),"21RB059")</f>
        <v>21RB059</v>
      </c>
      <c r="C1275" s="3" t="str">
        <f>IFERROR(__xludf.DUMMYFUNCTION("""COMPUTED_VALUE"""),"AB-SIS:B2S-CENTRAL WESTGATE")</f>
        <v>AB-SIS:B2S-CENTRAL WESTGATE</v>
      </c>
      <c r="D1275" s="3" t="str">
        <f>IFERROR(__xludf.DUMMYFUNCTION("""COMPUTED_VALUE"""),"AB-SIS:B2S-CENTRAL WESTGATE")</f>
        <v>AB-SIS:B2S-CENTRAL WESTGATE</v>
      </c>
      <c r="E1275" s="1" t="str">
        <f>IFERROR(__xludf.DUMMYFUNCTION("""COMPUTED_VALUE"""),"AsiaBooks")</f>
        <v>AsiaBooks</v>
      </c>
      <c r="F1275" s="1" t="str">
        <f>IFERROR(__xludf.DUMMYFUNCTION("""COMPUTED_VALUE"""),"1016938")</f>
        <v>1016938</v>
      </c>
      <c r="G1275" s="1" t="str">
        <f>IFERROR(__xludf.DUMMYFUNCTION("""COMPUTED_VALUE"""),"น.ส.ณัฏฐนันท์ ปัญญาสิทธิ์")</f>
        <v>น.ส.ณัฏฐนันท์ ปัญญาสิทธิ์</v>
      </c>
      <c r="H1275" s="1" t="str">
        <f>IFERROR(__xludf.DUMMYFUNCTION("""COMPUTED_VALUE"""),"1007000")</f>
        <v>1007000</v>
      </c>
      <c r="I1275" s="1" t="str">
        <f>IFERROR(__xludf.DUMMYFUNCTION("""COMPUTED_VALUE"""),"น.ส.เสาวลักษณ์ แป้นงาม")</f>
        <v>น.ส.เสาวลักษณ์ แป้นงาม</v>
      </c>
      <c r="J1275" s="3">
        <f>IFERROR(__xludf.DUMMYFUNCTION("""COMPUTED_VALUE"""),1016938.0)</f>
        <v>1016938</v>
      </c>
      <c r="K1275" s="3" t="str">
        <f>IFERROR(__xludf.DUMMYFUNCTION("""COMPUTED_VALUE"""),"น.ส.ณัฏฐนันท์ ปัญญาสิทธิ์")</f>
        <v>น.ส.ณัฏฐนันท์ ปัญญาสิทธิ์</v>
      </c>
      <c r="L1275" s="1" t="str">
        <f>IFERROR(__xludf.DUMMYFUNCTION("""COMPUTED_VALUE"""),"Asia Books")</f>
        <v>Asia Books</v>
      </c>
      <c r="M1275" s="1" t="str">
        <f>IFERROR(__xludf.DUMMYFUNCTION("""COMPUTED_VALUE"""),"0993463946")</f>
        <v>0993463946</v>
      </c>
      <c r="N1275" s="3" t="str">
        <f>IFERROR(__xludf.DUMMYFUNCTION("""COMPUTED_VALUE"""),"21RB059")</f>
        <v>21RB059</v>
      </c>
      <c r="O1275" s="3" t="str">
        <f>IFERROR(__xludf.DUMMYFUNCTION("""COMPUTED_VALUE"""),"AB-SIS:B2S-CENTRAL WESTGATE")</f>
        <v>AB-SIS:B2S-CENTRAL WESTGATE</v>
      </c>
      <c r="P1275" s="4">
        <f>IFERROR(__xludf.DUMMYFUNCTION("""COMPUTED_VALUE"""),42217.0)</f>
        <v>42217</v>
      </c>
      <c r="Q1275" s="3" t="str">
        <f>IFERROR(__xludf.DUMMYFUNCTION("""COMPUTED_VALUE"""),"A")</f>
        <v>A</v>
      </c>
      <c r="R1275" s="3" t="str">
        <f>IFERROR(__xludf.DUMMYFUNCTION("""COMPUTED_VALUE"""),"Small Format")</f>
        <v>Small Format</v>
      </c>
      <c r="S1275" s="3" t="str">
        <f>IFERROR(__xludf.DUMMYFUNCTION("""COMPUTED_VALUE"""),"AsiaBooks")</f>
        <v>AsiaBooks</v>
      </c>
      <c r="T1275" s="3" t="str">
        <f>IFERROR(__xludf.DUMMYFUNCTION("""COMPUTED_VALUE"""),"Asia Books")</f>
        <v>Asia Books</v>
      </c>
      <c r="U1275" s="3" t="str">
        <f>IFERROR(__xludf.DUMMYFUNCTION("""COMPUTED_VALUE"""),"#N/A")</f>
        <v>#N/A</v>
      </c>
      <c r="V1275" s="3" t="str">
        <f>IFERROR(__xludf.DUMMYFUNCTION("""COMPUTED_VALUE"""),"N")</f>
        <v>N</v>
      </c>
      <c r="W1275" s="3">
        <f>IFERROR(__xludf.DUMMYFUNCTION("""COMPUTED_VALUE"""),0.0)</f>
        <v>0</v>
      </c>
      <c r="X1275" s="3" t="str">
        <f>IFERROR(__xludf.DUMMYFUNCTION("""COMPUTED_VALUE"""),"ชั้น 3, B2S, ศูนย์การค้าเซ็นทรัลพลาซา เวสต์เกต เลขที่ 199/3 ตำบลเสาธงหิน อำเภอบางใหญ่ จังหวัดนนทบุรี 11140")</f>
        <v>ชั้น 3, B2S, ศูนย์การค้าเซ็นทรัลพลาซา เวสต์เกต เลขที่ 199/3 ตำบลเสาธงหิน อำเภอบางใหญ่ จังหวัดนนทบุรี 11140</v>
      </c>
      <c r="Y1275" s="3"/>
      <c r="Z1275" s="3" t="str">
        <f>IFERROR(__xludf.DUMMYFUNCTION("""COMPUTED_VALUE"""),"เสาธงหิน")</f>
        <v>เสาธงหิน</v>
      </c>
      <c r="AA1275" s="3" t="str">
        <f>IFERROR(__xludf.DUMMYFUNCTION("""COMPUTED_VALUE"""),"บางใหญ่")</f>
        <v>บางใหญ่</v>
      </c>
      <c r="AB1275" s="3" t="str">
        <f>IFERROR(__xludf.DUMMYFUNCTION("""COMPUTED_VALUE"""),"นนทบุรี")</f>
        <v>นนทบุรี</v>
      </c>
      <c r="AC1275" s="3">
        <f>IFERROR(__xludf.DUMMYFUNCTION("""COMPUTED_VALUE"""),11140.0)</f>
        <v>11140</v>
      </c>
      <c r="AD1275" s="3">
        <f>IFERROR(__xludf.DUMMYFUNCTION("""COMPUTED_VALUE"""),13.87687318)</f>
        <v>13.87687318</v>
      </c>
      <c r="AE1275" s="3">
        <f>IFERROR(__xludf.DUMMYFUNCTION("""COMPUTED_VALUE"""),100.4120799)</f>
        <v>100.4120799</v>
      </c>
      <c r="AF1275" s="3" t="str">
        <f>IFERROR(__xludf.DUMMYFUNCTION("""COMPUTED_VALUE"""),"AB-SIS:B2S-CENTRAL WESTGATE-21RB059")</f>
        <v>AB-SIS:B2S-CENTRAL WESTGATE-21RB059</v>
      </c>
      <c r="AG1275" s="3" t="str">
        <f>IFERROR(__xludf.DUMMYFUNCTION("""COMPUTED_VALUE"""),"กลาง")</f>
        <v>กลาง</v>
      </c>
      <c r="AH1275" s="3" t="str">
        <f>IFERROR(__xludf.DUMMYFUNCTION("""COMPUTED_VALUE"""),"#N/A")</f>
        <v>#N/A</v>
      </c>
      <c r="AI1275" s="3" t="str">
        <f>IFERROR(__xludf.DUMMYFUNCTION("""COMPUTED_VALUE"""),"Out of warranty")</f>
        <v>Out of warranty</v>
      </c>
      <c r="AJ1275" s="3">
        <f>IFERROR(__xludf.DUMMYFUNCTION("""COMPUTED_VALUE"""),126.0)</f>
        <v>126</v>
      </c>
      <c r="AK1275" s="3"/>
      <c r="AL1275" s="3"/>
    </row>
    <row r="1276" ht="15.75" customHeight="1">
      <c r="A1276" s="1" t="str">
        <f>IFERROR(__xludf.DUMMYFUNCTION("""COMPUTED_VALUE"""),"21RB061")</f>
        <v>21RB061</v>
      </c>
      <c r="B1276" s="2" t="str">
        <f>IFERROR(__xludf.DUMMYFUNCTION("""COMPUTED_VALUE"""),"21RB061")</f>
        <v>21RB061</v>
      </c>
      <c r="C1276" s="3" t="str">
        <f>IFERROR(__xludf.DUMMYFUNCTION("""COMPUTED_VALUE"""),"เอเซียบุ๊คส บีทูเอส เซ็นทรัล แจ้งวัฒนะ")</f>
        <v>เอเซียบุ๊คส บีทูเอส เซ็นทรัล แจ้งวัฒนะ</v>
      </c>
      <c r="D1276" s="3" t="str">
        <f>IFERROR(__xludf.DUMMYFUNCTION("""COMPUTED_VALUE"""),"ABBK-SJW:SIS:CENTRAL CHAENGWATTANA")</f>
        <v>ABBK-SJW:SIS:CENTRAL CHAENGWATTANA</v>
      </c>
      <c r="E1276" s="1" t="str">
        <f>IFERROR(__xludf.DUMMYFUNCTION("""COMPUTED_VALUE"""),"AsiaBooks")</f>
        <v>AsiaBooks</v>
      </c>
      <c r="F1276" s="1" t="str">
        <f>IFERROR(__xludf.DUMMYFUNCTION("""COMPUTED_VALUE"""),"1016938")</f>
        <v>1016938</v>
      </c>
      <c r="G1276" s="1" t="str">
        <f>IFERROR(__xludf.DUMMYFUNCTION("""COMPUTED_VALUE"""),"น.ส.ณัฏฐนันท์ ปัญญาสิทธิ์")</f>
        <v>น.ส.ณัฏฐนันท์ ปัญญาสิทธิ์</v>
      </c>
      <c r="H1276" s="1" t="str">
        <f>IFERROR(__xludf.DUMMYFUNCTION("""COMPUTED_VALUE"""),"2010435")</f>
        <v>2010435</v>
      </c>
      <c r="I1276" s="1" t="str">
        <f>IFERROR(__xludf.DUMMYFUNCTION("""COMPUTED_VALUE"""),"น.ส.ลักษณพร เกิดบุญส่ง")</f>
        <v>น.ส.ลักษณพร เกิดบุญส่ง</v>
      </c>
      <c r="J1276" s="3">
        <f>IFERROR(__xludf.DUMMYFUNCTION("""COMPUTED_VALUE"""),1016938.0)</f>
        <v>1016938</v>
      </c>
      <c r="K1276" s="3" t="str">
        <f>IFERROR(__xludf.DUMMYFUNCTION("""COMPUTED_VALUE"""),"น.ส.ณัฏฐนันท์ ปัญญาสิทธิ์")</f>
        <v>น.ส.ณัฏฐนันท์ ปัญญาสิทธิ์</v>
      </c>
      <c r="L1276" s="1" t="str">
        <f>IFERROR(__xludf.DUMMYFUNCTION("""COMPUTED_VALUE"""),"Asia Books")</f>
        <v>Asia Books</v>
      </c>
      <c r="M1276" s="1" t="str">
        <f>IFERROR(__xludf.DUMMYFUNCTION("""COMPUTED_VALUE"""),"0993463946")</f>
        <v>0993463946</v>
      </c>
      <c r="N1276" s="3" t="str">
        <f>IFERROR(__xludf.DUMMYFUNCTION("""COMPUTED_VALUE"""),"21RB061")</f>
        <v>21RB061</v>
      </c>
      <c r="O1276" s="3" t="str">
        <f>IFERROR(__xludf.DUMMYFUNCTION("""COMPUTED_VALUE"""),"เอเซียบุ๊คส บีทูเอส เซ็นทรัล แจ้งวัฒนะ")</f>
        <v>เอเซียบุ๊คส บีทูเอส เซ็นทรัล แจ้งวัฒนะ</v>
      </c>
      <c r="P1276" s="4">
        <f>IFERROR(__xludf.DUMMYFUNCTION("""COMPUTED_VALUE"""),43271.0)</f>
        <v>43271</v>
      </c>
      <c r="Q1276" s="3" t="str">
        <f>IFERROR(__xludf.DUMMYFUNCTION("""COMPUTED_VALUE"""),"I")</f>
        <v>I</v>
      </c>
      <c r="R1276" s="3" t="str">
        <f>IFERROR(__xludf.DUMMYFUNCTION("""COMPUTED_VALUE"""),"Small Format")</f>
        <v>Small Format</v>
      </c>
      <c r="S1276" s="3" t="str">
        <f>IFERROR(__xludf.DUMMYFUNCTION("""COMPUTED_VALUE"""),"AsiaBooks")</f>
        <v>AsiaBooks</v>
      </c>
      <c r="T1276" s="3" t="str">
        <f>IFERROR(__xludf.DUMMYFUNCTION("""COMPUTED_VALUE"""),"Asia Books")</f>
        <v>Asia Books</v>
      </c>
      <c r="U1276" s="3" t="str">
        <f>IFERROR(__xludf.DUMMYFUNCTION("""COMPUTED_VALUE"""),"#N/A")</f>
        <v>#N/A</v>
      </c>
      <c r="V1276" s="3" t="str">
        <f>IFERROR(__xludf.DUMMYFUNCTION("""COMPUTED_VALUE"""),"Y")</f>
        <v>Y</v>
      </c>
      <c r="W1276" s="3">
        <f>IFERROR(__xludf.DUMMYFUNCTION("""COMPUTED_VALUE"""),0.0)</f>
        <v>0</v>
      </c>
      <c r="X1276" s="3" t="str">
        <f>IFERROR(__xludf.DUMMYFUNCTION("""COMPUTED_VALUE"""),"ชั้น 5, B2S, ศูนย์การค้าเซ็นทรัลพลาซา แจ้งวัฒนะ เลขที่ 99 ตำบลบางตลาด อำเภอปากเกร็ด จังหวัดนนทบุรี 11120")</f>
        <v>ชั้น 5, B2S, ศูนย์การค้าเซ็นทรัลพลาซา แจ้งวัฒนะ เลขที่ 99 ตำบลบางตลาด อำเภอปากเกร็ด จังหวัดนนทบุรี 11120</v>
      </c>
      <c r="Y1276" s="3"/>
      <c r="Z1276" s="3" t="str">
        <f>IFERROR(__xludf.DUMMYFUNCTION("""COMPUTED_VALUE"""),"บางตลาด")</f>
        <v>บางตลาด</v>
      </c>
      <c r="AA1276" s="3" t="str">
        <f>IFERROR(__xludf.DUMMYFUNCTION("""COMPUTED_VALUE"""),"ปากเกร็ด")</f>
        <v>ปากเกร็ด</v>
      </c>
      <c r="AB1276" s="3" t="str">
        <f>IFERROR(__xludf.DUMMYFUNCTION("""COMPUTED_VALUE"""),"นนทบุรี")</f>
        <v>นนทบุรี</v>
      </c>
      <c r="AC1276" s="3">
        <f>IFERROR(__xludf.DUMMYFUNCTION("""COMPUTED_VALUE"""),11120.0)</f>
        <v>11120</v>
      </c>
      <c r="AD1276" s="3">
        <f>IFERROR(__xludf.DUMMYFUNCTION("""COMPUTED_VALUE"""),0.0)</f>
        <v>0</v>
      </c>
      <c r="AE1276" s="3">
        <f>IFERROR(__xludf.DUMMYFUNCTION("""COMPUTED_VALUE"""),0.0)</f>
        <v>0</v>
      </c>
      <c r="AF1276" s="3" t="str">
        <f>IFERROR(__xludf.DUMMYFUNCTION("""COMPUTED_VALUE"""),"เอเซียบุ๊คส บีทูเอส เซ็นทรัล แจ้งวัฒนะ-21RB061")</f>
        <v>เอเซียบุ๊คส บีทูเอส เซ็นทรัล แจ้งวัฒนะ-21RB061</v>
      </c>
      <c r="AG1276" s="3" t="str">
        <f>IFERROR(__xludf.DUMMYFUNCTION("""COMPUTED_VALUE"""),"กลาง")</f>
        <v>กลาง</v>
      </c>
      <c r="AH1276" s="3" t="str">
        <f>IFERROR(__xludf.DUMMYFUNCTION("""COMPUTED_VALUE"""),"#N/A")</f>
        <v>#N/A</v>
      </c>
      <c r="AI1276" s="3" t="str">
        <f>IFERROR(__xludf.DUMMYFUNCTION("""COMPUTED_VALUE"""),"Out of warranty")</f>
        <v>Out of warranty</v>
      </c>
      <c r="AJ1276" s="3">
        <f>IFERROR(__xludf.DUMMYFUNCTION("""COMPUTED_VALUE"""),92.0)</f>
        <v>92</v>
      </c>
      <c r="AK1276" s="3"/>
      <c r="AL1276" s="3"/>
    </row>
    <row r="1277" ht="15.75" customHeight="1">
      <c r="A1277" s="1" t="str">
        <f>IFERROR(__xludf.DUMMYFUNCTION("""COMPUTED_VALUE"""),"21RB062")</f>
        <v>21RB062</v>
      </c>
      <c r="B1277" s="2" t="str">
        <f>IFERROR(__xludf.DUMMYFUNCTION("""COMPUTED_VALUE"""),"21RB062")</f>
        <v>21RB062</v>
      </c>
      <c r="C1277" s="3" t="str">
        <f>IFERROR(__xludf.DUMMYFUNCTION("""COMPUTED_VALUE"""),"เอเซียบุ๊คส บีทูเอส เซ็นทรัล เชียงใหม่แอร์พอร์ต")</f>
        <v>เอเซียบุ๊คส บีทูเอส เซ็นทรัล เชียงใหม่แอร์พอร์ต</v>
      </c>
      <c r="D1277" s="3" t="str">
        <f>IFERROR(__xludf.DUMMYFUNCTION("""COMPUTED_VALUE"""),"ABCM-SCA:SIS:CENTRAL CHIANGMAI AIRPT")</f>
        <v>ABCM-SCA:SIS:CENTRAL CHIANGMAI AIRPT</v>
      </c>
      <c r="E1277" s="1" t="str">
        <f>IFERROR(__xludf.DUMMYFUNCTION("""COMPUTED_VALUE"""),"AsiaBooks")</f>
        <v>AsiaBooks</v>
      </c>
      <c r="F1277" s="1" t="str">
        <f>IFERROR(__xludf.DUMMYFUNCTION("""COMPUTED_VALUE"""),"1016938")</f>
        <v>1016938</v>
      </c>
      <c r="G1277" s="1" t="str">
        <f>IFERROR(__xludf.DUMMYFUNCTION("""COMPUTED_VALUE"""),"น.ส.ณัฏฐนันท์ ปัญญาสิทธิ์")</f>
        <v>น.ส.ณัฏฐนันท์ ปัญญาสิทธิ์</v>
      </c>
      <c r="H1277" s="1" t="str">
        <f>IFERROR(__xludf.DUMMYFUNCTION("""COMPUTED_VALUE"""),"2010435")</f>
        <v>2010435</v>
      </c>
      <c r="I1277" s="1" t="str">
        <f>IFERROR(__xludf.DUMMYFUNCTION("""COMPUTED_VALUE"""),"น.ส.ลักษณพร เกิดบุญส่ง")</f>
        <v>น.ส.ลักษณพร เกิดบุญส่ง</v>
      </c>
      <c r="J1277" s="3">
        <f>IFERROR(__xludf.DUMMYFUNCTION("""COMPUTED_VALUE"""),1016938.0)</f>
        <v>1016938</v>
      </c>
      <c r="K1277" s="3" t="str">
        <f>IFERROR(__xludf.DUMMYFUNCTION("""COMPUTED_VALUE"""),"น.ส.ณัฏฐนันท์ ปัญญาสิทธิ์")</f>
        <v>น.ส.ณัฏฐนันท์ ปัญญาสิทธิ์</v>
      </c>
      <c r="L1277" s="1" t="str">
        <f>IFERROR(__xludf.DUMMYFUNCTION("""COMPUTED_VALUE"""),"Asia Books")</f>
        <v>Asia Books</v>
      </c>
      <c r="M1277" s="1" t="str">
        <f>IFERROR(__xludf.DUMMYFUNCTION("""COMPUTED_VALUE"""),"0993463946")</f>
        <v>0993463946</v>
      </c>
      <c r="N1277" s="3" t="str">
        <f>IFERROR(__xludf.DUMMYFUNCTION("""COMPUTED_VALUE"""),"21RB062")</f>
        <v>21RB062</v>
      </c>
      <c r="O1277" s="3" t="str">
        <f>IFERROR(__xludf.DUMMYFUNCTION("""COMPUTED_VALUE"""),"เอเซียบุ๊คส บีทูเอส เซ็นทรัล เชียงใหม่แอร์พอร์ต")</f>
        <v>เอเซียบุ๊คส บีทูเอส เซ็นทรัล เชียงใหม่แอร์พอร์ต</v>
      </c>
      <c r="P1277" s="4">
        <f>IFERROR(__xludf.DUMMYFUNCTION("""COMPUTED_VALUE"""),43271.0)</f>
        <v>43271</v>
      </c>
      <c r="Q1277" s="3" t="str">
        <f>IFERROR(__xludf.DUMMYFUNCTION("""COMPUTED_VALUE"""),"I")</f>
        <v>I</v>
      </c>
      <c r="R1277" s="3" t="str">
        <f>IFERROR(__xludf.DUMMYFUNCTION("""COMPUTED_VALUE"""),"Small Format")</f>
        <v>Small Format</v>
      </c>
      <c r="S1277" s="3" t="str">
        <f>IFERROR(__xludf.DUMMYFUNCTION("""COMPUTED_VALUE"""),"AsiaBooks")</f>
        <v>AsiaBooks</v>
      </c>
      <c r="T1277" s="3" t="str">
        <f>IFERROR(__xludf.DUMMYFUNCTION("""COMPUTED_VALUE"""),"Asia Books")</f>
        <v>Asia Books</v>
      </c>
      <c r="U1277" s="3" t="str">
        <f>IFERROR(__xludf.DUMMYFUNCTION("""COMPUTED_VALUE"""),"#N/A")</f>
        <v>#N/A</v>
      </c>
      <c r="V1277" s="3" t="str">
        <f>IFERROR(__xludf.DUMMYFUNCTION("""COMPUTED_VALUE"""),"Y")</f>
        <v>Y</v>
      </c>
      <c r="W1277" s="3">
        <f>IFERROR(__xludf.DUMMYFUNCTION("""COMPUTED_VALUE"""),0.0)</f>
        <v>0</v>
      </c>
      <c r="X1277" s="3" t="str">
        <f>IFERROR(__xludf.DUMMYFUNCTION("""COMPUTED_VALUE"""),"ชั้น 4, B2S, ศูนย์การค้าเซ็นทรัลพลาซา เชียงใหม่ แอร์พอร์ต เลขที่ 2 ตำบลหายยา อำเภอเมืองเชียงใหม่ จังหวัดเชียงใหม่ 50100")</f>
        <v>ชั้น 4, B2S, ศูนย์การค้าเซ็นทรัลพลาซา เชียงใหม่ แอร์พอร์ต เลขที่ 2 ตำบลหายยา อำเภอเมืองเชียงใหม่ จังหวัดเชียงใหม่ 50100</v>
      </c>
      <c r="Y1277" s="3"/>
      <c r="Z1277" s="3" t="str">
        <f>IFERROR(__xludf.DUMMYFUNCTION("""COMPUTED_VALUE"""),"หายยา")</f>
        <v>หายยา</v>
      </c>
      <c r="AA1277" s="3" t="str">
        <f>IFERROR(__xludf.DUMMYFUNCTION("""COMPUTED_VALUE"""),"เมือง")</f>
        <v>เมือง</v>
      </c>
      <c r="AB1277" s="3" t="str">
        <f>IFERROR(__xludf.DUMMYFUNCTION("""COMPUTED_VALUE"""),"เชียงใหม่")</f>
        <v>เชียงใหม่</v>
      </c>
      <c r="AC1277" s="3">
        <f>IFERROR(__xludf.DUMMYFUNCTION("""COMPUTED_VALUE"""),50100.0)</f>
        <v>50100</v>
      </c>
      <c r="AD1277" s="3">
        <f>IFERROR(__xludf.DUMMYFUNCTION("""COMPUTED_VALUE"""),0.0)</f>
        <v>0</v>
      </c>
      <c r="AE1277" s="3">
        <f>IFERROR(__xludf.DUMMYFUNCTION("""COMPUTED_VALUE"""),0.0)</f>
        <v>0</v>
      </c>
      <c r="AF1277" s="3" t="str">
        <f>IFERROR(__xludf.DUMMYFUNCTION("""COMPUTED_VALUE"""),"เอเซียบุ๊คส บีทูเอส เซ็นทรัล เชียงใหม่แอร์พอร์ต-21RB062")</f>
        <v>เอเซียบุ๊คส บีทูเอส เซ็นทรัล เชียงใหม่แอร์พอร์ต-21RB062</v>
      </c>
      <c r="AG1277" s="3" t="str">
        <f>IFERROR(__xludf.DUMMYFUNCTION("""COMPUTED_VALUE"""),"เหนือ")</f>
        <v>เหนือ</v>
      </c>
      <c r="AH1277" s="3" t="str">
        <f>IFERROR(__xludf.DUMMYFUNCTION("""COMPUTED_VALUE"""),"#N/A")</f>
        <v>#N/A</v>
      </c>
      <c r="AI1277" s="3" t="str">
        <f>IFERROR(__xludf.DUMMYFUNCTION("""COMPUTED_VALUE"""),"Out of warranty")</f>
        <v>Out of warranty</v>
      </c>
      <c r="AJ1277" s="3">
        <f>IFERROR(__xludf.DUMMYFUNCTION("""COMPUTED_VALUE"""),92.0)</f>
        <v>92</v>
      </c>
      <c r="AK1277" s="3"/>
      <c r="AL1277" s="3"/>
    </row>
    <row r="1278" ht="15.75" customHeight="1">
      <c r="A1278" s="1" t="str">
        <f>IFERROR(__xludf.DUMMYFUNCTION("""COMPUTED_VALUE"""),"21RB063")</f>
        <v>21RB063</v>
      </c>
      <c r="B1278" s="2" t="str">
        <f>IFERROR(__xludf.DUMMYFUNCTION("""COMPUTED_VALUE"""),"21RB063")</f>
        <v>21RB063</v>
      </c>
      <c r="C1278" s="3" t="str">
        <f>IFERROR(__xludf.DUMMYFUNCTION("""COMPUTED_VALUE"""),"Central Chidlom Shop in Shop")</f>
        <v>Central Chidlom Shop in Shop</v>
      </c>
      <c r="D1278" s="3" t="str">
        <f>IFERROR(__xludf.DUMMYFUNCTION("""COMPUTED_VALUE"""),"เอเซียบุ๊คส บีทูเอส เซ็นทรัล ชิดลม")</f>
        <v>เอเซียบุ๊คส บีทูเอส เซ็นทรัล ชิดลม</v>
      </c>
      <c r="E1278" s="1" t="str">
        <f>IFERROR(__xludf.DUMMYFUNCTION("""COMPUTED_VALUE"""),"AsiaBooks")</f>
        <v>AsiaBooks</v>
      </c>
      <c r="F1278" s="1" t="str">
        <f>IFERROR(__xludf.DUMMYFUNCTION("""COMPUTED_VALUE"""),"1016938")</f>
        <v>1016938</v>
      </c>
      <c r="G1278" s="1" t="str">
        <f>IFERROR(__xludf.DUMMYFUNCTION("""COMPUTED_VALUE"""),"น.ส.ณัฏฐนันท์ ปัญญาสิทธิ์")</f>
        <v>น.ส.ณัฏฐนันท์ ปัญญาสิทธิ์</v>
      </c>
      <c r="H1278" s="1" t="str">
        <f>IFERROR(__xludf.DUMMYFUNCTION("""COMPUTED_VALUE"""),"2010435")</f>
        <v>2010435</v>
      </c>
      <c r="I1278" s="1" t="str">
        <f>IFERROR(__xludf.DUMMYFUNCTION("""COMPUTED_VALUE"""),"น.ส.ลักษณพร เกิดบุญส่ง")</f>
        <v>น.ส.ลักษณพร เกิดบุญส่ง</v>
      </c>
      <c r="J1278" s="3">
        <f>IFERROR(__xludf.DUMMYFUNCTION("""COMPUTED_VALUE"""),1016938.0)</f>
        <v>1016938</v>
      </c>
      <c r="K1278" s="3" t="str">
        <f>IFERROR(__xludf.DUMMYFUNCTION("""COMPUTED_VALUE"""),"น.ส.ณัฏฐนันท์ ปัญญาสิทธิ์")</f>
        <v>น.ส.ณัฏฐนันท์ ปัญญาสิทธิ์</v>
      </c>
      <c r="L1278" s="1" t="str">
        <f>IFERROR(__xludf.DUMMYFUNCTION("""COMPUTED_VALUE"""),"Asia Books")</f>
        <v>Asia Books</v>
      </c>
      <c r="M1278" s="1" t="str">
        <f>IFERROR(__xludf.DUMMYFUNCTION("""COMPUTED_VALUE"""),"0993463946")</f>
        <v>0993463946</v>
      </c>
      <c r="N1278" s="3" t="str">
        <f>IFERROR(__xludf.DUMMYFUNCTION("""COMPUTED_VALUE"""),"21RB063")</f>
        <v>21RB063</v>
      </c>
      <c r="O1278" s="3" t="str">
        <f>IFERROR(__xludf.DUMMYFUNCTION("""COMPUTED_VALUE"""),"Central Chidlom Shop in Shop")</f>
        <v>Central Chidlom Shop in Shop</v>
      </c>
      <c r="P1278" s="4">
        <f>IFERROR(__xludf.DUMMYFUNCTION("""COMPUTED_VALUE"""),43271.0)</f>
        <v>43271</v>
      </c>
      <c r="Q1278" s="3" t="str">
        <f>IFERROR(__xludf.DUMMYFUNCTION("""COMPUTED_VALUE"""),"A")</f>
        <v>A</v>
      </c>
      <c r="R1278" s="3" t="str">
        <f>IFERROR(__xludf.DUMMYFUNCTION("""COMPUTED_VALUE"""),"Small Format")</f>
        <v>Small Format</v>
      </c>
      <c r="S1278" s="3" t="str">
        <f>IFERROR(__xludf.DUMMYFUNCTION("""COMPUTED_VALUE"""),"AsiaBooks")</f>
        <v>AsiaBooks</v>
      </c>
      <c r="T1278" s="3" t="str">
        <f>IFERROR(__xludf.DUMMYFUNCTION("""COMPUTED_VALUE"""),"Asia Books")</f>
        <v>Asia Books</v>
      </c>
      <c r="U1278" s="3" t="str">
        <f>IFERROR(__xludf.DUMMYFUNCTION("""COMPUTED_VALUE"""),"#N/A")</f>
        <v>#N/A</v>
      </c>
      <c r="V1278" s="3" t="str">
        <f>IFERROR(__xludf.DUMMYFUNCTION("""COMPUTED_VALUE"""),"N")</f>
        <v>N</v>
      </c>
      <c r="W1278" s="3">
        <f>IFERROR(__xludf.DUMMYFUNCTION("""COMPUTED_VALUE"""),0.0)</f>
        <v>0</v>
      </c>
      <c r="X1278" s="3" t="str">
        <f>IFERROR(__xludf.DUMMYFUNCTION("""COMPUTED_VALUE"""),"ชั้น 7, B2S, ศูนย์การค้าเซ็นทรัลชิดลม เลขที่ 1027 แขวงลุมพินี เขตปทุมวัน กรุงเทพมหานคร 10330")</f>
        <v>ชั้น 7, B2S, ศูนย์การค้าเซ็นทรัลชิดลม เลขที่ 1027 แขวงลุมพินี เขตปทุมวัน กรุงเทพมหานคร 10330</v>
      </c>
      <c r="Y1278" s="3"/>
      <c r="Z1278" s="3" t="str">
        <f>IFERROR(__xludf.DUMMYFUNCTION("""COMPUTED_VALUE"""),"ลุมพินี")</f>
        <v>ลุมพินี</v>
      </c>
      <c r="AA1278" s="3" t="str">
        <f>IFERROR(__xludf.DUMMYFUNCTION("""COMPUTED_VALUE"""),"ปทุมวัน")</f>
        <v>ปทุมวัน</v>
      </c>
      <c r="AB1278" s="3" t="str">
        <f>IFERROR(__xludf.DUMMYFUNCTION("""COMPUTED_VALUE"""),"กรุงเทพมหานคร")</f>
        <v>กรุงเทพมหานคร</v>
      </c>
      <c r="AC1278" s="3">
        <f>IFERROR(__xludf.DUMMYFUNCTION("""COMPUTED_VALUE"""),10330.0)</f>
        <v>10330</v>
      </c>
      <c r="AD1278" s="3">
        <f>IFERROR(__xludf.DUMMYFUNCTION("""COMPUTED_VALUE"""),13.74463204)</f>
        <v>13.74463204</v>
      </c>
      <c r="AE1278" s="3">
        <f>IFERROR(__xludf.DUMMYFUNCTION("""COMPUTED_VALUE"""),100.5443135)</f>
        <v>100.5443135</v>
      </c>
      <c r="AF1278" s="3" t="str">
        <f>IFERROR(__xludf.DUMMYFUNCTION("""COMPUTED_VALUE"""),"Central Chidlom Shop in Shop-21RB063")</f>
        <v>Central Chidlom Shop in Shop-21RB063</v>
      </c>
      <c r="AG1278" s="3" t="str">
        <f>IFERROR(__xludf.DUMMYFUNCTION("""COMPUTED_VALUE"""),"กลาง")</f>
        <v>กลาง</v>
      </c>
      <c r="AH1278" s="3" t="str">
        <f>IFERROR(__xludf.DUMMYFUNCTION("""COMPUTED_VALUE"""),"#N/A")</f>
        <v>#N/A</v>
      </c>
      <c r="AI1278" s="3" t="str">
        <f>IFERROR(__xludf.DUMMYFUNCTION("""COMPUTED_VALUE"""),"Out of warranty")</f>
        <v>Out of warranty</v>
      </c>
      <c r="AJ1278" s="3">
        <f>IFERROR(__xludf.DUMMYFUNCTION("""COMPUTED_VALUE"""),92.0)</f>
        <v>92</v>
      </c>
      <c r="AK1278" s="3"/>
      <c r="AL1278" s="3"/>
    </row>
    <row r="1279" ht="15.75" customHeight="1">
      <c r="A1279" s="1" t="str">
        <f>IFERROR(__xludf.DUMMYFUNCTION("""COMPUTED_VALUE"""),"21RB064")</f>
        <v>21RB064</v>
      </c>
      <c r="B1279" s="2" t="str">
        <f>IFERROR(__xludf.DUMMYFUNCTION("""COMPUTED_VALUE"""),"21RB064")</f>
        <v>21RB064</v>
      </c>
      <c r="C1279" s="3" t="str">
        <f>IFERROR(__xludf.DUMMYFUNCTION("""COMPUTED_VALUE"""),"เอเซียบุ๊คส บีทูเอส เฟสติวัล หาดใหญ่")</f>
        <v>เอเซียบุ๊คส บีทูเอส เฟสติวัล หาดใหญ่</v>
      </c>
      <c r="D1279" s="3" t="str">
        <f>IFERROR(__xludf.DUMMYFUNCTION("""COMPUTED_VALUE"""),"ABSK-SHY:SIS:CENTRAL FEST. HAD YAI")</f>
        <v>ABSK-SHY:SIS:CENTRAL FEST. HAD YAI</v>
      </c>
      <c r="E1279" s="1" t="str">
        <f>IFERROR(__xludf.DUMMYFUNCTION("""COMPUTED_VALUE"""),"AsiaBooks")</f>
        <v>AsiaBooks</v>
      </c>
      <c r="F1279" s="1" t="str">
        <f>IFERROR(__xludf.DUMMYFUNCTION("""COMPUTED_VALUE"""),"1016938")</f>
        <v>1016938</v>
      </c>
      <c r="G1279" s="1" t="str">
        <f>IFERROR(__xludf.DUMMYFUNCTION("""COMPUTED_VALUE"""),"น.ส.ณัฏฐนันท์ ปัญญาสิทธิ์")</f>
        <v>น.ส.ณัฏฐนันท์ ปัญญาสิทธิ์</v>
      </c>
      <c r="H1279" s="1" t="str">
        <f>IFERROR(__xludf.DUMMYFUNCTION("""COMPUTED_VALUE"""),"1015537")</f>
        <v>1015537</v>
      </c>
      <c r="I1279" s="1" t="str">
        <f>IFERROR(__xludf.DUMMYFUNCTION("""COMPUTED_VALUE"""),"น.ส.มัญชริน เลื่อนแก้ว")</f>
        <v>น.ส.มัญชริน เลื่อนแก้ว</v>
      </c>
      <c r="J1279" s="3">
        <f>IFERROR(__xludf.DUMMYFUNCTION("""COMPUTED_VALUE"""),1016938.0)</f>
        <v>1016938</v>
      </c>
      <c r="K1279" s="3" t="str">
        <f>IFERROR(__xludf.DUMMYFUNCTION("""COMPUTED_VALUE"""),"น.ส.ณัฏฐนันท์ ปัญญาสิทธิ์")</f>
        <v>น.ส.ณัฏฐนันท์ ปัญญาสิทธิ์</v>
      </c>
      <c r="L1279" s="1" t="str">
        <f>IFERROR(__xludf.DUMMYFUNCTION("""COMPUTED_VALUE"""),"Asia Books")</f>
        <v>Asia Books</v>
      </c>
      <c r="M1279" s="1" t="str">
        <f>IFERROR(__xludf.DUMMYFUNCTION("""COMPUTED_VALUE"""),"0993463946")</f>
        <v>0993463946</v>
      </c>
      <c r="N1279" s="3" t="str">
        <f>IFERROR(__xludf.DUMMYFUNCTION("""COMPUTED_VALUE"""),"21RB064")</f>
        <v>21RB064</v>
      </c>
      <c r="O1279" s="3" t="str">
        <f>IFERROR(__xludf.DUMMYFUNCTION("""COMPUTED_VALUE"""),"เอเซียบุ๊คส บีทูเอส เฟสติวัล หาดใหญ่")</f>
        <v>เอเซียบุ๊คส บีทูเอส เฟสติวัล หาดใหญ่</v>
      </c>
      <c r="P1279" s="4">
        <f>IFERROR(__xludf.DUMMYFUNCTION("""COMPUTED_VALUE"""),43271.0)</f>
        <v>43271</v>
      </c>
      <c r="Q1279" s="3" t="str">
        <f>IFERROR(__xludf.DUMMYFUNCTION("""COMPUTED_VALUE"""),"I")</f>
        <v>I</v>
      </c>
      <c r="R1279" s="3" t="str">
        <f>IFERROR(__xludf.DUMMYFUNCTION("""COMPUTED_VALUE"""),"Small Format")</f>
        <v>Small Format</v>
      </c>
      <c r="S1279" s="3" t="str">
        <f>IFERROR(__xludf.DUMMYFUNCTION("""COMPUTED_VALUE"""),"AsiaBooks")</f>
        <v>AsiaBooks</v>
      </c>
      <c r="T1279" s="3" t="str">
        <f>IFERROR(__xludf.DUMMYFUNCTION("""COMPUTED_VALUE"""),"Asia Books")</f>
        <v>Asia Books</v>
      </c>
      <c r="U1279" s="3" t="str">
        <f>IFERROR(__xludf.DUMMYFUNCTION("""COMPUTED_VALUE"""),"#N/A")</f>
        <v>#N/A</v>
      </c>
      <c r="V1279" s="3" t="str">
        <f>IFERROR(__xludf.DUMMYFUNCTION("""COMPUTED_VALUE"""),"Y")</f>
        <v>Y</v>
      </c>
      <c r="W1279" s="3">
        <f>IFERROR(__xludf.DUMMYFUNCTION("""COMPUTED_VALUE"""),0.0)</f>
        <v>0</v>
      </c>
      <c r="X1279" s="3" t="str">
        <f>IFERROR(__xludf.DUMMYFUNCTION("""COMPUTED_VALUE"""),"ชั้น 2, B2S, ศูนย์การค้าเซ็นทรัลเฟสติวัลหาดใหญ่ เลขที่ 1518, ตำบลหาดใหญ่ อำเภอหาดใหญ่ จังหวัดสงขลา 90110")</f>
        <v>ชั้น 2, B2S, ศูนย์การค้าเซ็นทรัลเฟสติวัลหาดใหญ่ เลขที่ 1518, ตำบลหาดใหญ่ อำเภอหาดใหญ่ จังหวัดสงขลา 90110</v>
      </c>
      <c r="Y1279" s="3"/>
      <c r="Z1279" s="3" t="str">
        <f>IFERROR(__xludf.DUMMYFUNCTION("""COMPUTED_VALUE"""),"หาดใหญ่")</f>
        <v>หาดใหญ่</v>
      </c>
      <c r="AA1279" s="3" t="str">
        <f>IFERROR(__xludf.DUMMYFUNCTION("""COMPUTED_VALUE"""),"หาดใหญ่")</f>
        <v>หาดใหญ่</v>
      </c>
      <c r="AB1279" s="3" t="str">
        <f>IFERROR(__xludf.DUMMYFUNCTION("""COMPUTED_VALUE"""),"สงขลา")</f>
        <v>สงขลา</v>
      </c>
      <c r="AC1279" s="3">
        <f>IFERROR(__xludf.DUMMYFUNCTION("""COMPUTED_VALUE"""),90110.0)</f>
        <v>90110</v>
      </c>
      <c r="AD1279" s="3">
        <f>IFERROR(__xludf.DUMMYFUNCTION("""COMPUTED_VALUE"""),0.0)</f>
        <v>0</v>
      </c>
      <c r="AE1279" s="3">
        <f>IFERROR(__xludf.DUMMYFUNCTION("""COMPUTED_VALUE"""),0.0)</f>
        <v>0</v>
      </c>
      <c r="AF1279" s="3" t="str">
        <f>IFERROR(__xludf.DUMMYFUNCTION("""COMPUTED_VALUE"""),"เอเซียบุ๊คส บีทูเอส เฟสติวัล หาดใหญ่-21RB064")</f>
        <v>เอเซียบุ๊คส บีทูเอส เฟสติวัล หาดใหญ่-21RB064</v>
      </c>
      <c r="AG1279" s="3" t="str">
        <f>IFERROR(__xludf.DUMMYFUNCTION("""COMPUTED_VALUE"""),"ใต้")</f>
        <v>ใต้</v>
      </c>
      <c r="AH1279" s="3" t="str">
        <f>IFERROR(__xludf.DUMMYFUNCTION("""COMPUTED_VALUE"""),"#N/A")</f>
        <v>#N/A</v>
      </c>
      <c r="AI1279" s="3" t="str">
        <f>IFERROR(__xludf.DUMMYFUNCTION("""COMPUTED_VALUE"""),"Out of warranty")</f>
        <v>Out of warranty</v>
      </c>
      <c r="AJ1279" s="3">
        <f>IFERROR(__xludf.DUMMYFUNCTION("""COMPUTED_VALUE"""),92.0)</f>
        <v>92</v>
      </c>
      <c r="AK1279" s="3"/>
      <c r="AL1279" s="3"/>
    </row>
    <row r="1280" ht="15.75" customHeight="1">
      <c r="A1280" s="1" t="str">
        <f>IFERROR(__xludf.DUMMYFUNCTION("""COMPUTED_VALUE"""),"21RB065")</f>
        <v>21RB065</v>
      </c>
      <c r="B1280" s="2" t="str">
        <f>IFERROR(__xludf.DUMMYFUNCTION("""COMPUTED_VALUE"""),"21RB065")</f>
        <v>21RB065</v>
      </c>
      <c r="C1280" s="3" t="str">
        <f>IFERROR(__xludf.DUMMYFUNCTION("""COMPUTED_VALUE"""),"Central Festival Phuket Shop in Shop")</f>
        <v>Central Festival Phuket Shop in Shop</v>
      </c>
      <c r="D1280" s="3" t="str">
        <f>IFERROR(__xludf.DUMMYFUNCTION("""COMPUTED_VALUE"""),"เอเซียบุ๊คส บีทูเอส เซ็นทรัลเฟสติวัล ภูเก็ต")</f>
        <v>เอเซียบุ๊คส บีทูเอส เซ็นทรัลเฟสติวัล ภูเก็ต</v>
      </c>
      <c r="E1280" s="1" t="str">
        <f>IFERROR(__xludf.DUMMYFUNCTION("""COMPUTED_VALUE"""),"AsiaBooks")</f>
        <v>AsiaBooks</v>
      </c>
      <c r="F1280" s="1" t="str">
        <f>IFERROR(__xludf.DUMMYFUNCTION("""COMPUTED_VALUE"""),"1016938")</f>
        <v>1016938</v>
      </c>
      <c r="G1280" s="1" t="str">
        <f>IFERROR(__xludf.DUMMYFUNCTION("""COMPUTED_VALUE"""),"น.ส.ณัฏฐนันท์ ปัญญาสิทธิ์")</f>
        <v>น.ส.ณัฏฐนันท์ ปัญญาสิทธิ์</v>
      </c>
      <c r="H1280" s="1" t="str">
        <f>IFERROR(__xludf.DUMMYFUNCTION("""COMPUTED_VALUE"""),"1015537")</f>
        <v>1015537</v>
      </c>
      <c r="I1280" s="1" t="str">
        <f>IFERROR(__xludf.DUMMYFUNCTION("""COMPUTED_VALUE"""),"น.ส.มัญชริน เลื่อนแก้ว")</f>
        <v>น.ส.มัญชริน เลื่อนแก้ว</v>
      </c>
      <c r="J1280" s="3">
        <f>IFERROR(__xludf.DUMMYFUNCTION("""COMPUTED_VALUE"""),1016938.0)</f>
        <v>1016938</v>
      </c>
      <c r="K1280" s="3" t="str">
        <f>IFERROR(__xludf.DUMMYFUNCTION("""COMPUTED_VALUE"""),"น.ส.ณัฏฐนันท์ ปัญญาสิทธิ์")</f>
        <v>น.ส.ณัฏฐนันท์ ปัญญาสิทธิ์</v>
      </c>
      <c r="L1280" s="1" t="str">
        <f>IFERROR(__xludf.DUMMYFUNCTION("""COMPUTED_VALUE"""),"Asia Books")</f>
        <v>Asia Books</v>
      </c>
      <c r="M1280" s="1" t="str">
        <f>IFERROR(__xludf.DUMMYFUNCTION("""COMPUTED_VALUE"""),"0993463946")</f>
        <v>0993463946</v>
      </c>
      <c r="N1280" s="3" t="str">
        <f>IFERROR(__xludf.DUMMYFUNCTION("""COMPUTED_VALUE"""),"21RB065")</f>
        <v>21RB065</v>
      </c>
      <c r="O1280" s="3" t="str">
        <f>IFERROR(__xludf.DUMMYFUNCTION("""COMPUTED_VALUE"""),"Central Festival Phuket Shop in Shop")</f>
        <v>Central Festival Phuket Shop in Shop</v>
      </c>
      <c r="P1280" s="4">
        <f>IFERROR(__xludf.DUMMYFUNCTION("""COMPUTED_VALUE"""),43271.0)</f>
        <v>43271</v>
      </c>
      <c r="Q1280" s="3" t="str">
        <f>IFERROR(__xludf.DUMMYFUNCTION("""COMPUTED_VALUE"""),"A")</f>
        <v>A</v>
      </c>
      <c r="R1280" s="3" t="str">
        <f>IFERROR(__xludf.DUMMYFUNCTION("""COMPUTED_VALUE"""),"Small Format")</f>
        <v>Small Format</v>
      </c>
      <c r="S1280" s="3" t="str">
        <f>IFERROR(__xludf.DUMMYFUNCTION("""COMPUTED_VALUE"""),"AsiaBooks")</f>
        <v>AsiaBooks</v>
      </c>
      <c r="T1280" s="3" t="str">
        <f>IFERROR(__xludf.DUMMYFUNCTION("""COMPUTED_VALUE"""),"Asia Books")</f>
        <v>Asia Books</v>
      </c>
      <c r="U1280" s="3" t="str">
        <f>IFERROR(__xludf.DUMMYFUNCTION("""COMPUTED_VALUE"""),"#N/A")</f>
        <v>#N/A</v>
      </c>
      <c r="V1280" s="3" t="str">
        <f>IFERROR(__xludf.DUMMYFUNCTION("""COMPUTED_VALUE"""),"N")</f>
        <v>N</v>
      </c>
      <c r="W1280" s="3">
        <f>IFERROR(__xludf.DUMMYFUNCTION("""COMPUTED_VALUE"""),0.0)</f>
        <v>0</v>
      </c>
      <c r="X1280" s="3" t="str">
        <f>IFERROR(__xludf.DUMMYFUNCTION("""COMPUTED_VALUE"""),"ชั้น 3, B2S, ศูนย์การค้าเซ็นทรัลภูเก็ต เลขที่ 74-75 ตำบลวิชิต อำเภอเมืองภูเก็ต จังหวัดภูเก็ต 83000")</f>
        <v>ชั้น 3, B2S, ศูนย์การค้าเซ็นทรัลภูเก็ต เลขที่ 74-75 ตำบลวิชิต อำเภอเมืองภูเก็ต จังหวัดภูเก็ต 83000</v>
      </c>
      <c r="Y1280" s="3"/>
      <c r="Z1280" s="3" t="str">
        <f>IFERROR(__xludf.DUMMYFUNCTION("""COMPUTED_VALUE"""),"วิชิต")</f>
        <v>วิชิต</v>
      </c>
      <c r="AA1280" s="3" t="str">
        <f>IFERROR(__xludf.DUMMYFUNCTION("""COMPUTED_VALUE"""),"เมือง")</f>
        <v>เมือง</v>
      </c>
      <c r="AB1280" s="3" t="str">
        <f>IFERROR(__xludf.DUMMYFUNCTION("""COMPUTED_VALUE"""),"ภูเก็ต")</f>
        <v>ภูเก็ต</v>
      </c>
      <c r="AC1280" s="3">
        <f>IFERROR(__xludf.DUMMYFUNCTION("""COMPUTED_VALUE"""),83000.0)</f>
        <v>83000</v>
      </c>
      <c r="AD1280" s="3">
        <f>IFERROR(__xludf.DUMMYFUNCTION("""COMPUTED_VALUE"""),7.891986272)</f>
        <v>7.891986272</v>
      </c>
      <c r="AE1280" s="3">
        <f>IFERROR(__xludf.DUMMYFUNCTION("""COMPUTED_VALUE"""),98.36819308)</f>
        <v>98.36819308</v>
      </c>
      <c r="AF1280" s="3" t="str">
        <f>IFERROR(__xludf.DUMMYFUNCTION("""COMPUTED_VALUE"""),"Central Festival Phuket Shop in Shop-21RB065")</f>
        <v>Central Festival Phuket Shop in Shop-21RB065</v>
      </c>
      <c r="AG1280" s="3" t="str">
        <f>IFERROR(__xludf.DUMMYFUNCTION("""COMPUTED_VALUE"""),"ใต้")</f>
        <v>ใต้</v>
      </c>
      <c r="AH1280" s="3" t="str">
        <f>IFERROR(__xludf.DUMMYFUNCTION("""COMPUTED_VALUE"""),"#N/A")</f>
        <v>#N/A</v>
      </c>
      <c r="AI1280" s="3" t="str">
        <f>IFERROR(__xludf.DUMMYFUNCTION("""COMPUTED_VALUE"""),"Out of warranty")</f>
        <v>Out of warranty</v>
      </c>
      <c r="AJ1280" s="3">
        <f>IFERROR(__xludf.DUMMYFUNCTION("""COMPUTED_VALUE"""),92.0)</f>
        <v>92</v>
      </c>
      <c r="AK1280" s="3"/>
      <c r="AL1280" s="3"/>
    </row>
    <row r="1281" ht="15.75" customHeight="1">
      <c r="A1281" s="1" t="str">
        <f>IFERROR(__xludf.DUMMYFUNCTION("""COMPUTED_VALUE"""),"21RB066")</f>
        <v>21RB066</v>
      </c>
      <c r="B1281" s="2" t="str">
        <f>IFERROR(__xludf.DUMMYFUNCTION("""COMPUTED_VALUE"""),"21RB066")</f>
        <v>21RB066</v>
      </c>
      <c r="C1281" s="3" t="str">
        <f>IFERROR(__xludf.DUMMYFUNCTION("""COMPUTED_VALUE"""),"Central Festival Samui Shop in Shop")</f>
        <v>Central Festival Samui Shop in Shop</v>
      </c>
      <c r="D1281" s="3" t="str">
        <f>IFERROR(__xludf.DUMMYFUNCTION("""COMPUTED_VALUE"""),"เอเซียบุ๊คส บีทูเอส เซ็นทรัลเฟสติวัล สมุย")</f>
        <v>เอเซียบุ๊คส บีทูเอส เซ็นทรัลเฟสติวัล สมุย</v>
      </c>
      <c r="E1281" s="1" t="str">
        <f>IFERROR(__xludf.DUMMYFUNCTION("""COMPUTED_VALUE"""),"AsiaBooks")</f>
        <v>AsiaBooks</v>
      </c>
      <c r="F1281" s="1" t="str">
        <f>IFERROR(__xludf.DUMMYFUNCTION("""COMPUTED_VALUE"""),"1016938")</f>
        <v>1016938</v>
      </c>
      <c r="G1281" s="1" t="str">
        <f>IFERROR(__xludf.DUMMYFUNCTION("""COMPUTED_VALUE"""),"น.ส.ณัฏฐนันท์ ปัญญาสิทธิ์")</f>
        <v>น.ส.ณัฏฐนันท์ ปัญญาสิทธิ์</v>
      </c>
      <c r="H1281" s="1" t="str">
        <f>IFERROR(__xludf.DUMMYFUNCTION("""COMPUTED_VALUE"""),"1015537")</f>
        <v>1015537</v>
      </c>
      <c r="I1281" s="1" t="str">
        <f>IFERROR(__xludf.DUMMYFUNCTION("""COMPUTED_VALUE"""),"น.ส.มัญชริน เลื่อนแก้ว")</f>
        <v>น.ส.มัญชริน เลื่อนแก้ว</v>
      </c>
      <c r="J1281" s="3">
        <f>IFERROR(__xludf.DUMMYFUNCTION("""COMPUTED_VALUE"""),1016938.0)</f>
        <v>1016938</v>
      </c>
      <c r="K1281" s="3" t="str">
        <f>IFERROR(__xludf.DUMMYFUNCTION("""COMPUTED_VALUE"""),"น.ส.ณัฏฐนันท์ ปัญญาสิทธิ์")</f>
        <v>น.ส.ณัฏฐนันท์ ปัญญาสิทธิ์</v>
      </c>
      <c r="L1281" s="1" t="str">
        <f>IFERROR(__xludf.DUMMYFUNCTION("""COMPUTED_VALUE"""),"Asia Books")</f>
        <v>Asia Books</v>
      </c>
      <c r="M1281" s="1" t="str">
        <f>IFERROR(__xludf.DUMMYFUNCTION("""COMPUTED_VALUE"""),"0993463946")</f>
        <v>0993463946</v>
      </c>
      <c r="N1281" s="3" t="str">
        <f>IFERROR(__xludf.DUMMYFUNCTION("""COMPUTED_VALUE"""),"21RB066")</f>
        <v>21RB066</v>
      </c>
      <c r="O1281" s="3" t="str">
        <f>IFERROR(__xludf.DUMMYFUNCTION("""COMPUTED_VALUE"""),"Central Festival Samui Shop in Shop")</f>
        <v>Central Festival Samui Shop in Shop</v>
      </c>
      <c r="P1281" s="4">
        <f>IFERROR(__xludf.DUMMYFUNCTION("""COMPUTED_VALUE"""),43271.0)</f>
        <v>43271</v>
      </c>
      <c r="Q1281" s="3" t="str">
        <f>IFERROR(__xludf.DUMMYFUNCTION("""COMPUTED_VALUE"""),"A")</f>
        <v>A</v>
      </c>
      <c r="R1281" s="3" t="str">
        <f>IFERROR(__xludf.DUMMYFUNCTION("""COMPUTED_VALUE"""),"Small Format")</f>
        <v>Small Format</v>
      </c>
      <c r="S1281" s="3" t="str">
        <f>IFERROR(__xludf.DUMMYFUNCTION("""COMPUTED_VALUE"""),"AsiaBooks")</f>
        <v>AsiaBooks</v>
      </c>
      <c r="T1281" s="3" t="str">
        <f>IFERROR(__xludf.DUMMYFUNCTION("""COMPUTED_VALUE"""),"Asia Books")</f>
        <v>Asia Books</v>
      </c>
      <c r="U1281" s="3" t="str">
        <f>IFERROR(__xludf.DUMMYFUNCTION("""COMPUTED_VALUE"""),"#N/A")</f>
        <v>#N/A</v>
      </c>
      <c r="V1281" s="3" t="str">
        <f>IFERROR(__xludf.DUMMYFUNCTION("""COMPUTED_VALUE"""),"N")</f>
        <v>N</v>
      </c>
      <c r="W1281" s="3">
        <f>IFERROR(__xludf.DUMMYFUNCTION("""COMPUTED_VALUE"""),0.0)</f>
        <v>0</v>
      </c>
      <c r="X1281" s="3" t="str">
        <f>IFERROR(__xludf.DUMMYFUNCTION("""COMPUTED_VALUE"""),"ชั้น 1, B2S, ศูนย์การค้าเซ็นทรัลเฟสติวัลสมุย เลขที่ 209, ตำบลบ่อผุด อำเภอเกาะสมุย จังหวัดสุราษฎร์ธานี 84320")</f>
        <v>ชั้น 1, B2S, ศูนย์การค้าเซ็นทรัลเฟสติวัลสมุย เลขที่ 209, ตำบลบ่อผุด อำเภอเกาะสมุย จังหวัดสุราษฎร์ธานี 84320</v>
      </c>
      <c r="Y1281" s="3"/>
      <c r="Z1281" s="3" t="str">
        <f>IFERROR(__xludf.DUMMYFUNCTION("""COMPUTED_VALUE"""),"บ่อผุด")</f>
        <v>บ่อผุด</v>
      </c>
      <c r="AA1281" s="3" t="str">
        <f>IFERROR(__xludf.DUMMYFUNCTION("""COMPUTED_VALUE"""),"เกาะสมุย")</f>
        <v>เกาะสมุย</v>
      </c>
      <c r="AB1281" s="3" t="str">
        <f>IFERROR(__xludf.DUMMYFUNCTION("""COMPUTED_VALUE"""),"สุราษฎร์ธานี")</f>
        <v>สุราษฎร์ธานี</v>
      </c>
      <c r="AC1281" s="3">
        <f>IFERROR(__xludf.DUMMYFUNCTION("""COMPUTED_VALUE"""),84320.0)</f>
        <v>84320</v>
      </c>
      <c r="AD1281" s="3">
        <f>IFERROR(__xludf.DUMMYFUNCTION("""COMPUTED_VALUE"""),9.532366933)</f>
        <v>9.532366933</v>
      </c>
      <c r="AE1281" s="3">
        <f>IFERROR(__xludf.DUMMYFUNCTION("""COMPUTED_VALUE"""),100.0616217)</f>
        <v>100.0616217</v>
      </c>
      <c r="AF1281" s="3" t="str">
        <f>IFERROR(__xludf.DUMMYFUNCTION("""COMPUTED_VALUE"""),"Central Festival Samui Shop in Shop-21RB066")</f>
        <v>Central Festival Samui Shop in Shop-21RB066</v>
      </c>
      <c r="AG1281" s="3" t="str">
        <f>IFERROR(__xludf.DUMMYFUNCTION("""COMPUTED_VALUE"""),"ใต้")</f>
        <v>ใต้</v>
      </c>
      <c r="AH1281" s="3" t="str">
        <f>IFERROR(__xludf.DUMMYFUNCTION("""COMPUTED_VALUE"""),"#N/A")</f>
        <v>#N/A</v>
      </c>
      <c r="AI1281" s="3" t="str">
        <f>IFERROR(__xludf.DUMMYFUNCTION("""COMPUTED_VALUE"""),"Out of warranty")</f>
        <v>Out of warranty</v>
      </c>
      <c r="AJ1281" s="3">
        <f>IFERROR(__xludf.DUMMYFUNCTION("""COMPUTED_VALUE"""),92.0)</f>
        <v>92</v>
      </c>
      <c r="AK1281" s="3"/>
      <c r="AL1281" s="3"/>
    </row>
    <row r="1282" ht="15.75" customHeight="1">
      <c r="A1282" s="1" t="str">
        <f>IFERROR(__xludf.DUMMYFUNCTION("""COMPUTED_VALUE"""),"21RB067")</f>
        <v>21RB067</v>
      </c>
      <c r="B1282" s="2" t="str">
        <f>IFERROR(__xludf.DUMMYFUNCTION("""COMPUTED_VALUE"""),"21RB067")</f>
        <v>21RB067</v>
      </c>
      <c r="C1282" s="3" t="str">
        <f>IFERROR(__xludf.DUMMYFUNCTION("""COMPUTED_VALUE"""),"AB-SIS:CENTRAL LADPRAO")</f>
        <v>AB-SIS:CENTRAL LADPRAO</v>
      </c>
      <c r="D1282" s="3" t="str">
        <f>IFERROR(__xludf.DUMMYFUNCTION("""COMPUTED_VALUE"""),"เอเซียบุ๊คส บีทูเอส เซ็นทรัลพลาซ่า ลาดพร้าว")</f>
        <v>เอเซียบุ๊คส บีทูเอส เซ็นทรัลพลาซ่า ลาดพร้าว</v>
      </c>
      <c r="E1282" s="1" t="str">
        <f>IFERROR(__xludf.DUMMYFUNCTION("""COMPUTED_VALUE"""),"AsiaBooks")</f>
        <v>AsiaBooks</v>
      </c>
      <c r="F1282" s="1" t="str">
        <f>IFERROR(__xludf.DUMMYFUNCTION("""COMPUTED_VALUE"""),"1016938")</f>
        <v>1016938</v>
      </c>
      <c r="G1282" s="1" t="str">
        <f>IFERROR(__xludf.DUMMYFUNCTION("""COMPUTED_VALUE"""),"น.ส.ณัฏฐนันท์ ปัญญาสิทธิ์")</f>
        <v>น.ส.ณัฏฐนันท์ ปัญญาสิทธิ์</v>
      </c>
      <c r="H1282" s="1" t="str">
        <f>IFERROR(__xludf.DUMMYFUNCTION("""COMPUTED_VALUE"""),"2010435")</f>
        <v>2010435</v>
      </c>
      <c r="I1282" s="1" t="str">
        <f>IFERROR(__xludf.DUMMYFUNCTION("""COMPUTED_VALUE"""),"น.ส.ลักษณพร เกิดบุญส่ง")</f>
        <v>น.ส.ลักษณพร เกิดบุญส่ง</v>
      </c>
      <c r="J1282" s="3">
        <f>IFERROR(__xludf.DUMMYFUNCTION("""COMPUTED_VALUE"""),1016938.0)</f>
        <v>1016938</v>
      </c>
      <c r="K1282" s="3" t="str">
        <f>IFERROR(__xludf.DUMMYFUNCTION("""COMPUTED_VALUE"""),"น.ส.ณัฏฐนันท์ ปัญญาสิทธิ์")</f>
        <v>น.ส.ณัฏฐนันท์ ปัญญาสิทธิ์</v>
      </c>
      <c r="L1282" s="1" t="str">
        <f>IFERROR(__xludf.DUMMYFUNCTION("""COMPUTED_VALUE"""),"Asia Books")</f>
        <v>Asia Books</v>
      </c>
      <c r="M1282" s="1" t="str">
        <f>IFERROR(__xludf.DUMMYFUNCTION("""COMPUTED_VALUE"""),"0993463946")</f>
        <v>0993463946</v>
      </c>
      <c r="N1282" s="3" t="str">
        <f>IFERROR(__xludf.DUMMYFUNCTION("""COMPUTED_VALUE"""),"21RB067")</f>
        <v>21RB067</v>
      </c>
      <c r="O1282" s="3" t="str">
        <f>IFERROR(__xludf.DUMMYFUNCTION("""COMPUTED_VALUE"""),"AB-SIS:CENTRAL LADPRAO")</f>
        <v>AB-SIS:CENTRAL LADPRAO</v>
      </c>
      <c r="P1282" s="4">
        <f>IFERROR(__xludf.DUMMYFUNCTION("""COMPUTED_VALUE"""),43271.0)</f>
        <v>43271</v>
      </c>
      <c r="Q1282" s="3" t="str">
        <f>IFERROR(__xludf.DUMMYFUNCTION("""COMPUTED_VALUE"""),"A")</f>
        <v>A</v>
      </c>
      <c r="R1282" s="3" t="str">
        <f>IFERROR(__xludf.DUMMYFUNCTION("""COMPUTED_VALUE"""),"Small Format")</f>
        <v>Small Format</v>
      </c>
      <c r="S1282" s="3" t="str">
        <f>IFERROR(__xludf.DUMMYFUNCTION("""COMPUTED_VALUE"""),"AsiaBooks")</f>
        <v>AsiaBooks</v>
      </c>
      <c r="T1282" s="3" t="str">
        <f>IFERROR(__xludf.DUMMYFUNCTION("""COMPUTED_VALUE"""),"Asia Books")</f>
        <v>Asia Books</v>
      </c>
      <c r="U1282" s="3" t="str">
        <f>IFERROR(__xludf.DUMMYFUNCTION("""COMPUTED_VALUE"""),"#N/A")</f>
        <v>#N/A</v>
      </c>
      <c r="V1282" s="3" t="str">
        <f>IFERROR(__xludf.DUMMYFUNCTION("""COMPUTED_VALUE"""),"N")</f>
        <v>N</v>
      </c>
      <c r="W1282" s="3">
        <f>IFERROR(__xludf.DUMMYFUNCTION("""COMPUTED_VALUE"""),0.0)</f>
        <v>0</v>
      </c>
      <c r="X1282" s="3" t="str">
        <f>IFERROR(__xludf.DUMMYFUNCTION("""COMPUTED_VALUE"""),"ชั้น B, B2S, ศูนย์การค้าเซ็นทรัลพลาซา ลาดพร้าว เลขที่ 1691 แขวงจตุจักร เขตจตุจักร กรุงเทพมหานคร 10900")</f>
        <v>ชั้น B, B2S, ศูนย์การค้าเซ็นทรัลพลาซา ลาดพร้าว เลขที่ 1691 แขวงจตุจักร เขตจตุจักร กรุงเทพมหานคร 10900</v>
      </c>
      <c r="Y1282" s="3"/>
      <c r="Z1282" s="3" t="str">
        <f>IFERROR(__xludf.DUMMYFUNCTION("""COMPUTED_VALUE"""),"จตุจักร")</f>
        <v>จตุจักร</v>
      </c>
      <c r="AA1282" s="3" t="str">
        <f>IFERROR(__xludf.DUMMYFUNCTION("""COMPUTED_VALUE"""),"จตุจักร")</f>
        <v>จตุจักร</v>
      </c>
      <c r="AB1282" s="3" t="str">
        <f>IFERROR(__xludf.DUMMYFUNCTION("""COMPUTED_VALUE"""),"กรุงเทพมหานคร")</f>
        <v>กรุงเทพมหานคร</v>
      </c>
      <c r="AC1282" s="3">
        <f>IFERROR(__xludf.DUMMYFUNCTION("""COMPUTED_VALUE"""),10900.0)</f>
        <v>10900</v>
      </c>
      <c r="AD1282" s="3">
        <f>IFERROR(__xludf.DUMMYFUNCTION("""COMPUTED_VALUE"""),13.81708787)</f>
        <v>13.81708787</v>
      </c>
      <c r="AE1282" s="3">
        <f>IFERROR(__xludf.DUMMYFUNCTION("""COMPUTED_VALUE"""),100.561613)</f>
        <v>100.561613</v>
      </c>
      <c r="AF1282" s="3" t="str">
        <f>IFERROR(__xludf.DUMMYFUNCTION("""COMPUTED_VALUE"""),"AB-SIS:CENTRAL LADPRAO-21RB067")</f>
        <v>AB-SIS:CENTRAL LADPRAO-21RB067</v>
      </c>
      <c r="AG1282" s="3" t="str">
        <f>IFERROR(__xludf.DUMMYFUNCTION("""COMPUTED_VALUE"""),"กลาง")</f>
        <v>กลาง</v>
      </c>
      <c r="AH1282" s="3" t="str">
        <f>IFERROR(__xludf.DUMMYFUNCTION("""COMPUTED_VALUE"""),"#N/A")</f>
        <v>#N/A</v>
      </c>
      <c r="AI1282" s="3" t="str">
        <f>IFERROR(__xludf.DUMMYFUNCTION("""COMPUTED_VALUE"""),"Out of warranty")</f>
        <v>Out of warranty</v>
      </c>
      <c r="AJ1282" s="3">
        <f>IFERROR(__xludf.DUMMYFUNCTION("""COMPUTED_VALUE"""),92.0)</f>
        <v>92</v>
      </c>
      <c r="AK1282" s="3"/>
      <c r="AL1282" s="3"/>
    </row>
    <row r="1283" ht="15.75" customHeight="1">
      <c r="A1283" s="1" t="str">
        <f>IFERROR(__xludf.DUMMYFUNCTION("""COMPUTED_VALUE"""),"21RB068")</f>
        <v>21RB068</v>
      </c>
      <c r="B1283" s="2" t="str">
        <f>IFERROR(__xludf.DUMMYFUNCTION("""COMPUTED_VALUE"""),"21RB068")</f>
        <v>21RB068</v>
      </c>
      <c r="C1283" s="3" t="str">
        <f>IFERROR(__xludf.DUMMYFUNCTION("""COMPUTED_VALUE"""),"Central Pattaya Beach Shop in Shop")</f>
        <v>Central Pattaya Beach Shop in Shop</v>
      </c>
      <c r="D1283" s="3" t="str">
        <f>IFERROR(__xludf.DUMMYFUNCTION("""COMPUTED_VALUE"""),"เอเซียบุ๊คส บีทูเอส เซ็นทรัลเฟสติวัล พัทยา บีช")</f>
        <v>เอเซียบุ๊คส บีทูเอส เซ็นทรัลเฟสติวัล พัทยา บีช</v>
      </c>
      <c r="E1283" s="1" t="str">
        <f>IFERROR(__xludf.DUMMYFUNCTION("""COMPUTED_VALUE"""),"AsiaBooks")</f>
        <v>AsiaBooks</v>
      </c>
      <c r="F1283" s="1" t="str">
        <f>IFERROR(__xludf.DUMMYFUNCTION("""COMPUTED_VALUE"""),"1016938")</f>
        <v>1016938</v>
      </c>
      <c r="G1283" s="1" t="str">
        <f>IFERROR(__xludf.DUMMYFUNCTION("""COMPUTED_VALUE"""),"น.ส.ณัฏฐนันท์ ปัญญาสิทธิ์")</f>
        <v>น.ส.ณัฏฐนันท์ ปัญญาสิทธิ์</v>
      </c>
      <c r="H1283" s="1" t="str">
        <f>IFERROR(__xludf.DUMMYFUNCTION("""COMPUTED_VALUE"""),"1007000")</f>
        <v>1007000</v>
      </c>
      <c r="I1283" s="1" t="str">
        <f>IFERROR(__xludf.DUMMYFUNCTION("""COMPUTED_VALUE"""),"น.ส.เสาวลักษณ์ แป้นงาม")</f>
        <v>น.ส.เสาวลักษณ์ แป้นงาม</v>
      </c>
      <c r="J1283" s="3">
        <f>IFERROR(__xludf.DUMMYFUNCTION("""COMPUTED_VALUE"""),1016938.0)</f>
        <v>1016938</v>
      </c>
      <c r="K1283" s="3" t="str">
        <f>IFERROR(__xludf.DUMMYFUNCTION("""COMPUTED_VALUE"""),"น.ส.ณัฏฐนันท์ ปัญญาสิทธิ์")</f>
        <v>น.ส.ณัฏฐนันท์ ปัญญาสิทธิ์</v>
      </c>
      <c r="L1283" s="1" t="str">
        <f>IFERROR(__xludf.DUMMYFUNCTION("""COMPUTED_VALUE"""),"Asia Books")</f>
        <v>Asia Books</v>
      </c>
      <c r="M1283" s="1" t="str">
        <f>IFERROR(__xludf.DUMMYFUNCTION("""COMPUTED_VALUE"""),"0993463946")</f>
        <v>0993463946</v>
      </c>
      <c r="N1283" s="3" t="str">
        <f>IFERROR(__xludf.DUMMYFUNCTION("""COMPUTED_VALUE"""),"21RB068")</f>
        <v>21RB068</v>
      </c>
      <c r="O1283" s="3" t="str">
        <f>IFERROR(__xludf.DUMMYFUNCTION("""COMPUTED_VALUE"""),"Central Pattaya Beach Shop in Shop")</f>
        <v>Central Pattaya Beach Shop in Shop</v>
      </c>
      <c r="P1283" s="4">
        <f>IFERROR(__xludf.DUMMYFUNCTION("""COMPUTED_VALUE"""),43271.0)</f>
        <v>43271</v>
      </c>
      <c r="Q1283" s="3" t="str">
        <f>IFERROR(__xludf.DUMMYFUNCTION("""COMPUTED_VALUE"""),"A")</f>
        <v>A</v>
      </c>
      <c r="R1283" s="3" t="str">
        <f>IFERROR(__xludf.DUMMYFUNCTION("""COMPUTED_VALUE"""),"Small Format")</f>
        <v>Small Format</v>
      </c>
      <c r="S1283" s="3" t="str">
        <f>IFERROR(__xludf.DUMMYFUNCTION("""COMPUTED_VALUE"""),"AsiaBooks")</f>
        <v>AsiaBooks</v>
      </c>
      <c r="T1283" s="3" t="str">
        <f>IFERROR(__xludf.DUMMYFUNCTION("""COMPUTED_VALUE"""),"Asia Books")</f>
        <v>Asia Books</v>
      </c>
      <c r="U1283" s="3" t="str">
        <f>IFERROR(__xludf.DUMMYFUNCTION("""COMPUTED_VALUE"""),"#N/A")</f>
        <v>#N/A</v>
      </c>
      <c r="V1283" s="3" t="str">
        <f>IFERROR(__xludf.DUMMYFUNCTION("""COMPUTED_VALUE"""),"N")</f>
        <v>N</v>
      </c>
      <c r="W1283" s="3">
        <f>IFERROR(__xludf.DUMMYFUNCTION("""COMPUTED_VALUE"""),0.0)</f>
        <v>0</v>
      </c>
      <c r="X1283" s="3" t="str">
        <f>IFERROR(__xludf.DUMMYFUNCTION("""COMPUTED_VALUE"""),"ชั้น 4, B2S, ศูนย์การค้าเซ็นทรัลเฟสติวัล พัทยา บีช เลขที่ 333/99 ตำบลหนองปรือ อำเภอบางละมุง จังหวัดชลบุรี 20260")</f>
        <v>ชั้น 4, B2S, ศูนย์การค้าเซ็นทรัลเฟสติวัล พัทยา บีช เลขที่ 333/99 ตำบลหนองปรือ อำเภอบางละมุง จังหวัดชลบุรี 20260</v>
      </c>
      <c r="Y1283" s="3"/>
      <c r="Z1283" s="3" t="str">
        <f>IFERROR(__xludf.DUMMYFUNCTION("""COMPUTED_VALUE"""),"หนองปรือ")</f>
        <v>หนองปรือ</v>
      </c>
      <c r="AA1283" s="3" t="str">
        <f>IFERROR(__xludf.DUMMYFUNCTION("""COMPUTED_VALUE"""),"บางละมุง")</f>
        <v>บางละมุง</v>
      </c>
      <c r="AB1283" s="3" t="str">
        <f>IFERROR(__xludf.DUMMYFUNCTION("""COMPUTED_VALUE"""),"ชลบุรี")</f>
        <v>ชลบุรี</v>
      </c>
      <c r="AC1283" s="3">
        <f>IFERROR(__xludf.DUMMYFUNCTION("""COMPUTED_VALUE"""),20260.0)</f>
        <v>20260</v>
      </c>
      <c r="AD1283" s="3">
        <f>IFERROR(__xludf.DUMMYFUNCTION("""COMPUTED_VALUE"""),12.93520725)</f>
        <v>12.93520725</v>
      </c>
      <c r="AE1283" s="3">
        <f>IFERROR(__xludf.DUMMYFUNCTION("""COMPUTED_VALUE"""),100.8831596)</f>
        <v>100.8831596</v>
      </c>
      <c r="AF1283" s="3" t="str">
        <f>IFERROR(__xludf.DUMMYFUNCTION("""COMPUTED_VALUE"""),"Central Pattaya Beach Shop in Shop-21RB068")</f>
        <v>Central Pattaya Beach Shop in Shop-21RB068</v>
      </c>
      <c r="AG1283" s="3" t="str">
        <f>IFERROR(__xludf.DUMMYFUNCTION("""COMPUTED_VALUE"""),"ตะวันออก")</f>
        <v>ตะวันออก</v>
      </c>
      <c r="AH1283" s="3" t="str">
        <f>IFERROR(__xludf.DUMMYFUNCTION("""COMPUTED_VALUE"""),"#N/A")</f>
        <v>#N/A</v>
      </c>
      <c r="AI1283" s="3" t="str">
        <f>IFERROR(__xludf.DUMMYFUNCTION("""COMPUTED_VALUE"""),"Out of warranty")</f>
        <v>Out of warranty</v>
      </c>
      <c r="AJ1283" s="3">
        <f>IFERROR(__xludf.DUMMYFUNCTION("""COMPUTED_VALUE"""),92.0)</f>
        <v>92</v>
      </c>
      <c r="AK1283" s="3"/>
      <c r="AL1283" s="3"/>
    </row>
    <row r="1284" ht="15.75" customHeight="1">
      <c r="A1284" s="1" t="str">
        <f>IFERROR(__xludf.DUMMYFUNCTION("""COMPUTED_VALUE"""),"21RB069")</f>
        <v>21RB069</v>
      </c>
      <c r="B1284" s="2" t="str">
        <f>IFERROR(__xludf.DUMMYFUNCTION("""COMPUTED_VALUE"""),"21RB069")</f>
        <v>21RB069</v>
      </c>
      <c r="C1284" s="3" t="str">
        <f>IFERROR(__xludf.DUMMYFUNCTION("""COMPUTED_VALUE"""),"Central Pinklao Shop in Shop")</f>
        <v>Central Pinklao Shop in Shop</v>
      </c>
      <c r="D1284" s="3" t="str">
        <f>IFERROR(__xludf.DUMMYFUNCTION("""COMPUTED_VALUE"""),"เอเซียบุ๊คส บีทูเอส เซ็นทรัลพลาซา ปิ่นเกล้า")</f>
        <v>เอเซียบุ๊คส บีทูเอส เซ็นทรัลพลาซา ปิ่นเกล้า</v>
      </c>
      <c r="E1284" s="1" t="str">
        <f>IFERROR(__xludf.DUMMYFUNCTION("""COMPUTED_VALUE"""),"AsiaBooks")</f>
        <v>AsiaBooks</v>
      </c>
      <c r="F1284" s="1" t="str">
        <f>IFERROR(__xludf.DUMMYFUNCTION("""COMPUTED_VALUE"""),"1016938")</f>
        <v>1016938</v>
      </c>
      <c r="G1284" s="1" t="str">
        <f>IFERROR(__xludf.DUMMYFUNCTION("""COMPUTED_VALUE"""),"น.ส.ณัฏฐนันท์ ปัญญาสิทธิ์")</f>
        <v>น.ส.ณัฏฐนันท์ ปัญญาสิทธิ์</v>
      </c>
      <c r="H1284" s="1" t="str">
        <f>IFERROR(__xludf.DUMMYFUNCTION("""COMPUTED_VALUE"""),"2010435")</f>
        <v>2010435</v>
      </c>
      <c r="I1284" s="1" t="str">
        <f>IFERROR(__xludf.DUMMYFUNCTION("""COMPUTED_VALUE"""),"น.ส.ลักษณพร เกิดบุญส่ง")</f>
        <v>น.ส.ลักษณพร เกิดบุญส่ง</v>
      </c>
      <c r="J1284" s="3">
        <f>IFERROR(__xludf.DUMMYFUNCTION("""COMPUTED_VALUE"""),1016938.0)</f>
        <v>1016938</v>
      </c>
      <c r="K1284" s="3" t="str">
        <f>IFERROR(__xludf.DUMMYFUNCTION("""COMPUTED_VALUE"""),"น.ส.ณัฏฐนันท์ ปัญญาสิทธิ์")</f>
        <v>น.ส.ณัฏฐนันท์ ปัญญาสิทธิ์</v>
      </c>
      <c r="L1284" s="1" t="str">
        <f>IFERROR(__xludf.DUMMYFUNCTION("""COMPUTED_VALUE"""),"Asia Books")</f>
        <v>Asia Books</v>
      </c>
      <c r="M1284" s="1" t="str">
        <f>IFERROR(__xludf.DUMMYFUNCTION("""COMPUTED_VALUE"""),"0993463946")</f>
        <v>0993463946</v>
      </c>
      <c r="N1284" s="3" t="str">
        <f>IFERROR(__xludf.DUMMYFUNCTION("""COMPUTED_VALUE"""),"21RB069")</f>
        <v>21RB069</v>
      </c>
      <c r="O1284" s="3" t="str">
        <f>IFERROR(__xludf.DUMMYFUNCTION("""COMPUTED_VALUE"""),"Central Pinklao Shop in Shop")</f>
        <v>Central Pinklao Shop in Shop</v>
      </c>
      <c r="P1284" s="4">
        <f>IFERROR(__xludf.DUMMYFUNCTION("""COMPUTED_VALUE"""),43271.0)</f>
        <v>43271</v>
      </c>
      <c r="Q1284" s="3" t="str">
        <f>IFERROR(__xludf.DUMMYFUNCTION("""COMPUTED_VALUE"""),"A")</f>
        <v>A</v>
      </c>
      <c r="R1284" s="3" t="str">
        <f>IFERROR(__xludf.DUMMYFUNCTION("""COMPUTED_VALUE"""),"Small Format")</f>
        <v>Small Format</v>
      </c>
      <c r="S1284" s="3" t="str">
        <f>IFERROR(__xludf.DUMMYFUNCTION("""COMPUTED_VALUE"""),"AsiaBooks")</f>
        <v>AsiaBooks</v>
      </c>
      <c r="T1284" s="3" t="str">
        <f>IFERROR(__xludf.DUMMYFUNCTION("""COMPUTED_VALUE"""),"Asia Books")</f>
        <v>Asia Books</v>
      </c>
      <c r="U1284" s="3" t="str">
        <f>IFERROR(__xludf.DUMMYFUNCTION("""COMPUTED_VALUE"""),"#N/A")</f>
        <v>#N/A</v>
      </c>
      <c r="V1284" s="3" t="str">
        <f>IFERROR(__xludf.DUMMYFUNCTION("""COMPUTED_VALUE"""),"N")</f>
        <v>N</v>
      </c>
      <c r="W1284" s="3">
        <f>IFERROR(__xludf.DUMMYFUNCTION("""COMPUTED_VALUE"""),0.0)</f>
        <v>0</v>
      </c>
      <c r="X1284" s="3" t="str">
        <f>IFERROR(__xludf.DUMMYFUNCTION("""COMPUTED_VALUE"""),"ชั้น 4, B2S, ศูนย์การค้าเซ็นทรัลพลาซา ปิ่นเกล้า เลขที่ 7/1 แขวงอรุณอมรินทร์ เขตบางกอกน้อย กรุงเทพมหานคร 10700")</f>
        <v>ชั้น 4, B2S, ศูนย์การค้าเซ็นทรัลพลาซา ปิ่นเกล้า เลขที่ 7/1 แขวงอรุณอมรินทร์ เขตบางกอกน้อย กรุงเทพมหานคร 10700</v>
      </c>
      <c r="Y1284" s="3"/>
      <c r="Z1284" s="3" t="str">
        <f>IFERROR(__xludf.DUMMYFUNCTION("""COMPUTED_VALUE"""),"อรุณอมรินทร์")</f>
        <v>อรุณอมรินทร์</v>
      </c>
      <c r="AA1284" s="3" t="str">
        <f>IFERROR(__xludf.DUMMYFUNCTION("""COMPUTED_VALUE"""),"บางกอกน้อย")</f>
        <v>บางกอกน้อย</v>
      </c>
      <c r="AB1284" s="3" t="str">
        <f>IFERROR(__xludf.DUMMYFUNCTION("""COMPUTED_VALUE"""),"กรุงเทพมหานคร")</f>
        <v>กรุงเทพมหานคร</v>
      </c>
      <c r="AC1284" s="3">
        <f>IFERROR(__xludf.DUMMYFUNCTION("""COMPUTED_VALUE"""),10700.0)</f>
        <v>10700</v>
      </c>
      <c r="AD1284" s="3">
        <f>IFERROR(__xludf.DUMMYFUNCTION("""COMPUTED_VALUE"""),13.77779136)</f>
        <v>13.77779136</v>
      </c>
      <c r="AE1284" s="3">
        <f>IFERROR(__xludf.DUMMYFUNCTION("""COMPUTED_VALUE"""),100.4751755)</f>
        <v>100.4751755</v>
      </c>
      <c r="AF1284" s="3" t="str">
        <f>IFERROR(__xludf.DUMMYFUNCTION("""COMPUTED_VALUE"""),"Central Pinklao Shop in Shop-21RB069")</f>
        <v>Central Pinklao Shop in Shop-21RB069</v>
      </c>
      <c r="AG1284" s="3" t="str">
        <f>IFERROR(__xludf.DUMMYFUNCTION("""COMPUTED_VALUE"""),"กลาง")</f>
        <v>กลาง</v>
      </c>
      <c r="AH1284" s="3" t="str">
        <f>IFERROR(__xludf.DUMMYFUNCTION("""COMPUTED_VALUE"""),"#N/A")</f>
        <v>#N/A</v>
      </c>
      <c r="AI1284" s="3" t="str">
        <f>IFERROR(__xludf.DUMMYFUNCTION("""COMPUTED_VALUE"""),"Out of warranty")</f>
        <v>Out of warranty</v>
      </c>
      <c r="AJ1284" s="3">
        <f>IFERROR(__xludf.DUMMYFUNCTION("""COMPUTED_VALUE"""),92.0)</f>
        <v>92</v>
      </c>
      <c r="AK1284" s="3"/>
      <c r="AL1284" s="3"/>
    </row>
    <row r="1285" ht="15.75" customHeight="1">
      <c r="A1285" s="1" t="str">
        <f>IFERROR(__xludf.DUMMYFUNCTION("""COMPUTED_VALUE"""),"21RB070")</f>
        <v>21RB070</v>
      </c>
      <c r="B1285" s="2" t="str">
        <f>IFERROR(__xludf.DUMMYFUNCTION("""COMPUTED_VALUE"""),"21RB070")</f>
        <v>21RB070</v>
      </c>
      <c r="C1285" s="3" t="str">
        <f>IFERROR(__xludf.DUMMYFUNCTION("""COMPUTED_VALUE"""),"Blu'port Hua Hin")</f>
        <v>Blu'port Hua Hin</v>
      </c>
      <c r="D1285" s="3" t="str">
        <f>IFERROR(__xludf.DUMMYFUNCTION("""COMPUTED_VALUE"""),"เอเซียบุ๊คส บลูพอร์ต หัวหิน")</f>
        <v>เอเซียบุ๊คส บลูพอร์ต หัวหิน</v>
      </c>
      <c r="E1285" s="1" t="str">
        <f>IFERROR(__xludf.DUMMYFUNCTION("""COMPUTED_VALUE"""),"AsiaBooks")</f>
        <v>AsiaBooks</v>
      </c>
      <c r="F1285" s="1" t="str">
        <f>IFERROR(__xludf.DUMMYFUNCTION("""COMPUTED_VALUE"""),"1016938")</f>
        <v>1016938</v>
      </c>
      <c r="G1285" s="1" t="str">
        <f>IFERROR(__xludf.DUMMYFUNCTION("""COMPUTED_VALUE"""),"น.ส.ณัฏฐนันท์ ปัญญาสิทธิ์")</f>
        <v>น.ส.ณัฏฐนันท์ ปัญญาสิทธิ์</v>
      </c>
      <c r="H1285" s="1" t="str">
        <f>IFERROR(__xludf.DUMMYFUNCTION("""COMPUTED_VALUE"""),"1007000")</f>
        <v>1007000</v>
      </c>
      <c r="I1285" s="1" t="str">
        <f>IFERROR(__xludf.DUMMYFUNCTION("""COMPUTED_VALUE"""),"น.ส.เสาวลักษณ์ แป้นงาม")</f>
        <v>น.ส.เสาวลักษณ์ แป้นงาม</v>
      </c>
      <c r="J1285" s="3">
        <f>IFERROR(__xludf.DUMMYFUNCTION("""COMPUTED_VALUE"""),1016938.0)</f>
        <v>1016938</v>
      </c>
      <c r="K1285" s="3" t="str">
        <f>IFERROR(__xludf.DUMMYFUNCTION("""COMPUTED_VALUE"""),"น.ส.ณัฏฐนันท์ ปัญญาสิทธิ์")</f>
        <v>น.ส.ณัฏฐนันท์ ปัญญาสิทธิ์</v>
      </c>
      <c r="L1285" s="1" t="str">
        <f>IFERROR(__xludf.DUMMYFUNCTION("""COMPUTED_VALUE"""),"Asia Books")</f>
        <v>Asia Books</v>
      </c>
      <c r="M1285" s="1" t="str">
        <f>IFERROR(__xludf.DUMMYFUNCTION("""COMPUTED_VALUE"""),"0993463946")</f>
        <v>0993463946</v>
      </c>
      <c r="N1285" s="3" t="str">
        <f>IFERROR(__xludf.DUMMYFUNCTION("""COMPUTED_VALUE"""),"21RB070")</f>
        <v>21RB070</v>
      </c>
      <c r="O1285" s="3" t="str">
        <f>IFERROR(__xludf.DUMMYFUNCTION("""COMPUTED_VALUE"""),"Blu'port Hua Hin")</f>
        <v>Blu'port Hua Hin</v>
      </c>
      <c r="P1285" s="4">
        <f>IFERROR(__xludf.DUMMYFUNCTION("""COMPUTED_VALUE"""),43271.0)</f>
        <v>43271</v>
      </c>
      <c r="Q1285" s="3" t="str">
        <f>IFERROR(__xludf.DUMMYFUNCTION("""COMPUTED_VALUE"""),"A")</f>
        <v>A</v>
      </c>
      <c r="R1285" s="3" t="str">
        <f>IFERROR(__xludf.DUMMYFUNCTION("""COMPUTED_VALUE"""),"Small Format")</f>
        <v>Small Format</v>
      </c>
      <c r="S1285" s="3" t="str">
        <f>IFERROR(__xludf.DUMMYFUNCTION("""COMPUTED_VALUE"""),"AsiaBooks")</f>
        <v>AsiaBooks</v>
      </c>
      <c r="T1285" s="3" t="str">
        <f>IFERROR(__xludf.DUMMYFUNCTION("""COMPUTED_VALUE"""),"Asia Books")</f>
        <v>Asia Books</v>
      </c>
      <c r="U1285" s="3" t="str">
        <f>IFERROR(__xludf.DUMMYFUNCTION("""COMPUTED_VALUE"""),"#N/A")</f>
        <v>#N/A</v>
      </c>
      <c r="V1285" s="3" t="str">
        <f>IFERROR(__xludf.DUMMYFUNCTION("""COMPUTED_VALUE"""),"N")</f>
        <v>N</v>
      </c>
      <c r="W1285" s="3">
        <f>IFERROR(__xludf.DUMMYFUNCTION("""COMPUTED_VALUE"""),0.0)</f>
        <v>0</v>
      </c>
      <c r="X1285" s="3" t="str">
        <f>IFERROR(__xludf.DUMMYFUNCTION("""COMPUTED_VALUE"""),"ชั้น 3, ห้องเลขที่ 321, ศูนย์การค้าบลูพอร์ต หัวหิน เลขที่ 8/89 ตำบลหนองแก อำเภอหัวหิน จังหวัดประจวบคีรีขันธ์ 77110")</f>
        <v>ชั้น 3, ห้องเลขที่ 321, ศูนย์การค้าบลูพอร์ต หัวหิน เลขที่ 8/89 ตำบลหนองแก อำเภอหัวหิน จังหวัดประจวบคีรีขันธ์ 77110</v>
      </c>
      <c r="Y1285" s="3"/>
      <c r="Z1285" s="3" t="str">
        <f>IFERROR(__xludf.DUMMYFUNCTION("""COMPUTED_VALUE"""),"หนองแก")</f>
        <v>หนองแก</v>
      </c>
      <c r="AA1285" s="3" t="str">
        <f>IFERROR(__xludf.DUMMYFUNCTION("""COMPUTED_VALUE"""),"หัวหิน")</f>
        <v>หัวหิน</v>
      </c>
      <c r="AB1285" s="3" t="str">
        <f>IFERROR(__xludf.DUMMYFUNCTION("""COMPUTED_VALUE"""),"ประจวบคีรีขันธ์")</f>
        <v>ประจวบคีรีขันธ์</v>
      </c>
      <c r="AC1285" s="3">
        <f>IFERROR(__xludf.DUMMYFUNCTION("""COMPUTED_VALUE"""),77110.0)</f>
        <v>77110</v>
      </c>
      <c r="AD1285" s="3">
        <f>IFERROR(__xludf.DUMMYFUNCTION("""COMPUTED_VALUE"""),12.54799732)</f>
        <v>12.54799732</v>
      </c>
      <c r="AE1285" s="3">
        <f>IFERROR(__xludf.DUMMYFUNCTION("""COMPUTED_VALUE"""),99.96104881)</f>
        <v>99.96104881</v>
      </c>
      <c r="AF1285" s="3" t="str">
        <f>IFERROR(__xludf.DUMMYFUNCTION("""COMPUTED_VALUE"""),"Blu'port Hua Hin-21RB070")</f>
        <v>Blu'port Hua Hin-21RB070</v>
      </c>
      <c r="AG1285" s="3" t="str">
        <f>IFERROR(__xludf.DUMMYFUNCTION("""COMPUTED_VALUE"""),"ตะวันตก")</f>
        <v>ตะวันตก</v>
      </c>
      <c r="AH1285" s="3" t="str">
        <f>IFERROR(__xludf.DUMMYFUNCTION("""COMPUTED_VALUE"""),"#N/A")</f>
        <v>#N/A</v>
      </c>
      <c r="AI1285" s="3" t="str">
        <f>IFERROR(__xludf.DUMMYFUNCTION("""COMPUTED_VALUE"""),"Out of warranty")</f>
        <v>Out of warranty</v>
      </c>
      <c r="AJ1285" s="3">
        <f>IFERROR(__xludf.DUMMYFUNCTION("""COMPUTED_VALUE"""),92.0)</f>
        <v>92</v>
      </c>
      <c r="AK1285" s="3"/>
      <c r="AL1285" s="3"/>
    </row>
    <row r="1286" ht="15.75" customHeight="1">
      <c r="A1286" s="1" t="str">
        <f>IFERROR(__xludf.DUMMYFUNCTION("""COMPUTED_VALUE"""),"21RB072")</f>
        <v>21RB072</v>
      </c>
      <c r="B1286" s="2" t="str">
        <f>IFERROR(__xludf.DUMMYFUNCTION("""COMPUTED_VALUE"""),"21RB072")</f>
        <v>21RB072</v>
      </c>
      <c r="C1286" s="3" t="str">
        <f>IFERROR(__xludf.DUMMYFUNCTION("""COMPUTED_VALUE"""),"AB-RX: RETAIL EVENT")</f>
        <v>AB-RX: RETAIL EVENT</v>
      </c>
      <c r="D1286" s="3" t="str">
        <f>IFERROR(__xludf.DUMMYFUNCTION("""COMPUTED_VALUE"""),"AB-RX: RETAIL EVENT")</f>
        <v>AB-RX: RETAIL EVENT</v>
      </c>
      <c r="E1286" s="1" t="str">
        <f>IFERROR(__xludf.DUMMYFUNCTION("""COMPUTED_VALUE"""),"AsiaBooks")</f>
        <v>AsiaBooks</v>
      </c>
      <c r="F1286" s="1" t="str">
        <f>IFERROR(__xludf.DUMMYFUNCTION("""COMPUTED_VALUE"""),"1016938")</f>
        <v>1016938</v>
      </c>
      <c r="G1286" s="1" t="str">
        <f>IFERROR(__xludf.DUMMYFUNCTION("""COMPUTED_VALUE"""),"น.ส.ณัฏฐนันท์ ปัญญาสิทธิ์")</f>
        <v>น.ส.ณัฏฐนันท์ ปัญญาสิทธิ์</v>
      </c>
      <c r="H1286" s="1" t="str">
        <f>IFERROR(__xludf.DUMMYFUNCTION("""COMPUTED_VALUE"""),"1007000")</f>
        <v>1007000</v>
      </c>
      <c r="I1286" s="1" t="str">
        <f>IFERROR(__xludf.DUMMYFUNCTION("""COMPUTED_VALUE"""),"น.ส.เสาวลักษณ์ แป้นงาม")</f>
        <v>น.ส.เสาวลักษณ์ แป้นงาม</v>
      </c>
      <c r="J1286" s="3">
        <f>IFERROR(__xludf.DUMMYFUNCTION("""COMPUTED_VALUE"""),1016938.0)</f>
        <v>1016938</v>
      </c>
      <c r="K1286" s="3" t="str">
        <f>IFERROR(__xludf.DUMMYFUNCTION("""COMPUTED_VALUE"""),"น.ส.ณัฏฐนันท์ ปัญญาสิทธิ์")</f>
        <v>น.ส.ณัฏฐนันท์ ปัญญาสิทธิ์</v>
      </c>
      <c r="L1286" s="1" t="str">
        <f>IFERROR(__xludf.DUMMYFUNCTION("""COMPUTED_VALUE"""),"Asia Books")</f>
        <v>Asia Books</v>
      </c>
      <c r="M1286" s="1" t="str">
        <f>IFERROR(__xludf.DUMMYFUNCTION("""COMPUTED_VALUE"""),"0993463946")</f>
        <v>0993463946</v>
      </c>
      <c r="N1286" s="3" t="str">
        <f>IFERROR(__xludf.DUMMYFUNCTION("""COMPUTED_VALUE"""),"21RB072")</f>
        <v>21RB072</v>
      </c>
      <c r="O1286" s="3" t="str">
        <f>IFERROR(__xludf.DUMMYFUNCTION("""COMPUTED_VALUE"""),"AB-RX: RETAIL EVENT")</f>
        <v>AB-RX: RETAIL EVENT</v>
      </c>
      <c r="P1286" s="4">
        <f>IFERROR(__xludf.DUMMYFUNCTION("""COMPUTED_VALUE"""),42644.0)</f>
        <v>42644</v>
      </c>
      <c r="Q1286" s="3" t="str">
        <f>IFERROR(__xludf.DUMMYFUNCTION("""COMPUTED_VALUE"""),"A")</f>
        <v>A</v>
      </c>
      <c r="R1286" s="3" t="str">
        <f>IFERROR(__xludf.DUMMYFUNCTION("""COMPUTED_VALUE"""),"Small Format")</f>
        <v>Small Format</v>
      </c>
      <c r="S1286" s="3" t="str">
        <f>IFERROR(__xludf.DUMMYFUNCTION("""COMPUTED_VALUE"""),"AsiaBooks")</f>
        <v>AsiaBooks</v>
      </c>
      <c r="T1286" s="3" t="str">
        <f>IFERROR(__xludf.DUMMYFUNCTION("""COMPUTED_VALUE"""),"Asia Books")</f>
        <v>Asia Books</v>
      </c>
      <c r="U1286" s="3" t="str">
        <f>IFERROR(__xludf.DUMMYFUNCTION("""COMPUTED_VALUE"""),"#N/A")</f>
        <v>#N/A</v>
      </c>
      <c r="V1286" s="3" t="str">
        <f>IFERROR(__xludf.DUMMYFUNCTION("""COMPUTED_VALUE"""),"N")</f>
        <v>N</v>
      </c>
      <c r="W1286" s="3"/>
      <c r="X1286" s="3" t="str">
        <f>IFERROR(__xludf.DUMMYFUNCTION("""COMPUTED_VALUE"""),"88/9 ซ.สมานจันทร์-บาร์โบส พระโขนง คลองเตย กรุงเทพฯ 10110 ประเทศไทย")</f>
        <v>88/9 ซ.สมานจันทร์-บาร์โบส พระโขนง คลองเตย กรุงเทพฯ 10110 ประเทศไทย</v>
      </c>
      <c r="Y1286" s="3"/>
      <c r="Z1286" s="3" t="str">
        <f>IFERROR(__xludf.DUMMYFUNCTION("""COMPUTED_VALUE"""),"พระโขนง")</f>
        <v>พระโขนง</v>
      </c>
      <c r="AA1286" s="3" t="str">
        <f>IFERROR(__xludf.DUMMYFUNCTION("""COMPUTED_VALUE"""),"คลองเตย")</f>
        <v>คลองเตย</v>
      </c>
      <c r="AB1286" s="3" t="str">
        <f>IFERROR(__xludf.DUMMYFUNCTION("""COMPUTED_VALUE"""),"กรุงเทพมหานคร")</f>
        <v>กรุงเทพมหานคร</v>
      </c>
      <c r="AC1286" s="3">
        <f>IFERROR(__xludf.DUMMYFUNCTION("""COMPUTED_VALUE"""),10110.0)</f>
        <v>10110</v>
      </c>
      <c r="AD1286" s="3">
        <f>IFERROR(__xludf.DUMMYFUNCTION("""COMPUTED_VALUE"""),0.0)</f>
        <v>0</v>
      </c>
      <c r="AE1286" s="3">
        <f>IFERROR(__xludf.DUMMYFUNCTION("""COMPUTED_VALUE"""),0.0)</f>
        <v>0</v>
      </c>
      <c r="AF1286" s="3" t="str">
        <f>IFERROR(__xludf.DUMMYFUNCTION("""COMPUTED_VALUE"""),"AB-RX: RETAIL EVENT-21RB072")</f>
        <v>AB-RX: RETAIL EVENT-21RB072</v>
      </c>
      <c r="AG1286" s="3" t="str">
        <f>IFERROR(__xludf.DUMMYFUNCTION("""COMPUTED_VALUE"""),"กลาง")</f>
        <v>กลาง</v>
      </c>
      <c r="AH1286" s="3" t="str">
        <f>IFERROR(__xludf.DUMMYFUNCTION("""COMPUTED_VALUE"""),"#N/A")</f>
        <v>#N/A</v>
      </c>
      <c r="AI1286" s="3" t="str">
        <f>IFERROR(__xludf.DUMMYFUNCTION("""COMPUTED_VALUE"""),"Out of warranty")</f>
        <v>Out of warranty</v>
      </c>
      <c r="AJ1286" s="3">
        <f>IFERROR(__xludf.DUMMYFUNCTION("""COMPUTED_VALUE"""),112.0)</f>
        <v>112</v>
      </c>
      <c r="AK1286" s="3"/>
      <c r="AL1286" s="3"/>
    </row>
    <row r="1287" ht="15.75" customHeight="1">
      <c r="A1287" s="1" t="str">
        <f>IFERROR(__xludf.DUMMYFUNCTION("""COMPUTED_VALUE"""),"21RB073")</f>
        <v>21RB073</v>
      </c>
      <c r="B1287" s="2" t="str">
        <f>IFERROR(__xludf.DUMMYFUNCTION("""COMPUTED_VALUE"""),"21RB073")</f>
        <v>21RB073</v>
      </c>
      <c r="C1287" s="3" t="str">
        <f>IFERROR(__xludf.DUMMYFUNCTION("""COMPUTED_VALUE"""),"Suriwong Book Centre (Headquarter)")</f>
        <v>Suriwong Book Centre (Headquarter)</v>
      </c>
      <c r="D1287" s="3" t="str">
        <f>IFERROR(__xludf.DUMMYFUNCTION("""COMPUTED_VALUE"""),"สุริวงศ์บุ๊คเซนเตอร์ เชียงใหม่")</f>
        <v>สุริวงศ์บุ๊คเซนเตอร์ เชียงใหม่</v>
      </c>
      <c r="E1287" s="1" t="str">
        <f>IFERROR(__xludf.DUMMYFUNCTION("""COMPUTED_VALUE"""),"AsiaBooks")</f>
        <v>AsiaBooks</v>
      </c>
      <c r="F1287" s="1" t="str">
        <f>IFERROR(__xludf.DUMMYFUNCTION("""COMPUTED_VALUE"""),"1016938")</f>
        <v>1016938</v>
      </c>
      <c r="G1287" s="1" t="str">
        <f>IFERROR(__xludf.DUMMYFUNCTION("""COMPUTED_VALUE"""),"น.ส.ณัฏฐนันท์ ปัญญาสิทธิ์")</f>
        <v>น.ส.ณัฏฐนันท์ ปัญญาสิทธิ์</v>
      </c>
      <c r="H1287" s="1" t="str">
        <f>IFERROR(__xludf.DUMMYFUNCTION("""COMPUTED_VALUE"""),"1015594")</f>
        <v>1015594</v>
      </c>
      <c r="I1287" s="1" t="str">
        <f>IFERROR(__xludf.DUMMYFUNCTION("""COMPUTED_VALUE"""),"น.ส.อาพัทยา ยะอุโมงค์")</f>
        <v>น.ส.อาพัทยา ยะอุโมงค์</v>
      </c>
      <c r="J1287" s="3">
        <f>IFERROR(__xludf.DUMMYFUNCTION("""COMPUTED_VALUE"""),1016938.0)</f>
        <v>1016938</v>
      </c>
      <c r="K1287" s="3" t="str">
        <f>IFERROR(__xludf.DUMMYFUNCTION("""COMPUTED_VALUE"""),"น.ส.ณัฏฐนันท์ ปัญญาสิทธิ์")</f>
        <v>น.ส.ณัฏฐนันท์ ปัญญาสิทธิ์</v>
      </c>
      <c r="L1287" s="1" t="str">
        <f>IFERROR(__xludf.DUMMYFUNCTION("""COMPUTED_VALUE"""),"Asia Books")</f>
        <v>Asia Books</v>
      </c>
      <c r="M1287" s="1" t="str">
        <f>IFERROR(__xludf.DUMMYFUNCTION("""COMPUTED_VALUE"""),"0993463946")</f>
        <v>0993463946</v>
      </c>
      <c r="N1287" s="3" t="str">
        <f>IFERROR(__xludf.DUMMYFUNCTION("""COMPUTED_VALUE"""),"21RB073")</f>
        <v>21RB073</v>
      </c>
      <c r="O1287" s="3" t="str">
        <f>IFERROR(__xludf.DUMMYFUNCTION("""COMPUTED_VALUE"""),"Suriwong Book Centre (Headquarter)")</f>
        <v>Suriwong Book Centre (Headquarter)</v>
      </c>
      <c r="P1287" s="4">
        <f>IFERROR(__xludf.DUMMYFUNCTION("""COMPUTED_VALUE"""),43271.0)</f>
        <v>43271</v>
      </c>
      <c r="Q1287" s="3" t="str">
        <f>IFERROR(__xludf.DUMMYFUNCTION("""COMPUTED_VALUE"""),"A")</f>
        <v>A</v>
      </c>
      <c r="R1287" s="3" t="str">
        <f>IFERROR(__xludf.DUMMYFUNCTION("""COMPUTED_VALUE"""),"Small Format")</f>
        <v>Small Format</v>
      </c>
      <c r="S1287" s="3" t="str">
        <f>IFERROR(__xludf.DUMMYFUNCTION("""COMPUTED_VALUE"""),"AsiaBooks")</f>
        <v>AsiaBooks</v>
      </c>
      <c r="T1287" s="3" t="str">
        <f>IFERROR(__xludf.DUMMYFUNCTION("""COMPUTED_VALUE"""),"Asia Books")</f>
        <v>Asia Books</v>
      </c>
      <c r="U1287" s="3" t="str">
        <f>IFERROR(__xludf.DUMMYFUNCTION("""COMPUTED_VALUE"""),"#N/A")</f>
        <v>#N/A</v>
      </c>
      <c r="V1287" s="3" t="str">
        <f>IFERROR(__xludf.DUMMYFUNCTION("""COMPUTED_VALUE"""),"N")</f>
        <v>N</v>
      </c>
      <c r="W1287" s="3">
        <f>IFERROR(__xludf.DUMMYFUNCTION("""COMPUTED_VALUE"""),0.0)</f>
        <v>0</v>
      </c>
      <c r="X1287" s="3" t="str">
        <f>IFERROR(__xludf.DUMMYFUNCTION("""COMPUTED_VALUE"""),"สุริวงศ์บุ๊คเซนเตอร์ เลขที่ 54, 54/1 ตำบลหายยา อำเภอเมือง จังหวัดเชียงใหม่ 50100")</f>
        <v>สุริวงศ์บุ๊คเซนเตอร์ เลขที่ 54, 54/1 ตำบลหายยา อำเภอเมือง จังหวัดเชียงใหม่ 50100</v>
      </c>
      <c r="Y1287" s="3"/>
      <c r="Z1287" s="3" t="str">
        <f>IFERROR(__xludf.DUMMYFUNCTION("""COMPUTED_VALUE"""),"หายยา")</f>
        <v>หายยา</v>
      </c>
      <c r="AA1287" s="3" t="str">
        <f>IFERROR(__xludf.DUMMYFUNCTION("""COMPUTED_VALUE"""),"เมือง")</f>
        <v>เมือง</v>
      </c>
      <c r="AB1287" s="3" t="str">
        <f>IFERROR(__xludf.DUMMYFUNCTION("""COMPUTED_VALUE"""),"เชียงใหม่")</f>
        <v>เชียงใหม่</v>
      </c>
      <c r="AC1287" s="3">
        <f>IFERROR(__xludf.DUMMYFUNCTION("""COMPUTED_VALUE"""),50100.0)</f>
        <v>50100</v>
      </c>
      <c r="AD1287" s="3">
        <f>IFERROR(__xludf.DUMMYFUNCTION("""COMPUTED_VALUE"""),18.78101)</f>
        <v>18.78101</v>
      </c>
      <c r="AE1287" s="3">
        <f>IFERROR(__xludf.DUMMYFUNCTION("""COMPUTED_VALUE"""),98.99752)</f>
        <v>98.99752</v>
      </c>
      <c r="AF1287" s="3" t="str">
        <f>IFERROR(__xludf.DUMMYFUNCTION("""COMPUTED_VALUE"""),"Suriwong Book Centre (Headquarter)-21RB073")</f>
        <v>Suriwong Book Centre (Headquarter)-21RB073</v>
      </c>
      <c r="AG1287" s="3" t="str">
        <f>IFERROR(__xludf.DUMMYFUNCTION("""COMPUTED_VALUE"""),"เหนือ")</f>
        <v>เหนือ</v>
      </c>
      <c r="AH1287" s="3" t="str">
        <f>IFERROR(__xludf.DUMMYFUNCTION("""COMPUTED_VALUE"""),"#N/A")</f>
        <v>#N/A</v>
      </c>
      <c r="AI1287" s="3" t="str">
        <f>IFERROR(__xludf.DUMMYFUNCTION("""COMPUTED_VALUE"""),"Out of warranty")</f>
        <v>Out of warranty</v>
      </c>
      <c r="AJ1287" s="3">
        <f>IFERROR(__xludf.DUMMYFUNCTION("""COMPUTED_VALUE"""),92.0)</f>
        <v>92</v>
      </c>
      <c r="AK1287" s="3"/>
      <c r="AL1287" s="3"/>
    </row>
    <row r="1288" ht="15.75" customHeight="1">
      <c r="A1288" s="1" t="str">
        <f>IFERROR(__xludf.DUMMYFUNCTION("""COMPUTED_VALUE"""),"21RB075")</f>
        <v>21RB075</v>
      </c>
      <c r="B1288" s="2" t="str">
        <f>IFERROR(__xludf.DUMMYFUNCTION("""COMPUTED_VALUE"""),"21RB075")</f>
        <v>21RB075</v>
      </c>
      <c r="C1288" s="3" t="str">
        <f>IFERROR(__xludf.DUMMYFUNCTION("""COMPUTED_VALUE"""),"CENTRAL CHIDLOM (G Floor)")</f>
        <v>CENTRAL CHIDLOM (G Floor)</v>
      </c>
      <c r="D1288" s="3" t="str">
        <f>IFERROR(__xludf.DUMMYFUNCTION("""COMPUTED_VALUE"""),"เอเซียบุ๊คส บีทูเอส เซ็นทรัล ชิดลม")</f>
        <v>เอเซียบุ๊คส บีทูเอส เซ็นทรัล ชิดลม</v>
      </c>
      <c r="E1288" s="1" t="str">
        <f>IFERROR(__xludf.DUMMYFUNCTION("""COMPUTED_VALUE"""),"AsiaBooks")</f>
        <v>AsiaBooks</v>
      </c>
      <c r="F1288" s="1" t="str">
        <f>IFERROR(__xludf.DUMMYFUNCTION("""COMPUTED_VALUE"""),"1016938")</f>
        <v>1016938</v>
      </c>
      <c r="G1288" s="1" t="str">
        <f>IFERROR(__xludf.DUMMYFUNCTION("""COMPUTED_VALUE"""),"น.ส.ณัฏฐนันท์ ปัญญาสิทธิ์")</f>
        <v>น.ส.ณัฏฐนันท์ ปัญญาสิทธิ์</v>
      </c>
      <c r="H1288" s="1" t="str">
        <f>IFERROR(__xludf.DUMMYFUNCTION("""COMPUTED_VALUE"""),"2010435")</f>
        <v>2010435</v>
      </c>
      <c r="I1288" s="1" t="str">
        <f>IFERROR(__xludf.DUMMYFUNCTION("""COMPUTED_VALUE"""),"น.ส.ลักษณพร เกิดบุญส่ง")</f>
        <v>น.ส.ลักษณพร เกิดบุญส่ง</v>
      </c>
      <c r="J1288" s="3">
        <f>IFERROR(__xludf.DUMMYFUNCTION("""COMPUTED_VALUE"""),1016938.0)</f>
        <v>1016938</v>
      </c>
      <c r="K1288" s="3" t="str">
        <f>IFERROR(__xludf.DUMMYFUNCTION("""COMPUTED_VALUE"""),"น.ส.ณัฏฐนันท์ ปัญญาสิทธิ์")</f>
        <v>น.ส.ณัฏฐนันท์ ปัญญาสิทธิ์</v>
      </c>
      <c r="L1288" s="1" t="str">
        <f>IFERROR(__xludf.DUMMYFUNCTION("""COMPUTED_VALUE"""),"Asia Books")</f>
        <v>Asia Books</v>
      </c>
      <c r="M1288" s="1" t="str">
        <f>IFERROR(__xludf.DUMMYFUNCTION("""COMPUTED_VALUE"""),"0993463946")</f>
        <v>0993463946</v>
      </c>
      <c r="N1288" s="3" t="str">
        <f>IFERROR(__xludf.DUMMYFUNCTION("""COMPUTED_VALUE"""),"21RB075")</f>
        <v>21RB075</v>
      </c>
      <c r="O1288" s="3" t="str">
        <f>IFERROR(__xludf.DUMMYFUNCTION("""COMPUTED_VALUE"""),"CENTRAL CHIDLOM (G Floor)")</f>
        <v>CENTRAL CHIDLOM (G Floor)</v>
      </c>
      <c r="P1288" s="4">
        <f>IFERROR(__xludf.DUMMYFUNCTION("""COMPUTED_VALUE"""),43271.0)</f>
        <v>43271</v>
      </c>
      <c r="Q1288" s="3" t="str">
        <f>IFERROR(__xludf.DUMMYFUNCTION("""COMPUTED_VALUE"""),"A")</f>
        <v>A</v>
      </c>
      <c r="R1288" s="3" t="str">
        <f>IFERROR(__xludf.DUMMYFUNCTION("""COMPUTED_VALUE"""),"Small Format")</f>
        <v>Small Format</v>
      </c>
      <c r="S1288" s="3" t="str">
        <f>IFERROR(__xludf.DUMMYFUNCTION("""COMPUTED_VALUE"""),"AsiaBooks")</f>
        <v>AsiaBooks</v>
      </c>
      <c r="T1288" s="3" t="str">
        <f>IFERROR(__xludf.DUMMYFUNCTION("""COMPUTED_VALUE"""),"Asia Books")</f>
        <v>Asia Books</v>
      </c>
      <c r="U1288" s="3" t="str">
        <f>IFERROR(__xludf.DUMMYFUNCTION("""COMPUTED_VALUE"""),"#N/A")</f>
        <v>#N/A</v>
      </c>
      <c r="V1288" s="3" t="str">
        <f>IFERROR(__xludf.DUMMYFUNCTION("""COMPUTED_VALUE"""),"N")</f>
        <v>N</v>
      </c>
      <c r="W1288" s="3">
        <f>IFERROR(__xludf.DUMMYFUNCTION("""COMPUTED_VALUE"""),0.0)</f>
        <v>0</v>
      </c>
      <c r="X1288" s="3" t="str">
        <f>IFERROR(__xludf.DUMMYFUNCTION("""COMPUTED_VALUE"""),"ชั้น G, ศูนย์การค้าเซ็นทรัลชิดลม เลขที่ 1027 แขวงลุมพินี เขตปทุมวัน กรุงเทพมหานคร 10330")</f>
        <v>ชั้น G, ศูนย์การค้าเซ็นทรัลชิดลม เลขที่ 1027 แขวงลุมพินี เขตปทุมวัน กรุงเทพมหานคร 10330</v>
      </c>
      <c r="Y1288" s="3"/>
      <c r="Z1288" s="3" t="str">
        <f>IFERROR(__xludf.DUMMYFUNCTION("""COMPUTED_VALUE"""),"ลุมพินี")</f>
        <v>ลุมพินี</v>
      </c>
      <c r="AA1288" s="3" t="str">
        <f>IFERROR(__xludf.DUMMYFUNCTION("""COMPUTED_VALUE"""),"ปทุมวัน")</f>
        <v>ปทุมวัน</v>
      </c>
      <c r="AB1288" s="3" t="str">
        <f>IFERROR(__xludf.DUMMYFUNCTION("""COMPUTED_VALUE"""),"กรุงเทพมหานคร")</f>
        <v>กรุงเทพมหานคร</v>
      </c>
      <c r="AC1288" s="3">
        <f>IFERROR(__xludf.DUMMYFUNCTION("""COMPUTED_VALUE"""),10330.0)</f>
        <v>10330</v>
      </c>
      <c r="AD1288" s="3">
        <f>IFERROR(__xludf.DUMMYFUNCTION("""COMPUTED_VALUE"""),13.74463204)</f>
        <v>13.74463204</v>
      </c>
      <c r="AE1288" s="3">
        <f>IFERROR(__xludf.DUMMYFUNCTION("""COMPUTED_VALUE"""),100.5443135)</f>
        <v>100.5443135</v>
      </c>
      <c r="AF1288" s="3" t="str">
        <f>IFERROR(__xludf.DUMMYFUNCTION("""COMPUTED_VALUE"""),"CENTRAL CHIDLOM (G Floor)-21RB075")</f>
        <v>CENTRAL CHIDLOM (G Floor)-21RB075</v>
      </c>
      <c r="AG1288" s="3" t="str">
        <f>IFERROR(__xludf.DUMMYFUNCTION("""COMPUTED_VALUE"""),"กลาง")</f>
        <v>กลาง</v>
      </c>
      <c r="AH1288" s="3" t="str">
        <f>IFERROR(__xludf.DUMMYFUNCTION("""COMPUTED_VALUE"""),"#N/A")</f>
        <v>#N/A</v>
      </c>
      <c r="AI1288" s="3" t="str">
        <f>IFERROR(__xludf.DUMMYFUNCTION("""COMPUTED_VALUE"""),"Out of warranty")</f>
        <v>Out of warranty</v>
      </c>
      <c r="AJ1288" s="3">
        <f>IFERROR(__xludf.DUMMYFUNCTION("""COMPUTED_VALUE"""),92.0)</f>
        <v>92</v>
      </c>
      <c r="AK1288" s="3"/>
      <c r="AL1288" s="3"/>
    </row>
    <row r="1289" ht="15.75" customHeight="1">
      <c r="A1289" s="1" t="str">
        <f>IFERROR(__xludf.DUMMYFUNCTION("""COMPUTED_VALUE"""),"21RB077")</f>
        <v>21RB077</v>
      </c>
      <c r="B1289" s="2" t="str">
        <f>IFERROR(__xludf.DUMMYFUNCTION("""COMPUTED_VALUE"""),"21RB077")</f>
        <v>21RB077</v>
      </c>
      <c r="C1289" s="3" t="str">
        <f>IFERROR(__xludf.DUMMYFUNCTION("""COMPUTED_VALUE"""),"เอเซียบุ๊คส บีเทรนด์ เดอะมอลล์ ท่าพระ")</f>
        <v>เอเซียบุ๊คส บีเทรนด์ เดอะมอลล์ ท่าพระ</v>
      </c>
      <c r="D1289" s="3" t="str">
        <f>IFERROR(__xludf.DUMMYFUNCTION("""COMPUTED_VALUE"""),"ABBK-BTP:BETREND THE MALL THAPRA")</f>
        <v>ABBK-BTP:BETREND THE MALL THAPRA</v>
      </c>
      <c r="E1289" s="1" t="str">
        <f>IFERROR(__xludf.DUMMYFUNCTION("""COMPUTED_VALUE"""),"AsiaBooks")</f>
        <v>AsiaBooks</v>
      </c>
      <c r="F1289" s="1" t="str">
        <f>IFERROR(__xludf.DUMMYFUNCTION("""COMPUTED_VALUE"""),"1016938")</f>
        <v>1016938</v>
      </c>
      <c r="G1289" s="1" t="str">
        <f>IFERROR(__xludf.DUMMYFUNCTION("""COMPUTED_VALUE"""),"น.ส.ณัฏฐนันท์ ปัญญาสิทธิ์")</f>
        <v>น.ส.ณัฏฐนันท์ ปัญญาสิทธิ์</v>
      </c>
      <c r="H1289" s="1" t="str">
        <f>IFERROR(__xludf.DUMMYFUNCTION("""COMPUTED_VALUE"""),"1015537")</f>
        <v>1015537</v>
      </c>
      <c r="I1289" s="1" t="str">
        <f>IFERROR(__xludf.DUMMYFUNCTION("""COMPUTED_VALUE"""),"น.ส.มัญชริน เลื่อนแก้ว")</f>
        <v>น.ส.มัญชริน เลื่อนแก้ว</v>
      </c>
      <c r="J1289" s="3">
        <f>IFERROR(__xludf.DUMMYFUNCTION("""COMPUTED_VALUE"""),1016938.0)</f>
        <v>1016938</v>
      </c>
      <c r="K1289" s="3" t="str">
        <f>IFERROR(__xludf.DUMMYFUNCTION("""COMPUTED_VALUE"""),"น.ส.ณัฏฐนันท์ ปัญญาสิทธิ์")</f>
        <v>น.ส.ณัฏฐนันท์ ปัญญาสิทธิ์</v>
      </c>
      <c r="L1289" s="1" t="str">
        <f>IFERROR(__xludf.DUMMYFUNCTION("""COMPUTED_VALUE"""),"Asia Books")</f>
        <v>Asia Books</v>
      </c>
      <c r="M1289" s="1" t="str">
        <f>IFERROR(__xludf.DUMMYFUNCTION("""COMPUTED_VALUE"""),"0993463946")</f>
        <v>0993463946</v>
      </c>
      <c r="N1289" s="3" t="str">
        <f>IFERROR(__xludf.DUMMYFUNCTION("""COMPUTED_VALUE"""),"21RB077")</f>
        <v>21RB077</v>
      </c>
      <c r="O1289" s="3" t="str">
        <f>IFERROR(__xludf.DUMMYFUNCTION("""COMPUTED_VALUE"""),"เอเซียบุ๊คส บีเทรนด์ เดอะมอลล์ ท่าพระ")</f>
        <v>เอเซียบุ๊คส บีเทรนด์ เดอะมอลล์ ท่าพระ</v>
      </c>
      <c r="P1289" s="4">
        <f>IFERROR(__xludf.DUMMYFUNCTION("""COMPUTED_VALUE"""),43271.0)</f>
        <v>43271</v>
      </c>
      <c r="Q1289" s="3" t="str">
        <f>IFERROR(__xludf.DUMMYFUNCTION("""COMPUTED_VALUE"""),"I")</f>
        <v>I</v>
      </c>
      <c r="R1289" s="3" t="str">
        <f>IFERROR(__xludf.DUMMYFUNCTION("""COMPUTED_VALUE"""),"Small Format")</f>
        <v>Small Format</v>
      </c>
      <c r="S1289" s="3" t="str">
        <f>IFERROR(__xludf.DUMMYFUNCTION("""COMPUTED_VALUE"""),"AsiaBooks")</f>
        <v>AsiaBooks</v>
      </c>
      <c r="T1289" s="3" t="str">
        <f>IFERROR(__xludf.DUMMYFUNCTION("""COMPUTED_VALUE"""),"Asia Books")</f>
        <v>Asia Books</v>
      </c>
      <c r="U1289" s="3" t="str">
        <f>IFERROR(__xludf.DUMMYFUNCTION("""COMPUTED_VALUE"""),"#N/A")</f>
        <v>#N/A</v>
      </c>
      <c r="V1289" s="3" t="str">
        <f>IFERROR(__xludf.DUMMYFUNCTION("""COMPUTED_VALUE"""),"Y")</f>
        <v>Y</v>
      </c>
      <c r="W1289" s="3">
        <f>IFERROR(__xludf.DUMMYFUNCTION("""COMPUTED_VALUE"""),0.0)</f>
        <v>0</v>
      </c>
      <c r="X1289" s="3" t="str">
        <f>IFERROR(__xludf.DUMMYFUNCTION("""COMPUTED_VALUE"""),"ชั้น 4, โซนบีเทรนด์, ศูนย์การค้าเดอะมอลล์ ท่าพระ เลขที่ 99 แขวงบุคคโล เขตธนบุรี กรุงเทพมหานคร 10600")</f>
        <v>ชั้น 4, โซนบีเทรนด์, ศูนย์การค้าเดอะมอลล์ ท่าพระ เลขที่ 99 แขวงบุคคโล เขตธนบุรี กรุงเทพมหานคร 10600</v>
      </c>
      <c r="Y1289" s="3"/>
      <c r="Z1289" s="3" t="str">
        <f>IFERROR(__xludf.DUMMYFUNCTION("""COMPUTED_VALUE"""),"บคคโล")</f>
        <v>บคคโล</v>
      </c>
      <c r="AA1289" s="3" t="str">
        <f>IFERROR(__xludf.DUMMYFUNCTION("""COMPUTED_VALUE"""),"ธนบุรี")</f>
        <v>ธนบุรี</v>
      </c>
      <c r="AB1289" s="3" t="str">
        <f>IFERROR(__xludf.DUMMYFUNCTION("""COMPUTED_VALUE"""),"กรุงเทพมหานคร")</f>
        <v>กรุงเทพมหานคร</v>
      </c>
      <c r="AC1289" s="3">
        <f>IFERROR(__xludf.DUMMYFUNCTION("""COMPUTED_VALUE"""),10600.0)</f>
        <v>10600</v>
      </c>
      <c r="AD1289" s="3">
        <f>IFERROR(__xludf.DUMMYFUNCTION("""COMPUTED_VALUE"""),0.0)</f>
        <v>0</v>
      </c>
      <c r="AE1289" s="3">
        <f>IFERROR(__xludf.DUMMYFUNCTION("""COMPUTED_VALUE"""),0.0)</f>
        <v>0</v>
      </c>
      <c r="AF1289" s="3" t="str">
        <f>IFERROR(__xludf.DUMMYFUNCTION("""COMPUTED_VALUE"""),"เอเซียบุ๊คส บีเทรนด์ เดอะมอลล์ ท่าพระ-21RB077")</f>
        <v>เอเซียบุ๊คส บีเทรนด์ เดอะมอลล์ ท่าพระ-21RB077</v>
      </c>
      <c r="AG1289" s="3" t="str">
        <f>IFERROR(__xludf.DUMMYFUNCTION("""COMPUTED_VALUE"""),"กลาง")</f>
        <v>กลาง</v>
      </c>
      <c r="AH1289" s="3" t="str">
        <f>IFERROR(__xludf.DUMMYFUNCTION("""COMPUTED_VALUE"""),"#N/A")</f>
        <v>#N/A</v>
      </c>
      <c r="AI1289" s="3" t="str">
        <f>IFERROR(__xludf.DUMMYFUNCTION("""COMPUTED_VALUE"""),"Out of warranty")</f>
        <v>Out of warranty</v>
      </c>
      <c r="AJ1289" s="3">
        <f>IFERROR(__xludf.DUMMYFUNCTION("""COMPUTED_VALUE"""),92.0)</f>
        <v>92</v>
      </c>
      <c r="AK1289" s="3"/>
      <c r="AL1289" s="3"/>
    </row>
    <row r="1290" ht="15.75" customHeight="1">
      <c r="A1290" s="1" t="str">
        <f>IFERROR(__xludf.DUMMYFUNCTION("""COMPUTED_VALUE"""),"21RB078")</f>
        <v>21RB078</v>
      </c>
      <c r="B1290" s="2" t="str">
        <f>IFERROR(__xludf.DUMMYFUNCTION("""COMPUTED_VALUE"""),"21RB078")</f>
        <v>21RB078</v>
      </c>
      <c r="C1290" s="3" t="str">
        <f>IFERROR(__xludf.DUMMYFUNCTION("""COMPUTED_VALUE"""),"Central Phuket")</f>
        <v>Central Phuket</v>
      </c>
      <c r="D1290" s="3" t="str">
        <f>IFERROR(__xludf.DUMMYFUNCTION("""COMPUTED_VALUE"""),"เอเซียบุ๊คส เซ็นทรัลภูเก็ต")</f>
        <v>เอเซียบุ๊คส เซ็นทรัลภูเก็ต</v>
      </c>
      <c r="E1290" s="1" t="str">
        <f>IFERROR(__xludf.DUMMYFUNCTION("""COMPUTED_VALUE"""),"AsiaBooks")</f>
        <v>AsiaBooks</v>
      </c>
      <c r="F1290" s="1" t="str">
        <f>IFERROR(__xludf.DUMMYFUNCTION("""COMPUTED_VALUE"""),"1016938")</f>
        <v>1016938</v>
      </c>
      <c r="G1290" s="1" t="str">
        <f>IFERROR(__xludf.DUMMYFUNCTION("""COMPUTED_VALUE"""),"น.ส.ณัฏฐนันท์ ปัญญาสิทธิ์")</f>
        <v>น.ส.ณัฏฐนันท์ ปัญญาสิทธิ์</v>
      </c>
      <c r="H1290" s="1" t="str">
        <f>IFERROR(__xludf.DUMMYFUNCTION("""COMPUTED_VALUE"""),"1015537")</f>
        <v>1015537</v>
      </c>
      <c r="I1290" s="1" t="str">
        <f>IFERROR(__xludf.DUMMYFUNCTION("""COMPUTED_VALUE"""),"น.ส.มัญชริน เลื่อนแก้ว")</f>
        <v>น.ส.มัญชริน เลื่อนแก้ว</v>
      </c>
      <c r="J1290" s="3">
        <f>IFERROR(__xludf.DUMMYFUNCTION("""COMPUTED_VALUE"""),1016938.0)</f>
        <v>1016938</v>
      </c>
      <c r="K1290" s="3" t="str">
        <f>IFERROR(__xludf.DUMMYFUNCTION("""COMPUTED_VALUE"""),"น.ส.ณัฏฐนันท์ ปัญญาสิทธิ์")</f>
        <v>น.ส.ณัฏฐนันท์ ปัญญาสิทธิ์</v>
      </c>
      <c r="L1290" s="1" t="str">
        <f>IFERROR(__xludf.DUMMYFUNCTION("""COMPUTED_VALUE"""),"Asia Books")</f>
        <v>Asia Books</v>
      </c>
      <c r="M1290" s="1" t="str">
        <f>IFERROR(__xludf.DUMMYFUNCTION("""COMPUTED_VALUE"""),"0993463946")</f>
        <v>0993463946</v>
      </c>
      <c r="N1290" s="3" t="str">
        <f>IFERROR(__xludf.DUMMYFUNCTION("""COMPUTED_VALUE"""),"21RB078")</f>
        <v>21RB078</v>
      </c>
      <c r="O1290" s="3" t="str">
        <f>IFERROR(__xludf.DUMMYFUNCTION("""COMPUTED_VALUE"""),"Central Phuket")</f>
        <v>Central Phuket</v>
      </c>
      <c r="P1290" s="4">
        <f>IFERROR(__xludf.DUMMYFUNCTION("""COMPUTED_VALUE"""),43271.0)</f>
        <v>43271</v>
      </c>
      <c r="Q1290" s="3" t="str">
        <f>IFERROR(__xludf.DUMMYFUNCTION("""COMPUTED_VALUE"""),"A")</f>
        <v>A</v>
      </c>
      <c r="R1290" s="3" t="str">
        <f>IFERROR(__xludf.DUMMYFUNCTION("""COMPUTED_VALUE"""),"Small Format")</f>
        <v>Small Format</v>
      </c>
      <c r="S1290" s="3" t="str">
        <f>IFERROR(__xludf.DUMMYFUNCTION("""COMPUTED_VALUE"""),"AsiaBooks")</f>
        <v>AsiaBooks</v>
      </c>
      <c r="T1290" s="3" t="str">
        <f>IFERROR(__xludf.DUMMYFUNCTION("""COMPUTED_VALUE"""),"Asia Books")</f>
        <v>Asia Books</v>
      </c>
      <c r="U1290" s="3" t="str">
        <f>IFERROR(__xludf.DUMMYFUNCTION("""COMPUTED_VALUE"""),"#N/A")</f>
        <v>#N/A</v>
      </c>
      <c r="V1290" s="3" t="str">
        <f>IFERROR(__xludf.DUMMYFUNCTION("""COMPUTED_VALUE"""),"N")</f>
        <v>N</v>
      </c>
      <c r="W1290" s="3">
        <f>IFERROR(__xludf.DUMMYFUNCTION("""COMPUTED_VALUE"""),0.0)</f>
        <v>0</v>
      </c>
      <c r="X1290" s="3" t="str">
        <f>IFERROR(__xludf.DUMMYFUNCTION("""COMPUTED_VALUE"""),"ชั้น 2 ห้องเลขที่ 219/5, ศูนย์การค้าเซ็นทรัลภูเก็ตฟลอเรสต้า เลขที่ 199 ตำบลวิชิต อำเภอเมืองภูเก็ต ภูเก็ต 83000")</f>
        <v>ชั้น 2 ห้องเลขที่ 219/5, ศูนย์การค้าเซ็นทรัลภูเก็ตฟลอเรสต้า เลขที่ 199 ตำบลวิชิต อำเภอเมืองภูเก็ต ภูเก็ต 83000</v>
      </c>
      <c r="Y1290" s="3"/>
      <c r="Z1290" s="3" t="str">
        <f>IFERROR(__xludf.DUMMYFUNCTION("""COMPUTED_VALUE"""),"วิชิต")</f>
        <v>วิชิต</v>
      </c>
      <c r="AA1290" s="3" t="str">
        <f>IFERROR(__xludf.DUMMYFUNCTION("""COMPUTED_VALUE"""),"เมือง")</f>
        <v>เมือง</v>
      </c>
      <c r="AB1290" s="3" t="str">
        <f>IFERROR(__xludf.DUMMYFUNCTION("""COMPUTED_VALUE"""),"ภูเก็ต")</f>
        <v>ภูเก็ต</v>
      </c>
      <c r="AC1290" s="3">
        <f>IFERROR(__xludf.DUMMYFUNCTION("""COMPUTED_VALUE"""),83000.0)</f>
        <v>83000</v>
      </c>
      <c r="AD1290" s="3">
        <f>IFERROR(__xludf.DUMMYFUNCTION("""COMPUTED_VALUE"""),0.0)</f>
        <v>0</v>
      </c>
      <c r="AE1290" s="3">
        <f>IFERROR(__xludf.DUMMYFUNCTION("""COMPUTED_VALUE"""),0.0)</f>
        <v>0</v>
      </c>
      <c r="AF1290" s="3" t="str">
        <f>IFERROR(__xludf.DUMMYFUNCTION("""COMPUTED_VALUE"""),"Central Phuket-21RB078")</f>
        <v>Central Phuket-21RB078</v>
      </c>
      <c r="AG1290" s="3" t="str">
        <f>IFERROR(__xludf.DUMMYFUNCTION("""COMPUTED_VALUE"""),"ใต้")</f>
        <v>ใต้</v>
      </c>
      <c r="AH1290" s="3" t="str">
        <f>IFERROR(__xludf.DUMMYFUNCTION("""COMPUTED_VALUE"""),"#N/A")</f>
        <v>#N/A</v>
      </c>
      <c r="AI1290" s="3" t="str">
        <f>IFERROR(__xludf.DUMMYFUNCTION("""COMPUTED_VALUE"""),"Out of warranty")</f>
        <v>Out of warranty</v>
      </c>
      <c r="AJ1290" s="3">
        <f>IFERROR(__xludf.DUMMYFUNCTION("""COMPUTED_VALUE"""),92.0)</f>
        <v>92</v>
      </c>
      <c r="AK1290" s="3"/>
      <c r="AL1290" s="3"/>
    </row>
    <row r="1291" ht="15.75" customHeight="1">
      <c r="A1291" s="1" t="str">
        <f>IFERROR(__xludf.DUMMYFUNCTION("""COMPUTED_VALUE"""),"21RB079")</f>
        <v>21RB079</v>
      </c>
      <c r="B1291" s="2" t="str">
        <f>IFERROR(__xludf.DUMMYFUNCTION("""COMPUTED_VALUE"""),"21RB079")</f>
        <v>21RB079</v>
      </c>
      <c r="C1291" s="3" t="str">
        <f>IFERROR(__xludf.DUMMYFUNCTION("""COMPUTED_VALUE"""),"เอเซียบุ๊คส สนามบินภูเก็ต ดีดี2")</f>
        <v>เอเซียบุ๊คส สนามบินภูเก็ต ดีดี2</v>
      </c>
      <c r="D1291" s="3" t="str">
        <f>IFERROR(__xludf.DUMMYFUNCTION("""COMPUTED_VALUE"""),"ABPK-DD2:PHUKET INT,L AIRPT")</f>
        <v>ABPK-DD2:PHUKET INT,L AIRPT</v>
      </c>
      <c r="E1291" s="1" t="str">
        <f>IFERROR(__xludf.DUMMYFUNCTION("""COMPUTED_VALUE"""),"AsiaBooks")</f>
        <v>AsiaBooks</v>
      </c>
      <c r="F1291" s="1" t="str">
        <f>IFERROR(__xludf.DUMMYFUNCTION("""COMPUTED_VALUE"""),"1016938")</f>
        <v>1016938</v>
      </c>
      <c r="G1291" s="1" t="str">
        <f>IFERROR(__xludf.DUMMYFUNCTION("""COMPUTED_VALUE"""),"น.ส.ณัฏฐนันท์ ปัญญาสิทธิ์")</f>
        <v>น.ส.ณัฏฐนันท์ ปัญญาสิทธิ์</v>
      </c>
      <c r="H1291" s="1" t="str">
        <f>IFERROR(__xludf.DUMMYFUNCTION("""COMPUTED_VALUE"""),"1015537")</f>
        <v>1015537</v>
      </c>
      <c r="I1291" s="1" t="str">
        <f>IFERROR(__xludf.DUMMYFUNCTION("""COMPUTED_VALUE"""),"น.ส.มัญชริน เลื่อนแก้ว")</f>
        <v>น.ส.มัญชริน เลื่อนแก้ว</v>
      </c>
      <c r="J1291" s="3">
        <f>IFERROR(__xludf.DUMMYFUNCTION("""COMPUTED_VALUE"""),1016938.0)</f>
        <v>1016938</v>
      </c>
      <c r="K1291" s="3" t="str">
        <f>IFERROR(__xludf.DUMMYFUNCTION("""COMPUTED_VALUE"""),"น.ส.ณัฏฐนันท์ ปัญญาสิทธิ์")</f>
        <v>น.ส.ณัฏฐนันท์ ปัญญาสิทธิ์</v>
      </c>
      <c r="L1291" s="1" t="str">
        <f>IFERROR(__xludf.DUMMYFUNCTION("""COMPUTED_VALUE"""),"Asia Books")</f>
        <v>Asia Books</v>
      </c>
      <c r="M1291" s="1" t="str">
        <f>IFERROR(__xludf.DUMMYFUNCTION("""COMPUTED_VALUE"""),"0993463946")</f>
        <v>0993463946</v>
      </c>
      <c r="N1291" s="3" t="str">
        <f>IFERROR(__xludf.DUMMYFUNCTION("""COMPUTED_VALUE"""),"21RB079")</f>
        <v>21RB079</v>
      </c>
      <c r="O1291" s="3" t="str">
        <f>IFERROR(__xludf.DUMMYFUNCTION("""COMPUTED_VALUE"""),"เอเซียบุ๊คส สนามบินภูเก็ต ดีดี2")</f>
        <v>เอเซียบุ๊คส สนามบินภูเก็ต ดีดี2</v>
      </c>
      <c r="P1291" s="4">
        <f>IFERROR(__xludf.DUMMYFUNCTION("""COMPUTED_VALUE"""),43271.0)</f>
        <v>43271</v>
      </c>
      <c r="Q1291" s="3" t="str">
        <f>IFERROR(__xludf.DUMMYFUNCTION("""COMPUTED_VALUE"""),"I")</f>
        <v>I</v>
      </c>
      <c r="R1291" s="3" t="str">
        <f>IFERROR(__xludf.DUMMYFUNCTION("""COMPUTED_VALUE"""),"Small Format")</f>
        <v>Small Format</v>
      </c>
      <c r="S1291" s="3" t="str">
        <f>IFERROR(__xludf.DUMMYFUNCTION("""COMPUTED_VALUE"""),"AsiaBooks")</f>
        <v>AsiaBooks</v>
      </c>
      <c r="T1291" s="3" t="str">
        <f>IFERROR(__xludf.DUMMYFUNCTION("""COMPUTED_VALUE"""),"Asia Books")</f>
        <v>Asia Books</v>
      </c>
      <c r="U1291" s="3" t="str">
        <f>IFERROR(__xludf.DUMMYFUNCTION("""COMPUTED_VALUE"""),"#N/A")</f>
        <v>#N/A</v>
      </c>
      <c r="V1291" s="3" t="str">
        <f>IFERROR(__xludf.DUMMYFUNCTION("""COMPUTED_VALUE"""),"Y")</f>
        <v>Y</v>
      </c>
      <c r="W1291" s="3">
        <f>IFERROR(__xludf.DUMMYFUNCTION("""COMPUTED_VALUE"""),0.0)</f>
        <v>0</v>
      </c>
      <c r="X1291" s="3" t="str">
        <f>IFERROR(__xludf.DUMMYFUNCTION("""COMPUTED_VALUE"""),"ชั้น 2 ห้องเลขที่ 265, ท่าอากาศยานนานาชาติภูเก็ต โซนขาออกภายในประเทศ เลขที่ 222 ตำบลไม้ขาว อำเภอถลาง ภูเก็ต 83000")</f>
        <v>ชั้น 2 ห้องเลขที่ 265, ท่าอากาศยานนานาชาติภูเก็ต โซนขาออกภายในประเทศ เลขที่ 222 ตำบลไม้ขาว อำเภอถลาง ภูเก็ต 83000</v>
      </c>
      <c r="Y1291" s="3"/>
      <c r="Z1291" s="3" t="str">
        <f>IFERROR(__xludf.DUMMYFUNCTION("""COMPUTED_VALUE"""),"ไม้ขาว")</f>
        <v>ไม้ขาว</v>
      </c>
      <c r="AA1291" s="3" t="str">
        <f>IFERROR(__xludf.DUMMYFUNCTION("""COMPUTED_VALUE"""),"ถลาง")</f>
        <v>ถลาง</v>
      </c>
      <c r="AB1291" s="3" t="str">
        <f>IFERROR(__xludf.DUMMYFUNCTION("""COMPUTED_VALUE"""),"ภูเก็ต")</f>
        <v>ภูเก็ต</v>
      </c>
      <c r="AC1291" s="3">
        <f>IFERROR(__xludf.DUMMYFUNCTION("""COMPUTED_VALUE"""),83000.0)</f>
        <v>83000</v>
      </c>
      <c r="AD1291" s="3">
        <f>IFERROR(__xludf.DUMMYFUNCTION("""COMPUTED_VALUE"""),0.0)</f>
        <v>0</v>
      </c>
      <c r="AE1291" s="3">
        <f>IFERROR(__xludf.DUMMYFUNCTION("""COMPUTED_VALUE"""),0.0)</f>
        <v>0</v>
      </c>
      <c r="AF1291" s="3" t="str">
        <f>IFERROR(__xludf.DUMMYFUNCTION("""COMPUTED_VALUE"""),"เอเซียบุ๊คส สนามบินภูเก็ต ดีดี2-21RB079")</f>
        <v>เอเซียบุ๊คส สนามบินภูเก็ต ดีดี2-21RB079</v>
      </c>
      <c r="AG1291" s="3" t="str">
        <f>IFERROR(__xludf.DUMMYFUNCTION("""COMPUTED_VALUE"""),"ใต้")</f>
        <v>ใต้</v>
      </c>
      <c r="AH1291" s="3" t="str">
        <f>IFERROR(__xludf.DUMMYFUNCTION("""COMPUTED_VALUE"""),"#N/A")</f>
        <v>#N/A</v>
      </c>
      <c r="AI1291" s="3" t="str">
        <f>IFERROR(__xludf.DUMMYFUNCTION("""COMPUTED_VALUE"""),"Out of warranty")</f>
        <v>Out of warranty</v>
      </c>
      <c r="AJ1291" s="3">
        <f>IFERROR(__xludf.DUMMYFUNCTION("""COMPUTED_VALUE"""),92.0)</f>
        <v>92</v>
      </c>
      <c r="AK1291" s="3"/>
      <c r="AL1291" s="3"/>
    </row>
    <row r="1292" ht="15.75" customHeight="1">
      <c r="A1292" s="1" t="str">
        <f>IFERROR(__xludf.DUMMYFUNCTION("""COMPUTED_VALUE"""),"21RB080")</f>
        <v>21RB080</v>
      </c>
      <c r="B1292" s="2" t="str">
        <f>IFERROR(__xludf.DUMMYFUNCTION("""COMPUTED_VALUE"""),"21RB080")</f>
        <v>21RB080</v>
      </c>
      <c r="C1292" s="3" t="str">
        <f>IFERROR(__xludf.DUMMYFUNCTION("""COMPUTED_VALUE"""),"AB-SIS:PORTO DE PHUKET")</f>
        <v>AB-SIS:PORTO DE PHUKET</v>
      </c>
      <c r="D1292" s="3" t="str">
        <f>IFERROR(__xludf.DUMMYFUNCTION("""COMPUTED_VALUE"""),"เอเซียบุ๊คส บีทูเอส ปอร์โต เดอ ภูเก็ต")</f>
        <v>เอเซียบุ๊คส บีทูเอส ปอร์โต เดอ ภูเก็ต</v>
      </c>
      <c r="E1292" s="1" t="str">
        <f>IFERROR(__xludf.DUMMYFUNCTION("""COMPUTED_VALUE"""),"AsiaBooks")</f>
        <v>AsiaBooks</v>
      </c>
      <c r="F1292" s="1" t="str">
        <f>IFERROR(__xludf.DUMMYFUNCTION("""COMPUTED_VALUE"""),"1016938")</f>
        <v>1016938</v>
      </c>
      <c r="G1292" s="1" t="str">
        <f>IFERROR(__xludf.DUMMYFUNCTION("""COMPUTED_VALUE"""),"น.ส.ณัฏฐนันท์ ปัญญาสิทธิ์")</f>
        <v>น.ส.ณัฏฐนันท์ ปัญญาสิทธิ์</v>
      </c>
      <c r="H1292" s="1" t="str">
        <f>IFERROR(__xludf.DUMMYFUNCTION("""COMPUTED_VALUE"""),"1015537")</f>
        <v>1015537</v>
      </c>
      <c r="I1292" s="1" t="str">
        <f>IFERROR(__xludf.DUMMYFUNCTION("""COMPUTED_VALUE"""),"น.ส.มัญชริน เลื่อนแก้ว")</f>
        <v>น.ส.มัญชริน เลื่อนแก้ว</v>
      </c>
      <c r="J1292" s="3">
        <f>IFERROR(__xludf.DUMMYFUNCTION("""COMPUTED_VALUE"""),1016938.0)</f>
        <v>1016938</v>
      </c>
      <c r="K1292" s="3" t="str">
        <f>IFERROR(__xludf.DUMMYFUNCTION("""COMPUTED_VALUE"""),"น.ส.ณัฏฐนันท์ ปัญญาสิทธิ์")</f>
        <v>น.ส.ณัฏฐนันท์ ปัญญาสิทธิ์</v>
      </c>
      <c r="L1292" s="1" t="str">
        <f>IFERROR(__xludf.DUMMYFUNCTION("""COMPUTED_VALUE"""),"Asia Books")</f>
        <v>Asia Books</v>
      </c>
      <c r="M1292" s="1" t="str">
        <f>IFERROR(__xludf.DUMMYFUNCTION("""COMPUTED_VALUE"""),"0993463946")</f>
        <v>0993463946</v>
      </c>
      <c r="N1292" s="3" t="str">
        <f>IFERROR(__xludf.DUMMYFUNCTION("""COMPUTED_VALUE"""),"21RB080")</f>
        <v>21RB080</v>
      </c>
      <c r="O1292" s="3" t="str">
        <f>IFERROR(__xludf.DUMMYFUNCTION("""COMPUTED_VALUE"""),"AB-SIS:PORTO DE PHUKET")</f>
        <v>AB-SIS:PORTO DE PHUKET</v>
      </c>
      <c r="P1292" s="4">
        <f>IFERROR(__xludf.DUMMYFUNCTION("""COMPUTED_VALUE"""),43271.0)</f>
        <v>43271</v>
      </c>
      <c r="Q1292" s="3" t="str">
        <f>IFERROR(__xludf.DUMMYFUNCTION("""COMPUTED_VALUE"""),"A")</f>
        <v>A</v>
      </c>
      <c r="R1292" s="3" t="str">
        <f>IFERROR(__xludf.DUMMYFUNCTION("""COMPUTED_VALUE"""),"Small Format")</f>
        <v>Small Format</v>
      </c>
      <c r="S1292" s="3" t="str">
        <f>IFERROR(__xludf.DUMMYFUNCTION("""COMPUTED_VALUE"""),"AsiaBooks")</f>
        <v>AsiaBooks</v>
      </c>
      <c r="T1292" s="3" t="str">
        <f>IFERROR(__xludf.DUMMYFUNCTION("""COMPUTED_VALUE"""),"Asia Books")</f>
        <v>Asia Books</v>
      </c>
      <c r="U1292" s="3" t="str">
        <f>IFERROR(__xludf.DUMMYFUNCTION("""COMPUTED_VALUE"""),"#N/A")</f>
        <v>#N/A</v>
      </c>
      <c r="V1292" s="3" t="str">
        <f>IFERROR(__xludf.DUMMYFUNCTION("""COMPUTED_VALUE"""),"N")</f>
        <v>N</v>
      </c>
      <c r="W1292" s="3"/>
      <c r="X1292" s="3" t="str">
        <f>IFERROR(__xludf.DUMMYFUNCTION("""COMPUTED_VALUE"""),"Porto De PhuketRoom 302, 1st Flr.,19/1-19/6Ban Don-Choeng Thale Rd., Choeng ThaleThalang83100")</f>
        <v>Porto De PhuketRoom 302, 1st Flr.,19/1-19/6Ban Don-Choeng Thale Rd., Choeng ThaleThalang83100</v>
      </c>
      <c r="Y1292" s="3"/>
      <c r="Z1292" s="3"/>
      <c r="AA1292" s="3" t="str">
        <f>IFERROR(__xludf.DUMMYFUNCTION("""COMPUTED_VALUE"""),"ถลาง")</f>
        <v>ถลาง</v>
      </c>
      <c r="AB1292" s="3" t="str">
        <f>IFERROR(__xludf.DUMMYFUNCTION("""COMPUTED_VALUE"""),"ภูเก็ต")</f>
        <v>ภูเก็ต</v>
      </c>
      <c r="AC1292" s="3">
        <f>IFERROR(__xludf.DUMMYFUNCTION("""COMPUTED_VALUE"""),83100.0)</f>
        <v>83100</v>
      </c>
      <c r="AD1292" s="3">
        <f>IFERROR(__xludf.DUMMYFUNCTION("""COMPUTED_VALUE"""),7.992131241)</f>
        <v>7.992131241</v>
      </c>
      <c r="AE1292" s="3">
        <f>IFERROR(__xludf.DUMMYFUNCTION("""COMPUTED_VALUE"""),98.30529822)</f>
        <v>98.30529822</v>
      </c>
      <c r="AF1292" s="3" t="str">
        <f>IFERROR(__xludf.DUMMYFUNCTION("""COMPUTED_VALUE"""),"AB-SIS:PORTO DE PHUKET-21RB080")</f>
        <v>AB-SIS:PORTO DE PHUKET-21RB080</v>
      </c>
      <c r="AG1292" s="3" t="str">
        <f>IFERROR(__xludf.DUMMYFUNCTION("""COMPUTED_VALUE"""),"ใต้")</f>
        <v>ใต้</v>
      </c>
      <c r="AH1292" s="3" t="str">
        <f>IFERROR(__xludf.DUMMYFUNCTION("""COMPUTED_VALUE"""),"#N/A")</f>
        <v>#N/A</v>
      </c>
      <c r="AI1292" s="3" t="str">
        <f>IFERROR(__xludf.DUMMYFUNCTION("""COMPUTED_VALUE"""),"Out of warranty")</f>
        <v>Out of warranty</v>
      </c>
      <c r="AJ1292" s="3">
        <f>IFERROR(__xludf.DUMMYFUNCTION("""COMPUTED_VALUE"""),92.0)</f>
        <v>92</v>
      </c>
      <c r="AK1292" s="3"/>
      <c r="AL1292" s="3"/>
    </row>
    <row r="1293" ht="15.75" customHeight="1">
      <c r="A1293" s="1" t="str">
        <f>IFERROR(__xludf.DUMMYFUNCTION("""COMPUTED_VALUE"""),"21RB081")</f>
        <v>21RB081</v>
      </c>
      <c r="B1293" s="2" t="str">
        <f>IFERROR(__xludf.DUMMYFUNCTION("""COMPUTED_VALUE"""),"21RB081")</f>
        <v>21RB081</v>
      </c>
      <c r="C1293" s="3" t="str">
        <f>IFERROR(__xludf.DUMMYFUNCTION("""COMPUTED_VALUE"""),"AB-SIS:ROBINSON KHONKEAN")</f>
        <v>AB-SIS:ROBINSON KHONKEAN</v>
      </c>
      <c r="D1293" s="3" t="str">
        <f>IFERROR(__xludf.DUMMYFUNCTION("""COMPUTED_VALUE"""),"เอเซียบุ๊คส บีทูเอส โรบินสัน ขอนแก่น")</f>
        <v>เอเซียบุ๊คส บีทูเอส โรบินสัน ขอนแก่น</v>
      </c>
      <c r="E1293" s="1" t="str">
        <f>IFERROR(__xludf.DUMMYFUNCTION("""COMPUTED_VALUE"""),"AsiaBooks")</f>
        <v>AsiaBooks</v>
      </c>
      <c r="F1293" s="1" t="str">
        <f>IFERROR(__xludf.DUMMYFUNCTION("""COMPUTED_VALUE"""),"1016938")</f>
        <v>1016938</v>
      </c>
      <c r="G1293" s="1" t="str">
        <f>IFERROR(__xludf.DUMMYFUNCTION("""COMPUTED_VALUE"""),"น.ส.ณัฏฐนันท์ ปัญญาสิทธิ์")</f>
        <v>น.ส.ณัฏฐนันท์ ปัญญาสิทธิ์</v>
      </c>
      <c r="H1293" s="1" t="str">
        <f>IFERROR(__xludf.DUMMYFUNCTION("""COMPUTED_VALUE"""),"1015594")</f>
        <v>1015594</v>
      </c>
      <c r="I1293" s="1" t="str">
        <f>IFERROR(__xludf.DUMMYFUNCTION("""COMPUTED_VALUE"""),"น.ส.อาพัทยา ยะอุโมงค์")</f>
        <v>น.ส.อาพัทยา ยะอุโมงค์</v>
      </c>
      <c r="J1293" s="3">
        <f>IFERROR(__xludf.DUMMYFUNCTION("""COMPUTED_VALUE"""),1016938.0)</f>
        <v>1016938</v>
      </c>
      <c r="K1293" s="3" t="str">
        <f>IFERROR(__xludf.DUMMYFUNCTION("""COMPUTED_VALUE"""),"น.ส.ณัฏฐนันท์ ปัญญาสิทธิ์")</f>
        <v>น.ส.ณัฏฐนันท์ ปัญญาสิทธิ์</v>
      </c>
      <c r="L1293" s="1" t="str">
        <f>IFERROR(__xludf.DUMMYFUNCTION("""COMPUTED_VALUE"""),"Asia Books")</f>
        <v>Asia Books</v>
      </c>
      <c r="M1293" s="1" t="str">
        <f>IFERROR(__xludf.DUMMYFUNCTION("""COMPUTED_VALUE"""),"0993463946")</f>
        <v>0993463946</v>
      </c>
      <c r="N1293" s="3" t="str">
        <f>IFERROR(__xludf.DUMMYFUNCTION("""COMPUTED_VALUE"""),"21RB081")</f>
        <v>21RB081</v>
      </c>
      <c r="O1293" s="3" t="str">
        <f>IFERROR(__xludf.DUMMYFUNCTION("""COMPUTED_VALUE"""),"AB-SIS:ROBINSON KHONKEAN")</f>
        <v>AB-SIS:ROBINSON KHONKEAN</v>
      </c>
      <c r="P1293" s="4">
        <f>IFERROR(__xludf.DUMMYFUNCTION("""COMPUTED_VALUE"""),43271.0)</f>
        <v>43271</v>
      </c>
      <c r="Q1293" s="3" t="str">
        <f>IFERROR(__xludf.DUMMYFUNCTION("""COMPUTED_VALUE"""),"A")</f>
        <v>A</v>
      </c>
      <c r="R1293" s="3" t="str">
        <f>IFERROR(__xludf.DUMMYFUNCTION("""COMPUTED_VALUE"""),"Small Format")</f>
        <v>Small Format</v>
      </c>
      <c r="S1293" s="3" t="str">
        <f>IFERROR(__xludf.DUMMYFUNCTION("""COMPUTED_VALUE"""),"AsiaBooks")</f>
        <v>AsiaBooks</v>
      </c>
      <c r="T1293" s="3" t="str">
        <f>IFERROR(__xludf.DUMMYFUNCTION("""COMPUTED_VALUE"""),"Asia Books")</f>
        <v>Asia Books</v>
      </c>
      <c r="U1293" s="3" t="str">
        <f>IFERROR(__xludf.DUMMYFUNCTION("""COMPUTED_VALUE"""),"#N/A")</f>
        <v>#N/A</v>
      </c>
      <c r="V1293" s="3" t="str">
        <f>IFERROR(__xludf.DUMMYFUNCTION("""COMPUTED_VALUE"""),"N")</f>
        <v>N</v>
      </c>
      <c r="W1293" s="3"/>
      <c r="X1293" s="3" t="str">
        <f>IFERROR(__xludf.DUMMYFUNCTION("""COMPUTED_VALUE"""),"Robinson Khonkean, G Floor 99/2Srichan RoadNai Muang, MuangKhonkean40000")</f>
        <v>Robinson Khonkean, G Floor 99/2Srichan RoadNai Muang, MuangKhonkean40000</v>
      </c>
      <c r="Y1293" s="3"/>
      <c r="Z1293" s="3"/>
      <c r="AA1293" s="3" t="str">
        <f>IFERROR(__xludf.DUMMYFUNCTION("""COMPUTED_VALUE"""),"เมืองขอนแก่น")</f>
        <v>เมืองขอนแก่น</v>
      </c>
      <c r="AB1293" s="3" t="str">
        <f>IFERROR(__xludf.DUMMYFUNCTION("""COMPUTED_VALUE"""),"ขอนแก่น")</f>
        <v>ขอนแก่น</v>
      </c>
      <c r="AC1293" s="3">
        <f>IFERROR(__xludf.DUMMYFUNCTION("""COMPUTED_VALUE"""),40000.0)</f>
        <v>40000</v>
      </c>
      <c r="AD1293" s="3">
        <f>IFERROR(__xludf.DUMMYFUNCTION("""COMPUTED_VALUE"""),16.43339015)</f>
        <v>16.43339015</v>
      </c>
      <c r="AE1293" s="3">
        <f>IFERROR(__xludf.DUMMYFUNCTION("""COMPUTED_VALUE"""),102.82656)</f>
        <v>102.82656</v>
      </c>
      <c r="AF1293" s="3" t="str">
        <f>IFERROR(__xludf.DUMMYFUNCTION("""COMPUTED_VALUE"""),"AB-SIS:ROBINSON KHONKEAN-21RB081")</f>
        <v>AB-SIS:ROBINSON KHONKEAN-21RB081</v>
      </c>
      <c r="AG1293" s="3" t="str">
        <f>IFERROR(__xludf.DUMMYFUNCTION("""COMPUTED_VALUE"""),"ตะวันออกเฉียงเหนือ")</f>
        <v>ตะวันออกเฉียงเหนือ</v>
      </c>
      <c r="AH1293" s="3" t="str">
        <f>IFERROR(__xludf.DUMMYFUNCTION("""COMPUTED_VALUE"""),"#N/A")</f>
        <v>#N/A</v>
      </c>
      <c r="AI1293" s="3" t="str">
        <f>IFERROR(__xludf.DUMMYFUNCTION("""COMPUTED_VALUE"""),"Out of warranty")</f>
        <v>Out of warranty</v>
      </c>
      <c r="AJ1293" s="3">
        <f>IFERROR(__xludf.DUMMYFUNCTION("""COMPUTED_VALUE"""),92.0)</f>
        <v>92</v>
      </c>
      <c r="AK1293" s="3"/>
      <c r="AL1293" s="3"/>
    </row>
    <row r="1294" ht="15.75" customHeight="1">
      <c r="A1294" s="1" t="str">
        <f>IFERROR(__xludf.DUMMYFUNCTION("""COMPUTED_VALUE"""),"21RB082")</f>
        <v>21RB082</v>
      </c>
      <c r="B1294" s="2" t="str">
        <f>IFERROR(__xludf.DUMMYFUNCTION("""COMPUTED_VALUE"""),"21RB082")</f>
        <v>21RB082</v>
      </c>
      <c r="C1294" s="3" t="str">
        <f>IFERROR(__xludf.DUMMYFUNCTION("""COMPUTED_VALUE"""),"AB-Central EastVille")</f>
        <v>AB-Central EastVille</v>
      </c>
      <c r="D1294" s="3" t="str">
        <f>IFERROR(__xludf.DUMMYFUNCTION("""COMPUTED_VALUE"""),"เอเซียบุ๊คส บีทูเอส เซ็นทรัลเฟสติวัล อิสต์วิลล์")</f>
        <v>เอเซียบุ๊คส บีทูเอส เซ็นทรัลเฟสติวัล อิสต์วิลล์</v>
      </c>
      <c r="E1294" s="1" t="str">
        <f>IFERROR(__xludf.DUMMYFUNCTION("""COMPUTED_VALUE"""),"AsiaBooks")</f>
        <v>AsiaBooks</v>
      </c>
      <c r="F1294" s="1" t="str">
        <f>IFERROR(__xludf.DUMMYFUNCTION("""COMPUTED_VALUE"""),"1016938")</f>
        <v>1016938</v>
      </c>
      <c r="G1294" s="1" t="str">
        <f>IFERROR(__xludf.DUMMYFUNCTION("""COMPUTED_VALUE"""),"น.ส.ณัฏฐนันท์ ปัญญาสิทธิ์")</f>
        <v>น.ส.ณัฏฐนันท์ ปัญญาสิทธิ์</v>
      </c>
      <c r="H1294" s="1" t="str">
        <f>IFERROR(__xludf.DUMMYFUNCTION("""COMPUTED_VALUE"""),"1007000")</f>
        <v>1007000</v>
      </c>
      <c r="I1294" s="1" t="str">
        <f>IFERROR(__xludf.DUMMYFUNCTION("""COMPUTED_VALUE"""),"น.ส.เสาวลักษณ์ แป้นงาม")</f>
        <v>น.ส.เสาวลักษณ์ แป้นงาม</v>
      </c>
      <c r="J1294" s="3">
        <f>IFERROR(__xludf.DUMMYFUNCTION("""COMPUTED_VALUE"""),1016938.0)</f>
        <v>1016938</v>
      </c>
      <c r="K1294" s="3" t="str">
        <f>IFERROR(__xludf.DUMMYFUNCTION("""COMPUTED_VALUE"""),"น.ส.ณัฏฐนันท์ ปัญญาสิทธิ์")</f>
        <v>น.ส.ณัฏฐนันท์ ปัญญาสิทธิ์</v>
      </c>
      <c r="L1294" s="1" t="str">
        <f>IFERROR(__xludf.DUMMYFUNCTION("""COMPUTED_VALUE"""),"Asia Books")</f>
        <v>Asia Books</v>
      </c>
      <c r="M1294" s="1" t="str">
        <f>IFERROR(__xludf.DUMMYFUNCTION("""COMPUTED_VALUE"""),"0993463946")</f>
        <v>0993463946</v>
      </c>
      <c r="N1294" s="3" t="str">
        <f>IFERROR(__xludf.DUMMYFUNCTION("""COMPUTED_VALUE"""),"21RB082")</f>
        <v>21RB082</v>
      </c>
      <c r="O1294" s="3" t="str">
        <f>IFERROR(__xludf.DUMMYFUNCTION("""COMPUTED_VALUE"""),"AB-Central EastVille")</f>
        <v>AB-Central EastVille</v>
      </c>
      <c r="P1294" s="4">
        <f>IFERROR(__xludf.DUMMYFUNCTION("""COMPUTED_VALUE"""),43271.0)</f>
        <v>43271</v>
      </c>
      <c r="Q1294" s="3" t="str">
        <f>IFERROR(__xludf.DUMMYFUNCTION("""COMPUTED_VALUE"""),"A")</f>
        <v>A</v>
      </c>
      <c r="R1294" s="3" t="str">
        <f>IFERROR(__xludf.DUMMYFUNCTION("""COMPUTED_VALUE"""),"Small Format")</f>
        <v>Small Format</v>
      </c>
      <c r="S1294" s="3" t="str">
        <f>IFERROR(__xludf.DUMMYFUNCTION("""COMPUTED_VALUE"""),"AsiaBooks")</f>
        <v>AsiaBooks</v>
      </c>
      <c r="T1294" s="3" t="str">
        <f>IFERROR(__xludf.DUMMYFUNCTION("""COMPUTED_VALUE"""),"Asia Books")</f>
        <v>Asia Books</v>
      </c>
      <c r="U1294" s="3" t="str">
        <f>IFERROR(__xludf.DUMMYFUNCTION("""COMPUTED_VALUE"""),"#N/A")</f>
        <v>#N/A</v>
      </c>
      <c r="V1294" s="3" t="str">
        <f>IFERROR(__xludf.DUMMYFUNCTION("""COMPUTED_VALUE"""),"N")</f>
        <v>N</v>
      </c>
      <c r="W1294" s="3"/>
      <c r="X1294" s="3" t="str">
        <f>IFERROR(__xludf.DUMMYFUNCTION("""COMPUTED_VALUE"""),"Central Festival EastVille Pradist Manu Tham RoadLadprao, Ladprao Bangkok 10230")</f>
        <v>Central Festival EastVille Pradist Manu Tham RoadLadprao, Ladprao Bangkok 10230</v>
      </c>
      <c r="Y1294" s="3"/>
      <c r="Z1294" s="3"/>
      <c r="AA1294" s="3" t="str">
        <f>IFERROR(__xludf.DUMMYFUNCTION("""COMPUTED_VALUE"""),"ลาดพร้าว")</f>
        <v>ลาดพร้าว</v>
      </c>
      <c r="AB1294" s="3" t="str">
        <f>IFERROR(__xludf.DUMMYFUNCTION("""COMPUTED_VALUE"""),"กรุงเทพมหานคร")</f>
        <v>กรุงเทพมหานคร</v>
      </c>
      <c r="AC1294" s="3">
        <f>IFERROR(__xludf.DUMMYFUNCTION("""COMPUTED_VALUE"""),10230.0)</f>
        <v>10230</v>
      </c>
      <c r="AD1294" s="3">
        <f>IFERROR(__xludf.DUMMYFUNCTION("""COMPUTED_VALUE"""),13.80265569)</f>
        <v>13.80265569</v>
      </c>
      <c r="AE1294" s="3">
        <f>IFERROR(__xludf.DUMMYFUNCTION("""COMPUTED_VALUE"""),100.6150537)</f>
        <v>100.6150537</v>
      </c>
      <c r="AF1294" s="3" t="str">
        <f>IFERROR(__xludf.DUMMYFUNCTION("""COMPUTED_VALUE"""),"AB-Central EastVille-21RB082")</f>
        <v>AB-Central EastVille-21RB082</v>
      </c>
      <c r="AG1294" s="3" t="str">
        <f>IFERROR(__xludf.DUMMYFUNCTION("""COMPUTED_VALUE"""),"กลาง")</f>
        <v>กลาง</v>
      </c>
      <c r="AH1294" s="3" t="str">
        <f>IFERROR(__xludf.DUMMYFUNCTION("""COMPUTED_VALUE"""),"#N/A")</f>
        <v>#N/A</v>
      </c>
      <c r="AI1294" s="3" t="str">
        <f>IFERROR(__xludf.DUMMYFUNCTION("""COMPUTED_VALUE"""),"Out of warranty")</f>
        <v>Out of warranty</v>
      </c>
      <c r="AJ1294" s="3">
        <f>IFERROR(__xludf.DUMMYFUNCTION("""COMPUTED_VALUE"""),92.0)</f>
        <v>92</v>
      </c>
      <c r="AK1294" s="3"/>
      <c r="AL1294" s="3"/>
    </row>
    <row r="1295" ht="15.75" customHeight="1">
      <c r="A1295" s="1" t="str">
        <f>IFERROR(__xludf.DUMMYFUNCTION("""COMPUTED_VALUE"""),"21RB083")</f>
        <v>21RB083</v>
      </c>
      <c r="B1295" s="2" t="str">
        <f>IFERROR(__xludf.DUMMYFUNCTION("""COMPUTED_VALUE"""),"21RB083")</f>
        <v>21RB083</v>
      </c>
      <c r="C1295" s="3" t="str">
        <f>IFERROR(__xludf.DUMMYFUNCTION("""COMPUTED_VALUE"""),"AB-Central Chiang Mai")</f>
        <v>AB-Central Chiang Mai</v>
      </c>
      <c r="D1295" s="3" t="str">
        <f>IFERROR(__xludf.DUMMYFUNCTION("""COMPUTED_VALUE"""),"เอเซียบุ๊คส บีทูเอส เซ็นทรัลเฟสติวัล เชียงใหม่")</f>
        <v>เอเซียบุ๊คส บีทูเอส เซ็นทรัลเฟสติวัล เชียงใหม่</v>
      </c>
      <c r="E1295" s="1" t="str">
        <f>IFERROR(__xludf.DUMMYFUNCTION("""COMPUTED_VALUE"""),"AsiaBooks")</f>
        <v>AsiaBooks</v>
      </c>
      <c r="F1295" s="1" t="str">
        <f>IFERROR(__xludf.DUMMYFUNCTION("""COMPUTED_VALUE"""),"1016938")</f>
        <v>1016938</v>
      </c>
      <c r="G1295" s="1" t="str">
        <f>IFERROR(__xludf.DUMMYFUNCTION("""COMPUTED_VALUE"""),"น.ส.ณัฏฐนันท์ ปัญญาสิทธิ์")</f>
        <v>น.ส.ณัฏฐนันท์ ปัญญาสิทธิ์</v>
      </c>
      <c r="H1295" s="1" t="str">
        <f>IFERROR(__xludf.DUMMYFUNCTION("""COMPUTED_VALUE"""),"1015594")</f>
        <v>1015594</v>
      </c>
      <c r="I1295" s="1" t="str">
        <f>IFERROR(__xludf.DUMMYFUNCTION("""COMPUTED_VALUE"""),"น.ส.อาพัทยา ยะอุโมงค์")</f>
        <v>น.ส.อาพัทยา ยะอุโมงค์</v>
      </c>
      <c r="J1295" s="3">
        <f>IFERROR(__xludf.DUMMYFUNCTION("""COMPUTED_VALUE"""),1016938.0)</f>
        <v>1016938</v>
      </c>
      <c r="K1295" s="3" t="str">
        <f>IFERROR(__xludf.DUMMYFUNCTION("""COMPUTED_VALUE"""),"น.ส.ณัฏฐนันท์ ปัญญาสิทธิ์")</f>
        <v>น.ส.ณัฏฐนันท์ ปัญญาสิทธิ์</v>
      </c>
      <c r="L1295" s="1" t="str">
        <f>IFERROR(__xludf.DUMMYFUNCTION("""COMPUTED_VALUE"""),"Asia Books")</f>
        <v>Asia Books</v>
      </c>
      <c r="M1295" s="1" t="str">
        <f>IFERROR(__xludf.DUMMYFUNCTION("""COMPUTED_VALUE"""),"0993463946")</f>
        <v>0993463946</v>
      </c>
      <c r="N1295" s="3" t="str">
        <f>IFERROR(__xludf.DUMMYFUNCTION("""COMPUTED_VALUE"""),"21RB083")</f>
        <v>21RB083</v>
      </c>
      <c r="O1295" s="3" t="str">
        <f>IFERROR(__xludf.DUMMYFUNCTION("""COMPUTED_VALUE"""),"AB-Central Chiang Mai")</f>
        <v>AB-Central Chiang Mai</v>
      </c>
      <c r="P1295" s="4">
        <f>IFERROR(__xludf.DUMMYFUNCTION("""COMPUTED_VALUE"""),43271.0)</f>
        <v>43271</v>
      </c>
      <c r="Q1295" s="3" t="str">
        <f>IFERROR(__xludf.DUMMYFUNCTION("""COMPUTED_VALUE"""),"A")</f>
        <v>A</v>
      </c>
      <c r="R1295" s="3" t="str">
        <f>IFERROR(__xludf.DUMMYFUNCTION("""COMPUTED_VALUE"""),"Small Format")</f>
        <v>Small Format</v>
      </c>
      <c r="S1295" s="3" t="str">
        <f>IFERROR(__xludf.DUMMYFUNCTION("""COMPUTED_VALUE"""),"AsiaBooks")</f>
        <v>AsiaBooks</v>
      </c>
      <c r="T1295" s="3" t="str">
        <f>IFERROR(__xludf.DUMMYFUNCTION("""COMPUTED_VALUE"""),"Asia Books")</f>
        <v>Asia Books</v>
      </c>
      <c r="U1295" s="3" t="str">
        <f>IFERROR(__xludf.DUMMYFUNCTION("""COMPUTED_VALUE"""),"#N/A")</f>
        <v>#N/A</v>
      </c>
      <c r="V1295" s="3" t="str">
        <f>IFERROR(__xludf.DUMMYFUNCTION("""COMPUTED_VALUE"""),"N")</f>
        <v>N</v>
      </c>
      <c r="W1295" s="3"/>
      <c r="X1295" s="3" t="str">
        <f>IFERROR(__xludf.DUMMYFUNCTION("""COMPUTED_VALUE"""),"Central Festival Chiangmai 2nd Floor, Room No.21799, 99/1, 99/2Moo 4Fah-Ham, MuangChiang Mai50000")</f>
        <v>Central Festival Chiangmai 2nd Floor, Room No.21799, 99/1, 99/2Moo 4Fah-Ham, MuangChiang Mai50000</v>
      </c>
      <c r="Y1295" s="3"/>
      <c r="Z1295" s="3"/>
      <c r="AA1295" s="3" t="str">
        <f>IFERROR(__xludf.DUMMYFUNCTION("""COMPUTED_VALUE"""),"เมืองเชียงใหม่")</f>
        <v>เมืองเชียงใหม่</v>
      </c>
      <c r="AB1295" s="3" t="str">
        <f>IFERROR(__xludf.DUMMYFUNCTION("""COMPUTED_VALUE"""),"เชียงใหม่")</f>
        <v>เชียงใหม่</v>
      </c>
      <c r="AC1295" s="3">
        <f>IFERROR(__xludf.DUMMYFUNCTION("""COMPUTED_VALUE"""),50000.0)</f>
        <v>50000</v>
      </c>
      <c r="AD1295" s="3">
        <f>IFERROR(__xludf.DUMMYFUNCTION("""COMPUTED_VALUE"""),18.806271)</f>
        <v>18.806271</v>
      </c>
      <c r="AE1295" s="3">
        <f>IFERROR(__xludf.DUMMYFUNCTION("""COMPUTED_VALUE"""),99.017602)</f>
        <v>99.017602</v>
      </c>
      <c r="AF1295" s="3" t="str">
        <f>IFERROR(__xludf.DUMMYFUNCTION("""COMPUTED_VALUE"""),"AB-Central Chiang Mai-21RB083")</f>
        <v>AB-Central Chiang Mai-21RB083</v>
      </c>
      <c r="AG1295" s="3" t="str">
        <f>IFERROR(__xludf.DUMMYFUNCTION("""COMPUTED_VALUE"""),"เหนือ")</f>
        <v>เหนือ</v>
      </c>
      <c r="AH1295" s="3" t="str">
        <f>IFERROR(__xludf.DUMMYFUNCTION("""COMPUTED_VALUE"""),"#N/A")</f>
        <v>#N/A</v>
      </c>
      <c r="AI1295" s="3" t="str">
        <f>IFERROR(__xludf.DUMMYFUNCTION("""COMPUTED_VALUE"""),"Out of warranty")</f>
        <v>Out of warranty</v>
      </c>
      <c r="AJ1295" s="3">
        <f>IFERROR(__xludf.DUMMYFUNCTION("""COMPUTED_VALUE"""),92.0)</f>
        <v>92</v>
      </c>
      <c r="AK1295" s="3"/>
      <c r="AL1295" s="3"/>
    </row>
    <row r="1296" ht="15.75" customHeight="1">
      <c r="A1296" s="1" t="str">
        <f>IFERROR(__xludf.DUMMYFUNCTION("""COMPUTED_VALUE"""),"21RB085")</f>
        <v>21RB085</v>
      </c>
      <c r="B1296" s="2" t="str">
        <f>IFERROR(__xludf.DUMMYFUNCTION("""COMPUTED_VALUE"""),"21RB085")</f>
        <v>21RB085</v>
      </c>
      <c r="C1296" s="3" t="str">
        <f>IFERROR(__xludf.DUMMYFUNCTION("""COMPUTED_VALUE"""),"AB-SIS CENTRAL RAMA 3")</f>
        <v>AB-SIS CENTRAL RAMA 3</v>
      </c>
      <c r="D1296" s="3" t="str">
        <f>IFERROR(__xludf.DUMMYFUNCTION("""COMPUTED_VALUE"""),"เอเซียบุ๊คส บีทูเอส เซ็นทรัลพระราม 3")</f>
        <v>เอเซียบุ๊คส บีทูเอส เซ็นทรัลพระราม 3</v>
      </c>
      <c r="E1296" s="1" t="str">
        <f>IFERROR(__xludf.DUMMYFUNCTION("""COMPUTED_VALUE"""),"AsiaBooks")</f>
        <v>AsiaBooks</v>
      </c>
      <c r="F1296" s="1" t="str">
        <f>IFERROR(__xludf.DUMMYFUNCTION("""COMPUTED_VALUE"""),"1016938")</f>
        <v>1016938</v>
      </c>
      <c r="G1296" s="1" t="str">
        <f>IFERROR(__xludf.DUMMYFUNCTION("""COMPUTED_VALUE"""),"น.ส.ณัฏฐนันท์ ปัญญาสิทธิ์")</f>
        <v>น.ส.ณัฏฐนันท์ ปัญญาสิทธิ์</v>
      </c>
      <c r="H1296" s="1" t="str">
        <f>IFERROR(__xludf.DUMMYFUNCTION("""COMPUTED_VALUE"""),"2010435")</f>
        <v>2010435</v>
      </c>
      <c r="I1296" s="1" t="str">
        <f>IFERROR(__xludf.DUMMYFUNCTION("""COMPUTED_VALUE"""),"น.ส.ลักษณพร เกิดบุญส่ง")</f>
        <v>น.ส.ลักษณพร เกิดบุญส่ง</v>
      </c>
      <c r="J1296" s="3">
        <f>IFERROR(__xludf.DUMMYFUNCTION("""COMPUTED_VALUE"""),1016938.0)</f>
        <v>1016938</v>
      </c>
      <c r="K1296" s="3" t="str">
        <f>IFERROR(__xludf.DUMMYFUNCTION("""COMPUTED_VALUE"""),"น.ส.ณัฏฐนันท์ ปัญญาสิทธิ์")</f>
        <v>น.ส.ณัฏฐนันท์ ปัญญาสิทธิ์</v>
      </c>
      <c r="L1296" s="1" t="str">
        <f>IFERROR(__xludf.DUMMYFUNCTION("""COMPUTED_VALUE"""),"Asia Books")</f>
        <v>Asia Books</v>
      </c>
      <c r="M1296" s="1" t="str">
        <f>IFERROR(__xludf.DUMMYFUNCTION("""COMPUTED_VALUE"""),"0993463946")</f>
        <v>0993463946</v>
      </c>
      <c r="N1296" s="3" t="str">
        <f>IFERROR(__xludf.DUMMYFUNCTION("""COMPUTED_VALUE"""),"21RB085")</f>
        <v>21RB085</v>
      </c>
      <c r="O1296" s="3" t="str">
        <f>IFERROR(__xludf.DUMMYFUNCTION("""COMPUTED_VALUE"""),"AB-SIS CENTRAL RAMA 3")</f>
        <v>AB-SIS CENTRAL RAMA 3</v>
      </c>
      <c r="P1296" s="4">
        <f>IFERROR(__xludf.DUMMYFUNCTION("""COMPUTED_VALUE"""),43271.0)</f>
        <v>43271</v>
      </c>
      <c r="Q1296" s="3" t="str">
        <f>IFERROR(__xludf.DUMMYFUNCTION("""COMPUTED_VALUE"""),"A")</f>
        <v>A</v>
      </c>
      <c r="R1296" s="3" t="str">
        <f>IFERROR(__xludf.DUMMYFUNCTION("""COMPUTED_VALUE"""),"Small Format")</f>
        <v>Small Format</v>
      </c>
      <c r="S1296" s="3" t="str">
        <f>IFERROR(__xludf.DUMMYFUNCTION("""COMPUTED_VALUE"""),"AsiaBooks")</f>
        <v>AsiaBooks</v>
      </c>
      <c r="T1296" s="3" t="str">
        <f>IFERROR(__xludf.DUMMYFUNCTION("""COMPUTED_VALUE"""),"Asia Books")</f>
        <v>Asia Books</v>
      </c>
      <c r="U1296" s="3" t="str">
        <f>IFERROR(__xludf.DUMMYFUNCTION("""COMPUTED_VALUE"""),"#N/A")</f>
        <v>#N/A</v>
      </c>
      <c r="V1296" s="3" t="str">
        <f>IFERROR(__xludf.DUMMYFUNCTION("""COMPUTED_VALUE"""),"N")</f>
        <v>N</v>
      </c>
      <c r="W1296" s="3"/>
      <c r="X1296" s="3" t="str">
        <f>IFERROR(__xludf.DUMMYFUNCTION("""COMPUTED_VALUE"""),"Central Plaza Rama 36 Floor ,Room no. 612/1 ,612/2 ,612/379 Sathupradit RoadChongnonsee , Yannawa Bangkok 10120")</f>
        <v>Central Plaza Rama 36 Floor ,Room no. 612/1 ,612/2 ,612/379 Sathupradit RoadChongnonsee , Yannawa Bangkok 10120</v>
      </c>
      <c r="Y1296" s="3"/>
      <c r="Z1296" s="3"/>
      <c r="AA1296" s="3" t="str">
        <f>IFERROR(__xludf.DUMMYFUNCTION("""COMPUTED_VALUE"""),"ยานนาวา")</f>
        <v>ยานนาวา</v>
      </c>
      <c r="AB1296" s="3" t="str">
        <f>IFERROR(__xludf.DUMMYFUNCTION("""COMPUTED_VALUE"""),"กรุงเทพมหานคร")</f>
        <v>กรุงเทพมหานคร</v>
      </c>
      <c r="AC1296" s="3">
        <f>IFERROR(__xludf.DUMMYFUNCTION("""COMPUTED_VALUE"""),10120.0)</f>
        <v>10120</v>
      </c>
      <c r="AD1296" s="3">
        <f>IFERROR(__xludf.DUMMYFUNCTION("""COMPUTED_VALUE"""),13.70702507)</f>
        <v>13.70702507</v>
      </c>
      <c r="AE1296" s="3">
        <f>IFERROR(__xludf.DUMMYFUNCTION("""COMPUTED_VALUE"""),100.5369753)</f>
        <v>100.5369753</v>
      </c>
      <c r="AF1296" s="3" t="str">
        <f>IFERROR(__xludf.DUMMYFUNCTION("""COMPUTED_VALUE"""),"AB-SIS CENTRAL RAMA 3-21RB085")</f>
        <v>AB-SIS CENTRAL RAMA 3-21RB085</v>
      </c>
      <c r="AG1296" s="3" t="str">
        <f>IFERROR(__xludf.DUMMYFUNCTION("""COMPUTED_VALUE"""),"กลาง")</f>
        <v>กลาง</v>
      </c>
      <c r="AH1296" s="3" t="str">
        <f>IFERROR(__xludf.DUMMYFUNCTION("""COMPUTED_VALUE"""),"#N/A")</f>
        <v>#N/A</v>
      </c>
      <c r="AI1296" s="3" t="str">
        <f>IFERROR(__xludf.DUMMYFUNCTION("""COMPUTED_VALUE"""),"Out of warranty")</f>
        <v>Out of warranty</v>
      </c>
      <c r="AJ1296" s="3">
        <f>IFERROR(__xludf.DUMMYFUNCTION("""COMPUTED_VALUE"""),92.0)</f>
        <v>92</v>
      </c>
      <c r="AK1296" s="3"/>
      <c r="AL1296" s="3"/>
    </row>
    <row r="1297" ht="15.75" customHeight="1">
      <c r="A1297" s="1" t="str">
        <f>IFERROR(__xludf.DUMMYFUNCTION("""COMPUTED_VALUE"""),"21RB086")</f>
        <v>21RB086</v>
      </c>
      <c r="B1297" s="2" t="str">
        <f>IFERROR(__xludf.DUMMYFUNCTION("""COMPUTED_VALUE"""),"21RB086")</f>
        <v>21RB086</v>
      </c>
      <c r="C1297" s="3" t="str">
        <f>IFERROR(__xludf.DUMMYFUNCTION("""COMPUTED_VALUE"""),"AB-SIS NANG LINCHEE")</f>
        <v>AB-SIS NANG LINCHEE</v>
      </c>
      <c r="D1297" s="3" t="str">
        <f>IFERROR(__xludf.DUMMYFUNCTION("""COMPUTED_VALUE"""),"เอเซียบุ๊คส บีทูเอส นางลิ้นจี่")</f>
        <v>เอเซียบุ๊คส บีทูเอส นางลิ้นจี่</v>
      </c>
      <c r="E1297" s="1" t="str">
        <f>IFERROR(__xludf.DUMMYFUNCTION("""COMPUTED_VALUE"""),"AsiaBooks")</f>
        <v>AsiaBooks</v>
      </c>
      <c r="F1297" s="1" t="str">
        <f>IFERROR(__xludf.DUMMYFUNCTION("""COMPUTED_VALUE"""),"1016938")</f>
        <v>1016938</v>
      </c>
      <c r="G1297" s="1" t="str">
        <f>IFERROR(__xludf.DUMMYFUNCTION("""COMPUTED_VALUE"""),"น.ส.ณัฏฐนันท์ ปัญญาสิทธิ์")</f>
        <v>น.ส.ณัฏฐนันท์ ปัญญาสิทธิ์</v>
      </c>
      <c r="H1297" s="1" t="str">
        <f>IFERROR(__xludf.DUMMYFUNCTION("""COMPUTED_VALUE"""),"2010435")</f>
        <v>2010435</v>
      </c>
      <c r="I1297" s="1" t="str">
        <f>IFERROR(__xludf.DUMMYFUNCTION("""COMPUTED_VALUE"""),"น.ส.ลักษณพร เกิดบุญส่ง")</f>
        <v>น.ส.ลักษณพร เกิดบุญส่ง</v>
      </c>
      <c r="J1297" s="3">
        <f>IFERROR(__xludf.DUMMYFUNCTION("""COMPUTED_VALUE"""),1016938.0)</f>
        <v>1016938</v>
      </c>
      <c r="K1297" s="3" t="str">
        <f>IFERROR(__xludf.DUMMYFUNCTION("""COMPUTED_VALUE"""),"น.ส.ณัฏฐนันท์ ปัญญาสิทธิ์")</f>
        <v>น.ส.ณัฏฐนันท์ ปัญญาสิทธิ์</v>
      </c>
      <c r="L1297" s="1" t="str">
        <f>IFERROR(__xludf.DUMMYFUNCTION("""COMPUTED_VALUE"""),"Asia Books")</f>
        <v>Asia Books</v>
      </c>
      <c r="M1297" s="1" t="str">
        <f>IFERROR(__xludf.DUMMYFUNCTION("""COMPUTED_VALUE"""),"0993463946")</f>
        <v>0993463946</v>
      </c>
      <c r="N1297" s="3" t="str">
        <f>IFERROR(__xludf.DUMMYFUNCTION("""COMPUTED_VALUE"""),"21RB086")</f>
        <v>21RB086</v>
      </c>
      <c r="O1297" s="3" t="str">
        <f>IFERROR(__xludf.DUMMYFUNCTION("""COMPUTED_VALUE"""),"AB-SIS NANG LINCHEE")</f>
        <v>AB-SIS NANG LINCHEE</v>
      </c>
      <c r="P1297" s="4">
        <f>IFERROR(__xludf.DUMMYFUNCTION("""COMPUTED_VALUE"""),43271.0)</f>
        <v>43271</v>
      </c>
      <c r="Q1297" s="3" t="str">
        <f>IFERROR(__xludf.DUMMYFUNCTION("""COMPUTED_VALUE"""),"A")</f>
        <v>A</v>
      </c>
      <c r="R1297" s="3" t="str">
        <f>IFERROR(__xludf.DUMMYFUNCTION("""COMPUTED_VALUE"""),"Small Format")</f>
        <v>Small Format</v>
      </c>
      <c r="S1297" s="3" t="str">
        <f>IFERROR(__xludf.DUMMYFUNCTION("""COMPUTED_VALUE"""),"AsiaBooks")</f>
        <v>AsiaBooks</v>
      </c>
      <c r="T1297" s="3" t="str">
        <f>IFERROR(__xludf.DUMMYFUNCTION("""COMPUTED_VALUE"""),"Asia Books")</f>
        <v>Asia Books</v>
      </c>
      <c r="U1297" s="3" t="str">
        <f>IFERROR(__xludf.DUMMYFUNCTION("""COMPUTED_VALUE"""),"#N/A")</f>
        <v>#N/A</v>
      </c>
      <c r="V1297" s="3" t="str">
        <f>IFERROR(__xludf.DUMMYFUNCTION("""COMPUTED_VALUE"""),"N")</f>
        <v>N</v>
      </c>
      <c r="W1297" s="3"/>
      <c r="X1297" s="3" t="str">
        <f>IFERROR(__xludf.DUMMYFUNCTION("""COMPUTED_VALUE"""),"Market Place Nang Linchee 2nd Floor 27/1Nanglinchee RoadChongnonsee , YannawaBangkok10120")</f>
        <v>Market Place Nang Linchee 2nd Floor 27/1Nanglinchee RoadChongnonsee , YannawaBangkok10120</v>
      </c>
      <c r="Y1297" s="3"/>
      <c r="Z1297" s="3"/>
      <c r="AA1297" s="3" t="str">
        <f>IFERROR(__xludf.DUMMYFUNCTION("""COMPUTED_VALUE"""),"ยานนาวา")</f>
        <v>ยานนาวา</v>
      </c>
      <c r="AB1297" s="3" t="str">
        <f>IFERROR(__xludf.DUMMYFUNCTION("""COMPUTED_VALUE"""),"กรุงเทพมหานคร")</f>
        <v>กรุงเทพมหานคร</v>
      </c>
      <c r="AC1297" s="3">
        <f>IFERROR(__xludf.DUMMYFUNCTION("""COMPUTED_VALUE"""),10120.0)</f>
        <v>10120</v>
      </c>
      <c r="AD1297" s="3">
        <f>IFERROR(__xludf.DUMMYFUNCTION("""COMPUTED_VALUE"""),13.72255206)</f>
        <v>13.72255206</v>
      </c>
      <c r="AE1297" s="3">
        <f>IFERROR(__xludf.DUMMYFUNCTION("""COMPUTED_VALUE"""),100.5424664)</f>
        <v>100.5424664</v>
      </c>
      <c r="AF1297" s="3" t="str">
        <f>IFERROR(__xludf.DUMMYFUNCTION("""COMPUTED_VALUE"""),"AB-SIS NANG LINCHEE-21RB086")</f>
        <v>AB-SIS NANG LINCHEE-21RB086</v>
      </c>
      <c r="AG1297" s="3" t="str">
        <f>IFERROR(__xludf.DUMMYFUNCTION("""COMPUTED_VALUE"""),"กลาง")</f>
        <v>กลาง</v>
      </c>
      <c r="AH1297" s="3" t="str">
        <f>IFERROR(__xludf.DUMMYFUNCTION("""COMPUTED_VALUE"""),"#N/A")</f>
        <v>#N/A</v>
      </c>
      <c r="AI1297" s="3" t="str">
        <f>IFERROR(__xludf.DUMMYFUNCTION("""COMPUTED_VALUE"""),"Out of warranty")</f>
        <v>Out of warranty</v>
      </c>
      <c r="AJ1297" s="3">
        <f>IFERROR(__xludf.DUMMYFUNCTION("""COMPUTED_VALUE"""),92.0)</f>
        <v>92</v>
      </c>
      <c r="AK1297" s="3"/>
      <c r="AL1297" s="3"/>
    </row>
    <row r="1298" ht="15.75" customHeight="1">
      <c r="A1298" s="1" t="str">
        <f>IFERROR(__xludf.DUMMYFUNCTION("""COMPUTED_VALUE"""),"21RB087")</f>
        <v>21RB087</v>
      </c>
      <c r="B1298" s="2" t="str">
        <f>IFERROR(__xludf.DUMMYFUNCTION("""COMPUTED_VALUE"""),"21RB078")</f>
        <v>21RB078</v>
      </c>
      <c r="C1298" s="3" t="str">
        <f>IFERROR(__xludf.DUMMYFUNCTION("""COMPUTED_VALUE"""),"AB-SIS MEGA BANGNA")</f>
        <v>AB-SIS MEGA BANGNA</v>
      </c>
      <c r="D1298" s="3" t="str">
        <f>IFERROR(__xludf.DUMMYFUNCTION("""COMPUTED_VALUE"""),"เอเซียบุ๊คส บีทูเอส เมกะบางนา")</f>
        <v>เอเซียบุ๊คส บีทูเอส เมกะบางนา</v>
      </c>
      <c r="E1298" s="1" t="str">
        <f>IFERROR(__xludf.DUMMYFUNCTION("""COMPUTED_VALUE"""),"AsiaBooks")</f>
        <v>AsiaBooks</v>
      </c>
      <c r="F1298" s="1" t="str">
        <f>IFERROR(__xludf.DUMMYFUNCTION("""COMPUTED_VALUE"""),"1016938")</f>
        <v>1016938</v>
      </c>
      <c r="G1298" s="1" t="str">
        <f>IFERROR(__xludf.DUMMYFUNCTION("""COMPUTED_VALUE"""),"น.ส.ณัฏฐนันท์ ปัญญาสิทธิ์")</f>
        <v>น.ส.ณัฏฐนันท์ ปัญญาสิทธิ์</v>
      </c>
      <c r="H1298" s="1" t="str">
        <f>IFERROR(__xludf.DUMMYFUNCTION("""COMPUTED_VALUE"""),"2010435")</f>
        <v>2010435</v>
      </c>
      <c r="I1298" s="1" t="str">
        <f>IFERROR(__xludf.DUMMYFUNCTION("""COMPUTED_VALUE"""),"น.ส.ลักษณพร เกิดบุญส่ง")</f>
        <v>น.ส.ลักษณพร เกิดบุญส่ง</v>
      </c>
      <c r="J1298" s="3">
        <f>IFERROR(__xludf.DUMMYFUNCTION("""COMPUTED_VALUE"""),1016938.0)</f>
        <v>1016938</v>
      </c>
      <c r="K1298" s="3" t="str">
        <f>IFERROR(__xludf.DUMMYFUNCTION("""COMPUTED_VALUE"""),"น.ส.ณัฏฐนันท์ ปัญญาสิทธิ์")</f>
        <v>น.ส.ณัฏฐนันท์ ปัญญาสิทธิ์</v>
      </c>
      <c r="L1298" s="1" t="str">
        <f>IFERROR(__xludf.DUMMYFUNCTION("""COMPUTED_VALUE"""),"Asia Books")</f>
        <v>Asia Books</v>
      </c>
      <c r="M1298" s="1" t="str">
        <f>IFERROR(__xludf.DUMMYFUNCTION("""COMPUTED_VALUE"""),"0993463946")</f>
        <v>0993463946</v>
      </c>
      <c r="N1298" s="3" t="str">
        <f>IFERROR(__xludf.DUMMYFUNCTION("""COMPUTED_VALUE"""),"21RB087")</f>
        <v>21RB087</v>
      </c>
      <c r="O1298" s="3" t="str">
        <f>IFERROR(__xludf.DUMMYFUNCTION("""COMPUTED_VALUE"""),"AB-SIS MEGA BANGNA")</f>
        <v>AB-SIS MEGA BANGNA</v>
      </c>
      <c r="P1298" s="4">
        <f>IFERROR(__xludf.DUMMYFUNCTION("""COMPUTED_VALUE"""),43271.0)</f>
        <v>43271</v>
      </c>
      <c r="Q1298" s="3" t="str">
        <f>IFERROR(__xludf.DUMMYFUNCTION("""COMPUTED_VALUE"""),"A")</f>
        <v>A</v>
      </c>
      <c r="R1298" s="3" t="str">
        <f>IFERROR(__xludf.DUMMYFUNCTION("""COMPUTED_VALUE"""),"Small Format")</f>
        <v>Small Format</v>
      </c>
      <c r="S1298" s="3" t="str">
        <f>IFERROR(__xludf.DUMMYFUNCTION("""COMPUTED_VALUE"""),"AsiaBooks")</f>
        <v>AsiaBooks</v>
      </c>
      <c r="T1298" s="3" t="str">
        <f>IFERROR(__xludf.DUMMYFUNCTION("""COMPUTED_VALUE"""),"Asia Books")</f>
        <v>Asia Books</v>
      </c>
      <c r="U1298" s="3" t="str">
        <f>IFERROR(__xludf.DUMMYFUNCTION("""COMPUTED_VALUE"""),"#N/A")</f>
        <v>#N/A</v>
      </c>
      <c r="V1298" s="3" t="str">
        <f>IFERROR(__xludf.DUMMYFUNCTION("""COMPUTED_VALUE"""),"N")</f>
        <v>N</v>
      </c>
      <c r="W1298" s="3"/>
      <c r="X1298" s="3" t="str">
        <f>IFERROR(__xludf.DUMMYFUNCTION("""COMPUTED_VALUE"""),"Mega Bangna, 2nd Floor 39 Moo 6, Bangna-Trad RoadBangkaew, Bangplee Samutprakarn 10540")</f>
        <v>Mega Bangna, 2nd Floor 39 Moo 6, Bangna-Trad RoadBangkaew, Bangplee Samutprakarn 10540</v>
      </c>
      <c r="Y1298" s="3"/>
      <c r="Z1298" s="3"/>
      <c r="AA1298" s="3" t="str">
        <f>IFERROR(__xludf.DUMMYFUNCTION("""COMPUTED_VALUE"""),"บางพลี")</f>
        <v>บางพลี</v>
      </c>
      <c r="AB1298" s="3" t="str">
        <f>IFERROR(__xludf.DUMMYFUNCTION("""COMPUTED_VALUE"""),"สมุทรปราการ")</f>
        <v>สมุทรปราการ</v>
      </c>
      <c r="AC1298" s="3">
        <f>IFERROR(__xludf.DUMMYFUNCTION("""COMPUTED_VALUE"""),10540.0)</f>
        <v>10540</v>
      </c>
      <c r="AD1298" s="3">
        <f>IFERROR(__xludf.DUMMYFUNCTION("""COMPUTED_VALUE"""),0.0)</f>
        <v>0</v>
      </c>
      <c r="AE1298" s="3">
        <f>IFERROR(__xludf.DUMMYFUNCTION("""COMPUTED_VALUE"""),0.0)</f>
        <v>0</v>
      </c>
      <c r="AF1298" s="3" t="str">
        <f>IFERROR(__xludf.DUMMYFUNCTION("""COMPUTED_VALUE"""),"AB-SIS MEGA BANGNA-21RB078")</f>
        <v>AB-SIS MEGA BANGNA-21RB078</v>
      </c>
      <c r="AG1298" s="3" t="str">
        <f>IFERROR(__xludf.DUMMYFUNCTION("""COMPUTED_VALUE"""),"กลาง")</f>
        <v>กลาง</v>
      </c>
      <c r="AH1298" s="3" t="str">
        <f>IFERROR(__xludf.DUMMYFUNCTION("""COMPUTED_VALUE"""),"#N/A")</f>
        <v>#N/A</v>
      </c>
      <c r="AI1298" s="3" t="str">
        <f>IFERROR(__xludf.DUMMYFUNCTION("""COMPUTED_VALUE"""),"Out of warranty")</f>
        <v>Out of warranty</v>
      </c>
      <c r="AJ1298" s="3">
        <f>IFERROR(__xludf.DUMMYFUNCTION("""COMPUTED_VALUE"""),92.0)</f>
        <v>92</v>
      </c>
      <c r="AK1298" s="3"/>
      <c r="AL1298" s="3"/>
    </row>
    <row r="1299" ht="15.75" customHeight="1">
      <c r="A1299" s="1" t="str">
        <f>IFERROR(__xludf.DUMMYFUNCTION("""COMPUTED_VALUE"""),"21RB088")</f>
        <v>21RB088</v>
      </c>
      <c r="B1299" s="2" t="str">
        <f>IFERROR(__xludf.DUMMYFUNCTION("""COMPUTED_VALUE"""),"21RB088")</f>
        <v>21RB088</v>
      </c>
      <c r="C1299" s="3" t="str">
        <f>IFERROR(__xludf.DUMMYFUNCTION("""COMPUTED_VALUE"""),"AB-SIS CENTRAL PLAZA RAMA 9")</f>
        <v>AB-SIS CENTRAL PLAZA RAMA 9</v>
      </c>
      <c r="D1299" s="3" t="str">
        <f>IFERROR(__xludf.DUMMYFUNCTION("""COMPUTED_VALUE"""),"เอเซียบุ๊คส บีทูเอส เซ็นทรัลพลาซาพระราม 9")</f>
        <v>เอเซียบุ๊คส บีทูเอส เซ็นทรัลพลาซาพระราม 9</v>
      </c>
      <c r="E1299" s="1" t="str">
        <f>IFERROR(__xludf.DUMMYFUNCTION("""COMPUTED_VALUE"""),"AsiaBooks")</f>
        <v>AsiaBooks</v>
      </c>
      <c r="F1299" s="1" t="str">
        <f>IFERROR(__xludf.DUMMYFUNCTION("""COMPUTED_VALUE"""),"1016938")</f>
        <v>1016938</v>
      </c>
      <c r="G1299" s="1" t="str">
        <f>IFERROR(__xludf.DUMMYFUNCTION("""COMPUTED_VALUE"""),"น.ส.ณัฏฐนันท์ ปัญญาสิทธิ์")</f>
        <v>น.ส.ณัฏฐนันท์ ปัญญาสิทธิ์</v>
      </c>
      <c r="H1299" s="1" t="str">
        <f>IFERROR(__xludf.DUMMYFUNCTION("""COMPUTED_VALUE"""),"2010435")</f>
        <v>2010435</v>
      </c>
      <c r="I1299" s="1" t="str">
        <f>IFERROR(__xludf.DUMMYFUNCTION("""COMPUTED_VALUE"""),"น.ส.ลักษณพร เกิดบุญส่ง")</f>
        <v>น.ส.ลักษณพร เกิดบุญส่ง</v>
      </c>
      <c r="J1299" s="3">
        <f>IFERROR(__xludf.DUMMYFUNCTION("""COMPUTED_VALUE"""),1016938.0)</f>
        <v>1016938</v>
      </c>
      <c r="K1299" s="3" t="str">
        <f>IFERROR(__xludf.DUMMYFUNCTION("""COMPUTED_VALUE"""),"น.ส.ณัฏฐนันท์ ปัญญาสิทธิ์")</f>
        <v>น.ส.ณัฏฐนันท์ ปัญญาสิทธิ์</v>
      </c>
      <c r="L1299" s="1" t="str">
        <f>IFERROR(__xludf.DUMMYFUNCTION("""COMPUTED_VALUE"""),"Asia Books")</f>
        <v>Asia Books</v>
      </c>
      <c r="M1299" s="1" t="str">
        <f>IFERROR(__xludf.DUMMYFUNCTION("""COMPUTED_VALUE"""),"0993463946")</f>
        <v>0993463946</v>
      </c>
      <c r="N1299" s="3" t="str">
        <f>IFERROR(__xludf.DUMMYFUNCTION("""COMPUTED_VALUE"""),"21RB088")</f>
        <v>21RB088</v>
      </c>
      <c r="O1299" s="3" t="str">
        <f>IFERROR(__xludf.DUMMYFUNCTION("""COMPUTED_VALUE"""),"AB-SIS CENTRAL PLAZA RAMA 9")</f>
        <v>AB-SIS CENTRAL PLAZA RAMA 9</v>
      </c>
      <c r="P1299" s="4">
        <f>IFERROR(__xludf.DUMMYFUNCTION("""COMPUTED_VALUE"""),43271.0)</f>
        <v>43271</v>
      </c>
      <c r="Q1299" s="3" t="str">
        <f>IFERROR(__xludf.DUMMYFUNCTION("""COMPUTED_VALUE"""),"A")</f>
        <v>A</v>
      </c>
      <c r="R1299" s="3" t="str">
        <f>IFERROR(__xludf.DUMMYFUNCTION("""COMPUTED_VALUE"""),"Small Format")</f>
        <v>Small Format</v>
      </c>
      <c r="S1299" s="3" t="str">
        <f>IFERROR(__xludf.DUMMYFUNCTION("""COMPUTED_VALUE"""),"AsiaBooks")</f>
        <v>AsiaBooks</v>
      </c>
      <c r="T1299" s="3" t="str">
        <f>IFERROR(__xludf.DUMMYFUNCTION("""COMPUTED_VALUE"""),"Asia Books")</f>
        <v>Asia Books</v>
      </c>
      <c r="U1299" s="3" t="str">
        <f>IFERROR(__xludf.DUMMYFUNCTION("""COMPUTED_VALUE"""),"#N/A")</f>
        <v>#N/A</v>
      </c>
      <c r="V1299" s="3" t="str">
        <f>IFERROR(__xludf.DUMMYFUNCTION("""COMPUTED_VALUE"""),"N")</f>
        <v>N</v>
      </c>
      <c r="W1299" s="3"/>
      <c r="X1299" s="3" t="str">
        <f>IFERROR(__xludf.DUMMYFUNCTION("""COMPUTED_VALUE"""),"Cental Plaza Rama 9 , 7 Floor 9/9 Rama 9 RoadHuaykwang, Huaykwang Bangkok 10310")</f>
        <v>Cental Plaza Rama 9 , 7 Floor 9/9 Rama 9 RoadHuaykwang, Huaykwang Bangkok 10310</v>
      </c>
      <c r="Y1299" s="3"/>
      <c r="Z1299" s="3"/>
      <c r="AA1299" s="3" t="str">
        <f>IFERROR(__xludf.DUMMYFUNCTION("""COMPUTED_VALUE"""),"ห้วยขวาง")</f>
        <v>ห้วยขวาง</v>
      </c>
      <c r="AB1299" s="3" t="str">
        <f>IFERROR(__xludf.DUMMYFUNCTION("""COMPUTED_VALUE"""),"กรุงเทพมหานคร")</f>
        <v>กรุงเทพมหานคร</v>
      </c>
      <c r="AC1299" s="3">
        <f>IFERROR(__xludf.DUMMYFUNCTION("""COMPUTED_VALUE"""),10310.0)</f>
        <v>10310</v>
      </c>
      <c r="AD1299" s="3">
        <f>IFERROR(__xludf.DUMMYFUNCTION("""COMPUTED_VALUE"""),13.76486897)</f>
        <v>13.76486897</v>
      </c>
      <c r="AE1299" s="3">
        <f>IFERROR(__xludf.DUMMYFUNCTION("""COMPUTED_VALUE"""),100.5638267)</f>
        <v>100.5638267</v>
      </c>
      <c r="AF1299" s="3" t="str">
        <f>IFERROR(__xludf.DUMMYFUNCTION("""COMPUTED_VALUE"""),"AB-SIS CENTRAL PLAZA RAMA 9-21RB088")</f>
        <v>AB-SIS CENTRAL PLAZA RAMA 9-21RB088</v>
      </c>
      <c r="AG1299" s="3" t="str">
        <f>IFERROR(__xludf.DUMMYFUNCTION("""COMPUTED_VALUE"""),"กลาง")</f>
        <v>กลาง</v>
      </c>
      <c r="AH1299" s="3" t="str">
        <f>IFERROR(__xludf.DUMMYFUNCTION("""COMPUTED_VALUE"""),"#N/A")</f>
        <v>#N/A</v>
      </c>
      <c r="AI1299" s="3" t="str">
        <f>IFERROR(__xludf.DUMMYFUNCTION("""COMPUTED_VALUE"""),"Out of warranty")</f>
        <v>Out of warranty</v>
      </c>
      <c r="AJ1299" s="3">
        <f>IFERROR(__xludf.DUMMYFUNCTION("""COMPUTED_VALUE"""),92.0)</f>
        <v>92</v>
      </c>
      <c r="AK1299" s="3"/>
      <c r="AL1299" s="3"/>
    </row>
    <row r="1300" ht="15.75" customHeight="1">
      <c r="A1300" s="1" t="str">
        <f>IFERROR(__xludf.DUMMYFUNCTION("""COMPUTED_VALUE"""),"21RB089")</f>
        <v>21RB089</v>
      </c>
      <c r="B1300" s="2" t="str">
        <f>IFERROR(__xludf.DUMMYFUNCTION("""COMPUTED_VALUE"""),"21RB089")</f>
        <v>21RB089</v>
      </c>
      <c r="C1300" s="3" t="str">
        <f>IFERROR(__xludf.DUMMYFUNCTION("""COMPUTED_VALUE"""),"AB-SIS CENTRAL WORLD")</f>
        <v>AB-SIS CENTRAL WORLD</v>
      </c>
      <c r="D1300" s="3" t="str">
        <f>IFERROR(__xludf.DUMMYFUNCTION("""COMPUTED_VALUE"""),"เอเซียบุ๊คส บีทูเอส เซ็นทรัลเวิลด์")</f>
        <v>เอเซียบุ๊คส บีทูเอส เซ็นทรัลเวิลด์</v>
      </c>
      <c r="E1300" s="1" t="str">
        <f>IFERROR(__xludf.DUMMYFUNCTION("""COMPUTED_VALUE"""),"AsiaBooks")</f>
        <v>AsiaBooks</v>
      </c>
      <c r="F1300" s="1" t="str">
        <f>IFERROR(__xludf.DUMMYFUNCTION("""COMPUTED_VALUE"""),"1016938")</f>
        <v>1016938</v>
      </c>
      <c r="G1300" s="1" t="str">
        <f>IFERROR(__xludf.DUMMYFUNCTION("""COMPUTED_VALUE"""),"น.ส.ณัฏฐนันท์ ปัญญาสิทธิ์")</f>
        <v>น.ส.ณัฏฐนันท์ ปัญญาสิทธิ์</v>
      </c>
      <c r="H1300" s="1" t="str">
        <f>IFERROR(__xludf.DUMMYFUNCTION("""COMPUTED_VALUE"""),"1007000")</f>
        <v>1007000</v>
      </c>
      <c r="I1300" s="1" t="str">
        <f>IFERROR(__xludf.DUMMYFUNCTION("""COMPUTED_VALUE"""),"น.ส.เสาวลักษณ์ แป้นงาม")</f>
        <v>น.ส.เสาวลักษณ์ แป้นงาม</v>
      </c>
      <c r="J1300" s="3">
        <f>IFERROR(__xludf.DUMMYFUNCTION("""COMPUTED_VALUE"""),1016938.0)</f>
        <v>1016938</v>
      </c>
      <c r="K1300" s="3" t="str">
        <f>IFERROR(__xludf.DUMMYFUNCTION("""COMPUTED_VALUE"""),"น.ส.ณัฏฐนันท์ ปัญญาสิทธิ์")</f>
        <v>น.ส.ณัฏฐนันท์ ปัญญาสิทธิ์</v>
      </c>
      <c r="L1300" s="1" t="str">
        <f>IFERROR(__xludf.DUMMYFUNCTION("""COMPUTED_VALUE"""),"Asia Books")</f>
        <v>Asia Books</v>
      </c>
      <c r="M1300" s="1" t="str">
        <f>IFERROR(__xludf.DUMMYFUNCTION("""COMPUTED_VALUE"""),"0993463946")</f>
        <v>0993463946</v>
      </c>
      <c r="N1300" s="3" t="str">
        <f>IFERROR(__xludf.DUMMYFUNCTION("""COMPUTED_VALUE"""),"21RB089")</f>
        <v>21RB089</v>
      </c>
      <c r="O1300" s="3" t="str">
        <f>IFERROR(__xludf.DUMMYFUNCTION("""COMPUTED_VALUE"""),"AB-SIS CENTRAL WORLD")</f>
        <v>AB-SIS CENTRAL WORLD</v>
      </c>
      <c r="P1300" s="4">
        <f>IFERROR(__xludf.DUMMYFUNCTION("""COMPUTED_VALUE"""),43271.0)</f>
        <v>43271</v>
      </c>
      <c r="Q1300" s="3" t="str">
        <f>IFERROR(__xludf.DUMMYFUNCTION("""COMPUTED_VALUE"""),"A")</f>
        <v>A</v>
      </c>
      <c r="R1300" s="3" t="str">
        <f>IFERROR(__xludf.DUMMYFUNCTION("""COMPUTED_VALUE"""),"Small Format")</f>
        <v>Small Format</v>
      </c>
      <c r="S1300" s="3" t="str">
        <f>IFERROR(__xludf.DUMMYFUNCTION("""COMPUTED_VALUE"""),"AsiaBooks")</f>
        <v>AsiaBooks</v>
      </c>
      <c r="T1300" s="3" t="str">
        <f>IFERROR(__xludf.DUMMYFUNCTION("""COMPUTED_VALUE"""),"Asia Books")</f>
        <v>Asia Books</v>
      </c>
      <c r="U1300" s="3" t="str">
        <f>IFERROR(__xludf.DUMMYFUNCTION("""COMPUTED_VALUE"""),"#N/A")</f>
        <v>#N/A</v>
      </c>
      <c r="V1300" s="3" t="str">
        <f>IFERROR(__xludf.DUMMYFUNCTION("""COMPUTED_VALUE"""),"N")</f>
        <v>N</v>
      </c>
      <c r="W1300" s="3"/>
      <c r="X1300" s="3" t="str">
        <f>IFERROR(__xludf.DUMMYFUNCTION("""COMPUTED_VALUE"""),"Central World 4th Floor room no. 4, 4/1-4/2, 4/4 Rajdamri Road Pathumwan, Pathumwan Bangkok 10330")</f>
        <v>Central World 4th Floor room no. 4, 4/1-4/2, 4/4 Rajdamri Road Pathumwan, Pathumwan Bangkok 10330</v>
      </c>
      <c r="Y1300" s="3"/>
      <c r="Z1300" s="3"/>
      <c r="AA1300" s="3" t="str">
        <f>IFERROR(__xludf.DUMMYFUNCTION("""COMPUTED_VALUE"""),"ประทุมวัน")</f>
        <v>ประทุมวัน</v>
      </c>
      <c r="AB1300" s="3" t="str">
        <f>IFERROR(__xludf.DUMMYFUNCTION("""COMPUTED_VALUE"""),"กรุงเทพมหานคร")</f>
        <v>กรุงเทพมหานคร</v>
      </c>
      <c r="AC1300" s="3">
        <f>IFERROR(__xludf.DUMMYFUNCTION("""COMPUTED_VALUE"""),10330.0)</f>
        <v>10330</v>
      </c>
      <c r="AD1300" s="3">
        <f>IFERROR(__xludf.DUMMYFUNCTION("""COMPUTED_VALUE"""),13.74813083)</f>
        <v>13.74813083</v>
      </c>
      <c r="AE1300" s="3">
        <f>IFERROR(__xludf.DUMMYFUNCTION("""COMPUTED_VALUE"""),100.5390242)</f>
        <v>100.5390242</v>
      </c>
      <c r="AF1300" s="3" t="str">
        <f>IFERROR(__xludf.DUMMYFUNCTION("""COMPUTED_VALUE"""),"AB-SIS CENTRAL WORLD-21RB089")</f>
        <v>AB-SIS CENTRAL WORLD-21RB089</v>
      </c>
      <c r="AG1300" s="3" t="str">
        <f>IFERROR(__xludf.DUMMYFUNCTION("""COMPUTED_VALUE"""),"กลาง")</f>
        <v>กลาง</v>
      </c>
      <c r="AH1300" s="3" t="str">
        <f>IFERROR(__xludf.DUMMYFUNCTION("""COMPUTED_VALUE"""),"#N/A")</f>
        <v>#N/A</v>
      </c>
      <c r="AI1300" s="3" t="str">
        <f>IFERROR(__xludf.DUMMYFUNCTION("""COMPUTED_VALUE"""),"Out of warranty")</f>
        <v>Out of warranty</v>
      </c>
      <c r="AJ1300" s="3">
        <f>IFERROR(__xludf.DUMMYFUNCTION("""COMPUTED_VALUE"""),92.0)</f>
        <v>92</v>
      </c>
      <c r="AK1300" s="3"/>
      <c r="AL1300" s="3"/>
    </row>
    <row r="1301" ht="15.75" customHeight="1">
      <c r="A1301" s="1" t="str">
        <f>IFERROR(__xludf.DUMMYFUNCTION("""COMPUTED_VALUE"""),"21RB090")</f>
        <v>21RB090</v>
      </c>
      <c r="B1301" s="2" t="str">
        <f>IFERROR(__xludf.DUMMYFUNCTION("""COMPUTED_VALUE"""),"21RB090")</f>
        <v>21RB090</v>
      </c>
      <c r="C1301" s="3" t="str">
        <f>IFERROR(__xludf.DUMMYFUNCTION("""COMPUTED_VALUE"""),"AB:BETREND NGAMWONGWAN")</f>
        <v>AB:BETREND NGAMWONGWAN</v>
      </c>
      <c r="D1301" s="3" t="str">
        <f>IFERROR(__xludf.DUMMYFUNCTION("""COMPUTED_VALUE"""),"AB:BETREND NGAMWONGWAN")</f>
        <v>AB:BETREND NGAMWONGWAN</v>
      </c>
      <c r="E1301" s="1" t="str">
        <f>IFERROR(__xludf.DUMMYFUNCTION("""COMPUTED_VALUE"""),"AsiaBooks")</f>
        <v>AsiaBooks</v>
      </c>
      <c r="F1301" s="1" t="str">
        <f>IFERROR(__xludf.DUMMYFUNCTION("""COMPUTED_VALUE"""),"1016938")</f>
        <v>1016938</v>
      </c>
      <c r="G1301" s="1" t="str">
        <f>IFERROR(__xludf.DUMMYFUNCTION("""COMPUTED_VALUE"""),"น.ส.ณัฏฐนันท์ ปัญญาสิทธิ์")</f>
        <v>น.ส.ณัฏฐนันท์ ปัญญาสิทธิ์</v>
      </c>
      <c r="H1301" s="1" t="str">
        <f>IFERROR(__xludf.DUMMYFUNCTION("""COMPUTED_VALUE"""),"1007000")</f>
        <v>1007000</v>
      </c>
      <c r="I1301" s="1" t="str">
        <f>IFERROR(__xludf.DUMMYFUNCTION("""COMPUTED_VALUE"""),"น.ส.เสาวลักษณ์ แป้นงาม")</f>
        <v>น.ส.เสาวลักษณ์ แป้นงาม</v>
      </c>
      <c r="J1301" s="3">
        <f>IFERROR(__xludf.DUMMYFUNCTION("""COMPUTED_VALUE"""),1016938.0)</f>
        <v>1016938</v>
      </c>
      <c r="K1301" s="3" t="str">
        <f>IFERROR(__xludf.DUMMYFUNCTION("""COMPUTED_VALUE"""),"น.ส.ณัฏฐนันท์ ปัญญาสิทธิ์")</f>
        <v>น.ส.ณัฏฐนันท์ ปัญญาสิทธิ์</v>
      </c>
      <c r="L1301" s="1" t="str">
        <f>IFERROR(__xludf.DUMMYFUNCTION("""COMPUTED_VALUE"""),"Asia Books")</f>
        <v>Asia Books</v>
      </c>
      <c r="M1301" s="1" t="str">
        <f>IFERROR(__xludf.DUMMYFUNCTION("""COMPUTED_VALUE"""),"0993463946")</f>
        <v>0993463946</v>
      </c>
      <c r="N1301" s="3" t="str">
        <f>IFERROR(__xludf.DUMMYFUNCTION("""COMPUTED_VALUE"""),"21RB090")</f>
        <v>21RB090</v>
      </c>
      <c r="O1301" s="3" t="str">
        <f>IFERROR(__xludf.DUMMYFUNCTION("""COMPUTED_VALUE"""),"AB:BETREND NGAMWONGWAN")</f>
        <v>AB:BETREND NGAMWONGWAN</v>
      </c>
      <c r="P1301" s="4">
        <f>IFERROR(__xludf.DUMMYFUNCTION("""COMPUTED_VALUE"""),44707.0)</f>
        <v>44707</v>
      </c>
      <c r="Q1301" s="3" t="str">
        <f>IFERROR(__xludf.DUMMYFUNCTION("""COMPUTED_VALUE"""),"A")</f>
        <v>A</v>
      </c>
      <c r="R1301" s="3" t="str">
        <f>IFERROR(__xludf.DUMMYFUNCTION("""COMPUTED_VALUE"""),"Small Format")</f>
        <v>Small Format</v>
      </c>
      <c r="S1301" s="3" t="str">
        <f>IFERROR(__xludf.DUMMYFUNCTION("""COMPUTED_VALUE"""),"AsiaBooks")</f>
        <v>AsiaBooks</v>
      </c>
      <c r="T1301" s="3" t="str">
        <f>IFERROR(__xludf.DUMMYFUNCTION("""COMPUTED_VALUE"""),"Asia Books")</f>
        <v>Asia Books</v>
      </c>
      <c r="U1301" s="3" t="str">
        <f>IFERROR(__xludf.DUMMYFUNCTION("""COMPUTED_VALUE"""),"#N/A")</f>
        <v>#N/A</v>
      </c>
      <c r="V1301" s="3" t="str">
        <f>IFERROR(__xludf.DUMMYFUNCTION("""COMPUTED_VALUE"""),"N")</f>
        <v>N</v>
      </c>
      <c r="W1301" s="3"/>
      <c r="X1301" s="3" t="str">
        <f>IFERROR(__xludf.DUMMYFUNCTION("""COMPUTED_VALUE"""),"The Mall Ngamwongwan 4th Floor, 408-430 Ngamwongwan Road, Bangkhen, Muang Nonthaburi, Nonthaburi 11000")</f>
        <v>The Mall Ngamwongwan 4th Floor, 408-430 Ngamwongwan Road, Bangkhen, Muang Nonthaburi, Nonthaburi 11000</v>
      </c>
      <c r="Y1301" s="3"/>
      <c r="Z1301" s="3"/>
      <c r="AA1301" s="3" t="str">
        <f>IFERROR(__xludf.DUMMYFUNCTION("""COMPUTED_VALUE"""),"เมืองนนทบุรี")</f>
        <v>เมืองนนทบุรี</v>
      </c>
      <c r="AB1301" s="3" t="str">
        <f>IFERROR(__xludf.DUMMYFUNCTION("""COMPUTED_VALUE"""),"นนทบุรี")</f>
        <v>นนทบุรี</v>
      </c>
      <c r="AC1301" s="3">
        <f>IFERROR(__xludf.DUMMYFUNCTION("""COMPUTED_VALUE"""),11000.0)</f>
        <v>11000</v>
      </c>
      <c r="AD1301" s="3">
        <f>IFERROR(__xludf.DUMMYFUNCTION("""COMPUTED_VALUE"""),13.85597595)</f>
        <v>13.85597595</v>
      </c>
      <c r="AE1301" s="3">
        <f>IFERROR(__xludf.DUMMYFUNCTION("""COMPUTED_VALUE"""),100.542039)</f>
        <v>100.542039</v>
      </c>
      <c r="AF1301" s="3" t="str">
        <f>IFERROR(__xludf.DUMMYFUNCTION("""COMPUTED_VALUE"""),"AB:BETREND NGAMWONGWAN-21RB090")</f>
        <v>AB:BETREND NGAMWONGWAN-21RB090</v>
      </c>
      <c r="AG1301" s="3" t="str">
        <f>IFERROR(__xludf.DUMMYFUNCTION("""COMPUTED_VALUE"""),"กลาง")</f>
        <v>กลาง</v>
      </c>
      <c r="AH1301" s="3" t="str">
        <f>IFERROR(__xludf.DUMMYFUNCTION("""COMPUTED_VALUE"""),"#N/A")</f>
        <v>#N/A</v>
      </c>
      <c r="AI1301" s="3" t="str">
        <f>IFERROR(__xludf.DUMMYFUNCTION("""COMPUTED_VALUE"""),"Out of warranty")</f>
        <v>Out of warranty</v>
      </c>
      <c r="AJ1301" s="3">
        <f>IFERROR(__xludf.DUMMYFUNCTION("""COMPUTED_VALUE"""),44.0)</f>
        <v>44</v>
      </c>
      <c r="AK1301" s="3"/>
      <c r="AL1301" s="3"/>
    </row>
    <row r="1302" ht="15.75" customHeight="1">
      <c r="A1302" s="1" t="str">
        <f>IFERROR(__xludf.DUMMYFUNCTION("""COMPUTED_VALUE"""),"21RB091")</f>
        <v>21RB091</v>
      </c>
      <c r="B1302" s="2" t="str">
        <f>IFERROR(__xludf.DUMMYFUNCTION("""COMPUTED_VALUE"""),"21RB091")</f>
        <v>21RB091</v>
      </c>
      <c r="C1302" s="3" t="str">
        <f>IFERROR(__xludf.DUMMYFUNCTION("""COMPUTED_VALUE"""),"AB-QUEEN SIRIKIT NATIONAL CONVENTION CENTER")</f>
        <v>AB-QUEEN SIRIKIT NATIONAL CONVENTION CENTER</v>
      </c>
      <c r="D1302" s="3" t="str">
        <f>IFERROR(__xludf.DUMMYFUNCTION("""COMPUTED_VALUE"""),"เอเซียบุ๊คส ( ศูนย์การประชุมแห่งชาติสิริกิติ์)")</f>
        <v>เอเซียบุ๊คส ( ศูนย์การประชุมแห่งชาติสิริกิติ์)</v>
      </c>
      <c r="E1302" s="1" t="str">
        <f>IFERROR(__xludf.DUMMYFUNCTION("""COMPUTED_VALUE"""),"AsiaBooks")</f>
        <v>AsiaBooks</v>
      </c>
      <c r="F1302" s="1" t="str">
        <f>IFERROR(__xludf.DUMMYFUNCTION("""COMPUTED_VALUE"""),"1016938")</f>
        <v>1016938</v>
      </c>
      <c r="G1302" s="1" t="str">
        <f>IFERROR(__xludf.DUMMYFUNCTION("""COMPUTED_VALUE"""),"น.ส.ณัฏฐนันท์ ปัญญาสิทธิ์")</f>
        <v>น.ส.ณัฏฐนันท์ ปัญญาสิทธิ์</v>
      </c>
      <c r="H1302" s="1" t="str">
        <f>IFERROR(__xludf.DUMMYFUNCTION("""COMPUTED_VALUE"""),"1007000")</f>
        <v>1007000</v>
      </c>
      <c r="I1302" s="1" t="str">
        <f>IFERROR(__xludf.DUMMYFUNCTION("""COMPUTED_VALUE"""),"น.ส.เสาวลักษณ์ แป้นงาม")</f>
        <v>น.ส.เสาวลักษณ์ แป้นงาม</v>
      </c>
      <c r="J1302" s="3">
        <f>IFERROR(__xludf.DUMMYFUNCTION("""COMPUTED_VALUE"""),1016938.0)</f>
        <v>1016938</v>
      </c>
      <c r="K1302" s="3" t="str">
        <f>IFERROR(__xludf.DUMMYFUNCTION("""COMPUTED_VALUE"""),"น.ส.ณัฏฐนันท์ ปัญญาสิทธิ์")</f>
        <v>น.ส.ณัฏฐนันท์ ปัญญาสิทธิ์</v>
      </c>
      <c r="L1302" s="1" t="str">
        <f>IFERROR(__xludf.DUMMYFUNCTION("""COMPUTED_VALUE"""),"Asia Books")</f>
        <v>Asia Books</v>
      </c>
      <c r="M1302" s="1" t="str">
        <f>IFERROR(__xludf.DUMMYFUNCTION("""COMPUTED_VALUE"""),"0993463946")</f>
        <v>0993463946</v>
      </c>
      <c r="N1302" s="3" t="str">
        <f>IFERROR(__xludf.DUMMYFUNCTION("""COMPUTED_VALUE"""),"21RB091")</f>
        <v>21RB091</v>
      </c>
      <c r="O1302" s="3" t="str">
        <f>IFERROR(__xludf.DUMMYFUNCTION("""COMPUTED_VALUE"""),"AB-QUEEN SIRIKIT NATIONAL CONVENTION CENTER")</f>
        <v>AB-QUEEN SIRIKIT NATIONAL CONVENTION CENTER</v>
      </c>
      <c r="P1302" s="4">
        <f>IFERROR(__xludf.DUMMYFUNCTION("""COMPUTED_VALUE"""),43271.0)</f>
        <v>43271</v>
      </c>
      <c r="Q1302" s="3" t="str">
        <f>IFERROR(__xludf.DUMMYFUNCTION("""COMPUTED_VALUE"""),"A")</f>
        <v>A</v>
      </c>
      <c r="R1302" s="3" t="str">
        <f>IFERROR(__xludf.DUMMYFUNCTION("""COMPUTED_VALUE"""),"Small Format")</f>
        <v>Small Format</v>
      </c>
      <c r="S1302" s="3" t="str">
        <f>IFERROR(__xludf.DUMMYFUNCTION("""COMPUTED_VALUE"""),"AsiaBooks")</f>
        <v>AsiaBooks</v>
      </c>
      <c r="T1302" s="3" t="str">
        <f>IFERROR(__xludf.DUMMYFUNCTION("""COMPUTED_VALUE"""),"Asia Books")</f>
        <v>Asia Books</v>
      </c>
      <c r="U1302" s="3" t="str">
        <f>IFERROR(__xludf.DUMMYFUNCTION("""COMPUTED_VALUE"""),"#N/A")</f>
        <v>#N/A</v>
      </c>
      <c r="V1302" s="3" t="str">
        <f>IFERROR(__xludf.DUMMYFUNCTION("""COMPUTED_VALUE"""),"N")</f>
        <v>N</v>
      </c>
      <c r="W1302" s="3"/>
      <c r="X1302" s="3" t="str">
        <f>IFERROR(__xludf.DUMMYFUNCTION("""COMPUTED_VALUE"""),"Queen Sirikit National Convention Center, No.60, GL Floor, Rachadapisek Road Klongtoey, Klongtoey Bangkok 10110")</f>
        <v>Queen Sirikit National Convention Center, No.60, GL Floor, Rachadapisek Road Klongtoey, Klongtoey Bangkok 10110</v>
      </c>
      <c r="Y1302" s="3"/>
      <c r="Z1302" s="3"/>
      <c r="AA1302" s="3" t="str">
        <f>IFERROR(__xludf.DUMMYFUNCTION("""COMPUTED_VALUE"""),"คลองเตย")</f>
        <v>คลองเตย</v>
      </c>
      <c r="AB1302" s="3" t="str">
        <f>IFERROR(__xludf.DUMMYFUNCTION("""COMPUTED_VALUE"""),"กรุงเทพมหานคร")</f>
        <v>กรุงเทพมหานคร</v>
      </c>
      <c r="AC1302" s="3">
        <f>IFERROR(__xludf.DUMMYFUNCTION("""COMPUTED_VALUE"""),10110.0)</f>
        <v>10110</v>
      </c>
      <c r="AD1302" s="3">
        <f>IFERROR(__xludf.DUMMYFUNCTION("""COMPUTED_VALUE"""),13.72477878)</f>
        <v>13.72477878</v>
      </c>
      <c r="AE1302" s="3">
        <f>IFERROR(__xludf.DUMMYFUNCTION("""COMPUTED_VALUE"""),100.5589218)</f>
        <v>100.5589218</v>
      </c>
      <c r="AF1302" s="3" t="str">
        <f>IFERROR(__xludf.DUMMYFUNCTION("""COMPUTED_VALUE"""),"AB-QUEEN SIRIKIT NATIONAL CONVENTION CENTER-21RB091")</f>
        <v>AB-QUEEN SIRIKIT NATIONAL CONVENTION CENTER-21RB091</v>
      </c>
      <c r="AG1302" s="3" t="str">
        <f>IFERROR(__xludf.DUMMYFUNCTION("""COMPUTED_VALUE"""),"กลาง")</f>
        <v>กลาง</v>
      </c>
      <c r="AH1302" s="3" t="str">
        <f>IFERROR(__xludf.DUMMYFUNCTION("""COMPUTED_VALUE"""),"#N/A")</f>
        <v>#N/A</v>
      </c>
      <c r="AI1302" s="3" t="str">
        <f>IFERROR(__xludf.DUMMYFUNCTION("""COMPUTED_VALUE"""),"Out of warranty")</f>
        <v>Out of warranty</v>
      </c>
      <c r="AJ1302" s="3">
        <f>IFERROR(__xludf.DUMMYFUNCTION("""COMPUTED_VALUE"""),92.0)</f>
        <v>92</v>
      </c>
      <c r="AK1302" s="3"/>
      <c r="AL1302" s="3"/>
    </row>
    <row r="1303" ht="15.75" customHeight="1">
      <c r="A1303" s="1" t="str">
        <f>IFERROR(__xludf.DUMMYFUNCTION("""COMPUTED_VALUE"""),"21RB092")</f>
        <v>21RB092</v>
      </c>
      <c r="B1303" s="2" t="str">
        <f>IFERROR(__xludf.DUMMYFUNCTION("""COMPUTED_VALUE"""),"21RB092")</f>
        <v>21RB092</v>
      </c>
      <c r="C1303" s="3" t="str">
        <f>IFERROR(__xludf.DUMMYFUNCTION("""COMPUTED_VALUE"""),"AB-BJC2 CO WORKING SPACE")</f>
        <v>AB-BJC2 CO WORKING SPACE</v>
      </c>
      <c r="D1303" s="3" t="str">
        <f>IFERROR(__xludf.DUMMYFUNCTION("""COMPUTED_VALUE"""),"เอเซียบุ๊คส ( บีเจซี2 โคเวิร์กกิ้ง สเปซ )")</f>
        <v>เอเซียบุ๊คส ( บีเจซี2 โคเวิร์กกิ้ง สเปซ )</v>
      </c>
      <c r="E1303" s="1" t="str">
        <f>IFERROR(__xludf.DUMMYFUNCTION("""COMPUTED_VALUE"""),"AsiaBooks")</f>
        <v>AsiaBooks</v>
      </c>
      <c r="F1303" s="1" t="str">
        <f>IFERROR(__xludf.DUMMYFUNCTION("""COMPUTED_VALUE"""),"1016938")</f>
        <v>1016938</v>
      </c>
      <c r="G1303" s="1" t="str">
        <f>IFERROR(__xludf.DUMMYFUNCTION("""COMPUTED_VALUE"""),"น.ส.ณัฏฐนันท์ ปัญญาสิทธิ์")</f>
        <v>น.ส.ณัฏฐนันท์ ปัญญาสิทธิ์</v>
      </c>
      <c r="H1303" s="1" t="str">
        <f>IFERROR(__xludf.DUMMYFUNCTION("""COMPUTED_VALUE"""),"2010435")</f>
        <v>2010435</v>
      </c>
      <c r="I1303" s="1" t="str">
        <f>IFERROR(__xludf.DUMMYFUNCTION("""COMPUTED_VALUE"""),"น.ส.ลักษณพร เกิดบุญส่ง")</f>
        <v>น.ส.ลักษณพร เกิดบุญส่ง</v>
      </c>
      <c r="J1303" s="3">
        <f>IFERROR(__xludf.DUMMYFUNCTION("""COMPUTED_VALUE"""),1016938.0)</f>
        <v>1016938</v>
      </c>
      <c r="K1303" s="3" t="str">
        <f>IFERROR(__xludf.DUMMYFUNCTION("""COMPUTED_VALUE"""),"น.ส.ณัฏฐนันท์ ปัญญาสิทธิ์")</f>
        <v>น.ส.ณัฏฐนันท์ ปัญญาสิทธิ์</v>
      </c>
      <c r="L1303" s="1" t="str">
        <f>IFERROR(__xludf.DUMMYFUNCTION("""COMPUTED_VALUE"""),"Asia Books")</f>
        <v>Asia Books</v>
      </c>
      <c r="M1303" s="1" t="str">
        <f>IFERROR(__xludf.DUMMYFUNCTION("""COMPUTED_VALUE"""),"0993463946")</f>
        <v>0993463946</v>
      </c>
      <c r="N1303" s="3" t="str">
        <f>IFERROR(__xludf.DUMMYFUNCTION("""COMPUTED_VALUE"""),"21RB092")</f>
        <v>21RB092</v>
      </c>
      <c r="O1303" s="3" t="str">
        <f>IFERROR(__xludf.DUMMYFUNCTION("""COMPUTED_VALUE"""),"AB-BJC2 CO WORKING SPACE")</f>
        <v>AB-BJC2 CO WORKING SPACE</v>
      </c>
      <c r="P1303" s="4">
        <f>IFERROR(__xludf.DUMMYFUNCTION("""COMPUTED_VALUE"""),43271.0)</f>
        <v>43271</v>
      </c>
      <c r="Q1303" s="3" t="str">
        <f>IFERROR(__xludf.DUMMYFUNCTION("""COMPUTED_VALUE"""),"A")</f>
        <v>A</v>
      </c>
      <c r="R1303" s="3" t="str">
        <f>IFERROR(__xludf.DUMMYFUNCTION("""COMPUTED_VALUE"""),"Small Format")</f>
        <v>Small Format</v>
      </c>
      <c r="S1303" s="3" t="str">
        <f>IFERROR(__xludf.DUMMYFUNCTION("""COMPUTED_VALUE"""),"AsiaBooks")</f>
        <v>AsiaBooks</v>
      </c>
      <c r="T1303" s="3" t="str">
        <f>IFERROR(__xludf.DUMMYFUNCTION("""COMPUTED_VALUE"""),"Asia Books")</f>
        <v>Asia Books</v>
      </c>
      <c r="U1303" s="3" t="str">
        <f>IFERROR(__xludf.DUMMYFUNCTION("""COMPUTED_VALUE"""),"#N/A")</f>
        <v>#N/A</v>
      </c>
      <c r="V1303" s="3" t="str">
        <f>IFERROR(__xludf.DUMMYFUNCTION("""COMPUTED_VALUE"""),"N")</f>
        <v>N</v>
      </c>
      <c r="W1303" s="3"/>
      <c r="X1303" s="3" t="str">
        <f>IFERROR(__xludf.DUMMYFUNCTION("""COMPUTED_VALUE"""),"BJC2, G Floor No.99/1 Soi Saengchan-Rubia Phrakanong, Klongtoey Bangkok 10110")</f>
        <v>BJC2, G Floor No.99/1 Soi Saengchan-Rubia Phrakanong, Klongtoey Bangkok 10110</v>
      </c>
      <c r="Y1303" s="3"/>
      <c r="Z1303" s="3"/>
      <c r="AA1303" s="3" t="str">
        <f>IFERROR(__xludf.DUMMYFUNCTION("""COMPUTED_VALUE"""),"คลองเตย")</f>
        <v>คลองเตย</v>
      </c>
      <c r="AB1303" s="3" t="str">
        <f>IFERROR(__xludf.DUMMYFUNCTION("""COMPUTED_VALUE"""),"กรุงเทพมหานคร")</f>
        <v>กรุงเทพมหานคร</v>
      </c>
      <c r="AC1303" s="3">
        <f>IFERROR(__xludf.DUMMYFUNCTION("""COMPUTED_VALUE"""),10110.0)</f>
        <v>10110</v>
      </c>
      <c r="AD1303" s="3">
        <f>IFERROR(__xludf.DUMMYFUNCTION("""COMPUTED_VALUE"""),13.71502712)</f>
        <v>13.71502712</v>
      </c>
      <c r="AE1303" s="3">
        <f>IFERROR(__xludf.DUMMYFUNCTION("""COMPUTED_VALUE"""),100.5862163)</f>
        <v>100.5862163</v>
      </c>
      <c r="AF1303" s="3" t="str">
        <f>IFERROR(__xludf.DUMMYFUNCTION("""COMPUTED_VALUE"""),"AB-BJC2 CO WORKING SPACE-21RB092")</f>
        <v>AB-BJC2 CO WORKING SPACE-21RB092</v>
      </c>
      <c r="AG1303" s="3" t="str">
        <f>IFERROR(__xludf.DUMMYFUNCTION("""COMPUTED_VALUE"""),"กลาง")</f>
        <v>กลาง</v>
      </c>
      <c r="AH1303" s="3" t="str">
        <f>IFERROR(__xludf.DUMMYFUNCTION("""COMPUTED_VALUE"""),"#N/A")</f>
        <v>#N/A</v>
      </c>
      <c r="AI1303" s="3" t="str">
        <f>IFERROR(__xludf.DUMMYFUNCTION("""COMPUTED_VALUE"""),"Out of warranty")</f>
        <v>Out of warranty</v>
      </c>
      <c r="AJ1303" s="3">
        <f>IFERROR(__xludf.DUMMYFUNCTION("""COMPUTED_VALUE"""),92.0)</f>
        <v>92</v>
      </c>
      <c r="AK1303" s="3"/>
      <c r="AL1303" s="3"/>
    </row>
    <row r="1304" ht="15.75" customHeight="1">
      <c r="A1304" s="1" t="str">
        <f>IFERROR(__xludf.DUMMYFUNCTION("""COMPUTED_VALUE"""),"21RB093")</f>
        <v>21RB093</v>
      </c>
      <c r="B1304" s="2" t="str">
        <f>IFERROR(__xludf.DUMMYFUNCTION("""COMPUTED_VALUE"""),"21RB093")</f>
        <v>21RB093</v>
      </c>
      <c r="C1304" s="3" t="str">
        <f>IFERROR(__xludf.DUMMYFUNCTION("""COMPUTED_VALUE"""),"AB:SIS CENTRAL KORAT")</f>
        <v>AB:SIS CENTRAL KORAT</v>
      </c>
      <c r="D1304" s="3" t="str">
        <f>IFERROR(__xludf.DUMMYFUNCTION("""COMPUTED_VALUE"""),"AB:SIS CENTRAL KORAT")</f>
        <v>AB:SIS CENTRAL KORAT</v>
      </c>
      <c r="E1304" s="1" t="str">
        <f>IFERROR(__xludf.DUMMYFUNCTION("""COMPUTED_VALUE"""),"AsiaBooks")</f>
        <v>AsiaBooks</v>
      </c>
      <c r="F1304" s="1" t="str">
        <f>IFERROR(__xludf.DUMMYFUNCTION("""COMPUTED_VALUE"""),"1016938")</f>
        <v>1016938</v>
      </c>
      <c r="G1304" s="1" t="str">
        <f>IFERROR(__xludf.DUMMYFUNCTION("""COMPUTED_VALUE"""),"น.ส.ณัฏฐนันท์ ปัญญาสิทธิ์")</f>
        <v>น.ส.ณัฏฐนันท์ ปัญญาสิทธิ์</v>
      </c>
      <c r="H1304" s="1" t="str">
        <f>IFERROR(__xludf.DUMMYFUNCTION("""COMPUTED_VALUE"""),"1007000")</f>
        <v>1007000</v>
      </c>
      <c r="I1304" s="1" t="str">
        <f>IFERROR(__xludf.DUMMYFUNCTION("""COMPUTED_VALUE"""),"น.ส.เสาวลักษณ์ แป้นงาม")</f>
        <v>น.ส.เสาวลักษณ์ แป้นงาม</v>
      </c>
      <c r="J1304" s="3">
        <f>IFERROR(__xludf.DUMMYFUNCTION("""COMPUTED_VALUE"""),1016938.0)</f>
        <v>1016938</v>
      </c>
      <c r="K1304" s="3" t="str">
        <f>IFERROR(__xludf.DUMMYFUNCTION("""COMPUTED_VALUE"""),"น.ส.ณัฏฐนันท์ ปัญญาสิทธิ์")</f>
        <v>น.ส.ณัฏฐนันท์ ปัญญาสิทธิ์</v>
      </c>
      <c r="L1304" s="1" t="str">
        <f>IFERROR(__xludf.DUMMYFUNCTION("""COMPUTED_VALUE"""),"Asia Books")</f>
        <v>Asia Books</v>
      </c>
      <c r="M1304" s="1" t="str">
        <f>IFERROR(__xludf.DUMMYFUNCTION("""COMPUTED_VALUE"""),"0993463946")</f>
        <v>0993463946</v>
      </c>
      <c r="N1304" s="3" t="str">
        <f>IFERROR(__xludf.DUMMYFUNCTION("""COMPUTED_VALUE"""),"21RB093")</f>
        <v>21RB093</v>
      </c>
      <c r="O1304" s="3" t="str">
        <f>IFERROR(__xludf.DUMMYFUNCTION("""COMPUTED_VALUE"""),"AB:SIS CENTRAL KORAT")</f>
        <v>AB:SIS CENTRAL KORAT</v>
      </c>
      <c r="P1304" s="4">
        <f>IFERROR(__xludf.DUMMYFUNCTION("""COMPUTED_VALUE"""),44960.0)</f>
        <v>44960</v>
      </c>
      <c r="Q1304" s="3" t="str">
        <f>IFERROR(__xludf.DUMMYFUNCTION("""COMPUTED_VALUE"""),"A")</f>
        <v>A</v>
      </c>
      <c r="R1304" s="3" t="str">
        <f>IFERROR(__xludf.DUMMYFUNCTION("""COMPUTED_VALUE"""),"Small Format")</f>
        <v>Small Format</v>
      </c>
      <c r="S1304" s="3" t="str">
        <f>IFERROR(__xludf.DUMMYFUNCTION("""COMPUTED_VALUE"""),"AsiaBooks")</f>
        <v>AsiaBooks</v>
      </c>
      <c r="T1304" s="3" t="str">
        <f>IFERROR(__xludf.DUMMYFUNCTION("""COMPUTED_VALUE"""),"Asia Books")</f>
        <v>Asia Books</v>
      </c>
      <c r="U1304" s="3" t="str">
        <f>IFERROR(__xludf.DUMMYFUNCTION("""COMPUTED_VALUE"""),"#N/A")</f>
        <v>#N/A</v>
      </c>
      <c r="V1304" s="3" t="str">
        <f>IFERROR(__xludf.DUMMYFUNCTION("""COMPUTED_VALUE"""),"N")</f>
        <v>N</v>
      </c>
      <c r="W1304" s="3"/>
      <c r="X1304" s="3" t="str">
        <f>IFERROR(__xludf.DUMMYFUNCTION("""COMPUTED_VALUE"""),"Central Nakhon Ratchasima 4th Floor, Room no. 445, 990, 998 Mittraphap-Nong Khai Road Naimuang , Muang Nakhonratchasima, Nakhonratchasima 30000")</f>
        <v>Central Nakhon Ratchasima 4th Floor, Room no. 445, 990, 998 Mittraphap-Nong Khai Road Naimuang , Muang Nakhonratchasima, Nakhonratchasima 30000</v>
      </c>
      <c r="Y1304" s="3"/>
      <c r="Z1304" s="3"/>
      <c r="AA1304" s="3" t="str">
        <f>IFERROR(__xludf.DUMMYFUNCTION("""COMPUTED_VALUE"""),"เมืองนครราชสีมา")</f>
        <v>เมืองนครราชสีมา</v>
      </c>
      <c r="AB1304" s="3" t="str">
        <f>IFERROR(__xludf.DUMMYFUNCTION("""COMPUTED_VALUE"""),"นครราชสีมา")</f>
        <v>นครราชสีมา</v>
      </c>
      <c r="AC1304" s="3">
        <f>IFERROR(__xludf.DUMMYFUNCTION("""COMPUTED_VALUE"""),30000.0)</f>
        <v>30000</v>
      </c>
      <c r="AD1304" s="3">
        <f>IFERROR(__xludf.DUMMYFUNCTION("""COMPUTED_VALUE"""),14.99611368)</f>
        <v>14.99611368</v>
      </c>
      <c r="AE1304" s="3">
        <f>IFERROR(__xludf.DUMMYFUNCTION("""COMPUTED_VALUE"""),102.1167465)</f>
        <v>102.1167465</v>
      </c>
      <c r="AF1304" s="3" t="str">
        <f>IFERROR(__xludf.DUMMYFUNCTION("""COMPUTED_VALUE"""),"AB:SIS CENTRAL KORAT-21RB093")</f>
        <v>AB:SIS CENTRAL KORAT-21RB093</v>
      </c>
      <c r="AG1304" s="3" t="str">
        <f>IFERROR(__xludf.DUMMYFUNCTION("""COMPUTED_VALUE"""),"ตะวันออกเฉียงเหนือ")</f>
        <v>ตะวันออกเฉียงเหนือ</v>
      </c>
      <c r="AH1304" s="3" t="str">
        <f>IFERROR(__xludf.DUMMYFUNCTION("""COMPUTED_VALUE"""),"#N/A")</f>
        <v>#N/A</v>
      </c>
      <c r="AI1304" s="3" t="str">
        <f>IFERROR(__xludf.DUMMYFUNCTION("""COMPUTED_VALUE"""),"Out of warranty")</f>
        <v>Out of warranty</v>
      </c>
      <c r="AJ1304" s="3">
        <f>IFERROR(__xludf.DUMMYFUNCTION("""COMPUTED_VALUE"""),36.0)</f>
        <v>36</v>
      </c>
      <c r="AK1304" s="3"/>
      <c r="AL1304" s="3"/>
    </row>
    <row r="1305" ht="15.75" customHeight="1">
      <c r="A1305" s="1" t="str">
        <f>IFERROR(__xludf.DUMMYFUNCTION("""COMPUTED_VALUE"""),"21RB094")</f>
        <v>21RB094</v>
      </c>
      <c r="B1305" s="2" t="str">
        <f>IFERROR(__xludf.DUMMYFUNCTION("""COMPUTED_VALUE"""),"21RB094")</f>
        <v>21RB094</v>
      </c>
      <c r="C1305" s="3" t="str">
        <f>IFERROR(__xludf.DUMMYFUNCTION("""COMPUTED_VALUE"""),"AB:SIS ROBINSON UBONRATCHATHANI")</f>
        <v>AB:SIS ROBINSON UBONRATCHATHANI</v>
      </c>
      <c r="D1305" s="3" t="str">
        <f>IFERROR(__xludf.DUMMYFUNCTION("""COMPUTED_VALUE"""),"เอเซียบุ๊คส (บีทูเอส โรบินสันอุบลราชธานี2)")</f>
        <v>เอเซียบุ๊คส (บีทูเอส โรบินสันอุบลราชธานี2)</v>
      </c>
      <c r="E1305" s="1" t="str">
        <f>IFERROR(__xludf.DUMMYFUNCTION("""COMPUTED_VALUE"""),"AsiaBooks")</f>
        <v>AsiaBooks</v>
      </c>
      <c r="F1305" s="1" t="str">
        <f>IFERROR(__xludf.DUMMYFUNCTION("""COMPUTED_VALUE"""),"1016938")</f>
        <v>1016938</v>
      </c>
      <c r="G1305" s="1" t="str">
        <f>IFERROR(__xludf.DUMMYFUNCTION("""COMPUTED_VALUE"""),"น.ส.ณัฏฐนันท์ ปัญญาสิทธิ์")</f>
        <v>น.ส.ณัฏฐนันท์ ปัญญาสิทธิ์</v>
      </c>
      <c r="H1305" s="1" t="str">
        <f>IFERROR(__xludf.DUMMYFUNCTION("""COMPUTED_VALUE"""),"1015594")</f>
        <v>1015594</v>
      </c>
      <c r="I1305" s="1" t="str">
        <f>IFERROR(__xludf.DUMMYFUNCTION("""COMPUTED_VALUE"""),"น.ส.อาพัทยา ยะอุโมงค์")</f>
        <v>น.ส.อาพัทยา ยะอุโมงค์</v>
      </c>
      <c r="J1305" s="3">
        <f>IFERROR(__xludf.DUMMYFUNCTION("""COMPUTED_VALUE"""),1016938.0)</f>
        <v>1016938</v>
      </c>
      <c r="K1305" s="3" t="str">
        <f>IFERROR(__xludf.DUMMYFUNCTION("""COMPUTED_VALUE"""),"น.ส.ณัฏฐนันท์ ปัญญาสิทธิ์")</f>
        <v>น.ส.ณัฏฐนันท์ ปัญญาสิทธิ์</v>
      </c>
      <c r="L1305" s="1" t="str">
        <f>IFERROR(__xludf.DUMMYFUNCTION("""COMPUTED_VALUE"""),"Asia Books")</f>
        <v>Asia Books</v>
      </c>
      <c r="M1305" s="1" t="str">
        <f>IFERROR(__xludf.DUMMYFUNCTION("""COMPUTED_VALUE"""),"0993463946")</f>
        <v>0993463946</v>
      </c>
      <c r="N1305" s="3" t="str">
        <f>IFERROR(__xludf.DUMMYFUNCTION("""COMPUTED_VALUE"""),"21RB094")</f>
        <v>21RB094</v>
      </c>
      <c r="O1305" s="3" t="str">
        <f>IFERROR(__xludf.DUMMYFUNCTION("""COMPUTED_VALUE"""),"AB:SIS ROBINSON UBONRATCHATHANI")</f>
        <v>AB:SIS ROBINSON UBONRATCHATHANI</v>
      </c>
      <c r="P1305" s="4">
        <f>IFERROR(__xludf.DUMMYFUNCTION("""COMPUTED_VALUE"""),43271.0)</f>
        <v>43271</v>
      </c>
      <c r="Q1305" s="3" t="str">
        <f>IFERROR(__xludf.DUMMYFUNCTION("""COMPUTED_VALUE"""),"A")</f>
        <v>A</v>
      </c>
      <c r="R1305" s="3" t="str">
        <f>IFERROR(__xludf.DUMMYFUNCTION("""COMPUTED_VALUE"""),"Small Format")</f>
        <v>Small Format</v>
      </c>
      <c r="S1305" s="3" t="str">
        <f>IFERROR(__xludf.DUMMYFUNCTION("""COMPUTED_VALUE"""),"AsiaBooks")</f>
        <v>AsiaBooks</v>
      </c>
      <c r="T1305" s="3" t="str">
        <f>IFERROR(__xludf.DUMMYFUNCTION("""COMPUTED_VALUE"""),"Asia Books")</f>
        <v>Asia Books</v>
      </c>
      <c r="U1305" s="3" t="str">
        <f>IFERROR(__xludf.DUMMYFUNCTION("""COMPUTED_VALUE"""),"#N/A")</f>
        <v>#N/A</v>
      </c>
      <c r="V1305" s="3" t="str">
        <f>IFERROR(__xludf.DUMMYFUNCTION("""COMPUTED_VALUE"""),"N")</f>
        <v>N</v>
      </c>
      <c r="W1305" s="3"/>
      <c r="X1305" s="3" t="str">
        <f>IFERROR(__xludf.DUMMYFUNCTION("""COMPUTED_VALUE"""),"Asia Books B2S Robinson Ubonratchathani2, 2nd Floor, No.312 Moo.7, Chaeramae ,Muang Ubonratchathani, Ubonratchathani 34000")</f>
        <v>Asia Books B2S Robinson Ubonratchathani2, 2nd Floor, No.312 Moo.7, Chaeramae ,Muang Ubonratchathani, Ubonratchathani 34000</v>
      </c>
      <c r="Y1305" s="3"/>
      <c r="Z1305" s="3"/>
      <c r="AA1305" s="3" t="str">
        <f>IFERROR(__xludf.DUMMYFUNCTION("""COMPUTED_VALUE"""),"เมืองอุบลราชธานี")</f>
        <v>เมืองอุบลราชธานี</v>
      </c>
      <c r="AB1305" s="3" t="str">
        <f>IFERROR(__xludf.DUMMYFUNCTION("""COMPUTED_VALUE"""),"อุบลราชธานี")</f>
        <v>อุบลราชธานี</v>
      </c>
      <c r="AC1305" s="3">
        <f>IFERROR(__xludf.DUMMYFUNCTION("""COMPUTED_VALUE"""),34000.0)</f>
        <v>34000</v>
      </c>
      <c r="AD1305" s="3">
        <f>IFERROR(__xludf.DUMMYFUNCTION("""COMPUTED_VALUE"""),15.24252631)</f>
        <v>15.24252631</v>
      </c>
      <c r="AE1305" s="3">
        <f>IFERROR(__xludf.DUMMYFUNCTION("""COMPUTED_VALUE"""),104.8233639)</f>
        <v>104.8233639</v>
      </c>
      <c r="AF1305" s="3" t="str">
        <f>IFERROR(__xludf.DUMMYFUNCTION("""COMPUTED_VALUE"""),"AB:SIS ROBINSON UBONRATCHATHANI-21RB094")</f>
        <v>AB:SIS ROBINSON UBONRATCHATHANI-21RB094</v>
      </c>
      <c r="AG1305" s="3" t="str">
        <f>IFERROR(__xludf.DUMMYFUNCTION("""COMPUTED_VALUE"""),"ตะวันออกเฉียงเหนือ")</f>
        <v>ตะวันออกเฉียงเหนือ</v>
      </c>
      <c r="AH1305" s="3" t="str">
        <f>IFERROR(__xludf.DUMMYFUNCTION("""COMPUTED_VALUE"""),"#N/A")</f>
        <v>#N/A</v>
      </c>
      <c r="AI1305" s="3" t="str">
        <f>IFERROR(__xludf.DUMMYFUNCTION("""COMPUTED_VALUE"""),"Out of warranty")</f>
        <v>Out of warranty</v>
      </c>
      <c r="AJ1305" s="3">
        <f>IFERROR(__xludf.DUMMYFUNCTION("""COMPUTED_VALUE"""),92.0)</f>
        <v>92</v>
      </c>
      <c r="AK1305" s="3"/>
      <c r="AL1305" s="3"/>
    </row>
    <row r="1306" ht="15.75" customHeight="1">
      <c r="A1306" s="1" t="str">
        <f>IFERROR(__xludf.DUMMYFUNCTION("""COMPUTED_VALUE"""),"21RB095")</f>
        <v>21RB095</v>
      </c>
      <c r="B1306" s="2" t="str">
        <f>IFERROR(__xludf.DUMMYFUNCTION("""COMPUTED_VALUE"""),"21RB095")</f>
        <v>21RB095</v>
      </c>
      <c r="C1306" s="3" t="str">
        <f>IFERROR(__xludf.DUMMYFUNCTION("""COMPUTED_VALUE"""),"AB-SIS:CENTRAL FESTIVAL HAD YAI")</f>
        <v>AB-SIS:CENTRAL FESTIVAL HAD YAI</v>
      </c>
      <c r="D1306" s="3" t="str">
        <f>IFERROR(__xludf.DUMMYFUNCTION("""COMPUTED_VALUE"""),"เอเซียบุ๊คส (บีทูเอส เซ็นทรัลเฟสติวัลหาดใหญ่)")</f>
        <v>เอเซียบุ๊คส (บีทูเอส เซ็นทรัลเฟสติวัลหาดใหญ่)</v>
      </c>
      <c r="E1306" s="1" t="str">
        <f>IFERROR(__xludf.DUMMYFUNCTION("""COMPUTED_VALUE"""),"AsiaBooks")</f>
        <v>AsiaBooks</v>
      </c>
      <c r="F1306" s="1" t="str">
        <f>IFERROR(__xludf.DUMMYFUNCTION("""COMPUTED_VALUE"""),"1016938")</f>
        <v>1016938</v>
      </c>
      <c r="G1306" s="1" t="str">
        <f>IFERROR(__xludf.DUMMYFUNCTION("""COMPUTED_VALUE"""),"น.ส.ณัฏฐนันท์ ปัญญาสิทธิ์")</f>
        <v>น.ส.ณัฏฐนันท์ ปัญญาสิทธิ์</v>
      </c>
      <c r="H1306" s="1" t="str">
        <f>IFERROR(__xludf.DUMMYFUNCTION("""COMPUTED_VALUE"""),"1015537")</f>
        <v>1015537</v>
      </c>
      <c r="I1306" s="1" t="str">
        <f>IFERROR(__xludf.DUMMYFUNCTION("""COMPUTED_VALUE"""),"น.ส.มัญชริน เลื่อนแก้ว")</f>
        <v>น.ส.มัญชริน เลื่อนแก้ว</v>
      </c>
      <c r="J1306" s="3">
        <f>IFERROR(__xludf.DUMMYFUNCTION("""COMPUTED_VALUE"""),1016938.0)</f>
        <v>1016938</v>
      </c>
      <c r="K1306" s="3" t="str">
        <f>IFERROR(__xludf.DUMMYFUNCTION("""COMPUTED_VALUE"""),"น.ส.ณัฏฐนันท์ ปัญญาสิทธิ์")</f>
        <v>น.ส.ณัฏฐนันท์ ปัญญาสิทธิ์</v>
      </c>
      <c r="L1306" s="1" t="str">
        <f>IFERROR(__xludf.DUMMYFUNCTION("""COMPUTED_VALUE"""),"Asia Books")</f>
        <v>Asia Books</v>
      </c>
      <c r="M1306" s="1" t="str">
        <f>IFERROR(__xludf.DUMMYFUNCTION("""COMPUTED_VALUE"""),"0993463946")</f>
        <v>0993463946</v>
      </c>
      <c r="N1306" s="3" t="str">
        <f>IFERROR(__xludf.DUMMYFUNCTION("""COMPUTED_VALUE"""),"21RB095")</f>
        <v>21RB095</v>
      </c>
      <c r="O1306" s="3" t="str">
        <f>IFERROR(__xludf.DUMMYFUNCTION("""COMPUTED_VALUE"""),"AB-SIS:CENTRAL FESTIVAL HAD YAI")</f>
        <v>AB-SIS:CENTRAL FESTIVAL HAD YAI</v>
      </c>
      <c r="P1306" s="4">
        <f>IFERROR(__xludf.DUMMYFUNCTION("""COMPUTED_VALUE"""),43271.0)</f>
        <v>43271</v>
      </c>
      <c r="Q1306" s="3" t="str">
        <f>IFERROR(__xludf.DUMMYFUNCTION("""COMPUTED_VALUE"""),"A")</f>
        <v>A</v>
      </c>
      <c r="R1306" s="3" t="str">
        <f>IFERROR(__xludf.DUMMYFUNCTION("""COMPUTED_VALUE"""),"Small Format")</f>
        <v>Small Format</v>
      </c>
      <c r="S1306" s="3" t="str">
        <f>IFERROR(__xludf.DUMMYFUNCTION("""COMPUTED_VALUE"""),"AsiaBooks")</f>
        <v>AsiaBooks</v>
      </c>
      <c r="T1306" s="3" t="str">
        <f>IFERROR(__xludf.DUMMYFUNCTION("""COMPUTED_VALUE"""),"Asia Books")</f>
        <v>Asia Books</v>
      </c>
      <c r="U1306" s="3" t="str">
        <f>IFERROR(__xludf.DUMMYFUNCTION("""COMPUTED_VALUE"""),"#N/A")</f>
        <v>#N/A</v>
      </c>
      <c r="V1306" s="3" t="str">
        <f>IFERROR(__xludf.DUMMYFUNCTION("""COMPUTED_VALUE"""),"N")</f>
        <v>N</v>
      </c>
      <c r="W1306" s="3"/>
      <c r="X1306" s="3" t="str">
        <f>IFERROR(__xludf.DUMMYFUNCTION("""COMPUTED_VALUE"""),"Central Festival Hadyai, 2nd Floor, Room No.219, 1518, 1518/1, 1518/2 Kanchanavanich Road, Hat Yai, Hat Yai, Songkhla 90110")</f>
        <v>Central Festival Hadyai, 2nd Floor, Room No.219, 1518, 1518/1, 1518/2 Kanchanavanich Road, Hat Yai, Hat Yai, Songkhla 90110</v>
      </c>
      <c r="Y1306" s="3"/>
      <c r="Z1306" s="3"/>
      <c r="AA1306" s="3" t="str">
        <f>IFERROR(__xludf.DUMMYFUNCTION("""COMPUTED_VALUE"""),"หาดใหญ่")</f>
        <v>หาดใหญ่</v>
      </c>
      <c r="AB1306" s="3" t="str">
        <f>IFERROR(__xludf.DUMMYFUNCTION("""COMPUTED_VALUE"""),"สงขลา")</f>
        <v>สงขลา</v>
      </c>
      <c r="AC1306" s="3">
        <f>IFERROR(__xludf.DUMMYFUNCTION("""COMPUTED_VALUE"""),90110.0)</f>
        <v>90110</v>
      </c>
      <c r="AD1306" s="3">
        <f>IFERROR(__xludf.DUMMYFUNCTION("""COMPUTED_VALUE"""),6.991278718)</f>
        <v>6.991278718</v>
      </c>
      <c r="AE1306" s="3">
        <f>IFERROR(__xludf.DUMMYFUNCTION("""COMPUTED_VALUE"""),100.483876)</f>
        <v>100.483876</v>
      </c>
      <c r="AF1306" s="3" t="str">
        <f>IFERROR(__xludf.DUMMYFUNCTION("""COMPUTED_VALUE"""),"AB-SIS:CENTRAL FESTIVAL HAD YAI-21RB095")</f>
        <v>AB-SIS:CENTRAL FESTIVAL HAD YAI-21RB095</v>
      </c>
      <c r="AG1306" s="3" t="str">
        <f>IFERROR(__xludf.DUMMYFUNCTION("""COMPUTED_VALUE"""),"ใต้")</f>
        <v>ใต้</v>
      </c>
      <c r="AH1306" s="3" t="str">
        <f>IFERROR(__xludf.DUMMYFUNCTION("""COMPUTED_VALUE"""),"#N/A")</f>
        <v>#N/A</v>
      </c>
      <c r="AI1306" s="3" t="str">
        <f>IFERROR(__xludf.DUMMYFUNCTION("""COMPUTED_VALUE"""),"Out of warranty")</f>
        <v>Out of warranty</v>
      </c>
      <c r="AJ1306" s="3">
        <f>IFERROR(__xludf.DUMMYFUNCTION("""COMPUTED_VALUE"""),92.0)</f>
        <v>92</v>
      </c>
      <c r="AK1306" s="3"/>
      <c r="AL1306" s="3"/>
    </row>
    <row r="1307" ht="15.75" customHeight="1">
      <c r="A1307" s="1" t="str">
        <f>IFERROR(__xludf.DUMMYFUNCTION("""COMPUTED_VALUE"""),"21RB096")</f>
        <v>21RB096</v>
      </c>
      <c r="B1307" s="2" t="str">
        <f>IFERROR(__xludf.DUMMYFUNCTION("""COMPUTED_VALUE"""),"21RB096")</f>
        <v>21RB096</v>
      </c>
      <c r="C1307" s="3" t="str">
        <f>IFERROR(__xludf.DUMMYFUNCTION("""COMPUTED_VALUE"""),"AB-SIS CENTRAL SRIRACHA")</f>
        <v>AB-SIS CENTRAL SRIRACHA</v>
      </c>
      <c r="D1307" s="3" t="str">
        <f>IFERROR(__xludf.DUMMYFUNCTION("""COMPUTED_VALUE"""),"AB-SIS CENTRAL SRIRACHA")</f>
        <v>AB-SIS CENTRAL SRIRACHA</v>
      </c>
      <c r="E1307" s="1" t="str">
        <f>IFERROR(__xludf.DUMMYFUNCTION("""COMPUTED_VALUE"""),"AsiaBooks")</f>
        <v>AsiaBooks</v>
      </c>
      <c r="F1307" s="1" t="str">
        <f>IFERROR(__xludf.DUMMYFUNCTION("""COMPUTED_VALUE"""),"1016938")</f>
        <v>1016938</v>
      </c>
      <c r="G1307" s="1" t="str">
        <f>IFERROR(__xludf.DUMMYFUNCTION("""COMPUTED_VALUE"""),"น.ส.ณัฏฐนันท์ ปัญญาสิทธิ์")</f>
        <v>น.ส.ณัฏฐนันท์ ปัญญาสิทธิ์</v>
      </c>
      <c r="H1307" s="1" t="str">
        <f>IFERROR(__xludf.DUMMYFUNCTION("""COMPUTED_VALUE"""),"1007000")</f>
        <v>1007000</v>
      </c>
      <c r="I1307" s="1" t="str">
        <f>IFERROR(__xludf.DUMMYFUNCTION("""COMPUTED_VALUE"""),"น.ส.เสาวลักษณ์ แป้นงาม")</f>
        <v>น.ส.เสาวลักษณ์ แป้นงาม</v>
      </c>
      <c r="J1307" s="3">
        <f>IFERROR(__xludf.DUMMYFUNCTION("""COMPUTED_VALUE"""),1016938.0)</f>
        <v>1016938</v>
      </c>
      <c r="K1307" s="3" t="str">
        <f>IFERROR(__xludf.DUMMYFUNCTION("""COMPUTED_VALUE"""),"น.ส.ณัฏฐนันท์ ปัญญาสิทธิ์")</f>
        <v>น.ส.ณัฏฐนันท์ ปัญญาสิทธิ์</v>
      </c>
      <c r="L1307" s="1" t="str">
        <f>IFERROR(__xludf.DUMMYFUNCTION("""COMPUTED_VALUE"""),"Asia Books")</f>
        <v>Asia Books</v>
      </c>
      <c r="M1307" s="1" t="str">
        <f>IFERROR(__xludf.DUMMYFUNCTION("""COMPUTED_VALUE"""),"0993463946")</f>
        <v>0993463946</v>
      </c>
      <c r="N1307" s="3" t="str">
        <f>IFERROR(__xludf.DUMMYFUNCTION("""COMPUTED_VALUE"""),"21RB096")</f>
        <v>21RB096</v>
      </c>
      <c r="O1307" s="3" t="str">
        <f>IFERROR(__xludf.DUMMYFUNCTION("""COMPUTED_VALUE"""),"AB-SIS CENTRAL SRIRACHA")</f>
        <v>AB-SIS CENTRAL SRIRACHA</v>
      </c>
      <c r="P1307" s="4">
        <f>IFERROR(__xludf.DUMMYFUNCTION("""COMPUTED_VALUE"""),45169.0)</f>
        <v>45169</v>
      </c>
      <c r="Q1307" s="3" t="str">
        <f>IFERROR(__xludf.DUMMYFUNCTION("""COMPUTED_VALUE"""),"A")</f>
        <v>A</v>
      </c>
      <c r="R1307" s="3" t="str">
        <f>IFERROR(__xludf.DUMMYFUNCTION("""COMPUTED_VALUE"""),"Small Format")</f>
        <v>Small Format</v>
      </c>
      <c r="S1307" s="3" t="str">
        <f>IFERROR(__xludf.DUMMYFUNCTION("""COMPUTED_VALUE"""),"AsiaBooks")</f>
        <v>AsiaBooks</v>
      </c>
      <c r="T1307" s="3" t="str">
        <f>IFERROR(__xludf.DUMMYFUNCTION("""COMPUTED_VALUE"""),"Asia Books")</f>
        <v>Asia Books</v>
      </c>
      <c r="U1307" s="3" t="str">
        <f>IFERROR(__xludf.DUMMYFUNCTION("""COMPUTED_VALUE"""),"#N/A")</f>
        <v>#N/A</v>
      </c>
      <c r="V1307" s="3" t="str">
        <f>IFERROR(__xludf.DUMMYFUNCTION("""COMPUTED_VALUE"""),"N")</f>
        <v>N</v>
      </c>
      <c r="W1307" s="3"/>
      <c r="X1307" s="3" t="str">
        <f>IFERROR(__xludf.DUMMYFUNCTION("""COMPUTED_VALUE"""),"อาคารศูนย์การค้าเซ็นทรัลศรีราชา ชั้น 3 8 ถนนสุขุมวิท ตำบลศรีราชา อำเภอศรีราชา ชลบุรี 2011")</f>
        <v>อาคารศูนย์การค้าเซ็นทรัลศรีราชา ชั้น 3 8 ถนนสุขุมวิท ตำบลศรีราชา อำเภอศรีราชา ชลบุรี 2011</v>
      </c>
      <c r="Y1307" s="3" t="str">
        <f>IFERROR(__xludf.DUMMYFUNCTION("""COMPUTED_VALUE"""),"สุขุมวิท")</f>
        <v>สุขุมวิท</v>
      </c>
      <c r="Z1307" s="3" t="str">
        <f>IFERROR(__xludf.DUMMYFUNCTION("""COMPUTED_VALUE"""),"ศรีราชา")</f>
        <v>ศรีราชา</v>
      </c>
      <c r="AA1307" s="3" t="str">
        <f>IFERROR(__xludf.DUMMYFUNCTION("""COMPUTED_VALUE"""),"ศรีราชา")</f>
        <v>ศรีราชา</v>
      </c>
      <c r="AB1307" s="3" t="str">
        <f>IFERROR(__xludf.DUMMYFUNCTION("""COMPUTED_VALUE"""),"ชลบุรี")</f>
        <v>ชลบุรี</v>
      </c>
      <c r="AC1307" s="3">
        <f>IFERROR(__xludf.DUMMYFUNCTION("""COMPUTED_VALUE"""),2011.0)</f>
        <v>2011</v>
      </c>
      <c r="AD1307" s="3">
        <f>IFERROR(__xludf.DUMMYFUNCTION("""COMPUTED_VALUE"""),13.17907077)</f>
        <v>13.17907077</v>
      </c>
      <c r="AE1307" s="3">
        <f>IFERROR(__xludf.DUMMYFUNCTION("""COMPUTED_VALUE"""),100.9313346)</f>
        <v>100.9313346</v>
      </c>
      <c r="AF1307" s="3" t="str">
        <f>IFERROR(__xludf.DUMMYFUNCTION("""COMPUTED_VALUE"""),"AB-SIS CENTRAL SRIRACHA-21RB096")</f>
        <v>AB-SIS CENTRAL SRIRACHA-21RB096</v>
      </c>
      <c r="AG1307" s="3" t="str">
        <f>IFERROR(__xludf.DUMMYFUNCTION("""COMPUTED_VALUE"""),"ตะวันออก")</f>
        <v>ตะวันออก</v>
      </c>
      <c r="AH1307" s="3" t="str">
        <f>IFERROR(__xludf.DUMMYFUNCTION("""COMPUTED_VALUE"""),"#N/A")</f>
        <v>#N/A</v>
      </c>
      <c r="AI1307" s="3" t="str">
        <f>IFERROR(__xludf.DUMMYFUNCTION("""COMPUTED_VALUE"""),"Out of warranty")</f>
        <v>Out of warranty</v>
      </c>
      <c r="AJ1307" s="3">
        <f>IFERROR(__xludf.DUMMYFUNCTION("""COMPUTED_VALUE"""),29.0)</f>
        <v>29</v>
      </c>
      <c r="AK1307" s="3"/>
      <c r="AL1307" s="3"/>
    </row>
    <row r="1308" ht="15.75" customHeight="1">
      <c r="A1308" s="1" t="str">
        <f>IFERROR(__xludf.DUMMYFUNCTION("""COMPUTED_VALUE"""),"21RB097")</f>
        <v>21RB097</v>
      </c>
      <c r="B1308" s="2" t="str">
        <f>IFERROR(__xludf.DUMMYFUNCTION("""COMPUTED_VALUE"""),"21RB097")</f>
        <v>21RB097</v>
      </c>
      <c r="C1308" s="3" t="str">
        <f>IFERROR(__xludf.DUMMYFUNCTION("""COMPUTED_VALUE"""),"AB-SIS:CENTRAL CHIDLOM - G Floor")</f>
        <v>AB-SIS:CENTRAL CHIDLOM - G Floor</v>
      </c>
      <c r="D1308" s="3" t="str">
        <f>IFERROR(__xludf.DUMMYFUNCTION("""COMPUTED_VALUE"""),"AB-SIS:CENTRAL CHIDLOM - G Floor")</f>
        <v>AB-SIS:CENTRAL CHIDLOM - G Floor</v>
      </c>
      <c r="E1308" s="1" t="str">
        <f>IFERROR(__xludf.DUMMYFUNCTION("""COMPUTED_VALUE"""),"AsiaBooks")</f>
        <v>AsiaBooks</v>
      </c>
      <c r="F1308" s="1" t="str">
        <f>IFERROR(__xludf.DUMMYFUNCTION("""COMPUTED_VALUE"""),"1016938")</f>
        <v>1016938</v>
      </c>
      <c r="G1308" s="1" t="str">
        <f>IFERROR(__xludf.DUMMYFUNCTION("""COMPUTED_VALUE"""),"น.ส.ณัฏฐนันท์ ปัญญาสิทธิ์")</f>
        <v>น.ส.ณัฏฐนันท์ ปัญญาสิทธิ์</v>
      </c>
      <c r="H1308" s="1" t="str">
        <f>IFERROR(__xludf.DUMMYFUNCTION("""COMPUTED_VALUE"""),"2010435")</f>
        <v>2010435</v>
      </c>
      <c r="I1308" s="1" t="str">
        <f>IFERROR(__xludf.DUMMYFUNCTION("""COMPUTED_VALUE"""),"น.ส.ลักษณพร เกิดบุญส่ง")</f>
        <v>น.ส.ลักษณพร เกิดบุญส่ง</v>
      </c>
      <c r="J1308" s="3">
        <f>IFERROR(__xludf.DUMMYFUNCTION("""COMPUTED_VALUE"""),1016938.0)</f>
        <v>1016938</v>
      </c>
      <c r="K1308" s="3" t="str">
        <f>IFERROR(__xludf.DUMMYFUNCTION("""COMPUTED_VALUE"""),"น.ส.ณัฏฐนันท์ ปัญญาสิทธิ์")</f>
        <v>น.ส.ณัฏฐนันท์ ปัญญาสิทธิ์</v>
      </c>
      <c r="L1308" s="1" t="str">
        <f>IFERROR(__xludf.DUMMYFUNCTION("""COMPUTED_VALUE"""),"Asia Books")</f>
        <v>Asia Books</v>
      </c>
      <c r="M1308" s="1" t="str">
        <f>IFERROR(__xludf.DUMMYFUNCTION("""COMPUTED_VALUE"""),"0993463946")</f>
        <v>0993463946</v>
      </c>
      <c r="N1308" s="3" t="str">
        <f>IFERROR(__xludf.DUMMYFUNCTION("""COMPUTED_VALUE"""),"21RB097")</f>
        <v>21RB097</v>
      </c>
      <c r="O1308" s="3" t="str">
        <f>IFERROR(__xludf.DUMMYFUNCTION("""COMPUTED_VALUE"""),"AB-SIS:CENTRAL CHIDLOM - G Floor")</f>
        <v>AB-SIS:CENTRAL CHIDLOM - G Floor</v>
      </c>
      <c r="P1308" s="4">
        <f>IFERROR(__xludf.DUMMYFUNCTION("""COMPUTED_VALUE"""),45169.0)</f>
        <v>45169</v>
      </c>
      <c r="Q1308" s="3" t="str">
        <f>IFERROR(__xludf.DUMMYFUNCTION("""COMPUTED_VALUE"""),"A")</f>
        <v>A</v>
      </c>
      <c r="R1308" s="3" t="str">
        <f>IFERROR(__xludf.DUMMYFUNCTION("""COMPUTED_VALUE"""),"Small Format")</f>
        <v>Small Format</v>
      </c>
      <c r="S1308" s="3" t="str">
        <f>IFERROR(__xludf.DUMMYFUNCTION("""COMPUTED_VALUE"""),"AsiaBooks")</f>
        <v>AsiaBooks</v>
      </c>
      <c r="T1308" s="3" t="str">
        <f>IFERROR(__xludf.DUMMYFUNCTION("""COMPUTED_VALUE"""),"Asia Books")</f>
        <v>Asia Books</v>
      </c>
      <c r="U1308" s="3" t="str">
        <f>IFERROR(__xludf.DUMMYFUNCTION("""COMPUTED_VALUE"""),"#N/A")</f>
        <v>#N/A</v>
      </c>
      <c r="V1308" s="3" t="str">
        <f>IFERROR(__xludf.DUMMYFUNCTION("""COMPUTED_VALUE"""),"N")</f>
        <v>N</v>
      </c>
      <c r="W1308" s="3"/>
      <c r="X1308" s="3" t="str">
        <f>IFERROR(__xludf.DUMMYFUNCTION("""COMPUTED_VALUE"""),"ชั้น G, ศูนย์การค้าเซ็นทรัลชิดลม เลขที่ 1027 แขวงลุมพินี เขตปทุมวัน กรุงเทพมหานคร 10330")</f>
        <v>ชั้น G, ศูนย์การค้าเซ็นทรัลชิดลม เลขที่ 1027 แขวงลุมพินี เขตปทุมวัน กรุงเทพมหานคร 10330</v>
      </c>
      <c r="Y1308" s="3"/>
      <c r="Z1308" s="3" t="str">
        <f>IFERROR(__xludf.DUMMYFUNCTION("""COMPUTED_VALUE"""),"ลุมพินี")</f>
        <v>ลุมพินี</v>
      </c>
      <c r="AA1308" s="3" t="str">
        <f>IFERROR(__xludf.DUMMYFUNCTION("""COMPUTED_VALUE"""),"ปทุมวัน")</f>
        <v>ปทุมวัน</v>
      </c>
      <c r="AB1308" s="3" t="str">
        <f>IFERROR(__xludf.DUMMYFUNCTION("""COMPUTED_VALUE"""),"กรุงเทพมหานคร")</f>
        <v>กรุงเทพมหานคร</v>
      </c>
      <c r="AC1308" s="3">
        <f>IFERROR(__xludf.DUMMYFUNCTION("""COMPUTED_VALUE"""),10330.0)</f>
        <v>10330</v>
      </c>
      <c r="AD1308" s="3">
        <f>IFERROR(__xludf.DUMMYFUNCTION("""COMPUTED_VALUE"""),13.692519)</f>
        <v>13.692519</v>
      </c>
      <c r="AE1308" s="3">
        <f>IFERROR(__xludf.DUMMYFUNCTION("""COMPUTED_VALUE"""),100.64804)</f>
        <v>100.64804</v>
      </c>
      <c r="AF1308" s="3" t="str">
        <f>IFERROR(__xludf.DUMMYFUNCTION("""COMPUTED_VALUE"""),"AB-SIS:CENTRAL CHIDLOM - G Floor-21RB097")</f>
        <v>AB-SIS:CENTRAL CHIDLOM - G Floor-21RB097</v>
      </c>
      <c r="AG1308" s="3" t="str">
        <f>IFERROR(__xludf.DUMMYFUNCTION("""COMPUTED_VALUE"""),"กลาง")</f>
        <v>กลาง</v>
      </c>
      <c r="AH1308" s="3" t="str">
        <f>IFERROR(__xludf.DUMMYFUNCTION("""COMPUTED_VALUE"""),"#N/A")</f>
        <v>#N/A</v>
      </c>
      <c r="AI1308" s="3" t="str">
        <f>IFERROR(__xludf.DUMMYFUNCTION("""COMPUTED_VALUE"""),"Out of warranty")</f>
        <v>Out of warranty</v>
      </c>
      <c r="AJ1308" s="3">
        <f>IFERROR(__xludf.DUMMYFUNCTION("""COMPUTED_VALUE"""),29.0)</f>
        <v>29</v>
      </c>
      <c r="AK1308" s="3"/>
      <c r="AL1308" s="3"/>
    </row>
    <row r="1309" ht="15.75" customHeight="1">
      <c r="A1309" s="1" t="str">
        <f>IFERROR(__xludf.DUMMYFUNCTION("""COMPUTED_VALUE"""),"21RB098")</f>
        <v>21RB098</v>
      </c>
      <c r="B1309" s="2" t="str">
        <f>IFERROR(__xludf.DUMMYFUNCTION("""COMPUTED_VALUE"""),"21RB098")</f>
        <v>21RB098</v>
      </c>
      <c r="C1309" s="3" t="str">
        <f>IFERROR(__xludf.DUMMYFUNCTION("""COMPUTED_VALUE"""),"AB:EMSPHERE G Floor")</f>
        <v>AB:EMSPHERE G Floor</v>
      </c>
      <c r="D1309" s="3" t="str">
        <f>IFERROR(__xludf.DUMMYFUNCTION("""COMPUTED_VALUE"""),"AB:EMSPHERE G Floor")</f>
        <v>AB:EMSPHERE G Floor</v>
      </c>
      <c r="E1309" s="1" t="str">
        <f>IFERROR(__xludf.DUMMYFUNCTION("""COMPUTED_VALUE"""),"AsiaBooks")</f>
        <v>AsiaBooks</v>
      </c>
      <c r="F1309" s="1" t="str">
        <f>IFERROR(__xludf.DUMMYFUNCTION("""COMPUTED_VALUE"""),"1016938")</f>
        <v>1016938</v>
      </c>
      <c r="G1309" s="1" t="str">
        <f>IFERROR(__xludf.DUMMYFUNCTION("""COMPUTED_VALUE"""),"น.ส.ณัฏฐนันท์ ปัญญาสิทธิ์")</f>
        <v>น.ส.ณัฏฐนันท์ ปัญญาสิทธิ์</v>
      </c>
      <c r="H1309" s="1" t="str">
        <f>IFERROR(__xludf.DUMMYFUNCTION("""COMPUTED_VALUE"""),"1007000")</f>
        <v>1007000</v>
      </c>
      <c r="I1309" s="1" t="str">
        <f>IFERROR(__xludf.DUMMYFUNCTION("""COMPUTED_VALUE"""),"น.ส.เสาวลักษณ์ แป้นงาม")</f>
        <v>น.ส.เสาวลักษณ์ แป้นงาม</v>
      </c>
      <c r="J1309" s="3">
        <f>IFERROR(__xludf.DUMMYFUNCTION("""COMPUTED_VALUE"""),1016938.0)</f>
        <v>1016938</v>
      </c>
      <c r="K1309" s="3" t="str">
        <f>IFERROR(__xludf.DUMMYFUNCTION("""COMPUTED_VALUE"""),"น.ส.ณัฏฐนันท์ ปัญญาสิทธิ์")</f>
        <v>น.ส.ณัฏฐนันท์ ปัญญาสิทธิ์</v>
      </c>
      <c r="L1309" s="1" t="str">
        <f>IFERROR(__xludf.DUMMYFUNCTION("""COMPUTED_VALUE"""),"Asia Books")</f>
        <v>Asia Books</v>
      </c>
      <c r="M1309" s="1" t="str">
        <f>IFERROR(__xludf.DUMMYFUNCTION("""COMPUTED_VALUE"""),"0993463946")</f>
        <v>0993463946</v>
      </c>
      <c r="N1309" s="3" t="str">
        <f>IFERROR(__xludf.DUMMYFUNCTION("""COMPUTED_VALUE"""),"21RB098")</f>
        <v>21RB098</v>
      </c>
      <c r="O1309" s="3" t="str">
        <f>IFERROR(__xludf.DUMMYFUNCTION("""COMPUTED_VALUE"""),"AB:EMSPHERE G Floor")</f>
        <v>AB:EMSPHERE G Floor</v>
      </c>
      <c r="P1309" s="4">
        <f>IFERROR(__xludf.DUMMYFUNCTION("""COMPUTED_VALUE"""),45261.0)</f>
        <v>45261</v>
      </c>
      <c r="Q1309" s="3" t="str">
        <f>IFERROR(__xludf.DUMMYFUNCTION("""COMPUTED_VALUE"""),"A")</f>
        <v>A</v>
      </c>
      <c r="R1309" s="3" t="str">
        <f>IFERROR(__xludf.DUMMYFUNCTION("""COMPUTED_VALUE"""),"Small Format")</f>
        <v>Small Format</v>
      </c>
      <c r="S1309" s="3" t="str">
        <f>IFERROR(__xludf.DUMMYFUNCTION("""COMPUTED_VALUE"""),"AsiaBooks")</f>
        <v>AsiaBooks</v>
      </c>
      <c r="T1309" s="3" t="str">
        <f>IFERROR(__xludf.DUMMYFUNCTION("""COMPUTED_VALUE"""),"Asia Books")</f>
        <v>Asia Books</v>
      </c>
      <c r="U1309" s="3" t="str">
        <f>IFERROR(__xludf.DUMMYFUNCTION("""COMPUTED_VALUE"""),"#N/A")</f>
        <v>#N/A</v>
      </c>
      <c r="V1309" s="3" t="str">
        <f>IFERROR(__xludf.DUMMYFUNCTION("""COMPUTED_VALUE"""),"N")</f>
        <v>N</v>
      </c>
      <c r="W1309" s="3"/>
      <c r="X1309" s="3" t="str">
        <f>IFERROR(__xludf.DUMMYFUNCTION("""COMPUTED_VALUE"""),"อาคารศูนย์การค้าเอ็มสเฟียร์ ชั้น G 628 ถนนสุขุมวิท แขวงคลองตัน เขตคลองเตย กรุงเทพมหานคร 10110")</f>
        <v>อาคารศูนย์การค้าเอ็มสเฟียร์ ชั้น G 628 ถนนสุขุมวิท แขวงคลองตัน เขตคลองเตย กรุงเทพมหานคร 10110</v>
      </c>
      <c r="Y1309" s="3" t="str">
        <f>IFERROR(__xludf.DUMMYFUNCTION("""COMPUTED_VALUE"""),"สุขุมวิท")</f>
        <v>สุขุมวิท</v>
      </c>
      <c r="Z1309" s="3" t="str">
        <f>IFERROR(__xludf.DUMMYFUNCTION("""COMPUTED_VALUE"""),"คลองตัน")</f>
        <v>คลองตัน</v>
      </c>
      <c r="AA1309" s="3" t="str">
        <f>IFERROR(__xludf.DUMMYFUNCTION("""COMPUTED_VALUE"""),"คลองเตย")</f>
        <v>คลองเตย</v>
      </c>
      <c r="AB1309" s="3" t="str">
        <f>IFERROR(__xludf.DUMMYFUNCTION("""COMPUTED_VALUE"""),"กรุงเทพมหานคร")</f>
        <v>กรุงเทพมหานคร</v>
      </c>
      <c r="AC1309" s="3">
        <f>IFERROR(__xludf.DUMMYFUNCTION("""COMPUTED_VALUE"""),10110.0)</f>
        <v>10110</v>
      </c>
      <c r="AD1309" s="3">
        <f>IFERROR(__xludf.DUMMYFUNCTION("""COMPUTED_VALUE"""),13.17907077)</f>
        <v>13.17907077</v>
      </c>
      <c r="AE1309" s="3">
        <f>IFERROR(__xludf.DUMMYFUNCTION("""COMPUTED_VALUE"""),100.5664575)</f>
        <v>100.5664575</v>
      </c>
      <c r="AF1309" s="3" t="str">
        <f>IFERROR(__xludf.DUMMYFUNCTION("""COMPUTED_VALUE"""),"AB:EMSPHERE G Floor-21RB098")</f>
        <v>AB:EMSPHERE G Floor-21RB098</v>
      </c>
      <c r="AG1309" s="3" t="str">
        <f>IFERROR(__xludf.DUMMYFUNCTION("""COMPUTED_VALUE"""),"กลาง")</f>
        <v>กลาง</v>
      </c>
      <c r="AH1309" s="3" t="str">
        <f>IFERROR(__xludf.DUMMYFUNCTION("""COMPUTED_VALUE"""),"#N/A")</f>
        <v>#N/A</v>
      </c>
      <c r="AI1309" s="3" t="str">
        <f>IFERROR(__xludf.DUMMYFUNCTION("""COMPUTED_VALUE"""),"Out of warranty")</f>
        <v>Out of warranty</v>
      </c>
      <c r="AJ1309" s="3">
        <f>IFERROR(__xludf.DUMMYFUNCTION("""COMPUTED_VALUE"""),26.0)</f>
        <v>26</v>
      </c>
      <c r="AK1309" s="3"/>
      <c r="AL1309" s="3"/>
    </row>
    <row r="1310" ht="15.75" customHeight="1">
      <c r="A1310" s="1" t="str">
        <f>IFERROR(__xludf.DUMMYFUNCTION("""COMPUTED_VALUE"""),"21RB099")</f>
        <v>21RB099</v>
      </c>
      <c r="B1310" s="2" t="str">
        <f>IFERROR(__xludf.DUMMYFUNCTION("""COMPUTED_VALUE"""),"21RB099")</f>
        <v>21RB099</v>
      </c>
      <c r="C1310" s="3" t="str">
        <f>IFERROR(__xludf.DUMMYFUNCTION("""COMPUTED_VALUE"""),"AB:EMSPHERE 2 Floor")</f>
        <v>AB:EMSPHERE 2 Floor</v>
      </c>
      <c r="D1310" s="3" t="str">
        <f>IFERROR(__xludf.DUMMYFUNCTION("""COMPUTED_VALUE"""),"AB:EMSPHERE 2 Floor")</f>
        <v>AB:EMSPHERE 2 Floor</v>
      </c>
      <c r="E1310" s="1" t="str">
        <f>IFERROR(__xludf.DUMMYFUNCTION("""COMPUTED_VALUE"""),"AsiaBooks")</f>
        <v>AsiaBooks</v>
      </c>
      <c r="F1310" s="1" t="str">
        <f>IFERROR(__xludf.DUMMYFUNCTION("""COMPUTED_VALUE"""),"1016938")</f>
        <v>1016938</v>
      </c>
      <c r="G1310" s="1" t="str">
        <f>IFERROR(__xludf.DUMMYFUNCTION("""COMPUTED_VALUE"""),"น.ส.ณัฏฐนันท์ ปัญญาสิทธิ์")</f>
        <v>น.ส.ณัฏฐนันท์ ปัญญาสิทธิ์</v>
      </c>
      <c r="H1310" s="1" t="str">
        <f>IFERROR(__xludf.DUMMYFUNCTION("""COMPUTED_VALUE"""),"1007000")</f>
        <v>1007000</v>
      </c>
      <c r="I1310" s="1" t="str">
        <f>IFERROR(__xludf.DUMMYFUNCTION("""COMPUTED_VALUE"""),"น.ส.เสาวลักษณ์ แป้นงาม")</f>
        <v>น.ส.เสาวลักษณ์ แป้นงาม</v>
      </c>
      <c r="J1310" s="3">
        <f>IFERROR(__xludf.DUMMYFUNCTION("""COMPUTED_VALUE"""),1016938.0)</f>
        <v>1016938</v>
      </c>
      <c r="K1310" s="3" t="str">
        <f>IFERROR(__xludf.DUMMYFUNCTION("""COMPUTED_VALUE"""),"น.ส.ณัฏฐนันท์ ปัญญาสิทธิ์")</f>
        <v>น.ส.ณัฏฐนันท์ ปัญญาสิทธิ์</v>
      </c>
      <c r="L1310" s="1" t="str">
        <f>IFERROR(__xludf.DUMMYFUNCTION("""COMPUTED_VALUE"""),"Asia Books")</f>
        <v>Asia Books</v>
      </c>
      <c r="M1310" s="1" t="str">
        <f>IFERROR(__xludf.DUMMYFUNCTION("""COMPUTED_VALUE"""),"0993463946")</f>
        <v>0993463946</v>
      </c>
      <c r="N1310" s="3" t="str">
        <f>IFERROR(__xludf.DUMMYFUNCTION("""COMPUTED_VALUE"""),"21RB099")</f>
        <v>21RB099</v>
      </c>
      <c r="O1310" s="3" t="str">
        <f>IFERROR(__xludf.DUMMYFUNCTION("""COMPUTED_VALUE"""),"AB:EMSPHERE 2 Floor")</f>
        <v>AB:EMSPHERE 2 Floor</v>
      </c>
      <c r="P1310" s="4">
        <f>IFERROR(__xludf.DUMMYFUNCTION("""COMPUTED_VALUE"""),45261.0)</f>
        <v>45261</v>
      </c>
      <c r="Q1310" s="3" t="str">
        <f>IFERROR(__xludf.DUMMYFUNCTION("""COMPUTED_VALUE"""),"A")</f>
        <v>A</v>
      </c>
      <c r="R1310" s="3" t="str">
        <f>IFERROR(__xludf.DUMMYFUNCTION("""COMPUTED_VALUE"""),"Small Format")</f>
        <v>Small Format</v>
      </c>
      <c r="S1310" s="3" t="str">
        <f>IFERROR(__xludf.DUMMYFUNCTION("""COMPUTED_VALUE"""),"AsiaBooks")</f>
        <v>AsiaBooks</v>
      </c>
      <c r="T1310" s="3" t="str">
        <f>IFERROR(__xludf.DUMMYFUNCTION("""COMPUTED_VALUE"""),"Asia Books")</f>
        <v>Asia Books</v>
      </c>
      <c r="U1310" s="3" t="str">
        <f>IFERROR(__xludf.DUMMYFUNCTION("""COMPUTED_VALUE"""),"#N/A")</f>
        <v>#N/A</v>
      </c>
      <c r="V1310" s="3" t="str">
        <f>IFERROR(__xludf.DUMMYFUNCTION("""COMPUTED_VALUE"""),"N")</f>
        <v>N</v>
      </c>
      <c r="W1310" s="3"/>
      <c r="X1310" s="3" t="str">
        <f>IFERROR(__xludf.DUMMYFUNCTION("""COMPUTED_VALUE"""),"อาคารศูนย์การค้าเอ็มสเฟียร์ ชั้น 2 ห้องเลขที่ 2A 01-02 628 ถนนสุขุมวิท แขวงคลองตัน เขตคลองเตย กรุงเทพมหานคร 10110")</f>
        <v>อาคารศูนย์การค้าเอ็มสเฟียร์ ชั้น 2 ห้องเลขที่ 2A 01-02 628 ถนนสุขุมวิท แขวงคลองตัน เขตคลองเตย กรุงเทพมหานคร 10110</v>
      </c>
      <c r="Y1310" s="3" t="str">
        <f>IFERROR(__xludf.DUMMYFUNCTION("""COMPUTED_VALUE"""),"สุขุมวิท")</f>
        <v>สุขุมวิท</v>
      </c>
      <c r="Z1310" s="3" t="str">
        <f>IFERROR(__xludf.DUMMYFUNCTION("""COMPUTED_VALUE"""),"คลองตัน")</f>
        <v>คลองตัน</v>
      </c>
      <c r="AA1310" s="3" t="str">
        <f>IFERROR(__xludf.DUMMYFUNCTION("""COMPUTED_VALUE"""),"ตลองเตย")</f>
        <v>ตลองเตย</v>
      </c>
      <c r="AB1310" s="3" t="str">
        <f>IFERROR(__xludf.DUMMYFUNCTION("""COMPUTED_VALUE"""),"กรุงเทพมหานคร")</f>
        <v>กรุงเทพมหานคร</v>
      </c>
      <c r="AC1310" s="3">
        <f>IFERROR(__xludf.DUMMYFUNCTION("""COMPUTED_VALUE"""),10110.0)</f>
        <v>10110</v>
      </c>
      <c r="AD1310" s="3">
        <f>IFERROR(__xludf.DUMMYFUNCTION("""COMPUTED_VALUE"""),13.17907077)</f>
        <v>13.17907077</v>
      </c>
      <c r="AE1310" s="3">
        <f>IFERROR(__xludf.DUMMYFUNCTION("""COMPUTED_VALUE"""),100.5664575)</f>
        <v>100.5664575</v>
      </c>
      <c r="AF1310" s="3" t="str">
        <f>IFERROR(__xludf.DUMMYFUNCTION("""COMPUTED_VALUE"""),"AB:EMSPHERE 2 Floor-21RB099")</f>
        <v>AB:EMSPHERE 2 Floor-21RB099</v>
      </c>
      <c r="AG1310" s="3" t="str">
        <f>IFERROR(__xludf.DUMMYFUNCTION("""COMPUTED_VALUE"""),"กลาง")</f>
        <v>กลาง</v>
      </c>
      <c r="AH1310" s="3" t="str">
        <f>IFERROR(__xludf.DUMMYFUNCTION("""COMPUTED_VALUE"""),"#N/A")</f>
        <v>#N/A</v>
      </c>
      <c r="AI1310" s="3" t="str">
        <f>IFERROR(__xludf.DUMMYFUNCTION("""COMPUTED_VALUE"""),"Out of warranty")</f>
        <v>Out of warranty</v>
      </c>
      <c r="AJ1310" s="3">
        <f>IFERROR(__xludf.DUMMYFUNCTION("""COMPUTED_VALUE"""),26.0)</f>
        <v>26</v>
      </c>
      <c r="AK1310" s="3"/>
      <c r="AL1310" s="3"/>
    </row>
    <row r="1311" ht="15.75" customHeight="1">
      <c r="A1311" s="1" t="str">
        <f>IFERROR(__xludf.DUMMYFUNCTION("""COMPUTED_VALUE"""),"21RB102")</f>
        <v>21RB102</v>
      </c>
      <c r="B1311" s="2" t="str">
        <f>IFERROR(__xludf.DUMMYFUNCTION("""COMPUTED_VALUE"""),"21RB102")</f>
        <v>21RB102</v>
      </c>
      <c r="C1311" s="3" t="str">
        <f>IFERROR(__xludf.DUMMYFUNCTION("""COMPUTED_VALUE"""),"AB-SIS CENTRAL WESTVILLE")</f>
        <v>AB-SIS CENTRAL WESTVILLE</v>
      </c>
      <c r="D1311" s="3" t="str">
        <f>IFERROR(__xludf.DUMMYFUNCTION("""COMPUTED_VALUE"""),"AB-SIS CENTRAL WESTVILLE")</f>
        <v>AB-SIS CENTRAL WESTVILLE</v>
      </c>
      <c r="E1311" s="1" t="str">
        <f>IFERROR(__xludf.DUMMYFUNCTION("""COMPUTED_VALUE"""),"AsiaBooks")</f>
        <v>AsiaBooks</v>
      </c>
      <c r="F1311" s="1" t="str">
        <f>IFERROR(__xludf.DUMMYFUNCTION("""COMPUTED_VALUE"""),"1016938")</f>
        <v>1016938</v>
      </c>
      <c r="G1311" s="1" t="str">
        <f>IFERROR(__xludf.DUMMYFUNCTION("""COMPUTED_VALUE"""),"น.ส.ณัฏฐนันท์ ปัญญาสิทธิ์")</f>
        <v>น.ส.ณัฏฐนันท์ ปัญญาสิทธิ์</v>
      </c>
      <c r="H1311" s="1" t="str">
        <f>IFERROR(__xludf.DUMMYFUNCTION("""COMPUTED_VALUE"""),"1007000")</f>
        <v>1007000</v>
      </c>
      <c r="I1311" s="1" t="str">
        <f>IFERROR(__xludf.DUMMYFUNCTION("""COMPUTED_VALUE"""),"น.ส.เสาวลักษณ์ แป้นงาม")</f>
        <v>น.ส.เสาวลักษณ์ แป้นงาม</v>
      </c>
      <c r="J1311" s="3">
        <f>IFERROR(__xludf.DUMMYFUNCTION("""COMPUTED_VALUE"""),1016938.0)</f>
        <v>1016938</v>
      </c>
      <c r="K1311" s="3" t="str">
        <f>IFERROR(__xludf.DUMMYFUNCTION("""COMPUTED_VALUE"""),"น.ส.ณัฏฐนันท์ ปัญญาสิทธิ์")</f>
        <v>น.ส.ณัฏฐนันท์ ปัญญาสิทธิ์</v>
      </c>
      <c r="L1311" s="1" t="str">
        <f>IFERROR(__xludf.DUMMYFUNCTION("""COMPUTED_VALUE"""),"Asia Books")</f>
        <v>Asia Books</v>
      </c>
      <c r="M1311" s="1" t="str">
        <f>IFERROR(__xludf.DUMMYFUNCTION("""COMPUTED_VALUE"""),"0993463946")</f>
        <v>0993463946</v>
      </c>
      <c r="N1311" s="3" t="str">
        <f>IFERROR(__xludf.DUMMYFUNCTION("""COMPUTED_VALUE"""),"21RB102")</f>
        <v>21RB102</v>
      </c>
      <c r="O1311" s="3" t="str">
        <f>IFERROR(__xludf.DUMMYFUNCTION("""COMPUTED_VALUE"""),"AB-SIS CENTRAL WESTVILLE")</f>
        <v>AB-SIS CENTRAL WESTVILLE</v>
      </c>
      <c r="P1311" s="4">
        <f>IFERROR(__xludf.DUMMYFUNCTION("""COMPUTED_VALUE"""),45259.0)</f>
        <v>45259</v>
      </c>
      <c r="Q1311" s="3" t="str">
        <f>IFERROR(__xludf.DUMMYFUNCTION("""COMPUTED_VALUE"""),"A")</f>
        <v>A</v>
      </c>
      <c r="R1311" s="3" t="str">
        <f>IFERROR(__xludf.DUMMYFUNCTION("""COMPUTED_VALUE"""),"Small Format")</f>
        <v>Small Format</v>
      </c>
      <c r="S1311" s="3" t="str">
        <f>IFERROR(__xludf.DUMMYFUNCTION("""COMPUTED_VALUE"""),"AsiaBooks")</f>
        <v>AsiaBooks</v>
      </c>
      <c r="T1311" s="3" t="str">
        <f>IFERROR(__xludf.DUMMYFUNCTION("""COMPUTED_VALUE"""),"Asia Books")</f>
        <v>Asia Books</v>
      </c>
      <c r="U1311" s="3" t="str">
        <f>IFERROR(__xludf.DUMMYFUNCTION("""COMPUTED_VALUE"""),"#N/A")</f>
        <v>#N/A</v>
      </c>
      <c r="V1311" s="3" t="str">
        <f>IFERROR(__xludf.DUMMYFUNCTION("""COMPUTED_VALUE"""),"N")</f>
        <v>N</v>
      </c>
      <c r="W1311" s="3"/>
      <c r="X1311" s="3" t="str">
        <f>IFERROR(__xludf.DUMMYFUNCTION("""COMPUTED_VALUE"""),"อาคารศูนย์การค้าเซ็นทรัลเวสต์วิลล์ 999 หมู่ที่ 5 ถนนราชพฤกษ์ ตำบลมหาสวัสดิ์ อำเภอบางกรวย นนทบุรี 11130")</f>
        <v>อาคารศูนย์การค้าเซ็นทรัลเวสต์วิลล์ 999 หมู่ที่ 5 ถนนราชพฤกษ์ ตำบลมหาสวัสดิ์ อำเภอบางกรวย นนทบุรี 11130</v>
      </c>
      <c r="Y1311" s="3" t="str">
        <f>IFERROR(__xludf.DUMMYFUNCTION("""COMPUTED_VALUE"""),"ราชพฤกษ์")</f>
        <v>ราชพฤกษ์</v>
      </c>
      <c r="Z1311" s="3" t="str">
        <f>IFERROR(__xludf.DUMMYFUNCTION("""COMPUTED_VALUE"""),"มหาสวัสดิ์")</f>
        <v>มหาสวัสดิ์</v>
      </c>
      <c r="AA1311" s="3" t="str">
        <f>IFERROR(__xludf.DUMMYFUNCTION("""COMPUTED_VALUE"""),"บางกรวย")</f>
        <v>บางกรวย</v>
      </c>
      <c r="AB1311" s="3" t="str">
        <f>IFERROR(__xludf.DUMMYFUNCTION("""COMPUTED_VALUE"""),"นนทบุรี")</f>
        <v>นนทบุรี</v>
      </c>
      <c r="AC1311" s="3">
        <f>IFERROR(__xludf.DUMMYFUNCTION("""COMPUTED_VALUE"""),11130.0)</f>
        <v>11130</v>
      </c>
      <c r="AD1311" s="3">
        <f>IFERROR(__xludf.DUMMYFUNCTION("""COMPUTED_VALUE"""),13.80456615)</f>
        <v>13.80456615</v>
      </c>
      <c r="AE1311" s="3">
        <f>IFERROR(__xludf.DUMMYFUNCTION("""COMPUTED_VALUE"""),100.4489792)</f>
        <v>100.4489792</v>
      </c>
      <c r="AF1311" s="3" t="str">
        <f>IFERROR(__xludf.DUMMYFUNCTION("""COMPUTED_VALUE"""),"AB-SIS CENTRAL WESTVILLE-21RB102")</f>
        <v>AB-SIS CENTRAL WESTVILLE-21RB102</v>
      </c>
      <c r="AG1311" s="3" t="str">
        <f>IFERROR(__xludf.DUMMYFUNCTION("""COMPUTED_VALUE"""),"กลาง")</f>
        <v>กลาง</v>
      </c>
      <c r="AH1311" s="3" t="str">
        <f>IFERROR(__xludf.DUMMYFUNCTION("""COMPUTED_VALUE"""),"#N/A")</f>
        <v>#N/A</v>
      </c>
      <c r="AI1311" s="3" t="str">
        <f>IFERROR(__xludf.DUMMYFUNCTION("""COMPUTED_VALUE"""),"Out of warranty")</f>
        <v>Out of warranty</v>
      </c>
      <c r="AJ1311" s="3">
        <f>IFERROR(__xludf.DUMMYFUNCTION("""COMPUTED_VALUE"""),26.0)</f>
        <v>26</v>
      </c>
      <c r="AK1311" s="3"/>
      <c r="AL1311" s="3"/>
    </row>
    <row r="1312" ht="15.75" customHeight="1">
      <c r="A1312" s="1" t="str">
        <f>IFERROR(__xludf.DUMMYFUNCTION("""COMPUTED_VALUE"""),"21RB104")</f>
        <v>21RB104</v>
      </c>
      <c r="B1312" s="2" t="str">
        <f>IFERROR(__xludf.DUMMYFUNCTION("""COMPUTED_VALUE"""),"21RB104")</f>
        <v>21RB104</v>
      </c>
      <c r="C1312" s="3" t="str">
        <f>IFERROR(__xludf.DUMMYFUNCTION("""COMPUTED_VALUE"""),"AB-SIS CENTRAL NAKHON SAWAN")</f>
        <v>AB-SIS CENTRAL NAKHON SAWAN</v>
      </c>
      <c r="D1312" s="3" t="str">
        <f>IFERROR(__xludf.DUMMYFUNCTION("""COMPUTED_VALUE"""),"AB-SIS CENTRAL NAKHON SAWAN")</f>
        <v>AB-SIS CENTRAL NAKHON SAWAN</v>
      </c>
      <c r="E1312" s="1" t="str">
        <f>IFERROR(__xludf.DUMMYFUNCTION("""COMPUTED_VALUE"""),"AsiaBooks")</f>
        <v>AsiaBooks</v>
      </c>
      <c r="F1312" s="1" t="str">
        <f>IFERROR(__xludf.DUMMYFUNCTION("""COMPUTED_VALUE"""),"1016938")</f>
        <v>1016938</v>
      </c>
      <c r="G1312" s="1" t="str">
        <f>IFERROR(__xludf.DUMMYFUNCTION("""COMPUTED_VALUE"""),"น.ส.ณัฏฐนันท์ ปัญญาสิทธิ์")</f>
        <v>น.ส.ณัฏฐนันท์ ปัญญาสิทธิ์</v>
      </c>
      <c r="H1312" s="1" t="str">
        <f>IFERROR(__xludf.DUMMYFUNCTION("""COMPUTED_VALUE"""),"1007000")</f>
        <v>1007000</v>
      </c>
      <c r="I1312" s="1" t="str">
        <f>IFERROR(__xludf.DUMMYFUNCTION("""COMPUTED_VALUE"""),"น.ส.เสาวลักษณ์ แป้นงาม")</f>
        <v>น.ส.เสาวลักษณ์ แป้นงาม</v>
      </c>
      <c r="J1312" s="3">
        <f>IFERROR(__xludf.DUMMYFUNCTION("""COMPUTED_VALUE"""),1016938.0)</f>
        <v>1016938</v>
      </c>
      <c r="K1312" s="3" t="str">
        <f>IFERROR(__xludf.DUMMYFUNCTION("""COMPUTED_VALUE"""),"น.ส.ณัฏฐนันท์ ปัญญาสิทธิ์")</f>
        <v>น.ส.ณัฏฐนันท์ ปัญญาสิทธิ์</v>
      </c>
      <c r="L1312" s="1" t="str">
        <f>IFERROR(__xludf.DUMMYFUNCTION("""COMPUTED_VALUE"""),"Asia Books")</f>
        <v>Asia Books</v>
      </c>
      <c r="M1312" s="1" t="str">
        <f>IFERROR(__xludf.DUMMYFUNCTION("""COMPUTED_VALUE"""),"0993463946")</f>
        <v>0993463946</v>
      </c>
      <c r="N1312" s="3" t="str">
        <f>IFERROR(__xludf.DUMMYFUNCTION("""COMPUTED_VALUE"""),"21RB104")</f>
        <v>21RB104</v>
      </c>
      <c r="O1312" s="3" t="str">
        <f>IFERROR(__xludf.DUMMYFUNCTION("""COMPUTED_VALUE"""),"AB-SIS CENTRAL NAKHON SAWAN")</f>
        <v>AB-SIS CENTRAL NAKHON SAWAN</v>
      </c>
      <c r="P1312" s="4">
        <f>IFERROR(__xludf.DUMMYFUNCTION("""COMPUTED_VALUE"""),45322.0)</f>
        <v>45322</v>
      </c>
      <c r="Q1312" s="3" t="str">
        <f>IFERROR(__xludf.DUMMYFUNCTION("""COMPUTED_VALUE"""),"A")</f>
        <v>A</v>
      </c>
      <c r="R1312" s="3" t="str">
        <f>IFERROR(__xludf.DUMMYFUNCTION("""COMPUTED_VALUE"""),"Small Format")</f>
        <v>Small Format</v>
      </c>
      <c r="S1312" s="3" t="str">
        <f>IFERROR(__xludf.DUMMYFUNCTION("""COMPUTED_VALUE"""),"AsiaBooks")</f>
        <v>AsiaBooks</v>
      </c>
      <c r="T1312" s="3" t="str">
        <f>IFERROR(__xludf.DUMMYFUNCTION("""COMPUTED_VALUE"""),"Asia Books")</f>
        <v>Asia Books</v>
      </c>
      <c r="U1312" s="3" t="str">
        <f>IFERROR(__xludf.DUMMYFUNCTION("""COMPUTED_VALUE"""),"#N/A")</f>
        <v>#N/A</v>
      </c>
      <c r="V1312" s="3" t="str">
        <f>IFERROR(__xludf.DUMMYFUNCTION("""COMPUTED_VALUE"""),"N")</f>
        <v>N</v>
      </c>
      <c r="W1312" s="3"/>
      <c r="X1312" s="3" t="str">
        <f>IFERROR(__xludf.DUMMYFUNCTION("""COMPUTED_VALUE"""),"อาคารศูนย์การค้าเซ็นทรัลพลาซานครสวรรค์ 699 หมู่ที่ 10 ถนนพหลโยธิน ตำบลนครสวรรค์ตก อำเภอเมืองนครสวรรค์ นครสวรรค์ 60000")</f>
        <v>อาคารศูนย์การค้าเซ็นทรัลพลาซานครสวรรค์ 699 หมู่ที่ 10 ถนนพหลโยธิน ตำบลนครสวรรค์ตก อำเภอเมืองนครสวรรค์ นครสวรรค์ 60000</v>
      </c>
      <c r="Y1312" s="3" t="str">
        <f>IFERROR(__xludf.DUMMYFUNCTION("""COMPUTED_VALUE"""),"พหลโยธิน")</f>
        <v>พหลโยธิน</v>
      </c>
      <c r="Z1312" s="3" t="str">
        <f>IFERROR(__xludf.DUMMYFUNCTION("""COMPUTED_VALUE"""),"นครสวรรค์ตก")</f>
        <v>นครสวรรค์ตก</v>
      </c>
      <c r="AA1312" s="3" t="str">
        <f>IFERROR(__xludf.DUMMYFUNCTION("""COMPUTED_VALUE"""),"เมืองนครสวรรค์")</f>
        <v>เมืองนครสวรรค์</v>
      </c>
      <c r="AB1312" s="3" t="str">
        <f>IFERROR(__xludf.DUMMYFUNCTION("""COMPUTED_VALUE"""),"นครสวรรค์")</f>
        <v>นครสวรรค์</v>
      </c>
      <c r="AC1312" s="3">
        <f>IFERROR(__xludf.DUMMYFUNCTION("""COMPUTED_VALUE"""),60000.0)</f>
        <v>60000</v>
      </c>
      <c r="AD1312" s="3">
        <f>IFERROR(__xludf.DUMMYFUNCTION("""COMPUTED_VALUE"""),15.70295401)</f>
        <v>15.70295401</v>
      </c>
      <c r="AE1312" s="3">
        <f>IFERROR(__xludf.DUMMYFUNCTION("""COMPUTED_VALUE"""),100.1173618)</f>
        <v>100.1173618</v>
      </c>
      <c r="AF1312" s="3" t="str">
        <f>IFERROR(__xludf.DUMMYFUNCTION("""COMPUTED_VALUE"""),"AB-SIS CENTRAL NAKHON SAWAN-21RB104")</f>
        <v>AB-SIS CENTRAL NAKHON SAWAN-21RB104</v>
      </c>
      <c r="AG1312" s="3" t="str">
        <f>IFERROR(__xludf.DUMMYFUNCTION("""COMPUTED_VALUE"""),"กลาง")</f>
        <v>กลาง</v>
      </c>
      <c r="AH1312" s="3" t="str">
        <f>IFERROR(__xludf.DUMMYFUNCTION("""COMPUTED_VALUE"""),"#N/A")</f>
        <v>#N/A</v>
      </c>
      <c r="AI1312" s="3" t="str">
        <f>IFERROR(__xludf.DUMMYFUNCTION("""COMPUTED_VALUE"""),"Out of warranty")</f>
        <v>Out of warranty</v>
      </c>
      <c r="AJ1312" s="3">
        <f>IFERROR(__xludf.DUMMYFUNCTION("""COMPUTED_VALUE"""),24.0)</f>
        <v>24</v>
      </c>
      <c r="AK1312" s="3"/>
      <c r="AL1312" s="3"/>
    </row>
    <row r="1313" ht="15.75" customHeight="1">
      <c r="A1313" s="1" t="str">
        <f>IFERROR(__xludf.DUMMYFUNCTION("""COMPUTED_VALUE"""),"21RB105")</f>
        <v>21RB105</v>
      </c>
      <c r="B1313" s="2" t="str">
        <f>IFERROR(__xludf.DUMMYFUNCTION("""COMPUTED_VALUE"""),"21RB105")</f>
        <v>21RB105</v>
      </c>
      <c r="C1313" s="3" t="str">
        <f>IFERROR(__xludf.DUMMYFUNCTION("""COMPUTED_VALUE"""),"AB-SIS CENTRAL NAKHON PATHOM")</f>
        <v>AB-SIS CENTRAL NAKHON PATHOM</v>
      </c>
      <c r="D1313" s="3" t="str">
        <f>IFERROR(__xludf.DUMMYFUNCTION("""COMPUTED_VALUE"""),"AB-SIS CENTRAL NAKHON PATHOM")</f>
        <v>AB-SIS CENTRAL NAKHON PATHOM</v>
      </c>
      <c r="E1313" s="1" t="str">
        <f>IFERROR(__xludf.DUMMYFUNCTION("""COMPUTED_VALUE"""),"AsiaBooks")</f>
        <v>AsiaBooks</v>
      </c>
      <c r="F1313" s="1" t="str">
        <f>IFERROR(__xludf.DUMMYFUNCTION("""COMPUTED_VALUE"""),"1016938")</f>
        <v>1016938</v>
      </c>
      <c r="G1313" s="1" t="str">
        <f>IFERROR(__xludf.DUMMYFUNCTION("""COMPUTED_VALUE"""),"น.ส.ณัฏฐนันท์ ปัญญาสิทธิ์")</f>
        <v>น.ส.ณัฏฐนันท์ ปัญญาสิทธิ์</v>
      </c>
      <c r="H1313" s="1" t="str">
        <f>IFERROR(__xludf.DUMMYFUNCTION("""COMPUTED_VALUE"""),"1007000")</f>
        <v>1007000</v>
      </c>
      <c r="I1313" s="1" t="str">
        <f>IFERROR(__xludf.DUMMYFUNCTION("""COMPUTED_VALUE"""),"น.ส.เสาวลักษณ์ แป้นงาม")</f>
        <v>น.ส.เสาวลักษณ์ แป้นงาม</v>
      </c>
      <c r="J1313" s="3">
        <f>IFERROR(__xludf.DUMMYFUNCTION("""COMPUTED_VALUE"""),1016938.0)</f>
        <v>1016938</v>
      </c>
      <c r="K1313" s="3" t="str">
        <f>IFERROR(__xludf.DUMMYFUNCTION("""COMPUTED_VALUE"""),"น.ส.ณัฏฐนันท์ ปัญญาสิทธิ์")</f>
        <v>น.ส.ณัฏฐนันท์ ปัญญาสิทธิ์</v>
      </c>
      <c r="L1313" s="1" t="str">
        <f>IFERROR(__xludf.DUMMYFUNCTION("""COMPUTED_VALUE"""),"Asia Books")</f>
        <v>Asia Books</v>
      </c>
      <c r="M1313" s="1" t="str">
        <f>IFERROR(__xludf.DUMMYFUNCTION("""COMPUTED_VALUE"""),"0993463946")</f>
        <v>0993463946</v>
      </c>
      <c r="N1313" s="3" t="str">
        <f>IFERROR(__xludf.DUMMYFUNCTION("""COMPUTED_VALUE"""),"21RB105")</f>
        <v>21RB105</v>
      </c>
      <c r="O1313" s="3" t="str">
        <f>IFERROR(__xludf.DUMMYFUNCTION("""COMPUTED_VALUE"""),"AB-SIS CENTRAL NAKHON PATHOM")</f>
        <v>AB-SIS CENTRAL NAKHON PATHOM</v>
      </c>
      <c r="P1313" s="4">
        <f>IFERROR(__xludf.DUMMYFUNCTION("""COMPUTED_VALUE"""),45381.0)</f>
        <v>45381</v>
      </c>
      <c r="Q1313" s="3" t="str">
        <f>IFERROR(__xludf.DUMMYFUNCTION("""COMPUTED_VALUE"""),"A")</f>
        <v>A</v>
      </c>
      <c r="R1313" s="3" t="str">
        <f>IFERROR(__xludf.DUMMYFUNCTION("""COMPUTED_VALUE"""),"Small Format")</f>
        <v>Small Format</v>
      </c>
      <c r="S1313" s="3" t="str">
        <f>IFERROR(__xludf.DUMMYFUNCTION("""COMPUTED_VALUE"""),"AsiaBooks")</f>
        <v>AsiaBooks</v>
      </c>
      <c r="T1313" s="3" t="str">
        <f>IFERROR(__xludf.DUMMYFUNCTION("""COMPUTED_VALUE"""),"Asia Books")</f>
        <v>Asia Books</v>
      </c>
      <c r="U1313" s="3" t="str">
        <f>IFERROR(__xludf.DUMMYFUNCTION("""COMPUTED_VALUE"""),"#N/A")</f>
        <v>#N/A</v>
      </c>
      <c r="V1313" s="3" t="str">
        <f>IFERROR(__xludf.DUMMYFUNCTION("""COMPUTED_VALUE"""),"N")</f>
        <v>N</v>
      </c>
      <c r="W1313" s="3"/>
      <c r="X1313" s="3" t="str">
        <f>IFERROR(__xludf.DUMMYFUNCTION("""COMPUTED_VALUE"""),"อาคารศูนย์การค้าเซ็นทรัลพลาซ่านครปฐม 833 ถนนเพชรเกษม ตำบลสนามจันทร์ อำเภอเมืองนครปฐม นครปฐม 73000")</f>
        <v>อาคารศูนย์การค้าเซ็นทรัลพลาซ่านครปฐม 833 ถนนเพชรเกษม ตำบลสนามจันทร์ อำเภอเมืองนครปฐม นครปฐม 73000</v>
      </c>
      <c r="Y1313" s="3" t="str">
        <f>IFERROR(__xludf.DUMMYFUNCTION("""COMPUTED_VALUE"""),"เพชรเกษม")</f>
        <v>เพชรเกษม</v>
      </c>
      <c r="Z1313" s="3" t="str">
        <f>IFERROR(__xludf.DUMMYFUNCTION("""COMPUTED_VALUE"""),"สนามจันทร์")</f>
        <v>สนามจันทร์</v>
      </c>
      <c r="AA1313" s="3" t="str">
        <f>IFERROR(__xludf.DUMMYFUNCTION("""COMPUTED_VALUE"""),"เมืองนครปฐม")</f>
        <v>เมืองนครปฐม</v>
      </c>
      <c r="AB1313" s="3" t="str">
        <f>IFERROR(__xludf.DUMMYFUNCTION("""COMPUTED_VALUE"""),"นครปฐม")</f>
        <v>นครปฐม</v>
      </c>
      <c r="AC1313" s="3">
        <f>IFERROR(__xludf.DUMMYFUNCTION("""COMPUTED_VALUE"""),73000.0)</f>
        <v>73000</v>
      </c>
      <c r="AD1313" s="3">
        <f>IFERROR(__xludf.DUMMYFUNCTION("""COMPUTED_VALUE"""),13.8060181)</f>
        <v>13.8060181</v>
      </c>
      <c r="AE1313" s="3">
        <f>IFERROR(__xludf.DUMMYFUNCTION("""COMPUTED_VALUE"""),100.0483392)</f>
        <v>100.0483392</v>
      </c>
      <c r="AF1313" s="3" t="str">
        <f>IFERROR(__xludf.DUMMYFUNCTION("""COMPUTED_VALUE"""),"AB-SIS CENTRAL NAKHON PATHOM-21RB105")</f>
        <v>AB-SIS CENTRAL NAKHON PATHOM-21RB105</v>
      </c>
      <c r="AG1313" s="3" t="str">
        <f>IFERROR(__xludf.DUMMYFUNCTION("""COMPUTED_VALUE"""),"กลาง")</f>
        <v>กลาง</v>
      </c>
      <c r="AH1313" s="3" t="str">
        <f>IFERROR(__xludf.DUMMYFUNCTION("""COMPUTED_VALUE"""),"#N/A")</f>
        <v>#N/A</v>
      </c>
      <c r="AI1313" s="3" t="str">
        <f>IFERROR(__xludf.DUMMYFUNCTION("""COMPUTED_VALUE"""),"Out of warranty")</f>
        <v>Out of warranty</v>
      </c>
      <c r="AJ1313" s="3">
        <f>IFERROR(__xludf.DUMMYFUNCTION("""COMPUTED_VALUE"""),22.0)</f>
        <v>22</v>
      </c>
      <c r="AK1313" s="3"/>
      <c r="AL1313" s="3"/>
    </row>
    <row r="1314" ht="15.75" customHeight="1">
      <c r="A1314" s="1" t="str">
        <f>IFERROR(__xludf.DUMMYFUNCTION("""COMPUTED_VALUE"""),"21RB106")</f>
        <v>21RB106</v>
      </c>
      <c r="B1314" s="2" t="str">
        <f>IFERROR(__xludf.DUMMYFUNCTION("""COMPUTED_VALUE"""),"21RB106")</f>
        <v>21RB106</v>
      </c>
      <c r="C1314" s="3" t="str">
        <f>IFERROR(__xludf.DUMMYFUNCTION("""COMPUTED_VALUE"""),"AB-SIS:CENTRAL FESTIVAL PHUKET")</f>
        <v>AB-SIS:CENTRAL FESTIVAL PHUKET</v>
      </c>
      <c r="D1314" s="3" t="str">
        <f>IFERROR(__xludf.DUMMYFUNCTION("""COMPUTED_VALUE"""),"AB-SIS:CENTRAL FESTIVAL PHUKET")</f>
        <v>AB-SIS:CENTRAL FESTIVAL PHUKET</v>
      </c>
      <c r="E1314" s="1" t="str">
        <f>IFERROR(__xludf.DUMMYFUNCTION("""COMPUTED_VALUE"""),"AsiaBooks")</f>
        <v>AsiaBooks</v>
      </c>
      <c r="F1314" s="1" t="str">
        <f>IFERROR(__xludf.DUMMYFUNCTION("""COMPUTED_VALUE"""),"1016938")</f>
        <v>1016938</v>
      </c>
      <c r="G1314" s="1" t="str">
        <f>IFERROR(__xludf.DUMMYFUNCTION("""COMPUTED_VALUE"""),"น.ส.ณัฏฐนันท์ ปัญญาสิทธิ์")</f>
        <v>น.ส.ณัฏฐนันท์ ปัญญาสิทธิ์</v>
      </c>
      <c r="H1314" s="1" t="str">
        <f>IFERROR(__xludf.DUMMYFUNCTION("""COMPUTED_VALUE"""),"2010435")</f>
        <v>2010435</v>
      </c>
      <c r="I1314" s="1" t="str">
        <f>IFERROR(__xludf.DUMMYFUNCTION("""COMPUTED_VALUE"""),"น.ส.ลักษณพร เกิดบุญส่ง")</f>
        <v>น.ส.ลักษณพร เกิดบุญส่ง</v>
      </c>
      <c r="J1314" s="3">
        <f>IFERROR(__xludf.DUMMYFUNCTION("""COMPUTED_VALUE"""),1016938.0)</f>
        <v>1016938</v>
      </c>
      <c r="K1314" s="3" t="str">
        <f>IFERROR(__xludf.DUMMYFUNCTION("""COMPUTED_VALUE"""),"น.ส.ณัฏฐนันท์ ปัญญาสิทธิ์")</f>
        <v>น.ส.ณัฏฐนันท์ ปัญญาสิทธิ์</v>
      </c>
      <c r="L1314" s="1" t="str">
        <f>IFERROR(__xludf.DUMMYFUNCTION("""COMPUTED_VALUE"""),"Asia Books")</f>
        <v>Asia Books</v>
      </c>
      <c r="M1314" s="1" t="str">
        <f>IFERROR(__xludf.DUMMYFUNCTION("""COMPUTED_VALUE"""),"0993463946")</f>
        <v>0993463946</v>
      </c>
      <c r="N1314" s="3" t="str">
        <f>IFERROR(__xludf.DUMMYFUNCTION("""COMPUTED_VALUE"""),"21RB106")</f>
        <v>21RB106</v>
      </c>
      <c r="O1314" s="3" t="str">
        <f>IFERROR(__xludf.DUMMYFUNCTION("""COMPUTED_VALUE"""),"AB-SIS:CENTRAL FESTIVAL PHUKET")</f>
        <v>AB-SIS:CENTRAL FESTIVAL PHUKET</v>
      </c>
      <c r="P1314" s="4">
        <f>IFERROR(__xludf.DUMMYFUNCTION("""COMPUTED_VALUE"""),45510.0)</f>
        <v>45510</v>
      </c>
      <c r="Q1314" s="3" t="str">
        <f>IFERROR(__xludf.DUMMYFUNCTION("""COMPUTED_VALUE"""),"A")</f>
        <v>A</v>
      </c>
      <c r="R1314" s="3" t="str">
        <f>IFERROR(__xludf.DUMMYFUNCTION("""COMPUTED_VALUE"""),"Small Format")</f>
        <v>Small Format</v>
      </c>
      <c r="S1314" s="3" t="str">
        <f>IFERROR(__xludf.DUMMYFUNCTION("""COMPUTED_VALUE"""),"AsiaBooks")</f>
        <v>AsiaBooks</v>
      </c>
      <c r="T1314" s="3" t="str">
        <f>IFERROR(__xludf.DUMMYFUNCTION("""COMPUTED_VALUE"""),"Asia Books")</f>
        <v>Asia Books</v>
      </c>
      <c r="U1314" s="3" t="str">
        <f>IFERROR(__xludf.DUMMYFUNCTION("""COMPUTED_VALUE"""),"#N/A")</f>
        <v>#N/A</v>
      </c>
      <c r="V1314" s="3" t="str">
        <f>IFERROR(__xludf.DUMMYFUNCTION("""COMPUTED_VALUE"""),"N")</f>
        <v>N</v>
      </c>
      <c r="W1314" s="3"/>
      <c r="X1314" s="3" t="str">
        <f>IFERROR(__xludf.DUMMYFUNCTION("""COMPUTED_VALUE"""),"3rd Floor, Room No 323-323T,K308-310,K315-K316 Central Phuket Floresta Moo 4 Wichit, Muang Phuket 83000")</f>
        <v>3rd Floor, Room No 323-323T,K308-310,K315-K316 Central Phuket Floresta Moo 4 Wichit, Muang Phuket 83000</v>
      </c>
      <c r="Y1314" s="3"/>
      <c r="Z1314" s="3"/>
      <c r="AA1314" s="3" t="str">
        <f>IFERROR(__xludf.DUMMYFUNCTION("""COMPUTED_VALUE"""),"เมืองภูเก็ต")</f>
        <v>เมืองภูเก็ต</v>
      </c>
      <c r="AB1314" s="3" t="str">
        <f>IFERROR(__xludf.DUMMYFUNCTION("""COMPUTED_VALUE"""),"ภูเก็ต")</f>
        <v>ภูเก็ต</v>
      </c>
      <c r="AC1314" s="3">
        <f>IFERROR(__xludf.DUMMYFUNCTION("""COMPUTED_VALUE"""),83000.0)</f>
        <v>83000</v>
      </c>
      <c r="AD1314" s="3">
        <f>IFERROR(__xludf.DUMMYFUNCTION("""COMPUTED_VALUE"""),7.890209228)</f>
        <v>7.890209228</v>
      </c>
      <c r="AE1314" s="3">
        <f>IFERROR(__xludf.DUMMYFUNCTION("""COMPUTED_VALUE"""),98.36670178)</f>
        <v>98.36670178</v>
      </c>
      <c r="AF1314" s="3" t="str">
        <f>IFERROR(__xludf.DUMMYFUNCTION("""COMPUTED_VALUE"""),"AB-SIS:CENTRAL FESTIVAL PHUKET-21RB106")</f>
        <v>AB-SIS:CENTRAL FESTIVAL PHUKET-21RB106</v>
      </c>
      <c r="AG1314" s="3" t="str">
        <f>IFERROR(__xludf.DUMMYFUNCTION("""COMPUTED_VALUE"""),"ใต้")</f>
        <v>ใต้</v>
      </c>
      <c r="AH1314" s="3" t="str">
        <f>IFERROR(__xludf.DUMMYFUNCTION("""COMPUTED_VALUE"""),"#N/A")</f>
        <v>#N/A</v>
      </c>
      <c r="AI1314" s="3" t="str">
        <f>IFERROR(__xludf.DUMMYFUNCTION("""COMPUTED_VALUE"""),"Out of warranty")</f>
        <v>Out of warranty</v>
      </c>
      <c r="AJ1314" s="3">
        <f>IFERROR(__xludf.DUMMYFUNCTION("""COMPUTED_VALUE"""),18.0)</f>
        <v>18</v>
      </c>
      <c r="AK1314" s="3"/>
      <c r="AL1314" s="3"/>
    </row>
    <row r="1315" ht="15.75" customHeight="1">
      <c r="A1315" s="1" t="str">
        <f>IFERROR(__xludf.DUMMYFUNCTION("""COMPUTED_VALUE"""),"21RB107")</f>
        <v>21RB107</v>
      </c>
      <c r="B1315" s="2" t="str">
        <f>IFERROR(__xludf.DUMMYFUNCTION("""COMPUTED_VALUE"""),"21RB107")</f>
        <v>21RB107</v>
      </c>
      <c r="C1315" s="3" t="str">
        <f>IFERROR(__xludf.DUMMYFUNCTION("""COMPUTED_VALUE"""),"AB: THE CRYSTAL SB RATCHAPRUERK")</f>
        <v>AB: THE CRYSTAL SB RATCHAPRUERK</v>
      </c>
      <c r="D1315" s="3" t="str">
        <f>IFERROR(__xludf.DUMMYFUNCTION("""COMPUTED_VALUE"""),"AB: THE CRYSTAL SB RATCHAPRUERK")</f>
        <v>AB: THE CRYSTAL SB RATCHAPRUERK</v>
      </c>
      <c r="E1315" s="1" t="str">
        <f>IFERROR(__xludf.DUMMYFUNCTION("""COMPUTED_VALUE"""),"AsiaBooks")</f>
        <v>AsiaBooks</v>
      </c>
      <c r="F1315" s="1" t="str">
        <f>IFERROR(__xludf.DUMMYFUNCTION("""COMPUTED_VALUE"""),"1016938")</f>
        <v>1016938</v>
      </c>
      <c r="G1315" s="1" t="str">
        <f>IFERROR(__xludf.DUMMYFUNCTION("""COMPUTED_VALUE"""),"น.ส.ณัฏฐนันท์ ปัญญาสิทธิ์")</f>
        <v>น.ส.ณัฏฐนันท์ ปัญญาสิทธิ์</v>
      </c>
      <c r="H1315" s="1" t="str">
        <f>IFERROR(__xludf.DUMMYFUNCTION("""COMPUTED_VALUE"""),"1007000")</f>
        <v>1007000</v>
      </c>
      <c r="I1315" s="1" t="str">
        <f>IFERROR(__xludf.DUMMYFUNCTION("""COMPUTED_VALUE"""),"น.ส.เสาวลักษณ์ แป้นงาม")</f>
        <v>น.ส.เสาวลักษณ์ แป้นงาม</v>
      </c>
      <c r="J1315" s="3">
        <f>IFERROR(__xludf.DUMMYFUNCTION("""COMPUTED_VALUE"""),1016938.0)</f>
        <v>1016938</v>
      </c>
      <c r="K1315" s="3" t="str">
        <f>IFERROR(__xludf.DUMMYFUNCTION("""COMPUTED_VALUE"""),"น.ส.ณัฏฐนันท์ ปัญญาสิทธิ์")</f>
        <v>น.ส.ณัฏฐนันท์ ปัญญาสิทธิ์</v>
      </c>
      <c r="L1315" s="1" t="str">
        <f>IFERROR(__xludf.DUMMYFUNCTION("""COMPUTED_VALUE"""),"Asia Books")</f>
        <v>Asia Books</v>
      </c>
      <c r="M1315" s="1" t="str">
        <f>IFERROR(__xludf.DUMMYFUNCTION("""COMPUTED_VALUE"""),"0993463946")</f>
        <v>0993463946</v>
      </c>
      <c r="N1315" s="3" t="str">
        <f>IFERROR(__xludf.DUMMYFUNCTION("""COMPUTED_VALUE"""),"21RB107")</f>
        <v>21RB107</v>
      </c>
      <c r="O1315" s="3" t="str">
        <f>IFERROR(__xludf.DUMMYFUNCTION("""COMPUTED_VALUE"""),"AB: THE CRYSTAL SB RATCHAPRUERK")</f>
        <v>AB: THE CRYSTAL SB RATCHAPRUERK</v>
      </c>
      <c r="P1315" s="4">
        <f>IFERROR(__xludf.DUMMYFUNCTION("""COMPUTED_VALUE"""),45510.0)</f>
        <v>45510</v>
      </c>
      <c r="Q1315" s="3" t="str">
        <f>IFERROR(__xludf.DUMMYFUNCTION("""COMPUTED_VALUE"""),"A")</f>
        <v>A</v>
      </c>
      <c r="R1315" s="3" t="str">
        <f>IFERROR(__xludf.DUMMYFUNCTION("""COMPUTED_VALUE"""),"Small Format")</f>
        <v>Small Format</v>
      </c>
      <c r="S1315" s="3" t="str">
        <f>IFERROR(__xludf.DUMMYFUNCTION("""COMPUTED_VALUE"""),"AsiaBooks")</f>
        <v>AsiaBooks</v>
      </c>
      <c r="T1315" s="3" t="str">
        <f>IFERROR(__xludf.DUMMYFUNCTION("""COMPUTED_VALUE"""),"Asia Books")</f>
        <v>Asia Books</v>
      </c>
      <c r="U1315" s="3" t="str">
        <f>IFERROR(__xludf.DUMMYFUNCTION("""COMPUTED_VALUE"""),"#N/A")</f>
        <v>#N/A</v>
      </c>
      <c r="V1315" s="3" t="str">
        <f>IFERROR(__xludf.DUMMYFUNCTION("""COMPUTED_VALUE"""),"N")</f>
        <v>N</v>
      </c>
      <c r="W1315" s="3"/>
      <c r="X1315" s="3" t="str">
        <f>IFERROR(__xludf.DUMMYFUNCTION("""COMPUTED_VALUE"""),"เดอะคริสตัล เอสบี ราชพฤกษ์ 555/9 หมู่ 1 ชั้น 2 ถนนราชพฤกษ์ ตำบลบางขนุน อำเภอบางกรวย จังหวัดนนทบุรี 11130")</f>
        <v>เดอะคริสตัล เอสบี ราชพฤกษ์ 555/9 หมู่ 1 ชั้น 2 ถนนราชพฤกษ์ ตำบลบางขนุน อำเภอบางกรวย จังหวัดนนทบุรี 11130</v>
      </c>
      <c r="Y1315" s="3" t="str">
        <f>IFERROR(__xludf.DUMMYFUNCTION("""COMPUTED_VALUE"""),"ราชพฤกษ์")</f>
        <v>ราชพฤกษ์</v>
      </c>
      <c r="Z1315" s="3" t="str">
        <f>IFERROR(__xludf.DUMMYFUNCTION("""COMPUTED_VALUE"""),"บางขนุน")</f>
        <v>บางขนุน</v>
      </c>
      <c r="AA1315" s="3" t="str">
        <f>IFERROR(__xludf.DUMMYFUNCTION("""COMPUTED_VALUE"""),"บางกรวย")</f>
        <v>บางกรวย</v>
      </c>
      <c r="AB1315" s="3" t="str">
        <f>IFERROR(__xludf.DUMMYFUNCTION("""COMPUTED_VALUE"""),"นนทบุรี")</f>
        <v>นนทบุรี</v>
      </c>
      <c r="AC1315" s="3">
        <f>IFERROR(__xludf.DUMMYFUNCTION("""COMPUTED_VALUE"""),11130.0)</f>
        <v>11130</v>
      </c>
      <c r="AD1315" s="3">
        <f>IFERROR(__xludf.DUMMYFUNCTION("""COMPUTED_VALUE"""),13.80996863)</f>
        <v>13.80996863</v>
      </c>
      <c r="AE1315" s="3">
        <f>IFERROR(__xludf.DUMMYFUNCTION("""COMPUTED_VALUE"""),100.4483713)</f>
        <v>100.4483713</v>
      </c>
      <c r="AF1315" s="3" t="str">
        <f>IFERROR(__xludf.DUMMYFUNCTION("""COMPUTED_VALUE"""),"AB: THE CRYSTAL SB RATCHAPRUERK-21RB107")</f>
        <v>AB: THE CRYSTAL SB RATCHAPRUERK-21RB107</v>
      </c>
      <c r="AG1315" s="3" t="str">
        <f>IFERROR(__xludf.DUMMYFUNCTION("""COMPUTED_VALUE"""),"กลาง")</f>
        <v>กลาง</v>
      </c>
      <c r="AH1315" s="3" t="str">
        <f>IFERROR(__xludf.DUMMYFUNCTION("""COMPUTED_VALUE"""),"#N/A")</f>
        <v>#N/A</v>
      </c>
      <c r="AI1315" s="3" t="str">
        <f>IFERROR(__xludf.DUMMYFUNCTION("""COMPUTED_VALUE"""),"Out of warranty")</f>
        <v>Out of warranty</v>
      </c>
      <c r="AJ1315" s="3">
        <f>IFERROR(__xludf.DUMMYFUNCTION("""COMPUTED_VALUE"""),18.0)</f>
        <v>18</v>
      </c>
      <c r="AK1315" s="3"/>
      <c r="AL1315" s="3"/>
    </row>
    <row r="1316" ht="15.75" customHeight="1">
      <c r="A1316" s="1" t="str">
        <f>IFERROR(__xludf.DUMMYFUNCTION("""COMPUTED_VALUE"""),"21RB109")</f>
        <v>21RB109</v>
      </c>
      <c r="B1316" s="2" t="str">
        <f>IFERROR(__xludf.DUMMYFUNCTION("""COMPUTED_VALUE"""),"21RB109")</f>
        <v>21RB109</v>
      </c>
      <c r="C1316" s="3" t="str">
        <f>IFERROR(__xludf.DUMMYFUNCTION("""COMPUTED_VALUE"""),"AB:SIS SENGHO PHUKET")</f>
        <v>AB:SIS SENGHO PHUKET</v>
      </c>
      <c r="D1316" s="3" t="str">
        <f>IFERROR(__xludf.DUMMYFUNCTION("""COMPUTED_VALUE"""),"AB:SIS SENGHO PHUKET")</f>
        <v>AB:SIS SENGHO PHUKET</v>
      </c>
      <c r="E1316" s="1" t="str">
        <f>IFERROR(__xludf.DUMMYFUNCTION("""COMPUTED_VALUE"""),"AsiaBooks")</f>
        <v>AsiaBooks</v>
      </c>
      <c r="F1316" s="1" t="str">
        <f>IFERROR(__xludf.DUMMYFUNCTION("""COMPUTED_VALUE"""),"1016938")</f>
        <v>1016938</v>
      </c>
      <c r="G1316" s="1" t="str">
        <f>IFERROR(__xludf.DUMMYFUNCTION("""COMPUTED_VALUE"""),"น.ส.ณัฏฐนันท์ ปัญญาสิทธิ์")</f>
        <v>น.ส.ณัฏฐนันท์ ปัญญาสิทธิ์</v>
      </c>
      <c r="H1316" s="1" t="str">
        <f>IFERROR(__xludf.DUMMYFUNCTION("""COMPUTED_VALUE"""),"2002076")</f>
        <v>2002076</v>
      </c>
      <c r="I1316" s="1" t="str">
        <f>IFERROR(__xludf.DUMMYFUNCTION("""COMPUTED_VALUE"""),"นายโชคชัย รมมุลตรี")</f>
        <v>นายโชคชัย รมมุลตรี</v>
      </c>
      <c r="J1316" s="3">
        <f>IFERROR(__xludf.DUMMYFUNCTION("""COMPUTED_VALUE"""),1016938.0)</f>
        <v>1016938</v>
      </c>
      <c r="K1316" s="3" t="str">
        <f>IFERROR(__xludf.DUMMYFUNCTION("""COMPUTED_VALUE"""),"น.ส.ณัฏฐนันท์ ปัญญาสิทธิ์")</f>
        <v>น.ส.ณัฏฐนันท์ ปัญญาสิทธิ์</v>
      </c>
      <c r="L1316" s="1" t="str">
        <f>IFERROR(__xludf.DUMMYFUNCTION("""COMPUTED_VALUE"""),"Asia Books")</f>
        <v>Asia Books</v>
      </c>
      <c r="M1316" s="1" t="str">
        <f>IFERROR(__xludf.DUMMYFUNCTION("""COMPUTED_VALUE"""),"0993463946")</f>
        <v>0993463946</v>
      </c>
      <c r="N1316" s="3" t="str">
        <f>IFERROR(__xludf.DUMMYFUNCTION("""COMPUTED_VALUE"""),"21RB109")</f>
        <v>21RB109</v>
      </c>
      <c r="O1316" s="3" t="str">
        <f>IFERROR(__xludf.DUMMYFUNCTION("""COMPUTED_VALUE"""),"AB:SIS SENGHO PHUKET")</f>
        <v>AB:SIS SENGHO PHUKET</v>
      </c>
      <c r="P1316" s="4">
        <f>IFERROR(__xludf.DUMMYFUNCTION("""COMPUTED_VALUE"""),45627.0)</f>
        <v>45627</v>
      </c>
      <c r="Q1316" s="3" t="str">
        <f>IFERROR(__xludf.DUMMYFUNCTION("""COMPUTED_VALUE"""),"A")</f>
        <v>A</v>
      </c>
      <c r="R1316" s="3" t="str">
        <f>IFERROR(__xludf.DUMMYFUNCTION("""COMPUTED_VALUE"""),"Small Format")</f>
        <v>Small Format</v>
      </c>
      <c r="S1316" s="3" t="str">
        <f>IFERROR(__xludf.DUMMYFUNCTION("""COMPUTED_VALUE"""),"AsiaBooks")</f>
        <v>AsiaBooks</v>
      </c>
      <c r="T1316" s="3" t="str">
        <f>IFERROR(__xludf.DUMMYFUNCTION("""COMPUTED_VALUE"""),"Asia Books")</f>
        <v>Asia Books</v>
      </c>
      <c r="U1316" s="3" t="str">
        <f>IFERROR(__xludf.DUMMYFUNCTION("""COMPUTED_VALUE"""),"#N/A")</f>
        <v>#N/A</v>
      </c>
      <c r="V1316" s="3" t="str">
        <f>IFERROR(__xludf.DUMMYFUNCTION("""COMPUTED_VALUE"""),"N")</f>
        <v>N</v>
      </c>
      <c r="W1316" s="3"/>
      <c r="X1316" s="3" t="str">
        <f>IFERROR(__xludf.DUMMYFUNCTION("""COMPUTED_VALUE"""),"ร้านหนังสือเส้งโห 2/14-16,54 ถนนมนตรี ตำบลตลาดใหญ่ อำเภอเมืองภูเก็ต จังหวัดภูเก็ต 83000")</f>
        <v>ร้านหนังสือเส้งโห 2/14-16,54 ถนนมนตรี ตำบลตลาดใหญ่ อำเภอเมืองภูเก็ต จังหวัดภูเก็ต 83000</v>
      </c>
      <c r="Y1316" s="3" t="str">
        <f>IFERROR(__xludf.DUMMYFUNCTION("""COMPUTED_VALUE"""),"มนตรี")</f>
        <v>มนตรี</v>
      </c>
      <c r="Z1316" s="3" t="str">
        <f>IFERROR(__xludf.DUMMYFUNCTION("""COMPUTED_VALUE"""),"ตลาดใหญ่")</f>
        <v>ตลาดใหญ่</v>
      </c>
      <c r="AA1316" s="3" t="str">
        <f>IFERROR(__xludf.DUMMYFUNCTION("""COMPUTED_VALUE"""),"เมืองภูเก็ต")</f>
        <v>เมืองภูเก็ต</v>
      </c>
      <c r="AB1316" s="3" t="str">
        <f>IFERROR(__xludf.DUMMYFUNCTION("""COMPUTED_VALUE"""),"ภูเก็ต")</f>
        <v>ภูเก็ต</v>
      </c>
      <c r="AC1316" s="3">
        <f>IFERROR(__xludf.DUMMYFUNCTION("""COMPUTED_VALUE"""),83000.0)</f>
        <v>83000</v>
      </c>
      <c r="AD1316" s="3">
        <f>IFERROR(__xludf.DUMMYFUNCTION("""COMPUTED_VALUE"""),0.0)</f>
        <v>0</v>
      </c>
      <c r="AE1316" s="3">
        <f>IFERROR(__xludf.DUMMYFUNCTION("""COMPUTED_VALUE"""),0.0)</f>
        <v>0</v>
      </c>
      <c r="AF1316" s="3" t="str">
        <f>IFERROR(__xludf.DUMMYFUNCTION("""COMPUTED_VALUE"""),"AB:SIS SENGHO PHUKET-21RB109")</f>
        <v>AB:SIS SENGHO PHUKET-21RB109</v>
      </c>
      <c r="AG1316" s="3" t="str">
        <f>IFERROR(__xludf.DUMMYFUNCTION("""COMPUTED_VALUE"""),"ใต้")</f>
        <v>ใต้</v>
      </c>
      <c r="AH1316" s="3" t="str">
        <f>IFERROR(__xludf.DUMMYFUNCTION("""COMPUTED_VALUE"""),"#N/A")</f>
        <v>#N/A</v>
      </c>
      <c r="AI1316" s="3" t="str">
        <f>IFERROR(__xludf.DUMMYFUNCTION("""COMPUTED_VALUE"""),"Out of warranty")</f>
        <v>Out of warranty</v>
      </c>
      <c r="AJ1316" s="3">
        <f>IFERROR(__xludf.DUMMYFUNCTION("""COMPUTED_VALUE"""),14.0)</f>
        <v>14</v>
      </c>
      <c r="AK1316" s="3"/>
      <c r="AL1316" s="3"/>
    </row>
    <row r="1317" ht="15.75" customHeight="1">
      <c r="A1317" s="1" t="str">
        <f>IFERROR(__xludf.DUMMYFUNCTION("""COMPUTED_VALUE"""),"21RB991")</f>
        <v>21RB991</v>
      </c>
      <c r="B1317" s="2" t="str">
        <f>IFERROR(__xludf.DUMMYFUNCTION("""COMPUTED_VALUE"""),"21RB991")</f>
        <v>21RB991</v>
      </c>
      <c r="C1317" s="3" t="str">
        <f>IFERROR(__xludf.DUMMYFUNCTION("""COMPUTED_VALUE"""),"SUPPORT-Office exps. R&amp;M")</f>
        <v>SUPPORT-Office exps. R&amp;M</v>
      </c>
      <c r="D1317" s="3" t="str">
        <f>IFERROR(__xludf.DUMMYFUNCTION("""COMPUTED_VALUE"""),"SUPPORT-Office exps. R&amp;M")</f>
        <v>SUPPORT-Office exps. R&amp;M</v>
      </c>
      <c r="E1317" s="1" t="str">
        <f>IFERROR(__xludf.DUMMYFUNCTION("""COMPUTED_VALUE"""),"AsiaBooks")</f>
        <v>AsiaBooks</v>
      </c>
      <c r="F1317" s="1" t="str">
        <f>IFERROR(__xludf.DUMMYFUNCTION("""COMPUTED_VALUE"""),"1016938")</f>
        <v>1016938</v>
      </c>
      <c r="G1317" s="1" t="str">
        <f>IFERROR(__xludf.DUMMYFUNCTION("""COMPUTED_VALUE"""),"น.ส.ณัฏฐนันท์ ปัญญาสิทธิ์")</f>
        <v>น.ส.ณัฏฐนันท์ ปัญญาสิทธิ์</v>
      </c>
      <c r="H1317" s="1" t="str">
        <f>IFERROR(__xludf.DUMMYFUNCTION("""COMPUTED_VALUE"""),"1016938")</f>
        <v>1016938</v>
      </c>
      <c r="I1317" s="1" t="str">
        <f>IFERROR(__xludf.DUMMYFUNCTION("""COMPUTED_VALUE"""),"น.ส.ณัฏฐนันท์ ปัญญาสิทธิ์")</f>
        <v>น.ส.ณัฏฐนันท์ ปัญญาสิทธิ์</v>
      </c>
      <c r="J1317" s="3">
        <f>IFERROR(__xludf.DUMMYFUNCTION("""COMPUTED_VALUE"""),1016938.0)</f>
        <v>1016938</v>
      </c>
      <c r="K1317" s="3" t="str">
        <f>IFERROR(__xludf.DUMMYFUNCTION("""COMPUTED_VALUE"""),"น.ส.ณัฏฐนันท์ ปัญญาสิทธิ์")</f>
        <v>น.ส.ณัฏฐนันท์ ปัญญาสิทธิ์</v>
      </c>
      <c r="L1317" s="1" t="str">
        <f>IFERROR(__xludf.DUMMYFUNCTION("""COMPUTED_VALUE"""),"Asia Books")</f>
        <v>Asia Books</v>
      </c>
      <c r="M1317" s="1" t="str">
        <f>IFERROR(__xludf.DUMMYFUNCTION("""COMPUTED_VALUE"""),"0993463946")</f>
        <v>0993463946</v>
      </c>
      <c r="N1317" s="3" t="str">
        <f>IFERROR(__xludf.DUMMYFUNCTION("""COMPUTED_VALUE"""),"21RB991")</f>
        <v>21RB991</v>
      </c>
      <c r="O1317" s="3" t="str">
        <f>IFERROR(__xludf.DUMMYFUNCTION("""COMPUTED_VALUE"""),"SUPPORT-Office exps. R&amp;M")</f>
        <v>SUPPORT-Office exps. R&amp;M</v>
      </c>
      <c r="P1317" s="4">
        <f>IFERROR(__xludf.DUMMYFUNCTION("""COMPUTED_VALUE"""),2012.0)</f>
        <v>2012</v>
      </c>
      <c r="Q1317" s="3" t="str">
        <f>IFERROR(__xludf.DUMMYFUNCTION("""COMPUTED_VALUE"""),"A")</f>
        <v>A</v>
      </c>
      <c r="R1317" s="3" t="str">
        <f>IFERROR(__xludf.DUMMYFUNCTION("""COMPUTED_VALUE"""),"Small Format")</f>
        <v>Small Format</v>
      </c>
      <c r="S1317" s="3" t="str">
        <f>IFERROR(__xludf.DUMMYFUNCTION("""COMPUTED_VALUE"""),"AsiaBooks")</f>
        <v>AsiaBooks</v>
      </c>
      <c r="T1317" s="3" t="str">
        <f>IFERROR(__xludf.DUMMYFUNCTION("""COMPUTED_VALUE"""),"Asia Books")</f>
        <v>Asia Books</v>
      </c>
      <c r="U1317" s="3" t="str">
        <f>IFERROR(__xludf.DUMMYFUNCTION("""COMPUTED_VALUE"""),"Asia Books")</f>
        <v>Asia Books</v>
      </c>
      <c r="V1317" s="3" t="str">
        <f>IFERROR(__xludf.DUMMYFUNCTION("""COMPUTED_VALUE"""),"N")</f>
        <v>N</v>
      </c>
      <c r="W1317" s="3"/>
      <c r="X1317" s="3" t="str">
        <f>IFERROR(__xludf.DUMMYFUNCTION("""COMPUTED_VALUE"""),"88/9 ซ.สมานจันทร์-บาร์โบส พระโขนง คลองเตย กรุงเทพฯ 10110 ประเทศไทย")</f>
        <v>88/9 ซ.สมานจันทร์-บาร์โบส พระโขนง คลองเตย กรุงเทพฯ 10110 ประเทศไทย</v>
      </c>
      <c r="Y1317" s="3"/>
      <c r="Z1317" s="3" t="str">
        <f>IFERROR(__xludf.DUMMYFUNCTION("""COMPUTED_VALUE"""),"พระโขนง")</f>
        <v>พระโขนง</v>
      </c>
      <c r="AA1317" s="3" t="str">
        <f>IFERROR(__xludf.DUMMYFUNCTION("""COMPUTED_VALUE"""),"คลองเตย")</f>
        <v>คลองเตย</v>
      </c>
      <c r="AB1317" s="3" t="str">
        <f>IFERROR(__xludf.DUMMYFUNCTION("""COMPUTED_VALUE"""),"กรุงเทพมหานคร")</f>
        <v>กรุงเทพมหานคร</v>
      </c>
      <c r="AC1317" s="3">
        <f>IFERROR(__xludf.DUMMYFUNCTION("""COMPUTED_VALUE"""),10110.0)</f>
        <v>10110</v>
      </c>
      <c r="AD1317" s="3">
        <f>IFERROR(__xludf.DUMMYFUNCTION("""COMPUTED_VALUE"""),0.0)</f>
        <v>0</v>
      </c>
      <c r="AE1317" s="3">
        <f>IFERROR(__xludf.DUMMYFUNCTION("""COMPUTED_VALUE"""),0.0)</f>
        <v>0</v>
      </c>
      <c r="AF1317" s="3" t="str">
        <f>IFERROR(__xludf.DUMMYFUNCTION("""COMPUTED_VALUE"""),"SUPPORT-Office exps. R&amp;M-21RB991")</f>
        <v>SUPPORT-Office exps. R&amp;M-21RB991</v>
      </c>
      <c r="AG1317" s="3" t="str">
        <f>IFERROR(__xludf.DUMMYFUNCTION("""COMPUTED_VALUE"""),"กลาง")</f>
        <v>กลาง</v>
      </c>
      <c r="AH1317" s="3" t="str">
        <f>IFERROR(__xludf.DUMMYFUNCTION("""COMPUTED_VALUE"""),"#N/A")</f>
        <v>#N/A</v>
      </c>
      <c r="AI1317" s="3" t="str">
        <f>IFERROR(__xludf.DUMMYFUNCTION("""COMPUTED_VALUE"""),"Out of warranty")</f>
        <v>Out of warranty</v>
      </c>
      <c r="AJ1317" s="3">
        <f>IFERROR(__xludf.DUMMYFUNCTION("""COMPUTED_VALUE"""),1447.0)</f>
        <v>1447</v>
      </c>
      <c r="AK1317" s="3"/>
      <c r="AL1317" s="3"/>
    </row>
    <row r="1318" ht="15.75" customHeight="1">
      <c r="A1318" s="1" t="str">
        <f>IFERROR(__xludf.DUMMYFUNCTION("""COMPUTED_VALUE"""),"22000")</f>
        <v>22000</v>
      </c>
      <c r="B1318" s="2">
        <f>IFERROR(__xludf.DUMMYFUNCTION("""COMPUTED_VALUE"""),22000.0)</f>
        <v>22000</v>
      </c>
      <c r="C1318" s="3" t="str">
        <f>IFERROR(__xludf.DUMMYFUNCTION("""COMPUTED_VALUE"""),"MBC วังใหม่ สระแก้ว")</f>
        <v>MBC วังใหม่ สระแก้ว</v>
      </c>
      <c r="D1318" s="3" t="str">
        <f>IFERROR(__xludf.DUMMYFUNCTION("""COMPUTED_VALUE"""),"BCM WANG MAI,SA KAEO")</f>
        <v>BCM WANG MAI,SA KAEO</v>
      </c>
      <c r="E1318" s="1" t="str">
        <f>IFERROR(__xludf.DUMMYFUNCTION("""COMPUTED_VALUE"""),"บิ๊กซี MINI")</f>
        <v>บิ๊กซี MINI</v>
      </c>
      <c r="F1318" s="1" t="str">
        <f>IFERROR(__xludf.DUMMYFUNCTION("""COMPUTED_VALUE"""),"2083447")</f>
        <v>2083447</v>
      </c>
      <c r="G1318" s="1" t="str">
        <f>IFERROR(__xludf.DUMMYFUNCTION("""COMPUTED_VALUE"""),"นายอนุกูล ศรีลัดดา")</f>
        <v>นายอนุกูล ศรีลัดดา</v>
      </c>
      <c r="H1318" s="1" t="str">
        <f>IFERROR(__xludf.DUMMYFUNCTION("""COMPUTED_VALUE"""),"259808")</f>
        <v>259808</v>
      </c>
      <c r="I1318" s="1" t="str">
        <f>IFERROR(__xludf.DUMMYFUNCTION("""COMPUTED_VALUE"""),"น.ส.สกุลรัตน์ พิกุลแก้ว")</f>
        <v>น.ส.สกุลรัตน์ พิกุลแก้ว</v>
      </c>
      <c r="J1318" s="3">
        <f>IFERROR(__xludf.DUMMYFUNCTION("""COMPUTED_VALUE"""),510143.0)</f>
        <v>510143</v>
      </c>
      <c r="K1318" s="3" t="str">
        <f>IFERROR(__xludf.DUMMYFUNCTION("""COMPUTED_VALUE"""),"นายธีระวัฒน์ บุญสิทธิ์")</f>
        <v>นายธีระวัฒน์ บุญสิทธิ์</v>
      </c>
      <c r="L1318" s="1" t="str">
        <f>IFERROR(__xludf.DUMMYFUNCTION("""COMPUTED_VALUE"""),"12 K.Theerawat B.")</f>
        <v>12 K.Theerawat B.</v>
      </c>
      <c r="M1318" s="1" t="str">
        <f>IFERROR(__xludf.DUMMYFUNCTION("""COMPUTED_VALUE"""),"0655107379")</f>
        <v>0655107379</v>
      </c>
      <c r="N1318" s="3">
        <f>IFERROR(__xludf.DUMMYFUNCTION("""COMPUTED_VALUE"""),21062.0)</f>
        <v>21062</v>
      </c>
      <c r="O1318" s="3" t="str">
        <f>IFERROR(__xludf.DUMMYFUNCTION("""COMPUTED_VALUE"""),"MBC นิคมนวนคร")</f>
        <v>MBC นิคมนวนคร</v>
      </c>
      <c r="P1318" s="4">
        <f>IFERROR(__xludf.DUMMYFUNCTION("""COMPUTED_VALUE"""),43810.0)</f>
        <v>43810</v>
      </c>
      <c r="Q1318" s="3" t="str">
        <f>IFERROR(__xludf.DUMMYFUNCTION("""COMPUTED_VALUE"""),"A")</f>
        <v>A</v>
      </c>
      <c r="R1318" s="3" t="str">
        <f>IFERROR(__xludf.DUMMYFUNCTION("""COMPUTED_VALUE"""),"Small Format")</f>
        <v>Small Format</v>
      </c>
      <c r="S1318" s="3" t="str">
        <f>IFERROR(__xludf.DUMMYFUNCTION("""COMPUTED_VALUE"""),"BCM")</f>
        <v>BCM</v>
      </c>
      <c r="T1318" s="3" t="str">
        <f>IFERROR(__xludf.DUMMYFUNCTION("""COMPUTED_VALUE"""),"#N/A")</f>
        <v>#N/A</v>
      </c>
      <c r="U1318" s="3" t="str">
        <f>IFERROR(__xludf.DUMMYFUNCTION("""COMPUTED_VALUE"""),"#N/A")</f>
        <v>#N/A</v>
      </c>
      <c r="V1318" s="3" t="str">
        <f>IFERROR(__xludf.DUMMYFUNCTION("""COMPUTED_VALUE"""),"N")</f>
        <v>N</v>
      </c>
      <c r="W1318" s="3">
        <f>IFERROR(__xludf.DUMMYFUNCTION("""COMPUTED_VALUE"""),210064.0)</f>
        <v>210064</v>
      </c>
      <c r="X1318" s="3" t="str">
        <f>IFERROR(__xludf.DUMMYFUNCTION("""COMPUTED_VALUE"""),"981,982 หมู่1 ตำบลวังใหม่ อำเภอวังสมบรูณ์ จังหวัดสระแก้ว 27250")</f>
        <v>981,982 หมู่1 ตำบลวังใหม่ อำเภอวังสมบรูณ์ จังหวัดสระแก้ว 27250</v>
      </c>
      <c r="Y1318" s="3"/>
      <c r="Z1318" s="3" t="str">
        <f>IFERROR(__xludf.DUMMYFUNCTION("""COMPUTED_VALUE"""),"วังใหม่")</f>
        <v>วังใหม่</v>
      </c>
      <c r="AA1318" s="3" t="str">
        <f>IFERROR(__xludf.DUMMYFUNCTION("""COMPUTED_VALUE"""),"วังสมบรูณ์")</f>
        <v>วังสมบรูณ์</v>
      </c>
      <c r="AB1318" s="3" t="str">
        <f>IFERROR(__xludf.DUMMYFUNCTION("""COMPUTED_VALUE"""),"สระแก้ว")</f>
        <v>สระแก้ว</v>
      </c>
      <c r="AC1318" s="3">
        <f>IFERROR(__xludf.DUMMYFUNCTION("""COMPUTED_VALUE"""),27250.0)</f>
        <v>27250</v>
      </c>
      <c r="AD1318" s="3">
        <f>IFERROR(__xludf.DUMMYFUNCTION("""COMPUTED_VALUE"""),13.4187)</f>
        <v>13.4187</v>
      </c>
      <c r="AE1318" s="3">
        <f>IFERROR(__xludf.DUMMYFUNCTION("""COMPUTED_VALUE"""),102.198526)</f>
        <v>102.198526</v>
      </c>
      <c r="AF1318" s="3" t="str">
        <f>IFERROR(__xludf.DUMMYFUNCTION("""COMPUTED_VALUE"""),"MBC วังใหม่ สระแก้ว -22000")</f>
        <v>MBC วังใหม่ สระแก้ว -22000</v>
      </c>
      <c r="AG1318" s="3" t="str">
        <f>IFERROR(__xludf.DUMMYFUNCTION("""COMPUTED_VALUE"""),"ตะวันออก")</f>
        <v>ตะวันออก</v>
      </c>
      <c r="AH1318" s="3" t="str">
        <f>IFERROR(__xludf.DUMMYFUNCTION("""COMPUTED_VALUE"""),"#N/A")</f>
        <v>#N/A</v>
      </c>
      <c r="AI1318" s="3" t="str">
        <f>IFERROR(__xludf.DUMMYFUNCTION("""COMPUTED_VALUE"""),"Out of warranty")</f>
        <v>Out of warranty</v>
      </c>
      <c r="AJ1318" s="3">
        <f>IFERROR(__xludf.DUMMYFUNCTION("""COMPUTED_VALUE"""),74.0)</f>
        <v>74</v>
      </c>
      <c r="AK1318" s="3" t="str">
        <f>IFERROR(__xludf.DUMMYFUNCTION("""COMPUTED_VALUE"""),"MMS08")</f>
        <v>MMS08</v>
      </c>
      <c r="AL1318" s="3"/>
    </row>
    <row r="1319" ht="15.75" customHeight="1">
      <c r="A1319" s="1" t="str">
        <f>IFERROR(__xludf.DUMMYFUNCTION("""COMPUTED_VALUE"""),"22001")</f>
        <v>22001</v>
      </c>
      <c r="B1319" s="2">
        <f>IFERROR(__xludf.DUMMYFUNCTION("""COMPUTED_VALUE"""),22001.0)</f>
        <v>22001</v>
      </c>
      <c r="C1319" s="3" t="str">
        <f>IFERROR(__xludf.DUMMYFUNCTION("""COMPUTED_VALUE"""),"MBC เมืองใหม่ใต้(แหลมฉบัง) ชลบุรี")</f>
        <v>MBC เมืองใหม่ใต้(แหลมฉบัง) ชลบุรี</v>
      </c>
      <c r="D1319" s="3" t="str">
        <f>IFERROR(__xludf.DUMMYFUNCTION("""COMPUTED_VALUE"""),"BCM MUEANG MAI TAI")</f>
        <v>BCM MUEANG MAI TAI</v>
      </c>
      <c r="E1319" s="1" t="str">
        <f>IFERROR(__xludf.DUMMYFUNCTION("""COMPUTED_VALUE"""),"บิ๊กซี MINI")</f>
        <v>บิ๊กซี MINI</v>
      </c>
      <c r="F1319" s="1" t="str">
        <f>IFERROR(__xludf.DUMMYFUNCTION("""COMPUTED_VALUE"""),"221716")</f>
        <v>221716</v>
      </c>
      <c r="G1319" s="1" t="str">
        <f>IFERROR(__xludf.DUMMYFUNCTION("""COMPUTED_VALUE"""),"น.ส.เบญจพร โพธิสาร")</f>
        <v>น.ส.เบญจพร โพธิสาร</v>
      </c>
      <c r="H1319" s="1" t="str">
        <f>IFERROR(__xludf.DUMMYFUNCTION("""COMPUTED_VALUE"""),"291061")</f>
        <v>291061</v>
      </c>
      <c r="I1319" s="1" t="str">
        <f>IFERROR(__xludf.DUMMYFUNCTION("""COMPUTED_VALUE"""),"นายสมศักดิ์ เสียงก้อง")</f>
        <v>นายสมศักดิ์ เสียงก้อง</v>
      </c>
      <c r="J1319" s="3">
        <f>IFERROR(__xludf.DUMMYFUNCTION("""COMPUTED_VALUE"""),296942.0)</f>
        <v>296942</v>
      </c>
      <c r="K1319" s="3" t="str">
        <f>IFERROR(__xludf.DUMMYFUNCTION("""COMPUTED_VALUE"""),"นายปิยะ รักษากิจ")</f>
        <v>นายปิยะ รักษากิจ</v>
      </c>
      <c r="L1319" s="1" t="str">
        <f>IFERROR(__xludf.DUMMYFUNCTION("""COMPUTED_VALUE"""),"07 K.Piya R.")</f>
        <v>07 K.Piya R.</v>
      </c>
      <c r="M1319" s="1" t="str">
        <f>IFERROR(__xludf.DUMMYFUNCTION("""COMPUTED_VALUE"""),"097-919-5476")</f>
        <v>097-919-5476</v>
      </c>
      <c r="N1319" s="3">
        <f>IFERROR(__xludf.DUMMYFUNCTION("""COMPUTED_VALUE"""),21332.0)</f>
        <v>21332</v>
      </c>
      <c r="O1319" s="3" t="str">
        <f>IFERROR(__xludf.DUMMYFUNCTION("""COMPUTED_VALUE"""),"MBC BCP อ่อนนุช 17/1")</f>
        <v>MBC BCP อ่อนนุช 17/1</v>
      </c>
      <c r="P1319" s="4">
        <f>IFERROR(__xludf.DUMMYFUNCTION("""COMPUTED_VALUE"""),43806.0)</f>
        <v>43806</v>
      </c>
      <c r="Q1319" s="3" t="str">
        <f>IFERROR(__xludf.DUMMYFUNCTION("""COMPUTED_VALUE"""),"A")</f>
        <v>A</v>
      </c>
      <c r="R1319" s="3" t="str">
        <f>IFERROR(__xludf.DUMMYFUNCTION("""COMPUTED_VALUE"""),"Small Format")</f>
        <v>Small Format</v>
      </c>
      <c r="S1319" s="3" t="str">
        <f>IFERROR(__xludf.DUMMYFUNCTION("""COMPUTED_VALUE"""),"BCM")</f>
        <v>BCM</v>
      </c>
      <c r="T1319" s="3" t="str">
        <f>IFERROR(__xludf.DUMMYFUNCTION("""COMPUTED_VALUE"""),"#N/A")</f>
        <v>#N/A</v>
      </c>
      <c r="U1319" s="3" t="str">
        <f>IFERROR(__xludf.DUMMYFUNCTION("""COMPUTED_VALUE"""),"#N/A")</f>
        <v>#N/A</v>
      </c>
      <c r="V1319" s="3" t="str">
        <f>IFERROR(__xludf.DUMMYFUNCTION("""COMPUTED_VALUE"""),"N")</f>
        <v>N</v>
      </c>
      <c r="W1319" s="3">
        <f>IFERROR(__xludf.DUMMYFUNCTION("""COMPUTED_VALUE"""),211906.0)</f>
        <v>211906</v>
      </c>
      <c r="X1319" s="3" t="str">
        <f>IFERROR(__xludf.DUMMYFUNCTION("""COMPUTED_VALUE"""),"68/27 หมู่10 ตำบลทุ่งสุขลา อำเภอศรีราชา จังหวัดชลบุรี 20230")</f>
        <v>68/27 หมู่10 ตำบลทุ่งสุขลา อำเภอศรีราชา จังหวัดชลบุรี 20230</v>
      </c>
      <c r="Y1319" s="3"/>
      <c r="Z1319" s="3" t="str">
        <f>IFERROR(__xludf.DUMMYFUNCTION("""COMPUTED_VALUE"""),"ทุ่งสุขลา")</f>
        <v>ทุ่งสุขลา</v>
      </c>
      <c r="AA1319" s="3" t="str">
        <f>IFERROR(__xludf.DUMMYFUNCTION("""COMPUTED_VALUE"""),"ศรีราชา")</f>
        <v>ศรีราชา</v>
      </c>
      <c r="AB1319" s="3" t="str">
        <f>IFERROR(__xludf.DUMMYFUNCTION("""COMPUTED_VALUE"""),"ชลบุรี")</f>
        <v>ชลบุรี</v>
      </c>
      <c r="AC1319" s="3">
        <f>IFERROR(__xludf.DUMMYFUNCTION("""COMPUTED_VALUE"""),20230.0)</f>
        <v>20230</v>
      </c>
      <c r="AD1319" s="3">
        <f>IFERROR(__xludf.DUMMYFUNCTION("""COMPUTED_VALUE"""),13.071484)</f>
        <v>13.071484</v>
      </c>
      <c r="AE1319" s="3">
        <f>IFERROR(__xludf.DUMMYFUNCTION("""COMPUTED_VALUE"""),100.924493)</f>
        <v>100.924493</v>
      </c>
      <c r="AF1319" s="3" t="str">
        <f>IFERROR(__xludf.DUMMYFUNCTION("""COMPUTED_VALUE"""),"MBC เมืองใหม่ใต้(แหลมฉบัง) ชลบุรี-22001")</f>
        <v>MBC เมืองใหม่ใต้(แหลมฉบัง) ชลบุรี-22001</v>
      </c>
      <c r="AG1319" s="3" t="str">
        <f>IFERROR(__xludf.DUMMYFUNCTION("""COMPUTED_VALUE"""),"ตะวันออก")</f>
        <v>ตะวันออก</v>
      </c>
      <c r="AH1319" s="3" t="str">
        <f>IFERROR(__xludf.DUMMYFUNCTION("""COMPUTED_VALUE"""),"#N/A")</f>
        <v>#N/A</v>
      </c>
      <c r="AI1319" s="3" t="str">
        <f>IFERROR(__xludf.DUMMYFUNCTION("""COMPUTED_VALUE"""),"Out of warranty")</f>
        <v>Out of warranty</v>
      </c>
      <c r="AJ1319" s="3">
        <f>IFERROR(__xludf.DUMMYFUNCTION("""COMPUTED_VALUE"""),74.0)</f>
        <v>74</v>
      </c>
      <c r="AK1319" s="3" t="str">
        <f>IFERROR(__xludf.DUMMYFUNCTION("""COMPUTED_VALUE"""),"MMS06")</f>
        <v>MMS06</v>
      </c>
      <c r="AL1319" s="3"/>
    </row>
    <row r="1320" ht="15.75" customHeight="1">
      <c r="A1320" s="1" t="str">
        <f>IFERROR(__xludf.DUMMYFUNCTION("""COMPUTED_VALUE"""),"22002")</f>
        <v>22002</v>
      </c>
      <c r="B1320" s="2">
        <f>IFERROR(__xludf.DUMMYFUNCTION("""COMPUTED_VALUE"""),22002.0)</f>
        <v>22002</v>
      </c>
      <c r="C1320" s="3" t="str">
        <f>IFERROR(__xludf.DUMMYFUNCTION("""COMPUTED_VALUE"""),"MBC แม่น้ำคู้ ซอย3 ระยอง")</f>
        <v>MBC แม่น้ำคู้ ซอย3 ระยอง</v>
      </c>
      <c r="D1320" s="3" t="str">
        <f>IFERROR(__xludf.DUMMYFUNCTION("""COMPUTED_VALUE"""),"BCM MAE NAM KHU SOI3")</f>
        <v>BCM MAE NAM KHU SOI3</v>
      </c>
      <c r="E1320" s="1" t="str">
        <f>IFERROR(__xludf.DUMMYFUNCTION("""COMPUTED_VALUE"""),"บิ๊กซี MINI")</f>
        <v>บิ๊กซี MINI</v>
      </c>
      <c r="F1320" s="1" t="str">
        <f>IFERROR(__xludf.DUMMYFUNCTION("""COMPUTED_VALUE"""),"221716")</f>
        <v>221716</v>
      </c>
      <c r="G1320" s="1" t="str">
        <f>IFERROR(__xludf.DUMMYFUNCTION("""COMPUTED_VALUE"""),"น.ส.เบญจพร โพธิสาร")</f>
        <v>น.ส.เบญจพร โพธิสาร</v>
      </c>
      <c r="H1320" s="1" t="str">
        <f>IFERROR(__xludf.DUMMYFUNCTION("""COMPUTED_VALUE"""),"371384")</f>
        <v>371384</v>
      </c>
      <c r="I1320" s="1" t="str">
        <f>IFERROR(__xludf.DUMMYFUNCTION("""COMPUTED_VALUE"""),"น.ส.นิลเนตร สิงห์ทอง")</f>
        <v>น.ส.นิลเนตร สิงห์ทอง</v>
      </c>
      <c r="J1320" s="3">
        <f>IFERROR(__xludf.DUMMYFUNCTION("""COMPUTED_VALUE"""),2452376.0)</f>
        <v>2452376</v>
      </c>
      <c r="K1320" s="3" t="str">
        <f>IFERROR(__xludf.DUMMYFUNCTION("""COMPUTED_VALUE"""),"นายภาคภูมิ ทวีกุล")</f>
        <v>นายภาคภูมิ ทวีกุล</v>
      </c>
      <c r="L1320" s="1" t="str">
        <f>IFERROR(__xludf.DUMMYFUNCTION("""COMPUTED_VALUE"""),"08 K.Parkphum T.")</f>
        <v>08 K.Parkphum T.</v>
      </c>
      <c r="M1320" s="1" t="str">
        <f>IFERROR(__xludf.DUMMYFUNCTION("""COMPUTED_VALUE"""),"097-919-5476")</f>
        <v>097-919-5476</v>
      </c>
      <c r="N1320" s="3">
        <f>IFERROR(__xludf.DUMMYFUNCTION("""COMPUTED_VALUE"""),22028.0)</f>
        <v>22028</v>
      </c>
      <c r="O1320" s="3" t="str">
        <f>IFERROR(__xludf.DUMMYFUNCTION("""COMPUTED_VALUE"""),"MBC ทํบมา ระยอง")</f>
        <v>MBC ทํบมา ระยอง</v>
      </c>
      <c r="P1320" s="4">
        <f>IFERROR(__xludf.DUMMYFUNCTION("""COMPUTED_VALUE"""),43807.0)</f>
        <v>43807</v>
      </c>
      <c r="Q1320" s="3" t="str">
        <f>IFERROR(__xludf.DUMMYFUNCTION("""COMPUTED_VALUE"""),"A")</f>
        <v>A</v>
      </c>
      <c r="R1320" s="3" t="str">
        <f>IFERROR(__xludf.DUMMYFUNCTION("""COMPUTED_VALUE"""),"Small Format")</f>
        <v>Small Format</v>
      </c>
      <c r="S1320" s="3" t="str">
        <f>IFERROR(__xludf.DUMMYFUNCTION("""COMPUTED_VALUE"""),"BCM")</f>
        <v>BCM</v>
      </c>
      <c r="T1320" s="3" t="str">
        <f>IFERROR(__xludf.DUMMYFUNCTION("""COMPUTED_VALUE"""),"#N/A")</f>
        <v>#N/A</v>
      </c>
      <c r="U1320" s="3" t="str">
        <f>IFERROR(__xludf.DUMMYFUNCTION("""COMPUTED_VALUE"""),"#N/A")</f>
        <v>#N/A</v>
      </c>
      <c r="V1320" s="3" t="str">
        <f>IFERROR(__xludf.DUMMYFUNCTION("""COMPUTED_VALUE"""),"N")</f>
        <v>N</v>
      </c>
      <c r="W1320" s="3">
        <f>IFERROR(__xludf.DUMMYFUNCTION("""COMPUTED_VALUE"""),210068.0)</f>
        <v>210068</v>
      </c>
      <c r="X1320" s="3" t="str">
        <f>IFERROR(__xludf.DUMMYFUNCTION("""COMPUTED_VALUE"""),"999/116-118 หมู่3 ตำบลแม่น้ำคู้ อำเภอปลวกแดง จังหวัดระยอง 21140")</f>
        <v>999/116-118 หมู่3 ตำบลแม่น้ำคู้ อำเภอปลวกแดง จังหวัดระยอง 21140</v>
      </c>
      <c r="Y1320" s="3"/>
      <c r="Z1320" s="3" t="str">
        <f>IFERROR(__xludf.DUMMYFUNCTION("""COMPUTED_VALUE"""),"แม่น้ำคู้")</f>
        <v>แม่น้ำคู้</v>
      </c>
      <c r="AA1320" s="3" t="str">
        <f>IFERROR(__xludf.DUMMYFUNCTION("""COMPUTED_VALUE"""),"ปลวกแดง")</f>
        <v>ปลวกแดง</v>
      </c>
      <c r="AB1320" s="3" t="str">
        <f>IFERROR(__xludf.DUMMYFUNCTION("""COMPUTED_VALUE"""),"ระยอง")</f>
        <v>ระยอง</v>
      </c>
      <c r="AC1320" s="3">
        <f>IFERROR(__xludf.DUMMYFUNCTION("""COMPUTED_VALUE"""),21140.0)</f>
        <v>21140</v>
      </c>
      <c r="AD1320" s="3">
        <f>IFERROR(__xludf.DUMMYFUNCTION("""COMPUTED_VALUE"""),12.93769)</f>
        <v>12.93769</v>
      </c>
      <c r="AE1320" s="3">
        <f>IFERROR(__xludf.DUMMYFUNCTION("""COMPUTED_VALUE"""),101.230113)</f>
        <v>101.230113</v>
      </c>
      <c r="AF1320" s="3" t="str">
        <f>IFERROR(__xludf.DUMMYFUNCTION("""COMPUTED_VALUE"""),"MBC แม่น้ำคู้ ซอย3 ระยอง-22002")</f>
        <v>MBC แม่น้ำคู้ ซอย3 ระยอง-22002</v>
      </c>
      <c r="AG1320" s="3" t="str">
        <f>IFERROR(__xludf.DUMMYFUNCTION("""COMPUTED_VALUE"""),"ตะวันออก")</f>
        <v>ตะวันออก</v>
      </c>
      <c r="AH1320" s="3" t="str">
        <f>IFERROR(__xludf.DUMMYFUNCTION("""COMPUTED_VALUE"""),"#N/A")</f>
        <v>#N/A</v>
      </c>
      <c r="AI1320" s="3" t="str">
        <f>IFERROR(__xludf.DUMMYFUNCTION("""COMPUTED_VALUE"""),"Out of warranty")</f>
        <v>Out of warranty</v>
      </c>
      <c r="AJ1320" s="3">
        <f>IFERROR(__xludf.DUMMYFUNCTION("""COMPUTED_VALUE"""),74.0)</f>
        <v>74</v>
      </c>
      <c r="AK1320" s="3" t="str">
        <f>IFERROR(__xludf.DUMMYFUNCTION("""COMPUTED_VALUE"""),"MMS07")</f>
        <v>MMS07</v>
      </c>
      <c r="AL1320" s="3"/>
    </row>
    <row r="1321" ht="15.75" customHeight="1">
      <c r="A1321" s="1" t="str">
        <f>IFERROR(__xludf.DUMMYFUNCTION("""COMPUTED_VALUE"""),"22003")</f>
        <v>22003</v>
      </c>
      <c r="B1321" s="2">
        <f>IFERROR(__xludf.DUMMYFUNCTION("""COMPUTED_VALUE"""),22003.0)</f>
        <v>22003</v>
      </c>
      <c r="C1321" s="3" t="str">
        <f>IFERROR(__xludf.DUMMYFUNCTION("""COMPUTED_VALUE"""),"MBC รัตนวาปี หนองคาย")</f>
        <v>MBC รัตนวาปี หนองคาย</v>
      </c>
      <c r="D1321" s="3" t="str">
        <f>IFERROR(__xludf.DUMMYFUNCTION("""COMPUTED_VALUE"""),"BCM RATTANAWAPI, NONG KHAI")</f>
        <v>BCM RATTANAWAPI, NONG KHAI</v>
      </c>
      <c r="E1321" s="1" t="str">
        <f>IFERROR(__xludf.DUMMYFUNCTION("""COMPUTED_VALUE"""),"บิ๊กซี MINI")</f>
        <v>บิ๊กซี MINI</v>
      </c>
      <c r="F1321" s="1" t="str">
        <f>IFERROR(__xludf.DUMMYFUNCTION("""COMPUTED_VALUE"""),"291105")</f>
        <v>291105</v>
      </c>
      <c r="G1321" s="1" t="str">
        <f>IFERROR(__xludf.DUMMYFUNCTION("""COMPUTED_VALUE"""),"นายสราวุฒิ พณิชยกุล")</f>
        <v>นายสราวุฒิ พณิชยกุล</v>
      </c>
      <c r="H1321" s="1" t="str">
        <f>IFERROR(__xludf.DUMMYFUNCTION("""COMPUTED_VALUE"""),"392005")</f>
        <v>392005</v>
      </c>
      <c r="I1321" s="1" t="str">
        <f>IFERROR(__xludf.DUMMYFUNCTION("""COMPUTED_VALUE"""),"นายรัฐพล หาญลำยวง")</f>
        <v>นายรัฐพล หาญลำยวง</v>
      </c>
      <c r="J1321" s="3">
        <f>IFERROR(__xludf.DUMMYFUNCTION("""COMPUTED_VALUE"""),296868.0)</f>
        <v>296868</v>
      </c>
      <c r="K1321" s="3" t="str">
        <f>IFERROR(__xludf.DUMMYFUNCTION("""COMPUTED_VALUE"""),"นายพีระพงษ์ แก้วดวงดี")</f>
        <v>นายพีระพงษ์ แก้วดวงดี</v>
      </c>
      <c r="L1321" s="1" t="str">
        <f>IFERROR(__xludf.DUMMYFUNCTION("""COMPUTED_VALUE"""),"03 K.Peerapong K.")</f>
        <v>03 K.Peerapong K.</v>
      </c>
      <c r="M1321" s="1" t="str">
        <f>IFERROR(__xludf.DUMMYFUNCTION("""COMPUTED_VALUE"""),"089-002-6599")</f>
        <v>089-002-6599</v>
      </c>
      <c r="N1321" s="3">
        <f>IFERROR(__xludf.DUMMYFUNCTION("""COMPUTED_VALUE"""),21946.0)</f>
        <v>21946</v>
      </c>
      <c r="O1321" s="3" t="str">
        <f>IFERROR(__xludf.DUMMYFUNCTION("""COMPUTED_VALUE"""),"MBC เซกา บึงกาฬ")</f>
        <v>MBC เซกา บึงกาฬ</v>
      </c>
      <c r="P1321" s="4">
        <f>IFERROR(__xludf.DUMMYFUNCTION("""COMPUTED_VALUE"""),43829.0)</f>
        <v>43829</v>
      </c>
      <c r="Q1321" s="3" t="str">
        <f>IFERROR(__xludf.DUMMYFUNCTION("""COMPUTED_VALUE"""),"A")</f>
        <v>A</v>
      </c>
      <c r="R1321" s="3" t="str">
        <f>IFERROR(__xludf.DUMMYFUNCTION("""COMPUTED_VALUE"""),"Small Format")</f>
        <v>Small Format</v>
      </c>
      <c r="S1321" s="3" t="str">
        <f>IFERROR(__xludf.DUMMYFUNCTION("""COMPUTED_VALUE"""),"BCM")</f>
        <v>BCM</v>
      </c>
      <c r="T1321" s="3" t="str">
        <f>IFERROR(__xludf.DUMMYFUNCTION("""COMPUTED_VALUE"""),"#N/A")</f>
        <v>#N/A</v>
      </c>
      <c r="U1321" s="3" t="str">
        <f>IFERROR(__xludf.DUMMYFUNCTION("""COMPUTED_VALUE"""),"#N/A")</f>
        <v>#N/A</v>
      </c>
      <c r="V1321" s="3" t="str">
        <f>IFERROR(__xludf.DUMMYFUNCTION("""COMPUTED_VALUE"""),"N")</f>
        <v>N</v>
      </c>
      <c r="W1321" s="3">
        <f>IFERROR(__xludf.DUMMYFUNCTION("""COMPUTED_VALUE"""),210034.0)</f>
        <v>210034</v>
      </c>
      <c r="X1321" s="3" t="str">
        <f>IFERROR(__xludf.DUMMYFUNCTION("""COMPUTED_VALUE"""),"83 หมู่11 ตำบลรัตนวาปี อำเภอรัตนวาปี จังหวัดหนองคาย 43120")</f>
        <v>83 หมู่11 ตำบลรัตนวาปี อำเภอรัตนวาปี จังหวัดหนองคาย 43120</v>
      </c>
      <c r="Y1321" s="3"/>
      <c r="Z1321" s="3" t="str">
        <f>IFERROR(__xludf.DUMMYFUNCTION("""COMPUTED_VALUE"""),"รัตนวาปี")</f>
        <v>รัตนวาปี</v>
      </c>
      <c r="AA1321" s="3" t="str">
        <f>IFERROR(__xludf.DUMMYFUNCTION("""COMPUTED_VALUE"""),"รัตนวาปี")</f>
        <v>รัตนวาปี</v>
      </c>
      <c r="AB1321" s="3" t="str">
        <f>IFERROR(__xludf.DUMMYFUNCTION("""COMPUTED_VALUE"""),"หนองคาย")</f>
        <v>หนองคาย</v>
      </c>
      <c r="AC1321" s="3">
        <f>IFERROR(__xludf.DUMMYFUNCTION("""COMPUTED_VALUE"""),43120.0)</f>
        <v>43120</v>
      </c>
      <c r="AD1321" s="3">
        <f>IFERROR(__xludf.DUMMYFUNCTION("""COMPUTED_VALUE"""),18.213351)</f>
        <v>18.213351</v>
      </c>
      <c r="AE1321" s="3">
        <f>IFERROR(__xludf.DUMMYFUNCTION("""COMPUTED_VALUE"""),103.180087)</f>
        <v>103.180087</v>
      </c>
      <c r="AF1321" s="3" t="str">
        <f>IFERROR(__xludf.DUMMYFUNCTION("""COMPUTED_VALUE"""),"MBC รัตนวาปี หนองคาย-22003")</f>
        <v>MBC รัตนวาปี หนองคาย-22003</v>
      </c>
      <c r="AG1321" s="3" t="str">
        <f>IFERROR(__xludf.DUMMYFUNCTION("""COMPUTED_VALUE"""),"ตะวันออกเฉียงเหนือ")</f>
        <v>ตะวันออกเฉียงเหนือ</v>
      </c>
      <c r="AH1321" s="3" t="str">
        <f>IFERROR(__xludf.DUMMYFUNCTION("""COMPUTED_VALUE"""),"#N/A")</f>
        <v>#N/A</v>
      </c>
      <c r="AI1321" s="3" t="str">
        <f>IFERROR(__xludf.DUMMYFUNCTION("""COMPUTED_VALUE"""),"Out of warranty")</f>
        <v>Out of warranty</v>
      </c>
      <c r="AJ1321" s="3">
        <f>IFERROR(__xludf.DUMMYFUNCTION("""COMPUTED_VALUE"""),73.0)</f>
        <v>73</v>
      </c>
      <c r="AK1321" s="3" t="str">
        <f>IFERROR(__xludf.DUMMYFUNCTION("""COMPUTED_VALUE"""),"MMS12")</f>
        <v>MMS12</v>
      </c>
      <c r="AL1321" s="3"/>
    </row>
    <row r="1322" ht="15.75" customHeight="1">
      <c r="A1322" s="1" t="str">
        <f>IFERROR(__xludf.DUMMYFUNCTION("""COMPUTED_VALUE"""),"22004")</f>
        <v>22004</v>
      </c>
      <c r="B1322" s="2">
        <f>IFERROR(__xludf.DUMMYFUNCTION("""COMPUTED_VALUE"""),22004.0)</f>
        <v>22004</v>
      </c>
      <c r="C1322" s="3" t="str">
        <f>IFERROR(__xludf.DUMMYFUNCTION("""COMPUTED_VALUE"""),"MBC บึงสามพัน เพชรบูรณ์")</f>
        <v>MBC บึงสามพัน เพชรบูรณ์</v>
      </c>
      <c r="D1322" s="3" t="str">
        <f>IFERROR(__xludf.DUMMYFUNCTION("""COMPUTED_VALUE"""),"BCM BUENG SAM PAN")</f>
        <v>BCM BUENG SAM PAN</v>
      </c>
      <c r="E1322" s="1" t="str">
        <f>IFERROR(__xludf.DUMMYFUNCTION("""COMPUTED_VALUE"""),"บิ๊กซี MINI")</f>
        <v>บิ๊กซี MINI</v>
      </c>
      <c r="F1322" s="1" t="str">
        <f>IFERROR(__xludf.DUMMYFUNCTION("""COMPUTED_VALUE"""),"296229")</f>
        <v>296229</v>
      </c>
      <c r="G1322" s="1" t="str">
        <f>IFERROR(__xludf.DUMMYFUNCTION("""COMPUTED_VALUE"""),"นายทนงศักดิ์ บุญมา")</f>
        <v>นายทนงศักดิ์ บุญมา</v>
      </c>
      <c r="H1322" s="1" t="str">
        <f>IFERROR(__xludf.DUMMYFUNCTION("""COMPUTED_VALUE"""),"291082")</f>
        <v>291082</v>
      </c>
      <c r="I1322" s="1" t="str">
        <f>IFERROR(__xludf.DUMMYFUNCTION("""COMPUTED_VALUE"""),"น.ส.วจี กันเกตุ")</f>
        <v>น.ส.วจี กันเกตุ</v>
      </c>
      <c r="J1322" s="3">
        <f>IFERROR(__xludf.DUMMYFUNCTION("""COMPUTED_VALUE"""),46214.0)</f>
        <v>46214</v>
      </c>
      <c r="K1322" s="3" t="str">
        <f>IFERROR(__xludf.DUMMYFUNCTION("""COMPUTED_VALUE"""),"นายศักดิ์ชัย เด็ดดอกฟ้า")</f>
        <v>นายศักดิ์ชัย เด็ดดอกฟ้า</v>
      </c>
      <c r="L1322" s="1" t="str">
        <f>IFERROR(__xludf.DUMMYFUNCTION("""COMPUTED_VALUE"""),"02 K.Sakchai D")</f>
        <v>02 K.Sakchai D</v>
      </c>
      <c r="M1322" s="1" t="str">
        <f>IFERROR(__xludf.DUMMYFUNCTION("""COMPUTED_VALUE"""),"065-510-7376")</f>
        <v>065-510-7376</v>
      </c>
      <c r="N1322" s="3">
        <f>IFERROR(__xludf.DUMMYFUNCTION("""COMPUTED_VALUE"""),21714.0)</f>
        <v>21714</v>
      </c>
      <c r="O1322" s="3" t="str">
        <f>IFERROR(__xludf.DUMMYFUNCTION("""COMPUTED_VALUE"""),"MBC เอสโซ่ วัดโบสถ์")</f>
        <v>MBC เอสโซ่ วัดโบสถ์</v>
      </c>
      <c r="P1322" s="4">
        <f>IFERROR(__xludf.DUMMYFUNCTION("""COMPUTED_VALUE"""),43808.0)</f>
        <v>43808</v>
      </c>
      <c r="Q1322" s="3" t="str">
        <f>IFERROR(__xludf.DUMMYFUNCTION("""COMPUTED_VALUE"""),"A")</f>
        <v>A</v>
      </c>
      <c r="R1322" s="3" t="str">
        <f>IFERROR(__xludf.DUMMYFUNCTION("""COMPUTED_VALUE"""),"Small Format")</f>
        <v>Small Format</v>
      </c>
      <c r="S1322" s="3" t="str">
        <f>IFERROR(__xludf.DUMMYFUNCTION("""COMPUTED_VALUE"""),"BCM")</f>
        <v>BCM</v>
      </c>
      <c r="T1322" s="3" t="str">
        <f>IFERROR(__xludf.DUMMYFUNCTION("""COMPUTED_VALUE"""),"#N/A")</f>
        <v>#N/A</v>
      </c>
      <c r="U1322" s="3" t="str">
        <f>IFERROR(__xludf.DUMMYFUNCTION("""COMPUTED_VALUE"""),"#N/A")</f>
        <v>#N/A</v>
      </c>
      <c r="V1322" s="3" t="str">
        <f>IFERROR(__xludf.DUMMYFUNCTION("""COMPUTED_VALUE"""),"N")</f>
        <v>N</v>
      </c>
      <c r="W1322" s="3">
        <f>IFERROR(__xludf.DUMMYFUNCTION("""COMPUTED_VALUE"""),210021.0)</f>
        <v>210021</v>
      </c>
      <c r="X1322" s="3" t="str">
        <f>IFERROR(__xludf.DUMMYFUNCTION("""COMPUTED_VALUE"""),"121/41 หมู่7 ตำบลซับสมอทอด อำเภอบึงสามพัน จังหวัดเพชรบูรณ์ 67160")</f>
        <v>121/41 หมู่7 ตำบลซับสมอทอด อำเภอบึงสามพัน จังหวัดเพชรบูรณ์ 67160</v>
      </c>
      <c r="Y1322" s="3"/>
      <c r="Z1322" s="3" t="str">
        <f>IFERROR(__xludf.DUMMYFUNCTION("""COMPUTED_VALUE"""),"ซับสมอทอด")</f>
        <v>ซับสมอทอด</v>
      </c>
      <c r="AA1322" s="3" t="str">
        <f>IFERROR(__xludf.DUMMYFUNCTION("""COMPUTED_VALUE"""),"บึงสามพัน")</f>
        <v>บึงสามพัน</v>
      </c>
      <c r="AB1322" s="3" t="str">
        <f>IFERROR(__xludf.DUMMYFUNCTION("""COMPUTED_VALUE"""),"เพชรบูรณ์")</f>
        <v>เพชรบูรณ์</v>
      </c>
      <c r="AC1322" s="3">
        <f>IFERROR(__xludf.DUMMYFUNCTION("""COMPUTED_VALUE"""),67160.0)</f>
        <v>67160</v>
      </c>
      <c r="AD1322" s="3">
        <f>IFERROR(__xludf.DUMMYFUNCTION("""COMPUTED_VALUE"""),15.783675)</f>
        <v>15.783675</v>
      </c>
      <c r="AE1322" s="3">
        <f>IFERROR(__xludf.DUMMYFUNCTION("""COMPUTED_VALUE"""),101.00308)</f>
        <v>101.00308</v>
      </c>
      <c r="AF1322" s="3" t="str">
        <f>IFERROR(__xludf.DUMMYFUNCTION("""COMPUTED_VALUE"""),"MBC บึงสามพัน เพชรบูรณ์-22004")</f>
        <v>MBC บึงสามพัน เพชรบูรณ์-22004</v>
      </c>
      <c r="AG1322" s="3" t="str">
        <f>IFERROR(__xludf.DUMMYFUNCTION("""COMPUTED_VALUE"""),"กลาง")</f>
        <v>กลาง</v>
      </c>
      <c r="AH1322" s="3" t="str">
        <f>IFERROR(__xludf.DUMMYFUNCTION("""COMPUTED_VALUE"""),"#N/A")</f>
        <v>#N/A</v>
      </c>
      <c r="AI1322" s="3" t="str">
        <f>IFERROR(__xludf.DUMMYFUNCTION("""COMPUTED_VALUE"""),"Out of warranty")</f>
        <v>Out of warranty</v>
      </c>
      <c r="AJ1322" s="3">
        <f>IFERROR(__xludf.DUMMYFUNCTION("""COMPUTED_VALUE"""),74.0)</f>
        <v>74</v>
      </c>
      <c r="AK1322" s="3" t="str">
        <f>IFERROR(__xludf.DUMMYFUNCTION("""COMPUTED_VALUE"""),"MMS09")</f>
        <v>MMS09</v>
      </c>
      <c r="AL1322" s="3"/>
    </row>
    <row r="1323" ht="15.75" customHeight="1">
      <c r="A1323" s="1" t="str">
        <f>IFERROR(__xludf.DUMMYFUNCTION("""COMPUTED_VALUE"""),"22005")</f>
        <v>22005</v>
      </c>
      <c r="B1323" s="2">
        <f>IFERROR(__xludf.DUMMYFUNCTION("""COMPUTED_VALUE"""),22005.0)</f>
        <v>22005</v>
      </c>
      <c r="C1323" s="3" t="str">
        <f>IFERROR(__xludf.DUMMYFUNCTION("""COMPUTED_VALUE"""),"MBC ลือ อำนาจ อำนาจเจริญ")</f>
        <v>MBC ลือ อำนาจ อำนาจเจริญ</v>
      </c>
      <c r="D1323" s="3" t="str">
        <f>IFERROR(__xludf.DUMMYFUNCTION("""COMPUTED_VALUE"""),"BCM LUE AMNAT, AMNAT CHAROEN")</f>
        <v>BCM LUE AMNAT, AMNAT CHAROEN</v>
      </c>
      <c r="E1323" s="1" t="str">
        <f>IFERROR(__xludf.DUMMYFUNCTION("""COMPUTED_VALUE"""),"บิ๊กซี MINI")</f>
        <v>บิ๊กซี MINI</v>
      </c>
      <c r="F1323" s="1" t="str">
        <f>IFERROR(__xludf.DUMMYFUNCTION("""COMPUTED_VALUE"""),"291105")</f>
        <v>291105</v>
      </c>
      <c r="G1323" s="1" t="str">
        <f>IFERROR(__xludf.DUMMYFUNCTION("""COMPUTED_VALUE"""),"นายสราวุฒิ พณิชยกุล")</f>
        <v>นายสราวุฒิ พณิชยกุล</v>
      </c>
      <c r="H1323" s="1" t="str">
        <f>IFERROR(__xludf.DUMMYFUNCTION("""COMPUTED_VALUE"""),"398285")</f>
        <v>398285</v>
      </c>
      <c r="I1323" s="1" t="str">
        <f>IFERROR(__xludf.DUMMYFUNCTION("""COMPUTED_VALUE"""),"น.ส.พชิรา บุญจูง")</f>
        <v>น.ส.พชิรา บุญจูง</v>
      </c>
      <c r="J1323" s="3">
        <f>IFERROR(__xludf.DUMMYFUNCTION("""COMPUTED_VALUE"""),2454781.0)</f>
        <v>2454781</v>
      </c>
      <c r="K1323" s="3" t="str">
        <f>IFERROR(__xludf.DUMMYFUNCTION("""COMPUTED_VALUE"""),"นายฌานกฤช นันทะโคต")</f>
        <v>นายฌานกฤช นันทะโคต</v>
      </c>
      <c r="L1323" s="1" t="str">
        <f>IFERROR(__xludf.DUMMYFUNCTION("""COMPUTED_VALUE"""),"05 K.Chanakrit N.")</f>
        <v>05 K.Chanakrit N.</v>
      </c>
      <c r="M1323" s="1" t="str">
        <f>IFERROR(__xludf.DUMMYFUNCTION("""COMPUTED_VALUE"""),"090-978-9785 ,065-929-1320")</f>
        <v>090-978-9785 ,065-929-1320</v>
      </c>
      <c r="N1323" s="3">
        <f>IFERROR(__xludf.DUMMYFUNCTION("""COMPUTED_VALUE"""),22195.0)</f>
        <v>22195</v>
      </c>
      <c r="O1323" s="3" t="str">
        <f>IFERROR(__xludf.DUMMYFUNCTION("""COMPUTED_VALUE"""),"MBC กันทรลักษ์ ศรีสะเกษ")</f>
        <v>MBC กันทรลักษ์ ศรีสะเกษ</v>
      </c>
      <c r="P1323" s="4">
        <f>IFERROR(__xludf.DUMMYFUNCTION("""COMPUTED_VALUE"""),43809.0)</f>
        <v>43809</v>
      </c>
      <c r="Q1323" s="3" t="str">
        <f>IFERROR(__xludf.DUMMYFUNCTION("""COMPUTED_VALUE"""),"A")</f>
        <v>A</v>
      </c>
      <c r="R1323" s="3" t="str">
        <f>IFERROR(__xludf.DUMMYFUNCTION("""COMPUTED_VALUE"""),"Small Format")</f>
        <v>Small Format</v>
      </c>
      <c r="S1323" s="3" t="str">
        <f>IFERROR(__xludf.DUMMYFUNCTION("""COMPUTED_VALUE"""),"BCM")</f>
        <v>BCM</v>
      </c>
      <c r="T1323" s="3" t="str">
        <f>IFERROR(__xludf.DUMMYFUNCTION("""COMPUTED_VALUE"""),"#N/A")</f>
        <v>#N/A</v>
      </c>
      <c r="U1323" s="3" t="str">
        <f>IFERROR(__xludf.DUMMYFUNCTION("""COMPUTED_VALUE"""),"#N/A")</f>
        <v>#N/A</v>
      </c>
      <c r="V1323" s="3" t="str">
        <f>IFERROR(__xludf.DUMMYFUNCTION("""COMPUTED_VALUE"""),"N")</f>
        <v>N</v>
      </c>
      <c r="W1323" s="3">
        <f>IFERROR(__xludf.DUMMYFUNCTION("""COMPUTED_VALUE"""),210036.0)</f>
        <v>210036</v>
      </c>
      <c r="X1323" s="3" t="str">
        <f>IFERROR(__xludf.DUMMYFUNCTION("""COMPUTED_VALUE"""),"106/1-3 หมู่2 ตำบลอำนาจ อำเภอลืออำนาจ จังหวัดอำนาจเจริญ 37000")</f>
        <v>106/1-3 หมู่2 ตำบลอำนาจ อำเภอลืออำนาจ จังหวัดอำนาจเจริญ 37000</v>
      </c>
      <c r="Y1323" s="3"/>
      <c r="Z1323" s="3" t="str">
        <f>IFERROR(__xludf.DUMMYFUNCTION("""COMPUTED_VALUE"""),"อำนาจ")</f>
        <v>อำนาจ</v>
      </c>
      <c r="AA1323" s="3" t="str">
        <f>IFERROR(__xludf.DUMMYFUNCTION("""COMPUTED_VALUE"""),"ลืออำนาจ")</f>
        <v>ลืออำนาจ</v>
      </c>
      <c r="AB1323" s="3" t="str">
        <f>IFERROR(__xludf.DUMMYFUNCTION("""COMPUTED_VALUE"""),"อำนาจเจริญ")</f>
        <v>อำนาจเจริญ</v>
      </c>
      <c r="AC1323" s="3">
        <f>IFERROR(__xludf.DUMMYFUNCTION("""COMPUTED_VALUE"""),37000.0)</f>
        <v>37000</v>
      </c>
      <c r="AD1323" s="3">
        <f>IFERROR(__xludf.DUMMYFUNCTION("""COMPUTED_VALUE"""),15.685747)</f>
        <v>15.685747</v>
      </c>
      <c r="AE1323" s="3">
        <f>IFERROR(__xludf.DUMMYFUNCTION("""COMPUTED_VALUE"""),104.652506)</f>
        <v>104.652506</v>
      </c>
      <c r="AF1323" s="3" t="str">
        <f>IFERROR(__xludf.DUMMYFUNCTION("""COMPUTED_VALUE"""),"MBC ลือ อำนาจ อำนาจเจริญ-22005")</f>
        <v>MBC ลือ อำนาจ อำนาจเจริญ-22005</v>
      </c>
      <c r="AG1323" s="3" t="str">
        <f>IFERROR(__xludf.DUMMYFUNCTION("""COMPUTED_VALUE"""),"ตะวันออกเฉียงเหนือ")</f>
        <v>ตะวันออกเฉียงเหนือ</v>
      </c>
      <c r="AH1323" s="3" t="str">
        <f>IFERROR(__xludf.DUMMYFUNCTION("""COMPUTED_VALUE"""),"#N/A")</f>
        <v>#N/A</v>
      </c>
      <c r="AI1323" s="3" t="str">
        <f>IFERROR(__xludf.DUMMYFUNCTION("""COMPUTED_VALUE"""),"Out of warranty")</f>
        <v>Out of warranty</v>
      </c>
      <c r="AJ1323" s="3">
        <f>IFERROR(__xludf.DUMMYFUNCTION("""COMPUTED_VALUE"""),74.0)</f>
        <v>74</v>
      </c>
      <c r="AK1323" s="3" t="str">
        <f>IFERROR(__xludf.DUMMYFUNCTION("""COMPUTED_VALUE"""),"MMS13")</f>
        <v>MMS13</v>
      </c>
      <c r="AL1323" s="3"/>
    </row>
    <row r="1324" ht="15.75" customHeight="1">
      <c r="A1324" s="1" t="str">
        <f>IFERROR(__xludf.DUMMYFUNCTION("""COMPUTED_VALUE"""),"22006")</f>
        <v>22006</v>
      </c>
      <c r="B1324" s="2">
        <f>IFERROR(__xludf.DUMMYFUNCTION("""COMPUTED_VALUE"""),22006.0)</f>
        <v>22006</v>
      </c>
      <c r="C1324" s="3" t="str">
        <f>IFERROR(__xludf.DUMMYFUNCTION("""COMPUTED_VALUE"""),"MBC เก้ากิโลซอย 31 ชลบุรี")</f>
        <v>MBC เก้ากิโลซอย 31 ชลบุรี</v>
      </c>
      <c r="D1324" s="3" t="str">
        <f>IFERROR(__xludf.DUMMYFUNCTION("""COMPUTED_VALUE"""),"BCM KAO KILO SOI 31, CHONBURI")</f>
        <v>BCM KAO KILO SOI 31, CHONBURI</v>
      </c>
      <c r="E1324" s="1" t="str">
        <f>IFERROR(__xludf.DUMMYFUNCTION("""COMPUTED_VALUE"""),"บิ๊กซี MINI")</f>
        <v>บิ๊กซี MINI</v>
      </c>
      <c r="F1324" s="1" t="str">
        <f>IFERROR(__xludf.DUMMYFUNCTION("""COMPUTED_VALUE"""),"221716")</f>
        <v>221716</v>
      </c>
      <c r="G1324" s="1" t="str">
        <f>IFERROR(__xludf.DUMMYFUNCTION("""COMPUTED_VALUE"""),"น.ส.เบญจพร โพธิสาร")</f>
        <v>น.ส.เบญจพร โพธิสาร</v>
      </c>
      <c r="H1324" s="1" t="str">
        <f>IFERROR(__xludf.DUMMYFUNCTION("""COMPUTED_VALUE"""),"291061")</f>
        <v>291061</v>
      </c>
      <c r="I1324" s="1" t="str">
        <f>IFERROR(__xludf.DUMMYFUNCTION("""COMPUTED_VALUE"""),"นายสมศักดิ์ เสียงก้อง")</f>
        <v>นายสมศักดิ์ เสียงก้อง</v>
      </c>
      <c r="J1324" s="3">
        <f>IFERROR(__xludf.DUMMYFUNCTION("""COMPUTED_VALUE"""),296942.0)</f>
        <v>296942</v>
      </c>
      <c r="K1324" s="3" t="str">
        <f>IFERROR(__xludf.DUMMYFUNCTION("""COMPUTED_VALUE"""),"นายปิยะ รักษากิจ")</f>
        <v>นายปิยะ รักษากิจ</v>
      </c>
      <c r="L1324" s="1" t="str">
        <f>IFERROR(__xludf.DUMMYFUNCTION("""COMPUTED_VALUE"""),"07 K.Piya R.")</f>
        <v>07 K.Piya R.</v>
      </c>
      <c r="M1324" s="1" t="str">
        <f>IFERROR(__xludf.DUMMYFUNCTION("""COMPUTED_VALUE"""),"097-919-5476")</f>
        <v>097-919-5476</v>
      </c>
      <c r="N1324" s="3">
        <f>IFERROR(__xludf.DUMMYFUNCTION("""COMPUTED_VALUE"""),21332.0)</f>
        <v>21332</v>
      </c>
      <c r="O1324" s="3" t="str">
        <f>IFERROR(__xludf.DUMMYFUNCTION("""COMPUTED_VALUE"""),"MBC BCP อ่อนนุช 17/1")</f>
        <v>MBC BCP อ่อนนุช 17/1</v>
      </c>
      <c r="P1324" s="4">
        <f>IFERROR(__xludf.DUMMYFUNCTION("""COMPUTED_VALUE"""),43809.0)</f>
        <v>43809</v>
      </c>
      <c r="Q1324" s="3" t="str">
        <f>IFERROR(__xludf.DUMMYFUNCTION("""COMPUTED_VALUE"""),"A")</f>
        <v>A</v>
      </c>
      <c r="R1324" s="3" t="str">
        <f>IFERROR(__xludf.DUMMYFUNCTION("""COMPUTED_VALUE"""),"Small Format")</f>
        <v>Small Format</v>
      </c>
      <c r="S1324" s="3" t="str">
        <f>IFERROR(__xludf.DUMMYFUNCTION("""COMPUTED_VALUE"""),"BCM")</f>
        <v>BCM</v>
      </c>
      <c r="T1324" s="3" t="str">
        <f>IFERROR(__xludf.DUMMYFUNCTION("""COMPUTED_VALUE"""),"#N/A")</f>
        <v>#N/A</v>
      </c>
      <c r="U1324" s="3" t="str">
        <f>IFERROR(__xludf.DUMMYFUNCTION("""COMPUTED_VALUE"""),"#N/A")</f>
        <v>#N/A</v>
      </c>
      <c r="V1324" s="3" t="str">
        <f>IFERROR(__xludf.DUMMYFUNCTION("""COMPUTED_VALUE"""),"N")</f>
        <v>N</v>
      </c>
      <c r="W1324" s="3">
        <f>IFERROR(__xludf.DUMMYFUNCTION("""COMPUTED_VALUE"""),211971.0)</f>
        <v>211971</v>
      </c>
      <c r="X1324" s="3" t="str">
        <f>IFERROR(__xludf.DUMMYFUNCTION("""COMPUTED_VALUE"""),"62/16 หมู่3 ตำบลสุรศักดิ์ อำเภอศรีราชา จังหวัดชลบุรี 20110")</f>
        <v>62/16 หมู่3 ตำบลสุรศักดิ์ อำเภอศรีราชา จังหวัดชลบุรี 20110</v>
      </c>
      <c r="Y1324" s="3"/>
      <c r="Z1324" s="3" t="str">
        <f>IFERROR(__xludf.DUMMYFUNCTION("""COMPUTED_VALUE"""),"สุรศักดิ์")</f>
        <v>สุรศักดิ์</v>
      </c>
      <c r="AA1324" s="3" t="str">
        <f>IFERROR(__xludf.DUMMYFUNCTION("""COMPUTED_VALUE"""),"ศรีราชา")</f>
        <v>ศรีราชา</v>
      </c>
      <c r="AB1324" s="3" t="str">
        <f>IFERROR(__xludf.DUMMYFUNCTION("""COMPUTED_VALUE"""),"ชลบุรี")</f>
        <v>ชลบุรี</v>
      </c>
      <c r="AC1324" s="3">
        <f>IFERROR(__xludf.DUMMYFUNCTION("""COMPUTED_VALUE"""),20110.0)</f>
        <v>20110</v>
      </c>
      <c r="AD1324" s="3">
        <f>IFERROR(__xludf.DUMMYFUNCTION("""COMPUTED_VALUE"""),13.140852)</f>
        <v>13.140852</v>
      </c>
      <c r="AE1324" s="3">
        <f>IFERROR(__xludf.DUMMYFUNCTION("""COMPUTED_VALUE"""),100.937843)</f>
        <v>100.937843</v>
      </c>
      <c r="AF1324" s="3" t="str">
        <f>IFERROR(__xludf.DUMMYFUNCTION("""COMPUTED_VALUE"""),"MBC เก้ากิโลซอย 31 ชลบุรี-22006")</f>
        <v>MBC เก้ากิโลซอย 31 ชลบุรี-22006</v>
      </c>
      <c r="AG1324" s="3" t="str">
        <f>IFERROR(__xludf.DUMMYFUNCTION("""COMPUTED_VALUE"""),"ตะวันออก")</f>
        <v>ตะวันออก</v>
      </c>
      <c r="AH1324" s="3" t="str">
        <f>IFERROR(__xludf.DUMMYFUNCTION("""COMPUTED_VALUE"""),"#N/A")</f>
        <v>#N/A</v>
      </c>
      <c r="AI1324" s="3" t="str">
        <f>IFERROR(__xludf.DUMMYFUNCTION("""COMPUTED_VALUE"""),"Out of warranty")</f>
        <v>Out of warranty</v>
      </c>
      <c r="AJ1324" s="3">
        <f>IFERROR(__xludf.DUMMYFUNCTION("""COMPUTED_VALUE"""),74.0)</f>
        <v>74</v>
      </c>
      <c r="AK1324" s="3" t="str">
        <f>IFERROR(__xludf.DUMMYFUNCTION("""COMPUTED_VALUE"""),"MMS06")</f>
        <v>MMS06</v>
      </c>
      <c r="AL1324" s="3"/>
    </row>
    <row r="1325" ht="15.75" customHeight="1">
      <c r="A1325" s="1" t="str">
        <f>IFERROR(__xludf.DUMMYFUNCTION("""COMPUTED_VALUE"""),"22007")</f>
        <v>22007</v>
      </c>
      <c r="B1325" s="2">
        <f>IFERROR(__xludf.DUMMYFUNCTION("""COMPUTED_VALUE"""),22007.0)</f>
        <v>22007</v>
      </c>
      <c r="C1325" s="3" t="str">
        <f>IFERROR(__xludf.DUMMYFUNCTION("""COMPUTED_VALUE"""),"MBC ตลาดครอบครัวท่าพระ1(รัชดาภิเษก) กรุงเทพฯ")</f>
        <v>MBC ตลาดครอบครัวท่าพระ1(รัชดาภิเษก) กรุงเทพฯ</v>
      </c>
      <c r="D1325" s="3" t="str">
        <f>IFERROR(__xludf.DUMMYFUNCTION("""COMPUTED_VALUE"""),"BCM TALAD KROBKRUA THA PHRA 1")</f>
        <v>BCM TALAD KROBKRUA THA PHRA 1</v>
      </c>
      <c r="E1325" s="1" t="str">
        <f>IFERROR(__xludf.DUMMYFUNCTION("""COMPUTED_VALUE"""),"บิ๊กซี MINI")</f>
        <v>บิ๊กซี MINI</v>
      </c>
      <c r="F1325" s="1" t="str">
        <f>IFERROR(__xludf.DUMMYFUNCTION("""COMPUTED_VALUE"""),"291008")</f>
        <v>291008</v>
      </c>
      <c r="G1325" s="1" t="str">
        <f>IFERROR(__xludf.DUMMYFUNCTION("""COMPUTED_VALUE"""),"น.ส.รัชดาพร อีศรัตน์")</f>
        <v>น.ส.รัชดาพร อีศรัตน์</v>
      </c>
      <c r="H1325" s="1" t="str">
        <f>IFERROR(__xludf.DUMMYFUNCTION("""COMPUTED_VALUE"""),"254800")</f>
        <v>254800</v>
      </c>
      <c r="I1325" s="1" t="str">
        <f>IFERROR(__xludf.DUMMYFUNCTION("""COMPUTED_VALUE"""),"น.ส.นัชมล กางกรณ์")</f>
        <v>น.ส.นัชมล กางกรณ์</v>
      </c>
      <c r="J1325" s="3">
        <f>IFERROR(__xludf.DUMMYFUNCTION("""COMPUTED_VALUE"""),296608.0)</f>
        <v>296608</v>
      </c>
      <c r="K1325" s="3" t="str">
        <f>IFERROR(__xludf.DUMMYFUNCTION("""COMPUTED_VALUE"""),"นายภาคภูมิ เพ็ชรนิล")</f>
        <v>นายภาคภูมิ เพ็ชรนิล</v>
      </c>
      <c r="L1325" s="1" t="str">
        <f>IFERROR(__xludf.DUMMYFUNCTION("""COMPUTED_VALUE"""),"10 K.Phakphoom P.")</f>
        <v>10 K.Phakphoom P.</v>
      </c>
      <c r="M1325" s="1" t="str">
        <f>IFERROR(__xludf.DUMMYFUNCTION("""COMPUTED_VALUE"""),"063-8955329")</f>
        <v>063-8955329</v>
      </c>
      <c r="N1325" s="3">
        <f>IFERROR(__xludf.DUMMYFUNCTION("""COMPUTED_VALUE"""),22584.0)</f>
        <v>22584</v>
      </c>
      <c r="O1325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325" s="4">
        <f>IFERROR(__xludf.DUMMYFUNCTION("""COMPUTED_VALUE"""),43809.0)</f>
        <v>43809</v>
      </c>
      <c r="Q1325" s="3" t="str">
        <f>IFERROR(__xludf.DUMMYFUNCTION("""COMPUTED_VALUE"""),"A")</f>
        <v>A</v>
      </c>
      <c r="R1325" s="3" t="str">
        <f>IFERROR(__xludf.DUMMYFUNCTION("""COMPUTED_VALUE"""),"Small Format")</f>
        <v>Small Format</v>
      </c>
      <c r="S1325" s="3" t="str">
        <f>IFERROR(__xludf.DUMMYFUNCTION("""COMPUTED_VALUE"""),"BCM")</f>
        <v>BCM</v>
      </c>
      <c r="T1325" s="3" t="str">
        <f>IFERROR(__xludf.DUMMYFUNCTION("""COMPUTED_VALUE"""),"#N/A")</f>
        <v>#N/A</v>
      </c>
      <c r="U1325" s="3" t="str">
        <f>IFERROR(__xludf.DUMMYFUNCTION("""COMPUTED_VALUE"""),"#N/A")</f>
        <v>#N/A</v>
      </c>
      <c r="V1325" s="3" t="str">
        <f>IFERROR(__xludf.DUMMYFUNCTION("""COMPUTED_VALUE"""),"N")</f>
        <v>N</v>
      </c>
      <c r="W1325" s="3">
        <f>IFERROR(__xludf.DUMMYFUNCTION("""COMPUTED_VALUE"""),211933.0)</f>
        <v>211933</v>
      </c>
      <c r="X1325" s="3" t="str">
        <f>IFERROR(__xludf.DUMMYFUNCTION("""COMPUTED_VALUE"""),"161/3 ซอยเทอดไทย33 แขวงดาวคะนอง เขตธนบุรี กรุงเทพมหานคร 10600")</f>
        <v>161/3 ซอยเทอดไทย33 แขวงดาวคะนอง เขตธนบุรี กรุงเทพมหานคร 10600</v>
      </c>
      <c r="Y1325" s="3" t="str">
        <f>IFERROR(__xludf.DUMMYFUNCTION("""COMPUTED_VALUE"""),"ซอยเทอดไทย33")</f>
        <v>ซอยเทอดไทย33</v>
      </c>
      <c r="Z1325" s="3" t="str">
        <f>IFERROR(__xludf.DUMMYFUNCTION("""COMPUTED_VALUE"""),"ดาวคะนอง")</f>
        <v>ดาวคะนอง</v>
      </c>
      <c r="AA1325" s="3" t="str">
        <f>IFERROR(__xludf.DUMMYFUNCTION("""COMPUTED_VALUE"""),"ธนบุรี")</f>
        <v>ธนบุรี</v>
      </c>
      <c r="AB1325" s="3" t="str">
        <f>IFERROR(__xludf.DUMMYFUNCTION("""COMPUTED_VALUE"""),"กรุงเทพมหานคร")</f>
        <v>กรุงเทพมหานคร</v>
      </c>
      <c r="AC1325" s="3">
        <f>IFERROR(__xludf.DUMMYFUNCTION("""COMPUTED_VALUE"""),10600.0)</f>
        <v>10600</v>
      </c>
      <c r="AD1325" s="3">
        <f>IFERROR(__xludf.DUMMYFUNCTION("""COMPUTED_VALUE"""),13.713097)</f>
        <v>13.713097</v>
      </c>
      <c r="AE1325" s="3">
        <f>IFERROR(__xludf.DUMMYFUNCTION("""COMPUTED_VALUE"""),100.478956)</f>
        <v>100.478956</v>
      </c>
      <c r="AF1325" s="3" t="str">
        <f>IFERROR(__xludf.DUMMYFUNCTION("""COMPUTED_VALUE"""),"MBC ตลาดครอบครัวท่าพระ1(รัชดาภิเษก) กรุงเทพฯ-22007")</f>
        <v>MBC ตลาดครอบครัวท่าพระ1(รัชดาภิเษก) กรุงเทพฯ-22007</v>
      </c>
      <c r="AG1325" s="3" t="str">
        <f>IFERROR(__xludf.DUMMYFUNCTION("""COMPUTED_VALUE"""),"กลาง")</f>
        <v>กลาง</v>
      </c>
      <c r="AH1325" s="3" t="str">
        <f>IFERROR(__xludf.DUMMYFUNCTION("""COMPUTED_VALUE"""),"#N/A")</f>
        <v>#N/A</v>
      </c>
      <c r="AI1325" s="3" t="str">
        <f>IFERROR(__xludf.DUMMYFUNCTION("""COMPUTED_VALUE"""),"Out of warranty")</f>
        <v>Out of warranty</v>
      </c>
      <c r="AJ1325" s="3">
        <f>IFERROR(__xludf.DUMMYFUNCTION("""COMPUTED_VALUE"""),74.0)</f>
        <v>74</v>
      </c>
      <c r="AK1325" s="3" t="str">
        <f>IFERROR(__xludf.DUMMYFUNCTION("""COMPUTED_VALUE"""),"MMS02")</f>
        <v>MMS02</v>
      </c>
      <c r="AL1325" s="3"/>
    </row>
    <row r="1326" ht="15.75" customHeight="1">
      <c r="A1326" s="1" t="str">
        <f>IFERROR(__xludf.DUMMYFUNCTION("""COMPUTED_VALUE"""),"22008")</f>
        <v>22008</v>
      </c>
      <c r="B1326" s="2">
        <f>IFERROR(__xludf.DUMMYFUNCTION("""COMPUTED_VALUE"""),22008.0)</f>
        <v>22008</v>
      </c>
      <c r="C1326" s="3" t="str">
        <f>IFERROR(__xludf.DUMMYFUNCTION("""COMPUTED_VALUE"""),"MBC ตลาดครอบครัวท่าพระ2(เทอดไท33) กรุงเทพฯ")</f>
        <v>MBC ตลาดครอบครัวท่าพระ2(เทอดไท33) กรุงเทพฯ</v>
      </c>
      <c r="D1326" s="3" t="str">
        <f>IFERROR(__xludf.DUMMYFUNCTION("""COMPUTED_VALUE"""),"BCM TALAD KROBKRUA THA PHRA 2")</f>
        <v>BCM TALAD KROBKRUA THA PHRA 2</v>
      </c>
      <c r="E1326" s="1" t="str">
        <f>IFERROR(__xludf.DUMMYFUNCTION("""COMPUTED_VALUE"""),"บิ๊กซี MINI")</f>
        <v>บิ๊กซี MINI</v>
      </c>
      <c r="F1326" s="1" t="str">
        <f>IFERROR(__xludf.DUMMYFUNCTION("""COMPUTED_VALUE"""),"291008")</f>
        <v>291008</v>
      </c>
      <c r="G1326" s="1" t="str">
        <f>IFERROR(__xludf.DUMMYFUNCTION("""COMPUTED_VALUE"""),"น.ส.รัชดาพร อีศรัตน์")</f>
        <v>น.ส.รัชดาพร อีศรัตน์</v>
      </c>
      <c r="H1326" s="1" t="str">
        <f>IFERROR(__xludf.DUMMYFUNCTION("""COMPUTED_VALUE"""),"254800")</f>
        <v>254800</v>
      </c>
      <c r="I1326" s="1" t="str">
        <f>IFERROR(__xludf.DUMMYFUNCTION("""COMPUTED_VALUE"""),"น.ส.นัชมล กางกรณ์")</f>
        <v>น.ส.นัชมล กางกรณ์</v>
      </c>
      <c r="J1326" s="3">
        <f>IFERROR(__xludf.DUMMYFUNCTION("""COMPUTED_VALUE"""),296608.0)</f>
        <v>296608</v>
      </c>
      <c r="K1326" s="3" t="str">
        <f>IFERROR(__xludf.DUMMYFUNCTION("""COMPUTED_VALUE"""),"นายภาคภูมิ เพ็ชรนิล")</f>
        <v>นายภาคภูมิ เพ็ชรนิล</v>
      </c>
      <c r="L1326" s="1" t="str">
        <f>IFERROR(__xludf.DUMMYFUNCTION("""COMPUTED_VALUE"""),"10 K.Phakphoom P.")</f>
        <v>10 K.Phakphoom P.</v>
      </c>
      <c r="M1326" s="1" t="str">
        <f>IFERROR(__xludf.DUMMYFUNCTION("""COMPUTED_VALUE"""),"063-8955329")</f>
        <v>063-8955329</v>
      </c>
      <c r="N1326" s="3">
        <f>IFERROR(__xludf.DUMMYFUNCTION("""COMPUTED_VALUE"""),22584.0)</f>
        <v>22584</v>
      </c>
      <c r="O1326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326" s="4">
        <f>IFERROR(__xludf.DUMMYFUNCTION("""COMPUTED_VALUE"""),43809.0)</f>
        <v>43809</v>
      </c>
      <c r="Q1326" s="3" t="str">
        <f>IFERROR(__xludf.DUMMYFUNCTION("""COMPUTED_VALUE"""),"A")</f>
        <v>A</v>
      </c>
      <c r="R1326" s="3" t="str">
        <f>IFERROR(__xludf.DUMMYFUNCTION("""COMPUTED_VALUE"""),"Small Format")</f>
        <v>Small Format</v>
      </c>
      <c r="S1326" s="3" t="str">
        <f>IFERROR(__xludf.DUMMYFUNCTION("""COMPUTED_VALUE"""),"BCM")</f>
        <v>BCM</v>
      </c>
      <c r="T1326" s="3" t="str">
        <f>IFERROR(__xludf.DUMMYFUNCTION("""COMPUTED_VALUE"""),"#N/A")</f>
        <v>#N/A</v>
      </c>
      <c r="U1326" s="3" t="str">
        <f>IFERROR(__xludf.DUMMYFUNCTION("""COMPUTED_VALUE"""),"#N/A")</f>
        <v>#N/A</v>
      </c>
      <c r="V1326" s="3" t="str">
        <f>IFERROR(__xludf.DUMMYFUNCTION("""COMPUTED_VALUE"""),"N")</f>
        <v>N</v>
      </c>
      <c r="W1326" s="3">
        <f>IFERROR(__xludf.DUMMYFUNCTION("""COMPUTED_VALUE"""),211934.0)</f>
        <v>211934</v>
      </c>
      <c r="X1326" s="3" t="str">
        <f>IFERROR(__xludf.DUMMYFUNCTION("""COMPUTED_VALUE"""),"161/4 ซอยเทอดไทย33 แขวงดาวคะนอง เขตธนบุรี กรุงเทพมหานคร 10600")</f>
        <v>161/4 ซอยเทอดไทย33 แขวงดาวคะนอง เขตธนบุรี กรุงเทพมหานคร 10600</v>
      </c>
      <c r="Y1326" s="3" t="str">
        <f>IFERROR(__xludf.DUMMYFUNCTION("""COMPUTED_VALUE"""),"ซอยเทอดไทย33")</f>
        <v>ซอยเทอดไทย33</v>
      </c>
      <c r="Z1326" s="3" t="str">
        <f>IFERROR(__xludf.DUMMYFUNCTION("""COMPUTED_VALUE"""),"ดาวคะนอง")</f>
        <v>ดาวคะนอง</v>
      </c>
      <c r="AA1326" s="3" t="str">
        <f>IFERROR(__xludf.DUMMYFUNCTION("""COMPUTED_VALUE"""),"ธนบุรี")</f>
        <v>ธนบุรี</v>
      </c>
      <c r="AB1326" s="3" t="str">
        <f>IFERROR(__xludf.DUMMYFUNCTION("""COMPUTED_VALUE"""),"กรุงเทพมหานคร")</f>
        <v>กรุงเทพมหานคร</v>
      </c>
      <c r="AC1326" s="3">
        <f>IFERROR(__xludf.DUMMYFUNCTION("""COMPUTED_VALUE"""),10600.0)</f>
        <v>10600</v>
      </c>
      <c r="AD1326" s="3">
        <f>IFERROR(__xludf.DUMMYFUNCTION("""COMPUTED_VALUE"""),13.713097)</f>
        <v>13.713097</v>
      </c>
      <c r="AE1326" s="3">
        <f>IFERROR(__xludf.DUMMYFUNCTION("""COMPUTED_VALUE"""),100.476956)</f>
        <v>100.476956</v>
      </c>
      <c r="AF1326" s="3" t="str">
        <f>IFERROR(__xludf.DUMMYFUNCTION("""COMPUTED_VALUE"""),"MBC ตลาดครอบครัวท่าพระ2(เทอดไท33) กรุงเทพฯ-22008")</f>
        <v>MBC ตลาดครอบครัวท่าพระ2(เทอดไท33) กรุงเทพฯ-22008</v>
      </c>
      <c r="AG1326" s="3" t="str">
        <f>IFERROR(__xludf.DUMMYFUNCTION("""COMPUTED_VALUE"""),"กลาง")</f>
        <v>กลาง</v>
      </c>
      <c r="AH1326" s="3" t="str">
        <f>IFERROR(__xludf.DUMMYFUNCTION("""COMPUTED_VALUE"""),"#N/A")</f>
        <v>#N/A</v>
      </c>
      <c r="AI1326" s="3" t="str">
        <f>IFERROR(__xludf.DUMMYFUNCTION("""COMPUTED_VALUE"""),"Out of warranty")</f>
        <v>Out of warranty</v>
      </c>
      <c r="AJ1326" s="3">
        <f>IFERROR(__xludf.DUMMYFUNCTION("""COMPUTED_VALUE"""),74.0)</f>
        <v>74</v>
      </c>
      <c r="AK1326" s="3" t="str">
        <f>IFERROR(__xludf.DUMMYFUNCTION("""COMPUTED_VALUE"""),"MMS02")</f>
        <v>MMS02</v>
      </c>
      <c r="AL1326" s="3"/>
    </row>
    <row r="1327" ht="15.75" customHeight="1">
      <c r="A1327" s="1" t="str">
        <f>IFERROR(__xludf.DUMMYFUNCTION("""COMPUTED_VALUE"""),"22009")</f>
        <v>22009</v>
      </c>
      <c r="B1327" s="2">
        <f>IFERROR(__xludf.DUMMYFUNCTION("""COMPUTED_VALUE"""),22009.0)</f>
        <v>22009</v>
      </c>
      <c r="C1327" s="3" t="str">
        <f>IFERROR(__xludf.DUMMYFUNCTION("""COMPUTED_VALUE"""),"MBC คาลเท็กซ์ รังสิต คลอง 3 ปทุมธานี")</f>
        <v>MBC คาลเท็กซ์ รังสิต คลอง 3 ปทุมธานี</v>
      </c>
      <c r="D1327" s="3" t="str">
        <f>IFERROR(__xludf.DUMMYFUNCTION("""COMPUTED_VALUE"""),"BCM CALTEX RANGSIT KHLONG 3")</f>
        <v>BCM CALTEX RANGSIT KHLONG 3</v>
      </c>
      <c r="E1327" s="1" t="str">
        <f>IFERROR(__xludf.DUMMYFUNCTION("""COMPUTED_VALUE"""),"บิ๊กซี MINI")</f>
        <v>บิ๊กซี MINI</v>
      </c>
      <c r="F1327" s="1" t="str">
        <f>IFERROR(__xludf.DUMMYFUNCTION("""COMPUTED_VALUE"""),"2083447")</f>
        <v>2083447</v>
      </c>
      <c r="G1327" s="1" t="str">
        <f>IFERROR(__xludf.DUMMYFUNCTION("""COMPUTED_VALUE"""),"นายอนุกูล ศรีลัดดา")</f>
        <v>นายอนุกูล ศรีลัดดา</v>
      </c>
      <c r="H1327" s="1" t="str">
        <f>IFERROR(__xludf.DUMMYFUNCTION("""COMPUTED_VALUE"""),"373849")</f>
        <v>373849</v>
      </c>
      <c r="I1327" s="1" t="str">
        <f>IFERROR(__xludf.DUMMYFUNCTION("""COMPUTED_VALUE"""),"น.ส.อรอุมา นิ่มวิศิษย์")</f>
        <v>น.ส.อรอุมา นิ่มวิศิษย์</v>
      </c>
      <c r="J1327" s="3">
        <f>IFERROR(__xludf.DUMMYFUNCTION("""COMPUTED_VALUE"""),510143.0)</f>
        <v>510143</v>
      </c>
      <c r="K1327" s="3" t="str">
        <f>IFERROR(__xludf.DUMMYFUNCTION("""COMPUTED_VALUE"""),"นายธีระวัฒน์ บุญสิทธิ์")</f>
        <v>นายธีระวัฒน์ บุญสิทธิ์</v>
      </c>
      <c r="L1327" s="1" t="str">
        <f>IFERROR(__xludf.DUMMYFUNCTION("""COMPUTED_VALUE"""),"12 K.Theerawat B.")</f>
        <v>12 K.Theerawat B.</v>
      </c>
      <c r="M1327" s="1" t="str">
        <f>IFERROR(__xludf.DUMMYFUNCTION("""COMPUTED_VALUE"""),"0655107379")</f>
        <v>0655107379</v>
      </c>
      <c r="N1327" s="3">
        <f>IFERROR(__xludf.DUMMYFUNCTION("""COMPUTED_VALUE"""),21062.0)</f>
        <v>21062</v>
      </c>
      <c r="O1327" s="3" t="str">
        <f>IFERROR(__xludf.DUMMYFUNCTION("""COMPUTED_VALUE"""),"MBC นิคมนวนคร")</f>
        <v>MBC นิคมนวนคร</v>
      </c>
      <c r="P1327" s="4">
        <f>IFERROR(__xludf.DUMMYFUNCTION("""COMPUTED_VALUE"""),43847.0)</f>
        <v>43847</v>
      </c>
      <c r="Q1327" s="3" t="str">
        <f>IFERROR(__xludf.DUMMYFUNCTION("""COMPUTED_VALUE"""),"A")</f>
        <v>A</v>
      </c>
      <c r="R1327" s="3" t="str">
        <f>IFERROR(__xludf.DUMMYFUNCTION("""COMPUTED_VALUE"""),"Small Format")</f>
        <v>Small Format</v>
      </c>
      <c r="S1327" s="3" t="str">
        <f>IFERROR(__xludf.DUMMYFUNCTION("""COMPUTED_VALUE"""),"BCM")</f>
        <v>BCM</v>
      </c>
      <c r="T1327" s="3" t="str">
        <f>IFERROR(__xludf.DUMMYFUNCTION("""COMPUTED_VALUE"""),"#N/A")</f>
        <v>#N/A</v>
      </c>
      <c r="U1327" s="3" t="str">
        <f>IFERROR(__xludf.DUMMYFUNCTION("""COMPUTED_VALUE"""),"#N/A")</f>
        <v>#N/A</v>
      </c>
      <c r="V1327" s="3" t="str">
        <f>IFERROR(__xludf.DUMMYFUNCTION("""COMPUTED_VALUE"""),"N")</f>
        <v>N</v>
      </c>
      <c r="W1327" s="3">
        <f>IFERROR(__xludf.DUMMYFUNCTION("""COMPUTED_VALUE"""),211990.0)</f>
        <v>211990</v>
      </c>
      <c r="X1327" s="3" t="str">
        <f>IFERROR(__xludf.DUMMYFUNCTION("""COMPUTED_VALUE"""),"30 หมู่2 ตำบลบึงยี่โถ อำเภอธัญบุรี จังหวัดปทุมธานี 12130")</f>
        <v>30 หมู่2 ตำบลบึงยี่โถ อำเภอธัญบุรี จังหวัดปทุมธานี 12130</v>
      </c>
      <c r="Y1327" s="3"/>
      <c r="Z1327" s="3" t="str">
        <f>IFERROR(__xludf.DUMMYFUNCTION("""COMPUTED_VALUE"""),"บึงยี่โถ")</f>
        <v>บึงยี่โถ</v>
      </c>
      <c r="AA1327" s="3" t="str">
        <f>IFERROR(__xludf.DUMMYFUNCTION("""COMPUTED_VALUE"""),"ธัญบุรี")</f>
        <v>ธัญบุรี</v>
      </c>
      <c r="AB1327" s="3" t="str">
        <f>IFERROR(__xludf.DUMMYFUNCTION("""COMPUTED_VALUE"""),"ปทุมธานี")</f>
        <v>ปทุมธานี</v>
      </c>
      <c r="AC1327" s="3">
        <f>IFERROR(__xludf.DUMMYFUNCTION("""COMPUTED_VALUE"""),12130.0)</f>
        <v>12130</v>
      </c>
      <c r="AD1327" s="3">
        <f>IFERROR(__xludf.DUMMYFUNCTION("""COMPUTED_VALUE"""),13.996636)</f>
        <v>13.996636</v>
      </c>
      <c r="AE1327" s="3">
        <f>IFERROR(__xludf.DUMMYFUNCTION("""COMPUTED_VALUE"""),100.670781)</f>
        <v>100.670781</v>
      </c>
      <c r="AF1327" s="3" t="str">
        <f>IFERROR(__xludf.DUMMYFUNCTION("""COMPUTED_VALUE"""),"MBC คาลเท็กซ์ รังสิต คลอง 3 ปทุมธานี-22009")</f>
        <v>MBC คาลเท็กซ์ รังสิต คลอง 3 ปทุมธานี-22009</v>
      </c>
      <c r="AG1327" s="3" t="str">
        <f>IFERROR(__xludf.DUMMYFUNCTION("""COMPUTED_VALUE"""),"กลาง")</f>
        <v>กลาง</v>
      </c>
      <c r="AH1327" s="3" t="str">
        <f>IFERROR(__xludf.DUMMYFUNCTION("""COMPUTED_VALUE"""),"#N/A")</f>
        <v>#N/A</v>
      </c>
      <c r="AI1327" s="3" t="str">
        <f>IFERROR(__xludf.DUMMYFUNCTION("""COMPUTED_VALUE"""),"Out of warranty")</f>
        <v>Out of warranty</v>
      </c>
      <c r="AJ1327" s="3">
        <f>IFERROR(__xludf.DUMMYFUNCTION("""COMPUTED_VALUE"""),73.0)</f>
        <v>73</v>
      </c>
      <c r="AK1327" s="3" t="str">
        <f>IFERROR(__xludf.DUMMYFUNCTION("""COMPUTED_VALUE"""),"MMS04")</f>
        <v>MMS04</v>
      </c>
      <c r="AL1327" s="3"/>
    </row>
    <row r="1328" ht="15.75" customHeight="1">
      <c r="A1328" s="1" t="str">
        <f>IFERROR(__xludf.DUMMYFUNCTION("""COMPUTED_VALUE"""),"22010")</f>
        <v>22010</v>
      </c>
      <c r="B1328" s="2">
        <f>IFERROR(__xludf.DUMMYFUNCTION("""COMPUTED_VALUE"""),22010.0)</f>
        <v>22010</v>
      </c>
      <c r="C1328" s="3" t="str">
        <f>IFERROR(__xludf.DUMMYFUNCTION("""COMPUTED_VALUE"""),"MBC วังตะไคร้-นางรอง นครนายก")</f>
        <v>MBC วังตะไคร้-นางรอง นครนายก</v>
      </c>
      <c r="D1328" s="3" t="str">
        <f>IFERROR(__xludf.DUMMYFUNCTION("""COMPUTED_VALUE"""),"BCM WANGTAKRAI-NANGRONG")</f>
        <v>BCM WANGTAKRAI-NANGRONG</v>
      </c>
      <c r="E1328" s="1" t="str">
        <f>IFERROR(__xludf.DUMMYFUNCTION("""COMPUTED_VALUE"""),"บิ๊กซี MINI")</f>
        <v>บิ๊กซี MINI</v>
      </c>
      <c r="F1328" s="1" t="str">
        <f>IFERROR(__xludf.DUMMYFUNCTION("""COMPUTED_VALUE"""),"2083447")</f>
        <v>2083447</v>
      </c>
      <c r="G1328" s="1" t="str">
        <f>IFERROR(__xludf.DUMMYFUNCTION("""COMPUTED_VALUE"""),"นายอนุกูล ศรีลัดดา")</f>
        <v>นายอนุกูล ศรีลัดดา</v>
      </c>
      <c r="H1328" s="1" t="str">
        <f>IFERROR(__xludf.DUMMYFUNCTION("""COMPUTED_VALUE"""),"254957")</f>
        <v>254957</v>
      </c>
      <c r="I1328" s="1" t="str">
        <f>IFERROR(__xludf.DUMMYFUNCTION("""COMPUTED_VALUE"""),"น.ส.ศิริพร รุ่งธัญญา")</f>
        <v>น.ส.ศิริพร รุ่งธัญญา</v>
      </c>
      <c r="J1328" s="3">
        <f>IFERROR(__xludf.DUMMYFUNCTION("""COMPUTED_VALUE"""),510143.0)</f>
        <v>510143</v>
      </c>
      <c r="K1328" s="3" t="str">
        <f>IFERROR(__xludf.DUMMYFUNCTION("""COMPUTED_VALUE"""),"นายธีระวัฒน์ บุญสิทธิ์")</f>
        <v>นายธีระวัฒน์ บุญสิทธิ์</v>
      </c>
      <c r="L1328" s="1" t="str">
        <f>IFERROR(__xludf.DUMMYFUNCTION("""COMPUTED_VALUE"""),"12 K.Theerawat B.")</f>
        <v>12 K.Theerawat B.</v>
      </c>
      <c r="M1328" s="1" t="str">
        <f>IFERROR(__xludf.DUMMYFUNCTION("""COMPUTED_VALUE"""),"0655107379")</f>
        <v>0655107379</v>
      </c>
      <c r="N1328" s="3">
        <f>IFERROR(__xludf.DUMMYFUNCTION("""COMPUTED_VALUE"""),21062.0)</f>
        <v>21062</v>
      </c>
      <c r="O1328" s="3" t="str">
        <f>IFERROR(__xludf.DUMMYFUNCTION("""COMPUTED_VALUE"""),"MBC นิคมนวนคร")</f>
        <v>MBC นิคมนวนคร</v>
      </c>
      <c r="P1328" s="4">
        <f>IFERROR(__xludf.DUMMYFUNCTION("""COMPUTED_VALUE"""),43811.0)</f>
        <v>43811</v>
      </c>
      <c r="Q1328" s="3" t="str">
        <f>IFERROR(__xludf.DUMMYFUNCTION("""COMPUTED_VALUE"""),"A")</f>
        <v>A</v>
      </c>
      <c r="R1328" s="3" t="str">
        <f>IFERROR(__xludf.DUMMYFUNCTION("""COMPUTED_VALUE"""),"Small Format")</f>
        <v>Small Format</v>
      </c>
      <c r="S1328" s="3" t="str">
        <f>IFERROR(__xludf.DUMMYFUNCTION("""COMPUTED_VALUE"""),"BCM")</f>
        <v>BCM</v>
      </c>
      <c r="T1328" s="3" t="str">
        <f>IFERROR(__xludf.DUMMYFUNCTION("""COMPUTED_VALUE"""),"#N/A")</f>
        <v>#N/A</v>
      </c>
      <c r="U1328" s="3" t="str">
        <f>IFERROR(__xludf.DUMMYFUNCTION("""COMPUTED_VALUE"""),"#N/A")</f>
        <v>#N/A</v>
      </c>
      <c r="V1328" s="3" t="str">
        <f>IFERROR(__xludf.DUMMYFUNCTION("""COMPUTED_VALUE"""),"N")</f>
        <v>N</v>
      </c>
      <c r="W1328" s="3">
        <f>IFERROR(__xludf.DUMMYFUNCTION("""COMPUTED_VALUE"""),210020.0)</f>
        <v>210020</v>
      </c>
      <c r="X1328" s="3" t="str">
        <f>IFERROR(__xludf.DUMMYFUNCTION("""COMPUTED_VALUE"""),"344 หมู่2 ตำบลสาริกา อำเภอเมืองนครนายก จังหวัดนครนายก 26000")</f>
        <v>344 หมู่2 ตำบลสาริกา อำเภอเมืองนครนายก จังหวัดนครนายก 26000</v>
      </c>
      <c r="Y1328" s="3"/>
      <c r="Z1328" s="3" t="str">
        <f>IFERROR(__xludf.DUMMYFUNCTION("""COMPUTED_VALUE"""),"สาริกา")</f>
        <v>สาริกา</v>
      </c>
      <c r="AA1328" s="3" t="str">
        <f>IFERROR(__xludf.DUMMYFUNCTION("""COMPUTED_VALUE"""),"เมือง")</f>
        <v>เมือง</v>
      </c>
      <c r="AB1328" s="3" t="str">
        <f>IFERROR(__xludf.DUMMYFUNCTION("""COMPUTED_VALUE"""),"นครนายก")</f>
        <v>นครนายก</v>
      </c>
      <c r="AC1328" s="3">
        <f>IFERROR(__xludf.DUMMYFUNCTION("""COMPUTED_VALUE"""),26000.0)</f>
        <v>26000</v>
      </c>
      <c r="AD1328" s="3">
        <f>IFERROR(__xludf.DUMMYFUNCTION("""COMPUTED_VALUE"""),14.310993)</f>
        <v>14.310993</v>
      </c>
      <c r="AE1328" s="3">
        <f>IFERROR(__xludf.DUMMYFUNCTION("""COMPUTED_VALUE"""),101.294889)</f>
        <v>101.294889</v>
      </c>
      <c r="AF1328" s="3" t="str">
        <f>IFERROR(__xludf.DUMMYFUNCTION("""COMPUTED_VALUE"""),"MBC วังตะไคร้-นางรอง นครนายก -22010")</f>
        <v>MBC วังตะไคร้-นางรอง นครนายก -22010</v>
      </c>
      <c r="AG1328" s="3" t="str">
        <f>IFERROR(__xludf.DUMMYFUNCTION("""COMPUTED_VALUE"""),"กลาง")</f>
        <v>กลาง</v>
      </c>
      <c r="AH1328" s="3" t="str">
        <f>IFERROR(__xludf.DUMMYFUNCTION("""COMPUTED_VALUE"""),"#N/A")</f>
        <v>#N/A</v>
      </c>
      <c r="AI1328" s="3" t="str">
        <f>IFERROR(__xludf.DUMMYFUNCTION("""COMPUTED_VALUE"""),"Out of warranty")</f>
        <v>Out of warranty</v>
      </c>
      <c r="AJ1328" s="3">
        <f>IFERROR(__xludf.DUMMYFUNCTION("""COMPUTED_VALUE"""),74.0)</f>
        <v>74</v>
      </c>
      <c r="AK1328" s="3" t="str">
        <f>IFERROR(__xludf.DUMMYFUNCTION("""COMPUTED_VALUE"""),"MMS04")</f>
        <v>MMS04</v>
      </c>
      <c r="AL1328" s="3"/>
    </row>
    <row r="1329" ht="15.75" customHeight="1">
      <c r="A1329" s="1" t="str">
        <f>IFERROR(__xludf.DUMMYFUNCTION("""COMPUTED_VALUE"""),"22011")</f>
        <v>22011</v>
      </c>
      <c r="B1329" s="2">
        <f>IFERROR(__xludf.DUMMYFUNCTION("""COMPUTED_VALUE"""),22011.0)</f>
        <v>22011</v>
      </c>
      <c r="C1329" s="3" t="str">
        <f>IFERROR(__xludf.DUMMYFUNCTION("""COMPUTED_VALUE"""),"MBC ตลาด ก.สุปัญญา สระแก้ว")</f>
        <v>MBC ตลาด ก.สุปัญญา สระแก้ว</v>
      </c>
      <c r="D1329" s="3" t="str">
        <f>IFERROR(__xludf.DUMMYFUNCTION("""COMPUTED_VALUE"""),"BCM TALAD KOR. SUKANYA")</f>
        <v>BCM TALAD KOR. SUKANYA</v>
      </c>
      <c r="E1329" s="1" t="str">
        <f>IFERROR(__xludf.DUMMYFUNCTION("""COMPUTED_VALUE"""),"บิ๊กซี MINI")</f>
        <v>บิ๊กซี MINI</v>
      </c>
      <c r="F1329" s="1" t="str">
        <f>IFERROR(__xludf.DUMMYFUNCTION("""COMPUTED_VALUE"""),"2083447")</f>
        <v>2083447</v>
      </c>
      <c r="G1329" s="1" t="str">
        <f>IFERROR(__xludf.DUMMYFUNCTION("""COMPUTED_VALUE"""),"นายอนุกูล ศรีลัดดา")</f>
        <v>นายอนุกูล ศรีลัดดา</v>
      </c>
      <c r="H1329" s="1" t="str">
        <f>IFERROR(__xludf.DUMMYFUNCTION("""COMPUTED_VALUE"""),"259808")</f>
        <v>259808</v>
      </c>
      <c r="I1329" s="1" t="str">
        <f>IFERROR(__xludf.DUMMYFUNCTION("""COMPUTED_VALUE"""),"น.ส.สกุลรัตน์ พิกุลแก้ว")</f>
        <v>น.ส.สกุลรัตน์ พิกุลแก้ว</v>
      </c>
      <c r="J1329" s="3">
        <f>IFERROR(__xludf.DUMMYFUNCTION("""COMPUTED_VALUE"""),510143.0)</f>
        <v>510143</v>
      </c>
      <c r="K1329" s="3" t="str">
        <f>IFERROR(__xludf.DUMMYFUNCTION("""COMPUTED_VALUE"""),"นายธีระวัฒน์ บุญสิทธิ์")</f>
        <v>นายธีระวัฒน์ บุญสิทธิ์</v>
      </c>
      <c r="L1329" s="1" t="str">
        <f>IFERROR(__xludf.DUMMYFUNCTION("""COMPUTED_VALUE"""),"12 K.Theerawat B.")</f>
        <v>12 K.Theerawat B.</v>
      </c>
      <c r="M1329" s="1" t="str">
        <f>IFERROR(__xludf.DUMMYFUNCTION("""COMPUTED_VALUE"""),"0655107379")</f>
        <v>0655107379</v>
      </c>
      <c r="N1329" s="3">
        <f>IFERROR(__xludf.DUMMYFUNCTION("""COMPUTED_VALUE"""),21062.0)</f>
        <v>21062</v>
      </c>
      <c r="O1329" s="3" t="str">
        <f>IFERROR(__xludf.DUMMYFUNCTION("""COMPUTED_VALUE"""),"MBC นิคมนวนคร")</f>
        <v>MBC นิคมนวนคร</v>
      </c>
      <c r="P1329" s="4">
        <f>IFERROR(__xludf.DUMMYFUNCTION("""COMPUTED_VALUE"""),43812.0)</f>
        <v>43812</v>
      </c>
      <c r="Q1329" s="3" t="str">
        <f>IFERROR(__xludf.DUMMYFUNCTION("""COMPUTED_VALUE"""),"A")</f>
        <v>A</v>
      </c>
      <c r="R1329" s="3" t="str">
        <f>IFERROR(__xludf.DUMMYFUNCTION("""COMPUTED_VALUE"""),"Small Format")</f>
        <v>Small Format</v>
      </c>
      <c r="S1329" s="3" t="str">
        <f>IFERROR(__xludf.DUMMYFUNCTION("""COMPUTED_VALUE"""),"BCM")</f>
        <v>BCM</v>
      </c>
      <c r="T1329" s="3" t="str">
        <f>IFERROR(__xludf.DUMMYFUNCTION("""COMPUTED_VALUE"""),"#N/A")</f>
        <v>#N/A</v>
      </c>
      <c r="U1329" s="3" t="str">
        <f>IFERROR(__xludf.DUMMYFUNCTION("""COMPUTED_VALUE"""),"#N/A")</f>
        <v>#N/A</v>
      </c>
      <c r="V1329" s="3" t="str">
        <f>IFERROR(__xludf.DUMMYFUNCTION("""COMPUTED_VALUE"""),"N")</f>
        <v>N</v>
      </c>
      <c r="W1329" s="3">
        <f>IFERROR(__xludf.DUMMYFUNCTION("""COMPUTED_VALUE"""),211998.0)</f>
        <v>211998</v>
      </c>
      <c r="X1329" s="3" t="str">
        <f>IFERROR(__xludf.DUMMYFUNCTION("""COMPUTED_VALUE"""),"400 หมู่1 ตำบลสระแก้ว อำเภอเมืองสระแก้ว จังหวัดสระแก้ว 27000")</f>
        <v>400 หมู่1 ตำบลสระแก้ว อำเภอเมืองสระแก้ว จังหวัดสระแก้ว 27000</v>
      </c>
      <c r="Y1329" s="3"/>
      <c r="Z1329" s="3" t="str">
        <f>IFERROR(__xludf.DUMMYFUNCTION("""COMPUTED_VALUE"""),"สระแก้ว")</f>
        <v>สระแก้ว</v>
      </c>
      <c r="AA1329" s="3" t="str">
        <f>IFERROR(__xludf.DUMMYFUNCTION("""COMPUTED_VALUE"""),"เมือง")</f>
        <v>เมือง</v>
      </c>
      <c r="AB1329" s="3" t="str">
        <f>IFERROR(__xludf.DUMMYFUNCTION("""COMPUTED_VALUE"""),"สระแก้ว")</f>
        <v>สระแก้ว</v>
      </c>
      <c r="AC1329" s="3">
        <f>IFERROR(__xludf.DUMMYFUNCTION("""COMPUTED_VALUE"""),27000.0)</f>
        <v>27000</v>
      </c>
      <c r="AD1329" s="3">
        <f>IFERROR(__xludf.DUMMYFUNCTION("""COMPUTED_VALUE"""),13.771617)</f>
        <v>13.771617</v>
      </c>
      <c r="AE1329" s="3">
        <f>IFERROR(__xludf.DUMMYFUNCTION("""COMPUTED_VALUE"""),102.028696)</f>
        <v>102.028696</v>
      </c>
      <c r="AF1329" s="3" t="str">
        <f>IFERROR(__xludf.DUMMYFUNCTION("""COMPUTED_VALUE"""),"MBC ตลาด ก.สุปัญญา สระแก้ว-22011")</f>
        <v>MBC ตลาด ก.สุปัญญา สระแก้ว-22011</v>
      </c>
      <c r="AG1329" s="3" t="str">
        <f>IFERROR(__xludf.DUMMYFUNCTION("""COMPUTED_VALUE"""),"ตะวันออก")</f>
        <v>ตะวันออก</v>
      </c>
      <c r="AH1329" s="3" t="str">
        <f>IFERROR(__xludf.DUMMYFUNCTION("""COMPUTED_VALUE"""),"#N/A")</f>
        <v>#N/A</v>
      </c>
      <c r="AI1329" s="3" t="str">
        <f>IFERROR(__xludf.DUMMYFUNCTION("""COMPUTED_VALUE"""),"Out of warranty")</f>
        <v>Out of warranty</v>
      </c>
      <c r="AJ1329" s="3">
        <f>IFERROR(__xludf.DUMMYFUNCTION("""COMPUTED_VALUE"""),74.0)</f>
        <v>74</v>
      </c>
      <c r="AK1329" s="3" t="str">
        <f>IFERROR(__xludf.DUMMYFUNCTION("""COMPUTED_VALUE"""),"MMS08")</f>
        <v>MMS08</v>
      </c>
      <c r="AL1329" s="3"/>
    </row>
    <row r="1330" ht="15.75" customHeight="1">
      <c r="A1330" s="1" t="str">
        <f>IFERROR(__xludf.DUMMYFUNCTION("""COMPUTED_VALUE"""),"22012")</f>
        <v>22012</v>
      </c>
      <c r="B1330" s="2">
        <f>IFERROR(__xludf.DUMMYFUNCTION("""COMPUTED_VALUE"""),22012.0)</f>
        <v>22012</v>
      </c>
      <c r="C1330" s="3" t="str">
        <f>IFERROR(__xludf.DUMMYFUNCTION("""COMPUTED_VALUE"""),"MBC บ้านทุ่งดินขอ สระบุรี")</f>
        <v>MBC บ้านทุ่งดินขอ สระบุรี</v>
      </c>
      <c r="D1330" s="3" t="str">
        <f>IFERROR(__xludf.DUMMYFUNCTION("""COMPUTED_VALUE"""),"BCM BAN THUNG DIN KHOR")</f>
        <v>BCM BAN THUNG DIN KHOR</v>
      </c>
      <c r="E1330" s="1" t="str">
        <f>IFERROR(__xludf.DUMMYFUNCTION("""COMPUTED_VALUE"""),"บิ๊กซี MINI")</f>
        <v>บิ๊กซี MINI</v>
      </c>
      <c r="F1330" s="1" t="str">
        <f>IFERROR(__xludf.DUMMYFUNCTION("""COMPUTED_VALUE"""),"296229")</f>
        <v>296229</v>
      </c>
      <c r="G1330" s="1" t="str">
        <f>IFERROR(__xludf.DUMMYFUNCTION("""COMPUTED_VALUE"""),"นายทนงศักดิ์ บุญมา")</f>
        <v>นายทนงศักดิ์ บุญมา</v>
      </c>
      <c r="H1330" s="1" t="str">
        <f>IFERROR(__xludf.DUMMYFUNCTION("""COMPUTED_VALUE"""),"318233")</f>
        <v>318233</v>
      </c>
      <c r="I1330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1330" s="3">
        <f>IFERROR(__xludf.DUMMYFUNCTION("""COMPUTED_VALUE"""),46214.0)</f>
        <v>46214</v>
      </c>
      <c r="K1330" s="3" t="str">
        <f>IFERROR(__xludf.DUMMYFUNCTION("""COMPUTED_VALUE"""),"นายศักดิ์ชัย เด็ดดอกฟ้า")</f>
        <v>นายศักดิ์ชัย เด็ดดอกฟ้า</v>
      </c>
      <c r="L1330" s="1" t="str">
        <f>IFERROR(__xludf.DUMMYFUNCTION("""COMPUTED_VALUE"""),"02 K.Sakchai D")</f>
        <v>02 K.Sakchai D</v>
      </c>
      <c r="M1330" s="1" t="str">
        <f>IFERROR(__xludf.DUMMYFUNCTION("""COMPUTED_VALUE"""),"065-510-7376")</f>
        <v>065-510-7376</v>
      </c>
      <c r="N1330" s="3">
        <f>IFERROR(__xludf.DUMMYFUNCTION("""COMPUTED_VALUE"""),21714.0)</f>
        <v>21714</v>
      </c>
      <c r="O1330" s="3" t="str">
        <f>IFERROR(__xludf.DUMMYFUNCTION("""COMPUTED_VALUE"""),"MBC เอสโซ่ วัดโบสถ์")</f>
        <v>MBC เอสโซ่ วัดโบสถ์</v>
      </c>
      <c r="P1330" s="4">
        <f>IFERROR(__xludf.DUMMYFUNCTION("""COMPUTED_VALUE"""),43815.0)</f>
        <v>43815</v>
      </c>
      <c r="Q1330" s="3" t="str">
        <f>IFERROR(__xludf.DUMMYFUNCTION("""COMPUTED_VALUE"""),"A")</f>
        <v>A</v>
      </c>
      <c r="R1330" s="3" t="str">
        <f>IFERROR(__xludf.DUMMYFUNCTION("""COMPUTED_VALUE"""),"Small Format")</f>
        <v>Small Format</v>
      </c>
      <c r="S1330" s="3" t="str">
        <f>IFERROR(__xludf.DUMMYFUNCTION("""COMPUTED_VALUE"""),"BCM")</f>
        <v>BCM</v>
      </c>
      <c r="T1330" s="3" t="str">
        <f>IFERROR(__xludf.DUMMYFUNCTION("""COMPUTED_VALUE"""),"#N/A")</f>
        <v>#N/A</v>
      </c>
      <c r="U1330" s="3" t="str">
        <f>IFERROR(__xludf.DUMMYFUNCTION("""COMPUTED_VALUE"""),"#N/A")</f>
        <v>#N/A</v>
      </c>
      <c r="V1330" s="3" t="str">
        <f>IFERROR(__xludf.DUMMYFUNCTION("""COMPUTED_VALUE"""),"N")</f>
        <v>N</v>
      </c>
      <c r="W1330" s="3">
        <f>IFERROR(__xludf.DUMMYFUNCTION("""COMPUTED_VALUE"""),210030.0)</f>
        <v>210030</v>
      </c>
      <c r="X1330" s="3" t="str">
        <f>IFERROR(__xludf.DUMMYFUNCTION("""COMPUTED_VALUE"""),"6/22 หมู่8 ตำบลหนองปลิง อำเภอหนองแค จังหวัดสระบุรี 18140")</f>
        <v>6/22 หมู่8 ตำบลหนองปลิง อำเภอหนองแค จังหวัดสระบุรี 18140</v>
      </c>
      <c r="Y1330" s="3"/>
      <c r="Z1330" s="3" t="str">
        <f>IFERROR(__xludf.DUMMYFUNCTION("""COMPUTED_VALUE"""),"หนองปลิง")</f>
        <v>หนองปลิง</v>
      </c>
      <c r="AA1330" s="3" t="str">
        <f>IFERROR(__xludf.DUMMYFUNCTION("""COMPUTED_VALUE"""),"หนองแค")</f>
        <v>หนองแค</v>
      </c>
      <c r="AB1330" s="3" t="str">
        <f>IFERROR(__xludf.DUMMYFUNCTION("""COMPUTED_VALUE"""),"สระบุรี")</f>
        <v>สระบุรี</v>
      </c>
      <c r="AC1330" s="3">
        <f>IFERROR(__xludf.DUMMYFUNCTION("""COMPUTED_VALUE"""),18140.0)</f>
        <v>18140</v>
      </c>
      <c r="AD1330" s="3">
        <f>IFERROR(__xludf.DUMMYFUNCTION("""COMPUTED_VALUE"""),14.369169)</f>
        <v>14.369169</v>
      </c>
      <c r="AE1330" s="3">
        <f>IFERROR(__xludf.DUMMYFUNCTION("""COMPUTED_VALUE"""),100.830918)</f>
        <v>100.830918</v>
      </c>
      <c r="AF1330" s="3" t="str">
        <f>IFERROR(__xludf.DUMMYFUNCTION("""COMPUTED_VALUE"""),"MBC บ้านทุ่งดินขอ สระบุรี-22012")</f>
        <v>MBC บ้านทุ่งดินขอ สระบุรี-22012</v>
      </c>
      <c r="AG1330" s="3" t="str">
        <f>IFERROR(__xludf.DUMMYFUNCTION("""COMPUTED_VALUE"""),"กลาง")</f>
        <v>กลาง</v>
      </c>
      <c r="AH1330" s="3" t="str">
        <f>IFERROR(__xludf.DUMMYFUNCTION("""COMPUTED_VALUE"""),"#N/A")</f>
        <v>#N/A</v>
      </c>
      <c r="AI1330" s="3" t="str">
        <f>IFERROR(__xludf.DUMMYFUNCTION("""COMPUTED_VALUE"""),"Out of warranty")</f>
        <v>Out of warranty</v>
      </c>
      <c r="AJ1330" s="3">
        <f>IFERROR(__xludf.DUMMYFUNCTION("""COMPUTED_VALUE"""),74.0)</f>
        <v>74</v>
      </c>
      <c r="AK1330" s="3" t="str">
        <f>IFERROR(__xludf.DUMMYFUNCTION("""COMPUTED_VALUE"""),"MMS09")</f>
        <v>MMS09</v>
      </c>
      <c r="AL1330" s="3"/>
    </row>
    <row r="1331" ht="15.75" customHeight="1">
      <c r="A1331" s="1" t="str">
        <f>IFERROR(__xludf.DUMMYFUNCTION("""COMPUTED_VALUE"""),"22013")</f>
        <v>22013</v>
      </c>
      <c r="B1331" s="2">
        <f>IFERROR(__xludf.DUMMYFUNCTION("""COMPUTED_VALUE"""),22013.0)</f>
        <v>22013</v>
      </c>
      <c r="C1331" s="3" t="str">
        <f>IFERROR(__xludf.DUMMYFUNCTION("""COMPUTED_VALUE"""),"MBC ทับสะแก ประจวบคีรีขันธ์")</f>
        <v>MBC ทับสะแก ประจวบคีรีขันธ์</v>
      </c>
      <c r="D1331" s="3" t="str">
        <f>IFERROR(__xludf.DUMMYFUNCTION("""COMPUTED_VALUE"""),"BCM THAPSAKAE")</f>
        <v>BCM THAPSAKAE</v>
      </c>
      <c r="E1331" s="1" t="str">
        <f>IFERROR(__xludf.DUMMYFUNCTION("""COMPUTED_VALUE"""),"บิ๊กซี MINI")</f>
        <v>บิ๊กซี MINI</v>
      </c>
      <c r="F1331" s="1" t="str">
        <f>IFERROR(__xludf.DUMMYFUNCTION("""COMPUTED_VALUE"""),"250760")</f>
        <v>250760</v>
      </c>
      <c r="G1331" s="1" t="str">
        <f>IFERROR(__xludf.DUMMYFUNCTION("""COMPUTED_VALUE"""),"นายประทวน สาราบรรณ์")</f>
        <v>นายประทวน สาราบรรณ์</v>
      </c>
      <c r="H1331" s="1" t="str">
        <f>IFERROR(__xludf.DUMMYFUNCTION("""COMPUTED_VALUE"""),"311437")</f>
        <v>311437</v>
      </c>
      <c r="I1331" s="1" t="str">
        <f>IFERROR(__xludf.DUMMYFUNCTION("""COMPUTED_VALUE"""),"นายฉัตรทพร รักวิเชียร")</f>
        <v>นายฉัตรทพร รักวิเชียร</v>
      </c>
      <c r="J1331" s="3">
        <f>IFERROR(__xludf.DUMMYFUNCTION("""COMPUTED_VALUE"""),2.0470331E7)</f>
        <v>20470331</v>
      </c>
      <c r="K1331" s="3" t="str">
        <f>IFERROR(__xludf.DUMMYFUNCTION("""COMPUTED_VALUE"""),"นายสมชาย ลักษณะสุวรรณ")</f>
        <v>นายสมชาย ลักษณะสุวรรณ</v>
      </c>
      <c r="L1331" s="1" t="str">
        <f>IFERROR(__xludf.DUMMYFUNCTION("""COMPUTED_VALUE"""),"15 K.Somchai L")</f>
        <v>15 K.Somchai L</v>
      </c>
      <c r="M1331" s="1" t="str">
        <f>IFERROR(__xludf.DUMMYFUNCTION("""COMPUTED_VALUE"""),"0655107372")</f>
        <v>0655107372</v>
      </c>
      <c r="N1331" s="3">
        <f>IFERROR(__xludf.DUMMYFUNCTION("""COMPUTED_VALUE"""),21723.0)</f>
        <v>21723</v>
      </c>
      <c r="O133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331" s="4">
        <f>IFERROR(__xludf.DUMMYFUNCTION("""COMPUTED_VALUE"""),43816.0)</f>
        <v>43816</v>
      </c>
      <c r="Q1331" s="3" t="str">
        <f>IFERROR(__xludf.DUMMYFUNCTION("""COMPUTED_VALUE"""),"I")</f>
        <v>I</v>
      </c>
      <c r="R1331" s="3" t="str">
        <f>IFERROR(__xludf.DUMMYFUNCTION("""COMPUTED_VALUE"""),"Small Format")</f>
        <v>Small Format</v>
      </c>
      <c r="S1331" s="3" t="str">
        <f>IFERROR(__xludf.DUMMYFUNCTION("""COMPUTED_VALUE"""),"BCM")</f>
        <v>BCM</v>
      </c>
      <c r="T1331" s="3" t="str">
        <f>IFERROR(__xludf.DUMMYFUNCTION("""COMPUTED_VALUE"""),"#N/A")</f>
        <v>#N/A</v>
      </c>
      <c r="U1331" s="3" t="str">
        <f>IFERROR(__xludf.DUMMYFUNCTION("""COMPUTED_VALUE"""),"#N/A")</f>
        <v>#N/A</v>
      </c>
      <c r="V1331" s="3" t="str">
        <f>IFERROR(__xludf.DUMMYFUNCTION("""COMPUTED_VALUE"""),"N")</f>
        <v>N</v>
      </c>
      <c r="W1331" s="3">
        <f>IFERROR(__xludf.DUMMYFUNCTION("""COMPUTED_VALUE"""),211919.0)</f>
        <v>211919</v>
      </c>
      <c r="X1331" s="3" t="str">
        <f>IFERROR(__xludf.DUMMYFUNCTION("""COMPUTED_VALUE"""),"392 หมู่10 ตำบลทับสะแก อำเภอทับสะแก จังหวัดประจวบคีรีขันธ์ 77130")</f>
        <v>392 หมู่10 ตำบลทับสะแก อำเภอทับสะแก จังหวัดประจวบคีรีขันธ์ 77130</v>
      </c>
      <c r="Y1331" s="3"/>
      <c r="Z1331" s="3" t="str">
        <f>IFERROR(__xludf.DUMMYFUNCTION("""COMPUTED_VALUE"""),"ทับสะแก")</f>
        <v>ทับสะแก</v>
      </c>
      <c r="AA1331" s="3" t="str">
        <f>IFERROR(__xludf.DUMMYFUNCTION("""COMPUTED_VALUE"""),"ทับสะแก")</f>
        <v>ทับสะแก</v>
      </c>
      <c r="AB1331" s="3" t="str">
        <f>IFERROR(__xludf.DUMMYFUNCTION("""COMPUTED_VALUE"""),"ประจวบคีรีขันธ์")</f>
        <v>ประจวบคีรีขันธ์</v>
      </c>
      <c r="AC1331" s="3">
        <f>IFERROR(__xludf.DUMMYFUNCTION("""COMPUTED_VALUE"""),77130.0)</f>
        <v>77130</v>
      </c>
      <c r="AD1331" s="3">
        <f>IFERROR(__xludf.DUMMYFUNCTION("""COMPUTED_VALUE"""),11.502147)</f>
        <v>11.502147</v>
      </c>
      <c r="AE1331" s="3">
        <f>IFERROR(__xludf.DUMMYFUNCTION("""COMPUTED_VALUE"""),99.616057)</f>
        <v>99.616057</v>
      </c>
      <c r="AF1331" s="3" t="str">
        <f>IFERROR(__xludf.DUMMYFUNCTION("""COMPUTED_VALUE"""),"MBC ทับสะแก ประจวบคีรีขันธ์-22013")</f>
        <v>MBC ทับสะแก ประจวบคีรีขันธ์-22013</v>
      </c>
      <c r="AG1331" s="3" t="str">
        <f>IFERROR(__xludf.DUMMYFUNCTION("""COMPUTED_VALUE"""),"ตะวันตก")</f>
        <v>ตะวันตก</v>
      </c>
      <c r="AH1331" s="3" t="str">
        <f>IFERROR(__xludf.DUMMYFUNCTION("""COMPUTED_VALUE"""),"#N/A")</f>
        <v>#N/A</v>
      </c>
      <c r="AI1331" s="3" t="str">
        <f>IFERROR(__xludf.DUMMYFUNCTION("""COMPUTED_VALUE"""),"Out of warranty")</f>
        <v>Out of warranty</v>
      </c>
      <c r="AJ1331" s="3">
        <f>IFERROR(__xludf.DUMMYFUNCTION("""COMPUTED_VALUE"""),74.0)</f>
        <v>74</v>
      </c>
      <c r="AK1331" s="3" t="str">
        <f>IFERROR(__xludf.DUMMYFUNCTION("""COMPUTED_VALUE"""),"MMS14")</f>
        <v>MMS14</v>
      </c>
      <c r="AL1331" s="3"/>
    </row>
    <row r="1332" ht="15.75" customHeight="1">
      <c r="A1332" s="1" t="str">
        <f>IFERROR(__xludf.DUMMYFUNCTION("""COMPUTED_VALUE"""),"22014")</f>
        <v>22014</v>
      </c>
      <c r="B1332" s="2">
        <f>IFERROR(__xludf.DUMMYFUNCTION("""COMPUTED_VALUE"""),22014.0)</f>
        <v>22014</v>
      </c>
      <c r="C1332" s="3" t="str">
        <f>IFERROR(__xludf.DUMMYFUNCTION("""COMPUTED_VALUE"""),"MBC ชุมชนบ่อหิน หนองคาย")</f>
        <v>MBC ชุมชนบ่อหิน หนองคาย</v>
      </c>
      <c r="D1332" s="3" t="str">
        <f>IFERROR(__xludf.DUMMYFUNCTION("""COMPUTED_VALUE"""),"BCM CHUMCHON BOR HIN")</f>
        <v>BCM CHUMCHON BOR HIN</v>
      </c>
      <c r="E1332" s="1" t="str">
        <f>IFERROR(__xludf.DUMMYFUNCTION("""COMPUTED_VALUE"""),"บิ๊กซี MINI")</f>
        <v>บิ๊กซี MINI</v>
      </c>
      <c r="F1332" s="1" t="str">
        <f>IFERROR(__xludf.DUMMYFUNCTION("""COMPUTED_VALUE"""),"291105")</f>
        <v>291105</v>
      </c>
      <c r="G1332" s="1" t="str">
        <f>IFERROR(__xludf.DUMMYFUNCTION("""COMPUTED_VALUE"""),"นายสราวุฒิ พณิชยกุล")</f>
        <v>นายสราวุฒิ พณิชยกุล</v>
      </c>
      <c r="H1332" s="1" t="str">
        <f>IFERROR(__xludf.DUMMYFUNCTION("""COMPUTED_VALUE"""),"392005")</f>
        <v>392005</v>
      </c>
      <c r="I1332" s="1" t="str">
        <f>IFERROR(__xludf.DUMMYFUNCTION("""COMPUTED_VALUE"""),"นายรัฐพล หาญลำยวง")</f>
        <v>นายรัฐพล หาญลำยวง</v>
      </c>
      <c r="J1332" s="3">
        <f>IFERROR(__xludf.DUMMYFUNCTION("""COMPUTED_VALUE"""),296868.0)</f>
        <v>296868</v>
      </c>
      <c r="K1332" s="3" t="str">
        <f>IFERROR(__xludf.DUMMYFUNCTION("""COMPUTED_VALUE"""),"นายพีระพงษ์ แก้วดวงดี")</f>
        <v>นายพีระพงษ์ แก้วดวงดี</v>
      </c>
      <c r="L1332" s="1" t="str">
        <f>IFERROR(__xludf.DUMMYFUNCTION("""COMPUTED_VALUE"""),"03 K.Peerapong K.")</f>
        <v>03 K.Peerapong K.</v>
      </c>
      <c r="M1332" s="1" t="str">
        <f>IFERROR(__xludf.DUMMYFUNCTION("""COMPUTED_VALUE"""),"089-002-6599")</f>
        <v>089-002-6599</v>
      </c>
      <c r="N1332" s="3">
        <f>IFERROR(__xludf.DUMMYFUNCTION("""COMPUTED_VALUE"""),21946.0)</f>
        <v>21946</v>
      </c>
      <c r="O1332" s="3" t="str">
        <f>IFERROR(__xludf.DUMMYFUNCTION("""COMPUTED_VALUE"""),"MBC เซกา บึงกาฬ")</f>
        <v>MBC เซกา บึงกาฬ</v>
      </c>
      <c r="P1332" s="4">
        <f>IFERROR(__xludf.DUMMYFUNCTION("""COMPUTED_VALUE"""),43816.0)</f>
        <v>43816</v>
      </c>
      <c r="Q1332" s="3" t="str">
        <f>IFERROR(__xludf.DUMMYFUNCTION("""COMPUTED_VALUE"""),"A")</f>
        <v>A</v>
      </c>
      <c r="R1332" s="3" t="str">
        <f>IFERROR(__xludf.DUMMYFUNCTION("""COMPUTED_VALUE"""),"Small Format")</f>
        <v>Small Format</v>
      </c>
      <c r="S1332" s="3" t="str">
        <f>IFERROR(__xludf.DUMMYFUNCTION("""COMPUTED_VALUE"""),"BCM")</f>
        <v>BCM</v>
      </c>
      <c r="T1332" s="3" t="str">
        <f>IFERROR(__xludf.DUMMYFUNCTION("""COMPUTED_VALUE"""),"#N/A")</f>
        <v>#N/A</v>
      </c>
      <c r="U1332" s="3" t="str">
        <f>IFERROR(__xludf.DUMMYFUNCTION("""COMPUTED_VALUE"""),"#N/A")</f>
        <v>#N/A</v>
      </c>
      <c r="V1332" s="3" t="str">
        <f>IFERROR(__xludf.DUMMYFUNCTION("""COMPUTED_VALUE"""),"N")</f>
        <v>N</v>
      </c>
      <c r="W1332" s="3">
        <f>IFERROR(__xludf.DUMMYFUNCTION("""COMPUTED_VALUE"""),210011.0)</f>
        <v>210011</v>
      </c>
      <c r="X1332" s="3" t="str">
        <f>IFERROR(__xludf.DUMMYFUNCTION("""COMPUTED_VALUE"""),"137 หมู่5 ตำบลโพธิ์ชัย อำเภอเมืองหนองคาย จังหวัดหนองคาย 43000")</f>
        <v>137 หมู่5 ตำบลโพธิ์ชัย อำเภอเมืองหนองคาย จังหวัดหนองคาย 43000</v>
      </c>
      <c r="Y1332" s="3"/>
      <c r="Z1332" s="3" t="str">
        <f>IFERROR(__xludf.DUMMYFUNCTION("""COMPUTED_VALUE"""),"โพธิ์ชัย")</f>
        <v>โพธิ์ชัย</v>
      </c>
      <c r="AA1332" s="3" t="str">
        <f>IFERROR(__xludf.DUMMYFUNCTION("""COMPUTED_VALUE"""),"เมือง")</f>
        <v>เมือง</v>
      </c>
      <c r="AB1332" s="3" t="str">
        <f>IFERROR(__xludf.DUMMYFUNCTION("""COMPUTED_VALUE"""),"หนองคาย")</f>
        <v>หนองคาย</v>
      </c>
      <c r="AC1332" s="3">
        <f>IFERROR(__xludf.DUMMYFUNCTION("""COMPUTED_VALUE"""),43000.0)</f>
        <v>43000</v>
      </c>
      <c r="AD1332" s="3">
        <f>IFERROR(__xludf.DUMMYFUNCTION("""COMPUTED_VALUE"""),17.867126)</f>
        <v>17.867126</v>
      </c>
      <c r="AE1332" s="3">
        <f>IFERROR(__xludf.DUMMYFUNCTION("""COMPUTED_VALUE"""),102.750926)</f>
        <v>102.750926</v>
      </c>
      <c r="AF1332" s="3" t="str">
        <f>IFERROR(__xludf.DUMMYFUNCTION("""COMPUTED_VALUE"""),"MBC ชุมชนบ่อหิน หนองคาย-22014")</f>
        <v>MBC ชุมชนบ่อหิน หนองคาย-22014</v>
      </c>
      <c r="AG1332" s="3" t="str">
        <f>IFERROR(__xludf.DUMMYFUNCTION("""COMPUTED_VALUE"""),"ตะวันออกเฉียงเหนือ")</f>
        <v>ตะวันออกเฉียงเหนือ</v>
      </c>
      <c r="AH1332" s="3" t="str">
        <f>IFERROR(__xludf.DUMMYFUNCTION("""COMPUTED_VALUE"""),"#N/A")</f>
        <v>#N/A</v>
      </c>
      <c r="AI1332" s="3" t="str">
        <f>IFERROR(__xludf.DUMMYFUNCTION("""COMPUTED_VALUE"""),"Out of warranty")</f>
        <v>Out of warranty</v>
      </c>
      <c r="AJ1332" s="3">
        <f>IFERROR(__xludf.DUMMYFUNCTION("""COMPUTED_VALUE"""),74.0)</f>
        <v>74</v>
      </c>
      <c r="AK1332" s="3" t="str">
        <f>IFERROR(__xludf.DUMMYFUNCTION("""COMPUTED_VALUE"""),"MMS12")</f>
        <v>MMS12</v>
      </c>
      <c r="AL1332" s="3"/>
    </row>
    <row r="1333" ht="15.75" customHeight="1">
      <c r="A1333" s="1" t="str">
        <f>IFERROR(__xludf.DUMMYFUNCTION("""COMPUTED_VALUE"""),"22015")</f>
        <v>22015</v>
      </c>
      <c r="B1333" s="2">
        <f>IFERROR(__xludf.DUMMYFUNCTION("""COMPUTED_VALUE"""),22015.0)</f>
        <v>22015</v>
      </c>
      <c r="C1333" s="3" t="str">
        <f>IFERROR(__xludf.DUMMYFUNCTION("""COMPUTED_VALUE"""),"MBC ถนนศิริรักษ์ ชลบุรี")</f>
        <v>MBC ถนนศิริรักษ์ ชลบุรี</v>
      </c>
      <c r="D1333" s="3" t="str">
        <f>IFERROR(__xludf.DUMMYFUNCTION("""COMPUTED_VALUE"""),"BCM THANON SIRIRAK (OPT.2)")</f>
        <v>BCM THANON SIRIRAK (OPT.2)</v>
      </c>
      <c r="E1333" s="1" t="str">
        <f>IFERROR(__xludf.DUMMYFUNCTION("""COMPUTED_VALUE"""),"บิ๊กซี MINI")</f>
        <v>บิ๊กซี MINI</v>
      </c>
      <c r="F1333" s="1" t="str">
        <f>IFERROR(__xludf.DUMMYFUNCTION("""COMPUTED_VALUE"""),"221716")</f>
        <v>221716</v>
      </c>
      <c r="G1333" s="1" t="str">
        <f>IFERROR(__xludf.DUMMYFUNCTION("""COMPUTED_VALUE"""),"น.ส.เบญจพร โพธิสาร")</f>
        <v>น.ส.เบญจพร โพธิสาร</v>
      </c>
      <c r="H1333" s="1" t="str">
        <f>IFERROR(__xludf.DUMMYFUNCTION("""COMPUTED_VALUE"""),"034605")</f>
        <v>034605</v>
      </c>
      <c r="I1333" s="1" t="str">
        <f>IFERROR(__xludf.DUMMYFUNCTION("""COMPUTED_VALUE"""),"นายธรรมรัตน์ สุขเจริญ")</f>
        <v>นายธรรมรัตน์ สุขเจริญ</v>
      </c>
      <c r="J1333" s="3">
        <f>IFERROR(__xludf.DUMMYFUNCTION("""COMPUTED_VALUE"""),1.3461215E7)</f>
        <v>13461215</v>
      </c>
      <c r="K1333" s="3" t="str">
        <f>IFERROR(__xludf.DUMMYFUNCTION("""COMPUTED_VALUE"""),"นายธีรภัทร สังข์เงิน")</f>
        <v>นายธีรภัทร สังข์เงิน</v>
      </c>
      <c r="L1333" s="1" t="str">
        <f>IFERROR(__xludf.DUMMYFUNCTION("""COMPUTED_VALUE"""),"06 K.Teerapat")</f>
        <v>06 K.Teerapat</v>
      </c>
      <c r="M1333" s="1" t="str">
        <f>IFERROR(__xludf.DUMMYFUNCTION("""COMPUTED_VALUE"""),"063-601-6803")</f>
        <v>063-601-6803</v>
      </c>
      <c r="N1333" s="3">
        <f>IFERROR(__xludf.DUMMYFUNCTION("""COMPUTED_VALUE"""),22115.0)</f>
        <v>22115</v>
      </c>
      <c r="O1333" s="3" t="str">
        <f>IFERROR(__xludf.DUMMYFUNCTION("""COMPUTED_VALUE"""),"MBC เลี่ยงหนองมน ชลบุรี")</f>
        <v>MBC เลี่ยงหนองมน ชลบุรี</v>
      </c>
      <c r="P1333" s="4">
        <f>IFERROR(__xludf.DUMMYFUNCTION("""COMPUTED_VALUE"""),43818.0)</f>
        <v>43818</v>
      </c>
      <c r="Q1333" s="3" t="str">
        <f>IFERROR(__xludf.DUMMYFUNCTION("""COMPUTED_VALUE"""),"A")</f>
        <v>A</v>
      </c>
      <c r="R1333" s="3" t="str">
        <f>IFERROR(__xludf.DUMMYFUNCTION("""COMPUTED_VALUE"""),"Small Format")</f>
        <v>Small Format</v>
      </c>
      <c r="S1333" s="3" t="str">
        <f>IFERROR(__xludf.DUMMYFUNCTION("""COMPUTED_VALUE"""),"BCM")</f>
        <v>BCM</v>
      </c>
      <c r="T1333" s="3" t="str">
        <f>IFERROR(__xludf.DUMMYFUNCTION("""COMPUTED_VALUE"""),"#N/A")</f>
        <v>#N/A</v>
      </c>
      <c r="U1333" s="3" t="str">
        <f>IFERROR(__xludf.DUMMYFUNCTION("""COMPUTED_VALUE"""),"#N/A")</f>
        <v>#N/A</v>
      </c>
      <c r="V1333" s="3" t="str">
        <f>IFERROR(__xludf.DUMMYFUNCTION("""COMPUTED_VALUE"""),"N")</f>
        <v>N</v>
      </c>
      <c r="W1333" s="3">
        <f>IFERROR(__xludf.DUMMYFUNCTION("""COMPUTED_VALUE"""),211854.0)</f>
        <v>211854</v>
      </c>
      <c r="X1333" s="3" t="str">
        <f>IFERROR(__xludf.DUMMYFUNCTION("""COMPUTED_VALUE"""),"13/132 หมู่6 ตำบลหนองไม้แดง อำเภอเมืองชลบุรี จังหวัดชลบุรี 20000")</f>
        <v>13/132 หมู่6 ตำบลหนองไม้แดง อำเภอเมืองชลบุรี จังหวัดชลบุรี 20000</v>
      </c>
      <c r="Y1333" s="3"/>
      <c r="Z1333" s="3" t="str">
        <f>IFERROR(__xludf.DUMMYFUNCTION("""COMPUTED_VALUE"""),"หนองไม้แดง")</f>
        <v>หนองไม้แดง</v>
      </c>
      <c r="AA1333" s="3" t="str">
        <f>IFERROR(__xludf.DUMMYFUNCTION("""COMPUTED_VALUE"""),"เมือง")</f>
        <v>เมือง</v>
      </c>
      <c r="AB1333" s="3" t="str">
        <f>IFERROR(__xludf.DUMMYFUNCTION("""COMPUTED_VALUE"""),"ชลบุรี")</f>
        <v>ชลบุรี</v>
      </c>
      <c r="AC1333" s="3">
        <f>IFERROR(__xludf.DUMMYFUNCTION("""COMPUTED_VALUE"""),20000.0)</f>
        <v>20000</v>
      </c>
      <c r="AD1333" s="3">
        <f>IFERROR(__xludf.DUMMYFUNCTION("""COMPUTED_VALUE"""),13.408091)</f>
        <v>13.408091</v>
      </c>
      <c r="AE1333" s="3">
        <f>IFERROR(__xludf.DUMMYFUNCTION("""COMPUTED_VALUE"""),101.018435)</f>
        <v>101.018435</v>
      </c>
      <c r="AF1333" s="3" t="str">
        <f>IFERROR(__xludf.DUMMYFUNCTION("""COMPUTED_VALUE"""),"MBC ถนนศิริรักษ์ ชลบุรี-22015")</f>
        <v>MBC ถนนศิริรักษ์ ชลบุรี-22015</v>
      </c>
      <c r="AG1333" s="3" t="str">
        <f>IFERROR(__xludf.DUMMYFUNCTION("""COMPUTED_VALUE"""),"ตะวันออก")</f>
        <v>ตะวันออก</v>
      </c>
      <c r="AH1333" s="3" t="str">
        <f>IFERROR(__xludf.DUMMYFUNCTION("""COMPUTED_VALUE"""),"#N/A")</f>
        <v>#N/A</v>
      </c>
      <c r="AI1333" s="3" t="str">
        <f>IFERROR(__xludf.DUMMYFUNCTION("""COMPUTED_VALUE"""),"Out of warranty")</f>
        <v>Out of warranty</v>
      </c>
      <c r="AJ1333" s="3">
        <f>IFERROR(__xludf.DUMMYFUNCTION("""COMPUTED_VALUE"""),74.0)</f>
        <v>74</v>
      </c>
      <c r="AK1333" s="3" t="str">
        <f>IFERROR(__xludf.DUMMYFUNCTION("""COMPUTED_VALUE"""),"MMS06")</f>
        <v>MMS06</v>
      </c>
      <c r="AL1333" s="3"/>
    </row>
    <row r="1334" ht="15.75" customHeight="1">
      <c r="A1334" s="1" t="str">
        <f>IFERROR(__xludf.DUMMYFUNCTION("""COMPUTED_VALUE"""),"22016")</f>
        <v>22016</v>
      </c>
      <c r="B1334" s="2">
        <f>IFERROR(__xludf.DUMMYFUNCTION("""COMPUTED_VALUE"""),22016.0)</f>
        <v>22016</v>
      </c>
      <c r="C1334" s="3" t="str">
        <f>IFERROR(__xludf.DUMMYFUNCTION("""COMPUTED_VALUE"""),"MBC อ่างเก็บน้ำบางพระ ชลบุรี")</f>
        <v>MBC อ่างเก็บน้ำบางพระ ชลบุรี</v>
      </c>
      <c r="D1334" s="3" t="str">
        <f>IFERROR(__xludf.DUMMYFUNCTION("""COMPUTED_VALUE"""),"BCM ANG KAB NAM BANG PHRA")</f>
        <v>BCM ANG KAB NAM BANG PHRA</v>
      </c>
      <c r="E1334" s="1" t="str">
        <f>IFERROR(__xludf.DUMMYFUNCTION("""COMPUTED_VALUE"""),"บิ๊กซี MINI")</f>
        <v>บิ๊กซี MINI</v>
      </c>
      <c r="F1334" s="1" t="str">
        <f>IFERROR(__xludf.DUMMYFUNCTION("""COMPUTED_VALUE"""),"221716")</f>
        <v>221716</v>
      </c>
      <c r="G1334" s="1" t="str">
        <f>IFERROR(__xludf.DUMMYFUNCTION("""COMPUTED_VALUE"""),"น.ส.เบญจพร โพธิสาร")</f>
        <v>น.ส.เบญจพร โพธิสาร</v>
      </c>
      <c r="H1334" s="1" t="str">
        <f>IFERROR(__xludf.DUMMYFUNCTION("""COMPUTED_VALUE"""),"476018")</f>
        <v>476018</v>
      </c>
      <c r="I1334" s="1" t="str">
        <f>IFERROR(__xludf.DUMMYFUNCTION("""COMPUTED_VALUE"""),"นายศราวุฒิ ชูพันดุง")</f>
        <v>นายศราวุฒิ ชูพันดุง</v>
      </c>
      <c r="J1334" s="3">
        <f>IFERROR(__xludf.DUMMYFUNCTION("""COMPUTED_VALUE"""),1.3461215E7)</f>
        <v>13461215</v>
      </c>
      <c r="K1334" s="3" t="str">
        <f>IFERROR(__xludf.DUMMYFUNCTION("""COMPUTED_VALUE"""),"นายธีรภัทร สังข์เงิน")</f>
        <v>นายธีรภัทร สังข์เงิน</v>
      </c>
      <c r="L1334" s="1" t="str">
        <f>IFERROR(__xludf.DUMMYFUNCTION("""COMPUTED_VALUE"""),"06 K.Teerapat")</f>
        <v>06 K.Teerapat</v>
      </c>
      <c r="M1334" s="1" t="str">
        <f>IFERROR(__xludf.DUMMYFUNCTION("""COMPUTED_VALUE"""),"063-601-6803")</f>
        <v>063-601-6803</v>
      </c>
      <c r="N1334" s="3">
        <f>IFERROR(__xludf.DUMMYFUNCTION("""COMPUTED_VALUE"""),22115.0)</f>
        <v>22115</v>
      </c>
      <c r="O1334" s="3" t="str">
        <f>IFERROR(__xludf.DUMMYFUNCTION("""COMPUTED_VALUE"""),"MBC เลี่ยงหนองมน ชลบุรี")</f>
        <v>MBC เลี่ยงหนองมน ชลบุรี</v>
      </c>
      <c r="P1334" s="4">
        <f>IFERROR(__xludf.DUMMYFUNCTION("""COMPUTED_VALUE"""),43819.0)</f>
        <v>43819</v>
      </c>
      <c r="Q1334" s="3" t="str">
        <f>IFERROR(__xludf.DUMMYFUNCTION("""COMPUTED_VALUE"""),"A")</f>
        <v>A</v>
      </c>
      <c r="R1334" s="3" t="str">
        <f>IFERROR(__xludf.DUMMYFUNCTION("""COMPUTED_VALUE"""),"Small Format")</f>
        <v>Small Format</v>
      </c>
      <c r="S1334" s="3" t="str">
        <f>IFERROR(__xludf.DUMMYFUNCTION("""COMPUTED_VALUE"""),"BCM")</f>
        <v>BCM</v>
      </c>
      <c r="T1334" s="3" t="str">
        <f>IFERROR(__xludf.DUMMYFUNCTION("""COMPUTED_VALUE"""),"#N/A")</f>
        <v>#N/A</v>
      </c>
      <c r="U1334" s="3" t="str">
        <f>IFERROR(__xludf.DUMMYFUNCTION("""COMPUTED_VALUE"""),"#N/A")</f>
        <v>#N/A</v>
      </c>
      <c r="V1334" s="3" t="str">
        <f>IFERROR(__xludf.DUMMYFUNCTION("""COMPUTED_VALUE"""),"N")</f>
        <v>N</v>
      </c>
      <c r="W1334" s="3">
        <f>IFERROR(__xludf.DUMMYFUNCTION("""COMPUTED_VALUE"""),211999.0)</f>
        <v>211999</v>
      </c>
      <c r="X1334" s="3" t="str">
        <f>IFERROR(__xludf.DUMMYFUNCTION("""COMPUTED_VALUE"""),"47/59 หมู่6 ตำบลบางพระ อำเภอศรีราชา จังหวัดชลบุรี 20110")</f>
        <v>47/59 หมู่6 ตำบลบางพระ อำเภอศรีราชา จังหวัดชลบุรี 20110</v>
      </c>
      <c r="Y1334" s="3"/>
      <c r="Z1334" s="3" t="str">
        <f>IFERROR(__xludf.DUMMYFUNCTION("""COMPUTED_VALUE"""),"บางพระ")</f>
        <v>บางพระ</v>
      </c>
      <c r="AA1334" s="3" t="str">
        <f>IFERROR(__xludf.DUMMYFUNCTION("""COMPUTED_VALUE"""),"ศรีราชา")</f>
        <v>ศรีราชา</v>
      </c>
      <c r="AB1334" s="3" t="str">
        <f>IFERROR(__xludf.DUMMYFUNCTION("""COMPUTED_VALUE"""),"ชลบุรี")</f>
        <v>ชลบุรี</v>
      </c>
      <c r="AC1334" s="3">
        <f>IFERROR(__xludf.DUMMYFUNCTION("""COMPUTED_VALUE"""),20110.0)</f>
        <v>20110</v>
      </c>
      <c r="AD1334" s="3">
        <f>IFERROR(__xludf.DUMMYFUNCTION("""COMPUTED_VALUE"""),13.219125)</f>
        <v>13.219125</v>
      </c>
      <c r="AE1334" s="3">
        <f>IFERROR(__xludf.DUMMYFUNCTION("""COMPUTED_VALUE"""),100.962143)</f>
        <v>100.962143</v>
      </c>
      <c r="AF1334" s="3" t="str">
        <f>IFERROR(__xludf.DUMMYFUNCTION("""COMPUTED_VALUE"""),"MBC อ่างเก็บน้ำบางพระ ชลบุรี-22016")</f>
        <v>MBC อ่างเก็บน้ำบางพระ ชลบุรี-22016</v>
      </c>
      <c r="AG1334" s="3" t="str">
        <f>IFERROR(__xludf.DUMMYFUNCTION("""COMPUTED_VALUE"""),"ตะวันออก")</f>
        <v>ตะวันออก</v>
      </c>
      <c r="AH1334" s="3" t="str">
        <f>IFERROR(__xludf.DUMMYFUNCTION("""COMPUTED_VALUE"""),"#N/A")</f>
        <v>#N/A</v>
      </c>
      <c r="AI1334" s="3" t="str">
        <f>IFERROR(__xludf.DUMMYFUNCTION("""COMPUTED_VALUE"""),"Out of warranty")</f>
        <v>Out of warranty</v>
      </c>
      <c r="AJ1334" s="3">
        <f>IFERROR(__xludf.DUMMYFUNCTION("""COMPUTED_VALUE"""),74.0)</f>
        <v>74</v>
      </c>
      <c r="AK1334" s="3" t="str">
        <f>IFERROR(__xludf.DUMMYFUNCTION("""COMPUTED_VALUE"""),"MMS06")</f>
        <v>MMS06</v>
      </c>
      <c r="AL1334" s="3"/>
    </row>
    <row r="1335" ht="15.75" customHeight="1">
      <c r="A1335" s="1" t="str">
        <f>IFERROR(__xludf.DUMMYFUNCTION("""COMPUTED_VALUE"""),"22017")</f>
        <v>22017</v>
      </c>
      <c r="B1335" s="2">
        <f>IFERROR(__xludf.DUMMYFUNCTION("""COMPUTED_VALUE"""),22017.0)</f>
        <v>22017</v>
      </c>
      <c r="C1335" s="3" t="str">
        <f>IFERROR(__xludf.DUMMYFUNCTION("""COMPUTED_VALUE"""),"MBC บางม่าเหลา ภูเก็ต")</f>
        <v>MBC บางม่าเหลา ภูเก็ต</v>
      </c>
      <c r="D1335" s="3" t="str">
        <f>IFERROR(__xludf.DUMMYFUNCTION("""COMPUTED_VALUE"""),"BCM BANG MA LAO, PHUKET")</f>
        <v>BCM BANG MA LAO, PHUKET</v>
      </c>
      <c r="E1335" s="1" t="str">
        <f>IFERROR(__xludf.DUMMYFUNCTION("""COMPUTED_VALUE"""),"บิ๊กซี MINI")</f>
        <v>บิ๊กซี MINI</v>
      </c>
      <c r="F1335" s="1" t="str">
        <f>IFERROR(__xludf.DUMMYFUNCTION("""COMPUTED_VALUE"""),"250760")</f>
        <v>250760</v>
      </c>
      <c r="G1335" s="1" t="str">
        <f>IFERROR(__xludf.DUMMYFUNCTION("""COMPUTED_VALUE"""),"นายประทวน สาราบรรณ์")</f>
        <v>นายประทวน สาราบรรณ์</v>
      </c>
      <c r="H1335" s="1" t="str">
        <f>IFERROR(__xludf.DUMMYFUNCTION("""COMPUTED_VALUE"""),"357284")</f>
        <v>357284</v>
      </c>
      <c r="I1335" s="1" t="str">
        <f>IFERROR(__xludf.DUMMYFUNCTION("""COMPUTED_VALUE"""),"น.ส.เบญจวรรณ ปัณฑโมรา")</f>
        <v>น.ส.เบญจวรรณ ปัณฑโมรา</v>
      </c>
      <c r="J1335" s="3">
        <f>IFERROR(__xludf.DUMMYFUNCTION("""COMPUTED_VALUE"""),25324.0)</f>
        <v>25324</v>
      </c>
      <c r="K1335" s="3" t="str">
        <f>IFERROR(__xludf.DUMMYFUNCTION("""COMPUTED_VALUE"""),"นายวิเชฎฐ์ ติรัตนะประคม")</f>
        <v>นายวิเชฎฐ์ ติรัตนะประคม</v>
      </c>
      <c r="L1335" s="1" t="str">
        <f>IFERROR(__xludf.DUMMYFUNCTION("""COMPUTED_VALUE"""),"14 K.Wichet T.")</f>
        <v>14 K.Wichet T.</v>
      </c>
      <c r="M1335" s="1" t="str">
        <f>IFERROR(__xludf.DUMMYFUNCTION("""COMPUTED_VALUE"""),"061-417-6569 / 086-445-5636")</f>
        <v>061-417-6569 / 086-445-5636</v>
      </c>
      <c r="N1335" s="3">
        <f>IFERROR(__xludf.DUMMYFUNCTION("""COMPUTED_VALUE"""),22658.0)</f>
        <v>22658</v>
      </c>
      <c r="O1335" s="3" t="str">
        <f>IFERROR(__xludf.DUMMYFUNCTION("""COMPUTED_VALUE"""),"BCM ถ.วิรัชหงษ์หยก ภูเก็ต")</f>
        <v>BCM ถ.วิรัชหงษ์หยก ภูเก็ต</v>
      </c>
      <c r="P1335" s="4">
        <f>IFERROR(__xludf.DUMMYFUNCTION("""COMPUTED_VALUE"""),43820.0)</f>
        <v>43820</v>
      </c>
      <c r="Q1335" s="3" t="str">
        <f>IFERROR(__xludf.DUMMYFUNCTION("""COMPUTED_VALUE"""),"A")</f>
        <v>A</v>
      </c>
      <c r="R1335" s="3" t="str">
        <f>IFERROR(__xludf.DUMMYFUNCTION("""COMPUTED_VALUE"""),"Small Format")</f>
        <v>Small Format</v>
      </c>
      <c r="S1335" s="3" t="str">
        <f>IFERROR(__xludf.DUMMYFUNCTION("""COMPUTED_VALUE"""),"BCM")</f>
        <v>BCM</v>
      </c>
      <c r="T1335" s="3" t="str">
        <f>IFERROR(__xludf.DUMMYFUNCTION("""COMPUTED_VALUE"""),"#N/A")</f>
        <v>#N/A</v>
      </c>
      <c r="U1335" s="3" t="str">
        <f>IFERROR(__xludf.DUMMYFUNCTION("""COMPUTED_VALUE"""),"#N/A")</f>
        <v>#N/A</v>
      </c>
      <c r="V1335" s="3" t="str">
        <f>IFERROR(__xludf.DUMMYFUNCTION("""COMPUTED_VALUE"""),"N")</f>
        <v>N</v>
      </c>
      <c r="W1335" s="3">
        <f>IFERROR(__xludf.DUMMYFUNCTION("""COMPUTED_VALUE"""),211851.0)</f>
        <v>211851</v>
      </c>
      <c r="X1335" s="3" t="str">
        <f>IFERROR(__xludf.DUMMYFUNCTION("""COMPUTED_VALUE"""),"90/59 หมู่5 ตำบลสาคู อำเภอถลาง จังหวัดภูเก็ต 83110")</f>
        <v>90/59 หมู่5 ตำบลสาคู อำเภอถลาง จังหวัดภูเก็ต 83110</v>
      </c>
      <c r="Y1335" s="3"/>
      <c r="Z1335" s="3" t="str">
        <f>IFERROR(__xludf.DUMMYFUNCTION("""COMPUTED_VALUE"""),"สาคู")</f>
        <v>สาคู</v>
      </c>
      <c r="AA1335" s="3" t="str">
        <f>IFERROR(__xludf.DUMMYFUNCTION("""COMPUTED_VALUE"""),"ถลาง")</f>
        <v>ถลาง</v>
      </c>
      <c r="AB1335" s="3" t="str">
        <f>IFERROR(__xludf.DUMMYFUNCTION("""COMPUTED_VALUE"""),"ภูเก็ต")</f>
        <v>ภูเก็ต</v>
      </c>
      <c r="AC1335" s="3">
        <f>IFERROR(__xludf.DUMMYFUNCTION("""COMPUTED_VALUE"""),83110.0)</f>
        <v>83110</v>
      </c>
      <c r="AD1335" s="3">
        <f>IFERROR(__xludf.DUMMYFUNCTION("""COMPUTED_VALUE"""),8.088681)</f>
        <v>8.088681</v>
      </c>
      <c r="AE1335" s="3">
        <f>IFERROR(__xludf.DUMMYFUNCTION("""COMPUTED_VALUE"""),98.305392)</f>
        <v>98.305392</v>
      </c>
      <c r="AF1335" s="3" t="str">
        <f>IFERROR(__xludf.DUMMYFUNCTION("""COMPUTED_VALUE"""),"MBC บางม่าเหลา ภูเก็ต-22017")</f>
        <v>MBC บางม่าเหลา ภูเก็ต-22017</v>
      </c>
      <c r="AG1335" s="3" t="str">
        <f>IFERROR(__xludf.DUMMYFUNCTION("""COMPUTED_VALUE"""),"ใต้")</f>
        <v>ใต้</v>
      </c>
      <c r="AH1335" s="3" t="str">
        <f>IFERROR(__xludf.DUMMYFUNCTION("""COMPUTED_VALUE"""),"#N/A")</f>
        <v>#N/A</v>
      </c>
      <c r="AI1335" s="3" t="str">
        <f>IFERROR(__xludf.DUMMYFUNCTION("""COMPUTED_VALUE"""),"Out of warranty")</f>
        <v>Out of warranty</v>
      </c>
      <c r="AJ1335" s="3">
        <f>IFERROR(__xludf.DUMMYFUNCTION("""COMPUTED_VALUE"""),73.0)</f>
        <v>73</v>
      </c>
      <c r="AK1335" s="3" t="str">
        <f>IFERROR(__xludf.DUMMYFUNCTION("""COMPUTED_VALUE"""),"MMS15")</f>
        <v>MMS15</v>
      </c>
      <c r="AL1335" s="3"/>
    </row>
    <row r="1336" ht="15.75" customHeight="1">
      <c r="A1336" s="1" t="str">
        <f>IFERROR(__xludf.DUMMYFUNCTION("""COMPUTED_VALUE"""),"22018")</f>
        <v>22018</v>
      </c>
      <c r="B1336" s="2">
        <f>IFERROR(__xludf.DUMMYFUNCTION("""COMPUTED_VALUE"""),22018.0)</f>
        <v>22018</v>
      </c>
      <c r="C1336" s="3" t="str">
        <f>IFERROR(__xludf.DUMMYFUNCTION("""COMPUTED_VALUE"""),"MBC ซอยตาเอียด ภูเก็ต")</f>
        <v>MBC ซอยตาเอียด ภูเก็ต</v>
      </c>
      <c r="D1336" s="3" t="str">
        <f>IFERROR(__xludf.DUMMYFUNCTION("""COMPUTED_VALUE"""),"BCM SOI TA-IAD, PHUKET")</f>
        <v>BCM SOI TA-IAD, PHUKET</v>
      </c>
      <c r="E1336" s="1" t="str">
        <f>IFERROR(__xludf.DUMMYFUNCTION("""COMPUTED_VALUE"""),"บิ๊กซี MINI")</f>
        <v>บิ๊กซี MINI</v>
      </c>
      <c r="F1336" s="1" t="str">
        <f>IFERROR(__xludf.DUMMYFUNCTION("""COMPUTED_VALUE"""),"250760")</f>
        <v>250760</v>
      </c>
      <c r="G1336" s="1" t="str">
        <f>IFERROR(__xludf.DUMMYFUNCTION("""COMPUTED_VALUE"""),"นายประทวน สาราบรรณ์")</f>
        <v>นายประทวน สาราบรรณ์</v>
      </c>
      <c r="H1336" s="1" t="str">
        <f>IFERROR(__xludf.DUMMYFUNCTION("""COMPUTED_VALUE"""),"357284")</f>
        <v>357284</v>
      </c>
      <c r="I1336" s="1" t="str">
        <f>IFERROR(__xludf.DUMMYFUNCTION("""COMPUTED_VALUE"""),"น.ส.เบญจวรรณ ปัณฑโมรา")</f>
        <v>น.ส.เบญจวรรณ ปัณฑโมรา</v>
      </c>
      <c r="J1336" s="3">
        <f>IFERROR(__xludf.DUMMYFUNCTION("""COMPUTED_VALUE"""),25324.0)</f>
        <v>25324</v>
      </c>
      <c r="K1336" s="3" t="str">
        <f>IFERROR(__xludf.DUMMYFUNCTION("""COMPUTED_VALUE"""),"นายวิเชฎฐ์ ติรัตนะประคม")</f>
        <v>นายวิเชฎฐ์ ติรัตนะประคม</v>
      </c>
      <c r="L1336" s="1" t="str">
        <f>IFERROR(__xludf.DUMMYFUNCTION("""COMPUTED_VALUE"""),"14 K.Wichet T.")</f>
        <v>14 K.Wichet T.</v>
      </c>
      <c r="M1336" s="1" t="str">
        <f>IFERROR(__xludf.DUMMYFUNCTION("""COMPUTED_VALUE"""),"061-417-6569 / 086-445-5636")</f>
        <v>061-417-6569 / 086-445-5636</v>
      </c>
      <c r="N1336" s="3">
        <f>IFERROR(__xludf.DUMMYFUNCTION("""COMPUTED_VALUE"""),22658.0)</f>
        <v>22658</v>
      </c>
      <c r="O1336" s="3" t="str">
        <f>IFERROR(__xludf.DUMMYFUNCTION("""COMPUTED_VALUE"""),"BCM ถ.วิรัชหงษ์หยก ภูเก็ต")</f>
        <v>BCM ถ.วิรัชหงษ์หยก ภูเก็ต</v>
      </c>
      <c r="P1336" s="4">
        <f>IFERROR(__xludf.DUMMYFUNCTION("""COMPUTED_VALUE"""),43820.0)</f>
        <v>43820</v>
      </c>
      <c r="Q1336" s="3" t="str">
        <f>IFERROR(__xludf.DUMMYFUNCTION("""COMPUTED_VALUE"""),"A")</f>
        <v>A</v>
      </c>
      <c r="R1336" s="3" t="str">
        <f>IFERROR(__xludf.DUMMYFUNCTION("""COMPUTED_VALUE"""),"Small Format")</f>
        <v>Small Format</v>
      </c>
      <c r="S1336" s="3" t="str">
        <f>IFERROR(__xludf.DUMMYFUNCTION("""COMPUTED_VALUE"""),"BCM")</f>
        <v>BCM</v>
      </c>
      <c r="T1336" s="3" t="str">
        <f>IFERROR(__xludf.DUMMYFUNCTION("""COMPUTED_VALUE"""),"#N/A")</f>
        <v>#N/A</v>
      </c>
      <c r="U1336" s="3" t="str">
        <f>IFERROR(__xludf.DUMMYFUNCTION("""COMPUTED_VALUE"""),"#N/A")</f>
        <v>#N/A</v>
      </c>
      <c r="V1336" s="3" t="str">
        <f>IFERROR(__xludf.DUMMYFUNCTION("""COMPUTED_VALUE"""),"N")</f>
        <v>N</v>
      </c>
      <c r="W1336" s="3">
        <f>IFERROR(__xludf.DUMMYFUNCTION("""COMPUTED_VALUE"""),210015.0)</f>
        <v>210015</v>
      </c>
      <c r="X1336" s="3" t="str">
        <f>IFERROR(__xludf.DUMMYFUNCTION("""COMPUTED_VALUE"""),"45/77 หมู่1 ตำบลฉลอง อำเภอเมืองภูเก็ต จังหวัดภูเก็ต 83130")</f>
        <v>45/77 หมู่1 ตำบลฉลอง อำเภอเมืองภูเก็ต จังหวัดภูเก็ต 83130</v>
      </c>
      <c r="Y1336" s="3"/>
      <c r="Z1336" s="3" t="str">
        <f>IFERROR(__xludf.DUMMYFUNCTION("""COMPUTED_VALUE"""),"ฉลอง")</f>
        <v>ฉลอง</v>
      </c>
      <c r="AA1336" s="3" t="str">
        <f>IFERROR(__xludf.DUMMYFUNCTION("""COMPUTED_VALUE"""),"เมือง")</f>
        <v>เมือง</v>
      </c>
      <c r="AB1336" s="3" t="str">
        <f>IFERROR(__xludf.DUMMYFUNCTION("""COMPUTED_VALUE"""),"ภูเก็ต")</f>
        <v>ภูเก็ต</v>
      </c>
      <c r="AC1336" s="3">
        <f>IFERROR(__xludf.DUMMYFUNCTION("""COMPUTED_VALUE"""),83130.0)</f>
        <v>83130</v>
      </c>
      <c r="AD1336" s="3">
        <f>IFERROR(__xludf.DUMMYFUNCTION("""COMPUTED_VALUE"""),7.850828)</f>
        <v>7.850828</v>
      </c>
      <c r="AE1336" s="3">
        <f>IFERROR(__xludf.DUMMYFUNCTION("""COMPUTED_VALUE"""),98.349592)</f>
        <v>98.349592</v>
      </c>
      <c r="AF1336" s="3" t="str">
        <f>IFERROR(__xludf.DUMMYFUNCTION("""COMPUTED_VALUE"""),"MBC ซอยตาเอียด ภูเก็ต-22018")</f>
        <v>MBC ซอยตาเอียด ภูเก็ต-22018</v>
      </c>
      <c r="AG1336" s="3" t="str">
        <f>IFERROR(__xludf.DUMMYFUNCTION("""COMPUTED_VALUE"""),"ใต้")</f>
        <v>ใต้</v>
      </c>
      <c r="AH1336" s="3" t="str">
        <f>IFERROR(__xludf.DUMMYFUNCTION("""COMPUTED_VALUE"""),"#N/A")</f>
        <v>#N/A</v>
      </c>
      <c r="AI1336" s="3" t="str">
        <f>IFERROR(__xludf.DUMMYFUNCTION("""COMPUTED_VALUE"""),"Out of warranty")</f>
        <v>Out of warranty</v>
      </c>
      <c r="AJ1336" s="3">
        <f>IFERROR(__xludf.DUMMYFUNCTION("""COMPUTED_VALUE"""),73.0)</f>
        <v>73</v>
      </c>
      <c r="AK1336" s="3" t="str">
        <f>IFERROR(__xludf.DUMMYFUNCTION("""COMPUTED_VALUE"""),"MMS15")</f>
        <v>MMS15</v>
      </c>
      <c r="AL1336" s="3"/>
    </row>
    <row r="1337" ht="15.75" customHeight="1">
      <c r="A1337" s="1" t="str">
        <f>IFERROR(__xludf.DUMMYFUNCTION("""COMPUTED_VALUE"""),"22019")</f>
        <v>22019</v>
      </c>
      <c r="B1337" s="2">
        <f>IFERROR(__xludf.DUMMYFUNCTION("""COMPUTED_VALUE"""),22019.0)</f>
        <v>22019</v>
      </c>
      <c r="C1337" s="3" t="str">
        <f>IFERROR(__xludf.DUMMYFUNCTION("""COMPUTED_VALUE"""),"MBC ควนหิน สงขลา")</f>
        <v>MBC ควนหิน สงขลา</v>
      </c>
      <c r="D1337" s="3" t="str">
        <f>IFERROR(__xludf.DUMMYFUNCTION("""COMPUTED_VALUE"""),"BCM KUAN HIN, SONGKHLA")</f>
        <v>BCM KUAN HIN, SONGKHLA</v>
      </c>
      <c r="E1337" s="1" t="str">
        <f>IFERROR(__xludf.DUMMYFUNCTION("""COMPUTED_VALUE"""),"บิ๊กซี MINI")</f>
        <v>บิ๊กซี MINI</v>
      </c>
      <c r="F1337" s="1" t="str">
        <f>IFERROR(__xludf.DUMMYFUNCTION("""COMPUTED_VALUE"""),"250760")</f>
        <v>250760</v>
      </c>
      <c r="G1337" s="1" t="str">
        <f>IFERROR(__xludf.DUMMYFUNCTION("""COMPUTED_VALUE"""),"นายประทวน สาราบรรณ์")</f>
        <v>นายประทวน สาราบรรณ์</v>
      </c>
      <c r="H1337" s="1" t="str">
        <f>IFERROR(__xludf.DUMMYFUNCTION("""COMPUTED_VALUE"""),"394185")</f>
        <v>394185</v>
      </c>
      <c r="I1337" s="1" t="str">
        <f>IFERROR(__xludf.DUMMYFUNCTION("""COMPUTED_VALUE"""),"น.ส.ฐาปนี สุวรรณรัตน์")</f>
        <v>น.ส.ฐาปนี สุวรรณรัตน์</v>
      </c>
      <c r="J1337" s="3">
        <f>IFERROR(__xludf.DUMMYFUNCTION("""COMPUTED_VALUE"""),2.0470331E7)</f>
        <v>20470331</v>
      </c>
      <c r="K1337" s="3" t="str">
        <f>IFERROR(__xludf.DUMMYFUNCTION("""COMPUTED_VALUE"""),"นายสมชาย ลักษณะสุวรรณ")</f>
        <v>นายสมชาย ลักษณะสุวรรณ</v>
      </c>
      <c r="L1337" s="1" t="str">
        <f>IFERROR(__xludf.DUMMYFUNCTION("""COMPUTED_VALUE"""),"15 K.Somchai L")</f>
        <v>15 K.Somchai L</v>
      </c>
      <c r="M1337" s="1" t="str">
        <f>IFERROR(__xludf.DUMMYFUNCTION("""COMPUTED_VALUE"""),"0655107372")</f>
        <v>0655107372</v>
      </c>
      <c r="N1337" s="3">
        <f>IFERROR(__xludf.DUMMYFUNCTION("""COMPUTED_VALUE"""),21723.0)</f>
        <v>21723</v>
      </c>
      <c r="O1337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337" s="4">
        <f>IFERROR(__xludf.DUMMYFUNCTION("""COMPUTED_VALUE"""),43823.0)</f>
        <v>43823</v>
      </c>
      <c r="Q1337" s="3" t="str">
        <f>IFERROR(__xludf.DUMMYFUNCTION("""COMPUTED_VALUE"""),"A")</f>
        <v>A</v>
      </c>
      <c r="R1337" s="3" t="str">
        <f>IFERROR(__xludf.DUMMYFUNCTION("""COMPUTED_VALUE"""),"Small Format")</f>
        <v>Small Format</v>
      </c>
      <c r="S1337" s="3" t="str">
        <f>IFERROR(__xludf.DUMMYFUNCTION("""COMPUTED_VALUE"""),"BCM")</f>
        <v>BCM</v>
      </c>
      <c r="T1337" s="3" t="str">
        <f>IFERROR(__xludf.DUMMYFUNCTION("""COMPUTED_VALUE"""),"#N/A")</f>
        <v>#N/A</v>
      </c>
      <c r="U1337" s="3" t="str">
        <f>IFERROR(__xludf.DUMMYFUNCTION("""COMPUTED_VALUE"""),"#N/A")</f>
        <v>#N/A</v>
      </c>
      <c r="V1337" s="3" t="str">
        <f>IFERROR(__xludf.DUMMYFUNCTION("""COMPUTED_VALUE"""),"N")</f>
        <v>N</v>
      </c>
      <c r="W1337" s="3">
        <f>IFERROR(__xludf.DUMMYFUNCTION("""COMPUTED_VALUE"""),210074.0)</f>
        <v>210074</v>
      </c>
      <c r="X1337" s="3" t="str">
        <f>IFERROR(__xludf.DUMMYFUNCTION("""COMPUTED_VALUE"""),"687/2 หมู่3 ตำบลพะวง อำเภอเมืองสงขลา จังหวัดสงขลา 90100")</f>
        <v>687/2 หมู่3 ตำบลพะวง อำเภอเมืองสงขลา จังหวัดสงขลา 90100</v>
      </c>
      <c r="Y1337" s="3"/>
      <c r="Z1337" s="3" t="str">
        <f>IFERROR(__xludf.DUMMYFUNCTION("""COMPUTED_VALUE"""),"พะวง")</f>
        <v>พะวง</v>
      </c>
      <c r="AA1337" s="3" t="str">
        <f>IFERROR(__xludf.DUMMYFUNCTION("""COMPUTED_VALUE"""),"เมือง")</f>
        <v>เมือง</v>
      </c>
      <c r="AB1337" s="3" t="str">
        <f>IFERROR(__xludf.DUMMYFUNCTION("""COMPUTED_VALUE"""),"สงขลา")</f>
        <v>สงขลา</v>
      </c>
      <c r="AC1337" s="3">
        <f>IFERROR(__xludf.DUMMYFUNCTION("""COMPUTED_VALUE"""),90100.0)</f>
        <v>90100</v>
      </c>
      <c r="AD1337" s="3">
        <f>IFERROR(__xludf.DUMMYFUNCTION("""COMPUTED_VALUE"""),7.100494)</f>
        <v>7.100494</v>
      </c>
      <c r="AE1337" s="3">
        <f>IFERROR(__xludf.DUMMYFUNCTION("""COMPUTED_VALUE"""),100.567619)</f>
        <v>100.567619</v>
      </c>
      <c r="AF1337" s="3" t="str">
        <f>IFERROR(__xludf.DUMMYFUNCTION("""COMPUTED_VALUE"""),"MBC ควนหิน สงขลา-22019")</f>
        <v>MBC ควนหิน สงขลา-22019</v>
      </c>
      <c r="AG1337" s="3" t="str">
        <f>IFERROR(__xludf.DUMMYFUNCTION("""COMPUTED_VALUE"""),"ใต้")</f>
        <v>ใต้</v>
      </c>
      <c r="AH1337" s="3" t="str">
        <f>IFERROR(__xludf.DUMMYFUNCTION("""COMPUTED_VALUE"""),"#N/A")</f>
        <v>#N/A</v>
      </c>
      <c r="AI1337" s="3" t="str">
        <f>IFERROR(__xludf.DUMMYFUNCTION("""COMPUTED_VALUE"""),"Out of warranty")</f>
        <v>Out of warranty</v>
      </c>
      <c r="AJ1337" s="3">
        <f>IFERROR(__xludf.DUMMYFUNCTION("""COMPUTED_VALUE"""),73.0)</f>
        <v>73</v>
      </c>
      <c r="AK1337" s="3" t="str">
        <f>IFERROR(__xludf.DUMMYFUNCTION("""COMPUTED_VALUE"""),"MMS16")</f>
        <v>MMS16</v>
      </c>
      <c r="AL1337" s="3"/>
    </row>
    <row r="1338" ht="15.75" customHeight="1">
      <c r="A1338" s="1" t="str">
        <f>IFERROR(__xludf.DUMMYFUNCTION("""COMPUTED_VALUE"""),"22020")</f>
        <v>22020</v>
      </c>
      <c r="B1338" s="2">
        <f>IFERROR(__xludf.DUMMYFUNCTION("""COMPUTED_VALUE"""),22020.0)</f>
        <v>22020</v>
      </c>
      <c r="C1338" s="3" t="str">
        <f>IFERROR(__xludf.DUMMYFUNCTION("""COMPUTED_VALUE"""),"MBC นาเกลือ ซอย 12 ชลบุรี")</f>
        <v>MBC นาเกลือ ซอย 12 ชลบุรี</v>
      </c>
      <c r="D1338" s="3" t="str">
        <f>IFERROR(__xludf.DUMMYFUNCTION("""COMPUTED_VALUE"""),"BCM NA KLUA SOI 12,CHONBURI")</f>
        <v>BCM NA KLUA SOI 12,CHONBURI</v>
      </c>
      <c r="E1338" s="1" t="str">
        <f>IFERROR(__xludf.DUMMYFUNCTION("""COMPUTED_VALUE"""),"บิ๊กซี MINI")</f>
        <v>บิ๊กซี MINI</v>
      </c>
      <c r="F1338" s="1" t="str">
        <f>IFERROR(__xludf.DUMMYFUNCTION("""COMPUTED_VALUE"""),"221716")</f>
        <v>221716</v>
      </c>
      <c r="G1338" s="1" t="str">
        <f>IFERROR(__xludf.DUMMYFUNCTION("""COMPUTED_VALUE"""),"น.ส.เบญจพร โพธิสาร")</f>
        <v>น.ส.เบญจพร โพธิสาร</v>
      </c>
      <c r="H1338" s="1" t="str">
        <f>IFERROR(__xludf.DUMMYFUNCTION("""COMPUTED_VALUE"""),"291061")</f>
        <v>291061</v>
      </c>
      <c r="I1338" s="1" t="str">
        <f>IFERROR(__xludf.DUMMYFUNCTION("""COMPUTED_VALUE"""),"นายสมศักดิ์ เสียงก้อง")</f>
        <v>นายสมศักดิ์ เสียงก้อง</v>
      </c>
      <c r="J1338" s="3">
        <f>IFERROR(__xludf.DUMMYFUNCTION("""COMPUTED_VALUE"""),296942.0)</f>
        <v>296942</v>
      </c>
      <c r="K1338" s="3" t="str">
        <f>IFERROR(__xludf.DUMMYFUNCTION("""COMPUTED_VALUE"""),"นายปิยะ รักษากิจ")</f>
        <v>นายปิยะ รักษากิจ</v>
      </c>
      <c r="L1338" s="1" t="str">
        <f>IFERROR(__xludf.DUMMYFUNCTION("""COMPUTED_VALUE"""),"07 K.Piya R.")</f>
        <v>07 K.Piya R.</v>
      </c>
      <c r="M1338" s="1" t="str">
        <f>IFERROR(__xludf.DUMMYFUNCTION("""COMPUTED_VALUE"""),"097-919-5476")</f>
        <v>097-919-5476</v>
      </c>
      <c r="N1338" s="3">
        <f>IFERROR(__xludf.DUMMYFUNCTION("""COMPUTED_VALUE"""),21332.0)</f>
        <v>21332</v>
      </c>
      <c r="O1338" s="3" t="str">
        <f>IFERROR(__xludf.DUMMYFUNCTION("""COMPUTED_VALUE"""),"MBC BCP อ่อนนุช 17/1")</f>
        <v>MBC BCP อ่อนนุช 17/1</v>
      </c>
      <c r="P1338" s="4">
        <f>IFERROR(__xludf.DUMMYFUNCTION("""COMPUTED_VALUE"""),43824.0)</f>
        <v>43824</v>
      </c>
      <c r="Q1338" s="3" t="str">
        <f>IFERROR(__xludf.DUMMYFUNCTION("""COMPUTED_VALUE"""),"A")</f>
        <v>A</v>
      </c>
      <c r="R1338" s="3" t="str">
        <f>IFERROR(__xludf.DUMMYFUNCTION("""COMPUTED_VALUE"""),"Small Format")</f>
        <v>Small Format</v>
      </c>
      <c r="S1338" s="3" t="str">
        <f>IFERROR(__xludf.DUMMYFUNCTION("""COMPUTED_VALUE"""),"BCM")</f>
        <v>BCM</v>
      </c>
      <c r="T1338" s="3" t="str">
        <f>IFERROR(__xludf.DUMMYFUNCTION("""COMPUTED_VALUE"""),"#N/A")</f>
        <v>#N/A</v>
      </c>
      <c r="U1338" s="3" t="str">
        <f>IFERROR(__xludf.DUMMYFUNCTION("""COMPUTED_VALUE"""),"#N/A")</f>
        <v>#N/A</v>
      </c>
      <c r="V1338" s="3" t="str">
        <f>IFERROR(__xludf.DUMMYFUNCTION("""COMPUTED_VALUE"""),"N")</f>
        <v>N</v>
      </c>
      <c r="W1338" s="3">
        <f>IFERROR(__xludf.DUMMYFUNCTION("""COMPUTED_VALUE"""),210029.0)</f>
        <v>210029</v>
      </c>
      <c r="X1338" s="3" t="str">
        <f>IFERROR(__xludf.DUMMYFUNCTION("""COMPUTED_VALUE"""),"579/62 หมู่5 ตำบลนาเกลือ อำเภอบางละมุง จังหวัดชลบุรี 20150")</f>
        <v>579/62 หมู่5 ตำบลนาเกลือ อำเภอบางละมุง จังหวัดชลบุรี 20150</v>
      </c>
      <c r="Y1338" s="3"/>
      <c r="Z1338" s="3" t="str">
        <f>IFERROR(__xludf.DUMMYFUNCTION("""COMPUTED_VALUE"""),"นาเกลือ")</f>
        <v>นาเกลือ</v>
      </c>
      <c r="AA1338" s="3" t="str">
        <f>IFERROR(__xludf.DUMMYFUNCTION("""COMPUTED_VALUE"""),"บางละมุง")</f>
        <v>บางละมุง</v>
      </c>
      <c r="AB1338" s="3" t="str">
        <f>IFERROR(__xludf.DUMMYFUNCTION("""COMPUTED_VALUE"""),"ชลบุรี")</f>
        <v>ชลบุรี</v>
      </c>
      <c r="AC1338" s="3">
        <f>IFERROR(__xludf.DUMMYFUNCTION("""COMPUTED_VALUE"""),20150.0)</f>
        <v>20150</v>
      </c>
      <c r="AD1338" s="3">
        <f>IFERROR(__xludf.DUMMYFUNCTION("""COMPUTED_VALUE"""),12.967815)</f>
        <v>12.967815</v>
      </c>
      <c r="AE1338" s="3">
        <f>IFERROR(__xludf.DUMMYFUNCTION("""COMPUTED_VALUE"""),100.897709)</f>
        <v>100.897709</v>
      </c>
      <c r="AF1338" s="3" t="str">
        <f>IFERROR(__xludf.DUMMYFUNCTION("""COMPUTED_VALUE"""),"MBC นาเกลือ ซอย 12 ชลบุรี-22020")</f>
        <v>MBC นาเกลือ ซอย 12 ชลบุรี-22020</v>
      </c>
      <c r="AG1338" s="3" t="str">
        <f>IFERROR(__xludf.DUMMYFUNCTION("""COMPUTED_VALUE"""),"ตะวันออก")</f>
        <v>ตะวันออก</v>
      </c>
      <c r="AH1338" s="3" t="str">
        <f>IFERROR(__xludf.DUMMYFUNCTION("""COMPUTED_VALUE"""),"#N/A")</f>
        <v>#N/A</v>
      </c>
      <c r="AI1338" s="3" t="str">
        <f>IFERROR(__xludf.DUMMYFUNCTION("""COMPUTED_VALUE"""),"Out of warranty")</f>
        <v>Out of warranty</v>
      </c>
      <c r="AJ1338" s="3">
        <f>IFERROR(__xludf.DUMMYFUNCTION("""COMPUTED_VALUE"""),73.0)</f>
        <v>73</v>
      </c>
      <c r="AK1338" s="3" t="str">
        <f>IFERROR(__xludf.DUMMYFUNCTION("""COMPUTED_VALUE"""),"MMS06")</f>
        <v>MMS06</v>
      </c>
      <c r="AL1338" s="3"/>
    </row>
    <row r="1339" ht="15.75" customHeight="1">
      <c r="A1339" s="1" t="str">
        <f>IFERROR(__xludf.DUMMYFUNCTION("""COMPUTED_VALUE"""),"22021")</f>
        <v>22021</v>
      </c>
      <c r="B1339" s="2">
        <f>IFERROR(__xludf.DUMMYFUNCTION("""COMPUTED_VALUE"""),22021.0)</f>
        <v>22021</v>
      </c>
      <c r="C1339" s="3" t="str">
        <f>IFERROR(__xludf.DUMMYFUNCTION("""COMPUTED_VALUE"""),"MBC บางหัวเสือ สมุทรปราการ")</f>
        <v>MBC บางหัวเสือ สมุทรปราการ</v>
      </c>
      <c r="D1339" s="3" t="str">
        <f>IFERROR(__xludf.DUMMYFUNCTION("""COMPUTED_VALUE"""),"BCM BANG HUA SUAE")</f>
        <v>BCM BANG HUA SUAE</v>
      </c>
      <c r="E1339" s="1" t="str">
        <f>IFERROR(__xludf.DUMMYFUNCTION("""COMPUTED_VALUE"""),"บิ๊กซี MINI")</f>
        <v>บิ๊กซี MINI</v>
      </c>
      <c r="F1339" s="1" t="str">
        <f>IFERROR(__xludf.DUMMYFUNCTION("""COMPUTED_VALUE"""),"2083447")</f>
        <v>2083447</v>
      </c>
      <c r="G1339" s="1" t="str">
        <f>IFERROR(__xludf.DUMMYFUNCTION("""COMPUTED_VALUE"""),"นายอนุกูล ศรีลัดดา")</f>
        <v>นายอนุกูล ศรีลัดดา</v>
      </c>
      <c r="H1339" s="1" t="str">
        <f>IFERROR(__xludf.DUMMYFUNCTION("""COMPUTED_VALUE"""),"379037")</f>
        <v>379037</v>
      </c>
      <c r="I1339" s="1" t="str">
        <f>IFERROR(__xludf.DUMMYFUNCTION("""COMPUTED_VALUE"""),"นางแก้วใจ แก้วกาญจน์")</f>
        <v>นางแก้วใจ แก้วกาญจน์</v>
      </c>
      <c r="J1339" s="3">
        <f>IFERROR(__xludf.DUMMYFUNCTION("""COMPUTED_VALUE"""),2451655.0)</f>
        <v>2451655</v>
      </c>
      <c r="K1339" s="3" t="str">
        <f>IFERROR(__xludf.DUMMYFUNCTION("""COMPUTED_VALUE"""),"นายวิษณุพงษ์ ชินบุตร")</f>
        <v>นายวิษณุพงษ์ ชินบุตร</v>
      </c>
      <c r="L1339" s="1" t="str">
        <f>IFERROR(__xludf.DUMMYFUNCTION("""COMPUTED_VALUE"""),"13 K.Wisanupong Ch")</f>
        <v>13 K.Wisanupong Ch</v>
      </c>
      <c r="M1339" s="1" t="str">
        <f>IFERROR(__xludf.DUMMYFUNCTION("""COMPUTED_VALUE"""),"0843374693")</f>
        <v>0843374693</v>
      </c>
      <c r="N1339" s="3">
        <f>IFERROR(__xludf.DUMMYFUNCTION("""COMPUTED_VALUE"""),22729.0)</f>
        <v>22729</v>
      </c>
      <c r="O1339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339" s="4">
        <f>IFERROR(__xludf.DUMMYFUNCTION("""COMPUTED_VALUE"""),43826.0)</f>
        <v>43826</v>
      </c>
      <c r="Q1339" s="3" t="str">
        <f>IFERROR(__xludf.DUMMYFUNCTION("""COMPUTED_VALUE"""),"A")</f>
        <v>A</v>
      </c>
      <c r="R1339" s="3" t="str">
        <f>IFERROR(__xludf.DUMMYFUNCTION("""COMPUTED_VALUE"""),"Small Format")</f>
        <v>Small Format</v>
      </c>
      <c r="S1339" s="3" t="str">
        <f>IFERROR(__xludf.DUMMYFUNCTION("""COMPUTED_VALUE"""),"BCM")</f>
        <v>BCM</v>
      </c>
      <c r="T1339" s="3" t="str">
        <f>IFERROR(__xludf.DUMMYFUNCTION("""COMPUTED_VALUE"""),"#N/A")</f>
        <v>#N/A</v>
      </c>
      <c r="U1339" s="3" t="str">
        <f>IFERROR(__xludf.DUMMYFUNCTION("""COMPUTED_VALUE"""),"#N/A")</f>
        <v>#N/A</v>
      </c>
      <c r="V1339" s="3" t="str">
        <f>IFERROR(__xludf.DUMMYFUNCTION("""COMPUTED_VALUE"""),"N")</f>
        <v>N</v>
      </c>
      <c r="W1339" s="3">
        <f>IFERROR(__xludf.DUMMYFUNCTION("""COMPUTED_VALUE"""),211992.0)</f>
        <v>211992</v>
      </c>
      <c r="X1339" s="3" t="str">
        <f>IFERROR(__xludf.DUMMYFUNCTION("""COMPUTED_VALUE"""),"40/21 หมู่13 ตำบลบางหัวสือ อำเภอพระประแดง จังหวัดสมุทรปราการ 10130")</f>
        <v>40/21 หมู่13 ตำบลบางหัวสือ อำเภอพระประแดง จังหวัดสมุทรปราการ 10130</v>
      </c>
      <c r="Y1339" s="3"/>
      <c r="Z1339" s="3" t="str">
        <f>IFERROR(__xludf.DUMMYFUNCTION("""COMPUTED_VALUE"""),"บางหัวสือ")</f>
        <v>บางหัวสือ</v>
      </c>
      <c r="AA1339" s="3" t="str">
        <f>IFERROR(__xludf.DUMMYFUNCTION("""COMPUTED_VALUE"""),"พระประแดง")</f>
        <v>พระประแดง</v>
      </c>
      <c r="AB1339" s="3" t="str">
        <f>IFERROR(__xludf.DUMMYFUNCTION("""COMPUTED_VALUE"""),"สมุทรปราการ")</f>
        <v>สมุทรปราการ</v>
      </c>
      <c r="AC1339" s="3">
        <f>IFERROR(__xludf.DUMMYFUNCTION("""COMPUTED_VALUE"""),10130.0)</f>
        <v>10130</v>
      </c>
      <c r="AD1339" s="3">
        <f>IFERROR(__xludf.DUMMYFUNCTION("""COMPUTED_VALUE"""),13.630558)</f>
        <v>13.630558</v>
      </c>
      <c r="AE1339" s="3">
        <f>IFERROR(__xludf.DUMMYFUNCTION("""COMPUTED_VALUE"""),100.553994)</f>
        <v>100.553994</v>
      </c>
      <c r="AF1339" s="3" t="str">
        <f>IFERROR(__xludf.DUMMYFUNCTION("""COMPUTED_VALUE"""),"MBC บางหัวเสือ สมุทรปราการ-22021")</f>
        <v>MBC บางหัวเสือ สมุทรปราการ-22021</v>
      </c>
      <c r="AG1339" s="3" t="str">
        <f>IFERROR(__xludf.DUMMYFUNCTION("""COMPUTED_VALUE"""),"กลาง")</f>
        <v>กลาง</v>
      </c>
      <c r="AH1339" s="3" t="str">
        <f>IFERROR(__xludf.DUMMYFUNCTION("""COMPUTED_VALUE"""),"#N/A")</f>
        <v>#N/A</v>
      </c>
      <c r="AI1339" s="3" t="str">
        <f>IFERROR(__xludf.DUMMYFUNCTION("""COMPUTED_VALUE"""),"Out of warranty")</f>
        <v>Out of warranty</v>
      </c>
      <c r="AJ1339" s="3">
        <f>IFERROR(__xludf.DUMMYFUNCTION("""COMPUTED_VALUE"""),73.0)</f>
        <v>73</v>
      </c>
      <c r="AK1339" s="3" t="str">
        <f>IFERROR(__xludf.DUMMYFUNCTION("""COMPUTED_VALUE"""),"MMS02")</f>
        <v>MMS02</v>
      </c>
      <c r="AL1339" s="3"/>
    </row>
    <row r="1340" ht="15.75" customHeight="1">
      <c r="A1340" s="1" t="str">
        <f>IFERROR(__xludf.DUMMYFUNCTION("""COMPUTED_VALUE"""),"22022")</f>
        <v>22022</v>
      </c>
      <c r="B1340" s="2">
        <f>IFERROR(__xludf.DUMMYFUNCTION("""COMPUTED_VALUE"""),22022.0)</f>
        <v>22022</v>
      </c>
      <c r="C1340" s="3" t="str">
        <f>IFERROR(__xludf.DUMMYFUNCTION("""COMPUTED_VALUE"""),"MBC สาขาถนนเทศบาล 4 ยะลา")</f>
        <v>MBC สาขาถนนเทศบาล 4 ยะลา</v>
      </c>
      <c r="D1340" s="3" t="str">
        <f>IFERROR(__xludf.DUMMYFUNCTION("""COMPUTED_VALUE"""),"BCM THANON THETSABAN 4")</f>
        <v>BCM THANON THETSABAN 4</v>
      </c>
      <c r="E1340" s="1" t="str">
        <f>IFERROR(__xludf.DUMMYFUNCTION("""COMPUTED_VALUE"""),"บิ๊กซี MINI")</f>
        <v>บิ๊กซี MINI</v>
      </c>
      <c r="F1340" s="1" t="str">
        <f>IFERROR(__xludf.DUMMYFUNCTION("""COMPUTED_VALUE"""),"250760")</f>
        <v>250760</v>
      </c>
      <c r="G1340" s="1" t="str">
        <f>IFERROR(__xludf.DUMMYFUNCTION("""COMPUTED_VALUE"""),"นายประทวน สาราบรรณ์")</f>
        <v>นายประทวน สาราบรรณ์</v>
      </c>
      <c r="H1340" s="1" t="str">
        <f>IFERROR(__xludf.DUMMYFUNCTION("""COMPUTED_VALUE"""),"485279")</f>
        <v>485279</v>
      </c>
      <c r="I1340" s="1" t="str">
        <f>IFERROR(__xludf.DUMMYFUNCTION("""COMPUTED_VALUE"""),"นายสิริพงศ์ ชูชื่น")</f>
        <v>นายสิริพงศ์ ชูชื่น</v>
      </c>
      <c r="J1340" s="3">
        <f>IFERROR(__xludf.DUMMYFUNCTION("""COMPUTED_VALUE"""),2.0470331E7)</f>
        <v>20470331</v>
      </c>
      <c r="K1340" s="3" t="str">
        <f>IFERROR(__xludf.DUMMYFUNCTION("""COMPUTED_VALUE"""),"นายสมชาย ลักษณะสุวรรณ")</f>
        <v>นายสมชาย ลักษณะสุวรรณ</v>
      </c>
      <c r="L1340" s="1" t="str">
        <f>IFERROR(__xludf.DUMMYFUNCTION("""COMPUTED_VALUE"""),"15 K.Somchai L")</f>
        <v>15 K.Somchai L</v>
      </c>
      <c r="M1340" s="1" t="str">
        <f>IFERROR(__xludf.DUMMYFUNCTION("""COMPUTED_VALUE"""),"0655107372")</f>
        <v>0655107372</v>
      </c>
      <c r="N1340" s="3">
        <f>IFERROR(__xludf.DUMMYFUNCTION("""COMPUTED_VALUE"""),21723.0)</f>
        <v>21723</v>
      </c>
      <c r="O1340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340" s="4">
        <f>IFERROR(__xludf.DUMMYFUNCTION("""COMPUTED_VALUE"""),43830.0)</f>
        <v>43830</v>
      </c>
      <c r="Q1340" s="3" t="str">
        <f>IFERROR(__xludf.DUMMYFUNCTION("""COMPUTED_VALUE"""),"A")</f>
        <v>A</v>
      </c>
      <c r="R1340" s="3" t="str">
        <f>IFERROR(__xludf.DUMMYFUNCTION("""COMPUTED_VALUE"""),"Small Format")</f>
        <v>Small Format</v>
      </c>
      <c r="S1340" s="3" t="str">
        <f>IFERROR(__xludf.DUMMYFUNCTION("""COMPUTED_VALUE"""),"BCM")</f>
        <v>BCM</v>
      </c>
      <c r="T1340" s="3" t="str">
        <f>IFERROR(__xludf.DUMMYFUNCTION("""COMPUTED_VALUE"""),"#N/A")</f>
        <v>#N/A</v>
      </c>
      <c r="U1340" s="3" t="str">
        <f>IFERROR(__xludf.DUMMYFUNCTION("""COMPUTED_VALUE"""),"#N/A")</f>
        <v>#N/A</v>
      </c>
      <c r="V1340" s="3" t="str">
        <f>IFERROR(__xludf.DUMMYFUNCTION("""COMPUTED_VALUE"""),"N")</f>
        <v>N</v>
      </c>
      <c r="W1340" s="3">
        <f>IFERROR(__xludf.DUMMYFUNCTION("""COMPUTED_VALUE"""),210043.0)</f>
        <v>210043</v>
      </c>
      <c r="X1340" s="3" t="str">
        <f>IFERROR(__xludf.DUMMYFUNCTION("""COMPUTED_VALUE"""),"245/10 หมู่4 ตำบลสะเตงนอก อำเภอเมืองยะลา จังหวัดยะลา 95000")</f>
        <v>245/10 หมู่4 ตำบลสะเตงนอก อำเภอเมืองยะลา จังหวัดยะลา 95000</v>
      </c>
      <c r="Y1340" s="3"/>
      <c r="Z1340" s="3" t="str">
        <f>IFERROR(__xludf.DUMMYFUNCTION("""COMPUTED_VALUE"""),"สะเตงนอก")</f>
        <v>สะเตงนอก</v>
      </c>
      <c r="AA1340" s="3" t="str">
        <f>IFERROR(__xludf.DUMMYFUNCTION("""COMPUTED_VALUE"""),"เมือง")</f>
        <v>เมือง</v>
      </c>
      <c r="AB1340" s="3" t="str">
        <f>IFERROR(__xludf.DUMMYFUNCTION("""COMPUTED_VALUE"""),"ยะลา")</f>
        <v>ยะลา</v>
      </c>
      <c r="AC1340" s="3">
        <f>IFERROR(__xludf.DUMMYFUNCTION("""COMPUTED_VALUE"""),95000.0)</f>
        <v>95000</v>
      </c>
      <c r="AD1340" s="3">
        <f>IFERROR(__xludf.DUMMYFUNCTION("""COMPUTED_VALUE"""),6.550383)</f>
        <v>6.550383</v>
      </c>
      <c r="AE1340" s="3">
        <f>IFERROR(__xludf.DUMMYFUNCTION("""COMPUTED_VALUE"""),101.298703)</f>
        <v>101.298703</v>
      </c>
      <c r="AF1340" s="3" t="str">
        <f>IFERROR(__xludf.DUMMYFUNCTION("""COMPUTED_VALUE"""),"MBC สาขาถนนเทศบาล 4 ยะลา-22022")</f>
        <v>MBC สาขาถนนเทศบาล 4 ยะลา-22022</v>
      </c>
      <c r="AG1340" s="3" t="str">
        <f>IFERROR(__xludf.DUMMYFUNCTION("""COMPUTED_VALUE"""),"ใต้")</f>
        <v>ใต้</v>
      </c>
      <c r="AH1340" s="3" t="str">
        <f>IFERROR(__xludf.DUMMYFUNCTION("""COMPUTED_VALUE"""),"#N/A")</f>
        <v>#N/A</v>
      </c>
      <c r="AI1340" s="3" t="str">
        <f>IFERROR(__xludf.DUMMYFUNCTION("""COMPUTED_VALUE"""),"Out of warranty")</f>
        <v>Out of warranty</v>
      </c>
      <c r="AJ1340" s="3">
        <f>IFERROR(__xludf.DUMMYFUNCTION("""COMPUTED_VALUE"""),73.0)</f>
        <v>73</v>
      </c>
      <c r="AK1340" s="3" t="str">
        <f>IFERROR(__xludf.DUMMYFUNCTION("""COMPUTED_VALUE"""),"MMS16")</f>
        <v>MMS16</v>
      </c>
      <c r="AL1340" s="3"/>
    </row>
    <row r="1341" ht="15.75" customHeight="1">
      <c r="A1341" s="1" t="str">
        <f>IFERROR(__xludf.DUMMYFUNCTION("""COMPUTED_VALUE"""),"22023")</f>
        <v>22023</v>
      </c>
      <c r="B1341" s="2">
        <f>IFERROR(__xludf.DUMMYFUNCTION("""COMPUTED_VALUE"""),22023.0)</f>
        <v>22023</v>
      </c>
      <c r="C1341" s="3" t="str">
        <f>IFERROR(__xludf.DUMMYFUNCTION("""COMPUTED_VALUE"""),"MBC พัทยากลางซอย 12 ชลบุรี")</f>
        <v>MBC พัทยากลางซอย 12 ชลบุรี</v>
      </c>
      <c r="D1341" s="3" t="str">
        <f>IFERROR(__xludf.DUMMYFUNCTION("""COMPUTED_VALUE"""),"BCM PATTAYA KLANG SOI 12")</f>
        <v>BCM PATTAYA KLANG SOI 12</v>
      </c>
      <c r="E1341" s="1" t="str">
        <f>IFERROR(__xludf.DUMMYFUNCTION("""COMPUTED_VALUE"""),"บิ๊กซี MINI")</f>
        <v>บิ๊กซี MINI</v>
      </c>
      <c r="F1341" s="1" t="str">
        <f>IFERROR(__xludf.DUMMYFUNCTION("""COMPUTED_VALUE"""),"221716")</f>
        <v>221716</v>
      </c>
      <c r="G1341" s="1" t="str">
        <f>IFERROR(__xludf.DUMMYFUNCTION("""COMPUTED_VALUE"""),"น.ส.เบญจพร โพธิสาร")</f>
        <v>น.ส.เบญจพร โพธิสาร</v>
      </c>
      <c r="H1341" s="1" t="str">
        <f>IFERROR(__xludf.DUMMYFUNCTION("""COMPUTED_VALUE"""),"313065")</f>
        <v>313065</v>
      </c>
      <c r="I1341" s="1" t="str">
        <f>IFERROR(__xludf.DUMMYFUNCTION("""COMPUTED_VALUE"""),"นายจิรายุทธ กันทา")</f>
        <v>นายจิรายุทธ กันทา</v>
      </c>
      <c r="J1341" s="3">
        <f>IFERROR(__xludf.DUMMYFUNCTION("""COMPUTED_VALUE"""),1.3461215E7)</f>
        <v>13461215</v>
      </c>
      <c r="K1341" s="3" t="str">
        <f>IFERROR(__xludf.DUMMYFUNCTION("""COMPUTED_VALUE"""),"นายธีรภัทร สังข์เงิน")</f>
        <v>นายธีรภัทร สังข์เงิน</v>
      </c>
      <c r="L1341" s="1" t="str">
        <f>IFERROR(__xludf.DUMMYFUNCTION("""COMPUTED_VALUE"""),"06 K.Teerapat")</f>
        <v>06 K.Teerapat</v>
      </c>
      <c r="M1341" s="1" t="str">
        <f>IFERROR(__xludf.DUMMYFUNCTION("""COMPUTED_VALUE"""),"063-601-6803")</f>
        <v>063-601-6803</v>
      </c>
      <c r="N1341" s="3">
        <f>IFERROR(__xludf.DUMMYFUNCTION("""COMPUTED_VALUE"""),22115.0)</f>
        <v>22115</v>
      </c>
      <c r="O1341" s="3" t="str">
        <f>IFERROR(__xludf.DUMMYFUNCTION("""COMPUTED_VALUE"""),"MBC เลี่ยงหนองมน ชลบุรี")</f>
        <v>MBC เลี่ยงหนองมน ชลบุรี</v>
      </c>
      <c r="P1341" s="4">
        <f>IFERROR(__xludf.DUMMYFUNCTION("""COMPUTED_VALUE"""),43826.0)</f>
        <v>43826</v>
      </c>
      <c r="Q1341" s="3" t="str">
        <f>IFERROR(__xludf.DUMMYFUNCTION("""COMPUTED_VALUE"""),"A")</f>
        <v>A</v>
      </c>
      <c r="R1341" s="3" t="str">
        <f>IFERROR(__xludf.DUMMYFUNCTION("""COMPUTED_VALUE"""),"Small Format")</f>
        <v>Small Format</v>
      </c>
      <c r="S1341" s="3" t="str">
        <f>IFERROR(__xludf.DUMMYFUNCTION("""COMPUTED_VALUE"""),"BCM")</f>
        <v>BCM</v>
      </c>
      <c r="T1341" s="3" t="str">
        <f>IFERROR(__xludf.DUMMYFUNCTION("""COMPUTED_VALUE"""),"#N/A")</f>
        <v>#N/A</v>
      </c>
      <c r="U1341" s="3" t="str">
        <f>IFERROR(__xludf.DUMMYFUNCTION("""COMPUTED_VALUE"""),"#N/A")</f>
        <v>#N/A</v>
      </c>
      <c r="V1341" s="3" t="str">
        <f>IFERROR(__xludf.DUMMYFUNCTION("""COMPUTED_VALUE"""),"N")</f>
        <v>N</v>
      </c>
      <c r="W1341" s="3">
        <f>IFERROR(__xludf.DUMMYFUNCTION("""COMPUTED_VALUE"""),210001.0)</f>
        <v>210001</v>
      </c>
      <c r="X1341" s="3" t="str">
        <f>IFERROR(__xludf.DUMMYFUNCTION("""COMPUTED_VALUE"""),"303/2 หมู่9 ตำบลหนองปรือ อำเภอบางละมุง จังหวัดชลบุรี 20150")</f>
        <v>303/2 หมู่9 ตำบลหนองปรือ อำเภอบางละมุง จังหวัดชลบุรี 20150</v>
      </c>
      <c r="Y1341" s="3"/>
      <c r="Z1341" s="3" t="str">
        <f>IFERROR(__xludf.DUMMYFUNCTION("""COMPUTED_VALUE"""),"หนองปรือ")</f>
        <v>หนองปรือ</v>
      </c>
      <c r="AA1341" s="3" t="str">
        <f>IFERROR(__xludf.DUMMYFUNCTION("""COMPUTED_VALUE"""),"บางละมุง")</f>
        <v>บางละมุง</v>
      </c>
      <c r="AB1341" s="3" t="str">
        <f>IFERROR(__xludf.DUMMYFUNCTION("""COMPUTED_VALUE"""),"ชลบุรี")</f>
        <v>ชลบุรี</v>
      </c>
      <c r="AC1341" s="3">
        <f>IFERROR(__xludf.DUMMYFUNCTION("""COMPUTED_VALUE"""),20150.0)</f>
        <v>20150</v>
      </c>
      <c r="AD1341" s="3">
        <f>IFERROR(__xludf.DUMMYFUNCTION("""COMPUTED_VALUE"""),12.939497)</f>
        <v>12.939497</v>
      </c>
      <c r="AE1341" s="3">
        <f>IFERROR(__xludf.DUMMYFUNCTION("""COMPUTED_VALUE"""),100.889991)</f>
        <v>100.889991</v>
      </c>
      <c r="AF1341" s="3" t="str">
        <f>IFERROR(__xludf.DUMMYFUNCTION("""COMPUTED_VALUE"""),"MBC พัทยากลางซอย 12 ชลบุรี-22023")</f>
        <v>MBC พัทยากลางซอย 12 ชลบุรี-22023</v>
      </c>
      <c r="AG1341" s="3" t="str">
        <f>IFERROR(__xludf.DUMMYFUNCTION("""COMPUTED_VALUE"""),"ตะวันออก")</f>
        <v>ตะวันออก</v>
      </c>
      <c r="AH1341" s="3" t="str">
        <f>IFERROR(__xludf.DUMMYFUNCTION("""COMPUTED_VALUE"""),"#N/A")</f>
        <v>#N/A</v>
      </c>
      <c r="AI1341" s="3" t="str">
        <f>IFERROR(__xludf.DUMMYFUNCTION("""COMPUTED_VALUE"""),"Out of warranty")</f>
        <v>Out of warranty</v>
      </c>
      <c r="AJ1341" s="3">
        <f>IFERROR(__xludf.DUMMYFUNCTION("""COMPUTED_VALUE"""),73.0)</f>
        <v>73</v>
      </c>
      <c r="AK1341" s="3" t="str">
        <f>IFERROR(__xludf.DUMMYFUNCTION("""COMPUTED_VALUE"""),"MMS06")</f>
        <v>MMS06</v>
      </c>
      <c r="AL1341" s="3"/>
    </row>
    <row r="1342" ht="15.75" customHeight="1">
      <c r="A1342" s="1" t="str">
        <f>IFERROR(__xludf.DUMMYFUNCTION("""COMPUTED_VALUE"""),"22024")</f>
        <v>22024</v>
      </c>
      <c r="B1342" s="2">
        <f>IFERROR(__xludf.DUMMYFUNCTION("""COMPUTED_VALUE"""),22024.0)</f>
        <v>22024</v>
      </c>
      <c r="C1342" s="3" t="str">
        <f>IFERROR(__xludf.DUMMYFUNCTION("""COMPUTED_VALUE"""),"MBC เทพประสิทธิ์ 8 (พัทยา) ชลบุรี")</f>
        <v>MBC เทพประสิทธิ์ 8 (พัทยา) ชลบุรี</v>
      </c>
      <c r="D1342" s="3" t="str">
        <f>IFERROR(__xludf.DUMMYFUNCTION("""COMPUTED_VALUE"""),"BCM THEPPRASIT 8 (PATTAYA)")</f>
        <v>BCM THEPPRASIT 8 (PATTAYA)</v>
      </c>
      <c r="E1342" s="1" t="str">
        <f>IFERROR(__xludf.DUMMYFUNCTION("""COMPUTED_VALUE"""),"บิ๊กซี MINI")</f>
        <v>บิ๊กซี MINI</v>
      </c>
      <c r="F1342" s="1" t="str">
        <f>IFERROR(__xludf.DUMMYFUNCTION("""COMPUTED_VALUE"""),"221716")</f>
        <v>221716</v>
      </c>
      <c r="G1342" s="1" t="str">
        <f>IFERROR(__xludf.DUMMYFUNCTION("""COMPUTED_VALUE"""),"น.ส.เบญจพร โพธิสาร")</f>
        <v>น.ส.เบญจพร โพธิสาร</v>
      </c>
      <c r="H1342" s="1" t="str">
        <f>IFERROR(__xludf.DUMMYFUNCTION("""COMPUTED_VALUE"""),"313065")</f>
        <v>313065</v>
      </c>
      <c r="I1342" s="1" t="str">
        <f>IFERROR(__xludf.DUMMYFUNCTION("""COMPUTED_VALUE"""),"นายจิรายุทธ กันทา")</f>
        <v>นายจิรายุทธ กันทา</v>
      </c>
      <c r="J1342" s="3">
        <f>IFERROR(__xludf.DUMMYFUNCTION("""COMPUTED_VALUE"""),1.3461215E7)</f>
        <v>13461215</v>
      </c>
      <c r="K1342" s="3" t="str">
        <f>IFERROR(__xludf.DUMMYFUNCTION("""COMPUTED_VALUE"""),"นายธีรภัทร สังข์เงิน")</f>
        <v>นายธีรภัทร สังข์เงิน</v>
      </c>
      <c r="L1342" s="1" t="str">
        <f>IFERROR(__xludf.DUMMYFUNCTION("""COMPUTED_VALUE"""),"06 K.Teerapat")</f>
        <v>06 K.Teerapat</v>
      </c>
      <c r="M1342" s="1" t="str">
        <f>IFERROR(__xludf.DUMMYFUNCTION("""COMPUTED_VALUE"""),"063-601-6803")</f>
        <v>063-601-6803</v>
      </c>
      <c r="N1342" s="3">
        <f>IFERROR(__xludf.DUMMYFUNCTION("""COMPUTED_VALUE"""),22115.0)</f>
        <v>22115</v>
      </c>
      <c r="O1342" s="3" t="str">
        <f>IFERROR(__xludf.DUMMYFUNCTION("""COMPUTED_VALUE"""),"MBC เลี่ยงหนองมน ชลบุรี")</f>
        <v>MBC เลี่ยงหนองมน ชลบุรี</v>
      </c>
      <c r="P1342" s="4">
        <f>IFERROR(__xludf.DUMMYFUNCTION("""COMPUTED_VALUE"""),43826.0)</f>
        <v>43826</v>
      </c>
      <c r="Q1342" s="3" t="str">
        <f>IFERROR(__xludf.DUMMYFUNCTION("""COMPUTED_VALUE"""),"A")</f>
        <v>A</v>
      </c>
      <c r="R1342" s="3" t="str">
        <f>IFERROR(__xludf.DUMMYFUNCTION("""COMPUTED_VALUE"""),"Small Format")</f>
        <v>Small Format</v>
      </c>
      <c r="S1342" s="3" t="str">
        <f>IFERROR(__xludf.DUMMYFUNCTION("""COMPUTED_VALUE"""),"BCM")</f>
        <v>BCM</v>
      </c>
      <c r="T1342" s="3" t="str">
        <f>IFERROR(__xludf.DUMMYFUNCTION("""COMPUTED_VALUE"""),"#N/A")</f>
        <v>#N/A</v>
      </c>
      <c r="U1342" s="3" t="str">
        <f>IFERROR(__xludf.DUMMYFUNCTION("""COMPUTED_VALUE"""),"#N/A")</f>
        <v>#N/A</v>
      </c>
      <c r="V1342" s="3" t="str">
        <f>IFERROR(__xludf.DUMMYFUNCTION("""COMPUTED_VALUE"""),"N")</f>
        <v>N</v>
      </c>
      <c r="W1342" s="3">
        <f>IFERROR(__xludf.DUMMYFUNCTION("""COMPUTED_VALUE"""),211925.0)</f>
        <v>211925</v>
      </c>
      <c r="X1342" s="3" t="str">
        <f>IFERROR(__xludf.DUMMYFUNCTION("""COMPUTED_VALUE"""),"62/349 หมู่12 ตำบลหนองปรือ อำเภอบางละมุง จังหวัดชลบุรี 20150")</f>
        <v>62/349 หมู่12 ตำบลหนองปรือ อำเภอบางละมุง จังหวัดชลบุรี 20150</v>
      </c>
      <c r="Y1342" s="3"/>
      <c r="Z1342" s="3" t="str">
        <f>IFERROR(__xludf.DUMMYFUNCTION("""COMPUTED_VALUE"""),"หนองปรือ")</f>
        <v>หนองปรือ</v>
      </c>
      <c r="AA1342" s="3" t="str">
        <f>IFERROR(__xludf.DUMMYFUNCTION("""COMPUTED_VALUE"""),"บางละมุง")</f>
        <v>บางละมุง</v>
      </c>
      <c r="AB1342" s="3" t="str">
        <f>IFERROR(__xludf.DUMMYFUNCTION("""COMPUTED_VALUE"""),"ชลบุรี")</f>
        <v>ชลบุรี</v>
      </c>
      <c r="AC1342" s="3">
        <f>IFERROR(__xludf.DUMMYFUNCTION("""COMPUTED_VALUE"""),20150.0)</f>
        <v>20150</v>
      </c>
      <c r="AD1342" s="3">
        <f>IFERROR(__xludf.DUMMYFUNCTION("""COMPUTED_VALUE"""),12.909894)</f>
        <v>12.909894</v>
      </c>
      <c r="AE1342" s="3">
        <f>IFERROR(__xludf.DUMMYFUNCTION("""COMPUTED_VALUE"""),100.88064)</f>
        <v>100.88064</v>
      </c>
      <c r="AF1342" s="3" t="str">
        <f>IFERROR(__xludf.DUMMYFUNCTION("""COMPUTED_VALUE"""),"MBC เทพประสิทธิ์ 8 (พัทยา) ชลบุรี-22024")</f>
        <v>MBC เทพประสิทธิ์ 8 (พัทยา) ชลบุรี-22024</v>
      </c>
      <c r="AG1342" s="3" t="str">
        <f>IFERROR(__xludf.DUMMYFUNCTION("""COMPUTED_VALUE"""),"ตะวันออก")</f>
        <v>ตะวันออก</v>
      </c>
      <c r="AH1342" s="3" t="str">
        <f>IFERROR(__xludf.DUMMYFUNCTION("""COMPUTED_VALUE"""),"#N/A")</f>
        <v>#N/A</v>
      </c>
      <c r="AI1342" s="3" t="str">
        <f>IFERROR(__xludf.DUMMYFUNCTION("""COMPUTED_VALUE"""),"Out of warranty")</f>
        <v>Out of warranty</v>
      </c>
      <c r="AJ1342" s="3">
        <f>IFERROR(__xludf.DUMMYFUNCTION("""COMPUTED_VALUE"""),73.0)</f>
        <v>73</v>
      </c>
      <c r="AK1342" s="3" t="str">
        <f>IFERROR(__xludf.DUMMYFUNCTION("""COMPUTED_VALUE"""),"MMS06")</f>
        <v>MMS06</v>
      </c>
      <c r="AL1342" s="3"/>
    </row>
    <row r="1343" ht="15.75" customHeight="1">
      <c r="A1343" s="1" t="str">
        <f>IFERROR(__xludf.DUMMYFUNCTION("""COMPUTED_VALUE"""),"22025")</f>
        <v>22025</v>
      </c>
      <c r="B1343" s="2">
        <f>IFERROR(__xludf.DUMMYFUNCTION("""COMPUTED_VALUE"""),22025.0)</f>
        <v>22025</v>
      </c>
      <c r="C1343" s="3" t="str">
        <f>IFERROR(__xludf.DUMMYFUNCTION("""COMPUTED_VALUE"""),"MBC ตลาดรถไฟปราณบุรี ประจวบคีรีขันธ์")</f>
        <v>MBC ตลาดรถไฟปราณบุรี ประจวบคีรีขันธ์</v>
      </c>
      <c r="D1343" s="3" t="str">
        <f>IFERROR(__xludf.DUMMYFUNCTION("""COMPUTED_VALUE"""),"BCM TALAD RODFAI PRANBURI")</f>
        <v>BCM TALAD RODFAI PRANBURI</v>
      </c>
      <c r="E1343" s="1" t="str">
        <f>IFERROR(__xludf.DUMMYFUNCTION("""COMPUTED_VALUE"""),"บิ๊กซี MINI")</f>
        <v>บิ๊กซี MINI</v>
      </c>
      <c r="F1343" s="1" t="str">
        <f>IFERROR(__xludf.DUMMYFUNCTION("""COMPUTED_VALUE"""),"250760")</f>
        <v>250760</v>
      </c>
      <c r="G1343" s="1" t="str">
        <f>IFERROR(__xludf.DUMMYFUNCTION("""COMPUTED_VALUE"""),"นายประทวน สาราบรรณ์")</f>
        <v>นายประทวน สาราบรรณ์</v>
      </c>
      <c r="H1343" s="1" t="str">
        <f>IFERROR(__xludf.DUMMYFUNCTION("""COMPUTED_VALUE"""),"311437")</f>
        <v>311437</v>
      </c>
      <c r="I1343" s="1" t="str">
        <f>IFERROR(__xludf.DUMMYFUNCTION("""COMPUTED_VALUE"""),"นายฉัตรทพร รักวิเชียร")</f>
        <v>นายฉัตรทพร รักวิเชียร</v>
      </c>
      <c r="J1343" s="3">
        <f>IFERROR(__xludf.DUMMYFUNCTION("""COMPUTED_VALUE"""),25324.0)</f>
        <v>25324</v>
      </c>
      <c r="K1343" s="3" t="str">
        <f>IFERROR(__xludf.DUMMYFUNCTION("""COMPUTED_VALUE"""),"นายวิเชฎฐ์ ติรัตนะประคม")</f>
        <v>นายวิเชฎฐ์ ติรัตนะประคม</v>
      </c>
      <c r="L1343" s="1" t="str">
        <f>IFERROR(__xludf.DUMMYFUNCTION("""COMPUTED_VALUE"""),"14 K.Wichet T.")</f>
        <v>14 K.Wichet T.</v>
      </c>
      <c r="M1343" s="1" t="str">
        <f>IFERROR(__xludf.DUMMYFUNCTION("""COMPUTED_VALUE"""),"061-417-6569 / 086-445-5636")</f>
        <v>061-417-6569 / 086-445-5636</v>
      </c>
      <c r="N1343" s="3">
        <f>IFERROR(__xludf.DUMMYFUNCTION("""COMPUTED_VALUE"""),22658.0)</f>
        <v>22658</v>
      </c>
      <c r="O1343" s="3" t="str">
        <f>IFERROR(__xludf.DUMMYFUNCTION("""COMPUTED_VALUE"""),"BCM ถ.วิรัชหงษ์หยก ภูเก็ต")</f>
        <v>BCM ถ.วิรัชหงษ์หยก ภูเก็ต</v>
      </c>
      <c r="P1343" s="4">
        <f>IFERROR(__xludf.DUMMYFUNCTION("""COMPUTED_VALUE"""),43826.0)</f>
        <v>43826</v>
      </c>
      <c r="Q1343" s="3" t="str">
        <f>IFERROR(__xludf.DUMMYFUNCTION("""COMPUTED_VALUE"""),"A")</f>
        <v>A</v>
      </c>
      <c r="R1343" s="3" t="str">
        <f>IFERROR(__xludf.DUMMYFUNCTION("""COMPUTED_VALUE"""),"Small Format")</f>
        <v>Small Format</v>
      </c>
      <c r="S1343" s="3" t="str">
        <f>IFERROR(__xludf.DUMMYFUNCTION("""COMPUTED_VALUE"""),"BCM")</f>
        <v>BCM</v>
      </c>
      <c r="T1343" s="3" t="str">
        <f>IFERROR(__xludf.DUMMYFUNCTION("""COMPUTED_VALUE"""),"#N/A")</f>
        <v>#N/A</v>
      </c>
      <c r="U1343" s="3" t="str">
        <f>IFERROR(__xludf.DUMMYFUNCTION("""COMPUTED_VALUE"""),"#N/A")</f>
        <v>#N/A</v>
      </c>
      <c r="V1343" s="3" t="str">
        <f>IFERROR(__xludf.DUMMYFUNCTION("""COMPUTED_VALUE"""),"N")</f>
        <v>N</v>
      </c>
      <c r="W1343" s="3">
        <f>IFERROR(__xludf.DUMMYFUNCTION("""COMPUTED_VALUE"""),210013.0)</f>
        <v>210013</v>
      </c>
      <c r="X1343" s="3" t="str">
        <f>IFERROR(__xludf.DUMMYFUNCTION("""COMPUTED_VALUE"""),"469/9 หมู่6 ตำบลวังก์พง อำเภอปราณบุรี จังหวัดประจวบคีรีขันธ์ 77120")</f>
        <v>469/9 หมู่6 ตำบลวังก์พง อำเภอปราณบุรี จังหวัดประจวบคีรีขันธ์ 77120</v>
      </c>
      <c r="Y1343" s="3"/>
      <c r="Z1343" s="3" t="str">
        <f>IFERROR(__xludf.DUMMYFUNCTION("""COMPUTED_VALUE"""),"วังก์พง")</f>
        <v>วังก์พง</v>
      </c>
      <c r="AA1343" s="3" t="str">
        <f>IFERROR(__xludf.DUMMYFUNCTION("""COMPUTED_VALUE"""),"ปราณบุรี")</f>
        <v>ปราณบุรี</v>
      </c>
      <c r="AB1343" s="3" t="str">
        <f>IFERROR(__xludf.DUMMYFUNCTION("""COMPUTED_VALUE"""),"ประจวบคีรีขันธ์")</f>
        <v>ประจวบคีรีขันธ์</v>
      </c>
      <c r="AC1343" s="3">
        <f>IFERROR(__xludf.DUMMYFUNCTION("""COMPUTED_VALUE"""),77120.0)</f>
        <v>77120</v>
      </c>
      <c r="AD1343" s="3">
        <f>IFERROR(__xludf.DUMMYFUNCTION("""COMPUTED_VALUE"""),12.387789)</f>
        <v>12.387789</v>
      </c>
      <c r="AE1343" s="3">
        <f>IFERROR(__xludf.DUMMYFUNCTION("""COMPUTED_VALUE"""),99.928413)</f>
        <v>99.928413</v>
      </c>
      <c r="AF1343" s="3" t="str">
        <f>IFERROR(__xludf.DUMMYFUNCTION("""COMPUTED_VALUE"""),"MBC ตลาดรถไฟปราณบุรี ประจวบคีรีขันธ์-22025")</f>
        <v>MBC ตลาดรถไฟปราณบุรี ประจวบคีรีขันธ์-22025</v>
      </c>
      <c r="AG1343" s="3" t="str">
        <f>IFERROR(__xludf.DUMMYFUNCTION("""COMPUTED_VALUE"""),"ตะวันตก")</f>
        <v>ตะวันตก</v>
      </c>
      <c r="AH1343" s="3" t="str">
        <f>IFERROR(__xludf.DUMMYFUNCTION("""COMPUTED_VALUE"""),"#N/A")</f>
        <v>#N/A</v>
      </c>
      <c r="AI1343" s="3" t="str">
        <f>IFERROR(__xludf.DUMMYFUNCTION("""COMPUTED_VALUE"""),"Out of warranty")</f>
        <v>Out of warranty</v>
      </c>
      <c r="AJ1343" s="3">
        <f>IFERROR(__xludf.DUMMYFUNCTION("""COMPUTED_VALUE"""),73.0)</f>
        <v>73</v>
      </c>
      <c r="AK1343" s="3" t="str">
        <f>IFERROR(__xludf.DUMMYFUNCTION("""COMPUTED_VALUE"""),"MMS14")</f>
        <v>MMS14</v>
      </c>
      <c r="AL1343" s="3"/>
    </row>
    <row r="1344" ht="15.75" customHeight="1">
      <c r="A1344" s="1" t="str">
        <f>IFERROR(__xludf.DUMMYFUNCTION("""COMPUTED_VALUE"""),"22026")</f>
        <v>22026</v>
      </c>
      <c r="B1344" s="2">
        <f>IFERROR(__xludf.DUMMYFUNCTION("""COMPUTED_VALUE"""),22026.0)</f>
        <v>22026</v>
      </c>
      <c r="C1344" s="3" t="str">
        <f>IFERROR(__xludf.DUMMYFUNCTION("""COMPUTED_VALUE"""),"MBC โรงโป๊ะ-ตะเคียนเตี้ย ชลบุรี")</f>
        <v>MBC โรงโป๊ะ-ตะเคียนเตี้ย ชลบุรี</v>
      </c>
      <c r="D1344" s="3" t="str">
        <f>IFERROR(__xludf.DUMMYFUNCTION("""COMPUTED_VALUE"""),"BCM RONG PO-TAKHIAN TIA")</f>
        <v>BCM RONG PO-TAKHIAN TIA</v>
      </c>
      <c r="E1344" s="1" t="str">
        <f>IFERROR(__xludf.DUMMYFUNCTION("""COMPUTED_VALUE"""),"บิ๊กซี MINI")</f>
        <v>บิ๊กซี MINI</v>
      </c>
      <c r="F1344" s="1" t="str">
        <f>IFERROR(__xludf.DUMMYFUNCTION("""COMPUTED_VALUE"""),"221716")</f>
        <v>221716</v>
      </c>
      <c r="G1344" s="1" t="str">
        <f>IFERROR(__xludf.DUMMYFUNCTION("""COMPUTED_VALUE"""),"น.ส.เบญจพร โพธิสาร")</f>
        <v>น.ส.เบญจพร โพธิสาร</v>
      </c>
      <c r="H1344" s="1" t="str">
        <f>IFERROR(__xludf.DUMMYFUNCTION("""COMPUTED_VALUE"""),"291061")</f>
        <v>291061</v>
      </c>
      <c r="I1344" s="1" t="str">
        <f>IFERROR(__xludf.DUMMYFUNCTION("""COMPUTED_VALUE"""),"นายสมศักดิ์ เสียงก้อง")</f>
        <v>นายสมศักดิ์ เสียงก้อง</v>
      </c>
      <c r="J1344" s="3">
        <f>IFERROR(__xludf.DUMMYFUNCTION("""COMPUTED_VALUE"""),296942.0)</f>
        <v>296942</v>
      </c>
      <c r="K1344" s="3" t="str">
        <f>IFERROR(__xludf.DUMMYFUNCTION("""COMPUTED_VALUE"""),"นายปิยะ รักษากิจ")</f>
        <v>นายปิยะ รักษากิจ</v>
      </c>
      <c r="L1344" s="1" t="str">
        <f>IFERROR(__xludf.DUMMYFUNCTION("""COMPUTED_VALUE"""),"07 K.Piya R.")</f>
        <v>07 K.Piya R.</v>
      </c>
      <c r="M1344" s="1" t="str">
        <f>IFERROR(__xludf.DUMMYFUNCTION("""COMPUTED_VALUE"""),"097-919-5476")</f>
        <v>097-919-5476</v>
      </c>
      <c r="N1344" s="3">
        <f>IFERROR(__xludf.DUMMYFUNCTION("""COMPUTED_VALUE"""),21332.0)</f>
        <v>21332</v>
      </c>
      <c r="O1344" s="3" t="str">
        <f>IFERROR(__xludf.DUMMYFUNCTION("""COMPUTED_VALUE"""),"MBC BCP อ่อนนุช 17/1")</f>
        <v>MBC BCP อ่อนนุช 17/1</v>
      </c>
      <c r="P1344" s="4">
        <f>IFERROR(__xludf.DUMMYFUNCTION("""COMPUTED_VALUE"""),43827.0)</f>
        <v>43827</v>
      </c>
      <c r="Q1344" s="3" t="str">
        <f>IFERROR(__xludf.DUMMYFUNCTION("""COMPUTED_VALUE"""),"A")</f>
        <v>A</v>
      </c>
      <c r="R1344" s="3" t="str">
        <f>IFERROR(__xludf.DUMMYFUNCTION("""COMPUTED_VALUE"""),"Small Format")</f>
        <v>Small Format</v>
      </c>
      <c r="S1344" s="3" t="str">
        <f>IFERROR(__xludf.DUMMYFUNCTION("""COMPUTED_VALUE"""),"BCM")</f>
        <v>BCM</v>
      </c>
      <c r="T1344" s="3" t="str">
        <f>IFERROR(__xludf.DUMMYFUNCTION("""COMPUTED_VALUE"""),"#N/A")</f>
        <v>#N/A</v>
      </c>
      <c r="U1344" s="3" t="str">
        <f>IFERROR(__xludf.DUMMYFUNCTION("""COMPUTED_VALUE"""),"#N/A")</f>
        <v>#N/A</v>
      </c>
      <c r="V1344" s="3" t="str">
        <f>IFERROR(__xludf.DUMMYFUNCTION("""COMPUTED_VALUE"""),"N")</f>
        <v>N</v>
      </c>
      <c r="W1344" s="3">
        <f>IFERROR(__xludf.DUMMYFUNCTION("""COMPUTED_VALUE"""),211970.0)</f>
        <v>211970</v>
      </c>
      <c r="X1344" s="3" t="str">
        <f>IFERROR(__xludf.DUMMYFUNCTION("""COMPUTED_VALUE"""),"77/27 หมู่2 ตำบลตะเคียนเตี้ย อำเภอบางละมุง จังหวัดชลบุรี 20150")</f>
        <v>77/27 หมู่2 ตำบลตะเคียนเตี้ย อำเภอบางละมุง จังหวัดชลบุรี 20150</v>
      </c>
      <c r="Y1344" s="3"/>
      <c r="Z1344" s="3" t="str">
        <f>IFERROR(__xludf.DUMMYFUNCTION("""COMPUTED_VALUE"""),"ตะเคียนเตี้ย")</f>
        <v>ตะเคียนเตี้ย</v>
      </c>
      <c r="AA1344" s="3" t="str">
        <f>IFERROR(__xludf.DUMMYFUNCTION("""COMPUTED_VALUE"""),"บางละมุง")</f>
        <v>บางละมุง</v>
      </c>
      <c r="AB1344" s="3" t="str">
        <f>IFERROR(__xludf.DUMMYFUNCTION("""COMPUTED_VALUE"""),"ชลบุรี")</f>
        <v>ชลบุรี</v>
      </c>
      <c r="AC1344" s="3">
        <f>IFERROR(__xludf.DUMMYFUNCTION("""COMPUTED_VALUE"""),20150.0)</f>
        <v>20150</v>
      </c>
      <c r="AD1344" s="3">
        <f>IFERROR(__xludf.DUMMYFUNCTION("""COMPUTED_VALUE"""),13.019)</f>
        <v>13.019</v>
      </c>
      <c r="AE1344" s="3">
        <f>IFERROR(__xludf.DUMMYFUNCTION("""COMPUTED_VALUE"""),100.95901)</f>
        <v>100.95901</v>
      </c>
      <c r="AF1344" s="3" t="str">
        <f>IFERROR(__xludf.DUMMYFUNCTION("""COMPUTED_VALUE"""),"MBC โรงโป๊ะ-ตะเคียนเตี้ย ชลบุรี-22026")</f>
        <v>MBC โรงโป๊ะ-ตะเคียนเตี้ย ชลบุรี-22026</v>
      </c>
      <c r="AG1344" s="3" t="str">
        <f>IFERROR(__xludf.DUMMYFUNCTION("""COMPUTED_VALUE"""),"ตะวันออก")</f>
        <v>ตะวันออก</v>
      </c>
      <c r="AH1344" s="3" t="str">
        <f>IFERROR(__xludf.DUMMYFUNCTION("""COMPUTED_VALUE"""),"#N/A")</f>
        <v>#N/A</v>
      </c>
      <c r="AI1344" s="3" t="str">
        <f>IFERROR(__xludf.DUMMYFUNCTION("""COMPUTED_VALUE"""),"Out of warranty")</f>
        <v>Out of warranty</v>
      </c>
      <c r="AJ1344" s="3">
        <f>IFERROR(__xludf.DUMMYFUNCTION("""COMPUTED_VALUE"""),73.0)</f>
        <v>73</v>
      </c>
      <c r="AK1344" s="3" t="str">
        <f>IFERROR(__xludf.DUMMYFUNCTION("""COMPUTED_VALUE"""),"MMS06")</f>
        <v>MMS06</v>
      </c>
      <c r="AL1344" s="3"/>
    </row>
    <row r="1345" ht="15.75" customHeight="1">
      <c r="A1345" s="1" t="str">
        <f>IFERROR(__xludf.DUMMYFUNCTION("""COMPUTED_VALUE"""),"22027")</f>
        <v>22027</v>
      </c>
      <c r="B1345" s="2">
        <f>IFERROR(__xludf.DUMMYFUNCTION("""COMPUTED_VALUE"""),22027.0)</f>
        <v>22027</v>
      </c>
      <c r="C1345" s="3" t="str">
        <f>IFERROR(__xludf.DUMMYFUNCTION("""COMPUTED_VALUE"""),"MBC ตลาดไร่ขิง 42 นครปฐม")</f>
        <v>MBC ตลาดไร่ขิง 42 นครปฐม</v>
      </c>
      <c r="D1345" s="3" t="str">
        <f>IFERROR(__xludf.DUMMYFUNCTION("""COMPUTED_VALUE"""),"BCM TALAD RAI KHING 42")</f>
        <v>BCM TALAD RAI KHING 42</v>
      </c>
      <c r="E1345" s="1" t="str">
        <f>IFERROR(__xludf.DUMMYFUNCTION("""COMPUTED_VALUE"""),"บิ๊กซี MINI")</f>
        <v>บิ๊กซี MINI</v>
      </c>
      <c r="F1345" s="1" t="str">
        <f>IFERROR(__xludf.DUMMYFUNCTION("""COMPUTED_VALUE"""),"296229")</f>
        <v>296229</v>
      </c>
      <c r="G1345" s="1" t="str">
        <f>IFERROR(__xludf.DUMMYFUNCTION("""COMPUTED_VALUE"""),"นายทนงศักดิ์ บุญมา")</f>
        <v>นายทนงศักดิ์ บุญมา</v>
      </c>
      <c r="H1345" s="1" t="str">
        <f>IFERROR(__xludf.DUMMYFUNCTION("""COMPUTED_VALUE"""),"295245")</f>
        <v>295245</v>
      </c>
      <c r="I1345" s="1" t="str">
        <f>IFERROR(__xludf.DUMMYFUNCTION("""COMPUTED_VALUE"""),"นายมานะ วงศ์สุโชโต")</f>
        <v>นายมานะ วงศ์สุโชโต</v>
      </c>
      <c r="J1345" s="3">
        <f>IFERROR(__xludf.DUMMYFUNCTION("""COMPUTED_VALUE"""),46214.0)</f>
        <v>46214</v>
      </c>
      <c r="K1345" s="3" t="str">
        <f>IFERROR(__xludf.DUMMYFUNCTION("""COMPUTED_VALUE"""),"นายศักดิ์ชัย เด็ดดอกฟ้า")</f>
        <v>นายศักดิ์ชัย เด็ดดอกฟ้า</v>
      </c>
      <c r="L1345" s="1" t="str">
        <f>IFERROR(__xludf.DUMMYFUNCTION("""COMPUTED_VALUE"""),"02 K.Sakchai D")</f>
        <v>02 K.Sakchai D</v>
      </c>
      <c r="M1345" s="1" t="str">
        <f>IFERROR(__xludf.DUMMYFUNCTION("""COMPUTED_VALUE"""),"065-510-7376")</f>
        <v>065-510-7376</v>
      </c>
      <c r="N1345" s="3">
        <f>IFERROR(__xludf.DUMMYFUNCTION("""COMPUTED_VALUE"""),21714.0)</f>
        <v>21714</v>
      </c>
      <c r="O1345" s="3" t="str">
        <f>IFERROR(__xludf.DUMMYFUNCTION("""COMPUTED_VALUE"""),"MBC เอสโซ่ วัดโบสถ์")</f>
        <v>MBC เอสโซ่ วัดโบสถ์</v>
      </c>
      <c r="P1345" s="4">
        <f>IFERROR(__xludf.DUMMYFUNCTION("""COMPUTED_VALUE"""),43828.0)</f>
        <v>43828</v>
      </c>
      <c r="Q1345" s="3" t="str">
        <f>IFERROR(__xludf.DUMMYFUNCTION("""COMPUTED_VALUE"""),"A")</f>
        <v>A</v>
      </c>
      <c r="R1345" s="3" t="str">
        <f>IFERROR(__xludf.DUMMYFUNCTION("""COMPUTED_VALUE"""),"Small Format")</f>
        <v>Small Format</v>
      </c>
      <c r="S1345" s="3" t="str">
        <f>IFERROR(__xludf.DUMMYFUNCTION("""COMPUTED_VALUE"""),"BCM")</f>
        <v>BCM</v>
      </c>
      <c r="T1345" s="3" t="str">
        <f>IFERROR(__xludf.DUMMYFUNCTION("""COMPUTED_VALUE"""),"#N/A")</f>
        <v>#N/A</v>
      </c>
      <c r="U1345" s="3" t="str">
        <f>IFERROR(__xludf.DUMMYFUNCTION("""COMPUTED_VALUE"""),"#N/A")</f>
        <v>#N/A</v>
      </c>
      <c r="V1345" s="3" t="str">
        <f>IFERROR(__xludf.DUMMYFUNCTION("""COMPUTED_VALUE"""),"N")</f>
        <v>N</v>
      </c>
      <c r="W1345" s="3">
        <f>IFERROR(__xludf.DUMMYFUNCTION("""COMPUTED_VALUE"""),210019.0)</f>
        <v>210019</v>
      </c>
      <c r="X1345" s="3" t="str">
        <f>IFERROR(__xludf.DUMMYFUNCTION("""COMPUTED_VALUE"""),"94 หมู่12 ตำบลไร่ขิง อำเภอสามพราน จังหวัดนครปฐม 73210")</f>
        <v>94 หมู่12 ตำบลไร่ขิง อำเภอสามพราน จังหวัดนครปฐม 73210</v>
      </c>
      <c r="Y1345" s="3"/>
      <c r="Z1345" s="3" t="str">
        <f>IFERROR(__xludf.DUMMYFUNCTION("""COMPUTED_VALUE"""),"ไร่ขิง")</f>
        <v>ไร่ขิง</v>
      </c>
      <c r="AA1345" s="3" t="str">
        <f>IFERROR(__xludf.DUMMYFUNCTION("""COMPUTED_VALUE"""),"สามพราน")</f>
        <v>สามพราน</v>
      </c>
      <c r="AB1345" s="3" t="str">
        <f>IFERROR(__xludf.DUMMYFUNCTION("""COMPUTED_VALUE"""),"นครปฐม")</f>
        <v>นครปฐม</v>
      </c>
      <c r="AC1345" s="3">
        <f>IFERROR(__xludf.DUMMYFUNCTION("""COMPUTED_VALUE"""),73210.0)</f>
        <v>73210</v>
      </c>
      <c r="AD1345" s="3">
        <f>IFERROR(__xludf.DUMMYFUNCTION("""COMPUTED_VALUE"""),13.757773)</f>
        <v>13.757773</v>
      </c>
      <c r="AE1345" s="3">
        <f>IFERROR(__xludf.DUMMYFUNCTION("""COMPUTED_VALUE"""),100.293271)</f>
        <v>100.293271</v>
      </c>
      <c r="AF1345" s="3" t="str">
        <f>IFERROR(__xludf.DUMMYFUNCTION("""COMPUTED_VALUE"""),"MBC ตลาดไร่ขิง 42 นครปฐม-22027")</f>
        <v>MBC ตลาดไร่ขิง 42 นครปฐม-22027</v>
      </c>
      <c r="AG1345" s="3" t="str">
        <f>IFERROR(__xludf.DUMMYFUNCTION("""COMPUTED_VALUE"""),"กลาง")</f>
        <v>กลาง</v>
      </c>
      <c r="AH1345" s="3" t="str">
        <f>IFERROR(__xludf.DUMMYFUNCTION("""COMPUTED_VALUE"""),"#N/A")</f>
        <v>#N/A</v>
      </c>
      <c r="AI1345" s="3" t="str">
        <f>IFERROR(__xludf.DUMMYFUNCTION("""COMPUTED_VALUE"""),"Out of warranty")</f>
        <v>Out of warranty</v>
      </c>
      <c r="AJ1345" s="3">
        <f>IFERROR(__xludf.DUMMYFUNCTION("""COMPUTED_VALUE"""),73.0)</f>
        <v>73</v>
      </c>
      <c r="AK1345" s="3" t="str">
        <f>IFERROR(__xludf.DUMMYFUNCTION("""COMPUTED_VALUE"""),"MMS05")</f>
        <v>MMS05</v>
      </c>
      <c r="AL1345" s="3"/>
    </row>
    <row r="1346" ht="15.75" customHeight="1">
      <c r="A1346" s="1" t="str">
        <f>IFERROR(__xludf.DUMMYFUNCTION("""COMPUTED_VALUE"""),"22028")</f>
        <v>22028</v>
      </c>
      <c r="B1346" s="2">
        <f>IFERROR(__xludf.DUMMYFUNCTION("""COMPUTED_VALUE"""),22028.0)</f>
        <v>22028</v>
      </c>
      <c r="C1346" s="3" t="str">
        <f>IFERROR(__xludf.DUMMYFUNCTION("""COMPUTED_VALUE"""),"MBC ทํบมา ระยอง")</f>
        <v>MBC ทํบมา ระยอง</v>
      </c>
      <c r="D1346" s="3" t="str">
        <f>IFERROR(__xludf.DUMMYFUNCTION("""COMPUTED_VALUE"""),"BCM THAP MA, RAYONG")</f>
        <v>BCM THAP MA, RAYONG</v>
      </c>
      <c r="E1346" s="1" t="str">
        <f>IFERROR(__xludf.DUMMYFUNCTION("""COMPUTED_VALUE"""),"บิ๊กซี MINI")</f>
        <v>บิ๊กซี MINI</v>
      </c>
      <c r="F1346" s="1" t="str">
        <f>IFERROR(__xludf.DUMMYFUNCTION("""COMPUTED_VALUE"""),"221716")</f>
        <v>221716</v>
      </c>
      <c r="G1346" s="1" t="str">
        <f>IFERROR(__xludf.DUMMYFUNCTION("""COMPUTED_VALUE"""),"น.ส.เบญจพร โพธิสาร")</f>
        <v>น.ส.เบญจพร โพธิสาร</v>
      </c>
      <c r="H1346" s="1" t="str">
        <f>IFERROR(__xludf.DUMMYFUNCTION("""COMPUTED_VALUE"""),"359233")</f>
        <v>359233</v>
      </c>
      <c r="I1346" s="1" t="str">
        <f>IFERROR(__xludf.DUMMYFUNCTION("""COMPUTED_VALUE"""),"น.ส.ปยุดา คำมีอ่อน")</f>
        <v>น.ส.ปยุดา คำมีอ่อน</v>
      </c>
      <c r="J1346" s="3">
        <f>IFERROR(__xludf.DUMMYFUNCTION("""COMPUTED_VALUE"""),2452376.0)</f>
        <v>2452376</v>
      </c>
      <c r="K1346" s="3" t="str">
        <f>IFERROR(__xludf.DUMMYFUNCTION("""COMPUTED_VALUE"""),"นายภาคภูมิ ทวีกุล")</f>
        <v>นายภาคภูมิ ทวีกุล</v>
      </c>
      <c r="L1346" s="1" t="str">
        <f>IFERROR(__xludf.DUMMYFUNCTION("""COMPUTED_VALUE"""),"08 K.Parkphum T.")</f>
        <v>08 K.Parkphum T.</v>
      </c>
      <c r="M1346" s="1" t="str">
        <f>IFERROR(__xludf.DUMMYFUNCTION("""COMPUTED_VALUE"""),"097-919-5476")</f>
        <v>097-919-5476</v>
      </c>
      <c r="N1346" s="3">
        <f>IFERROR(__xludf.DUMMYFUNCTION("""COMPUTED_VALUE"""),22028.0)</f>
        <v>22028</v>
      </c>
      <c r="O1346" s="3" t="str">
        <f>IFERROR(__xludf.DUMMYFUNCTION("""COMPUTED_VALUE"""),"MBC ทํบมา ระยอง")</f>
        <v>MBC ทํบมา ระยอง</v>
      </c>
      <c r="P1346" s="4">
        <f>IFERROR(__xludf.DUMMYFUNCTION("""COMPUTED_VALUE"""),43829.0)</f>
        <v>43829</v>
      </c>
      <c r="Q1346" s="3" t="str">
        <f>IFERROR(__xludf.DUMMYFUNCTION("""COMPUTED_VALUE"""),"A")</f>
        <v>A</v>
      </c>
      <c r="R1346" s="3" t="str">
        <f>IFERROR(__xludf.DUMMYFUNCTION("""COMPUTED_VALUE"""),"Small Format")</f>
        <v>Small Format</v>
      </c>
      <c r="S1346" s="3" t="str">
        <f>IFERROR(__xludf.DUMMYFUNCTION("""COMPUTED_VALUE"""),"BCM")</f>
        <v>BCM</v>
      </c>
      <c r="T1346" s="3" t="str">
        <f>IFERROR(__xludf.DUMMYFUNCTION("""COMPUTED_VALUE"""),"#N/A")</f>
        <v>#N/A</v>
      </c>
      <c r="U1346" s="3" t="str">
        <f>IFERROR(__xludf.DUMMYFUNCTION("""COMPUTED_VALUE"""),"#N/A")</f>
        <v>#N/A</v>
      </c>
      <c r="V1346" s="3" t="str">
        <f>IFERROR(__xludf.DUMMYFUNCTION("""COMPUTED_VALUE"""),"N")</f>
        <v>N</v>
      </c>
      <c r="W1346" s="3">
        <f>IFERROR(__xludf.DUMMYFUNCTION("""COMPUTED_VALUE"""),210067.0)</f>
        <v>210067</v>
      </c>
      <c r="X1346" s="3" t="str">
        <f>IFERROR(__xludf.DUMMYFUNCTION("""COMPUTED_VALUE"""),"99/53 หมู่4 ตำบลทับมา อำเภอเมืองระยอง จังหวัดระยอง 21000")</f>
        <v>99/53 หมู่4 ตำบลทับมา อำเภอเมืองระยอง จังหวัดระยอง 21000</v>
      </c>
      <c r="Y1346" s="3"/>
      <c r="Z1346" s="3" t="str">
        <f>IFERROR(__xludf.DUMMYFUNCTION("""COMPUTED_VALUE"""),"ทับมา")</f>
        <v>ทับมา</v>
      </c>
      <c r="AA1346" s="3" t="str">
        <f>IFERROR(__xludf.DUMMYFUNCTION("""COMPUTED_VALUE"""),"เมือง")</f>
        <v>เมือง</v>
      </c>
      <c r="AB1346" s="3" t="str">
        <f>IFERROR(__xludf.DUMMYFUNCTION("""COMPUTED_VALUE"""),"ระยอง")</f>
        <v>ระยอง</v>
      </c>
      <c r="AC1346" s="3">
        <f>IFERROR(__xludf.DUMMYFUNCTION("""COMPUTED_VALUE"""),21000.0)</f>
        <v>21000</v>
      </c>
      <c r="AD1346" s="3">
        <f>IFERROR(__xludf.DUMMYFUNCTION("""COMPUTED_VALUE"""),12.713124)</f>
        <v>12.713124</v>
      </c>
      <c r="AE1346" s="3">
        <f>IFERROR(__xludf.DUMMYFUNCTION("""COMPUTED_VALUE"""),101.241127)</f>
        <v>101.241127</v>
      </c>
      <c r="AF1346" s="3" t="str">
        <f>IFERROR(__xludf.DUMMYFUNCTION("""COMPUTED_VALUE"""),"MBC ทํบมา ระยอง-22028")</f>
        <v>MBC ทํบมา ระยอง-22028</v>
      </c>
      <c r="AG1346" s="3" t="str">
        <f>IFERROR(__xludf.DUMMYFUNCTION("""COMPUTED_VALUE"""),"ตะวันออก")</f>
        <v>ตะวันออก</v>
      </c>
      <c r="AH1346" s="3" t="str">
        <f>IFERROR(__xludf.DUMMYFUNCTION("""COMPUTED_VALUE"""),"#N/A")</f>
        <v>#N/A</v>
      </c>
      <c r="AI1346" s="3" t="str">
        <f>IFERROR(__xludf.DUMMYFUNCTION("""COMPUTED_VALUE"""),"Out of warranty")</f>
        <v>Out of warranty</v>
      </c>
      <c r="AJ1346" s="3">
        <f>IFERROR(__xludf.DUMMYFUNCTION("""COMPUTED_VALUE"""),73.0)</f>
        <v>73</v>
      </c>
      <c r="AK1346" s="3" t="str">
        <f>IFERROR(__xludf.DUMMYFUNCTION("""COMPUTED_VALUE"""),"MMS08")</f>
        <v>MMS08</v>
      </c>
      <c r="AL1346" s="3"/>
    </row>
    <row r="1347" ht="15.75" customHeight="1">
      <c r="A1347" s="1" t="str">
        <f>IFERROR(__xludf.DUMMYFUNCTION("""COMPUTED_VALUE"""),"22030")</f>
        <v>22030</v>
      </c>
      <c r="B1347" s="2">
        <f>IFERROR(__xludf.DUMMYFUNCTION("""COMPUTED_VALUE"""),22030.0)</f>
        <v>22030</v>
      </c>
      <c r="C1347" s="3" t="str">
        <f>IFERROR(__xludf.DUMMYFUNCTION("""COMPUTED_VALUE"""),"MBC ดีโป้ ประโคนชัย บุรีรัมย์")</f>
        <v>MBC ดีโป้ ประโคนชัย บุรีรัมย์</v>
      </c>
      <c r="D1347" s="3" t="str">
        <f>IFERROR(__xludf.DUMMYFUNCTION("""COMPUTED_VALUE"""),"BCM DEPOT PRAKHONCHAI")</f>
        <v>BCM DEPOT PRAKHONCHAI</v>
      </c>
      <c r="E1347" s="1" t="str">
        <f>IFERROR(__xludf.DUMMYFUNCTION("""COMPUTED_VALUE"""),"บิ๊กซี MINI")</f>
        <v>บิ๊กซี MINI</v>
      </c>
      <c r="F1347" s="1" t="str">
        <f>IFERROR(__xludf.DUMMYFUNCTION("""COMPUTED_VALUE"""),"291105")</f>
        <v>291105</v>
      </c>
      <c r="G1347" s="1" t="str">
        <f>IFERROR(__xludf.DUMMYFUNCTION("""COMPUTED_VALUE"""),"นายสราวุฒิ พณิชยกุล")</f>
        <v>นายสราวุฒิ พณิชยกุล</v>
      </c>
      <c r="H1347" s="1" t="str">
        <f>IFERROR(__xludf.DUMMYFUNCTION("""COMPUTED_VALUE"""),"398136")</f>
        <v>398136</v>
      </c>
      <c r="I1347" s="1" t="str">
        <f>IFERROR(__xludf.DUMMYFUNCTION("""COMPUTED_VALUE"""),"นายประยูร ธาดาวงษา")</f>
        <v>นายประยูร ธาดาวงษา</v>
      </c>
      <c r="J1347" s="3">
        <f>IFERROR(__xludf.DUMMYFUNCTION("""COMPUTED_VALUE"""),15361.0)</f>
        <v>15361</v>
      </c>
      <c r="K1347" s="3" t="str">
        <f>IFERROR(__xludf.DUMMYFUNCTION("""COMPUTED_VALUE"""),"นายสมบูรณ์ พรหมในเมือง")</f>
        <v>นายสมบูรณ์ พรหมในเมือง</v>
      </c>
      <c r="L1347" s="1" t="str">
        <f>IFERROR(__xludf.DUMMYFUNCTION("""COMPUTED_VALUE"""),"04 K.Somboon P.")</f>
        <v>04 K.Somboon P.</v>
      </c>
      <c r="M1347" s="1" t="str">
        <f>IFERROR(__xludf.DUMMYFUNCTION("""COMPUTED_VALUE"""),"087-965-3051")</f>
        <v>087-965-3051</v>
      </c>
      <c r="N1347" s="3">
        <f>IFERROR(__xludf.DUMMYFUNCTION("""COMPUTED_VALUE"""),21869.0)</f>
        <v>21869</v>
      </c>
      <c r="O1347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347" s="4">
        <f>IFERROR(__xludf.DUMMYFUNCTION("""COMPUTED_VALUE"""),43753.0)</f>
        <v>43753</v>
      </c>
      <c r="Q1347" s="3" t="str">
        <f>IFERROR(__xludf.DUMMYFUNCTION("""COMPUTED_VALUE"""),"A")</f>
        <v>A</v>
      </c>
      <c r="R1347" s="3" t="str">
        <f>IFERROR(__xludf.DUMMYFUNCTION("""COMPUTED_VALUE"""),"Small Format")</f>
        <v>Small Format</v>
      </c>
      <c r="S1347" s="3" t="str">
        <f>IFERROR(__xludf.DUMMYFUNCTION("""COMPUTED_VALUE"""),"BCM")</f>
        <v>BCM</v>
      </c>
      <c r="T1347" s="3" t="str">
        <f>IFERROR(__xludf.DUMMYFUNCTION("""COMPUTED_VALUE"""),"#N/A")</f>
        <v>#N/A</v>
      </c>
      <c r="U1347" s="3" t="str">
        <f>IFERROR(__xludf.DUMMYFUNCTION("""COMPUTED_VALUE"""),"#N/A")</f>
        <v>#N/A</v>
      </c>
      <c r="V1347" s="3" t="str">
        <f>IFERROR(__xludf.DUMMYFUNCTION("""COMPUTED_VALUE"""),"N")</f>
        <v>N</v>
      </c>
      <c r="W1347" s="3">
        <f>IFERROR(__xludf.DUMMYFUNCTION("""COMPUTED_VALUE"""),210122.0)</f>
        <v>210122</v>
      </c>
      <c r="X1347" s="3" t="str">
        <f>IFERROR(__xludf.DUMMYFUNCTION("""COMPUTED_VALUE"""),"235 หมู่6 ตำบลประโคนชัย อำเภอประโคนชัย จังหวัดบุรีรัมย์ 31140")</f>
        <v>235 หมู่6 ตำบลประโคนชัย อำเภอประโคนชัย จังหวัดบุรีรัมย์ 31140</v>
      </c>
      <c r="Y1347" s="3"/>
      <c r="Z1347" s="3" t="str">
        <f>IFERROR(__xludf.DUMMYFUNCTION("""COMPUTED_VALUE"""),"ประโคนชัย")</f>
        <v>ประโคนชัย</v>
      </c>
      <c r="AA1347" s="3" t="str">
        <f>IFERROR(__xludf.DUMMYFUNCTION("""COMPUTED_VALUE"""),"ประโคนชัย")</f>
        <v>ประโคนชัย</v>
      </c>
      <c r="AB1347" s="3" t="str">
        <f>IFERROR(__xludf.DUMMYFUNCTION("""COMPUTED_VALUE"""),"บุรีรัมย์")</f>
        <v>บุรีรัมย์</v>
      </c>
      <c r="AC1347" s="3">
        <f>IFERROR(__xludf.DUMMYFUNCTION("""COMPUTED_VALUE"""),31140.0)</f>
        <v>31140</v>
      </c>
      <c r="AD1347" s="3">
        <f>IFERROR(__xludf.DUMMYFUNCTION("""COMPUTED_VALUE"""),14.615161)</f>
        <v>14.615161</v>
      </c>
      <c r="AE1347" s="3">
        <f>IFERROR(__xludf.DUMMYFUNCTION("""COMPUTED_VALUE"""),102.992814)</f>
        <v>102.992814</v>
      </c>
      <c r="AF1347" s="3" t="str">
        <f>IFERROR(__xludf.DUMMYFUNCTION("""COMPUTED_VALUE"""),"MBC ดีโป้ ประโคนชัย บุรีรัมย์-22030")</f>
        <v>MBC ดีโป้ ประโคนชัย บุรีรัมย์-22030</v>
      </c>
      <c r="AG1347" s="3" t="str">
        <f>IFERROR(__xludf.DUMMYFUNCTION("""COMPUTED_VALUE"""),"ตะวันออกเฉียงเหนือ")</f>
        <v>ตะวันออกเฉียงเหนือ</v>
      </c>
      <c r="AH1347" s="3" t="str">
        <f>IFERROR(__xludf.DUMMYFUNCTION("""COMPUTED_VALUE"""),"#N/A")</f>
        <v>#N/A</v>
      </c>
      <c r="AI1347" s="3" t="str">
        <f>IFERROR(__xludf.DUMMYFUNCTION("""COMPUTED_VALUE"""),"Out of warranty")</f>
        <v>Out of warranty</v>
      </c>
      <c r="AJ1347" s="3">
        <f>IFERROR(__xludf.DUMMYFUNCTION("""COMPUTED_VALUE"""),76.0)</f>
        <v>76</v>
      </c>
      <c r="AK1347" s="3" t="str">
        <f>IFERROR(__xludf.DUMMYFUNCTION("""COMPUTED_VALUE"""),"MMS11")</f>
        <v>MMS11</v>
      </c>
      <c r="AL1347" s="3"/>
    </row>
    <row r="1348" ht="15.75" customHeight="1">
      <c r="A1348" s="1" t="str">
        <f>IFERROR(__xludf.DUMMYFUNCTION("""COMPUTED_VALUE"""),"22031")</f>
        <v>22031</v>
      </c>
      <c r="B1348" s="2">
        <f>IFERROR(__xludf.DUMMYFUNCTION("""COMPUTED_VALUE"""),22031.0)</f>
        <v>22031</v>
      </c>
      <c r="C1348" s="3" t="str">
        <f>IFERROR(__xludf.DUMMYFUNCTION("""COMPUTED_VALUE"""),"MBC คาลเท็กซ์ บางนา กม.20 สมุทรปราการ")</f>
        <v>MBC คาลเท็กซ์ บางนา กม.20 สมุทรปราการ</v>
      </c>
      <c r="D1348" s="3" t="str">
        <f>IFERROR(__xludf.DUMMYFUNCTION("""COMPUTED_VALUE"""),"BCM CALTEX BANGNA KM 20")</f>
        <v>BCM CALTEX BANGNA KM 20</v>
      </c>
      <c r="E1348" s="1" t="str">
        <f>IFERROR(__xludf.DUMMYFUNCTION("""COMPUTED_VALUE"""),"บิ๊กซี MINI")</f>
        <v>บิ๊กซี MINI</v>
      </c>
      <c r="F1348" s="1" t="str">
        <f>IFERROR(__xludf.DUMMYFUNCTION("""COMPUTED_VALUE"""),"2083447")</f>
        <v>2083447</v>
      </c>
      <c r="G1348" s="1" t="str">
        <f>IFERROR(__xludf.DUMMYFUNCTION("""COMPUTED_VALUE"""),"นายอนุกูล ศรีลัดดา")</f>
        <v>นายอนุกูล ศรีลัดดา</v>
      </c>
      <c r="H1348" s="1" t="str">
        <f>IFERROR(__xludf.DUMMYFUNCTION("""COMPUTED_VALUE"""),"284752")</f>
        <v>284752</v>
      </c>
      <c r="I1348" s="1" t="str">
        <f>IFERROR(__xludf.DUMMYFUNCTION("""COMPUTED_VALUE"""),"น.ส.วีรนันท์ แสงใส")</f>
        <v>น.ส.วีรนันท์ แสงใส</v>
      </c>
      <c r="J1348" s="3">
        <f>IFERROR(__xludf.DUMMYFUNCTION("""COMPUTED_VALUE"""),2451655.0)</f>
        <v>2451655</v>
      </c>
      <c r="K1348" s="3" t="str">
        <f>IFERROR(__xludf.DUMMYFUNCTION("""COMPUTED_VALUE"""),"นายวิษณุพงษ์ ชินบุตร")</f>
        <v>นายวิษณุพงษ์ ชินบุตร</v>
      </c>
      <c r="L1348" s="1" t="str">
        <f>IFERROR(__xludf.DUMMYFUNCTION("""COMPUTED_VALUE"""),"13 K.Wisanupong Ch")</f>
        <v>13 K.Wisanupong Ch</v>
      </c>
      <c r="M1348" s="1" t="str">
        <f>IFERROR(__xludf.DUMMYFUNCTION("""COMPUTED_VALUE"""),"0843374693")</f>
        <v>0843374693</v>
      </c>
      <c r="N1348" s="3">
        <f>IFERROR(__xludf.DUMMYFUNCTION("""COMPUTED_VALUE"""),22729.0)</f>
        <v>22729</v>
      </c>
      <c r="O1348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348" s="4">
        <f>IFERROR(__xludf.DUMMYFUNCTION("""COMPUTED_VALUE"""),43810.0)</f>
        <v>43810</v>
      </c>
      <c r="Q1348" s="3" t="str">
        <f>IFERROR(__xludf.DUMMYFUNCTION("""COMPUTED_VALUE"""),"A")</f>
        <v>A</v>
      </c>
      <c r="R1348" s="3" t="str">
        <f>IFERROR(__xludf.DUMMYFUNCTION("""COMPUTED_VALUE"""),"Small Format")</f>
        <v>Small Format</v>
      </c>
      <c r="S1348" s="3" t="str">
        <f>IFERROR(__xludf.DUMMYFUNCTION("""COMPUTED_VALUE"""),"BCM")</f>
        <v>BCM</v>
      </c>
      <c r="T1348" s="3" t="str">
        <f>IFERROR(__xludf.DUMMYFUNCTION("""COMPUTED_VALUE"""),"#N/A")</f>
        <v>#N/A</v>
      </c>
      <c r="U1348" s="3" t="str">
        <f>IFERROR(__xludf.DUMMYFUNCTION("""COMPUTED_VALUE"""),"#N/A")</f>
        <v>#N/A</v>
      </c>
      <c r="V1348" s="3" t="str">
        <f>IFERROR(__xludf.DUMMYFUNCTION("""COMPUTED_VALUE"""),"N")</f>
        <v>N</v>
      </c>
      <c r="W1348" s="3">
        <f>IFERROR(__xludf.DUMMYFUNCTION("""COMPUTED_VALUE"""),211991.0)</f>
        <v>211991</v>
      </c>
      <c r="X1348" s="3" t="str">
        <f>IFERROR(__xludf.DUMMYFUNCTION("""COMPUTED_VALUE"""),"72/3 หมู่11 ตำบลบางโฉลง อำเภอบางพลี จังหวัดสมุทรปราการ 10540")</f>
        <v>72/3 หมู่11 ตำบลบางโฉลง อำเภอบางพลี จังหวัดสมุทรปราการ 10540</v>
      </c>
      <c r="Y1348" s="3"/>
      <c r="Z1348" s="3" t="str">
        <f>IFERROR(__xludf.DUMMYFUNCTION("""COMPUTED_VALUE"""),"บางโฉลง")</f>
        <v>บางโฉลง</v>
      </c>
      <c r="AA1348" s="3" t="str">
        <f>IFERROR(__xludf.DUMMYFUNCTION("""COMPUTED_VALUE"""),"บางพลี")</f>
        <v>บางพลี</v>
      </c>
      <c r="AB1348" s="3" t="str">
        <f>IFERROR(__xludf.DUMMYFUNCTION("""COMPUTED_VALUE"""),"สมุทรปราการ")</f>
        <v>สมุทรปราการ</v>
      </c>
      <c r="AC1348" s="3">
        <f>IFERROR(__xludf.DUMMYFUNCTION("""COMPUTED_VALUE"""),10540.0)</f>
        <v>10540</v>
      </c>
      <c r="AD1348" s="3">
        <f>IFERROR(__xludf.DUMMYFUNCTION("""COMPUTED_VALUE"""),13.6046)</f>
        <v>13.6046</v>
      </c>
      <c r="AE1348" s="3">
        <f>IFERROR(__xludf.DUMMYFUNCTION("""COMPUTED_VALUE"""),100.77656)</f>
        <v>100.77656</v>
      </c>
      <c r="AF1348" s="3" t="str">
        <f>IFERROR(__xludf.DUMMYFUNCTION("""COMPUTED_VALUE"""),"MBC คาลเท็กซ์ บางนา กม.20 สมุทรปราการ-22031")</f>
        <v>MBC คาลเท็กซ์ บางนา กม.20 สมุทรปราการ-22031</v>
      </c>
      <c r="AG1348" s="3" t="str">
        <f>IFERROR(__xludf.DUMMYFUNCTION("""COMPUTED_VALUE"""),"กลาง")</f>
        <v>กลาง</v>
      </c>
      <c r="AH1348" s="3" t="str">
        <f>IFERROR(__xludf.DUMMYFUNCTION("""COMPUTED_VALUE"""),"#N/A")</f>
        <v>#N/A</v>
      </c>
      <c r="AI1348" s="3" t="str">
        <f>IFERROR(__xludf.DUMMYFUNCTION("""COMPUTED_VALUE"""),"Out of warranty")</f>
        <v>Out of warranty</v>
      </c>
      <c r="AJ1348" s="3">
        <f>IFERROR(__xludf.DUMMYFUNCTION("""COMPUTED_VALUE"""),74.0)</f>
        <v>74</v>
      </c>
      <c r="AK1348" s="3" t="str">
        <f>IFERROR(__xludf.DUMMYFUNCTION("""COMPUTED_VALUE"""),"MMS03")</f>
        <v>MMS03</v>
      </c>
      <c r="AL1348" s="3"/>
    </row>
    <row r="1349" ht="15.75" customHeight="1">
      <c r="A1349" s="1" t="str">
        <f>IFERROR(__xludf.DUMMYFUNCTION("""COMPUTED_VALUE"""),"22032")</f>
        <v>22032</v>
      </c>
      <c r="B1349" s="2">
        <f>IFERROR(__xludf.DUMMYFUNCTION("""COMPUTED_VALUE"""),22032.0)</f>
        <v>22032</v>
      </c>
      <c r="C1349" s="3" t="str">
        <f>IFERROR(__xludf.DUMMYFUNCTION("""COMPUTED_VALUE"""),"MBC คาลเท็กซ์ เอกชัย-บางบอน")</f>
        <v>MBC คาลเท็กซ์ เอกชัย-บางบอน</v>
      </c>
      <c r="D1349" s="3" t="str">
        <f>IFERROR(__xludf.DUMMYFUNCTION("""COMPUTED_VALUE"""),"BCM CALTEX EKCHAI BANGBON")</f>
        <v>BCM CALTEX EKCHAI BANGBON</v>
      </c>
      <c r="E1349" s="1" t="str">
        <f>IFERROR(__xludf.DUMMYFUNCTION("""COMPUTED_VALUE"""),"บิ๊กซี MINI")</f>
        <v>บิ๊กซี MINI</v>
      </c>
      <c r="F1349" s="1" t="str">
        <f>IFERROR(__xludf.DUMMYFUNCTION("""COMPUTED_VALUE"""),"291008")</f>
        <v>291008</v>
      </c>
      <c r="G1349" s="1" t="str">
        <f>IFERROR(__xludf.DUMMYFUNCTION("""COMPUTED_VALUE"""),"น.ส.รัชดาพร อีศรัตน์")</f>
        <v>น.ส.รัชดาพร อีศรัตน์</v>
      </c>
      <c r="H1349" s="1" t="str">
        <f>IFERROR(__xludf.DUMMYFUNCTION("""COMPUTED_VALUE"""),"250921")</f>
        <v>250921</v>
      </c>
      <c r="I1349" s="1" t="str">
        <f>IFERROR(__xludf.DUMMYFUNCTION("""COMPUTED_VALUE"""),"นายปรัชญาวัต ถิระสังวร")</f>
        <v>นายปรัชญาวัต ถิระสังวร</v>
      </c>
      <c r="J1349" s="3">
        <f>IFERROR(__xludf.DUMMYFUNCTION("""COMPUTED_VALUE"""),2452378.0)</f>
        <v>2452378</v>
      </c>
      <c r="K1349" s="3" t="str">
        <f>IFERROR(__xludf.DUMMYFUNCTION("""COMPUTED_VALUE"""),"นายศักดิ์ดา พวงประดับ")</f>
        <v>นายศักดิ์ดา พวงประดับ</v>
      </c>
      <c r="L1349" s="1" t="str">
        <f>IFERROR(__xludf.DUMMYFUNCTION("""COMPUTED_VALUE"""),"11 K.Sakda P.")</f>
        <v>11 K.Sakda P.</v>
      </c>
      <c r="M1349" s="1" t="str">
        <f>IFERROR(__xludf.DUMMYFUNCTION("""COMPUTED_VALUE"""),"065-929-1279")</f>
        <v>065-929-1279</v>
      </c>
      <c r="N1349" s="3">
        <f>IFERROR(__xludf.DUMMYFUNCTION("""COMPUTED_VALUE"""),21002.0)</f>
        <v>21002</v>
      </c>
      <c r="O1349" s="3" t="str">
        <f>IFERROR(__xludf.DUMMYFUNCTION("""COMPUTED_VALUE"""),"MBC อุดมสุข")</f>
        <v>MBC อุดมสุข</v>
      </c>
      <c r="P1349" s="4">
        <f>IFERROR(__xludf.DUMMYFUNCTION("""COMPUTED_VALUE"""),43931.0)</f>
        <v>43931</v>
      </c>
      <c r="Q1349" s="3" t="str">
        <f>IFERROR(__xludf.DUMMYFUNCTION("""COMPUTED_VALUE"""),"A")</f>
        <v>A</v>
      </c>
      <c r="R1349" s="3" t="str">
        <f>IFERROR(__xludf.DUMMYFUNCTION("""COMPUTED_VALUE"""),"Small Format")</f>
        <v>Small Format</v>
      </c>
      <c r="S1349" s="3" t="str">
        <f>IFERROR(__xludf.DUMMYFUNCTION("""COMPUTED_VALUE"""),"BCM")</f>
        <v>BCM</v>
      </c>
      <c r="T1349" s="3" t="str">
        <f>IFERROR(__xludf.DUMMYFUNCTION("""COMPUTED_VALUE"""),"#N/A")</f>
        <v>#N/A</v>
      </c>
      <c r="U1349" s="3" t="str">
        <f>IFERROR(__xludf.DUMMYFUNCTION("""COMPUTED_VALUE"""),"#N/A")</f>
        <v>#N/A</v>
      </c>
      <c r="V1349" s="3" t="str">
        <f>IFERROR(__xludf.DUMMYFUNCTION("""COMPUTED_VALUE"""),"N")</f>
        <v>N</v>
      </c>
      <c r="W1349" s="3">
        <f>IFERROR(__xludf.DUMMYFUNCTION("""COMPUTED_VALUE"""),210076.0)</f>
        <v>210076</v>
      </c>
      <c r="X1349" s="3" t="str">
        <f>IFERROR(__xludf.DUMMYFUNCTION("""COMPUTED_VALUE"""),"1353/3 ถนนเอกชัย แขวงบางบอนใต้ เขตบางบอน จังหวัดกรุงเทพมหานคร 10150")</f>
        <v>1353/3 ถนนเอกชัย แขวงบางบอนใต้ เขตบางบอน จังหวัดกรุงเทพมหานคร 10150</v>
      </c>
      <c r="Y1349" s="3" t="str">
        <f>IFERROR(__xludf.DUMMYFUNCTION("""COMPUTED_VALUE"""),"ถนนเอกชัย")</f>
        <v>ถนนเอกชัย</v>
      </c>
      <c r="Z1349" s="3" t="str">
        <f>IFERROR(__xludf.DUMMYFUNCTION("""COMPUTED_VALUE"""),"บางบอนใต้")</f>
        <v>บางบอนใต้</v>
      </c>
      <c r="AA1349" s="3" t="str">
        <f>IFERROR(__xludf.DUMMYFUNCTION("""COMPUTED_VALUE"""),"บางบอน")</f>
        <v>บางบอน</v>
      </c>
      <c r="AB1349" s="3" t="str">
        <f>IFERROR(__xludf.DUMMYFUNCTION("""COMPUTED_VALUE"""),"กรุงเทพมหานคร")</f>
        <v>กรุงเทพมหานคร</v>
      </c>
      <c r="AC1349" s="3">
        <f>IFERROR(__xludf.DUMMYFUNCTION("""COMPUTED_VALUE"""),10150.0)</f>
        <v>10150</v>
      </c>
      <c r="AD1349" s="3">
        <f>IFERROR(__xludf.DUMMYFUNCTION("""COMPUTED_VALUE"""),13.64042)</f>
        <v>13.64042</v>
      </c>
      <c r="AE1349" s="3">
        <f>IFERROR(__xludf.DUMMYFUNCTION("""COMPUTED_VALUE"""),100.374464)</f>
        <v>100.374464</v>
      </c>
      <c r="AF1349" s="3" t="str">
        <f>IFERROR(__xludf.DUMMYFUNCTION("""COMPUTED_VALUE"""),"MBC คาลเท็กซ์ เอกชัย-บางบอน-22032")</f>
        <v>MBC คาลเท็กซ์ เอกชัย-บางบอน-22032</v>
      </c>
      <c r="AG1349" s="3" t="str">
        <f>IFERROR(__xludf.DUMMYFUNCTION("""COMPUTED_VALUE"""),"กลาง")</f>
        <v>กลาง</v>
      </c>
      <c r="AH1349" s="3" t="str">
        <f>IFERROR(__xludf.DUMMYFUNCTION("""COMPUTED_VALUE"""),"#N/A")</f>
        <v>#N/A</v>
      </c>
      <c r="AI1349" s="3" t="str">
        <f>IFERROR(__xludf.DUMMYFUNCTION("""COMPUTED_VALUE"""),"Out of warranty")</f>
        <v>Out of warranty</v>
      </c>
      <c r="AJ1349" s="3">
        <f>IFERROR(__xludf.DUMMYFUNCTION("""COMPUTED_VALUE"""),70.0)</f>
        <v>70</v>
      </c>
      <c r="AK1349" s="3" t="str">
        <f>IFERROR(__xludf.DUMMYFUNCTION("""COMPUTED_VALUE"""),"MMS05")</f>
        <v>MMS05</v>
      </c>
      <c r="AL1349" s="3"/>
    </row>
    <row r="1350" ht="15.75" customHeight="1">
      <c r="A1350" s="1" t="str">
        <f>IFERROR(__xludf.DUMMYFUNCTION("""COMPUTED_VALUE"""),"22033")</f>
        <v>22033</v>
      </c>
      <c r="B1350" s="2">
        <f>IFERROR(__xludf.DUMMYFUNCTION("""COMPUTED_VALUE"""),22033.0)</f>
        <v>22033</v>
      </c>
      <c r="C1350" s="3" t="str">
        <f>IFERROR(__xludf.DUMMYFUNCTION("""COMPUTED_VALUE"""),"MBC ศรีเทพ เพชรบูรณ์")</f>
        <v>MBC ศรีเทพ เพชรบูรณ์</v>
      </c>
      <c r="D1350" s="3" t="str">
        <f>IFERROR(__xludf.DUMMYFUNCTION("""COMPUTED_VALUE"""),"BCM SRI THEP, PHETCHABUN")</f>
        <v>BCM SRI THEP, PHETCHABUN</v>
      </c>
      <c r="E1350" s="1" t="str">
        <f>IFERROR(__xludf.DUMMYFUNCTION("""COMPUTED_VALUE"""),"บิ๊กซี MINI")</f>
        <v>บิ๊กซี MINI</v>
      </c>
      <c r="F1350" s="1" t="str">
        <f>IFERROR(__xludf.DUMMYFUNCTION("""COMPUTED_VALUE"""),"296229")</f>
        <v>296229</v>
      </c>
      <c r="G1350" s="1" t="str">
        <f>IFERROR(__xludf.DUMMYFUNCTION("""COMPUTED_VALUE"""),"นายทนงศักดิ์ บุญมา")</f>
        <v>นายทนงศักดิ์ บุญมา</v>
      </c>
      <c r="H1350" s="1" t="str">
        <f>IFERROR(__xludf.DUMMYFUNCTION("""COMPUTED_VALUE"""),"291082")</f>
        <v>291082</v>
      </c>
      <c r="I1350" s="1" t="str">
        <f>IFERROR(__xludf.DUMMYFUNCTION("""COMPUTED_VALUE"""),"น.ส.วจี กันเกตุ")</f>
        <v>น.ส.วจี กันเกตุ</v>
      </c>
      <c r="J1350" s="3">
        <f>IFERROR(__xludf.DUMMYFUNCTION("""COMPUTED_VALUE"""),46214.0)</f>
        <v>46214</v>
      </c>
      <c r="K1350" s="3" t="str">
        <f>IFERROR(__xludf.DUMMYFUNCTION("""COMPUTED_VALUE"""),"นายศักดิ์ชัย เด็ดดอกฟ้า")</f>
        <v>นายศักดิ์ชัย เด็ดดอกฟ้า</v>
      </c>
      <c r="L1350" s="1" t="str">
        <f>IFERROR(__xludf.DUMMYFUNCTION("""COMPUTED_VALUE"""),"02 K.Sakchai D")</f>
        <v>02 K.Sakchai D</v>
      </c>
      <c r="M1350" s="1" t="str">
        <f>IFERROR(__xludf.DUMMYFUNCTION("""COMPUTED_VALUE"""),"065-510-7376")</f>
        <v>065-510-7376</v>
      </c>
      <c r="N1350" s="3">
        <f>IFERROR(__xludf.DUMMYFUNCTION("""COMPUTED_VALUE"""),21714.0)</f>
        <v>21714</v>
      </c>
      <c r="O1350" s="3" t="str">
        <f>IFERROR(__xludf.DUMMYFUNCTION("""COMPUTED_VALUE"""),"MBC เอสโซ่ วัดโบสถ์")</f>
        <v>MBC เอสโซ่ วัดโบสถ์</v>
      </c>
      <c r="P1350" s="4">
        <f>IFERROR(__xludf.DUMMYFUNCTION("""COMPUTED_VALUE"""),43819.0)</f>
        <v>43819</v>
      </c>
      <c r="Q1350" s="3" t="str">
        <f>IFERROR(__xludf.DUMMYFUNCTION("""COMPUTED_VALUE"""),"A")</f>
        <v>A</v>
      </c>
      <c r="R1350" s="3" t="str">
        <f>IFERROR(__xludf.DUMMYFUNCTION("""COMPUTED_VALUE"""),"Small Format")</f>
        <v>Small Format</v>
      </c>
      <c r="S1350" s="3" t="str">
        <f>IFERROR(__xludf.DUMMYFUNCTION("""COMPUTED_VALUE"""),"BCM")</f>
        <v>BCM</v>
      </c>
      <c r="T1350" s="3" t="str">
        <f>IFERROR(__xludf.DUMMYFUNCTION("""COMPUTED_VALUE"""),"#N/A")</f>
        <v>#N/A</v>
      </c>
      <c r="U1350" s="3" t="str">
        <f>IFERROR(__xludf.DUMMYFUNCTION("""COMPUTED_VALUE"""),"#N/A")</f>
        <v>#N/A</v>
      </c>
      <c r="V1350" s="3" t="str">
        <f>IFERROR(__xludf.DUMMYFUNCTION("""COMPUTED_VALUE"""),"N")</f>
        <v>N</v>
      </c>
      <c r="W1350" s="3">
        <f>IFERROR(__xludf.DUMMYFUNCTION("""COMPUTED_VALUE"""),211994.0)</f>
        <v>211994</v>
      </c>
      <c r="X1350" s="3" t="str">
        <f>IFERROR(__xludf.DUMMYFUNCTION("""COMPUTED_VALUE"""),"63,63/1 หมู่5 ตำบลสระกรวด อำเภอศรีเทพ จังหวัดเพชรบรูณ์ 67170")</f>
        <v>63,63/1 หมู่5 ตำบลสระกรวด อำเภอศรีเทพ จังหวัดเพชรบรูณ์ 67170</v>
      </c>
      <c r="Y1350" s="3"/>
      <c r="Z1350" s="3" t="str">
        <f>IFERROR(__xludf.DUMMYFUNCTION("""COMPUTED_VALUE"""),"สระกรวด")</f>
        <v>สระกรวด</v>
      </c>
      <c r="AA1350" s="3" t="str">
        <f>IFERROR(__xludf.DUMMYFUNCTION("""COMPUTED_VALUE"""),"ศรีเทพ")</f>
        <v>ศรีเทพ</v>
      </c>
      <c r="AB1350" s="3" t="str">
        <f>IFERROR(__xludf.DUMMYFUNCTION("""COMPUTED_VALUE"""),"เพชรบูรณ์")</f>
        <v>เพชรบูรณ์</v>
      </c>
      <c r="AC1350" s="3">
        <f>IFERROR(__xludf.DUMMYFUNCTION("""COMPUTED_VALUE"""),67170.0)</f>
        <v>67170</v>
      </c>
      <c r="AD1350" s="3">
        <f>IFERROR(__xludf.DUMMYFUNCTION("""COMPUTED_VALUE"""),15.435074)</f>
        <v>15.435074</v>
      </c>
      <c r="AE1350" s="3">
        <f>IFERROR(__xludf.DUMMYFUNCTION("""COMPUTED_VALUE"""),101.070038)</f>
        <v>101.070038</v>
      </c>
      <c r="AF1350" s="3" t="str">
        <f>IFERROR(__xludf.DUMMYFUNCTION("""COMPUTED_VALUE"""),"MBC ศรีเทพ เพชรบูรณ์-22033")</f>
        <v>MBC ศรีเทพ เพชรบูรณ์-22033</v>
      </c>
      <c r="AG1350" s="3" t="str">
        <f>IFERROR(__xludf.DUMMYFUNCTION("""COMPUTED_VALUE"""),"กลาง")</f>
        <v>กลาง</v>
      </c>
      <c r="AH1350" s="3" t="str">
        <f>IFERROR(__xludf.DUMMYFUNCTION("""COMPUTED_VALUE"""),"#N/A")</f>
        <v>#N/A</v>
      </c>
      <c r="AI1350" s="3" t="str">
        <f>IFERROR(__xludf.DUMMYFUNCTION("""COMPUTED_VALUE"""),"Out of warranty")</f>
        <v>Out of warranty</v>
      </c>
      <c r="AJ1350" s="3">
        <f>IFERROR(__xludf.DUMMYFUNCTION("""COMPUTED_VALUE"""),74.0)</f>
        <v>74</v>
      </c>
      <c r="AK1350" s="3" t="str">
        <f>IFERROR(__xludf.DUMMYFUNCTION("""COMPUTED_VALUE"""),"MMS09")</f>
        <v>MMS09</v>
      </c>
      <c r="AL1350" s="3"/>
    </row>
    <row r="1351" ht="15.75" customHeight="1">
      <c r="A1351" s="1" t="str">
        <f>IFERROR(__xludf.DUMMYFUNCTION("""COMPUTED_VALUE"""),"22034")</f>
        <v>22034</v>
      </c>
      <c r="B1351" s="2">
        <f>IFERROR(__xludf.DUMMYFUNCTION("""COMPUTED_VALUE"""),22034.0)</f>
        <v>22034</v>
      </c>
      <c r="C1351" s="3" t="str">
        <f>IFERROR(__xludf.DUMMYFUNCTION("""COMPUTED_VALUE"""),"MBC ตลาดมรกต2 ชุมพร")</f>
        <v>MBC ตลาดมรกต2 ชุมพร</v>
      </c>
      <c r="D1351" s="3" t="str">
        <f>IFERROR(__xludf.DUMMYFUNCTION("""COMPUTED_VALUE"""),"BCM TALAD MORAKOD 2")</f>
        <v>BCM TALAD MORAKOD 2</v>
      </c>
      <c r="E1351" s="1" t="str">
        <f>IFERROR(__xludf.DUMMYFUNCTION("""COMPUTED_VALUE"""),"บิ๊กซี MINI")</f>
        <v>บิ๊กซี MINI</v>
      </c>
      <c r="F1351" s="1" t="str">
        <f>IFERROR(__xludf.DUMMYFUNCTION("""COMPUTED_VALUE"""),"250760")</f>
        <v>250760</v>
      </c>
      <c r="G1351" s="1" t="str">
        <f>IFERROR(__xludf.DUMMYFUNCTION("""COMPUTED_VALUE"""),"นายประทวน สาราบรรณ์")</f>
        <v>นายประทวน สาราบรรณ์</v>
      </c>
      <c r="H1351" s="1" t="str">
        <f>IFERROR(__xludf.DUMMYFUNCTION("""COMPUTED_VALUE"""),"228389")</f>
        <v>228389</v>
      </c>
      <c r="I1351" s="1" t="str">
        <f>IFERROR(__xludf.DUMMYFUNCTION("""COMPUTED_VALUE"""),"นายมณีรันดร์ ชัยชนะ")</f>
        <v>นายมณีรันดร์ ชัยชนะ</v>
      </c>
      <c r="J1351" s="3">
        <f>IFERROR(__xludf.DUMMYFUNCTION("""COMPUTED_VALUE"""),25324.0)</f>
        <v>25324</v>
      </c>
      <c r="K1351" s="3" t="str">
        <f>IFERROR(__xludf.DUMMYFUNCTION("""COMPUTED_VALUE"""),"นายวิเชฎฐ์ ติรัตนะประคม")</f>
        <v>นายวิเชฎฐ์ ติรัตนะประคม</v>
      </c>
      <c r="L1351" s="1" t="str">
        <f>IFERROR(__xludf.DUMMYFUNCTION("""COMPUTED_VALUE"""),"14 K.Wichet T.")</f>
        <v>14 K.Wichet T.</v>
      </c>
      <c r="M1351" s="1" t="str">
        <f>IFERROR(__xludf.DUMMYFUNCTION("""COMPUTED_VALUE"""),"061-417-6569 / 086-445-5636")</f>
        <v>061-417-6569 / 086-445-5636</v>
      </c>
      <c r="N1351" s="3">
        <f>IFERROR(__xludf.DUMMYFUNCTION("""COMPUTED_VALUE"""),22658.0)</f>
        <v>22658</v>
      </c>
      <c r="O1351" s="3" t="str">
        <f>IFERROR(__xludf.DUMMYFUNCTION("""COMPUTED_VALUE"""),"BCM ถ.วิรัชหงษ์หยก ภูเก็ต")</f>
        <v>BCM ถ.วิรัชหงษ์หยก ภูเก็ต</v>
      </c>
      <c r="P1351" s="4">
        <f>IFERROR(__xludf.DUMMYFUNCTION("""COMPUTED_VALUE"""),43824.0)</f>
        <v>43824</v>
      </c>
      <c r="Q1351" s="3" t="str">
        <f>IFERROR(__xludf.DUMMYFUNCTION("""COMPUTED_VALUE"""),"A")</f>
        <v>A</v>
      </c>
      <c r="R1351" s="3" t="str">
        <f>IFERROR(__xludf.DUMMYFUNCTION("""COMPUTED_VALUE"""),"Small Format")</f>
        <v>Small Format</v>
      </c>
      <c r="S1351" s="3" t="str">
        <f>IFERROR(__xludf.DUMMYFUNCTION("""COMPUTED_VALUE"""),"BCM")</f>
        <v>BCM</v>
      </c>
      <c r="T1351" s="3" t="str">
        <f>IFERROR(__xludf.DUMMYFUNCTION("""COMPUTED_VALUE"""),"#N/A")</f>
        <v>#N/A</v>
      </c>
      <c r="U1351" s="3" t="str">
        <f>IFERROR(__xludf.DUMMYFUNCTION("""COMPUTED_VALUE"""),"#N/A")</f>
        <v>#N/A</v>
      </c>
      <c r="V1351" s="3" t="str">
        <f>IFERROR(__xludf.DUMMYFUNCTION("""COMPUTED_VALUE"""),"N")</f>
        <v>N</v>
      </c>
      <c r="W1351" s="3">
        <f>IFERROR(__xludf.DUMMYFUNCTION("""COMPUTED_VALUE"""),210038.0)</f>
        <v>210038</v>
      </c>
      <c r="X1351" s="3" t="str">
        <f>IFERROR(__xludf.DUMMYFUNCTION("""COMPUTED_VALUE"""),"108/2 ถนนเขาเงิน ตำบลขันเงิน อำเภอหลังสวน จังหวัดชุมพร 86110")</f>
        <v>108/2 ถนนเขาเงิน ตำบลขันเงิน อำเภอหลังสวน จังหวัดชุมพร 86110</v>
      </c>
      <c r="Y1351" s="3" t="str">
        <f>IFERROR(__xludf.DUMMYFUNCTION("""COMPUTED_VALUE"""),"ถนนเขาเงิน")</f>
        <v>ถนนเขาเงิน</v>
      </c>
      <c r="Z1351" s="3" t="str">
        <f>IFERROR(__xludf.DUMMYFUNCTION("""COMPUTED_VALUE"""),"ขันเงิน")</f>
        <v>ขันเงิน</v>
      </c>
      <c r="AA1351" s="3" t="str">
        <f>IFERROR(__xludf.DUMMYFUNCTION("""COMPUTED_VALUE"""),"หลังสวน")</f>
        <v>หลังสวน</v>
      </c>
      <c r="AB1351" s="3" t="str">
        <f>IFERROR(__xludf.DUMMYFUNCTION("""COMPUTED_VALUE"""),"ชุมพร")</f>
        <v>ชุมพร</v>
      </c>
      <c r="AC1351" s="3">
        <f>IFERROR(__xludf.DUMMYFUNCTION("""COMPUTED_VALUE"""),86110.0)</f>
        <v>86110</v>
      </c>
      <c r="AD1351" s="3">
        <f>IFERROR(__xludf.DUMMYFUNCTION("""COMPUTED_VALUE"""),9.949928)</f>
        <v>9.949928</v>
      </c>
      <c r="AE1351" s="3">
        <f>IFERROR(__xludf.DUMMYFUNCTION("""COMPUTED_VALUE"""),99.066166)</f>
        <v>99.066166</v>
      </c>
      <c r="AF1351" s="3" t="str">
        <f>IFERROR(__xludf.DUMMYFUNCTION("""COMPUTED_VALUE"""),"MBC ตลาดมรกต2 ชุมพร-22034")</f>
        <v>MBC ตลาดมรกต2 ชุมพร-22034</v>
      </c>
      <c r="AG1351" s="3" t="str">
        <f>IFERROR(__xludf.DUMMYFUNCTION("""COMPUTED_VALUE"""),"ใต้")</f>
        <v>ใต้</v>
      </c>
      <c r="AH1351" s="3" t="str">
        <f>IFERROR(__xludf.DUMMYFUNCTION("""COMPUTED_VALUE"""),"#N/A")</f>
        <v>#N/A</v>
      </c>
      <c r="AI1351" s="3" t="str">
        <f>IFERROR(__xludf.DUMMYFUNCTION("""COMPUTED_VALUE"""),"Out of warranty")</f>
        <v>Out of warranty</v>
      </c>
      <c r="AJ1351" s="3">
        <f>IFERROR(__xludf.DUMMYFUNCTION("""COMPUTED_VALUE"""),73.0)</f>
        <v>73</v>
      </c>
      <c r="AK1351" s="3" t="str">
        <f>IFERROR(__xludf.DUMMYFUNCTION("""COMPUTED_VALUE"""),"MMS14")</f>
        <v>MMS14</v>
      </c>
      <c r="AL1351" s="3"/>
    </row>
    <row r="1352" ht="15.75" customHeight="1">
      <c r="A1352" s="1" t="str">
        <f>IFERROR(__xludf.DUMMYFUNCTION("""COMPUTED_VALUE"""),"22035")</f>
        <v>22035</v>
      </c>
      <c r="B1352" s="2">
        <f>IFERROR(__xludf.DUMMYFUNCTION("""COMPUTED_VALUE"""),22035.0)</f>
        <v>22035</v>
      </c>
      <c r="C1352" s="3" t="str">
        <f>IFERROR(__xludf.DUMMYFUNCTION("""COMPUTED_VALUE"""),"MBC โชคชัย 4 ซอย 70 กรุงเทพมหานคร")</f>
        <v>MBC โชคชัย 4 ซอย 70 กรุงเทพมหานคร</v>
      </c>
      <c r="D1352" s="3" t="str">
        <f>IFERROR(__xludf.DUMMYFUNCTION("""COMPUTED_VALUE"""),"BCM CHOKCHAI 4 SOI 70,BANGKOK")</f>
        <v>BCM CHOKCHAI 4 SOI 70,BANGKOK</v>
      </c>
      <c r="E1352" s="1" t="str">
        <f>IFERROR(__xludf.DUMMYFUNCTION("""COMPUTED_VALUE"""),"บิ๊กซี MINI")</f>
        <v>บิ๊กซี MINI</v>
      </c>
      <c r="F1352" s="1" t="str">
        <f>IFERROR(__xludf.DUMMYFUNCTION("""COMPUTED_VALUE"""),"291008")</f>
        <v>291008</v>
      </c>
      <c r="G1352" s="1" t="str">
        <f>IFERROR(__xludf.DUMMYFUNCTION("""COMPUTED_VALUE"""),"น.ส.รัชดาพร อีศรัตน์")</f>
        <v>น.ส.รัชดาพร อีศรัตน์</v>
      </c>
      <c r="H1352" s="1" t="str">
        <f>IFERROR(__xludf.DUMMYFUNCTION("""COMPUTED_VALUE"""),"359002")</f>
        <v>359002</v>
      </c>
      <c r="I1352" s="1" t="str">
        <f>IFERROR(__xludf.DUMMYFUNCTION("""COMPUTED_VALUE"""),"น.ส.นิตยา สมจิตร")</f>
        <v>น.ส.นิตยา สมจิตร</v>
      </c>
      <c r="J1352" s="3">
        <f>IFERROR(__xludf.DUMMYFUNCTION("""COMPUTED_VALUE"""),3510104.0)</f>
        <v>3510104</v>
      </c>
      <c r="K1352" s="3" t="str">
        <f>IFERROR(__xludf.DUMMYFUNCTION("""COMPUTED_VALUE"""),"นายวิโรจน์ อับดุลสมัด")</f>
        <v>นายวิโรจน์ อับดุลสมัด</v>
      </c>
      <c r="L1352" s="1" t="str">
        <f>IFERROR(__xludf.DUMMYFUNCTION("""COMPUTED_VALUE"""),"09 K.Wirode A")</f>
        <v>09 K.Wirode A</v>
      </c>
      <c r="M1352" s="1" t="str">
        <f>IFERROR(__xludf.DUMMYFUNCTION("""COMPUTED_VALUE"""),"080-235-4465")</f>
        <v>080-235-4465</v>
      </c>
      <c r="N1352" s="3">
        <f>IFERROR(__xludf.DUMMYFUNCTION("""COMPUTED_VALUE"""),21324.0)</f>
        <v>21324</v>
      </c>
      <c r="O1352" s="3" t="str">
        <f>IFERROR(__xludf.DUMMYFUNCTION("""COMPUTED_VALUE"""),"MBC BCP สุวินทวงศ์")</f>
        <v>MBC BCP สุวินทวงศ์</v>
      </c>
      <c r="P1352" s="4">
        <f>IFERROR(__xludf.DUMMYFUNCTION("""COMPUTED_VALUE"""),43824.0)</f>
        <v>43824</v>
      </c>
      <c r="Q1352" s="3" t="str">
        <f>IFERROR(__xludf.DUMMYFUNCTION("""COMPUTED_VALUE"""),"A")</f>
        <v>A</v>
      </c>
      <c r="R1352" s="3" t="str">
        <f>IFERROR(__xludf.DUMMYFUNCTION("""COMPUTED_VALUE"""),"Small Format")</f>
        <v>Small Format</v>
      </c>
      <c r="S1352" s="3" t="str">
        <f>IFERROR(__xludf.DUMMYFUNCTION("""COMPUTED_VALUE"""),"BCM")</f>
        <v>BCM</v>
      </c>
      <c r="T1352" s="3" t="str">
        <f>IFERROR(__xludf.DUMMYFUNCTION("""COMPUTED_VALUE"""),"#N/A")</f>
        <v>#N/A</v>
      </c>
      <c r="U1352" s="3" t="str">
        <f>IFERROR(__xludf.DUMMYFUNCTION("""COMPUTED_VALUE"""),"#N/A")</f>
        <v>#N/A</v>
      </c>
      <c r="V1352" s="3" t="str">
        <f>IFERROR(__xludf.DUMMYFUNCTION("""COMPUTED_VALUE"""),"N")</f>
        <v>N</v>
      </c>
      <c r="W1352" s="3">
        <f>IFERROR(__xludf.DUMMYFUNCTION("""COMPUTED_VALUE"""),210047.0)</f>
        <v>210047</v>
      </c>
      <c r="X1352" s="3" t="str">
        <f>IFERROR(__xludf.DUMMYFUNCTION("""COMPUTED_VALUE"""),"780 ถนนโชคชัย4 แขวงลาดพร้าว เขตลาดพร้าว กรุงเทพมหานคร 10230")</f>
        <v>780 ถนนโชคชัย4 แขวงลาดพร้าว เขตลาดพร้าว กรุงเทพมหานคร 10230</v>
      </c>
      <c r="Y1352" s="3" t="str">
        <f>IFERROR(__xludf.DUMMYFUNCTION("""COMPUTED_VALUE"""),"ถนนโชคชัย4")</f>
        <v>ถนนโชคชัย4</v>
      </c>
      <c r="Z1352" s="3" t="str">
        <f>IFERROR(__xludf.DUMMYFUNCTION("""COMPUTED_VALUE"""),"ลาดพร้าว")</f>
        <v>ลาดพร้าว</v>
      </c>
      <c r="AA1352" s="3" t="str">
        <f>IFERROR(__xludf.DUMMYFUNCTION("""COMPUTED_VALUE"""),"ลาดพร้าว")</f>
        <v>ลาดพร้าว</v>
      </c>
      <c r="AB1352" s="3" t="str">
        <f>IFERROR(__xludf.DUMMYFUNCTION("""COMPUTED_VALUE"""),"กรุงเทพมหานคร")</f>
        <v>กรุงเทพมหานคร</v>
      </c>
      <c r="AC1352" s="3">
        <f>IFERROR(__xludf.DUMMYFUNCTION("""COMPUTED_VALUE"""),10230.0)</f>
        <v>10230</v>
      </c>
      <c r="AD1352" s="3">
        <f>IFERROR(__xludf.DUMMYFUNCTION("""COMPUTED_VALUE"""),13.491099)</f>
        <v>13.491099</v>
      </c>
      <c r="AE1352" s="3">
        <f>IFERROR(__xludf.DUMMYFUNCTION("""COMPUTED_VALUE"""),100.354675)</f>
        <v>100.354675</v>
      </c>
      <c r="AF1352" s="3" t="str">
        <f>IFERROR(__xludf.DUMMYFUNCTION("""COMPUTED_VALUE"""),"MBC โชคชัย 4 ซอย 70 กรุงเทพมหานคร-22035")</f>
        <v>MBC โชคชัย 4 ซอย 70 กรุงเทพมหานคร-22035</v>
      </c>
      <c r="AG1352" s="3" t="str">
        <f>IFERROR(__xludf.DUMMYFUNCTION("""COMPUTED_VALUE"""),"กลาง")</f>
        <v>กลาง</v>
      </c>
      <c r="AH1352" s="3" t="str">
        <f>IFERROR(__xludf.DUMMYFUNCTION("""COMPUTED_VALUE"""),"#N/A")</f>
        <v>#N/A</v>
      </c>
      <c r="AI1352" s="3" t="str">
        <f>IFERROR(__xludf.DUMMYFUNCTION("""COMPUTED_VALUE"""),"Out of warranty")</f>
        <v>Out of warranty</v>
      </c>
      <c r="AJ1352" s="3">
        <f>IFERROR(__xludf.DUMMYFUNCTION("""COMPUTED_VALUE"""),73.0)</f>
        <v>73</v>
      </c>
      <c r="AK1352" s="3" t="str">
        <f>IFERROR(__xludf.DUMMYFUNCTION("""COMPUTED_VALUE"""),"MMS01")</f>
        <v>MMS01</v>
      </c>
      <c r="AL1352" s="3"/>
    </row>
    <row r="1353" ht="15.75" customHeight="1">
      <c r="A1353" s="1" t="str">
        <f>IFERROR(__xludf.DUMMYFUNCTION("""COMPUTED_VALUE"""),"22036")</f>
        <v>22036</v>
      </c>
      <c r="B1353" s="2">
        <f>IFERROR(__xludf.DUMMYFUNCTION("""COMPUTED_VALUE"""),22036.0)</f>
        <v>22036</v>
      </c>
      <c r="C1353" s="3" t="str">
        <f>IFERROR(__xludf.DUMMYFUNCTION("""COMPUTED_VALUE"""),"MBC บ้านโภชน์ เพชรบูรณ์")</f>
        <v>MBC บ้านโภชน์ เพชรบูรณ์</v>
      </c>
      <c r="D1353" s="3" t="str">
        <f>IFERROR(__xludf.DUMMYFUNCTION("""COMPUTED_VALUE"""),"BCM BAN PHOT, PHETCHABUN")</f>
        <v>BCM BAN PHOT, PHETCHABUN</v>
      </c>
      <c r="E1353" s="1" t="str">
        <f>IFERROR(__xludf.DUMMYFUNCTION("""COMPUTED_VALUE"""),"บิ๊กซี MINI")</f>
        <v>บิ๊กซี MINI</v>
      </c>
      <c r="F1353" s="1" t="str">
        <f>IFERROR(__xludf.DUMMYFUNCTION("""COMPUTED_VALUE"""),"296229")</f>
        <v>296229</v>
      </c>
      <c r="G1353" s="1" t="str">
        <f>IFERROR(__xludf.DUMMYFUNCTION("""COMPUTED_VALUE"""),"นายทนงศักดิ์ บุญมา")</f>
        <v>นายทนงศักดิ์ บุญมา</v>
      </c>
      <c r="H1353" s="1" t="str">
        <f>IFERROR(__xludf.DUMMYFUNCTION("""COMPUTED_VALUE"""),"291082")</f>
        <v>291082</v>
      </c>
      <c r="I1353" s="1" t="str">
        <f>IFERROR(__xludf.DUMMYFUNCTION("""COMPUTED_VALUE"""),"น.ส.วจี กันเกตุ")</f>
        <v>น.ส.วจี กันเกตุ</v>
      </c>
      <c r="J1353" s="3">
        <f>IFERROR(__xludf.DUMMYFUNCTION("""COMPUTED_VALUE"""),46214.0)</f>
        <v>46214</v>
      </c>
      <c r="K1353" s="3" t="str">
        <f>IFERROR(__xludf.DUMMYFUNCTION("""COMPUTED_VALUE"""),"นายศักดิ์ชัย เด็ดดอกฟ้า")</f>
        <v>นายศักดิ์ชัย เด็ดดอกฟ้า</v>
      </c>
      <c r="L1353" s="1" t="str">
        <f>IFERROR(__xludf.DUMMYFUNCTION("""COMPUTED_VALUE"""),"02 K.Sakchai D")</f>
        <v>02 K.Sakchai D</v>
      </c>
      <c r="M1353" s="1" t="str">
        <f>IFERROR(__xludf.DUMMYFUNCTION("""COMPUTED_VALUE"""),"065-510-7376")</f>
        <v>065-510-7376</v>
      </c>
      <c r="N1353" s="3">
        <f>IFERROR(__xludf.DUMMYFUNCTION("""COMPUTED_VALUE"""),21714.0)</f>
        <v>21714</v>
      </c>
      <c r="O1353" s="3" t="str">
        <f>IFERROR(__xludf.DUMMYFUNCTION("""COMPUTED_VALUE"""),"MBC เอสโซ่ วัดโบสถ์")</f>
        <v>MBC เอสโซ่ วัดโบสถ์</v>
      </c>
      <c r="P1353" s="4">
        <f>IFERROR(__xludf.DUMMYFUNCTION("""COMPUTED_VALUE"""),43814.0)</f>
        <v>43814</v>
      </c>
      <c r="Q1353" s="3" t="str">
        <f>IFERROR(__xludf.DUMMYFUNCTION("""COMPUTED_VALUE"""),"A")</f>
        <v>A</v>
      </c>
      <c r="R1353" s="3" t="str">
        <f>IFERROR(__xludf.DUMMYFUNCTION("""COMPUTED_VALUE"""),"Small Format")</f>
        <v>Small Format</v>
      </c>
      <c r="S1353" s="3" t="str">
        <f>IFERROR(__xludf.DUMMYFUNCTION("""COMPUTED_VALUE"""),"BCM")</f>
        <v>BCM</v>
      </c>
      <c r="T1353" s="3" t="str">
        <f>IFERROR(__xludf.DUMMYFUNCTION("""COMPUTED_VALUE"""),"#N/A")</f>
        <v>#N/A</v>
      </c>
      <c r="U1353" s="3" t="str">
        <f>IFERROR(__xludf.DUMMYFUNCTION("""COMPUTED_VALUE"""),"#N/A")</f>
        <v>#N/A</v>
      </c>
      <c r="V1353" s="3" t="str">
        <f>IFERROR(__xludf.DUMMYFUNCTION("""COMPUTED_VALUE"""),"N")</f>
        <v>N</v>
      </c>
      <c r="W1353" s="3">
        <f>IFERROR(__xludf.DUMMYFUNCTION("""COMPUTED_VALUE"""),210054.0)</f>
        <v>210054</v>
      </c>
      <c r="X1353" s="3" t="str">
        <f>IFERROR(__xludf.DUMMYFUNCTION("""COMPUTED_VALUE"""),"314,314/1-2 หมู่9 ตำบลบ้านโภชน์ อำเภอหนองไผ่ จังหวัดเพชรบูรณ์ 67140")</f>
        <v>314,314/1-2 หมู่9 ตำบลบ้านโภชน์ อำเภอหนองไผ่ จังหวัดเพชรบูรณ์ 67140</v>
      </c>
      <c r="Y1353" s="3"/>
      <c r="Z1353" s="3" t="str">
        <f>IFERROR(__xludf.DUMMYFUNCTION("""COMPUTED_VALUE"""),"บ้านโภชน์")</f>
        <v>บ้านโภชน์</v>
      </c>
      <c r="AA1353" s="3" t="str">
        <f>IFERROR(__xludf.DUMMYFUNCTION("""COMPUTED_VALUE"""),"หนองไผ่")</f>
        <v>หนองไผ่</v>
      </c>
      <c r="AB1353" s="3" t="str">
        <f>IFERROR(__xludf.DUMMYFUNCTION("""COMPUTED_VALUE"""),"เพชรบูรณ์")</f>
        <v>เพชรบูรณ์</v>
      </c>
      <c r="AC1353" s="3">
        <f>IFERROR(__xludf.DUMMYFUNCTION("""COMPUTED_VALUE"""),67140.0)</f>
        <v>67140</v>
      </c>
      <c r="AD1353" s="3">
        <f>IFERROR(__xludf.DUMMYFUNCTION("""COMPUTED_VALUE"""),15.915004)</f>
        <v>15.915004</v>
      </c>
      <c r="AE1353" s="3">
        <f>IFERROR(__xludf.DUMMYFUNCTION("""COMPUTED_VALUE"""),101.026628)</f>
        <v>101.026628</v>
      </c>
      <c r="AF1353" s="3" t="str">
        <f>IFERROR(__xludf.DUMMYFUNCTION("""COMPUTED_VALUE"""),"MBC บ้านโภชน์ เพชรบูรณ์-22036")</f>
        <v>MBC บ้านโภชน์ เพชรบูรณ์-22036</v>
      </c>
      <c r="AG1353" s="3" t="str">
        <f>IFERROR(__xludf.DUMMYFUNCTION("""COMPUTED_VALUE"""),"กลาง")</f>
        <v>กลาง</v>
      </c>
      <c r="AH1353" s="3" t="str">
        <f>IFERROR(__xludf.DUMMYFUNCTION("""COMPUTED_VALUE"""),"#N/A")</f>
        <v>#N/A</v>
      </c>
      <c r="AI1353" s="3" t="str">
        <f>IFERROR(__xludf.DUMMYFUNCTION("""COMPUTED_VALUE"""),"Out of warranty")</f>
        <v>Out of warranty</v>
      </c>
      <c r="AJ1353" s="3">
        <f>IFERROR(__xludf.DUMMYFUNCTION("""COMPUTED_VALUE"""),74.0)</f>
        <v>74</v>
      </c>
      <c r="AK1353" s="3" t="str">
        <f>IFERROR(__xludf.DUMMYFUNCTION("""COMPUTED_VALUE"""),"MMS09")</f>
        <v>MMS09</v>
      </c>
      <c r="AL1353" s="3"/>
    </row>
    <row r="1354" ht="15.75" customHeight="1">
      <c r="A1354" s="1" t="str">
        <f>IFERROR(__xludf.DUMMYFUNCTION("""COMPUTED_VALUE"""),"22037")</f>
        <v>22037</v>
      </c>
      <c r="B1354" s="2">
        <f>IFERROR(__xludf.DUMMYFUNCTION("""COMPUTED_VALUE"""),22037.0)</f>
        <v>22037</v>
      </c>
      <c r="C1354" s="3" t="str">
        <f>IFERROR(__xludf.DUMMYFUNCTION("""COMPUTED_VALUE"""),"MBC ท่าบ่อ หนองคาย")</f>
        <v>MBC ท่าบ่อ หนองคาย</v>
      </c>
      <c r="D1354" s="3" t="str">
        <f>IFERROR(__xludf.DUMMYFUNCTION("""COMPUTED_VALUE"""),"BCM THA BOR, NONG KHAI")</f>
        <v>BCM THA BOR, NONG KHAI</v>
      </c>
      <c r="E1354" s="1" t="str">
        <f>IFERROR(__xludf.DUMMYFUNCTION("""COMPUTED_VALUE"""),"บิ๊กซี MINI")</f>
        <v>บิ๊กซี MINI</v>
      </c>
      <c r="F1354" s="1" t="str">
        <f>IFERROR(__xludf.DUMMYFUNCTION("""COMPUTED_VALUE"""),"291105")</f>
        <v>291105</v>
      </c>
      <c r="G1354" s="1" t="str">
        <f>IFERROR(__xludf.DUMMYFUNCTION("""COMPUTED_VALUE"""),"นายสราวุฒิ พณิชยกุล")</f>
        <v>นายสราวุฒิ พณิชยกุล</v>
      </c>
      <c r="H1354" s="1" t="str">
        <f>IFERROR(__xludf.DUMMYFUNCTION("""COMPUTED_VALUE"""),"392005")</f>
        <v>392005</v>
      </c>
      <c r="I1354" s="1" t="str">
        <f>IFERROR(__xludf.DUMMYFUNCTION("""COMPUTED_VALUE"""),"นายรัฐพล หาญลำยวง")</f>
        <v>นายรัฐพล หาญลำยวง</v>
      </c>
      <c r="J1354" s="3">
        <f>IFERROR(__xludf.DUMMYFUNCTION("""COMPUTED_VALUE"""),296868.0)</f>
        <v>296868</v>
      </c>
      <c r="K1354" s="3" t="str">
        <f>IFERROR(__xludf.DUMMYFUNCTION("""COMPUTED_VALUE"""),"นายพีระพงษ์ แก้วดวงดี")</f>
        <v>นายพีระพงษ์ แก้วดวงดี</v>
      </c>
      <c r="L1354" s="1" t="str">
        <f>IFERROR(__xludf.DUMMYFUNCTION("""COMPUTED_VALUE"""),"03 K.Peerapong K.")</f>
        <v>03 K.Peerapong K.</v>
      </c>
      <c r="M1354" s="1" t="str">
        <f>IFERROR(__xludf.DUMMYFUNCTION("""COMPUTED_VALUE"""),"089-002-6599")</f>
        <v>089-002-6599</v>
      </c>
      <c r="N1354" s="3">
        <f>IFERROR(__xludf.DUMMYFUNCTION("""COMPUTED_VALUE"""),21946.0)</f>
        <v>21946</v>
      </c>
      <c r="O1354" s="3" t="str">
        <f>IFERROR(__xludf.DUMMYFUNCTION("""COMPUTED_VALUE"""),"MBC เซกา บึงกาฬ")</f>
        <v>MBC เซกา บึงกาฬ</v>
      </c>
      <c r="P1354" s="4">
        <f>IFERROR(__xludf.DUMMYFUNCTION("""COMPUTED_VALUE"""),43826.0)</f>
        <v>43826</v>
      </c>
      <c r="Q1354" s="3" t="str">
        <f>IFERROR(__xludf.DUMMYFUNCTION("""COMPUTED_VALUE"""),"A")</f>
        <v>A</v>
      </c>
      <c r="R1354" s="3" t="str">
        <f>IFERROR(__xludf.DUMMYFUNCTION("""COMPUTED_VALUE"""),"Small Format")</f>
        <v>Small Format</v>
      </c>
      <c r="S1354" s="3" t="str">
        <f>IFERROR(__xludf.DUMMYFUNCTION("""COMPUTED_VALUE"""),"BCM")</f>
        <v>BCM</v>
      </c>
      <c r="T1354" s="3" t="str">
        <f>IFERROR(__xludf.DUMMYFUNCTION("""COMPUTED_VALUE"""),"#N/A")</f>
        <v>#N/A</v>
      </c>
      <c r="U1354" s="3" t="str">
        <f>IFERROR(__xludf.DUMMYFUNCTION("""COMPUTED_VALUE"""),"#N/A")</f>
        <v>#N/A</v>
      </c>
      <c r="V1354" s="3" t="str">
        <f>IFERROR(__xludf.DUMMYFUNCTION("""COMPUTED_VALUE"""),"N")</f>
        <v>N</v>
      </c>
      <c r="W1354" s="3">
        <f>IFERROR(__xludf.DUMMYFUNCTION("""COMPUTED_VALUE"""),210035.0)</f>
        <v>210035</v>
      </c>
      <c r="X1354" s="3" t="str">
        <f>IFERROR(__xludf.DUMMYFUNCTION("""COMPUTED_VALUE"""),"361,361/1 หมู่4 ตำบลท่าบ่อ อำเภอท่าบ่อ จังหวัดหนองคาย 43110")</f>
        <v>361,361/1 หมู่4 ตำบลท่าบ่อ อำเภอท่าบ่อ จังหวัดหนองคาย 43110</v>
      </c>
      <c r="Y1354" s="3"/>
      <c r="Z1354" s="3" t="str">
        <f>IFERROR(__xludf.DUMMYFUNCTION("""COMPUTED_VALUE"""),"ท่าบ่อ")</f>
        <v>ท่าบ่อ</v>
      </c>
      <c r="AA1354" s="3" t="str">
        <f>IFERROR(__xludf.DUMMYFUNCTION("""COMPUTED_VALUE"""),"ท่าบ่อ")</f>
        <v>ท่าบ่อ</v>
      </c>
      <c r="AB1354" s="3" t="str">
        <f>IFERROR(__xludf.DUMMYFUNCTION("""COMPUTED_VALUE"""),"หนองคาย")</f>
        <v>หนองคาย</v>
      </c>
      <c r="AC1354" s="3">
        <f>IFERROR(__xludf.DUMMYFUNCTION("""COMPUTED_VALUE"""),43110.0)</f>
        <v>43110</v>
      </c>
      <c r="AD1354" s="3">
        <f>IFERROR(__xludf.DUMMYFUNCTION("""COMPUTED_VALUE"""),17.847502)</f>
        <v>17.847502</v>
      </c>
      <c r="AE1354" s="3">
        <f>IFERROR(__xludf.DUMMYFUNCTION("""COMPUTED_VALUE"""),102.577638)</f>
        <v>102.577638</v>
      </c>
      <c r="AF1354" s="3" t="str">
        <f>IFERROR(__xludf.DUMMYFUNCTION("""COMPUTED_VALUE"""),"MBC ท่าบ่อ หนองคาย-22037")</f>
        <v>MBC ท่าบ่อ หนองคาย-22037</v>
      </c>
      <c r="AG1354" s="3" t="str">
        <f>IFERROR(__xludf.DUMMYFUNCTION("""COMPUTED_VALUE"""),"ตะวันออกเฉียงเหนือ")</f>
        <v>ตะวันออกเฉียงเหนือ</v>
      </c>
      <c r="AH1354" s="3" t="str">
        <f>IFERROR(__xludf.DUMMYFUNCTION("""COMPUTED_VALUE"""),"#N/A")</f>
        <v>#N/A</v>
      </c>
      <c r="AI1354" s="3" t="str">
        <f>IFERROR(__xludf.DUMMYFUNCTION("""COMPUTED_VALUE"""),"Out of warranty")</f>
        <v>Out of warranty</v>
      </c>
      <c r="AJ1354" s="3">
        <f>IFERROR(__xludf.DUMMYFUNCTION("""COMPUTED_VALUE"""),73.0)</f>
        <v>73</v>
      </c>
      <c r="AK1354" s="3" t="str">
        <f>IFERROR(__xludf.DUMMYFUNCTION("""COMPUTED_VALUE"""),"MMS12")</f>
        <v>MMS12</v>
      </c>
      <c r="AL1354" s="3"/>
    </row>
    <row r="1355" ht="15.75" customHeight="1">
      <c r="A1355" s="1" t="str">
        <f>IFERROR(__xludf.DUMMYFUNCTION("""COMPUTED_VALUE"""),"22038")</f>
        <v>22038</v>
      </c>
      <c r="B1355" s="2">
        <f>IFERROR(__xludf.DUMMYFUNCTION("""COMPUTED_VALUE"""),22038.0)</f>
        <v>22038</v>
      </c>
      <c r="C1355" s="3" t="str">
        <f>IFERROR(__xludf.DUMMYFUNCTION("""COMPUTED_VALUE"""),"MBC ถนนธานี-หนองแปป บุรีรัมย์")</f>
        <v>MBC ถนนธานี-หนองแปป บุรีรัมย์</v>
      </c>
      <c r="D1355" s="3" t="str">
        <f>IFERROR(__xludf.DUMMYFUNCTION("""COMPUTED_VALUE"""),"BCM THANON THANEE (NONGPAB)")</f>
        <v>BCM THANON THANEE (NONGPAB)</v>
      </c>
      <c r="E1355" s="1" t="str">
        <f>IFERROR(__xludf.DUMMYFUNCTION("""COMPUTED_VALUE"""),"บิ๊กซี MINI")</f>
        <v>บิ๊กซี MINI</v>
      </c>
      <c r="F1355" s="1" t="str">
        <f>IFERROR(__xludf.DUMMYFUNCTION("""COMPUTED_VALUE"""),"291105")</f>
        <v>291105</v>
      </c>
      <c r="G1355" s="1" t="str">
        <f>IFERROR(__xludf.DUMMYFUNCTION("""COMPUTED_VALUE"""),"นายสราวุฒิ พณิชยกุล")</f>
        <v>นายสราวุฒิ พณิชยกุล</v>
      </c>
      <c r="H1355" s="1" t="str">
        <f>IFERROR(__xludf.DUMMYFUNCTION("""COMPUTED_VALUE"""),"398136")</f>
        <v>398136</v>
      </c>
      <c r="I1355" s="1" t="str">
        <f>IFERROR(__xludf.DUMMYFUNCTION("""COMPUTED_VALUE"""),"นายประยูร ธาดาวงษา")</f>
        <v>นายประยูร ธาดาวงษา</v>
      </c>
      <c r="J1355" s="3">
        <f>IFERROR(__xludf.DUMMYFUNCTION("""COMPUTED_VALUE"""),15361.0)</f>
        <v>15361</v>
      </c>
      <c r="K1355" s="3" t="str">
        <f>IFERROR(__xludf.DUMMYFUNCTION("""COMPUTED_VALUE"""),"นายสมบูรณ์ พรหมในเมือง")</f>
        <v>นายสมบูรณ์ พรหมในเมือง</v>
      </c>
      <c r="L1355" s="1" t="str">
        <f>IFERROR(__xludf.DUMMYFUNCTION("""COMPUTED_VALUE"""),"04 K.Somboon P.")</f>
        <v>04 K.Somboon P.</v>
      </c>
      <c r="M1355" s="1" t="str">
        <f>IFERROR(__xludf.DUMMYFUNCTION("""COMPUTED_VALUE"""),"087-965-3051")</f>
        <v>087-965-3051</v>
      </c>
      <c r="N1355" s="3">
        <f>IFERROR(__xludf.DUMMYFUNCTION("""COMPUTED_VALUE"""),21869.0)</f>
        <v>21869</v>
      </c>
      <c r="O1355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355" s="4">
        <f>IFERROR(__xludf.DUMMYFUNCTION("""COMPUTED_VALUE"""),43823.0)</f>
        <v>43823</v>
      </c>
      <c r="Q1355" s="3" t="str">
        <f>IFERROR(__xludf.DUMMYFUNCTION("""COMPUTED_VALUE"""),"A")</f>
        <v>A</v>
      </c>
      <c r="R1355" s="3" t="str">
        <f>IFERROR(__xludf.DUMMYFUNCTION("""COMPUTED_VALUE"""),"Small Format")</f>
        <v>Small Format</v>
      </c>
      <c r="S1355" s="3" t="str">
        <f>IFERROR(__xludf.DUMMYFUNCTION("""COMPUTED_VALUE"""),"BCM")</f>
        <v>BCM</v>
      </c>
      <c r="T1355" s="3" t="str">
        <f>IFERROR(__xludf.DUMMYFUNCTION("""COMPUTED_VALUE"""),"#N/A")</f>
        <v>#N/A</v>
      </c>
      <c r="U1355" s="3" t="str">
        <f>IFERROR(__xludf.DUMMYFUNCTION("""COMPUTED_VALUE"""),"#N/A")</f>
        <v>#N/A</v>
      </c>
      <c r="V1355" s="3" t="str">
        <f>IFERROR(__xludf.DUMMYFUNCTION("""COMPUTED_VALUE"""),"N")</f>
        <v>N</v>
      </c>
      <c r="W1355" s="3">
        <f>IFERROR(__xludf.DUMMYFUNCTION("""COMPUTED_VALUE"""),211983.0)</f>
        <v>211983</v>
      </c>
      <c r="X1355" s="3" t="str">
        <f>IFERROR(__xludf.DUMMYFUNCTION("""COMPUTED_VALUE"""),"7/79 ถนนบุลำดวน ตำบลในเมือง อำเภอเมืองบุรีรัมย์ จังหวัดบุรีรัมย์ 31000")</f>
        <v>7/79 ถนนบุลำดวน ตำบลในเมือง อำเภอเมืองบุรีรัมย์ จังหวัดบุรีรัมย์ 31000</v>
      </c>
      <c r="Y1355" s="3" t="str">
        <f>IFERROR(__xludf.DUMMYFUNCTION("""COMPUTED_VALUE"""),"ถนนบุลำดวน")</f>
        <v>ถนนบุลำดวน</v>
      </c>
      <c r="Z1355" s="3" t="str">
        <f>IFERROR(__xludf.DUMMYFUNCTION("""COMPUTED_VALUE"""),"ในเมือง")</f>
        <v>ในเมือง</v>
      </c>
      <c r="AA1355" s="3" t="str">
        <f>IFERROR(__xludf.DUMMYFUNCTION("""COMPUTED_VALUE"""),"เมือง")</f>
        <v>เมือง</v>
      </c>
      <c r="AB1355" s="3" t="str">
        <f>IFERROR(__xludf.DUMMYFUNCTION("""COMPUTED_VALUE"""),"บุรีรัมย์")</f>
        <v>บุรีรัมย์</v>
      </c>
      <c r="AC1355" s="3">
        <f>IFERROR(__xludf.DUMMYFUNCTION("""COMPUTED_VALUE"""),31000.0)</f>
        <v>31000</v>
      </c>
      <c r="AD1355" s="3">
        <f>IFERROR(__xludf.DUMMYFUNCTION("""COMPUTED_VALUE"""),14.995987)</f>
        <v>14.995987</v>
      </c>
      <c r="AE1355" s="3">
        <f>IFERROR(__xludf.DUMMYFUNCTION("""COMPUTED_VALUE"""),103.092255)</f>
        <v>103.092255</v>
      </c>
      <c r="AF1355" s="3" t="str">
        <f>IFERROR(__xludf.DUMMYFUNCTION("""COMPUTED_VALUE"""),"MBC ถนนธานี-หนองแปป บุรีรัมย์-22038")</f>
        <v>MBC ถนนธานี-หนองแปป บุรีรัมย์-22038</v>
      </c>
      <c r="AG1355" s="3" t="str">
        <f>IFERROR(__xludf.DUMMYFUNCTION("""COMPUTED_VALUE"""),"ตะวันออกเฉียงเหนือ")</f>
        <v>ตะวันออกเฉียงเหนือ</v>
      </c>
      <c r="AH1355" s="3" t="str">
        <f>IFERROR(__xludf.DUMMYFUNCTION("""COMPUTED_VALUE"""),"#N/A")</f>
        <v>#N/A</v>
      </c>
      <c r="AI1355" s="3" t="str">
        <f>IFERROR(__xludf.DUMMYFUNCTION("""COMPUTED_VALUE"""),"Out of warranty")</f>
        <v>Out of warranty</v>
      </c>
      <c r="AJ1355" s="3">
        <f>IFERROR(__xludf.DUMMYFUNCTION("""COMPUTED_VALUE"""),73.0)</f>
        <v>73</v>
      </c>
      <c r="AK1355" s="3" t="str">
        <f>IFERROR(__xludf.DUMMYFUNCTION("""COMPUTED_VALUE"""),"MMS11")</f>
        <v>MMS11</v>
      </c>
      <c r="AL1355" s="3"/>
    </row>
    <row r="1356" ht="15.75" customHeight="1">
      <c r="A1356" s="1" t="str">
        <f>IFERROR(__xludf.DUMMYFUNCTION("""COMPUTED_VALUE"""),"22039")</f>
        <v>22039</v>
      </c>
      <c r="B1356" s="2">
        <f>IFERROR(__xludf.DUMMYFUNCTION("""COMPUTED_VALUE"""),22039.0)</f>
        <v>22039</v>
      </c>
      <c r="C1356" s="3" t="str">
        <f>IFERROR(__xludf.DUMMYFUNCTION("""COMPUTED_VALUE"""),"MBC แคนดง บุรีรัมย์")</f>
        <v>MBC แคนดง บุรีรัมย์</v>
      </c>
      <c r="D1356" s="3" t="str">
        <f>IFERROR(__xludf.DUMMYFUNCTION("""COMPUTED_VALUE"""),"BCM CANDONG,BURIRAM")</f>
        <v>BCM CANDONG,BURIRAM</v>
      </c>
      <c r="E1356" s="1" t="str">
        <f>IFERROR(__xludf.DUMMYFUNCTION("""COMPUTED_VALUE"""),"บิ๊กซี MINI")</f>
        <v>บิ๊กซี MINI</v>
      </c>
      <c r="F1356" s="1" t="str">
        <f>IFERROR(__xludf.DUMMYFUNCTION("""COMPUTED_VALUE"""),"291105")</f>
        <v>291105</v>
      </c>
      <c r="G1356" s="1" t="str">
        <f>IFERROR(__xludf.DUMMYFUNCTION("""COMPUTED_VALUE"""),"นายสราวุฒิ พณิชยกุล")</f>
        <v>นายสราวุฒิ พณิชยกุล</v>
      </c>
      <c r="H1356" s="1" t="str">
        <f>IFERROR(__xludf.DUMMYFUNCTION("""COMPUTED_VALUE"""),"398136")</f>
        <v>398136</v>
      </c>
      <c r="I1356" s="1" t="str">
        <f>IFERROR(__xludf.DUMMYFUNCTION("""COMPUTED_VALUE"""),"นายประยูร ธาดาวงษา")</f>
        <v>นายประยูร ธาดาวงษา</v>
      </c>
      <c r="J1356" s="3">
        <f>IFERROR(__xludf.DUMMYFUNCTION("""COMPUTED_VALUE"""),15361.0)</f>
        <v>15361</v>
      </c>
      <c r="K1356" s="3" t="str">
        <f>IFERROR(__xludf.DUMMYFUNCTION("""COMPUTED_VALUE"""),"นายสมบูรณ์ พรหมในเมือง")</f>
        <v>นายสมบูรณ์ พรหมในเมือง</v>
      </c>
      <c r="L1356" s="1" t="str">
        <f>IFERROR(__xludf.DUMMYFUNCTION("""COMPUTED_VALUE"""),"04 K.Somboon P.")</f>
        <v>04 K.Somboon P.</v>
      </c>
      <c r="M1356" s="1" t="str">
        <f>IFERROR(__xludf.DUMMYFUNCTION("""COMPUTED_VALUE"""),"087-965-3051")</f>
        <v>087-965-3051</v>
      </c>
      <c r="N1356" s="3">
        <f>IFERROR(__xludf.DUMMYFUNCTION("""COMPUTED_VALUE"""),21869.0)</f>
        <v>21869</v>
      </c>
      <c r="O1356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356" s="4">
        <f>IFERROR(__xludf.DUMMYFUNCTION("""COMPUTED_VALUE"""),43825.0)</f>
        <v>43825</v>
      </c>
      <c r="Q1356" s="3" t="str">
        <f>IFERROR(__xludf.DUMMYFUNCTION("""COMPUTED_VALUE"""),"A")</f>
        <v>A</v>
      </c>
      <c r="R1356" s="3" t="str">
        <f>IFERROR(__xludf.DUMMYFUNCTION("""COMPUTED_VALUE"""),"Small Format")</f>
        <v>Small Format</v>
      </c>
      <c r="S1356" s="3" t="str">
        <f>IFERROR(__xludf.DUMMYFUNCTION("""COMPUTED_VALUE"""),"BCM")</f>
        <v>BCM</v>
      </c>
      <c r="T1356" s="3" t="str">
        <f>IFERROR(__xludf.DUMMYFUNCTION("""COMPUTED_VALUE"""),"#N/A")</f>
        <v>#N/A</v>
      </c>
      <c r="U1356" s="3" t="str">
        <f>IFERROR(__xludf.DUMMYFUNCTION("""COMPUTED_VALUE"""),"#N/A")</f>
        <v>#N/A</v>
      </c>
      <c r="V1356" s="3" t="str">
        <f>IFERROR(__xludf.DUMMYFUNCTION("""COMPUTED_VALUE"""),"N")</f>
        <v>N</v>
      </c>
      <c r="W1356" s="3">
        <f>IFERROR(__xludf.DUMMYFUNCTION("""COMPUTED_VALUE"""),211949.0)</f>
        <v>211949</v>
      </c>
      <c r="X1356" s="3" t="str">
        <f>IFERROR(__xludf.DUMMYFUNCTION("""COMPUTED_VALUE"""),"191 หมู่16 ตำบลแคนดง อำเภอแคนดง จังหวัดบุรีรัมย์ 31150")</f>
        <v>191 หมู่16 ตำบลแคนดง อำเภอแคนดง จังหวัดบุรีรัมย์ 31150</v>
      </c>
      <c r="Y1356" s="3"/>
      <c r="Z1356" s="3" t="str">
        <f>IFERROR(__xludf.DUMMYFUNCTION("""COMPUTED_VALUE"""),"แคนดง")</f>
        <v>แคนดง</v>
      </c>
      <c r="AA1356" s="3" t="str">
        <f>IFERROR(__xludf.DUMMYFUNCTION("""COMPUTED_VALUE"""),"แคนดง")</f>
        <v>แคนดง</v>
      </c>
      <c r="AB1356" s="3" t="str">
        <f>IFERROR(__xludf.DUMMYFUNCTION("""COMPUTED_VALUE"""),"บุรีรัมย์")</f>
        <v>บุรีรัมย์</v>
      </c>
      <c r="AC1356" s="3">
        <f>IFERROR(__xludf.DUMMYFUNCTION("""COMPUTED_VALUE"""),31150.0)</f>
        <v>31150</v>
      </c>
      <c r="AD1356" s="3">
        <f>IFERROR(__xludf.DUMMYFUNCTION("""COMPUTED_VALUE"""),15.325072)</f>
        <v>15.325072</v>
      </c>
      <c r="AE1356" s="3">
        <f>IFERROR(__xludf.DUMMYFUNCTION("""COMPUTED_VALUE"""),103.132965)</f>
        <v>103.132965</v>
      </c>
      <c r="AF1356" s="3" t="str">
        <f>IFERROR(__xludf.DUMMYFUNCTION("""COMPUTED_VALUE"""),"MBC แคนดง บุรีรัมย์-22039")</f>
        <v>MBC แคนดง บุรีรัมย์-22039</v>
      </c>
      <c r="AG1356" s="3" t="str">
        <f>IFERROR(__xludf.DUMMYFUNCTION("""COMPUTED_VALUE"""),"ตะวันออกเฉียงเหนือ")</f>
        <v>ตะวันออกเฉียงเหนือ</v>
      </c>
      <c r="AH1356" s="3" t="str">
        <f>IFERROR(__xludf.DUMMYFUNCTION("""COMPUTED_VALUE"""),"#N/A")</f>
        <v>#N/A</v>
      </c>
      <c r="AI1356" s="3" t="str">
        <f>IFERROR(__xludf.DUMMYFUNCTION("""COMPUTED_VALUE"""),"Out of warranty")</f>
        <v>Out of warranty</v>
      </c>
      <c r="AJ1356" s="3">
        <f>IFERROR(__xludf.DUMMYFUNCTION("""COMPUTED_VALUE"""),73.0)</f>
        <v>73</v>
      </c>
      <c r="AK1356" s="3" t="str">
        <f>IFERROR(__xludf.DUMMYFUNCTION("""COMPUTED_VALUE"""),"MMS11")</f>
        <v>MMS11</v>
      </c>
      <c r="AL1356" s="3"/>
    </row>
    <row r="1357" ht="15.75" customHeight="1">
      <c r="A1357" s="1" t="str">
        <f>IFERROR(__xludf.DUMMYFUNCTION("""COMPUTED_VALUE"""),"22040")</f>
        <v>22040</v>
      </c>
      <c r="B1357" s="2">
        <f>IFERROR(__xludf.DUMMYFUNCTION("""COMPUTED_VALUE"""),22040.0)</f>
        <v>22040</v>
      </c>
      <c r="C1357" s="3" t="str">
        <f>IFERROR(__xludf.DUMMYFUNCTION("""COMPUTED_VALUE"""),"MBC วังน้ำเย็น สระแก้ว")</f>
        <v>MBC วังน้ำเย็น สระแก้ว</v>
      </c>
      <c r="D1357" s="3" t="str">
        <f>IFERROR(__xludf.DUMMYFUNCTION("""COMPUTED_VALUE"""),"BCM ESSO WANGNAMYEN, SA KAEO")</f>
        <v>BCM ESSO WANGNAMYEN, SA KAEO</v>
      </c>
      <c r="E1357" s="1" t="str">
        <f>IFERROR(__xludf.DUMMYFUNCTION("""COMPUTED_VALUE"""),"บิ๊กซี MINI")</f>
        <v>บิ๊กซี MINI</v>
      </c>
      <c r="F1357" s="1" t="str">
        <f>IFERROR(__xludf.DUMMYFUNCTION("""COMPUTED_VALUE"""),"2083447")</f>
        <v>2083447</v>
      </c>
      <c r="G1357" s="1" t="str">
        <f>IFERROR(__xludf.DUMMYFUNCTION("""COMPUTED_VALUE"""),"นายอนุกูล ศรีลัดดา")</f>
        <v>นายอนุกูล ศรีลัดดา</v>
      </c>
      <c r="H1357" s="1" t="str">
        <f>IFERROR(__xludf.DUMMYFUNCTION("""COMPUTED_VALUE"""),"259808")</f>
        <v>259808</v>
      </c>
      <c r="I1357" s="1" t="str">
        <f>IFERROR(__xludf.DUMMYFUNCTION("""COMPUTED_VALUE"""),"น.ส.สกุลรัตน์ พิกุลแก้ว")</f>
        <v>น.ส.สกุลรัตน์ พิกุลแก้ว</v>
      </c>
      <c r="J1357" s="3">
        <f>IFERROR(__xludf.DUMMYFUNCTION("""COMPUTED_VALUE"""),510143.0)</f>
        <v>510143</v>
      </c>
      <c r="K1357" s="3" t="str">
        <f>IFERROR(__xludf.DUMMYFUNCTION("""COMPUTED_VALUE"""),"นายธีระวัฒน์ บุญสิทธิ์")</f>
        <v>นายธีระวัฒน์ บุญสิทธิ์</v>
      </c>
      <c r="L1357" s="1" t="str">
        <f>IFERROR(__xludf.DUMMYFUNCTION("""COMPUTED_VALUE"""),"12 K.Theerawat B.")</f>
        <v>12 K.Theerawat B.</v>
      </c>
      <c r="M1357" s="1" t="str">
        <f>IFERROR(__xludf.DUMMYFUNCTION("""COMPUTED_VALUE"""),"0655107379")</f>
        <v>0655107379</v>
      </c>
      <c r="N1357" s="3">
        <f>IFERROR(__xludf.DUMMYFUNCTION("""COMPUTED_VALUE"""),21062.0)</f>
        <v>21062</v>
      </c>
      <c r="O1357" s="3" t="str">
        <f>IFERROR(__xludf.DUMMYFUNCTION("""COMPUTED_VALUE"""),"MBC นิคมนวนคร")</f>
        <v>MBC นิคมนวนคร</v>
      </c>
      <c r="P1357" s="4">
        <f>IFERROR(__xludf.DUMMYFUNCTION("""COMPUTED_VALUE"""),43821.0)</f>
        <v>43821</v>
      </c>
      <c r="Q1357" s="3" t="str">
        <f>IFERROR(__xludf.DUMMYFUNCTION("""COMPUTED_VALUE"""),"A")</f>
        <v>A</v>
      </c>
      <c r="R1357" s="3" t="str">
        <f>IFERROR(__xludf.DUMMYFUNCTION("""COMPUTED_VALUE"""),"Small Format")</f>
        <v>Small Format</v>
      </c>
      <c r="S1357" s="3" t="str">
        <f>IFERROR(__xludf.DUMMYFUNCTION("""COMPUTED_VALUE"""),"BCM")</f>
        <v>BCM</v>
      </c>
      <c r="T1357" s="3" t="str">
        <f>IFERROR(__xludf.DUMMYFUNCTION("""COMPUTED_VALUE"""),"#N/A")</f>
        <v>#N/A</v>
      </c>
      <c r="U1357" s="3" t="str">
        <f>IFERROR(__xludf.DUMMYFUNCTION("""COMPUTED_VALUE"""),"#N/A")</f>
        <v>#N/A</v>
      </c>
      <c r="V1357" s="3" t="str">
        <f>IFERROR(__xludf.DUMMYFUNCTION("""COMPUTED_VALUE"""),"N")</f>
        <v>N</v>
      </c>
      <c r="W1357" s="3">
        <f>IFERROR(__xludf.DUMMYFUNCTION("""COMPUTED_VALUE"""),210098.0)</f>
        <v>210098</v>
      </c>
      <c r="X1357" s="3" t="str">
        <f>IFERROR(__xludf.DUMMYFUNCTION("""COMPUTED_VALUE"""),"2399/5 หมู่1 ตำบลวังน้ำเย็น อำเภอวังน้ำเย็น จังหวัดสระแก้ว 27210")</f>
        <v>2399/5 หมู่1 ตำบลวังน้ำเย็น อำเภอวังน้ำเย็น จังหวัดสระแก้ว 27210</v>
      </c>
      <c r="Y1357" s="3"/>
      <c r="Z1357" s="3" t="str">
        <f>IFERROR(__xludf.DUMMYFUNCTION("""COMPUTED_VALUE"""),"วังน้ำเย็น")</f>
        <v>วังน้ำเย็น</v>
      </c>
      <c r="AA1357" s="3" t="str">
        <f>IFERROR(__xludf.DUMMYFUNCTION("""COMPUTED_VALUE"""),"วังน้ำเย็น")</f>
        <v>วังน้ำเย็น</v>
      </c>
      <c r="AB1357" s="3" t="str">
        <f>IFERROR(__xludf.DUMMYFUNCTION("""COMPUTED_VALUE"""),"สระแก้ว")</f>
        <v>สระแก้ว</v>
      </c>
      <c r="AC1357" s="3">
        <f>IFERROR(__xludf.DUMMYFUNCTION("""COMPUTED_VALUE"""),27210.0)</f>
        <v>27210</v>
      </c>
      <c r="AD1357" s="3">
        <f>IFERROR(__xludf.DUMMYFUNCTION("""COMPUTED_VALUE"""),13.52108)</f>
        <v>13.52108</v>
      </c>
      <c r="AE1357" s="3">
        <f>IFERROR(__xludf.DUMMYFUNCTION("""COMPUTED_VALUE"""),102.171629)</f>
        <v>102.171629</v>
      </c>
      <c r="AF1357" s="3" t="str">
        <f>IFERROR(__xludf.DUMMYFUNCTION("""COMPUTED_VALUE"""),"MBC วังน้ำเย็น สระแก้ว-22040")</f>
        <v>MBC วังน้ำเย็น สระแก้ว-22040</v>
      </c>
      <c r="AG1357" s="3" t="str">
        <f>IFERROR(__xludf.DUMMYFUNCTION("""COMPUTED_VALUE"""),"ตะวันออก")</f>
        <v>ตะวันออก</v>
      </c>
      <c r="AH1357" s="3" t="str">
        <f>IFERROR(__xludf.DUMMYFUNCTION("""COMPUTED_VALUE"""),"#N/A")</f>
        <v>#N/A</v>
      </c>
      <c r="AI1357" s="3" t="str">
        <f>IFERROR(__xludf.DUMMYFUNCTION("""COMPUTED_VALUE"""),"Out of warranty")</f>
        <v>Out of warranty</v>
      </c>
      <c r="AJ1357" s="3">
        <f>IFERROR(__xludf.DUMMYFUNCTION("""COMPUTED_VALUE"""),73.0)</f>
        <v>73</v>
      </c>
      <c r="AK1357" s="3" t="str">
        <f>IFERROR(__xludf.DUMMYFUNCTION("""COMPUTED_VALUE"""),"MMS08")</f>
        <v>MMS08</v>
      </c>
      <c r="AL1357" s="3"/>
    </row>
    <row r="1358" ht="15.75" customHeight="1">
      <c r="A1358" s="1" t="str">
        <f>IFERROR(__xludf.DUMMYFUNCTION("""COMPUTED_VALUE"""),"22041")</f>
        <v>22041</v>
      </c>
      <c r="B1358" s="2">
        <f>IFERROR(__xludf.DUMMYFUNCTION("""COMPUTED_VALUE"""),22041.0)</f>
        <v>22041</v>
      </c>
      <c r="C1358" s="3" t="str">
        <f>IFERROR(__xludf.DUMMYFUNCTION("""COMPUTED_VALUE"""),"MBC ถนนราษฎร์อุทิศ (หาดใหญ่) สงขลา")</f>
        <v>MBC ถนนราษฎร์อุทิศ (หาดใหญ่) สงขลา</v>
      </c>
      <c r="D1358" s="3" t="str">
        <f>IFERROR(__xludf.DUMMYFUNCTION("""COMPUTED_VALUE"""),"BCM THANON RAJUTHIT ( HAT YAI)")</f>
        <v>BCM THANON RAJUTHIT ( HAT YAI)</v>
      </c>
      <c r="E1358" s="1" t="str">
        <f>IFERROR(__xludf.DUMMYFUNCTION("""COMPUTED_VALUE"""),"บิ๊กซี MINI")</f>
        <v>บิ๊กซี MINI</v>
      </c>
      <c r="F1358" s="1" t="str">
        <f>IFERROR(__xludf.DUMMYFUNCTION("""COMPUTED_VALUE"""),"250760")</f>
        <v>250760</v>
      </c>
      <c r="G1358" s="1" t="str">
        <f>IFERROR(__xludf.DUMMYFUNCTION("""COMPUTED_VALUE"""),"นายประทวน สาราบรรณ์")</f>
        <v>นายประทวน สาราบรรณ์</v>
      </c>
      <c r="H1358" s="1" t="str">
        <f>IFERROR(__xludf.DUMMYFUNCTION("""COMPUTED_VALUE"""),"394100")</f>
        <v>394100</v>
      </c>
      <c r="I1358" s="1" t="str">
        <f>IFERROR(__xludf.DUMMYFUNCTION("""COMPUTED_VALUE"""),"นายไพโรจน์ ถิระผะลิกะ")</f>
        <v>นายไพโรจน์ ถิระผะลิกะ</v>
      </c>
      <c r="J1358" s="3">
        <f>IFERROR(__xludf.DUMMYFUNCTION("""COMPUTED_VALUE"""),2.0470331E7)</f>
        <v>20470331</v>
      </c>
      <c r="K1358" s="3" t="str">
        <f>IFERROR(__xludf.DUMMYFUNCTION("""COMPUTED_VALUE"""),"นายสมชาย ลักษณะสุวรรณ")</f>
        <v>นายสมชาย ลักษณะสุวรรณ</v>
      </c>
      <c r="L1358" s="1" t="str">
        <f>IFERROR(__xludf.DUMMYFUNCTION("""COMPUTED_VALUE"""),"15 K.Somchai L")</f>
        <v>15 K.Somchai L</v>
      </c>
      <c r="M1358" s="1" t="str">
        <f>IFERROR(__xludf.DUMMYFUNCTION("""COMPUTED_VALUE"""),"0655107372")</f>
        <v>0655107372</v>
      </c>
      <c r="N1358" s="3">
        <f>IFERROR(__xludf.DUMMYFUNCTION("""COMPUTED_VALUE"""),21723.0)</f>
        <v>21723</v>
      </c>
      <c r="O1358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358" s="4">
        <f>IFERROR(__xludf.DUMMYFUNCTION("""COMPUTED_VALUE"""),46053.0)</f>
        <v>46053</v>
      </c>
      <c r="Q1358" s="3" t="str">
        <f>IFERROR(__xludf.DUMMYFUNCTION("""COMPUTED_VALUE"""),"A")</f>
        <v>A</v>
      </c>
      <c r="R1358" s="3" t="str">
        <f>IFERROR(__xludf.DUMMYFUNCTION("""COMPUTED_VALUE"""),"Small Format")</f>
        <v>Small Format</v>
      </c>
      <c r="S1358" s="3" t="str">
        <f>IFERROR(__xludf.DUMMYFUNCTION("""COMPUTED_VALUE"""),"BCM")</f>
        <v>BCM</v>
      </c>
      <c r="T1358" s="3" t="str">
        <f>IFERROR(__xludf.DUMMYFUNCTION("""COMPUTED_VALUE"""),"#N/A")</f>
        <v>#N/A</v>
      </c>
      <c r="U1358" s="3" t="str">
        <f>IFERROR(__xludf.DUMMYFUNCTION("""COMPUTED_VALUE"""),"#N/A")</f>
        <v>#N/A</v>
      </c>
      <c r="V1358" s="3" t="str">
        <f>IFERROR(__xludf.DUMMYFUNCTION("""COMPUTED_VALUE"""),"N")</f>
        <v>N</v>
      </c>
      <c r="W1358" s="3">
        <f>IFERROR(__xludf.DUMMYFUNCTION("""COMPUTED_VALUE"""),211622.0)</f>
        <v>211622</v>
      </c>
      <c r="X1358" s="3" t="str">
        <f>IFERROR(__xludf.DUMMYFUNCTION("""COMPUTED_VALUE"""),"90/1-3 ถนนราษฎร์อุทิศ ตำบลหาดใหญ่ อำเภอหาดใหญ่ จังหวัดสงขลา 90110")</f>
        <v>90/1-3 ถนนราษฎร์อุทิศ ตำบลหาดใหญ่ อำเภอหาดใหญ่ จังหวัดสงขลา 90110</v>
      </c>
      <c r="Y1358" s="3" t="str">
        <f>IFERROR(__xludf.DUMMYFUNCTION("""COMPUTED_VALUE"""),"ถนนราษฎร์อุทิศ")</f>
        <v>ถนนราษฎร์อุทิศ</v>
      </c>
      <c r="Z1358" s="3" t="str">
        <f>IFERROR(__xludf.DUMMYFUNCTION("""COMPUTED_VALUE"""),"หาดใหญ่")</f>
        <v>หาดใหญ่</v>
      </c>
      <c r="AA1358" s="3" t="str">
        <f>IFERROR(__xludf.DUMMYFUNCTION("""COMPUTED_VALUE"""),"หาดใหญ่")</f>
        <v>หาดใหญ่</v>
      </c>
      <c r="AB1358" s="3" t="str">
        <f>IFERROR(__xludf.DUMMYFUNCTION("""COMPUTED_VALUE"""),"สงขลา")</f>
        <v>สงขลา</v>
      </c>
      <c r="AC1358" s="3">
        <f>IFERROR(__xludf.DUMMYFUNCTION("""COMPUTED_VALUE"""),90110.0)</f>
        <v>90110</v>
      </c>
      <c r="AD1358" s="3">
        <f>IFERROR(__xludf.DUMMYFUNCTION("""COMPUTED_VALUE"""),7.000036)</f>
        <v>7.000036</v>
      </c>
      <c r="AE1358" s="3">
        <f>IFERROR(__xludf.DUMMYFUNCTION("""COMPUTED_VALUE"""),100.464061)</f>
        <v>100.464061</v>
      </c>
      <c r="AF1358" s="3" t="str">
        <f>IFERROR(__xludf.DUMMYFUNCTION("""COMPUTED_VALUE"""),"MBC ถนนราษฎร์อุทิศ (หาดใหญ่) สงขลา-22041")</f>
        <v>MBC ถนนราษฎร์อุทิศ (หาดใหญ่) สงขลา-22041</v>
      </c>
      <c r="AG1358" s="3" t="str">
        <f>IFERROR(__xludf.DUMMYFUNCTION("""COMPUTED_VALUE"""),"ใต้")</f>
        <v>ใต้</v>
      </c>
      <c r="AH1358" s="3" t="str">
        <f>IFERROR(__xludf.DUMMYFUNCTION("""COMPUTED_VALUE"""),"#N/A")</f>
        <v>#N/A</v>
      </c>
      <c r="AI1358" s="3" t="str">
        <f>IFERROR(__xludf.DUMMYFUNCTION("""COMPUTED_VALUE"""),"In warranty")</f>
        <v>In warranty</v>
      </c>
      <c r="AJ1358" s="3">
        <f>IFERROR(__xludf.DUMMYFUNCTION("""COMPUTED_VALUE"""),0.0)</f>
        <v>0</v>
      </c>
      <c r="AK1358" s="3" t="str">
        <f>IFERROR(__xludf.DUMMYFUNCTION("""COMPUTED_VALUE"""),"MMS16")</f>
        <v>MMS16</v>
      </c>
      <c r="AL1358" s="3"/>
    </row>
    <row r="1359" ht="15.75" customHeight="1">
      <c r="A1359" s="1" t="str">
        <f>IFERROR(__xludf.DUMMYFUNCTION("""COMPUTED_VALUE"""),"22042")</f>
        <v>22042</v>
      </c>
      <c r="B1359" s="2">
        <f>IFERROR(__xludf.DUMMYFUNCTION("""COMPUTED_VALUE"""),22042.0)</f>
        <v>22042</v>
      </c>
      <c r="C1359" s="3" t="str">
        <f>IFERROR(__xludf.DUMMYFUNCTION("""COMPUTED_VALUE"""),"MBC กุดข้าวปุ้น อุบลราชธานี")</f>
        <v>MBC กุดข้าวปุ้น อุบลราชธานี</v>
      </c>
      <c r="D1359" s="3" t="str">
        <f>IFERROR(__xludf.DUMMYFUNCTION("""COMPUTED_VALUE"""),"BCM KUTHAOPUN,UBONRATCHATHANI")</f>
        <v>BCM KUTHAOPUN,UBONRATCHATHANI</v>
      </c>
      <c r="E1359" s="1" t="str">
        <f>IFERROR(__xludf.DUMMYFUNCTION("""COMPUTED_VALUE"""),"บิ๊กซี MINI")</f>
        <v>บิ๊กซี MINI</v>
      </c>
      <c r="F1359" s="1" t="str">
        <f>IFERROR(__xludf.DUMMYFUNCTION("""COMPUTED_VALUE"""),"291105")</f>
        <v>291105</v>
      </c>
      <c r="G1359" s="1" t="str">
        <f>IFERROR(__xludf.DUMMYFUNCTION("""COMPUTED_VALUE"""),"นายสราวุฒิ พณิชยกุล")</f>
        <v>นายสราวุฒิ พณิชยกุล</v>
      </c>
      <c r="H1359" s="1" t="str">
        <f>IFERROR(__xludf.DUMMYFUNCTION("""COMPUTED_VALUE"""),"250772")</f>
        <v>250772</v>
      </c>
      <c r="I1359" s="1" t="str">
        <f>IFERROR(__xludf.DUMMYFUNCTION("""COMPUTED_VALUE"""),"น.ส.วรุณยุพา จรูญไธสง")</f>
        <v>น.ส.วรุณยุพา จรูญไธสง</v>
      </c>
      <c r="J1359" s="3">
        <f>IFERROR(__xludf.DUMMYFUNCTION("""COMPUTED_VALUE"""),2454781.0)</f>
        <v>2454781</v>
      </c>
      <c r="K1359" s="3" t="str">
        <f>IFERROR(__xludf.DUMMYFUNCTION("""COMPUTED_VALUE"""),"นายฌานกฤช นันทะโคต")</f>
        <v>นายฌานกฤช นันทะโคต</v>
      </c>
      <c r="L1359" s="1" t="str">
        <f>IFERROR(__xludf.DUMMYFUNCTION("""COMPUTED_VALUE"""),"05 K.Chanakrit N.")</f>
        <v>05 K.Chanakrit N.</v>
      </c>
      <c r="M1359" s="1" t="str">
        <f>IFERROR(__xludf.DUMMYFUNCTION("""COMPUTED_VALUE"""),"090-978-9785 ,065-929-1320")</f>
        <v>090-978-9785 ,065-929-1320</v>
      </c>
      <c r="N1359" s="3">
        <f>IFERROR(__xludf.DUMMYFUNCTION("""COMPUTED_VALUE"""),22195.0)</f>
        <v>22195</v>
      </c>
      <c r="O1359" s="3" t="str">
        <f>IFERROR(__xludf.DUMMYFUNCTION("""COMPUTED_VALUE"""),"MBC กันทรลักษ์ ศรีสะเกษ")</f>
        <v>MBC กันทรลักษ์ ศรีสะเกษ</v>
      </c>
      <c r="P1359" s="4">
        <f>IFERROR(__xludf.DUMMYFUNCTION("""COMPUTED_VALUE"""),43814.0)</f>
        <v>43814</v>
      </c>
      <c r="Q1359" s="3" t="str">
        <f>IFERROR(__xludf.DUMMYFUNCTION("""COMPUTED_VALUE"""),"A")</f>
        <v>A</v>
      </c>
      <c r="R1359" s="3" t="str">
        <f>IFERROR(__xludf.DUMMYFUNCTION("""COMPUTED_VALUE"""),"Small Format")</f>
        <v>Small Format</v>
      </c>
      <c r="S1359" s="3" t="str">
        <f>IFERROR(__xludf.DUMMYFUNCTION("""COMPUTED_VALUE"""),"BCM")</f>
        <v>BCM</v>
      </c>
      <c r="T1359" s="3" t="str">
        <f>IFERROR(__xludf.DUMMYFUNCTION("""COMPUTED_VALUE"""),"#N/A")</f>
        <v>#N/A</v>
      </c>
      <c r="U1359" s="3" t="str">
        <f>IFERROR(__xludf.DUMMYFUNCTION("""COMPUTED_VALUE"""),"#N/A")</f>
        <v>#N/A</v>
      </c>
      <c r="V1359" s="3" t="str">
        <f>IFERROR(__xludf.DUMMYFUNCTION("""COMPUTED_VALUE"""),"N")</f>
        <v>N</v>
      </c>
      <c r="W1359" s="3">
        <f>IFERROR(__xludf.DUMMYFUNCTION("""COMPUTED_VALUE"""),210100.0)</f>
        <v>210100</v>
      </c>
      <c r="X1359" s="3" t="str">
        <f>IFERROR(__xludf.DUMMYFUNCTION("""COMPUTED_VALUE"""),"339 หมู่14 ตำบลข้าวปุ้น อำเภอกุดข้าวปุ้น จังหวัดอุบลราชธานี 34270")</f>
        <v>339 หมู่14 ตำบลข้าวปุ้น อำเภอกุดข้าวปุ้น จังหวัดอุบลราชธานี 34270</v>
      </c>
      <c r="Y1359" s="3"/>
      <c r="Z1359" s="3" t="str">
        <f>IFERROR(__xludf.DUMMYFUNCTION("""COMPUTED_VALUE"""),"ข้าวปุ้น")</f>
        <v>ข้าวปุ้น</v>
      </c>
      <c r="AA1359" s="3" t="str">
        <f>IFERROR(__xludf.DUMMYFUNCTION("""COMPUTED_VALUE"""),"กุดข้าวปุ้น")</f>
        <v>กุดข้าวปุ้น</v>
      </c>
      <c r="AB1359" s="3" t="str">
        <f>IFERROR(__xludf.DUMMYFUNCTION("""COMPUTED_VALUE"""),"อุบลราชธานี")</f>
        <v>อุบลราชธานี</v>
      </c>
      <c r="AC1359" s="3">
        <f>IFERROR(__xludf.DUMMYFUNCTION("""COMPUTED_VALUE"""),34270.0)</f>
        <v>34270</v>
      </c>
      <c r="AD1359" s="3">
        <f>IFERROR(__xludf.DUMMYFUNCTION("""COMPUTED_VALUE"""),15.791327)</f>
        <v>15.791327</v>
      </c>
      <c r="AE1359" s="3">
        <f>IFERROR(__xludf.DUMMYFUNCTION("""COMPUTED_VALUE"""),104.994104)</f>
        <v>104.994104</v>
      </c>
      <c r="AF1359" s="3" t="str">
        <f>IFERROR(__xludf.DUMMYFUNCTION("""COMPUTED_VALUE"""),"MBC กุดข้าวปุ้น อุบลราชธานี-22042")</f>
        <v>MBC กุดข้าวปุ้น อุบลราชธานี-22042</v>
      </c>
      <c r="AG1359" s="3" t="str">
        <f>IFERROR(__xludf.DUMMYFUNCTION("""COMPUTED_VALUE"""),"ตะวันออกเฉียงเหนือ")</f>
        <v>ตะวันออกเฉียงเหนือ</v>
      </c>
      <c r="AH1359" s="3" t="str">
        <f>IFERROR(__xludf.DUMMYFUNCTION("""COMPUTED_VALUE"""),"#N/A")</f>
        <v>#N/A</v>
      </c>
      <c r="AI1359" s="3" t="str">
        <f>IFERROR(__xludf.DUMMYFUNCTION("""COMPUTED_VALUE"""),"Out of warranty")</f>
        <v>Out of warranty</v>
      </c>
      <c r="AJ1359" s="3">
        <f>IFERROR(__xludf.DUMMYFUNCTION("""COMPUTED_VALUE"""),74.0)</f>
        <v>74</v>
      </c>
      <c r="AK1359" s="3" t="str">
        <f>IFERROR(__xludf.DUMMYFUNCTION("""COMPUTED_VALUE"""),"MMS13")</f>
        <v>MMS13</v>
      </c>
      <c r="AL1359" s="3"/>
    </row>
    <row r="1360" ht="15.75" customHeight="1">
      <c r="A1360" s="1" t="str">
        <f>IFERROR(__xludf.DUMMYFUNCTION("""COMPUTED_VALUE"""),"22043")</f>
        <v>22043</v>
      </c>
      <c r="B1360" s="2">
        <f>IFERROR(__xludf.DUMMYFUNCTION("""COMPUTED_VALUE"""),22043.0)</f>
        <v>22043</v>
      </c>
      <c r="C1360" s="3" t="str">
        <f>IFERROR(__xludf.DUMMYFUNCTION("""COMPUTED_VALUE"""),"MBC ธาตุพนม นครพนม")</f>
        <v>MBC ธาตุพนม นครพนม</v>
      </c>
      <c r="D1360" s="3" t="str">
        <f>IFERROR(__xludf.DUMMYFUNCTION("""COMPUTED_VALUE"""),"BCM THAT PHANOM, NAKHON PHANOM")</f>
        <v>BCM THAT PHANOM, NAKHON PHANOM</v>
      </c>
      <c r="E1360" s="1" t="str">
        <f>IFERROR(__xludf.DUMMYFUNCTION("""COMPUTED_VALUE"""),"บิ๊กซี MINI")</f>
        <v>บิ๊กซี MINI</v>
      </c>
      <c r="F1360" s="1" t="str">
        <f>IFERROR(__xludf.DUMMYFUNCTION("""COMPUTED_VALUE"""),"291105")</f>
        <v>291105</v>
      </c>
      <c r="G1360" s="1" t="str">
        <f>IFERROR(__xludf.DUMMYFUNCTION("""COMPUTED_VALUE"""),"นายสราวุฒิ พณิชยกุล")</f>
        <v>นายสราวุฒิ พณิชยกุล</v>
      </c>
      <c r="H1360" s="1" t="str">
        <f>IFERROR(__xludf.DUMMYFUNCTION("""COMPUTED_VALUE"""),"392885")</f>
        <v>392885</v>
      </c>
      <c r="I1360" s="1" t="str">
        <f>IFERROR(__xludf.DUMMYFUNCTION("""COMPUTED_VALUE"""),"น.ส.วราพร จันปลิว")</f>
        <v>น.ส.วราพร จันปลิว</v>
      </c>
      <c r="J1360" s="3">
        <f>IFERROR(__xludf.DUMMYFUNCTION("""COMPUTED_VALUE"""),296868.0)</f>
        <v>296868</v>
      </c>
      <c r="K1360" s="3" t="str">
        <f>IFERROR(__xludf.DUMMYFUNCTION("""COMPUTED_VALUE"""),"นายพีระพงษ์ แก้วดวงดี")</f>
        <v>นายพีระพงษ์ แก้วดวงดี</v>
      </c>
      <c r="L1360" s="1" t="str">
        <f>IFERROR(__xludf.DUMMYFUNCTION("""COMPUTED_VALUE"""),"03 K.Peerapong K.")</f>
        <v>03 K.Peerapong K.</v>
      </c>
      <c r="M1360" s="1" t="str">
        <f>IFERROR(__xludf.DUMMYFUNCTION("""COMPUTED_VALUE"""),"089-002-6599")</f>
        <v>089-002-6599</v>
      </c>
      <c r="N1360" s="3">
        <f>IFERROR(__xludf.DUMMYFUNCTION("""COMPUTED_VALUE"""),21946.0)</f>
        <v>21946</v>
      </c>
      <c r="O1360" s="3" t="str">
        <f>IFERROR(__xludf.DUMMYFUNCTION("""COMPUTED_VALUE"""),"MBC เซกา บึงกาฬ")</f>
        <v>MBC เซกา บึงกาฬ</v>
      </c>
      <c r="P1360" s="4">
        <f>IFERROR(__xludf.DUMMYFUNCTION("""COMPUTED_VALUE"""),43817.0)</f>
        <v>43817</v>
      </c>
      <c r="Q1360" s="3" t="str">
        <f>IFERROR(__xludf.DUMMYFUNCTION("""COMPUTED_VALUE"""),"A")</f>
        <v>A</v>
      </c>
      <c r="R1360" s="3" t="str">
        <f>IFERROR(__xludf.DUMMYFUNCTION("""COMPUTED_VALUE"""),"Small Format")</f>
        <v>Small Format</v>
      </c>
      <c r="S1360" s="3" t="str">
        <f>IFERROR(__xludf.DUMMYFUNCTION("""COMPUTED_VALUE"""),"BCM")</f>
        <v>BCM</v>
      </c>
      <c r="T1360" s="3" t="str">
        <f>IFERROR(__xludf.DUMMYFUNCTION("""COMPUTED_VALUE"""),"#N/A")</f>
        <v>#N/A</v>
      </c>
      <c r="U1360" s="3" t="str">
        <f>IFERROR(__xludf.DUMMYFUNCTION("""COMPUTED_VALUE"""),"#N/A")</f>
        <v>#N/A</v>
      </c>
      <c r="V1360" s="3" t="str">
        <f>IFERROR(__xludf.DUMMYFUNCTION("""COMPUTED_VALUE"""),"N")</f>
        <v>N</v>
      </c>
      <c r="W1360" s="3">
        <f>IFERROR(__xludf.DUMMYFUNCTION("""COMPUTED_VALUE"""),210092.0)</f>
        <v>210092</v>
      </c>
      <c r="X1360" s="3" t="str">
        <f>IFERROR(__xludf.DUMMYFUNCTION("""COMPUTED_VALUE"""),"369,369/1 หมู่13 ตำบลธาตุพนม อำเภอธาตุพนม จังหวัดนครพนม 48110")</f>
        <v>369,369/1 หมู่13 ตำบลธาตุพนม อำเภอธาตุพนม จังหวัดนครพนม 48110</v>
      </c>
      <c r="Y1360" s="3"/>
      <c r="Z1360" s="3" t="str">
        <f>IFERROR(__xludf.DUMMYFUNCTION("""COMPUTED_VALUE"""),"ธาตุพนม")</f>
        <v>ธาตุพนม</v>
      </c>
      <c r="AA1360" s="3" t="str">
        <f>IFERROR(__xludf.DUMMYFUNCTION("""COMPUTED_VALUE"""),"ธาตุพนม")</f>
        <v>ธาตุพนม</v>
      </c>
      <c r="AB1360" s="3" t="str">
        <f>IFERROR(__xludf.DUMMYFUNCTION("""COMPUTED_VALUE"""),"นครพนม")</f>
        <v>นครพนม</v>
      </c>
      <c r="AC1360" s="3">
        <f>IFERROR(__xludf.DUMMYFUNCTION("""COMPUTED_VALUE"""),48110.0)</f>
        <v>48110</v>
      </c>
      <c r="AD1360" s="3">
        <f>IFERROR(__xludf.DUMMYFUNCTION("""COMPUTED_VALUE"""),16.946655)</f>
        <v>16.946655</v>
      </c>
      <c r="AE1360" s="3">
        <f>IFERROR(__xludf.DUMMYFUNCTION("""COMPUTED_VALUE"""),104.724712)</f>
        <v>104.724712</v>
      </c>
      <c r="AF1360" s="3" t="str">
        <f>IFERROR(__xludf.DUMMYFUNCTION("""COMPUTED_VALUE"""),"MBC ธาตุพนม นครพนม -22043")</f>
        <v>MBC ธาตุพนม นครพนม -22043</v>
      </c>
      <c r="AG1360" s="3" t="str">
        <f>IFERROR(__xludf.DUMMYFUNCTION("""COMPUTED_VALUE"""),"ตะวันออกเฉียงเหนือ")</f>
        <v>ตะวันออกเฉียงเหนือ</v>
      </c>
      <c r="AH1360" s="3" t="str">
        <f>IFERROR(__xludf.DUMMYFUNCTION("""COMPUTED_VALUE"""),"#N/A")</f>
        <v>#N/A</v>
      </c>
      <c r="AI1360" s="3" t="str">
        <f>IFERROR(__xludf.DUMMYFUNCTION("""COMPUTED_VALUE"""),"Out of warranty")</f>
        <v>Out of warranty</v>
      </c>
      <c r="AJ1360" s="3">
        <f>IFERROR(__xludf.DUMMYFUNCTION("""COMPUTED_VALUE"""),74.0)</f>
        <v>74</v>
      </c>
      <c r="AK1360" s="3" t="str">
        <f>IFERROR(__xludf.DUMMYFUNCTION("""COMPUTED_VALUE"""),"MMS12")</f>
        <v>MMS12</v>
      </c>
      <c r="AL1360" s="3"/>
    </row>
    <row r="1361" ht="15.75" customHeight="1">
      <c r="A1361" s="1" t="str">
        <f>IFERROR(__xludf.DUMMYFUNCTION("""COMPUTED_VALUE"""),"22044")</f>
        <v>22044</v>
      </c>
      <c r="B1361" s="2">
        <f>IFERROR(__xludf.DUMMYFUNCTION("""COMPUTED_VALUE"""),22044.0)</f>
        <v>22044</v>
      </c>
      <c r="C1361" s="3" t="str">
        <f>IFERROR(__xludf.DUMMYFUNCTION("""COMPUTED_VALUE"""),"MBC โรงพยาบาลธาตุพนม, นครพนม")</f>
        <v>MBC โรงพยาบาลธาตุพนม, นครพนม</v>
      </c>
      <c r="D1361" s="3" t="str">
        <f>IFERROR(__xludf.DUMMYFUNCTION("""COMPUTED_VALUE"""),"BCM THAT PHANOM HOSPITAL")</f>
        <v>BCM THAT PHANOM HOSPITAL</v>
      </c>
      <c r="E1361" s="1" t="str">
        <f>IFERROR(__xludf.DUMMYFUNCTION("""COMPUTED_VALUE"""),"บิ๊กซี MINI")</f>
        <v>บิ๊กซี MINI</v>
      </c>
      <c r="F1361" s="1" t="str">
        <f>IFERROR(__xludf.DUMMYFUNCTION("""COMPUTED_VALUE"""),"291105")</f>
        <v>291105</v>
      </c>
      <c r="G1361" s="1" t="str">
        <f>IFERROR(__xludf.DUMMYFUNCTION("""COMPUTED_VALUE"""),"นายสราวุฒิ พณิชยกุล")</f>
        <v>นายสราวุฒิ พณิชยกุล</v>
      </c>
      <c r="H1361" s="1" t="str">
        <f>IFERROR(__xludf.DUMMYFUNCTION("""COMPUTED_VALUE"""),"312134")</f>
        <v>312134</v>
      </c>
      <c r="I1361" s="1" t="str">
        <f>IFERROR(__xludf.DUMMYFUNCTION("""COMPUTED_VALUE"""),"น.ส.ปัณทณินันท์ พงศ์ชิระอังกูร")</f>
        <v>น.ส.ปัณทณินันท์ พงศ์ชิระอังกูร</v>
      </c>
      <c r="J1361" s="3">
        <f>IFERROR(__xludf.DUMMYFUNCTION("""COMPUTED_VALUE"""),295886.0)</f>
        <v>295886</v>
      </c>
      <c r="K1361" s="3" t="str">
        <f>IFERROR(__xludf.DUMMYFUNCTION("""COMPUTED_VALUE"""),"นายจิระพงษ์ โพธิ์นิล")</f>
        <v>นายจิระพงษ์ โพธิ์นิล</v>
      </c>
      <c r="L1361" s="1" t="str">
        <f>IFERROR(__xludf.DUMMYFUNCTION("""COMPUTED_VALUE"""),"นายจิระพงษ์ โพธิ์นิล")</f>
        <v>นายจิระพงษ์ โพธิ์นิล</v>
      </c>
      <c r="M1361" s="1" t="str">
        <f>IFERROR(__xludf.DUMMYFUNCTION("""COMPUTED_VALUE"""),"0933290754")</f>
        <v>0933290754</v>
      </c>
      <c r="N1361" s="3">
        <f>IFERROR(__xludf.DUMMYFUNCTION("""COMPUTED_VALUE"""),21622.0)</f>
        <v>21622</v>
      </c>
      <c r="O1361" s="3" t="str">
        <f>IFERROR(__xludf.DUMMYFUNCTION("""COMPUTED_VALUE"""),"MBC ตลาดบ้านดอน")</f>
        <v>MBC ตลาดบ้านดอน</v>
      </c>
      <c r="P1361" s="4">
        <f>IFERROR(__xludf.DUMMYFUNCTION("""COMPUTED_VALUE"""),43818.0)</f>
        <v>43818</v>
      </c>
      <c r="Q1361" s="3" t="str">
        <f>IFERROR(__xludf.DUMMYFUNCTION("""COMPUTED_VALUE"""),"I")</f>
        <v>I</v>
      </c>
      <c r="R1361" s="3" t="str">
        <f>IFERROR(__xludf.DUMMYFUNCTION("""COMPUTED_VALUE"""),"Small Format")</f>
        <v>Small Format</v>
      </c>
      <c r="S1361" s="3" t="str">
        <f>IFERROR(__xludf.DUMMYFUNCTION("""COMPUTED_VALUE"""),"BCM")</f>
        <v>BCM</v>
      </c>
      <c r="T1361" s="3" t="str">
        <f>IFERROR(__xludf.DUMMYFUNCTION("""COMPUTED_VALUE"""),"#N/A")</f>
        <v>#N/A</v>
      </c>
      <c r="U1361" s="3" t="str">
        <f>IFERROR(__xludf.DUMMYFUNCTION("""COMPUTED_VALUE"""),"#N/A")</f>
        <v>#N/A</v>
      </c>
      <c r="V1361" s="3" t="str">
        <f>IFERROR(__xludf.DUMMYFUNCTION("""COMPUTED_VALUE"""),"N")</f>
        <v>N</v>
      </c>
      <c r="W1361" s="3">
        <f>IFERROR(__xludf.DUMMYFUNCTION("""COMPUTED_VALUE"""),210093.0)</f>
        <v>210093</v>
      </c>
      <c r="X1361" s="3" t="str">
        <f>IFERROR(__xludf.DUMMYFUNCTION("""COMPUTED_VALUE"""),"255 หมู่8 ตำบลธาตุพนม อำเภอธาตุพนม จังหวัดนครพนม 48110")</f>
        <v>255 หมู่8 ตำบลธาตุพนม อำเภอธาตุพนม จังหวัดนครพนม 48110</v>
      </c>
      <c r="Y1361" s="3"/>
      <c r="Z1361" s="3" t="str">
        <f>IFERROR(__xludf.DUMMYFUNCTION("""COMPUTED_VALUE"""),"ธาตุพนม")</f>
        <v>ธาตุพนม</v>
      </c>
      <c r="AA1361" s="3" t="str">
        <f>IFERROR(__xludf.DUMMYFUNCTION("""COMPUTED_VALUE"""),"ธาตุพนม")</f>
        <v>ธาตุพนม</v>
      </c>
      <c r="AB1361" s="3" t="str">
        <f>IFERROR(__xludf.DUMMYFUNCTION("""COMPUTED_VALUE"""),"นครพนม")</f>
        <v>นครพนม</v>
      </c>
      <c r="AC1361" s="3">
        <f>IFERROR(__xludf.DUMMYFUNCTION("""COMPUTED_VALUE"""),48110.0)</f>
        <v>48110</v>
      </c>
      <c r="AD1361" s="3">
        <f>IFERROR(__xludf.DUMMYFUNCTION("""COMPUTED_VALUE"""),16.936536)</f>
        <v>16.936536</v>
      </c>
      <c r="AE1361" s="3">
        <f>IFERROR(__xludf.DUMMYFUNCTION("""COMPUTED_VALUE"""),104.712536)</f>
        <v>104.712536</v>
      </c>
      <c r="AF1361" s="3" t="str">
        <f>IFERROR(__xludf.DUMMYFUNCTION("""COMPUTED_VALUE"""),"MBC โรงพยาบาลธาตุพนม, นครพนม-22044")</f>
        <v>MBC โรงพยาบาลธาตุพนม, นครพนม-22044</v>
      </c>
      <c r="AG1361" s="3" t="str">
        <f>IFERROR(__xludf.DUMMYFUNCTION("""COMPUTED_VALUE"""),"ตะวันออกเฉียงเหนือ")</f>
        <v>ตะวันออกเฉียงเหนือ</v>
      </c>
      <c r="AH1361" s="3" t="str">
        <f>IFERROR(__xludf.DUMMYFUNCTION("""COMPUTED_VALUE"""),"#N/A")</f>
        <v>#N/A</v>
      </c>
      <c r="AI1361" s="3" t="str">
        <f>IFERROR(__xludf.DUMMYFUNCTION("""COMPUTED_VALUE"""),"Out of warranty")</f>
        <v>Out of warranty</v>
      </c>
      <c r="AJ1361" s="3">
        <f>IFERROR(__xludf.DUMMYFUNCTION("""COMPUTED_VALUE"""),74.0)</f>
        <v>74</v>
      </c>
      <c r="AK1361" s="3" t="str">
        <f>IFERROR(__xludf.DUMMYFUNCTION("""COMPUTED_VALUE"""),"MMS12")</f>
        <v>MMS12</v>
      </c>
      <c r="AL1361" s="3"/>
    </row>
    <row r="1362" ht="15.75" customHeight="1">
      <c r="A1362" s="1" t="str">
        <f>IFERROR(__xludf.DUMMYFUNCTION("""COMPUTED_VALUE"""),"22045")</f>
        <v>22045</v>
      </c>
      <c r="B1362" s="2">
        <f>IFERROR(__xludf.DUMMYFUNCTION("""COMPUTED_VALUE"""),22045.0)</f>
        <v>22045</v>
      </c>
      <c r="C1362" s="3" t="str">
        <f>IFERROR(__xludf.DUMMYFUNCTION("""COMPUTED_VALUE"""),"MBC เดอะ มิราเคิลพลัส เพชรเกษม 63 กรุงเทพมหานคร")</f>
        <v>MBC เดอะ มิราเคิลพลัส เพชรเกษม 63 กรุงเทพมหานคร</v>
      </c>
      <c r="D1362" s="3" t="str">
        <f>IFERROR(__xludf.DUMMYFUNCTION("""COMPUTED_VALUE"""),"BCM MIRACLE PLUS-PHETCHKASEM63")</f>
        <v>BCM MIRACLE PLUS-PHETCHKASEM63</v>
      </c>
      <c r="E1362" s="1" t="str">
        <f>IFERROR(__xludf.DUMMYFUNCTION("""COMPUTED_VALUE"""),"บิ๊กซี MINI")</f>
        <v>บิ๊กซี MINI</v>
      </c>
      <c r="F1362" s="1" t="str">
        <f>IFERROR(__xludf.DUMMYFUNCTION("""COMPUTED_VALUE"""),"291008")</f>
        <v>291008</v>
      </c>
      <c r="G1362" s="1" t="str">
        <f>IFERROR(__xludf.DUMMYFUNCTION("""COMPUTED_VALUE"""),"น.ส.รัชดาพร อีศรัตน์")</f>
        <v>น.ส.รัชดาพร อีศรัตน์</v>
      </c>
      <c r="H1362" s="1" t="str">
        <f>IFERROR(__xludf.DUMMYFUNCTION("""COMPUTED_VALUE"""),"291101")</f>
        <v>291101</v>
      </c>
      <c r="I1362" s="1" t="str">
        <f>IFERROR(__xludf.DUMMYFUNCTION("""COMPUTED_VALUE"""),"นายจักรพงศ์ โพธิ์ศรี")</f>
        <v>นายจักรพงศ์ โพธิ์ศรี</v>
      </c>
      <c r="J1362" s="3">
        <f>IFERROR(__xludf.DUMMYFUNCTION("""COMPUTED_VALUE"""),296608.0)</f>
        <v>296608</v>
      </c>
      <c r="K1362" s="3" t="str">
        <f>IFERROR(__xludf.DUMMYFUNCTION("""COMPUTED_VALUE"""),"นายภาคภูมิ เพ็ชรนิล")</f>
        <v>นายภาคภูมิ เพ็ชรนิล</v>
      </c>
      <c r="L1362" s="1" t="str">
        <f>IFERROR(__xludf.DUMMYFUNCTION("""COMPUTED_VALUE"""),"10 K.Phakphoom P.")</f>
        <v>10 K.Phakphoom P.</v>
      </c>
      <c r="M1362" s="1" t="str">
        <f>IFERROR(__xludf.DUMMYFUNCTION("""COMPUTED_VALUE"""),"063-8955329")</f>
        <v>063-8955329</v>
      </c>
      <c r="N1362" s="3">
        <f>IFERROR(__xludf.DUMMYFUNCTION("""COMPUTED_VALUE"""),22584.0)</f>
        <v>22584</v>
      </c>
      <c r="O1362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362" s="4">
        <f>IFERROR(__xludf.DUMMYFUNCTION("""COMPUTED_VALUE"""),43824.0)</f>
        <v>43824</v>
      </c>
      <c r="Q1362" s="3" t="str">
        <f>IFERROR(__xludf.DUMMYFUNCTION("""COMPUTED_VALUE"""),"A")</f>
        <v>A</v>
      </c>
      <c r="R1362" s="3" t="str">
        <f>IFERROR(__xludf.DUMMYFUNCTION("""COMPUTED_VALUE"""),"Small Format")</f>
        <v>Small Format</v>
      </c>
      <c r="S1362" s="3" t="str">
        <f>IFERROR(__xludf.DUMMYFUNCTION("""COMPUTED_VALUE"""),"BCM")</f>
        <v>BCM</v>
      </c>
      <c r="T1362" s="3" t="str">
        <f>IFERROR(__xludf.DUMMYFUNCTION("""COMPUTED_VALUE"""),"#N/A")</f>
        <v>#N/A</v>
      </c>
      <c r="U1362" s="3" t="str">
        <f>IFERROR(__xludf.DUMMYFUNCTION("""COMPUTED_VALUE"""),"#N/A")</f>
        <v>#N/A</v>
      </c>
      <c r="V1362" s="3" t="str">
        <f>IFERROR(__xludf.DUMMYFUNCTION("""COMPUTED_VALUE"""),"N")</f>
        <v>N</v>
      </c>
      <c r="W1362" s="3">
        <f>IFERROR(__xludf.DUMMYFUNCTION("""COMPUTED_VALUE"""),210081.0)</f>
        <v>210081</v>
      </c>
      <c r="X1362" s="3" t="str">
        <f>IFERROR(__xludf.DUMMYFUNCTION("""COMPUTED_VALUE"""),"1239/34-36 ซอยเพชรเกษม63 แขวงหลักสอง เขตบางแค กรุงเทพมหานคร 10160")</f>
        <v>1239/34-36 ซอยเพชรเกษม63 แขวงหลักสอง เขตบางแค กรุงเทพมหานคร 10160</v>
      </c>
      <c r="Y1362" s="3" t="str">
        <f>IFERROR(__xludf.DUMMYFUNCTION("""COMPUTED_VALUE"""),"ซอยเพชรเกษม63")</f>
        <v>ซอยเพชรเกษม63</v>
      </c>
      <c r="Z1362" s="3" t="str">
        <f>IFERROR(__xludf.DUMMYFUNCTION("""COMPUTED_VALUE"""),"หลักสอง")</f>
        <v>หลักสอง</v>
      </c>
      <c r="AA1362" s="3" t="str">
        <f>IFERROR(__xludf.DUMMYFUNCTION("""COMPUTED_VALUE"""),"บางแค")</f>
        <v>บางแค</v>
      </c>
      <c r="AB1362" s="3" t="str">
        <f>IFERROR(__xludf.DUMMYFUNCTION("""COMPUTED_VALUE"""),"กรุงเทพมหานคร")</f>
        <v>กรุงเทพมหานคร</v>
      </c>
      <c r="AC1362" s="3">
        <f>IFERROR(__xludf.DUMMYFUNCTION("""COMPUTED_VALUE"""),10160.0)</f>
        <v>10160</v>
      </c>
      <c r="AD1362" s="3">
        <f>IFERROR(__xludf.DUMMYFUNCTION("""COMPUTED_VALUE"""),13.689981)</f>
        <v>13.689981</v>
      </c>
      <c r="AE1362" s="3">
        <f>IFERROR(__xludf.DUMMYFUNCTION("""COMPUTED_VALUE"""),100.391388)</f>
        <v>100.391388</v>
      </c>
      <c r="AF1362" s="3" t="str">
        <f>IFERROR(__xludf.DUMMYFUNCTION("""COMPUTED_VALUE"""),"MBC เดอะ มิราเคิลพลัส เพชรเกษม 63 กรุงเทพมหานคร-22045")</f>
        <v>MBC เดอะ มิราเคิลพลัส เพชรเกษม 63 กรุงเทพมหานคร-22045</v>
      </c>
      <c r="AG1362" s="3" t="str">
        <f>IFERROR(__xludf.DUMMYFUNCTION("""COMPUTED_VALUE"""),"กลาง")</f>
        <v>กลาง</v>
      </c>
      <c r="AH1362" s="3" t="str">
        <f>IFERROR(__xludf.DUMMYFUNCTION("""COMPUTED_VALUE"""),"#N/A")</f>
        <v>#N/A</v>
      </c>
      <c r="AI1362" s="3" t="str">
        <f>IFERROR(__xludf.DUMMYFUNCTION("""COMPUTED_VALUE"""),"Out of warranty")</f>
        <v>Out of warranty</v>
      </c>
      <c r="AJ1362" s="3">
        <f>IFERROR(__xludf.DUMMYFUNCTION("""COMPUTED_VALUE"""),73.0)</f>
        <v>73</v>
      </c>
      <c r="AK1362" s="3" t="str">
        <f>IFERROR(__xludf.DUMMYFUNCTION("""COMPUTED_VALUE"""),"MMS02")</f>
        <v>MMS02</v>
      </c>
      <c r="AL1362" s="3"/>
    </row>
    <row r="1363" ht="15.75" customHeight="1">
      <c r="A1363" s="1" t="str">
        <f>IFERROR(__xludf.DUMMYFUNCTION("""COMPUTED_VALUE"""),"22046")</f>
        <v>22046</v>
      </c>
      <c r="B1363" s="2">
        <f>IFERROR(__xludf.DUMMYFUNCTION("""COMPUTED_VALUE"""),22046.0)</f>
        <v>22046</v>
      </c>
      <c r="C1363" s="3" t="str">
        <f>IFERROR(__xludf.DUMMYFUNCTION("""COMPUTED_VALUE"""),"MBC ปทุมราชวงศา อำนาจเจริญ")</f>
        <v>MBC ปทุมราชวงศา อำนาจเจริญ</v>
      </c>
      <c r="D1363" s="3" t="str">
        <f>IFERROR(__xludf.DUMMYFUNCTION("""COMPUTED_VALUE"""),"BCM PATHUMRATCHAWONGSAM")</f>
        <v>BCM PATHUMRATCHAWONGSAM</v>
      </c>
      <c r="E1363" s="1" t="str">
        <f>IFERROR(__xludf.DUMMYFUNCTION("""COMPUTED_VALUE"""),"บิ๊กซี MINI")</f>
        <v>บิ๊กซี MINI</v>
      </c>
      <c r="F1363" s="1" t="str">
        <f>IFERROR(__xludf.DUMMYFUNCTION("""COMPUTED_VALUE"""),"291105")</f>
        <v>291105</v>
      </c>
      <c r="G1363" s="1" t="str">
        <f>IFERROR(__xludf.DUMMYFUNCTION("""COMPUTED_VALUE"""),"นายสราวุฒิ พณิชยกุล")</f>
        <v>นายสราวุฒิ พณิชยกุล</v>
      </c>
      <c r="H1363" s="1" t="str">
        <f>IFERROR(__xludf.DUMMYFUNCTION("""COMPUTED_VALUE"""),"398285")</f>
        <v>398285</v>
      </c>
      <c r="I1363" s="1" t="str">
        <f>IFERROR(__xludf.DUMMYFUNCTION("""COMPUTED_VALUE"""),"น.ส.พชิรา บุญจูง")</f>
        <v>น.ส.พชิรา บุญจูง</v>
      </c>
      <c r="J1363" s="3">
        <f>IFERROR(__xludf.DUMMYFUNCTION("""COMPUTED_VALUE"""),2454781.0)</f>
        <v>2454781</v>
      </c>
      <c r="K1363" s="3" t="str">
        <f>IFERROR(__xludf.DUMMYFUNCTION("""COMPUTED_VALUE"""),"นายฌานกฤช นันทะโคต")</f>
        <v>นายฌานกฤช นันทะโคต</v>
      </c>
      <c r="L1363" s="1" t="str">
        <f>IFERROR(__xludf.DUMMYFUNCTION("""COMPUTED_VALUE"""),"05 K.Chanakrit N.")</f>
        <v>05 K.Chanakrit N.</v>
      </c>
      <c r="M1363" s="1" t="str">
        <f>IFERROR(__xludf.DUMMYFUNCTION("""COMPUTED_VALUE"""),"090-978-9785 ,065-929-1320")</f>
        <v>090-978-9785 ,065-929-1320</v>
      </c>
      <c r="N1363" s="3">
        <f>IFERROR(__xludf.DUMMYFUNCTION("""COMPUTED_VALUE"""),22195.0)</f>
        <v>22195</v>
      </c>
      <c r="O1363" s="3" t="str">
        <f>IFERROR(__xludf.DUMMYFUNCTION("""COMPUTED_VALUE"""),"MBC กันทรลักษ์ ศรีสะเกษ")</f>
        <v>MBC กันทรลักษ์ ศรีสะเกษ</v>
      </c>
      <c r="P1363" s="4">
        <f>IFERROR(__xludf.DUMMYFUNCTION("""COMPUTED_VALUE"""),43817.0)</f>
        <v>43817</v>
      </c>
      <c r="Q1363" s="3" t="str">
        <f>IFERROR(__xludf.DUMMYFUNCTION("""COMPUTED_VALUE"""),"A")</f>
        <v>A</v>
      </c>
      <c r="R1363" s="3" t="str">
        <f>IFERROR(__xludf.DUMMYFUNCTION("""COMPUTED_VALUE"""),"Small Format")</f>
        <v>Small Format</v>
      </c>
      <c r="S1363" s="3" t="str">
        <f>IFERROR(__xludf.DUMMYFUNCTION("""COMPUTED_VALUE"""),"BCM")</f>
        <v>BCM</v>
      </c>
      <c r="T1363" s="3" t="str">
        <f>IFERROR(__xludf.DUMMYFUNCTION("""COMPUTED_VALUE"""),"#N/A")</f>
        <v>#N/A</v>
      </c>
      <c r="U1363" s="3" t="str">
        <f>IFERROR(__xludf.DUMMYFUNCTION("""COMPUTED_VALUE"""),"#N/A")</f>
        <v>#N/A</v>
      </c>
      <c r="V1363" s="3" t="str">
        <f>IFERROR(__xludf.DUMMYFUNCTION("""COMPUTED_VALUE"""),"N")</f>
        <v>N</v>
      </c>
      <c r="W1363" s="3">
        <f>IFERROR(__xludf.DUMMYFUNCTION("""COMPUTED_VALUE"""),210099.0)</f>
        <v>210099</v>
      </c>
      <c r="X1363" s="3" t="str">
        <f>IFERROR(__xludf.DUMMYFUNCTION("""COMPUTED_VALUE"""),"172 หมู่1 ตำบลนาหว้า อำเภอปทุมราชวงศา จังหวัดอำนาจเจริญ 37110")</f>
        <v>172 หมู่1 ตำบลนาหว้า อำเภอปทุมราชวงศา จังหวัดอำนาจเจริญ 37110</v>
      </c>
      <c r="Y1363" s="3"/>
      <c r="Z1363" s="3" t="str">
        <f>IFERROR(__xludf.DUMMYFUNCTION("""COMPUTED_VALUE"""),"นาหว้า")</f>
        <v>นาหว้า</v>
      </c>
      <c r="AA1363" s="3" t="str">
        <f>IFERROR(__xludf.DUMMYFUNCTION("""COMPUTED_VALUE"""),"ปทุมราชวงศา")</f>
        <v>ปทุมราชวงศา</v>
      </c>
      <c r="AB1363" s="3" t="str">
        <f>IFERROR(__xludf.DUMMYFUNCTION("""COMPUTED_VALUE"""),"อำนาจเจริญ")</f>
        <v>อำนาจเจริญ</v>
      </c>
      <c r="AC1363" s="3">
        <f>IFERROR(__xludf.DUMMYFUNCTION("""COMPUTED_VALUE"""),37110.0)</f>
        <v>37110</v>
      </c>
      <c r="AD1363" s="3">
        <f>IFERROR(__xludf.DUMMYFUNCTION("""COMPUTED_VALUE"""),15.886997)</f>
        <v>15.886997</v>
      </c>
      <c r="AE1363" s="3">
        <f>IFERROR(__xludf.DUMMYFUNCTION("""COMPUTED_VALUE"""),104.916058)</f>
        <v>104.916058</v>
      </c>
      <c r="AF1363" s="3" t="str">
        <f>IFERROR(__xludf.DUMMYFUNCTION("""COMPUTED_VALUE"""),"MBC ปทุมราชวงศา อำนาจเจริญ-22046")</f>
        <v>MBC ปทุมราชวงศา อำนาจเจริญ-22046</v>
      </c>
      <c r="AG1363" s="3" t="str">
        <f>IFERROR(__xludf.DUMMYFUNCTION("""COMPUTED_VALUE"""),"ตะวันออกเฉียงเหนือ")</f>
        <v>ตะวันออกเฉียงเหนือ</v>
      </c>
      <c r="AH1363" s="3" t="str">
        <f>IFERROR(__xludf.DUMMYFUNCTION("""COMPUTED_VALUE"""),"#N/A")</f>
        <v>#N/A</v>
      </c>
      <c r="AI1363" s="3" t="str">
        <f>IFERROR(__xludf.DUMMYFUNCTION("""COMPUTED_VALUE"""),"Out of warranty")</f>
        <v>Out of warranty</v>
      </c>
      <c r="AJ1363" s="3">
        <f>IFERROR(__xludf.DUMMYFUNCTION("""COMPUTED_VALUE"""),74.0)</f>
        <v>74</v>
      </c>
      <c r="AK1363" s="3" t="str">
        <f>IFERROR(__xludf.DUMMYFUNCTION("""COMPUTED_VALUE"""),"MMS13")</f>
        <v>MMS13</v>
      </c>
      <c r="AL1363" s="3"/>
    </row>
    <row r="1364" ht="15.75" customHeight="1">
      <c r="A1364" s="1" t="str">
        <f>IFERROR(__xludf.DUMMYFUNCTION("""COMPUTED_VALUE"""),"22047")</f>
        <v>22047</v>
      </c>
      <c r="B1364" s="2">
        <f>IFERROR(__xludf.DUMMYFUNCTION("""COMPUTED_VALUE"""),22047.0)</f>
        <v>22047</v>
      </c>
      <c r="C1364" s="3" t="str">
        <f>IFERROR(__xludf.DUMMYFUNCTION("""COMPUTED_VALUE"""),"MBC หอแก้ว มุกดาหาร")</f>
        <v>MBC หอแก้ว มุกดาหาร</v>
      </c>
      <c r="D1364" s="3" t="str">
        <f>IFERROR(__xludf.DUMMYFUNCTION("""COMPUTED_VALUE"""),"BCM HOR KEAW,MUKDAHAN")</f>
        <v>BCM HOR KEAW,MUKDAHAN</v>
      </c>
      <c r="E1364" s="1" t="str">
        <f>IFERROR(__xludf.DUMMYFUNCTION("""COMPUTED_VALUE"""),"บิ๊กซี MINI")</f>
        <v>บิ๊กซี MINI</v>
      </c>
      <c r="F1364" s="1" t="str">
        <f>IFERROR(__xludf.DUMMYFUNCTION("""COMPUTED_VALUE"""),"291105")</f>
        <v>291105</v>
      </c>
      <c r="G1364" s="1" t="str">
        <f>IFERROR(__xludf.DUMMYFUNCTION("""COMPUTED_VALUE"""),"นายสราวุฒิ พณิชยกุล")</f>
        <v>นายสราวุฒิ พณิชยกุล</v>
      </c>
      <c r="H1364" s="1" t="str">
        <f>IFERROR(__xludf.DUMMYFUNCTION("""COMPUTED_VALUE"""),"398285")</f>
        <v>398285</v>
      </c>
      <c r="I1364" s="1" t="str">
        <f>IFERROR(__xludf.DUMMYFUNCTION("""COMPUTED_VALUE"""),"น.ส.พชิรา บุญจูง")</f>
        <v>น.ส.พชิรา บุญจูง</v>
      </c>
      <c r="J1364" s="3">
        <f>IFERROR(__xludf.DUMMYFUNCTION("""COMPUTED_VALUE"""),2454781.0)</f>
        <v>2454781</v>
      </c>
      <c r="K1364" s="3" t="str">
        <f>IFERROR(__xludf.DUMMYFUNCTION("""COMPUTED_VALUE"""),"นายฌานกฤช นันทะโคต")</f>
        <v>นายฌานกฤช นันทะโคต</v>
      </c>
      <c r="L1364" s="1" t="str">
        <f>IFERROR(__xludf.DUMMYFUNCTION("""COMPUTED_VALUE"""),"05 K.Chanakrit N.")</f>
        <v>05 K.Chanakrit N.</v>
      </c>
      <c r="M1364" s="1" t="str">
        <f>IFERROR(__xludf.DUMMYFUNCTION("""COMPUTED_VALUE"""),"090-978-9785 ,065-929-1320")</f>
        <v>090-978-9785 ,065-929-1320</v>
      </c>
      <c r="N1364" s="3">
        <f>IFERROR(__xludf.DUMMYFUNCTION("""COMPUTED_VALUE"""),22195.0)</f>
        <v>22195</v>
      </c>
      <c r="O1364" s="3" t="str">
        <f>IFERROR(__xludf.DUMMYFUNCTION("""COMPUTED_VALUE"""),"MBC กันทรลักษ์ ศรีสะเกษ")</f>
        <v>MBC กันทรลักษ์ ศรีสะเกษ</v>
      </c>
      <c r="P1364" s="4">
        <f>IFERROR(__xludf.DUMMYFUNCTION("""COMPUTED_VALUE"""),43823.0)</f>
        <v>43823</v>
      </c>
      <c r="Q1364" s="3" t="str">
        <f>IFERROR(__xludf.DUMMYFUNCTION("""COMPUTED_VALUE"""),"A")</f>
        <v>A</v>
      </c>
      <c r="R1364" s="3" t="str">
        <f>IFERROR(__xludf.DUMMYFUNCTION("""COMPUTED_VALUE"""),"Small Format")</f>
        <v>Small Format</v>
      </c>
      <c r="S1364" s="3" t="str">
        <f>IFERROR(__xludf.DUMMYFUNCTION("""COMPUTED_VALUE"""),"BCM")</f>
        <v>BCM</v>
      </c>
      <c r="T1364" s="3" t="str">
        <f>IFERROR(__xludf.DUMMYFUNCTION("""COMPUTED_VALUE"""),"#N/A")</f>
        <v>#N/A</v>
      </c>
      <c r="U1364" s="3" t="str">
        <f>IFERROR(__xludf.DUMMYFUNCTION("""COMPUTED_VALUE"""),"#N/A")</f>
        <v>#N/A</v>
      </c>
      <c r="V1364" s="3" t="str">
        <f>IFERROR(__xludf.DUMMYFUNCTION("""COMPUTED_VALUE"""),"N")</f>
        <v>N</v>
      </c>
      <c r="W1364" s="3">
        <f>IFERROR(__xludf.DUMMYFUNCTION("""COMPUTED_VALUE"""),210096.0)</f>
        <v>210096</v>
      </c>
      <c r="X1364" s="3" t="str">
        <f>IFERROR(__xludf.DUMMYFUNCTION("""COMPUTED_VALUE"""),"75/2 ถนนมุกดาหาร-ดอนตาล ตำบลศรีบุญเรือง อำเภอเมืองมุกดาหาร จังหวัดมุกดาหาร 49000")</f>
        <v>75/2 ถนนมุกดาหาร-ดอนตาล ตำบลศรีบุญเรือง อำเภอเมืองมุกดาหาร จังหวัดมุกดาหาร 49000</v>
      </c>
      <c r="Y1364" s="3" t="str">
        <f>IFERROR(__xludf.DUMMYFUNCTION("""COMPUTED_VALUE"""),"ถนนมุกดาหาร-ดอนตาล")</f>
        <v>ถนนมุกดาหาร-ดอนตาล</v>
      </c>
      <c r="Z1364" s="3" t="str">
        <f>IFERROR(__xludf.DUMMYFUNCTION("""COMPUTED_VALUE"""),"ศรีบุญเรือง")</f>
        <v>ศรีบุญเรือง</v>
      </c>
      <c r="AA1364" s="3" t="str">
        <f>IFERROR(__xludf.DUMMYFUNCTION("""COMPUTED_VALUE"""),"เมือง")</f>
        <v>เมือง</v>
      </c>
      <c r="AB1364" s="3" t="str">
        <f>IFERROR(__xludf.DUMMYFUNCTION("""COMPUTED_VALUE"""),"มุกดาหาร")</f>
        <v>มุกดาหาร</v>
      </c>
      <c r="AC1364" s="3">
        <f>IFERROR(__xludf.DUMMYFUNCTION("""COMPUTED_VALUE"""),49000.0)</f>
        <v>49000</v>
      </c>
      <c r="AD1364" s="3">
        <f>IFERROR(__xludf.DUMMYFUNCTION("""COMPUTED_VALUE"""),16.533134)</f>
        <v>16.533134</v>
      </c>
      <c r="AE1364" s="3">
        <f>IFERROR(__xludf.DUMMYFUNCTION("""COMPUTED_VALUE"""),104.731944)</f>
        <v>104.731944</v>
      </c>
      <c r="AF1364" s="3" t="str">
        <f>IFERROR(__xludf.DUMMYFUNCTION("""COMPUTED_VALUE"""),"MBC หอแก้ว มุกดาหาร-22047")</f>
        <v>MBC หอแก้ว มุกดาหาร-22047</v>
      </c>
      <c r="AG1364" s="3" t="str">
        <f>IFERROR(__xludf.DUMMYFUNCTION("""COMPUTED_VALUE"""),"ตะวันออกเฉียงเหนือ")</f>
        <v>ตะวันออกเฉียงเหนือ</v>
      </c>
      <c r="AH1364" s="3" t="str">
        <f>IFERROR(__xludf.DUMMYFUNCTION("""COMPUTED_VALUE"""),"#N/A")</f>
        <v>#N/A</v>
      </c>
      <c r="AI1364" s="3" t="str">
        <f>IFERROR(__xludf.DUMMYFUNCTION("""COMPUTED_VALUE"""),"Out of warranty")</f>
        <v>Out of warranty</v>
      </c>
      <c r="AJ1364" s="3">
        <f>IFERROR(__xludf.DUMMYFUNCTION("""COMPUTED_VALUE"""),73.0)</f>
        <v>73</v>
      </c>
      <c r="AK1364" s="3" t="str">
        <f>IFERROR(__xludf.DUMMYFUNCTION("""COMPUTED_VALUE"""),"MMS13")</f>
        <v>MMS13</v>
      </c>
      <c r="AL1364" s="3"/>
    </row>
    <row r="1365" ht="15.75" customHeight="1">
      <c r="A1365" s="1" t="str">
        <f>IFERROR(__xludf.DUMMYFUNCTION("""COMPUTED_VALUE"""),"22048")</f>
        <v>22048</v>
      </c>
      <c r="B1365" s="2">
        <f>IFERROR(__xludf.DUMMYFUNCTION("""COMPUTED_VALUE"""),22048.0)</f>
        <v>22048</v>
      </c>
      <c r="C1365" s="3" t="str">
        <f>IFERROR(__xludf.DUMMYFUNCTION("""COMPUTED_VALUE"""),"MBC พิทักษ์พนมเขต มุกดาหาร")</f>
        <v>MBC พิทักษ์พนมเขต มุกดาหาร</v>
      </c>
      <c r="D1365" s="3" t="str">
        <f>IFERROR(__xludf.DUMMYFUNCTION("""COMPUTED_VALUE"""),"BCM PITAK PHANOMKHET")</f>
        <v>BCM PITAK PHANOMKHET</v>
      </c>
      <c r="E1365" s="1" t="str">
        <f>IFERROR(__xludf.DUMMYFUNCTION("""COMPUTED_VALUE"""),"บิ๊กซี MINI")</f>
        <v>บิ๊กซี MINI</v>
      </c>
      <c r="F1365" s="1" t="str">
        <f>IFERROR(__xludf.DUMMYFUNCTION("""COMPUTED_VALUE"""),"291105")</f>
        <v>291105</v>
      </c>
      <c r="G1365" s="1" t="str">
        <f>IFERROR(__xludf.DUMMYFUNCTION("""COMPUTED_VALUE"""),"นายสราวุฒิ พณิชยกุล")</f>
        <v>นายสราวุฒิ พณิชยกุล</v>
      </c>
      <c r="H1365" s="1" t="str">
        <f>IFERROR(__xludf.DUMMYFUNCTION("""COMPUTED_VALUE"""),"305119")</f>
        <v>305119</v>
      </c>
      <c r="I1365" s="1" t="str">
        <f>IFERROR(__xludf.DUMMYFUNCTION("""COMPUTED_VALUE"""),"นายไชยกร ลีพิบูลย์สวัสดิ์")</f>
        <v>นายไชยกร ลีพิบูลย์สวัสดิ์</v>
      </c>
      <c r="J1365" s="3">
        <f>IFERROR(__xludf.DUMMYFUNCTION("""COMPUTED_VALUE"""),295886.0)</f>
        <v>295886</v>
      </c>
      <c r="K1365" s="3" t="str">
        <f>IFERROR(__xludf.DUMMYFUNCTION("""COMPUTED_VALUE"""),"นายจิระพงษ์ โพธิ์นิล")</f>
        <v>นายจิระพงษ์ โพธิ์นิล</v>
      </c>
      <c r="L1365" s="1" t="str">
        <f>IFERROR(__xludf.DUMMYFUNCTION("""COMPUTED_VALUE"""),"นายจิระพงษ์ โพธิ์นิล")</f>
        <v>นายจิระพงษ์ โพธิ์นิล</v>
      </c>
      <c r="M1365" s="1" t="str">
        <f>IFERROR(__xludf.DUMMYFUNCTION("""COMPUTED_VALUE"""),"0933290754")</f>
        <v>0933290754</v>
      </c>
      <c r="N1365" s="3">
        <f>IFERROR(__xludf.DUMMYFUNCTION("""COMPUTED_VALUE"""),21622.0)</f>
        <v>21622</v>
      </c>
      <c r="O1365" s="3" t="str">
        <f>IFERROR(__xludf.DUMMYFUNCTION("""COMPUTED_VALUE"""),"MBC ตลาดบ้านดอน")</f>
        <v>MBC ตลาดบ้านดอน</v>
      </c>
      <c r="P1365" s="4">
        <f>IFERROR(__xludf.DUMMYFUNCTION("""COMPUTED_VALUE"""),43823.0)</f>
        <v>43823</v>
      </c>
      <c r="Q1365" s="3" t="str">
        <f>IFERROR(__xludf.DUMMYFUNCTION("""COMPUTED_VALUE"""),"I")</f>
        <v>I</v>
      </c>
      <c r="R1365" s="3" t="str">
        <f>IFERROR(__xludf.DUMMYFUNCTION("""COMPUTED_VALUE"""),"Small Format")</f>
        <v>Small Format</v>
      </c>
      <c r="S1365" s="3" t="str">
        <f>IFERROR(__xludf.DUMMYFUNCTION("""COMPUTED_VALUE"""),"BCM")</f>
        <v>BCM</v>
      </c>
      <c r="T1365" s="3" t="str">
        <f>IFERROR(__xludf.DUMMYFUNCTION("""COMPUTED_VALUE"""),"#N/A")</f>
        <v>#N/A</v>
      </c>
      <c r="U1365" s="3" t="str">
        <f>IFERROR(__xludf.DUMMYFUNCTION("""COMPUTED_VALUE"""),"#N/A")</f>
        <v>#N/A</v>
      </c>
      <c r="V1365" s="3" t="str">
        <f>IFERROR(__xludf.DUMMYFUNCTION("""COMPUTED_VALUE"""),"N")</f>
        <v>N</v>
      </c>
      <c r="W1365" s="3">
        <f>IFERROR(__xludf.DUMMYFUNCTION("""COMPUTED_VALUE"""),210097.0)</f>
        <v>210097</v>
      </c>
      <c r="X1365" s="3" t="str">
        <f>IFERROR(__xludf.DUMMYFUNCTION("""COMPUTED_VALUE"""),"44/49 ถนนพิทักษ์พนมเขต ตำบลมุกดาหาร อำเภอเมืองมุกดาหาร จังหวัดมุกดาหาร 49000")</f>
        <v>44/49 ถนนพิทักษ์พนมเขต ตำบลมุกดาหาร อำเภอเมืองมุกดาหาร จังหวัดมุกดาหาร 49000</v>
      </c>
      <c r="Y1365" s="3" t="str">
        <f>IFERROR(__xludf.DUMMYFUNCTION("""COMPUTED_VALUE"""),"ถนนพิทักษ์พนมเขต")</f>
        <v>ถนนพิทักษ์พนมเขต</v>
      </c>
      <c r="Z1365" s="3" t="str">
        <f>IFERROR(__xludf.DUMMYFUNCTION("""COMPUTED_VALUE"""),"มุกดาหาร")</f>
        <v>มุกดาหาร</v>
      </c>
      <c r="AA1365" s="3" t="str">
        <f>IFERROR(__xludf.DUMMYFUNCTION("""COMPUTED_VALUE"""),"เมือง")</f>
        <v>เมือง</v>
      </c>
      <c r="AB1365" s="3" t="str">
        <f>IFERROR(__xludf.DUMMYFUNCTION("""COMPUTED_VALUE"""),"มุกดาหาร")</f>
        <v>มุกดาหาร</v>
      </c>
      <c r="AC1365" s="3">
        <f>IFERROR(__xludf.DUMMYFUNCTION("""COMPUTED_VALUE"""),49000.0)</f>
        <v>49000</v>
      </c>
      <c r="AD1365" s="3">
        <f>IFERROR(__xludf.DUMMYFUNCTION("""COMPUTED_VALUE"""),16.540441)</f>
        <v>16.540441</v>
      </c>
      <c r="AE1365" s="3">
        <f>IFERROR(__xludf.DUMMYFUNCTION("""COMPUTED_VALUE"""),104.722322)</f>
        <v>104.722322</v>
      </c>
      <c r="AF1365" s="3" t="str">
        <f>IFERROR(__xludf.DUMMYFUNCTION("""COMPUTED_VALUE"""),"MBC พิทักษ์พนมเขต มุกดาหาร-22048")</f>
        <v>MBC พิทักษ์พนมเขต มุกดาหาร-22048</v>
      </c>
      <c r="AG1365" s="3" t="str">
        <f>IFERROR(__xludf.DUMMYFUNCTION("""COMPUTED_VALUE"""),"ตะวันออกเฉียงเหนือ")</f>
        <v>ตะวันออกเฉียงเหนือ</v>
      </c>
      <c r="AH1365" s="3" t="str">
        <f>IFERROR(__xludf.DUMMYFUNCTION("""COMPUTED_VALUE"""),"#N/A")</f>
        <v>#N/A</v>
      </c>
      <c r="AI1365" s="3" t="str">
        <f>IFERROR(__xludf.DUMMYFUNCTION("""COMPUTED_VALUE"""),"Out of warranty")</f>
        <v>Out of warranty</v>
      </c>
      <c r="AJ1365" s="3">
        <f>IFERROR(__xludf.DUMMYFUNCTION("""COMPUTED_VALUE"""),73.0)</f>
        <v>73</v>
      </c>
      <c r="AK1365" s="3" t="str">
        <f>IFERROR(__xludf.DUMMYFUNCTION("""COMPUTED_VALUE"""),"MMS13")</f>
        <v>MMS13</v>
      </c>
      <c r="AL1365" s="3"/>
    </row>
    <row r="1366" ht="15.75" customHeight="1">
      <c r="A1366" s="1" t="str">
        <f>IFERROR(__xludf.DUMMYFUNCTION("""COMPUTED_VALUE"""),"22049")</f>
        <v>22049</v>
      </c>
      <c r="B1366" s="2">
        <f>IFERROR(__xludf.DUMMYFUNCTION("""COMPUTED_VALUE"""),22049.0)</f>
        <v>22049</v>
      </c>
      <c r="C1366" s="3" t="str">
        <f>IFERROR(__xludf.DUMMYFUNCTION("""COMPUTED_VALUE"""),"MBC สังคม หนองคาย")</f>
        <v>MBC สังคม หนองคาย</v>
      </c>
      <c r="D1366" s="3" t="str">
        <f>IFERROR(__xludf.DUMMYFUNCTION("""COMPUTED_VALUE"""),"BCM SANGKHOM,NONG KHAI")</f>
        <v>BCM SANGKHOM,NONG KHAI</v>
      </c>
      <c r="E1366" s="1" t="str">
        <f>IFERROR(__xludf.DUMMYFUNCTION("""COMPUTED_VALUE"""),"บิ๊กซี MINI")</f>
        <v>บิ๊กซี MINI</v>
      </c>
      <c r="F1366" s="1" t="str">
        <f>IFERROR(__xludf.DUMMYFUNCTION("""COMPUTED_VALUE"""),"291105")</f>
        <v>291105</v>
      </c>
      <c r="G1366" s="1" t="str">
        <f>IFERROR(__xludf.DUMMYFUNCTION("""COMPUTED_VALUE"""),"นายสราวุฒิ พณิชยกุล")</f>
        <v>นายสราวุฒิ พณิชยกุล</v>
      </c>
      <c r="H1366" s="1" t="str">
        <f>IFERROR(__xludf.DUMMYFUNCTION("""COMPUTED_VALUE"""),"392005")</f>
        <v>392005</v>
      </c>
      <c r="I1366" s="1" t="str">
        <f>IFERROR(__xludf.DUMMYFUNCTION("""COMPUTED_VALUE"""),"นายรัฐพล หาญลำยวง")</f>
        <v>นายรัฐพล หาญลำยวง</v>
      </c>
      <c r="J1366" s="3">
        <f>IFERROR(__xludf.DUMMYFUNCTION("""COMPUTED_VALUE"""),296868.0)</f>
        <v>296868</v>
      </c>
      <c r="K1366" s="3" t="str">
        <f>IFERROR(__xludf.DUMMYFUNCTION("""COMPUTED_VALUE"""),"นายพีระพงษ์ แก้วดวงดี")</f>
        <v>นายพีระพงษ์ แก้วดวงดี</v>
      </c>
      <c r="L1366" s="3" t="str">
        <f>IFERROR(__xludf.DUMMYFUNCTION("""COMPUTED_VALUE"""),"03 K.Peerapong K.")</f>
        <v>03 K.Peerapong K.</v>
      </c>
      <c r="M1366" s="1" t="str">
        <f>IFERROR(__xludf.DUMMYFUNCTION("""COMPUTED_VALUE"""),"089-002-6599")</f>
        <v>089-002-6599</v>
      </c>
      <c r="N1366" s="3">
        <f>IFERROR(__xludf.DUMMYFUNCTION("""COMPUTED_VALUE"""),21946.0)</f>
        <v>21946</v>
      </c>
      <c r="O1366" s="3" t="str">
        <f>IFERROR(__xludf.DUMMYFUNCTION("""COMPUTED_VALUE"""),"MBC เซกา บึงกาฬ")</f>
        <v>MBC เซกา บึงกาฬ</v>
      </c>
      <c r="P1366" s="4">
        <f>IFERROR(__xludf.DUMMYFUNCTION("""COMPUTED_VALUE"""),43816.0)</f>
        <v>43816</v>
      </c>
      <c r="Q1366" s="3" t="str">
        <f>IFERROR(__xludf.DUMMYFUNCTION("""COMPUTED_VALUE"""),"A")</f>
        <v>A</v>
      </c>
      <c r="R1366" s="3" t="str">
        <f>IFERROR(__xludf.DUMMYFUNCTION("""COMPUTED_VALUE"""),"Small Format")</f>
        <v>Small Format</v>
      </c>
      <c r="S1366" s="3" t="str">
        <f>IFERROR(__xludf.DUMMYFUNCTION("""COMPUTED_VALUE"""),"BCM")</f>
        <v>BCM</v>
      </c>
      <c r="T1366" s="3" t="str">
        <f>IFERROR(__xludf.DUMMYFUNCTION("""COMPUTED_VALUE"""),"#N/A")</f>
        <v>#N/A</v>
      </c>
      <c r="U1366" s="3" t="str">
        <f>IFERROR(__xludf.DUMMYFUNCTION("""COMPUTED_VALUE"""),"#N/A")</f>
        <v>#N/A</v>
      </c>
      <c r="V1366" s="3" t="str">
        <f>IFERROR(__xludf.DUMMYFUNCTION("""COMPUTED_VALUE"""),"N")</f>
        <v>N</v>
      </c>
      <c r="W1366" s="3">
        <f>IFERROR(__xludf.DUMMYFUNCTION("""COMPUTED_VALUE"""),210058.0)</f>
        <v>210058</v>
      </c>
      <c r="X1366" s="3" t="str">
        <f>IFERROR(__xludf.DUMMYFUNCTION("""COMPUTED_VALUE"""),"363/3 หมู่4 ตำบลแก้งไก่ อำเภอสังคม จังหวัดหนองคาย 43160")</f>
        <v>363/3 หมู่4 ตำบลแก้งไก่ อำเภอสังคม จังหวัดหนองคาย 43160</v>
      </c>
      <c r="Y1366" s="3"/>
      <c r="Z1366" s="3" t="str">
        <f>IFERROR(__xludf.DUMMYFUNCTION("""COMPUTED_VALUE"""),"แก้งไก่")</f>
        <v>แก้งไก่</v>
      </c>
      <c r="AA1366" s="3" t="str">
        <f>IFERROR(__xludf.DUMMYFUNCTION("""COMPUTED_VALUE"""),"สังคม")</f>
        <v>สังคม</v>
      </c>
      <c r="AB1366" s="3" t="str">
        <f>IFERROR(__xludf.DUMMYFUNCTION("""COMPUTED_VALUE"""),"หนองคาย")</f>
        <v>หนองคาย</v>
      </c>
      <c r="AC1366" s="3">
        <f>IFERROR(__xludf.DUMMYFUNCTION("""COMPUTED_VALUE"""),43160.0)</f>
        <v>43160</v>
      </c>
      <c r="AD1366" s="3">
        <f>IFERROR(__xludf.DUMMYFUNCTION("""COMPUTED_VALUE"""),18.06713)</f>
        <v>18.06713</v>
      </c>
      <c r="AE1366" s="3">
        <f>IFERROR(__xludf.DUMMYFUNCTION("""COMPUTED_VALUE"""),102.270329)</f>
        <v>102.270329</v>
      </c>
      <c r="AF1366" s="3" t="str">
        <f>IFERROR(__xludf.DUMMYFUNCTION("""COMPUTED_VALUE"""),"MBC สังคม หนองคาย-22049")</f>
        <v>MBC สังคม หนองคาย-22049</v>
      </c>
      <c r="AG1366" s="3" t="str">
        <f>IFERROR(__xludf.DUMMYFUNCTION("""COMPUTED_VALUE"""),"ตะวันออกเฉียงเหนือ")</f>
        <v>ตะวันออกเฉียงเหนือ</v>
      </c>
      <c r="AH1366" s="3" t="str">
        <f>IFERROR(__xludf.DUMMYFUNCTION("""COMPUTED_VALUE"""),"#N/A")</f>
        <v>#N/A</v>
      </c>
      <c r="AI1366" s="3" t="str">
        <f>IFERROR(__xludf.DUMMYFUNCTION("""COMPUTED_VALUE"""),"Out of warranty")</f>
        <v>Out of warranty</v>
      </c>
      <c r="AJ1366" s="3">
        <f>IFERROR(__xludf.DUMMYFUNCTION("""COMPUTED_VALUE"""),74.0)</f>
        <v>74</v>
      </c>
      <c r="AK1366" s="3" t="str">
        <f>IFERROR(__xludf.DUMMYFUNCTION("""COMPUTED_VALUE"""),"MMS12")</f>
        <v>MMS12</v>
      </c>
      <c r="AL1366" s="3"/>
    </row>
    <row r="1367" ht="15.75" customHeight="1">
      <c r="A1367" s="1" t="str">
        <f>IFERROR(__xludf.DUMMYFUNCTION("""COMPUTED_VALUE"""),"22050")</f>
        <v>22050</v>
      </c>
      <c r="B1367" s="2">
        <f>IFERROR(__xludf.DUMMYFUNCTION("""COMPUTED_VALUE"""),22050.0)</f>
        <v>22050</v>
      </c>
      <c r="C1367" s="3" t="str">
        <f>IFERROR(__xludf.DUMMYFUNCTION("""COMPUTED_VALUE"""),"MBC สามแยกเฉวง (สมุย) สุราษฎร์ธานี")</f>
        <v>MBC สามแยกเฉวง (สมุย) สุราษฎร์ธานี</v>
      </c>
      <c r="D1367" s="3" t="str">
        <f>IFERROR(__xludf.DUMMYFUNCTION("""COMPUTED_VALUE"""),"BCM SAMYEAK CHAWENG (SAMUI)")</f>
        <v>BCM SAMYEAK CHAWENG (SAMUI)</v>
      </c>
      <c r="E1367" s="1" t="str">
        <f>IFERROR(__xludf.DUMMYFUNCTION("""COMPUTED_VALUE"""),"บิ๊กซี MINI")</f>
        <v>บิ๊กซี MINI</v>
      </c>
      <c r="F1367" s="1" t="str">
        <f>IFERROR(__xludf.DUMMYFUNCTION("""COMPUTED_VALUE"""),"250760")</f>
        <v>250760</v>
      </c>
      <c r="G1367" s="1" t="str">
        <f>IFERROR(__xludf.DUMMYFUNCTION("""COMPUTED_VALUE"""),"นายประทวน สาราบรรณ์")</f>
        <v>นายประทวน สาราบรรณ์</v>
      </c>
      <c r="H1367" s="1" t="str">
        <f>IFERROR(__xludf.DUMMYFUNCTION("""COMPUTED_VALUE"""),"356760")</f>
        <v>356760</v>
      </c>
      <c r="I1367" s="1" t="str">
        <f>IFERROR(__xludf.DUMMYFUNCTION("""COMPUTED_VALUE"""),"นายภูมิภัทร แก้วพรรณราย")</f>
        <v>นายภูมิภัทร แก้วพรรณราย</v>
      </c>
      <c r="J1367" s="3">
        <f>IFERROR(__xludf.DUMMYFUNCTION("""COMPUTED_VALUE"""),25324.0)</f>
        <v>25324</v>
      </c>
      <c r="K1367" s="3" t="str">
        <f>IFERROR(__xludf.DUMMYFUNCTION("""COMPUTED_VALUE"""),"นายวิเชฎฐ์ ติรัตนะประคม")</f>
        <v>นายวิเชฎฐ์ ติรัตนะประคม</v>
      </c>
      <c r="L1367" s="1" t="str">
        <f>IFERROR(__xludf.DUMMYFUNCTION("""COMPUTED_VALUE"""),"14 K.Wichet T.")</f>
        <v>14 K.Wichet T.</v>
      </c>
      <c r="M1367" s="1" t="str">
        <f>IFERROR(__xludf.DUMMYFUNCTION("""COMPUTED_VALUE"""),"061-417-6569 / 086-445-5636")</f>
        <v>061-417-6569 / 086-445-5636</v>
      </c>
      <c r="N1367" s="3">
        <f>IFERROR(__xludf.DUMMYFUNCTION("""COMPUTED_VALUE"""),22658.0)</f>
        <v>22658</v>
      </c>
      <c r="O1367" s="3" t="str">
        <f>IFERROR(__xludf.DUMMYFUNCTION("""COMPUTED_VALUE"""),"BCM ถ.วิรัชหงษ์หยก ภูเก็ต")</f>
        <v>BCM ถ.วิรัชหงษ์หยก ภูเก็ต</v>
      </c>
      <c r="P1367" s="4">
        <f>IFERROR(__xludf.DUMMYFUNCTION("""COMPUTED_VALUE"""),43821.0)</f>
        <v>43821</v>
      </c>
      <c r="Q1367" s="3" t="str">
        <f>IFERROR(__xludf.DUMMYFUNCTION("""COMPUTED_VALUE"""),"A")</f>
        <v>A</v>
      </c>
      <c r="R1367" s="3" t="str">
        <f>IFERROR(__xludf.DUMMYFUNCTION("""COMPUTED_VALUE"""),"Small Format")</f>
        <v>Small Format</v>
      </c>
      <c r="S1367" s="3" t="str">
        <f>IFERROR(__xludf.DUMMYFUNCTION("""COMPUTED_VALUE"""),"BCM")</f>
        <v>BCM</v>
      </c>
      <c r="T1367" s="3" t="str">
        <f>IFERROR(__xludf.DUMMYFUNCTION("""COMPUTED_VALUE"""),"#N/A")</f>
        <v>#N/A</v>
      </c>
      <c r="U1367" s="3" t="str">
        <f>IFERROR(__xludf.DUMMYFUNCTION("""COMPUTED_VALUE"""),"#N/A")</f>
        <v>#N/A</v>
      </c>
      <c r="V1367" s="3" t="str">
        <f>IFERROR(__xludf.DUMMYFUNCTION("""COMPUTED_VALUE"""),"N")</f>
        <v>N</v>
      </c>
      <c r="W1367" s="3">
        <f>IFERROR(__xludf.DUMMYFUNCTION("""COMPUTED_VALUE"""),210071.0)</f>
        <v>210071</v>
      </c>
      <c r="X1367" s="3" t="str">
        <f>IFERROR(__xludf.DUMMYFUNCTION("""COMPUTED_VALUE"""),"159/18 หมู่2 ตำบลบ่อผุด อำเภอเกาะสมุย จังหวัดสุราษฎร์ธานี 84320")</f>
        <v>159/18 หมู่2 ตำบลบ่อผุด อำเภอเกาะสมุย จังหวัดสุราษฎร์ธานี 84320</v>
      </c>
      <c r="Y1367" s="3"/>
      <c r="Z1367" s="3" t="str">
        <f>IFERROR(__xludf.DUMMYFUNCTION("""COMPUTED_VALUE"""),"บ่อผุด")</f>
        <v>บ่อผุด</v>
      </c>
      <c r="AA1367" s="3" t="str">
        <f>IFERROR(__xludf.DUMMYFUNCTION("""COMPUTED_VALUE"""),"เกาะสมุย")</f>
        <v>เกาะสมุย</v>
      </c>
      <c r="AB1367" s="3" t="str">
        <f>IFERROR(__xludf.DUMMYFUNCTION("""COMPUTED_VALUE"""),"สุราษฎร์ธานี")</f>
        <v>สุราษฎร์ธานี</v>
      </c>
      <c r="AC1367" s="3">
        <f>IFERROR(__xludf.DUMMYFUNCTION("""COMPUTED_VALUE"""),84320.0)</f>
        <v>84320</v>
      </c>
      <c r="AD1367" s="3">
        <f>IFERROR(__xludf.DUMMYFUNCTION("""COMPUTED_VALUE"""),9.534464)</f>
        <v>9.534464</v>
      </c>
      <c r="AE1367" s="3">
        <f>IFERROR(__xludf.DUMMYFUNCTION("""COMPUTED_VALUE"""),100.064483)</f>
        <v>100.064483</v>
      </c>
      <c r="AF1367" s="3" t="str">
        <f>IFERROR(__xludf.DUMMYFUNCTION("""COMPUTED_VALUE"""),"MBC สามแยกเฉวง (สมุย) สุราษฎร์ธานี-22050")</f>
        <v>MBC สามแยกเฉวง (สมุย) สุราษฎร์ธานี-22050</v>
      </c>
      <c r="AG1367" s="3" t="str">
        <f>IFERROR(__xludf.DUMMYFUNCTION("""COMPUTED_VALUE"""),"ใต้")</f>
        <v>ใต้</v>
      </c>
      <c r="AH1367" s="3" t="str">
        <f>IFERROR(__xludf.DUMMYFUNCTION("""COMPUTED_VALUE"""),"#N/A")</f>
        <v>#N/A</v>
      </c>
      <c r="AI1367" s="3" t="str">
        <f>IFERROR(__xludf.DUMMYFUNCTION("""COMPUTED_VALUE"""),"Out of warranty")</f>
        <v>Out of warranty</v>
      </c>
      <c r="AJ1367" s="3">
        <f>IFERROR(__xludf.DUMMYFUNCTION("""COMPUTED_VALUE"""),73.0)</f>
        <v>73</v>
      </c>
      <c r="AK1367" s="3" t="str">
        <f>IFERROR(__xludf.DUMMYFUNCTION("""COMPUTED_VALUE"""),"MMS14")</f>
        <v>MMS14</v>
      </c>
      <c r="AL1367" s="3"/>
    </row>
    <row r="1368" ht="15.75" customHeight="1">
      <c r="A1368" s="1" t="str">
        <f>IFERROR(__xludf.DUMMYFUNCTION("""COMPUTED_VALUE"""),"22051")</f>
        <v>22051</v>
      </c>
      <c r="B1368" s="2">
        <f>IFERROR(__xludf.DUMMYFUNCTION("""COMPUTED_VALUE"""),22051.0)</f>
        <v>22051</v>
      </c>
      <c r="C1368" s="3" t="str">
        <f>IFERROR(__xludf.DUMMYFUNCTION("""COMPUTED_VALUE"""),"MBC ตลาดเทศบาล1 ยโสธร")</f>
        <v>MBC ตลาดเทศบาล1 ยโสธร</v>
      </c>
      <c r="D1368" s="3" t="str">
        <f>IFERROR(__xludf.DUMMYFUNCTION("""COMPUTED_VALUE"""),"BCM TALAD THESSABAN 1")</f>
        <v>BCM TALAD THESSABAN 1</v>
      </c>
      <c r="E1368" s="1" t="str">
        <f>IFERROR(__xludf.DUMMYFUNCTION("""COMPUTED_VALUE"""),"บิ๊กซี MINI")</f>
        <v>บิ๊กซี MINI</v>
      </c>
      <c r="F1368" s="1" t="str">
        <f>IFERROR(__xludf.DUMMYFUNCTION("""COMPUTED_VALUE"""),"291105")</f>
        <v>291105</v>
      </c>
      <c r="G1368" s="1" t="str">
        <f>IFERROR(__xludf.DUMMYFUNCTION("""COMPUTED_VALUE"""),"นายสราวุฒิ พณิชยกุล")</f>
        <v>นายสราวุฒิ พณิชยกุล</v>
      </c>
      <c r="H1368" s="1" t="str">
        <f>IFERROR(__xludf.DUMMYFUNCTION("""COMPUTED_VALUE"""),"398285")</f>
        <v>398285</v>
      </c>
      <c r="I1368" s="1" t="str">
        <f>IFERROR(__xludf.DUMMYFUNCTION("""COMPUTED_VALUE"""),"น.ส.พชิรา บุญจูง")</f>
        <v>น.ส.พชิรา บุญจูง</v>
      </c>
      <c r="J1368" s="3">
        <f>IFERROR(__xludf.DUMMYFUNCTION("""COMPUTED_VALUE"""),2454781.0)</f>
        <v>2454781</v>
      </c>
      <c r="K1368" s="3" t="str">
        <f>IFERROR(__xludf.DUMMYFUNCTION("""COMPUTED_VALUE"""),"นายฌานกฤช นันทะโคต")</f>
        <v>นายฌานกฤช นันทะโคต</v>
      </c>
      <c r="L1368" s="1" t="str">
        <f>IFERROR(__xludf.DUMMYFUNCTION("""COMPUTED_VALUE"""),"05 K.Chanakrit N.")</f>
        <v>05 K.Chanakrit N.</v>
      </c>
      <c r="M1368" s="1" t="str">
        <f>IFERROR(__xludf.DUMMYFUNCTION("""COMPUTED_VALUE"""),"090-978-9785 ,065-929-1320")</f>
        <v>090-978-9785 ,065-929-1320</v>
      </c>
      <c r="N1368" s="3">
        <f>IFERROR(__xludf.DUMMYFUNCTION("""COMPUTED_VALUE"""),22195.0)</f>
        <v>22195</v>
      </c>
      <c r="O1368" s="3" t="str">
        <f>IFERROR(__xludf.DUMMYFUNCTION("""COMPUTED_VALUE"""),"MBC กันทรลักษ์ ศรีสะเกษ")</f>
        <v>MBC กันทรลักษ์ ศรีสะเกษ</v>
      </c>
      <c r="P1368" s="4">
        <f>IFERROR(__xludf.DUMMYFUNCTION("""COMPUTED_VALUE"""),43847.0)</f>
        <v>43847</v>
      </c>
      <c r="Q1368" s="3" t="str">
        <f>IFERROR(__xludf.DUMMYFUNCTION("""COMPUTED_VALUE"""),"A")</f>
        <v>A</v>
      </c>
      <c r="R1368" s="3" t="str">
        <f>IFERROR(__xludf.DUMMYFUNCTION("""COMPUTED_VALUE"""),"Small Format")</f>
        <v>Small Format</v>
      </c>
      <c r="S1368" s="3" t="str">
        <f>IFERROR(__xludf.DUMMYFUNCTION("""COMPUTED_VALUE"""),"BCM")</f>
        <v>BCM</v>
      </c>
      <c r="T1368" s="3" t="str">
        <f>IFERROR(__xludf.DUMMYFUNCTION("""COMPUTED_VALUE"""),"#N/A")</f>
        <v>#N/A</v>
      </c>
      <c r="U1368" s="3" t="str">
        <f>IFERROR(__xludf.DUMMYFUNCTION("""COMPUTED_VALUE"""),"#N/A")</f>
        <v>#N/A</v>
      </c>
      <c r="V1368" s="3" t="str">
        <f>IFERROR(__xludf.DUMMYFUNCTION("""COMPUTED_VALUE"""),"N")</f>
        <v>N</v>
      </c>
      <c r="W1368" s="3">
        <f>IFERROR(__xludf.DUMMYFUNCTION("""COMPUTED_VALUE"""),210063.0)</f>
        <v>210063</v>
      </c>
      <c r="X1368" s="3" t="str">
        <f>IFERROR(__xludf.DUMMYFUNCTION("""COMPUTED_VALUE"""),"377-379-381 ถนนวิทยะธำรงค์ ตำบลในเมือง อำเภอเมืองยโสธร จังหวัดยโสธร 35000")</f>
        <v>377-379-381 ถนนวิทยะธำรงค์ ตำบลในเมือง อำเภอเมืองยโสธร จังหวัดยโสธร 35000</v>
      </c>
      <c r="Y1368" s="3" t="str">
        <f>IFERROR(__xludf.DUMMYFUNCTION("""COMPUTED_VALUE"""),"ถนนวิทยะธำรงค์")</f>
        <v>ถนนวิทยะธำรงค์</v>
      </c>
      <c r="Z1368" s="3" t="str">
        <f>IFERROR(__xludf.DUMMYFUNCTION("""COMPUTED_VALUE"""),"ในเมือง")</f>
        <v>ในเมือง</v>
      </c>
      <c r="AA1368" s="3" t="str">
        <f>IFERROR(__xludf.DUMMYFUNCTION("""COMPUTED_VALUE"""),"เมือง")</f>
        <v>เมือง</v>
      </c>
      <c r="AB1368" s="3" t="str">
        <f>IFERROR(__xludf.DUMMYFUNCTION("""COMPUTED_VALUE"""),"ยโสธร")</f>
        <v>ยโสธร</v>
      </c>
      <c r="AC1368" s="3">
        <f>IFERROR(__xludf.DUMMYFUNCTION("""COMPUTED_VALUE"""),35000.0)</f>
        <v>35000</v>
      </c>
      <c r="AD1368" s="3">
        <f>IFERROR(__xludf.DUMMYFUNCTION("""COMPUTED_VALUE"""),15.795146)</f>
        <v>15.795146</v>
      </c>
      <c r="AE1368" s="3">
        <f>IFERROR(__xludf.DUMMYFUNCTION("""COMPUTED_VALUE"""),104.147032)</f>
        <v>104.147032</v>
      </c>
      <c r="AF1368" s="3" t="str">
        <f>IFERROR(__xludf.DUMMYFUNCTION("""COMPUTED_VALUE"""),"MBC ตลาดเทศบาล1 ยโสธร-22051")</f>
        <v>MBC ตลาดเทศบาล1 ยโสธร-22051</v>
      </c>
      <c r="AG1368" s="3" t="str">
        <f>IFERROR(__xludf.DUMMYFUNCTION("""COMPUTED_VALUE"""),"ตะวันออกเฉียงเหนือ")</f>
        <v>ตะวันออกเฉียงเหนือ</v>
      </c>
      <c r="AH1368" s="3" t="str">
        <f>IFERROR(__xludf.DUMMYFUNCTION("""COMPUTED_VALUE"""),"#N/A")</f>
        <v>#N/A</v>
      </c>
      <c r="AI1368" s="3" t="str">
        <f>IFERROR(__xludf.DUMMYFUNCTION("""COMPUTED_VALUE"""),"Out of warranty")</f>
        <v>Out of warranty</v>
      </c>
      <c r="AJ1368" s="3">
        <f>IFERROR(__xludf.DUMMYFUNCTION("""COMPUTED_VALUE"""),73.0)</f>
        <v>73</v>
      </c>
      <c r="AK1368" s="3" t="str">
        <f>IFERROR(__xludf.DUMMYFUNCTION("""COMPUTED_VALUE"""),"MMS13")</f>
        <v>MMS13</v>
      </c>
      <c r="AL1368" s="3"/>
    </row>
    <row r="1369" ht="15.75" customHeight="1">
      <c r="A1369" s="1" t="str">
        <f>IFERROR(__xludf.DUMMYFUNCTION("""COMPUTED_VALUE"""),"22052")</f>
        <v>22052</v>
      </c>
      <c r="B1369" s="2">
        <f>IFERROR(__xludf.DUMMYFUNCTION("""COMPUTED_VALUE"""),22052.0)</f>
        <v>22052</v>
      </c>
      <c r="C1369" s="3" t="str">
        <f>IFERROR(__xludf.DUMMYFUNCTION("""COMPUTED_VALUE"""),"MBC ศรีเมืองใหม่ อุบลราชธานี")</f>
        <v>MBC ศรีเมืองใหม่ อุบลราชธานี</v>
      </c>
      <c r="D1369" s="3" t="str">
        <f>IFERROR(__xludf.DUMMYFUNCTION("""COMPUTED_VALUE"""),"BCM SRI MUEANG MAI (OPT.2)")</f>
        <v>BCM SRI MUEANG MAI (OPT.2)</v>
      </c>
      <c r="E1369" s="1" t="str">
        <f>IFERROR(__xludf.DUMMYFUNCTION("""COMPUTED_VALUE"""),"บิ๊กซี MINI")</f>
        <v>บิ๊กซี MINI</v>
      </c>
      <c r="F1369" s="1" t="str">
        <f>IFERROR(__xludf.DUMMYFUNCTION("""COMPUTED_VALUE"""),"291105")</f>
        <v>291105</v>
      </c>
      <c r="G1369" s="1" t="str">
        <f>IFERROR(__xludf.DUMMYFUNCTION("""COMPUTED_VALUE"""),"นายสราวุฒิ พณิชยกุล")</f>
        <v>นายสราวุฒิ พณิชยกุล</v>
      </c>
      <c r="H1369" s="1" t="str">
        <f>IFERROR(__xludf.DUMMYFUNCTION("""COMPUTED_VALUE"""),"250772")</f>
        <v>250772</v>
      </c>
      <c r="I1369" s="1" t="str">
        <f>IFERROR(__xludf.DUMMYFUNCTION("""COMPUTED_VALUE"""),"น.ส.วรุณยุพา จรูญไธสง")</f>
        <v>น.ส.วรุณยุพา จรูญไธสง</v>
      </c>
      <c r="J1369" s="3">
        <f>IFERROR(__xludf.DUMMYFUNCTION("""COMPUTED_VALUE"""),2454781.0)</f>
        <v>2454781</v>
      </c>
      <c r="K1369" s="3" t="str">
        <f>IFERROR(__xludf.DUMMYFUNCTION("""COMPUTED_VALUE"""),"นายฌานกฤช นันทะโคต")</f>
        <v>นายฌานกฤช นันทะโคต</v>
      </c>
      <c r="L1369" s="1" t="str">
        <f>IFERROR(__xludf.DUMMYFUNCTION("""COMPUTED_VALUE"""),"05 K.Chanakrit N.")</f>
        <v>05 K.Chanakrit N.</v>
      </c>
      <c r="M1369" s="1" t="str">
        <f>IFERROR(__xludf.DUMMYFUNCTION("""COMPUTED_VALUE"""),"090-978-9785 ,065-929-1320")</f>
        <v>090-978-9785 ,065-929-1320</v>
      </c>
      <c r="N1369" s="3">
        <f>IFERROR(__xludf.DUMMYFUNCTION("""COMPUTED_VALUE"""),22195.0)</f>
        <v>22195</v>
      </c>
      <c r="O1369" s="3" t="str">
        <f>IFERROR(__xludf.DUMMYFUNCTION("""COMPUTED_VALUE"""),"MBC กันทรลักษ์ ศรีสะเกษ")</f>
        <v>MBC กันทรลักษ์ ศรีสะเกษ</v>
      </c>
      <c r="P1369" s="4">
        <f>IFERROR(__xludf.DUMMYFUNCTION("""COMPUTED_VALUE"""),43827.0)</f>
        <v>43827</v>
      </c>
      <c r="Q1369" s="3" t="str">
        <f>IFERROR(__xludf.DUMMYFUNCTION("""COMPUTED_VALUE"""),"A")</f>
        <v>A</v>
      </c>
      <c r="R1369" s="3" t="str">
        <f>IFERROR(__xludf.DUMMYFUNCTION("""COMPUTED_VALUE"""),"Small Format")</f>
        <v>Small Format</v>
      </c>
      <c r="S1369" s="3" t="str">
        <f>IFERROR(__xludf.DUMMYFUNCTION("""COMPUTED_VALUE"""),"BCM")</f>
        <v>BCM</v>
      </c>
      <c r="T1369" s="3" t="str">
        <f>IFERROR(__xludf.DUMMYFUNCTION("""COMPUTED_VALUE"""),"#N/A")</f>
        <v>#N/A</v>
      </c>
      <c r="U1369" s="3" t="str">
        <f>IFERROR(__xludf.DUMMYFUNCTION("""COMPUTED_VALUE"""),"#N/A")</f>
        <v>#N/A</v>
      </c>
      <c r="V1369" s="3" t="str">
        <f>IFERROR(__xludf.DUMMYFUNCTION("""COMPUTED_VALUE"""),"N")</f>
        <v>N</v>
      </c>
      <c r="W1369" s="3">
        <f>IFERROR(__xludf.DUMMYFUNCTION("""COMPUTED_VALUE"""),210061.0)</f>
        <v>210061</v>
      </c>
      <c r="X1369" s="3" t="str">
        <f>IFERROR(__xludf.DUMMYFUNCTION("""COMPUTED_VALUE"""),"133/2 หมู่2 ตำบลนาคำ อำเภอศรีเมืองใหม่ จังหวัดอุบลราชธานี 34250")</f>
        <v>133/2 หมู่2 ตำบลนาคำ อำเภอศรีเมืองใหม่ จังหวัดอุบลราชธานี 34250</v>
      </c>
      <c r="Y1369" s="3"/>
      <c r="Z1369" s="3" t="str">
        <f>IFERROR(__xludf.DUMMYFUNCTION("""COMPUTED_VALUE"""),"นาคำ")</f>
        <v>นาคำ</v>
      </c>
      <c r="AA1369" s="3" t="str">
        <f>IFERROR(__xludf.DUMMYFUNCTION("""COMPUTED_VALUE"""),"ศรีเมืองใหม่")</f>
        <v>ศรีเมืองใหม่</v>
      </c>
      <c r="AB1369" s="3" t="str">
        <f>IFERROR(__xludf.DUMMYFUNCTION("""COMPUTED_VALUE"""),"อุบลราชธานี")</f>
        <v>อุบลราชธานี</v>
      </c>
      <c r="AC1369" s="3">
        <f>IFERROR(__xludf.DUMMYFUNCTION("""COMPUTED_VALUE"""),34250.0)</f>
        <v>34250</v>
      </c>
      <c r="AD1369" s="3">
        <f>IFERROR(__xludf.DUMMYFUNCTION("""COMPUTED_VALUE"""),15.496189)</f>
        <v>15.496189</v>
      </c>
      <c r="AE1369" s="3">
        <f>IFERROR(__xludf.DUMMYFUNCTION("""COMPUTED_VALUE"""),105.275847)</f>
        <v>105.275847</v>
      </c>
      <c r="AF1369" s="3" t="str">
        <f>IFERROR(__xludf.DUMMYFUNCTION("""COMPUTED_VALUE"""),"MBC ศรีเมืองใหม่ อุบลราชธานี-22052")</f>
        <v>MBC ศรีเมืองใหม่ อุบลราชธานี-22052</v>
      </c>
      <c r="AG1369" s="3" t="str">
        <f>IFERROR(__xludf.DUMMYFUNCTION("""COMPUTED_VALUE"""),"ตะวันออกเฉียงเหนือ")</f>
        <v>ตะวันออกเฉียงเหนือ</v>
      </c>
      <c r="AH1369" s="3" t="str">
        <f>IFERROR(__xludf.DUMMYFUNCTION("""COMPUTED_VALUE"""),"#N/A")</f>
        <v>#N/A</v>
      </c>
      <c r="AI1369" s="3" t="str">
        <f>IFERROR(__xludf.DUMMYFUNCTION("""COMPUTED_VALUE"""),"Out of warranty")</f>
        <v>Out of warranty</v>
      </c>
      <c r="AJ1369" s="3">
        <f>IFERROR(__xludf.DUMMYFUNCTION("""COMPUTED_VALUE"""),73.0)</f>
        <v>73</v>
      </c>
      <c r="AK1369" s="3" t="str">
        <f>IFERROR(__xludf.DUMMYFUNCTION("""COMPUTED_VALUE"""),"MMS13")</f>
        <v>MMS13</v>
      </c>
      <c r="AL1369" s="3"/>
    </row>
    <row r="1370" ht="15.75" customHeight="1">
      <c r="A1370" s="1" t="str">
        <f>IFERROR(__xludf.DUMMYFUNCTION("""COMPUTED_VALUE"""),"22053")</f>
        <v>22053</v>
      </c>
      <c r="B1370" s="2">
        <f>IFERROR(__xludf.DUMMYFUNCTION("""COMPUTED_VALUE"""),22053.0)</f>
        <v>22053</v>
      </c>
      <c r="C1370" s="3" t="str">
        <f>IFERROR(__xludf.DUMMYFUNCTION("""COMPUTED_VALUE"""),"MBC ถนนนิพัทธ์ภักดี (หาดใหญ่) สงขลา")</f>
        <v>MBC ถนนนิพัทธ์ภักดี (หาดใหญ่) สงขลา</v>
      </c>
      <c r="D1370" s="3" t="str">
        <f>IFERROR(__xludf.DUMMYFUNCTION("""COMPUTED_VALUE"""),"BCM THANON NIPATPAKDEE")</f>
        <v>BCM THANON NIPATPAKDEE</v>
      </c>
      <c r="E1370" s="1" t="str">
        <f>IFERROR(__xludf.DUMMYFUNCTION("""COMPUTED_VALUE"""),"บิ๊กซี MINI")</f>
        <v>บิ๊กซี MINI</v>
      </c>
      <c r="F1370" s="1" t="str">
        <f>IFERROR(__xludf.DUMMYFUNCTION("""COMPUTED_VALUE"""),"250760")</f>
        <v>250760</v>
      </c>
      <c r="G1370" s="1" t="str">
        <f>IFERROR(__xludf.DUMMYFUNCTION("""COMPUTED_VALUE"""),"นายประทวน สาราบรรณ์")</f>
        <v>นายประทวน สาราบรรณ์</v>
      </c>
      <c r="H1370" s="1" t="str">
        <f>IFERROR(__xludf.DUMMYFUNCTION("""COMPUTED_VALUE"""),"394100")</f>
        <v>394100</v>
      </c>
      <c r="I1370" s="1" t="str">
        <f>IFERROR(__xludf.DUMMYFUNCTION("""COMPUTED_VALUE"""),"นายไพโรจน์ ถิระผะลิกะ")</f>
        <v>นายไพโรจน์ ถิระผะลิกะ</v>
      </c>
      <c r="J1370" s="3">
        <f>IFERROR(__xludf.DUMMYFUNCTION("""COMPUTED_VALUE"""),2.0470331E7)</f>
        <v>20470331</v>
      </c>
      <c r="K1370" s="3" t="str">
        <f>IFERROR(__xludf.DUMMYFUNCTION("""COMPUTED_VALUE"""),"นายสมชาย ลักษณะสุวรรณ")</f>
        <v>นายสมชาย ลักษณะสุวรรณ</v>
      </c>
      <c r="L1370" s="3" t="str">
        <f>IFERROR(__xludf.DUMMYFUNCTION("""COMPUTED_VALUE"""),"15 K.Somchai L")</f>
        <v>15 K.Somchai L</v>
      </c>
      <c r="M1370" s="1" t="str">
        <f>IFERROR(__xludf.DUMMYFUNCTION("""COMPUTED_VALUE"""),"0655107372")</f>
        <v>0655107372</v>
      </c>
      <c r="N1370" s="3">
        <f>IFERROR(__xludf.DUMMYFUNCTION("""COMPUTED_VALUE"""),21723.0)</f>
        <v>21723</v>
      </c>
      <c r="O1370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370" s="4">
        <f>IFERROR(__xludf.DUMMYFUNCTION("""COMPUTED_VALUE"""),46037.0)</f>
        <v>46037</v>
      </c>
      <c r="Q1370" s="3" t="str">
        <f>IFERROR(__xludf.DUMMYFUNCTION("""COMPUTED_VALUE"""),"A")</f>
        <v>A</v>
      </c>
      <c r="R1370" s="3" t="str">
        <f>IFERROR(__xludf.DUMMYFUNCTION("""COMPUTED_VALUE"""),"Small Format")</f>
        <v>Small Format</v>
      </c>
      <c r="S1370" s="3" t="str">
        <f>IFERROR(__xludf.DUMMYFUNCTION("""COMPUTED_VALUE"""),"BCM")</f>
        <v>BCM</v>
      </c>
      <c r="T1370" s="3" t="str">
        <f>IFERROR(__xludf.DUMMYFUNCTION("""COMPUTED_VALUE"""),"#N/A")</f>
        <v>#N/A</v>
      </c>
      <c r="U1370" s="3" t="str">
        <f>IFERROR(__xludf.DUMMYFUNCTION("""COMPUTED_VALUE"""),"#N/A")</f>
        <v>#N/A</v>
      </c>
      <c r="V1370" s="3" t="str">
        <f>IFERROR(__xludf.DUMMYFUNCTION("""COMPUTED_VALUE"""),"N")</f>
        <v>N</v>
      </c>
      <c r="W1370" s="3">
        <f>IFERROR(__xludf.DUMMYFUNCTION("""COMPUTED_VALUE"""),210075.0)</f>
        <v>210075</v>
      </c>
      <c r="X1370" s="3" t="str">
        <f>IFERROR(__xludf.DUMMYFUNCTION("""COMPUTED_VALUE"""),"150 ถนนนิพัทธ์ภักดี ตำบลหาดใหญ่ อำเภอหาดใหญ่ จังหวัดสงขลา 90110")</f>
        <v>150 ถนนนิพัทธ์ภักดี ตำบลหาดใหญ่ อำเภอหาดใหญ่ จังหวัดสงขลา 90110</v>
      </c>
      <c r="Y1370" s="3" t="str">
        <f>IFERROR(__xludf.DUMMYFUNCTION("""COMPUTED_VALUE"""),"ถนนนิพัทธ์ภักดี")</f>
        <v>ถนนนิพัทธ์ภักดี</v>
      </c>
      <c r="Z1370" s="3" t="str">
        <f>IFERROR(__xludf.DUMMYFUNCTION("""COMPUTED_VALUE"""),"หาดใหญ่")</f>
        <v>หาดใหญ่</v>
      </c>
      <c r="AA1370" s="3" t="str">
        <f>IFERROR(__xludf.DUMMYFUNCTION("""COMPUTED_VALUE"""),"หาดใหญ่")</f>
        <v>หาดใหญ่</v>
      </c>
      <c r="AB1370" s="3" t="str">
        <f>IFERROR(__xludf.DUMMYFUNCTION("""COMPUTED_VALUE"""),"สงขลา")</f>
        <v>สงขลา</v>
      </c>
      <c r="AC1370" s="3">
        <f>IFERROR(__xludf.DUMMYFUNCTION("""COMPUTED_VALUE"""),90110.0)</f>
        <v>90110</v>
      </c>
      <c r="AD1370" s="3">
        <f>IFERROR(__xludf.DUMMYFUNCTION("""COMPUTED_VALUE"""),6.993517)</f>
        <v>6.993517</v>
      </c>
      <c r="AE1370" s="3">
        <f>IFERROR(__xludf.DUMMYFUNCTION("""COMPUTED_VALUE"""),100.472622)</f>
        <v>100.472622</v>
      </c>
      <c r="AF1370" s="3" t="str">
        <f>IFERROR(__xludf.DUMMYFUNCTION("""COMPUTED_VALUE"""),"MBC ถนนนิพัทธ์ภักดี (หาดใหญ่) สงขลา-22053")</f>
        <v>MBC ถนนนิพัทธ์ภักดี (หาดใหญ่) สงขลา-22053</v>
      </c>
      <c r="AG1370" s="3" t="str">
        <f>IFERROR(__xludf.DUMMYFUNCTION("""COMPUTED_VALUE"""),"ใต้")</f>
        <v>ใต้</v>
      </c>
      <c r="AH1370" s="3" t="str">
        <f>IFERROR(__xludf.DUMMYFUNCTION("""COMPUTED_VALUE"""),"#N/A")</f>
        <v>#N/A</v>
      </c>
      <c r="AI1370" s="3" t="str">
        <f>IFERROR(__xludf.DUMMYFUNCTION("""COMPUTED_VALUE"""),"In warranty")</f>
        <v>In warranty</v>
      </c>
      <c r="AJ1370" s="3">
        <f>IFERROR(__xludf.DUMMYFUNCTION("""COMPUTED_VALUE"""),1.0)</f>
        <v>1</v>
      </c>
      <c r="AK1370" s="3" t="str">
        <f>IFERROR(__xludf.DUMMYFUNCTION("""COMPUTED_VALUE"""),"MMS16")</f>
        <v>MMS16</v>
      </c>
      <c r="AL1370" s="3"/>
    </row>
    <row r="1371" ht="15.75" customHeight="1">
      <c r="A1371" s="1" t="str">
        <f>IFERROR(__xludf.DUMMYFUNCTION("""COMPUTED_VALUE"""),"22054")</f>
        <v>22054</v>
      </c>
      <c r="B1371" s="2">
        <f>IFERROR(__xludf.DUMMYFUNCTION("""COMPUTED_VALUE"""),22054.0)</f>
        <v>22054</v>
      </c>
      <c r="C1371" s="3" t="str">
        <f>IFERROR(__xludf.DUMMYFUNCTION("""COMPUTED_VALUE"""),"MBC ถนนหลวงพ่อแช่ม ภูเก็ต")</f>
        <v>MBC ถนนหลวงพ่อแช่ม ภูเก็ต</v>
      </c>
      <c r="D1371" s="3" t="str">
        <f>IFERROR(__xludf.DUMMYFUNCTION("""COMPUTED_VALUE"""),"BCM THANON LUANG PHO CHAM")</f>
        <v>BCM THANON LUANG PHO CHAM</v>
      </c>
      <c r="E1371" s="1" t="str">
        <f>IFERROR(__xludf.DUMMYFUNCTION("""COMPUTED_VALUE"""),"บิ๊กซี MINI")</f>
        <v>บิ๊กซี MINI</v>
      </c>
      <c r="F1371" s="1" t="str">
        <f>IFERROR(__xludf.DUMMYFUNCTION("""COMPUTED_VALUE"""),"250760")</f>
        <v>250760</v>
      </c>
      <c r="G1371" s="1" t="str">
        <f>IFERROR(__xludf.DUMMYFUNCTION("""COMPUTED_VALUE"""),"นายประทวน สาราบรรณ์")</f>
        <v>นายประทวน สาราบรรณ์</v>
      </c>
      <c r="H1371" s="1" t="str">
        <f>IFERROR(__xludf.DUMMYFUNCTION("""COMPUTED_VALUE"""),"357284")</f>
        <v>357284</v>
      </c>
      <c r="I1371" s="1" t="str">
        <f>IFERROR(__xludf.DUMMYFUNCTION("""COMPUTED_VALUE"""),"น.ส.เบญจวรรณ ปัณฑโมรา")</f>
        <v>น.ส.เบญจวรรณ ปัณฑโมรา</v>
      </c>
      <c r="J1371" s="3">
        <f>IFERROR(__xludf.DUMMYFUNCTION("""COMPUTED_VALUE"""),25324.0)</f>
        <v>25324</v>
      </c>
      <c r="K1371" s="3" t="str">
        <f>IFERROR(__xludf.DUMMYFUNCTION("""COMPUTED_VALUE"""),"นายวิเชฎฐ์ ติรัตนะประคม")</f>
        <v>นายวิเชฎฐ์ ติรัตนะประคม</v>
      </c>
      <c r="L1371" s="1" t="str">
        <f>IFERROR(__xludf.DUMMYFUNCTION("""COMPUTED_VALUE"""),"14 K.Wichet T.")</f>
        <v>14 K.Wichet T.</v>
      </c>
      <c r="M1371" s="1" t="str">
        <f>IFERROR(__xludf.DUMMYFUNCTION("""COMPUTED_VALUE"""),"061-417-6569 / 086-445-5636")</f>
        <v>061-417-6569 / 086-445-5636</v>
      </c>
      <c r="N1371" s="3">
        <f>IFERROR(__xludf.DUMMYFUNCTION("""COMPUTED_VALUE"""),22658.0)</f>
        <v>22658</v>
      </c>
      <c r="O1371" s="3" t="str">
        <f>IFERROR(__xludf.DUMMYFUNCTION("""COMPUTED_VALUE"""),"BCM ถ.วิรัชหงษ์หยก ภูเก็ต")</f>
        <v>BCM ถ.วิรัชหงษ์หยก ภูเก็ต</v>
      </c>
      <c r="P1371" s="4">
        <f>IFERROR(__xludf.DUMMYFUNCTION("""COMPUTED_VALUE"""),43827.0)</f>
        <v>43827</v>
      </c>
      <c r="Q1371" s="3" t="str">
        <f>IFERROR(__xludf.DUMMYFUNCTION("""COMPUTED_VALUE"""),"A")</f>
        <v>A</v>
      </c>
      <c r="R1371" s="3" t="str">
        <f>IFERROR(__xludf.DUMMYFUNCTION("""COMPUTED_VALUE"""),"Small Format")</f>
        <v>Small Format</v>
      </c>
      <c r="S1371" s="3" t="str">
        <f>IFERROR(__xludf.DUMMYFUNCTION("""COMPUTED_VALUE"""),"BCM")</f>
        <v>BCM</v>
      </c>
      <c r="T1371" s="3" t="str">
        <f>IFERROR(__xludf.DUMMYFUNCTION("""COMPUTED_VALUE"""),"#N/A")</f>
        <v>#N/A</v>
      </c>
      <c r="U1371" s="3" t="str">
        <f>IFERROR(__xludf.DUMMYFUNCTION("""COMPUTED_VALUE"""),"#N/A")</f>
        <v>#N/A</v>
      </c>
      <c r="V1371" s="3" t="str">
        <f>IFERROR(__xludf.DUMMYFUNCTION("""COMPUTED_VALUE"""),"N")</f>
        <v>N</v>
      </c>
      <c r="W1371" s="3">
        <f>IFERROR(__xludf.DUMMYFUNCTION("""COMPUTED_VALUE"""),210073.0)</f>
        <v>210073</v>
      </c>
      <c r="X1371" s="3" t="str">
        <f>IFERROR(__xludf.DUMMYFUNCTION("""COMPUTED_VALUE"""),"77/22-24 หมู่6 ตำบลฉลอง อำเภอเมืองภูเก็ต จังหวัดภูเก็ต 83130")</f>
        <v>77/22-24 หมู่6 ตำบลฉลอง อำเภอเมืองภูเก็ต จังหวัดภูเก็ต 83130</v>
      </c>
      <c r="Y1371" s="3"/>
      <c r="Z1371" s="3" t="str">
        <f>IFERROR(__xludf.DUMMYFUNCTION("""COMPUTED_VALUE"""),"ฉลอง")</f>
        <v>ฉลอง</v>
      </c>
      <c r="AA1371" s="3" t="str">
        <f>IFERROR(__xludf.DUMMYFUNCTION("""COMPUTED_VALUE"""),"เมือง")</f>
        <v>เมือง</v>
      </c>
      <c r="AB1371" s="3" t="str">
        <f>IFERROR(__xludf.DUMMYFUNCTION("""COMPUTED_VALUE"""),"ภูเก็ต")</f>
        <v>ภูเก็ต</v>
      </c>
      <c r="AC1371" s="3">
        <f>IFERROR(__xludf.DUMMYFUNCTION("""COMPUTED_VALUE"""),83130.0)</f>
        <v>83130</v>
      </c>
      <c r="AD1371" s="3">
        <f>IFERROR(__xludf.DUMMYFUNCTION("""COMPUTED_VALUE"""),7.848297)</f>
        <v>7.848297</v>
      </c>
      <c r="AE1371" s="3">
        <f>IFERROR(__xludf.DUMMYFUNCTION("""COMPUTED_VALUE"""),98.336139)</f>
        <v>98.336139</v>
      </c>
      <c r="AF1371" s="3" t="str">
        <f>IFERROR(__xludf.DUMMYFUNCTION("""COMPUTED_VALUE"""),"MBC ถนนหลวงพ่อแช่ม ภูเก็ต-22054")</f>
        <v>MBC ถนนหลวงพ่อแช่ม ภูเก็ต-22054</v>
      </c>
      <c r="AG1371" s="3" t="str">
        <f>IFERROR(__xludf.DUMMYFUNCTION("""COMPUTED_VALUE"""),"ใต้")</f>
        <v>ใต้</v>
      </c>
      <c r="AH1371" s="3" t="str">
        <f>IFERROR(__xludf.DUMMYFUNCTION("""COMPUTED_VALUE"""),"#N/A")</f>
        <v>#N/A</v>
      </c>
      <c r="AI1371" s="3" t="str">
        <f>IFERROR(__xludf.DUMMYFUNCTION("""COMPUTED_VALUE"""),"Out of warranty")</f>
        <v>Out of warranty</v>
      </c>
      <c r="AJ1371" s="3">
        <f>IFERROR(__xludf.DUMMYFUNCTION("""COMPUTED_VALUE"""),73.0)</f>
        <v>73</v>
      </c>
      <c r="AK1371" s="3" t="str">
        <f>IFERROR(__xludf.DUMMYFUNCTION("""COMPUTED_VALUE"""),"MMS15")</f>
        <v>MMS15</v>
      </c>
      <c r="AL1371" s="3"/>
    </row>
    <row r="1372" ht="15.75" customHeight="1">
      <c r="A1372" s="1" t="str">
        <f>IFERROR(__xludf.DUMMYFUNCTION("""COMPUTED_VALUE"""),"22055")</f>
        <v>22055</v>
      </c>
      <c r="B1372" s="2">
        <f>IFERROR(__xludf.DUMMYFUNCTION("""COMPUTED_VALUE"""),22055.0)</f>
        <v>22055</v>
      </c>
      <c r="C1372" s="3" t="str">
        <f>IFERROR(__xludf.DUMMYFUNCTION("""COMPUTED_VALUE"""),"MBC ถนนพัฒนาชนบท 3 กรุงเทพฯ")</f>
        <v>MBC ถนนพัฒนาชนบท 3 กรุงเทพฯ</v>
      </c>
      <c r="D1372" s="3" t="str">
        <f>IFERROR(__xludf.DUMMYFUNCTION("""COMPUTED_VALUE"""),"BCM THANON PHATANACHONABOT 3")</f>
        <v>BCM THANON PHATANACHONABOT 3</v>
      </c>
      <c r="E1372" s="1" t="str">
        <f>IFERROR(__xludf.DUMMYFUNCTION("""COMPUTED_VALUE"""),"บิ๊กซี MINI")</f>
        <v>บิ๊กซี MINI</v>
      </c>
      <c r="F1372" s="1" t="str">
        <f>IFERROR(__xludf.DUMMYFUNCTION("""COMPUTED_VALUE"""),"291008")</f>
        <v>291008</v>
      </c>
      <c r="G1372" s="1" t="str">
        <f>IFERROR(__xludf.DUMMYFUNCTION("""COMPUTED_VALUE"""),"น.ส.รัชดาพร อีศรัตน์")</f>
        <v>น.ส.รัชดาพร อีศรัตน์</v>
      </c>
      <c r="H1372" s="1" t="str">
        <f>IFERROR(__xludf.DUMMYFUNCTION("""COMPUTED_VALUE"""),"034068")</f>
        <v>034068</v>
      </c>
      <c r="I1372" s="1" t="str">
        <f>IFERROR(__xludf.DUMMYFUNCTION("""COMPUTED_VALUE"""),"นายสมศักดิ์ ฐานทองดี")</f>
        <v>นายสมศักดิ์ ฐานทองดี</v>
      </c>
      <c r="J1372" s="3">
        <f>IFERROR(__xludf.DUMMYFUNCTION("""COMPUTED_VALUE"""),296728.0)</f>
        <v>296728</v>
      </c>
      <c r="K1372" s="3" t="str">
        <f>IFERROR(__xludf.DUMMYFUNCTION("""COMPUTED_VALUE"""),"นายธิติ บัวทองรังสิมา")</f>
        <v>นายธิติ บัวทองรังสิมา</v>
      </c>
      <c r="L1372" s="1" t="str">
        <f>IFERROR(__xludf.DUMMYFUNCTION("""COMPUTED_VALUE"""),"นายธิติ บัวทองรังสิมา")</f>
        <v>นายธิติ บัวทองรังสิมา</v>
      </c>
      <c r="M1372" s="1" t="str">
        <f>IFERROR(__xludf.DUMMYFUNCTION("""COMPUTED_VALUE"""),"0920849994")</f>
        <v>0920849994</v>
      </c>
      <c r="N1372" s="3">
        <f>IFERROR(__xludf.DUMMYFUNCTION("""COMPUTED_VALUE"""),21012.0)</f>
        <v>21012</v>
      </c>
      <c r="O1372" s="3" t="str">
        <f>IFERROR(__xludf.DUMMYFUNCTION("""COMPUTED_VALUE"""),"MBC ท่าอิฐ")</f>
        <v>MBC ท่าอิฐ</v>
      </c>
      <c r="P1372" s="4">
        <f>IFERROR(__xludf.DUMMYFUNCTION("""COMPUTED_VALUE"""),43830.0)</f>
        <v>43830</v>
      </c>
      <c r="Q1372" s="3" t="str">
        <f>IFERROR(__xludf.DUMMYFUNCTION("""COMPUTED_VALUE"""),"I")</f>
        <v>I</v>
      </c>
      <c r="R1372" s="3" t="str">
        <f>IFERROR(__xludf.DUMMYFUNCTION("""COMPUTED_VALUE"""),"Small Format")</f>
        <v>Small Format</v>
      </c>
      <c r="S1372" s="3" t="str">
        <f>IFERROR(__xludf.DUMMYFUNCTION("""COMPUTED_VALUE"""),"BCM")</f>
        <v>BCM</v>
      </c>
      <c r="T1372" s="3" t="str">
        <f>IFERROR(__xludf.DUMMYFUNCTION("""COMPUTED_VALUE"""),"#N/A")</f>
        <v>#N/A</v>
      </c>
      <c r="U1372" s="3" t="str">
        <f>IFERROR(__xludf.DUMMYFUNCTION("""COMPUTED_VALUE"""),"#N/A")</f>
        <v>#N/A</v>
      </c>
      <c r="V1372" s="3" t="str">
        <f>IFERROR(__xludf.DUMMYFUNCTION("""COMPUTED_VALUE"""),"N")</f>
        <v>N</v>
      </c>
      <c r="W1372" s="3">
        <f>IFERROR(__xludf.DUMMYFUNCTION("""COMPUTED_VALUE"""),210102.0)</f>
        <v>210102</v>
      </c>
      <c r="X1372" s="3" t="str">
        <f>IFERROR(__xludf.DUMMYFUNCTION("""COMPUTED_VALUE"""),"17/4 ถนนพัฒนาชนบท3 แขวงคลองสองต้นนุ่น เขตลาดกระบัง กรุงเทพมหานคร 10520")</f>
        <v>17/4 ถนนพัฒนาชนบท3 แขวงคลองสองต้นนุ่น เขตลาดกระบัง กรุงเทพมหานคร 10520</v>
      </c>
      <c r="Y1372" s="3" t="str">
        <f>IFERROR(__xludf.DUMMYFUNCTION("""COMPUTED_VALUE"""),"ถนนพัฒนาชนบท3")</f>
        <v>ถนนพัฒนาชนบท3</v>
      </c>
      <c r="Z1372" s="3" t="str">
        <f>IFERROR(__xludf.DUMMYFUNCTION("""COMPUTED_VALUE"""),"คลองสองต้นนุ่น")</f>
        <v>คลองสองต้นนุ่น</v>
      </c>
      <c r="AA1372" s="3" t="str">
        <f>IFERROR(__xludf.DUMMYFUNCTION("""COMPUTED_VALUE"""),"ลาดกระบัง")</f>
        <v>ลาดกระบัง</v>
      </c>
      <c r="AB1372" s="3" t="str">
        <f>IFERROR(__xludf.DUMMYFUNCTION("""COMPUTED_VALUE"""),"กรุงเทพมหานคร")</f>
        <v>กรุงเทพมหานคร</v>
      </c>
      <c r="AC1372" s="3">
        <f>IFERROR(__xludf.DUMMYFUNCTION("""COMPUTED_VALUE"""),10520.0)</f>
        <v>10520</v>
      </c>
      <c r="AD1372" s="3">
        <f>IFERROR(__xludf.DUMMYFUNCTION("""COMPUTED_VALUE"""),13.736782)</f>
        <v>13.736782</v>
      </c>
      <c r="AE1372" s="3">
        <f>IFERROR(__xludf.DUMMYFUNCTION("""COMPUTED_VALUE"""),100.715685)</f>
        <v>100.715685</v>
      </c>
      <c r="AF1372" s="3" t="str">
        <f>IFERROR(__xludf.DUMMYFUNCTION("""COMPUTED_VALUE"""),"MBC ถนนพัฒนาชนบท 3 กรุงเทพฯ-22055")</f>
        <v>MBC ถนนพัฒนาชนบท 3 กรุงเทพฯ-22055</v>
      </c>
      <c r="AG1372" s="3" t="str">
        <f>IFERROR(__xludf.DUMMYFUNCTION("""COMPUTED_VALUE"""),"กลาง")</f>
        <v>กลาง</v>
      </c>
      <c r="AH1372" s="3" t="str">
        <f>IFERROR(__xludf.DUMMYFUNCTION("""COMPUTED_VALUE"""),"#N/A")</f>
        <v>#N/A</v>
      </c>
      <c r="AI1372" s="3" t="str">
        <f>IFERROR(__xludf.DUMMYFUNCTION("""COMPUTED_VALUE"""),"Out of warranty")</f>
        <v>Out of warranty</v>
      </c>
      <c r="AJ1372" s="3">
        <f>IFERROR(__xludf.DUMMYFUNCTION("""COMPUTED_VALUE"""),73.0)</f>
        <v>73</v>
      </c>
      <c r="AK1372" s="3" t="str">
        <f>IFERROR(__xludf.DUMMYFUNCTION("""COMPUTED_VALUE"""),"MMS03")</f>
        <v>MMS03</v>
      </c>
      <c r="AL1372" s="3"/>
    </row>
    <row r="1373" ht="15.75" customHeight="1">
      <c r="A1373" s="1" t="str">
        <f>IFERROR(__xludf.DUMMYFUNCTION("""COMPUTED_VALUE"""),"22056")</f>
        <v>22056</v>
      </c>
      <c r="B1373" s="2">
        <f>IFERROR(__xludf.DUMMYFUNCTION("""COMPUTED_VALUE"""),22056.0)</f>
        <v>22056</v>
      </c>
      <c r="C1373" s="3" t="str">
        <f>IFERROR(__xludf.DUMMYFUNCTION("""COMPUTED_VALUE"""),"MBC ตลาดตุนทรัพย์ ฉะเชิงเทรา")</f>
        <v>MBC ตลาดตุนทรัพย์ ฉะเชิงเทรา</v>
      </c>
      <c r="D1373" s="3" t="str">
        <f>IFERROR(__xludf.DUMMYFUNCTION("""COMPUTED_VALUE"""),"BCM TALAD TUN SAB")</f>
        <v>BCM TALAD TUN SAB</v>
      </c>
      <c r="E1373" s="1" t="str">
        <f>IFERROR(__xludf.DUMMYFUNCTION("""COMPUTED_VALUE"""),"บิ๊กซี MINI")</f>
        <v>บิ๊กซี MINI</v>
      </c>
      <c r="F1373" s="1" t="str">
        <f>IFERROR(__xludf.DUMMYFUNCTION("""COMPUTED_VALUE"""),"2083447")</f>
        <v>2083447</v>
      </c>
      <c r="G1373" s="1" t="str">
        <f>IFERROR(__xludf.DUMMYFUNCTION("""COMPUTED_VALUE"""),"นายอนุกูล ศรีลัดดา")</f>
        <v>นายอนุกูล ศรีลัดดา</v>
      </c>
      <c r="H1373" s="1" t="str">
        <f>IFERROR(__xludf.DUMMYFUNCTION("""COMPUTED_VALUE"""),"254957")</f>
        <v>254957</v>
      </c>
      <c r="I1373" s="1" t="str">
        <f>IFERROR(__xludf.DUMMYFUNCTION("""COMPUTED_VALUE"""),"น.ส.ศิริพร รุ่งธัญญา")</f>
        <v>น.ส.ศิริพร รุ่งธัญญา</v>
      </c>
      <c r="J1373" s="3">
        <f>IFERROR(__xludf.DUMMYFUNCTION("""COMPUTED_VALUE"""),510143.0)</f>
        <v>510143</v>
      </c>
      <c r="K1373" s="3" t="str">
        <f>IFERROR(__xludf.DUMMYFUNCTION("""COMPUTED_VALUE"""),"นายธีระวัฒน์ บุญสิทธิ์")</f>
        <v>นายธีระวัฒน์ บุญสิทธิ์</v>
      </c>
      <c r="L1373" s="1" t="str">
        <f>IFERROR(__xludf.DUMMYFUNCTION("""COMPUTED_VALUE"""),"12 K.Theerawat B.")</f>
        <v>12 K.Theerawat B.</v>
      </c>
      <c r="M1373" s="1" t="str">
        <f>IFERROR(__xludf.DUMMYFUNCTION("""COMPUTED_VALUE"""),"0655107379")</f>
        <v>0655107379</v>
      </c>
      <c r="N1373" s="3">
        <f>IFERROR(__xludf.DUMMYFUNCTION("""COMPUTED_VALUE"""),21062.0)</f>
        <v>21062</v>
      </c>
      <c r="O1373" s="3" t="str">
        <f>IFERROR(__xludf.DUMMYFUNCTION("""COMPUTED_VALUE"""),"MBC นิคมนวนคร")</f>
        <v>MBC นิคมนวนคร</v>
      </c>
      <c r="P1373" s="4">
        <f>IFERROR(__xludf.DUMMYFUNCTION("""COMPUTED_VALUE"""),43827.0)</f>
        <v>43827</v>
      </c>
      <c r="Q1373" s="3" t="str">
        <f>IFERROR(__xludf.DUMMYFUNCTION("""COMPUTED_VALUE"""),"A")</f>
        <v>A</v>
      </c>
      <c r="R1373" s="3" t="str">
        <f>IFERROR(__xludf.DUMMYFUNCTION("""COMPUTED_VALUE"""),"Small Format")</f>
        <v>Small Format</v>
      </c>
      <c r="S1373" s="3" t="str">
        <f>IFERROR(__xludf.DUMMYFUNCTION("""COMPUTED_VALUE"""),"BCM")</f>
        <v>BCM</v>
      </c>
      <c r="T1373" s="3" t="str">
        <f>IFERROR(__xludf.DUMMYFUNCTION("""COMPUTED_VALUE"""),"#N/A")</f>
        <v>#N/A</v>
      </c>
      <c r="U1373" s="3" t="str">
        <f>IFERROR(__xludf.DUMMYFUNCTION("""COMPUTED_VALUE"""),"#N/A")</f>
        <v>#N/A</v>
      </c>
      <c r="V1373" s="3" t="str">
        <f>IFERROR(__xludf.DUMMYFUNCTION("""COMPUTED_VALUE"""),"N")</f>
        <v>N</v>
      </c>
      <c r="W1373" s="3">
        <f>IFERROR(__xludf.DUMMYFUNCTION("""COMPUTED_VALUE"""),210086.0)</f>
        <v>210086</v>
      </c>
      <c r="X1373" s="3" t="str">
        <f>IFERROR(__xludf.DUMMYFUNCTION("""COMPUTED_VALUE"""),"9/5 หมู่3 ตำบลหัวสำโรง อำเภอแปลงยาว จังหวัดฉะเชิงเทรา 24190")</f>
        <v>9/5 หมู่3 ตำบลหัวสำโรง อำเภอแปลงยาว จังหวัดฉะเชิงเทรา 24190</v>
      </c>
      <c r="Y1373" s="3"/>
      <c r="Z1373" s="3" t="str">
        <f>IFERROR(__xludf.DUMMYFUNCTION("""COMPUTED_VALUE"""),"หัวสำโรง")</f>
        <v>หัวสำโรง</v>
      </c>
      <c r="AA1373" s="3" t="str">
        <f>IFERROR(__xludf.DUMMYFUNCTION("""COMPUTED_VALUE"""),"แปลงยาว")</f>
        <v>แปลงยาว</v>
      </c>
      <c r="AB1373" s="3" t="str">
        <f>IFERROR(__xludf.DUMMYFUNCTION("""COMPUTED_VALUE"""),"ฉะเชิงเทรา")</f>
        <v>ฉะเชิงเทรา</v>
      </c>
      <c r="AC1373" s="3">
        <f>IFERROR(__xludf.DUMMYFUNCTION("""COMPUTED_VALUE"""),24190.0)</f>
        <v>24190</v>
      </c>
      <c r="AD1373" s="3">
        <f>IFERROR(__xludf.DUMMYFUNCTION("""COMPUTED_VALUE"""),13.639582)</f>
        <v>13.639582</v>
      </c>
      <c r="AE1373" s="3">
        <f>IFERROR(__xludf.DUMMYFUNCTION("""COMPUTED_VALUE"""),101.295028)</f>
        <v>101.295028</v>
      </c>
      <c r="AF1373" s="3" t="str">
        <f>IFERROR(__xludf.DUMMYFUNCTION("""COMPUTED_VALUE"""),"MBC ตลาดตุนทรัพย์ ฉะเชิงเทรา-22056")</f>
        <v>MBC ตลาดตุนทรัพย์ ฉะเชิงเทรา-22056</v>
      </c>
      <c r="AG1373" s="3" t="str">
        <f>IFERROR(__xludf.DUMMYFUNCTION("""COMPUTED_VALUE"""),"ตะวันออก")</f>
        <v>ตะวันออก</v>
      </c>
      <c r="AH1373" s="3" t="str">
        <f>IFERROR(__xludf.DUMMYFUNCTION("""COMPUTED_VALUE"""),"#N/A")</f>
        <v>#N/A</v>
      </c>
      <c r="AI1373" s="3" t="str">
        <f>IFERROR(__xludf.DUMMYFUNCTION("""COMPUTED_VALUE"""),"Out of warranty")</f>
        <v>Out of warranty</v>
      </c>
      <c r="AJ1373" s="3">
        <f>IFERROR(__xludf.DUMMYFUNCTION("""COMPUTED_VALUE"""),73.0)</f>
        <v>73</v>
      </c>
      <c r="AK1373" s="3" t="str">
        <f>IFERROR(__xludf.DUMMYFUNCTION("""COMPUTED_VALUE"""),"MMS07")</f>
        <v>MMS07</v>
      </c>
      <c r="AL1373" s="3"/>
    </row>
    <row r="1374" ht="15.75" customHeight="1">
      <c r="A1374" s="1" t="str">
        <f>IFERROR(__xludf.DUMMYFUNCTION("""COMPUTED_VALUE"""),"22057")</f>
        <v>22057</v>
      </c>
      <c r="B1374" s="2">
        <f>IFERROR(__xludf.DUMMYFUNCTION("""COMPUTED_VALUE"""),22057.0)</f>
        <v>22057</v>
      </c>
      <c r="C1374" s="3" t="str">
        <f>IFERROR(__xludf.DUMMYFUNCTION("""COMPUTED_VALUE"""),"MBC อำเภอท่าม่วง กาญจนบุรี")</f>
        <v>MBC อำเภอท่าม่วง กาญจนบุรี</v>
      </c>
      <c r="D1374" s="3" t="str">
        <f>IFERROR(__xludf.DUMMYFUNCTION("""COMPUTED_VALUE"""),"BCM AMPHUR THA MUANG")</f>
        <v>BCM AMPHUR THA MUANG</v>
      </c>
      <c r="E1374" s="1" t="str">
        <f>IFERROR(__xludf.DUMMYFUNCTION("""COMPUTED_VALUE"""),"บิ๊กซี MINI")</f>
        <v>บิ๊กซี MINI</v>
      </c>
      <c r="F1374" s="1" t="str">
        <f>IFERROR(__xludf.DUMMYFUNCTION("""COMPUTED_VALUE"""),"2083447")</f>
        <v>2083447</v>
      </c>
      <c r="G1374" s="1" t="str">
        <f>IFERROR(__xludf.DUMMYFUNCTION("""COMPUTED_VALUE"""),"นายอนุกูล ศรีลัดดา")</f>
        <v>นายอนุกูล ศรีลัดดา</v>
      </c>
      <c r="H1374" s="1" t="str">
        <f>IFERROR(__xludf.DUMMYFUNCTION("""COMPUTED_VALUE"""),"391191")</f>
        <v>391191</v>
      </c>
      <c r="I1374" s="1" t="str">
        <f>IFERROR(__xludf.DUMMYFUNCTION("""COMPUTED_VALUE"""),"นายวสันต์ สรงพรมทิพย์")</f>
        <v>นายวสันต์ สรงพรมทิพย์</v>
      </c>
      <c r="J1374" s="3">
        <f>IFERROR(__xludf.DUMMYFUNCTION("""COMPUTED_VALUE"""),2451655.0)</f>
        <v>2451655</v>
      </c>
      <c r="K1374" s="3" t="str">
        <f>IFERROR(__xludf.DUMMYFUNCTION("""COMPUTED_VALUE"""),"นายวิษณุพงษ์ ชินบุตร")</f>
        <v>นายวิษณุพงษ์ ชินบุตร</v>
      </c>
      <c r="L1374" s="1" t="str">
        <f>IFERROR(__xludf.DUMMYFUNCTION("""COMPUTED_VALUE"""),"13 K.Wisanupong Ch")</f>
        <v>13 K.Wisanupong Ch</v>
      </c>
      <c r="M1374" s="1" t="str">
        <f>IFERROR(__xludf.DUMMYFUNCTION("""COMPUTED_VALUE"""),"0843374693")</f>
        <v>0843374693</v>
      </c>
      <c r="N1374" s="3">
        <f>IFERROR(__xludf.DUMMYFUNCTION("""COMPUTED_VALUE"""),22729.0)</f>
        <v>22729</v>
      </c>
      <c r="O1374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374" s="4">
        <f>IFERROR(__xludf.DUMMYFUNCTION("""COMPUTED_VALUE"""),43826.0)</f>
        <v>43826</v>
      </c>
      <c r="Q1374" s="3" t="str">
        <f>IFERROR(__xludf.DUMMYFUNCTION("""COMPUTED_VALUE"""),"A")</f>
        <v>A</v>
      </c>
      <c r="R1374" s="3" t="str">
        <f>IFERROR(__xludf.DUMMYFUNCTION("""COMPUTED_VALUE"""),"Small Format")</f>
        <v>Small Format</v>
      </c>
      <c r="S1374" s="3" t="str">
        <f>IFERROR(__xludf.DUMMYFUNCTION("""COMPUTED_VALUE"""),"BCM")</f>
        <v>BCM</v>
      </c>
      <c r="T1374" s="3" t="str">
        <f>IFERROR(__xludf.DUMMYFUNCTION("""COMPUTED_VALUE"""),"#N/A")</f>
        <v>#N/A</v>
      </c>
      <c r="U1374" s="3" t="str">
        <f>IFERROR(__xludf.DUMMYFUNCTION("""COMPUTED_VALUE"""),"#N/A")</f>
        <v>#N/A</v>
      </c>
      <c r="V1374" s="3" t="str">
        <f>IFERROR(__xludf.DUMMYFUNCTION("""COMPUTED_VALUE"""),"N")</f>
        <v>N</v>
      </c>
      <c r="W1374" s="3">
        <f>IFERROR(__xludf.DUMMYFUNCTION("""COMPUTED_VALUE"""),210085.0)</f>
        <v>210085</v>
      </c>
      <c r="X1374" s="3" t="str">
        <f>IFERROR(__xludf.DUMMYFUNCTION("""COMPUTED_VALUE"""),"760/6-7 หมู่2 ตำบลท่าม่วง อำเภอท่าม่วง จังหวัดกาญจนบุรี 71110")</f>
        <v>760/6-7 หมู่2 ตำบลท่าม่วง อำเภอท่าม่วง จังหวัดกาญจนบุรี 71110</v>
      </c>
      <c r="Y1374" s="3"/>
      <c r="Z1374" s="3" t="str">
        <f>IFERROR(__xludf.DUMMYFUNCTION("""COMPUTED_VALUE"""),"ท่าม่วง")</f>
        <v>ท่าม่วง</v>
      </c>
      <c r="AA1374" s="3" t="str">
        <f>IFERROR(__xludf.DUMMYFUNCTION("""COMPUTED_VALUE"""),"ท่าม่วง")</f>
        <v>ท่าม่วง</v>
      </c>
      <c r="AB1374" s="3" t="str">
        <f>IFERROR(__xludf.DUMMYFUNCTION("""COMPUTED_VALUE"""),"กาญจนบุรี")</f>
        <v>กาญจนบุรี</v>
      </c>
      <c r="AC1374" s="3">
        <f>IFERROR(__xludf.DUMMYFUNCTION("""COMPUTED_VALUE"""),71110.0)</f>
        <v>71110</v>
      </c>
      <c r="AD1374" s="3">
        <f>IFERROR(__xludf.DUMMYFUNCTION("""COMPUTED_VALUE"""),13.971234)</f>
        <v>13.971234</v>
      </c>
      <c r="AE1374" s="3">
        <f>IFERROR(__xludf.DUMMYFUNCTION("""COMPUTED_VALUE"""),99.637681)</f>
        <v>99.637681</v>
      </c>
      <c r="AF1374" s="3" t="str">
        <f>IFERROR(__xludf.DUMMYFUNCTION("""COMPUTED_VALUE"""),"MBC อำเภอท่าม่วง กาญจนบุรี-22057")</f>
        <v>MBC อำเภอท่าม่วง กาญจนบุรี-22057</v>
      </c>
      <c r="AG1374" s="3" t="str">
        <f>IFERROR(__xludf.DUMMYFUNCTION("""COMPUTED_VALUE"""),"ตะวันตก")</f>
        <v>ตะวันตก</v>
      </c>
      <c r="AH1374" s="3" t="str">
        <f>IFERROR(__xludf.DUMMYFUNCTION("""COMPUTED_VALUE"""),"#N/A")</f>
        <v>#N/A</v>
      </c>
      <c r="AI1374" s="3" t="str">
        <f>IFERROR(__xludf.DUMMYFUNCTION("""COMPUTED_VALUE"""),"Out of warranty")</f>
        <v>Out of warranty</v>
      </c>
      <c r="AJ1374" s="3">
        <f>IFERROR(__xludf.DUMMYFUNCTION("""COMPUTED_VALUE"""),73.0)</f>
        <v>73</v>
      </c>
      <c r="AK1374" s="3" t="str">
        <f>IFERROR(__xludf.DUMMYFUNCTION("""COMPUTED_VALUE"""),"MMS05")</f>
        <v>MMS05</v>
      </c>
      <c r="AL1374" s="3"/>
    </row>
    <row r="1375" ht="15.75" customHeight="1">
      <c r="A1375" s="1" t="str">
        <f>IFERROR(__xludf.DUMMYFUNCTION("""COMPUTED_VALUE"""),"22058")</f>
        <v>22058</v>
      </c>
      <c r="B1375" s="2">
        <f>IFERROR(__xludf.DUMMYFUNCTION("""COMPUTED_VALUE"""),22058.0)</f>
        <v>22058</v>
      </c>
      <c r="C1375" s="3" t="str">
        <f>IFERROR(__xludf.DUMMYFUNCTION("""COMPUTED_VALUE"""),"MBC เกษตรสมบรูณ์ ชัยภูมิ")</f>
        <v>MBC เกษตรสมบรูณ์ ชัยภูมิ</v>
      </c>
      <c r="D1375" s="3" t="str">
        <f>IFERROR(__xludf.DUMMYFUNCTION("""COMPUTED_VALUE"""),"BCM KASET SOMBOON, CHAIYAPHUM")</f>
        <v>BCM KASET SOMBOON, CHAIYAPHUM</v>
      </c>
      <c r="E1375" s="1" t="str">
        <f>IFERROR(__xludf.DUMMYFUNCTION("""COMPUTED_VALUE"""),"บิ๊กซี MINI")</f>
        <v>บิ๊กซี MINI</v>
      </c>
      <c r="F1375" s="1" t="str">
        <f>IFERROR(__xludf.DUMMYFUNCTION("""COMPUTED_VALUE"""),"291105")</f>
        <v>291105</v>
      </c>
      <c r="G1375" s="1" t="str">
        <f>IFERROR(__xludf.DUMMYFUNCTION("""COMPUTED_VALUE"""),"นายสราวุฒิ พณิชยกุล")</f>
        <v>นายสราวุฒิ พณิชยกุล</v>
      </c>
      <c r="H1375" s="1" t="str">
        <f>IFERROR(__xludf.DUMMYFUNCTION("""COMPUTED_VALUE"""),"371396")</f>
        <v>371396</v>
      </c>
      <c r="I1375" s="1" t="str">
        <f>IFERROR(__xludf.DUMMYFUNCTION("""COMPUTED_VALUE"""),"น.ส.สุภาวดี วิลัยพร")</f>
        <v>น.ส.สุภาวดี วิลัยพร</v>
      </c>
      <c r="J1375" s="3">
        <f>IFERROR(__xludf.DUMMYFUNCTION("""COMPUTED_VALUE"""),15361.0)</f>
        <v>15361</v>
      </c>
      <c r="K1375" s="3" t="str">
        <f>IFERROR(__xludf.DUMMYFUNCTION("""COMPUTED_VALUE"""),"นายสมบูรณ์ พรหมในเมือง")</f>
        <v>นายสมบูรณ์ พรหมในเมือง</v>
      </c>
      <c r="L1375" s="1" t="str">
        <f>IFERROR(__xludf.DUMMYFUNCTION("""COMPUTED_VALUE"""),"04 K.Somboon P.")</f>
        <v>04 K.Somboon P.</v>
      </c>
      <c r="M1375" s="1" t="str">
        <f>IFERROR(__xludf.DUMMYFUNCTION("""COMPUTED_VALUE"""),"087-965-3051")</f>
        <v>087-965-3051</v>
      </c>
      <c r="N1375" s="3">
        <f>IFERROR(__xludf.DUMMYFUNCTION("""COMPUTED_VALUE"""),21869.0)</f>
        <v>21869</v>
      </c>
      <c r="O1375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375" s="4">
        <f>IFERROR(__xludf.DUMMYFUNCTION("""COMPUTED_VALUE"""),43828.0)</f>
        <v>43828</v>
      </c>
      <c r="Q1375" s="3" t="str">
        <f>IFERROR(__xludf.DUMMYFUNCTION("""COMPUTED_VALUE"""),"A")</f>
        <v>A</v>
      </c>
      <c r="R1375" s="3" t="str">
        <f>IFERROR(__xludf.DUMMYFUNCTION("""COMPUTED_VALUE"""),"Small Format")</f>
        <v>Small Format</v>
      </c>
      <c r="S1375" s="3" t="str">
        <f>IFERROR(__xludf.DUMMYFUNCTION("""COMPUTED_VALUE"""),"BCM")</f>
        <v>BCM</v>
      </c>
      <c r="T1375" s="3" t="str">
        <f>IFERROR(__xludf.DUMMYFUNCTION("""COMPUTED_VALUE"""),"#N/A")</f>
        <v>#N/A</v>
      </c>
      <c r="U1375" s="3" t="str">
        <f>IFERROR(__xludf.DUMMYFUNCTION("""COMPUTED_VALUE"""),"#N/A")</f>
        <v>#N/A</v>
      </c>
      <c r="V1375" s="3" t="str">
        <f>IFERROR(__xludf.DUMMYFUNCTION("""COMPUTED_VALUE"""),"N")</f>
        <v>N</v>
      </c>
      <c r="W1375" s="3">
        <f>IFERROR(__xludf.DUMMYFUNCTION("""COMPUTED_VALUE"""),210091.0)</f>
        <v>210091</v>
      </c>
      <c r="X1375" s="3" t="str">
        <f>IFERROR(__xludf.DUMMYFUNCTION("""COMPUTED_VALUE"""),"421 หมู่1 ตำบลบ้านยาง อำเภอเกษตรสมบูรณ์ จังหวัดชัยภูมิ 36120")</f>
        <v>421 หมู่1 ตำบลบ้านยาง อำเภอเกษตรสมบูรณ์ จังหวัดชัยภูมิ 36120</v>
      </c>
      <c r="Y1375" s="3"/>
      <c r="Z1375" s="3" t="str">
        <f>IFERROR(__xludf.DUMMYFUNCTION("""COMPUTED_VALUE"""),"บ้านยาง")</f>
        <v>บ้านยาง</v>
      </c>
      <c r="AA1375" s="3" t="str">
        <f>IFERROR(__xludf.DUMMYFUNCTION("""COMPUTED_VALUE"""),"เกษตรสมบูรณ์")</f>
        <v>เกษตรสมบูรณ์</v>
      </c>
      <c r="AB1375" s="3" t="str">
        <f>IFERROR(__xludf.DUMMYFUNCTION("""COMPUTED_VALUE"""),"ชัยภูมิ")</f>
        <v>ชัยภูมิ</v>
      </c>
      <c r="AC1375" s="3">
        <f>IFERROR(__xludf.DUMMYFUNCTION("""COMPUTED_VALUE"""),36120.0)</f>
        <v>36120</v>
      </c>
      <c r="AD1375" s="3">
        <f>IFERROR(__xludf.DUMMYFUNCTION("""COMPUTED_VALUE"""),16.27994)</f>
        <v>16.27994</v>
      </c>
      <c r="AE1375" s="3">
        <f>IFERROR(__xludf.DUMMYFUNCTION("""COMPUTED_VALUE"""),101.952298)</f>
        <v>101.952298</v>
      </c>
      <c r="AF1375" s="3" t="str">
        <f>IFERROR(__xludf.DUMMYFUNCTION("""COMPUTED_VALUE"""),"MBC เกษตรสมบรูณ์ ชัยภูมิ-22058")</f>
        <v>MBC เกษตรสมบรูณ์ ชัยภูมิ-22058</v>
      </c>
      <c r="AG1375" s="3" t="str">
        <f>IFERROR(__xludf.DUMMYFUNCTION("""COMPUTED_VALUE"""),"ตะวันออกเฉียงเหนือ")</f>
        <v>ตะวันออกเฉียงเหนือ</v>
      </c>
      <c r="AH1375" s="3" t="str">
        <f>IFERROR(__xludf.DUMMYFUNCTION("""COMPUTED_VALUE"""),"#N/A")</f>
        <v>#N/A</v>
      </c>
      <c r="AI1375" s="3" t="str">
        <f>IFERROR(__xludf.DUMMYFUNCTION("""COMPUTED_VALUE"""),"Out of warranty")</f>
        <v>Out of warranty</v>
      </c>
      <c r="AJ1375" s="3">
        <f>IFERROR(__xludf.DUMMYFUNCTION("""COMPUTED_VALUE"""),73.0)</f>
        <v>73</v>
      </c>
      <c r="AK1375" s="3" t="str">
        <f>IFERROR(__xludf.DUMMYFUNCTION("""COMPUTED_VALUE"""),"MMS11")</f>
        <v>MMS11</v>
      </c>
      <c r="AL1375" s="3"/>
    </row>
    <row r="1376" ht="15.75" customHeight="1">
      <c r="A1376" s="1" t="str">
        <f>IFERROR(__xludf.DUMMYFUNCTION("""COMPUTED_VALUE"""),"22059")</f>
        <v>22059</v>
      </c>
      <c r="B1376" s="2">
        <f>IFERROR(__xludf.DUMMYFUNCTION("""COMPUTED_VALUE"""),22059.0)</f>
        <v>22059</v>
      </c>
      <c r="C1376" s="3" t="str">
        <f>IFERROR(__xludf.DUMMYFUNCTION("""COMPUTED_VALUE"""),"MBC วัดหนองตำลึง ชลบุรี")</f>
        <v>MBC วัดหนองตำลึง ชลบุรี</v>
      </c>
      <c r="D1376" s="3" t="str">
        <f>IFERROR(__xludf.DUMMYFUNCTION("""COMPUTED_VALUE"""),"BCM WAT NONG TAM LUENG")</f>
        <v>BCM WAT NONG TAM LUENG</v>
      </c>
      <c r="E1376" s="1" t="str">
        <f>IFERROR(__xludf.DUMMYFUNCTION("""COMPUTED_VALUE"""),"บิ๊กซี MINI")</f>
        <v>บิ๊กซี MINI</v>
      </c>
      <c r="F1376" s="1" t="str">
        <f>IFERROR(__xludf.DUMMYFUNCTION("""COMPUTED_VALUE"""),"221716")</f>
        <v>221716</v>
      </c>
      <c r="G1376" s="1" t="str">
        <f>IFERROR(__xludf.DUMMYFUNCTION("""COMPUTED_VALUE"""),"น.ส.เบญจพร โพธิสาร")</f>
        <v>น.ส.เบญจพร โพธิสาร</v>
      </c>
      <c r="H1376" s="1" t="str">
        <f>IFERROR(__xludf.DUMMYFUNCTION("""COMPUTED_VALUE"""),"2452265")</f>
        <v>2452265</v>
      </c>
      <c r="I1376" s="1" t="str">
        <f>IFERROR(__xludf.DUMMYFUNCTION("""COMPUTED_VALUE"""),"นายพิทยา จันทร์ประเทศ")</f>
        <v>นายพิทยา จันทร์ประเทศ</v>
      </c>
      <c r="J1376" s="3">
        <f>IFERROR(__xludf.DUMMYFUNCTION("""COMPUTED_VALUE"""),296942.0)</f>
        <v>296942</v>
      </c>
      <c r="K1376" s="3" t="str">
        <f>IFERROR(__xludf.DUMMYFUNCTION("""COMPUTED_VALUE"""),"นายปิยะ รักษากิจ")</f>
        <v>นายปิยะ รักษากิจ</v>
      </c>
      <c r="L1376" s="1" t="str">
        <f>IFERROR(__xludf.DUMMYFUNCTION("""COMPUTED_VALUE"""),"07 K.Piya R.")</f>
        <v>07 K.Piya R.</v>
      </c>
      <c r="M1376" s="1" t="str">
        <f>IFERROR(__xludf.DUMMYFUNCTION("""COMPUTED_VALUE"""),"097-919-5476")</f>
        <v>097-919-5476</v>
      </c>
      <c r="N1376" s="3">
        <f>IFERROR(__xludf.DUMMYFUNCTION("""COMPUTED_VALUE"""),21332.0)</f>
        <v>21332</v>
      </c>
      <c r="O1376" s="3" t="str">
        <f>IFERROR(__xludf.DUMMYFUNCTION("""COMPUTED_VALUE"""),"MBC BCP อ่อนนุช 17/1")</f>
        <v>MBC BCP อ่อนนุช 17/1</v>
      </c>
      <c r="P1376" s="4">
        <f>IFERROR(__xludf.DUMMYFUNCTION("""COMPUTED_VALUE"""),43830.0)</f>
        <v>43830</v>
      </c>
      <c r="Q1376" s="3" t="str">
        <f>IFERROR(__xludf.DUMMYFUNCTION("""COMPUTED_VALUE"""),"A")</f>
        <v>A</v>
      </c>
      <c r="R1376" s="3" t="str">
        <f>IFERROR(__xludf.DUMMYFUNCTION("""COMPUTED_VALUE"""),"Small Format")</f>
        <v>Small Format</v>
      </c>
      <c r="S1376" s="3" t="str">
        <f>IFERROR(__xludf.DUMMYFUNCTION("""COMPUTED_VALUE"""),"BCM")</f>
        <v>BCM</v>
      </c>
      <c r="T1376" s="3" t="str">
        <f>IFERROR(__xludf.DUMMYFUNCTION("""COMPUTED_VALUE"""),"#N/A")</f>
        <v>#N/A</v>
      </c>
      <c r="U1376" s="3" t="str">
        <f>IFERROR(__xludf.DUMMYFUNCTION("""COMPUTED_VALUE"""),"#N/A")</f>
        <v>#N/A</v>
      </c>
      <c r="V1376" s="3" t="str">
        <f>IFERROR(__xludf.DUMMYFUNCTION("""COMPUTED_VALUE"""),"N")</f>
        <v>N</v>
      </c>
      <c r="W1376" s="3">
        <f>IFERROR(__xludf.DUMMYFUNCTION("""COMPUTED_VALUE"""),210087.0)</f>
        <v>210087</v>
      </c>
      <c r="X1376" s="3" t="str">
        <f>IFERROR(__xludf.DUMMYFUNCTION("""COMPUTED_VALUE"""),"89/99 หมู่2 ตำบลหนองตำลึง อำเภอพานทอง จังหวัดชลบุรี 20160")</f>
        <v>89/99 หมู่2 ตำบลหนองตำลึง อำเภอพานทอง จังหวัดชลบุรี 20160</v>
      </c>
      <c r="Y1376" s="3"/>
      <c r="Z1376" s="3" t="str">
        <f>IFERROR(__xludf.DUMMYFUNCTION("""COMPUTED_VALUE"""),"หนองตำลึง")</f>
        <v>หนองตำลึง</v>
      </c>
      <c r="AA1376" s="3" t="str">
        <f>IFERROR(__xludf.DUMMYFUNCTION("""COMPUTED_VALUE"""),"พานทอง")</f>
        <v>พานทอง</v>
      </c>
      <c r="AB1376" s="3" t="str">
        <f>IFERROR(__xludf.DUMMYFUNCTION("""COMPUTED_VALUE"""),"ชลบุรี")</f>
        <v>ชลบุรี</v>
      </c>
      <c r="AC1376" s="3">
        <f>IFERROR(__xludf.DUMMYFUNCTION("""COMPUTED_VALUE"""),20160.0)</f>
        <v>20160</v>
      </c>
      <c r="AD1376" s="3">
        <f>IFERROR(__xludf.DUMMYFUNCTION("""COMPUTED_VALUE"""),13.309797)</f>
        <v>13.309797</v>
      </c>
      <c r="AE1376" s="3">
        <f>IFERROR(__xludf.DUMMYFUNCTION("""COMPUTED_VALUE"""),100.912185)</f>
        <v>100.912185</v>
      </c>
      <c r="AF1376" s="3" t="str">
        <f>IFERROR(__xludf.DUMMYFUNCTION("""COMPUTED_VALUE"""),"MBC วัดหนองตำลึง ชลบุรี-22059")</f>
        <v>MBC วัดหนองตำลึง ชลบุรี-22059</v>
      </c>
      <c r="AG1376" s="3" t="str">
        <f>IFERROR(__xludf.DUMMYFUNCTION("""COMPUTED_VALUE"""),"ตะวันออก")</f>
        <v>ตะวันออก</v>
      </c>
      <c r="AH1376" s="3" t="str">
        <f>IFERROR(__xludf.DUMMYFUNCTION("""COMPUTED_VALUE"""),"#N/A")</f>
        <v>#N/A</v>
      </c>
      <c r="AI1376" s="3" t="str">
        <f>IFERROR(__xludf.DUMMYFUNCTION("""COMPUTED_VALUE"""),"Out of warranty")</f>
        <v>Out of warranty</v>
      </c>
      <c r="AJ1376" s="3">
        <f>IFERROR(__xludf.DUMMYFUNCTION("""COMPUTED_VALUE"""),73.0)</f>
        <v>73</v>
      </c>
      <c r="AK1376" s="3" t="str">
        <f>IFERROR(__xludf.DUMMYFUNCTION("""COMPUTED_VALUE"""),"MMS07")</f>
        <v>MMS07</v>
      </c>
      <c r="AL1376" s="3"/>
    </row>
    <row r="1377" ht="15.75" customHeight="1">
      <c r="A1377" s="1" t="str">
        <f>IFERROR(__xludf.DUMMYFUNCTION("""COMPUTED_VALUE"""),"22060")</f>
        <v>22060</v>
      </c>
      <c r="B1377" s="2">
        <f>IFERROR(__xludf.DUMMYFUNCTION("""COMPUTED_VALUE"""),22060.0)</f>
        <v>22060</v>
      </c>
      <c r="C1377" s="3" t="str">
        <f>IFERROR(__xludf.DUMMYFUNCTION("""COMPUTED_VALUE"""),"MBC บางจากทุ่งคอก สุพรรณบุรี")</f>
        <v>MBC บางจากทุ่งคอก สุพรรณบุรี</v>
      </c>
      <c r="D1377" s="3" t="str">
        <f>IFERROR(__xludf.DUMMYFUNCTION("""COMPUTED_VALUE"""),"BCM BCP THUNG KHOK")</f>
        <v>BCM BCP THUNG KHOK</v>
      </c>
      <c r="E1377" s="1" t="str">
        <f>IFERROR(__xludf.DUMMYFUNCTION("""COMPUTED_VALUE"""),"บิ๊กซี MINI")</f>
        <v>บิ๊กซี MINI</v>
      </c>
      <c r="F1377" s="1" t="str">
        <f>IFERROR(__xludf.DUMMYFUNCTION("""COMPUTED_VALUE"""),"296229")</f>
        <v>296229</v>
      </c>
      <c r="G1377" s="1" t="str">
        <f>IFERROR(__xludf.DUMMYFUNCTION("""COMPUTED_VALUE"""),"นายทนงศักดิ์ บุญมา")</f>
        <v>นายทนงศักดิ์ บุญมา</v>
      </c>
      <c r="H1377" s="1" t="str">
        <f>IFERROR(__xludf.DUMMYFUNCTION("""COMPUTED_VALUE"""),"318186")</f>
        <v>318186</v>
      </c>
      <c r="I1377" s="1" t="str">
        <f>IFERROR(__xludf.DUMMYFUNCTION("""COMPUTED_VALUE"""),"น.ส.พนมวัลย์ เรืองรัตน์")</f>
        <v>น.ส.พนมวัลย์ เรืองรัตน์</v>
      </c>
      <c r="J1377" s="3">
        <f>IFERROR(__xludf.DUMMYFUNCTION("""COMPUTED_VALUE"""),46214.0)</f>
        <v>46214</v>
      </c>
      <c r="K1377" s="3" t="str">
        <f>IFERROR(__xludf.DUMMYFUNCTION("""COMPUTED_VALUE"""),"นายศักดิ์ชัย เด็ดดอกฟ้า")</f>
        <v>นายศักดิ์ชัย เด็ดดอกฟ้า</v>
      </c>
      <c r="L1377" s="3" t="str">
        <f>IFERROR(__xludf.DUMMYFUNCTION("""COMPUTED_VALUE"""),"02 K.Sakchai D")</f>
        <v>02 K.Sakchai D</v>
      </c>
      <c r="M1377" s="1" t="str">
        <f>IFERROR(__xludf.DUMMYFUNCTION("""COMPUTED_VALUE"""),"065-510-7376")</f>
        <v>065-510-7376</v>
      </c>
      <c r="N1377" s="3">
        <f>IFERROR(__xludf.DUMMYFUNCTION("""COMPUTED_VALUE"""),21714.0)</f>
        <v>21714</v>
      </c>
      <c r="O1377" s="3" t="str">
        <f>IFERROR(__xludf.DUMMYFUNCTION("""COMPUTED_VALUE"""),"MBC เอสโซ่ วัดโบสถ์")</f>
        <v>MBC เอสโซ่ วัดโบสถ์</v>
      </c>
      <c r="P1377" s="4">
        <f>IFERROR(__xludf.DUMMYFUNCTION("""COMPUTED_VALUE"""),43803.0)</f>
        <v>43803</v>
      </c>
      <c r="Q1377" s="3" t="str">
        <f>IFERROR(__xludf.DUMMYFUNCTION("""COMPUTED_VALUE"""),"A")</f>
        <v>A</v>
      </c>
      <c r="R1377" s="3" t="str">
        <f>IFERROR(__xludf.DUMMYFUNCTION("""COMPUTED_VALUE"""),"Small Format")</f>
        <v>Small Format</v>
      </c>
      <c r="S1377" s="3" t="str">
        <f>IFERROR(__xludf.DUMMYFUNCTION("""COMPUTED_VALUE"""),"BCM")</f>
        <v>BCM</v>
      </c>
      <c r="T1377" s="3" t="str">
        <f>IFERROR(__xludf.DUMMYFUNCTION("""COMPUTED_VALUE"""),"#N/A")</f>
        <v>#N/A</v>
      </c>
      <c r="U1377" s="3" t="str">
        <f>IFERROR(__xludf.DUMMYFUNCTION("""COMPUTED_VALUE"""),"#N/A")</f>
        <v>#N/A</v>
      </c>
      <c r="V1377" s="3" t="str">
        <f>IFERROR(__xludf.DUMMYFUNCTION("""COMPUTED_VALUE"""),"N")</f>
        <v>N</v>
      </c>
      <c r="W1377" s="3">
        <f>IFERROR(__xludf.DUMMYFUNCTION("""COMPUTED_VALUE"""),361234.0)</f>
        <v>361234</v>
      </c>
      <c r="X1377" s="3" t="str">
        <f>IFERROR(__xludf.DUMMYFUNCTION("""COMPUTED_VALUE"""),"898/1 หมู่11 ตำบลทุ่งคอก อำเภอสองพี่น้อง จังหวัดสุพรรณบุรี 72190")</f>
        <v>898/1 หมู่11 ตำบลทุ่งคอก อำเภอสองพี่น้อง จังหวัดสุพรรณบุรี 72190</v>
      </c>
      <c r="Y1377" s="3"/>
      <c r="Z1377" s="3" t="str">
        <f>IFERROR(__xludf.DUMMYFUNCTION("""COMPUTED_VALUE"""),"ทุ่งคอก")</f>
        <v>ทุ่งคอก</v>
      </c>
      <c r="AA1377" s="3" t="str">
        <f>IFERROR(__xludf.DUMMYFUNCTION("""COMPUTED_VALUE"""),"สองพี่น้อง")</f>
        <v>สองพี่น้อง</v>
      </c>
      <c r="AB1377" s="3" t="str">
        <f>IFERROR(__xludf.DUMMYFUNCTION("""COMPUTED_VALUE"""),"สุพรรณบุรี")</f>
        <v>สุพรรณบุรี</v>
      </c>
      <c r="AC1377" s="3">
        <f>IFERROR(__xludf.DUMMYFUNCTION("""COMPUTED_VALUE"""),72190.0)</f>
        <v>72190</v>
      </c>
      <c r="AD1377" s="3">
        <f>IFERROR(__xludf.DUMMYFUNCTION("""COMPUTED_VALUE"""),14.172872)</f>
        <v>14.172872</v>
      </c>
      <c r="AE1377" s="3">
        <f>IFERROR(__xludf.DUMMYFUNCTION("""COMPUTED_VALUE"""),99.956381)</f>
        <v>99.956381</v>
      </c>
      <c r="AF1377" s="3" t="str">
        <f>IFERROR(__xludf.DUMMYFUNCTION("""COMPUTED_VALUE"""),"MBC บางจากทุ่งคอก สุพรรณบุรี-22060")</f>
        <v>MBC บางจากทุ่งคอก สุพรรณบุรี-22060</v>
      </c>
      <c r="AG1377" s="3" t="str">
        <f>IFERROR(__xludf.DUMMYFUNCTION("""COMPUTED_VALUE"""),"กลาง")</f>
        <v>กลาง</v>
      </c>
      <c r="AH1377" s="3" t="str">
        <f>IFERROR(__xludf.DUMMYFUNCTION("""COMPUTED_VALUE"""),"#N/A")</f>
        <v>#N/A</v>
      </c>
      <c r="AI1377" s="3" t="str">
        <f>IFERROR(__xludf.DUMMYFUNCTION("""COMPUTED_VALUE"""),"Out of warranty")</f>
        <v>Out of warranty</v>
      </c>
      <c r="AJ1377" s="3">
        <f>IFERROR(__xludf.DUMMYFUNCTION("""COMPUTED_VALUE"""),74.0)</f>
        <v>74</v>
      </c>
      <c r="AK1377" s="3" t="str">
        <f>IFERROR(__xludf.DUMMYFUNCTION("""COMPUTED_VALUE"""),"MMS09")</f>
        <v>MMS09</v>
      </c>
      <c r="AL1377" s="3"/>
    </row>
    <row r="1378" ht="15.75" customHeight="1">
      <c r="A1378" s="1" t="str">
        <f>IFERROR(__xludf.DUMMYFUNCTION("""COMPUTED_VALUE"""),"22061")</f>
        <v>22061</v>
      </c>
      <c r="B1378" s="2">
        <f>IFERROR(__xludf.DUMMYFUNCTION("""COMPUTED_VALUE"""),22061.0)</f>
        <v>22061</v>
      </c>
      <c r="C1378" s="3" t="str">
        <f>IFERROR(__xludf.DUMMYFUNCTION("""COMPUTED_VALUE"""),"MBC ถนนเฉลิมบูรพาชลทิต-เจ้าหลาว จันทบุรี")</f>
        <v>MBC ถนนเฉลิมบูรพาชลทิต-เจ้าหลาว จันทบุรี</v>
      </c>
      <c r="D1378" s="3" t="str">
        <f>IFERROR(__xludf.DUMMYFUNCTION("""COMPUTED_VALUE"""),"BCM THANON CHALERM BURAPHA")</f>
        <v>BCM THANON CHALERM BURAPHA</v>
      </c>
      <c r="E1378" s="1" t="str">
        <f>IFERROR(__xludf.DUMMYFUNCTION("""COMPUTED_VALUE"""),"บิ๊กซี MINI")</f>
        <v>บิ๊กซี MINI</v>
      </c>
      <c r="F1378" s="1" t="str">
        <f>IFERROR(__xludf.DUMMYFUNCTION("""COMPUTED_VALUE"""),"221716")</f>
        <v>221716</v>
      </c>
      <c r="G1378" s="1" t="str">
        <f>IFERROR(__xludf.DUMMYFUNCTION("""COMPUTED_VALUE"""),"น.ส.เบญจพร โพธิสาร")</f>
        <v>น.ส.เบญจพร โพธิสาร</v>
      </c>
      <c r="H1378" s="1" t="str">
        <f>IFERROR(__xludf.DUMMYFUNCTION("""COMPUTED_VALUE"""),"318151")</f>
        <v>318151</v>
      </c>
      <c r="I1378" s="1" t="str">
        <f>IFERROR(__xludf.DUMMYFUNCTION("""COMPUTED_VALUE"""),"นายพลฬกฤตต์ เนตมณี")</f>
        <v>นายพลฬกฤตต์ เนตมณี</v>
      </c>
      <c r="J1378" s="3">
        <f>IFERROR(__xludf.DUMMYFUNCTION("""COMPUTED_VALUE"""),2452376.0)</f>
        <v>2452376</v>
      </c>
      <c r="K1378" s="3" t="str">
        <f>IFERROR(__xludf.DUMMYFUNCTION("""COMPUTED_VALUE"""),"นายภาคภูมิ ทวีกุล")</f>
        <v>นายภาคภูมิ ทวีกุล</v>
      </c>
      <c r="L1378" s="1" t="str">
        <f>IFERROR(__xludf.DUMMYFUNCTION("""COMPUTED_VALUE"""),"08 K.Parkphum T.")</f>
        <v>08 K.Parkphum T.</v>
      </c>
      <c r="M1378" s="1" t="str">
        <f>IFERROR(__xludf.DUMMYFUNCTION("""COMPUTED_VALUE"""),"097-919-5476")</f>
        <v>097-919-5476</v>
      </c>
      <c r="N1378" s="3">
        <f>IFERROR(__xludf.DUMMYFUNCTION("""COMPUTED_VALUE"""),22028.0)</f>
        <v>22028</v>
      </c>
      <c r="O1378" s="3" t="str">
        <f>IFERROR(__xludf.DUMMYFUNCTION("""COMPUTED_VALUE"""),"MBC ทํบมา ระยอง")</f>
        <v>MBC ทํบมา ระยอง</v>
      </c>
      <c r="P1378" s="4">
        <f>IFERROR(__xludf.DUMMYFUNCTION("""COMPUTED_VALUE"""),43822.0)</f>
        <v>43822</v>
      </c>
      <c r="Q1378" s="3" t="str">
        <f>IFERROR(__xludf.DUMMYFUNCTION("""COMPUTED_VALUE"""),"A")</f>
        <v>A</v>
      </c>
      <c r="R1378" s="3" t="str">
        <f>IFERROR(__xludf.DUMMYFUNCTION("""COMPUTED_VALUE"""),"Small Format")</f>
        <v>Small Format</v>
      </c>
      <c r="S1378" s="3" t="str">
        <f>IFERROR(__xludf.DUMMYFUNCTION("""COMPUTED_VALUE"""),"BCM")</f>
        <v>BCM</v>
      </c>
      <c r="T1378" s="3" t="str">
        <f>IFERROR(__xludf.DUMMYFUNCTION("""COMPUTED_VALUE"""),"#N/A")</f>
        <v>#N/A</v>
      </c>
      <c r="U1378" s="3" t="str">
        <f>IFERROR(__xludf.DUMMYFUNCTION("""COMPUTED_VALUE"""),"#N/A")</f>
        <v>#N/A</v>
      </c>
      <c r="V1378" s="3" t="str">
        <f>IFERROR(__xludf.DUMMYFUNCTION("""COMPUTED_VALUE"""),"N")</f>
        <v>N</v>
      </c>
      <c r="W1378" s="3">
        <f>IFERROR(__xludf.DUMMYFUNCTION("""COMPUTED_VALUE"""),210104.0)</f>
        <v>210104</v>
      </c>
      <c r="X1378" s="3" t="str">
        <f>IFERROR(__xludf.DUMMYFUNCTION("""COMPUTED_VALUE"""),"71,71/1-5 หมู่5 ตำบลคลองขุด อำเภอท่าใหม่ จังหวัดจันทบุรี 22120")</f>
        <v>71,71/1-5 หมู่5 ตำบลคลองขุด อำเภอท่าใหม่ จังหวัดจันทบุรี 22120</v>
      </c>
      <c r="Y1378" s="3"/>
      <c r="Z1378" s="3" t="str">
        <f>IFERROR(__xludf.DUMMYFUNCTION("""COMPUTED_VALUE"""),"คลองขุด")</f>
        <v>คลองขุด</v>
      </c>
      <c r="AA1378" s="3" t="str">
        <f>IFERROR(__xludf.DUMMYFUNCTION("""COMPUTED_VALUE"""),"ท่าใหม่")</f>
        <v>ท่าใหม่</v>
      </c>
      <c r="AB1378" s="3" t="str">
        <f>IFERROR(__xludf.DUMMYFUNCTION("""COMPUTED_VALUE"""),"จันทบุรี")</f>
        <v>จันทบุรี</v>
      </c>
      <c r="AC1378" s="3">
        <f>IFERROR(__xludf.DUMMYFUNCTION("""COMPUTED_VALUE"""),22120.0)</f>
        <v>22120</v>
      </c>
      <c r="AD1378" s="3">
        <f>IFERROR(__xludf.DUMMYFUNCTION("""COMPUTED_VALUE"""),12.554521)</f>
        <v>12.554521</v>
      </c>
      <c r="AE1378" s="3">
        <f>IFERROR(__xludf.DUMMYFUNCTION("""COMPUTED_VALUE"""),101.921076)</f>
        <v>101.921076</v>
      </c>
      <c r="AF1378" s="3" t="str">
        <f>IFERROR(__xludf.DUMMYFUNCTION("""COMPUTED_VALUE"""),"MBC ถนนเฉลิมบูรพาชลทิต-เจ้าหลาว จันทบุรี-22061")</f>
        <v>MBC ถนนเฉลิมบูรพาชลทิต-เจ้าหลาว จันทบุรี-22061</v>
      </c>
      <c r="AG1378" s="3" t="str">
        <f>IFERROR(__xludf.DUMMYFUNCTION("""COMPUTED_VALUE"""),"ตะวันออก")</f>
        <v>ตะวันออก</v>
      </c>
      <c r="AH1378" s="3" t="str">
        <f>IFERROR(__xludf.DUMMYFUNCTION("""COMPUTED_VALUE"""),"#N/A")</f>
        <v>#N/A</v>
      </c>
      <c r="AI1378" s="3" t="str">
        <f>IFERROR(__xludf.DUMMYFUNCTION("""COMPUTED_VALUE"""),"Out of warranty")</f>
        <v>Out of warranty</v>
      </c>
      <c r="AJ1378" s="3">
        <f>IFERROR(__xludf.DUMMYFUNCTION("""COMPUTED_VALUE"""),73.0)</f>
        <v>73</v>
      </c>
      <c r="AK1378" s="3" t="str">
        <f>IFERROR(__xludf.DUMMYFUNCTION("""COMPUTED_VALUE"""),"MMS08")</f>
        <v>MMS08</v>
      </c>
      <c r="AL1378" s="3"/>
    </row>
    <row r="1379" ht="15.75" customHeight="1">
      <c r="A1379" s="1" t="str">
        <f>IFERROR(__xludf.DUMMYFUNCTION("""COMPUTED_VALUE"""),"22062")</f>
        <v>22062</v>
      </c>
      <c r="B1379" s="2">
        <f>IFERROR(__xludf.DUMMYFUNCTION("""COMPUTED_VALUE"""),22062.0)</f>
        <v>22062</v>
      </c>
      <c r="C1379" s="3" t="str">
        <f>IFERROR(__xludf.DUMMYFUNCTION("""COMPUTED_VALUE"""),"MBC หนองไม้แก่น ชลบุรี")</f>
        <v>MBC หนองไม้แก่น ชลบุรี</v>
      </c>
      <c r="D1379" s="3" t="str">
        <f>IFERROR(__xludf.DUMMYFUNCTION("""COMPUTED_VALUE"""),"BCM NONGMAIKAEN,CHONBURI")</f>
        <v>BCM NONGMAIKAEN,CHONBURI</v>
      </c>
      <c r="E1379" s="1" t="str">
        <f>IFERROR(__xludf.DUMMYFUNCTION("""COMPUTED_VALUE"""),"บิ๊กซี MINI")</f>
        <v>บิ๊กซี MINI</v>
      </c>
      <c r="F1379" s="1" t="str">
        <f>IFERROR(__xludf.DUMMYFUNCTION("""COMPUTED_VALUE"""),"221716")</f>
        <v>221716</v>
      </c>
      <c r="G1379" s="1" t="str">
        <f>IFERROR(__xludf.DUMMYFUNCTION("""COMPUTED_VALUE"""),"น.ส.เบญจพร โพธิสาร")</f>
        <v>น.ส.เบญจพร โพธิสาร</v>
      </c>
      <c r="H1379" s="1" t="str">
        <f>IFERROR(__xludf.DUMMYFUNCTION("""COMPUTED_VALUE"""),"313065")</f>
        <v>313065</v>
      </c>
      <c r="I1379" s="1" t="str">
        <f>IFERROR(__xludf.DUMMYFUNCTION("""COMPUTED_VALUE"""),"นายจิรายุทธ กันทา")</f>
        <v>นายจิรายุทธ กันทา</v>
      </c>
      <c r="J1379" s="3">
        <f>IFERROR(__xludf.DUMMYFUNCTION("""COMPUTED_VALUE"""),1.3461215E7)</f>
        <v>13461215</v>
      </c>
      <c r="K1379" s="3" t="str">
        <f>IFERROR(__xludf.DUMMYFUNCTION("""COMPUTED_VALUE"""),"นายธีรภัทร สังข์เงิน")</f>
        <v>นายธีรภัทร สังข์เงิน</v>
      </c>
      <c r="L1379" s="1" t="str">
        <f>IFERROR(__xludf.DUMMYFUNCTION("""COMPUTED_VALUE"""),"06 K.Teerapat")</f>
        <v>06 K.Teerapat</v>
      </c>
      <c r="M1379" s="1" t="str">
        <f>IFERROR(__xludf.DUMMYFUNCTION("""COMPUTED_VALUE"""),"063-601-6803")</f>
        <v>063-601-6803</v>
      </c>
      <c r="N1379" s="3">
        <f>IFERROR(__xludf.DUMMYFUNCTION("""COMPUTED_VALUE"""),22115.0)</f>
        <v>22115</v>
      </c>
      <c r="O1379" s="3" t="str">
        <f>IFERROR(__xludf.DUMMYFUNCTION("""COMPUTED_VALUE"""),"MBC เลี่ยงหนองมน ชลบุรี")</f>
        <v>MBC เลี่ยงหนองมน ชลบุรี</v>
      </c>
      <c r="P1379" s="4">
        <f>IFERROR(__xludf.DUMMYFUNCTION("""COMPUTED_VALUE"""),43829.0)</f>
        <v>43829</v>
      </c>
      <c r="Q1379" s="3" t="str">
        <f>IFERROR(__xludf.DUMMYFUNCTION("""COMPUTED_VALUE"""),"A")</f>
        <v>A</v>
      </c>
      <c r="R1379" s="3" t="str">
        <f>IFERROR(__xludf.DUMMYFUNCTION("""COMPUTED_VALUE"""),"Small Format")</f>
        <v>Small Format</v>
      </c>
      <c r="S1379" s="3" t="str">
        <f>IFERROR(__xludf.DUMMYFUNCTION("""COMPUTED_VALUE"""),"BCM")</f>
        <v>BCM</v>
      </c>
      <c r="T1379" s="3" t="str">
        <f>IFERROR(__xludf.DUMMYFUNCTION("""COMPUTED_VALUE"""),"#N/A")</f>
        <v>#N/A</v>
      </c>
      <c r="U1379" s="3" t="str">
        <f>IFERROR(__xludf.DUMMYFUNCTION("""COMPUTED_VALUE"""),"#N/A")</f>
        <v>#N/A</v>
      </c>
      <c r="V1379" s="3" t="str">
        <f>IFERROR(__xludf.DUMMYFUNCTION("""COMPUTED_VALUE"""),"N")</f>
        <v>N</v>
      </c>
      <c r="W1379" s="3">
        <f>IFERROR(__xludf.DUMMYFUNCTION("""COMPUTED_VALUE"""),210106.0)</f>
        <v>210106</v>
      </c>
      <c r="X1379" s="3" t="str">
        <f>IFERROR(__xludf.DUMMYFUNCTION("""COMPUTED_VALUE"""),"50/72 หมู่7 ตำบลหนองปรือ อำเภอบางละมุง จังหวัดชลบุรี 20150")</f>
        <v>50/72 หมู่7 ตำบลหนองปรือ อำเภอบางละมุง จังหวัดชลบุรี 20150</v>
      </c>
      <c r="Y1379" s="3"/>
      <c r="Z1379" s="3" t="str">
        <f>IFERROR(__xludf.DUMMYFUNCTION("""COMPUTED_VALUE"""),"หนองปรือ")</f>
        <v>หนองปรือ</v>
      </c>
      <c r="AA1379" s="3" t="str">
        <f>IFERROR(__xludf.DUMMYFUNCTION("""COMPUTED_VALUE"""),"บางละมุง")</f>
        <v>บางละมุง</v>
      </c>
      <c r="AB1379" s="3" t="str">
        <f>IFERROR(__xludf.DUMMYFUNCTION("""COMPUTED_VALUE"""),"ชลบุรี")</f>
        <v>ชลบุรี</v>
      </c>
      <c r="AC1379" s="3">
        <f>IFERROR(__xludf.DUMMYFUNCTION("""COMPUTED_VALUE"""),20150.0)</f>
        <v>20150</v>
      </c>
      <c r="AD1379" s="3">
        <f>IFERROR(__xludf.DUMMYFUNCTION("""COMPUTED_VALUE"""),13.335379)</f>
        <v>13.335379</v>
      </c>
      <c r="AE1379" s="3">
        <f>IFERROR(__xludf.DUMMYFUNCTION("""COMPUTED_VALUE"""),100.95811)</f>
        <v>100.95811</v>
      </c>
      <c r="AF1379" s="3" t="str">
        <f>IFERROR(__xludf.DUMMYFUNCTION("""COMPUTED_VALUE"""),"MBC หนองไม้แก่น ชลบุรี-22062")</f>
        <v>MBC หนองไม้แก่น ชลบุรี-22062</v>
      </c>
      <c r="AG1379" s="3" t="str">
        <f>IFERROR(__xludf.DUMMYFUNCTION("""COMPUTED_VALUE"""),"ตะวันออก")</f>
        <v>ตะวันออก</v>
      </c>
      <c r="AH1379" s="3" t="str">
        <f>IFERROR(__xludf.DUMMYFUNCTION("""COMPUTED_VALUE"""),"#N/A")</f>
        <v>#N/A</v>
      </c>
      <c r="AI1379" s="3" t="str">
        <f>IFERROR(__xludf.DUMMYFUNCTION("""COMPUTED_VALUE"""),"Out of warranty")</f>
        <v>Out of warranty</v>
      </c>
      <c r="AJ1379" s="3">
        <f>IFERROR(__xludf.DUMMYFUNCTION("""COMPUTED_VALUE"""),73.0)</f>
        <v>73</v>
      </c>
      <c r="AK1379" s="3" t="str">
        <f>IFERROR(__xludf.DUMMYFUNCTION("""COMPUTED_VALUE"""),"MMS06")</f>
        <v>MMS06</v>
      </c>
      <c r="AL1379" s="3"/>
    </row>
    <row r="1380" ht="15.75" customHeight="1">
      <c r="A1380" s="1" t="str">
        <f>IFERROR(__xludf.DUMMYFUNCTION("""COMPUTED_VALUE"""),"22063")</f>
        <v>22063</v>
      </c>
      <c r="B1380" s="2">
        <f>IFERROR(__xludf.DUMMYFUNCTION("""COMPUTED_VALUE"""),22063.0)</f>
        <v>22063</v>
      </c>
      <c r="C1380" s="3" t="str">
        <f>IFERROR(__xludf.DUMMYFUNCTION("""COMPUTED_VALUE"""),"MBC ชลบุรีสเตเดี่ยม ชลบุรี")</f>
        <v>MBC ชลบุรีสเตเดี่ยม ชลบุรี</v>
      </c>
      <c r="D1380" s="3" t="str">
        <f>IFERROR(__xludf.DUMMYFUNCTION("""COMPUTED_VALUE"""),"BCM CHONBURI STADIUM")</f>
        <v>BCM CHONBURI STADIUM</v>
      </c>
      <c r="E1380" s="1" t="str">
        <f>IFERROR(__xludf.DUMMYFUNCTION("""COMPUTED_VALUE"""),"บิ๊กซี MINI")</f>
        <v>บิ๊กซี MINI</v>
      </c>
      <c r="F1380" s="1" t="str">
        <f>IFERROR(__xludf.DUMMYFUNCTION("""COMPUTED_VALUE"""),"221716")</f>
        <v>221716</v>
      </c>
      <c r="G1380" s="1" t="str">
        <f>IFERROR(__xludf.DUMMYFUNCTION("""COMPUTED_VALUE"""),"น.ส.เบญจพร โพธิสาร")</f>
        <v>น.ส.เบญจพร โพธิสาร</v>
      </c>
      <c r="H1380" s="1" t="str">
        <f>IFERROR(__xludf.DUMMYFUNCTION("""COMPUTED_VALUE"""),"034605")</f>
        <v>034605</v>
      </c>
      <c r="I1380" s="1" t="str">
        <f>IFERROR(__xludf.DUMMYFUNCTION("""COMPUTED_VALUE"""),"นายธรรมรัตน์ สุขเจริญ")</f>
        <v>นายธรรมรัตน์ สุขเจริญ</v>
      </c>
      <c r="J1380" s="3">
        <f>IFERROR(__xludf.DUMMYFUNCTION("""COMPUTED_VALUE"""),1.3461215E7)</f>
        <v>13461215</v>
      </c>
      <c r="K1380" s="3" t="str">
        <f>IFERROR(__xludf.DUMMYFUNCTION("""COMPUTED_VALUE"""),"นายธีรภัทร สังข์เงิน")</f>
        <v>นายธีรภัทร สังข์เงิน</v>
      </c>
      <c r="L1380" s="1" t="str">
        <f>IFERROR(__xludf.DUMMYFUNCTION("""COMPUTED_VALUE"""),"06 K.Teerapat")</f>
        <v>06 K.Teerapat</v>
      </c>
      <c r="M1380" s="1" t="str">
        <f>IFERROR(__xludf.DUMMYFUNCTION("""COMPUTED_VALUE"""),"063-601-6803")</f>
        <v>063-601-6803</v>
      </c>
      <c r="N1380" s="3">
        <f>IFERROR(__xludf.DUMMYFUNCTION("""COMPUTED_VALUE"""),22115.0)</f>
        <v>22115</v>
      </c>
      <c r="O1380" s="3" t="str">
        <f>IFERROR(__xludf.DUMMYFUNCTION("""COMPUTED_VALUE"""),"MBC เลี่ยงหนองมน ชลบุรี")</f>
        <v>MBC เลี่ยงหนองมน ชลบุรี</v>
      </c>
      <c r="P1380" s="4">
        <f>IFERROR(__xludf.DUMMYFUNCTION("""COMPUTED_VALUE"""),43830.0)</f>
        <v>43830</v>
      </c>
      <c r="Q1380" s="3" t="str">
        <f>IFERROR(__xludf.DUMMYFUNCTION("""COMPUTED_VALUE"""),"A")</f>
        <v>A</v>
      </c>
      <c r="R1380" s="3" t="str">
        <f>IFERROR(__xludf.DUMMYFUNCTION("""COMPUTED_VALUE"""),"Small Format")</f>
        <v>Small Format</v>
      </c>
      <c r="S1380" s="3" t="str">
        <f>IFERROR(__xludf.DUMMYFUNCTION("""COMPUTED_VALUE"""),"BCM")</f>
        <v>BCM</v>
      </c>
      <c r="T1380" s="3" t="str">
        <f>IFERROR(__xludf.DUMMYFUNCTION("""COMPUTED_VALUE"""),"#N/A")</f>
        <v>#N/A</v>
      </c>
      <c r="U1380" s="3" t="str">
        <f>IFERROR(__xludf.DUMMYFUNCTION("""COMPUTED_VALUE"""),"#N/A")</f>
        <v>#N/A</v>
      </c>
      <c r="V1380" s="3" t="str">
        <f>IFERROR(__xludf.DUMMYFUNCTION("""COMPUTED_VALUE"""),"N")</f>
        <v>N</v>
      </c>
      <c r="W1380" s="3">
        <f>IFERROR(__xludf.DUMMYFUNCTION("""COMPUTED_VALUE"""),210105.0)</f>
        <v>210105</v>
      </c>
      <c r="X1380" s="3" t="str">
        <f>IFERROR(__xludf.DUMMYFUNCTION("""COMPUTED_VALUE"""),"12/54 หมู่2 ตำบลเสม็ด อำเภอเมืองชลบุรี จังหวัดชลบุรี 20000")</f>
        <v>12/54 หมู่2 ตำบลเสม็ด อำเภอเมืองชลบุรี จังหวัดชลบุรี 20000</v>
      </c>
      <c r="Y1380" s="3"/>
      <c r="Z1380" s="3" t="str">
        <f>IFERROR(__xludf.DUMMYFUNCTION("""COMPUTED_VALUE"""),"เสม็ด")</f>
        <v>เสม็ด</v>
      </c>
      <c r="AA1380" s="3" t="str">
        <f>IFERROR(__xludf.DUMMYFUNCTION("""COMPUTED_VALUE"""),"เมือง")</f>
        <v>เมือง</v>
      </c>
      <c r="AB1380" s="3" t="str">
        <f>IFERROR(__xludf.DUMMYFUNCTION("""COMPUTED_VALUE"""),"ชลบุรี")</f>
        <v>ชลบุรี</v>
      </c>
      <c r="AC1380" s="3">
        <f>IFERROR(__xludf.DUMMYFUNCTION("""COMPUTED_VALUE"""),20000.0)</f>
        <v>20000</v>
      </c>
      <c r="AD1380" s="3">
        <f>IFERROR(__xludf.DUMMYFUNCTION("""COMPUTED_VALUE"""),12.918491)</f>
        <v>12.918491</v>
      </c>
      <c r="AE1380" s="3">
        <f>IFERROR(__xludf.DUMMYFUNCTION("""COMPUTED_VALUE"""),100.942207)</f>
        <v>100.942207</v>
      </c>
      <c r="AF1380" s="3" t="str">
        <f>IFERROR(__xludf.DUMMYFUNCTION("""COMPUTED_VALUE"""),"MBC ชลบุรีสเตเดี่ยม ชลบุรี-22063")</f>
        <v>MBC ชลบุรีสเตเดี่ยม ชลบุรี-22063</v>
      </c>
      <c r="AG1380" s="3" t="str">
        <f>IFERROR(__xludf.DUMMYFUNCTION("""COMPUTED_VALUE"""),"ตะวันออก")</f>
        <v>ตะวันออก</v>
      </c>
      <c r="AH1380" s="3" t="str">
        <f>IFERROR(__xludf.DUMMYFUNCTION("""COMPUTED_VALUE"""),"#N/A")</f>
        <v>#N/A</v>
      </c>
      <c r="AI1380" s="3" t="str">
        <f>IFERROR(__xludf.DUMMYFUNCTION("""COMPUTED_VALUE"""),"Out of warranty")</f>
        <v>Out of warranty</v>
      </c>
      <c r="AJ1380" s="3">
        <f>IFERROR(__xludf.DUMMYFUNCTION("""COMPUTED_VALUE"""),73.0)</f>
        <v>73</v>
      </c>
      <c r="AK1380" s="3" t="str">
        <f>IFERROR(__xludf.DUMMYFUNCTION("""COMPUTED_VALUE"""),"MMS06")</f>
        <v>MMS06</v>
      </c>
      <c r="AL1380" s="3"/>
    </row>
    <row r="1381" ht="15.75" customHeight="1">
      <c r="A1381" s="1" t="str">
        <f>IFERROR(__xludf.DUMMYFUNCTION("""COMPUTED_VALUE"""),"22064")</f>
        <v>22064</v>
      </c>
      <c r="B1381" s="2">
        <f>IFERROR(__xludf.DUMMYFUNCTION("""COMPUTED_VALUE"""),22064.0)</f>
        <v>22064</v>
      </c>
      <c r="C1381" s="3" t="str">
        <f>IFERROR(__xludf.DUMMYFUNCTION("""COMPUTED_VALUE"""),"MBC ทรัพย์บุญชัย สมุทรปราการ")</f>
        <v>MBC ทรัพย์บุญชัย สมุทรปราการ</v>
      </c>
      <c r="D1381" s="3" t="str">
        <f>IFERROR(__xludf.DUMMYFUNCTION("""COMPUTED_VALUE"""),"BCM SAP BOONCHAI, SAMUT PRAKAN")</f>
        <v>BCM SAP BOONCHAI, SAMUT PRAKAN</v>
      </c>
      <c r="E1381" s="1" t="str">
        <f>IFERROR(__xludf.DUMMYFUNCTION("""COMPUTED_VALUE"""),"บิ๊กซี MINI")</f>
        <v>บิ๊กซี MINI</v>
      </c>
      <c r="F1381" s="1" t="str">
        <f>IFERROR(__xludf.DUMMYFUNCTION("""COMPUTED_VALUE"""),"2083447")</f>
        <v>2083447</v>
      </c>
      <c r="G1381" s="1" t="str">
        <f>IFERROR(__xludf.DUMMYFUNCTION("""COMPUTED_VALUE"""),"นายอนุกูล ศรีลัดดา")</f>
        <v>นายอนุกูล ศรีลัดดา</v>
      </c>
      <c r="H1381" s="1" t="str">
        <f>IFERROR(__xludf.DUMMYFUNCTION("""COMPUTED_VALUE"""),"399107")</f>
        <v>399107</v>
      </c>
      <c r="I1381" s="1" t="str">
        <f>IFERROR(__xludf.DUMMYFUNCTION("""COMPUTED_VALUE"""),"นายรัชระวี กลมแป้น")</f>
        <v>นายรัชระวี กลมแป้น</v>
      </c>
      <c r="J1381" s="3">
        <f>IFERROR(__xludf.DUMMYFUNCTION("""COMPUTED_VALUE"""),510143.0)</f>
        <v>510143</v>
      </c>
      <c r="K1381" s="3" t="str">
        <f>IFERROR(__xludf.DUMMYFUNCTION("""COMPUTED_VALUE"""),"นายธีระวัฒน์ บุญสิทธิ์")</f>
        <v>นายธีระวัฒน์ บุญสิทธิ์</v>
      </c>
      <c r="L1381" s="1" t="str">
        <f>IFERROR(__xludf.DUMMYFUNCTION("""COMPUTED_VALUE"""),"12 K.Theerawat B.")</f>
        <v>12 K.Theerawat B.</v>
      </c>
      <c r="M1381" s="1" t="str">
        <f>IFERROR(__xludf.DUMMYFUNCTION("""COMPUTED_VALUE"""),"0655107379")</f>
        <v>0655107379</v>
      </c>
      <c r="N1381" s="3">
        <f>IFERROR(__xludf.DUMMYFUNCTION("""COMPUTED_VALUE"""),21062.0)</f>
        <v>21062</v>
      </c>
      <c r="O1381" s="3" t="str">
        <f>IFERROR(__xludf.DUMMYFUNCTION("""COMPUTED_VALUE"""),"MBC นิคมนวนคร")</f>
        <v>MBC นิคมนวนคร</v>
      </c>
      <c r="P1381" s="4">
        <f>IFERROR(__xludf.DUMMYFUNCTION("""COMPUTED_VALUE"""),43845.0)</f>
        <v>43845</v>
      </c>
      <c r="Q1381" s="3" t="str">
        <f>IFERROR(__xludf.DUMMYFUNCTION("""COMPUTED_VALUE"""),"A")</f>
        <v>A</v>
      </c>
      <c r="R1381" s="3" t="str">
        <f>IFERROR(__xludf.DUMMYFUNCTION("""COMPUTED_VALUE"""),"Small Format")</f>
        <v>Small Format</v>
      </c>
      <c r="S1381" s="3" t="str">
        <f>IFERROR(__xludf.DUMMYFUNCTION("""COMPUTED_VALUE"""),"BCM")</f>
        <v>BCM</v>
      </c>
      <c r="T1381" s="3" t="str">
        <f>IFERROR(__xludf.DUMMYFUNCTION("""COMPUTED_VALUE"""),"#N/A")</f>
        <v>#N/A</v>
      </c>
      <c r="U1381" s="3" t="str">
        <f>IFERROR(__xludf.DUMMYFUNCTION("""COMPUTED_VALUE"""),"#N/A")</f>
        <v>#N/A</v>
      </c>
      <c r="V1381" s="3" t="str">
        <f>IFERROR(__xludf.DUMMYFUNCTION("""COMPUTED_VALUE"""),"N")</f>
        <v>N</v>
      </c>
      <c r="W1381" s="3">
        <f>IFERROR(__xludf.DUMMYFUNCTION("""COMPUTED_VALUE"""),210051.0)</f>
        <v>210051</v>
      </c>
      <c r="X1381" s="3" t="str">
        <f>IFERROR(__xludf.DUMMYFUNCTION("""COMPUTED_VALUE"""),"100/1007 หมู่10 ตำบลบางเมือง อำเภอเมืองสมุทรปราการ จังหวัดสมุทรปราการ 10270")</f>
        <v>100/1007 หมู่10 ตำบลบางเมือง อำเภอเมืองสมุทรปราการ จังหวัดสมุทรปราการ 10270</v>
      </c>
      <c r="Y1381" s="3"/>
      <c r="Z1381" s="3" t="str">
        <f>IFERROR(__xludf.DUMMYFUNCTION("""COMPUTED_VALUE"""),"บางเมือง")</f>
        <v>บางเมือง</v>
      </c>
      <c r="AA1381" s="3" t="str">
        <f>IFERROR(__xludf.DUMMYFUNCTION("""COMPUTED_VALUE"""),"เมืองสมุทรปราการ")</f>
        <v>เมืองสมุทรปราการ</v>
      </c>
      <c r="AB1381" s="3" t="str">
        <f>IFERROR(__xludf.DUMMYFUNCTION("""COMPUTED_VALUE"""),"สมุทรปราการ")</f>
        <v>สมุทรปราการ</v>
      </c>
      <c r="AC1381" s="3">
        <f>IFERROR(__xludf.DUMMYFUNCTION("""COMPUTED_VALUE"""),10270.0)</f>
        <v>10270</v>
      </c>
      <c r="AD1381" s="3">
        <f>IFERROR(__xludf.DUMMYFUNCTION("""COMPUTED_VALUE"""),13.599621)</f>
        <v>13.599621</v>
      </c>
      <c r="AE1381" s="3">
        <f>IFERROR(__xludf.DUMMYFUNCTION("""COMPUTED_VALUE"""),100.621192)</f>
        <v>100.621192</v>
      </c>
      <c r="AF1381" s="3" t="str">
        <f>IFERROR(__xludf.DUMMYFUNCTION("""COMPUTED_VALUE"""),"MBC ทรัพย์บุญชัย สมุทรปราการ-22064")</f>
        <v>MBC ทรัพย์บุญชัย สมุทรปราการ-22064</v>
      </c>
      <c r="AG1381" s="3" t="str">
        <f>IFERROR(__xludf.DUMMYFUNCTION("""COMPUTED_VALUE"""),"กลาง")</f>
        <v>กลาง</v>
      </c>
      <c r="AH1381" s="3" t="str">
        <f>IFERROR(__xludf.DUMMYFUNCTION("""COMPUTED_VALUE"""),"#N/A")</f>
        <v>#N/A</v>
      </c>
      <c r="AI1381" s="3" t="str">
        <f>IFERROR(__xludf.DUMMYFUNCTION("""COMPUTED_VALUE"""),"Out of warranty")</f>
        <v>Out of warranty</v>
      </c>
      <c r="AJ1381" s="3">
        <f>IFERROR(__xludf.DUMMYFUNCTION("""COMPUTED_VALUE"""),73.0)</f>
        <v>73</v>
      </c>
      <c r="AK1381" s="3" t="str">
        <f>IFERROR(__xludf.DUMMYFUNCTION("""COMPUTED_VALUE"""),"MMS02")</f>
        <v>MMS02</v>
      </c>
      <c r="AL1381" s="3"/>
    </row>
    <row r="1382" ht="15.75" customHeight="1">
      <c r="A1382" s="1" t="str">
        <f>IFERROR(__xludf.DUMMYFUNCTION("""COMPUTED_VALUE"""),"22065")</f>
        <v>22065</v>
      </c>
      <c r="B1382" s="2">
        <f>IFERROR(__xludf.DUMMYFUNCTION("""COMPUTED_VALUE"""),22065.0)</f>
        <v>22065</v>
      </c>
      <c r="C1382" s="3" t="str">
        <f>IFERROR(__xludf.DUMMYFUNCTION("""COMPUTED_VALUE"""),"MBC อ่อนนุช 65 กรุงเทพฯ")</f>
        <v>MBC อ่อนนุช 65 กรุงเทพฯ</v>
      </c>
      <c r="D1382" s="3" t="str">
        <f>IFERROR(__xludf.DUMMYFUNCTION("""COMPUTED_VALUE"""),"BCM ONNUT 65 BANGKOK")</f>
        <v>BCM ONNUT 65 BANGKOK</v>
      </c>
      <c r="E1382" s="1" t="str">
        <f>IFERROR(__xludf.DUMMYFUNCTION("""COMPUTED_VALUE"""),"บิ๊กซี MINI")</f>
        <v>บิ๊กซี MINI</v>
      </c>
      <c r="F1382" s="1" t="str">
        <f>IFERROR(__xludf.DUMMYFUNCTION("""COMPUTED_VALUE"""),"291008")</f>
        <v>291008</v>
      </c>
      <c r="G1382" s="1" t="str">
        <f>IFERROR(__xludf.DUMMYFUNCTION("""COMPUTED_VALUE"""),"น.ส.รัชดาพร อีศรัตน์")</f>
        <v>น.ส.รัชดาพร อีศรัตน์</v>
      </c>
      <c r="H1382" s="1" t="str">
        <f>IFERROR(__xludf.DUMMYFUNCTION("""COMPUTED_VALUE"""),"359054")</f>
        <v>359054</v>
      </c>
      <c r="I1382" s="1" t="str">
        <f>IFERROR(__xludf.DUMMYFUNCTION("""COMPUTED_VALUE"""),"น.ส.กรรณิการ์ พุทธวงค์")</f>
        <v>น.ส.กรรณิการ์ พุทธวงค์</v>
      </c>
      <c r="J1382" s="3">
        <f>IFERROR(__xludf.DUMMYFUNCTION("""COMPUTED_VALUE"""),2452378.0)</f>
        <v>2452378</v>
      </c>
      <c r="K1382" s="3" t="str">
        <f>IFERROR(__xludf.DUMMYFUNCTION("""COMPUTED_VALUE"""),"นายศักดิ์ดา พวงประดับ")</f>
        <v>นายศักดิ์ดา พวงประดับ</v>
      </c>
      <c r="L1382" s="1" t="str">
        <f>IFERROR(__xludf.DUMMYFUNCTION("""COMPUTED_VALUE"""),"11 K.Sakda P.")</f>
        <v>11 K.Sakda P.</v>
      </c>
      <c r="M1382" s="1" t="str">
        <f>IFERROR(__xludf.DUMMYFUNCTION("""COMPUTED_VALUE"""),"065-929-1279")</f>
        <v>065-929-1279</v>
      </c>
      <c r="N1382" s="3">
        <f>IFERROR(__xludf.DUMMYFUNCTION("""COMPUTED_VALUE"""),21002.0)</f>
        <v>21002</v>
      </c>
      <c r="O1382" s="3" t="str">
        <f>IFERROR(__xludf.DUMMYFUNCTION("""COMPUTED_VALUE"""),"MBC อุดมสุข")</f>
        <v>MBC อุดมสุข</v>
      </c>
      <c r="P1382" s="4">
        <f>IFERROR(__xludf.DUMMYFUNCTION("""COMPUTED_VALUE"""),43850.0)</f>
        <v>43850</v>
      </c>
      <c r="Q1382" s="3" t="str">
        <f>IFERROR(__xludf.DUMMYFUNCTION("""COMPUTED_VALUE"""),"A")</f>
        <v>A</v>
      </c>
      <c r="R1382" s="3" t="str">
        <f>IFERROR(__xludf.DUMMYFUNCTION("""COMPUTED_VALUE"""),"Small Format")</f>
        <v>Small Format</v>
      </c>
      <c r="S1382" s="3" t="str">
        <f>IFERROR(__xludf.DUMMYFUNCTION("""COMPUTED_VALUE"""),"BCM")</f>
        <v>BCM</v>
      </c>
      <c r="T1382" s="3" t="str">
        <f>IFERROR(__xludf.DUMMYFUNCTION("""COMPUTED_VALUE"""),"#N/A")</f>
        <v>#N/A</v>
      </c>
      <c r="U1382" s="3" t="str">
        <f>IFERROR(__xludf.DUMMYFUNCTION("""COMPUTED_VALUE"""),"#N/A")</f>
        <v>#N/A</v>
      </c>
      <c r="V1382" s="3" t="str">
        <f>IFERROR(__xludf.DUMMYFUNCTION("""COMPUTED_VALUE"""),"N")</f>
        <v>N</v>
      </c>
      <c r="W1382" s="3">
        <f>IFERROR(__xludf.DUMMYFUNCTION("""COMPUTED_VALUE"""),210079.0)</f>
        <v>210079</v>
      </c>
      <c r="X1382" s="3" t="str">
        <f>IFERROR(__xludf.DUMMYFUNCTION("""COMPUTED_VALUE"""),"106 ซอยอ่อนนุช65 แขวงประเวศ เขตประเวศ กรุงเทพมหานคร 10250")</f>
        <v>106 ซอยอ่อนนุช65 แขวงประเวศ เขตประเวศ กรุงเทพมหานคร 10250</v>
      </c>
      <c r="Y1382" s="3" t="str">
        <f>IFERROR(__xludf.DUMMYFUNCTION("""COMPUTED_VALUE"""),"ซอยอ่อนนุช65")</f>
        <v>ซอยอ่อนนุช65</v>
      </c>
      <c r="Z1382" s="3" t="str">
        <f>IFERROR(__xludf.DUMMYFUNCTION("""COMPUTED_VALUE"""),"ประเวศ")</f>
        <v>ประเวศ</v>
      </c>
      <c r="AA1382" s="3" t="str">
        <f>IFERROR(__xludf.DUMMYFUNCTION("""COMPUTED_VALUE"""),"ประเวศ")</f>
        <v>ประเวศ</v>
      </c>
      <c r="AB1382" s="3" t="str">
        <f>IFERROR(__xludf.DUMMYFUNCTION("""COMPUTED_VALUE"""),"กรุงเทพมหานคร")</f>
        <v>กรุงเทพมหานคร</v>
      </c>
      <c r="AC1382" s="3">
        <f>IFERROR(__xludf.DUMMYFUNCTION("""COMPUTED_VALUE"""),10250.0)</f>
        <v>10250</v>
      </c>
      <c r="AD1382" s="3">
        <f>IFERROR(__xludf.DUMMYFUNCTION("""COMPUTED_VALUE"""),13.726344)</f>
        <v>13.726344</v>
      </c>
      <c r="AE1382" s="3">
        <f>IFERROR(__xludf.DUMMYFUNCTION("""COMPUTED_VALUE"""),100.681542)</f>
        <v>100.681542</v>
      </c>
      <c r="AF1382" s="3" t="str">
        <f>IFERROR(__xludf.DUMMYFUNCTION("""COMPUTED_VALUE"""),"MBC อ่อนนุช 65 กรุงเทพฯ-22065")</f>
        <v>MBC อ่อนนุช 65 กรุงเทพฯ-22065</v>
      </c>
      <c r="AG1382" s="3" t="str">
        <f>IFERROR(__xludf.DUMMYFUNCTION("""COMPUTED_VALUE"""),"กลาง")</f>
        <v>กลาง</v>
      </c>
      <c r="AH1382" s="3" t="str">
        <f>IFERROR(__xludf.DUMMYFUNCTION("""COMPUTED_VALUE"""),"#N/A")</f>
        <v>#N/A</v>
      </c>
      <c r="AI1382" s="3" t="str">
        <f>IFERROR(__xludf.DUMMYFUNCTION("""COMPUTED_VALUE"""),"Out of warranty")</f>
        <v>Out of warranty</v>
      </c>
      <c r="AJ1382" s="3">
        <f>IFERROR(__xludf.DUMMYFUNCTION("""COMPUTED_VALUE"""),73.0)</f>
        <v>73</v>
      </c>
      <c r="AK1382" s="3" t="str">
        <f>IFERROR(__xludf.DUMMYFUNCTION("""COMPUTED_VALUE"""),"MMS03")</f>
        <v>MMS03</v>
      </c>
      <c r="AL1382" s="3"/>
    </row>
    <row r="1383" ht="15.75" customHeight="1">
      <c r="A1383" s="1" t="str">
        <f>IFERROR(__xludf.DUMMYFUNCTION("""COMPUTED_VALUE"""),"22066")</f>
        <v>22066</v>
      </c>
      <c r="B1383" s="2">
        <f>IFERROR(__xludf.DUMMYFUNCTION("""COMPUTED_VALUE"""),22066.0)</f>
        <v>22066</v>
      </c>
      <c r="C1383" s="3" t="str">
        <f>IFERROR(__xludf.DUMMYFUNCTION("""COMPUTED_VALUE"""),"MBC ชุมชนพยูน-บ้านฉาง ระยอง")</f>
        <v>MBC ชุมชนพยูน-บ้านฉาง ระยอง</v>
      </c>
      <c r="D1383" s="3" t="str">
        <f>IFERROR(__xludf.DUMMYFUNCTION("""COMPUTED_VALUE"""),"BCM CHUMCHON PHAYOON-BANCHANG")</f>
        <v>BCM CHUMCHON PHAYOON-BANCHANG</v>
      </c>
      <c r="E1383" s="1" t="str">
        <f>IFERROR(__xludf.DUMMYFUNCTION("""COMPUTED_VALUE"""),"บิ๊กซี MINI")</f>
        <v>บิ๊กซี MINI</v>
      </c>
      <c r="F1383" s="1" t="str">
        <f>IFERROR(__xludf.DUMMYFUNCTION("""COMPUTED_VALUE"""),"221716")</f>
        <v>221716</v>
      </c>
      <c r="G1383" s="1" t="str">
        <f>IFERROR(__xludf.DUMMYFUNCTION("""COMPUTED_VALUE"""),"น.ส.เบญจพร โพธิสาร")</f>
        <v>น.ส.เบญจพร โพธิสาร</v>
      </c>
      <c r="H1383" s="1" t="str">
        <f>IFERROR(__xludf.DUMMYFUNCTION("""COMPUTED_VALUE"""),"359233")</f>
        <v>359233</v>
      </c>
      <c r="I1383" s="1" t="str">
        <f>IFERROR(__xludf.DUMMYFUNCTION("""COMPUTED_VALUE"""),"น.ส.ปยุดา คำมีอ่อน")</f>
        <v>น.ส.ปยุดา คำมีอ่อน</v>
      </c>
      <c r="J1383" s="3">
        <f>IFERROR(__xludf.DUMMYFUNCTION("""COMPUTED_VALUE"""),2452376.0)</f>
        <v>2452376</v>
      </c>
      <c r="K1383" s="3" t="str">
        <f>IFERROR(__xludf.DUMMYFUNCTION("""COMPUTED_VALUE"""),"นายภาคภูมิ ทวีกุล")</f>
        <v>นายภาคภูมิ ทวีกุล</v>
      </c>
      <c r="L1383" s="1" t="str">
        <f>IFERROR(__xludf.DUMMYFUNCTION("""COMPUTED_VALUE"""),"08 K.Parkphum T.")</f>
        <v>08 K.Parkphum T.</v>
      </c>
      <c r="M1383" s="1" t="str">
        <f>IFERROR(__xludf.DUMMYFUNCTION("""COMPUTED_VALUE"""),"097-919-5476")</f>
        <v>097-919-5476</v>
      </c>
      <c r="N1383" s="3">
        <f>IFERROR(__xludf.DUMMYFUNCTION("""COMPUTED_VALUE"""),22028.0)</f>
        <v>22028</v>
      </c>
      <c r="O1383" s="3" t="str">
        <f>IFERROR(__xludf.DUMMYFUNCTION("""COMPUTED_VALUE"""),"MBC ทํบมา ระยอง")</f>
        <v>MBC ทํบมา ระยอง</v>
      </c>
      <c r="P1383" s="4">
        <f>IFERROR(__xludf.DUMMYFUNCTION("""COMPUTED_VALUE"""),43853.0)</f>
        <v>43853</v>
      </c>
      <c r="Q1383" s="3" t="str">
        <f>IFERROR(__xludf.DUMMYFUNCTION("""COMPUTED_VALUE"""),"A")</f>
        <v>A</v>
      </c>
      <c r="R1383" s="3" t="str">
        <f>IFERROR(__xludf.DUMMYFUNCTION("""COMPUTED_VALUE"""),"Small Format")</f>
        <v>Small Format</v>
      </c>
      <c r="S1383" s="3" t="str">
        <f>IFERROR(__xludf.DUMMYFUNCTION("""COMPUTED_VALUE"""),"BCM")</f>
        <v>BCM</v>
      </c>
      <c r="T1383" s="3" t="str">
        <f>IFERROR(__xludf.DUMMYFUNCTION("""COMPUTED_VALUE"""),"#N/A")</f>
        <v>#N/A</v>
      </c>
      <c r="U1383" s="3" t="str">
        <f>IFERROR(__xludf.DUMMYFUNCTION("""COMPUTED_VALUE"""),"#N/A")</f>
        <v>#N/A</v>
      </c>
      <c r="V1383" s="3" t="str">
        <f>IFERROR(__xludf.DUMMYFUNCTION("""COMPUTED_VALUE"""),"N")</f>
        <v>N</v>
      </c>
      <c r="W1383" s="3">
        <f>IFERROR(__xludf.DUMMYFUNCTION("""COMPUTED_VALUE"""),210101.0)</f>
        <v>210101</v>
      </c>
      <c r="X1383" s="3" t="str">
        <f>IFERROR(__xludf.DUMMYFUNCTION("""COMPUTED_VALUE"""),"169/94 หมู่5 ตำบลบ้านฉาง อำเภอบ้านฉาง จังหวัดระยอง 21130")</f>
        <v>169/94 หมู่5 ตำบลบ้านฉาง อำเภอบ้านฉาง จังหวัดระยอง 21130</v>
      </c>
      <c r="Y1383" s="3"/>
      <c r="Z1383" s="3" t="str">
        <f>IFERROR(__xludf.DUMMYFUNCTION("""COMPUTED_VALUE"""),"บ้านฉาง")</f>
        <v>บ้านฉาง</v>
      </c>
      <c r="AA1383" s="3" t="str">
        <f>IFERROR(__xludf.DUMMYFUNCTION("""COMPUTED_VALUE"""),"บ้านฉาง")</f>
        <v>บ้านฉาง</v>
      </c>
      <c r="AB1383" s="3" t="str">
        <f>IFERROR(__xludf.DUMMYFUNCTION("""COMPUTED_VALUE"""),"ระยอง")</f>
        <v>ระยอง</v>
      </c>
      <c r="AC1383" s="3">
        <f>IFERROR(__xludf.DUMMYFUNCTION("""COMPUTED_VALUE"""),21130.0)</f>
        <v>21130</v>
      </c>
      <c r="AD1383" s="3">
        <f>IFERROR(__xludf.DUMMYFUNCTION("""COMPUTED_VALUE"""),12.713787)</f>
        <v>12.713787</v>
      </c>
      <c r="AE1383" s="3">
        <f>IFERROR(__xludf.DUMMYFUNCTION("""COMPUTED_VALUE"""),101.058019)</f>
        <v>101.058019</v>
      </c>
      <c r="AF1383" s="3" t="str">
        <f>IFERROR(__xludf.DUMMYFUNCTION("""COMPUTED_VALUE"""),"MBC ชุมชนพยูน-บ้านฉาง ระยอง-22066")</f>
        <v>MBC ชุมชนพยูน-บ้านฉาง ระยอง-22066</v>
      </c>
      <c r="AG1383" s="3" t="str">
        <f>IFERROR(__xludf.DUMMYFUNCTION("""COMPUTED_VALUE"""),"ตะวันออก")</f>
        <v>ตะวันออก</v>
      </c>
      <c r="AH1383" s="3" t="str">
        <f>IFERROR(__xludf.DUMMYFUNCTION("""COMPUTED_VALUE"""),"#N/A")</f>
        <v>#N/A</v>
      </c>
      <c r="AI1383" s="3" t="str">
        <f>IFERROR(__xludf.DUMMYFUNCTION("""COMPUTED_VALUE"""),"Out of warranty")</f>
        <v>Out of warranty</v>
      </c>
      <c r="AJ1383" s="3">
        <f>IFERROR(__xludf.DUMMYFUNCTION("""COMPUTED_VALUE"""),72.0)</f>
        <v>72</v>
      </c>
      <c r="AK1383" s="3" t="str">
        <f>IFERROR(__xludf.DUMMYFUNCTION("""COMPUTED_VALUE"""),"MMS07")</f>
        <v>MMS07</v>
      </c>
      <c r="AL1383" s="3"/>
    </row>
    <row r="1384" ht="15.75" customHeight="1">
      <c r="A1384" s="1" t="str">
        <f>IFERROR(__xludf.DUMMYFUNCTION("""COMPUTED_VALUE"""),"22067")</f>
        <v>22067</v>
      </c>
      <c r="B1384" s="2">
        <f>IFERROR(__xludf.DUMMYFUNCTION("""COMPUTED_VALUE"""),22067.0)</f>
        <v>22067</v>
      </c>
      <c r="C1384" s="3" t="str">
        <f>IFERROR(__xludf.DUMMYFUNCTION("""COMPUTED_VALUE"""),"MBC บางคูลัด นนทบุรี")</f>
        <v>MBC บางคูลัด นนทบุรี</v>
      </c>
      <c r="D1384" s="3" t="str">
        <f>IFERROR(__xludf.DUMMYFUNCTION("""COMPUTED_VALUE"""),"BCM BANGKULAD, NONTHABURI")</f>
        <v>BCM BANGKULAD, NONTHABURI</v>
      </c>
      <c r="E1384" s="1" t="str">
        <f>IFERROR(__xludf.DUMMYFUNCTION("""COMPUTED_VALUE"""),"บิ๊กซี MINI")</f>
        <v>บิ๊กซี MINI</v>
      </c>
      <c r="F1384" s="1" t="str">
        <f>IFERROR(__xludf.DUMMYFUNCTION("""COMPUTED_VALUE"""),"291008")</f>
        <v>291008</v>
      </c>
      <c r="G1384" s="1" t="str">
        <f>IFERROR(__xludf.DUMMYFUNCTION("""COMPUTED_VALUE"""),"น.ส.รัชดาพร อีศรัตน์")</f>
        <v>น.ส.รัชดาพร อีศรัตน์</v>
      </c>
      <c r="H1384" s="1" t="str">
        <f>IFERROR(__xludf.DUMMYFUNCTION("""COMPUTED_VALUE"""),"180055")</f>
        <v>180055</v>
      </c>
      <c r="I1384" s="1" t="str">
        <f>IFERROR(__xludf.DUMMYFUNCTION("""COMPUTED_VALUE"""),"น.ส.สุดารัตน์ บุญล้ำ")</f>
        <v>น.ส.สุดารัตน์ บุญล้ำ</v>
      </c>
      <c r="J1384" s="3">
        <f>IFERROR(__xludf.DUMMYFUNCTION("""COMPUTED_VALUE"""),296608.0)</f>
        <v>296608</v>
      </c>
      <c r="K1384" s="3" t="str">
        <f>IFERROR(__xludf.DUMMYFUNCTION("""COMPUTED_VALUE"""),"นายภาคภูมิ เพ็ชรนิล")</f>
        <v>นายภาคภูมิ เพ็ชรนิล</v>
      </c>
      <c r="L1384" s="1" t="str">
        <f>IFERROR(__xludf.DUMMYFUNCTION("""COMPUTED_VALUE"""),"10 K.Phakphoom P.")</f>
        <v>10 K.Phakphoom P.</v>
      </c>
      <c r="M1384" s="1" t="str">
        <f>IFERROR(__xludf.DUMMYFUNCTION("""COMPUTED_VALUE"""),"063-8955329")</f>
        <v>063-8955329</v>
      </c>
      <c r="N1384" s="3">
        <f>IFERROR(__xludf.DUMMYFUNCTION("""COMPUTED_VALUE"""),22584.0)</f>
        <v>22584</v>
      </c>
      <c r="O1384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384" s="4">
        <f>IFERROR(__xludf.DUMMYFUNCTION("""COMPUTED_VALUE"""),43855.0)</f>
        <v>43855</v>
      </c>
      <c r="Q1384" s="3" t="str">
        <f>IFERROR(__xludf.DUMMYFUNCTION("""COMPUTED_VALUE"""),"A")</f>
        <v>A</v>
      </c>
      <c r="R1384" s="3" t="str">
        <f>IFERROR(__xludf.DUMMYFUNCTION("""COMPUTED_VALUE"""),"Small Format")</f>
        <v>Small Format</v>
      </c>
      <c r="S1384" s="3" t="str">
        <f>IFERROR(__xludf.DUMMYFUNCTION("""COMPUTED_VALUE"""),"BCM")</f>
        <v>BCM</v>
      </c>
      <c r="T1384" s="3" t="str">
        <f>IFERROR(__xludf.DUMMYFUNCTION("""COMPUTED_VALUE"""),"#N/A")</f>
        <v>#N/A</v>
      </c>
      <c r="U1384" s="3" t="str">
        <f>IFERROR(__xludf.DUMMYFUNCTION("""COMPUTED_VALUE"""),"#N/A")</f>
        <v>#N/A</v>
      </c>
      <c r="V1384" s="3" t="str">
        <f>IFERROR(__xludf.DUMMYFUNCTION("""COMPUTED_VALUE"""),"N")</f>
        <v>N</v>
      </c>
      <c r="W1384" s="3">
        <f>IFERROR(__xludf.DUMMYFUNCTION("""COMPUTED_VALUE"""),210049.0)</f>
        <v>210049</v>
      </c>
      <c r="X1384" s="3" t="str">
        <f>IFERROR(__xludf.DUMMYFUNCTION("""COMPUTED_VALUE"""),"32/12 หมู่4 ตำบลบางใหญ่ อำเภอบางใหญ่ จังหวัดนนทบุรี 11140")</f>
        <v>32/12 หมู่4 ตำบลบางใหญ่ อำเภอบางใหญ่ จังหวัดนนทบุรี 11140</v>
      </c>
      <c r="Y1384" s="3"/>
      <c r="Z1384" s="3" t="str">
        <f>IFERROR(__xludf.DUMMYFUNCTION("""COMPUTED_VALUE"""),"บางใหญ่")</f>
        <v>บางใหญ่</v>
      </c>
      <c r="AA1384" s="3" t="str">
        <f>IFERROR(__xludf.DUMMYFUNCTION("""COMPUTED_VALUE"""),"บางใหญ่")</f>
        <v>บางใหญ่</v>
      </c>
      <c r="AB1384" s="3" t="str">
        <f>IFERROR(__xludf.DUMMYFUNCTION("""COMPUTED_VALUE"""),"นนทบุรี")</f>
        <v>นนทบุรี</v>
      </c>
      <c r="AC1384" s="3">
        <f>IFERROR(__xludf.DUMMYFUNCTION("""COMPUTED_VALUE"""),11140.0)</f>
        <v>11140</v>
      </c>
      <c r="AD1384" s="3">
        <f>IFERROR(__xludf.DUMMYFUNCTION("""COMPUTED_VALUE"""),13.841517)</f>
        <v>13.841517</v>
      </c>
      <c r="AE1384" s="3">
        <f>IFERROR(__xludf.DUMMYFUNCTION("""COMPUTED_VALUE"""),100.359836)</f>
        <v>100.359836</v>
      </c>
      <c r="AF1384" s="3" t="str">
        <f>IFERROR(__xludf.DUMMYFUNCTION("""COMPUTED_VALUE"""),"MBC บางคูลัด นนทบุรี-22067")</f>
        <v>MBC บางคูลัด นนทบุรี-22067</v>
      </c>
      <c r="AG1384" s="3" t="str">
        <f>IFERROR(__xludf.DUMMYFUNCTION("""COMPUTED_VALUE"""),"กลาง")</f>
        <v>กลาง</v>
      </c>
      <c r="AH1384" s="3" t="str">
        <f>IFERROR(__xludf.DUMMYFUNCTION("""COMPUTED_VALUE"""),"#N/A")</f>
        <v>#N/A</v>
      </c>
      <c r="AI1384" s="3" t="str">
        <f>IFERROR(__xludf.DUMMYFUNCTION("""COMPUTED_VALUE"""),"Out of warranty")</f>
        <v>Out of warranty</v>
      </c>
      <c r="AJ1384" s="3">
        <f>IFERROR(__xludf.DUMMYFUNCTION("""COMPUTED_VALUE"""),72.0)</f>
        <v>72</v>
      </c>
      <c r="AK1384" s="3" t="str">
        <f>IFERROR(__xludf.DUMMYFUNCTION("""COMPUTED_VALUE"""),"MMS05")</f>
        <v>MMS05</v>
      </c>
      <c r="AL1384" s="3"/>
    </row>
    <row r="1385" ht="15.75" customHeight="1">
      <c r="A1385" s="1" t="str">
        <f>IFERROR(__xludf.DUMMYFUNCTION("""COMPUTED_VALUE"""),"22068")</f>
        <v>22068</v>
      </c>
      <c r="B1385" s="2">
        <f>IFERROR(__xludf.DUMMYFUNCTION("""COMPUTED_VALUE"""),22068.0)</f>
        <v>22068</v>
      </c>
      <c r="C1385" s="3" t="str">
        <f>IFERROR(__xludf.DUMMYFUNCTION("""COMPUTED_VALUE"""),"MBC จันดี นครศรีธรรมราช")</f>
        <v>MBC จันดี นครศรีธรรมราช</v>
      </c>
      <c r="D1385" s="3" t="str">
        <f>IFERROR(__xludf.DUMMYFUNCTION("""COMPUTED_VALUE"""),"BCM CHANDI,NAKHON SI THAMMARAT")</f>
        <v>BCM CHANDI,NAKHON SI THAMMARAT</v>
      </c>
      <c r="E1385" s="1" t="str">
        <f>IFERROR(__xludf.DUMMYFUNCTION("""COMPUTED_VALUE"""),"บิ๊กซี MINI")</f>
        <v>บิ๊กซี MINI</v>
      </c>
      <c r="F1385" s="1" t="str">
        <f>IFERROR(__xludf.DUMMYFUNCTION("""COMPUTED_VALUE"""),"250760")</f>
        <v>250760</v>
      </c>
      <c r="G1385" s="1" t="str">
        <f>IFERROR(__xludf.DUMMYFUNCTION("""COMPUTED_VALUE"""),"นายประทวน สาราบรรณ์")</f>
        <v>นายประทวน สาราบรรณ์</v>
      </c>
      <c r="H1385" s="1" t="str">
        <f>IFERROR(__xludf.DUMMYFUNCTION("""COMPUTED_VALUE"""),"394143")</f>
        <v>394143</v>
      </c>
      <c r="I1385" s="1" t="str">
        <f>IFERROR(__xludf.DUMMYFUNCTION("""COMPUTED_VALUE"""),"นายวิษณุ เพชรหัตถ์")</f>
        <v>นายวิษณุ เพชรหัตถ์</v>
      </c>
      <c r="J1385" s="3">
        <f>IFERROR(__xludf.DUMMYFUNCTION("""COMPUTED_VALUE"""),2.0470331E7)</f>
        <v>20470331</v>
      </c>
      <c r="K1385" s="3" t="str">
        <f>IFERROR(__xludf.DUMMYFUNCTION("""COMPUTED_VALUE"""),"นายสมชาย ลักษณะสุวรรณ")</f>
        <v>นายสมชาย ลักษณะสุวรรณ</v>
      </c>
      <c r="L1385" s="1" t="str">
        <f>IFERROR(__xludf.DUMMYFUNCTION("""COMPUTED_VALUE"""),"15 K.Somchai L")</f>
        <v>15 K.Somchai L</v>
      </c>
      <c r="M1385" s="1" t="str">
        <f>IFERROR(__xludf.DUMMYFUNCTION("""COMPUTED_VALUE"""),"0655107372")</f>
        <v>0655107372</v>
      </c>
      <c r="N1385" s="3">
        <f>IFERROR(__xludf.DUMMYFUNCTION("""COMPUTED_VALUE"""),21723.0)</f>
        <v>21723</v>
      </c>
      <c r="O1385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385" s="4">
        <f>IFERROR(__xludf.DUMMYFUNCTION("""COMPUTED_VALUE"""),43888.0)</f>
        <v>43888</v>
      </c>
      <c r="Q1385" s="3" t="str">
        <f>IFERROR(__xludf.DUMMYFUNCTION("""COMPUTED_VALUE"""),"A")</f>
        <v>A</v>
      </c>
      <c r="R1385" s="3" t="str">
        <f>IFERROR(__xludf.DUMMYFUNCTION("""COMPUTED_VALUE"""),"Small Format")</f>
        <v>Small Format</v>
      </c>
      <c r="S1385" s="3" t="str">
        <f>IFERROR(__xludf.DUMMYFUNCTION("""COMPUTED_VALUE"""),"BCM")</f>
        <v>BCM</v>
      </c>
      <c r="T1385" s="3" t="str">
        <f>IFERROR(__xludf.DUMMYFUNCTION("""COMPUTED_VALUE"""),"#N/A")</f>
        <v>#N/A</v>
      </c>
      <c r="U1385" s="3" t="str">
        <f>IFERROR(__xludf.DUMMYFUNCTION("""COMPUTED_VALUE"""),"#N/A")</f>
        <v>#N/A</v>
      </c>
      <c r="V1385" s="3" t="str">
        <f>IFERROR(__xludf.DUMMYFUNCTION("""COMPUTED_VALUE"""),"N")</f>
        <v>N</v>
      </c>
      <c r="W1385" s="3">
        <f>IFERROR(__xludf.DUMMYFUNCTION("""COMPUTED_VALUE"""),210111.0)</f>
        <v>210111</v>
      </c>
      <c r="X1385" s="3" t="str">
        <f>IFERROR(__xludf.DUMMYFUNCTION("""COMPUTED_VALUE"""),"84 หมู่4 ตำบลจันดี อำเภอฉวาง จังหวัดนครศรีธรรมราช 80250")</f>
        <v>84 หมู่4 ตำบลจันดี อำเภอฉวาง จังหวัดนครศรีธรรมราช 80250</v>
      </c>
      <c r="Y1385" s="3"/>
      <c r="Z1385" s="3" t="str">
        <f>IFERROR(__xludf.DUMMYFUNCTION("""COMPUTED_VALUE"""),"จันดี")</f>
        <v>จันดี</v>
      </c>
      <c r="AA1385" s="3" t="str">
        <f>IFERROR(__xludf.DUMMYFUNCTION("""COMPUTED_VALUE"""),"ฉวาง")</f>
        <v>ฉวาง</v>
      </c>
      <c r="AB1385" s="3" t="str">
        <f>IFERROR(__xludf.DUMMYFUNCTION("""COMPUTED_VALUE"""),"นครศรีธรรมราช")</f>
        <v>นครศรีธรรมราช</v>
      </c>
      <c r="AC1385" s="3">
        <f>IFERROR(__xludf.DUMMYFUNCTION("""COMPUTED_VALUE"""),80250.0)</f>
        <v>80250</v>
      </c>
      <c r="AD1385" s="3">
        <f>IFERROR(__xludf.DUMMYFUNCTION("""COMPUTED_VALUE"""),8.383262)</f>
        <v>8.383262</v>
      </c>
      <c r="AE1385" s="3">
        <f>IFERROR(__xludf.DUMMYFUNCTION("""COMPUTED_VALUE"""),99.539567)</f>
        <v>99.539567</v>
      </c>
      <c r="AF1385" s="3" t="str">
        <f>IFERROR(__xludf.DUMMYFUNCTION("""COMPUTED_VALUE"""),"MBC จันดี นครศรีธรรมราช-22068")</f>
        <v>MBC จันดี นครศรีธรรมราช-22068</v>
      </c>
      <c r="AG1385" s="3" t="str">
        <f>IFERROR(__xludf.DUMMYFUNCTION("""COMPUTED_VALUE"""),"ใต้")</f>
        <v>ใต้</v>
      </c>
      <c r="AH1385" s="3" t="str">
        <f>IFERROR(__xludf.DUMMYFUNCTION("""COMPUTED_VALUE"""),"#N/A")</f>
        <v>#N/A</v>
      </c>
      <c r="AI1385" s="3" t="str">
        <f>IFERROR(__xludf.DUMMYFUNCTION("""COMPUTED_VALUE"""),"Out of warranty")</f>
        <v>Out of warranty</v>
      </c>
      <c r="AJ1385" s="3">
        <f>IFERROR(__xludf.DUMMYFUNCTION("""COMPUTED_VALUE"""),71.0)</f>
        <v>71</v>
      </c>
      <c r="AK1385" s="3" t="str">
        <f>IFERROR(__xludf.DUMMYFUNCTION("""COMPUTED_VALUE"""),"MMS15")</f>
        <v>MMS15</v>
      </c>
      <c r="AL1385" s="3"/>
    </row>
    <row r="1386" ht="15.75" customHeight="1">
      <c r="A1386" s="1" t="str">
        <f>IFERROR(__xludf.DUMMYFUNCTION("""COMPUTED_VALUE"""),"22069")</f>
        <v>22069</v>
      </c>
      <c r="B1386" s="2">
        <f>IFERROR(__xludf.DUMMYFUNCTION("""COMPUTED_VALUE"""),22069.0)</f>
        <v>22069</v>
      </c>
      <c r="C1386" s="3" t="str">
        <f>IFERROR(__xludf.DUMMYFUNCTION("""COMPUTED_VALUE"""),"MBC คาลเท็กซ์ แคหวาย เชียงราย")</f>
        <v>MBC คาลเท็กซ์ แคหวาย เชียงราย</v>
      </c>
      <c r="D1386" s="3" t="str">
        <f>IFERROR(__xludf.DUMMYFUNCTION("""COMPUTED_VALUE"""),"BCM CALTEX KHAE WAY")</f>
        <v>BCM CALTEX KHAE WAY</v>
      </c>
      <c r="E1386" s="1" t="str">
        <f>IFERROR(__xludf.DUMMYFUNCTION("""COMPUTED_VALUE"""),"บิ๊กซี MINI")</f>
        <v>บิ๊กซี MINI</v>
      </c>
      <c r="F1386" s="1" t="str">
        <f>IFERROR(__xludf.DUMMYFUNCTION("""COMPUTED_VALUE"""),"296229")</f>
        <v>296229</v>
      </c>
      <c r="G1386" s="1" t="str">
        <f>IFERROR(__xludf.DUMMYFUNCTION("""COMPUTED_VALUE"""),"นายทนงศักดิ์ บุญมา")</f>
        <v>นายทนงศักดิ์ บุญมา</v>
      </c>
      <c r="H1386" s="1" t="str">
        <f>IFERROR(__xludf.DUMMYFUNCTION("""COMPUTED_VALUE"""),"392585")</f>
        <v>392585</v>
      </c>
      <c r="I1386" s="1" t="str">
        <f>IFERROR(__xludf.DUMMYFUNCTION("""COMPUTED_VALUE"""),"นายไชยัณต์ ผิวขัวเรียง")</f>
        <v>นายไชยัณต์ ผิวขัวเรียง</v>
      </c>
      <c r="J1386" s="3">
        <f>IFERROR(__xludf.DUMMYFUNCTION("""COMPUTED_VALUE"""),2010016.0)</f>
        <v>2010016</v>
      </c>
      <c r="K1386" s="3" t="str">
        <f>IFERROR(__xludf.DUMMYFUNCTION("""COMPUTED_VALUE"""),"นายตวงธรรม ใหม่ยศ")</f>
        <v>นายตวงธรรม ใหม่ยศ</v>
      </c>
      <c r="L1386" s="1" t="str">
        <f>IFERROR(__xludf.DUMMYFUNCTION("""COMPUTED_VALUE"""),"01 K.Tuangtham M.")</f>
        <v>01 K.Tuangtham M.</v>
      </c>
      <c r="M1386" s="1" t="str">
        <f>IFERROR(__xludf.DUMMYFUNCTION("""COMPUTED_VALUE"""),"063-976-595")</f>
        <v>063-976-595</v>
      </c>
      <c r="N1386" s="3">
        <f>IFERROR(__xludf.DUMMYFUNCTION("""COMPUTED_VALUE"""),22574.0)</f>
        <v>22574</v>
      </c>
      <c r="O1386" s="3" t="str">
        <f>IFERROR(__xludf.DUMMYFUNCTION("""COMPUTED_VALUE"""),"BCM ชุมชนศรีชุม ลำปาง")</f>
        <v>BCM ชุมชนศรีชุม ลำปาง</v>
      </c>
      <c r="P1386" s="4">
        <f>IFERROR(__xludf.DUMMYFUNCTION("""COMPUTED_VALUE"""),43828.0)</f>
        <v>43828</v>
      </c>
      <c r="Q1386" s="3" t="str">
        <f>IFERROR(__xludf.DUMMYFUNCTION("""COMPUTED_VALUE"""),"A")</f>
        <v>A</v>
      </c>
      <c r="R1386" s="3" t="str">
        <f>IFERROR(__xludf.DUMMYFUNCTION("""COMPUTED_VALUE"""),"Small Format")</f>
        <v>Small Format</v>
      </c>
      <c r="S1386" s="3" t="str">
        <f>IFERROR(__xludf.DUMMYFUNCTION("""COMPUTED_VALUE"""),"BCM")</f>
        <v>BCM</v>
      </c>
      <c r="T1386" s="3" t="str">
        <f>IFERROR(__xludf.DUMMYFUNCTION("""COMPUTED_VALUE"""),"#N/A")</f>
        <v>#N/A</v>
      </c>
      <c r="U1386" s="3" t="str">
        <f>IFERROR(__xludf.DUMMYFUNCTION("""COMPUTED_VALUE"""),"#N/A")</f>
        <v>#N/A</v>
      </c>
      <c r="V1386" s="3" t="str">
        <f>IFERROR(__xludf.DUMMYFUNCTION("""COMPUTED_VALUE"""),"N")</f>
        <v>N</v>
      </c>
      <c r="W1386" s="3">
        <f>IFERROR(__xludf.DUMMYFUNCTION("""COMPUTED_VALUE"""),210148.0)</f>
        <v>210148</v>
      </c>
      <c r="X1386" s="3" t="str">
        <f>IFERROR(__xludf.DUMMYFUNCTION("""COMPUTED_VALUE"""),"57/21 หมู่22 ตำบลรอบเวียง อำเภอเมืองเชียงราย จังหวัดเชียงราย 57000")</f>
        <v>57/21 หมู่22 ตำบลรอบเวียง อำเภอเมืองเชียงราย จังหวัดเชียงราย 57000</v>
      </c>
      <c r="Y1386" s="3"/>
      <c r="Z1386" s="3" t="str">
        <f>IFERROR(__xludf.DUMMYFUNCTION("""COMPUTED_VALUE"""),"รอบเวียง")</f>
        <v>รอบเวียง</v>
      </c>
      <c r="AA1386" s="3" t="str">
        <f>IFERROR(__xludf.DUMMYFUNCTION("""COMPUTED_VALUE"""),"เมือง")</f>
        <v>เมือง</v>
      </c>
      <c r="AB1386" s="3" t="str">
        <f>IFERROR(__xludf.DUMMYFUNCTION("""COMPUTED_VALUE"""),"เชียงราย")</f>
        <v>เชียงราย</v>
      </c>
      <c r="AC1386" s="3">
        <f>IFERROR(__xludf.DUMMYFUNCTION("""COMPUTED_VALUE"""),57000.0)</f>
        <v>57000</v>
      </c>
      <c r="AD1386" s="3">
        <f>IFERROR(__xludf.DUMMYFUNCTION("""COMPUTED_VALUE"""),19.913282)</f>
        <v>19.913282</v>
      </c>
      <c r="AE1386" s="3">
        <f>IFERROR(__xludf.DUMMYFUNCTION("""COMPUTED_VALUE"""),99.860006)</f>
        <v>99.860006</v>
      </c>
      <c r="AF1386" s="3" t="str">
        <f>IFERROR(__xludf.DUMMYFUNCTION("""COMPUTED_VALUE"""),"MBC คาลเท็กซ์ แคหวาย เชียงราย-22069")</f>
        <v>MBC คาลเท็กซ์ แคหวาย เชียงราย-22069</v>
      </c>
      <c r="AG1386" s="3" t="str">
        <f>IFERROR(__xludf.DUMMYFUNCTION("""COMPUTED_VALUE"""),"เหนือ")</f>
        <v>เหนือ</v>
      </c>
      <c r="AH1386" s="3" t="str">
        <f>IFERROR(__xludf.DUMMYFUNCTION("""COMPUTED_VALUE"""),"#N/A")</f>
        <v>#N/A</v>
      </c>
      <c r="AI1386" s="3" t="str">
        <f>IFERROR(__xludf.DUMMYFUNCTION("""COMPUTED_VALUE"""),"Out of warranty")</f>
        <v>Out of warranty</v>
      </c>
      <c r="AJ1386" s="3">
        <f>IFERROR(__xludf.DUMMYFUNCTION("""COMPUTED_VALUE"""),73.0)</f>
        <v>73</v>
      </c>
      <c r="AK1386" s="3" t="str">
        <f>IFERROR(__xludf.DUMMYFUNCTION("""COMPUTED_VALUE"""),"MMS10")</f>
        <v>MMS10</v>
      </c>
      <c r="AL1386" s="3"/>
    </row>
    <row r="1387" ht="15.75" customHeight="1">
      <c r="A1387" s="1" t="str">
        <f>IFERROR(__xludf.DUMMYFUNCTION("""COMPUTED_VALUE"""),"22070")</f>
        <v>22070</v>
      </c>
      <c r="B1387" s="2">
        <f>IFERROR(__xludf.DUMMYFUNCTION("""COMPUTED_VALUE"""),22070.0)</f>
        <v>22070</v>
      </c>
      <c r="C1387" s="3" t="str">
        <f>IFERROR(__xludf.DUMMYFUNCTION("""COMPUTED_VALUE"""),"MBC ตาพระยา สระแก้ว")</f>
        <v>MBC ตาพระยา สระแก้ว</v>
      </c>
      <c r="D1387" s="3" t="str">
        <f>IFERROR(__xludf.DUMMYFUNCTION("""COMPUTED_VALUE"""),"BCM TAPHAYA, SAKAEO")</f>
        <v>BCM TAPHAYA, SAKAEO</v>
      </c>
      <c r="E1387" s="1" t="str">
        <f>IFERROR(__xludf.DUMMYFUNCTION("""COMPUTED_VALUE"""),"บิ๊กซี MINI")</f>
        <v>บิ๊กซี MINI</v>
      </c>
      <c r="F1387" s="1" t="str">
        <f>IFERROR(__xludf.DUMMYFUNCTION("""COMPUTED_VALUE"""),"2083447")</f>
        <v>2083447</v>
      </c>
      <c r="G1387" s="1" t="str">
        <f>IFERROR(__xludf.DUMMYFUNCTION("""COMPUTED_VALUE"""),"นายอนุกูล ศรีลัดดา")</f>
        <v>นายอนุกูล ศรีลัดดา</v>
      </c>
      <c r="H1387" s="1" t="str">
        <f>IFERROR(__xludf.DUMMYFUNCTION("""COMPUTED_VALUE"""),"259808")</f>
        <v>259808</v>
      </c>
      <c r="I1387" s="1" t="str">
        <f>IFERROR(__xludf.DUMMYFUNCTION("""COMPUTED_VALUE"""),"น.ส.สกุลรัตน์ พิกุลแก้ว")</f>
        <v>น.ส.สกุลรัตน์ พิกุลแก้ว</v>
      </c>
      <c r="J1387" s="3">
        <f>IFERROR(__xludf.DUMMYFUNCTION("""COMPUTED_VALUE"""),510143.0)</f>
        <v>510143</v>
      </c>
      <c r="K1387" s="3" t="str">
        <f>IFERROR(__xludf.DUMMYFUNCTION("""COMPUTED_VALUE"""),"นายธีระวัฒน์ บุญสิทธิ์")</f>
        <v>นายธีระวัฒน์ บุญสิทธิ์</v>
      </c>
      <c r="L1387" s="1" t="str">
        <f>IFERROR(__xludf.DUMMYFUNCTION("""COMPUTED_VALUE"""),"12 K.Theerawat B.")</f>
        <v>12 K.Theerawat B.</v>
      </c>
      <c r="M1387" s="1" t="str">
        <f>IFERROR(__xludf.DUMMYFUNCTION("""COMPUTED_VALUE"""),"0655107379")</f>
        <v>0655107379</v>
      </c>
      <c r="N1387" s="3">
        <f>IFERROR(__xludf.DUMMYFUNCTION("""COMPUTED_VALUE"""),21062.0)</f>
        <v>21062</v>
      </c>
      <c r="O1387" s="3" t="str">
        <f>IFERROR(__xludf.DUMMYFUNCTION("""COMPUTED_VALUE"""),"MBC นิคมนวนคร")</f>
        <v>MBC นิคมนวนคร</v>
      </c>
      <c r="P1387" s="4">
        <f>IFERROR(__xludf.DUMMYFUNCTION("""COMPUTED_VALUE"""),43861.0)</f>
        <v>43861</v>
      </c>
      <c r="Q1387" s="3" t="str">
        <f>IFERROR(__xludf.DUMMYFUNCTION("""COMPUTED_VALUE"""),"A")</f>
        <v>A</v>
      </c>
      <c r="R1387" s="3" t="str">
        <f>IFERROR(__xludf.DUMMYFUNCTION("""COMPUTED_VALUE"""),"Small Format")</f>
        <v>Small Format</v>
      </c>
      <c r="S1387" s="3" t="str">
        <f>IFERROR(__xludf.DUMMYFUNCTION("""COMPUTED_VALUE"""),"BCM")</f>
        <v>BCM</v>
      </c>
      <c r="T1387" s="3" t="str">
        <f>IFERROR(__xludf.DUMMYFUNCTION("""COMPUTED_VALUE"""),"#N/A")</f>
        <v>#N/A</v>
      </c>
      <c r="U1387" s="3" t="str">
        <f>IFERROR(__xludf.DUMMYFUNCTION("""COMPUTED_VALUE"""),"#N/A")</f>
        <v>#N/A</v>
      </c>
      <c r="V1387" s="3" t="str">
        <f>IFERROR(__xludf.DUMMYFUNCTION("""COMPUTED_VALUE"""),"N")</f>
        <v>N</v>
      </c>
      <c r="W1387" s="3">
        <f>IFERROR(__xludf.DUMMYFUNCTION("""COMPUTED_VALUE"""),210024.0)</f>
        <v>210024</v>
      </c>
      <c r="X1387" s="3" t="str">
        <f>IFERROR(__xludf.DUMMYFUNCTION("""COMPUTED_VALUE"""),"44 หมู่1 ตำบลตาพระยา อำเภอตาพระยา จังหวัดสระแก้ว 27180")</f>
        <v>44 หมู่1 ตำบลตาพระยา อำเภอตาพระยา จังหวัดสระแก้ว 27180</v>
      </c>
      <c r="Y1387" s="3"/>
      <c r="Z1387" s="3" t="str">
        <f>IFERROR(__xludf.DUMMYFUNCTION("""COMPUTED_VALUE"""),"ตาพระยา")</f>
        <v>ตาพระยา</v>
      </c>
      <c r="AA1387" s="3" t="str">
        <f>IFERROR(__xludf.DUMMYFUNCTION("""COMPUTED_VALUE"""),"ตาพระยา")</f>
        <v>ตาพระยา</v>
      </c>
      <c r="AB1387" s="3" t="str">
        <f>IFERROR(__xludf.DUMMYFUNCTION("""COMPUTED_VALUE"""),"สระแก้ว")</f>
        <v>สระแก้ว</v>
      </c>
      <c r="AC1387" s="3">
        <f>IFERROR(__xludf.DUMMYFUNCTION("""COMPUTED_VALUE"""),27180.0)</f>
        <v>27180</v>
      </c>
      <c r="AD1387" s="3">
        <f>IFERROR(__xludf.DUMMYFUNCTION("""COMPUTED_VALUE"""),14.005465)</f>
        <v>14.005465</v>
      </c>
      <c r="AE1387" s="3">
        <f>IFERROR(__xludf.DUMMYFUNCTION("""COMPUTED_VALUE"""),102.807268)</f>
        <v>102.807268</v>
      </c>
      <c r="AF1387" s="3" t="str">
        <f>IFERROR(__xludf.DUMMYFUNCTION("""COMPUTED_VALUE"""),"MBC ตาพระยา สระแก้ว-22070")</f>
        <v>MBC ตาพระยา สระแก้ว-22070</v>
      </c>
      <c r="AG1387" s="3" t="str">
        <f>IFERROR(__xludf.DUMMYFUNCTION("""COMPUTED_VALUE"""),"ตะวันออก")</f>
        <v>ตะวันออก</v>
      </c>
      <c r="AH1387" s="3" t="str">
        <f>IFERROR(__xludf.DUMMYFUNCTION("""COMPUTED_VALUE"""),"#N/A")</f>
        <v>#N/A</v>
      </c>
      <c r="AI1387" s="3" t="str">
        <f>IFERROR(__xludf.DUMMYFUNCTION("""COMPUTED_VALUE"""),"Out of warranty")</f>
        <v>Out of warranty</v>
      </c>
      <c r="AJ1387" s="3">
        <f>IFERROR(__xludf.DUMMYFUNCTION("""COMPUTED_VALUE"""),72.0)</f>
        <v>72</v>
      </c>
      <c r="AK1387" s="3" t="str">
        <f>IFERROR(__xludf.DUMMYFUNCTION("""COMPUTED_VALUE"""),"MMS08")</f>
        <v>MMS08</v>
      </c>
      <c r="AL1387" s="3"/>
    </row>
    <row r="1388" ht="15.75" customHeight="1">
      <c r="A1388" s="1" t="str">
        <f>IFERROR(__xludf.DUMMYFUNCTION("""COMPUTED_VALUE"""),"22071")</f>
        <v>22071</v>
      </c>
      <c r="B1388" s="2">
        <f>IFERROR(__xludf.DUMMYFUNCTION("""COMPUTED_VALUE"""),22071.0)</f>
        <v>22071</v>
      </c>
      <c r="C1388" s="3" t="str">
        <f>IFERROR(__xludf.DUMMYFUNCTION("""COMPUTED_VALUE"""),"MBC ห้วยทับทัน ศรีสะเกษ")</f>
        <v>MBC ห้วยทับทัน ศรีสะเกษ</v>
      </c>
      <c r="D1388" s="3" t="str">
        <f>IFERROR(__xludf.DUMMYFUNCTION("""COMPUTED_VALUE"""),"BCM HUAI THAP THAN, SISAKET")</f>
        <v>BCM HUAI THAP THAN, SISAKET</v>
      </c>
      <c r="E1388" s="1" t="str">
        <f>IFERROR(__xludf.DUMMYFUNCTION("""COMPUTED_VALUE"""),"บิ๊กซี MINI")</f>
        <v>บิ๊กซี MINI</v>
      </c>
      <c r="F1388" s="1" t="str">
        <f>IFERROR(__xludf.DUMMYFUNCTION("""COMPUTED_VALUE"""),"291105")</f>
        <v>291105</v>
      </c>
      <c r="G1388" s="1" t="str">
        <f>IFERROR(__xludf.DUMMYFUNCTION("""COMPUTED_VALUE"""),"นายสราวุฒิ พณิชยกุล")</f>
        <v>นายสราวุฒิ พณิชยกุล</v>
      </c>
      <c r="H1388" s="1" t="str">
        <f>IFERROR(__xludf.DUMMYFUNCTION("""COMPUTED_VALUE"""),"398146")</f>
        <v>398146</v>
      </c>
      <c r="I1388" s="1" t="str">
        <f>IFERROR(__xludf.DUMMYFUNCTION("""COMPUTED_VALUE"""),"น.ส.กนกสิริ สุขหอม")</f>
        <v>น.ส.กนกสิริ สุขหอม</v>
      </c>
      <c r="J1388" s="3">
        <f>IFERROR(__xludf.DUMMYFUNCTION("""COMPUTED_VALUE"""),2454781.0)</f>
        <v>2454781</v>
      </c>
      <c r="K1388" s="3" t="str">
        <f>IFERROR(__xludf.DUMMYFUNCTION("""COMPUTED_VALUE"""),"นายฌานกฤช นันทะโคต")</f>
        <v>นายฌานกฤช นันทะโคต</v>
      </c>
      <c r="L1388" s="1" t="str">
        <f>IFERROR(__xludf.DUMMYFUNCTION("""COMPUTED_VALUE"""),"05 K.Chanakrit N.")</f>
        <v>05 K.Chanakrit N.</v>
      </c>
      <c r="M1388" s="1" t="str">
        <f>IFERROR(__xludf.DUMMYFUNCTION("""COMPUTED_VALUE"""),"090-978-9785 ,065-929-1320")</f>
        <v>090-978-9785 ,065-929-1320</v>
      </c>
      <c r="N1388" s="3">
        <f>IFERROR(__xludf.DUMMYFUNCTION("""COMPUTED_VALUE"""),22195.0)</f>
        <v>22195</v>
      </c>
      <c r="O1388" s="3" t="str">
        <f>IFERROR(__xludf.DUMMYFUNCTION("""COMPUTED_VALUE"""),"MBC กันทรลักษ์ ศรีสะเกษ")</f>
        <v>MBC กันทรลักษ์ ศรีสะเกษ</v>
      </c>
      <c r="P1388" s="4">
        <f>IFERROR(__xludf.DUMMYFUNCTION("""COMPUTED_VALUE"""),43857.0)</f>
        <v>43857</v>
      </c>
      <c r="Q1388" s="3" t="str">
        <f>IFERROR(__xludf.DUMMYFUNCTION("""COMPUTED_VALUE"""),"A")</f>
        <v>A</v>
      </c>
      <c r="R1388" s="3" t="str">
        <f>IFERROR(__xludf.DUMMYFUNCTION("""COMPUTED_VALUE"""),"Small Format")</f>
        <v>Small Format</v>
      </c>
      <c r="S1388" s="3" t="str">
        <f>IFERROR(__xludf.DUMMYFUNCTION("""COMPUTED_VALUE"""),"BCM")</f>
        <v>BCM</v>
      </c>
      <c r="T1388" s="3" t="str">
        <f>IFERROR(__xludf.DUMMYFUNCTION("""COMPUTED_VALUE"""),"#N/A")</f>
        <v>#N/A</v>
      </c>
      <c r="U1388" s="3" t="str">
        <f>IFERROR(__xludf.DUMMYFUNCTION("""COMPUTED_VALUE"""),"#N/A")</f>
        <v>#N/A</v>
      </c>
      <c r="V1388" s="3" t="str">
        <f>IFERROR(__xludf.DUMMYFUNCTION("""COMPUTED_VALUE"""),"N")</f>
        <v>N</v>
      </c>
      <c r="W1388" s="3">
        <f>IFERROR(__xludf.DUMMYFUNCTION("""COMPUTED_VALUE"""),210138.0)</f>
        <v>210138</v>
      </c>
      <c r="X1388" s="3" t="str">
        <f>IFERROR(__xludf.DUMMYFUNCTION("""COMPUTED_VALUE"""),"373/4-5 หมู่1 ตำบลห้วยทับทัน อำเภอห้วยทับทัน จังหวัดศรีสะเกษ 33210")</f>
        <v>373/4-5 หมู่1 ตำบลห้วยทับทัน อำเภอห้วยทับทัน จังหวัดศรีสะเกษ 33210</v>
      </c>
      <c r="Y1388" s="3"/>
      <c r="Z1388" s="3" t="str">
        <f>IFERROR(__xludf.DUMMYFUNCTION("""COMPUTED_VALUE"""),"ห้วยทับทัน")</f>
        <v>ห้วยทับทัน</v>
      </c>
      <c r="AA1388" s="3" t="str">
        <f>IFERROR(__xludf.DUMMYFUNCTION("""COMPUTED_VALUE"""),"ห้วยทับทัน")</f>
        <v>ห้วยทับทัน</v>
      </c>
      <c r="AB1388" s="3" t="str">
        <f>IFERROR(__xludf.DUMMYFUNCTION("""COMPUTED_VALUE"""),"ศรีสะเกษ")</f>
        <v>ศรีสะเกษ</v>
      </c>
      <c r="AC1388" s="3">
        <f>IFERROR(__xludf.DUMMYFUNCTION("""COMPUTED_VALUE"""),33210.0)</f>
        <v>33210</v>
      </c>
      <c r="AD1388" s="3">
        <f>IFERROR(__xludf.DUMMYFUNCTION("""COMPUTED_VALUE"""),15.052255)</f>
        <v>15.052255</v>
      </c>
      <c r="AE1388" s="3">
        <f>IFERROR(__xludf.DUMMYFUNCTION("""COMPUTED_VALUE"""),104.028959)</f>
        <v>104.028959</v>
      </c>
      <c r="AF1388" s="3" t="str">
        <f>IFERROR(__xludf.DUMMYFUNCTION("""COMPUTED_VALUE"""),"MBC ห้วยทับทัน ศรีสะเกษ-22071")</f>
        <v>MBC ห้วยทับทัน ศรีสะเกษ-22071</v>
      </c>
      <c r="AG1388" s="3" t="str">
        <f>IFERROR(__xludf.DUMMYFUNCTION("""COMPUTED_VALUE"""),"ตะวันออกเฉียงเหนือ")</f>
        <v>ตะวันออกเฉียงเหนือ</v>
      </c>
      <c r="AH1388" s="3" t="str">
        <f>IFERROR(__xludf.DUMMYFUNCTION("""COMPUTED_VALUE"""),"#N/A")</f>
        <v>#N/A</v>
      </c>
      <c r="AI1388" s="3" t="str">
        <f>IFERROR(__xludf.DUMMYFUNCTION("""COMPUTED_VALUE"""),"Out of warranty")</f>
        <v>Out of warranty</v>
      </c>
      <c r="AJ1388" s="3">
        <f>IFERROR(__xludf.DUMMYFUNCTION("""COMPUTED_VALUE"""),72.0)</f>
        <v>72</v>
      </c>
      <c r="AK1388" s="3" t="str">
        <f>IFERROR(__xludf.DUMMYFUNCTION("""COMPUTED_VALUE"""),"MMS13")</f>
        <v>MMS13</v>
      </c>
      <c r="AL1388" s="3"/>
    </row>
    <row r="1389" ht="15.75" customHeight="1">
      <c r="A1389" s="1" t="str">
        <f>IFERROR(__xludf.DUMMYFUNCTION("""COMPUTED_VALUE"""),"22072")</f>
        <v>22072</v>
      </c>
      <c r="B1389" s="2">
        <f>IFERROR(__xludf.DUMMYFUNCTION("""COMPUTED_VALUE"""),22072.0)</f>
        <v>22072</v>
      </c>
      <c r="C1389" s="3" t="str">
        <f>IFERROR(__xludf.DUMMYFUNCTION("""COMPUTED_VALUE"""),"MBC ตลาดสดบ่อผุด(สมุย) สุราษฎร์ธานี")</f>
        <v>MBC ตลาดสดบ่อผุด(สมุย) สุราษฎร์ธานี</v>
      </c>
      <c r="D1389" s="3" t="str">
        <f>IFERROR(__xludf.DUMMYFUNCTION("""COMPUTED_VALUE"""),"BCM TALADSOT BOPHUT SURATTHANI")</f>
        <v>BCM TALADSOT BOPHUT SURATTHANI</v>
      </c>
      <c r="E1389" s="1" t="str">
        <f>IFERROR(__xludf.DUMMYFUNCTION("""COMPUTED_VALUE"""),"บิ๊กซี MINI")</f>
        <v>บิ๊กซี MINI</v>
      </c>
      <c r="F1389" s="1" t="str">
        <f>IFERROR(__xludf.DUMMYFUNCTION("""COMPUTED_VALUE"""),"250760")</f>
        <v>250760</v>
      </c>
      <c r="G1389" s="1" t="str">
        <f>IFERROR(__xludf.DUMMYFUNCTION("""COMPUTED_VALUE"""),"นายประทวน สาราบรรณ์")</f>
        <v>นายประทวน สาราบรรณ์</v>
      </c>
      <c r="H1389" s="1" t="str">
        <f>IFERROR(__xludf.DUMMYFUNCTION("""COMPUTED_VALUE"""),"356760")</f>
        <v>356760</v>
      </c>
      <c r="I1389" s="1" t="str">
        <f>IFERROR(__xludf.DUMMYFUNCTION("""COMPUTED_VALUE"""),"นายภูมิภัทร แก้วพรรณราย")</f>
        <v>นายภูมิภัทร แก้วพรรณราย</v>
      </c>
      <c r="J1389" s="3">
        <f>IFERROR(__xludf.DUMMYFUNCTION("""COMPUTED_VALUE"""),25324.0)</f>
        <v>25324</v>
      </c>
      <c r="K1389" s="3" t="str">
        <f>IFERROR(__xludf.DUMMYFUNCTION("""COMPUTED_VALUE"""),"นายวิเชฎฐ์ ติรัตนะประคม")</f>
        <v>นายวิเชฎฐ์ ติรัตนะประคม</v>
      </c>
      <c r="L1389" s="1" t="str">
        <f>IFERROR(__xludf.DUMMYFUNCTION("""COMPUTED_VALUE"""),"14 K.Wichet T.")</f>
        <v>14 K.Wichet T.</v>
      </c>
      <c r="M1389" s="1" t="str">
        <f>IFERROR(__xludf.DUMMYFUNCTION("""COMPUTED_VALUE"""),"061-417-6569 / 086-445-5636")</f>
        <v>061-417-6569 / 086-445-5636</v>
      </c>
      <c r="N1389" s="3">
        <f>IFERROR(__xludf.DUMMYFUNCTION("""COMPUTED_VALUE"""),22658.0)</f>
        <v>22658</v>
      </c>
      <c r="O1389" s="3" t="str">
        <f>IFERROR(__xludf.DUMMYFUNCTION("""COMPUTED_VALUE"""),"BCM ถ.วิรัชหงษ์หยก ภูเก็ต")</f>
        <v>BCM ถ.วิรัชหงษ์หยก ภูเก็ต</v>
      </c>
      <c r="P1389" s="4">
        <f>IFERROR(__xludf.DUMMYFUNCTION("""COMPUTED_VALUE"""),43877.0)</f>
        <v>43877</v>
      </c>
      <c r="Q1389" s="3" t="str">
        <f>IFERROR(__xludf.DUMMYFUNCTION("""COMPUTED_VALUE"""),"A")</f>
        <v>A</v>
      </c>
      <c r="R1389" s="3" t="str">
        <f>IFERROR(__xludf.DUMMYFUNCTION("""COMPUTED_VALUE"""),"Small Format")</f>
        <v>Small Format</v>
      </c>
      <c r="S1389" s="3" t="str">
        <f>IFERROR(__xludf.DUMMYFUNCTION("""COMPUTED_VALUE"""),"BCM")</f>
        <v>BCM</v>
      </c>
      <c r="T1389" s="3" t="str">
        <f>IFERROR(__xludf.DUMMYFUNCTION("""COMPUTED_VALUE"""),"#N/A")</f>
        <v>#N/A</v>
      </c>
      <c r="U1389" s="3" t="str">
        <f>IFERROR(__xludf.DUMMYFUNCTION("""COMPUTED_VALUE"""),"#N/A")</f>
        <v>#N/A</v>
      </c>
      <c r="V1389" s="3" t="str">
        <f>IFERROR(__xludf.DUMMYFUNCTION("""COMPUTED_VALUE"""),"N")</f>
        <v>N</v>
      </c>
      <c r="W1389" s="3">
        <f>IFERROR(__xludf.DUMMYFUNCTION("""COMPUTED_VALUE"""),211921.0)</f>
        <v>211921</v>
      </c>
      <c r="X1389" s="3" t="str">
        <f>IFERROR(__xludf.DUMMYFUNCTION("""COMPUTED_VALUE"""),"165/248 หมู่1 ตำบลบ่อผุด อำเภอเกาะสมุย จังหวัดสุราษฎร์ธานี 84320")</f>
        <v>165/248 หมู่1 ตำบลบ่อผุด อำเภอเกาะสมุย จังหวัดสุราษฎร์ธานี 84320</v>
      </c>
      <c r="Y1389" s="3"/>
      <c r="Z1389" s="3" t="str">
        <f>IFERROR(__xludf.DUMMYFUNCTION("""COMPUTED_VALUE"""),"บ่อผุด")</f>
        <v>บ่อผุด</v>
      </c>
      <c r="AA1389" s="3" t="str">
        <f>IFERROR(__xludf.DUMMYFUNCTION("""COMPUTED_VALUE"""),"เกาะสมุย")</f>
        <v>เกาะสมุย</v>
      </c>
      <c r="AB1389" s="3" t="str">
        <f>IFERROR(__xludf.DUMMYFUNCTION("""COMPUTED_VALUE"""),"สุราษฎร์ธานี")</f>
        <v>สุราษฎร์ธานี</v>
      </c>
      <c r="AC1389" s="3">
        <f>IFERROR(__xludf.DUMMYFUNCTION("""COMPUTED_VALUE"""),84320.0)</f>
        <v>84320</v>
      </c>
      <c r="AD1389" s="3">
        <f>IFERROR(__xludf.DUMMYFUNCTION("""COMPUTED_VALUE"""),9.553897)</f>
        <v>9.553897</v>
      </c>
      <c r="AE1389" s="3">
        <f>IFERROR(__xludf.DUMMYFUNCTION("""COMPUTED_VALUE"""),100.032628)</f>
        <v>100.032628</v>
      </c>
      <c r="AF1389" s="3" t="str">
        <f>IFERROR(__xludf.DUMMYFUNCTION("""COMPUTED_VALUE"""),"MBC ตลาดสดบ่อผุด(สมุย) สุราษฎร์ธานี-22072")</f>
        <v>MBC ตลาดสดบ่อผุด(สมุย) สุราษฎร์ธานี-22072</v>
      </c>
      <c r="AG1389" s="3" t="str">
        <f>IFERROR(__xludf.DUMMYFUNCTION("""COMPUTED_VALUE"""),"ใต้")</f>
        <v>ใต้</v>
      </c>
      <c r="AH1389" s="3" t="str">
        <f>IFERROR(__xludf.DUMMYFUNCTION("""COMPUTED_VALUE"""),"#N/A")</f>
        <v>#N/A</v>
      </c>
      <c r="AI1389" s="3" t="str">
        <f>IFERROR(__xludf.DUMMYFUNCTION("""COMPUTED_VALUE"""),"Out of warranty")</f>
        <v>Out of warranty</v>
      </c>
      <c r="AJ1389" s="3">
        <f>IFERROR(__xludf.DUMMYFUNCTION("""COMPUTED_VALUE"""),72.0)</f>
        <v>72</v>
      </c>
      <c r="AK1389" s="3" t="str">
        <f>IFERROR(__xludf.DUMMYFUNCTION("""COMPUTED_VALUE"""),"MMS14")</f>
        <v>MMS14</v>
      </c>
      <c r="AL1389" s="3"/>
    </row>
    <row r="1390" ht="15.75" customHeight="1">
      <c r="A1390" s="1" t="str">
        <f>IFERROR(__xludf.DUMMYFUNCTION("""COMPUTED_VALUE"""),"22073")</f>
        <v>22073</v>
      </c>
      <c r="B1390" s="2">
        <f>IFERROR(__xludf.DUMMYFUNCTION("""COMPUTED_VALUE"""),22073.0)</f>
        <v>22073</v>
      </c>
      <c r="C1390" s="3" t="str">
        <f>IFERROR(__xludf.DUMMYFUNCTION("""COMPUTED_VALUE"""),"MBC ใสยวน ภูเก็ต")</f>
        <v>MBC ใสยวน ภูเก็ต</v>
      </c>
      <c r="D1390" s="3" t="str">
        <f>IFERROR(__xludf.DUMMYFUNCTION("""COMPUTED_VALUE"""),"BCM SAI YUAN PHUKET")</f>
        <v>BCM SAI YUAN PHUKET</v>
      </c>
      <c r="E1390" s="1" t="str">
        <f>IFERROR(__xludf.DUMMYFUNCTION("""COMPUTED_VALUE"""),"บิ๊กซี MINI")</f>
        <v>บิ๊กซี MINI</v>
      </c>
      <c r="F1390" s="1" t="str">
        <f>IFERROR(__xludf.DUMMYFUNCTION("""COMPUTED_VALUE"""),"250760")</f>
        <v>250760</v>
      </c>
      <c r="G1390" s="1" t="str">
        <f>IFERROR(__xludf.DUMMYFUNCTION("""COMPUTED_VALUE"""),"นายประทวน สาราบรรณ์")</f>
        <v>นายประทวน สาราบรรณ์</v>
      </c>
      <c r="H1390" s="1" t="str">
        <f>IFERROR(__xludf.DUMMYFUNCTION("""COMPUTED_VALUE"""),"357284")</f>
        <v>357284</v>
      </c>
      <c r="I1390" s="1" t="str">
        <f>IFERROR(__xludf.DUMMYFUNCTION("""COMPUTED_VALUE"""),"น.ส.เบญจวรรณ ปัณฑโมรา")</f>
        <v>น.ส.เบญจวรรณ ปัณฑโมรา</v>
      </c>
      <c r="J1390" s="3">
        <f>IFERROR(__xludf.DUMMYFUNCTION("""COMPUTED_VALUE"""),25324.0)</f>
        <v>25324</v>
      </c>
      <c r="K1390" s="3" t="str">
        <f>IFERROR(__xludf.DUMMYFUNCTION("""COMPUTED_VALUE"""),"นายวิเชฎฐ์ ติรัตนะประคม")</f>
        <v>นายวิเชฎฐ์ ติรัตนะประคม</v>
      </c>
      <c r="L1390" s="1" t="str">
        <f>IFERROR(__xludf.DUMMYFUNCTION("""COMPUTED_VALUE"""),"14 K.Wichet T.")</f>
        <v>14 K.Wichet T.</v>
      </c>
      <c r="M1390" s="1" t="str">
        <f>IFERROR(__xludf.DUMMYFUNCTION("""COMPUTED_VALUE"""),"061-417-6569 / 086-445-5636")</f>
        <v>061-417-6569 / 086-445-5636</v>
      </c>
      <c r="N1390" s="3">
        <f>IFERROR(__xludf.DUMMYFUNCTION("""COMPUTED_VALUE"""),22658.0)</f>
        <v>22658</v>
      </c>
      <c r="O1390" s="3" t="str">
        <f>IFERROR(__xludf.DUMMYFUNCTION("""COMPUTED_VALUE"""),"BCM ถ.วิรัชหงษ์หยก ภูเก็ต")</f>
        <v>BCM ถ.วิรัชหงษ์หยก ภูเก็ต</v>
      </c>
      <c r="P1390" s="4">
        <f>IFERROR(__xludf.DUMMYFUNCTION("""COMPUTED_VALUE"""),43883.0)</f>
        <v>43883</v>
      </c>
      <c r="Q1390" s="3" t="str">
        <f>IFERROR(__xludf.DUMMYFUNCTION("""COMPUTED_VALUE"""),"A")</f>
        <v>A</v>
      </c>
      <c r="R1390" s="3" t="str">
        <f>IFERROR(__xludf.DUMMYFUNCTION("""COMPUTED_VALUE"""),"Small Format")</f>
        <v>Small Format</v>
      </c>
      <c r="S1390" s="3" t="str">
        <f>IFERROR(__xludf.DUMMYFUNCTION("""COMPUTED_VALUE"""),"BCM")</f>
        <v>BCM</v>
      </c>
      <c r="T1390" s="3" t="str">
        <f>IFERROR(__xludf.DUMMYFUNCTION("""COMPUTED_VALUE"""),"#N/A")</f>
        <v>#N/A</v>
      </c>
      <c r="U1390" s="3" t="str">
        <f>IFERROR(__xludf.DUMMYFUNCTION("""COMPUTED_VALUE"""),"#N/A")</f>
        <v>#N/A</v>
      </c>
      <c r="V1390" s="3" t="str">
        <f>IFERROR(__xludf.DUMMYFUNCTION("""COMPUTED_VALUE"""),"N")</f>
        <v>N</v>
      </c>
      <c r="W1390" s="3">
        <f>IFERROR(__xludf.DUMMYFUNCTION("""COMPUTED_VALUE"""),210108.0)</f>
        <v>210108</v>
      </c>
      <c r="X1390" s="3" t="str">
        <f>IFERROR(__xludf.DUMMYFUNCTION("""COMPUTED_VALUE"""),"63/68 หมู่7 ตำบลราไวย์ อำเภอเมืองภูเก็ต จังหวัดภูเก็ต 83130")</f>
        <v>63/68 หมู่7 ตำบลราไวย์ อำเภอเมืองภูเก็ต จังหวัดภูเก็ต 83130</v>
      </c>
      <c r="Y1390" s="3"/>
      <c r="Z1390" s="3" t="str">
        <f>IFERROR(__xludf.DUMMYFUNCTION("""COMPUTED_VALUE"""),"ราไวย์")</f>
        <v>ราไวย์</v>
      </c>
      <c r="AA1390" s="3" t="str">
        <f>IFERROR(__xludf.DUMMYFUNCTION("""COMPUTED_VALUE"""),"เมือง")</f>
        <v>เมือง</v>
      </c>
      <c r="AB1390" s="3" t="str">
        <f>IFERROR(__xludf.DUMMYFUNCTION("""COMPUTED_VALUE"""),"ภูเก็ต")</f>
        <v>ภูเก็ต</v>
      </c>
      <c r="AC1390" s="3">
        <f>IFERROR(__xludf.DUMMYFUNCTION("""COMPUTED_VALUE"""),83130.0)</f>
        <v>83130</v>
      </c>
      <c r="AD1390" s="3">
        <f>IFERROR(__xludf.DUMMYFUNCTION("""COMPUTED_VALUE"""),7.794926)</f>
        <v>7.794926</v>
      </c>
      <c r="AE1390" s="3">
        <f>IFERROR(__xludf.DUMMYFUNCTION("""COMPUTED_VALUE"""),98.326326)</f>
        <v>98.326326</v>
      </c>
      <c r="AF1390" s="3" t="str">
        <f>IFERROR(__xludf.DUMMYFUNCTION("""COMPUTED_VALUE"""),"MBC ใสยวน ภูเก็ต-22073")</f>
        <v>MBC ใสยวน ภูเก็ต-22073</v>
      </c>
      <c r="AG1390" s="3" t="str">
        <f>IFERROR(__xludf.DUMMYFUNCTION("""COMPUTED_VALUE"""),"ใต้")</f>
        <v>ใต้</v>
      </c>
      <c r="AH1390" s="3" t="str">
        <f>IFERROR(__xludf.DUMMYFUNCTION("""COMPUTED_VALUE"""),"#N/A")</f>
        <v>#N/A</v>
      </c>
      <c r="AI1390" s="3" t="str">
        <f>IFERROR(__xludf.DUMMYFUNCTION("""COMPUTED_VALUE"""),"Out of warranty")</f>
        <v>Out of warranty</v>
      </c>
      <c r="AJ1390" s="3">
        <f>IFERROR(__xludf.DUMMYFUNCTION("""COMPUTED_VALUE"""),71.0)</f>
        <v>71</v>
      </c>
      <c r="AK1390" s="3" t="str">
        <f>IFERROR(__xludf.DUMMYFUNCTION("""COMPUTED_VALUE"""),"MMS15")</f>
        <v>MMS15</v>
      </c>
      <c r="AL1390" s="3"/>
    </row>
    <row r="1391" ht="15.75" customHeight="1">
      <c r="A1391" s="1" t="str">
        <f>IFERROR(__xludf.DUMMYFUNCTION("""COMPUTED_VALUE"""),"22074")</f>
        <v>22074</v>
      </c>
      <c r="B1391" s="2">
        <f>IFERROR(__xludf.DUMMYFUNCTION("""COMPUTED_VALUE"""),22074.0)</f>
        <v>22074</v>
      </c>
      <c r="C1391" s="3" t="str">
        <f>IFERROR(__xludf.DUMMYFUNCTION("""COMPUTED_VALUE"""),"MBC ตลาดบุญให้ นครปฐม")</f>
        <v>MBC ตลาดบุญให้ นครปฐม</v>
      </c>
      <c r="D1391" s="3" t="str">
        <f>IFERROR(__xludf.DUMMYFUNCTION("""COMPUTED_VALUE"""),"BCM TALAD BOON HAI")</f>
        <v>BCM TALAD BOON HAI</v>
      </c>
      <c r="E1391" s="1" t="str">
        <f>IFERROR(__xludf.DUMMYFUNCTION("""COMPUTED_VALUE"""),"บิ๊กซี MINI")</f>
        <v>บิ๊กซี MINI</v>
      </c>
      <c r="F1391" s="1" t="str">
        <f>IFERROR(__xludf.DUMMYFUNCTION("""COMPUTED_VALUE"""),"296229")</f>
        <v>296229</v>
      </c>
      <c r="G1391" s="1" t="str">
        <f>IFERROR(__xludf.DUMMYFUNCTION("""COMPUTED_VALUE"""),"นายทนงศักดิ์ บุญมา")</f>
        <v>นายทนงศักดิ์ บุญมา</v>
      </c>
      <c r="H1391" s="1" t="str">
        <f>IFERROR(__xludf.DUMMYFUNCTION("""COMPUTED_VALUE"""),"295245")</f>
        <v>295245</v>
      </c>
      <c r="I1391" s="1" t="str">
        <f>IFERROR(__xludf.DUMMYFUNCTION("""COMPUTED_VALUE"""),"นายมานะ วงศ์สุโชโต")</f>
        <v>นายมานะ วงศ์สุโชโต</v>
      </c>
      <c r="J1391" s="3">
        <f>IFERROR(__xludf.DUMMYFUNCTION("""COMPUTED_VALUE"""),46214.0)</f>
        <v>46214</v>
      </c>
      <c r="K1391" s="3" t="str">
        <f>IFERROR(__xludf.DUMMYFUNCTION("""COMPUTED_VALUE"""),"นายศักดิ์ชัย เด็ดดอกฟ้า")</f>
        <v>นายศักดิ์ชัย เด็ดดอกฟ้า</v>
      </c>
      <c r="L1391" s="1" t="str">
        <f>IFERROR(__xludf.DUMMYFUNCTION("""COMPUTED_VALUE"""),"02 K.Sakchai D")</f>
        <v>02 K.Sakchai D</v>
      </c>
      <c r="M1391" s="1" t="str">
        <f>IFERROR(__xludf.DUMMYFUNCTION("""COMPUTED_VALUE"""),"065-510-7376")</f>
        <v>065-510-7376</v>
      </c>
      <c r="N1391" s="3">
        <f>IFERROR(__xludf.DUMMYFUNCTION("""COMPUTED_VALUE"""),21714.0)</f>
        <v>21714</v>
      </c>
      <c r="O1391" s="3" t="str">
        <f>IFERROR(__xludf.DUMMYFUNCTION("""COMPUTED_VALUE"""),"MBC เอสโซ่ วัดโบสถ์")</f>
        <v>MBC เอสโซ่ วัดโบสถ์</v>
      </c>
      <c r="P1391" s="4">
        <f>IFERROR(__xludf.DUMMYFUNCTION("""COMPUTED_VALUE"""),43883.0)</f>
        <v>43883</v>
      </c>
      <c r="Q1391" s="3" t="str">
        <f>IFERROR(__xludf.DUMMYFUNCTION("""COMPUTED_VALUE"""),"A")</f>
        <v>A</v>
      </c>
      <c r="R1391" s="3" t="str">
        <f>IFERROR(__xludf.DUMMYFUNCTION("""COMPUTED_VALUE"""),"Small Format")</f>
        <v>Small Format</v>
      </c>
      <c r="S1391" s="3" t="str">
        <f>IFERROR(__xludf.DUMMYFUNCTION("""COMPUTED_VALUE"""),"BCM")</f>
        <v>BCM</v>
      </c>
      <c r="T1391" s="3" t="str">
        <f>IFERROR(__xludf.DUMMYFUNCTION("""COMPUTED_VALUE"""),"#N/A")</f>
        <v>#N/A</v>
      </c>
      <c r="U1391" s="3" t="str">
        <f>IFERROR(__xludf.DUMMYFUNCTION("""COMPUTED_VALUE"""),"#N/A")</f>
        <v>#N/A</v>
      </c>
      <c r="V1391" s="3" t="str">
        <f>IFERROR(__xludf.DUMMYFUNCTION("""COMPUTED_VALUE"""),"N")</f>
        <v>N</v>
      </c>
      <c r="W1391" s="3">
        <f>IFERROR(__xludf.DUMMYFUNCTION("""COMPUTED_VALUE"""),210083.0)</f>
        <v>210083</v>
      </c>
      <c r="X1391" s="3" t="str">
        <f>IFERROR(__xludf.DUMMYFUNCTION("""COMPUTED_VALUE"""),"177/10 หมู่5 ตำบลศาลายา อำเภอพุทธมณฑล จังหวัดนครปฐม 73170")</f>
        <v>177/10 หมู่5 ตำบลศาลายา อำเภอพุทธมณฑล จังหวัดนครปฐม 73170</v>
      </c>
      <c r="Y1391" s="3"/>
      <c r="Z1391" s="3" t="str">
        <f>IFERROR(__xludf.DUMMYFUNCTION("""COMPUTED_VALUE"""),"ศาลายา")</f>
        <v>ศาลายา</v>
      </c>
      <c r="AA1391" s="3" t="str">
        <f>IFERROR(__xludf.DUMMYFUNCTION("""COMPUTED_VALUE"""),"พุทธมณฑล")</f>
        <v>พุทธมณฑล</v>
      </c>
      <c r="AB1391" s="3" t="str">
        <f>IFERROR(__xludf.DUMMYFUNCTION("""COMPUTED_VALUE"""),"นครปฐม")</f>
        <v>นครปฐม</v>
      </c>
      <c r="AC1391" s="3">
        <f>IFERROR(__xludf.DUMMYFUNCTION("""COMPUTED_VALUE"""),73170.0)</f>
        <v>73170</v>
      </c>
      <c r="AD1391" s="3">
        <f>IFERROR(__xludf.DUMMYFUNCTION("""COMPUTED_VALUE"""),13.827203)</f>
        <v>13.827203</v>
      </c>
      <c r="AE1391" s="3">
        <f>IFERROR(__xludf.DUMMYFUNCTION("""COMPUTED_VALUE"""),100.31346)</f>
        <v>100.31346</v>
      </c>
      <c r="AF1391" s="3" t="str">
        <f>IFERROR(__xludf.DUMMYFUNCTION("""COMPUTED_VALUE"""),"MBC ตลาดบุญให้ นครปฐม-22074")</f>
        <v>MBC ตลาดบุญให้ นครปฐม-22074</v>
      </c>
      <c r="AG1391" s="3" t="str">
        <f>IFERROR(__xludf.DUMMYFUNCTION("""COMPUTED_VALUE"""),"กลาง")</f>
        <v>กลาง</v>
      </c>
      <c r="AH1391" s="3" t="str">
        <f>IFERROR(__xludf.DUMMYFUNCTION("""COMPUTED_VALUE"""),"#N/A")</f>
        <v>#N/A</v>
      </c>
      <c r="AI1391" s="3" t="str">
        <f>IFERROR(__xludf.DUMMYFUNCTION("""COMPUTED_VALUE"""),"Out of warranty")</f>
        <v>Out of warranty</v>
      </c>
      <c r="AJ1391" s="3">
        <f>IFERROR(__xludf.DUMMYFUNCTION("""COMPUTED_VALUE"""),71.0)</f>
        <v>71</v>
      </c>
      <c r="AK1391" s="3" t="str">
        <f>IFERROR(__xludf.DUMMYFUNCTION("""COMPUTED_VALUE"""),"MMS05")</f>
        <v>MMS05</v>
      </c>
      <c r="AL1391" s="3"/>
    </row>
    <row r="1392" ht="15.75" customHeight="1">
      <c r="A1392" s="1" t="str">
        <f>IFERROR(__xludf.DUMMYFUNCTION("""COMPUTED_VALUE"""),"22075")</f>
        <v>22075</v>
      </c>
      <c r="B1392" s="2">
        <f>IFERROR(__xludf.DUMMYFUNCTION("""COMPUTED_VALUE"""),22075.0)</f>
        <v>22075</v>
      </c>
      <c r="C1392" s="3" t="str">
        <f>IFERROR(__xludf.DUMMYFUNCTION("""COMPUTED_VALUE"""),"MBC พฤกษา วิลเลจ 12 ปทุมธานี")</f>
        <v>MBC พฤกษา วิลเลจ 12 ปทุมธานี</v>
      </c>
      <c r="D1392" s="3" t="str">
        <f>IFERROR(__xludf.DUMMYFUNCTION("""COMPUTED_VALUE"""),"BCM PRUKSA VILLAGE 12")</f>
        <v>BCM PRUKSA VILLAGE 12</v>
      </c>
      <c r="E1392" s="1" t="str">
        <f>IFERROR(__xludf.DUMMYFUNCTION("""COMPUTED_VALUE"""),"บิ๊กซี MINI")</f>
        <v>บิ๊กซี MINI</v>
      </c>
      <c r="F1392" s="1" t="str">
        <f>IFERROR(__xludf.DUMMYFUNCTION("""COMPUTED_VALUE"""),"2083447")</f>
        <v>2083447</v>
      </c>
      <c r="G1392" s="1" t="str">
        <f>IFERROR(__xludf.DUMMYFUNCTION("""COMPUTED_VALUE"""),"นายอนุกูล ศรีลัดดา")</f>
        <v>นายอนุกูล ศรีลัดดา</v>
      </c>
      <c r="H1392" s="1" t="str">
        <f>IFERROR(__xludf.DUMMYFUNCTION("""COMPUTED_VALUE"""),"373849")</f>
        <v>373849</v>
      </c>
      <c r="I1392" s="1" t="str">
        <f>IFERROR(__xludf.DUMMYFUNCTION("""COMPUTED_VALUE"""),"น.ส.อรอุมา นิ่มวิศิษย์")</f>
        <v>น.ส.อรอุมา นิ่มวิศิษย์</v>
      </c>
      <c r="J1392" s="3">
        <f>IFERROR(__xludf.DUMMYFUNCTION("""COMPUTED_VALUE"""),510143.0)</f>
        <v>510143</v>
      </c>
      <c r="K1392" s="3" t="str">
        <f>IFERROR(__xludf.DUMMYFUNCTION("""COMPUTED_VALUE"""),"นายธีระวัฒน์ บุญสิทธิ์")</f>
        <v>นายธีระวัฒน์ บุญสิทธิ์</v>
      </c>
      <c r="L1392" s="1" t="str">
        <f>IFERROR(__xludf.DUMMYFUNCTION("""COMPUTED_VALUE"""),"12 K.Theerawat B.")</f>
        <v>12 K.Theerawat B.</v>
      </c>
      <c r="M1392" s="1" t="str">
        <f>IFERROR(__xludf.DUMMYFUNCTION("""COMPUTED_VALUE"""),"0655107379")</f>
        <v>0655107379</v>
      </c>
      <c r="N1392" s="3">
        <f>IFERROR(__xludf.DUMMYFUNCTION("""COMPUTED_VALUE"""),21062.0)</f>
        <v>21062</v>
      </c>
      <c r="O1392" s="3" t="str">
        <f>IFERROR(__xludf.DUMMYFUNCTION("""COMPUTED_VALUE"""),"MBC นิคมนวนคร")</f>
        <v>MBC นิคมนวนคร</v>
      </c>
      <c r="P1392" s="4">
        <f>IFERROR(__xludf.DUMMYFUNCTION("""COMPUTED_VALUE"""),43890.0)</f>
        <v>43890</v>
      </c>
      <c r="Q1392" s="3" t="str">
        <f>IFERROR(__xludf.DUMMYFUNCTION("""COMPUTED_VALUE"""),"A")</f>
        <v>A</v>
      </c>
      <c r="R1392" s="3" t="str">
        <f>IFERROR(__xludf.DUMMYFUNCTION("""COMPUTED_VALUE"""),"Small Format")</f>
        <v>Small Format</v>
      </c>
      <c r="S1392" s="3" t="str">
        <f>IFERROR(__xludf.DUMMYFUNCTION("""COMPUTED_VALUE"""),"BCM")</f>
        <v>BCM</v>
      </c>
      <c r="T1392" s="3" t="str">
        <f>IFERROR(__xludf.DUMMYFUNCTION("""COMPUTED_VALUE"""),"#N/A")</f>
        <v>#N/A</v>
      </c>
      <c r="U1392" s="3" t="str">
        <f>IFERROR(__xludf.DUMMYFUNCTION("""COMPUTED_VALUE"""),"#N/A")</f>
        <v>#N/A</v>
      </c>
      <c r="V1392" s="3" t="str">
        <f>IFERROR(__xludf.DUMMYFUNCTION("""COMPUTED_VALUE"""),"N")</f>
        <v>N</v>
      </c>
      <c r="W1392" s="3">
        <f>IFERROR(__xludf.DUMMYFUNCTION("""COMPUTED_VALUE"""),211989.0)</f>
        <v>211989</v>
      </c>
      <c r="X1392" s="3" t="str">
        <f>IFERROR(__xludf.DUMMYFUNCTION("""COMPUTED_VALUE"""),"11/16 หมู่1 ตำบลคลองสอง อำเภอคลองหลวง จังหวัดปทุมธานี 12120")</f>
        <v>11/16 หมู่1 ตำบลคลองสอง อำเภอคลองหลวง จังหวัดปทุมธานี 12120</v>
      </c>
      <c r="Y1392" s="3"/>
      <c r="Z1392" s="3" t="str">
        <f>IFERROR(__xludf.DUMMYFUNCTION("""COMPUTED_VALUE"""),"คลองสอง")</f>
        <v>คลองสอง</v>
      </c>
      <c r="AA1392" s="3" t="str">
        <f>IFERROR(__xludf.DUMMYFUNCTION("""COMPUTED_VALUE"""),"คลองหลวง")</f>
        <v>คลองหลวง</v>
      </c>
      <c r="AB1392" s="3" t="str">
        <f>IFERROR(__xludf.DUMMYFUNCTION("""COMPUTED_VALUE"""),"ปทุมธานี")</f>
        <v>ปทุมธานี</v>
      </c>
      <c r="AC1392" s="3">
        <f>IFERROR(__xludf.DUMMYFUNCTION("""COMPUTED_VALUE"""),12120.0)</f>
        <v>12120</v>
      </c>
      <c r="AD1392" s="3">
        <f>IFERROR(__xludf.DUMMYFUNCTION("""COMPUTED_VALUE"""),14.006425)</f>
        <v>14.006425</v>
      </c>
      <c r="AE1392" s="3">
        <f>IFERROR(__xludf.DUMMYFUNCTION("""COMPUTED_VALUE"""),100.642607)</f>
        <v>100.642607</v>
      </c>
      <c r="AF1392" s="3" t="str">
        <f>IFERROR(__xludf.DUMMYFUNCTION("""COMPUTED_VALUE"""),"MBC พฤกษา วิลเลจ 12 ปทุมธานี-22075")</f>
        <v>MBC พฤกษา วิลเลจ 12 ปทุมธานี-22075</v>
      </c>
      <c r="AG1392" s="3" t="str">
        <f>IFERROR(__xludf.DUMMYFUNCTION("""COMPUTED_VALUE"""),"กลาง")</f>
        <v>กลาง</v>
      </c>
      <c r="AH1392" s="3" t="str">
        <f>IFERROR(__xludf.DUMMYFUNCTION("""COMPUTED_VALUE"""),"#N/A")</f>
        <v>#N/A</v>
      </c>
      <c r="AI1392" s="3" t="str">
        <f>IFERROR(__xludf.DUMMYFUNCTION("""COMPUTED_VALUE"""),"Out of warranty")</f>
        <v>Out of warranty</v>
      </c>
      <c r="AJ1392" s="3">
        <f>IFERROR(__xludf.DUMMYFUNCTION("""COMPUTED_VALUE"""),71.0)</f>
        <v>71</v>
      </c>
      <c r="AK1392" s="3" t="str">
        <f>IFERROR(__xludf.DUMMYFUNCTION("""COMPUTED_VALUE"""),"MMS04")</f>
        <v>MMS04</v>
      </c>
      <c r="AL1392" s="3"/>
    </row>
    <row r="1393" ht="15.75" customHeight="1">
      <c r="A1393" s="1" t="str">
        <f>IFERROR(__xludf.DUMMYFUNCTION("""COMPUTED_VALUE"""),"22076")</f>
        <v>22076</v>
      </c>
      <c r="B1393" s="2">
        <f>IFERROR(__xludf.DUMMYFUNCTION("""COMPUTED_VALUE"""),22076.0)</f>
        <v>22076</v>
      </c>
      <c r="C1393" s="3" t="str">
        <f>IFERROR(__xludf.DUMMYFUNCTION("""COMPUTED_VALUE"""),"MBC อ่างศิลาสามมุก ชลบุรี")</f>
        <v>MBC อ่างศิลาสามมุก ชลบุรี</v>
      </c>
      <c r="D1393" s="3" t="str">
        <f>IFERROR(__xludf.DUMMYFUNCTION("""COMPUTED_VALUE"""),"BCM ANG SILA SAM MUK CHONBURI")</f>
        <v>BCM ANG SILA SAM MUK CHONBURI</v>
      </c>
      <c r="E1393" s="1" t="str">
        <f>IFERROR(__xludf.DUMMYFUNCTION("""COMPUTED_VALUE"""),"บิ๊กซี MINI")</f>
        <v>บิ๊กซี MINI</v>
      </c>
      <c r="F1393" s="1" t="str">
        <f>IFERROR(__xludf.DUMMYFUNCTION("""COMPUTED_VALUE"""),"221716")</f>
        <v>221716</v>
      </c>
      <c r="G1393" s="1" t="str">
        <f>IFERROR(__xludf.DUMMYFUNCTION("""COMPUTED_VALUE"""),"น.ส.เบญจพร โพธิสาร")</f>
        <v>น.ส.เบญจพร โพธิสาร</v>
      </c>
      <c r="H1393" s="1" t="str">
        <f>IFERROR(__xludf.DUMMYFUNCTION("""COMPUTED_VALUE"""),"476018")</f>
        <v>476018</v>
      </c>
      <c r="I1393" s="1" t="str">
        <f>IFERROR(__xludf.DUMMYFUNCTION("""COMPUTED_VALUE"""),"นายศราวุฒิ ชูพันดุง")</f>
        <v>นายศราวุฒิ ชูพันดุง</v>
      </c>
      <c r="J1393" s="3">
        <f>IFERROR(__xludf.DUMMYFUNCTION("""COMPUTED_VALUE"""),1.3461215E7)</f>
        <v>13461215</v>
      </c>
      <c r="K1393" s="3" t="str">
        <f>IFERROR(__xludf.DUMMYFUNCTION("""COMPUTED_VALUE"""),"นายธีรภัทร สังข์เงิน")</f>
        <v>นายธีรภัทร สังข์เงิน</v>
      </c>
      <c r="L1393" s="1" t="str">
        <f>IFERROR(__xludf.DUMMYFUNCTION("""COMPUTED_VALUE"""),"06 K.Teerapat")</f>
        <v>06 K.Teerapat</v>
      </c>
      <c r="M1393" s="1" t="str">
        <f>IFERROR(__xludf.DUMMYFUNCTION("""COMPUTED_VALUE"""),"063-601-6803")</f>
        <v>063-601-6803</v>
      </c>
      <c r="N1393" s="3">
        <f>IFERROR(__xludf.DUMMYFUNCTION("""COMPUTED_VALUE"""),22115.0)</f>
        <v>22115</v>
      </c>
      <c r="O1393" s="3" t="str">
        <f>IFERROR(__xludf.DUMMYFUNCTION("""COMPUTED_VALUE"""),"MBC เลี่ยงหนองมน ชลบุรี")</f>
        <v>MBC เลี่ยงหนองมน ชลบุรี</v>
      </c>
      <c r="P1393" s="4">
        <f>IFERROR(__xludf.DUMMYFUNCTION("""COMPUTED_VALUE"""),43886.0)</f>
        <v>43886</v>
      </c>
      <c r="Q1393" s="3" t="str">
        <f>IFERROR(__xludf.DUMMYFUNCTION("""COMPUTED_VALUE"""),"A")</f>
        <v>A</v>
      </c>
      <c r="R1393" s="3" t="str">
        <f>IFERROR(__xludf.DUMMYFUNCTION("""COMPUTED_VALUE"""),"Small Format")</f>
        <v>Small Format</v>
      </c>
      <c r="S1393" s="3" t="str">
        <f>IFERROR(__xludf.DUMMYFUNCTION("""COMPUTED_VALUE"""),"BCM")</f>
        <v>BCM</v>
      </c>
      <c r="T1393" s="3" t="str">
        <f>IFERROR(__xludf.DUMMYFUNCTION("""COMPUTED_VALUE"""),"#N/A")</f>
        <v>#N/A</v>
      </c>
      <c r="U1393" s="3" t="str">
        <f>IFERROR(__xludf.DUMMYFUNCTION("""COMPUTED_VALUE"""),"#N/A")</f>
        <v>#N/A</v>
      </c>
      <c r="V1393" s="3" t="str">
        <f>IFERROR(__xludf.DUMMYFUNCTION("""COMPUTED_VALUE"""),"N")</f>
        <v>N</v>
      </c>
      <c r="W1393" s="3">
        <f>IFERROR(__xludf.DUMMYFUNCTION("""COMPUTED_VALUE"""),210088.0)</f>
        <v>210088</v>
      </c>
      <c r="X1393" s="3" t="str">
        <f>IFERROR(__xludf.DUMMYFUNCTION("""COMPUTED_VALUE"""),"162/5 ถนนบางแสน-อ่างศิลา ตำบลแสนสุข อำเภอเมืองชลบุรี จังหวัดชลบุรี 20130")</f>
        <v>162/5 ถนนบางแสน-อ่างศิลา ตำบลแสนสุข อำเภอเมืองชลบุรี จังหวัดชลบุรี 20130</v>
      </c>
      <c r="Y1393" s="3" t="str">
        <f>IFERROR(__xludf.DUMMYFUNCTION("""COMPUTED_VALUE"""),"ถนนบางแสน-อ่างศิลา")</f>
        <v>ถนนบางแสน-อ่างศิลา</v>
      </c>
      <c r="Z1393" s="3" t="str">
        <f>IFERROR(__xludf.DUMMYFUNCTION("""COMPUTED_VALUE"""),"แสนสุข")</f>
        <v>แสนสุข</v>
      </c>
      <c r="AA1393" s="3" t="str">
        <f>IFERROR(__xludf.DUMMYFUNCTION("""COMPUTED_VALUE"""),"เมือง")</f>
        <v>เมือง</v>
      </c>
      <c r="AB1393" s="3" t="str">
        <f>IFERROR(__xludf.DUMMYFUNCTION("""COMPUTED_VALUE"""),"ชลบุรี")</f>
        <v>ชลบุรี</v>
      </c>
      <c r="AC1393" s="3">
        <f>IFERROR(__xludf.DUMMYFUNCTION("""COMPUTED_VALUE"""),20130.0)</f>
        <v>20130</v>
      </c>
      <c r="AD1393" s="3">
        <f>IFERROR(__xludf.DUMMYFUNCTION("""COMPUTED_VALUE"""),13.309797)</f>
        <v>13.309797</v>
      </c>
      <c r="AE1393" s="3">
        <f>IFERROR(__xludf.DUMMYFUNCTION("""COMPUTED_VALUE"""),100.912185)</f>
        <v>100.912185</v>
      </c>
      <c r="AF1393" s="3" t="str">
        <f>IFERROR(__xludf.DUMMYFUNCTION("""COMPUTED_VALUE"""),"MBC อ่างศิลาสามมุก ชลบุรี-22076")</f>
        <v>MBC อ่างศิลาสามมุก ชลบุรี-22076</v>
      </c>
      <c r="AG1393" s="3" t="str">
        <f>IFERROR(__xludf.DUMMYFUNCTION("""COMPUTED_VALUE"""),"ตะวันออก")</f>
        <v>ตะวันออก</v>
      </c>
      <c r="AH1393" s="3" t="str">
        <f>IFERROR(__xludf.DUMMYFUNCTION("""COMPUTED_VALUE"""),"#N/A")</f>
        <v>#N/A</v>
      </c>
      <c r="AI1393" s="3" t="str">
        <f>IFERROR(__xludf.DUMMYFUNCTION("""COMPUTED_VALUE"""),"Out of warranty")</f>
        <v>Out of warranty</v>
      </c>
      <c r="AJ1393" s="3">
        <f>IFERROR(__xludf.DUMMYFUNCTION("""COMPUTED_VALUE"""),71.0)</f>
        <v>71</v>
      </c>
      <c r="AK1393" s="3" t="str">
        <f>IFERROR(__xludf.DUMMYFUNCTION("""COMPUTED_VALUE"""),"MMS06")</f>
        <v>MMS06</v>
      </c>
      <c r="AL1393" s="3"/>
    </row>
    <row r="1394" ht="15.75" customHeight="1">
      <c r="A1394" s="1" t="str">
        <f>IFERROR(__xludf.DUMMYFUNCTION("""COMPUTED_VALUE"""),"22077")</f>
        <v>22077</v>
      </c>
      <c r="B1394" s="2">
        <f>IFERROR(__xludf.DUMMYFUNCTION("""COMPUTED_VALUE"""),22077.0)</f>
        <v>22077</v>
      </c>
      <c r="C1394" s="3" t="str">
        <f>IFERROR(__xludf.DUMMYFUNCTION("""COMPUTED_VALUE"""),"MBC ห้วยราช บุรีรัมย์")</f>
        <v>MBC ห้วยราช บุรีรัมย์</v>
      </c>
      <c r="D1394" s="3" t="str">
        <f>IFERROR(__xludf.DUMMYFUNCTION("""COMPUTED_VALUE"""),"BCM HUAI RAT BURIRAM")</f>
        <v>BCM HUAI RAT BURIRAM</v>
      </c>
      <c r="E1394" s="1" t="str">
        <f>IFERROR(__xludf.DUMMYFUNCTION("""COMPUTED_VALUE"""),"บิ๊กซี MINI")</f>
        <v>บิ๊กซี MINI</v>
      </c>
      <c r="F1394" s="1" t="str">
        <f>IFERROR(__xludf.DUMMYFUNCTION("""COMPUTED_VALUE"""),"291105")</f>
        <v>291105</v>
      </c>
      <c r="G1394" s="1" t="str">
        <f>IFERROR(__xludf.DUMMYFUNCTION("""COMPUTED_VALUE"""),"นายสราวุฒิ พณิชยกุล")</f>
        <v>นายสราวุฒิ พณิชยกุล</v>
      </c>
      <c r="H1394" s="1" t="str">
        <f>IFERROR(__xludf.DUMMYFUNCTION("""COMPUTED_VALUE"""),"398136")</f>
        <v>398136</v>
      </c>
      <c r="I1394" s="1" t="str">
        <f>IFERROR(__xludf.DUMMYFUNCTION("""COMPUTED_VALUE"""),"นายประยูร ธาดาวงษา")</f>
        <v>นายประยูร ธาดาวงษา</v>
      </c>
      <c r="J1394" s="3">
        <f>IFERROR(__xludf.DUMMYFUNCTION("""COMPUTED_VALUE"""),15361.0)</f>
        <v>15361</v>
      </c>
      <c r="K1394" s="3" t="str">
        <f>IFERROR(__xludf.DUMMYFUNCTION("""COMPUTED_VALUE"""),"นายสมบูรณ์ พรหมในเมือง")</f>
        <v>นายสมบูรณ์ พรหมในเมือง</v>
      </c>
      <c r="L1394" s="1" t="str">
        <f>IFERROR(__xludf.DUMMYFUNCTION("""COMPUTED_VALUE"""),"04 K.Somboon P.")</f>
        <v>04 K.Somboon P.</v>
      </c>
      <c r="M1394" s="1" t="str">
        <f>IFERROR(__xludf.DUMMYFUNCTION("""COMPUTED_VALUE"""),"087-965-3051")</f>
        <v>087-965-3051</v>
      </c>
      <c r="N1394" s="3">
        <f>IFERROR(__xludf.DUMMYFUNCTION("""COMPUTED_VALUE"""),21869.0)</f>
        <v>21869</v>
      </c>
      <c r="O1394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394" s="4">
        <f>IFERROR(__xludf.DUMMYFUNCTION("""COMPUTED_VALUE"""),43890.0)</f>
        <v>43890</v>
      </c>
      <c r="Q1394" s="3" t="str">
        <f>IFERROR(__xludf.DUMMYFUNCTION("""COMPUTED_VALUE"""),"A")</f>
        <v>A</v>
      </c>
      <c r="R1394" s="3" t="str">
        <f>IFERROR(__xludf.DUMMYFUNCTION("""COMPUTED_VALUE"""),"Small Format")</f>
        <v>Small Format</v>
      </c>
      <c r="S1394" s="3" t="str">
        <f>IFERROR(__xludf.DUMMYFUNCTION("""COMPUTED_VALUE"""),"BCM")</f>
        <v>BCM</v>
      </c>
      <c r="T1394" s="3" t="str">
        <f>IFERROR(__xludf.DUMMYFUNCTION("""COMPUTED_VALUE"""),"#N/A")</f>
        <v>#N/A</v>
      </c>
      <c r="U1394" s="3" t="str">
        <f>IFERROR(__xludf.DUMMYFUNCTION("""COMPUTED_VALUE"""),"#N/A")</f>
        <v>#N/A</v>
      </c>
      <c r="V1394" s="3" t="str">
        <f>IFERROR(__xludf.DUMMYFUNCTION("""COMPUTED_VALUE"""),"N")</f>
        <v>N</v>
      </c>
      <c r="W1394" s="3">
        <f>IFERROR(__xludf.DUMMYFUNCTION("""COMPUTED_VALUE"""),210161.0)</f>
        <v>210161</v>
      </c>
      <c r="X1394" s="3" t="str">
        <f>IFERROR(__xludf.DUMMYFUNCTION("""COMPUTED_VALUE"""),"42 หมู่9 ตำบลห้วยราชา อำเภอห้วยราช จังหวัดบุรีรัมย์ 31000")</f>
        <v>42 หมู่9 ตำบลห้วยราชา อำเภอห้วยราช จังหวัดบุรีรัมย์ 31000</v>
      </c>
      <c r="Y1394" s="3"/>
      <c r="Z1394" s="3" t="str">
        <f>IFERROR(__xludf.DUMMYFUNCTION("""COMPUTED_VALUE"""),"ห้วยราชา")</f>
        <v>ห้วยราชา</v>
      </c>
      <c r="AA1394" s="3" t="str">
        <f>IFERROR(__xludf.DUMMYFUNCTION("""COMPUTED_VALUE"""),"ห้วยราช")</f>
        <v>ห้วยราช</v>
      </c>
      <c r="AB1394" s="3" t="str">
        <f>IFERROR(__xludf.DUMMYFUNCTION("""COMPUTED_VALUE"""),"บุรีรัมย์")</f>
        <v>บุรีรัมย์</v>
      </c>
      <c r="AC1394" s="3">
        <f>IFERROR(__xludf.DUMMYFUNCTION("""COMPUTED_VALUE"""),31000.0)</f>
        <v>31000</v>
      </c>
      <c r="AD1394" s="3">
        <f>IFERROR(__xludf.DUMMYFUNCTION("""COMPUTED_VALUE"""),14.973574)</f>
        <v>14.973574</v>
      </c>
      <c r="AE1394" s="3">
        <f>IFERROR(__xludf.DUMMYFUNCTION("""COMPUTED_VALUE"""),103.191335)</f>
        <v>103.191335</v>
      </c>
      <c r="AF1394" s="3" t="str">
        <f>IFERROR(__xludf.DUMMYFUNCTION("""COMPUTED_VALUE"""),"MBC ห้วยราช บุรีรัมย์-22077")</f>
        <v>MBC ห้วยราช บุรีรัมย์-22077</v>
      </c>
      <c r="AG1394" s="3" t="str">
        <f>IFERROR(__xludf.DUMMYFUNCTION("""COMPUTED_VALUE"""),"ตะวันออกเฉียงเหนือ")</f>
        <v>ตะวันออกเฉียงเหนือ</v>
      </c>
      <c r="AH1394" s="3" t="str">
        <f>IFERROR(__xludf.DUMMYFUNCTION("""COMPUTED_VALUE"""),"#N/A")</f>
        <v>#N/A</v>
      </c>
      <c r="AI1394" s="3" t="str">
        <f>IFERROR(__xludf.DUMMYFUNCTION("""COMPUTED_VALUE"""),"Out of warranty")</f>
        <v>Out of warranty</v>
      </c>
      <c r="AJ1394" s="3">
        <f>IFERROR(__xludf.DUMMYFUNCTION("""COMPUTED_VALUE"""),71.0)</f>
        <v>71</v>
      </c>
      <c r="AK1394" s="3" t="str">
        <f>IFERROR(__xludf.DUMMYFUNCTION("""COMPUTED_VALUE"""),"MMS11")</f>
        <v>MMS11</v>
      </c>
      <c r="AL1394" s="3"/>
    </row>
    <row r="1395" ht="15.75" customHeight="1">
      <c r="A1395" s="1" t="str">
        <f>IFERROR(__xludf.DUMMYFUNCTION("""COMPUTED_VALUE"""),"22078")</f>
        <v>22078</v>
      </c>
      <c r="B1395" s="2">
        <f>IFERROR(__xludf.DUMMYFUNCTION("""COMPUTED_VALUE"""),22078.0)</f>
        <v>22078</v>
      </c>
      <c r="C1395" s="3" t="str">
        <f>IFERROR(__xludf.DUMMYFUNCTION("""COMPUTED_VALUE"""),"BCM ตลาดเทศบาล 1 มุกดาหาร")</f>
        <v>BCM ตลาดเทศบาล 1 มุกดาหาร</v>
      </c>
      <c r="D1395" s="3" t="str">
        <f>IFERROR(__xludf.DUMMYFUNCTION("""COMPUTED_VALUE"""),"BCM TALAD TESSABAN 1")</f>
        <v>BCM TALAD TESSABAN 1</v>
      </c>
      <c r="E1395" s="1" t="str">
        <f>IFERROR(__xludf.DUMMYFUNCTION("""COMPUTED_VALUE"""),"บิ๊กซี MINI")</f>
        <v>บิ๊กซี MINI</v>
      </c>
      <c r="F1395" s="1" t="str">
        <f>IFERROR(__xludf.DUMMYFUNCTION("""COMPUTED_VALUE"""),"291100")</f>
        <v>291100</v>
      </c>
      <c r="G1395" s="1" t="str">
        <f>IFERROR(__xludf.DUMMYFUNCTION("""COMPUTED_VALUE"""),"น.ส.จารุณี ฮวบอินทร์")</f>
        <v>น.ส.จารุณี ฮวบอินทร์</v>
      </c>
      <c r="H1395" s="1" t="str">
        <f>IFERROR(__xludf.DUMMYFUNCTION("""COMPUTED_VALUE"""),"034728")</f>
        <v>034728</v>
      </c>
      <c r="I1395" s="1" t="str">
        <f>IFERROR(__xludf.DUMMYFUNCTION("""COMPUTED_VALUE"""),"นายพันธศักดิ์ พงอนุสอน")</f>
        <v>นายพันธศักดิ์ พงอนุสอน</v>
      </c>
      <c r="J1395" s="3">
        <f>IFERROR(__xludf.DUMMYFUNCTION("""COMPUTED_VALUE"""),295886.0)</f>
        <v>295886</v>
      </c>
      <c r="K1395" s="3" t="str">
        <f>IFERROR(__xludf.DUMMYFUNCTION("""COMPUTED_VALUE"""),"นายจิระพงษ์ โพธิ์นิล")</f>
        <v>นายจิระพงษ์ โพธิ์นิล</v>
      </c>
      <c r="L1395" s="1" t="str">
        <f>IFERROR(__xludf.DUMMYFUNCTION("""COMPUTED_VALUE"""),"นายจิระพงษ์ โพธิ์นิล")</f>
        <v>นายจิระพงษ์ โพธิ์นิล</v>
      </c>
      <c r="M1395" s="1" t="str">
        <f>IFERROR(__xludf.DUMMYFUNCTION("""COMPUTED_VALUE"""),"0933290754")</f>
        <v>0933290754</v>
      </c>
      <c r="N1395" s="3">
        <f>IFERROR(__xludf.DUMMYFUNCTION("""COMPUTED_VALUE"""),21465.0)</f>
        <v>21465</v>
      </c>
      <c r="O1395" s="3" t="str">
        <f>IFERROR(__xludf.DUMMYFUNCTION("""COMPUTED_VALUE"""),"MBC สถานีตำรวจอุดร")</f>
        <v>MBC สถานีตำรวจอุดร</v>
      </c>
      <c r="P1395" s="4">
        <f>IFERROR(__xludf.DUMMYFUNCTION("""COMPUTED_VALUE"""),43890.0)</f>
        <v>43890</v>
      </c>
      <c r="Q1395" s="3" t="str">
        <f>IFERROR(__xludf.DUMMYFUNCTION("""COMPUTED_VALUE"""),"I")</f>
        <v>I</v>
      </c>
      <c r="R1395" s="3" t="str">
        <f>IFERROR(__xludf.DUMMYFUNCTION("""COMPUTED_VALUE"""),"Small Format")</f>
        <v>Small Format</v>
      </c>
      <c r="S1395" s="3" t="str">
        <f>IFERROR(__xludf.DUMMYFUNCTION("""COMPUTED_VALUE"""),"BCM")</f>
        <v>BCM</v>
      </c>
      <c r="T1395" s="3" t="str">
        <f>IFERROR(__xludf.DUMMYFUNCTION("""COMPUTED_VALUE"""),"#N/A")</f>
        <v>#N/A</v>
      </c>
      <c r="U1395" s="3" t="str">
        <f>IFERROR(__xludf.DUMMYFUNCTION("""COMPUTED_VALUE"""),"#N/A")</f>
        <v>#N/A</v>
      </c>
      <c r="V1395" s="3" t="str">
        <f>IFERROR(__xludf.DUMMYFUNCTION("""COMPUTED_VALUE"""),"N")</f>
        <v>N</v>
      </c>
      <c r="W1395" s="3">
        <f>IFERROR(__xludf.DUMMYFUNCTION("""COMPUTED_VALUE"""),210135.0)</f>
        <v>210135</v>
      </c>
      <c r="X1395" s="3" t="str">
        <f>IFERROR(__xludf.DUMMYFUNCTION("""COMPUTED_VALUE"""),"57,59 ถนนยุทธพัฒน์ ตำบลมุกดาหาร อำเภอเมืองมุกดาหาร จังหวัดมุกดาหาร 49000")</f>
        <v>57,59 ถนนยุทธพัฒน์ ตำบลมุกดาหาร อำเภอเมืองมุกดาหาร จังหวัดมุกดาหาร 49000</v>
      </c>
      <c r="Y1395" s="3" t="str">
        <f>IFERROR(__xludf.DUMMYFUNCTION("""COMPUTED_VALUE"""),"ถนนยุทธพัฒน์")</f>
        <v>ถนนยุทธพัฒน์</v>
      </c>
      <c r="Z1395" s="3" t="str">
        <f>IFERROR(__xludf.DUMMYFUNCTION("""COMPUTED_VALUE"""),"มุกดาหาร")</f>
        <v>มุกดาหาร</v>
      </c>
      <c r="AA1395" s="3" t="str">
        <f>IFERROR(__xludf.DUMMYFUNCTION("""COMPUTED_VALUE"""),"เมือง")</f>
        <v>เมือง</v>
      </c>
      <c r="AB1395" s="3" t="str">
        <f>IFERROR(__xludf.DUMMYFUNCTION("""COMPUTED_VALUE"""),"มุกดาหาร")</f>
        <v>มุกดาหาร</v>
      </c>
      <c r="AC1395" s="3">
        <f>IFERROR(__xludf.DUMMYFUNCTION("""COMPUTED_VALUE"""),49000.0)</f>
        <v>49000</v>
      </c>
      <c r="AD1395" s="3">
        <f>IFERROR(__xludf.DUMMYFUNCTION("""COMPUTED_VALUE"""),16.541151)</f>
        <v>16.541151</v>
      </c>
      <c r="AE1395" s="3">
        <f>IFERROR(__xludf.DUMMYFUNCTION("""COMPUTED_VALUE"""),104.717029)</f>
        <v>104.717029</v>
      </c>
      <c r="AF1395" s="3" t="str">
        <f>IFERROR(__xludf.DUMMYFUNCTION("""COMPUTED_VALUE"""),"BCM ตลาดเทศบาล 1 มุกดาหาร-22078")</f>
        <v>BCM ตลาดเทศบาล 1 มุกดาหาร-22078</v>
      </c>
      <c r="AG1395" s="3" t="str">
        <f>IFERROR(__xludf.DUMMYFUNCTION("""COMPUTED_VALUE"""),"ตะวันออกเฉียงเหนือ")</f>
        <v>ตะวันออกเฉียงเหนือ</v>
      </c>
      <c r="AH1395" s="3" t="str">
        <f>IFERROR(__xludf.DUMMYFUNCTION("""COMPUTED_VALUE"""),"#N/A")</f>
        <v>#N/A</v>
      </c>
      <c r="AI1395" s="3" t="str">
        <f>IFERROR(__xludf.DUMMYFUNCTION("""COMPUTED_VALUE"""),"Out of warranty")</f>
        <v>Out of warranty</v>
      </c>
      <c r="AJ1395" s="3">
        <f>IFERROR(__xludf.DUMMYFUNCTION("""COMPUTED_VALUE"""),71.0)</f>
        <v>71</v>
      </c>
      <c r="AK1395" s="3"/>
      <c r="AL1395" s="3"/>
    </row>
    <row r="1396" ht="15.75" customHeight="1">
      <c r="A1396" s="1" t="str">
        <f>IFERROR(__xludf.DUMMYFUNCTION("""COMPUTED_VALUE"""),"22079")</f>
        <v>22079</v>
      </c>
      <c r="B1396" s="2">
        <f>IFERROR(__xludf.DUMMYFUNCTION("""COMPUTED_VALUE"""),22079.0)</f>
        <v>22079</v>
      </c>
      <c r="C1396" s="3" t="str">
        <f>IFERROR(__xludf.DUMMYFUNCTION("""COMPUTED_VALUE"""),"MBC ศรีบุญเรือง หนองบัวลำภู")</f>
        <v>MBC ศรีบุญเรือง หนองบัวลำภู</v>
      </c>
      <c r="D1396" s="3" t="str">
        <f>IFERROR(__xludf.DUMMYFUNCTION("""COMPUTED_VALUE"""),"BCM SRI BUN RUEANG")</f>
        <v>BCM SRI BUN RUEANG</v>
      </c>
      <c r="E1396" s="1" t="str">
        <f>IFERROR(__xludf.DUMMYFUNCTION("""COMPUTED_VALUE"""),"บิ๊กซี MINI")</f>
        <v>บิ๊กซี MINI</v>
      </c>
      <c r="F1396" s="1" t="str">
        <f>IFERROR(__xludf.DUMMYFUNCTION("""COMPUTED_VALUE"""),"291105")</f>
        <v>291105</v>
      </c>
      <c r="G1396" s="1" t="str">
        <f>IFERROR(__xludf.DUMMYFUNCTION("""COMPUTED_VALUE"""),"นายสราวุฒิ พณิชยกุล")</f>
        <v>นายสราวุฒิ พณิชยกุล</v>
      </c>
      <c r="H1396" s="1" t="str">
        <f>IFERROR(__xludf.DUMMYFUNCTION("""COMPUTED_VALUE"""),"305119")</f>
        <v>305119</v>
      </c>
      <c r="I1396" s="1" t="str">
        <f>IFERROR(__xludf.DUMMYFUNCTION("""COMPUTED_VALUE"""),"นายไชยกร ลีพิบูลย์สวัสดิ์")</f>
        <v>นายไชยกร ลีพิบูลย์สวัสดิ์</v>
      </c>
      <c r="J1396" s="3">
        <f>IFERROR(__xludf.DUMMYFUNCTION("""COMPUTED_VALUE"""),296868.0)</f>
        <v>296868</v>
      </c>
      <c r="K1396" s="3" t="str">
        <f>IFERROR(__xludf.DUMMYFUNCTION("""COMPUTED_VALUE"""),"นายพีระพงษ์ แก้วดวงดี")</f>
        <v>นายพีระพงษ์ แก้วดวงดี</v>
      </c>
      <c r="L1396" s="1" t="str">
        <f>IFERROR(__xludf.DUMMYFUNCTION("""COMPUTED_VALUE"""),"03 K.Peerapong K.")</f>
        <v>03 K.Peerapong K.</v>
      </c>
      <c r="M1396" s="1" t="str">
        <f>IFERROR(__xludf.DUMMYFUNCTION("""COMPUTED_VALUE"""),"089-002-6599")</f>
        <v>089-002-6599</v>
      </c>
      <c r="N1396" s="3">
        <f>IFERROR(__xludf.DUMMYFUNCTION("""COMPUTED_VALUE"""),21946.0)</f>
        <v>21946</v>
      </c>
      <c r="O1396" s="3" t="str">
        <f>IFERROR(__xludf.DUMMYFUNCTION("""COMPUTED_VALUE"""),"MBC เซกา บึงกาฬ")</f>
        <v>MBC เซกา บึงกาฬ</v>
      </c>
      <c r="P1396" s="4">
        <f>IFERROR(__xludf.DUMMYFUNCTION("""COMPUTED_VALUE"""),43966.0)</f>
        <v>43966</v>
      </c>
      <c r="Q1396" s="3" t="str">
        <f>IFERROR(__xludf.DUMMYFUNCTION("""COMPUTED_VALUE"""),"A")</f>
        <v>A</v>
      </c>
      <c r="R1396" s="3" t="str">
        <f>IFERROR(__xludf.DUMMYFUNCTION("""COMPUTED_VALUE"""),"Small Format")</f>
        <v>Small Format</v>
      </c>
      <c r="S1396" s="3" t="str">
        <f>IFERROR(__xludf.DUMMYFUNCTION("""COMPUTED_VALUE"""),"BCM")</f>
        <v>BCM</v>
      </c>
      <c r="T1396" s="3" t="str">
        <f>IFERROR(__xludf.DUMMYFUNCTION("""COMPUTED_VALUE"""),"#N/A")</f>
        <v>#N/A</v>
      </c>
      <c r="U1396" s="3" t="str">
        <f>IFERROR(__xludf.DUMMYFUNCTION("""COMPUTED_VALUE"""),"#N/A")</f>
        <v>#N/A</v>
      </c>
      <c r="V1396" s="3" t="str">
        <f>IFERROR(__xludf.DUMMYFUNCTION("""COMPUTED_VALUE"""),"N")</f>
        <v>N</v>
      </c>
      <c r="W1396" s="3">
        <f>IFERROR(__xludf.DUMMYFUNCTION("""COMPUTED_VALUE"""),210120.0)</f>
        <v>210120</v>
      </c>
      <c r="X1396" s="3" t="str">
        <f>IFERROR(__xludf.DUMMYFUNCTION("""COMPUTED_VALUE"""),"164 หมู่13 ตำบลเมืองใหม่ อำเภอศรีบุญเรือง จังหวัดหนองบัวลำภู 39180")</f>
        <v>164 หมู่13 ตำบลเมืองใหม่ อำเภอศรีบุญเรือง จังหวัดหนองบัวลำภู 39180</v>
      </c>
      <c r="Y1396" s="3"/>
      <c r="Z1396" s="3" t="str">
        <f>IFERROR(__xludf.DUMMYFUNCTION("""COMPUTED_VALUE"""),"เมืองใหม่")</f>
        <v>เมืองใหม่</v>
      </c>
      <c r="AA1396" s="3" t="str">
        <f>IFERROR(__xludf.DUMMYFUNCTION("""COMPUTED_VALUE"""),"ศรีบุญเรือง")</f>
        <v>ศรีบุญเรือง</v>
      </c>
      <c r="AB1396" s="3" t="str">
        <f>IFERROR(__xludf.DUMMYFUNCTION("""COMPUTED_VALUE"""),"หนองบัวลำภู")</f>
        <v>หนองบัวลำภู</v>
      </c>
      <c r="AC1396" s="3">
        <f>IFERROR(__xludf.DUMMYFUNCTION("""COMPUTED_VALUE"""),39180.0)</f>
        <v>39180</v>
      </c>
      <c r="AD1396" s="3">
        <f>IFERROR(__xludf.DUMMYFUNCTION("""COMPUTED_VALUE"""),16.9656068)</f>
        <v>16.9656068</v>
      </c>
      <c r="AE1396" s="3">
        <f>IFERROR(__xludf.DUMMYFUNCTION("""COMPUTED_VALUE"""),102.2750198)</f>
        <v>102.2750198</v>
      </c>
      <c r="AF1396" s="3" t="str">
        <f>IFERROR(__xludf.DUMMYFUNCTION("""COMPUTED_VALUE"""),"MBC ศรีบุญเรือง หนองบัวลำภู-22079")</f>
        <v>MBC ศรีบุญเรือง หนองบัวลำภู-22079</v>
      </c>
      <c r="AG1396" s="3" t="str">
        <f>IFERROR(__xludf.DUMMYFUNCTION("""COMPUTED_VALUE"""),"ตะวันออกเฉียงเหนือ")</f>
        <v>ตะวันออกเฉียงเหนือ</v>
      </c>
      <c r="AH1396" s="3" t="str">
        <f>IFERROR(__xludf.DUMMYFUNCTION("""COMPUTED_VALUE"""),"#N/A")</f>
        <v>#N/A</v>
      </c>
      <c r="AI1396" s="3" t="str">
        <f>IFERROR(__xludf.DUMMYFUNCTION("""COMPUTED_VALUE"""),"Out of warranty")</f>
        <v>Out of warranty</v>
      </c>
      <c r="AJ1396" s="3">
        <f>IFERROR(__xludf.DUMMYFUNCTION("""COMPUTED_VALUE"""),69.0)</f>
        <v>69</v>
      </c>
      <c r="AK1396" s="3" t="str">
        <f>IFERROR(__xludf.DUMMYFUNCTION("""COMPUTED_VALUE"""),"MMS12")</f>
        <v>MMS12</v>
      </c>
      <c r="AL1396" s="3"/>
    </row>
    <row r="1397" ht="15.75" customHeight="1">
      <c r="A1397" s="1" t="str">
        <f>IFERROR(__xludf.DUMMYFUNCTION("""COMPUTED_VALUE"""),"22080")</f>
        <v>22080</v>
      </c>
      <c r="B1397" s="2">
        <f>IFERROR(__xludf.DUMMYFUNCTION("""COMPUTED_VALUE"""),22080.0)</f>
        <v>22080</v>
      </c>
      <c r="C1397" s="3" t="str">
        <f>IFERROR(__xludf.DUMMYFUNCTION("""COMPUTED_VALUE"""),"MBC ตลาดสดแม่น้ำ ซ.7(เกาะสมุย) สุราษฎร์ธานี")</f>
        <v>MBC ตลาดสดแม่น้ำ ซ.7(เกาะสมุย) สุราษฎร์ธานี</v>
      </c>
      <c r="D1397" s="3" t="str">
        <f>IFERROR(__xludf.DUMMYFUNCTION("""COMPUTED_VALUE"""),"BCM TALADSOT MAENAM SOI7 SAMUI")</f>
        <v>BCM TALADSOT MAENAM SOI7 SAMUI</v>
      </c>
      <c r="E1397" s="1" t="str">
        <f>IFERROR(__xludf.DUMMYFUNCTION("""COMPUTED_VALUE"""),"บิ๊กซี MINI")</f>
        <v>บิ๊กซี MINI</v>
      </c>
      <c r="F1397" s="1" t="str">
        <f>IFERROR(__xludf.DUMMYFUNCTION("""COMPUTED_VALUE"""),"250760")</f>
        <v>250760</v>
      </c>
      <c r="G1397" s="1" t="str">
        <f>IFERROR(__xludf.DUMMYFUNCTION("""COMPUTED_VALUE"""),"นายประทวน สาราบรรณ์")</f>
        <v>นายประทวน สาราบรรณ์</v>
      </c>
      <c r="H1397" s="1" t="str">
        <f>IFERROR(__xludf.DUMMYFUNCTION("""COMPUTED_VALUE"""),"356760")</f>
        <v>356760</v>
      </c>
      <c r="I1397" s="1" t="str">
        <f>IFERROR(__xludf.DUMMYFUNCTION("""COMPUTED_VALUE"""),"นายภูมิภัทร แก้วพรรณราย")</f>
        <v>นายภูมิภัทร แก้วพรรณราย</v>
      </c>
      <c r="J1397" s="3">
        <f>IFERROR(__xludf.DUMMYFUNCTION("""COMPUTED_VALUE"""),25324.0)</f>
        <v>25324</v>
      </c>
      <c r="K1397" s="3" t="str">
        <f>IFERROR(__xludf.DUMMYFUNCTION("""COMPUTED_VALUE"""),"นายวิเชฎฐ์ ติรัตนะประคม")</f>
        <v>นายวิเชฎฐ์ ติรัตนะประคม</v>
      </c>
      <c r="L1397" s="1" t="str">
        <f>IFERROR(__xludf.DUMMYFUNCTION("""COMPUTED_VALUE"""),"14 K.Wichet T.")</f>
        <v>14 K.Wichet T.</v>
      </c>
      <c r="M1397" s="1" t="str">
        <f>IFERROR(__xludf.DUMMYFUNCTION("""COMPUTED_VALUE"""),"061-417-6569 / 086-445-5636")</f>
        <v>061-417-6569 / 086-445-5636</v>
      </c>
      <c r="N1397" s="3">
        <f>IFERROR(__xludf.DUMMYFUNCTION("""COMPUTED_VALUE"""),22658.0)</f>
        <v>22658</v>
      </c>
      <c r="O1397" s="3" t="str">
        <f>IFERROR(__xludf.DUMMYFUNCTION("""COMPUTED_VALUE"""),"BCM ถ.วิรัชหงษ์หยก ภูเก็ต")</f>
        <v>BCM ถ.วิรัชหงษ์หยก ภูเก็ต</v>
      </c>
      <c r="P1397" s="4">
        <f>IFERROR(__xludf.DUMMYFUNCTION("""COMPUTED_VALUE"""),44001.0)</f>
        <v>44001</v>
      </c>
      <c r="Q1397" s="3" t="str">
        <f>IFERROR(__xludf.DUMMYFUNCTION("""COMPUTED_VALUE"""),"A")</f>
        <v>A</v>
      </c>
      <c r="R1397" s="3" t="str">
        <f>IFERROR(__xludf.DUMMYFUNCTION("""COMPUTED_VALUE"""),"Small Format")</f>
        <v>Small Format</v>
      </c>
      <c r="S1397" s="3" t="str">
        <f>IFERROR(__xludf.DUMMYFUNCTION("""COMPUTED_VALUE"""),"BCM")</f>
        <v>BCM</v>
      </c>
      <c r="T1397" s="3" t="str">
        <f>IFERROR(__xludf.DUMMYFUNCTION("""COMPUTED_VALUE"""),"#N/A")</f>
        <v>#N/A</v>
      </c>
      <c r="U1397" s="3" t="str">
        <f>IFERROR(__xludf.DUMMYFUNCTION("""COMPUTED_VALUE"""),"#N/A")</f>
        <v>#N/A</v>
      </c>
      <c r="V1397" s="3" t="str">
        <f>IFERROR(__xludf.DUMMYFUNCTION("""COMPUTED_VALUE"""),"N")</f>
        <v>N</v>
      </c>
      <c r="W1397" s="3">
        <f>IFERROR(__xludf.DUMMYFUNCTION("""COMPUTED_VALUE"""),211755.0)</f>
        <v>211755</v>
      </c>
      <c r="X1397" s="3" t="str">
        <f>IFERROR(__xludf.DUMMYFUNCTION("""COMPUTED_VALUE"""),"23/3 หมู่4 ตำบลแม่น้ำ อำเภอเกาะสมุย จังหวัดสุราษฎร์ธานี 84330")</f>
        <v>23/3 หมู่4 ตำบลแม่น้ำ อำเภอเกาะสมุย จังหวัดสุราษฎร์ธานี 84330</v>
      </c>
      <c r="Y1397" s="3"/>
      <c r="Z1397" s="3" t="str">
        <f>IFERROR(__xludf.DUMMYFUNCTION("""COMPUTED_VALUE"""),"แม่น้ำ")</f>
        <v>แม่น้ำ</v>
      </c>
      <c r="AA1397" s="3" t="str">
        <f>IFERROR(__xludf.DUMMYFUNCTION("""COMPUTED_VALUE"""),"เกาะสมุย")</f>
        <v>เกาะสมุย</v>
      </c>
      <c r="AB1397" s="3" t="str">
        <f>IFERROR(__xludf.DUMMYFUNCTION("""COMPUTED_VALUE"""),"สุราษฎร์ธานี")</f>
        <v>สุราษฎร์ธานี</v>
      </c>
      <c r="AC1397" s="3">
        <f>IFERROR(__xludf.DUMMYFUNCTION("""COMPUTED_VALUE"""),84330.0)</f>
        <v>84330</v>
      </c>
      <c r="AD1397" s="3">
        <f>IFERROR(__xludf.DUMMYFUNCTION("""COMPUTED_VALUE"""),9.575619)</f>
        <v>9.575619</v>
      </c>
      <c r="AE1397" s="3">
        <f>IFERROR(__xludf.DUMMYFUNCTION("""COMPUTED_VALUE"""),99.984353)</f>
        <v>99.984353</v>
      </c>
      <c r="AF1397" s="3" t="str">
        <f>IFERROR(__xludf.DUMMYFUNCTION("""COMPUTED_VALUE"""),"MBC ตลาดสดแม่น้ำ ซ.7(เกาะสมุย) สุราษฎร์ธานี-22080")</f>
        <v>MBC ตลาดสดแม่น้ำ ซ.7(เกาะสมุย) สุราษฎร์ธานี-22080</v>
      </c>
      <c r="AG1397" s="3" t="str">
        <f>IFERROR(__xludf.DUMMYFUNCTION("""COMPUTED_VALUE"""),"ใต้")</f>
        <v>ใต้</v>
      </c>
      <c r="AH1397" s="3" t="str">
        <f>IFERROR(__xludf.DUMMYFUNCTION("""COMPUTED_VALUE"""),"#N/A")</f>
        <v>#N/A</v>
      </c>
      <c r="AI1397" s="3" t="str">
        <f>IFERROR(__xludf.DUMMYFUNCTION("""COMPUTED_VALUE"""),"Out of warranty")</f>
        <v>Out of warranty</v>
      </c>
      <c r="AJ1397" s="3">
        <f>IFERROR(__xludf.DUMMYFUNCTION("""COMPUTED_VALUE"""),68.0)</f>
        <v>68</v>
      </c>
      <c r="AK1397" s="3" t="str">
        <f>IFERROR(__xludf.DUMMYFUNCTION("""COMPUTED_VALUE"""),"MMS14")</f>
        <v>MMS14</v>
      </c>
      <c r="AL1397" s="3"/>
    </row>
    <row r="1398" ht="15.75" customHeight="1">
      <c r="A1398" s="1" t="str">
        <f>IFERROR(__xludf.DUMMYFUNCTION("""COMPUTED_VALUE"""),"22081")</f>
        <v>22081</v>
      </c>
      <c r="B1398" s="2">
        <f>IFERROR(__xludf.DUMMYFUNCTION("""COMPUTED_VALUE"""),22081.0)</f>
        <v>22081</v>
      </c>
      <c r="C1398" s="3" t="str">
        <f>IFERROR(__xludf.DUMMYFUNCTION("""COMPUTED_VALUE"""),"MBC ตลาดเจริญลาภ (เกาะสมุย) สุราษฎร์ธานี")</f>
        <v>MBC ตลาดเจริญลาภ (เกาะสมุย) สุราษฎร์ธานี</v>
      </c>
      <c r="D1398" s="3" t="str">
        <f>IFERROR(__xludf.DUMMYFUNCTION("""COMPUTED_VALUE"""),"BCM TALAD CHAROEN LAP (SAMUI)")</f>
        <v>BCM TALAD CHAROEN LAP (SAMUI)</v>
      </c>
      <c r="E1398" s="1" t="str">
        <f>IFERROR(__xludf.DUMMYFUNCTION("""COMPUTED_VALUE"""),"บิ๊กซี MINI")</f>
        <v>บิ๊กซี MINI</v>
      </c>
      <c r="F1398" s="1" t="str">
        <f>IFERROR(__xludf.DUMMYFUNCTION("""COMPUTED_VALUE"""),"250760")</f>
        <v>250760</v>
      </c>
      <c r="G1398" s="1" t="str">
        <f>IFERROR(__xludf.DUMMYFUNCTION("""COMPUTED_VALUE"""),"นายประทวน สาราบรรณ์")</f>
        <v>นายประทวน สาราบรรณ์</v>
      </c>
      <c r="H1398" s="1" t="str">
        <f>IFERROR(__xludf.DUMMYFUNCTION("""COMPUTED_VALUE"""),"356760")</f>
        <v>356760</v>
      </c>
      <c r="I1398" s="1" t="str">
        <f>IFERROR(__xludf.DUMMYFUNCTION("""COMPUTED_VALUE"""),"นายภูมิภัทร แก้วพรรณราย")</f>
        <v>นายภูมิภัทร แก้วพรรณราย</v>
      </c>
      <c r="J1398" s="3">
        <f>IFERROR(__xludf.DUMMYFUNCTION("""COMPUTED_VALUE"""),25324.0)</f>
        <v>25324</v>
      </c>
      <c r="K1398" s="3" t="str">
        <f>IFERROR(__xludf.DUMMYFUNCTION("""COMPUTED_VALUE"""),"นายวิเชฎฐ์ ติรัตนะประคม")</f>
        <v>นายวิเชฎฐ์ ติรัตนะประคม</v>
      </c>
      <c r="L1398" s="1" t="str">
        <f>IFERROR(__xludf.DUMMYFUNCTION("""COMPUTED_VALUE"""),"14 K.Wichet T.")</f>
        <v>14 K.Wichet T.</v>
      </c>
      <c r="M1398" s="1" t="str">
        <f>IFERROR(__xludf.DUMMYFUNCTION("""COMPUTED_VALUE"""),"061-417-6569 / 086-445-5636")</f>
        <v>061-417-6569 / 086-445-5636</v>
      </c>
      <c r="N1398" s="3">
        <f>IFERROR(__xludf.DUMMYFUNCTION("""COMPUTED_VALUE"""),22658.0)</f>
        <v>22658</v>
      </c>
      <c r="O1398" s="3" t="str">
        <f>IFERROR(__xludf.DUMMYFUNCTION("""COMPUTED_VALUE"""),"BCM ถ.วิรัชหงษ์หยก ภูเก็ต")</f>
        <v>BCM ถ.วิรัชหงษ์หยก ภูเก็ต</v>
      </c>
      <c r="P1398" s="4">
        <f>IFERROR(__xludf.DUMMYFUNCTION("""COMPUTED_VALUE"""),43890.0)</f>
        <v>43890</v>
      </c>
      <c r="Q1398" s="3" t="str">
        <f>IFERROR(__xludf.DUMMYFUNCTION("""COMPUTED_VALUE"""),"A")</f>
        <v>A</v>
      </c>
      <c r="R1398" s="3" t="str">
        <f>IFERROR(__xludf.DUMMYFUNCTION("""COMPUTED_VALUE"""),"Small Format")</f>
        <v>Small Format</v>
      </c>
      <c r="S1398" s="3" t="str">
        <f>IFERROR(__xludf.DUMMYFUNCTION("""COMPUTED_VALUE"""),"BCM")</f>
        <v>BCM</v>
      </c>
      <c r="T1398" s="3" t="str">
        <f>IFERROR(__xludf.DUMMYFUNCTION("""COMPUTED_VALUE"""),"#N/A")</f>
        <v>#N/A</v>
      </c>
      <c r="U1398" s="3" t="str">
        <f>IFERROR(__xludf.DUMMYFUNCTION("""COMPUTED_VALUE"""),"#N/A")</f>
        <v>#N/A</v>
      </c>
      <c r="V1398" s="3" t="str">
        <f>IFERROR(__xludf.DUMMYFUNCTION("""COMPUTED_VALUE"""),"N")</f>
        <v>N</v>
      </c>
      <c r="W1398" s="3">
        <f>IFERROR(__xludf.DUMMYFUNCTION("""COMPUTED_VALUE"""),210118.0)</f>
        <v>210118</v>
      </c>
      <c r="X1398" s="3" t="str">
        <f>IFERROR(__xludf.DUMMYFUNCTION("""COMPUTED_VALUE"""),"336/1-3 หมู่3 ตำบลอ่างทอง อำเภอเกาะสมุย จังหวัดสุราษฎร์ธานี 84140")</f>
        <v>336/1-3 หมู่3 ตำบลอ่างทอง อำเภอเกาะสมุย จังหวัดสุราษฎร์ธานี 84140</v>
      </c>
      <c r="Y1398" s="3"/>
      <c r="Z1398" s="3" t="str">
        <f>IFERROR(__xludf.DUMMYFUNCTION("""COMPUTED_VALUE"""),"อ่างทอง")</f>
        <v>อ่างทอง</v>
      </c>
      <c r="AA1398" s="3" t="str">
        <f>IFERROR(__xludf.DUMMYFUNCTION("""COMPUTED_VALUE"""),"เกาะสมุย")</f>
        <v>เกาะสมุย</v>
      </c>
      <c r="AB1398" s="3" t="str">
        <f>IFERROR(__xludf.DUMMYFUNCTION("""COMPUTED_VALUE"""),"สุราษฎร์ธานี")</f>
        <v>สุราษฎร์ธานี</v>
      </c>
      <c r="AC1398" s="3">
        <f>IFERROR(__xludf.DUMMYFUNCTION("""COMPUTED_VALUE"""),84140.0)</f>
        <v>84140</v>
      </c>
      <c r="AD1398" s="3">
        <f>IFERROR(__xludf.DUMMYFUNCTION("""COMPUTED_VALUE"""),9.533361)</f>
        <v>9.533361</v>
      </c>
      <c r="AE1398" s="3">
        <f>IFERROR(__xludf.DUMMYFUNCTION("""COMPUTED_VALUE"""),99.935911)</f>
        <v>99.935911</v>
      </c>
      <c r="AF1398" s="3" t="str">
        <f>IFERROR(__xludf.DUMMYFUNCTION("""COMPUTED_VALUE"""),"MBC ตลาดเจริญลาภ (เกาะสมุย) สุราษฎร์ธานี-22081")</f>
        <v>MBC ตลาดเจริญลาภ (เกาะสมุย) สุราษฎร์ธานี-22081</v>
      </c>
      <c r="AG1398" s="3" t="str">
        <f>IFERROR(__xludf.DUMMYFUNCTION("""COMPUTED_VALUE"""),"ใต้")</f>
        <v>ใต้</v>
      </c>
      <c r="AH1398" s="3" t="str">
        <f>IFERROR(__xludf.DUMMYFUNCTION("""COMPUTED_VALUE"""),"#N/A")</f>
        <v>#N/A</v>
      </c>
      <c r="AI1398" s="3" t="str">
        <f>IFERROR(__xludf.DUMMYFUNCTION("""COMPUTED_VALUE"""),"Out of warranty")</f>
        <v>Out of warranty</v>
      </c>
      <c r="AJ1398" s="3">
        <f>IFERROR(__xludf.DUMMYFUNCTION("""COMPUTED_VALUE"""),71.0)</f>
        <v>71</v>
      </c>
      <c r="AK1398" s="3" t="str">
        <f>IFERROR(__xludf.DUMMYFUNCTION("""COMPUTED_VALUE"""),"MMS14")</f>
        <v>MMS14</v>
      </c>
      <c r="AL1398" s="3"/>
    </row>
    <row r="1399" ht="15.75" customHeight="1">
      <c r="A1399" s="1" t="str">
        <f>IFERROR(__xludf.DUMMYFUNCTION("""COMPUTED_VALUE"""),"22082")</f>
        <v>22082</v>
      </c>
      <c r="B1399" s="2">
        <f>IFERROR(__xludf.DUMMYFUNCTION("""COMPUTED_VALUE"""),22082.0)</f>
        <v>22082</v>
      </c>
      <c r="C1399" s="3" t="str">
        <f>IFERROR(__xludf.DUMMYFUNCTION("""COMPUTED_VALUE"""),"MBC ซอยไทยประกัน สมุทรปราการ")</f>
        <v>MBC ซอยไทยประกัน สมุทรปราการ</v>
      </c>
      <c r="D1399" s="3" t="str">
        <f>IFERROR(__xludf.DUMMYFUNCTION("""COMPUTED_VALUE"""),"BCM SOI THAIPRAKAN")</f>
        <v>BCM SOI THAIPRAKAN</v>
      </c>
      <c r="E1399" s="1" t="str">
        <f>IFERROR(__xludf.DUMMYFUNCTION("""COMPUTED_VALUE"""),"บิ๊กซี MINI")</f>
        <v>บิ๊กซี MINI</v>
      </c>
      <c r="F1399" s="1" t="str">
        <f>IFERROR(__xludf.DUMMYFUNCTION("""COMPUTED_VALUE"""),"2083447")</f>
        <v>2083447</v>
      </c>
      <c r="G1399" s="1" t="str">
        <f>IFERROR(__xludf.DUMMYFUNCTION("""COMPUTED_VALUE"""),"นายอนุกูล ศรีลัดดา")</f>
        <v>นายอนุกูล ศรีลัดดา</v>
      </c>
      <c r="H1399" s="1" t="str">
        <f>IFERROR(__xludf.DUMMYFUNCTION("""COMPUTED_VALUE"""),"284752")</f>
        <v>284752</v>
      </c>
      <c r="I1399" s="1" t="str">
        <f>IFERROR(__xludf.DUMMYFUNCTION("""COMPUTED_VALUE"""),"น.ส.วีรนันท์ แสงใส")</f>
        <v>น.ส.วีรนันท์ แสงใส</v>
      </c>
      <c r="J1399" s="3">
        <f>IFERROR(__xludf.DUMMYFUNCTION("""COMPUTED_VALUE"""),2451655.0)</f>
        <v>2451655</v>
      </c>
      <c r="K1399" s="3" t="str">
        <f>IFERROR(__xludf.DUMMYFUNCTION("""COMPUTED_VALUE"""),"นายวิษณุพงษ์ ชินบุตร")</f>
        <v>นายวิษณุพงษ์ ชินบุตร</v>
      </c>
      <c r="L1399" s="1" t="str">
        <f>IFERROR(__xludf.DUMMYFUNCTION("""COMPUTED_VALUE"""),"13 K.Wisanupong Ch")</f>
        <v>13 K.Wisanupong Ch</v>
      </c>
      <c r="M1399" s="1" t="str">
        <f>IFERROR(__xludf.DUMMYFUNCTION("""COMPUTED_VALUE"""),"0843374693")</f>
        <v>0843374693</v>
      </c>
      <c r="N1399" s="3">
        <f>IFERROR(__xludf.DUMMYFUNCTION("""COMPUTED_VALUE"""),22729.0)</f>
        <v>22729</v>
      </c>
      <c r="O1399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399" s="4">
        <f>IFERROR(__xludf.DUMMYFUNCTION("""COMPUTED_VALUE"""),43890.0)</f>
        <v>43890</v>
      </c>
      <c r="Q1399" s="3" t="str">
        <f>IFERROR(__xludf.DUMMYFUNCTION("""COMPUTED_VALUE"""),"A")</f>
        <v>A</v>
      </c>
      <c r="R1399" s="3" t="str">
        <f>IFERROR(__xludf.DUMMYFUNCTION("""COMPUTED_VALUE"""),"Small Format")</f>
        <v>Small Format</v>
      </c>
      <c r="S1399" s="3" t="str">
        <f>IFERROR(__xludf.DUMMYFUNCTION("""COMPUTED_VALUE"""),"BCM")</f>
        <v>BCM</v>
      </c>
      <c r="T1399" s="3" t="str">
        <f>IFERROR(__xludf.DUMMYFUNCTION("""COMPUTED_VALUE"""),"#N/A")</f>
        <v>#N/A</v>
      </c>
      <c r="U1399" s="3" t="str">
        <f>IFERROR(__xludf.DUMMYFUNCTION("""COMPUTED_VALUE"""),"#N/A")</f>
        <v>#N/A</v>
      </c>
      <c r="V1399" s="3" t="str">
        <f>IFERROR(__xludf.DUMMYFUNCTION("""COMPUTED_VALUE"""),"N")</f>
        <v>N</v>
      </c>
      <c r="W1399" s="3">
        <f>IFERROR(__xludf.DUMMYFUNCTION("""COMPUTED_VALUE"""),210139.0)</f>
        <v>210139</v>
      </c>
      <c r="X1399" s="3" t="str">
        <f>IFERROR(__xludf.DUMMYFUNCTION("""COMPUTED_VALUE"""),"998/12 หมู่1 ตำบลบางเสาธง อำเภอบางเสาธง จังหวัดสมุทรปราการ 10540")</f>
        <v>998/12 หมู่1 ตำบลบางเสาธง อำเภอบางเสาธง จังหวัดสมุทรปราการ 10540</v>
      </c>
      <c r="Y1399" s="3"/>
      <c r="Z1399" s="3" t="str">
        <f>IFERROR(__xludf.DUMMYFUNCTION("""COMPUTED_VALUE"""),"บางเสาธง")</f>
        <v>บางเสาธง</v>
      </c>
      <c r="AA1399" s="3" t="str">
        <f>IFERROR(__xludf.DUMMYFUNCTION("""COMPUTED_VALUE"""),"บางเสาธง")</f>
        <v>บางเสาธง</v>
      </c>
      <c r="AB1399" s="3" t="str">
        <f>IFERROR(__xludf.DUMMYFUNCTION("""COMPUTED_VALUE"""),"สมุทรปราการ")</f>
        <v>สมุทรปราการ</v>
      </c>
      <c r="AC1399" s="3">
        <f>IFERROR(__xludf.DUMMYFUNCTION("""COMPUTED_VALUE"""),10540.0)</f>
        <v>10540</v>
      </c>
      <c r="AD1399" s="3">
        <f>IFERROR(__xludf.DUMMYFUNCTION("""COMPUTED_VALUE"""),13.5878)</f>
        <v>13.5878</v>
      </c>
      <c r="AE1399" s="3">
        <f>IFERROR(__xludf.DUMMYFUNCTION("""COMPUTED_VALUE"""),100.777014)</f>
        <v>100.777014</v>
      </c>
      <c r="AF1399" s="3" t="str">
        <f>IFERROR(__xludf.DUMMYFUNCTION("""COMPUTED_VALUE"""),"MBC ซอยไทยประกัน สมุทรปราการ-22082")</f>
        <v>MBC ซอยไทยประกัน สมุทรปราการ-22082</v>
      </c>
      <c r="AG1399" s="3" t="str">
        <f>IFERROR(__xludf.DUMMYFUNCTION("""COMPUTED_VALUE"""),"กลาง")</f>
        <v>กลาง</v>
      </c>
      <c r="AH1399" s="3" t="str">
        <f>IFERROR(__xludf.DUMMYFUNCTION("""COMPUTED_VALUE"""),"#N/A")</f>
        <v>#N/A</v>
      </c>
      <c r="AI1399" s="3" t="str">
        <f>IFERROR(__xludf.DUMMYFUNCTION("""COMPUTED_VALUE"""),"Out of warranty")</f>
        <v>Out of warranty</v>
      </c>
      <c r="AJ1399" s="3">
        <f>IFERROR(__xludf.DUMMYFUNCTION("""COMPUTED_VALUE"""),71.0)</f>
        <v>71</v>
      </c>
      <c r="AK1399" s="3" t="str">
        <f>IFERROR(__xludf.DUMMYFUNCTION("""COMPUTED_VALUE"""),"MMS03")</f>
        <v>MMS03</v>
      </c>
      <c r="AL1399" s="3"/>
    </row>
    <row r="1400" ht="15.75" customHeight="1">
      <c r="A1400" s="1" t="str">
        <f>IFERROR(__xludf.DUMMYFUNCTION("""COMPUTED_VALUE"""),"22083")</f>
        <v>22083</v>
      </c>
      <c r="B1400" s="2">
        <f>IFERROR(__xludf.DUMMYFUNCTION("""COMPUTED_VALUE"""),22083.0)</f>
        <v>22083</v>
      </c>
      <c r="C1400" s="3" t="str">
        <f>IFERROR(__xludf.DUMMYFUNCTION("""COMPUTED_VALUE"""),"MBC โรงพยาบาลกุมภวาปี อุดรธานี")</f>
        <v>MBC โรงพยาบาลกุมภวาปี อุดรธานี</v>
      </c>
      <c r="D1400" s="3" t="str">
        <f>IFERROR(__xludf.DUMMYFUNCTION("""COMPUTED_VALUE"""),"BCM KUMPHAWAPI HOSPITAL")</f>
        <v>BCM KUMPHAWAPI HOSPITAL</v>
      </c>
      <c r="E1400" s="1" t="str">
        <f>IFERROR(__xludf.DUMMYFUNCTION("""COMPUTED_VALUE"""),"บิ๊กซี MINI")</f>
        <v>บิ๊กซี MINI</v>
      </c>
      <c r="F1400" s="1" t="str">
        <f>IFERROR(__xludf.DUMMYFUNCTION("""COMPUTED_VALUE"""),"291105")</f>
        <v>291105</v>
      </c>
      <c r="G1400" s="1" t="str">
        <f>IFERROR(__xludf.DUMMYFUNCTION("""COMPUTED_VALUE"""),"นายสราวุฒิ พณิชยกุล")</f>
        <v>นายสราวุฒิ พณิชยกุล</v>
      </c>
      <c r="H1400" s="1" t="str">
        <f>IFERROR(__xludf.DUMMYFUNCTION("""COMPUTED_VALUE"""),"392005")</f>
        <v>392005</v>
      </c>
      <c r="I1400" s="1" t="str">
        <f>IFERROR(__xludf.DUMMYFUNCTION("""COMPUTED_VALUE"""),"นายรัฐพล หาญลำยวง")</f>
        <v>นายรัฐพล หาญลำยวง</v>
      </c>
      <c r="J1400" s="3">
        <f>IFERROR(__xludf.DUMMYFUNCTION("""COMPUTED_VALUE"""),296868.0)</f>
        <v>296868</v>
      </c>
      <c r="K1400" s="3" t="str">
        <f>IFERROR(__xludf.DUMMYFUNCTION("""COMPUTED_VALUE"""),"นายพีระพงษ์ แก้วดวงดี")</f>
        <v>นายพีระพงษ์ แก้วดวงดี</v>
      </c>
      <c r="L1400" s="3" t="str">
        <f>IFERROR(__xludf.DUMMYFUNCTION("""COMPUTED_VALUE"""),"03 K.Peerapong K.")</f>
        <v>03 K.Peerapong K.</v>
      </c>
      <c r="M1400" s="1" t="str">
        <f>IFERROR(__xludf.DUMMYFUNCTION("""COMPUTED_VALUE"""),"089-002-6599")</f>
        <v>089-002-6599</v>
      </c>
      <c r="N1400" s="3">
        <f>IFERROR(__xludf.DUMMYFUNCTION("""COMPUTED_VALUE"""),21946.0)</f>
        <v>21946</v>
      </c>
      <c r="O1400" s="3" t="str">
        <f>IFERROR(__xludf.DUMMYFUNCTION("""COMPUTED_VALUE"""),"MBC เซกา บึงกาฬ")</f>
        <v>MBC เซกา บึงกาฬ</v>
      </c>
      <c r="P1400" s="4">
        <f>IFERROR(__xludf.DUMMYFUNCTION("""COMPUTED_VALUE"""),44097.0)</f>
        <v>44097</v>
      </c>
      <c r="Q1400" s="3" t="str">
        <f>IFERROR(__xludf.DUMMYFUNCTION("""COMPUTED_VALUE"""),"A")</f>
        <v>A</v>
      </c>
      <c r="R1400" s="3" t="str">
        <f>IFERROR(__xludf.DUMMYFUNCTION("""COMPUTED_VALUE"""),"Small Format")</f>
        <v>Small Format</v>
      </c>
      <c r="S1400" s="3" t="str">
        <f>IFERROR(__xludf.DUMMYFUNCTION("""COMPUTED_VALUE"""),"BCM")</f>
        <v>BCM</v>
      </c>
      <c r="T1400" s="3" t="str">
        <f>IFERROR(__xludf.DUMMYFUNCTION("""COMPUTED_VALUE"""),"#N/A")</f>
        <v>#N/A</v>
      </c>
      <c r="U1400" s="3" t="str">
        <f>IFERROR(__xludf.DUMMYFUNCTION("""COMPUTED_VALUE"""),"#N/A")</f>
        <v>#N/A</v>
      </c>
      <c r="V1400" s="3" t="str">
        <f>IFERROR(__xludf.DUMMYFUNCTION("""COMPUTED_VALUE"""),"N")</f>
        <v>N</v>
      </c>
      <c r="W1400" s="3">
        <f>IFERROR(__xludf.DUMMYFUNCTION("""COMPUTED_VALUE"""),210141.0)</f>
        <v>210141</v>
      </c>
      <c r="X1400" s="3" t="str">
        <f>IFERROR(__xludf.DUMMYFUNCTION("""COMPUTED_VALUE"""),"305 หมู่10 ตำบลกุมภวาปี อำเภอกุมภวาปี จังหวัดอุดรธานี 41110")</f>
        <v>305 หมู่10 ตำบลกุมภวาปี อำเภอกุมภวาปี จังหวัดอุดรธานี 41110</v>
      </c>
      <c r="Y1400" s="3"/>
      <c r="Z1400" s="3" t="str">
        <f>IFERROR(__xludf.DUMMYFUNCTION("""COMPUTED_VALUE"""),"กุมภวาปี")</f>
        <v>กุมภวาปี</v>
      </c>
      <c r="AA1400" s="3" t="str">
        <f>IFERROR(__xludf.DUMMYFUNCTION("""COMPUTED_VALUE"""),"กุมภวาปี")</f>
        <v>กุมภวาปี</v>
      </c>
      <c r="AB1400" s="3" t="str">
        <f>IFERROR(__xludf.DUMMYFUNCTION("""COMPUTED_VALUE"""),"อุดรธานี")</f>
        <v>อุดรธานี</v>
      </c>
      <c r="AC1400" s="3">
        <f>IFERROR(__xludf.DUMMYFUNCTION("""COMPUTED_VALUE"""),41110.0)</f>
        <v>41110</v>
      </c>
      <c r="AD1400" s="3">
        <f>IFERROR(__xludf.DUMMYFUNCTION("""COMPUTED_VALUE"""),17.105733)</f>
        <v>17.105733</v>
      </c>
      <c r="AE1400" s="3">
        <f>IFERROR(__xludf.DUMMYFUNCTION("""COMPUTED_VALUE"""),103.019037)</f>
        <v>103.019037</v>
      </c>
      <c r="AF1400" s="3" t="str">
        <f>IFERROR(__xludf.DUMMYFUNCTION("""COMPUTED_VALUE"""),"MBC โรงพยาบาลกุมภวาปี อุดรธานี-22083")</f>
        <v>MBC โรงพยาบาลกุมภวาปี อุดรธานี-22083</v>
      </c>
      <c r="AG1400" s="3" t="str">
        <f>IFERROR(__xludf.DUMMYFUNCTION("""COMPUTED_VALUE"""),"ตะวันออกเฉียงเหนือ")</f>
        <v>ตะวันออกเฉียงเหนือ</v>
      </c>
      <c r="AH1400" s="3" t="str">
        <f>IFERROR(__xludf.DUMMYFUNCTION("""COMPUTED_VALUE"""),"#N/A")</f>
        <v>#N/A</v>
      </c>
      <c r="AI1400" s="3" t="str">
        <f>IFERROR(__xludf.DUMMYFUNCTION("""COMPUTED_VALUE"""),"Out of warranty")</f>
        <v>Out of warranty</v>
      </c>
      <c r="AJ1400" s="3">
        <f>IFERROR(__xludf.DUMMYFUNCTION("""COMPUTED_VALUE"""),64.0)</f>
        <v>64</v>
      </c>
      <c r="AK1400" s="3" t="str">
        <f>IFERROR(__xludf.DUMMYFUNCTION("""COMPUTED_VALUE"""),"MMS12")</f>
        <v>MMS12</v>
      </c>
      <c r="AL1400" s="3"/>
    </row>
    <row r="1401" ht="15.75" customHeight="1">
      <c r="A1401" s="1" t="str">
        <f>IFERROR(__xludf.DUMMYFUNCTION("""COMPUTED_VALUE"""),"22084")</f>
        <v>22084</v>
      </c>
      <c r="B1401" s="2">
        <f>IFERROR(__xludf.DUMMYFUNCTION("""COMPUTED_VALUE"""),22084.0)</f>
        <v>22084</v>
      </c>
      <c r="C1401" s="3" t="str">
        <f>IFERROR(__xludf.DUMMYFUNCTION("""COMPUTED_VALUE"""),"MBC ถนนธนะวิถี สระแก้ว")</f>
        <v>MBC ถนนธนะวิถี สระแก้ว</v>
      </c>
      <c r="D1401" s="3" t="str">
        <f>IFERROR(__xludf.DUMMYFUNCTION("""COMPUTED_VALUE"""),"BCM THANON THANAVITHEE SA KAEO")</f>
        <v>BCM THANON THANAVITHEE SA KAEO</v>
      </c>
      <c r="E1401" s="1" t="str">
        <f>IFERROR(__xludf.DUMMYFUNCTION("""COMPUTED_VALUE"""),"บิ๊กซี MINI")</f>
        <v>บิ๊กซี MINI</v>
      </c>
      <c r="F1401" s="1" t="str">
        <f>IFERROR(__xludf.DUMMYFUNCTION("""COMPUTED_VALUE"""),"2083447")</f>
        <v>2083447</v>
      </c>
      <c r="G1401" s="1" t="str">
        <f>IFERROR(__xludf.DUMMYFUNCTION("""COMPUTED_VALUE"""),"นายอนุกูล ศรีลัดดา")</f>
        <v>นายอนุกูล ศรีลัดดา</v>
      </c>
      <c r="H1401" s="1" t="str">
        <f>IFERROR(__xludf.DUMMYFUNCTION("""COMPUTED_VALUE"""),"259808")</f>
        <v>259808</v>
      </c>
      <c r="I1401" s="1" t="str">
        <f>IFERROR(__xludf.DUMMYFUNCTION("""COMPUTED_VALUE"""),"น.ส.สกุลรัตน์ พิกุลแก้ว")</f>
        <v>น.ส.สกุลรัตน์ พิกุลแก้ว</v>
      </c>
      <c r="J1401" s="3">
        <f>IFERROR(__xludf.DUMMYFUNCTION("""COMPUTED_VALUE"""),510143.0)</f>
        <v>510143</v>
      </c>
      <c r="K1401" s="3" t="str">
        <f>IFERROR(__xludf.DUMMYFUNCTION("""COMPUTED_VALUE"""),"นายธีระวัฒน์ บุญสิทธิ์")</f>
        <v>นายธีระวัฒน์ บุญสิทธิ์</v>
      </c>
      <c r="L1401" s="1" t="str">
        <f>IFERROR(__xludf.DUMMYFUNCTION("""COMPUTED_VALUE"""),"12 K.Theerawat B.")</f>
        <v>12 K.Theerawat B.</v>
      </c>
      <c r="M1401" s="1" t="str">
        <f>IFERROR(__xludf.DUMMYFUNCTION("""COMPUTED_VALUE"""),"0655107379")</f>
        <v>0655107379</v>
      </c>
      <c r="N1401" s="3">
        <f>IFERROR(__xludf.DUMMYFUNCTION("""COMPUTED_VALUE"""),21062.0)</f>
        <v>21062</v>
      </c>
      <c r="O1401" s="3" t="str">
        <f>IFERROR(__xludf.DUMMYFUNCTION("""COMPUTED_VALUE"""),"MBC นิคมนวนคร")</f>
        <v>MBC นิคมนวนคร</v>
      </c>
      <c r="P1401" s="4">
        <f>IFERROR(__xludf.DUMMYFUNCTION("""COMPUTED_VALUE"""),43880.0)</f>
        <v>43880</v>
      </c>
      <c r="Q1401" s="3" t="str">
        <f>IFERROR(__xludf.DUMMYFUNCTION("""COMPUTED_VALUE"""),"A")</f>
        <v>A</v>
      </c>
      <c r="R1401" s="3" t="str">
        <f>IFERROR(__xludf.DUMMYFUNCTION("""COMPUTED_VALUE"""),"Small Format")</f>
        <v>Small Format</v>
      </c>
      <c r="S1401" s="3" t="str">
        <f>IFERROR(__xludf.DUMMYFUNCTION("""COMPUTED_VALUE"""),"BCM")</f>
        <v>BCM</v>
      </c>
      <c r="T1401" s="3" t="str">
        <f>IFERROR(__xludf.DUMMYFUNCTION("""COMPUTED_VALUE"""),"#N/A")</f>
        <v>#N/A</v>
      </c>
      <c r="U1401" s="3" t="str">
        <f>IFERROR(__xludf.DUMMYFUNCTION("""COMPUTED_VALUE"""),"#N/A")</f>
        <v>#N/A</v>
      </c>
      <c r="V1401" s="3" t="str">
        <f>IFERROR(__xludf.DUMMYFUNCTION("""COMPUTED_VALUE"""),"N")</f>
        <v>N</v>
      </c>
      <c r="W1401" s="3">
        <f>IFERROR(__xludf.DUMMYFUNCTION("""COMPUTED_VALUE"""),211997.0)</f>
        <v>211997</v>
      </c>
      <c r="X1401" s="3" t="str">
        <f>IFERROR(__xludf.DUMMYFUNCTION("""COMPUTED_VALUE"""),"888 หมู่6 ตำบลบ้านใหม่หนองไทร อำเภออรัญประเทศ จังหวัดสระแก้ว 27120")</f>
        <v>888 หมู่6 ตำบลบ้านใหม่หนองไทร อำเภออรัญประเทศ จังหวัดสระแก้ว 27120</v>
      </c>
      <c r="Y1401" s="3"/>
      <c r="Z1401" s="3" t="str">
        <f>IFERROR(__xludf.DUMMYFUNCTION("""COMPUTED_VALUE"""),"บ้านใหม่หนองไทร")</f>
        <v>บ้านใหม่หนองไทร</v>
      </c>
      <c r="AA1401" s="3" t="str">
        <f>IFERROR(__xludf.DUMMYFUNCTION("""COMPUTED_VALUE"""),"อรัญประเทศ")</f>
        <v>อรัญประเทศ</v>
      </c>
      <c r="AB1401" s="3" t="str">
        <f>IFERROR(__xludf.DUMMYFUNCTION("""COMPUTED_VALUE"""),"สระแก้ว")</f>
        <v>สระแก้ว</v>
      </c>
      <c r="AC1401" s="3">
        <f>IFERROR(__xludf.DUMMYFUNCTION("""COMPUTED_VALUE"""),27120.0)</f>
        <v>27120</v>
      </c>
      <c r="AD1401" s="3">
        <f>IFERROR(__xludf.DUMMYFUNCTION("""COMPUTED_VALUE"""),13.698583)</f>
        <v>13.698583</v>
      </c>
      <c r="AE1401" s="3">
        <f>IFERROR(__xludf.DUMMYFUNCTION("""COMPUTED_VALUE"""),102.5061)</f>
        <v>102.5061</v>
      </c>
      <c r="AF1401" s="3" t="str">
        <f>IFERROR(__xludf.DUMMYFUNCTION("""COMPUTED_VALUE"""),"MBC ถนนธนะวิถี สระแก้ว-22084")</f>
        <v>MBC ถนนธนะวิถี สระแก้ว-22084</v>
      </c>
      <c r="AG1401" s="3" t="str">
        <f>IFERROR(__xludf.DUMMYFUNCTION("""COMPUTED_VALUE"""),"ตะวันออก")</f>
        <v>ตะวันออก</v>
      </c>
      <c r="AH1401" s="3" t="str">
        <f>IFERROR(__xludf.DUMMYFUNCTION("""COMPUTED_VALUE"""),"#N/A")</f>
        <v>#N/A</v>
      </c>
      <c r="AI1401" s="3" t="str">
        <f>IFERROR(__xludf.DUMMYFUNCTION("""COMPUTED_VALUE"""),"Out of warranty")</f>
        <v>Out of warranty</v>
      </c>
      <c r="AJ1401" s="3">
        <f>IFERROR(__xludf.DUMMYFUNCTION("""COMPUTED_VALUE"""),72.0)</f>
        <v>72</v>
      </c>
      <c r="AK1401" s="3" t="str">
        <f>IFERROR(__xludf.DUMMYFUNCTION("""COMPUTED_VALUE"""),"MMS08")</f>
        <v>MMS08</v>
      </c>
      <c r="AL1401" s="3"/>
    </row>
    <row r="1402" ht="15.75" customHeight="1">
      <c r="A1402" s="1" t="str">
        <f>IFERROR(__xludf.DUMMYFUNCTION("""COMPUTED_VALUE"""),"22085")</f>
        <v>22085</v>
      </c>
      <c r="B1402" s="2">
        <f>IFERROR(__xludf.DUMMYFUNCTION("""COMPUTED_VALUE"""),22085.0)</f>
        <v>22085</v>
      </c>
      <c r="C1402" s="3" t="str">
        <f>IFERROR(__xludf.DUMMYFUNCTION("""COMPUTED_VALUE"""),"MBC บางจาก บางนา กม.27 (ขาเข้า)")</f>
        <v>MBC บางจาก บางนา กม.27 (ขาเข้า)</v>
      </c>
      <c r="D1402" s="3" t="str">
        <f>IFERROR(__xludf.DUMMYFUNCTION("""COMPUTED_VALUE"""),"BCM BCP BANGNA KM.27(IB)")</f>
        <v>BCM BCP BANGNA KM.27(IB)</v>
      </c>
      <c r="E1402" s="1" t="str">
        <f>IFERROR(__xludf.DUMMYFUNCTION("""COMPUTED_VALUE"""),"บิ๊กซี MINI")</f>
        <v>บิ๊กซี MINI</v>
      </c>
      <c r="F1402" s="1" t="str">
        <f>IFERROR(__xludf.DUMMYFUNCTION("""COMPUTED_VALUE"""),"2083447")</f>
        <v>2083447</v>
      </c>
      <c r="G1402" s="1" t="str">
        <f>IFERROR(__xludf.DUMMYFUNCTION("""COMPUTED_VALUE"""),"นายอนุกูล ศรีลัดดา")</f>
        <v>นายอนุกูล ศรีลัดดา</v>
      </c>
      <c r="H1402" s="1" t="str">
        <f>IFERROR(__xludf.DUMMYFUNCTION("""COMPUTED_VALUE"""),"284752")</f>
        <v>284752</v>
      </c>
      <c r="I1402" s="1" t="str">
        <f>IFERROR(__xludf.DUMMYFUNCTION("""COMPUTED_VALUE"""),"น.ส.วีรนันท์ แสงใส")</f>
        <v>น.ส.วีรนันท์ แสงใส</v>
      </c>
      <c r="J1402" s="3">
        <f>IFERROR(__xludf.DUMMYFUNCTION("""COMPUTED_VALUE"""),2451655.0)</f>
        <v>2451655</v>
      </c>
      <c r="K1402" s="3" t="str">
        <f>IFERROR(__xludf.DUMMYFUNCTION("""COMPUTED_VALUE"""),"นายวิษณุพงษ์ ชินบุตร")</f>
        <v>นายวิษณุพงษ์ ชินบุตร</v>
      </c>
      <c r="L1402" s="1" t="str">
        <f>IFERROR(__xludf.DUMMYFUNCTION("""COMPUTED_VALUE"""),"13 K.Wisanupong Ch")</f>
        <v>13 K.Wisanupong Ch</v>
      </c>
      <c r="M1402" s="1" t="str">
        <f>IFERROR(__xludf.DUMMYFUNCTION("""COMPUTED_VALUE"""),"0843374693")</f>
        <v>0843374693</v>
      </c>
      <c r="N1402" s="3">
        <f>IFERROR(__xludf.DUMMYFUNCTION("""COMPUTED_VALUE"""),22729.0)</f>
        <v>22729</v>
      </c>
      <c r="O1402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402" s="4">
        <f>IFERROR(__xludf.DUMMYFUNCTION("""COMPUTED_VALUE"""),43885.0)</f>
        <v>43885</v>
      </c>
      <c r="Q1402" s="3" t="str">
        <f>IFERROR(__xludf.DUMMYFUNCTION("""COMPUTED_VALUE"""),"I")</f>
        <v>I</v>
      </c>
      <c r="R1402" s="3" t="str">
        <f>IFERROR(__xludf.DUMMYFUNCTION("""COMPUTED_VALUE"""),"Small Format")</f>
        <v>Small Format</v>
      </c>
      <c r="S1402" s="3" t="str">
        <f>IFERROR(__xludf.DUMMYFUNCTION("""COMPUTED_VALUE"""),"BCM")</f>
        <v>BCM</v>
      </c>
      <c r="T1402" s="3" t="str">
        <f>IFERROR(__xludf.DUMMYFUNCTION("""COMPUTED_VALUE"""),"#N/A")</f>
        <v>#N/A</v>
      </c>
      <c r="U1402" s="3" t="str">
        <f>IFERROR(__xludf.DUMMYFUNCTION("""COMPUTED_VALUE"""),"#N/A")</f>
        <v>#N/A</v>
      </c>
      <c r="V1402" s="3" t="str">
        <f>IFERROR(__xludf.DUMMYFUNCTION("""COMPUTED_VALUE"""),"N")</f>
        <v>N</v>
      </c>
      <c r="W1402" s="3">
        <f>IFERROR(__xludf.DUMMYFUNCTION("""COMPUTED_VALUE"""),361233.0)</f>
        <v>361233</v>
      </c>
      <c r="X1402" s="3" t="str">
        <f>IFERROR(__xludf.DUMMYFUNCTION("""COMPUTED_VALUE"""),"557/1 หมู่1 ตำบลบางบ่อ อำเภอบางบ่อ จังหวัดสมุทรปราการ 10560")</f>
        <v>557/1 หมู่1 ตำบลบางบ่อ อำเภอบางบ่อ จังหวัดสมุทรปราการ 10560</v>
      </c>
      <c r="Y1402" s="3"/>
      <c r="Z1402" s="3" t="str">
        <f>IFERROR(__xludf.DUMMYFUNCTION("""COMPUTED_VALUE"""),"บางบ่อ")</f>
        <v>บางบ่อ</v>
      </c>
      <c r="AA1402" s="3" t="str">
        <f>IFERROR(__xludf.DUMMYFUNCTION("""COMPUTED_VALUE"""),"บางบ่อ")</f>
        <v>บางบ่อ</v>
      </c>
      <c r="AB1402" s="3" t="str">
        <f>IFERROR(__xludf.DUMMYFUNCTION("""COMPUTED_VALUE"""),"สมุทรปราการ")</f>
        <v>สมุทรปราการ</v>
      </c>
      <c r="AC1402" s="3">
        <f>IFERROR(__xludf.DUMMYFUNCTION("""COMPUTED_VALUE"""),10560.0)</f>
        <v>10560</v>
      </c>
      <c r="AD1402" s="3">
        <f>IFERROR(__xludf.DUMMYFUNCTION("""COMPUTED_VALUE"""),13.588216)</f>
        <v>13.588216</v>
      </c>
      <c r="AE1402" s="3">
        <f>IFERROR(__xludf.DUMMYFUNCTION("""COMPUTED_VALUE"""),100.839207)</f>
        <v>100.839207</v>
      </c>
      <c r="AF1402" s="3" t="str">
        <f>IFERROR(__xludf.DUMMYFUNCTION("""COMPUTED_VALUE"""),"MBC บางจาก บางนา กม.27 (ขาเข้า)-22085")</f>
        <v>MBC บางจาก บางนา กม.27 (ขาเข้า)-22085</v>
      </c>
      <c r="AG1402" s="3" t="str">
        <f>IFERROR(__xludf.DUMMYFUNCTION("""COMPUTED_VALUE"""),"กลาง")</f>
        <v>กลาง</v>
      </c>
      <c r="AH1402" s="3" t="str">
        <f>IFERROR(__xludf.DUMMYFUNCTION("""COMPUTED_VALUE"""),"#N/A")</f>
        <v>#N/A</v>
      </c>
      <c r="AI1402" s="3" t="str">
        <f>IFERROR(__xludf.DUMMYFUNCTION("""COMPUTED_VALUE"""),"Out of warranty")</f>
        <v>Out of warranty</v>
      </c>
      <c r="AJ1402" s="3">
        <f>IFERROR(__xludf.DUMMYFUNCTION("""COMPUTED_VALUE"""),71.0)</f>
        <v>71</v>
      </c>
      <c r="AK1402" s="3" t="str">
        <f>IFERROR(__xludf.DUMMYFUNCTION("""COMPUTED_VALUE"""),"MMS03")</f>
        <v>MMS03</v>
      </c>
      <c r="AL1402" s="3"/>
    </row>
    <row r="1403" ht="15.75" customHeight="1">
      <c r="A1403" s="1" t="str">
        <f>IFERROR(__xludf.DUMMYFUNCTION("""COMPUTED_VALUE"""),"22086")</f>
        <v>22086</v>
      </c>
      <c r="B1403" s="2">
        <f>IFERROR(__xludf.DUMMYFUNCTION("""COMPUTED_VALUE"""),22086.0)</f>
        <v>22086</v>
      </c>
      <c r="C1403" s="3" t="str">
        <f>IFERROR(__xludf.DUMMYFUNCTION("""COMPUTED_VALUE"""),"BCM ถนนอนุวรรตน์ บุรีรัมย์")</f>
        <v>BCM ถนนอนุวรรตน์ บุรีรัมย์</v>
      </c>
      <c r="D1403" s="3" t="str">
        <f>IFERROR(__xludf.DUMMYFUNCTION("""COMPUTED_VALUE"""),"BCM THANON ANUWAT, BURIRUM")</f>
        <v>BCM THANON ANUWAT, BURIRUM</v>
      </c>
      <c r="E1403" s="1" t="str">
        <f>IFERROR(__xludf.DUMMYFUNCTION("""COMPUTED_VALUE"""),"บิ๊กซี MINI")</f>
        <v>บิ๊กซี MINI</v>
      </c>
      <c r="F1403" s="1" t="str">
        <f>IFERROR(__xludf.DUMMYFUNCTION("""COMPUTED_VALUE"""),"291100")</f>
        <v>291100</v>
      </c>
      <c r="G1403" s="1" t="str">
        <f>IFERROR(__xludf.DUMMYFUNCTION("""COMPUTED_VALUE"""),"น.ส.จารุณี ฮวบอินทร์")</f>
        <v>น.ส.จารุณี ฮวบอินทร์</v>
      </c>
      <c r="H1403" s="1" t="str">
        <f>IFERROR(__xludf.DUMMYFUNCTION("""COMPUTED_VALUE"""),"228127")</f>
        <v>228127</v>
      </c>
      <c r="I1403" s="1" t="str">
        <f>IFERROR(__xludf.DUMMYFUNCTION("""COMPUTED_VALUE"""),"นายสุวรรณชัย แสงศักดิ์")</f>
        <v>นายสุวรรณชัย แสงศักดิ์</v>
      </c>
      <c r="J1403" s="3">
        <f>IFERROR(__xludf.DUMMYFUNCTION("""COMPUTED_VALUE"""),295886.0)</f>
        <v>295886</v>
      </c>
      <c r="K1403" s="3" t="str">
        <f>IFERROR(__xludf.DUMMYFUNCTION("""COMPUTED_VALUE"""),"นายจิระพงษ์ โพธิ์นิล")</f>
        <v>นายจิระพงษ์ โพธิ์นิล</v>
      </c>
      <c r="L1403" s="1" t="str">
        <f>IFERROR(__xludf.DUMMYFUNCTION("""COMPUTED_VALUE"""),"นายจิระพงษ์ โพธิ์นิล")</f>
        <v>นายจิระพงษ์ โพธิ์นิล</v>
      </c>
      <c r="M1403" s="1" t="str">
        <f>IFERROR(__xludf.DUMMYFUNCTION("""COMPUTED_VALUE"""),"0933290754")</f>
        <v>0933290754</v>
      </c>
      <c r="N1403" s="3">
        <f>IFERROR(__xludf.DUMMYFUNCTION("""COMPUTED_VALUE"""),21465.0)</f>
        <v>21465</v>
      </c>
      <c r="O1403" s="3" t="str">
        <f>IFERROR(__xludf.DUMMYFUNCTION("""COMPUTED_VALUE"""),"MBC สถานีตำรวจอุดร")</f>
        <v>MBC สถานีตำรวจอุดร</v>
      </c>
      <c r="P1403" s="4">
        <f>IFERROR(__xludf.DUMMYFUNCTION("""COMPUTED_VALUE"""),43887.0)</f>
        <v>43887</v>
      </c>
      <c r="Q1403" s="3" t="str">
        <f>IFERROR(__xludf.DUMMYFUNCTION("""COMPUTED_VALUE"""),"I")</f>
        <v>I</v>
      </c>
      <c r="R1403" s="3" t="str">
        <f>IFERROR(__xludf.DUMMYFUNCTION("""COMPUTED_VALUE"""),"Small Format")</f>
        <v>Small Format</v>
      </c>
      <c r="S1403" s="3" t="str">
        <f>IFERROR(__xludf.DUMMYFUNCTION("""COMPUTED_VALUE"""),"BCM")</f>
        <v>BCM</v>
      </c>
      <c r="T1403" s="3" t="str">
        <f>IFERROR(__xludf.DUMMYFUNCTION("""COMPUTED_VALUE"""),"#N/A")</f>
        <v>#N/A</v>
      </c>
      <c r="U1403" s="3" t="str">
        <f>IFERROR(__xludf.DUMMYFUNCTION("""COMPUTED_VALUE"""),"#N/A")</f>
        <v>#N/A</v>
      </c>
      <c r="V1403" s="3" t="str">
        <f>IFERROR(__xludf.DUMMYFUNCTION("""COMPUTED_VALUE"""),"N")</f>
        <v>N</v>
      </c>
      <c r="W1403" s="3">
        <f>IFERROR(__xludf.DUMMYFUNCTION("""COMPUTED_VALUE"""),210095.0)</f>
        <v>210095</v>
      </c>
      <c r="X1403" s="3" t="str">
        <f>IFERROR(__xludf.DUMMYFUNCTION("""COMPUTED_VALUE"""),"82/1 ถนนอนุวรรตน์ ตำบลในเมือง อำเภอเมืองบุรีรัมย์ จังหวัดบุรีรัมย์ 31000")</f>
        <v>82/1 ถนนอนุวรรตน์ ตำบลในเมือง อำเภอเมืองบุรีรัมย์ จังหวัดบุรีรัมย์ 31000</v>
      </c>
      <c r="Y1403" s="3" t="str">
        <f>IFERROR(__xludf.DUMMYFUNCTION("""COMPUTED_VALUE"""),"ถนนอนุวรรตน์")</f>
        <v>ถนนอนุวรรตน์</v>
      </c>
      <c r="Z1403" s="3" t="str">
        <f>IFERROR(__xludf.DUMMYFUNCTION("""COMPUTED_VALUE"""),"ในเมือง")</f>
        <v>ในเมือง</v>
      </c>
      <c r="AA1403" s="3" t="str">
        <f>IFERROR(__xludf.DUMMYFUNCTION("""COMPUTED_VALUE"""),"เมือง")</f>
        <v>เมือง</v>
      </c>
      <c r="AB1403" s="3" t="str">
        <f>IFERROR(__xludf.DUMMYFUNCTION("""COMPUTED_VALUE"""),"บุรีรัมย์")</f>
        <v>บุรีรัมย์</v>
      </c>
      <c r="AC1403" s="3">
        <f>IFERROR(__xludf.DUMMYFUNCTION("""COMPUTED_VALUE"""),31000.0)</f>
        <v>31000</v>
      </c>
      <c r="AD1403" s="3">
        <f>IFERROR(__xludf.DUMMYFUNCTION("""COMPUTED_VALUE"""),14.999758)</f>
        <v>14.999758</v>
      </c>
      <c r="AE1403" s="3">
        <f>IFERROR(__xludf.DUMMYFUNCTION("""COMPUTED_VALUE"""),103.113621)</f>
        <v>103.113621</v>
      </c>
      <c r="AF1403" s="3" t="str">
        <f>IFERROR(__xludf.DUMMYFUNCTION("""COMPUTED_VALUE"""),"BCM ถนนอนุวรรตน์ บุรีรัมย์-22086")</f>
        <v>BCM ถนนอนุวรรตน์ บุรีรัมย์-22086</v>
      </c>
      <c r="AG1403" s="3" t="str">
        <f>IFERROR(__xludf.DUMMYFUNCTION("""COMPUTED_VALUE"""),"ตะวันออกเฉียงเหนือ")</f>
        <v>ตะวันออกเฉียงเหนือ</v>
      </c>
      <c r="AH1403" s="3" t="str">
        <f>IFERROR(__xludf.DUMMYFUNCTION("""COMPUTED_VALUE"""),"#N/A")</f>
        <v>#N/A</v>
      </c>
      <c r="AI1403" s="3" t="str">
        <f>IFERROR(__xludf.DUMMYFUNCTION("""COMPUTED_VALUE"""),"Out of warranty")</f>
        <v>Out of warranty</v>
      </c>
      <c r="AJ1403" s="3">
        <f>IFERROR(__xludf.DUMMYFUNCTION("""COMPUTED_VALUE"""),71.0)</f>
        <v>71</v>
      </c>
      <c r="AK1403" s="3"/>
      <c r="AL1403" s="3"/>
    </row>
    <row r="1404" ht="15.75" customHeight="1">
      <c r="A1404" s="1" t="str">
        <f>IFERROR(__xludf.DUMMYFUNCTION("""COMPUTED_VALUE"""),"22087")</f>
        <v>22087</v>
      </c>
      <c r="B1404" s="2">
        <f>IFERROR(__xludf.DUMMYFUNCTION("""COMPUTED_VALUE"""),22087.0)</f>
        <v>22087</v>
      </c>
      <c r="C1404" s="3" t="str">
        <f>IFERROR(__xludf.DUMMYFUNCTION("""COMPUTED_VALUE"""),"MBC สีคิ้ว นครราชสีมา")</f>
        <v>MBC สีคิ้ว นครราชสีมา</v>
      </c>
      <c r="D1404" s="3" t="str">
        <f>IFERROR(__xludf.DUMMYFUNCTION("""COMPUTED_VALUE"""),"BCM SIKHIO")</f>
        <v>BCM SIKHIO</v>
      </c>
      <c r="E1404" s="1" t="str">
        <f>IFERROR(__xludf.DUMMYFUNCTION("""COMPUTED_VALUE"""),"บิ๊กซี MINI")</f>
        <v>บิ๊กซี MINI</v>
      </c>
      <c r="F1404" s="1" t="str">
        <f>IFERROR(__xludf.DUMMYFUNCTION("""COMPUTED_VALUE"""),"291105")</f>
        <v>291105</v>
      </c>
      <c r="G1404" s="1" t="str">
        <f>IFERROR(__xludf.DUMMYFUNCTION("""COMPUTED_VALUE"""),"นายสราวุฒิ พณิชยกุล")</f>
        <v>นายสราวุฒิ พณิชยกุล</v>
      </c>
      <c r="H1404" s="1" t="str">
        <f>IFERROR(__xludf.DUMMYFUNCTION("""COMPUTED_VALUE"""),"281315")</f>
        <v>281315</v>
      </c>
      <c r="I1404" s="1" t="str">
        <f>IFERROR(__xludf.DUMMYFUNCTION("""COMPUTED_VALUE"""),"นายกิตติพงษ์ มั่นคง")</f>
        <v>นายกิตติพงษ์ มั่นคง</v>
      </c>
      <c r="J1404" s="3">
        <f>IFERROR(__xludf.DUMMYFUNCTION("""COMPUTED_VALUE"""),15361.0)</f>
        <v>15361</v>
      </c>
      <c r="K1404" s="3" t="str">
        <f>IFERROR(__xludf.DUMMYFUNCTION("""COMPUTED_VALUE"""),"นายสมบูรณ์ พรหมในเมือง")</f>
        <v>นายสมบูรณ์ พรหมในเมือง</v>
      </c>
      <c r="L1404" s="1" t="str">
        <f>IFERROR(__xludf.DUMMYFUNCTION("""COMPUTED_VALUE"""),"04 K.Somboon P.")</f>
        <v>04 K.Somboon P.</v>
      </c>
      <c r="M1404" s="1" t="str">
        <f>IFERROR(__xludf.DUMMYFUNCTION("""COMPUTED_VALUE"""),"087-965-3051")</f>
        <v>087-965-3051</v>
      </c>
      <c r="N1404" s="3">
        <f>IFERROR(__xludf.DUMMYFUNCTION("""COMPUTED_VALUE"""),21869.0)</f>
        <v>21869</v>
      </c>
      <c r="O1404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404" s="4">
        <f>IFERROR(__xludf.DUMMYFUNCTION("""COMPUTED_VALUE"""),43975.0)</f>
        <v>43975</v>
      </c>
      <c r="Q1404" s="3" t="str">
        <f>IFERROR(__xludf.DUMMYFUNCTION("""COMPUTED_VALUE"""),"A")</f>
        <v>A</v>
      </c>
      <c r="R1404" s="3" t="str">
        <f>IFERROR(__xludf.DUMMYFUNCTION("""COMPUTED_VALUE"""),"Small Format")</f>
        <v>Small Format</v>
      </c>
      <c r="S1404" s="3" t="str">
        <f>IFERROR(__xludf.DUMMYFUNCTION("""COMPUTED_VALUE"""),"BCM")</f>
        <v>BCM</v>
      </c>
      <c r="T1404" s="3" t="str">
        <f>IFERROR(__xludf.DUMMYFUNCTION("""COMPUTED_VALUE"""),"#N/A")</f>
        <v>#N/A</v>
      </c>
      <c r="U1404" s="3" t="str">
        <f>IFERROR(__xludf.DUMMYFUNCTION("""COMPUTED_VALUE"""),"#N/A")</f>
        <v>#N/A</v>
      </c>
      <c r="V1404" s="3" t="str">
        <f>IFERROR(__xludf.DUMMYFUNCTION("""COMPUTED_VALUE"""),"N")</f>
        <v>N</v>
      </c>
      <c r="W1404" s="3">
        <f>IFERROR(__xludf.DUMMYFUNCTION("""COMPUTED_VALUE"""),210094.0)</f>
        <v>210094</v>
      </c>
      <c r="X1404" s="3" t="str">
        <f>IFERROR(__xludf.DUMMYFUNCTION("""COMPUTED_VALUE"""),"297 หมู่6 ตำบลสีคิ้ว อำเภอสีคิ้ว จังหวัดนครราชสีมา 30140")</f>
        <v>297 หมู่6 ตำบลสีคิ้ว อำเภอสีคิ้ว จังหวัดนครราชสีมา 30140</v>
      </c>
      <c r="Y1404" s="3"/>
      <c r="Z1404" s="3" t="str">
        <f>IFERROR(__xludf.DUMMYFUNCTION("""COMPUTED_VALUE"""),"สีคิ้ว")</f>
        <v>สีคิ้ว</v>
      </c>
      <c r="AA1404" s="3" t="str">
        <f>IFERROR(__xludf.DUMMYFUNCTION("""COMPUTED_VALUE"""),"สีคิ้ว")</f>
        <v>สีคิ้ว</v>
      </c>
      <c r="AB1404" s="3" t="str">
        <f>IFERROR(__xludf.DUMMYFUNCTION("""COMPUTED_VALUE"""),"นครราชสีมา")</f>
        <v>นครราชสีมา</v>
      </c>
      <c r="AC1404" s="3">
        <f>IFERROR(__xludf.DUMMYFUNCTION("""COMPUTED_VALUE"""),30140.0)</f>
        <v>30140</v>
      </c>
      <c r="AD1404" s="3">
        <f>IFERROR(__xludf.DUMMYFUNCTION("""COMPUTED_VALUE"""),14.894732)</f>
        <v>14.894732</v>
      </c>
      <c r="AE1404" s="3">
        <f>IFERROR(__xludf.DUMMYFUNCTION("""COMPUTED_VALUE"""),101.723336)</f>
        <v>101.723336</v>
      </c>
      <c r="AF1404" s="3" t="str">
        <f>IFERROR(__xludf.DUMMYFUNCTION("""COMPUTED_VALUE"""),"MBC สีคิ้ว นครราชสีมา-22087")</f>
        <v>MBC สีคิ้ว นครราชสีมา-22087</v>
      </c>
      <c r="AG1404" s="3" t="str">
        <f>IFERROR(__xludf.DUMMYFUNCTION("""COMPUTED_VALUE"""),"ตะวันออกเฉียงเหนือ")</f>
        <v>ตะวันออกเฉียงเหนือ</v>
      </c>
      <c r="AH1404" s="3" t="str">
        <f>IFERROR(__xludf.DUMMYFUNCTION("""COMPUTED_VALUE"""),"#N/A")</f>
        <v>#N/A</v>
      </c>
      <c r="AI1404" s="3" t="str">
        <f>IFERROR(__xludf.DUMMYFUNCTION("""COMPUTED_VALUE"""),"Out of warranty")</f>
        <v>Out of warranty</v>
      </c>
      <c r="AJ1404" s="3">
        <f>IFERROR(__xludf.DUMMYFUNCTION("""COMPUTED_VALUE"""),68.0)</f>
        <v>68</v>
      </c>
      <c r="AK1404" s="3" t="str">
        <f>IFERROR(__xludf.DUMMYFUNCTION("""COMPUTED_VALUE"""),"MMS11")</f>
        <v>MMS11</v>
      </c>
      <c r="AL1404" s="3"/>
    </row>
    <row r="1405" ht="15.75" customHeight="1">
      <c r="A1405" s="1" t="str">
        <f>IFERROR(__xludf.DUMMYFUNCTION("""COMPUTED_VALUE"""),"22088")</f>
        <v>22088</v>
      </c>
      <c r="B1405" s="2">
        <f>IFERROR(__xludf.DUMMYFUNCTION("""COMPUTED_VALUE"""),22088.0)</f>
        <v>22088</v>
      </c>
      <c r="C1405" s="3" t="str">
        <f>IFERROR(__xludf.DUMMYFUNCTION("""COMPUTED_VALUE"""),"MBC อำเภอวิภาวดี สุราษฎร์ธานี")</f>
        <v>MBC อำเภอวิภาวดี สุราษฎร์ธานี</v>
      </c>
      <c r="D1405" s="3" t="str">
        <f>IFERROR(__xludf.DUMMYFUNCTION("""COMPUTED_VALUE"""),"BCM AMPHOE WIPHAWADI")</f>
        <v>BCM AMPHOE WIPHAWADI</v>
      </c>
      <c r="E1405" s="1" t="str">
        <f>IFERROR(__xludf.DUMMYFUNCTION("""COMPUTED_VALUE"""),"บิ๊กซี MINI")</f>
        <v>บิ๊กซี MINI</v>
      </c>
      <c r="F1405" s="1" t="str">
        <f>IFERROR(__xludf.DUMMYFUNCTION("""COMPUTED_VALUE"""),"250760")</f>
        <v>250760</v>
      </c>
      <c r="G1405" s="1" t="str">
        <f>IFERROR(__xludf.DUMMYFUNCTION("""COMPUTED_VALUE"""),"นายประทวน สาราบรรณ์")</f>
        <v>นายประทวน สาราบรรณ์</v>
      </c>
      <c r="H1405" s="1" t="str">
        <f>IFERROR(__xludf.DUMMYFUNCTION("""COMPUTED_VALUE"""),"228389")</f>
        <v>228389</v>
      </c>
      <c r="I1405" s="1" t="str">
        <f>IFERROR(__xludf.DUMMYFUNCTION("""COMPUTED_VALUE"""),"นายมณีรันดร์ ชัยชนะ")</f>
        <v>นายมณีรันดร์ ชัยชนะ</v>
      </c>
      <c r="J1405" s="3">
        <f>IFERROR(__xludf.DUMMYFUNCTION("""COMPUTED_VALUE"""),25324.0)</f>
        <v>25324</v>
      </c>
      <c r="K1405" s="3" t="str">
        <f>IFERROR(__xludf.DUMMYFUNCTION("""COMPUTED_VALUE"""),"นายวิเชฎฐ์ ติรัตนะประคม")</f>
        <v>นายวิเชฎฐ์ ติรัตนะประคม</v>
      </c>
      <c r="L1405" s="1" t="str">
        <f>IFERROR(__xludf.DUMMYFUNCTION("""COMPUTED_VALUE"""),"14 K.Wichet T.")</f>
        <v>14 K.Wichet T.</v>
      </c>
      <c r="M1405" s="1" t="str">
        <f>IFERROR(__xludf.DUMMYFUNCTION("""COMPUTED_VALUE"""),"061-417-6569 / 086-445-5636")</f>
        <v>061-417-6569 / 086-445-5636</v>
      </c>
      <c r="N1405" s="3">
        <f>IFERROR(__xludf.DUMMYFUNCTION("""COMPUTED_VALUE"""),22658.0)</f>
        <v>22658</v>
      </c>
      <c r="O1405" s="3" t="str">
        <f>IFERROR(__xludf.DUMMYFUNCTION("""COMPUTED_VALUE"""),"BCM ถ.วิรัชหงษ์หยก ภูเก็ต")</f>
        <v>BCM ถ.วิรัชหงษ์หยก ภูเก็ต</v>
      </c>
      <c r="P1405" s="4">
        <f>IFERROR(__xludf.DUMMYFUNCTION("""COMPUTED_VALUE"""),43900.0)</f>
        <v>43900</v>
      </c>
      <c r="Q1405" s="3" t="str">
        <f>IFERROR(__xludf.DUMMYFUNCTION("""COMPUTED_VALUE"""),"A")</f>
        <v>A</v>
      </c>
      <c r="R1405" s="3" t="str">
        <f>IFERROR(__xludf.DUMMYFUNCTION("""COMPUTED_VALUE"""),"Small Format")</f>
        <v>Small Format</v>
      </c>
      <c r="S1405" s="3" t="str">
        <f>IFERROR(__xludf.DUMMYFUNCTION("""COMPUTED_VALUE"""),"BCM")</f>
        <v>BCM</v>
      </c>
      <c r="T1405" s="3" t="str">
        <f>IFERROR(__xludf.DUMMYFUNCTION("""COMPUTED_VALUE"""),"#N/A")</f>
        <v>#N/A</v>
      </c>
      <c r="U1405" s="3" t="str">
        <f>IFERROR(__xludf.DUMMYFUNCTION("""COMPUTED_VALUE"""),"#N/A")</f>
        <v>#N/A</v>
      </c>
      <c r="V1405" s="3" t="str">
        <f>IFERROR(__xludf.DUMMYFUNCTION("""COMPUTED_VALUE"""),"N")</f>
        <v>N</v>
      </c>
      <c r="W1405" s="3">
        <f>IFERROR(__xludf.DUMMYFUNCTION("""COMPUTED_VALUE"""),210112.0)</f>
        <v>210112</v>
      </c>
      <c r="X1405" s="3" t="str">
        <f>IFERROR(__xludf.DUMMYFUNCTION("""COMPUTED_VALUE"""),"41/5 หมู่4 ตำบลตะกุกเหนือ อำเภอวิภาวดี จังหวัดสุราษฎร์ธานี 84180")</f>
        <v>41/5 หมู่4 ตำบลตะกุกเหนือ อำเภอวิภาวดี จังหวัดสุราษฎร์ธานี 84180</v>
      </c>
      <c r="Y1405" s="3"/>
      <c r="Z1405" s="3" t="str">
        <f>IFERROR(__xludf.DUMMYFUNCTION("""COMPUTED_VALUE"""),"ตะกุกเหนือ")</f>
        <v>ตะกุกเหนือ</v>
      </c>
      <c r="AA1405" s="3" t="str">
        <f>IFERROR(__xludf.DUMMYFUNCTION("""COMPUTED_VALUE"""),"วิภาวดี")</f>
        <v>วิภาวดี</v>
      </c>
      <c r="AB1405" s="3" t="str">
        <f>IFERROR(__xludf.DUMMYFUNCTION("""COMPUTED_VALUE"""),"สุราษฎร์ธานี")</f>
        <v>สุราษฎร์ธานี</v>
      </c>
      <c r="AC1405" s="3">
        <f>IFERROR(__xludf.DUMMYFUNCTION("""COMPUTED_VALUE"""),84180.0)</f>
        <v>84180</v>
      </c>
      <c r="AD1405" s="3">
        <f>IFERROR(__xludf.DUMMYFUNCTION("""COMPUTED_VALUE"""),9.228997)</f>
        <v>9.228997</v>
      </c>
      <c r="AE1405" s="3">
        <f>IFERROR(__xludf.DUMMYFUNCTION("""COMPUTED_VALUE"""),98.976786)</f>
        <v>98.976786</v>
      </c>
      <c r="AF1405" s="3" t="str">
        <f>IFERROR(__xludf.DUMMYFUNCTION("""COMPUTED_VALUE"""),"MBC อำเภอวิภาวดี สุราษฎร์ธานี-22088")</f>
        <v>MBC อำเภอวิภาวดี สุราษฎร์ธานี-22088</v>
      </c>
      <c r="AG1405" s="3" t="str">
        <f>IFERROR(__xludf.DUMMYFUNCTION("""COMPUTED_VALUE"""),"ใต้")</f>
        <v>ใต้</v>
      </c>
      <c r="AH1405" s="3" t="str">
        <f>IFERROR(__xludf.DUMMYFUNCTION("""COMPUTED_VALUE"""),"#N/A")</f>
        <v>#N/A</v>
      </c>
      <c r="AI1405" s="3" t="str">
        <f>IFERROR(__xludf.DUMMYFUNCTION("""COMPUTED_VALUE"""),"Out of warranty")</f>
        <v>Out of warranty</v>
      </c>
      <c r="AJ1405" s="3">
        <f>IFERROR(__xludf.DUMMYFUNCTION("""COMPUTED_VALUE"""),71.0)</f>
        <v>71</v>
      </c>
      <c r="AK1405" s="3" t="str">
        <f>IFERROR(__xludf.DUMMYFUNCTION("""COMPUTED_VALUE"""),"MMS14")</f>
        <v>MMS14</v>
      </c>
      <c r="AL1405" s="3"/>
    </row>
    <row r="1406" ht="15.75" customHeight="1">
      <c r="A1406" s="1" t="str">
        <f>IFERROR(__xludf.DUMMYFUNCTION("""COMPUTED_VALUE"""),"22089")</f>
        <v>22089</v>
      </c>
      <c r="B1406" s="2">
        <f>IFERROR(__xludf.DUMMYFUNCTION("""COMPUTED_VALUE"""),22089.0)</f>
        <v>22089</v>
      </c>
      <c r="C1406" s="3" t="str">
        <f>IFERROR(__xludf.DUMMYFUNCTION("""COMPUTED_VALUE"""),"MBC ตลาดสดสนามบิน (สมุย) สุราษฎร์ธานี")</f>
        <v>MBC ตลาดสดสนามบิน (สมุย) สุราษฎร์ธานี</v>
      </c>
      <c r="D1406" s="3" t="str">
        <f>IFERROR(__xludf.DUMMYFUNCTION("""COMPUTED_VALUE"""),"BCM TALAD SOT SANAMBIN (SAMUI)")</f>
        <v>BCM TALAD SOT SANAMBIN (SAMUI)</v>
      </c>
      <c r="E1406" s="1" t="str">
        <f>IFERROR(__xludf.DUMMYFUNCTION("""COMPUTED_VALUE"""),"บิ๊กซี MINI")</f>
        <v>บิ๊กซี MINI</v>
      </c>
      <c r="F1406" s="1" t="str">
        <f>IFERROR(__xludf.DUMMYFUNCTION("""COMPUTED_VALUE"""),"250760")</f>
        <v>250760</v>
      </c>
      <c r="G1406" s="1" t="str">
        <f>IFERROR(__xludf.DUMMYFUNCTION("""COMPUTED_VALUE"""),"นายประทวน สาราบรรณ์")</f>
        <v>นายประทวน สาราบรรณ์</v>
      </c>
      <c r="H1406" s="1" t="str">
        <f>IFERROR(__xludf.DUMMYFUNCTION("""COMPUTED_VALUE"""),"356760")</f>
        <v>356760</v>
      </c>
      <c r="I1406" s="1" t="str">
        <f>IFERROR(__xludf.DUMMYFUNCTION("""COMPUTED_VALUE"""),"นายภูมิภัทร แก้วพรรณราย")</f>
        <v>นายภูมิภัทร แก้วพรรณราย</v>
      </c>
      <c r="J1406" s="3">
        <f>IFERROR(__xludf.DUMMYFUNCTION("""COMPUTED_VALUE"""),25324.0)</f>
        <v>25324</v>
      </c>
      <c r="K1406" s="3" t="str">
        <f>IFERROR(__xludf.DUMMYFUNCTION("""COMPUTED_VALUE"""),"นายวิเชฎฐ์ ติรัตนะประคม")</f>
        <v>นายวิเชฎฐ์ ติรัตนะประคม</v>
      </c>
      <c r="L1406" s="1" t="str">
        <f>IFERROR(__xludf.DUMMYFUNCTION("""COMPUTED_VALUE"""),"14 K.Wichet T.")</f>
        <v>14 K.Wichet T.</v>
      </c>
      <c r="M1406" s="1" t="str">
        <f>IFERROR(__xludf.DUMMYFUNCTION("""COMPUTED_VALUE"""),"061-417-6569 / 086-445-5636")</f>
        <v>061-417-6569 / 086-445-5636</v>
      </c>
      <c r="N1406" s="3">
        <f>IFERROR(__xludf.DUMMYFUNCTION("""COMPUTED_VALUE"""),22658.0)</f>
        <v>22658</v>
      </c>
      <c r="O1406" s="3" t="str">
        <f>IFERROR(__xludf.DUMMYFUNCTION("""COMPUTED_VALUE"""),"BCM ถ.วิรัชหงษ์หยก ภูเก็ต")</f>
        <v>BCM ถ.วิรัชหงษ์หยก ภูเก็ต</v>
      </c>
      <c r="P1406" s="4">
        <f>IFERROR(__xludf.DUMMYFUNCTION("""COMPUTED_VALUE"""),43902.0)</f>
        <v>43902</v>
      </c>
      <c r="Q1406" s="3" t="str">
        <f>IFERROR(__xludf.DUMMYFUNCTION("""COMPUTED_VALUE"""),"A")</f>
        <v>A</v>
      </c>
      <c r="R1406" s="3" t="str">
        <f>IFERROR(__xludf.DUMMYFUNCTION("""COMPUTED_VALUE"""),"Small Format")</f>
        <v>Small Format</v>
      </c>
      <c r="S1406" s="3" t="str">
        <f>IFERROR(__xludf.DUMMYFUNCTION("""COMPUTED_VALUE"""),"BCM")</f>
        <v>BCM</v>
      </c>
      <c r="T1406" s="3" t="str">
        <f>IFERROR(__xludf.DUMMYFUNCTION("""COMPUTED_VALUE"""),"#N/A")</f>
        <v>#N/A</v>
      </c>
      <c r="U1406" s="3" t="str">
        <f>IFERROR(__xludf.DUMMYFUNCTION("""COMPUTED_VALUE"""),"#N/A")</f>
        <v>#N/A</v>
      </c>
      <c r="V1406" s="3" t="str">
        <f>IFERROR(__xludf.DUMMYFUNCTION("""COMPUTED_VALUE"""),"N")</f>
        <v>N</v>
      </c>
      <c r="W1406" s="3">
        <f>IFERROR(__xludf.DUMMYFUNCTION("""COMPUTED_VALUE"""),210070.0)</f>
        <v>210070</v>
      </c>
      <c r="X1406" s="3" t="str">
        <f>IFERROR(__xludf.DUMMYFUNCTION("""COMPUTED_VALUE"""),"68/85 หมู่4 ตำบลบ่อผุด อำเภอเกาะสมุย จังหวัดสุราษฎร์ธานี 84320")</f>
        <v>68/85 หมู่4 ตำบลบ่อผุด อำเภอเกาะสมุย จังหวัดสุราษฎร์ธานี 84320</v>
      </c>
      <c r="Y1406" s="3"/>
      <c r="Z1406" s="3" t="str">
        <f>IFERROR(__xludf.DUMMYFUNCTION("""COMPUTED_VALUE"""),"บ่อผุด")</f>
        <v>บ่อผุด</v>
      </c>
      <c r="AA1406" s="3" t="str">
        <f>IFERROR(__xludf.DUMMYFUNCTION("""COMPUTED_VALUE"""),"เกาะสมุย")</f>
        <v>เกาะสมุย</v>
      </c>
      <c r="AB1406" s="3" t="str">
        <f>IFERROR(__xludf.DUMMYFUNCTION("""COMPUTED_VALUE"""),"สุราษฎร์ธานี")</f>
        <v>สุราษฎร์ธานี</v>
      </c>
      <c r="AC1406" s="3">
        <f>IFERROR(__xludf.DUMMYFUNCTION("""COMPUTED_VALUE"""),84320.0)</f>
        <v>84320</v>
      </c>
      <c r="AD1406" s="3">
        <f>IFERROR(__xludf.DUMMYFUNCTION("""COMPUTED_VALUE"""),9.548781)</f>
        <v>9.548781</v>
      </c>
      <c r="AE1406" s="3">
        <f>IFERROR(__xludf.DUMMYFUNCTION("""COMPUTED_VALUE"""),100.067194)</f>
        <v>100.067194</v>
      </c>
      <c r="AF1406" s="3" t="str">
        <f>IFERROR(__xludf.DUMMYFUNCTION("""COMPUTED_VALUE"""),"MBC ตลาดสดสนามบิน (สมุย) สุราษฎร์ธานี-22089")</f>
        <v>MBC ตลาดสดสนามบิน (สมุย) สุราษฎร์ธานี-22089</v>
      </c>
      <c r="AG1406" s="3" t="str">
        <f>IFERROR(__xludf.DUMMYFUNCTION("""COMPUTED_VALUE"""),"ใต้")</f>
        <v>ใต้</v>
      </c>
      <c r="AH1406" s="3" t="str">
        <f>IFERROR(__xludf.DUMMYFUNCTION("""COMPUTED_VALUE"""),"#N/A")</f>
        <v>#N/A</v>
      </c>
      <c r="AI1406" s="3" t="str">
        <f>IFERROR(__xludf.DUMMYFUNCTION("""COMPUTED_VALUE"""),"Out of warranty")</f>
        <v>Out of warranty</v>
      </c>
      <c r="AJ1406" s="3">
        <f>IFERROR(__xludf.DUMMYFUNCTION("""COMPUTED_VALUE"""),71.0)</f>
        <v>71</v>
      </c>
      <c r="AK1406" s="3" t="str">
        <f>IFERROR(__xludf.DUMMYFUNCTION("""COMPUTED_VALUE"""),"MMS14")</f>
        <v>MMS14</v>
      </c>
      <c r="AL1406" s="3"/>
    </row>
    <row r="1407" ht="15.75" customHeight="1">
      <c r="A1407" s="1" t="str">
        <f>IFERROR(__xludf.DUMMYFUNCTION("""COMPUTED_VALUE"""),"22090")</f>
        <v>22090</v>
      </c>
      <c r="B1407" s="2">
        <f>IFERROR(__xludf.DUMMYFUNCTION("""COMPUTED_VALUE"""),22090.0)</f>
        <v>22090</v>
      </c>
      <c r="C1407" s="3" t="str">
        <f>IFERROR(__xludf.DUMMYFUNCTION("""COMPUTED_VALUE"""),"MBC ตลาดมารวย นครปฐม")</f>
        <v>MBC ตลาดมารวย นครปฐม</v>
      </c>
      <c r="D1407" s="3" t="str">
        <f>IFERROR(__xludf.DUMMYFUNCTION("""COMPUTED_VALUE"""),"BCM TALAD MARUAY NAKHON PATHOM")</f>
        <v>BCM TALAD MARUAY NAKHON PATHOM</v>
      </c>
      <c r="E1407" s="1" t="str">
        <f>IFERROR(__xludf.DUMMYFUNCTION("""COMPUTED_VALUE"""),"บิ๊กซี MINI")</f>
        <v>บิ๊กซี MINI</v>
      </c>
      <c r="F1407" s="1" t="str">
        <f>IFERROR(__xludf.DUMMYFUNCTION("""COMPUTED_VALUE"""),"296229")</f>
        <v>296229</v>
      </c>
      <c r="G1407" s="1" t="str">
        <f>IFERROR(__xludf.DUMMYFUNCTION("""COMPUTED_VALUE"""),"นายทนงศักดิ์ บุญมา")</f>
        <v>นายทนงศักดิ์ บุญมา</v>
      </c>
      <c r="H1407" s="1" t="str">
        <f>IFERROR(__xludf.DUMMYFUNCTION("""COMPUTED_VALUE"""),"295245")</f>
        <v>295245</v>
      </c>
      <c r="I1407" s="1" t="str">
        <f>IFERROR(__xludf.DUMMYFUNCTION("""COMPUTED_VALUE"""),"นายมานะ วงศ์สุโชโต")</f>
        <v>นายมานะ วงศ์สุโชโต</v>
      </c>
      <c r="J1407" s="3">
        <f>IFERROR(__xludf.DUMMYFUNCTION("""COMPUTED_VALUE"""),46214.0)</f>
        <v>46214</v>
      </c>
      <c r="K1407" s="3" t="str">
        <f>IFERROR(__xludf.DUMMYFUNCTION("""COMPUTED_VALUE"""),"นายศักดิ์ชัย เด็ดดอกฟ้า")</f>
        <v>นายศักดิ์ชัย เด็ดดอกฟ้า</v>
      </c>
      <c r="L1407" s="1" t="str">
        <f>IFERROR(__xludf.DUMMYFUNCTION("""COMPUTED_VALUE"""),"02 K.Sakchai D")</f>
        <v>02 K.Sakchai D</v>
      </c>
      <c r="M1407" s="1" t="str">
        <f>IFERROR(__xludf.DUMMYFUNCTION("""COMPUTED_VALUE"""),"065-510-7376")</f>
        <v>065-510-7376</v>
      </c>
      <c r="N1407" s="3">
        <f>IFERROR(__xludf.DUMMYFUNCTION("""COMPUTED_VALUE"""),21714.0)</f>
        <v>21714</v>
      </c>
      <c r="O1407" s="3" t="str">
        <f>IFERROR(__xludf.DUMMYFUNCTION("""COMPUTED_VALUE"""),"MBC เอสโซ่ วัดโบสถ์")</f>
        <v>MBC เอสโซ่ วัดโบสถ์</v>
      </c>
      <c r="P1407" s="4">
        <f>IFERROR(__xludf.DUMMYFUNCTION("""COMPUTED_VALUE"""),43903.0)</f>
        <v>43903</v>
      </c>
      <c r="Q1407" s="3" t="str">
        <f>IFERROR(__xludf.DUMMYFUNCTION("""COMPUTED_VALUE"""),"A")</f>
        <v>A</v>
      </c>
      <c r="R1407" s="3" t="str">
        <f>IFERROR(__xludf.DUMMYFUNCTION("""COMPUTED_VALUE"""),"Small Format")</f>
        <v>Small Format</v>
      </c>
      <c r="S1407" s="3" t="str">
        <f>IFERROR(__xludf.DUMMYFUNCTION("""COMPUTED_VALUE"""),"BCM")</f>
        <v>BCM</v>
      </c>
      <c r="T1407" s="3" t="str">
        <f>IFERROR(__xludf.DUMMYFUNCTION("""COMPUTED_VALUE"""),"#N/A")</f>
        <v>#N/A</v>
      </c>
      <c r="U1407" s="3" t="str">
        <f>IFERROR(__xludf.DUMMYFUNCTION("""COMPUTED_VALUE"""),"#N/A")</f>
        <v>#N/A</v>
      </c>
      <c r="V1407" s="3" t="str">
        <f>IFERROR(__xludf.DUMMYFUNCTION("""COMPUTED_VALUE"""),"N")</f>
        <v>N</v>
      </c>
      <c r="W1407" s="3">
        <f>IFERROR(__xludf.DUMMYFUNCTION("""COMPUTED_VALUE"""),210123.0)</f>
        <v>210123</v>
      </c>
      <c r="X1407" s="3" t="str">
        <f>IFERROR(__xludf.DUMMYFUNCTION("""COMPUTED_VALUE"""),"168/3 หมู่4 ตำบลกระทุ่มล้น อำเภอสามพราน จังหวัดนครปฐม 73220")</f>
        <v>168/3 หมู่4 ตำบลกระทุ่มล้น อำเภอสามพราน จังหวัดนครปฐม 73220</v>
      </c>
      <c r="Y1407" s="3"/>
      <c r="Z1407" s="3" t="str">
        <f>IFERROR(__xludf.DUMMYFUNCTION("""COMPUTED_VALUE"""),"กระทุ่มล้น")</f>
        <v>กระทุ่มล้น</v>
      </c>
      <c r="AA1407" s="3" t="str">
        <f>IFERROR(__xludf.DUMMYFUNCTION("""COMPUTED_VALUE"""),"สามพราน")</f>
        <v>สามพราน</v>
      </c>
      <c r="AB1407" s="3" t="str">
        <f>IFERROR(__xludf.DUMMYFUNCTION("""COMPUTED_VALUE"""),"นครปฐม")</f>
        <v>นครปฐม</v>
      </c>
      <c r="AC1407" s="3">
        <f>IFERROR(__xludf.DUMMYFUNCTION("""COMPUTED_VALUE"""),73220.0)</f>
        <v>73220</v>
      </c>
      <c r="AD1407" s="3">
        <f>IFERROR(__xludf.DUMMYFUNCTION("""COMPUTED_VALUE"""),13.7256093)</f>
        <v>13.7256093</v>
      </c>
      <c r="AE1407" s="3">
        <f>IFERROR(__xludf.DUMMYFUNCTION("""COMPUTED_VALUE"""),100.3275783)</f>
        <v>100.3275783</v>
      </c>
      <c r="AF1407" s="3" t="str">
        <f>IFERROR(__xludf.DUMMYFUNCTION("""COMPUTED_VALUE"""),"MBC ตลาดมารวย นครปฐม-22090")</f>
        <v>MBC ตลาดมารวย นครปฐม-22090</v>
      </c>
      <c r="AG1407" s="3" t="str">
        <f>IFERROR(__xludf.DUMMYFUNCTION("""COMPUTED_VALUE"""),"กลาง")</f>
        <v>กลาง</v>
      </c>
      <c r="AH1407" s="3" t="str">
        <f>IFERROR(__xludf.DUMMYFUNCTION("""COMPUTED_VALUE"""),"#N/A")</f>
        <v>#N/A</v>
      </c>
      <c r="AI1407" s="3" t="str">
        <f>IFERROR(__xludf.DUMMYFUNCTION("""COMPUTED_VALUE"""),"Out of warranty")</f>
        <v>Out of warranty</v>
      </c>
      <c r="AJ1407" s="3">
        <f>IFERROR(__xludf.DUMMYFUNCTION("""COMPUTED_VALUE"""),71.0)</f>
        <v>71</v>
      </c>
      <c r="AK1407" s="3" t="str">
        <f>IFERROR(__xludf.DUMMYFUNCTION("""COMPUTED_VALUE"""),"MMS05")</f>
        <v>MMS05</v>
      </c>
      <c r="AL1407" s="3"/>
    </row>
    <row r="1408" ht="15.75" customHeight="1">
      <c r="A1408" s="1" t="str">
        <f>IFERROR(__xludf.DUMMYFUNCTION("""COMPUTED_VALUE"""),"22091")</f>
        <v>22091</v>
      </c>
      <c r="B1408" s="2">
        <f>IFERROR(__xludf.DUMMYFUNCTION("""COMPUTED_VALUE"""),22091.0)</f>
        <v>22091</v>
      </c>
      <c r="C1408" s="3" t="str">
        <f>IFERROR(__xludf.DUMMYFUNCTION("""COMPUTED_VALUE"""),"MBC โรงพยาบาลสิชล นครศรีธรรมราช")</f>
        <v>MBC โรงพยาบาลสิชล นครศรีธรรมราช</v>
      </c>
      <c r="D1408" s="3" t="str">
        <f>IFERROR(__xludf.DUMMYFUNCTION("""COMPUTED_VALUE"""),"BCM SICHON HOSPITAL")</f>
        <v>BCM SICHON HOSPITAL</v>
      </c>
      <c r="E1408" s="1" t="str">
        <f>IFERROR(__xludf.DUMMYFUNCTION("""COMPUTED_VALUE"""),"บิ๊กซี MINI")</f>
        <v>บิ๊กซี MINI</v>
      </c>
      <c r="F1408" s="1" t="str">
        <f>IFERROR(__xludf.DUMMYFUNCTION("""COMPUTED_VALUE"""),"250760")</f>
        <v>250760</v>
      </c>
      <c r="G1408" s="1" t="str">
        <f>IFERROR(__xludf.DUMMYFUNCTION("""COMPUTED_VALUE"""),"นายประทวน สาราบรรณ์")</f>
        <v>นายประทวน สาราบรรณ์</v>
      </c>
      <c r="H1408" s="1" t="str">
        <f>IFERROR(__xludf.DUMMYFUNCTION("""COMPUTED_VALUE"""),"356760")</f>
        <v>356760</v>
      </c>
      <c r="I1408" s="1" t="str">
        <f>IFERROR(__xludf.DUMMYFUNCTION("""COMPUTED_VALUE"""),"นายภูมิภัทร แก้วพรรณราย")</f>
        <v>นายภูมิภัทร แก้วพรรณราย</v>
      </c>
      <c r="J1408" s="3">
        <f>IFERROR(__xludf.DUMMYFUNCTION("""COMPUTED_VALUE"""),25324.0)</f>
        <v>25324</v>
      </c>
      <c r="K1408" s="3" t="str">
        <f>IFERROR(__xludf.DUMMYFUNCTION("""COMPUTED_VALUE"""),"นายวิเชฎฐ์ ติรัตนะประคม")</f>
        <v>นายวิเชฎฐ์ ติรัตนะประคม</v>
      </c>
      <c r="L1408" s="3" t="str">
        <f>IFERROR(__xludf.DUMMYFUNCTION("""COMPUTED_VALUE"""),"14 K.Wichet T.")</f>
        <v>14 K.Wichet T.</v>
      </c>
      <c r="M1408" s="1" t="str">
        <f>IFERROR(__xludf.DUMMYFUNCTION("""COMPUTED_VALUE"""),"061-417-6569 / 086-445-5636")</f>
        <v>061-417-6569 / 086-445-5636</v>
      </c>
      <c r="N1408" s="3">
        <f>IFERROR(__xludf.DUMMYFUNCTION("""COMPUTED_VALUE"""),22658.0)</f>
        <v>22658</v>
      </c>
      <c r="O1408" s="3" t="str">
        <f>IFERROR(__xludf.DUMMYFUNCTION("""COMPUTED_VALUE"""),"BCM ถ.วิรัชหงษ์หยก ภูเก็ต")</f>
        <v>BCM ถ.วิรัชหงษ์หยก ภูเก็ต</v>
      </c>
      <c r="P1408" s="4">
        <f>IFERROR(__xludf.DUMMYFUNCTION("""COMPUTED_VALUE"""),43904.0)</f>
        <v>43904</v>
      </c>
      <c r="Q1408" s="3" t="str">
        <f>IFERROR(__xludf.DUMMYFUNCTION("""COMPUTED_VALUE"""),"A")</f>
        <v>A</v>
      </c>
      <c r="R1408" s="3" t="str">
        <f>IFERROR(__xludf.DUMMYFUNCTION("""COMPUTED_VALUE"""),"Small Format")</f>
        <v>Small Format</v>
      </c>
      <c r="S1408" s="3" t="str">
        <f>IFERROR(__xludf.DUMMYFUNCTION("""COMPUTED_VALUE"""),"BCM")</f>
        <v>BCM</v>
      </c>
      <c r="T1408" s="3" t="str">
        <f>IFERROR(__xludf.DUMMYFUNCTION("""COMPUTED_VALUE"""),"#N/A")</f>
        <v>#N/A</v>
      </c>
      <c r="U1408" s="3" t="str">
        <f>IFERROR(__xludf.DUMMYFUNCTION("""COMPUTED_VALUE"""),"#N/A")</f>
        <v>#N/A</v>
      </c>
      <c r="V1408" s="3" t="str">
        <f>IFERROR(__xludf.DUMMYFUNCTION("""COMPUTED_VALUE"""),"N")</f>
        <v>N</v>
      </c>
      <c r="W1408" s="3">
        <f>IFERROR(__xludf.DUMMYFUNCTION("""COMPUTED_VALUE"""),210072.0)</f>
        <v>210072</v>
      </c>
      <c r="X1408" s="3" t="str">
        <f>IFERROR(__xludf.DUMMYFUNCTION("""COMPUTED_VALUE"""),"187/4 หมู่5 ตำบลสิชล อำเภอสิชล จังหวัดนครศรีธรรมราช 80120")</f>
        <v>187/4 หมู่5 ตำบลสิชล อำเภอสิชล จังหวัดนครศรีธรรมราช 80120</v>
      </c>
      <c r="Y1408" s="3"/>
      <c r="Z1408" s="3" t="str">
        <f>IFERROR(__xludf.DUMMYFUNCTION("""COMPUTED_VALUE"""),"สิชล")</f>
        <v>สิชล</v>
      </c>
      <c r="AA1408" s="3" t="str">
        <f>IFERROR(__xludf.DUMMYFUNCTION("""COMPUTED_VALUE"""),"สิชล")</f>
        <v>สิชล</v>
      </c>
      <c r="AB1408" s="3" t="str">
        <f>IFERROR(__xludf.DUMMYFUNCTION("""COMPUTED_VALUE"""),"นครศรีธรรมราช")</f>
        <v>นครศรีธรรมราช</v>
      </c>
      <c r="AC1408" s="3">
        <f>IFERROR(__xludf.DUMMYFUNCTION("""COMPUTED_VALUE"""),80120.0)</f>
        <v>80120</v>
      </c>
      <c r="AD1408" s="3">
        <f>IFERROR(__xludf.DUMMYFUNCTION("""COMPUTED_VALUE"""),9.008583)</f>
        <v>9.008583</v>
      </c>
      <c r="AE1408" s="3">
        <f>IFERROR(__xludf.DUMMYFUNCTION("""COMPUTED_VALUE"""),99.903389)</f>
        <v>99.903389</v>
      </c>
      <c r="AF1408" s="3" t="str">
        <f>IFERROR(__xludf.DUMMYFUNCTION("""COMPUTED_VALUE"""),"MBC โรงพยาบาลสิชล นครศรีธรรมราช-22091")</f>
        <v>MBC โรงพยาบาลสิชล นครศรีธรรมราช-22091</v>
      </c>
      <c r="AG1408" s="3" t="str">
        <f>IFERROR(__xludf.DUMMYFUNCTION("""COMPUTED_VALUE"""),"ใต้")</f>
        <v>ใต้</v>
      </c>
      <c r="AH1408" s="3" t="str">
        <f>IFERROR(__xludf.DUMMYFUNCTION("""COMPUTED_VALUE"""),"#N/A")</f>
        <v>#N/A</v>
      </c>
      <c r="AI1408" s="3" t="str">
        <f>IFERROR(__xludf.DUMMYFUNCTION("""COMPUTED_VALUE"""),"Out of warranty")</f>
        <v>Out of warranty</v>
      </c>
      <c r="AJ1408" s="3">
        <f>IFERROR(__xludf.DUMMYFUNCTION("""COMPUTED_VALUE"""),71.0)</f>
        <v>71</v>
      </c>
      <c r="AK1408" s="3" t="str">
        <f>IFERROR(__xludf.DUMMYFUNCTION("""COMPUTED_VALUE"""),"MMS15")</f>
        <v>MMS15</v>
      </c>
      <c r="AL1408" s="3"/>
    </row>
    <row r="1409" ht="15.75" customHeight="1">
      <c r="A1409" s="1" t="str">
        <f>IFERROR(__xludf.DUMMYFUNCTION("""COMPUTED_VALUE"""),"22092")</f>
        <v>22092</v>
      </c>
      <c r="B1409" s="2">
        <f>IFERROR(__xludf.DUMMYFUNCTION("""COMPUTED_VALUE"""),22092.0)</f>
        <v>22092</v>
      </c>
      <c r="C1409" s="3" t="str">
        <f>IFERROR(__xludf.DUMMYFUNCTION("""COMPUTED_VALUE"""),"MBC อินทามระ 59 กรุงเทพมหานคร")</f>
        <v>MBC อินทามระ 59 กรุงเทพมหานคร</v>
      </c>
      <c r="D1409" s="3" t="str">
        <f>IFERROR(__xludf.DUMMYFUNCTION("""COMPUTED_VALUE"""),"BCM INTHAMARA 59 BANGKOK")</f>
        <v>BCM INTHAMARA 59 BANGKOK</v>
      </c>
      <c r="E1409" s="1" t="str">
        <f>IFERROR(__xludf.DUMMYFUNCTION("""COMPUTED_VALUE"""),"บิ๊กซี MINI")</f>
        <v>บิ๊กซี MINI</v>
      </c>
      <c r="F1409" s="1" t="str">
        <f>IFERROR(__xludf.DUMMYFUNCTION("""COMPUTED_VALUE"""),"291008")</f>
        <v>291008</v>
      </c>
      <c r="G1409" s="1" t="str">
        <f>IFERROR(__xludf.DUMMYFUNCTION("""COMPUTED_VALUE"""),"น.ส.รัชดาพร อีศรัตน์")</f>
        <v>น.ส.รัชดาพร อีศรัตน์</v>
      </c>
      <c r="H1409" s="1" t="str">
        <f>IFERROR(__xludf.DUMMYFUNCTION("""COMPUTED_VALUE"""),"359002")</f>
        <v>359002</v>
      </c>
      <c r="I1409" s="1" t="str">
        <f>IFERROR(__xludf.DUMMYFUNCTION("""COMPUTED_VALUE"""),"น.ส.นิตยา สมจิตร")</f>
        <v>น.ส.นิตยา สมจิตร</v>
      </c>
      <c r="J1409" s="3">
        <f>IFERROR(__xludf.DUMMYFUNCTION("""COMPUTED_VALUE"""),3510104.0)</f>
        <v>3510104</v>
      </c>
      <c r="K1409" s="3" t="str">
        <f>IFERROR(__xludf.DUMMYFUNCTION("""COMPUTED_VALUE"""),"นายวิโรจน์ อับดุลสมัด")</f>
        <v>นายวิโรจน์ อับดุลสมัด</v>
      </c>
      <c r="L1409" s="1" t="str">
        <f>IFERROR(__xludf.DUMMYFUNCTION("""COMPUTED_VALUE"""),"09 K.Wirode A")</f>
        <v>09 K.Wirode A</v>
      </c>
      <c r="M1409" s="1" t="str">
        <f>IFERROR(__xludf.DUMMYFUNCTION("""COMPUTED_VALUE"""),"080-235-4465")</f>
        <v>080-235-4465</v>
      </c>
      <c r="N1409" s="3">
        <f>IFERROR(__xludf.DUMMYFUNCTION("""COMPUTED_VALUE"""),21324.0)</f>
        <v>21324</v>
      </c>
      <c r="O1409" s="3" t="str">
        <f>IFERROR(__xludf.DUMMYFUNCTION("""COMPUTED_VALUE"""),"MBC BCP สุวินทวงศ์")</f>
        <v>MBC BCP สุวินทวงศ์</v>
      </c>
      <c r="P1409" s="4">
        <f>IFERROR(__xludf.DUMMYFUNCTION("""COMPUTED_VALUE"""),43920.0)</f>
        <v>43920</v>
      </c>
      <c r="Q1409" s="3" t="str">
        <f>IFERROR(__xludf.DUMMYFUNCTION("""COMPUTED_VALUE"""),"A")</f>
        <v>A</v>
      </c>
      <c r="R1409" s="3" t="str">
        <f>IFERROR(__xludf.DUMMYFUNCTION("""COMPUTED_VALUE"""),"Small Format")</f>
        <v>Small Format</v>
      </c>
      <c r="S1409" s="3" t="str">
        <f>IFERROR(__xludf.DUMMYFUNCTION("""COMPUTED_VALUE"""),"BCM")</f>
        <v>BCM</v>
      </c>
      <c r="T1409" s="3" t="str">
        <f>IFERROR(__xludf.DUMMYFUNCTION("""COMPUTED_VALUE"""),"#N/A")</f>
        <v>#N/A</v>
      </c>
      <c r="U1409" s="3" t="str">
        <f>IFERROR(__xludf.DUMMYFUNCTION("""COMPUTED_VALUE"""),"#N/A")</f>
        <v>#N/A</v>
      </c>
      <c r="V1409" s="3" t="str">
        <f>IFERROR(__xludf.DUMMYFUNCTION("""COMPUTED_VALUE"""),"N")</f>
        <v>N</v>
      </c>
      <c r="W1409" s="3">
        <f>IFERROR(__xludf.DUMMYFUNCTION("""COMPUTED_VALUE"""),210078.0)</f>
        <v>210078</v>
      </c>
      <c r="X1409" s="3" t="str">
        <f>IFERROR(__xludf.DUMMYFUNCTION("""COMPUTED_VALUE"""),"294 ถนนสุทธิสารแยก1 แขวงรัชดาภิเษก เขตดินแดง จังหวัดกรุงเทพมหานคร 10400")</f>
        <v>294 ถนนสุทธิสารแยก1 แขวงรัชดาภิเษก เขตดินแดง จังหวัดกรุงเทพมหานคร 10400</v>
      </c>
      <c r="Y1409" s="3" t="str">
        <f>IFERROR(__xludf.DUMMYFUNCTION("""COMPUTED_VALUE"""),"ถนนสุทธิสารแยก1")</f>
        <v>ถนนสุทธิสารแยก1</v>
      </c>
      <c r="Z1409" s="3" t="str">
        <f>IFERROR(__xludf.DUMMYFUNCTION("""COMPUTED_VALUE"""),"รัชดาภิเษก")</f>
        <v>รัชดาภิเษก</v>
      </c>
      <c r="AA1409" s="3" t="str">
        <f>IFERROR(__xludf.DUMMYFUNCTION("""COMPUTED_VALUE"""),"ดินแดง")</f>
        <v>ดินแดง</v>
      </c>
      <c r="AB1409" s="3" t="str">
        <f>IFERROR(__xludf.DUMMYFUNCTION("""COMPUTED_VALUE"""),"กรุงเทพมหานคร")</f>
        <v>กรุงเทพมหานคร</v>
      </c>
      <c r="AC1409" s="3">
        <f>IFERROR(__xludf.DUMMYFUNCTION("""COMPUTED_VALUE"""),10400.0)</f>
        <v>10400</v>
      </c>
      <c r="AD1409" s="3">
        <f>IFERROR(__xludf.DUMMYFUNCTION("""COMPUTED_VALUE"""),13.780623)</f>
        <v>13.780623</v>
      </c>
      <c r="AE1409" s="3">
        <f>IFERROR(__xludf.DUMMYFUNCTION("""COMPUTED_VALUE"""),100.567162)</f>
        <v>100.567162</v>
      </c>
      <c r="AF1409" s="3" t="str">
        <f>IFERROR(__xludf.DUMMYFUNCTION("""COMPUTED_VALUE"""),"MBC อินทามระ 59 กรุงเทพมหานคร-22092")</f>
        <v>MBC อินทามระ 59 กรุงเทพมหานคร-22092</v>
      </c>
      <c r="AG1409" s="3" t="str">
        <f>IFERROR(__xludf.DUMMYFUNCTION("""COMPUTED_VALUE"""),"กลาง")</f>
        <v>กลาง</v>
      </c>
      <c r="AH1409" s="3" t="str">
        <f>IFERROR(__xludf.DUMMYFUNCTION("""COMPUTED_VALUE"""),"#N/A")</f>
        <v>#N/A</v>
      </c>
      <c r="AI1409" s="3" t="str">
        <f>IFERROR(__xludf.DUMMYFUNCTION("""COMPUTED_VALUE"""),"Out of warranty")</f>
        <v>Out of warranty</v>
      </c>
      <c r="AJ1409" s="3">
        <f>IFERROR(__xludf.DUMMYFUNCTION("""COMPUTED_VALUE"""),70.0)</f>
        <v>70</v>
      </c>
      <c r="AK1409" s="3" t="str">
        <f>IFERROR(__xludf.DUMMYFUNCTION("""COMPUTED_VALUE"""),"MMS01")</f>
        <v>MMS01</v>
      </c>
      <c r="AL1409" s="3"/>
    </row>
    <row r="1410" ht="15.75" customHeight="1">
      <c r="A1410" s="1" t="str">
        <f>IFERROR(__xludf.DUMMYFUNCTION("""COMPUTED_VALUE"""),"22093")</f>
        <v>22093</v>
      </c>
      <c r="B1410" s="2">
        <f>IFERROR(__xludf.DUMMYFUNCTION("""COMPUTED_VALUE"""),22093.0)</f>
        <v>22093</v>
      </c>
      <c r="C1410" s="3" t="str">
        <f>IFERROR(__xludf.DUMMYFUNCTION("""COMPUTED_VALUE"""),"MBC แหลมสิงห์ จันทบุรี")</f>
        <v>MBC แหลมสิงห์ จันทบุรี</v>
      </c>
      <c r="D1410" s="3" t="str">
        <f>IFERROR(__xludf.DUMMYFUNCTION("""COMPUTED_VALUE"""),"BCM LAEM SING CHANTHABURI")</f>
        <v>BCM LAEM SING CHANTHABURI</v>
      </c>
      <c r="E1410" s="1" t="str">
        <f>IFERROR(__xludf.DUMMYFUNCTION("""COMPUTED_VALUE"""),"บิ๊กซี MINI")</f>
        <v>บิ๊กซี MINI</v>
      </c>
      <c r="F1410" s="1" t="str">
        <f>IFERROR(__xludf.DUMMYFUNCTION("""COMPUTED_VALUE"""),"221716")</f>
        <v>221716</v>
      </c>
      <c r="G1410" s="1" t="str">
        <f>IFERROR(__xludf.DUMMYFUNCTION("""COMPUTED_VALUE"""),"น.ส.เบญจพร โพธิสาร")</f>
        <v>น.ส.เบญจพร โพธิสาร</v>
      </c>
      <c r="H1410" s="1" t="str">
        <f>IFERROR(__xludf.DUMMYFUNCTION("""COMPUTED_VALUE"""),"318151")</f>
        <v>318151</v>
      </c>
      <c r="I1410" s="1" t="str">
        <f>IFERROR(__xludf.DUMMYFUNCTION("""COMPUTED_VALUE"""),"นายพลฬกฤตต์ เนตมณี")</f>
        <v>นายพลฬกฤตต์ เนตมณี</v>
      </c>
      <c r="J1410" s="3">
        <f>IFERROR(__xludf.DUMMYFUNCTION("""COMPUTED_VALUE"""),2452376.0)</f>
        <v>2452376</v>
      </c>
      <c r="K1410" s="3" t="str">
        <f>IFERROR(__xludf.DUMMYFUNCTION("""COMPUTED_VALUE"""),"นายภาคภูมิ ทวีกุล")</f>
        <v>นายภาคภูมิ ทวีกุล</v>
      </c>
      <c r="L1410" s="1" t="str">
        <f>IFERROR(__xludf.DUMMYFUNCTION("""COMPUTED_VALUE"""),"08 K.Parkphum T.")</f>
        <v>08 K.Parkphum T.</v>
      </c>
      <c r="M1410" s="1" t="str">
        <f>IFERROR(__xludf.DUMMYFUNCTION("""COMPUTED_VALUE"""),"097-919-5476")</f>
        <v>097-919-5476</v>
      </c>
      <c r="N1410" s="3">
        <f>IFERROR(__xludf.DUMMYFUNCTION("""COMPUTED_VALUE"""),22028.0)</f>
        <v>22028</v>
      </c>
      <c r="O1410" s="3" t="str">
        <f>IFERROR(__xludf.DUMMYFUNCTION("""COMPUTED_VALUE"""),"MBC ทํบมา ระยอง")</f>
        <v>MBC ทํบมา ระยอง</v>
      </c>
      <c r="P1410" s="4">
        <f>IFERROR(__xludf.DUMMYFUNCTION("""COMPUTED_VALUE"""),43913.0)</f>
        <v>43913</v>
      </c>
      <c r="Q1410" s="3" t="str">
        <f>IFERROR(__xludf.DUMMYFUNCTION("""COMPUTED_VALUE"""),"A")</f>
        <v>A</v>
      </c>
      <c r="R1410" s="3" t="str">
        <f>IFERROR(__xludf.DUMMYFUNCTION("""COMPUTED_VALUE"""),"Small Format")</f>
        <v>Small Format</v>
      </c>
      <c r="S1410" s="3" t="str">
        <f>IFERROR(__xludf.DUMMYFUNCTION("""COMPUTED_VALUE"""),"BCM")</f>
        <v>BCM</v>
      </c>
      <c r="T1410" s="3" t="str">
        <f>IFERROR(__xludf.DUMMYFUNCTION("""COMPUTED_VALUE"""),"#N/A")</f>
        <v>#N/A</v>
      </c>
      <c r="U1410" s="3" t="str">
        <f>IFERROR(__xludf.DUMMYFUNCTION("""COMPUTED_VALUE"""),"#N/A")</f>
        <v>#N/A</v>
      </c>
      <c r="V1410" s="3" t="str">
        <f>IFERROR(__xludf.DUMMYFUNCTION("""COMPUTED_VALUE"""),"N")</f>
        <v>N</v>
      </c>
      <c r="W1410" s="3">
        <f>IFERROR(__xludf.DUMMYFUNCTION("""COMPUTED_VALUE"""),210115.0)</f>
        <v>210115</v>
      </c>
      <c r="X1410" s="3" t="str">
        <f>IFERROR(__xludf.DUMMYFUNCTION("""COMPUTED_VALUE"""),"22/2 หมู่1 ตำบลปากน้ำแหลมสิงห์ อำเภอแหลมสิงห์ จังหวัดจันทบุรี 22130")</f>
        <v>22/2 หมู่1 ตำบลปากน้ำแหลมสิงห์ อำเภอแหลมสิงห์ จังหวัดจันทบุรี 22130</v>
      </c>
      <c r="Y1410" s="3"/>
      <c r="Z1410" s="3" t="str">
        <f>IFERROR(__xludf.DUMMYFUNCTION("""COMPUTED_VALUE"""),"ปากน้ำแหลมสิงห์")</f>
        <v>ปากน้ำแหลมสิงห์</v>
      </c>
      <c r="AA1410" s="3" t="str">
        <f>IFERROR(__xludf.DUMMYFUNCTION("""COMPUTED_VALUE"""),"แหลมสิงห์")</f>
        <v>แหลมสิงห์</v>
      </c>
      <c r="AB1410" s="3" t="str">
        <f>IFERROR(__xludf.DUMMYFUNCTION("""COMPUTED_VALUE"""),"จันทบุรี")</f>
        <v>จันทบุรี</v>
      </c>
      <c r="AC1410" s="3">
        <f>IFERROR(__xludf.DUMMYFUNCTION("""COMPUTED_VALUE"""),22130.0)</f>
        <v>22130</v>
      </c>
      <c r="AD1410" s="3">
        <f>IFERROR(__xludf.DUMMYFUNCTION("""COMPUTED_VALUE"""),12.480482)</f>
        <v>12.480482</v>
      </c>
      <c r="AE1410" s="3">
        <f>IFERROR(__xludf.DUMMYFUNCTION("""COMPUTED_VALUE"""),102.067864)</f>
        <v>102.067864</v>
      </c>
      <c r="AF1410" s="3" t="str">
        <f>IFERROR(__xludf.DUMMYFUNCTION("""COMPUTED_VALUE"""),"MBC แหลมสิงห์ จันทบุรี-22093")</f>
        <v>MBC แหลมสิงห์ จันทบุรี-22093</v>
      </c>
      <c r="AG1410" s="3" t="str">
        <f>IFERROR(__xludf.DUMMYFUNCTION("""COMPUTED_VALUE"""),"ตะวันออก")</f>
        <v>ตะวันออก</v>
      </c>
      <c r="AH1410" s="3" t="str">
        <f>IFERROR(__xludf.DUMMYFUNCTION("""COMPUTED_VALUE"""),"#N/A")</f>
        <v>#N/A</v>
      </c>
      <c r="AI1410" s="3" t="str">
        <f>IFERROR(__xludf.DUMMYFUNCTION("""COMPUTED_VALUE"""),"Out of warranty")</f>
        <v>Out of warranty</v>
      </c>
      <c r="AJ1410" s="3">
        <f>IFERROR(__xludf.DUMMYFUNCTION("""COMPUTED_VALUE"""),70.0)</f>
        <v>70</v>
      </c>
      <c r="AK1410" s="3" t="str">
        <f>IFERROR(__xludf.DUMMYFUNCTION("""COMPUTED_VALUE"""),"MMS08")</f>
        <v>MMS08</v>
      </c>
      <c r="AL1410" s="3"/>
    </row>
    <row r="1411" ht="15.75" customHeight="1">
      <c r="A1411" s="1" t="str">
        <f>IFERROR(__xludf.DUMMYFUNCTION("""COMPUTED_VALUE"""),"22094")</f>
        <v>22094</v>
      </c>
      <c r="B1411" s="2">
        <f>IFERROR(__xludf.DUMMYFUNCTION("""COMPUTED_VALUE"""),22094.0)</f>
        <v>22094</v>
      </c>
      <c r="C1411" s="3" t="str">
        <f>IFERROR(__xludf.DUMMYFUNCTION("""COMPUTED_VALUE"""),"MBC ป่าติ้ว ยโสธร")</f>
        <v>MBC ป่าติ้ว ยโสธร</v>
      </c>
      <c r="D1411" s="3" t="str">
        <f>IFERROR(__xludf.DUMMYFUNCTION("""COMPUTED_VALUE"""),"BCM PA TIO (OPT.2) YASOTHON")</f>
        <v>BCM PA TIO (OPT.2) YASOTHON</v>
      </c>
      <c r="E1411" s="1" t="str">
        <f>IFERROR(__xludf.DUMMYFUNCTION("""COMPUTED_VALUE"""),"บิ๊กซี MINI")</f>
        <v>บิ๊กซี MINI</v>
      </c>
      <c r="F1411" s="1" t="str">
        <f>IFERROR(__xludf.DUMMYFUNCTION("""COMPUTED_VALUE"""),"291105")</f>
        <v>291105</v>
      </c>
      <c r="G1411" s="1" t="str">
        <f>IFERROR(__xludf.DUMMYFUNCTION("""COMPUTED_VALUE"""),"นายสราวุฒิ พณิชยกุล")</f>
        <v>นายสราวุฒิ พณิชยกุล</v>
      </c>
      <c r="H1411" s="1" t="str">
        <f>IFERROR(__xludf.DUMMYFUNCTION("""COMPUTED_VALUE"""),"398285")</f>
        <v>398285</v>
      </c>
      <c r="I1411" s="1" t="str">
        <f>IFERROR(__xludf.DUMMYFUNCTION("""COMPUTED_VALUE"""),"น.ส.พชิรา บุญจูง")</f>
        <v>น.ส.พชิรา บุญจูง</v>
      </c>
      <c r="J1411" s="3">
        <f>IFERROR(__xludf.DUMMYFUNCTION("""COMPUTED_VALUE"""),2454781.0)</f>
        <v>2454781</v>
      </c>
      <c r="K1411" s="3" t="str">
        <f>IFERROR(__xludf.DUMMYFUNCTION("""COMPUTED_VALUE"""),"นายฌานกฤช นันทะโคต")</f>
        <v>นายฌานกฤช นันทะโคต</v>
      </c>
      <c r="L1411" s="1" t="str">
        <f>IFERROR(__xludf.DUMMYFUNCTION("""COMPUTED_VALUE"""),"05 K.Chanakrit N.")</f>
        <v>05 K.Chanakrit N.</v>
      </c>
      <c r="M1411" s="1" t="str">
        <f>IFERROR(__xludf.DUMMYFUNCTION("""COMPUTED_VALUE"""),"090-978-9785 ,065-929-1320")</f>
        <v>090-978-9785 ,065-929-1320</v>
      </c>
      <c r="N1411" s="3">
        <f>IFERROR(__xludf.DUMMYFUNCTION("""COMPUTED_VALUE"""),22195.0)</f>
        <v>22195</v>
      </c>
      <c r="O1411" s="3" t="str">
        <f>IFERROR(__xludf.DUMMYFUNCTION("""COMPUTED_VALUE"""),"MBC กันทรลักษ์ ศรีสะเกษ")</f>
        <v>MBC กันทรลักษ์ ศรีสะเกษ</v>
      </c>
      <c r="P1411" s="4">
        <f>IFERROR(__xludf.DUMMYFUNCTION("""COMPUTED_VALUE"""),43933.0)</f>
        <v>43933</v>
      </c>
      <c r="Q1411" s="3" t="str">
        <f>IFERROR(__xludf.DUMMYFUNCTION("""COMPUTED_VALUE"""),"A")</f>
        <v>A</v>
      </c>
      <c r="R1411" s="3" t="str">
        <f>IFERROR(__xludf.DUMMYFUNCTION("""COMPUTED_VALUE"""),"Small Format")</f>
        <v>Small Format</v>
      </c>
      <c r="S1411" s="3" t="str">
        <f>IFERROR(__xludf.DUMMYFUNCTION("""COMPUTED_VALUE"""),"BCM")</f>
        <v>BCM</v>
      </c>
      <c r="T1411" s="3" t="str">
        <f>IFERROR(__xludf.DUMMYFUNCTION("""COMPUTED_VALUE"""),"#N/A")</f>
        <v>#N/A</v>
      </c>
      <c r="U1411" s="3" t="str">
        <f>IFERROR(__xludf.DUMMYFUNCTION("""COMPUTED_VALUE"""),"#N/A")</f>
        <v>#N/A</v>
      </c>
      <c r="V1411" s="3" t="str">
        <f>IFERROR(__xludf.DUMMYFUNCTION("""COMPUTED_VALUE"""),"N")</f>
        <v>N</v>
      </c>
      <c r="W1411" s="3">
        <f>IFERROR(__xludf.DUMMYFUNCTION("""COMPUTED_VALUE"""),210136.0)</f>
        <v>210136</v>
      </c>
      <c r="X1411" s="3" t="str">
        <f>IFERROR(__xludf.DUMMYFUNCTION("""COMPUTED_VALUE"""),"489 หมู่4 ตำบลโพธิ์ไทร อำเภอป่าติ้ว จังหวัดยโสธร 35150")</f>
        <v>489 หมู่4 ตำบลโพธิ์ไทร อำเภอป่าติ้ว จังหวัดยโสธร 35150</v>
      </c>
      <c r="Y1411" s="3"/>
      <c r="Z1411" s="3" t="str">
        <f>IFERROR(__xludf.DUMMYFUNCTION("""COMPUTED_VALUE"""),"โพธิ์ไทร")</f>
        <v>โพธิ์ไทร</v>
      </c>
      <c r="AA1411" s="3" t="str">
        <f>IFERROR(__xludf.DUMMYFUNCTION("""COMPUTED_VALUE"""),"ป่าติ้ว")</f>
        <v>ป่าติ้ว</v>
      </c>
      <c r="AB1411" s="3" t="str">
        <f>IFERROR(__xludf.DUMMYFUNCTION("""COMPUTED_VALUE"""),"ยโสธร")</f>
        <v>ยโสธร</v>
      </c>
      <c r="AC1411" s="3">
        <f>IFERROR(__xludf.DUMMYFUNCTION("""COMPUTED_VALUE"""),35150.0)</f>
        <v>35150</v>
      </c>
      <c r="AD1411" s="3">
        <f>IFERROR(__xludf.DUMMYFUNCTION("""COMPUTED_VALUE"""),15.832976)</f>
        <v>15.832976</v>
      </c>
      <c r="AE1411" s="3">
        <f>IFERROR(__xludf.DUMMYFUNCTION("""COMPUTED_VALUE"""),104.388457)</f>
        <v>104.388457</v>
      </c>
      <c r="AF1411" s="3" t="str">
        <f>IFERROR(__xludf.DUMMYFUNCTION("""COMPUTED_VALUE"""),"MBC ป่าติ้ว ยโสธร-22094")</f>
        <v>MBC ป่าติ้ว ยโสธร-22094</v>
      </c>
      <c r="AG1411" s="3" t="str">
        <f>IFERROR(__xludf.DUMMYFUNCTION("""COMPUTED_VALUE"""),"ตะวันออกเฉียงเหนือ")</f>
        <v>ตะวันออกเฉียงเหนือ</v>
      </c>
      <c r="AH1411" s="3" t="str">
        <f>IFERROR(__xludf.DUMMYFUNCTION("""COMPUTED_VALUE"""),"#N/A")</f>
        <v>#N/A</v>
      </c>
      <c r="AI1411" s="3" t="str">
        <f>IFERROR(__xludf.DUMMYFUNCTION("""COMPUTED_VALUE"""),"Out of warranty")</f>
        <v>Out of warranty</v>
      </c>
      <c r="AJ1411" s="3">
        <f>IFERROR(__xludf.DUMMYFUNCTION("""COMPUTED_VALUE"""),70.0)</f>
        <v>70</v>
      </c>
      <c r="AK1411" s="3" t="str">
        <f>IFERROR(__xludf.DUMMYFUNCTION("""COMPUTED_VALUE"""),"MMS13")</f>
        <v>MMS13</v>
      </c>
      <c r="AL1411" s="3"/>
    </row>
    <row r="1412" ht="15.75" customHeight="1">
      <c r="A1412" s="1" t="str">
        <f>IFERROR(__xludf.DUMMYFUNCTION("""COMPUTED_VALUE"""),"22095")</f>
        <v>22095</v>
      </c>
      <c r="B1412" s="2">
        <f>IFERROR(__xludf.DUMMYFUNCTION("""COMPUTED_VALUE"""),22095.0)</f>
        <v>22095</v>
      </c>
      <c r="C1412" s="3" t="str">
        <f>IFERROR(__xludf.DUMMYFUNCTION("""COMPUTED_VALUE"""),"MBC เทศบาลพัฒนา-แสนสุข ชลบุรี")</f>
        <v>MBC เทศบาลพัฒนา-แสนสุข ชลบุรี</v>
      </c>
      <c r="D1412" s="3" t="str">
        <f>IFERROR(__xludf.DUMMYFUNCTION("""COMPUTED_VALUE"""),"BCM TESSABAN PATTANA-SAEN SUK")</f>
        <v>BCM TESSABAN PATTANA-SAEN SUK</v>
      </c>
      <c r="E1412" s="1" t="str">
        <f>IFERROR(__xludf.DUMMYFUNCTION("""COMPUTED_VALUE"""),"บิ๊กซี MINI")</f>
        <v>บิ๊กซี MINI</v>
      </c>
      <c r="F1412" s="1" t="str">
        <f>IFERROR(__xludf.DUMMYFUNCTION("""COMPUTED_VALUE"""),"221716")</f>
        <v>221716</v>
      </c>
      <c r="G1412" s="1" t="str">
        <f>IFERROR(__xludf.DUMMYFUNCTION("""COMPUTED_VALUE"""),"น.ส.เบญจพร โพธิสาร")</f>
        <v>น.ส.เบญจพร โพธิสาร</v>
      </c>
      <c r="H1412" s="1" t="str">
        <f>IFERROR(__xludf.DUMMYFUNCTION("""COMPUTED_VALUE"""),"476018")</f>
        <v>476018</v>
      </c>
      <c r="I1412" s="1" t="str">
        <f>IFERROR(__xludf.DUMMYFUNCTION("""COMPUTED_VALUE"""),"นายศราวุฒิ ชูพันดุง")</f>
        <v>นายศราวุฒิ ชูพันดุง</v>
      </c>
      <c r="J1412" s="3">
        <f>IFERROR(__xludf.DUMMYFUNCTION("""COMPUTED_VALUE"""),3510104.0)</f>
        <v>3510104</v>
      </c>
      <c r="K1412" s="3" t="str">
        <f>IFERROR(__xludf.DUMMYFUNCTION("""COMPUTED_VALUE"""),"นายวิโรจน์ อับดุลสมัด")</f>
        <v>นายวิโรจน์ อับดุลสมัด</v>
      </c>
      <c r="L1412" s="1" t="str">
        <f>IFERROR(__xludf.DUMMYFUNCTION("""COMPUTED_VALUE"""),"09 K.Wirode A")</f>
        <v>09 K.Wirode A</v>
      </c>
      <c r="M1412" s="1" t="str">
        <f>IFERROR(__xludf.DUMMYFUNCTION("""COMPUTED_VALUE"""),"080-235-4465")</f>
        <v>080-235-4465</v>
      </c>
      <c r="N1412" s="3">
        <f>IFERROR(__xludf.DUMMYFUNCTION("""COMPUTED_VALUE"""),21324.0)</f>
        <v>21324</v>
      </c>
      <c r="O1412" s="3" t="str">
        <f>IFERROR(__xludf.DUMMYFUNCTION("""COMPUTED_VALUE"""),"MBC BCP สุวินทวงศ์")</f>
        <v>MBC BCP สุวินทวงศ์</v>
      </c>
      <c r="P1412" s="4">
        <f>IFERROR(__xludf.DUMMYFUNCTION("""COMPUTED_VALUE"""),43910.0)</f>
        <v>43910</v>
      </c>
      <c r="Q1412" s="3" t="str">
        <f>IFERROR(__xludf.DUMMYFUNCTION("""COMPUTED_VALUE"""),"I")</f>
        <v>I</v>
      </c>
      <c r="R1412" s="3" t="str">
        <f>IFERROR(__xludf.DUMMYFUNCTION("""COMPUTED_VALUE"""),"Small Format")</f>
        <v>Small Format</v>
      </c>
      <c r="S1412" s="3" t="str">
        <f>IFERROR(__xludf.DUMMYFUNCTION("""COMPUTED_VALUE"""),"BCM")</f>
        <v>BCM</v>
      </c>
      <c r="T1412" s="3" t="str">
        <f>IFERROR(__xludf.DUMMYFUNCTION("""COMPUTED_VALUE"""),"#N/A")</f>
        <v>#N/A</v>
      </c>
      <c r="U1412" s="3" t="str">
        <f>IFERROR(__xludf.DUMMYFUNCTION("""COMPUTED_VALUE"""),"#N/A")</f>
        <v>#N/A</v>
      </c>
      <c r="V1412" s="3" t="str">
        <f>IFERROR(__xludf.DUMMYFUNCTION("""COMPUTED_VALUE"""),"N")</f>
        <v>N</v>
      </c>
      <c r="W1412" s="3">
        <f>IFERROR(__xludf.DUMMYFUNCTION("""COMPUTED_VALUE"""),210126.0)</f>
        <v>210126</v>
      </c>
      <c r="X1412" s="3" t="str">
        <f>IFERROR(__xludf.DUMMYFUNCTION("""COMPUTED_VALUE"""),"19/41 ซอย1 ถนนเทศบาลพัฒนา1 ตำบลเหมือง อำเภอเมืองชลบุรี จังหวัดชลบุรี 20130")</f>
        <v>19/41 ซอย1 ถนนเทศบาลพัฒนา1 ตำบลเหมือง อำเภอเมืองชลบุรี จังหวัดชลบุรี 20130</v>
      </c>
      <c r="Y1412" s="3" t="str">
        <f>IFERROR(__xludf.DUMMYFUNCTION("""COMPUTED_VALUE"""),"ซอย1")</f>
        <v>ซอย1</v>
      </c>
      <c r="Z1412" s="3" t="str">
        <f>IFERROR(__xludf.DUMMYFUNCTION("""COMPUTED_VALUE"""),"เหมือง")</f>
        <v>เหมือง</v>
      </c>
      <c r="AA1412" s="3" t="str">
        <f>IFERROR(__xludf.DUMMYFUNCTION("""COMPUTED_VALUE"""),"เมือง")</f>
        <v>เมือง</v>
      </c>
      <c r="AB1412" s="3" t="str">
        <f>IFERROR(__xludf.DUMMYFUNCTION("""COMPUTED_VALUE"""),"ชลบุรี")</f>
        <v>ชลบุรี</v>
      </c>
      <c r="AC1412" s="3">
        <f>IFERROR(__xludf.DUMMYFUNCTION("""COMPUTED_VALUE"""),20130.0)</f>
        <v>20130</v>
      </c>
      <c r="AD1412" s="3">
        <f>IFERROR(__xludf.DUMMYFUNCTION("""COMPUTED_VALUE"""),13.275093)</f>
        <v>13.275093</v>
      </c>
      <c r="AE1412" s="3">
        <f>IFERROR(__xludf.DUMMYFUNCTION("""COMPUTED_VALUE"""),100.944014)</f>
        <v>100.944014</v>
      </c>
      <c r="AF1412" s="3" t="str">
        <f>IFERROR(__xludf.DUMMYFUNCTION("""COMPUTED_VALUE"""),"MBC เทศบาลพัฒนา-แสนสุข ชลบุรี-22095")</f>
        <v>MBC เทศบาลพัฒนา-แสนสุข ชลบุรี-22095</v>
      </c>
      <c r="AG1412" s="3" t="str">
        <f>IFERROR(__xludf.DUMMYFUNCTION("""COMPUTED_VALUE"""),"ตะวันออก")</f>
        <v>ตะวันออก</v>
      </c>
      <c r="AH1412" s="3" t="str">
        <f>IFERROR(__xludf.DUMMYFUNCTION("""COMPUTED_VALUE"""),"#N/A")</f>
        <v>#N/A</v>
      </c>
      <c r="AI1412" s="3" t="str">
        <f>IFERROR(__xludf.DUMMYFUNCTION("""COMPUTED_VALUE"""),"Out of warranty")</f>
        <v>Out of warranty</v>
      </c>
      <c r="AJ1412" s="3">
        <f>IFERROR(__xludf.DUMMYFUNCTION("""COMPUTED_VALUE"""),71.0)</f>
        <v>71</v>
      </c>
      <c r="AK1412" s="3" t="str">
        <f>IFERROR(__xludf.DUMMYFUNCTION("""COMPUTED_VALUE"""),"MMS06")</f>
        <v>MMS06</v>
      </c>
      <c r="AL1412" s="3"/>
    </row>
    <row r="1413" ht="15.75" customHeight="1">
      <c r="A1413" s="1" t="str">
        <f>IFERROR(__xludf.DUMMYFUNCTION("""COMPUTED_VALUE"""),"22096")</f>
        <v>22096</v>
      </c>
      <c r="B1413" s="2">
        <f>IFERROR(__xludf.DUMMYFUNCTION("""COMPUTED_VALUE"""),22096.0)</f>
        <v>22096</v>
      </c>
      <c r="C1413" s="3" t="str">
        <f>IFERROR(__xludf.DUMMYFUNCTION("""COMPUTED_VALUE"""),"MBC คีรีรัฐนิคม สุราษฎร์ธานี")</f>
        <v>MBC คีรีรัฐนิคม สุราษฎร์ธานี</v>
      </c>
      <c r="D1413" s="3" t="str">
        <f>IFERROR(__xludf.DUMMYFUNCTION("""COMPUTED_VALUE"""),"BCM KHIRI RATNIKHOM")</f>
        <v>BCM KHIRI RATNIKHOM</v>
      </c>
      <c r="E1413" s="1" t="str">
        <f>IFERROR(__xludf.DUMMYFUNCTION("""COMPUTED_VALUE"""),"บิ๊กซี MINI")</f>
        <v>บิ๊กซี MINI</v>
      </c>
      <c r="F1413" s="1" t="str">
        <f>IFERROR(__xludf.DUMMYFUNCTION("""COMPUTED_VALUE"""),"250760")</f>
        <v>250760</v>
      </c>
      <c r="G1413" s="1" t="str">
        <f>IFERROR(__xludf.DUMMYFUNCTION("""COMPUTED_VALUE"""),"นายประทวน สาราบรรณ์")</f>
        <v>นายประทวน สาราบรรณ์</v>
      </c>
      <c r="H1413" s="1" t="str">
        <f>IFERROR(__xludf.DUMMYFUNCTION("""COMPUTED_VALUE"""),"228389")</f>
        <v>228389</v>
      </c>
      <c r="I1413" s="1" t="str">
        <f>IFERROR(__xludf.DUMMYFUNCTION("""COMPUTED_VALUE"""),"นายมณีรันดร์ ชัยชนะ")</f>
        <v>นายมณีรันดร์ ชัยชนะ</v>
      </c>
      <c r="J1413" s="3">
        <f>IFERROR(__xludf.DUMMYFUNCTION("""COMPUTED_VALUE"""),2.0470331E7)</f>
        <v>20470331</v>
      </c>
      <c r="K1413" s="3" t="str">
        <f>IFERROR(__xludf.DUMMYFUNCTION("""COMPUTED_VALUE"""),"นายสมชาย ลักษณะสุวรรณ")</f>
        <v>นายสมชาย ลักษณะสุวรรณ</v>
      </c>
      <c r="L1413" s="1" t="str">
        <f>IFERROR(__xludf.DUMMYFUNCTION("""COMPUTED_VALUE"""),"15 K.Somchai L")</f>
        <v>15 K.Somchai L</v>
      </c>
      <c r="M1413" s="1" t="str">
        <f>IFERROR(__xludf.DUMMYFUNCTION("""COMPUTED_VALUE"""),"0655107372")</f>
        <v>0655107372</v>
      </c>
      <c r="N1413" s="3">
        <f>IFERROR(__xludf.DUMMYFUNCTION("""COMPUTED_VALUE"""),21723.0)</f>
        <v>21723</v>
      </c>
      <c r="O1413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413" s="4">
        <f>IFERROR(__xludf.DUMMYFUNCTION("""COMPUTED_VALUE"""),43910.0)</f>
        <v>43910</v>
      </c>
      <c r="Q1413" s="3" t="str">
        <f>IFERROR(__xludf.DUMMYFUNCTION("""COMPUTED_VALUE"""),"I")</f>
        <v>I</v>
      </c>
      <c r="R1413" s="3" t="str">
        <f>IFERROR(__xludf.DUMMYFUNCTION("""COMPUTED_VALUE"""),"Small Format")</f>
        <v>Small Format</v>
      </c>
      <c r="S1413" s="3" t="str">
        <f>IFERROR(__xludf.DUMMYFUNCTION("""COMPUTED_VALUE"""),"BCM")</f>
        <v>BCM</v>
      </c>
      <c r="T1413" s="3" t="str">
        <f>IFERROR(__xludf.DUMMYFUNCTION("""COMPUTED_VALUE"""),"#N/A")</f>
        <v>#N/A</v>
      </c>
      <c r="U1413" s="3" t="str">
        <f>IFERROR(__xludf.DUMMYFUNCTION("""COMPUTED_VALUE"""),"#N/A")</f>
        <v>#N/A</v>
      </c>
      <c r="V1413" s="3" t="str">
        <f>IFERROR(__xludf.DUMMYFUNCTION("""COMPUTED_VALUE"""),"N")</f>
        <v>N</v>
      </c>
      <c r="W1413" s="3">
        <f>IFERROR(__xludf.DUMMYFUNCTION("""COMPUTED_VALUE"""),210140.0)</f>
        <v>210140</v>
      </c>
      <c r="X1413" s="3" t="str">
        <f>IFERROR(__xludf.DUMMYFUNCTION("""COMPUTED_VALUE"""),"164/7 หมู่1 ตำบลท่าขนอน อำเภอคีรีรัฐนิคม จังหวัดสุราษฎร์ธานี 84180")</f>
        <v>164/7 หมู่1 ตำบลท่าขนอน อำเภอคีรีรัฐนิคม จังหวัดสุราษฎร์ธานี 84180</v>
      </c>
      <c r="Y1413" s="3"/>
      <c r="Z1413" s="3" t="str">
        <f>IFERROR(__xludf.DUMMYFUNCTION("""COMPUTED_VALUE"""),"ท่าขนอน")</f>
        <v>ท่าขนอน</v>
      </c>
      <c r="AA1413" s="3" t="str">
        <f>IFERROR(__xludf.DUMMYFUNCTION("""COMPUTED_VALUE"""),"คีรีรัฐนิคม")</f>
        <v>คีรีรัฐนิคม</v>
      </c>
      <c r="AB1413" s="3" t="str">
        <f>IFERROR(__xludf.DUMMYFUNCTION("""COMPUTED_VALUE"""),"สุราษฎร์ธานี")</f>
        <v>สุราษฎร์ธานี</v>
      </c>
      <c r="AC1413" s="3">
        <f>IFERROR(__xludf.DUMMYFUNCTION("""COMPUTED_VALUE"""),84180.0)</f>
        <v>84180</v>
      </c>
      <c r="AD1413" s="3">
        <f>IFERROR(__xludf.DUMMYFUNCTION("""COMPUTED_VALUE"""),9.028674)</f>
        <v>9.028674</v>
      </c>
      <c r="AE1413" s="3">
        <f>IFERROR(__xludf.DUMMYFUNCTION("""COMPUTED_VALUE"""),98.956105)</f>
        <v>98.956105</v>
      </c>
      <c r="AF1413" s="3" t="str">
        <f>IFERROR(__xludf.DUMMYFUNCTION("""COMPUTED_VALUE"""),"MBC คีรีรัฐนิคม สุราษฎร์ธานี-22096")</f>
        <v>MBC คีรีรัฐนิคม สุราษฎร์ธานี-22096</v>
      </c>
      <c r="AG1413" s="3" t="str">
        <f>IFERROR(__xludf.DUMMYFUNCTION("""COMPUTED_VALUE"""),"ใต้")</f>
        <v>ใต้</v>
      </c>
      <c r="AH1413" s="3" t="str">
        <f>IFERROR(__xludf.DUMMYFUNCTION("""COMPUTED_VALUE"""),"#N/A")</f>
        <v>#N/A</v>
      </c>
      <c r="AI1413" s="3" t="str">
        <f>IFERROR(__xludf.DUMMYFUNCTION("""COMPUTED_VALUE"""),"Out of warranty")</f>
        <v>Out of warranty</v>
      </c>
      <c r="AJ1413" s="3">
        <f>IFERROR(__xludf.DUMMYFUNCTION("""COMPUTED_VALUE"""),71.0)</f>
        <v>71</v>
      </c>
      <c r="AK1413" s="3" t="str">
        <f>IFERROR(__xludf.DUMMYFUNCTION("""COMPUTED_VALUE"""),"MMS14")</f>
        <v>MMS14</v>
      </c>
      <c r="AL1413" s="3"/>
    </row>
    <row r="1414" ht="15.75" customHeight="1">
      <c r="A1414" s="1" t="str">
        <f>IFERROR(__xludf.DUMMYFUNCTION("""COMPUTED_VALUE"""),"22097")</f>
        <v>22097</v>
      </c>
      <c r="B1414" s="2">
        <f>IFERROR(__xludf.DUMMYFUNCTION("""COMPUTED_VALUE"""),22097.0)</f>
        <v>22097</v>
      </c>
      <c r="C1414" s="3" t="str">
        <f>IFERROR(__xludf.DUMMYFUNCTION("""COMPUTED_VALUE"""),"MBC นาหว้า นครพนม")</f>
        <v>MBC นาหว้า นครพนม</v>
      </c>
      <c r="D1414" s="3" t="str">
        <f>IFERROR(__xludf.DUMMYFUNCTION("""COMPUTED_VALUE"""),"BCM NAWA NAKHON PHANOM")</f>
        <v>BCM NAWA NAKHON PHANOM</v>
      </c>
      <c r="E1414" s="1" t="str">
        <f>IFERROR(__xludf.DUMMYFUNCTION("""COMPUTED_VALUE"""),"บิ๊กซี MINI")</f>
        <v>บิ๊กซี MINI</v>
      </c>
      <c r="F1414" s="1" t="str">
        <f>IFERROR(__xludf.DUMMYFUNCTION("""COMPUTED_VALUE"""),"291105")</f>
        <v>291105</v>
      </c>
      <c r="G1414" s="1" t="str">
        <f>IFERROR(__xludf.DUMMYFUNCTION("""COMPUTED_VALUE"""),"นายสราวุฒิ พณิชยกุล")</f>
        <v>นายสราวุฒิ พณิชยกุล</v>
      </c>
      <c r="H1414" s="1" t="str">
        <f>IFERROR(__xludf.DUMMYFUNCTION("""COMPUTED_VALUE"""),"392885")</f>
        <v>392885</v>
      </c>
      <c r="I1414" s="1" t="str">
        <f>IFERROR(__xludf.DUMMYFUNCTION("""COMPUTED_VALUE"""),"น.ส.วราพร จันปลิว")</f>
        <v>น.ส.วราพร จันปลิว</v>
      </c>
      <c r="J1414" s="3">
        <f>IFERROR(__xludf.DUMMYFUNCTION("""COMPUTED_VALUE"""),296868.0)</f>
        <v>296868</v>
      </c>
      <c r="K1414" s="3" t="str">
        <f>IFERROR(__xludf.DUMMYFUNCTION("""COMPUTED_VALUE"""),"นายพีระพงษ์ แก้วดวงดี")</f>
        <v>นายพีระพงษ์ แก้วดวงดี</v>
      </c>
      <c r="L1414" s="1" t="str">
        <f>IFERROR(__xludf.DUMMYFUNCTION("""COMPUTED_VALUE"""),"03 K.Peerapong K.")</f>
        <v>03 K.Peerapong K.</v>
      </c>
      <c r="M1414" s="1" t="str">
        <f>IFERROR(__xludf.DUMMYFUNCTION("""COMPUTED_VALUE"""),"089-002-6599")</f>
        <v>089-002-6599</v>
      </c>
      <c r="N1414" s="3">
        <f>IFERROR(__xludf.DUMMYFUNCTION("""COMPUTED_VALUE"""),21946.0)</f>
        <v>21946</v>
      </c>
      <c r="O1414" s="3" t="str">
        <f>IFERROR(__xludf.DUMMYFUNCTION("""COMPUTED_VALUE"""),"MBC เซกา บึงกาฬ")</f>
        <v>MBC เซกา บึงกาฬ</v>
      </c>
      <c r="P1414" s="4">
        <f>IFERROR(__xludf.DUMMYFUNCTION("""COMPUTED_VALUE"""),43895.0)</f>
        <v>43895</v>
      </c>
      <c r="Q1414" s="3" t="str">
        <f>IFERROR(__xludf.DUMMYFUNCTION("""COMPUTED_VALUE"""),"A")</f>
        <v>A</v>
      </c>
      <c r="R1414" s="3" t="str">
        <f>IFERROR(__xludf.DUMMYFUNCTION("""COMPUTED_VALUE"""),"Small Format")</f>
        <v>Small Format</v>
      </c>
      <c r="S1414" s="3" t="str">
        <f>IFERROR(__xludf.DUMMYFUNCTION("""COMPUTED_VALUE"""),"BCM")</f>
        <v>BCM</v>
      </c>
      <c r="T1414" s="3" t="str">
        <f>IFERROR(__xludf.DUMMYFUNCTION("""COMPUTED_VALUE"""),"#N/A")</f>
        <v>#N/A</v>
      </c>
      <c r="U1414" s="3" t="str">
        <f>IFERROR(__xludf.DUMMYFUNCTION("""COMPUTED_VALUE"""),"#N/A")</f>
        <v>#N/A</v>
      </c>
      <c r="V1414" s="3" t="str">
        <f>IFERROR(__xludf.DUMMYFUNCTION("""COMPUTED_VALUE"""),"N")</f>
        <v>N</v>
      </c>
      <c r="W1414" s="3">
        <f>IFERROR(__xludf.DUMMYFUNCTION("""COMPUTED_VALUE"""),210129.0)</f>
        <v>210129</v>
      </c>
      <c r="X1414" s="3" t="str">
        <f>IFERROR(__xludf.DUMMYFUNCTION("""COMPUTED_VALUE"""),"127/2 หมู่4 ตำบลนาหว้า อำเภอนาหว้า จังหวัดนครพนม 48180")</f>
        <v>127/2 หมู่4 ตำบลนาหว้า อำเภอนาหว้า จังหวัดนครพนม 48180</v>
      </c>
      <c r="Y1414" s="3"/>
      <c r="Z1414" s="3" t="str">
        <f>IFERROR(__xludf.DUMMYFUNCTION("""COMPUTED_VALUE"""),"นาหว้า")</f>
        <v>นาหว้า</v>
      </c>
      <c r="AA1414" s="3" t="str">
        <f>IFERROR(__xludf.DUMMYFUNCTION("""COMPUTED_VALUE"""),"นาหว้า")</f>
        <v>นาหว้า</v>
      </c>
      <c r="AB1414" s="3" t="str">
        <f>IFERROR(__xludf.DUMMYFUNCTION("""COMPUTED_VALUE"""),"นครพนม")</f>
        <v>นครพนม</v>
      </c>
      <c r="AC1414" s="3">
        <f>IFERROR(__xludf.DUMMYFUNCTION("""COMPUTED_VALUE"""),48180.0)</f>
        <v>48180</v>
      </c>
      <c r="AD1414" s="3">
        <f>IFERROR(__xludf.DUMMYFUNCTION("""COMPUTED_VALUE"""),17.486)</f>
        <v>17.486</v>
      </c>
      <c r="AE1414" s="3">
        <f>IFERROR(__xludf.DUMMYFUNCTION("""COMPUTED_VALUE"""),104.09938)</f>
        <v>104.09938</v>
      </c>
      <c r="AF1414" s="3" t="str">
        <f>IFERROR(__xludf.DUMMYFUNCTION("""COMPUTED_VALUE"""),"MBC นาหว้า นครพนม-22097")</f>
        <v>MBC นาหว้า นครพนม-22097</v>
      </c>
      <c r="AG1414" s="3" t="str">
        <f>IFERROR(__xludf.DUMMYFUNCTION("""COMPUTED_VALUE"""),"ตะวันออกเฉียงเหนือ")</f>
        <v>ตะวันออกเฉียงเหนือ</v>
      </c>
      <c r="AH1414" s="3" t="str">
        <f>IFERROR(__xludf.DUMMYFUNCTION("""COMPUTED_VALUE"""),"#N/A")</f>
        <v>#N/A</v>
      </c>
      <c r="AI1414" s="3" t="str">
        <f>IFERROR(__xludf.DUMMYFUNCTION("""COMPUTED_VALUE"""),"Out of warranty")</f>
        <v>Out of warranty</v>
      </c>
      <c r="AJ1414" s="3">
        <f>IFERROR(__xludf.DUMMYFUNCTION("""COMPUTED_VALUE"""),71.0)</f>
        <v>71</v>
      </c>
      <c r="AK1414" s="3" t="str">
        <f>IFERROR(__xludf.DUMMYFUNCTION("""COMPUTED_VALUE"""),"MMS12")</f>
        <v>MMS12</v>
      </c>
      <c r="AL1414" s="3"/>
    </row>
    <row r="1415" ht="15.75" customHeight="1">
      <c r="A1415" s="1" t="str">
        <f>IFERROR(__xludf.DUMMYFUNCTION("""COMPUTED_VALUE"""),"22099")</f>
        <v>22099</v>
      </c>
      <c r="B1415" s="2">
        <f>IFERROR(__xludf.DUMMYFUNCTION("""COMPUTED_VALUE"""),22099.0)</f>
        <v>22099</v>
      </c>
      <c r="C1415" s="3" t="str">
        <f>IFERROR(__xludf.DUMMYFUNCTION("""COMPUTED_VALUE"""),"MBC คู้คลองเก้า กรุงเทพมหานคร")</f>
        <v>MBC คู้คลองเก้า กรุงเทพมหานคร</v>
      </c>
      <c r="D1415" s="3" t="str">
        <f>IFERROR(__xludf.DUMMYFUNCTION("""COMPUTED_VALUE"""),"BCM KHU KHLONG KAO, BANGKOK")</f>
        <v>BCM KHU KHLONG KAO, BANGKOK</v>
      </c>
      <c r="E1415" s="1" t="str">
        <f>IFERROR(__xludf.DUMMYFUNCTION("""COMPUTED_VALUE"""),"บิ๊กซี MINI")</f>
        <v>บิ๊กซี MINI</v>
      </c>
      <c r="F1415" s="1" t="str">
        <f>IFERROR(__xludf.DUMMYFUNCTION("""COMPUTED_VALUE"""),"291008")</f>
        <v>291008</v>
      </c>
      <c r="G1415" s="1" t="str">
        <f>IFERROR(__xludf.DUMMYFUNCTION("""COMPUTED_VALUE"""),"น.ส.รัชดาพร อีศรัตน์")</f>
        <v>น.ส.รัชดาพร อีศรัตน์</v>
      </c>
      <c r="H1415" s="1" t="str">
        <f>IFERROR(__xludf.DUMMYFUNCTION("""COMPUTED_VALUE"""),"228242")</f>
        <v>228242</v>
      </c>
      <c r="I1415" s="1" t="str">
        <f>IFERROR(__xludf.DUMMYFUNCTION("""COMPUTED_VALUE"""),"นายสมชาย เยมรัมย์")</f>
        <v>นายสมชาย เยมรัมย์</v>
      </c>
      <c r="J1415" s="3">
        <f>IFERROR(__xludf.DUMMYFUNCTION("""COMPUTED_VALUE"""),3510104.0)</f>
        <v>3510104</v>
      </c>
      <c r="K1415" s="3" t="str">
        <f>IFERROR(__xludf.DUMMYFUNCTION("""COMPUTED_VALUE"""),"นายวิโรจน์ อับดุลสมัด")</f>
        <v>นายวิโรจน์ อับดุลสมัด</v>
      </c>
      <c r="L1415" s="1" t="str">
        <f>IFERROR(__xludf.DUMMYFUNCTION("""COMPUTED_VALUE"""),"09 K.Wirode A")</f>
        <v>09 K.Wirode A</v>
      </c>
      <c r="M1415" s="1" t="str">
        <f>IFERROR(__xludf.DUMMYFUNCTION("""COMPUTED_VALUE"""),"080-235-4465")</f>
        <v>080-235-4465</v>
      </c>
      <c r="N1415" s="3">
        <f>IFERROR(__xludf.DUMMYFUNCTION("""COMPUTED_VALUE"""),21324.0)</f>
        <v>21324</v>
      </c>
      <c r="O1415" s="3" t="str">
        <f>IFERROR(__xludf.DUMMYFUNCTION("""COMPUTED_VALUE"""),"MBC BCP สุวินทวงศ์")</f>
        <v>MBC BCP สุวินทวงศ์</v>
      </c>
      <c r="P1415" s="4">
        <f>IFERROR(__xludf.DUMMYFUNCTION("""COMPUTED_VALUE"""),43921.0)</f>
        <v>43921</v>
      </c>
      <c r="Q1415" s="3" t="str">
        <f>IFERROR(__xludf.DUMMYFUNCTION("""COMPUTED_VALUE"""),"A")</f>
        <v>A</v>
      </c>
      <c r="R1415" s="3" t="str">
        <f>IFERROR(__xludf.DUMMYFUNCTION("""COMPUTED_VALUE"""),"Small Format")</f>
        <v>Small Format</v>
      </c>
      <c r="S1415" s="3" t="str">
        <f>IFERROR(__xludf.DUMMYFUNCTION("""COMPUTED_VALUE"""),"BCM")</f>
        <v>BCM</v>
      </c>
      <c r="T1415" s="3" t="str">
        <f>IFERROR(__xludf.DUMMYFUNCTION("""COMPUTED_VALUE"""),"#N/A")</f>
        <v>#N/A</v>
      </c>
      <c r="U1415" s="3" t="str">
        <f>IFERROR(__xludf.DUMMYFUNCTION("""COMPUTED_VALUE"""),"#N/A")</f>
        <v>#N/A</v>
      </c>
      <c r="V1415" s="3" t="str">
        <f>IFERROR(__xludf.DUMMYFUNCTION("""COMPUTED_VALUE"""),"N")</f>
        <v>N</v>
      </c>
      <c r="W1415" s="3">
        <f>IFERROR(__xludf.DUMMYFUNCTION("""COMPUTED_VALUE"""),210113.0)</f>
        <v>210113</v>
      </c>
      <c r="X1415" s="3" t="str">
        <f>IFERROR(__xludf.DUMMYFUNCTION("""COMPUTED_VALUE"""),"38/18 หมู่2 แขวงคลองสิบ เขตหนองจอก จังหวัดกรุงเทพ 10530")</f>
        <v>38/18 หมู่2 แขวงคลองสิบ เขตหนองจอก จังหวัดกรุงเทพ 10530</v>
      </c>
      <c r="Y1415" s="3"/>
      <c r="Z1415" s="3" t="str">
        <f>IFERROR(__xludf.DUMMYFUNCTION("""COMPUTED_VALUE"""),"คลองสิบ")</f>
        <v>คลองสิบ</v>
      </c>
      <c r="AA1415" s="3" t="str">
        <f>IFERROR(__xludf.DUMMYFUNCTION("""COMPUTED_VALUE"""),"หนองจอก")</f>
        <v>หนองจอก</v>
      </c>
      <c r="AB1415" s="3" t="str">
        <f>IFERROR(__xludf.DUMMYFUNCTION("""COMPUTED_VALUE"""),"กรุงเทพมหานคร")</f>
        <v>กรุงเทพมหานคร</v>
      </c>
      <c r="AC1415" s="3">
        <f>IFERROR(__xludf.DUMMYFUNCTION("""COMPUTED_VALUE"""),10530.0)</f>
        <v>10530</v>
      </c>
      <c r="AD1415" s="3">
        <f>IFERROR(__xludf.DUMMYFUNCTION("""COMPUTED_VALUE"""),13.90769)</f>
        <v>13.90769</v>
      </c>
      <c r="AE1415" s="3">
        <f>IFERROR(__xludf.DUMMYFUNCTION("""COMPUTED_VALUE"""),100.793872)</f>
        <v>100.793872</v>
      </c>
      <c r="AF1415" s="3" t="str">
        <f>IFERROR(__xludf.DUMMYFUNCTION("""COMPUTED_VALUE"""),"MBC คู้คลองเก้า กรุงเทพมหานคร-22099")</f>
        <v>MBC คู้คลองเก้า กรุงเทพมหานคร-22099</v>
      </c>
      <c r="AG1415" s="3" t="str">
        <f>IFERROR(__xludf.DUMMYFUNCTION("""COMPUTED_VALUE"""),"กลาง")</f>
        <v>กลาง</v>
      </c>
      <c r="AH1415" s="3" t="str">
        <f>IFERROR(__xludf.DUMMYFUNCTION("""COMPUTED_VALUE"""),"#N/A")</f>
        <v>#N/A</v>
      </c>
      <c r="AI1415" s="3" t="str">
        <f>IFERROR(__xludf.DUMMYFUNCTION("""COMPUTED_VALUE"""),"Out of warranty")</f>
        <v>Out of warranty</v>
      </c>
      <c r="AJ1415" s="3">
        <f>IFERROR(__xludf.DUMMYFUNCTION("""COMPUTED_VALUE"""),70.0)</f>
        <v>70</v>
      </c>
      <c r="AK1415" s="3" t="str">
        <f>IFERROR(__xludf.DUMMYFUNCTION("""COMPUTED_VALUE"""),"MMS04")</f>
        <v>MMS04</v>
      </c>
      <c r="AL1415" s="3"/>
    </row>
    <row r="1416" ht="15.75" customHeight="1">
      <c r="A1416" s="1" t="str">
        <f>IFERROR(__xludf.DUMMYFUNCTION("""COMPUTED_VALUE"""),"22100")</f>
        <v>22100</v>
      </c>
      <c r="B1416" s="2">
        <f>IFERROR(__xludf.DUMMYFUNCTION("""COMPUTED_VALUE"""),22100.0)</f>
        <v>22100</v>
      </c>
      <c r="C1416" s="3" t="str">
        <f>IFERROR(__xludf.DUMMYFUNCTION("""COMPUTED_VALUE"""),"MBC ถนนกันทรลักษ์ อุบลราชธานี")</f>
        <v>MBC ถนนกันทรลักษ์ อุบลราชธานี</v>
      </c>
      <c r="D1416" s="3" t="str">
        <f>IFERROR(__xludf.DUMMYFUNCTION("""COMPUTED_VALUE"""),"BCM THANON KANTHARALAK")</f>
        <v>BCM THANON KANTHARALAK</v>
      </c>
      <c r="E1416" s="1" t="str">
        <f>IFERROR(__xludf.DUMMYFUNCTION("""COMPUTED_VALUE"""),"บิ๊กซี MINI")</f>
        <v>บิ๊กซี MINI</v>
      </c>
      <c r="F1416" s="1" t="str">
        <f>IFERROR(__xludf.DUMMYFUNCTION("""COMPUTED_VALUE"""),"291105")</f>
        <v>291105</v>
      </c>
      <c r="G1416" s="1" t="str">
        <f>IFERROR(__xludf.DUMMYFUNCTION("""COMPUTED_VALUE"""),"นายสราวุฒิ พณิชยกุล")</f>
        <v>นายสราวุฒิ พณิชยกุล</v>
      </c>
      <c r="H1416" s="1" t="str">
        <f>IFERROR(__xludf.DUMMYFUNCTION("""COMPUTED_VALUE"""),"250772")</f>
        <v>250772</v>
      </c>
      <c r="I1416" s="1" t="str">
        <f>IFERROR(__xludf.DUMMYFUNCTION("""COMPUTED_VALUE"""),"น.ส.วรุณยุพา จรูญไธสง")</f>
        <v>น.ส.วรุณยุพา จรูญไธสง</v>
      </c>
      <c r="J1416" s="3">
        <f>IFERROR(__xludf.DUMMYFUNCTION("""COMPUTED_VALUE"""),2454781.0)</f>
        <v>2454781</v>
      </c>
      <c r="K1416" s="3" t="str">
        <f>IFERROR(__xludf.DUMMYFUNCTION("""COMPUTED_VALUE"""),"นายฌานกฤช นันทะโคต")</f>
        <v>นายฌานกฤช นันทะโคต</v>
      </c>
      <c r="L1416" s="1" t="str">
        <f>IFERROR(__xludf.DUMMYFUNCTION("""COMPUTED_VALUE"""),"05 K.Chanakrit N.")</f>
        <v>05 K.Chanakrit N.</v>
      </c>
      <c r="M1416" s="1" t="str">
        <f>IFERROR(__xludf.DUMMYFUNCTION("""COMPUTED_VALUE"""),"090-978-9785 ,065-929-1320")</f>
        <v>090-978-9785 ,065-929-1320</v>
      </c>
      <c r="N1416" s="3">
        <f>IFERROR(__xludf.DUMMYFUNCTION("""COMPUTED_VALUE"""),22195.0)</f>
        <v>22195</v>
      </c>
      <c r="O1416" s="3" t="str">
        <f>IFERROR(__xludf.DUMMYFUNCTION("""COMPUTED_VALUE"""),"MBC กันทรลักษ์ ศรีสะเกษ")</f>
        <v>MBC กันทรลักษ์ ศรีสะเกษ</v>
      </c>
      <c r="P1416" s="4">
        <f>IFERROR(__xludf.DUMMYFUNCTION("""COMPUTED_VALUE"""),43901.0)</f>
        <v>43901</v>
      </c>
      <c r="Q1416" s="3" t="str">
        <f>IFERROR(__xludf.DUMMYFUNCTION("""COMPUTED_VALUE"""),"A")</f>
        <v>A</v>
      </c>
      <c r="R1416" s="3" t="str">
        <f>IFERROR(__xludf.DUMMYFUNCTION("""COMPUTED_VALUE"""),"Small Format")</f>
        <v>Small Format</v>
      </c>
      <c r="S1416" s="3" t="str">
        <f>IFERROR(__xludf.DUMMYFUNCTION("""COMPUTED_VALUE"""),"BCM")</f>
        <v>BCM</v>
      </c>
      <c r="T1416" s="3" t="str">
        <f>IFERROR(__xludf.DUMMYFUNCTION("""COMPUTED_VALUE"""),"#N/A")</f>
        <v>#N/A</v>
      </c>
      <c r="U1416" s="3" t="str">
        <f>IFERROR(__xludf.DUMMYFUNCTION("""COMPUTED_VALUE"""),"#N/A")</f>
        <v>#N/A</v>
      </c>
      <c r="V1416" s="3" t="str">
        <f>IFERROR(__xludf.DUMMYFUNCTION("""COMPUTED_VALUE"""),"N")</f>
        <v>N</v>
      </c>
      <c r="W1416" s="3">
        <f>IFERROR(__xludf.DUMMYFUNCTION("""COMPUTED_VALUE"""),210110.0)</f>
        <v>210110</v>
      </c>
      <c r="X1416" s="3" t="str">
        <f>IFERROR(__xludf.DUMMYFUNCTION("""COMPUTED_VALUE"""),"61/2-4 ถนนกันทรลักษ์ ตำบลวารินชำราบ อำเภอวารินชำราบ จังหวัดอุบลราชธานี 34190")</f>
        <v>61/2-4 ถนนกันทรลักษ์ ตำบลวารินชำราบ อำเภอวารินชำราบ จังหวัดอุบลราชธานี 34190</v>
      </c>
      <c r="Y1416" s="3" t="str">
        <f>IFERROR(__xludf.DUMMYFUNCTION("""COMPUTED_VALUE"""),"ถนนกันทรลักษ์")</f>
        <v>ถนนกันทรลักษ์</v>
      </c>
      <c r="Z1416" s="3" t="str">
        <f>IFERROR(__xludf.DUMMYFUNCTION("""COMPUTED_VALUE"""),"วารินชำราบ")</f>
        <v>วารินชำราบ</v>
      </c>
      <c r="AA1416" s="3" t="str">
        <f>IFERROR(__xludf.DUMMYFUNCTION("""COMPUTED_VALUE"""),"วารินชำราบ")</f>
        <v>วารินชำราบ</v>
      </c>
      <c r="AB1416" s="3" t="str">
        <f>IFERROR(__xludf.DUMMYFUNCTION("""COMPUTED_VALUE"""),"อุบลราชธานี")</f>
        <v>อุบลราชธานี</v>
      </c>
      <c r="AC1416" s="3">
        <f>IFERROR(__xludf.DUMMYFUNCTION("""COMPUTED_VALUE"""),34190.0)</f>
        <v>34190</v>
      </c>
      <c r="AD1416" s="3">
        <f>IFERROR(__xludf.DUMMYFUNCTION("""COMPUTED_VALUE"""),15.195686)</f>
        <v>15.195686</v>
      </c>
      <c r="AE1416" s="3">
        <f>IFERROR(__xludf.DUMMYFUNCTION("""COMPUTED_VALUE"""),104.861893)</f>
        <v>104.861893</v>
      </c>
      <c r="AF1416" s="3" t="str">
        <f>IFERROR(__xludf.DUMMYFUNCTION("""COMPUTED_VALUE"""),"MBC ถนนกันทรลักษ์ อุบลราชธานี-22100")</f>
        <v>MBC ถนนกันทรลักษ์ อุบลราชธานี-22100</v>
      </c>
      <c r="AG1416" s="3" t="str">
        <f>IFERROR(__xludf.DUMMYFUNCTION("""COMPUTED_VALUE"""),"ตะวันออกเฉียงเหนือ")</f>
        <v>ตะวันออกเฉียงเหนือ</v>
      </c>
      <c r="AH1416" s="3" t="str">
        <f>IFERROR(__xludf.DUMMYFUNCTION("""COMPUTED_VALUE"""),"#N/A")</f>
        <v>#N/A</v>
      </c>
      <c r="AI1416" s="3" t="str">
        <f>IFERROR(__xludf.DUMMYFUNCTION("""COMPUTED_VALUE"""),"Out of warranty")</f>
        <v>Out of warranty</v>
      </c>
      <c r="AJ1416" s="3">
        <f>IFERROR(__xludf.DUMMYFUNCTION("""COMPUTED_VALUE"""),71.0)</f>
        <v>71</v>
      </c>
      <c r="AK1416" s="3" t="str">
        <f>IFERROR(__xludf.DUMMYFUNCTION("""COMPUTED_VALUE"""),"MMS13")</f>
        <v>MMS13</v>
      </c>
      <c r="AL1416" s="3"/>
    </row>
    <row r="1417" ht="15.75" customHeight="1">
      <c r="A1417" s="1" t="str">
        <f>IFERROR(__xludf.DUMMYFUNCTION("""COMPUTED_VALUE"""),"22101")</f>
        <v>22101</v>
      </c>
      <c r="B1417" s="2">
        <f>IFERROR(__xludf.DUMMYFUNCTION("""COMPUTED_VALUE"""),22101.0)</f>
        <v>22101</v>
      </c>
      <c r="C1417" s="3" t="str">
        <f>IFERROR(__xludf.DUMMYFUNCTION("""COMPUTED_VALUE"""),"MBC โรงพยาบาลลำพูน 2 ลำพูน")</f>
        <v>MBC โรงพยาบาลลำพูน 2 ลำพูน</v>
      </c>
      <c r="D1417" s="3" t="str">
        <f>IFERROR(__xludf.DUMMYFUNCTION("""COMPUTED_VALUE"""),"BCM LAMPHUN HOSPITAL 2")</f>
        <v>BCM LAMPHUN HOSPITAL 2</v>
      </c>
      <c r="E1417" s="1" t="str">
        <f>IFERROR(__xludf.DUMMYFUNCTION("""COMPUTED_VALUE"""),"บิ๊กซี MINI")</f>
        <v>บิ๊กซี MINI</v>
      </c>
      <c r="F1417" s="1" t="str">
        <f>IFERROR(__xludf.DUMMYFUNCTION("""COMPUTED_VALUE"""),"296229")</f>
        <v>296229</v>
      </c>
      <c r="G1417" s="1" t="str">
        <f>IFERROR(__xludf.DUMMYFUNCTION("""COMPUTED_VALUE"""),"นายทนงศักดิ์ บุญมา")</f>
        <v>นายทนงศักดิ์ บุญมา</v>
      </c>
      <c r="H1417" s="1" t="str">
        <f>IFERROR(__xludf.DUMMYFUNCTION("""COMPUTED_VALUE"""),"392003")</f>
        <v>392003</v>
      </c>
      <c r="I1417" s="1" t="str">
        <f>IFERROR(__xludf.DUMMYFUNCTION("""COMPUTED_VALUE"""),"นายวรภพ เศษสูงเนิน")</f>
        <v>นายวรภพ เศษสูงเนิน</v>
      </c>
      <c r="J1417" s="3">
        <f>IFERROR(__xludf.DUMMYFUNCTION("""COMPUTED_VALUE"""),2010016.0)</f>
        <v>2010016</v>
      </c>
      <c r="K1417" s="3" t="str">
        <f>IFERROR(__xludf.DUMMYFUNCTION("""COMPUTED_VALUE"""),"นายตวงธรรม ใหม่ยศ")</f>
        <v>นายตวงธรรม ใหม่ยศ</v>
      </c>
      <c r="L1417" s="1" t="str">
        <f>IFERROR(__xludf.DUMMYFUNCTION("""COMPUTED_VALUE"""),"01 K.Tuangtham M.")</f>
        <v>01 K.Tuangtham M.</v>
      </c>
      <c r="M1417" s="1" t="str">
        <f>IFERROR(__xludf.DUMMYFUNCTION("""COMPUTED_VALUE"""),"063-976-595")</f>
        <v>063-976-595</v>
      </c>
      <c r="N1417" s="3">
        <f>IFERROR(__xludf.DUMMYFUNCTION("""COMPUTED_VALUE"""),22574.0)</f>
        <v>22574</v>
      </c>
      <c r="O1417" s="3" t="str">
        <f>IFERROR(__xludf.DUMMYFUNCTION("""COMPUTED_VALUE"""),"BCM ชุมชนศรีชุม ลำปาง")</f>
        <v>BCM ชุมชนศรีชุม ลำปาง</v>
      </c>
      <c r="P1417" s="4">
        <f>IFERROR(__xludf.DUMMYFUNCTION("""COMPUTED_VALUE"""),43921.0)</f>
        <v>43921</v>
      </c>
      <c r="Q1417" s="3" t="str">
        <f>IFERROR(__xludf.DUMMYFUNCTION("""COMPUTED_VALUE"""),"A")</f>
        <v>A</v>
      </c>
      <c r="R1417" s="3" t="str">
        <f>IFERROR(__xludf.DUMMYFUNCTION("""COMPUTED_VALUE"""),"Small Format")</f>
        <v>Small Format</v>
      </c>
      <c r="S1417" s="3" t="str">
        <f>IFERROR(__xludf.DUMMYFUNCTION("""COMPUTED_VALUE"""),"BCM")</f>
        <v>BCM</v>
      </c>
      <c r="T1417" s="3" t="str">
        <f>IFERROR(__xludf.DUMMYFUNCTION("""COMPUTED_VALUE"""),"#N/A")</f>
        <v>#N/A</v>
      </c>
      <c r="U1417" s="3" t="str">
        <f>IFERROR(__xludf.DUMMYFUNCTION("""COMPUTED_VALUE"""),"#N/A")</f>
        <v>#N/A</v>
      </c>
      <c r="V1417" s="3" t="str">
        <f>IFERROR(__xludf.DUMMYFUNCTION("""COMPUTED_VALUE"""),"N")</f>
        <v>N</v>
      </c>
      <c r="W1417" s="3">
        <f>IFERROR(__xludf.DUMMYFUNCTION("""COMPUTED_VALUE"""),210171.0)</f>
        <v>210171</v>
      </c>
      <c r="X1417" s="3" t="str">
        <f>IFERROR(__xludf.DUMMYFUNCTION("""COMPUTED_VALUE"""),"อาคารราชพัสดุลำดับที่1 177 หมู่11 ตำบลต้นธง อำเภอเมืองลำพูน จังหวัดลำพูน 51000")</f>
        <v>อาคารราชพัสดุลำดับที่1 177 หมู่11 ตำบลต้นธง อำเภอเมืองลำพูน จังหวัดลำพูน 51000</v>
      </c>
      <c r="Y1417" s="3"/>
      <c r="Z1417" s="3" t="str">
        <f>IFERROR(__xludf.DUMMYFUNCTION("""COMPUTED_VALUE"""),"หมู่11")</f>
        <v>หมู่11</v>
      </c>
      <c r="AA1417" s="3" t="str">
        <f>IFERROR(__xludf.DUMMYFUNCTION("""COMPUTED_VALUE"""),"เมือง")</f>
        <v>เมือง</v>
      </c>
      <c r="AB1417" s="3" t="str">
        <f>IFERROR(__xludf.DUMMYFUNCTION("""COMPUTED_VALUE"""),"ลำพูน")</f>
        <v>ลำพูน</v>
      </c>
      <c r="AC1417" s="3">
        <f>IFERROR(__xludf.DUMMYFUNCTION("""COMPUTED_VALUE"""),51000.0)</f>
        <v>51000</v>
      </c>
      <c r="AD1417" s="3">
        <f>IFERROR(__xludf.DUMMYFUNCTION("""COMPUTED_VALUE"""),18.582722)</f>
        <v>18.582722</v>
      </c>
      <c r="AE1417" s="3">
        <f>IFERROR(__xludf.DUMMYFUNCTION("""COMPUTED_VALUE"""),98.994675)</f>
        <v>98.994675</v>
      </c>
      <c r="AF1417" s="3" t="str">
        <f>IFERROR(__xludf.DUMMYFUNCTION("""COMPUTED_VALUE"""),"MBC โรงพยาบาลลำพูน 2 ลำพูน-22101")</f>
        <v>MBC โรงพยาบาลลำพูน 2 ลำพูน-22101</v>
      </c>
      <c r="AG1417" s="3" t="str">
        <f>IFERROR(__xludf.DUMMYFUNCTION("""COMPUTED_VALUE"""),"เหนือ")</f>
        <v>เหนือ</v>
      </c>
      <c r="AH1417" s="3" t="str">
        <f>IFERROR(__xludf.DUMMYFUNCTION("""COMPUTED_VALUE"""),"#N/A")</f>
        <v>#N/A</v>
      </c>
      <c r="AI1417" s="3" t="str">
        <f>IFERROR(__xludf.DUMMYFUNCTION("""COMPUTED_VALUE"""),"Out of warranty")</f>
        <v>Out of warranty</v>
      </c>
      <c r="AJ1417" s="3">
        <f>IFERROR(__xludf.DUMMYFUNCTION("""COMPUTED_VALUE"""),70.0)</f>
        <v>70</v>
      </c>
      <c r="AK1417" s="3" t="str">
        <f>IFERROR(__xludf.DUMMYFUNCTION("""COMPUTED_VALUE"""),"MMS10")</f>
        <v>MMS10</v>
      </c>
      <c r="AL1417" s="3"/>
    </row>
    <row r="1418" ht="15.75" customHeight="1">
      <c r="A1418" s="1" t="str">
        <f>IFERROR(__xludf.DUMMYFUNCTION("""COMPUTED_VALUE"""),"22102")</f>
        <v>22102</v>
      </c>
      <c r="B1418" s="2">
        <f>IFERROR(__xludf.DUMMYFUNCTION("""COMPUTED_VALUE"""),22102.0)</f>
        <v>22102</v>
      </c>
      <c r="C1418" s="3" t="str">
        <f>IFERROR(__xludf.DUMMYFUNCTION("""COMPUTED_VALUE"""),"MBC ห้วยบง นครราชสีมา")</f>
        <v>MBC ห้วยบง นครราชสีมา</v>
      </c>
      <c r="D1418" s="3" t="str">
        <f>IFERROR(__xludf.DUMMYFUNCTION("""COMPUTED_VALUE"""),"BCM HUAI BONG (OTP.2)")</f>
        <v>BCM HUAI BONG (OTP.2)</v>
      </c>
      <c r="E1418" s="1" t="str">
        <f>IFERROR(__xludf.DUMMYFUNCTION("""COMPUTED_VALUE"""),"บิ๊กซี MINI")</f>
        <v>บิ๊กซี MINI</v>
      </c>
      <c r="F1418" s="1" t="str">
        <f>IFERROR(__xludf.DUMMYFUNCTION("""COMPUTED_VALUE"""),"291105")</f>
        <v>291105</v>
      </c>
      <c r="G1418" s="1" t="str">
        <f>IFERROR(__xludf.DUMMYFUNCTION("""COMPUTED_VALUE"""),"นายสราวุฒิ พณิชยกุล")</f>
        <v>นายสราวุฒิ พณิชยกุล</v>
      </c>
      <c r="H1418" s="1" t="str">
        <f>IFERROR(__xludf.DUMMYFUNCTION("""COMPUTED_VALUE"""),"281315")</f>
        <v>281315</v>
      </c>
      <c r="I1418" s="1" t="str">
        <f>IFERROR(__xludf.DUMMYFUNCTION("""COMPUTED_VALUE"""),"นายกิตติพงษ์ มั่นคง")</f>
        <v>นายกิตติพงษ์ มั่นคง</v>
      </c>
      <c r="J1418" s="3">
        <f>IFERROR(__xludf.DUMMYFUNCTION("""COMPUTED_VALUE"""),15361.0)</f>
        <v>15361</v>
      </c>
      <c r="K1418" s="3" t="str">
        <f>IFERROR(__xludf.DUMMYFUNCTION("""COMPUTED_VALUE"""),"นายสมบูรณ์ พรหมในเมือง")</f>
        <v>นายสมบูรณ์ พรหมในเมือง</v>
      </c>
      <c r="L1418" s="1" t="str">
        <f>IFERROR(__xludf.DUMMYFUNCTION("""COMPUTED_VALUE"""),"04 K.Somboon P.")</f>
        <v>04 K.Somboon P.</v>
      </c>
      <c r="M1418" s="1" t="str">
        <f>IFERROR(__xludf.DUMMYFUNCTION("""COMPUTED_VALUE"""),"087-965-3051")</f>
        <v>087-965-3051</v>
      </c>
      <c r="N1418" s="3">
        <f>IFERROR(__xludf.DUMMYFUNCTION("""COMPUTED_VALUE"""),21869.0)</f>
        <v>21869</v>
      </c>
      <c r="O1418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418" s="4">
        <f>IFERROR(__xludf.DUMMYFUNCTION("""COMPUTED_VALUE"""),43995.0)</f>
        <v>43995</v>
      </c>
      <c r="Q1418" s="3" t="str">
        <f>IFERROR(__xludf.DUMMYFUNCTION("""COMPUTED_VALUE"""),"A")</f>
        <v>A</v>
      </c>
      <c r="R1418" s="3" t="str">
        <f>IFERROR(__xludf.DUMMYFUNCTION("""COMPUTED_VALUE"""),"Small Format")</f>
        <v>Small Format</v>
      </c>
      <c r="S1418" s="3" t="str">
        <f>IFERROR(__xludf.DUMMYFUNCTION("""COMPUTED_VALUE"""),"BCM")</f>
        <v>BCM</v>
      </c>
      <c r="T1418" s="3" t="str">
        <f>IFERROR(__xludf.DUMMYFUNCTION("""COMPUTED_VALUE"""),"#N/A")</f>
        <v>#N/A</v>
      </c>
      <c r="U1418" s="3" t="str">
        <f>IFERROR(__xludf.DUMMYFUNCTION("""COMPUTED_VALUE"""),"#N/A")</f>
        <v>#N/A</v>
      </c>
      <c r="V1418" s="3" t="str">
        <f>IFERROR(__xludf.DUMMYFUNCTION("""COMPUTED_VALUE"""),"N")</f>
        <v>N</v>
      </c>
      <c r="W1418" s="3">
        <f>IFERROR(__xludf.DUMMYFUNCTION("""COMPUTED_VALUE"""),210031.0)</f>
        <v>210031</v>
      </c>
      <c r="X1418" s="3" t="str">
        <f>IFERROR(__xludf.DUMMYFUNCTION("""COMPUTED_VALUE"""),"462 หมู่15 ตำบลห้วยบง อำเภอด่านขุนทด จังหวัดนครราชสีมา 30210")</f>
        <v>462 หมู่15 ตำบลห้วยบง อำเภอด่านขุนทด จังหวัดนครราชสีมา 30210</v>
      </c>
      <c r="Y1418" s="3"/>
      <c r="Z1418" s="3" t="str">
        <f>IFERROR(__xludf.DUMMYFUNCTION("""COMPUTED_VALUE"""),"ห้วยบง")</f>
        <v>ห้วยบง</v>
      </c>
      <c r="AA1418" s="3" t="str">
        <f>IFERROR(__xludf.DUMMYFUNCTION("""COMPUTED_VALUE"""),"ด่านขุนทด")</f>
        <v>ด่านขุนทด</v>
      </c>
      <c r="AB1418" s="3" t="str">
        <f>IFERROR(__xludf.DUMMYFUNCTION("""COMPUTED_VALUE"""),"นครราชสีมา")</f>
        <v>นครราชสีมา</v>
      </c>
      <c r="AC1418" s="3">
        <f>IFERROR(__xludf.DUMMYFUNCTION("""COMPUTED_VALUE"""),30210.0)</f>
        <v>30210</v>
      </c>
      <c r="AD1418" s="3">
        <f>IFERROR(__xludf.DUMMYFUNCTION("""COMPUTED_VALUE"""),15.120119)</f>
        <v>15.120119</v>
      </c>
      <c r="AE1418" s="3">
        <f>IFERROR(__xludf.DUMMYFUNCTION("""COMPUTED_VALUE"""),101.503173)</f>
        <v>101.503173</v>
      </c>
      <c r="AF1418" s="3" t="str">
        <f>IFERROR(__xludf.DUMMYFUNCTION("""COMPUTED_VALUE"""),"MBC ห้วยบง นครราชสีมา-22102")</f>
        <v>MBC ห้วยบง นครราชสีมา-22102</v>
      </c>
      <c r="AG1418" s="3" t="str">
        <f>IFERROR(__xludf.DUMMYFUNCTION("""COMPUTED_VALUE"""),"ตะวันออกเฉียงเหนือ")</f>
        <v>ตะวันออกเฉียงเหนือ</v>
      </c>
      <c r="AH1418" s="3" t="str">
        <f>IFERROR(__xludf.DUMMYFUNCTION("""COMPUTED_VALUE"""),"#N/A")</f>
        <v>#N/A</v>
      </c>
      <c r="AI1418" s="3" t="str">
        <f>IFERROR(__xludf.DUMMYFUNCTION("""COMPUTED_VALUE"""),"Out of warranty")</f>
        <v>Out of warranty</v>
      </c>
      <c r="AJ1418" s="3">
        <f>IFERROR(__xludf.DUMMYFUNCTION("""COMPUTED_VALUE"""),68.0)</f>
        <v>68</v>
      </c>
      <c r="AK1418" s="3" t="str">
        <f>IFERROR(__xludf.DUMMYFUNCTION("""COMPUTED_VALUE"""),"MMS11")</f>
        <v>MMS11</v>
      </c>
      <c r="AL1418" s="3"/>
    </row>
    <row r="1419" ht="15.75" customHeight="1">
      <c r="A1419" s="1" t="str">
        <f>IFERROR(__xludf.DUMMYFUNCTION("""COMPUTED_VALUE"""),"22103")</f>
        <v>22103</v>
      </c>
      <c r="B1419" s="2">
        <f>IFERROR(__xludf.DUMMYFUNCTION("""COMPUTED_VALUE"""),22103.0)</f>
        <v>22103</v>
      </c>
      <c r="C1419" s="3" t="str">
        <f>IFERROR(__xludf.DUMMYFUNCTION("""COMPUTED_VALUE"""),"MBC ราษีไศล ศรีสะเกษ")</f>
        <v>MBC ราษีไศล ศรีสะเกษ</v>
      </c>
      <c r="D1419" s="3" t="str">
        <f>IFERROR(__xludf.DUMMYFUNCTION("""COMPUTED_VALUE"""),"BCM RASI SALAI SISAKET")</f>
        <v>BCM RASI SALAI SISAKET</v>
      </c>
      <c r="E1419" s="1" t="str">
        <f>IFERROR(__xludf.DUMMYFUNCTION("""COMPUTED_VALUE"""),"บิ๊กซี MINI")</f>
        <v>บิ๊กซี MINI</v>
      </c>
      <c r="F1419" s="1" t="str">
        <f>IFERROR(__xludf.DUMMYFUNCTION("""COMPUTED_VALUE"""),"291105")</f>
        <v>291105</v>
      </c>
      <c r="G1419" s="1" t="str">
        <f>IFERROR(__xludf.DUMMYFUNCTION("""COMPUTED_VALUE"""),"นายสราวุฒิ พณิชยกุล")</f>
        <v>นายสราวุฒิ พณิชยกุล</v>
      </c>
      <c r="H1419" s="1" t="str">
        <f>IFERROR(__xludf.DUMMYFUNCTION("""COMPUTED_VALUE"""),"398146")</f>
        <v>398146</v>
      </c>
      <c r="I1419" s="1" t="str">
        <f>IFERROR(__xludf.DUMMYFUNCTION("""COMPUTED_VALUE"""),"น.ส.กนกสิริ สุขหอม")</f>
        <v>น.ส.กนกสิริ สุขหอม</v>
      </c>
      <c r="J1419" s="3">
        <f>IFERROR(__xludf.DUMMYFUNCTION("""COMPUTED_VALUE"""),2454781.0)</f>
        <v>2454781</v>
      </c>
      <c r="K1419" s="3" t="str">
        <f>IFERROR(__xludf.DUMMYFUNCTION("""COMPUTED_VALUE"""),"นายฌานกฤช นันทะโคต")</f>
        <v>นายฌานกฤช นันทะโคต</v>
      </c>
      <c r="L1419" s="1" t="str">
        <f>IFERROR(__xludf.DUMMYFUNCTION("""COMPUTED_VALUE"""),"05 K.Chanakrit N.")</f>
        <v>05 K.Chanakrit N.</v>
      </c>
      <c r="M1419" s="1" t="str">
        <f>IFERROR(__xludf.DUMMYFUNCTION("""COMPUTED_VALUE"""),"090-978-9785 ,065-929-1320")</f>
        <v>090-978-9785 ,065-929-1320</v>
      </c>
      <c r="N1419" s="3">
        <f>IFERROR(__xludf.DUMMYFUNCTION("""COMPUTED_VALUE"""),22195.0)</f>
        <v>22195</v>
      </c>
      <c r="O1419" s="3" t="str">
        <f>IFERROR(__xludf.DUMMYFUNCTION("""COMPUTED_VALUE"""),"MBC กันทรลักษ์ ศรีสะเกษ")</f>
        <v>MBC กันทรลักษ์ ศรีสะเกษ</v>
      </c>
      <c r="P1419" s="4">
        <f>IFERROR(__xludf.DUMMYFUNCTION("""COMPUTED_VALUE"""),43921.0)</f>
        <v>43921</v>
      </c>
      <c r="Q1419" s="3" t="str">
        <f>IFERROR(__xludf.DUMMYFUNCTION("""COMPUTED_VALUE"""),"A")</f>
        <v>A</v>
      </c>
      <c r="R1419" s="3" t="str">
        <f>IFERROR(__xludf.DUMMYFUNCTION("""COMPUTED_VALUE"""),"Small Format")</f>
        <v>Small Format</v>
      </c>
      <c r="S1419" s="3" t="str">
        <f>IFERROR(__xludf.DUMMYFUNCTION("""COMPUTED_VALUE"""),"BCM")</f>
        <v>BCM</v>
      </c>
      <c r="T1419" s="3" t="str">
        <f>IFERROR(__xludf.DUMMYFUNCTION("""COMPUTED_VALUE"""),"#N/A")</f>
        <v>#N/A</v>
      </c>
      <c r="U1419" s="3" t="str">
        <f>IFERROR(__xludf.DUMMYFUNCTION("""COMPUTED_VALUE"""),"#N/A")</f>
        <v>#N/A</v>
      </c>
      <c r="V1419" s="3" t="str">
        <f>IFERROR(__xludf.DUMMYFUNCTION("""COMPUTED_VALUE"""),"N")</f>
        <v>N</v>
      </c>
      <c r="W1419" s="3">
        <f>IFERROR(__xludf.DUMMYFUNCTION("""COMPUTED_VALUE"""),210158.0)</f>
        <v>210158</v>
      </c>
      <c r="X1419" s="3" t="str">
        <f>IFERROR(__xludf.DUMMYFUNCTION("""COMPUTED_VALUE"""),"132/1 หมู่1 ตำบลเมืองคง อำเภอราษีไศล จังหวัดศรีสะเกษ 33160")</f>
        <v>132/1 หมู่1 ตำบลเมืองคง อำเภอราษีไศล จังหวัดศรีสะเกษ 33160</v>
      </c>
      <c r="Y1419" s="3"/>
      <c r="Z1419" s="3" t="str">
        <f>IFERROR(__xludf.DUMMYFUNCTION("""COMPUTED_VALUE"""),"เมืองคง")</f>
        <v>เมืองคง</v>
      </c>
      <c r="AA1419" s="3" t="str">
        <f>IFERROR(__xludf.DUMMYFUNCTION("""COMPUTED_VALUE"""),"ราษีไศล")</f>
        <v>ราษีไศล</v>
      </c>
      <c r="AB1419" s="3" t="str">
        <f>IFERROR(__xludf.DUMMYFUNCTION("""COMPUTED_VALUE"""),"ศรีสะเกษ")</f>
        <v>ศรีสะเกษ</v>
      </c>
      <c r="AC1419" s="3">
        <f>IFERROR(__xludf.DUMMYFUNCTION("""COMPUTED_VALUE"""),33160.0)</f>
        <v>33160</v>
      </c>
      <c r="AD1419" s="3">
        <f>IFERROR(__xludf.DUMMYFUNCTION("""COMPUTED_VALUE"""),15.34372)</f>
        <v>15.34372</v>
      </c>
      <c r="AE1419" s="3">
        <f>IFERROR(__xludf.DUMMYFUNCTION("""COMPUTED_VALUE"""),104.153842)</f>
        <v>104.153842</v>
      </c>
      <c r="AF1419" s="3" t="str">
        <f>IFERROR(__xludf.DUMMYFUNCTION("""COMPUTED_VALUE"""),"MBC ราษีไศล ศรีสะเกษ-22103")</f>
        <v>MBC ราษีไศล ศรีสะเกษ-22103</v>
      </c>
      <c r="AG1419" s="3" t="str">
        <f>IFERROR(__xludf.DUMMYFUNCTION("""COMPUTED_VALUE"""),"ตะวันออกเฉียงเหนือ")</f>
        <v>ตะวันออกเฉียงเหนือ</v>
      </c>
      <c r="AH1419" s="3" t="str">
        <f>IFERROR(__xludf.DUMMYFUNCTION("""COMPUTED_VALUE"""),"#N/A")</f>
        <v>#N/A</v>
      </c>
      <c r="AI1419" s="3" t="str">
        <f>IFERROR(__xludf.DUMMYFUNCTION("""COMPUTED_VALUE"""),"Out of warranty")</f>
        <v>Out of warranty</v>
      </c>
      <c r="AJ1419" s="3">
        <f>IFERROR(__xludf.DUMMYFUNCTION("""COMPUTED_VALUE"""),70.0)</f>
        <v>70</v>
      </c>
      <c r="AK1419" s="3" t="str">
        <f>IFERROR(__xludf.DUMMYFUNCTION("""COMPUTED_VALUE"""),"MMS13")</f>
        <v>MMS13</v>
      </c>
      <c r="AL1419" s="3"/>
    </row>
    <row r="1420" ht="15.75" customHeight="1">
      <c r="A1420" s="1" t="str">
        <f>IFERROR(__xludf.DUMMYFUNCTION("""COMPUTED_VALUE"""),"22104")</f>
        <v>22104</v>
      </c>
      <c r="B1420" s="2">
        <f>IFERROR(__xludf.DUMMYFUNCTION("""COMPUTED_VALUE"""),22104.0)</f>
        <v>22104</v>
      </c>
      <c r="C1420" s="3" t="str">
        <f>IFERROR(__xludf.DUMMYFUNCTION("""COMPUTED_VALUE"""),"MBC ซอยนาคนิวาส 37 กรุงเทพฯ")</f>
        <v>MBC ซอยนาคนิวาส 37 กรุงเทพฯ</v>
      </c>
      <c r="D1420" s="3" t="str">
        <f>IFERROR(__xludf.DUMMYFUNCTION("""COMPUTED_VALUE"""),"BCM SOI NAK NIWAT 37")</f>
        <v>BCM SOI NAK NIWAT 37</v>
      </c>
      <c r="E1420" s="1" t="str">
        <f>IFERROR(__xludf.DUMMYFUNCTION("""COMPUTED_VALUE"""),"บิ๊กซี MINI")</f>
        <v>บิ๊กซี MINI</v>
      </c>
      <c r="F1420" s="1" t="str">
        <f>IFERROR(__xludf.DUMMYFUNCTION("""COMPUTED_VALUE"""),"291008")</f>
        <v>291008</v>
      </c>
      <c r="G1420" s="1" t="str">
        <f>IFERROR(__xludf.DUMMYFUNCTION("""COMPUTED_VALUE"""),"น.ส.รัชดาพร อีศรัตน์")</f>
        <v>น.ส.รัชดาพร อีศรัตน์</v>
      </c>
      <c r="H1420" s="1" t="str">
        <f>IFERROR(__xludf.DUMMYFUNCTION("""COMPUTED_VALUE"""),"373540")</f>
        <v>373540</v>
      </c>
      <c r="I1420" s="1" t="str">
        <f>IFERROR(__xludf.DUMMYFUNCTION("""COMPUTED_VALUE"""),"นายทศพร พึ่งพบ")</f>
        <v>นายทศพร พึ่งพบ</v>
      </c>
      <c r="J1420" s="3">
        <f>IFERROR(__xludf.DUMMYFUNCTION("""COMPUTED_VALUE"""),2452378.0)</f>
        <v>2452378</v>
      </c>
      <c r="K1420" s="3" t="str">
        <f>IFERROR(__xludf.DUMMYFUNCTION("""COMPUTED_VALUE"""),"นายศักดิ์ดา พวงประดับ")</f>
        <v>นายศักดิ์ดา พวงประดับ</v>
      </c>
      <c r="L1420" s="1" t="str">
        <f>IFERROR(__xludf.DUMMYFUNCTION("""COMPUTED_VALUE"""),"11 K.Sakda P.")</f>
        <v>11 K.Sakda P.</v>
      </c>
      <c r="M1420" s="1" t="str">
        <f>IFERROR(__xludf.DUMMYFUNCTION("""COMPUTED_VALUE"""),"065-929-1279")</f>
        <v>065-929-1279</v>
      </c>
      <c r="N1420" s="3">
        <f>IFERROR(__xludf.DUMMYFUNCTION("""COMPUTED_VALUE"""),21002.0)</f>
        <v>21002</v>
      </c>
      <c r="O1420" s="3" t="str">
        <f>IFERROR(__xludf.DUMMYFUNCTION("""COMPUTED_VALUE"""),"MBC อุดมสุข")</f>
        <v>MBC อุดมสุข</v>
      </c>
      <c r="P1420" s="4">
        <f>IFERROR(__xludf.DUMMYFUNCTION("""COMPUTED_VALUE"""),44074.0)</f>
        <v>44074</v>
      </c>
      <c r="Q1420" s="3" t="str">
        <f>IFERROR(__xludf.DUMMYFUNCTION("""COMPUTED_VALUE"""),"A")</f>
        <v>A</v>
      </c>
      <c r="R1420" s="3" t="str">
        <f>IFERROR(__xludf.DUMMYFUNCTION("""COMPUTED_VALUE"""),"Small Format")</f>
        <v>Small Format</v>
      </c>
      <c r="S1420" s="3" t="str">
        <f>IFERROR(__xludf.DUMMYFUNCTION("""COMPUTED_VALUE"""),"BCM")</f>
        <v>BCM</v>
      </c>
      <c r="T1420" s="3" t="str">
        <f>IFERROR(__xludf.DUMMYFUNCTION("""COMPUTED_VALUE"""),"#N/A")</f>
        <v>#N/A</v>
      </c>
      <c r="U1420" s="3" t="str">
        <f>IFERROR(__xludf.DUMMYFUNCTION("""COMPUTED_VALUE"""),"#N/A")</f>
        <v>#N/A</v>
      </c>
      <c r="V1420" s="3" t="str">
        <f>IFERROR(__xludf.DUMMYFUNCTION("""COMPUTED_VALUE"""),"N")</f>
        <v>N</v>
      </c>
      <c r="W1420" s="3">
        <f>IFERROR(__xludf.DUMMYFUNCTION("""COMPUTED_VALUE"""),211936.0)</f>
        <v>211936</v>
      </c>
      <c r="X1420" s="3" t="str">
        <f>IFERROR(__xludf.DUMMYFUNCTION("""COMPUTED_VALUE"""),"12/45-47 หมู่6 แขวงลาดพร้าว เขตลาดพร้าว จังหวัดกรุงเทพมหานคร 10230")</f>
        <v>12/45-47 หมู่6 แขวงลาดพร้าว เขตลาดพร้าว จังหวัดกรุงเทพมหานคร 10230</v>
      </c>
      <c r="Y1420" s="3"/>
      <c r="Z1420" s="3" t="str">
        <f>IFERROR(__xludf.DUMMYFUNCTION("""COMPUTED_VALUE"""),"ลาดพร้าว")</f>
        <v>ลาดพร้าว</v>
      </c>
      <c r="AA1420" s="3" t="str">
        <f>IFERROR(__xludf.DUMMYFUNCTION("""COMPUTED_VALUE"""),"ลาดพร้าว")</f>
        <v>ลาดพร้าว</v>
      </c>
      <c r="AB1420" s="3" t="str">
        <f>IFERROR(__xludf.DUMMYFUNCTION("""COMPUTED_VALUE"""),"กรุงเทพมหานคร")</f>
        <v>กรุงเทพมหานคร</v>
      </c>
      <c r="AC1420" s="3">
        <f>IFERROR(__xludf.DUMMYFUNCTION("""COMPUTED_VALUE"""),10230.0)</f>
        <v>10230</v>
      </c>
      <c r="AD1420" s="3">
        <f>IFERROR(__xludf.DUMMYFUNCTION("""COMPUTED_VALUE"""),13.809145)</f>
        <v>13.809145</v>
      </c>
      <c r="AE1420" s="3">
        <f>IFERROR(__xludf.DUMMYFUNCTION("""COMPUTED_VALUE"""),100.605134)</f>
        <v>100.605134</v>
      </c>
      <c r="AF1420" s="3" t="str">
        <f>IFERROR(__xludf.DUMMYFUNCTION("""COMPUTED_VALUE"""),"MBC ซอยนาคนิวาส 37 กรุงเทพฯ-22104")</f>
        <v>MBC ซอยนาคนิวาส 37 กรุงเทพฯ-22104</v>
      </c>
      <c r="AG1420" s="3" t="str">
        <f>IFERROR(__xludf.DUMMYFUNCTION("""COMPUTED_VALUE"""),"กลาง")</f>
        <v>กลาง</v>
      </c>
      <c r="AH1420" s="3" t="str">
        <f>IFERROR(__xludf.DUMMYFUNCTION("""COMPUTED_VALUE"""),"#N/A")</f>
        <v>#N/A</v>
      </c>
      <c r="AI1420" s="3" t="str">
        <f>IFERROR(__xludf.DUMMYFUNCTION("""COMPUTED_VALUE"""),"Out of warranty")</f>
        <v>Out of warranty</v>
      </c>
      <c r="AJ1420" s="3">
        <f>IFERROR(__xludf.DUMMYFUNCTION("""COMPUTED_VALUE"""),65.0)</f>
        <v>65</v>
      </c>
      <c r="AK1420" s="3" t="str">
        <f>IFERROR(__xludf.DUMMYFUNCTION("""COMPUTED_VALUE"""),"MMS01")</f>
        <v>MMS01</v>
      </c>
      <c r="AL1420" s="3"/>
    </row>
    <row r="1421" ht="15.75" customHeight="1">
      <c r="A1421" s="1" t="str">
        <f>IFERROR(__xludf.DUMMYFUNCTION("""COMPUTED_VALUE"""),"22105")</f>
        <v>22105</v>
      </c>
      <c r="B1421" s="2">
        <f>IFERROR(__xludf.DUMMYFUNCTION("""COMPUTED_VALUE"""),22105.0)</f>
        <v>22105</v>
      </c>
      <c r="C1421" s="3" t="str">
        <f>IFERROR(__xludf.DUMMYFUNCTION("""COMPUTED_VALUE"""),"MBC ภู่ยอดยิ่ง สมุทรสาคร")</f>
        <v>MBC ภู่ยอดยิ่ง สมุทรสาคร</v>
      </c>
      <c r="D1421" s="3" t="str">
        <f>IFERROR(__xludf.DUMMYFUNCTION("""COMPUTED_VALUE"""),"BCM PU YOD YING SAMUT SAKHON")</f>
        <v>BCM PU YOD YING SAMUT SAKHON</v>
      </c>
      <c r="E1421" s="1" t="str">
        <f>IFERROR(__xludf.DUMMYFUNCTION("""COMPUTED_VALUE"""),"บิ๊กซี MINI")</f>
        <v>บิ๊กซี MINI</v>
      </c>
      <c r="F1421" s="1" t="str">
        <f>IFERROR(__xludf.DUMMYFUNCTION("""COMPUTED_VALUE"""),"2083447")</f>
        <v>2083447</v>
      </c>
      <c r="G1421" s="1" t="str">
        <f>IFERROR(__xludf.DUMMYFUNCTION("""COMPUTED_VALUE"""),"นายอนุกูล ศรีลัดดา")</f>
        <v>นายอนุกูล ศรีลัดดา</v>
      </c>
      <c r="H1421" s="1" t="str">
        <f>IFERROR(__xludf.DUMMYFUNCTION("""COMPUTED_VALUE"""),"2455053")</f>
        <v>2455053</v>
      </c>
      <c r="I1421" s="1" t="str">
        <f>IFERROR(__xludf.DUMMYFUNCTION("""COMPUTED_VALUE"""),"นายพันธมิตร โพธิ")</f>
        <v>นายพันธมิตร โพธิ</v>
      </c>
      <c r="J1421" s="3">
        <f>IFERROR(__xludf.DUMMYFUNCTION("""COMPUTED_VALUE"""),2451655.0)</f>
        <v>2451655</v>
      </c>
      <c r="K1421" s="3" t="str">
        <f>IFERROR(__xludf.DUMMYFUNCTION("""COMPUTED_VALUE"""),"นายวิษณุพงษ์ ชินบุตร")</f>
        <v>นายวิษณุพงษ์ ชินบุตร</v>
      </c>
      <c r="L1421" s="1" t="str">
        <f>IFERROR(__xludf.DUMMYFUNCTION("""COMPUTED_VALUE"""),"13 K.Wisanupong Ch")</f>
        <v>13 K.Wisanupong Ch</v>
      </c>
      <c r="M1421" s="1" t="str">
        <f>IFERROR(__xludf.DUMMYFUNCTION("""COMPUTED_VALUE"""),"0843374693")</f>
        <v>0843374693</v>
      </c>
      <c r="N1421" s="3">
        <f>IFERROR(__xludf.DUMMYFUNCTION("""COMPUTED_VALUE"""),22729.0)</f>
        <v>22729</v>
      </c>
      <c r="O1421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421" s="4">
        <f>IFERROR(__xludf.DUMMYFUNCTION("""COMPUTED_VALUE"""),43928.0)</f>
        <v>43928</v>
      </c>
      <c r="Q1421" s="3" t="str">
        <f>IFERROR(__xludf.DUMMYFUNCTION("""COMPUTED_VALUE"""),"A")</f>
        <v>A</v>
      </c>
      <c r="R1421" s="3" t="str">
        <f>IFERROR(__xludf.DUMMYFUNCTION("""COMPUTED_VALUE"""),"Small Format")</f>
        <v>Small Format</v>
      </c>
      <c r="S1421" s="3" t="str">
        <f>IFERROR(__xludf.DUMMYFUNCTION("""COMPUTED_VALUE"""),"BCM")</f>
        <v>BCM</v>
      </c>
      <c r="T1421" s="3" t="str">
        <f>IFERROR(__xludf.DUMMYFUNCTION("""COMPUTED_VALUE"""),"#N/A")</f>
        <v>#N/A</v>
      </c>
      <c r="U1421" s="3" t="str">
        <f>IFERROR(__xludf.DUMMYFUNCTION("""COMPUTED_VALUE"""),"#N/A")</f>
        <v>#N/A</v>
      </c>
      <c r="V1421" s="3" t="str">
        <f>IFERROR(__xludf.DUMMYFUNCTION("""COMPUTED_VALUE"""),"N")</f>
        <v>N</v>
      </c>
      <c r="W1421" s="3">
        <f>IFERROR(__xludf.DUMMYFUNCTION("""COMPUTED_VALUE"""),211804.0)</f>
        <v>211804</v>
      </c>
      <c r="X1421" s="3" t="str">
        <f>IFERROR(__xludf.DUMMYFUNCTION("""COMPUTED_VALUE"""),"79/3 หมู่7 ตำบลสวนหลวง อำเภอกระทุ่มแบน จังหวัดสมุทรสาคร 74110")</f>
        <v>79/3 หมู่7 ตำบลสวนหลวง อำเภอกระทุ่มแบน จังหวัดสมุทรสาคร 74110</v>
      </c>
      <c r="Y1421" s="3"/>
      <c r="Z1421" s="3" t="str">
        <f>IFERROR(__xludf.DUMMYFUNCTION("""COMPUTED_VALUE"""),"สวนหลวง")</f>
        <v>สวนหลวง</v>
      </c>
      <c r="AA1421" s="3" t="str">
        <f>IFERROR(__xludf.DUMMYFUNCTION("""COMPUTED_VALUE"""),"กระทุ่มแบน")</f>
        <v>กระทุ่มแบน</v>
      </c>
      <c r="AB1421" s="3" t="str">
        <f>IFERROR(__xludf.DUMMYFUNCTION("""COMPUTED_VALUE"""),"สมุทรสาคร")</f>
        <v>สมุทรสาคร</v>
      </c>
      <c r="AC1421" s="3">
        <f>IFERROR(__xludf.DUMMYFUNCTION("""COMPUTED_VALUE"""),74110.0)</f>
        <v>74110</v>
      </c>
      <c r="AD1421" s="3">
        <f>IFERROR(__xludf.DUMMYFUNCTION("""COMPUTED_VALUE"""),13.676292)</f>
        <v>13.676292</v>
      </c>
      <c r="AE1421" s="3">
        <f>IFERROR(__xludf.DUMMYFUNCTION("""COMPUTED_VALUE"""),100.325351)</f>
        <v>100.325351</v>
      </c>
      <c r="AF1421" s="3" t="str">
        <f>IFERROR(__xludf.DUMMYFUNCTION("""COMPUTED_VALUE"""),"MBC ภู่ยอดยิ่ง สมุทรสาคร-22105")</f>
        <v>MBC ภู่ยอดยิ่ง สมุทรสาคร-22105</v>
      </c>
      <c r="AG1421" s="3" t="str">
        <f>IFERROR(__xludf.DUMMYFUNCTION("""COMPUTED_VALUE"""),"กลาง")</f>
        <v>กลาง</v>
      </c>
      <c r="AH1421" s="3" t="str">
        <f>IFERROR(__xludf.DUMMYFUNCTION("""COMPUTED_VALUE"""),"#N/A")</f>
        <v>#N/A</v>
      </c>
      <c r="AI1421" s="3" t="str">
        <f>IFERROR(__xludf.DUMMYFUNCTION("""COMPUTED_VALUE"""),"Out of warranty")</f>
        <v>Out of warranty</v>
      </c>
      <c r="AJ1421" s="3">
        <f>IFERROR(__xludf.DUMMYFUNCTION("""COMPUTED_VALUE"""),70.0)</f>
        <v>70</v>
      </c>
      <c r="AK1421" s="3" t="str">
        <f>IFERROR(__xludf.DUMMYFUNCTION("""COMPUTED_VALUE"""),"MMS05")</f>
        <v>MMS05</v>
      </c>
      <c r="AL1421" s="3"/>
    </row>
    <row r="1422" ht="15.75" customHeight="1">
      <c r="A1422" s="1" t="str">
        <f>IFERROR(__xludf.DUMMYFUNCTION("""COMPUTED_VALUE"""),"22106")</f>
        <v>22106</v>
      </c>
      <c r="B1422" s="2">
        <f>IFERROR(__xludf.DUMMYFUNCTION("""COMPUTED_VALUE"""),22106.0)</f>
        <v>22106</v>
      </c>
      <c r="C1422" s="3" t="str">
        <f>IFERROR(__xludf.DUMMYFUNCTION("""COMPUTED_VALUE"""),"MBC หมู่บ้านรติรมย์พาร์ค นนทบุรี")</f>
        <v>MBC หมู่บ้านรติรมย์พาร์ค นนทบุรี</v>
      </c>
      <c r="D1422" s="3" t="str">
        <f>IFERROR(__xludf.DUMMYFUNCTION("""COMPUTED_VALUE"""),"BCM MOOBAN RATIOM PARK")</f>
        <v>BCM MOOBAN RATIOM PARK</v>
      </c>
      <c r="E1422" s="1" t="str">
        <f>IFERROR(__xludf.DUMMYFUNCTION("""COMPUTED_VALUE"""),"บิ๊กซี MINI")</f>
        <v>บิ๊กซี MINI</v>
      </c>
      <c r="F1422" s="1" t="str">
        <f>IFERROR(__xludf.DUMMYFUNCTION("""COMPUTED_VALUE"""),"291008")</f>
        <v>291008</v>
      </c>
      <c r="G1422" s="1" t="str">
        <f>IFERROR(__xludf.DUMMYFUNCTION("""COMPUTED_VALUE"""),"น.ส.รัชดาพร อีศรัตน์")</f>
        <v>น.ส.รัชดาพร อีศรัตน์</v>
      </c>
      <c r="H1422" s="1" t="str">
        <f>IFERROR(__xludf.DUMMYFUNCTION("""COMPUTED_VALUE"""),"034068")</f>
        <v>034068</v>
      </c>
      <c r="I1422" s="1" t="str">
        <f>IFERROR(__xludf.DUMMYFUNCTION("""COMPUTED_VALUE"""),"นายสมศักดิ์ ฐานทองดี")</f>
        <v>นายสมศักดิ์ ฐานทองดี</v>
      </c>
      <c r="J1422" s="3">
        <f>IFERROR(__xludf.DUMMYFUNCTION("""COMPUTED_VALUE"""),296608.0)</f>
        <v>296608</v>
      </c>
      <c r="K1422" s="3" t="str">
        <f>IFERROR(__xludf.DUMMYFUNCTION("""COMPUTED_VALUE"""),"นายภาคภูมิ เพ็ชรนิล")</f>
        <v>นายภาคภูมิ เพ็ชรนิล</v>
      </c>
      <c r="L1422" s="1" t="str">
        <f>IFERROR(__xludf.DUMMYFUNCTION("""COMPUTED_VALUE"""),"10 K.Phakphoom P.")</f>
        <v>10 K.Phakphoom P.</v>
      </c>
      <c r="M1422" s="1" t="str">
        <f>IFERROR(__xludf.DUMMYFUNCTION("""COMPUTED_VALUE"""),"063-8955329")</f>
        <v>063-8955329</v>
      </c>
      <c r="N1422" s="3">
        <f>IFERROR(__xludf.DUMMYFUNCTION("""COMPUTED_VALUE"""),22584.0)</f>
        <v>22584</v>
      </c>
      <c r="O1422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422" s="4">
        <f>IFERROR(__xludf.DUMMYFUNCTION("""COMPUTED_VALUE"""),43973.0)</f>
        <v>43973</v>
      </c>
      <c r="Q1422" s="3" t="str">
        <f>IFERROR(__xludf.DUMMYFUNCTION("""COMPUTED_VALUE"""),"A")</f>
        <v>A</v>
      </c>
      <c r="R1422" s="3" t="str">
        <f>IFERROR(__xludf.DUMMYFUNCTION("""COMPUTED_VALUE"""),"Small Format")</f>
        <v>Small Format</v>
      </c>
      <c r="S1422" s="3" t="str">
        <f>IFERROR(__xludf.DUMMYFUNCTION("""COMPUTED_VALUE"""),"BCM")</f>
        <v>BCM</v>
      </c>
      <c r="T1422" s="3" t="str">
        <f>IFERROR(__xludf.DUMMYFUNCTION("""COMPUTED_VALUE"""),"#N/A")</f>
        <v>#N/A</v>
      </c>
      <c r="U1422" s="3" t="str">
        <f>IFERROR(__xludf.DUMMYFUNCTION("""COMPUTED_VALUE"""),"#N/A")</f>
        <v>#N/A</v>
      </c>
      <c r="V1422" s="3" t="str">
        <f>IFERROR(__xludf.DUMMYFUNCTION("""COMPUTED_VALUE"""),"N")</f>
        <v>N</v>
      </c>
      <c r="W1422" s="3">
        <f>IFERROR(__xludf.DUMMYFUNCTION("""COMPUTED_VALUE"""),210153.0)</f>
        <v>210153</v>
      </c>
      <c r="X1422" s="3" t="str">
        <f>IFERROR(__xludf.DUMMYFUNCTION("""COMPUTED_VALUE"""),"110/29 หมู่2 ตำบลมหาสวัสดิ์ อำเภอบางกรวย จังหวัดนนทบุรี 11130")</f>
        <v>110/29 หมู่2 ตำบลมหาสวัสดิ์ อำเภอบางกรวย จังหวัดนนทบุรี 11130</v>
      </c>
      <c r="Y1422" s="3"/>
      <c r="Z1422" s="3" t="str">
        <f>IFERROR(__xludf.DUMMYFUNCTION("""COMPUTED_VALUE"""),"มหาสวัสดิ์")</f>
        <v>มหาสวัสดิ์</v>
      </c>
      <c r="AA1422" s="3" t="str">
        <f>IFERROR(__xludf.DUMMYFUNCTION("""COMPUTED_VALUE"""),"บางกรวย")</f>
        <v>บางกรวย</v>
      </c>
      <c r="AB1422" s="3" t="str">
        <f>IFERROR(__xludf.DUMMYFUNCTION("""COMPUTED_VALUE"""),"นนทบุรี")</f>
        <v>นนทบุรี</v>
      </c>
      <c r="AC1422" s="3">
        <f>IFERROR(__xludf.DUMMYFUNCTION("""COMPUTED_VALUE"""),11130.0)</f>
        <v>11130</v>
      </c>
      <c r="AD1422" s="3">
        <f>IFERROR(__xludf.DUMMYFUNCTION("""COMPUTED_VALUE"""),13.804073)</f>
        <v>13.804073</v>
      </c>
      <c r="AE1422" s="3">
        <f>IFERROR(__xludf.DUMMYFUNCTION("""COMPUTED_VALUE"""),100.4294)</f>
        <v>100.4294</v>
      </c>
      <c r="AF1422" s="3" t="str">
        <f>IFERROR(__xludf.DUMMYFUNCTION("""COMPUTED_VALUE"""),"MBC หมู่บ้านรติรมย์พาร์ค นนทบุรี-22106")</f>
        <v>MBC หมู่บ้านรติรมย์พาร์ค นนทบุรี-22106</v>
      </c>
      <c r="AG1422" s="3" t="str">
        <f>IFERROR(__xludf.DUMMYFUNCTION("""COMPUTED_VALUE"""),"กลาง")</f>
        <v>กลาง</v>
      </c>
      <c r="AH1422" s="3" t="str">
        <f>IFERROR(__xludf.DUMMYFUNCTION("""COMPUTED_VALUE"""),"#N/A")</f>
        <v>#N/A</v>
      </c>
      <c r="AI1422" s="3" t="str">
        <f>IFERROR(__xludf.DUMMYFUNCTION("""COMPUTED_VALUE"""),"Out of warranty")</f>
        <v>Out of warranty</v>
      </c>
      <c r="AJ1422" s="3">
        <f>IFERROR(__xludf.DUMMYFUNCTION("""COMPUTED_VALUE"""),68.0)</f>
        <v>68</v>
      </c>
      <c r="AK1422" s="3" t="str">
        <f>IFERROR(__xludf.DUMMYFUNCTION("""COMPUTED_VALUE"""),"MMS01")</f>
        <v>MMS01</v>
      </c>
      <c r="AL1422" s="3"/>
    </row>
    <row r="1423" ht="15.75" customHeight="1">
      <c r="A1423" s="1" t="str">
        <f>IFERROR(__xludf.DUMMYFUNCTION("""COMPUTED_VALUE"""),"22107")</f>
        <v>22107</v>
      </c>
      <c r="B1423" s="2">
        <f>IFERROR(__xludf.DUMMYFUNCTION("""COMPUTED_VALUE"""),22107.0)</f>
        <v>22107</v>
      </c>
      <c r="C1423" s="3" t="str">
        <f>IFERROR(__xludf.DUMMYFUNCTION("""COMPUTED_VALUE"""),"MBC ชุมชนบ้านโพธิ์ นครราชสีมา")</f>
        <v>MBC ชุมชนบ้านโพธิ์ นครราชสีมา</v>
      </c>
      <c r="D1423" s="3" t="str">
        <f>IFERROR(__xludf.DUMMYFUNCTION("""COMPUTED_VALUE"""),"BCM CHUMCHON BANPHO")</f>
        <v>BCM CHUMCHON BANPHO</v>
      </c>
      <c r="E1423" s="1" t="str">
        <f>IFERROR(__xludf.DUMMYFUNCTION("""COMPUTED_VALUE"""),"บิ๊กซี MINI")</f>
        <v>บิ๊กซี MINI</v>
      </c>
      <c r="F1423" s="1" t="str">
        <f>IFERROR(__xludf.DUMMYFUNCTION("""COMPUTED_VALUE"""),"291105")</f>
        <v>291105</v>
      </c>
      <c r="G1423" s="1" t="str">
        <f>IFERROR(__xludf.DUMMYFUNCTION("""COMPUTED_VALUE"""),"นายสราวุฒิ พณิชยกุล")</f>
        <v>นายสราวุฒิ พณิชยกุล</v>
      </c>
      <c r="H1423" s="1" t="str">
        <f>IFERROR(__xludf.DUMMYFUNCTION("""COMPUTED_VALUE"""),"281315")</f>
        <v>281315</v>
      </c>
      <c r="I1423" s="1" t="str">
        <f>IFERROR(__xludf.DUMMYFUNCTION("""COMPUTED_VALUE"""),"นายกิตติพงษ์ มั่นคง")</f>
        <v>นายกิตติพงษ์ มั่นคง</v>
      </c>
      <c r="J1423" s="3">
        <f>IFERROR(__xludf.DUMMYFUNCTION("""COMPUTED_VALUE"""),15361.0)</f>
        <v>15361</v>
      </c>
      <c r="K1423" s="3" t="str">
        <f>IFERROR(__xludf.DUMMYFUNCTION("""COMPUTED_VALUE"""),"นายสมบูรณ์ พรหมในเมือง")</f>
        <v>นายสมบูรณ์ พรหมในเมือง</v>
      </c>
      <c r="L1423" s="1" t="str">
        <f>IFERROR(__xludf.DUMMYFUNCTION("""COMPUTED_VALUE"""),"04 K.Somboon P.")</f>
        <v>04 K.Somboon P.</v>
      </c>
      <c r="M1423" s="1" t="str">
        <f>IFERROR(__xludf.DUMMYFUNCTION("""COMPUTED_VALUE"""),"087-965-3051")</f>
        <v>087-965-3051</v>
      </c>
      <c r="N1423" s="3">
        <f>IFERROR(__xludf.DUMMYFUNCTION("""COMPUTED_VALUE"""),21869.0)</f>
        <v>21869</v>
      </c>
      <c r="O1423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423" s="4">
        <f>IFERROR(__xludf.DUMMYFUNCTION("""COMPUTED_VALUE"""),43920.0)</f>
        <v>43920</v>
      </c>
      <c r="Q1423" s="3" t="str">
        <f>IFERROR(__xludf.DUMMYFUNCTION("""COMPUTED_VALUE"""),"A")</f>
        <v>A</v>
      </c>
      <c r="R1423" s="3" t="str">
        <f>IFERROR(__xludf.DUMMYFUNCTION("""COMPUTED_VALUE"""),"Small Format")</f>
        <v>Small Format</v>
      </c>
      <c r="S1423" s="3" t="str">
        <f>IFERROR(__xludf.DUMMYFUNCTION("""COMPUTED_VALUE"""),"BCM")</f>
        <v>BCM</v>
      </c>
      <c r="T1423" s="3" t="str">
        <f>IFERROR(__xludf.DUMMYFUNCTION("""COMPUTED_VALUE"""),"#N/A")</f>
        <v>#N/A</v>
      </c>
      <c r="U1423" s="3" t="str">
        <f>IFERROR(__xludf.DUMMYFUNCTION("""COMPUTED_VALUE"""),"#N/A")</f>
        <v>#N/A</v>
      </c>
      <c r="V1423" s="3" t="str">
        <f>IFERROR(__xludf.DUMMYFUNCTION("""COMPUTED_VALUE"""),"N")</f>
        <v>N</v>
      </c>
      <c r="W1423" s="3">
        <f>IFERROR(__xludf.DUMMYFUNCTION("""COMPUTED_VALUE"""),210130.0)</f>
        <v>210130</v>
      </c>
      <c r="X1423" s="3" t="str">
        <f>IFERROR(__xludf.DUMMYFUNCTION("""COMPUTED_VALUE"""),"159 159/1 หมู่10 ตำบลบ้านโพธิ์ อำเภอเมืองนครราชสีมา จังหวัดนครราชสีมา 30310")</f>
        <v>159 159/1 หมู่10 ตำบลบ้านโพธิ์ อำเภอเมืองนครราชสีมา จังหวัดนครราชสีมา 30310</v>
      </c>
      <c r="Y1423" s="3"/>
      <c r="Z1423" s="3" t="str">
        <f>IFERROR(__xludf.DUMMYFUNCTION("""COMPUTED_VALUE"""),"หมู่10")</f>
        <v>หมู่10</v>
      </c>
      <c r="AA1423" s="3" t="str">
        <f>IFERROR(__xludf.DUMMYFUNCTION("""COMPUTED_VALUE"""),"เมือง")</f>
        <v>เมือง</v>
      </c>
      <c r="AB1423" s="3" t="str">
        <f>IFERROR(__xludf.DUMMYFUNCTION("""COMPUTED_VALUE"""),"นครราชสีมา")</f>
        <v>นครราชสีมา</v>
      </c>
      <c r="AC1423" s="3">
        <f>IFERROR(__xludf.DUMMYFUNCTION("""COMPUTED_VALUE"""),30310.0)</f>
        <v>30310</v>
      </c>
      <c r="AD1423" s="3">
        <f>IFERROR(__xludf.DUMMYFUNCTION("""COMPUTED_VALUE"""),15.037425)</f>
        <v>15.037425</v>
      </c>
      <c r="AE1423" s="3">
        <f>IFERROR(__xludf.DUMMYFUNCTION("""COMPUTED_VALUE"""),102.190111)</f>
        <v>102.190111</v>
      </c>
      <c r="AF1423" s="3" t="str">
        <f>IFERROR(__xludf.DUMMYFUNCTION("""COMPUTED_VALUE"""),"MBC ชุมชนบ้านโพธิ์ นครราชสีมา-22107")</f>
        <v>MBC ชุมชนบ้านโพธิ์ นครราชสีมา-22107</v>
      </c>
      <c r="AG1423" s="3" t="str">
        <f>IFERROR(__xludf.DUMMYFUNCTION("""COMPUTED_VALUE"""),"ตะวันออกเฉียงเหนือ")</f>
        <v>ตะวันออกเฉียงเหนือ</v>
      </c>
      <c r="AH1423" s="3" t="str">
        <f>IFERROR(__xludf.DUMMYFUNCTION("""COMPUTED_VALUE"""),"#N/A")</f>
        <v>#N/A</v>
      </c>
      <c r="AI1423" s="3" t="str">
        <f>IFERROR(__xludf.DUMMYFUNCTION("""COMPUTED_VALUE"""),"Out of warranty")</f>
        <v>Out of warranty</v>
      </c>
      <c r="AJ1423" s="3">
        <f>IFERROR(__xludf.DUMMYFUNCTION("""COMPUTED_VALUE"""),70.0)</f>
        <v>70</v>
      </c>
      <c r="AK1423" s="3" t="str">
        <f>IFERROR(__xludf.DUMMYFUNCTION("""COMPUTED_VALUE"""),"MMS11")</f>
        <v>MMS11</v>
      </c>
      <c r="AL1423" s="3"/>
    </row>
    <row r="1424" ht="15.75" customHeight="1">
      <c r="A1424" s="1" t="str">
        <f>IFERROR(__xludf.DUMMYFUNCTION("""COMPUTED_VALUE"""),"22108")</f>
        <v>22108</v>
      </c>
      <c r="B1424" s="2">
        <f>IFERROR(__xludf.DUMMYFUNCTION("""COMPUTED_VALUE"""),22108.0)</f>
        <v>22108</v>
      </c>
      <c r="C1424" s="3" t="str">
        <f>IFERROR(__xludf.DUMMYFUNCTION("""COMPUTED_VALUE"""),"MBC ถนนประจักษ์ หนองคาย")</f>
        <v>MBC ถนนประจักษ์ หนองคาย</v>
      </c>
      <c r="D1424" s="3" t="str">
        <f>IFERROR(__xludf.DUMMYFUNCTION("""COMPUTED_VALUE"""),"BCM THANON PRACHAK, NONG KHAI")</f>
        <v>BCM THANON PRACHAK, NONG KHAI</v>
      </c>
      <c r="E1424" s="1" t="str">
        <f>IFERROR(__xludf.DUMMYFUNCTION("""COMPUTED_VALUE"""),"บิ๊กซี MINI")</f>
        <v>บิ๊กซี MINI</v>
      </c>
      <c r="F1424" s="1" t="str">
        <f>IFERROR(__xludf.DUMMYFUNCTION("""COMPUTED_VALUE"""),"291105")</f>
        <v>291105</v>
      </c>
      <c r="G1424" s="1" t="str">
        <f>IFERROR(__xludf.DUMMYFUNCTION("""COMPUTED_VALUE"""),"นายสราวุฒิ พณิชยกุล")</f>
        <v>นายสราวุฒิ พณิชยกุล</v>
      </c>
      <c r="H1424" s="1" t="str">
        <f>IFERROR(__xludf.DUMMYFUNCTION("""COMPUTED_VALUE"""),"315928")</f>
        <v>315928</v>
      </c>
      <c r="I1424" s="1" t="str">
        <f>IFERROR(__xludf.DUMMYFUNCTION("""COMPUTED_VALUE"""),"น.ส.วรรณิศา พิมพ์เงิน")</f>
        <v>น.ส.วรรณิศา พิมพ์เงิน</v>
      </c>
      <c r="J1424" s="3">
        <f>IFERROR(__xludf.DUMMYFUNCTION("""COMPUTED_VALUE"""),295886.0)</f>
        <v>295886</v>
      </c>
      <c r="K1424" s="3" t="str">
        <f>IFERROR(__xludf.DUMMYFUNCTION("""COMPUTED_VALUE"""),"นายจิระพงษ์ โพธิ์นิล")</f>
        <v>นายจิระพงษ์ โพธิ์นิล</v>
      </c>
      <c r="L1424" s="1" t="str">
        <f>IFERROR(__xludf.DUMMYFUNCTION("""COMPUTED_VALUE"""),"นายจิระพงษ์ โพธิ์นิล")</f>
        <v>นายจิระพงษ์ โพธิ์นิล</v>
      </c>
      <c r="M1424" s="1" t="str">
        <f>IFERROR(__xludf.DUMMYFUNCTION("""COMPUTED_VALUE"""),"0933290754")</f>
        <v>0933290754</v>
      </c>
      <c r="N1424" s="3">
        <f>IFERROR(__xludf.DUMMYFUNCTION("""COMPUTED_VALUE"""),21622.0)</f>
        <v>21622</v>
      </c>
      <c r="O1424" s="3" t="str">
        <f>IFERROR(__xludf.DUMMYFUNCTION("""COMPUTED_VALUE"""),"MBC ตลาดบ้านดอน")</f>
        <v>MBC ตลาดบ้านดอน</v>
      </c>
      <c r="P1424" s="4">
        <f>IFERROR(__xludf.DUMMYFUNCTION("""COMPUTED_VALUE"""),43912.0)</f>
        <v>43912</v>
      </c>
      <c r="Q1424" s="3" t="str">
        <f>IFERROR(__xludf.DUMMYFUNCTION("""COMPUTED_VALUE"""),"I")</f>
        <v>I</v>
      </c>
      <c r="R1424" s="3" t="str">
        <f>IFERROR(__xludf.DUMMYFUNCTION("""COMPUTED_VALUE"""),"Small Format")</f>
        <v>Small Format</v>
      </c>
      <c r="S1424" s="3" t="str">
        <f>IFERROR(__xludf.DUMMYFUNCTION("""COMPUTED_VALUE"""),"BCM")</f>
        <v>BCM</v>
      </c>
      <c r="T1424" s="3" t="str">
        <f>IFERROR(__xludf.DUMMYFUNCTION("""COMPUTED_VALUE"""),"#N/A")</f>
        <v>#N/A</v>
      </c>
      <c r="U1424" s="3" t="str">
        <f>IFERROR(__xludf.DUMMYFUNCTION("""COMPUTED_VALUE"""),"#N/A")</f>
        <v>#N/A</v>
      </c>
      <c r="V1424" s="3" t="str">
        <f>IFERROR(__xludf.DUMMYFUNCTION("""COMPUTED_VALUE"""),"N")</f>
        <v>N</v>
      </c>
      <c r="W1424" s="3">
        <f>IFERROR(__xludf.DUMMYFUNCTION("""COMPUTED_VALUE"""),210057.0)</f>
        <v>210057</v>
      </c>
      <c r="X1424" s="3" t="str">
        <f>IFERROR(__xludf.DUMMYFUNCTION("""COMPUTED_VALUE"""),"926, หมู่6 ตำบลในเมือง อำเภอเมืองหนองคาย จังหวัดหนองคาย 43000")</f>
        <v>926, หมู่6 ตำบลในเมือง อำเภอเมืองหนองคาย จังหวัดหนองคาย 43000</v>
      </c>
      <c r="Y1424" s="3"/>
      <c r="Z1424" s="3" t="str">
        <f>IFERROR(__xludf.DUMMYFUNCTION("""COMPUTED_VALUE"""),"ในเมือง")</f>
        <v>ในเมือง</v>
      </c>
      <c r="AA1424" s="3" t="str">
        <f>IFERROR(__xludf.DUMMYFUNCTION("""COMPUTED_VALUE"""),"เมือง")</f>
        <v>เมือง</v>
      </c>
      <c r="AB1424" s="3" t="str">
        <f>IFERROR(__xludf.DUMMYFUNCTION("""COMPUTED_VALUE"""),"หนองคาย")</f>
        <v>หนองคาย</v>
      </c>
      <c r="AC1424" s="3">
        <f>IFERROR(__xludf.DUMMYFUNCTION("""COMPUTED_VALUE"""),43000.0)</f>
        <v>43000</v>
      </c>
      <c r="AD1424" s="3">
        <f>IFERROR(__xludf.DUMMYFUNCTION("""COMPUTED_VALUE"""),17.883313)</f>
        <v>17.883313</v>
      </c>
      <c r="AE1424" s="3">
        <f>IFERROR(__xludf.DUMMYFUNCTION("""COMPUTED_VALUE"""),102.750196)</f>
        <v>102.750196</v>
      </c>
      <c r="AF1424" s="3" t="str">
        <f>IFERROR(__xludf.DUMMYFUNCTION("""COMPUTED_VALUE"""),"MBC ถนนประจักษ์ หนองคาย-22108")</f>
        <v>MBC ถนนประจักษ์ หนองคาย-22108</v>
      </c>
      <c r="AG1424" s="3" t="str">
        <f>IFERROR(__xludf.DUMMYFUNCTION("""COMPUTED_VALUE"""),"ตะวันออกเฉียงเหนือ")</f>
        <v>ตะวันออกเฉียงเหนือ</v>
      </c>
      <c r="AH1424" s="3" t="str">
        <f>IFERROR(__xludf.DUMMYFUNCTION("""COMPUTED_VALUE"""),"#N/A")</f>
        <v>#N/A</v>
      </c>
      <c r="AI1424" s="3" t="str">
        <f>IFERROR(__xludf.DUMMYFUNCTION("""COMPUTED_VALUE"""),"Out of warranty")</f>
        <v>Out of warranty</v>
      </c>
      <c r="AJ1424" s="3">
        <f>IFERROR(__xludf.DUMMYFUNCTION("""COMPUTED_VALUE"""),70.0)</f>
        <v>70</v>
      </c>
      <c r="AK1424" s="3" t="str">
        <f>IFERROR(__xludf.DUMMYFUNCTION("""COMPUTED_VALUE"""),"MMS12")</f>
        <v>MMS12</v>
      </c>
      <c r="AL1424" s="3"/>
    </row>
    <row r="1425" ht="15.75" customHeight="1">
      <c r="A1425" s="1" t="str">
        <f>IFERROR(__xludf.DUMMYFUNCTION("""COMPUTED_VALUE"""),"22109")</f>
        <v>22109</v>
      </c>
      <c r="B1425" s="2">
        <f>IFERROR(__xludf.DUMMYFUNCTION("""COMPUTED_VALUE"""),22109.0)</f>
        <v>22109</v>
      </c>
      <c r="C1425" s="3" t="str">
        <f>IFERROR(__xludf.DUMMYFUNCTION("""COMPUTED_VALUE"""),"MBC ตลาดมรกต1 ชุมพร")</f>
        <v>MBC ตลาดมรกต1 ชุมพร</v>
      </c>
      <c r="D1425" s="3" t="str">
        <f>IFERROR(__xludf.DUMMYFUNCTION("""COMPUTED_VALUE"""),"BCM TALAD MORAKOD 1 CHUMPHON")</f>
        <v>BCM TALAD MORAKOD 1 CHUMPHON</v>
      </c>
      <c r="E1425" s="1" t="str">
        <f>IFERROR(__xludf.DUMMYFUNCTION("""COMPUTED_VALUE"""),"บิ๊กซี MINI")</f>
        <v>บิ๊กซี MINI</v>
      </c>
      <c r="F1425" s="1" t="str">
        <f>IFERROR(__xludf.DUMMYFUNCTION("""COMPUTED_VALUE"""),"250760")</f>
        <v>250760</v>
      </c>
      <c r="G1425" s="1" t="str">
        <f>IFERROR(__xludf.DUMMYFUNCTION("""COMPUTED_VALUE"""),"นายประทวน สาราบรรณ์")</f>
        <v>นายประทวน สาราบรรณ์</v>
      </c>
      <c r="H1425" s="1" t="str">
        <f>IFERROR(__xludf.DUMMYFUNCTION("""COMPUTED_VALUE"""),"228389")</f>
        <v>228389</v>
      </c>
      <c r="I1425" s="1" t="str">
        <f>IFERROR(__xludf.DUMMYFUNCTION("""COMPUTED_VALUE"""),"นายมณีรันดร์ ชัยชนะ")</f>
        <v>นายมณีรันดร์ ชัยชนะ</v>
      </c>
      <c r="J1425" s="3">
        <f>IFERROR(__xludf.DUMMYFUNCTION("""COMPUTED_VALUE"""),25324.0)</f>
        <v>25324</v>
      </c>
      <c r="K1425" s="3" t="str">
        <f>IFERROR(__xludf.DUMMYFUNCTION("""COMPUTED_VALUE"""),"นายวิเชฎฐ์ ติรัตนะประคม")</f>
        <v>นายวิเชฎฐ์ ติรัตนะประคม</v>
      </c>
      <c r="L1425" s="1" t="str">
        <f>IFERROR(__xludf.DUMMYFUNCTION("""COMPUTED_VALUE"""),"14 K.Wichet T.")</f>
        <v>14 K.Wichet T.</v>
      </c>
      <c r="M1425" s="1" t="str">
        <f>IFERROR(__xludf.DUMMYFUNCTION("""COMPUTED_VALUE"""),"061-417-6569 / 086-445-5636")</f>
        <v>061-417-6569 / 086-445-5636</v>
      </c>
      <c r="N1425" s="3">
        <f>IFERROR(__xludf.DUMMYFUNCTION("""COMPUTED_VALUE"""),22658.0)</f>
        <v>22658</v>
      </c>
      <c r="O1425" s="3" t="str">
        <f>IFERROR(__xludf.DUMMYFUNCTION("""COMPUTED_VALUE"""),"BCM ถ.วิรัชหงษ์หยก ภูเก็ต")</f>
        <v>BCM ถ.วิรัชหงษ์หยก ภูเก็ต</v>
      </c>
      <c r="P1425" s="4">
        <f>IFERROR(__xludf.DUMMYFUNCTION("""COMPUTED_VALUE"""),43951.0)</f>
        <v>43951</v>
      </c>
      <c r="Q1425" s="3" t="str">
        <f>IFERROR(__xludf.DUMMYFUNCTION("""COMPUTED_VALUE"""),"A")</f>
        <v>A</v>
      </c>
      <c r="R1425" s="3" t="str">
        <f>IFERROR(__xludf.DUMMYFUNCTION("""COMPUTED_VALUE"""),"Small Format")</f>
        <v>Small Format</v>
      </c>
      <c r="S1425" s="3" t="str">
        <f>IFERROR(__xludf.DUMMYFUNCTION("""COMPUTED_VALUE"""),"BCM")</f>
        <v>BCM</v>
      </c>
      <c r="T1425" s="3" t="str">
        <f>IFERROR(__xludf.DUMMYFUNCTION("""COMPUTED_VALUE"""),"#N/A")</f>
        <v>#N/A</v>
      </c>
      <c r="U1425" s="3" t="str">
        <f>IFERROR(__xludf.DUMMYFUNCTION("""COMPUTED_VALUE"""),"#N/A")</f>
        <v>#N/A</v>
      </c>
      <c r="V1425" s="3" t="str">
        <f>IFERROR(__xludf.DUMMYFUNCTION("""COMPUTED_VALUE"""),"N")</f>
        <v>N</v>
      </c>
      <c r="W1425" s="3">
        <f>IFERROR(__xludf.DUMMYFUNCTION("""COMPUTED_VALUE"""),210119.0)</f>
        <v>210119</v>
      </c>
      <c r="X1425" s="3" t="str">
        <f>IFERROR(__xludf.DUMMYFUNCTION("""COMPUTED_VALUE"""),"438/8 หมู่5 ตำบลวังตะกอ อำเภอหลังสวน จังหวัดชุมพร 86110")</f>
        <v>438/8 หมู่5 ตำบลวังตะกอ อำเภอหลังสวน จังหวัดชุมพร 86110</v>
      </c>
      <c r="Y1425" s="3"/>
      <c r="Z1425" s="3" t="str">
        <f>IFERROR(__xludf.DUMMYFUNCTION("""COMPUTED_VALUE"""),"วังตะกอ")</f>
        <v>วังตะกอ</v>
      </c>
      <c r="AA1425" s="3" t="str">
        <f>IFERROR(__xludf.DUMMYFUNCTION("""COMPUTED_VALUE"""),"หลังสวน")</f>
        <v>หลังสวน</v>
      </c>
      <c r="AB1425" s="3" t="str">
        <f>IFERROR(__xludf.DUMMYFUNCTION("""COMPUTED_VALUE"""),"ชุมพร")</f>
        <v>ชุมพร</v>
      </c>
      <c r="AC1425" s="3">
        <f>IFERROR(__xludf.DUMMYFUNCTION("""COMPUTED_VALUE"""),86110.0)</f>
        <v>86110</v>
      </c>
      <c r="AD1425" s="3">
        <f>IFERROR(__xludf.DUMMYFUNCTION("""COMPUTED_VALUE"""),9.98633)</f>
        <v>9.98633</v>
      </c>
      <c r="AE1425" s="3">
        <f>IFERROR(__xludf.DUMMYFUNCTION("""COMPUTED_VALUE"""),99.067419)</f>
        <v>99.067419</v>
      </c>
      <c r="AF1425" s="3" t="str">
        <f>IFERROR(__xludf.DUMMYFUNCTION("""COMPUTED_VALUE"""),"MBC ตลาดมรกต1 ชุมพร-22109")</f>
        <v>MBC ตลาดมรกต1 ชุมพร-22109</v>
      </c>
      <c r="AG1425" s="3" t="str">
        <f>IFERROR(__xludf.DUMMYFUNCTION("""COMPUTED_VALUE"""),"ใต้")</f>
        <v>ใต้</v>
      </c>
      <c r="AH1425" s="3" t="str">
        <f>IFERROR(__xludf.DUMMYFUNCTION("""COMPUTED_VALUE"""),"#N/A")</f>
        <v>#N/A</v>
      </c>
      <c r="AI1425" s="3" t="str">
        <f>IFERROR(__xludf.DUMMYFUNCTION("""COMPUTED_VALUE"""),"Out of warranty")</f>
        <v>Out of warranty</v>
      </c>
      <c r="AJ1425" s="3">
        <f>IFERROR(__xludf.DUMMYFUNCTION("""COMPUTED_VALUE"""),69.0)</f>
        <v>69</v>
      </c>
      <c r="AK1425" s="3" t="str">
        <f>IFERROR(__xludf.DUMMYFUNCTION("""COMPUTED_VALUE"""),"MMS14")</f>
        <v>MMS14</v>
      </c>
      <c r="AL1425" s="3"/>
    </row>
    <row r="1426" ht="15.75" customHeight="1">
      <c r="A1426" s="1" t="str">
        <f>IFERROR(__xludf.DUMMYFUNCTION("""COMPUTED_VALUE"""),"22110")</f>
        <v>22110</v>
      </c>
      <c r="B1426" s="2">
        <f>IFERROR(__xludf.DUMMYFUNCTION("""COMPUTED_VALUE"""),22110.0)</f>
        <v>22110</v>
      </c>
      <c r="C1426" s="3" t="str">
        <f>IFERROR(__xludf.DUMMYFUNCTION("""COMPUTED_VALUE"""),"MBC เขาทะลุ ชุมพร")</f>
        <v>MBC เขาทะลุ ชุมพร</v>
      </c>
      <c r="D1426" s="3" t="str">
        <f>IFERROR(__xludf.DUMMYFUNCTION("""COMPUTED_VALUE"""),"BCM KHAO THARU (OPT.2)")</f>
        <v>BCM KHAO THARU (OPT.2)</v>
      </c>
      <c r="E1426" s="1" t="str">
        <f>IFERROR(__xludf.DUMMYFUNCTION("""COMPUTED_VALUE"""),"บิ๊กซี MINI")</f>
        <v>บิ๊กซี MINI</v>
      </c>
      <c r="F1426" s="1" t="str">
        <f>IFERROR(__xludf.DUMMYFUNCTION("""COMPUTED_VALUE"""),"250760")</f>
        <v>250760</v>
      </c>
      <c r="G1426" s="1" t="str">
        <f>IFERROR(__xludf.DUMMYFUNCTION("""COMPUTED_VALUE"""),"นายประทวน สาราบรรณ์")</f>
        <v>นายประทวน สาราบรรณ์</v>
      </c>
      <c r="H1426" s="1" t="str">
        <f>IFERROR(__xludf.DUMMYFUNCTION("""COMPUTED_VALUE"""),"228389")</f>
        <v>228389</v>
      </c>
      <c r="I1426" s="1" t="str">
        <f>IFERROR(__xludf.DUMMYFUNCTION("""COMPUTED_VALUE"""),"นายมณีรันดร์ ชัยชนะ")</f>
        <v>นายมณีรันดร์ ชัยชนะ</v>
      </c>
      <c r="J1426" s="3">
        <f>IFERROR(__xludf.DUMMYFUNCTION("""COMPUTED_VALUE"""),25324.0)</f>
        <v>25324</v>
      </c>
      <c r="K1426" s="3" t="str">
        <f>IFERROR(__xludf.DUMMYFUNCTION("""COMPUTED_VALUE"""),"นายวิเชฎฐ์ ติรัตนะประคม")</f>
        <v>นายวิเชฎฐ์ ติรัตนะประคม</v>
      </c>
      <c r="L1426" s="1" t="str">
        <f>IFERROR(__xludf.DUMMYFUNCTION("""COMPUTED_VALUE"""),"14 K.Wichet T.")</f>
        <v>14 K.Wichet T.</v>
      </c>
      <c r="M1426" s="1" t="str">
        <f>IFERROR(__xludf.DUMMYFUNCTION("""COMPUTED_VALUE"""),"061-417-6569 / 086-445-5636")</f>
        <v>061-417-6569 / 086-445-5636</v>
      </c>
      <c r="N1426" s="3">
        <f>IFERROR(__xludf.DUMMYFUNCTION("""COMPUTED_VALUE"""),22658.0)</f>
        <v>22658</v>
      </c>
      <c r="O1426" s="3" t="str">
        <f>IFERROR(__xludf.DUMMYFUNCTION("""COMPUTED_VALUE"""),"BCM ถ.วิรัชหงษ์หยก ภูเก็ต")</f>
        <v>BCM ถ.วิรัชหงษ์หยก ภูเก็ต</v>
      </c>
      <c r="P1426" s="4">
        <f>IFERROR(__xludf.DUMMYFUNCTION("""COMPUTED_VALUE"""),44034.0)</f>
        <v>44034</v>
      </c>
      <c r="Q1426" s="3" t="str">
        <f>IFERROR(__xludf.DUMMYFUNCTION("""COMPUTED_VALUE"""),"A")</f>
        <v>A</v>
      </c>
      <c r="R1426" s="3" t="str">
        <f>IFERROR(__xludf.DUMMYFUNCTION("""COMPUTED_VALUE"""),"Small Format")</f>
        <v>Small Format</v>
      </c>
      <c r="S1426" s="3" t="str">
        <f>IFERROR(__xludf.DUMMYFUNCTION("""COMPUTED_VALUE"""),"BCM")</f>
        <v>BCM</v>
      </c>
      <c r="T1426" s="3" t="str">
        <f>IFERROR(__xludf.DUMMYFUNCTION("""COMPUTED_VALUE"""),"#N/A")</f>
        <v>#N/A</v>
      </c>
      <c r="U1426" s="3" t="str">
        <f>IFERROR(__xludf.DUMMYFUNCTION("""COMPUTED_VALUE"""),"#N/A")</f>
        <v>#N/A</v>
      </c>
      <c r="V1426" s="3" t="str">
        <f>IFERROR(__xludf.DUMMYFUNCTION("""COMPUTED_VALUE"""),"N")</f>
        <v>N</v>
      </c>
      <c r="W1426" s="3">
        <f>IFERROR(__xludf.DUMMYFUNCTION("""COMPUTED_VALUE"""),210039.0)</f>
        <v>210039</v>
      </c>
      <c r="X1426" s="3" t="str">
        <f>IFERROR(__xludf.DUMMYFUNCTION("""COMPUTED_VALUE"""),"17/29 หมู่1 ตำบลเขาทะลุ อำเภอสวี จังหวัดชุมพร 86130")</f>
        <v>17/29 หมู่1 ตำบลเขาทะลุ อำเภอสวี จังหวัดชุมพร 86130</v>
      </c>
      <c r="Y1426" s="3"/>
      <c r="Z1426" s="3" t="str">
        <f>IFERROR(__xludf.DUMMYFUNCTION("""COMPUTED_VALUE"""),"เขาทะลุ")</f>
        <v>เขาทะลุ</v>
      </c>
      <c r="AA1426" s="3" t="str">
        <f>IFERROR(__xludf.DUMMYFUNCTION("""COMPUTED_VALUE"""),"สวี")</f>
        <v>สวี</v>
      </c>
      <c r="AB1426" s="3" t="str">
        <f>IFERROR(__xludf.DUMMYFUNCTION("""COMPUTED_VALUE"""),"ชุมพร")</f>
        <v>ชุมพร</v>
      </c>
      <c r="AC1426" s="3">
        <f>IFERROR(__xludf.DUMMYFUNCTION("""COMPUTED_VALUE"""),86130.0)</f>
        <v>86130</v>
      </c>
      <c r="AD1426" s="3">
        <f>IFERROR(__xludf.DUMMYFUNCTION("""COMPUTED_VALUE"""),10.209502)</f>
        <v>10.209502</v>
      </c>
      <c r="AE1426" s="3">
        <f>IFERROR(__xludf.DUMMYFUNCTION("""COMPUTED_VALUE"""),98.933704)</f>
        <v>98.933704</v>
      </c>
      <c r="AF1426" s="3" t="str">
        <f>IFERROR(__xludf.DUMMYFUNCTION("""COMPUTED_VALUE"""),"MBC เขาทะลุ ชุมพร-22110")</f>
        <v>MBC เขาทะลุ ชุมพร-22110</v>
      </c>
      <c r="AG1426" s="3" t="str">
        <f>IFERROR(__xludf.DUMMYFUNCTION("""COMPUTED_VALUE"""),"ใต้")</f>
        <v>ใต้</v>
      </c>
      <c r="AH1426" s="3" t="str">
        <f>IFERROR(__xludf.DUMMYFUNCTION("""COMPUTED_VALUE"""),"#N/A")</f>
        <v>#N/A</v>
      </c>
      <c r="AI1426" s="3" t="str">
        <f>IFERROR(__xludf.DUMMYFUNCTION("""COMPUTED_VALUE"""),"Out of warranty")</f>
        <v>Out of warranty</v>
      </c>
      <c r="AJ1426" s="3">
        <f>IFERROR(__xludf.DUMMYFUNCTION("""COMPUTED_VALUE"""),66.0)</f>
        <v>66</v>
      </c>
      <c r="AK1426" s="3" t="str">
        <f>IFERROR(__xludf.DUMMYFUNCTION("""COMPUTED_VALUE"""),"MMS14")</f>
        <v>MMS14</v>
      </c>
      <c r="AL1426" s="3"/>
    </row>
    <row r="1427" ht="15.75" customHeight="1">
      <c r="A1427" s="1" t="str">
        <f>IFERROR(__xludf.DUMMYFUNCTION("""COMPUTED_VALUE"""),"22111")</f>
        <v>22111</v>
      </c>
      <c r="B1427" s="2">
        <f>IFERROR(__xludf.DUMMYFUNCTION("""COMPUTED_VALUE"""),22111.0)</f>
        <v>22111</v>
      </c>
      <c r="C1427" s="3" t="str">
        <f>IFERROR(__xludf.DUMMYFUNCTION("""COMPUTED_VALUE"""),"MBC ถนนศรีสะเกษ อุบลราชธานี")</f>
        <v>MBC ถนนศรีสะเกษ อุบลราชธานี</v>
      </c>
      <c r="D1427" s="3" t="str">
        <f>IFERROR(__xludf.DUMMYFUNCTION("""COMPUTED_VALUE"""),"BCM THANON SISAKET")</f>
        <v>BCM THANON SISAKET</v>
      </c>
      <c r="E1427" s="1" t="str">
        <f>IFERROR(__xludf.DUMMYFUNCTION("""COMPUTED_VALUE"""),"บิ๊กซี MINI")</f>
        <v>บิ๊กซี MINI</v>
      </c>
      <c r="F1427" s="1" t="str">
        <f>IFERROR(__xludf.DUMMYFUNCTION("""COMPUTED_VALUE"""),"291105")</f>
        <v>291105</v>
      </c>
      <c r="G1427" s="1" t="str">
        <f>IFERROR(__xludf.DUMMYFUNCTION("""COMPUTED_VALUE"""),"นายสราวุฒิ พณิชยกุล")</f>
        <v>นายสราวุฒิ พณิชยกุล</v>
      </c>
      <c r="H1427" s="1" t="str">
        <f>IFERROR(__xludf.DUMMYFUNCTION("""COMPUTED_VALUE"""),"250772")</f>
        <v>250772</v>
      </c>
      <c r="I1427" s="1" t="str">
        <f>IFERROR(__xludf.DUMMYFUNCTION("""COMPUTED_VALUE"""),"น.ส.วรุณยุพา จรูญไธสง")</f>
        <v>น.ส.วรุณยุพา จรูญไธสง</v>
      </c>
      <c r="J1427" s="3">
        <f>IFERROR(__xludf.DUMMYFUNCTION("""COMPUTED_VALUE"""),2454781.0)</f>
        <v>2454781</v>
      </c>
      <c r="K1427" s="3" t="str">
        <f>IFERROR(__xludf.DUMMYFUNCTION("""COMPUTED_VALUE"""),"นายฌานกฤช นันทะโคต")</f>
        <v>นายฌานกฤช นันทะโคต</v>
      </c>
      <c r="L1427" s="1" t="str">
        <f>IFERROR(__xludf.DUMMYFUNCTION("""COMPUTED_VALUE"""),"05 K.Chanakrit N.")</f>
        <v>05 K.Chanakrit N.</v>
      </c>
      <c r="M1427" s="1" t="str">
        <f>IFERROR(__xludf.DUMMYFUNCTION("""COMPUTED_VALUE"""),"090-978-9785 ,065-929-1320")</f>
        <v>090-978-9785 ,065-929-1320</v>
      </c>
      <c r="N1427" s="3">
        <f>IFERROR(__xludf.DUMMYFUNCTION("""COMPUTED_VALUE"""),22195.0)</f>
        <v>22195</v>
      </c>
      <c r="O1427" s="3" t="str">
        <f>IFERROR(__xludf.DUMMYFUNCTION("""COMPUTED_VALUE"""),"MBC กันทรลักษ์ ศรีสะเกษ")</f>
        <v>MBC กันทรลักษ์ ศรีสะเกษ</v>
      </c>
      <c r="P1427" s="4">
        <f>IFERROR(__xludf.DUMMYFUNCTION("""COMPUTED_VALUE"""),43921.0)</f>
        <v>43921</v>
      </c>
      <c r="Q1427" s="3" t="str">
        <f>IFERROR(__xludf.DUMMYFUNCTION("""COMPUTED_VALUE"""),"A")</f>
        <v>A</v>
      </c>
      <c r="R1427" s="3" t="str">
        <f>IFERROR(__xludf.DUMMYFUNCTION("""COMPUTED_VALUE"""),"Small Format")</f>
        <v>Small Format</v>
      </c>
      <c r="S1427" s="3" t="str">
        <f>IFERROR(__xludf.DUMMYFUNCTION("""COMPUTED_VALUE"""),"BCM")</f>
        <v>BCM</v>
      </c>
      <c r="T1427" s="3" t="str">
        <f>IFERROR(__xludf.DUMMYFUNCTION("""COMPUTED_VALUE"""),"#N/A")</f>
        <v>#N/A</v>
      </c>
      <c r="U1427" s="3" t="str">
        <f>IFERROR(__xludf.DUMMYFUNCTION("""COMPUTED_VALUE"""),"#N/A")</f>
        <v>#N/A</v>
      </c>
      <c r="V1427" s="3" t="str">
        <f>IFERROR(__xludf.DUMMYFUNCTION("""COMPUTED_VALUE"""),"N")</f>
        <v>N</v>
      </c>
      <c r="W1427" s="3">
        <f>IFERROR(__xludf.DUMMYFUNCTION("""COMPUTED_VALUE"""),210121.0)</f>
        <v>210121</v>
      </c>
      <c r="X1427" s="3" t="str">
        <f>IFERROR(__xludf.DUMMYFUNCTION("""COMPUTED_VALUE"""),"287 หมู่10 ตำบลคำน้ำแซบ อำเภอวารินชำราบ จังหวัดอุบลราชธานี 34190")</f>
        <v>287 หมู่10 ตำบลคำน้ำแซบ อำเภอวารินชำราบ จังหวัดอุบลราชธานี 34190</v>
      </c>
      <c r="Y1427" s="3"/>
      <c r="Z1427" s="3" t="str">
        <f>IFERROR(__xludf.DUMMYFUNCTION("""COMPUTED_VALUE"""),"คำน้ำแซบ")</f>
        <v>คำน้ำแซบ</v>
      </c>
      <c r="AA1427" s="3" t="str">
        <f>IFERROR(__xludf.DUMMYFUNCTION("""COMPUTED_VALUE"""),"วารินชำราบ")</f>
        <v>วารินชำราบ</v>
      </c>
      <c r="AB1427" s="3" t="str">
        <f>IFERROR(__xludf.DUMMYFUNCTION("""COMPUTED_VALUE"""),"อุบลราชธานี")</f>
        <v>อุบลราชธานี</v>
      </c>
      <c r="AC1427" s="3">
        <f>IFERROR(__xludf.DUMMYFUNCTION("""COMPUTED_VALUE"""),34190.0)</f>
        <v>34190</v>
      </c>
      <c r="AD1427" s="3">
        <f>IFERROR(__xludf.DUMMYFUNCTION("""COMPUTED_VALUE"""),15.194399)</f>
        <v>15.194399</v>
      </c>
      <c r="AE1427" s="3">
        <f>IFERROR(__xludf.DUMMYFUNCTION("""COMPUTED_VALUE"""),104.835608)</f>
        <v>104.835608</v>
      </c>
      <c r="AF1427" s="3" t="str">
        <f>IFERROR(__xludf.DUMMYFUNCTION("""COMPUTED_VALUE"""),"MBC ถนนศรีสะเกษ อุบลราชธานี-22111")</f>
        <v>MBC ถนนศรีสะเกษ อุบลราชธานี-22111</v>
      </c>
      <c r="AG1427" s="3" t="str">
        <f>IFERROR(__xludf.DUMMYFUNCTION("""COMPUTED_VALUE"""),"ตะวันออกเฉียงเหนือ")</f>
        <v>ตะวันออกเฉียงเหนือ</v>
      </c>
      <c r="AH1427" s="3" t="str">
        <f>IFERROR(__xludf.DUMMYFUNCTION("""COMPUTED_VALUE"""),"#N/A")</f>
        <v>#N/A</v>
      </c>
      <c r="AI1427" s="3" t="str">
        <f>IFERROR(__xludf.DUMMYFUNCTION("""COMPUTED_VALUE"""),"Out of warranty")</f>
        <v>Out of warranty</v>
      </c>
      <c r="AJ1427" s="3">
        <f>IFERROR(__xludf.DUMMYFUNCTION("""COMPUTED_VALUE"""),70.0)</f>
        <v>70</v>
      </c>
      <c r="AK1427" s="3" t="str">
        <f>IFERROR(__xludf.DUMMYFUNCTION("""COMPUTED_VALUE"""),"MMS13")</f>
        <v>MMS13</v>
      </c>
      <c r="AL1427" s="3"/>
    </row>
    <row r="1428" ht="15.75" customHeight="1">
      <c r="A1428" s="1" t="str">
        <f>IFERROR(__xludf.DUMMYFUNCTION("""COMPUTED_VALUE"""),"22112")</f>
        <v>22112</v>
      </c>
      <c r="B1428" s="2">
        <f>IFERROR(__xludf.DUMMYFUNCTION("""COMPUTED_VALUE"""),22112.0)</f>
        <v>22112</v>
      </c>
      <c r="C1428" s="3" t="str">
        <f>IFERROR(__xludf.DUMMYFUNCTION("""COMPUTED_VALUE"""),"MBC เคหะชุมชนเพชรบูรณ์ เพชรบูรณ์")</f>
        <v>MBC เคหะชุมชนเพชรบูรณ์ เพชรบูรณ์</v>
      </c>
      <c r="D1428" s="3" t="str">
        <f>IFERROR(__xludf.DUMMYFUNCTION("""COMPUTED_VALUE"""),"BCM KE HA CHUMCHON PHETCHABUN")</f>
        <v>BCM KE HA CHUMCHON PHETCHABUN</v>
      </c>
      <c r="E1428" s="1" t="str">
        <f>IFERROR(__xludf.DUMMYFUNCTION("""COMPUTED_VALUE"""),"บิ๊กซี MINI")</f>
        <v>บิ๊กซี MINI</v>
      </c>
      <c r="F1428" s="1" t="str">
        <f>IFERROR(__xludf.DUMMYFUNCTION("""COMPUTED_VALUE"""),"296229")</f>
        <v>296229</v>
      </c>
      <c r="G1428" s="1" t="str">
        <f>IFERROR(__xludf.DUMMYFUNCTION("""COMPUTED_VALUE"""),"นายทนงศักดิ์ บุญมา")</f>
        <v>นายทนงศักดิ์ บุญมา</v>
      </c>
      <c r="H1428" s="1" t="str">
        <f>IFERROR(__xludf.DUMMYFUNCTION("""COMPUTED_VALUE"""),"291082")</f>
        <v>291082</v>
      </c>
      <c r="I1428" s="1" t="str">
        <f>IFERROR(__xludf.DUMMYFUNCTION("""COMPUTED_VALUE"""),"น.ส.วจี กันเกตุ")</f>
        <v>น.ส.วจี กันเกตุ</v>
      </c>
      <c r="J1428" s="3">
        <f>IFERROR(__xludf.DUMMYFUNCTION("""COMPUTED_VALUE"""),46214.0)</f>
        <v>46214</v>
      </c>
      <c r="K1428" s="3" t="str">
        <f>IFERROR(__xludf.DUMMYFUNCTION("""COMPUTED_VALUE"""),"นายศักดิ์ชัย เด็ดดอกฟ้า")</f>
        <v>นายศักดิ์ชัย เด็ดดอกฟ้า</v>
      </c>
      <c r="L1428" s="1" t="str">
        <f>IFERROR(__xludf.DUMMYFUNCTION("""COMPUTED_VALUE"""),"02 K.Sakchai D")</f>
        <v>02 K.Sakchai D</v>
      </c>
      <c r="M1428" s="1" t="str">
        <f>IFERROR(__xludf.DUMMYFUNCTION("""COMPUTED_VALUE"""),"065-510-7376")</f>
        <v>065-510-7376</v>
      </c>
      <c r="N1428" s="3">
        <f>IFERROR(__xludf.DUMMYFUNCTION("""COMPUTED_VALUE"""),21714.0)</f>
        <v>21714</v>
      </c>
      <c r="O1428" s="3" t="str">
        <f>IFERROR(__xludf.DUMMYFUNCTION("""COMPUTED_VALUE"""),"MBC เอสโซ่ วัดโบสถ์")</f>
        <v>MBC เอสโซ่ วัดโบสถ์</v>
      </c>
      <c r="P1428" s="4">
        <f>IFERROR(__xludf.DUMMYFUNCTION("""COMPUTED_VALUE"""),43921.0)</f>
        <v>43921</v>
      </c>
      <c r="Q1428" s="3" t="str">
        <f>IFERROR(__xludf.DUMMYFUNCTION("""COMPUTED_VALUE"""),"A")</f>
        <v>A</v>
      </c>
      <c r="R1428" s="3" t="str">
        <f>IFERROR(__xludf.DUMMYFUNCTION("""COMPUTED_VALUE"""),"Small Format")</f>
        <v>Small Format</v>
      </c>
      <c r="S1428" s="3" t="str">
        <f>IFERROR(__xludf.DUMMYFUNCTION("""COMPUTED_VALUE"""),"BCM")</f>
        <v>BCM</v>
      </c>
      <c r="T1428" s="3" t="str">
        <f>IFERROR(__xludf.DUMMYFUNCTION("""COMPUTED_VALUE"""),"#N/A")</f>
        <v>#N/A</v>
      </c>
      <c r="U1428" s="3" t="str">
        <f>IFERROR(__xludf.DUMMYFUNCTION("""COMPUTED_VALUE"""),"#N/A")</f>
        <v>#N/A</v>
      </c>
      <c r="V1428" s="3" t="str">
        <f>IFERROR(__xludf.DUMMYFUNCTION("""COMPUTED_VALUE"""),"N")</f>
        <v>N</v>
      </c>
      <c r="W1428" s="3">
        <f>IFERROR(__xludf.DUMMYFUNCTION("""COMPUTED_VALUE"""),210134.0)</f>
        <v>210134</v>
      </c>
      <c r="X1428" s="3" t="str">
        <f>IFERROR(__xludf.DUMMYFUNCTION("""COMPUTED_VALUE"""),"1/13 ถนนเทพาพัฒนา ตำบลในเมือง อำเภอเมืองเพชรบูรณ์ จังหวัดเพชรบูรณ์ 67000")</f>
        <v>1/13 ถนนเทพาพัฒนา ตำบลในเมือง อำเภอเมืองเพชรบูรณ์ จังหวัดเพชรบูรณ์ 67000</v>
      </c>
      <c r="Y1428" s="3" t="str">
        <f>IFERROR(__xludf.DUMMYFUNCTION("""COMPUTED_VALUE"""),"ถนนเทพาพัฒนา")</f>
        <v>ถนนเทพาพัฒนา</v>
      </c>
      <c r="Z1428" s="3" t="str">
        <f>IFERROR(__xludf.DUMMYFUNCTION("""COMPUTED_VALUE"""),"ในเมือง")</f>
        <v>ในเมือง</v>
      </c>
      <c r="AA1428" s="3" t="str">
        <f>IFERROR(__xludf.DUMMYFUNCTION("""COMPUTED_VALUE"""),"เมือง")</f>
        <v>เมือง</v>
      </c>
      <c r="AB1428" s="3" t="str">
        <f>IFERROR(__xludf.DUMMYFUNCTION("""COMPUTED_VALUE"""),"เพชรบูรณ์")</f>
        <v>เพชรบูรณ์</v>
      </c>
      <c r="AC1428" s="3">
        <f>IFERROR(__xludf.DUMMYFUNCTION("""COMPUTED_VALUE"""),67000.0)</f>
        <v>67000</v>
      </c>
      <c r="AD1428" s="3">
        <f>IFERROR(__xludf.DUMMYFUNCTION("""COMPUTED_VALUE"""),16.410419)</f>
        <v>16.410419</v>
      </c>
      <c r="AE1428" s="3">
        <f>IFERROR(__xludf.DUMMYFUNCTION("""COMPUTED_VALUE"""),101.157967)</f>
        <v>101.157967</v>
      </c>
      <c r="AF1428" s="3" t="str">
        <f>IFERROR(__xludf.DUMMYFUNCTION("""COMPUTED_VALUE"""),"MBC เคหะชุมชนเพชรบูรณ์ เพชรบูรณ์-22112")</f>
        <v>MBC เคหะชุมชนเพชรบูรณ์ เพชรบูรณ์-22112</v>
      </c>
      <c r="AG1428" s="3" t="str">
        <f>IFERROR(__xludf.DUMMYFUNCTION("""COMPUTED_VALUE"""),"กลาง")</f>
        <v>กลาง</v>
      </c>
      <c r="AH1428" s="3" t="str">
        <f>IFERROR(__xludf.DUMMYFUNCTION("""COMPUTED_VALUE"""),"#N/A")</f>
        <v>#N/A</v>
      </c>
      <c r="AI1428" s="3" t="str">
        <f>IFERROR(__xludf.DUMMYFUNCTION("""COMPUTED_VALUE"""),"Out of warranty")</f>
        <v>Out of warranty</v>
      </c>
      <c r="AJ1428" s="3">
        <f>IFERROR(__xludf.DUMMYFUNCTION("""COMPUTED_VALUE"""),70.0)</f>
        <v>70</v>
      </c>
      <c r="AK1428" s="3" t="str">
        <f>IFERROR(__xludf.DUMMYFUNCTION("""COMPUTED_VALUE"""),"MMS09")</f>
        <v>MMS09</v>
      </c>
      <c r="AL1428" s="3"/>
    </row>
    <row r="1429" ht="15.75" customHeight="1">
      <c r="A1429" s="1" t="str">
        <f>IFERROR(__xludf.DUMMYFUNCTION("""COMPUTED_VALUE"""),"22113")</f>
        <v>22113</v>
      </c>
      <c r="B1429" s="2">
        <f>IFERROR(__xludf.DUMMYFUNCTION("""COMPUTED_VALUE"""),22113.0)</f>
        <v>22113</v>
      </c>
      <c r="C1429" s="3" t="str">
        <f>IFERROR(__xludf.DUMMYFUNCTION("""COMPUTED_VALUE"""),"MBC เทพคุณากร ฉะเชิงเทรา")</f>
        <v>MBC เทพคุณากร ฉะเชิงเทรา</v>
      </c>
      <c r="D1429" s="3" t="str">
        <f>IFERROR(__xludf.DUMMYFUNCTION("""COMPUTED_VALUE"""),"BCM THEP KHUNAKON CHACHOENGSAO")</f>
        <v>BCM THEP KHUNAKON CHACHOENGSAO</v>
      </c>
      <c r="E1429" s="1" t="str">
        <f>IFERROR(__xludf.DUMMYFUNCTION("""COMPUTED_VALUE"""),"บิ๊กซี MINI")</f>
        <v>บิ๊กซี MINI</v>
      </c>
      <c r="F1429" s="1" t="str">
        <f>IFERROR(__xludf.DUMMYFUNCTION("""COMPUTED_VALUE"""),"2083447")</f>
        <v>2083447</v>
      </c>
      <c r="G1429" s="1" t="str">
        <f>IFERROR(__xludf.DUMMYFUNCTION("""COMPUTED_VALUE"""),"นายอนุกูล ศรีลัดดา")</f>
        <v>นายอนุกูล ศรีลัดดา</v>
      </c>
      <c r="H1429" s="1" t="str">
        <f>IFERROR(__xludf.DUMMYFUNCTION("""COMPUTED_VALUE"""),"254957")</f>
        <v>254957</v>
      </c>
      <c r="I1429" s="1" t="str">
        <f>IFERROR(__xludf.DUMMYFUNCTION("""COMPUTED_VALUE"""),"น.ส.ศิริพร รุ่งธัญญา")</f>
        <v>น.ส.ศิริพร รุ่งธัญญา</v>
      </c>
      <c r="J1429" s="3">
        <f>IFERROR(__xludf.DUMMYFUNCTION("""COMPUTED_VALUE"""),510143.0)</f>
        <v>510143</v>
      </c>
      <c r="K1429" s="3" t="str">
        <f>IFERROR(__xludf.DUMMYFUNCTION("""COMPUTED_VALUE"""),"นายธีระวัฒน์ บุญสิทธิ์")</f>
        <v>นายธีระวัฒน์ บุญสิทธิ์</v>
      </c>
      <c r="L1429" s="3" t="str">
        <f>IFERROR(__xludf.DUMMYFUNCTION("""COMPUTED_VALUE"""),"12 K.Theerawat B.")</f>
        <v>12 K.Theerawat B.</v>
      </c>
      <c r="M1429" s="1" t="str">
        <f>IFERROR(__xludf.DUMMYFUNCTION("""COMPUTED_VALUE"""),"0655107379")</f>
        <v>0655107379</v>
      </c>
      <c r="N1429" s="3">
        <f>IFERROR(__xludf.DUMMYFUNCTION("""COMPUTED_VALUE"""),21062.0)</f>
        <v>21062</v>
      </c>
      <c r="O1429" s="3" t="str">
        <f>IFERROR(__xludf.DUMMYFUNCTION("""COMPUTED_VALUE"""),"MBC นิคมนวนคร")</f>
        <v>MBC นิคมนวนคร</v>
      </c>
      <c r="P1429" s="4">
        <f>IFERROR(__xludf.DUMMYFUNCTION("""COMPUTED_VALUE"""),43945.0)</f>
        <v>43945</v>
      </c>
      <c r="Q1429" s="3" t="str">
        <f>IFERROR(__xludf.DUMMYFUNCTION("""COMPUTED_VALUE"""),"A")</f>
        <v>A</v>
      </c>
      <c r="R1429" s="3" t="str">
        <f>IFERROR(__xludf.DUMMYFUNCTION("""COMPUTED_VALUE"""),"Small Format")</f>
        <v>Small Format</v>
      </c>
      <c r="S1429" s="3" t="str">
        <f>IFERROR(__xludf.DUMMYFUNCTION("""COMPUTED_VALUE"""),"BCM")</f>
        <v>BCM</v>
      </c>
      <c r="T1429" s="3" t="str">
        <f>IFERROR(__xludf.DUMMYFUNCTION("""COMPUTED_VALUE"""),"#N/A")</f>
        <v>#N/A</v>
      </c>
      <c r="U1429" s="3" t="str">
        <f>IFERROR(__xludf.DUMMYFUNCTION("""COMPUTED_VALUE"""),"#N/A")</f>
        <v>#N/A</v>
      </c>
      <c r="V1429" s="3" t="str">
        <f>IFERROR(__xludf.DUMMYFUNCTION("""COMPUTED_VALUE"""),"N")</f>
        <v>N</v>
      </c>
      <c r="W1429" s="3">
        <f>IFERROR(__xludf.DUMMYFUNCTION("""COMPUTED_VALUE"""),210125.0)</f>
        <v>210125</v>
      </c>
      <c r="X1429" s="3" t="str">
        <f>IFERROR(__xludf.DUMMYFUNCTION("""COMPUTED_VALUE"""),"961/2 ถนนเทพคุณากร ตำบลหน้าเมือง อำเภอเมืองฉะเชิงเทรา จังหวัดฉะเชิงเทรา 24000")</f>
        <v>961/2 ถนนเทพคุณากร ตำบลหน้าเมือง อำเภอเมืองฉะเชิงเทรา จังหวัดฉะเชิงเทรา 24000</v>
      </c>
      <c r="Y1429" s="3" t="str">
        <f>IFERROR(__xludf.DUMMYFUNCTION("""COMPUTED_VALUE"""),"ถนนเทพคุณากร")</f>
        <v>ถนนเทพคุณากร</v>
      </c>
      <c r="Z1429" s="3" t="str">
        <f>IFERROR(__xludf.DUMMYFUNCTION("""COMPUTED_VALUE"""),"หน้าเมือง")</f>
        <v>หน้าเมือง</v>
      </c>
      <c r="AA1429" s="3" t="str">
        <f>IFERROR(__xludf.DUMMYFUNCTION("""COMPUTED_VALUE"""),"เมือง")</f>
        <v>เมือง</v>
      </c>
      <c r="AB1429" s="3" t="str">
        <f>IFERROR(__xludf.DUMMYFUNCTION("""COMPUTED_VALUE"""),"ฉะเชิงเทรา")</f>
        <v>ฉะเชิงเทรา</v>
      </c>
      <c r="AC1429" s="3">
        <f>IFERROR(__xludf.DUMMYFUNCTION("""COMPUTED_VALUE"""),24000.0)</f>
        <v>24000</v>
      </c>
      <c r="AD1429" s="3">
        <f>IFERROR(__xludf.DUMMYFUNCTION("""COMPUTED_VALUE"""),13.669588)</f>
        <v>13.669588</v>
      </c>
      <c r="AE1429" s="3">
        <f>IFERROR(__xludf.DUMMYFUNCTION("""COMPUTED_VALUE"""),101.056917)</f>
        <v>101.056917</v>
      </c>
      <c r="AF1429" s="3" t="str">
        <f>IFERROR(__xludf.DUMMYFUNCTION("""COMPUTED_VALUE"""),"MBC เทพคุณากร ฉะเชิงเทรา-22113")</f>
        <v>MBC เทพคุณากร ฉะเชิงเทรา-22113</v>
      </c>
      <c r="AG1429" s="3" t="str">
        <f>IFERROR(__xludf.DUMMYFUNCTION("""COMPUTED_VALUE"""),"ตะวันออก")</f>
        <v>ตะวันออก</v>
      </c>
      <c r="AH1429" s="3" t="str">
        <f>IFERROR(__xludf.DUMMYFUNCTION("""COMPUTED_VALUE"""),"#N/A")</f>
        <v>#N/A</v>
      </c>
      <c r="AI1429" s="3" t="str">
        <f>IFERROR(__xludf.DUMMYFUNCTION("""COMPUTED_VALUE"""),"Out of warranty")</f>
        <v>Out of warranty</v>
      </c>
      <c r="AJ1429" s="3">
        <f>IFERROR(__xludf.DUMMYFUNCTION("""COMPUTED_VALUE"""),69.0)</f>
        <v>69</v>
      </c>
      <c r="AK1429" s="3" t="str">
        <f>IFERROR(__xludf.DUMMYFUNCTION("""COMPUTED_VALUE"""),"MMS07")</f>
        <v>MMS07</v>
      </c>
      <c r="AL1429" s="3"/>
    </row>
    <row r="1430" ht="15.75" customHeight="1">
      <c r="A1430" s="1" t="str">
        <f>IFERROR(__xludf.DUMMYFUNCTION("""COMPUTED_VALUE"""),"22114")</f>
        <v>22114</v>
      </c>
      <c r="B1430" s="2">
        <f>IFERROR(__xludf.DUMMYFUNCTION("""COMPUTED_VALUE"""),22114.0)</f>
        <v>22114</v>
      </c>
      <c r="C1430" s="3" t="str">
        <f>IFERROR(__xludf.DUMMYFUNCTION("""COMPUTED_VALUE"""),"MBC ถนนสวนตะไคร์ นครปฐม")</f>
        <v>MBC ถนนสวนตะไคร์ นครปฐม</v>
      </c>
      <c r="D1430" s="3" t="str">
        <f>IFERROR(__xludf.DUMMYFUNCTION("""COMPUTED_VALUE"""),"BCM THANON SUAN TAKHRAI")</f>
        <v>BCM THANON SUAN TAKHRAI</v>
      </c>
      <c r="E1430" s="1" t="str">
        <f>IFERROR(__xludf.DUMMYFUNCTION("""COMPUTED_VALUE"""),"บิ๊กซี MINI")</f>
        <v>บิ๊กซี MINI</v>
      </c>
      <c r="F1430" s="1" t="str">
        <f>IFERROR(__xludf.DUMMYFUNCTION("""COMPUTED_VALUE"""),"296229")</f>
        <v>296229</v>
      </c>
      <c r="G1430" s="1" t="str">
        <f>IFERROR(__xludf.DUMMYFUNCTION("""COMPUTED_VALUE"""),"นายทนงศักดิ์ บุญมา")</f>
        <v>นายทนงศักดิ์ บุญมา</v>
      </c>
      <c r="H1430" s="1" t="str">
        <f>IFERROR(__xludf.DUMMYFUNCTION("""COMPUTED_VALUE"""),"295245")</f>
        <v>295245</v>
      </c>
      <c r="I1430" s="1" t="str">
        <f>IFERROR(__xludf.DUMMYFUNCTION("""COMPUTED_VALUE"""),"นายมานะ วงศ์สุโชโต")</f>
        <v>นายมานะ วงศ์สุโชโต</v>
      </c>
      <c r="J1430" s="3">
        <f>IFERROR(__xludf.DUMMYFUNCTION("""COMPUTED_VALUE"""),46214.0)</f>
        <v>46214</v>
      </c>
      <c r="K1430" s="3" t="str">
        <f>IFERROR(__xludf.DUMMYFUNCTION("""COMPUTED_VALUE"""),"นายศักดิ์ชัย เด็ดดอกฟ้า")</f>
        <v>นายศักดิ์ชัย เด็ดดอกฟ้า</v>
      </c>
      <c r="L1430" s="1" t="str">
        <f>IFERROR(__xludf.DUMMYFUNCTION("""COMPUTED_VALUE"""),"02 K.Sakchai D")</f>
        <v>02 K.Sakchai D</v>
      </c>
      <c r="M1430" s="1" t="str">
        <f>IFERROR(__xludf.DUMMYFUNCTION("""COMPUTED_VALUE"""),"065-510-7376")</f>
        <v>065-510-7376</v>
      </c>
      <c r="N1430" s="3">
        <f>IFERROR(__xludf.DUMMYFUNCTION("""COMPUTED_VALUE"""),21714.0)</f>
        <v>21714</v>
      </c>
      <c r="O1430" s="3" t="str">
        <f>IFERROR(__xludf.DUMMYFUNCTION("""COMPUTED_VALUE"""),"MBC เอสโซ่ วัดโบสถ์")</f>
        <v>MBC เอสโซ่ วัดโบสถ์</v>
      </c>
      <c r="P1430" s="4">
        <f>IFERROR(__xludf.DUMMYFUNCTION("""COMPUTED_VALUE"""),43921.0)</f>
        <v>43921</v>
      </c>
      <c r="Q1430" s="3" t="str">
        <f>IFERROR(__xludf.DUMMYFUNCTION("""COMPUTED_VALUE"""),"A")</f>
        <v>A</v>
      </c>
      <c r="R1430" s="3" t="str">
        <f>IFERROR(__xludf.DUMMYFUNCTION("""COMPUTED_VALUE"""),"Small Format")</f>
        <v>Small Format</v>
      </c>
      <c r="S1430" s="3" t="str">
        <f>IFERROR(__xludf.DUMMYFUNCTION("""COMPUTED_VALUE"""),"BCM")</f>
        <v>BCM</v>
      </c>
      <c r="T1430" s="3" t="str">
        <f>IFERROR(__xludf.DUMMYFUNCTION("""COMPUTED_VALUE"""),"#N/A")</f>
        <v>#N/A</v>
      </c>
      <c r="U1430" s="3" t="str">
        <f>IFERROR(__xludf.DUMMYFUNCTION("""COMPUTED_VALUE"""),"#N/A")</f>
        <v>#N/A</v>
      </c>
      <c r="V1430" s="3" t="str">
        <f>IFERROR(__xludf.DUMMYFUNCTION("""COMPUTED_VALUE"""),"N")</f>
        <v>N</v>
      </c>
      <c r="W1430" s="3">
        <f>IFERROR(__xludf.DUMMYFUNCTION("""COMPUTED_VALUE"""),210146.0)</f>
        <v>210146</v>
      </c>
      <c r="X1430" s="3" t="str">
        <f>IFERROR(__xludf.DUMMYFUNCTION("""COMPUTED_VALUE"""),"121/4-7 หมู่9 ตำบลนครปฐม อำเภอเมืองนครปฐม จังหวัดนครปฐม 73000")</f>
        <v>121/4-7 หมู่9 ตำบลนครปฐม อำเภอเมืองนครปฐม จังหวัดนครปฐม 73000</v>
      </c>
      <c r="Y1430" s="3"/>
      <c r="Z1430" s="3" t="str">
        <f>IFERROR(__xludf.DUMMYFUNCTION("""COMPUTED_VALUE"""),"นครปฐม")</f>
        <v>นครปฐม</v>
      </c>
      <c r="AA1430" s="3" t="str">
        <f>IFERROR(__xludf.DUMMYFUNCTION("""COMPUTED_VALUE"""),"เมือง")</f>
        <v>เมือง</v>
      </c>
      <c r="AB1430" s="3" t="str">
        <f>IFERROR(__xludf.DUMMYFUNCTION("""COMPUTED_VALUE"""),"นครปฐม")</f>
        <v>นครปฐม</v>
      </c>
      <c r="AC1430" s="3">
        <f>IFERROR(__xludf.DUMMYFUNCTION("""COMPUTED_VALUE"""),73000.0)</f>
        <v>73000</v>
      </c>
      <c r="AD1430" s="3">
        <f>IFERROR(__xludf.DUMMYFUNCTION("""COMPUTED_VALUE"""),13.8328783)</f>
        <v>13.8328783</v>
      </c>
      <c r="AE1430" s="3">
        <f>IFERROR(__xludf.DUMMYFUNCTION("""COMPUTED_VALUE"""),100.0398024)</f>
        <v>100.0398024</v>
      </c>
      <c r="AF1430" s="3" t="str">
        <f>IFERROR(__xludf.DUMMYFUNCTION("""COMPUTED_VALUE"""),"MBC ถนนสวนตะไคร์ นครปฐม-22114")</f>
        <v>MBC ถนนสวนตะไคร์ นครปฐม-22114</v>
      </c>
      <c r="AG1430" s="3" t="str">
        <f>IFERROR(__xludf.DUMMYFUNCTION("""COMPUTED_VALUE"""),"กลาง")</f>
        <v>กลาง</v>
      </c>
      <c r="AH1430" s="3" t="str">
        <f>IFERROR(__xludf.DUMMYFUNCTION("""COMPUTED_VALUE"""),"#N/A")</f>
        <v>#N/A</v>
      </c>
      <c r="AI1430" s="3" t="str">
        <f>IFERROR(__xludf.DUMMYFUNCTION("""COMPUTED_VALUE"""),"Out of warranty")</f>
        <v>Out of warranty</v>
      </c>
      <c r="AJ1430" s="3">
        <f>IFERROR(__xludf.DUMMYFUNCTION("""COMPUTED_VALUE"""),70.0)</f>
        <v>70</v>
      </c>
      <c r="AK1430" s="3" t="str">
        <f>IFERROR(__xludf.DUMMYFUNCTION("""COMPUTED_VALUE"""),"MMS05")</f>
        <v>MMS05</v>
      </c>
      <c r="AL1430" s="3"/>
    </row>
    <row r="1431" ht="15.75" customHeight="1">
      <c r="A1431" s="1" t="str">
        <f>IFERROR(__xludf.DUMMYFUNCTION("""COMPUTED_VALUE"""),"22115")</f>
        <v>22115</v>
      </c>
      <c r="B1431" s="2">
        <f>IFERROR(__xludf.DUMMYFUNCTION("""COMPUTED_VALUE"""),22115.0)</f>
        <v>22115</v>
      </c>
      <c r="C1431" s="3" t="str">
        <f>IFERROR(__xludf.DUMMYFUNCTION("""COMPUTED_VALUE"""),"MBC เลี่ยงหนองมน ชลบุรี")</f>
        <v>MBC เลี่ยงหนองมน ชลบุรี</v>
      </c>
      <c r="D1431" s="3" t="str">
        <f>IFERROR(__xludf.DUMMYFUNCTION("""COMPUTED_VALUE"""),"BCM LIENG NONG MON CHONBURI")</f>
        <v>BCM LIENG NONG MON CHONBURI</v>
      </c>
      <c r="E1431" s="1" t="str">
        <f>IFERROR(__xludf.DUMMYFUNCTION("""COMPUTED_VALUE"""),"บิ๊กซี MINI")</f>
        <v>บิ๊กซี MINI</v>
      </c>
      <c r="F1431" s="1" t="str">
        <f>IFERROR(__xludf.DUMMYFUNCTION("""COMPUTED_VALUE"""),"221716")</f>
        <v>221716</v>
      </c>
      <c r="G1431" s="1" t="str">
        <f>IFERROR(__xludf.DUMMYFUNCTION("""COMPUTED_VALUE"""),"น.ส.เบญจพร โพธิสาร")</f>
        <v>น.ส.เบญจพร โพธิสาร</v>
      </c>
      <c r="H1431" s="1" t="str">
        <f>IFERROR(__xludf.DUMMYFUNCTION("""COMPUTED_VALUE"""),"476018")</f>
        <v>476018</v>
      </c>
      <c r="I1431" s="1" t="str">
        <f>IFERROR(__xludf.DUMMYFUNCTION("""COMPUTED_VALUE"""),"นายศราวุฒิ ชูพันดุง")</f>
        <v>นายศราวุฒิ ชูพันดุง</v>
      </c>
      <c r="J1431" s="3">
        <f>IFERROR(__xludf.DUMMYFUNCTION("""COMPUTED_VALUE"""),1.3461215E7)</f>
        <v>13461215</v>
      </c>
      <c r="K1431" s="3" t="str">
        <f>IFERROR(__xludf.DUMMYFUNCTION("""COMPUTED_VALUE"""),"นายธีรภัทร สังข์เงิน")</f>
        <v>นายธีรภัทร สังข์เงิน</v>
      </c>
      <c r="L1431" s="1" t="str">
        <f>IFERROR(__xludf.DUMMYFUNCTION("""COMPUTED_VALUE"""),"06 K.Teerapat")</f>
        <v>06 K.Teerapat</v>
      </c>
      <c r="M1431" s="1" t="str">
        <f>IFERROR(__xludf.DUMMYFUNCTION("""COMPUTED_VALUE"""),"063-601-6803")</f>
        <v>063-601-6803</v>
      </c>
      <c r="N1431" s="3">
        <f>IFERROR(__xludf.DUMMYFUNCTION("""COMPUTED_VALUE"""),22115.0)</f>
        <v>22115</v>
      </c>
      <c r="O1431" s="3" t="str">
        <f>IFERROR(__xludf.DUMMYFUNCTION("""COMPUTED_VALUE"""),"MBC เลี่ยงหนองมน ชลบุรี")</f>
        <v>MBC เลี่ยงหนองมน ชลบุรี</v>
      </c>
      <c r="P1431" s="4">
        <f>IFERROR(__xludf.DUMMYFUNCTION("""COMPUTED_VALUE"""),43921.0)</f>
        <v>43921</v>
      </c>
      <c r="Q1431" s="3" t="str">
        <f>IFERROR(__xludf.DUMMYFUNCTION("""COMPUTED_VALUE"""),"A")</f>
        <v>A</v>
      </c>
      <c r="R1431" s="3" t="str">
        <f>IFERROR(__xludf.DUMMYFUNCTION("""COMPUTED_VALUE"""),"Small Format")</f>
        <v>Small Format</v>
      </c>
      <c r="S1431" s="3" t="str">
        <f>IFERROR(__xludf.DUMMYFUNCTION("""COMPUTED_VALUE"""),"BCM")</f>
        <v>BCM</v>
      </c>
      <c r="T1431" s="3" t="str">
        <f>IFERROR(__xludf.DUMMYFUNCTION("""COMPUTED_VALUE"""),"#N/A")</f>
        <v>#N/A</v>
      </c>
      <c r="U1431" s="3" t="str">
        <f>IFERROR(__xludf.DUMMYFUNCTION("""COMPUTED_VALUE"""),"#N/A")</f>
        <v>#N/A</v>
      </c>
      <c r="V1431" s="3" t="str">
        <f>IFERROR(__xludf.DUMMYFUNCTION("""COMPUTED_VALUE"""),"N")</f>
        <v>N</v>
      </c>
      <c r="W1431" s="3">
        <f>IFERROR(__xludf.DUMMYFUNCTION("""COMPUTED_VALUE"""),211857.0)</f>
        <v>211857</v>
      </c>
      <c r="X1431" s="3" t="str">
        <f>IFERROR(__xludf.DUMMYFUNCTION("""COMPUTED_VALUE"""),"241/13 ถนนเทศบาลพัฒนา1 ตำบลเหมือง อำเภอเมืองชลบุรี จังหวัดชลบุรี 20130")</f>
        <v>241/13 ถนนเทศบาลพัฒนา1 ตำบลเหมือง อำเภอเมืองชลบุรี จังหวัดชลบุรี 20130</v>
      </c>
      <c r="Y1431" s="3" t="str">
        <f>IFERROR(__xludf.DUMMYFUNCTION("""COMPUTED_VALUE"""),"ถนนเทศบาลพัฒนา1")</f>
        <v>ถนนเทศบาลพัฒนา1</v>
      </c>
      <c r="Z1431" s="3" t="str">
        <f>IFERROR(__xludf.DUMMYFUNCTION("""COMPUTED_VALUE"""),"เหมือง")</f>
        <v>เหมือง</v>
      </c>
      <c r="AA1431" s="3" t="str">
        <f>IFERROR(__xludf.DUMMYFUNCTION("""COMPUTED_VALUE"""),"เมือง")</f>
        <v>เมือง</v>
      </c>
      <c r="AB1431" s="3" t="str">
        <f>IFERROR(__xludf.DUMMYFUNCTION("""COMPUTED_VALUE"""),"ชลบุรี")</f>
        <v>ชลบุรี</v>
      </c>
      <c r="AC1431" s="3">
        <f>IFERROR(__xludf.DUMMYFUNCTION("""COMPUTED_VALUE"""),20130.0)</f>
        <v>20130</v>
      </c>
      <c r="AD1431" s="3">
        <f>IFERROR(__xludf.DUMMYFUNCTION("""COMPUTED_VALUE"""),13.252833)</f>
        <v>13.252833</v>
      </c>
      <c r="AE1431" s="3">
        <f>IFERROR(__xludf.DUMMYFUNCTION("""COMPUTED_VALUE"""),100.936333)</f>
        <v>100.936333</v>
      </c>
      <c r="AF1431" s="3" t="str">
        <f>IFERROR(__xludf.DUMMYFUNCTION("""COMPUTED_VALUE"""),"MBC เลี่ยงหนองมน ชลบุรี-22115")</f>
        <v>MBC เลี่ยงหนองมน ชลบุรี-22115</v>
      </c>
      <c r="AG1431" s="3" t="str">
        <f>IFERROR(__xludf.DUMMYFUNCTION("""COMPUTED_VALUE"""),"ตะวันออก")</f>
        <v>ตะวันออก</v>
      </c>
      <c r="AH1431" s="3" t="str">
        <f>IFERROR(__xludf.DUMMYFUNCTION("""COMPUTED_VALUE"""),"#N/A")</f>
        <v>#N/A</v>
      </c>
      <c r="AI1431" s="3" t="str">
        <f>IFERROR(__xludf.DUMMYFUNCTION("""COMPUTED_VALUE"""),"Out of warranty")</f>
        <v>Out of warranty</v>
      </c>
      <c r="AJ1431" s="3">
        <f>IFERROR(__xludf.DUMMYFUNCTION("""COMPUTED_VALUE"""),70.0)</f>
        <v>70</v>
      </c>
      <c r="AK1431" s="3" t="str">
        <f>IFERROR(__xludf.DUMMYFUNCTION("""COMPUTED_VALUE"""),"MMS06")</f>
        <v>MMS06</v>
      </c>
      <c r="AL1431" s="3"/>
    </row>
    <row r="1432" ht="15.75" customHeight="1">
      <c r="A1432" s="1" t="str">
        <f>IFERROR(__xludf.DUMMYFUNCTION("""COMPUTED_VALUE"""),"22116")</f>
        <v>22116</v>
      </c>
      <c r="B1432" s="2">
        <f>IFERROR(__xludf.DUMMYFUNCTION("""COMPUTED_VALUE"""),22116.0)</f>
        <v>22116</v>
      </c>
      <c r="C1432" s="3" t="str">
        <f>IFERROR(__xludf.DUMMYFUNCTION("""COMPUTED_VALUE"""),"MBC อีซีพ้อยท์พัทยา 1 ชลบุรี")</f>
        <v>MBC อีซีพ้อยท์พัทยา 1 ชลบุรี</v>
      </c>
      <c r="D1432" s="3" t="str">
        <f>IFERROR(__xludf.DUMMYFUNCTION("""COMPUTED_VALUE"""),"BCM EASY POINT PATTAYA 1")</f>
        <v>BCM EASY POINT PATTAYA 1</v>
      </c>
      <c r="E1432" s="1" t="str">
        <f>IFERROR(__xludf.DUMMYFUNCTION("""COMPUTED_VALUE"""),"บิ๊กซี MINI")</f>
        <v>บิ๊กซี MINI</v>
      </c>
      <c r="F1432" s="1" t="str">
        <f>IFERROR(__xludf.DUMMYFUNCTION("""COMPUTED_VALUE"""),"221716")</f>
        <v>221716</v>
      </c>
      <c r="G1432" s="1" t="str">
        <f>IFERROR(__xludf.DUMMYFUNCTION("""COMPUTED_VALUE"""),"น.ส.เบญจพร โพธิสาร")</f>
        <v>น.ส.เบญจพร โพธิสาร</v>
      </c>
      <c r="H1432" s="1" t="str">
        <f>IFERROR(__xludf.DUMMYFUNCTION("""COMPUTED_VALUE"""),"313065")</f>
        <v>313065</v>
      </c>
      <c r="I1432" s="1" t="str">
        <f>IFERROR(__xludf.DUMMYFUNCTION("""COMPUTED_VALUE"""),"นายจิรายุทธ กันทา")</f>
        <v>นายจิรายุทธ กันทา</v>
      </c>
      <c r="J1432" s="3">
        <f>IFERROR(__xludf.DUMMYFUNCTION("""COMPUTED_VALUE"""),1.3461215E7)</f>
        <v>13461215</v>
      </c>
      <c r="K1432" s="3" t="str">
        <f>IFERROR(__xludf.DUMMYFUNCTION("""COMPUTED_VALUE"""),"นายธีรภัทร สังข์เงิน")</f>
        <v>นายธีรภัทร สังข์เงิน</v>
      </c>
      <c r="L1432" s="1" t="str">
        <f>IFERROR(__xludf.DUMMYFUNCTION("""COMPUTED_VALUE"""),"06 K.Teerapat")</f>
        <v>06 K.Teerapat</v>
      </c>
      <c r="M1432" s="1" t="str">
        <f>IFERROR(__xludf.DUMMYFUNCTION("""COMPUTED_VALUE"""),"063-601-6803")</f>
        <v>063-601-6803</v>
      </c>
      <c r="N1432" s="3">
        <f>IFERROR(__xludf.DUMMYFUNCTION("""COMPUTED_VALUE"""),22115.0)</f>
        <v>22115</v>
      </c>
      <c r="O1432" s="3" t="str">
        <f>IFERROR(__xludf.DUMMYFUNCTION("""COMPUTED_VALUE"""),"MBC เลี่ยงหนองมน ชลบุรี")</f>
        <v>MBC เลี่ยงหนองมน ชลบุรี</v>
      </c>
      <c r="P1432" s="4">
        <f>IFERROR(__xludf.DUMMYFUNCTION("""COMPUTED_VALUE"""),43921.0)</f>
        <v>43921</v>
      </c>
      <c r="Q1432" s="3" t="str">
        <f>IFERROR(__xludf.DUMMYFUNCTION("""COMPUTED_VALUE"""),"A")</f>
        <v>A</v>
      </c>
      <c r="R1432" s="3" t="str">
        <f>IFERROR(__xludf.DUMMYFUNCTION("""COMPUTED_VALUE"""),"Small Format")</f>
        <v>Small Format</v>
      </c>
      <c r="S1432" s="3" t="str">
        <f>IFERROR(__xludf.DUMMYFUNCTION("""COMPUTED_VALUE"""),"BCM")</f>
        <v>BCM</v>
      </c>
      <c r="T1432" s="3" t="str">
        <f>IFERROR(__xludf.DUMMYFUNCTION("""COMPUTED_VALUE"""),"#N/A")</f>
        <v>#N/A</v>
      </c>
      <c r="U1432" s="3" t="str">
        <f>IFERROR(__xludf.DUMMYFUNCTION("""COMPUTED_VALUE"""),"#N/A")</f>
        <v>#N/A</v>
      </c>
      <c r="V1432" s="3" t="str">
        <f>IFERROR(__xludf.DUMMYFUNCTION("""COMPUTED_VALUE"""),"N")</f>
        <v>N</v>
      </c>
      <c r="W1432" s="3">
        <f>IFERROR(__xludf.DUMMYFUNCTION("""COMPUTED_VALUE"""),210145.0)</f>
        <v>210145</v>
      </c>
      <c r="X1432" s="3" t="str">
        <f>IFERROR(__xludf.DUMMYFUNCTION("""COMPUTED_VALUE"""),"392/62 หมู่9 ตำบลหนองปรือ อำเภอบางละมุง จังหวัดชลบุรี 20150")</f>
        <v>392/62 หมู่9 ตำบลหนองปรือ อำเภอบางละมุง จังหวัดชลบุรี 20150</v>
      </c>
      <c r="Y1432" s="3"/>
      <c r="Z1432" s="3" t="str">
        <f>IFERROR(__xludf.DUMMYFUNCTION("""COMPUTED_VALUE"""),"หนองปรือ")</f>
        <v>หนองปรือ</v>
      </c>
      <c r="AA1432" s="3" t="str">
        <f>IFERROR(__xludf.DUMMYFUNCTION("""COMPUTED_VALUE"""),"บางละมุง")</f>
        <v>บางละมุง</v>
      </c>
      <c r="AB1432" s="3" t="str">
        <f>IFERROR(__xludf.DUMMYFUNCTION("""COMPUTED_VALUE"""),"ชลบุรี")</f>
        <v>ชลบุรี</v>
      </c>
      <c r="AC1432" s="3">
        <f>IFERROR(__xludf.DUMMYFUNCTION("""COMPUTED_VALUE"""),20150.0)</f>
        <v>20150</v>
      </c>
      <c r="AD1432" s="3">
        <f>IFERROR(__xludf.DUMMYFUNCTION("""COMPUTED_VALUE"""),12.925235)</f>
        <v>12.925235</v>
      </c>
      <c r="AE1432" s="3">
        <f>IFERROR(__xludf.DUMMYFUNCTION("""COMPUTED_VALUE"""),100.898253)</f>
        <v>100.898253</v>
      </c>
      <c r="AF1432" s="3" t="str">
        <f>IFERROR(__xludf.DUMMYFUNCTION("""COMPUTED_VALUE"""),"MBC อีซีพ้อยท์พัทยา 1 ชลบุรี-22116")</f>
        <v>MBC อีซีพ้อยท์พัทยา 1 ชลบุรี-22116</v>
      </c>
      <c r="AG1432" s="3" t="str">
        <f>IFERROR(__xludf.DUMMYFUNCTION("""COMPUTED_VALUE"""),"ตะวันออก")</f>
        <v>ตะวันออก</v>
      </c>
      <c r="AH1432" s="3" t="str">
        <f>IFERROR(__xludf.DUMMYFUNCTION("""COMPUTED_VALUE"""),"#N/A")</f>
        <v>#N/A</v>
      </c>
      <c r="AI1432" s="3" t="str">
        <f>IFERROR(__xludf.DUMMYFUNCTION("""COMPUTED_VALUE"""),"Out of warranty")</f>
        <v>Out of warranty</v>
      </c>
      <c r="AJ1432" s="3">
        <f>IFERROR(__xludf.DUMMYFUNCTION("""COMPUTED_VALUE"""),70.0)</f>
        <v>70</v>
      </c>
      <c r="AK1432" s="3" t="str">
        <f>IFERROR(__xludf.DUMMYFUNCTION("""COMPUTED_VALUE"""),"MMS06")</f>
        <v>MMS06</v>
      </c>
      <c r="AL1432" s="3"/>
    </row>
    <row r="1433" ht="15.75" customHeight="1">
      <c r="A1433" s="1" t="str">
        <f>IFERROR(__xludf.DUMMYFUNCTION("""COMPUTED_VALUE"""),"22117")</f>
        <v>22117</v>
      </c>
      <c r="B1433" s="2">
        <f>IFERROR(__xludf.DUMMYFUNCTION("""COMPUTED_VALUE"""),22117.0)</f>
        <v>22117</v>
      </c>
      <c r="C1433" s="3" t="str">
        <f>IFERROR(__xludf.DUMMYFUNCTION("""COMPUTED_VALUE"""),"MBC หนองใหญ่ ชลบุรี")</f>
        <v>MBC หนองใหญ่ ชลบุรี</v>
      </c>
      <c r="D1433" s="3" t="str">
        <f>IFERROR(__xludf.DUMMYFUNCTION("""COMPUTED_VALUE"""),"BCM NONG YAI CHONBURI")</f>
        <v>BCM NONG YAI CHONBURI</v>
      </c>
      <c r="E1433" s="1" t="str">
        <f>IFERROR(__xludf.DUMMYFUNCTION("""COMPUTED_VALUE"""),"บิ๊กซี MINI")</f>
        <v>บิ๊กซี MINI</v>
      </c>
      <c r="F1433" s="1" t="str">
        <f>IFERROR(__xludf.DUMMYFUNCTION("""COMPUTED_VALUE"""),"221716")</f>
        <v>221716</v>
      </c>
      <c r="G1433" s="1" t="str">
        <f>IFERROR(__xludf.DUMMYFUNCTION("""COMPUTED_VALUE"""),"น.ส.เบญจพร โพธิสาร")</f>
        <v>น.ส.เบญจพร โพธิสาร</v>
      </c>
      <c r="H1433" s="1" t="str">
        <f>IFERROR(__xludf.DUMMYFUNCTION("""COMPUTED_VALUE"""),"291061")</f>
        <v>291061</v>
      </c>
      <c r="I1433" s="1" t="str">
        <f>IFERROR(__xludf.DUMMYFUNCTION("""COMPUTED_VALUE"""),"นายสมศักดิ์ เสียงก้อง")</f>
        <v>นายสมศักดิ์ เสียงก้อง</v>
      </c>
      <c r="J1433" s="3">
        <f>IFERROR(__xludf.DUMMYFUNCTION("""COMPUTED_VALUE"""),296942.0)</f>
        <v>296942</v>
      </c>
      <c r="K1433" s="3" t="str">
        <f>IFERROR(__xludf.DUMMYFUNCTION("""COMPUTED_VALUE"""),"นายปิยะ รักษากิจ")</f>
        <v>นายปิยะ รักษากิจ</v>
      </c>
      <c r="L1433" s="1" t="str">
        <f>IFERROR(__xludf.DUMMYFUNCTION("""COMPUTED_VALUE"""),"07 K.Piya R.")</f>
        <v>07 K.Piya R.</v>
      </c>
      <c r="M1433" s="1" t="str">
        <f>IFERROR(__xludf.DUMMYFUNCTION("""COMPUTED_VALUE"""),"097-919-5476")</f>
        <v>097-919-5476</v>
      </c>
      <c r="N1433" s="3">
        <f>IFERROR(__xludf.DUMMYFUNCTION("""COMPUTED_VALUE"""),21332.0)</f>
        <v>21332</v>
      </c>
      <c r="O1433" s="3" t="str">
        <f>IFERROR(__xludf.DUMMYFUNCTION("""COMPUTED_VALUE"""),"MBC BCP อ่อนนุช 17/1")</f>
        <v>MBC BCP อ่อนนุช 17/1</v>
      </c>
      <c r="P1433" s="4">
        <f>IFERROR(__xludf.DUMMYFUNCTION("""COMPUTED_VALUE"""),43945.0)</f>
        <v>43945</v>
      </c>
      <c r="Q1433" s="3" t="str">
        <f>IFERROR(__xludf.DUMMYFUNCTION("""COMPUTED_VALUE"""),"A")</f>
        <v>A</v>
      </c>
      <c r="R1433" s="3" t="str">
        <f>IFERROR(__xludf.DUMMYFUNCTION("""COMPUTED_VALUE"""),"Small Format")</f>
        <v>Small Format</v>
      </c>
      <c r="S1433" s="3" t="str">
        <f>IFERROR(__xludf.DUMMYFUNCTION("""COMPUTED_VALUE"""),"BCM")</f>
        <v>BCM</v>
      </c>
      <c r="T1433" s="3" t="str">
        <f>IFERROR(__xludf.DUMMYFUNCTION("""COMPUTED_VALUE"""),"#N/A")</f>
        <v>#N/A</v>
      </c>
      <c r="U1433" s="3" t="str">
        <f>IFERROR(__xludf.DUMMYFUNCTION("""COMPUTED_VALUE"""),"#N/A")</f>
        <v>#N/A</v>
      </c>
      <c r="V1433" s="3" t="str">
        <f>IFERROR(__xludf.DUMMYFUNCTION("""COMPUTED_VALUE"""),"N")</f>
        <v>N</v>
      </c>
      <c r="W1433" s="3">
        <f>IFERROR(__xludf.DUMMYFUNCTION("""COMPUTED_VALUE"""),210090.0)</f>
        <v>210090</v>
      </c>
      <c r="X1433" s="3" t="str">
        <f>IFERROR(__xludf.DUMMYFUNCTION("""COMPUTED_VALUE"""),"65/5 หมุ่6 ตำบลนาเกลือ อำเภอบางละมุง จังหวัดชลบุรี 20150")</f>
        <v>65/5 หมุ่6 ตำบลนาเกลือ อำเภอบางละมุง จังหวัดชลบุรี 20150</v>
      </c>
      <c r="Y1433" s="3"/>
      <c r="Z1433" s="3" t="str">
        <f>IFERROR(__xludf.DUMMYFUNCTION("""COMPUTED_VALUE"""),"นาเกลือ")</f>
        <v>นาเกลือ</v>
      </c>
      <c r="AA1433" s="3" t="str">
        <f>IFERROR(__xludf.DUMMYFUNCTION("""COMPUTED_VALUE"""),"บางละมุง")</f>
        <v>บางละมุง</v>
      </c>
      <c r="AB1433" s="3" t="str">
        <f>IFERROR(__xludf.DUMMYFUNCTION("""COMPUTED_VALUE"""),"ชลบุรี")</f>
        <v>ชลบุรี</v>
      </c>
      <c r="AC1433" s="3">
        <f>IFERROR(__xludf.DUMMYFUNCTION("""COMPUTED_VALUE"""),20150.0)</f>
        <v>20150</v>
      </c>
      <c r="AD1433" s="3">
        <f>IFERROR(__xludf.DUMMYFUNCTION("""COMPUTED_VALUE"""),12.951352)</f>
        <v>12.951352</v>
      </c>
      <c r="AE1433" s="3">
        <f>IFERROR(__xludf.DUMMYFUNCTION("""COMPUTED_VALUE"""),100.911944)</f>
        <v>100.911944</v>
      </c>
      <c r="AF1433" s="3" t="str">
        <f>IFERROR(__xludf.DUMMYFUNCTION("""COMPUTED_VALUE"""),"MBC หนองใหญ่ ชลบุรี-22117")</f>
        <v>MBC หนองใหญ่ ชลบุรี-22117</v>
      </c>
      <c r="AG1433" s="3" t="str">
        <f>IFERROR(__xludf.DUMMYFUNCTION("""COMPUTED_VALUE"""),"ตะวันออก")</f>
        <v>ตะวันออก</v>
      </c>
      <c r="AH1433" s="3" t="str">
        <f>IFERROR(__xludf.DUMMYFUNCTION("""COMPUTED_VALUE"""),"#N/A")</f>
        <v>#N/A</v>
      </c>
      <c r="AI1433" s="3" t="str">
        <f>IFERROR(__xludf.DUMMYFUNCTION("""COMPUTED_VALUE"""),"Out of warranty")</f>
        <v>Out of warranty</v>
      </c>
      <c r="AJ1433" s="3">
        <f>IFERROR(__xludf.DUMMYFUNCTION("""COMPUTED_VALUE"""),69.0)</f>
        <v>69</v>
      </c>
      <c r="AK1433" s="3" t="str">
        <f>IFERROR(__xludf.DUMMYFUNCTION("""COMPUTED_VALUE"""),"MMS06")</f>
        <v>MMS06</v>
      </c>
      <c r="AL1433" s="3"/>
    </row>
    <row r="1434" ht="15.75" customHeight="1">
      <c r="A1434" s="1" t="str">
        <f>IFERROR(__xludf.DUMMYFUNCTION("""COMPUTED_VALUE"""),"22118")</f>
        <v>22118</v>
      </c>
      <c r="B1434" s="2">
        <f>IFERROR(__xludf.DUMMYFUNCTION("""COMPUTED_VALUE"""),22118.0)</f>
        <v>22118</v>
      </c>
      <c r="C1434" s="3" t="str">
        <f>IFERROR(__xludf.DUMMYFUNCTION("""COMPUTED_VALUE"""),"MBC เลิงนกทา ยโสธร")</f>
        <v>MBC เลิงนกทา ยโสธร</v>
      </c>
      <c r="D1434" s="3" t="str">
        <f>IFERROR(__xludf.DUMMYFUNCTION("""COMPUTED_VALUE"""),"BCM LOENG NOK THA YASOTHON")</f>
        <v>BCM LOENG NOK THA YASOTHON</v>
      </c>
      <c r="E1434" s="1" t="str">
        <f>IFERROR(__xludf.DUMMYFUNCTION("""COMPUTED_VALUE"""),"บิ๊กซี MINI")</f>
        <v>บิ๊กซี MINI</v>
      </c>
      <c r="F1434" s="1" t="str">
        <f>IFERROR(__xludf.DUMMYFUNCTION("""COMPUTED_VALUE"""),"291105")</f>
        <v>291105</v>
      </c>
      <c r="G1434" s="1" t="str">
        <f>IFERROR(__xludf.DUMMYFUNCTION("""COMPUTED_VALUE"""),"นายสราวุฒิ พณิชยกุล")</f>
        <v>นายสราวุฒิ พณิชยกุล</v>
      </c>
      <c r="H1434" s="1" t="str">
        <f>IFERROR(__xludf.DUMMYFUNCTION("""COMPUTED_VALUE"""),"398285")</f>
        <v>398285</v>
      </c>
      <c r="I1434" s="1" t="str">
        <f>IFERROR(__xludf.DUMMYFUNCTION("""COMPUTED_VALUE"""),"น.ส.พชิรา บุญจูง")</f>
        <v>น.ส.พชิรา บุญจูง</v>
      </c>
      <c r="J1434" s="3">
        <f>IFERROR(__xludf.DUMMYFUNCTION("""COMPUTED_VALUE"""),2454781.0)</f>
        <v>2454781</v>
      </c>
      <c r="K1434" s="3" t="str">
        <f>IFERROR(__xludf.DUMMYFUNCTION("""COMPUTED_VALUE"""),"นายฌานกฤช นันทะโคต")</f>
        <v>นายฌานกฤช นันทะโคต</v>
      </c>
      <c r="L1434" s="1" t="str">
        <f>IFERROR(__xludf.DUMMYFUNCTION("""COMPUTED_VALUE"""),"05 K.Chanakrit N.")</f>
        <v>05 K.Chanakrit N.</v>
      </c>
      <c r="M1434" s="1" t="str">
        <f>IFERROR(__xludf.DUMMYFUNCTION("""COMPUTED_VALUE"""),"090-978-9785 ,065-929-1320")</f>
        <v>090-978-9785 ,065-929-1320</v>
      </c>
      <c r="N1434" s="3">
        <f>IFERROR(__xludf.DUMMYFUNCTION("""COMPUTED_VALUE"""),22195.0)</f>
        <v>22195</v>
      </c>
      <c r="O1434" s="3" t="str">
        <f>IFERROR(__xludf.DUMMYFUNCTION("""COMPUTED_VALUE"""),"MBC กันทรลักษ์ ศรีสะเกษ")</f>
        <v>MBC กันทรลักษ์ ศรีสะเกษ</v>
      </c>
      <c r="P1434" s="4">
        <f>IFERROR(__xludf.DUMMYFUNCTION("""COMPUTED_VALUE"""),43948.0)</f>
        <v>43948</v>
      </c>
      <c r="Q1434" s="3" t="str">
        <f>IFERROR(__xludf.DUMMYFUNCTION("""COMPUTED_VALUE"""),"A")</f>
        <v>A</v>
      </c>
      <c r="R1434" s="3" t="str">
        <f>IFERROR(__xludf.DUMMYFUNCTION("""COMPUTED_VALUE"""),"Small Format")</f>
        <v>Small Format</v>
      </c>
      <c r="S1434" s="3" t="str">
        <f>IFERROR(__xludf.DUMMYFUNCTION("""COMPUTED_VALUE"""),"BCM")</f>
        <v>BCM</v>
      </c>
      <c r="T1434" s="3" t="str">
        <f>IFERROR(__xludf.DUMMYFUNCTION("""COMPUTED_VALUE"""),"#N/A")</f>
        <v>#N/A</v>
      </c>
      <c r="U1434" s="3" t="str">
        <f>IFERROR(__xludf.DUMMYFUNCTION("""COMPUTED_VALUE"""),"#N/A")</f>
        <v>#N/A</v>
      </c>
      <c r="V1434" s="3" t="str">
        <f>IFERROR(__xludf.DUMMYFUNCTION("""COMPUTED_VALUE"""),"N")</f>
        <v>N</v>
      </c>
      <c r="W1434" s="3">
        <f>IFERROR(__xludf.DUMMYFUNCTION("""COMPUTED_VALUE"""),210137.0)</f>
        <v>210137</v>
      </c>
      <c r="X1434" s="3" t="str">
        <f>IFERROR(__xludf.DUMMYFUNCTION("""COMPUTED_VALUE"""),"589/3-4 หมู่1 ตำบลสวาท อำเภอเลิงนกทา จังหวัดยโสธร 35120")</f>
        <v>589/3-4 หมู่1 ตำบลสวาท อำเภอเลิงนกทา จังหวัดยโสธร 35120</v>
      </c>
      <c r="Y1434" s="3"/>
      <c r="Z1434" s="3" t="str">
        <f>IFERROR(__xludf.DUMMYFUNCTION("""COMPUTED_VALUE"""),"สวาท")</f>
        <v>สวาท</v>
      </c>
      <c r="AA1434" s="3" t="str">
        <f>IFERROR(__xludf.DUMMYFUNCTION("""COMPUTED_VALUE"""),"เลิงนกทา")</f>
        <v>เลิงนกทา</v>
      </c>
      <c r="AB1434" s="3" t="str">
        <f>IFERROR(__xludf.DUMMYFUNCTION("""COMPUTED_VALUE"""),"ยโสธร")</f>
        <v>ยโสธร</v>
      </c>
      <c r="AC1434" s="3">
        <f>IFERROR(__xludf.DUMMYFUNCTION("""COMPUTED_VALUE"""),35120.0)</f>
        <v>35120</v>
      </c>
      <c r="AD1434" s="3">
        <f>IFERROR(__xludf.DUMMYFUNCTION("""COMPUTED_VALUE"""),16.196034)</f>
        <v>16.196034</v>
      </c>
      <c r="AE1434" s="3">
        <f>IFERROR(__xludf.DUMMYFUNCTION("""COMPUTED_VALUE"""),104.517509)</f>
        <v>104.517509</v>
      </c>
      <c r="AF1434" s="3" t="str">
        <f>IFERROR(__xludf.DUMMYFUNCTION("""COMPUTED_VALUE"""),"MBC เลิงนกทา ยโสธร-22118")</f>
        <v>MBC เลิงนกทา ยโสธร-22118</v>
      </c>
      <c r="AG1434" s="3" t="str">
        <f>IFERROR(__xludf.DUMMYFUNCTION("""COMPUTED_VALUE"""),"ตะวันออกเฉียงเหนือ")</f>
        <v>ตะวันออกเฉียงเหนือ</v>
      </c>
      <c r="AH1434" s="3" t="str">
        <f>IFERROR(__xludf.DUMMYFUNCTION("""COMPUTED_VALUE"""),"#N/A")</f>
        <v>#N/A</v>
      </c>
      <c r="AI1434" s="3" t="str">
        <f>IFERROR(__xludf.DUMMYFUNCTION("""COMPUTED_VALUE"""),"Out of warranty")</f>
        <v>Out of warranty</v>
      </c>
      <c r="AJ1434" s="3">
        <f>IFERROR(__xludf.DUMMYFUNCTION("""COMPUTED_VALUE"""),69.0)</f>
        <v>69</v>
      </c>
      <c r="AK1434" s="3" t="str">
        <f>IFERROR(__xludf.DUMMYFUNCTION("""COMPUTED_VALUE"""),"MMS13")</f>
        <v>MMS13</v>
      </c>
      <c r="AL1434" s="3"/>
    </row>
    <row r="1435" ht="15.75" customHeight="1">
      <c r="A1435" s="1" t="str">
        <f>IFERROR(__xludf.DUMMYFUNCTION("""COMPUTED_VALUE"""),"22119")</f>
        <v>22119</v>
      </c>
      <c r="B1435" s="2">
        <f>IFERROR(__xludf.DUMMYFUNCTION("""COMPUTED_VALUE"""),22119.0)</f>
        <v>22119</v>
      </c>
      <c r="C1435" s="3" t="str">
        <f>IFERROR(__xludf.DUMMYFUNCTION("""COMPUTED_VALUE"""),"MBC หนองซ้ำซาก ชลบุรี")</f>
        <v>MBC หนองซ้ำซาก ชลบุรี</v>
      </c>
      <c r="D1435" s="3" t="str">
        <f>IFERROR(__xludf.DUMMYFUNCTION("""COMPUTED_VALUE"""),"BCM NONG SAM SAK CHONBURI")</f>
        <v>BCM NONG SAM SAK CHONBURI</v>
      </c>
      <c r="E1435" s="1" t="str">
        <f>IFERROR(__xludf.DUMMYFUNCTION("""COMPUTED_VALUE"""),"บิ๊กซี MINI")</f>
        <v>บิ๊กซี MINI</v>
      </c>
      <c r="F1435" s="1" t="str">
        <f>IFERROR(__xludf.DUMMYFUNCTION("""COMPUTED_VALUE"""),"221716")</f>
        <v>221716</v>
      </c>
      <c r="G1435" s="1" t="str">
        <f>IFERROR(__xludf.DUMMYFUNCTION("""COMPUTED_VALUE"""),"น.ส.เบญจพร โพธิสาร")</f>
        <v>น.ส.เบญจพร โพธิสาร</v>
      </c>
      <c r="H1435" s="1" t="str">
        <f>IFERROR(__xludf.DUMMYFUNCTION("""COMPUTED_VALUE"""),"2452265")</f>
        <v>2452265</v>
      </c>
      <c r="I1435" s="1" t="str">
        <f>IFERROR(__xludf.DUMMYFUNCTION("""COMPUTED_VALUE"""),"นายพิทยา จันทร์ประเทศ")</f>
        <v>นายพิทยา จันทร์ประเทศ</v>
      </c>
      <c r="J1435" s="3">
        <f>IFERROR(__xludf.DUMMYFUNCTION("""COMPUTED_VALUE"""),296942.0)</f>
        <v>296942</v>
      </c>
      <c r="K1435" s="3" t="str">
        <f>IFERROR(__xludf.DUMMYFUNCTION("""COMPUTED_VALUE"""),"นายปิยะ รักษากิจ")</f>
        <v>นายปิยะ รักษากิจ</v>
      </c>
      <c r="L1435" s="1" t="str">
        <f>IFERROR(__xludf.DUMMYFUNCTION("""COMPUTED_VALUE"""),"07 K.Piya R.")</f>
        <v>07 K.Piya R.</v>
      </c>
      <c r="M1435" s="1" t="str">
        <f>IFERROR(__xludf.DUMMYFUNCTION("""COMPUTED_VALUE"""),"097-919-5476")</f>
        <v>097-919-5476</v>
      </c>
      <c r="N1435" s="3">
        <f>IFERROR(__xludf.DUMMYFUNCTION("""COMPUTED_VALUE"""),21332.0)</f>
        <v>21332</v>
      </c>
      <c r="O1435" s="3" t="str">
        <f>IFERROR(__xludf.DUMMYFUNCTION("""COMPUTED_VALUE"""),"MBC BCP อ่อนนุช 17/1")</f>
        <v>MBC BCP อ่อนนุช 17/1</v>
      </c>
      <c r="P1435" s="4">
        <f>IFERROR(__xludf.DUMMYFUNCTION("""COMPUTED_VALUE"""),43930.0)</f>
        <v>43930</v>
      </c>
      <c r="Q1435" s="3" t="str">
        <f>IFERROR(__xludf.DUMMYFUNCTION("""COMPUTED_VALUE"""),"A")</f>
        <v>A</v>
      </c>
      <c r="R1435" s="3" t="str">
        <f>IFERROR(__xludf.DUMMYFUNCTION("""COMPUTED_VALUE"""),"Small Format")</f>
        <v>Small Format</v>
      </c>
      <c r="S1435" s="3" t="str">
        <f>IFERROR(__xludf.DUMMYFUNCTION("""COMPUTED_VALUE"""),"BCM")</f>
        <v>BCM</v>
      </c>
      <c r="T1435" s="3" t="str">
        <f>IFERROR(__xludf.DUMMYFUNCTION("""COMPUTED_VALUE"""),"#N/A")</f>
        <v>#N/A</v>
      </c>
      <c r="U1435" s="3" t="str">
        <f>IFERROR(__xludf.DUMMYFUNCTION("""COMPUTED_VALUE"""),"#N/A")</f>
        <v>#N/A</v>
      </c>
      <c r="V1435" s="3" t="str">
        <f>IFERROR(__xludf.DUMMYFUNCTION("""COMPUTED_VALUE"""),"N")</f>
        <v>N</v>
      </c>
      <c r="W1435" s="3">
        <f>IFERROR(__xludf.DUMMYFUNCTION("""COMPUTED_VALUE"""),210127.0)</f>
        <v>210127</v>
      </c>
      <c r="X1435" s="3" t="str">
        <f>IFERROR(__xludf.DUMMYFUNCTION("""COMPUTED_VALUE"""),"109/12 หมู่2 ตำบลหนองซ้ำซาก อำเภอบ้านบึง จังหวัดชลบุรี 20170")</f>
        <v>109/12 หมู่2 ตำบลหนองซ้ำซาก อำเภอบ้านบึง จังหวัดชลบุรี 20170</v>
      </c>
      <c r="Y1435" s="3"/>
      <c r="Z1435" s="3" t="str">
        <f>IFERROR(__xludf.DUMMYFUNCTION("""COMPUTED_VALUE"""),"หนองซ้ำซาก")</f>
        <v>หนองซ้ำซาก</v>
      </c>
      <c r="AA1435" s="3" t="str">
        <f>IFERROR(__xludf.DUMMYFUNCTION("""COMPUTED_VALUE"""),"บ้านบึง")</f>
        <v>บ้านบึง</v>
      </c>
      <c r="AB1435" s="3" t="str">
        <f>IFERROR(__xludf.DUMMYFUNCTION("""COMPUTED_VALUE"""),"ชลบุรี")</f>
        <v>ชลบุรี</v>
      </c>
      <c r="AC1435" s="3">
        <f>IFERROR(__xludf.DUMMYFUNCTION("""COMPUTED_VALUE"""),20170.0)</f>
        <v>20170</v>
      </c>
      <c r="AD1435" s="3">
        <f>IFERROR(__xludf.DUMMYFUNCTION("""COMPUTED_VALUE"""),13.337766)</f>
        <v>13.337766</v>
      </c>
      <c r="AE1435" s="3">
        <f>IFERROR(__xludf.DUMMYFUNCTION("""COMPUTED_VALUE"""),101.066838)</f>
        <v>101.066838</v>
      </c>
      <c r="AF1435" s="3" t="str">
        <f>IFERROR(__xludf.DUMMYFUNCTION("""COMPUTED_VALUE"""),"MBC หนองซ้ำซาก ชลบุรี-22119")</f>
        <v>MBC หนองซ้ำซาก ชลบุรี-22119</v>
      </c>
      <c r="AG1435" s="3" t="str">
        <f>IFERROR(__xludf.DUMMYFUNCTION("""COMPUTED_VALUE"""),"ตะวันออก")</f>
        <v>ตะวันออก</v>
      </c>
      <c r="AH1435" s="3" t="str">
        <f>IFERROR(__xludf.DUMMYFUNCTION("""COMPUTED_VALUE"""),"#N/A")</f>
        <v>#N/A</v>
      </c>
      <c r="AI1435" s="3" t="str">
        <f>IFERROR(__xludf.DUMMYFUNCTION("""COMPUTED_VALUE"""),"Out of warranty")</f>
        <v>Out of warranty</v>
      </c>
      <c r="AJ1435" s="3">
        <f>IFERROR(__xludf.DUMMYFUNCTION("""COMPUTED_VALUE"""),70.0)</f>
        <v>70</v>
      </c>
      <c r="AK1435" s="3" t="str">
        <f>IFERROR(__xludf.DUMMYFUNCTION("""COMPUTED_VALUE"""),"MMS07")</f>
        <v>MMS07</v>
      </c>
      <c r="AL1435" s="3"/>
    </row>
    <row r="1436" ht="15.75" customHeight="1">
      <c r="A1436" s="1" t="str">
        <f>IFERROR(__xludf.DUMMYFUNCTION("""COMPUTED_VALUE"""),"22120")</f>
        <v>22120</v>
      </c>
      <c r="B1436" s="2">
        <f>IFERROR(__xludf.DUMMYFUNCTION("""COMPUTED_VALUE"""),22120.0)</f>
        <v>22120</v>
      </c>
      <c r="C1436" s="3" t="str">
        <f>IFERROR(__xludf.DUMMYFUNCTION("""COMPUTED_VALUE"""),"MBC ด่านสาม ชลบุรี")</f>
        <v>MBC ด่านสาม ชลบุรี</v>
      </c>
      <c r="D1436" s="3" t="str">
        <f>IFERROR(__xludf.DUMMYFUNCTION("""COMPUTED_VALUE"""),"BCM DAN SAM CHONBURI")</f>
        <v>BCM DAN SAM CHONBURI</v>
      </c>
      <c r="E1436" s="1" t="str">
        <f>IFERROR(__xludf.DUMMYFUNCTION("""COMPUTED_VALUE"""),"บิ๊กซี MINI")</f>
        <v>บิ๊กซี MINI</v>
      </c>
      <c r="F1436" s="1" t="str">
        <f>IFERROR(__xludf.DUMMYFUNCTION("""COMPUTED_VALUE"""),"221716")</f>
        <v>221716</v>
      </c>
      <c r="G1436" s="1" t="str">
        <f>IFERROR(__xludf.DUMMYFUNCTION("""COMPUTED_VALUE"""),"น.ส.เบญจพร โพธิสาร")</f>
        <v>น.ส.เบญจพร โพธิสาร</v>
      </c>
      <c r="H1436" s="1" t="str">
        <f>IFERROR(__xludf.DUMMYFUNCTION("""COMPUTED_VALUE"""),"376139")</f>
        <v>376139</v>
      </c>
      <c r="I1436" s="1" t="str">
        <f>IFERROR(__xludf.DUMMYFUNCTION("""COMPUTED_VALUE"""),"นายอนุชา อำไพ")</f>
        <v>นายอนุชา อำไพ</v>
      </c>
      <c r="J1436" s="3">
        <f>IFERROR(__xludf.DUMMYFUNCTION("""COMPUTED_VALUE"""),296942.0)</f>
        <v>296942</v>
      </c>
      <c r="K1436" s="3" t="str">
        <f>IFERROR(__xludf.DUMMYFUNCTION("""COMPUTED_VALUE"""),"นายปิยะ รักษากิจ")</f>
        <v>นายปิยะ รักษากิจ</v>
      </c>
      <c r="L1436" s="1" t="str">
        <f>IFERROR(__xludf.DUMMYFUNCTION("""COMPUTED_VALUE"""),"07 K.Piya R.")</f>
        <v>07 K.Piya R.</v>
      </c>
      <c r="M1436" s="1" t="str">
        <f>IFERROR(__xludf.DUMMYFUNCTION("""COMPUTED_VALUE"""),"097-919-5476")</f>
        <v>097-919-5476</v>
      </c>
      <c r="N1436" s="3">
        <f>IFERROR(__xludf.DUMMYFUNCTION("""COMPUTED_VALUE"""),21332.0)</f>
        <v>21332</v>
      </c>
      <c r="O1436" s="3" t="str">
        <f>IFERROR(__xludf.DUMMYFUNCTION("""COMPUTED_VALUE"""),"MBC BCP อ่อนนุช 17/1")</f>
        <v>MBC BCP อ่อนนุช 17/1</v>
      </c>
      <c r="P1436" s="4">
        <f>IFERROR(__xludf.DUMMYFUNCTION("""COMPUTED_VALUE"""),43931.0)</f>
        <v>43931</v>
      </c>
      <c r="Q1436" s="3" t="str">
        <f>IFERROR(__xludf.DUMMYFUNCTION("""COMPUTED_VALUE"""),"A")</f>
        <v>A</v>
      </c>
      <c r="R1436" s="3" t="str">
        <f>IFERROR(__xludf.DUMMYFUNCTION("""COMPUTED_VALUE"""),"Small Format")</f>
        <v>Small Format</v>
      </c>
      <c r="S1436" s="3" t="str">
        <f>IFERROR(__xludf.DUMMYFUNCTION("""COMPUTED_VALUE"""),"BCM")</f>
        <v>BCM</v>
      </c>
      <c r="T1436" s="3" t="str">
        <f>IFERROR(__xludf.DUMMYFUNCTION("""COMPUTED_VALUE"""),"#N/A")</f>
        <v>#N/A</v>
      </c>
      <c r="U1436" s="3" t="str">
        <f>IFERROR(__xludf.DUMMYFUNCTION("""COMPUTED_VALUE"""),"#N/A")</f>
        <v>#N/A</v>
      </c>
      <c r="V1436" s="3" t="str">
        <f>IFERROR(__xludf.DUMMYFUNCTION("""COMPUTED_VALUE"""),"N")</f>
        <v>N</v>
      </c>
      <c r="W1436" s="3">
        <f>IFERROR(__xludf.DUMMYFUNCTION("""COMPUTED_VALUE"""),210116.0)</f>
        <v>210116</v>
      </c>
      <c r="X1436" s="3" t="str">
        <f>IFERROR(__xludf.DUMMYFUNCTION("""COMPUTED_VALUE"""),"209/41 หมุ่6 ตำบลบึง อำเภอศรีราชา จังหวัดชลบุรี 20230")</f>
        <v>209/41 หมุ่6 ตำบลบึง อำเภอศรีราชา จังหวัดชลบุรี 20230</v>
      </c>
      <c r="Y1436" s="3"/>
      <c r="Z1436" s="3" t="str">
        <f>IFERROR(__xludf.DUMMYFUNCTION("""COMPUTED_VALUE"""),"บึง")</f>
        <v>บึง</v>
      </c>
      <c r="AA1436" s="3" t="str">
        <f>IFERROR(__xludf.DUMMYFUNCTION("""COMPUTED_VALUE"""),"ศรีราชา")</f>
        <v>ศรีราชา</v>
      </c>
      <c r="AB1436" s="3" t="str">
        <f>IFERROR(__xludf.DUMMYFUNCTION("""COMPUTED_VALUE"""),"ชลบุรี")</f>
        <v>ชลบุรี</v>
      </c>
      <c r="AC1436" s="3">
        <f>IFERROR(__xludf.DUMMYFUNCTION("""COMPUTED_VALUE"""),20230.0)</f>
        <v>20230</v>
      </c>
      <c r="AD1436" s="3">
        <f>IFERROR(__xludf.DUMMYFUNCTION("""COMPUTED_VALUE"""),13.100737)</f>
        <v>13.100737</v>
      </c>
      <c r="AE1436" s="3">
        <f>IFERROR(__xludf.DUMMYFUNCTION("""COMPUTED_VALUE"""),101.012812)</f>
        <v>101.012812</v>
      </c>
      <c r="AF1436" s="3" t="str">
        <f>IFERROR(__xludf.DUMMYFUNCTION("""COMPUTED_VALUE"""),"MBC ด่านสาม ชลบุรี-22120")</f>
        <v>MBC ด่านสาม ชลบุรี-22120</v>
      </c>
      <c r="AG1436" s="3" t="str">
        <f>IFERROR(__xludf.DUMMYFUNCTION("""COMPUTED_VALUE"""),"ตะวันออก")</f>
        <v>ตะวันออก</v>
      </c>
      <c r="AH1436" s="3" t="str">
        <f>IFERROR(__xludf.DUMMYFUNCTION("""COMPUTED_VALUE"""),"#N/A")</f>
        <v>#N/A</v>
      </c>
      <c r="AI1436" s="3" t="str">
        <f>IFERROR(__xludf.DUMMYFUNCTION("""COMPUTED_VALUE"""),"Out of warranty")</f>
        <v>Out of warranty</v>
      </c>
      <c r="AJ1436" s="3">
        <f>IFERROR(__xludf.DUMMYFUNCTION("""COMPUTED_VALUE"""),70.0)</f>
        <v>70</v>
      </c>
      <c r="AK1436" s="3" t="str">
        <f>IFERROR(__xludf.DUMMYFUNCTION("""COMPUTED_VALUE"""),"MMS07")</f>
        <v>MMS07</v>
      </c>
      <c r="AL1436" s="3"/>
    </row>
    <row r="1437" ht="15.75" customHeight="1">
      <c r="A1437" s="1" t="str">
        <f>IFERROR(__xludf.DUMMYFUNCTION("""COMPUTED_VALUE"""),"22121")</f>
        <v>22121</v>
      </c>
      <c r="B1437" s="2">
        <f>IFERROR(__xludf.DUMMYFUNCTION("""COMPUTED_VALUE"""),22121.0)</f>
        <v>22121</v>
      </c>
      <c r="C1437" s="3" t="str">
        <f>IFERROR(__xludf.DUMMYFUNCTION("""COMPUTED_VALUE"""),"MBC โคกสูง สระแก้ว")</f>
        <v>MBC โคกสูง สระแก้ว</v>
      </c>
      <c r="D1437" s="3" t="str">
        <f>IFERROR(__xludf.DUMMYFUNCTION("""COMPUTED_VALUE"""),"BCM KHOKSUNG (OPT.2) SA KAEO")</f>
        <v>BCM KHOKSUNG (OPT.2) SA KAEO</v>
      </c>
      <c r="E1437" s="1" t="str">
        <f>IFERROR(__xludf.DUMMYFUNCTION("""COMPUTED_VALUE"""),"บิ๊กซี MINI")</f>
        <v>บิ๊กซี MINI</v>
      </c>
      <c r="F1437" s="1" t="str">
        <f>IFERROR(__xludf.DUMMYFUNCTION("""COMPUTED_VALUE"""),"2083447")</f>
        <v>2083447</v>
      </c>
      <c r="G1437" s="1" t="str">
        <f>IFERROR(__xludf.DUMMYFUNCTION("""COMPUTED_VALUE"""),"นายอนุกูล ศรีลัดดา")</f>
        <v>นายอนุกูล ศรีลัดดา</v>
      </c>
      <c r="H1437" s="1" t="str">
        <f>IFERROR(__xludf.DUMMYFUNCTION("""COMPUTED_VALUE"""),"259808")</f>
        <v>259808</v>
      </c>
      <c r="I1437" s="1" t="str">
        <f>IFERROR(__xludf.DUMMYFUNCTION("""COMPUTED_VALUE"""),"น.ส.สกุลรัตน์ พิกุลแก้ว")</f>
        <v>น.ส.สกุลรัตน์ พิกุลแก้ว</v>
      </c>
      <c r="J1437" s="3">
        <f>IFERROR(__xludf.DUMMYFUNCTION("""COMPUTED_VALUE"""),2451655.0)</f>
        <v>2451655</v>
      </c>
      <c r="K1437" s="3" t="str">
        <f>IFERROR(__xludf.DUMMYFUNCTION("""COMPUTED_VALUE"""),"นายวิษณุพงษ์ ชินบุตร")</f>
        <v>นายวิษณุพงษ์ ชินบุตร</v>
      </c>
      <c r="L1437" s="1" t="str">
        <f>IFERROR(__xludf.DUMMYFUNCTION("""COMPUTED_VALUE"""),"13 K.Wisanupong Ch")</f>
        <v>13 K.Wisanupong Ch</v>
      </c>
      <c r="M1437" s="1" t="str">
        <f>IFERROR(__xludf.DUMMYFUNCTION("""COMPUTED_VALUE"""),"0843374693")</f>
        <v>0843374693</v>
      </c>
      <c r="N1437" s="3">
        <f>IFERROR(__xludf.DUMMYFUNCTION("""COMPUTED_VALUE"""),21013.0)</f>
        <v>21013</v>
      </c>
      <c r="O1437" s="3" t="str">
        <f>IFERROR(__xludf.DUMMYFUNCTION("""COMPUTED_VALUE"""),"MBC รังสิตคลอง2")</f>
        <v>MBC รังสิตคลอง2</v>
      </c>
      <c r="P1437" s="4">
        <f>IFERROR(__xludf.DUMMYFUNCTION("""COMPUTED_VALUE"""),43932.0)</f>
        <v>43932</v>
      </c>
      <c r="Q1437" s="3" t="str">
        <f>IFERROR(__xludf.DUMMYFUNCTION("""COMPUTED_VALUE"""),"I")</f>
        <v>I</v>
      </c>
      <c r="R1437" s="3" t="str">
        <f>IFERROR(__xludf.DUMMYFUNCTION("""COMPUTED_VALUE"""),"Small Format")</f>
        <v>Small Format</v>
      </c>
      <c r="S1437" s="3" t="str">
        <f>IFERROR(__xludf.DUMMYFUNCTION("""COMPUTED_VALUE"""),"BCM")</f>
        <v>BCM</v>
      </c>
      <c r="T1437" s="3" t="str">
        <f>IFERROR(__xludf.DUMMYFUNCTION("""COMPUTED_VALUE"""),"#N/A")</f>
        <v>#N/A</v>
      </c>
      <c r="U1437" s="3" t="str">
        <f>IFERROR(__xludf.DUMMYFUNCTION("""COMPUTED_VALUE"""),"#N/A")</f>
        <v>#N/A</v>
      </c>
      <c r="V1437" s="3" t="str">
        <f>IFERROR(__xludf.DUMMYFUNCTION("""COMPUTED_VALUE"""),"N")</f>
        <v>N</v>
      </c>
      <c r="W1437" s="3">
        <f>IFERROR(__xludf.DUMMYFUNCTION("""COMPUTED_VALUE"""),210157.0)</f>
        <v>210157</v>
      </c>
      <c r="X1437" s="3" t="str">
        <f>IFERROR(__xludf.DUMMYFUNCTION("""COMPUTED_VALUE"""),"342 หมู่8 ตำบลโคกสูง อำเภอโคกสูง จังหวัดสระแก้ว 27120")</f>
        <v>342 หมู่8 ตำบลโคกสูง อำเภอโคกสูง จังหวัดสระแก้ว 27120</v>
      </c>
      <c r="Y1437" s="3"/>
      <c r="Z1437" s="3" t="str">
        <f>IFERROR(__xludf.DUMMYFUNCTION("""COMPUTED_VALUE"""),"โคกสูง")</f>
        <v>โคกสูง</v>
      </c>
      <c r="AA1437" s="3" t="str">
        <f>IFERROR(__xludf.DUMMYFUNCTION("""COMPUTED_VALUE"""),"โคกสูง")</f>
        <v>โคกสูง</v>
      </c>
      <c r="AB1437" s="3" t="str">
        <f>IFERROR(__xludf.DUMMYFUNCTION("""COMPUTED_VALUE"""),"สระแก้ว")</f>
        <v>สระแก้ว</v>
      </c>
      <c r="AC1437" s="3">
        <f>IFERROR(__xludf.DUMMYFUNCTION("""COMPUTED_VALUE"""),27120.0)</f>
        <v>27120</v>
      </c>
      <c r="AD1437" s="3">
        <f>IFERROR(__xludf.DUMMYFUNCTION("""COMPUTED_VALUE"""),13.839918)</f>
        <v>13.839918</v>
      </c>
      <c r="AE1437" s="3">
        <f>IFERROR(__xludf.DUMMYFUNCTION("""COMPUTED_VALUE"""),102.624516)</f>
        <v>102.624516</v>
      </c>
      <c r="AF1437" s="3" t="str">
        <f>IFERROR(__xludf.DUMMYFUNCTION("""COMPUTED_VALUE"""),"MBC โคกสูง สระแก้ว-22121")</f>
        <v>MBC โคกสูง สระแก้ว-22121</v>
      </c>
      <c r="AG1437" s="3" t="str">
        <f>IFERROR(__xludf.DUMMYFUNCTION("""COMPUTED_VALUE"""),"ตะวันออก")</f>
        <v>ตะวันออก</v>
      </c>
      <c r="AH1437" s="3" t="str">
        <f>IFERROR(__xludf.DUMMYFUNCTION("""COMPUTED_VALUE"""),"#N/A")</f>
        <v>#N/A</v>
      </c>
      <c r="AI1437" s="3" t="str">
        <f>IFERROR(__xludf.DUMMYFUNCTION("""COMPUTED_VALUE"""),"Out of warranty")</f>
        <v>Out of warranty</v>
      </c>
      <c r="AJ1437" s="3">
        <f>IFERROR(__xludf.DUMMYFUNCTION("""COMPUTED_VALUE"""),70.0)</f>
        <v>70</v>
      </c>
      <c r="AK1437" s="3" t="str">
        <f>IFERROR(__xludf.DUMMYFUNCTION("""COMPUTED_VALUE"""),"MMS08")</f>
        <v>MMS08</v>
      </c>
      <c r="AL1437" s="3"/>
    </row>
    <row r="1438" ht="15.75" customHeight="1">
      <c r="A1438" s="1" t="str">
        <f>IFERROR(__xludf.DUMMYFUNCTION("""COMPUTED_VALUE"""),"22122")</f>
        <v>22122</v>
      </c>
      <c r="B1438" s="2">
        <f>IFERROR(__xludf.DUMMYFUNCTION("""COMPUTED_VALUE"""),22122.0)</f>
        <v>22122</v>
      </c>
      <c r="C1438" s="3" t="str">
        <f>IFERROR(__xludf.DUMMYFUNCTION("""COMPUTED_VALUE"""),"MBC เคหะ จันทบุรี1 จันทบุรี")</f>
        <v>MBC เคหะ จันทบุรี1 จันทบุรี</v>
      </c>
      <c r="D1438" s="3" t="str">
        <f>IFERROR(__xludf.DUMMYFUNCTION("""COMPUTED_VALUE"""),"BCM KEHA CHANTHABURI 1")</f>
        <v>BCM KEHA CHANTHABURI 1</v>
      </c>
      <c r="E1438" s="1" t="str">
        <f>IFERROR(__xludf.DUMMYFUNCTION("""COMPUTED_VALUE"""),"บิ๊กซี MINI")</f>
        <v>บิ๊กซี MINI</v>
      </c>
      <c r="F1438" s="1" t="str">
        <f>IFERROR(__xludf.DUMMYFUNCTION("""COMPUTED_VALUE"""),"221716")</f>
        <v>221716</v>
      </c>
      <c r="G1438" s="1" t="str">
        <f>IFERROR(__xludf.DUMMYFUNCTION("""COMPUTED_VALUE"""),"น.ส.เบญจพร โพธิสาร")</f>
        <v>น.ส.เบญจพร โพธิสาร</v>
      </c>
      <c r="H1438" s="1" t="str">
        <f>IFERROR(__xludf.DUMMYFUNCTION("""COMPUTED_VALUE"""),"318151")</f>
        <v>318151</v>
      </c>
      <c r="I1438" s="1" t="str">
        <f>IFERROR(__xludf.DUMMYFUNCTION("""COMPUTED_VALUE"""),"นายพลฬกฤตต์ เนตมณี")</f>
        <v>นายพลฬกฤตต์ เนตมณี</v>
      </c>
      <c r="J1438" s="3">
        <f>IFERROR(__xludf.DUMMYFUNCTION("""COMPUTED_VALUE"""),2452376.0)</f>
        <v>2452376</v>
      </c>
      <c r="K1438" s="3" t="str">
        <f>IFERROR(__xludf.DUMMYFUNCTION("""COMPUTED_VALUE"""),"นายภาคภูมิ ทวีกุล")</f>
        <v>นายภาคภูมิ ทวีกุล</v>
      </c>
      <c r="L1438" s="1" t="str">
        <f>IFERROR(__xludf.DUMMYFUNCTION("""COMPUTED_VALUE"""),"08 K.Parkphum T.")</f>
        <v>08 K.Parkphum T.</v>
      </c>
      <c r="M1438" s="1" t="str">
        <f>IFERROR(__xludf.DUMMYFUNCTION("""COMPUTED_VALUE"""),"097-919-5476")</f>
        <v>097-919-5476</v>
      </c>
      <c r="N1438" s="3">
        <f>IFERROR(__xludf.DUMMYFUNCTION("""COMPUTED_VALUE"""),22028.0)</f>
        <v>22028</v>
      </c>
      <c r="O1438" s="3" t="str">
        <f>IFERROR(__xludf.DUMMYFUNCTION("""COMPUTED_VALUE"""),"MBC ทํบมา ระยอง")</f>
        <v>MBC ทํบมา ระยอง</v>
      </c>
      <c r="P1438" s="4">
        <f>IFERROR(__xludf.DUMMYFUNCTION("""COMPUTED_VALUE"""),43951.0)</f>
        <v>43951</v>
      </c>
      <c r="Q1438" s="3" t="str">
        <f>IFERROR(__xludf.DUMMYFUNCTION("""COMPUTED_VALUE"""),"A")</f>
        <v>A</v>
      </c>
      <c r="R1438" s="3" t="str">
        <f>IFERROR(__xludf.DUMMYFUNCTION("""COMPUTED_VALUE"""),"Small Format")</f>
        <v>Small Format</v>
      </c>
      <c r="S1438" s="3" t="str">
        <f>IFERROR(__xludf.DUMMYFUNCTION("""COMPUTED_VALUE"""),"BCM")</f>
        <v>BCM</v>
      </c>
      <c r="T1438" s="3" t="str">
        <f>IFERROR(__xludf.DUMMYFUNCTION("""COMPUTED_VALUE"""),"#N/A")</f>
        <v>#N/A</v>
      </c>
      <c r="U1438" s="3" t="str">
        <f>IFERROR(__xludf.DUMMYFUNCTION("""COMPUTED_VALUE"""),"#N/A")</f>
        <v>#N/A</v>
      </c>
      <c r="V1438" s="3" t="str">
        <f>IFERROR(__xludf.DUMMYFUNCTION("""COMPUTED_VALUE"""),"N")</f>
        <v>N</v>
      </c>
      <c r="W1438" s="3">
        <f>IFERROR(__xludf.DUMMYFUNCTION("""COMPUTED_VALUE"""),210124.0)</f>
        <v>210124</v>
      </c>
      <c r="X1438" s="3" t="str">
        <f>IFERROR(__xludf.DUMMYFUNCTION("""COMPUTED_VALUE"""),"10/5 หมู่2 ตำบลท่าช้าง อำเภอเมืองจันทบุรี จังหวัดจันทบุรี 22000")</f>
        <v>10/5 หมู่2 ตำบลท่าช้าง อำเภอเมืองจันทบุรี จังหวัดจันทบุรี 22000</v>
      </c>
      <c r="Y1438" s="3"/>
      <c r="Z1438" s="3" t="str">
        <f>IFERROR(__xludf.DUMMYFUNCTION("""COMPUTED_VALUE"""),"ท่าช้าง")</f>
        <v>ท่าช้าง</v>
      </c>
      <c r="AA1438" s="3" t="str">
        <f>IFERROR(__xludf.DUMMYFUNCTION("""COMPUTED_VALUE"""),"เมือง")</f>
        <v>เมือง</v>
      </c>
      <c r="AB1438" s="3" t="str">
        <f>IFERROR(__xludf.DUMMYFUNCTION("""COMPUTED_VALUE"""),"จันทบุรี")</f>
        <v>จันทบุรี</v>
      </c>
      <c r="AC1438" s="3">
        <f>IFERROR(__xludf.DUMMYFUNCTION("""COMPUTED_VALUE"""),22000.0)</f>
        <v>22000</v>
      </c>
      <c r="AD1438" s="3">
        <f>IFERROR(__xludf.DUMMYFUNCTION("""COMPUTED_VALUE"""),12.641746)</f>
        <v>12.641746</v>
      </c>
      <c r="AE1438" s="3">
        <f>IFERROR(__xludf.DUMMYFUNCTION("""COMPUTED_VALUE"""),102.08812)</f>
        <v>102.08812</v>
      </c>
      <c r="AF1438" s="3" t="str">
        <f>IFERROR(__xludf.DUMMYFUNCTION("""COMPUTED_VALUE"""),"MBC เคหะ จันทบุรี1 จันทบุรี-22122")</f>
        <v>MBC เคหะ จันทบุรี1 จันทบุรี-22122</v>
      </c>
      <c r="AG1438" s="3" t="str">
        <f>IFERROR(__xludf.DUMMYFUNCTION("""COMPUTED_VALUE"""),"ตะวันออก")</f>
        <v>ตะวันออก</v>
      </c>
      <c r="AH1438" s="3" t="str">
        <f>IFERROR(__xludf.DUMMYFUNCTION("""COMPUTED_VALUE"""),"#N/A")</f>
        <v>#N/A</v>
      </c>
      <c r="AI1438" s="3" t="str">
        <f>IFERROR(__xludf.DUMMYFUNCTION("""COMPUTED_VALUE"""),"Out of warranty")</f>
        <v>Out of warranty</v>
      </c>
      <c r="AJ1438" s="3">
        <f>IFERROR(__xludf.DUMMYFUNCTION("""COMPUTED_VALUE"""),69.0)</f>
        <v>69</v>
      </c>
      <c r="AK1438" s="3" t="str">
        <f>IFERROR(__xludf.DUMMYFUNCTION("""COMPUTED_VALUE"""),"MMS08")</f>
        <v>MMS08</v>
      </c>
      <c r="AL1438" s="3"/>
    </row>
    <row r="1439" ht="15.75" customHeight="1">
      <c r="A1439" s="1" t="str">
        <f>IFERROR(__xludf.DUMMYFUNCTION("""COMPUTED_VALUE"""),"22123")</f>
        <v>22123</v>
      </c>
      <c r="B1439" s="2">
        <f>IFERROR(__xludf.DUMMYFUNCTION("""COMPUTED_VALUE"""),22123.0)</f>
        <v>22123</v>
      </c>
      <c r="C1439" s="3" t="str">
        <f>IFERROR(__xludf.DUMMYFUNCTION("""COMPUTED_VALUE"""),"MBC ไผ่ขวาง สุพรรณบุรี")</f>
        <v>MBC ไผ่ขวาง สุพรรณบุรี</v>
      </c>
      <c r="D1439" s="3" t="str">
        <f>IFERROR(__xludf.DUMMYFUNCTION("""COMPUTED_VALUE"""),"BCM PHAI KWANG SUPHANBURI")</f>
        <v>BCM PHAI KWANG SUPHANBURI</v>
      </c>
      <c r="E1439" s="1" t="str">
        <f>IFERROR(__xludf.DUMMYFUNCTION("""COMPUTED_VALUE"""),"บิ๊กซี MINI")</f>
        <v>บิ๊กซี MINI</v>
      </c>
      <c r="F1439" s="1" t="str">
        <f>IFERROR(__xludf.DUMMYFUNCTION("""COMPUTED_VALUE"""),"296229")</f>
        <v>296229</v>
      </c>
      <c r="G1439" s="1" t="str">
        <f>IFERROR(__xludf.DUMMYFUNCTION("""COMPUTED_VALUE"""),"นายทนงศักดิ์ บุญมา")</f>
        <v>นายทนงศักดิ์ บุญมา</v>
      </c>
      <c r="H1439" s="1" t="str">
        <f>IFERROR(__xludf.DUMMYFUNCTION("""COMPUTED_VALUE"""),"318186")</f>
        <v>318186</v>
      </c>
      <c r="I1439" s="1" t="str">
        <f>IFERROR(__xludf.DUMMYFUNCTION("""COMPUTED_VALUE"""),"น.ส.พนมวัลย์ เรืองรัตน์")</f>
        <v>น.ส.พนมวัลย์ เรืองรัตน์</v>
      </c>
      <c r="J1439" s="3">
        <f>IFERROR(__xludf.DUMMYFUNCTION("""COMPUTED_VALUE"""),46214.0)</f>
        <v>46214</v>
      </c>
      <c r="K1439" s="3" t="str">
        <f>IFERROR(__xludf.DUMMYFUNCTION("""COMPUTED_VALUE"""),"นายศักดิ์ชัย เด็ดดอกฟ้า")</f>
        <v>นายศักดิ์ชัย เด็ดดอกฟ้า</v>
      </c>
      <c r="L1439" s="1" t="str">
        <f>IFERROR(__xludf.DUMMYFUNCTION("""COMPUTED_VALUE"""),"02 K.Sakchai D")</f>
        <v>02 K.Sakchai D</v>
      </c>
      <c r="M1439" s="1" t="str">
        <f>IFERROR(__xludf.DUMMYFUNCTION("""COMPUTED_VALUE"""),"065-510-7376")</f>
        <v>065-510-7376</v>
      </c>
      <c r="N1439" s="3">
        <f>IFERROR(__xludf.DUMMYFUNCTION("""COMPUTED_VALUE"""),21714.0)</f>
        <v>21714</v>
      </c>
      <c r="O1439" s="3" t="str">
        <f>IFERROR(__xludf.DUMMYFUNCTION("""COMPUTED_VALUE"""),"MBC เอสโซ่ วัดโบสถ์")</f>
        <v>MBC เอสโซ่ วัดโบสถ์</v>
      </c>
      <c r="P1439" s="4">
        <f>IFERROR(__xludf.DUMMYFUNCTION("""COMPUTED_VALUE"""),43944.0)</f>
        <v>43944</v>
      </c>
      <c r="Q1439" s="3" t="str">
        <f>IFERROR(__xludf.DUMMYFUNCTION("""COMPUTED_VALUE"""),"A")</f>
        <v>A</v>
      </c>
      <c r="R1439" s="3" t="str">
        <f>IFERROR(__xludf.DUMMYFUNCTION("""COMPUTED_VALUE"""),"Small Format")</f>
        <v>Small Format</v>
      </c>
      <c r="S1439" s="3" t="str">
        <f>IFERROR(__xludf.DUMMYFUNCTION("""COMPUTED_VALUE"""),"BCM")</f>
        <v>BCM</v>
      </c>
      <c r="T1439" s="3" t="str">
        <f>IFERROR(__xludf.DUMMYFUNCTION("""COMPUTED_VALUE"""),"#N/A")</f>
        <v>#N/A</v>
      </c>
      <c r="U1439" s="3" t="str">
        <f>IFERROR(__xludf.DUMMYFUNCTION("""COMPUTED_VALUE"""),"#N/A")</f>
        <v>#N/A</v>
      </c>
      <c r="V1439" s="3" t="str">
        <f>IFERROR(__xludf.DUMMYFUNCTION("""COMPUTED_VALUE"""),"N")</f>
        <v>N</v>
      </c>
      <c r="W1439" s="3">
        <f>IFERROR(__xludf.DUMMYFUNCTION("""COMPUTED_VALUE"""),210084.0)</f>
        <v>210084</v>
      </c>
      <c r="X1439" s="3" t="str">
        <f>IFERROR(__xludf.DUMMYFUNCTION("""COMPUTED_VALUE"""),"435 หมู่5 ตำบลท่าระหัด อำเภอเมืองสุพรรณบุรี จังหวัดสุพรรณบุรี 72000")</f>
        <v>435 หมู่5 ตำบลท่าระหัด อำเภอเมืองสุพรรณบุรี จังหวัดสุพรรณบุรี 72000</v>
      </c>
      <c r="Y1439" s="3"/>
      <c r="Z1439" s="3" t="str">
        <f>IFERROR(__xludf.DUMMYFUNCTION("""COMPUTED_VALUE"""),"ท่าระหัด")</f>
        <v>ท่าระหัด</v>
      </c>
      <c r="AA1439" s="3" t="str">
        <f>IFERROR(__xludf.DUMMYFUNCTION("""COMPUTED_VALUE"""),"เมือง")</f>
        <v>เมือง</v>
      </c>
      <c r="AB1439" s="3" t="str">
        <f>IFERROR(__xludf.DUMMYFUNCTION("""COMPUTED_VALUE"""),"สุพรรณบุรี")</f>
        <v>สุพรรณบุรี</v>
      </c>
      <c r="AC1439" s="3">
        <f>IFERROR(__xludf.DUMMYFUNCTION("""COMPUTED_VALUE"""),72000.0)</f>
        <v>72000</v>
      </c>
      <c r="AD1439" s="3">
        <f>IFERROR(__xludf.DUMMYFUNCTION("""COMPUTED_VALUE"""),14.464018)</f>
        <v>14.464018</v>
      </c>
      <c r="AE1439" s="3">
        <f>IFERROR(__xludf.DUMMYFUNCTION("""COMPUTED_VALUE"""),100.138291)</f>
        <v>100.138291</v>
      </c>
      <c r="AF1439" s="3" t="str">
        <f>IFERROR(__xludf.DUMMYFUNCTION("""COMPUTED_VALUE"""),"MBC ไผ่ขวาง สุพรรณบุรี-22123")</f>
        <v>MBC ไผ่ขวาง สุพรรณบุรี-22123</v>
      </c>
      <c r="AG1439" s="3" t="str">
        <f>IFERROR(__xludf.DUMMYFUNCTION("""COMPUTED_VALUE"""),"กลาง")</f>
        <v>กลาง</v>
      </c>
      <c r="AH1439" s="3" t="str">
        <f>IFERROR(__xludf.DUMMYFUNCTION("""COMPUTED_VALUE"""),"#N/A")</f>
        <v>#N/A</v>
      </c>
      <c r="AI1439" s="3" t="str">
        <f>IFERROR(__xludf.DUMMYFUNCTION("""COMPUTED_VALUE"""),"Out of warranty")</f>
        <v>Out of warranty</v>
      </c>
      <c r="AJ1439" s="3">
        <f>IFERROR(__xludf.DUMMYFUNCTION("""COMPUTED_VALUE"""),69.0)</f>
        <v>69</v>
      </c>
      <c r="AK1439" s="3" t="str">
        <f>IFERROR(__xludf.DUMMYFUNCTION("""COMPUTED_VALUE"""),"MMS09")</f>
        <v>MMS09</v>
      </c>
      <c r="AL1439" s="3"/>
    </row>
    <row r="1440" ht="15.75" customHeight="1">
      <c r="A1440" s="1" t="str">
        <f>IFERROR(__xludf.DUMMYFUNCTION("""COMPUTED_VALUE"""),"22124")</f>
        <v>22124</v>
      </c>
      <c r="B1440" s="2">
        <f>IFERROR(__xludf.DUMMYFUNCTION("""COMPUTED_VALUE"""),22124.0)</f>
        <v>22124</v>
      </c>
      <c r="C1440" s="3" t="str">
        <f>IFERROR(__xludf.DUMMYFUNCTION("""COMPUTED_VALUE"""),"MBC เขากระโดง บุรีรัมย์")</f>
        <v>MBC เขากระโดง บุรีรัมย์</v>
      </c>
      <c r="D1440" s="3" t="str">
        <f>IFERROR(__xludf.DUMMYFUNCTION("""COMPUTED_VALUE"""),"BCM KHAOKRADONG (OPT.2)")</f>
        <v>BCM KHAOKRADONG (OPT.2)</v>
      </c>
      <c r="E1440" s="1" t="str">
        <f>IFERROR(__xludf.DUMMYFUNCTION("""COMPUTED_VALUE"""),"บิ๊กซี MINI")</f>
        <v>บิ๊กซี MINI</v>
      </c>
      <c r="F1440" s="1" t="str">
        <f>IFERROR(__xludf.DUMMYFUNCTION("""COMPUTED_VALUE"""),"291105")</f>
        <v>291105</v>
      </c>
      <c r="G1440" s="1" t="str">
        <f>IFERROR(__xludf.DUMMYFUNCTION("""COMPUTED_VALUE"""),"นายสราวุฒิ พณิชยกุล")</f>
        <v>นายสราวุฒิ พณิชยกุล</v>
      </c>
      <c r="H1440" s="1" t="str">
        <f>IFERROR(__xludf.DUMMYFUNCTION("""COMPUTED_VALUE"""),"398136")</f>
        <v>398136</v>
      </c>
      <c r="I1440" s="1" t="str">
        <f>IFERROR(__xludf.DUMMYFUNCTION("""COMPUTED_VALUE"""),"นายประยูร ธาดาวงษา")</f>
        <v>นายประยูร ธาดาวงษา</v>
      </c>
      <c r="J1440" s="3">
        <f>IFERROR(__xludf.DUMMYFUNCTION("""COMPUTED_VALUE"""),15361.0)</f>
        <v>15361</v>
      </c>
      <c r="K1440" s="3" t="str">
        <f>IFERROR(__xludf.DUMMYFUNCTION("""COMPUTED_VALUE"""),"นายสมบูรณ์ พรหมในเมือง")</f>
        <v>นายสมบูรณ์ พรหมในเมือง</v>
      </c>
      <c r="L1440" s="1" t="str">
        <f>IFERROR(__xludf.DUMMYFUNCTION("""COMPUTED_VALUE"""),"04 K.Somboon P.")</f>
        <v>04 K.Somboon P.</v>
      </c>
      <c r="M1440" s="1" t="str">
        <f>IFERROR(__xludf.DUMMYFUNCTION("""COMPUTED_VALUE"""),"087-965-3051")</f>
        <v>087-965-3051</v>
      </c>
      <c r="N1440" s="3">
        <f>IFERROR(__xludf.DUMMYFUNCTION("""COMPUTED_VALUE"""),21869.0)</f>
        <v>21869</v>
      </c>
      <c r="O1440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440" s="4">
        <f>IFERROR(__xludf.DUMMYFUNCTION("""COMPUTED_VALUE"""),44010.0)</f>
        <v>44010</v>
      </c>
      <c r="Q1440" s="3" t="str">
        <f>IFERROR(__xludf.DUMMYFUNCTION("""COMPUTED_VALUE"""),"A")</f>
        <v>A</v>
      </c>
      <c r="R1440" s="3" t="str">
        <f>IFERROR(__xludf.DUMMYFUNCTION("""COMPUTED_VALUE"""),"Small Format")</f>
        <v>Small Format</v>
      </c>
      <c r="S1440" s="3" t="str">
        <f>IFERROR(__xludf.DUMMYFUNCTION("""COMPUTED_VALUE"""),"BCM")</f>
        <v>BCM</v>
      </c>
      <c r="T1440" s="3" t="str">
        <f>IFERROR(__xludf.DUMMYFUNCTION("""COMPUTED_VALUE"""),"#N/A")</f>
        <v>#N/A</v>
      </c>
      <c r="U1440" s="3" t="str">
        <f>IFERROR(__xludf.DUMMYFUNCTION("""COMPUTED_VALUE"""),"#N/A")</f>
        <v>#N/A</v>
      </c>
      <c r="V1440" s="3" t="str">
        <f>IFERROR(__xludf.DUMMYFUNCTION("""COMPUTED_VALUE"""),"N")</f>
        <v>N</v>
      </c>
      <c r="W1440" s="3">
        <f>IFERROR(__xludf.DUMMYFUNCTION("""COMPUTED_VALUE"""),210144.0)</f>
        <v>210144</v>
      </c>
      <c r="X1440" s="3" t="str">
        <f>IFERROR(__xludf.DUMMYFUNCTION("""COMPUTED_VALUE"""),"302/8 302/10 หมู่13 ตำบลเสม็ด อำเภอเมืองบุรีรัมย์ จังหวัดบุรีรัมย์ 31000")</f>
        <v>302/8 302/10 หมู่13 ตำบลเสม็ด อำเภอเมืองบุรีรัมย์ จังหวัดบุรีรัมย์ 31000</v>
      </c>
      <c r="Y1440" s="3"/>
      <c r="Z1440" s="3" t="str">
        <f>IFERROR(__xludf.DUMMYFUNCTION("""COMPUTED_VALUE"""),"หมู่13")</f>
        <v>หมู่13</v>
      </c>
      <c r="AA1440" s="3" t="str">
        <f>IFERROR(__xludf.DUMMYFUNCTION("""COMPUTED_VALUE"""),"เมือง")</f>
        <v>เมือง</v>
      </c>
      <c r="AB1440" s="3" t="str">
        <f>IFERROR(__xludf.DUMMYFUNCTION("""COMPUTED_VALUE"""),"บุรีรัมย์")</f>
        <v>บุรีรัมย์</v>
      </c>
      <c r="AC1440" s="3">
        <f>IFERROR(__xludf.DUMMYFUNCTION("""COMPUTED_VALUE"""),31000.0)</f>
        <v>31000</v>
      </c>
      <c r="AD1440" s="3">
        <f>IFERROR(__xludf.DUMMYFUNCTION("""COMPUTED_VALUE"""),14.932957)</f>
        <v>14.932957</v>
      </c>
      <c r="AE1440" s="3">
        <f>IFERROR(__xludf.DUMMYFUNCTION("""COMPUTED_VALUE"""),103.085993)</f>
        <v>103.085993</v>
      </c>
      <c r="AF1440" s="3" t="str">
        <f>IFERROR(__xludf.DUMMYFUNCTION("""COMPUTED_VALUE"""),"MBC เขากระโดง บุรีรัมย์-22124")</f>
        <v>MBC เขากระโดง บุรีรัมย์-22124</v>
      </c>
      <c r="AG1440" s="3" t="str">
        <f>IFERROR(__xludf.DUMMYFUNCTION("""COMPUTED_VALUE"""),"ตะวันออกเฉียงเหนือ")</f>
        <v>ตะวันออกเฉียงเหนือ</v>
      </c>
      <c r="AH1440" s="3" t="str">
        <f>IFERROR(__xludf.DUMMYFUNCTION("""COMPUTED_VALUE"""),"#N/A")</f>
        <v>#N/A</v>
      </c>
      <c r="AI1440" s="3" t="str">
        <f>IFERROR(__xludf.DUMMYFUNCTION("""COMPUTED_VALUE"""),"Out of warranty")</f>
        <v>Out of warranty</v>
      </c>
      <c r="AJ1440" s="3">
        <f>IFERROR(__xludf.DUMMYFUNCTION("""COMPUTED_VALUE"""),67.0)</f>
        <v>67</v>
      </c>
      <c r="AK1440" s="3" t="str">
        <f>IFERROR(__xludf.DUMMYFUNCTION("""COMPUTED_VALUE"""),"MMS11")</f>
        <v>MMS11</v>
      </c>
      <c r="AL1440" s="3"/>
    </row>
    <row r="1441" ht="15.75" customHeight="1">
      <c r="A1441" s="1" t="str">
        <f>IFERROR(__xludf.DUMMYFUNCTION("""COMPUTED_VALUE"""),"22125")</f>
        <v>22125</v>
      </c>
      <c r="B1441" s="2">
        <f>IFERROR(__xludf.DUMMYFUNCTION("""COMPUTED_VALUE"""),22125.0)</f>
        <v>22125</v>
      </c>
      <c r="C1441" s="3" t="str">
        <f>IFERROR(__xludf.DUMMYFUNCTION("""COMPUTED_VALUE"""),"MBC สะแกงามวิลล่า กรุงเทพมหานคร")</f>
        <v>MBC สะแกงามวิลล่า กรุงเทพมหานคร</v>
      </c>
      <c r="D1441" s="3" t="str">
        <f>IFERROR(__xludf.DUMMYFUNCTION("""COMPUTED_VALUE"""),"BCM SAKAE NGAM VILLA")</f>
        <v>BCM SAKAE NGAM VILLA</v>
      </c>
      <c r="E1441" s="1" t="str">
        <f>IFERROR(__xludf.DUMMYFUNCTION("""COMPUTED_VALUE"""),"บิ๊กซี MINI")</f>
        <v>บิ๊กซี MINI</v>
      </c>
      <c r="F1441" s="1" t="str">
        <f>IFERROR(__xludf.DUMMYFUNCTION("""COMPUTED_VALUE"""),"291008")</f>
        <v>291008</v>
      </c>
      <c r="G1441" s="1" t="str">
        <f>IFERROR(__xludf.DUMMYFUNCTION("""COMPUTED_VALUE"""),"น.ส.รัชดาพร อีศรัตน์")</f>
        <v>น.ส.รัชดาพร อีศรัตน์</v>
      </c>
      <c r="H1441" s="1" t="str">
        <f>IFERROR(__xludf.DUMMYFUNCTION("""COMPUTED_VALUE"""),"254800")</f>
        <v>254800</v>
      </c>
      <c r="I1441" s="1" t="str">
        <f>IFERROR(__xludf.DUMMYFUNCTION("""COMPUTED_VALUE"""),"น.ส.นัชมล กางกรณ์")</f>
        <v>น.ส.นัชมล กางกรณ์</v>
      </c>
      <c r="J1441" s="3">
        <f>IFERROR(__xludf.DUMMYFUNCTION("""COMPUTED_VALUE"""),296608.0)</f>
        <v>296608</v>
      </c>
      <c r="K1441" s="3" t="str">
        <f>IFERROR(__xludf.DUMMYFUNCTION("""COMPUTED_VALUE"""),"นายภาคภูมิ เพ็ชรนิล")</f>
        <v>นายภาคภูมิ เพ็ชรนิล</v>
      </c>
      <c r="L1441" s="1" t="str">
        <f>IFERROR(__xludf.DUMMYFUNCTION("""COMPUTED_VALUE"""),"10 K.Phakphoom P.")</f>
        <v>10 K.Phakphoom P.</v>
      </c>
      <c r="M1441" s="1" t="str">
        <f>IFERROR(__xludf.DUMMYFUNCTION("""COMPUTED_VALUE"""),"063-8955329")</f>
        <v>063-8955329</v>
      </c>
      <c r="N1441" s="3">
        <f>IFERROR(__xludf.DUMMYFUNCTION("""COMPUTED_VALUE"""),22584.0)</f>
        <v>22584</v>
      </c>
      <c r="O1441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441" s="4">
        <f>IFERROR(__xludf.DUMMYFUNCTION("""COMPUTED_VALUE"""),43951.0)</f>
        <v>43951</v>
      </c>
      <c r="Q1441" s="3" t="str">
        <f>IFERROR(__xludf.DUMMYFUNCTION("""COMPUTED_VALUE"""),"A")</f>
        <v>A</v>
      </c>
      <c r="R1441" s="3" t="str">
        <f>IFERROR(__xludf.DUMMYFUNCTION("""COMPUTED_VALUE"""),"Small Format")</f>
        <v>Small Format</v>
      </c>
      <c r="S1441" s="3" t="str">
        <f>IFERROR(__xludf.DUMMYFUNCTION("""COMPUTED_VALUE"""),"BCM")</f>
        <v>BCM</v>
      </c>
      <c r="T1441" s="3" t="str">
        <f>IFERROR(__xludf.DUMMYFUNCTION("""COMPUTED_VALUE"""),"#N/A")</f>
        <v>#N/A</v>
      </c>
      <c r="U1441" s="3" t="str">
        <f>IFERROR(__xludf.DUMMYFUNCTION("""COMPUTED_VALUE"""),"#N/A")</f>
        <v>#N/A</v>
      </c>
      <c r="V1441" s="3" t="str">
        <f>IFERROR(__xludf.DUMMYFUNCTION("""COMPUTED_VALUE"""),"N")</f>
        <v>N</v>
      </c>
      <c r="W1441" s="3">
        <f>IFERROR(__xludf.DUMMYFUNCTION("""COMPUTED_VALUE"""),210150.0)</f>
        <v>210150</v>
      </c>
      <c r="X1441" s="3" t="str">
        <f>IFERROR(__xludf.DUMMYFUNCTION("""COMPUTED_VALUE"""),"4/902-903 หมู่5 แขวงแสมดำ เขตบางขุนเทียน จังหวัดกรุงเทพมหานคร 10150")</f>
        <v>4/902-903 หมู่5 แขวงแสมดำ เขตบางขุนเทียน จังหวัดกรุงเทพมหานคร 10150</v>
      </c>
      <c r="Y1441" s="3"/>
      <c r="Z1441" s="3" t="str">
        <f>IFERROR(__xludf.DUMMYFUNCTION("""COMPUTED_VALUE"""),"แสมดำ")</f>
        <v>แสมดำ</v>
      </c>
      <c r="AA1441" s="3" t="str">
        <f>IFERROR(__xludf.DUMMYFUNCTION("""COMPUTED_VALUE"""),"บางขุนเทียน")</f>
        <v>บางขุนเทียน</v>
      </c>
      <c r="AB1441" s="3" t="str">
        <f>IFERROR(__xludf.DUMMYFUNCTION("""COMPUTED_VALUE"""),"กรุงเทพมหานคร")</f>
        <v>กรุงเทพมหานคร</v>
      </c>
      <c r="AC1441" s="3">
        <f>IFERROR(__xludf.DUMMYFUNCTION("""COMPUTED_VALUE"""),10150.0)</f>
        <v>10150</v>
      </c>
      <c r="AD1441" s="3">
        <f>IFERROR(__xludf.DUMMYFUNCTION("""COMPUTED_VALUE"""),13.643563)</f>
        <v>13.643563</v>
      </c>
      <c r="AE1441" s="3">
        <f>IFERROR(__xludf.DUMMYFUNCTION("""COMPUTED_VALUE"""),100.413795)</f>
        <v>100.413795</v>
      </c>
      <c r="AF1441" s="3" t="str">
        <f>IFERROR(__xludf.DUMMYFUNCTION("""COMPUTED_VALUE"""),"MBC สะแกงามวิลล่า กรุงเทพมหานคร-22125")</f>
        <v>MBC สะแกงามวิลล่า กรุงเทพมหานคร-22125</v>
      </c>
      <c r="AG1441" s="3" t="str">
        <f>IFERROR(__xludf.DUMMYFUNCTION("""COMPUTED_VALUE"""),"กลาง")</f>
        <v>กลาง</v>
      </c>
      <c r="AH1441" s="3" t="str">
        <f>IFERROR(__xludf.DUMMYFUNCTION("""COMPUTED_VALUE"""),"#N/A")</f>
        <v>#N/A</v>
      </c>
      <c r="AI1441" s="3" t="str">
        <f>IFERROR(__xludf.DUMMYFUNCTION("""COMPUTED_VALUE"""),"Out of warranty")</f>
        <v>Out of warranty</v>
      </c>
      <c r="AJ1441" s="3">
        <f>IFERROR(__xludf.DUMMYFUNCTION("""COMPUTED_VALUE"""),69.0)</f>
        <v>69</v>
      </c>
      <c r="AK1441" s="3" t="str">
        <f>IFERROR(__xludf.DUMMYFUNCTION("""COMPUTED_VALUE"""),"MMS02")</f>
        <v>MMS02</v>
      </c>
      <c r="AL1441" s="3"/>
    </row>
    <row r="1442" ht="15.75" customHeight="1">
      <c r="A1442" s="1" t="str">
        <f>IFERROR(__xludf.DUMMYFUNCTION("""COMPUTED_VALUE"""),"22126")</f>
        <v>22126</v>
      </c>
      <c r="B1442" s="2">
        <f>IFERROR(__xludf.DUMMYFUNCTION("""COMPUTED_VALUE"""),22126.0)</f>
        <v>22126</v>
      </c>
      <c r="C1442" s="3" t="str">
        <f>IFERROR(__xludf.DUMMYFUNCTION("""COMPUTED_VALUE"""),"MBC ศรีด่าน 22 สมุทรปราการ")</f>
        <v>MBC ศรีด่าน 22 สมุทรปราการ</v>
      </c>
      <c r="D1442" s="3" t="str">
        <f>IFERROR(__xludf.DUMMYFUNCTION("""COMPUTED_VALUE"""),"BCM SRIDAN 22 (OPT.2)")</f>
        <v>BCM SRIDAN 22 (OPT.2)</v>
      </c>
      <c r="E1442" s="1" t="str">
        <f>IFERROR(__xludf.DUMMYFUNCTION("""COMPUTED_VALUE"""),"บิ๊กซี MINI")</f>
        <v>บิ๊กซี MINI</v>
      </c>
      <c r="F1442" s="1" t="str">
        <f>IFERROR(__xludf.DUMMYFUNCTION("""COMPUTED_VALUE"""),"2083447")</f>
        <v>2083447</v>
      </c>
      <c r="G1442" s="1" t="str">
        <f>IFERROR(__xludf.DUMMYFUNCTION("""COMPUTED_VALUE"""),"นายอนุกูล ศรีลัดดา")</f>
        <v>นายอนุกูล ศรีลัดดา</v>
      </c>
      <c r="H1442" s="1" t="str">
        <f>IFERROR(__xludf.DUMMYFUNCTION("""COMPUTED_VALUE"""),"399107")</f>
        <v>399107</v>
      </c>
      <c r="I1442" s="1" t="str">
        <f>IFERROR(__xludf.DUMMYFUNCTION("""COMPUTED_VALUE"""),"นายรัชระวี กลมแป้น")</f>
        <v>นายรัชระวี กลมแป้น</v>
      </c>
      <c r="J1442" s="3">
        <f>IFERROR(__xludf.DUMMYFUNCTION("""COMPUTED_VALUE"""),2451655.0)</f>
        <v>2451655</v>
      </c>
      <c r="K1442" s="3" t="str">
        <f>IFERROR(__xludf.DUMMYFUNCTION("""COMPUTED_VALUE"""),"นายวิษณุพงษ์ ชินบุตร")</f>
        <v>นายวิษณุพงษ์ ชินบุตร</v>
      </c>
      <c r="L1442" s="1" t="str">
        <f>IFERROR(__xludf.DUMMYFUNCTION("""COMPUTED_VALUE"""),"13 K.Wisanupong Ch")</f>
        <v>13 K.Wisanupong Ch</v>
      </c>
      <c r="M1442" s="1" t="str">
        <f>IFERROR(__xludf.DUMMYFUNCTION("""COMPUTED_VALUE"""),"0843374693")</f>
        <v>0843374693</v>
      </c>
      <c r="N1442" s="3">
        <f>IFERROR(__xludf.DUMMYFUNCTION("""COMPUTED_VALUE"""),21494.0)</f>
        <v>21494</v>
      </c>
      <c r="O1442" s="3" t="str">
        <f>IFERROR(__xludf.DUMMYFUNCTION("""COMPUTED_VALUE"""),"MBC บ้านกรด")</f>
        <v>MBC บ้านกรด</v>
      </c>
      <c r="P1442" s="4">
        <f>IFERROR(__xludf.DUMMYFUNCTION("""COMPUTED_VALUE"""),43950.0)</f>
        <v>43950</v>
      </c>
      <c r="Q1442" s="3" t="str">
        <f>IFERROR(__xludf.DUMMYFUNCTION("""COMPUTED_VALUE"""),"I")</f>
        <v>I</v>
      </c>
      <c r="R1442" s="3" t="str">
        <f>IFERROR(__xludf.DUMMYFUNCTION("""COMPUTED_VALUE"""),"Small Format")</f>
        <v>Small Format</v>
      </c>
      <c r="S1442" s="3" t="str">
        <f>IFERROR(__xludf.DUMMYFUNCTION("""COMPUTED_VALUE"""),"BCM")</f>
        <v>BCM</v>
      </c>
      <c r="T1442" s="3" t="str">
        <f>IFERROR(__xludf.DUMMYFUNCTION("""COMPUTED_VALUE"""),"#N/A")</f>
        <v>#N/A</v>
      </c>
      <c r="U1442" s="3" t="str">
        <f>IFERROR(__xludf.DUMMYFUNCTION("""COMPUTED_VALUE"""),"#N/A")</f>
        <v>#N/A</v>
      </c>
      <c r="V1442" s="3" t="str">
        <f>IFERROR(__xludf.DUMMYFUNCTION("""COMPUTED_VALUE"""),"N")</f>
        <v>N</v>
      </c>
      <c r="W1442" s="3">
        <f>IFERROR(__xludf.DUMMYFUNCTION("""COMPUTED_VALUE"""),210151.0)</f>
        <v>210151</v>
      </c>
      <c r="X1442" s="3" t="str">
        <f>IFERROR(__xludf.DUMMYFUNCTION("""COMPUTED_VALUE"""),"19/30 หมู่16 ตำบลบางแก้ว อำเภอบางพลี จังหวัดสมุทรปราการ 10540")</f>
        <v>19/30 หมู่16 ตำบลบางแก้ว อำเภอบางพลี จังหวัดสมุทรปราการ 10540</v>
      </c>
      <c r="Y1442" s="3"/>
      <c r="Z1442" s="3" t="str">
        <f>IFERROR(__xludf.DUMMYFUNCTION("""COMPUTED_VALUE"""),"บางแก้ว")</f>
        <v>บางแก้ว</v>
      </c>
      <c r="AA1442" s="3" t="str">
        <f>IFERROR(__xludf.DUMMYFUNCTION("""COMPUTED_VALUE"""),"บางพลี")</f>
        <v>บางพลี</v>
      </c>
      <c r="AB1442" s="3" t="str">
        <f>IFERROR(__xludf.DUMMYFUNCTION("""COMPUTED_VALUE"""),"สมุทรปราการ")</f>
        <v>สมุทรปราการ</v>
      </c>
      <c r="AC1442" s="3">
        <f>IFERROR(__xludf.DUMMYFUNCTION("""COMPUTED_VALUE"""),10540.0)</f>
        <v>10540</v>
      </c>
      <c r="AD1442" s="3">
        <f>IFERROR(__xludf.DUMMYFUNCTION("""COMPUTED_VALUE"""),13.64361)</f>
        <v>13.64361</v>
      </c>
      <c r="AE1442" s="3">
        <f>IFERROR(__xludf.DUMMYFUNCTION("""COMPUTED_VALUE"""),100.649347)</f>
        <v>100.649347</v>
      </c>
      <c r="AF1442" s="3" t="str">
        <f>IFERROR(__xludf.DUMMYFUNCTION("""COMPUTED_VALUE"""),"MBC ศรีด่าน 22 สมุทรปราการ-22126")</f>
        <v>MBC ศรีด่าน 22 สมุทรปราการ-22126</v>
      </c>
      <c r="AG1442" s="3" t="str">
        <f>IFERROR(__xludf.DUMMYFUNCTION("""COMPUTED_VALUE"""),"กลาง")</f>
        <v>กลาง</v>
      </c>
      <c r="AH1442" s="3" t="str">
        <f>IFERROR(__xludf.DUMMYFUNCTION("""COMPUTED_VALUE"""),"#N/A")</f>
        <v>#N/A</v>
      </c>
      <c r="AI1442" s="3" t="str">
        <f>IFERROR(__xludf.DUMMYFUNCTION("""COMPUTED_VALUE"""),"Out of warranty")</f>
        <v>Out of warranty</v>
      </c>
      <c r="AJ1442" s="3">
        <f>IFERROR(__xludf.DUMMYFUNCTION("""COMPUTED_VALUE"""),69.0)</f>
        <v>69</v>
      </c>
      <c r="AK1442" s="3" t="str">
        <f>IFERROR(__xludf.DUMMYFUNCTION("""COMPUTED_VALUE"""),"MMS03")</f>
        <v>MMS03</v>
      </c>
      <c r="AL1442" s="3"/>
    </row>
    <row r="1443" ht="15.75" customHeight="1">
      <c r="A1443" s="1" t="str">
        <f>IFERROR(__xludf.DUMMYFUNCTION("""COMPUTED_VALUE"""),"22127")</f>
        <v>22127</v>
      </c>
      <c r="B1443" s="2">
        <f>IFERROR(__xludf.DUMMYFUNCTION("""COMPUTED_VALUE"""),22127.0)</f>
        <v>22127</v>
      </c>
      <c r="C1443" s="3" t="str">
        <f>IFERROR(__xludf.DUMMYFUNCTION("""COMPUTED_VALUE"""),"MBC ซอยธนสิทธิ์ สมุทรปราการ")</f>
        <v>MBC ซอยธนสิทธิ์ สมุทรปราการ</v>
      </c>
      <c r="D1443" s="3" t="str">
        <f>IFERROR(__xludf.DUMMYFUNCTION("""COMPUTED_VALUE"""),"BCM SOI THANASIT")</f>
        <v>BCM SOI THANASIT</v>
      </c>
      <c r="E1443" s="1" t="str">
        <f>IFERROR(__xludf.DUMMYFUNCTION("""COMPUTED_VALUE"""),"บิ๊กซี MINI")</f>
        <v>บิ๊กซี MINI</v>
      </c>
      <c r="F1443" s="1" t="str">
        <f>IFERROR(__xludf.DUMMYFUNCTION("""COMPUTED_VALUE"""),"2083447")</f>
        <v>2083447</v>
      </c>
      <c r="G1443" s="1" t="str">
        <f>IFERROR(__xludf.DUMMYFUNCTION("""COMPUTED_VALUE"""),"นายอนุกูล ศรีลัดดา")</f>
        <v>นายอนุกูล ศรีลัดดา</v>
      </c>
      <c r="H1443" s="1" t="str">
        <f>IFERROR(__xludf.DUMMYFUNCTION("""COMPUTED_VALUE"""),"284752")</f>
        <v>284752</v>
      </c>
      <c r="I1443" s="1" t="str">
        <f>IFERROR(__xludf.DUMMYFUNCTION("""COMPUTED_VALUE"""),"น.ส.วีรนันท์ แสงใส")</f>
        <v>น.ส.วีรนันท์ แสงใส</v>
      </c>
      <c r="J1443" s="3">
        <f>IFERROR(__xludf.DUMMYFUNCTION("""COMPUTED_VALUE"""),2451655.0)</f>
        <v>2451655</v>
      </c>
      <c r="K1443" s="3" t="str">
        <f>IFERROR(__xludf.DUMMYFUNCTION("""COMPUTED_VALUE"""),"นายวิษณุพงษ์ ชินบุตร")</f>
        <v>นายวิษณุพงษ์ ชินบุตร</v>
      </c>
      <c r="L1443" s="1" t="str">
        <f>IFERROR(__xludf.DUMMYFUNCTION("""COMPUTED_VALUE"""),"13 K.Wisanupong Ch")</f>
        <v>13 K.Wisanupong Ch</v>
      </c>
      <c r="M1443" s="1" t="str">
        <f>IFERROR(__xludf.DUMMYFUNCTION("""COMPUTED_VALUE"""),"0843374693")</f>
        <v>0843374693</v>
      </c>
      <c r="N1443" s="3">
        <f>IFERROR(__xludf.DUMMYFUNCTION("""COMPUTED_VALUE"""),22729.0)</f>
        <v>22729</v>
      </c>
      <c r="O1443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443" s="4">
        <f>IFERROR(__xludf.DUMMYFUNCTION("""COMPUTED_VALUE"""),43980.0)</f>
        <v>43980</v>
      </c>
      <c r="Q1443" s="3" t="str">
        <f>IFERROR(__xludf.DUMMYFUNCTION("""COMPUTED_VALUE"""),"A")</f>
        <v>A</v>
      </c>
      <c r="R1443" s="3" t="str">
        <f>IFERROR(__xludf.DUMMYFUNCTION("""COMPUTED_VALUE"""),"Small Format")</f>
        <v>Small Format</v>
      </c>
      <c r="S1443" s="3" t="str">
        <f>IFERROR(__xludf.DUMMYFUNCTION("""COMPUTED_VALUE"""),"BCM")</f>
        <v>BCM</v>
      </c>
      <c r="T1443" s="3" t="str">
        <f>IFERROR(__xludf.DUMMYFUNCTION("""COMPUTED_VALUE"""),"#N/A")</f>
        <v>#N/A</v>
      </c>
      <c r="U1443" s="3" t="str">
        <f>IFERROR(__xludf.DUMMYFUNCTION("""COMPUTED_VALUE"""),"#N/A")</f>
        <v>#N/A</v>
      </c>
      <c r="V1443" s="3" t="str">
        <f>IFERROR(__xludf.DUMMYFUNCTION("""COMPUTED_VALUE"""),"N")</f>
        <v>N</v>
      </c>
      <c r="W1443" s="3">
        <f>IFERROR(__xludf.DUMMYFUNCTION("""COMPUTED_VALUE"""),210154.0)</f>
        <v>210154</v>
      </c>
      <c r="X1443" s="3" t="str">
        <f>IFERROR(__xludf.DUMMYFUNCTION("""COMPUTED_VALUE"""),"37/1 หมู่11 ตำบลบางปลา อำเภอบางพลี จังหวัดสมุทรปราการ 10540")</f>
        <v>37/1 หมู่11 ตำบลบางปลา อำเภอบางพลี จังหวัดสมุทรปราการ 10540</v>
      </c>
      <c r="Y1443" s="3"/>
      <c r="Z1443" s="3" t="str">
        <f>IFERROR(__xludf.DUMMYFUNCTION("""COMPUTED_VALUE"""),"บางปลา")</f>
        <v>บางปลา</v>
      </c>
      <c r="AA1443" s="3" t="str">
        <f>IFERROR(__xludf.DUMMYFUNCTION("""COMPUTED_VALUE"""),"บางพลี")</f>
        <v>บางพลี</v>
      </c>
      <c r="AB1443" s="3" t="str">
        <f>IFERROR(__xludf.DUMMYFUNCTION("""COMPUTED_VALUE"""),"สมุทรปราการ")</f>
        <v>สมุทรปราการ</v>
      </c>
      <c r="AC1443" s="3">
        <f>IFERROR(__xludf.DUMMYFUNCTION("""COMPUTED_VALUE"""),10540.0)</f>
        <v>10540</v>
      </c>
      <c r="AD1443" s="3">
        <f>IFERROR(__xludf.DUMMYFUNCTION("""COMPUTED_VALUE"""),13.594565)</f>
        <v>13.594565</v>
      </c>
      <c r="AE1443" s="3">
        <f>IFERROR(__xludf.DUMMYFUNCTION("""COMPUTED_VALUE"""),100.722546)</f>
        <v>100.722546</v>
      </c>
      <c r="AF1443" s="3" t="str">
        <f>IFERROR(__xludf.DUMMYFUNCTION("""COMPUTED_VALUE"""),"MBC ซอยธนสิทธิ์ สมุทรปราการ-22127")</f>
        <v>MBC ซอยธนสิทธิ์ สมุทรปราการ-22127</v>
      </c>
      <c r="AG1443" s="3" t="str">
        <f>IFERROR(__xludf.DUMMYFUNCTION("""COMPUTED_VALUE"""),"กลาง")</f>
        <v>กลาง</v>
      </c>
      <c r="AH1443" s="3" t="str">
        <f>IFERROR(__xludf.DUMMYFUNCTION("""COMPUTED_VALUE"""),"#N/A")</f>
        <v>#N/A</v>
      </c>
      <c r="AI1443" s="3" t="str">
        <f>IFERROR(__xludf.DUMMYFUNCTION("""COMPUTED_VALUE"""),"Out of warranty")</f>
        <v>Out of warranty</v>
      </c>
      <c r="AJ1443" s="3">
        <f>IFERROR(__xludf.DUMMYFUNCTION("""COMPUTED_VALUE"""),68.0)</f>
        <v>68</v>
      </c>
      <c r="AK1443" s="3" t="str">
        <f>IFERROR(__xludf.DUMMYFUNCTION("""COMPUTED_VALUE"""),"MMS03")</f>
        <v>MMS03</v>
      </c>
      <c r="AL1443" s="3"/>
    </row>
    <row r="1444" ht="15.75" customHeight="1">
      <c r="A1444" s="1" t="str">
        <f>IFERROR(__xludf.DUMMYFUNCTION("""COMPUTED_VALUE"""),"22128")</f>
        <v>22128</v>
      </c>
      <c r="B1444" s="2">
        <f>IFERROR(__xludf.DUMMYFUNCTION("""COMPUTED_VALUE"""),22128.0)</f>
        <v>22128</v>
      </c>
      <c r="C1444" s="3" t="str">
        <f>IFERROR(__xludf.DUMMYFUNCTION("""COMPUTED_VALUE"""),"MBC ทองผาภูมิ กาญจนบุรี")</f>
        <v>MBC ทองผาภูมิ กาญจนบุรี</v>
      </c>
      <c r="D1444" s="3" t="str">
        <f>IFERROR(__xludf.DUMMYFUNCTION("""COMPUTED_VALUE"""),"BCM THONG PHA PHUM")</f>
        <v>BCM THONG PHA PHUM</v>
      </c>
      <c r="E1444" s="1" t="str">
        <f>IFERROR(__xludf.DUMMYFUNCTION("""COMPUTED_VALUE"""),"บิ๊กซี MINI")</f>
        <v>บิ๊กซี MINI</v>
      </c>
      <c r="F1444" s="1" t="str">
        <f>IFERROR(__xludf.DUMMYFUNCTION("""COMPUTED_VALUE"""),"2083447")</f>
        <v>2083447</v>
      </c>
      <c r="G1444" s="1" t="str">
        <f>IFERROR(__xludf.DUMMYFUNCTION("""COMPUTED_VALUE"""),"นายอนุกูล ศรีลัดดา")</f>
        <v>นายอนุกูล ศรีลัดดา</v>
      </c>
      <c r="H1444" s="1" t="str">
        <f>IFERROR(__xludf.DUMMYFUNCTION("""COMPUTED_VALUE"""),"391191")</f>
        <v>391191</v>
      </c>
      <c r="I1444" s="1" t="str">
        <f>IFERROR(__xludf.DUMMYFUNCTION("""COMPUTED_VALUE"""),"นายวสันต์ สรงพรมทิพย์")</f>
        <v>นายวสันต์ สรงพรมทิพย์</v>
      </c>
      <c r="J1444" s="3">
        <f>IFERROR(__xludf.DUMMYFUNCTION("""COMPUTED_VALUE"""),2451655.0)</f>
        <v>2451655</v>
      </c>
      <c r="K1444" s="3" t="str">
        <f>IFERROR(__xludf.DUMMYFUNCTION("""COMPUTED_VALUE"""),"นายวิษณุพงษ์ ชินบุตร")</f>
        <v>นายวิษณุพงษ์ ชินบุตร</v>
      </c>
      <c r="L1444" s="1" t="str">
        <f>IFERROR(__xludf.DUMMYFUNCTION("""COMPUTED_VALUE"""),"13 K.Wisanupong Ch")</f>
        <v>13 K.Wisanupong Ch</v>
      </c>
      <c r="M1444" s="1" t="str">
        <f>IFERROR(__xludf.DUMMYFUNCTION("""COMPUTED_VALUE"""),"0843374693")</f>
        <v>0843374693</v>
      </c>
      <c r="N1444" s="3">
        <f>IFERROR(__xludf.DUMMYFUNCTION("""COMPUTED_VALUE"""),21494.0)</f>
        <v>21494</v>
      </c>
      <c r="O1444" s="3" t="str">
        <f>IFERROR(__xludf.DUMMYFUNCTION("""COMPUTED_VALUE"""),"MBC บ้านกรด")</f>
        <v>MBC บ้านกรด</v>
      </c>
      <c r="P1444" s="4">
        <f>IFERROR(__xludf.DUMMYFUNCTION("""COMPUTED_VALUE"""),43971.0)</f>
        <v>43971</v>
      </c>
      <c r="Q1444" s="3" t="str">
        <f>IFERROR(__xludf.DUMMYFUNCTION("""COMPUTED_VALUE"""),"I")</f>
        <v>I</v>
      </c>
      <c r="R1444" s="3" t="str">
        <f>IFERROR(__xludf.DUMMYFUNCTION("""COMPUTED_VALUE"""),"Small Format")</f>
        <v>Small Format</v>
      </c>
      <c r="S1444" s="3" t="str">
        <f>IFERROR(__xludf.DUMMYFUNCTION("""COMPUTED_VALUE"""),"BCM")</f>
        <v>BCM</v>
      </c>
      <c r="T1444" s="3" t="str">
        <f>IFERROR(__xludf.DUMMYFUNCTION("""COMPUTED_VALUE"""),"#N/A")</f>
        <v>#N/A</v>
      </c>
      <c r="U1444" s="3" t="str">
        <f>IFERROR(__xludf.DUMMYFUNCTION("""COMPUTED_VALUE"""),"#N/A")</f>
        <v>#N/A</v>
      </c>
      <c r="V1444" s="3" t="str">
        <f>IFERROR(__xludf.DUMMYFUNCTION("""COMPUTED_VALUE"""),"N")</f>
        <v>N</v>
      </c>
      <c r="W1444" s="3">
        <f>IFERROR(__xludf.DUMMYFUNCTION("""COMPUTED_VALUE"""),211904.0)</f>
        <v>211904</v>
      </c>
      <c r="X1444" s="3" t="str">
        <f>IFERROR(__xludf.DUMMYFUNCTION("""COMPUTED_VALUE"""),"203/107 หมู่1 ตำบลท่าขนุน อำเภอทองผาภูมิ จังหวัดกาญจนบุรี 71180")</f>
        <v>203/107 หมู่1 ตำบลท่าขนุน อำเภอทองผาภูมิ จังหวัดกาญจนบุรี 71180</v>
      </c>
      <c r="Y1444" s="3"/>
      <c r="Z1444" s="3" t="str">
        <f>IFERROR(__xludf.DUMMYFUNCTION("""COMPUTED_VALUE"""),"ท่าขนุน")</f>
        <v>ท่าขนุน</v>
      </c>
      <c r="AA1444" s="3" t="str">
        <f>IFERROR(__xludf.DUMMYFUNCTION("""COMPUTED_VALUE"""),"ทองผาภูมิ")</f>
        <v>ทองผาภูมิ</v>
      </c>
      <c r="AB1444" s="3" t="str">
        <f>IFERROR(__xludf.DUMMYFUNCTION("""COMPUTED_VALUE"""),"กาญจนบุรี")</f>
        <v>กาญจนบุรี</v>
      </c>
      <c r="AC1444" s="3">
        <f>IFERROR(__xludf.DUMMYFUNCTION("""COMPUTED_VALUE"""),71180.0)</f>
        <v>71180</v>
      </c>
      <c r="AD1444" s="3">
        <f>IFERROR(__xludf.DUMMYFUNCTION("""COMPUTED_VALUE"""),14.739209)</f>
        <v>14.739209</v>
      </c>
      <c r="AE1444" s="3">
        <f>IFERROR(__xludf.DUMMYFUNCTION("""COMPUTED_VALUE"""),98.632356)</f>
        <v>98.632356</v>
      </c>
      <c r="AF1444" s="3" t="str">
        <f>IFERROR(__xludf.DUMMYFUNCTION("""COMPUTED_VALUE"""),"MBC ทองผาภูมิ กาญจนบุรี-22128")</f>
        <v>MBC ทองผาภูมิ กาญจนบุรี-22128</v>
      </c>
      <c r="AG1444" s="3" t="str">
        <f>IFERROR(__xludf.DUMMYFUNCTION("""COMPUTED_VALUE"""),"ตะวันตก")</f>
        <v>ตะวันตก</v>
      </c>
      <c r="AH1444" s="3" t="str">
        <f>IFERROR(__xludf.DUMMYFUNCTION("""COMPUTED_VALUE"""),"#N/A")</f>
        <v>#N/A</v>
      </c>
      <c r="AI1444" s="3" t="str">
        <f>IFERROR(__xludf.DUMMYFUNCTION("""COMPUTED_VALUE"""),"Out of warranty")</f>
        <v>Out of warranty</v>
      </c>
      <c r="AJ1444" s="3">
        <f>IFERROR(__xludf.DUMMYFUNCTION("""COMPUTED_VALUE"""),69.0)</f>
        <v>69</v>
      </c>
      <c r="AK1444" s="3" t="str">
        <f>IFERROR(__xludf.DUMMYFUNCTION("""COMPUTED_VALUE"""),"MMS05")</f>
        <v>MMS05</v>
      </c>
      <c r="AL1444" s="3"/>
    </row>
    <row r="1445" ht="15.75" customHeight="1">
      <c r="A1445" s="1" t="str">
        <f>IFERROR(__xludf.DUMMYFUNCTION("""COMPUTED_VALUE"""),"22129")</f>
        <v>22129</v>
      </c>
      <c r="B1445" s="2">
        <f>IFERROR(__xludf.DUMMYFUNCTION("""COMPUTED_VALUE"""),22129.0)</f>
        <v>22129</v>
      </c>
      <c r="C1445" s="3" t="str">
        <f>IFERROR(__xludf.DUMMYFUNCTION("""COMPUTED_VALUE"""),"MBC ถนนกรมหลวงชุมพร ชุมพร")</f>
        <v>MBC ถนนกรมหลวงชุมพร ชุมพร</v>
      </c>
      <c r="D1445" s="3" t="str">
        <f>IFERROR(__xludf.DUMMYFUNCTION("""COMPUTED_VALUE"""),"BCM THANON KROM LUANG")</f>
        <v>BCM THANON KROM LUANG</v>
      </c>
      <c r="E1445" s="1" t="str">
        <f>IFERROR(__xludf.DUMMYFUNCTION("""COMPUTED_VALUE"""),"บิ๊กซี MINI")</f>
        <v>บิ๊กซี MINI</v>
      </c>
      <c r="F1445" s="1" t="str">
        <f>IFERROR(__xludf.DUMMYFUNCTION("""COMPUTED_VALUE"""),"250760")</f>
        <v>250760</v>
      </c>
      <c r="G1445" s="1" t="str">
        <f>IFERROR(__xludf.DUMMYFUNCTION("""COMPUTED_VALUE"""),"นายประทวน สาราบรรณ์")</f>
        <v>นายประทวน สาราบรรณ์</v>
      </c>
      <c r="H1445" s="1" t="str">
        <f>IFERROR(__xludf.DUMMYFUNCTION("""COMPUTED_VALUE"""),"311437")</f>
        <v>311437</v>
      </c>
      <c r="I1445" s="1" t="str">
        <f>IFERROR(__xludf.DUMMYFUNCTION("""COMPUTED_VALUE"""),"นายฉัตรทพร รักวิเชียร")</f>
        <v>นายฉัตรทพร รักวิเชียร</v>
      </c>
      <c r="J1445" s="3">
        <f>IFERROR(__xludf.DUMMYFUNCTION("""COMPUTED_VALUE"""),25324.0)</f>
        <v>25324</v>
      </c>
      <c r="K1445" s="3" t="str">
        <f>IFERROR(__xludf.DUMMYFUNCTION("""COMPUTED_VALUE"""),"นายวิเชฎฐ์ ติรัตนะประคม")</f>
        <v>นายวิเชฎฐ์ ติรัตนะประคม</v>
      </c>
      <c r="L1445" s="1" t="str">
        <f>IFERROR(__xludf.DUMMYFUNCTION("""COMPUTED_VALUE"""),"14 K.Wichet T.")</f>
        <v>14 K.Wichet T.</v>
      </c>
      <c r="M1445" s="1" t="str">
        <f>IFERROR(__xludf.DUMMYFUNCTION("""COMPUTED_VALUE"""),"061-417-6569 / 086-445-5636")</f>
        <v>061-417-6569 / 086-445-5636</v>
      </c>
      <c r="N1445" s="3">
        <f>IFERROR(__xludf.DUMMYFUNCTION("""COMPUTED_VALUE"""),22658.0)</f>
        <v>22658</v>
      </c>
      <c r="O1445" s="3" t="str">
        <f>IFERROR(__xludf.DUMMYFUNCTION("""COMPUTED_VALUE"""),"BCM ถ.วิรัชหงษ์หยก ภูเก็ต")</f>
        <v>BCM ถ.วิรัชหงษ์หยก ภูเก็ต</v>
      </c>
      <c r="P1445" s="4">
        <f>IFERROR(__xludf.DUMMYFUNCTION("""COMPUTED_VALUE"""),43951.0)</f>
        <v>43951</v>
      </c>
      <c r="Q1445" s="3" t="str">
        <f>IFERROR(__xludf.DUMMYFUNCTION("""COMPUTED_VALUE"""),"A")</f>
        <v>A</v>
      </c>
      <c r="R1445" s="3" t="str">
        <f>IFERROR(__xludf.DUMMYFUNCTION("""COMPUTED_VALUE"""),"Small Format")</f>
        <v>Small Format</v>
      </c>
      <c r="S1445" s="3" t="str">
        <f>IFERROR(__xludf.DUMMYFUNCTION("""COMPUTED_VALUE"""),"BCM")</f>
        <v>BCM</v>
      </c>
      <c r="T1445" s="3" t="str">
        <f>IFERROR(__xludf.DUMMYFUNCTION("""COMPUTED_VALUE"""),"#N/A")</f>
        <v>#N/A</v>
      </c>
      <c r="U1445" s="3" t="str">
        <f>IFERROR(__xludf.DUMMYFUNCTION("""COMPUTED_VALUE"""),"#N/A")</f>
        <v>#N/A</v>
      </c>
      <c r="V1445" s="3" t="str">
        <f>IFERROR(__xludf.DUMMYFUNCTION("""COMPUTED_VALUE"""),"N")</f>
        <v>N</v>
      </c>
      <c r="W1445" s="3">
        <f>IFERROR(__xludf.DUMMYFUNCTION("""COMPUTED_VALUE"""),211892.0)</f>
        <v>211892</v>
      </c>
      <c r="X1445" s="3" t="str">
        <f>IFERROR(__xludf.DUMMYFUNCTION("""COMPUTED_VALUE"""),"63/1 ถนนกรมหลวงชุมพร ตำบลท่าตะเภา อำเภอเมืองชุมพร จังหวัดชุมพร 86000")</f>
        <v>63/1 ถนนกรมหลวงชุมพร ตำบลท่าตะเภา อำเภอเมืองชุมพร จังหวัดชุมพร 86000</v>
      </c>
      <c r="Y1445" s="3" t="str">
        <f>IFERROR(__xludf.DUMMYFUNCTION("""COMPUTED_VALUE"""),"ถนนกรมหลวงชุมพร")</f>
        <v>ถนนกรมหลวงชุมพร</v>
      </c>
      <c r="Z1445" s="3" t="str">
        <f>IFERROR(__xludf.DUMMYFUNCTION("""COMPUTED_VALUE"""),"ท่าตะเภา")</f>
        <v>ท่าตะเภา</v>
      </c>
      <c r="AA1445" s="3" t="str">
        <f>IFERROR(__xludf.DUMMYFUNCTION("""COMPUTED_VALUE"""),"เมือง")</f>
        <v>เมือง</v>
      </c>
      <c r="AB1445" s="3" t="str">
        <f>IFERROR(__xludf.DUMMYFUNCTION("""COMPUTED_VALUE"""),"ชุมพร")</f>
        <v>ชุมพร</v>
      </c>
      <c r="AC1445" s="3">
        <f>IFERROR(__xludf.DUMMYFUNCTION("""COMPUTED_VALUE"""),86000.0)</f>
        <v>86000</v>
      </c>
      <c r="AD1445" s="3">
        <f>IFERROR(__xludf.DUMMYFUNCTION("""COMPUTED_VALUE"""),10.500744)</f>
        <v>10.500744</v>
      </c>
      <c r="AE1445" s="3">
        <f>IFERROR(__xludf.DUMMYFUNCTION("""COMPUTED_VALUE"""),99.181642)</f>
        <v>99.181642</v>
      </c>
      <c r="AF1445" s="3" t="str">
        <f>IFERROR(__xludf.DUMMYFUNCTION("""COMPUTED_VALUE"""),"MBC ถนนกรมหลวงชุมพร ชุมพร-22129")</f>
        <v>MBC ถนนกรมหลวงชุมพร ชุมพร-22129</v>
      </c>
      <c r="AG1445" s="3" t="str">
        <f>IFERROR(__xludf.DUMMYFUNCTION("""COMPUTED_VALUE"""),"ใต้")</f>
        <v>ใต้</v>
      </c>
      <c r="AH1445" s="3" t="str">
        <f>IFERROR(__xludf.DUMMYFUNCTION("""COMPUTED_VALUE"""),"#N/A")</f>
        <v>#N/A</v>
      </c>
      <c r="AI1445" s="3" t="str">
        <f>IFERROR(__xludf.DUMMYFUNCTION("""COMPUTED_VALUE"""),"Out of warranty")</f>
        <v>Out of warranty</v>
      </c>
      <c r="AJ1445" s="3">
        <f>IFERROR(__xludf.DUMMYFUNCTION("""COMPUTED_VALUE"""),69.0)</f>
        <v>69</v>
      </c>
      <c r="AK1445" s="3" t="str">
        <f>IFERROR(__xludf.DUMMYFUNCTION("""COMPUTED_VALUE"""),"MMS14")</f>
        <v>MMS14</v>
      </c>
      <c r="AL1445" s="3"/>
    </row>
    <row r="1446" ht="15.75" customHeight="1">
      <c r="A1446" s="1" t="str">
        <f>IFERROR(__xludf.DUMMYFUNCTION("""COMPUTED_VALUE"""),"22130")</f>
        <v>22130</v>
      </c>
      <c r="B1446" s="2">
        <f>IFERROR(__xludf.DUMMYFUNCTION("""COMPUTED_VALUE"""),22130.0)</f>
        <v>22130</v>
      </c>
      <c r="C1446" s="3" t="str">
        <f>IFERROR(__xludf.DUMMYFUNCTION("""COMPUTED_VALUE"""),"MBC ตลาดครอบครัว หทัยราษฎร์ กรุงเทพมหานคร")</f>
        <v>MBC ตลาดครอบครัว หทัยราษฎร์ กรุงเทพมหานคร</v>
      </c>
      <c r="D1446" s="3" t="str">
        <f>IFERROR(__xludf.DUMMYFUNCTION("""COMPUTED_VALUE"""),"BCM TALAD KROBKRUA HATHAIRAT")</f>
        <v>BCM TALAD KROBKRUA HATHAIRAT</v>
      </c>
      <c r="E1446" s="1" t="str">
        <f>IFERROR(__xludf.DUMMYFUNCTION("""COMPUTED_VALUE"""),"บิ๊กซี MINI")</f>
        <v>บิ๊กซี MINI</v>
      </c>
      <c r="F1446" s="1" t="str">
        <f>IFERROR(__xludf.DUMMYFUNCTION("""COMPUTED_VALUE"""),"291008")</f>
        <v>291008</v>
      </c>
      <c r="G1446" s="1" t="str">
        <f>IFERROR(__xludf.DUMMYFUNCTION("""COMPUTED_VALUE"""),"น.ส.รัชดาพร อีศรัตน์")</f>
        <v>น.ส.รัชดาพร อีศรัตน์</v>
      </c>
      <c r="H1446" s="1" t="str">
        <f>IFERROR(__xludf.DUMMYFUNCTION("""COMPUTED_VALUE"""),"288639")</f>
        <v>288639</v>
      </c>
      <c r="I1446" s="1" t="str">
        <f>IFERROR(__xludf.DUMMYFUNCTION("""COMPUTED_VALUE"""),"น.ส.สมหญิง สีชมภู")</f>
        <v>น.ส.สมหญิง สีชมภู</v>
      </c>
      <c r="J1446" s="3">
        <f>IFERROR(__xludf.DUMMYFUNCTION("""COMPUTED_VALUE"""),296728.0)</f>
        <v>296728</v>
      </c>
      <c r="K1446" s="3" t="str">
        <f>IFERROR(__xludf.DUMMYFUNCTION("""COMPUTED_VALUE"""),"นายธิติ บัวทองรังสิมา")</f>
        <v>นายธิติ บัวทองรังสิมา</v>
      </c>
      <c r="L1446" s="1" t="str">
        <f>IFERROR(__xludf.DUMMYFUNCTION("""COMPUTED_VALUE"""),"นายธิติ บัวทองรังสิมา")</f>
        <v>นายธิติ บัวทองรังสิมา</v>
      </c>
      <c r="M1446" s="1" t="str">
        <f>IFERROR(__xludf.DUMMYFUNCTION("""COMPUTED_VALUE"""),"0920849994")</f>
        <v>0920849994</v>
      </c>
      <c r="N1446" s="3">
        <f>IFERROR(__xludf.DUMMYFUNCTION("""COMPUTED_VALUE"""),21012.0)</f>
        <v>21012</v>
      </c>
      <c r="O1446" s="3" t="str">
        <f>IFERROR(__xludf.DUMMYFUNCTION("""COMPUTED_VALUE"""),"MBC ท่าอิฐ")</f>
        <v>MBC ท่าอิฐ</v>
      </c>
      <c r="P1446" s="4">
        <f>IFERROR(__xludf.DUMMYFUNCTION("""COMPUTED_VALUE"""),43982.0)</f>
        <v>43982</v>
      </c>
      <c r="Q1446" s="3" t="str">
        <f>IFERROR(__xludf.DUMMYFUNCTION("""COMPUTED_VALUE"""),"I")</f>
        <v>I</v>
      </c>
      <c r="R1446" s="3" t="str">
        <f>IFERROR(__xludf.DUMMYFUNCTION("""COMPUTED_VALUE"""),"Small Format")</f>
        <v>Small Format</v>
      </c>
      <c r="S1446" s="3" t="str">
        <f>IFERROR(__xludf.DUMMYFUNCTION("""COMPUTED_VALUE"""),"BCM")</f>
        <v>BCM</v>
      </c>
      <c r="T1446" s="3" t="str">
        <f>IFERROR(__xludf.DUMMYFUNCTION("""COMPUTED_VALUE"""),"#N/A")</f>
        <v>#N/A</v>
      </c>
      <c r="U1446" s="3" t="str">
        <f>IFERROR(__xludf.DUMMYFUNCTION("""COMPUTED_VALUE"""),"#N/A")</f>
        <v>#N/A</v>
      </c>
      <c r="V1446" s="3" t="str">
        <f>IFERROR(__xludf.DUMMYFUNCTION("""COMPUTED_VALUE"""),"N")</f>
        <v>N</v>
      </c>
      <c r="W1446" s="3">
        <f>IFERROR(__xludf.DUMMYFUNCTION("""COMPUTED_VALUE"""),210149.0)</f>
        <v>210149</v>
      </c>
      <c r="X1446" s="3" t="str">
        <f>IFERROR(__xludf.DUMMYFUNCTION("""COMPUTED_VALUE"""),"388/108 ถนนหทัยราษฎร์ แขวงสามวาตะวันตก เขตคลองสามวา จังหวัดกรุงเทพมหานคร 10510")</f>
        <v>388/108 ถนนหทัยราษฎร์ แขวงสามวาตะวันตก เขตคลองสามวา จังหวัดกรุงเทพมหานคร 10510</v>
      </c>
      <c r="Y1446" s="3" t="str">
        <f>IFERROR(__xludf.DUMMYFUNCTION("""COMPUTED_VALUE"""),"ถนนหทัยราษฎร์")</f>
        <v>ถนนหทัยราษฎร์</v>
      </c>
      <c r="Z1446" s="3" t="str">
        <f>IFERROR(__xludf.DUMMYFUNCTION("""COMPUTED_VALUE"""),"สามวาตะวันตก")</f>
        <v>สามวาตะวันตก</v>
      </c>
      <c r="AA1446" s="3" t="str">
        <f>IFERROR(__xludf.DUMMYFUNCTION("""COMPUTED_VALUE"""),"คลองสามวา")</f>
        <v>คลองสามวา</v>
      </c>
      <c r="AB1446" s="3" t="str">
        <f>IFERROR(__xludf.DUMMYFUNCTION("""COMPUTED_VALUE"""),"กรุงเทพมหานคร")</f>
        <v>กรุงเทพมหานคร</v>
      </c>
      <c r="AC1446" s="3">
        <f>IFERROR(__xludf.DUMMYFUNCTION("""COMPUTED_VALUE"""),10510.0)</f>
        <v>10510</v>
      </c>
      <c r="AD1446" s="3">
        <f>IFERROR(__xludf.DUMMYFUNCTION("""COMPUTED_VALUE"""),13.892347)</f>
        <v>13.892347</v>
      </c>
      <c r="AE1446" s="3">
        <f>IFERROR(__xludf.DUMMYFUNCTION("""COMPUTED_VALUE"""),100.722385)</f>
        <v>100.722385</v>
      </c>
      <c r="AF1446" s="3" t="str">
        <f>IFERROR(__xludf.DUMMYFUNCTION("""COMPUTED_VALUE"""),"MBC ตลาดครอบครัว หทัยราษฎร์ กรุงเทพมหานคร-22130")</f>
        <v>MBC ตลาดครอบครัว หทัยราษฎร์ กรุงเทพมหานคร-22130</v>
      </c>
      <c r="AG1446" s="3" t="str">
        <f>IFERROR(__xludf.DUMMYFUNCTION("""COMPUTED_VALUE"""),"กลาง")</f>
        <v>กลาง</v>
      </c>
      <c r="AH1446" s="3" t="str">
        <f>IFERROR(__xludf.DUMMYFUNCTION("""COMPUTED_VALUE"""),"#N/A")</f>
        <v>#N/A</v>
      </c>
      <c r="AI1446" s="3" t="str">
        <f>IFERROR(__xludf.DUMMYFUNCTION("""COMPUTED_VALUE"""),"Out of warranty")</f>
        <v>Out of warranty</v>
      </c>
      <c r="AJ1446" s="3">
        <f>IFERROR(__xludf.DUMMYFUNCTION("""COMPUTED_VALUE"""),68.0)</f>
        <v>68</v>
      </c>
      <c r="AK1446" s="3" t="str">
        <f>IFERROR(__xludf.DUMMYFUNCTION("""COMPUTED_VALUE"""),"MMS04")</f>
        <v>MMS04</v>
      </c>
      <c r="AL1446" s="3"/>
    </row>
    <row r="1447" ht="15.75" customHeight="1">
      <c r="A1447" s="1" t="str">
        <f>IFERROR(__xludf.DUMMYFUNCTION("""COMPUTED_VALUE"""),"22131")</f>
        <v>22131</v>
      </c>
      <c r="B1447" s="2">
        <f>IFERROR(__xludf.DUMMYFUNCTION("""COMPUTED_VALUE"""),22131.0)</f>
        <v>22131</v>
      </c>
      <c r="C1447" s="3" t="str">
        <f>IFERROR(__xludf.DUMMYFUNCTION("""COMPUTED_VALUE"""),"MBC ดีโป้ตาคลี")</f>
        <v>MBC ดีโป้ตาคลี</v>
      </c>
      <c r="D1447" s="3" t="str">
        <f>IFERROR(__xludf.DUMMYFUNCTION("""COMPUTED_VALUE"""),"BCM DEPOT TAKLEE NAKHONSAWAN")</f>
        <v>BCM DEPOT TAKLEE NAKHONSAWAN</v>
      </c>
      <c r="E1447" s="1" t="str">
        <f>IFERROR(__xludf.DUMMYFUNCTION("""COMPUTED_VALUE"""),"บิ๊กซี MINI")</f>
        <v>บิ๊กซี MINI</v>
      </c>
      <c r="F1447" s="1" t="str">
        <f>IFERROR(__xludf.DUMMYFUNCTION("""COMPUTED_VALUE"""),"296229")</f>
        <v>296229</v>
      </c>
      <c r="G1447" s="1" t="str">
        <f>IFERROR(__xludf.DUMMYFUNCTION("""COMPUTED_VALUE"""),"นายทนงศักดิ์ บุญมา")</f>
        <v>นายทนงศักดิ์ บุญมา</v>
      </c>
      <c r="H1447" s="1" t="str">
        <f>IFERROR(__xludf.DUMMYFUNCTION("""COMPUTED_VALUE"""),"318186")</f>
        <v>318186</v>
      </c>
      <c r="I1447" s="1" t="str">
        <f>IFERROR(__xludf.DUMMYFUNCTION("""COMPUTED_VALUE"""),"น.ส.พนมวัลย์ เรืองรัตน์")</f>
        <v>น.ส.พนมวัลย์ เรืองรัตน์</v>
      </c>
      <c r="J1447" s="3">
        <f>IFERROR(__xludf.DUMMYFUNCTION("""COMPUTED_VALUE"""),46214.0)</f>
        <v>46214</v>
      </c>
      <c r="K1447" s="3" t="str">
        <f>IFERROR(__xludf.DUMMYFUNCTION("""COMPUTED_VALUE"""),"นายศักดิ์ชัย เด็ดดอกฟ้า")</f>
        <v>นายศักดิ์ชัย เด็ดดอกฟ้า</v>
      </c>
      <c r="L1447" s="1" t="str">
        <f>IFERROR(__xludf.DUMMYFUNCTION("""COMPUTED_VALUE"""),"02 K.Sakchai D")</f>
        <v>02 K.Sakchai D</v>
      </c>
      <c r="M1447" s="1" t="str">
        <f>IFERROR(__xludf.DUMMYFUNCTION("""COMPUTED_VALUE"""),"065-510-7376")</f>
        <v>065-510-7376</v>
      </c>
      <c r="N1447" s="3">
        <f>IFERROR(__xludf.DUMMYFUNCTION("""COMPUTED_VALUE"""),21714.0)</f>
        <v>21714</v>
      </c>
      <c r="O1447" s="3" t="str">
        <f>IFERROR(__xludf.DUMMYFUNCTION("""COMPUTED_VALUE"""),"MBC เอสโซ่ วัดโบสถ์")</f>
        <v>MBC เอสโซ่ วัดโบสถ์</v>
      </c>
      <c r="P1447" s="4">
        <f>IFERROR(__xludf.DUMMYFUNCTION("""COMPUTED_VALUE"""),43929.0)</f>
        <v>43929</v>
      </c>
      <c r="Q1447" s="3" t="str">
        <f>IFERROR(__xludf.DUMMYFUNCTION("""COMPUTED_VALUE"""),"A")</f>
        <v>A</v>
      </c>
      <c r="R1447" s="3" t="str">
        <f>IFERROR(__xludf.DUMMYFUNCTION("""COMPUTED_VALUE"""),"Small Format")</f>
        <v>Small Format</v>
      </c>
      <c r="S1447" s="3" t="str">
        <f>IFERROR(__xludf.DUMMYFUNCTION("""COMPUTED_VALUE"""),"BCM")</f>
        <v>BCM</v>
      </c>
      <c r="T1447" s="3" t="str">
        <f>IFERROR(__xludf.DUMMYFUNCTION("""COMPUTED_VALUE"""),"#N/A")</f>
        <v>#N/A</v>
      </c>
      <c r="U1447" s="3" t="str">
        <f>IFERROR(__xludf.DUMMYFUNCTION("""COMPUTED_VALUE"""),"#N/A")</f>
        <v>#N/A</v>
      </c>
      <c r="V1447" s="3" t="str">
        <f>IFERROR(__xludf.DUMMYFUNCTION("""COMPUTED_VALUE"""),"N")</f>
        <v>N</v>
      </c>
      <c r="W1447" s="3">
        <f>IFERROR(__xludf.DUMMYFUNCTION("""COMPUTED_VALUE"""),210196.0)</f>
        <v>210196</v>
      </c>
      <c r="X1447" s="3" t="str">
        <f>IFERROR(__xludf.DUMMYFUNCTION("""COMPUTED_VALUE"""),"180 หมู่1 ตำบลตาคลี อำเภอตาคลี จังหวัดนครสวรรค์ 60140")</f>
        <v>180 หมู่1 ตำบลตาคลี อำเภอตาคลี จังหวัดนครสวรรค์ 60140</v>
      </c>
      <c r="Y1447" s="3"/>
      <c r="Z1447" s="3" t="str">
        <f>IFERROR(__xludf.DUMMYFUNCTION("""COMPUTED_VALUE"""),"ตาคลี")</f>
        <v>ตาคลี</v>
      </c>
      <c r="AA1447" s="3" t="str">
        <f>IFERROR(__xludf.DUMMYFUNCTION("""COMPUTED_VALUE"""),"ตาคลี")</f>
        <v>ตาคลี</v>
      </c>
      <c r="AB1447" s="3" t="str">
        <f>IFERROR(__xludf.DUMMYFUNCTION("""COMPUTED_VALUE"""),"นครสวรรค์")</f>
        <v>นครสวรรค์</v>
      </c>
      <c r="AC1447" s="3">
        <f>IFERROR(__xludf.DUMMYFUNCTION("""COMPUTED_VALUE"""),60140.0)</f>
        <v>60140</v>
      </c>
      <c r="AD1447" s="3">
        <f>IFERROR(__xludf.DUMMYFUNCTION("""COMPUTED_VALUE"""),15.2715)</f>
        <v>15.2715</v>
      </c>
      <c r="AE1447" s="3">
        <f>IFERROR(__xludf.DUMMYFUNCTION("""COMPUTED_VALUE"""),100.363)</f>
        <v>100.363</v>
      </c>
      <c r="AF1447" s="3" t="str">
        <f>IFERROR(__xludf.DUMMYFUNCTION("""COMPUTED_VALUE"""),"MBC ดีโป้ตาคลี-22131")</f>
        <v>MBC ดีโป้ตาคลี-22131</v>
      </c>
      <c r="AG1447" s="3" t="str">
        <f>IFERROR(__xludf.DUMMYFUNCTION("""COMPUTED_VALUE"""),"กลาง")</f>
        <v>กลาง</v>
      </c>
      <c r="AH1447" s="3" t="str">
        <f>IFERROR(__xludf.DUMMYFUNCTION("""COMPUTED_VALUE"""),"#N/A")</f>
        <v>#N/A</v>
      </c>
      <c r="AI1447" s="3" t="str">
        <f>IFERROR(__xludf.DUMMYFUNCTION("""COMPUTED_VALUE"""),"Out of warranty")</f>
        <v>Out of warranty</v>
      </c>
      <c r="AJ1447" s="3">
        <f>IFERROR(__xludf.DUMMYFUNCTION("""COMPUTED_VALUE"""),70.0)</f>
        <v>70</v>
      </c>
      <c r="AK1447" s="3" t="str">
        <f>IFERROR(__xludf.DUMMYFUNCTION("""COMPUTED_VALUE"""),"MMS09")</f>
        <v>MMS09</v>
      </c>
      <c r="AL1447" s="3"/>
    </row>
    <row r="1448" ht="15.75" customHeight="1">
      <c r="A1448" s="1" t="str">
        <f>IFERROR(__xludf.DUMMYFUNCTION("""COMPUTED_VALUE"""),"22132")</f>
        <v>22132</v>
      </c>
      <c r="B1448" s="2">
        <f>IFERROR(__xludf.DUMMYFUNCTION("""COMPUTED_VALUE"""),22132.0)</f>
        <v>22132</v>
      </c>
      <c r="C1448" s="3" t="str">
        <f>IFERROR(__xludf.DUMMYFUNCTION("""COMPUTED_VALUE"""),"MBC คลองสน(เกาะช้าง) ตราด")</f>
        <v>MBC คลองสน(เกาะช้าง) ตราด</v>
      </c>
      <c r="D1448" s="3" t="str">
        <f>IFERROR(__xludf.DUMMYFUNCTION("""COMPUTED_VALUE"""),"BCM KHONG SON (KHAO CHANG)")</f>
        <v>BCM KHONG SON (KHAO CHANG)</v>
      </c>
      <c r="E1448" s="1" t="str">
        <f>IFERROR(__xludf.DUMMYFUNCTION("""COMPUTED_VALUE"""),"บิ๊กซี MINI")</f>
        <v>บิ๊กซี MINI</v>
      </c>
      <c r="F1448" s="1" t="str">
        <f>IFERROR(__xludf.DUMMYFUNCTION("""COMPUTED_VALUE"""),"221716")</f>
        <v>221716</v>
      </c>
      <c r="G1448" s="1" t="str">
        <f>IFERROR(__xludf.DUMMYFUNCTION("""COMPUTED_VALUE"""),"น.ส.เบญจพร โพธิสาร")</f>
        <v>น.ส.เบญจพร โพธิสาร</v>
      </c>
      <c r="H1448" s="1" t="str">
        <f>IFERROR(__xludf.DUMMYFUNCTION("""COMPUTED_VALUE"""),"318151")</f>
        <v>318151</v>
      </c>
      <c r="I1448" s="1" t="str">
        <f>IFERROR(__xludf.DUMMYFUNCTION("""COMPUTED_VALUE"""),"นายพลฬกฤตต์ เนตมณี")</f>
        <v>นายพลฬกฤตต์ เนตมณี</v>
      </c>
      <c r="J1448" s="3">
        <f>IFERROR(__xludf.DUMMYFUNCTION("""COMPUTED_VALUE"""),2452376.0)</f>
        <v>2452376</v>
      </c>
      <c r="K1448" s="3" t="str">
        <f>IFERROR(__xludf.DUMMYFUNCTION("""COMPUTED_VALUE"""),"นายภาคภูมิ ทวีกุล")</f>
        <v>นายภาคภูมิ ทวีกุล</v>
      </c>
      <c r="L1448" s="1" t="str">
        <f>IFERROR(__xludf.DUMMYFUNCTION("""COMPUTED_VALUE"""),"08 K.Parkphum T.")</f>
        <v>08 K.Parkphum T.</v>
      </c>
      <c r="M1448" s="1" t="str">
        <f>IFERROR(__xludf.DUMMYFUNCTION("""COMPUTED_VALUE"""),"097-919-5476")</f>
        <v>097-919-5476</v>
      </c>
      <c r="N1448" s="3">
        <f>IFERROR(__xludf.DUMMYFUNCTION("""COMPUTED_VALUE"""),22028.0)</f>
        <v>22028</v>
      </c>
      <c r="O1448" s="3" t="str">
        <f>IFERROR(__xludf.DUMMYFUNCTION("""COMPUTED_VALUE"""),"MBC ทํบมา ระยอง")</f>
        <v>MBC ทํบมา ระยอง</v>
      </c>
      <c r="P1448" s="4">
        <f>IFERROR(__xludf.DUMMYFUNCTION("""COMPUTED_VALUE"""),44001.0)</f>
        <v>44001</v>
      </c>
      <c r="Q1448" s="3" t="str">
        <f>IFERROR(__xludf.DUMMYFUNCTION("""COMPUTED_VALUE"""),"A")</f>
        <v>A</v>
      </c>
      <c r="R1448" s="3" t="str">
        <f>IFERROR(__xludf.DUMMYFUNCTION("""COMPUTED_VALUE"""),"Small Format")</f>
        <v>Small Format</v>
      </c>
      <c r="S1448" s="3" t="str">
        <f>IFERROR(__xludf.DUMMYFUNCTION("""COMPUTED_VALUE"""),"BCM")</f>
        <v>BCM</v>
      </c>
      <c r="T1448" s="3" t="str">
        <f>IFERROR(__xludf.DUMMYFUNCTION("""COMPUTED_VALUE"""),"#N/A")</f>
        <v>#N/A</v>
      </c>
      <c r="U1448" s="3" t="str">
        <f>IFERROR(__xludf.DUMMYFUNCTION("""COMPUTED_VALUE"""),"#N/A")</f>
        <v>#N/A</v>
      </c>
      <c r="V1448" s="3" t="str">
        <f>IFERROR(__xludf.DUMMYFUNCTION("""COMPUTED_VALUE"""),"N")</f>
        <v>N</v>
      </c>
      <c r="W1448" s="3">
        <f>IFERROR(__xludf.DUMMYFUNCTION("""COMPUTED_VALUE"""),210173.0)</f>
        <v>210173</v>
      </c>
      <c r="X1448" s="3" t="str">
        <f>IFERROR(__xludf.DUMMYFUNCTION("""COMPUTED_VALUE"""),"23/12 23/26 หมู่3 ตำบลเกาะช้าง อำเภอเกาะช้าง จังหวัดตราด 23170")</f>
        <v>23/12 23/26 หมู่3 ตำบลเกาะช้าง อำเภอเกาะช้าง จังหวัดตราด 23170</v>
      </c>
      <c r="Y1448" s="3"/>
      <c r="Z1448" s="3" t="str">
        <f>IFERROR(__xludf.DUMMYFUNCTION("""COMPUTED_VALUE"""),"หมู่3")</f>
        <v>หมู่3</v>
      </c>
      <c r="AA1448" s="3" t="str">
        <f>IFERROR(__xludf.DUMMYFUNCTION("""COMPUTED_VALUE"""),"เกาะช้าง")</f>
        <v>เกาะช้าง</v>
      </c>
      <c r="AB1448" s="3" t="str">
        <f>IFERROR(__xludf.DUMMYFUNCTION("""COMPUTED_VALUE"""),"ตราด")</f>
        <v>ตราด</v>
      </c>
      <c r="AC1448" s="3">
        <f>IFERROR(__xludf.DUMMYFUNCTION("""COMPUTED_VALUE"""),23170.0)</f>
        <v>23170</v>
      </c>
      <c r="AD1448" s="3">
        <f>IFERROR(__xludf.DUMMYFUNCTION("""COMPUTED_VALUE"""),12.131948)</f>
        <v>12.131948</v>
      </c>
      <c r="AE1448" s="3">
        <f>IFERROR(__xludf.DUMMYFUNCTION("""COMPUTED_VALUE"""),102.275413)</f>
        <v>102.275413</v>
      </c>
      <c r="AF1448" s="3" t="str">
        <f>IFERROR(__xludf.DUMMYFUNCTION("""COMPUTED_VALUE"""),"MBC คลองสน(เกาะช้าง) ตราด-22132")</f>
        <v>MBC คลองสน(เกาะช้าง) ตราด-22132</v>
      </c>
      <c r="AG1448" s="3" t="str">
        <f>IFERROR(__xludf.DUMMYFUNCTION("""COMPUTED_VALUE"""),"ตะวันออก")</f>
        <v>ตะวันออก</v>
      </c>
      <c r="AH1448" s="3" t="str">
        <f>IFERROR(__xludf.DUMMYFUNCTION("""COMPUTED_VALUE"""),"#N/A")</f>
        <v>#N/A</v>
      </c>
      <c r="AI1448" s="3" t="str">
        <f>IFERROR(__xludf.DUMMYFUNCTION("""COMPUTED_VALUE"""),"Out of warranty")</f>
        <v>Out of warranty</v>
      </c>
      <c r="AJ1448" s="3">
        <f>IFERROR(__xludf.DUMMYFUNCTION("""COMPUTED_VALUE"""),68.0)</f>
        <v>68</v>
      </c>
      <c r="AK1448" s="3" t="str">
        <f>IFERROR(__xludf.DUMMYFUNCTION("""COMPUTED_VALUE"""),"MMS08")</f>
        <v>MMS08</v>
      </c>
      <c r="AL1448" s="3"/>
    </row>
    <row r="1449" ht="15.75" customHeight="1">
      <c r="A1449" s="1" t="str">
        <f>IFERROR(__xludf.DUMMYFUNCTION("""COMPUTED_VALUE"""),"22133")</f>
        <v>22133</v>
      </c>
      <c r="B1449" s="2">
        <f>IFERROR(__xludf.DUMMYFUNCTION("""COMPUTED_VALUE"""),22133.0)</f>
        <v>22133</v>
      </c>
      <c r="C1449" s="3" t="str">
        <f>IFERROR(__xludf.DUMMYFUNCTION("""COMPUTED_VALUE"""),"MBC หาดทรายขาว(เกาะช้าง) ตราด")</f>
        <v>MBC หาดทรายขาว(เกาะช้าง) ตราด</v>
      </c>
      <c r="D1449" s="3" t="str">
        <f>IFERROR(__xludf.DUMMYFUNCTION("""COMPUTED_VALUE"""),"BCM HAD SAI KHAW (KHAO CHANG)")</f>
        <v>BCM HAD SAI KHAW (KHAO CHANG)</v>
      </c>
      <c r="E1449" s="1" t="str">
        <f>IFERROR(__xludf.DUMMYFUNCTION("""COMPUTED_VALUE"""),"บิ๊กซี MINI")</f>
        <v>บิ๊กซี MINI</v>
      </c>
      <c r="F1449" s="1" t="str">
        <f>IFERROR(__xludf.DUMMYFUNCTION("""COMPUTED_VALUE"""),"221716")</f>
        <v>221716</v>
      </c>
      <c r="G1449" s="1" t="str">
        <f>IFERROR(__xludf.DUMMYFUNCTION("""COMPUTED_VALUE"""),"น.ส.เบญจพร โพธิสาร")</f>
        <v>น.ส.เบญจพร โพธิสาร</v>
      </c>
      <c r="H1449" s="1" t="str">
        <f>IFERROR(__xludf.DUMMYFUNCTION("""COMPUTED_VALUE"""),"318151")</f>
        <v>318151</v>
      </c>
      <c r="I1449" s="1" t="str">
        <f>IFERROR(__xludf.DUMMYFUNCTION("""COMPUTED_VALUE"""),"นายพลฬกฤตต์ เนตมณี")</f>
        <v>นายพลฬกฤตต์ เนตมณี</v>
      </c>
      <c r="J1449" s="3">
        <f>IFERROR(__xludf.DUMMYFUNCTION("""COMPUTED_VALUE"""),2452376.0)</f>
        <v>2452376</v>
      </c>
      <c r="K1449" s="3" t="str">
        <f>IFERROR(__xludf.DUMMYFUNCTION("""COMPUTED_VALUE"""),"นายภาคภูมิ ทวีกุล")</f>
        <v>นายภาคภูมิ ทวีกุล</v>
      </c>
      <c r="L1449" s="1" t="str">
        <f>IFERROR(__xludf.DUMMYFUNCTION("""COMPUTED_VALUE"""),"08 K.Parkphum T.")</f>
        <v>08 K.Parkphum T.</v>
      </c>
      <c r="M1449" s="1" t="str">
        <f>IFERROR(__xludf.DUMMYFUNCTION("""COMPUTED_VALUE"""),"097-919-5476")</f>
        <v>097-919-5476</v>
      </c>
      <c r="N1449" s="3">
        <f>IFERROR(__xludf.DUMMYFUNCTION("""COMPUTED_VALUE"""),22028.0)</f>
        <v>22028</v>
      </c>
      <c r="O1449" s="3" t="str">
        <f>IFERROR(__xludf.DUMMYFUNCTION("""COMPUTED_VALUE"""),"MBC ทํบมา ระยอง")</f>
        <v>MBC ทํบมา ระยอง</v>
      </c>
      <c r="P1449" s="4">
        <f>IFERROR(__xludf.DUMMYFUNCTION("""COMPUTED_VALUE"""),44002.0)</f>
        <v>44002</v>
      </c>
      <c r="Q1449" s="3" t="str">
        <f>IFERROR(__xludf.DUMMYFUNCTION("""COMPUTED_VALUE"""),"A")</f>
        <v>A</v>
      </c>
      <c r="R1449" s="3" t="str">
        <f>IFERROR(__xludf.DUMMYFUNCTION("""COMPUTED_VALUE"""),"Small Format")</f>
        <v>Small Format</v>
      </c>
      <c r="S1449" s="3" t="str">
        <f>IFERROR(__xludf.DUMMYFUNCTION("""COMPUTED_VALUE"""),"BCM")</f>
        <v>BCM</v>
      </c>
      <c r="T1449" s="3" t="str">
        <f>IFERROR(__xludf.DUMMYFUNCTION("""COMPUTED_VALUE"""),"#N/A")</f>
        <v>#N/A</v>
      </c>
      <c r="U1449" s="3" t="str">
        <f>IFERROR(__xludf.DUMMYFUNCTION("""COMPUTED_VALUE"""),"#N/A")</f>
        <v>#N/A</v>
      </c>
      <c r="V1449" s="3" t="str">
        <f>IFERROR(__xludf.DUMMYFUNCTION("""COMPUTED_VALUE"""),"N")</f>
        <v>N</v>
      </c>
      <c r="W1449" s="3">
        <f>IFERROR(__xludf.DUMMYFUNCTION("""COMPUTED_VALUE"""),210172.0)</f>
        <v>210172</v>
      </c>
      <c r="X1449" s="3" t="str">
        <f>IFERROR(__xludf.DUMMYFUNCTION("""COMPUTED_VALUE"""),"168 หมู่4 ตำบลเกาะช้าง อำเภอเกาะช้าง จังหวัดตราด 23170")</f>
        <v>168 หมู่4 ตำบลเกาะช้าง อำเภอเกาะช้าง จังหวัดตราด 23170</v>
      </c>
      <c r="Y1449" s="3"/>
      <c r="Z1449" s="3" t="str">
        <f>IFERROR(__xludf.DUMMYFUNCTION("""COMPUTED_VALUE"""),"เกาะช้าง")</f>
        <v>เกาะช้าง</v>
      </c>
      <c r="AA1449" s="3" t="str">
        <f>IFERROR(__xludf.DUMMYFUNCTION("""COMPUTED_VALUE"""),"เกาะช้าง")</f>
        <v>เกาะช้าง</v>
      </c>
      <c r="AB1449" s="3" t="str">
        <f>IFERROR(__xludf.DUMMYFUNCTION("""COMPUTED_VALUE"""),"ตราด")</f>
        <v>ตราด</v>
      </c>
      <c r="AC1449" s="3">
        <f>IFERROR(__xludf.DUMMYFUNCTION("""COMPUTED_VALUE"""),23170.0)</f>
        <v>23170</v>
      </c>
      <c r="AD1449" s="3">
        <f>IFERROR(__xludf.DUMMYFUNCTION("""COMPUTED_VALUE"""),12.107706)</f>
        <v>12.107706</v>
      </c>
      <c r="AE1449" s="3">
        <f>IFERROR(__xludf.DUMMYFUNCTION("""COMPUTED_VALUE"""),102.271374)</f>
        <v>102.271374</v>
      </c>
      <c r="AF1449" s="3" t="str">
        <f>IFERROR(__xludf.DUMMYFUNCTION("""COMPUTED_VALUE"""),"MBC หาดทรายขาว(เกาะช้าง) ตราด-22133")</f>
        <v>MBC หาดทรายขาว(เกาะช้าง) ตราด-22133</v>
      </c>
      <c r="AG1449" s="3" t="str">
        <f>IFERROR(__xludf.DUMMYFUNCTION("""COMPUTED_VALUE"""),"ตะวันออก")</f>
        <v>ตะวันออก</v>
      </c>
      <c r="AH1449" s="3" t="str">
        <f>IFERROR(__xludf.DUMMYFUNCTION("""COMPUTED_VALUE"""),"#N/A")</f>
        <v>#N/A</v>
      </c>
      <c r="AI1449" s="3" t="str">
        <f>IFERROR(__xludf.DUMMYFUNCTION("""COMPUTED_VALUE"""),"Out of warranty")</f>
        <v>Out of warranty</v>
      </c>
      <c r="AJ1449" s="3">
        <f>IFERROR(__xludf.DUMMYFUNCTION("""COMPUTED_VALUE"""),68.0)</f>
        <v>68</v>
      </c>
      <c r="AK1449" s="3" t="str">
        <f>IFERROR(__xludf.DUMMYFUNCTION("""COMPUTED_VALUE"""),"MMS08")</f>
        <v>MMS08</v>
      </c>
      <c r="AL1449" s="3"/>
    </row>
    <row r="1450" ht="15.75" customHeight="1">
      <c r="A1450" s="1" t="str">
        <f>IFERROR(__xludf.DUMMYFUNCTION("""COMPUTED_VALUE"""),"22134")</f>
        <v>22134</v>
      </c>
      <c r="B1450" s="2">
        <f>IFERROR(__xludf.DUMMYFUNCTION("""COMPUTED_VALUE"""),22134.0)</f>
        <v>22134</v>
      </c>
      <c r="C1450" s="3" t="str">
        <f>IFERROR(__xludf.DUMMYFUNCTION("""COMPUTED_VALUE"""),"MBC ตลาดใหม่ดอนกลาง อุบลราชธานี")</f>
        <v>MBC ตลาดใหม่ดอนกลาง อุบลราชธานี</v>
      </c>
      <c r="D1450" s="3" t="str">
        <f>IFERROR(__xludf.DUMMYFUNCTION("""COMPUTED_VALUE"""),"BCM TALAD MAI DON KLANG")</f>
        <v>BCM TALAD MAI DON KLANG</v>
      </c>
      <c r="E1450" s="1" t="str">
        <f>IFERROR(__xludf.DUMMYFUNCTION("""COMPUTED_VALUE"""),"บิ๊กซี MINI")</f>
        <v>บิ๊กซี MINI</v>
      </c>
      <c r="F1450" s="1" t="str">
        <f>IFERROR(__xludf.DUMMYFUNCTION("""COMPUTED_VALUE"""),"291105")</f>
        <v>291105</v>
      </c>
      <c r="G1450" s="1" t="str">
        <f>IFERROR(__xludf.DUMMYFUNCTION("""COMPUTED_VALUE"""),"นายสราวุฒิ พณิชยกุล")</f>
        <v>นายสราวุฒิ พณิชยกุล</v>
      </c>
      <c r="H1450" s="1" t="str">
        <f>IFERROR(__xludf.DUMMYFUNCTION("""COMPUTED_VALUE"""),"250772")</f>
        <v>250772</v>
      </c>
      <c r="I1450" s="1" t="str">
        <f>IFERROR(__xludf.DUMMYFUNCTION("""COMPUTED_VALUE"""),"น.ส.วรุณยุพา จรูญไธสง")</f>
        <v>น.ส.วรุณยุพา จรูญไธสง</v>
      </c>
      <c r="J1450" s="3">
        <f>IFERROR(__xludf.DUMMYFUNCTION("""COMPUTED_VALUE"""),2454781.0)</f>
        <v>2454781</v>
      </c>
      <c r="K1450" s="3" t="str">
        <f>IFERROR(__xludf.DUMMYFUNCTION("""COMPUTED_VALUE"""),"นายฌานกฤช นันทะโคต")</f>
        <v>นายฌานกฤช นันทะโคต</v>
      </c>
      <c r="L1450" s="1" t="str">
        <f>IFERROR(__xludf.DUMMYFUNCTION("""COMPUTED_VALUE"""),"05 K.Chanakrit N.")</f>
        <v>05 K.Chanakrit N.</v>
      </c>
      <c r="M1450" s="1" t="str">
        <f>IFERROR(__xludf.DUMMYFUNCTION("""COMPUTED_VALUE"""),"090-978-9785 ,065-929-1320")</f>
        <v>090-978-9785 ,065-929-1320</v>
      </c>
      <c r="N1450" s="3">
        <f>IFERROR(__xludf.DUMMYFUNCTION("""COMPUTED_VALUE"""),22195.0)</f>
        <v>22195</v>
      </c>
      <c r="O1450" s="3" t="str">
        <f>IFERROR(__xludf.DUMMYFUNCTION("""COMPUTED_VALUE"""),"MBC กันทรลักษ์ ศรีสะเกษ")</f>
        <v>MBC กันทรลักษ์ ศรีสะเกษ</v>
      </c>
      <c r="P1450" s="4">
        <f>IFERROR(__xludf.DUMMYFUNCTION("""COMPUTED_VALUE"""),43962.0)</f>
        <v>43962</v>
      </c>
      <c r="Q1450" s="3" t="str">
        <f>IFERROR(__xludf.DUMMYFUNCTION("""COMPUTED_VALUE"""),"A")</f>
        <v>A</v>
      </c>
      <c r="R1450" s="3" t="str">
        <f>IFERROR(__xludf.DUMMYFUNCTION("""COMPUTED_VALUE"""),"Small Format")</f>
        <v>Small Format</v>
      </c>
      <c r="S1450" s="3" t="str">
        <f>IFERROR(__xludf.DUMMYFUNCTION("""COMPUTED_VALUE"""),"BCM")</f>
        <v>BCM</v>
      </c>
      <c r="T1450" s="3" t="str">
        <f>IFERROR(__xludf.DUMMYFUNCTION("""COMPUTED_VALUE"""),"#N/A")</f>
        <v>#N/A</v>
      </c>
      <c r="U1450" s="3" t="str">
        <f>IFERROR(__xludf.DUMMYFUNCTION("""COMPUTED_VALUE"""),"#N/A")</f>
        <v>#N/A</v>
      </c>
      <c r="V1450" s="3" t="str">
        <f>IFERROR(__xludf.DUMMYFUNCTION("""COMPUTED_VALUE"""),"N")</f>
        <v>N</v>
      </c>
      <c r="W1450" s="3">
        <f>IFERROR(__xludf.DUMMYFUNCTION("""COMPUTED_VALUE"""),210169.0)</f>
        <v>210169</v>
      </c>
      <c r="X1450" s="3" t="str">
        <f>IFERROR(__xludf.DUMMYFUNCTION("""COMPUTED_VALUE"""),"777/5 หมู่18 ตำบลขามใหญ่ อำเภอเมืองอุบลราชธานี จังหวัดอุบลราชธานี 34000")</f>
        <v>777/5 หมู่18 ตำบลขามใหญ่ อำเภอเมืองอุบลราชธานี จังหวัดอุบลราชธานี 34000</v>
      </c>
      <c r="Y1450" s="3"/>
      <c r="Z1450" s="3" t="str">
        <f>IFERROR(__xludf.DUMMYFUNCTION("""COMPUTED_VALUE"""),"ขามใหญ่")</f>
        <v>ขามใหญ่</v>
      </c>
      <c r="AA1450" s="3" t="str">
        <f>IFERROR(__xludf.DUMMYFUNCTION("""COMPUTED_VALUE"""),"เมือง")</f>
        <v>เมือง</v>
      </c>
      <c r="AB1450" s="3" t="str">
        <f>IFERROR(__xludf.DUMMYFUNCTION("""COMPUTED_VALUE"""),"อุบลราชธานี")</f>
        <v>อุบลราชธานี</v>
      </c>
      <c r="AC1450" s="3">
        <f>IFERROR(__xludf.DUMMYFUNCTION("""COMPUTED_VALUE"""),34000.0)</f>
        <v>34000</v>
      </c>
      <c r="AD1450" s="3">
        <f>IFERROR(__xludf.DUMMYFUNCTION("""COMPUTED_VALUE"""),15.28409)</f>
        <v>15.28409</v>
      </c>
      <c r="AE1450" s="3">
        <f>IFERROR(__xludf.DUMMYFUNCTION("""COMPUTED_VALUE"""),104.837907)</f>
        <v>104.837907</v>
      </c>
      <c r="AF1450" s="3" t="str">
        <f>IFERROR(__xludf.DUMMYFUNCTION("""COMPUTED_VALUE"""),"MBC ตลาดใหม่ดอนกลาง อุบลราชธานี-22134")</f>
        <v>MBC ตลาดใหม่ดอนกลาง อุบลราชธานี-22134</v>
      </c>
      <c r="AG1450" s="3" t="str">
        <f>IFERROR(__xludf.DUMMYFUNCTION("""COMPUTED_VALUE"""),"ตะวันออกเฉียงเหนือ")</f>
        <v>ตะวันออกเฉียงเหนือ</v>
      </c>
      <c r="AH1450" s="3" t="str">
        <f>IFERROR(__xludf.DUMMYFUNCTION("""COMPUTED_VALUE"""),"#N/A")</f>
        <v>#N/A</v>
      </c>
      <c r="AI1450" s="3" t="str">
        <f>IFERROR(__xludf.DUMMYFUNCTION("""COMPUTED_VALUE"""),"Out of warranty")</f>
        <v>Out of warranty</v>
      </c>
      <c r="AJ1450" s="3">
        <f>IFERROR(__xludf.DUMMYFUNCTION("""COMPUTED_VALUE"""),69.0)</f>
        <v>69</v>
      </c>
      <c r="AK1450" s="3" t="str">
        <f>IFERROR(__xludf.DUMMYFUNCTION("""COMPUTED_VALUE"""),"MMS13")</f>
        <v>MMS13</v>
      </c>
      <c r="AL1450" s="3"/>
    </row>
    <row r="1451" ht="15.75" customHeight="1">
      <c r="A1451" s="1" t="str">
        <f>IFERROR(__xludf.DUMMYFUNCTION("""COMPUTED_VALUE"""),"22135")</f>
        <v>22135</v>
      </c>
      <c r="B1451" s="2">
        <f>IFERROR(__xludf.DUMMYFUNCTION("""COMPUTED_VALUE"""),22135.0)</f>
        <v>22135</v>
      </c>
      <c r="C1451" s="3" t="str">
        <f>IFERROR(__xludf.DUMMYFUNCTION("""COMPUTED_VALUE"""),"MBC ดีโป้ประทาย นครราชสีมา")</f>
        <v>MBC ดีโป้ประทาย นครราชสีมา</v>
      </c>
      <c r="D1451" s="3" t="str">
        <f>IFERROR(__xludf.DUMMYFUNCTION("""COMPUTED_VALUE"""),"BCM DEPOT PRATAI")</f>
        <v>BCM DEPOT PRATAI</v>
      </c>
      <c r="E1451" s="1" t="str">
        <f>IFERROR(__xludf.DUMMYFUNCTION("""COMPUTED_VALUE"""),"บิ๊กซี MINI")</f>
        <v>บิ๊กซี MINI</v>
      </c>
      <c r="F1451" s="1" t="str">
        <f>IFERROR(__xludf.DUMMYFUNCTION("""COMPUTED_VALUE"""),"291105")</f>
        <v>291105</v>
      </c>
      <c r="G1451" s="1" t="str">
        <f>IFERROR(__xludf.DUMMYFUNCTION("""COMPUTED_VALUE"""),"นายสราวุฒิ พณิชยกุล")</f>
        <v>นายสราวุฒิ พณิชยกุล</v>
      </c>
      <c r="H1451" s="1" t="str">
        <f>IFERROR(__xludf.DUMMYFUNCTION("""COMPUTED_VALUE"""),"281315")</f>
        <v>281315</v>
      </c>
      <c r="I1451" s="1" t="str">
        <f>IFERROR(__xludf.DUMMYFUNCTION("""COMPUTED_VALUE"""),"นายกิตติพงษ์ มั่นคง")</f>
        <v>นายกิตติพงษ์ มั่นคง</v>
      </c>
      <c r="J1451" s="3">
        <f>IFERROR(__xludf.DUMMYFUNCTION("""COMPUTED_VALUE"""),15361.0)</f>
        <v>15361</v>
      </c>
      <c r="K1451" s="3" t="str">
        <f>IFERROR(__xludf.DUMMYFUNCTION("""COMPUTED_VALUE"""),"นายสมบูรณ์ พรหมในเมือง")</f>
        <v>นายสมบูรณ์ พรหมในเมือง</v>
      </c>
      <c r="L1451" s="3" t="str">
        <f>IFERROR(__xludf.DUMMYFUNCTION("""COMPUTED_VALUE"""),"04 K.Somboon P.")</f>
        <v>04 K.Somboon P.</v>
      </c>
      <c r="M1451" s="1" t="str">
        <f>IFERROR(__xludf.DUMMYFUNCTION("""COMPUTED_VALUE"""),"087-965-3051")</f>
        <v>087-965-3051</v>
      </c>
      <c r="N1451" s="3">
        <f>IFERROR(__xludf.DUMMYFUNCTION("""COMPUTED_VALUE"""),21869.0)</f>
        <v>21869</v>
      </c>
      <c r="O1451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451" s="4">
        <f>IFERROR(__xludf.DUMMYFUNCTION("""COMPUTED_VALUE"""),43965.0)</f>
        <v>43965</v>
      </c>
      <c r="Q1451" s="3" t="str">
        <f>IFERROR(__xludf.DUMMYFUNCTION("""COMPUTED_VALUE"""),"I")</f>
        <v>I</v>
      </c>
      <c r="R1451" s="3" t="str">
        <f>IFERROR(__xludf.DUMMYFUNCTION("""COMPUTED_VALUE"""),"Small Format")</f>
        <v>Small Format</v>
      </c>
      <c r="S1451" s="3" t="str">
        <f>IFERROR(__xludf.DUMMYFUNCTION("""COMPUTED_VALUE"""),"BCM")</f>
        <v>BCM</v>
      </c>
      <c r="T1451" s="3" t="str">
        <f>IFERROR(__xludf.DUMMYFUNCTION("""COMPUTED_VALUE"""),"#N/A")</f>
        <v>#N/A</v>
      </c>
      <c r="U1451" s="3" t="str">
        <f>IFERROR(__xludf.DUMMYFUNCTION("""COMPUTED_VALUE"""),"#N/A")</f>
        <v>#N/A</v>
      </c>
      <c r="V1451" s="3" t="str">
        <f>IFERROR(__xludf.DUMMYFUNCTION("""COMPUTED_VALUE"""),"N")</f>
        <v>N</v>
      </c>
      <c r="W1451" s="3">
        <f>IFERROR(__xludf.DUMMYFUNCTION("""COMPUTED_VALUE"""),210197.0)</f>
        <v>210197</v>
      </c>
      <c r="X1451" s="3" t="str">
        <f>IFERROR(__xludf.DUMMYFUNCTION("""COMPUTED_VALUE"""),"123 หมู16 ตำบลประทาย อำเภอประทาย จังหวัดนครราชสีมา 30180")</f>
        <v>123 หมู16 ตำบลประทาย อำเภอประทาย จังหวัดนครราชสีมา 30180</v>
      </c>
      <c r="Y1451" s="3"/>
      <c r="Z1451" s="3" t="str">
        <f>IFERROR(__xludf.DUMMYFUNCTION("""COMPUTED_VALUE"""),"ประทาย")</f>
        <v>ประทาย</v>
      </c>
      <c r="AA1451" s="3" t="str">
        <f>IFERROR(__xludf.DUMMYFUNCTION("""COMPUTED_VALUE"""),"ประทาย")</f>
        <v>ประทาย</v>
      </c>
      <c r="AB1451" s="3" t="str">
        <f>IFERROR(__xludf.DUMMYFUNCTION("""COMPUTED_VALUE"""),"นครราชสีมา")</f>
        <v>นครราชสีมา</v>
      </c>
      <c r="AC1451" s="3">
        <f>IFERROR(__xludf.DUMMYFUNCTION("""COMPUTED_VALUE"""),30180.0)</f>
        <v>30180</v>
      </c>
      <c r="AD1451" s="3">
        <f>IFERROR(__xludf.DUMMYFUNCTION("""COMPUTED_VALUE"""),15.535792)</f>
        <v>15.535792</v>
      </c>
      <c r="AE1451" s="3">
        <f>IFERROR(__xludf.DUMMYFUNCTION("""COMPUTED_VALUE"""),102.725312)</f>
        <v>102.725312</v>
      </c>
      <c r="AF1451" s="3" t="str">
        <f>IFERROR(__xludf.DUMMYFUNCTION("""COMPUTED_VALUE"""),"MBC ดีโป้ประทาย นครราชสีมา-22135")</f>
        <v>MBC ดีโป้ประทาย นครราชสีมา-22135</v>
      </c>
      <c r="AG1451" s="3" t="str">
        <f>IFERROR(__xludf.DUMMYFUNCTION("""COMPUTED_VALUE"""),"ตะวันออกเฉียงเหนือ")</f>
        <v>ตะวันออกเฉียงเหนือ</v>
      </c>
      <c r="AH1451" s="3" t="str">
        <f>IFERROR(__xludf.DUMMYFUNCTION("""COMPUTED_VALUE"""),"#N/A")</f>
        <v>#N/A</v>
      </c>
      <c r="AI1451" s="3" t="str">
        <f>IFERROR(__xludf.DUMMYFUNCTION("""COMPUTED_VALUE"""),"Out of warranty")</f>
        <v>Out of warranty</v>
      </c>
      <c r="AJ1451" s="3">
        <f>IFERROR(__xludf.DUMMYFUNCTION("""COMPUTED_VALUE"""),69.0)</f>
        <v>69</v>
      </c>
      <c r="AK1451" s="3" t="str">
        <f>IFERROR(__xludf.DUMMYFUNCTION("""COMPUTED_VALUE"""),"MMS11")</f>
        <v>MMS11</v>
      </c>
      <c r="AL1451" s="3"/>
    </row>
    <row r="1452" ht="15.75" customHeight="1">
      <c r="A1452" s="1" t="str">
        <f>IFERROR(__xludf.DUMMYFUNCTION("""COMPUTED_VALUE"""),"22136")</f>
        <v>22136</v>
      </c>
      <c r="B1452" s="2">
        <f>IFERROR(__xludf.DUMMYFUNCTION("""COMPUTED_VALUE"""),22136.0)</f>
        <v>22136</v>
      </c>
      <c r="C1452" s="3" t="str">
        <f>IFERROR(__xludf.DUMMYFUNCTION("""COMPUTED_VALUE"""),"MBC ดิโป้กุฉินารายณ์ กาฬสินธุ์")</f>
        <v>MBC ดิโป้กุฉินารายณ์ กาฬสินธุ์</v>
      </c>
      <c r="D1452" s="3" t="str">
        <f>IFERROR(__xludf.DUMMYFUNCTION("""COMPUTED_VALUE"""),"BCM DEPOT KUCHINARAI")</f>
        <v>BCM DEPOT KUCHINARAI</v>
      </c>
      <c r="E1452" s="1" t="str">
        <f>IFERROR(__xludf.DUMMYFUNCTION("""COMPUTED_VALUE"""),"บิ๊กซี MINI")</f>
        <v>บิ๊กซี MINI</v>
      </c>
      <c r="F1452" s="1" t="str">
        <f>IFERROR(__xludf.DUMMYFUNCTION("""COMPUTED_VALUE"""),"291105")</f>
        <v>291105</v>
      </c>
      <c r="G1452" s="1" t="str">
        <f>IFERROR(__xludf.DUMMYFUNCTION("""COMPUTED_VALUE"""),"นายสราวุฒิ พณิชยกุล")</f>
        <v>นายสราวุฒิ พณิชยกุล</v>
      </c>
      <c r="H1452" s="1" t="str">
        <f>IFERROR(__xludf.DUMMYFUNCTION("""COMPUTED_VALUE"""),"392433")</f>
        <v>392433</v>
      </c>
      <c r="I1452" s="1" t="str">
        <f>IFERROR(__xludf.DUMMYFUNCTION("""COMPUTED_VALUE"""),"นายพรธิวา ใจอ่อน")</f>
        <v>นายพรธิวา ใจอ่อน</v>
      </c>
      <c r="J1452" s="3">
        <f>IFERROR(__xludf.DUMMYFUNCTION("""COMPUTED_VALUE"""),2454781.0)</f>
        <v>2454781</v>
      </c>
      <c r="K1452" s="3" t="str">
        <f>IFERROR(__xludf.DUMMYFUNCTION("""COMPUTED_VALUE"""),"นายฌานกฤช นันทะโคต")</f>
        <v>นายฌานกฤช นันทะโคต</v>
      </c>
      <c r="L1452" s="1" t="str">
        <f>IFERROR(__xludf.DUMMYFUNCTION("""COMPUTED_VALUE"""),"05 K.Chanakrit N.")</f>
        <v>05 K.Chanakrit N.</v>
      </c>
      <c r="M1452" s="1" t="str">
        <f>IFERROR(__xludf.DUMMYFUNCTION("""COMPUTED_VALUE"""),"090-978-9785 ,065-929-1320")</f>
        <v>090-978-9785 ,065-929-1320</v>
      </c>
      <c r="N1452" s="3">
        <f>IFERROR(__xludf.DUMMYFUNCTION("""COMPUTED_VALUE"""),22195.0)</f>
        <v>22195</v>
      </c>
      <c r="O1452" s="3" t="str">
        <f>IFERROR(__xludf.DUMMYFUNCTION("""COMPUTED_VALUE"""),"MBC กันทรลักษ์ ศรีสะเกษ")</f>
        <v>MBC กันทรลักษ์ ศรีสะเกษ</v>
      </c>
      <c r="P1452" s="4">
        <f>IFERROR(__xludf.DUMMYFUNCTION("""COMPUTED_VALUE"""),43964.0)</f>
        <v>43964</v>
      </c>
      <c r="Q1452" s="3" t="str">
        <f>IFERROR(__xludf.DUMMYFUNCTION("""COMPUTED_VALUE"""),"I")</f>
        <v>I</v>
      </c>
      <c r="R1452" s="3" t="str">
        <f>IFERROR(__xludf.DUMMYFUNCTION("""COMPUTED_VALUE"""),"Small Format")</f>
        <v>Small Format</v>
      </c>
      <c r="S1452" s="3" t="str">
        <f>IFERROR(__xludf.DUMMYFUNCTION("""COMPUTED_VALUE"""),"BCM")</f>
        <v>BCM</v>
      </c>
      <c r="T1452" s="3" t="str">
        <f>IFERROR(__xludf.DUMMYFUNCTION("""COMPUTED_VALUE"""),"#N/A")</f>
        <v>#N/A</v>
      </c>
      <c r="U1452" s="3" t="str">
        <f>IFERROR(__xludf.DUMMYFUNCTION("""COMPUTED_VALUE"""),"#N/A")</f>
        <v>#N/A</v>
      </c>
      <c r="V1452" s="3" t="str">
        <f>IFERROR(__xludf.DUMMYFUNCTION("""COMPUTED_VALUE"""),"N")</f>
        <v>N</v>
      </c>
      <c r="W1452" s="3">
        <f>IFERROR(__xludf.DUMMYFUNCTION("""COMPUTED_VALUE"""),210198.0)</f>
        <v>210198</v>
      </c>
      <c r="X1452" s="3" t="str">
        <f>IFERROR(__xludf.DUMMYFUNCTION("""COMPUTED_VALUE"""),"244 หมู่2 ตำบลบัวขาว อำเภอกุฉินารายณ์ จังหวัดกาฬสินธุ์ 46110")</f>
        <v>244 หมู่2 ตำบลบัวขาว อำเภอกุฉินารายณ์ จังหวัดกาฬสินธุ์ 46110</v>
      </c>
      <c r="Y1452" s="3"/>
      <c r="Z1452" s="3" t="str">
        <f>IFERROR(__xludf.DUMMYFUNCTION("""COMPUTED_VALUE"""),"บัวขาว")</f>
        <v>บัวขาว</v>
      </c>
      <c r="AA1452" s="3" t="str">
        <f>IFERROR(__xludf.DUMMYFUNCTION("""COMPUTED_VALUE"""),"กุฉินารายณ์")</f>
        <v>กุฉินารายณ์</v>
      </c>
      <c r="AB1452" s="3" t="str">
        <f>IFERROR(__xludf.DUMMYFUNCTION("""COMPUTED_VALUE"""),"กาฬสินธุ์")</f>
        <v>กาฬสินธุ์</v>
      </c>
      <c r="AC1452" s="3">
        <f>IFERROR(__xludf.DUMMYFUNCTION("""COMPUTED_VALUE"""),46110.0)</f>
        <v>46110</v>
      </c>
      <c r="AD1452" s="3">
        <f>IFERROR(__xludf.DUMMYFUNCTION("""COMPUTED_VALUE"""),16.535228)</f>
        <v>16.535228</v>
      </c>
      <c r="AE1452" s="3">
        <f>IFERROR(__xludf.DUMMYFUNCTION("""COMPUTED_VALUE"""),104.055633)</f>
        <v>104.055633</v>
      </c>
      <c r="AF1452" s="3" t="str">
        <f>IFERROR(__xludf.DUMMYFUNCTION("""COMPUTED_VALUE"""),"MBC ดิโป้กุฉินารายณ์ กาฬสินธุ์-22136")</f>
        <v>MBC ดิโป้กุฉินารายณ์ กาฬสินธุ์-22136</v>
      </c>
      <c r="AG1452" s="3" t="str">
        <f>IFERROR(__xludf.DUMMYFUNCTION("""COMPUTED_VALUE"""),"ตะวันออกเฉียงเหนือ")</f>
        <v>ตะวันออกเฉียงเหนือ</v>
      </c>
      <c r="AH1452" s="3" t="str">
        <f>IFERROR(__xludf.DUMMYFUNCTION("""COMPUTED_VALUE"""),"#N/A")</f>
        <v>#N/A</v>
      </c>
      <c r="AI1452" s="3" t="str">
        <f>IFERROR(__xludf.DUMMYFUNCTION("""COMPUTED_VALUE"""),"Out of warranty")</f>
        <v>Out of warranty</v>
      </c>
      <c r="AJ1452" s="3">
        <f>IFERROR(__xludf.DUMMYFUNCTION("""COMPUTED_VALUE"""),69.0)</f>
        <v>69</v>
      </c>
      <c r="AK1452" s="3" t="str">
        <f>IFERROR(__xludf.DUMMYFUNCTION("""COMPUTED_VALUE"""),"MMS13")</f>
        <v>MMS13</v>
      </c>
      <c r="AL1452" s="3"/>
    </row>
    <row r="1453" ht="15.75" customHeight="1">
      <c r="A1453" s="1" t="str">
        <f>IFERROR(__xludf.DUMMYFUNCTION("""COMPUTED_VALUE"""),"22137")</f>
        <v>22137</v>
      </c>
      <c r="B1453" s="2">
        <f>IFERROR(__xludf.DUMMYFUNCTION("""COMPUTED_VALUE"""),22137.0)</f>
        <v>22137</v>
      </c>
      <c r="C1453" s="3" t="str">
        <f>IFERROR(__xludf.DUMMYFUNCTION("""COMPUTED_VALUE"""),"MBC ท่าชนะ สุราษฎร์ธานี")</f>
        <v>MBC ท่าชนะ สุราษฎร์ธานี</v>
      </c>
      <c r="D1453" s="3" t="str">
        <f>IFERROR(__xludf.DUMMYFUNCTION("""COMPUTED_VALUE"""),"BCM THACHANA (OPT.2)")</f>
        <v>BCM THACHANA (OPT.2)</v>
      </c>
      <c r="E1453" s="1" t="str">
        <f>IFERROR(__xludf.DUMMYFUNCTION("""COMPUTED_VALUE"""),"บิ๊กซี MINI")</f>
        <v>บิ๊กซี MINI</v>
      </c>
      <c r="F1453" s="1" t="str">
        <f>IFERROR(__xludf.DUMMYFUNCTION("""COMPUTED_VALUE"""),"250760")</f>
        <v>250760</v>
      </c>
      <c r="G1453" s="1" t="str">
        <f>IFERROR(__xludf.DUMMYFUNCTION("""COMPUTED_VALUE"""),"นายประทวน สาราบรรณ์")</f>
        <v>นายประทวน สาราบรรณ์</v>
      </c>
      <c r="H1453" s="1" t="str">
        <f>IFERROR(__xludf.DUMMYFUNCTION("""COMPUTED_VALUE"""),"228389")</f>
        <v>228389</v>
      </c>
      <c r="I1453" s="1" t="str">
        <f>IFERROR(__xludf.DUMMYFUNCTION("""COMPUTED_VALUE"""),"นายมณีรันดร์ ชัยชนะ")</f>
        <v>นายมณีรันดร์ ชัยชนะ</v>
      </c>
      <c r="J1453" s="3">
        <f>IFERROR(__xludf.DUMMYFUNCTION("""COMPUTED_VALUE"""),25324.0)</f>
        <v>25324</v>
      </c>
      <c r="K1453" s="3" t="str">
        <f>IFERROR(__xludf.DUMMYFUNCTION("""COMPUTED_VALUE"""),"นายวิเชฎฐ์ ติรัตนะประคม")</f>
        <v>นายวิเชฎฐ์ ติรัตนะประคม</v>
      </c>
      <c r="L1453" s="1" t="str">
        <f>IFERROR(__xludf.DUMMYFUNCTION("""COMPUTED_VALUE"""),"14 K.Wichet T.")</f>
        <v>14 K.Wichet T.</v>
      </c>
      <c r="M1453" s="1" t="str">
        <f>IFERROR(__xludf.DUMMYFUNCTION("""COMPUTED_VALUE"""),"061-417-6569 / 086-445-5636")</f>
        <v>061-417-6569 / 086-445-5636</v>
      </c>
      <c r="N1453" s="3">
        <f>IFERROR(__xludf.DUMMYFUNCTION("""COMPUTED_VALUE"""),22658.0)</f>
        <v>22658</v>
      </c>
      <c r="O1453" s="3" t="str">
        <f>IFERROR(__xludf.DUMMYFUNCTION("""COMPUTED_VALUE"""),"BCM ถ.วิรัชหงษ์หยก ภูเก็ต")</f>
        <v>BCM ถ.วิรัชหงษ์หยก ภูเก็ต</v>
      </c>
      <c r="P1453" s="4">
        <f>IFERROR(__xludf.DUMMYFUNCTION("""COMPUTED_VALUE"""),43951.0)</f>
        <v>43951</v>
      </c>
      <c r="Q1453" s="3" t="str">
        <f>IFERROR(__xludf.DUMMYFUNCTION("""COMPUTED_VALUE"""),"A")</f>
        <v>A</v>
      </c>
      <c r="R1453" s="3" t="str">
        <f>IFERROR(__xludf.DUMMYFUNCTION("""COMPUTED_VALUE"""),"Small Format")</f>
        <v>Small Format</v>
      </c>
      <c r="S1453" s="3" t="str">
        <f>IFERROR(__xludf.DUMMYFUNCTION("""COMPUTED_VALUE"""),"BCM")</f>
        <v>BCM</v>
      </c>
      <c r="T1453" s="3" t="str">
        <f>IFERROR(__xludf.DUMMYFUNCTION("""COMPUTED_VALUE"""),"#N/A")</f>
        <v>#N/A</v>
      </c>
      <c r="U1453" s="3" t="str">
        <f>IFERROR(__xludf.DUMMYFUNCTION("""COMPUTED_VALUE"""),"#N/A")</f>
        <v>#N/A</v>
      </c>
      <c r="V1453" s="3" t="str">
        <f>IFERROR(__xludf.DUMMYFUNCTION("""COMPUTED_VALUE"""),"N")</f>
        <v>N</v>
      </c>
      <c r="W1453" s="3">
        <f>IFERROR(__xludf.DUMMYFUNCTION("""COMPUTED_VALUE"""),210040.0)</f>
        <v>210040</v>
      </c>
      <c r="X1453" s="3" t="str">
        <f>IFERROR(__xludf.DUMMYFUNCTION("""COMPUTED_VALUE"""),"595 หมู่4 ตำบลท่าชนะ อำเภอท่าชนะ จังหวัดสุราษฎร์ธานี 84170")</f>
        <v>595 หมู่4 ตำบลท่าชนะ อำเภอท่าชนะ จังหวัดสุราษฎร์ธานี 84170</v>
      </c>
      <c r="Y1453" s="3"/>
      <c r="Z1453" s="3" t="str">
        <f>IFERROR(__xludf.DUMMYFUNCTION("""COMPUTED_VALUE"""),"ท่าชนะ")</f>
        <v>ท่าชนะ</v>
      </c>
      <c r="AA1453" s="3" t="str">
        <f>IFERROR(__xludf.DUMMYFUNCTION("""COMPUTED_VALUE"""),"ท่าชนะ")</f>
        <v>ท่าชนะ</v>
      </c>
      <c r="AB1453" s="3" t="str">
        <f>IFERROR(__xludf.DUMMYFUNCTION("""COMPUTED_VALUE"""),"สุราษฎร์ธานี")</f>
        <v>สุราษฎร์ธานี</v>
      </c>
      <c r="AC1453" s="3">
        <f>IFERROR(__xludf.DUMMYFUNCTION("""COMPUTED_VALUE"""),84170.0)</f>
        <v>84170</v>
      </c>
      <c r="AD1453" s="3">
        <f>IFERROR(__xludf.DUMMYFUNCTION("""COMPUTED_VALUE"""),9.563737)</f>
        <v>9.563737</v>
      </c>
      <c r="AE1453" s="3">
        <f>IFERROR(__xludf.DUMMYFUNCTION("""COMPUTED_VALUE"""),99.166553)</f>
        <v>99.166553</v>
      </c>
      <c r="AF1453" s="3" t="str">
        <f>IFERROR(__xludf.DUMMYFUNCTION("""COMPUTED_VALUE"""),"MBC ท่าชนะ สุราษฎร์ธานี-22137")</f>
        <v>MBC ท่าชนะ สุราษฎร์ธานี-22137</v>
      </c>
      <c r="AG1453" s="3" t="str">
        <f>IFERROR(__xludf.DUMMYFUNCTION("""COMPUTED_VALUE"""),"ใต้")</f>
        <v>ใต้</v>
      </c>
      <c r="AH1453" s="3" t="str">
        <f>IFERROR(__xludf.DUMMYFUNCTION("""COMPUTED_VALUE"""),"#N/A")</f>
        <v>#N/A</v>
      </c>
      <c r="AI1453" s="3" t="str">
        <f>IFERROR(__xludf.DUMMYFUNCTION("""COMPUTED_VALUE"""),"Out of warranty")</f>
        <v>Out of warranty</v>
      </c>
      <c r="AJ1453" s="3">
        <f>IFERROR(__xludf.DUMMYFUNCTION("""COMPUTED_VALUE"""),69.0)</f>
        <v>69</v>
      </c>
      <c r="AK1453" s="3" t="str">
        <f>IFERROR(__xludf.DUMMYFUNCTION("""COMPUTED_VALUE"""),"MMS14")</f>
        <v>MMS14</v>
      </c>
      <c r="AL1453" s="3"/>
    </row>
    <row r="1454" ht="15.75" customHeight="1">
      <c r="A1454" s="1" t="str">
        <f>IFERROR(__xludf.DUMMYFUNCTION("""COMPUTED_VALUE"""),"22138")</f>
        <v>22138</v>
      </c>
      <c r="B1454" s="2">
        <f>IFERROR(__xludf.DUMMYFUNCTION("""COMPUTED_VALUE"""),22138.0)</f>
        <v>22138</v>
      </c>
      <c r="C1454" s="3" t="str">
        <f>IFERROR(__xludf.DUMMYFUNCTION("""COMPUTED_VALUE"""),"MBC ตลาดหนองแฟบ ชลบุรี")</f>
        <v>MBC ตลาดหนองแฟบ ชลบุรี</v>
      </c>
      <c r="D1454" s="3" t="str">
        <f>IFERROR(__xludf.DUMMYFUNCTION("""COMPUTED_VALUE"""),"BCM TALAD NONG FAB")</f>
        <v>BCM TALAD NONG FAB</v>
      </c>
      <c r="E1454" s="1" t="str">
        <f>IFERROR(__xludf.DUMMYFUNCTION("""COMPUTED_VALUE"""),"บิ๊กซี MINI")</f>
        <v>บิ๊กซี MINI</v>
      </c>
      <c r="F1454" s="1" t="str">
        <f>IFERROR(__xludf.DUMMYFUNCTION("""COMPUTED_VALUE"""),"221716")</f>
        <v>221716</v>
      </c>
      <c r="G1454" s="1" t="str">
        <f>IFERROR(__xludf.DUMMYFUNCTION("""COMPUTED_VALUE"""),"น.ส.เบญจพร โพธิสาร")</f>
        <v>น.ส.เบญจพร โพธิสาร</v>
      </c>
      <c r="H1454" s="1" t="str">
        <f>IFERROR(__xludf.DUMMYFUNCTION("""COMPUTED_VALUE"""),"2452265")</f>
        <v>2452265</v>
      </c>
      <c r="I1454" s="1" t="str">
        <f>IFERROR(__xludf.DUMMYFUNCTION("""COMPUTED_VALUE"""),"นายพิทยา จันทร์ประเทศ")</f>
        <v>นายพิทยา จันทร์ประเทศ</v>
      </c>
      <c r="J1454" s="3">
        <f>IFERROR(__xludf.DUMMYFUNCTION("""COMPUTED_VALUE"""),296942.0)</f>
        <v>296942</v>
      </c>
      <c r="K1454" s="3" t="str">
        <f>IFERROR(__xludf.DUMMYFUNCTION("""COMPUTED_VALUE"""),"นายปิยะ รักษากิจ")</f>
        <v>นายปิยะ รักษากิจ</v>
      </c>
      <c r="L1454" s="1" t="str">
        <f>IFERROR(__xludf.DUMMYFUNCTION("""COMPUTED_VALUE"""),"07 K.Piya R.")</f>
        <v>07 K.Piya R.</v>
      </c>
      <c r="M1454" s="1" t="str">
        <f>IFERROR(__xludf.DUMMYFUNCTION("""COMPUTED_VALUE"""),"097-919-5476")</f>
        <v>097-919-5476</v>
      </c>
      <c r="N1454" s="3">
        <f>IFERROR(__xludf.DUMMYFUNCTION("""COMPUTED_VALUE"""),21332.0)</f>
        <v>21332</v>
      </c>
      <c r="O1454" s="3" t="str">
        <f>IFERROR(__xludf.DUMMYFUNCTION("""COMPUTED_VALUE"""),"MBC BCP อ่อนนุช 17/1")</f>
        <v>MBC BCP อ่อนนุช 17/1</v>
      </c>
      <c r="P1454" s="4">
        <f>IFERROR(__xludf.DUMMYFUNCTION("""COMPUTED_VALUE"""),43979.0)</f>
        <v>43979</v>
      </c>
      <c r="Q1454" s="3" t="str">
        <f>IFERROR(__xludf.DUMMYFUNCTION("""COMPUTED_VALUE"""),"A")</f>
        <v>A</v>
      </c>
      <c r="R1454" s="3" t="str">
        <f>IFERROR(__xludf.DUMMYFUNCTION("""COMPUTED_VALUE"""),"Small Format")</f>
        <v>Small Format</v>
      </c>
      <c r="S1454" s="3" t="str">
        <f>IFERROR(__xludf.DUMMYFUNCTION("""COMPUTED_VALUE"""),"BCM")</f>
        <v>BCM</v>
      </c>
      <c r="T1454" s="3" t="str">
        <f>IFERROR(__xludf.DUMMYFUNCTION("""COMPUTED_VALUE"""),"#N/A")</f>
        <v>#N/A</v>
      </c>
      <c r="U1454" s="3" t="str">
        <f>IFERROR(__xludf.DUMMYFUNCTION("""COMPUTED_VALUE"""),"#N/A")</f>
        <v>#N/A</v>
      </c>
      <c r="V1454" s="3" t="str">
        <f>IFERROR(__xludf.DUMMYFUNCTION("""COMPUTED_VALUE"""),"N")</f>
        <v>N</v>
      </c>
      <c r="W1454" s="3">
        <f>IFERROR(__xludf.DUMMYFUNCTION("""COMPUTED_VALUE"""),210128.0)</f>
        <v>210128</v>
      </c>
      <c r="X1454" s="3" t="str">
        <f>IFERROR(__xludf.DUMMYFUNCTION("""COMPUTED_VALUE"""),"97/21 หมู่7 ตำบลหนองตำลึง อำเภอพานทอง จังหวัดชลบุรี 20160")</f>
        <v>97/21 หมู่7 ตำบลหนองตำลึง อำเภอพานทอง จังหวัดชลบุรี 20160</v>
      </c>
      <c r="Y1454" s="3"/>
      <c r="Z1454" s="3" t="str">
        <f>IFERROR(__xludf.DUMMYFUNCTION("""COMPUTED_VALUE"""),"หนองตำลึง")</f>
        <v>หนองตำลึง</v>
      </c>
      <c r="AA1454" s="3" t="str">
        <f>IFERROR(__xludf.DUMMYFUNCTION("""COMPUTED_VALUE"""),"พานทอง")</f>
        <v>พานทอง</v>
      </c>
      <c r="AB1454" s="3" t="str">
        <f>IFERROR(__xludf.DUMMYFUNCTION("""COMPUTED_VALUE"""),"ชลบุรี")</f>
        <v>ชลบุรี</v>
      </c>
      <c r="AC1454" s="3">
        <f>IFERROR(__xludf.DUMMYFUNCTION("""COMPUTED_VALUE"""),20160.0)</f>
        <v>20160</v>
      </c>
      <c r="AD1454" s="3">
        <f>IFERROR(__xludf.DUMMYFUNCTION("""COMPUTED_VALUE"""),13.390921)</f>
        <v>13.390921</v>
      </c>
      <c r="AE1454" s="3">
        <f>IFERROR(__xludf.DUMMYFUNCTION("""COMPUTED_VALUE"""),101.063668)</f>
        <v>101.063668</v>
      </c>
      <c r="AF1454" s="3" t="str">
        <f>IFERROR(__xludf.DUMMYFUNCTION("""COMPUTED_VALUE"""),"MBC ตลาดหนองแฟบ ชลบุรี-22138")</f>
        <v>MBC ตลาดหนองแฟบ ชลบุรี-22138</v>
      </c>
      <c r="AG1454" s="3" t="str">
        <f>IFERROR(__xludf.DUMMYFUNCTION("""COMPUTED_VALUE"""),"ตะวันออก")</f>
        <v>ตะวันออก</v>
      </c>
      <c r="AH1454" s="3" t="str">
        <f>IFERROR(__xludf.DUMMYFUNCTION("""COMPUTED_VALUE"""),"#N/A")</f>
        <v>#N/A</v>
      </c>
      <c r="AI1454" s="3" t="str">
        <f>IFERROR(__xludf.DUMMYFUNCTION("""COMPUTED_VALUE"""),"Out of warranty")</f>
        <v>Out of warranty</v>
      </c>
      <c r="AJ1454" s="3">
        <f>IFERROR(__xludf.DUMMYFUNCTION("""COMPUTED_VALUE"""),68.0)</f>
        <v>68</v>
      </c>
      <c r="AK1454" s="3" t="str">
        <f>IFERROR(__xludf.DUMMYFUNCTION("""COMPUTED_VALUE"""),"MMS07")</f>
        <v>MMS07</v>
      </c>
      <c r="AL1454" s="3"/>
    </row>
    <row r="1455" ht="15.75" customHeight="1">
      <c r="A1455" s="1" t="str">
        <f>IFERROR(__xludf.DUMMYFUNCTION("""COMPUTED_VALUE"""),"22139")</f>
        <v>22139</v>
      </c>
      <c r="B1455" s="2">
        <f>IFERROR(__xludf.DUMMYFUNCTION("""COMPUTED_VALUE"""),22139.0)</f>
        <v>22139</v>
      </c>
      <c r="C1455" s="3" t="str">
        <f>IFERROR(__xludf.DUMMYFUNCTION("""COMPUTED_VALUE"""),"MBC ซอยกอไผ่ ชลบุรี")</f>
        <v>MBC ซอยกอไผ่ ชลบุรี</v>
      </c>
      <c r="D1455" s="3" t="str">
        <f>IFERROR(__xludf.DUMMYFUNCTION("""COMPUTED_VALUE"""),"BCM SOI KOR PAI CHONBURI")</f>
        <v>BCM SOI KOR PAI CHONBURI</v>
      </c>
      <c r="E1455" s="1" t="str">
        <f>IFERROR(__xludf.DUMMYFUNCTION("""COMPUTED_VALUE"""),"บิ๊กซี MINI")</f>
        <v>บิ๊กซี MINI</v>
      </c>
      <c r="F1455" s="1" t="str">
        <f>IFERROR(__xludf.DUMMYFUNCTION("""COMPUTED_VALUE"""),"221716")</f>
        <v>221716</v>
      </c>
      <c r="G1455" s="1" t="str">
        <f>IFERROR(__xludf.DUMMYFUNCTION("""COMPUTED_VALUE"""),"น.ส.เบญจพร โพธิสาร")</f>
        <v>น.ส.เบญจพร โพธิสาร</v>
      </c>
      <c r="H1455" s="1" t="str">
        <f>IFERROR(__xludf.DUMMYFUNCTION("""COMPUTED_VALUE"""),"313065")</f>
        <v>313065</v>
      </c>
      <c r="I1455" s="1" t="str">
        <f>IFERROR(__xludf.DUMMYFUNCTION("""COMPUTED_VALUE"""),"นายจิรายุทธ กันทา")</f>
        <v>นายจิรายุทธ กันทา</v>
      </c>
      <c r="J1455" s="3">
        <f>IFERROR(__xludf.DUMMYFUNCTION("""COMPUTED_VALUE"""),1.3461215E7)</f>
        <v>13461215</v>
      </c>
      <c r="K1455" s="3" t="str">
        <f>IFERROR(__xludf.DUMMYFUNCTION("""COMPUTED_VALUE"""),"นายธีรภัทร สังข์เงิน")</f>
        <v>นายธีรภัทร สังข์เงิน</v>
      </c>
      <c r="L1455" s="1" t="str">
        <f>IFERROR(__xludf.DUMMYFUNCTION("""COMPUTED_VALUE"""),"06 K.Teerapat")</f>
        <v>06 K.Teerapat</v>
      </c>
      <c r="M1455" s="1" t="str">
        <f>IFERROR(__xludf.DUMMYFUNCTION("""COMPUTED_VALUE"""),"063-601-6803")</f>
        <v>063-601-6803</v>
      </c>
      <c r="N1455" s="3">
        <f>IFERROR(__xludf.DUMMYFUNCTION("""COMPUTED_VALUE"""),22115.0)</f>
        <v>22115</v>
      </c>
      <c r="O1455" s="3" t="str">
        <f>IFERROR(__xludf.DUMMYFUNCTION("""COMPUTED_VALUE"""),"MBC เลี่ยงหนองมน ชลบุรี")</f>
        <v>MBC เลี่ยงหนองมน ชลบุรี</v>
      </c>
      <c r="P1455" s="4">
        <f>IFERROR(__xludf.DUMMYFUNCTION("""COMPUTED_VALUE"""),44039.0)</f>
        <v>44039</v>
      </c>
      <c r="Q1455" s="3" t="str">
        <f>IFERROR(__xludf.DUMMYFUNCTION("""COMPUTED_VALUE"""),"A")</f>
        <v>A</v>
      </c>
      <c r="R1455" s="3" t="str">
        <f>IFERROR(__xludf.DUMMYFUNCTION("""COMPUTED_VALUE"""),"Small Format")</f>
        <v>Small Format</v>
      </c>
      <c r="S1455" s="3" t="str">
        <f>IFERROR(__xludf.DUMMYFUNCTION("""COMPUTED_VALUE"""),"BCM")</f>
        <v>BCM</v>
      </c>
      <c r="T1455" s="3" t="str">
        <f>IFERROR(__xludf.DUMMYFUNCTION("""COMPUTED_VALUE"""),"#N/A")</f>
        <v>#N/A</v>
      </c>
      <c r="U1455" s="3" t="str">
        <f>IFERROR(__xludf.DUMMYFUNCTION("""COMPUTED_VALUE"""),"#N/A")</f>
        <v>#N/A</v>
      </c>
      <c r="V1455" s="3" t="str">
        <f>IFERROR(__xludf.DUMMYFUNCTION("""COMPUTED_VALUE"""),"N")</f>
        <v>N</v>
      </c>
      <c r="W1455" s="3">
        <f>IFERROR(__xludf.DUMMYFUNCTION("""COMPUTED_VALUE"""),211761.0)</f>
        <v>211761</v>
      </c>
      <c r="X1455" s="3" t="str">
        <f>IFERROR(__xludf.DUMMYFUNCTION("""COMPUTED_VALUE"""),"449/189 หมู่ที่10 ตำบลหนองปรือ อำเภอบางละมุง จังหวัดชลุบุรี 20150")</f>
        <v>449/189 หมู่ที่10 ตำบลหนองปรือ อำเภอบางละมุง จังหวัดชลุบุรี 20150</v>
      </c>
      <c r="Y1455" s="3"/>
      <c r="Z1455" s="3" t="str">
        <f>IFERROR(__xludf.DUMMYFUNCTION("""COMPUTED_VALUE"""),"หนองปรือ")</f>
        <v>หนองปรือ</v>
      </c>
      <c r="AA1455" s="3" t="str">
        <f>IFERROR(__xludf.DUMMYFUNCTION("""COMPUTED_VALUE"""),"บางละมุง")</f>
        <v>บางละมุง</v>
      </c>
      <c r="AB1455" s="3" t="str">
        <f>IFERROR(__xludf.DUMMYFUNCTION("""COMPUTED_VALUE"""),"ชลบุรี")</f>
        <v>ชลบุรี</v>
      </c>
      <c r="AC1455" s="3">
        <f>IFERROR(__xludf.DUMMYFUNCTION("""COMPUTED_VALUE"""),20150.0)</f>
        <v>20150</v>
      </c>
      <c r="AD1455" s="3">
        <f>IFERROR(__xludf.DUMMYFUNCTION("""COMPUTED_VALUE"""),12.914688)</f>
        <v>12.914688</v>
      </c>
      <c r="AE1455" s="3">
        <f>IFERROR(__xludf.DUMMYFUNCTION("""COMPUTED_VALUE"""),100.885808)</f>
        <v>100.885808</v>
      </c>
      <c r="AF1455" s="3" t="str">
        <f>IFERROR(__xludf.DUMMYFUNCTION("""COMPUTED_VALUE"""),"MBC ซอยกอไผ่ ชลบุรี-22139")</f>
        <v>MBC ซอยกอไผ่ ชลบุรี-22139</v>
      </c>
      <c r="AG1455" s="3" t="str">
        <f>IFERROR(__xludf.DUMMYFUNCTION("""COMPUTED_VALUE"""),"ตะวันออก")</f>
        <v>ตะวันออก</v>
      </c>
      <c r="AH1455" s="3" t="str">
        <f>IFERROR(__xludf.DUMMYFUNCTION("""COMPUTED_VALUE"""),"#N/A")</f>
        <v>#N/A</v>
      </c>
      <c r="AI1455" s="3" t="str">
        <f>IFERROR(__xludf.DUMMYFUNCTION("""COMPUTED_VALUE"""),"Out of warranty")</f>
        <v>Out of warranty</v>
      </c>
      <c r="AJ1455" s="3">
        <f>IFERROR(__xludf.DUMMYFUNCTION("""COMPUTED_VALUE"""),66.0)</f>
        <v>66</v>
      </c>
      <c r="AK1455" s="3" t="str">
        <f>IFERROR(__xludf.DUMMYFUNCTION("""COMPUTED_VALUE"""),"MMS06")</f>
        <v>MMS06</v>
      </c>
      <c r="AL1455" s="3"/>
    </row>
    <row r="1456" ht="15.75" customHeight="1">
      <c r="A1456" s="1" t="str">
        <f>IFERROR(__xludf.DUMMYFUNCTION("""COMPUTED_VALUE"""),"22140")</f>
        <v>22140</v>
      </c>
      <c r="B1456" s="2">
        <f>IFERROR(__xludf.DUMMYFUNCTION("""COMPUTED_VALUE"""),22140.0)</f>
        <v>22140</v>
      </c>
      <c r="C1456" s="3" t="str">
        <f>IFERROR(__xludf.DUMMYFUNCTION("""COMPUTED_VALUE"""),"MBC ถนนนาเกลือ 2 ปัตตานี")</f>
        <v>MBC ถนนนาเกลือ 2 ปัตตานี</v>
      </c>
      <c r="D1456" s="3" t="str">
        <f>IFERROR(__xludf.DUMMYFUNCTION("""COMPUTED_VALUE"""),"BCM THANON NAKLUA 2")</f>
        <v>BCM THANON NAKLUA 2</v>
      </c>
      <c r="E1456" s="1" t="str">
        <f>IFERROR(__xludf.DUMMYFUNCTION("""COMPUTED_VALUE"""),"บิ๊กซี MINI")</f>
        <v>บิ๊กซี MINI</v>
      </c>
      <c r="F1456" s="1" t="str">
        <f>IFERROR(__xludf.DUMMYFUNCTION("""COMPUTED_VALUE"""),"250760")</f>
        <v>250760</v>
      </c>
      <c r="G1456" s="1" t="str">
        <f>IFERROR(__xludf.DUMMYFUNCTION("""COMPUTED_VALUE"""),"นายประทวน สาราบรรณ์")</f>
        <v>นายประทวน สาราบรรณ์</v>
      </c>
      <c r="H1456" s="1" t="str">
        <f>IFERROR(__xludf.DUMMYFUNCTION("""COMPUTED_VALUE"""),"394185")</f>
        <v>394185</v>
      </c>
      <c r="I1456" s="1" t="str">
        <f>IFERROR(__xludf.DUMMYFUNCTION("""COMPUTED_VALUE"""),"น.ส.ฐาปนี สุวรรณรัตน์")</f>
        <v>น.ส.ฐาปนี สุวรรณรัตน์</v>
      </c>
      <c r="J1456" s="3">
        <f>IFERROR(__xludf.DUMMYFUNCTION("""COMPUTED_VALUE"""),2.0470331E7)</f>
        <v>20470331</v>
      </c>
      <c r="K1456" s="3" t="str">
        <f>IFERROR(__xludf.DUMMYFUNCTION("""COMPUTED_VALUE"""),"นายสมชาย ลักษณะสุวรรณ")</f>
        <v>นายสมชาย ลักษณะสุวรรณ</v>
      </c>
      <c r="L1456" s="1" t="str">
        <f>IFERROR(__xludf.DUMMYFUNCTION("""COMPUTED_VALUE"""),"15 K.Somchai L")</f>
        <v>15 K.Somchai L</v>
      </c>
      <c r="M1456" s="1" t="str">
        <f>IFERROR(__xludf.DUMMYFUNCTION("""COMPUTED_VALUE"""),"0655107372")</f>
        <v>0655107372</v>
      </c>
      <c r="N1456" s="3">
        <f>IFERROR(__xludf.DUMMYFUNCTION("""COMPUTED_VALUE"""),21723.0)</f>
        <v>21723</v>
      </c>
      <c r="O1456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456" s="4">
        <f>IFERROR(__xludf.DUMMYFUNCTION("""COMPUTED_VALUE"""),43997.0)</f>
        <v>43997</v>
      </c>
      <c r="Q1456" s="3" t="str">
        <f>IFERROR(__xludf.DUMMYFUNCTION("""COMPUTED_VALUE"""),"A")</f>
        <v>A</v>
      </c>
      <c r="R1456" s="3" t="str">
        <f>IFERROR(__xludf.DUMMYFUNCTION("""COMPUTED_VALUE"""),"Small Format")</f>
        <v>Small Format</v>
      </c>
      <c r="S1456" s="3" t="str">
        <f>IFERROR(__xludf.DUMMYFUNCTION("""COMPUTED_VALUE"""),"BCM")</f>
        <v>BCM</v>
      </c>
      <c r="T1456" s="3" t="str">
        <f>IFERROR(__xludf.DUMMYFUNCTION("""COMPUTED_VALUE"""),"#N/A")</f>
        <v>#N/A</v>
      </c>
      <c r="U1456" s="3" t="str">
        <f>IFERROR(__xludf.DUMMYFUNCTION("""COMPUTED_VALUE"""),"#N/A")</f>
        <v>#N/A</v>
      </c>
      <c r="V1456" s="3" t="str">
        <f>IFERROR(__xludf.DUMMYFUNCTION("""COMPUTED_VALUE"""),"N")</f>
        <v>N</v>
      </c>
      <c r="W1456" s="3">
        <f>IFERROR(__xludf.DUMMYFUNCTION("""COMPUTED_VALUE"""),210156.0)</f>
        <v>210156</v>
      </c>
      <c r="X1456" s="3" t="str">
        <f>IFERROR(__xludf.DUMMYFUNCTION("""COMPUTED_VALUE"""),"122/101 หมู่8 ตำบลบานา อำเภอเมืองปัตตานี จังหวัดปัตตานี 94000")</f>
        <v>122/101 หมู่8 ตำบลบานา อำเภอเมืองปัตตานี จังหวัดปัตตานี 94000</v>
      </c>
      <c r="Y1456" s="3"/>
      <c r="Z1456" s="3" t="str">
        <f>IFERROR(__xludf.DUMMYFUNCTION("""COMPUTED_VALUE"""),"บานา")</f>
        <v>บานา</v>
      </c>
      <c r="AA1456" s="3" t="str">
        <f>IFERROR(__xludf.DUMMYFUNCTION("""COMPUTED_VALUE"""),"เมือง")</f>
        <v>เมือง</v>
      </c>
      <c r="AB1456" s="3" t="str">
        <f>IFERROR(__xludf.DUMMYFUNCTION("""COMPUTED_VALUE"""),"ปัตตานี")</f>
        <v>ปัตตานี</v>
      </c>
      <c r="AC1456" s="3">
        <f>IFERROR(__xludf.DUMMYFUNCTION("""COMPUTED_VALUE"""),94000.0)</f>
        <v>94000</v>
      </c>
      <c r="AD1456" s="3">
        <f>IFERROR(__xludf.DUMMYFUNCTION("""COMPUTED_VALUE"""),6.884514)</f>
        <v>6.884514</v>
      </c>
      <c r="AE1456" s="3">
        <f>IFERROR(__xludf.DUMMYFUNCTION("""COMPUTED_VALUE"""),101.261211)</f>
        <v>101.261211</v>
      </c>
      <c r="AF1456" s="3" t="str">
        <f>IFERROR(__xludf.DUMMYFUNCTION("""COMPUTED_VALUE"""),"MBC ถนนนาเกลือ 2 ปัตตานี-22140")</f>
        <v>MBC ถนนนาเกลือ 2 ปัตตานี-22140</v>
      </c>
      <c r="AG1456" s="3" t="str">
        <f>IFERROR(__xludf.DUMMYFUNCTION("""COMPUTED_VALUE"""),"ใต้")</f>
        <v>ใต้</v>
      </c>
      <c r="AH1456" s="3" t="str">
        <f>IFERROR(__xludf.DUMMYFUNCTION("""COMPUTED_VALUE"""),"#N/A")</f>
        <v>#N/A</v>
      </c>
      <c r="AI1456" s="3" t="str">
        <f>IFERROR(__xludf.DUMMYFUNCTION("""COMPUTED_VALUE"""),"Out of warranty")</f>
        <v>Out of warranty</v>
      </c>
      <c r="AJ1456" s="3">
        <f>IFERROR(__xludf.DUMMYFUNCTION("""COMPUTED_VALUE"""),68.0)</f>
        <v>68</v>
      </c>
      <c r="AK1456" s="3" t="str">
        <f>IFERROR(__xludf.DUMMYFUNCTION("""COMPUTED_VALUE"""),"MMS16")</f>
        <v>MMS16</v>
      </c>
      <c r="AL1456" s="3"/>
    </row>
    <row r="1457" ht="15.75" customHeight="1">
      <c r="A1457" s="1" t="str">
        <f>IFERROR(__xludf.DUMMYFUNCTION("""COMPUTED_VALUE"""),"22141")</f>
        <v>22141</v>
      </c>
      <c r="B1457" s="2">
        <f>IFERROR(__xludf.DUMMYFUNCTION("""COMPUTED_VALUE"""),22141.0)</f>
        <v>22141</v>
      </c>
      <c r="C1457" s="3" t="str">
        <f>IFERROR(__xludf.DUMMYFUNCTION("""COMPUTED_VALUE"""),"MBC หาดคลองม่วง กระบี่")</f>
        <v>MBC หาดคลองม่วง กระบี่</v>
      </c>
      <c r="D1457" s="3" t="str">
        <f>IFERROR(__xludf.DUMMYFUNCTION("""COMPUTED_VALUE"""),"BCM HAT KLONG MAUNG")</f>
        <v>BCM HAT KLONG MAUNG</v>
      </c>
      <c r="E1457" s="1" t="str">
        <f>IFERROR(__xludf.DUMMYFUNCTION("""COMPUTED_VALUE"""),"บิ๊กซี MINI")</f>
        <v>บิ๊กซี MINI</v>
      </c>
      <c r="F1457" s="1" t="str">
        <f>IFERROR(__xludf.DUMMYFUNCTION("""COMPUTED_VALUE"""),"250760")</f>
        <v>250760</v>
      </c>
      <c r="G1457" s="1" t="str">
        <f>IFERROR(__xludf.DUMMYFUNCTION("""COMPUTED_VALUE"""),"นายประทวน สาราบรรณ์")</f>
        <v>นายประทวน สาราบรรณ์</v>
      </c>
      <c r="H1457" s="1" t="str">
        <f>IFERROR(__xludf.DUMMYFUNCTION("""COMPUTED_VALUE"""),"394143")</f>
        <v>394143</v>
      </c>
      <c r="I1457" s="1" t="str">
        <f>IFERROR(__xludf.DUMMYFUNCTION("""COMPUTED_VALUE"""),"นายวิษณุ เพชรหัตถ์")</f>
        <v>นายวิษณุ เพชรหัตถ์</v>
      </c>
      <c r="J1457" s="3">
        <f>IFERROR(__xludf.DUMMYFUNCTION("""COMPUTED_VALUE"""),2.0470331E7)</f>
        <v>20470331</v>
      </c>
      <c r="K1457" s="3" t="str">
        <f>IFERROR(__xludf.DUMMYFUNCTION("""COMPUTED_VALUE"""),"นายสมชาย ลักษณะสุวรรณ")</f>
        <v>นายสมชาย ลักษณะสุวรรณ</v>
      </c>
      <c r="L1457" s="1" t="str">
        <f>IFERROR(__xludf.DUMMYFUNCTION("""COMPUTED_VALUE"""),"15 K.Somchai L")</f>
        <v>15 K.Somchai L</v>
      </c>
      <c r="M1457" s="1" t="str">
        <f>IFERROR(__xludf.DUMMYFUNCTION("""COMPUTED_VALUE"""),"0655107372")</f>
        <v>0655107372</v>
      </c>
      <c r="N1457" s="3">
        <f>IFERROR(__xludf.DUMMYFUNCTION("""COMPUTED_VALUE"""),21723.0)</f>
        <v>21723</v>
      </c>
      <c r="O1457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457" s="4">
        <f>IFERROR(__xludf.DUMMYFUNCTION("""COMPUTED_VALUE"""),43978.0)</f>
        <v>43978</v>
      </c>
      <c r="Q1457" s="3" t="str">
        <f>IFERROR(__xludf.DUMMYFUNCTION("""COMPUTED_VALUE"""),"A")</f>
        <v>A</v>
      </c>
      <c r="R1457" s="3" t="str">
        <f>IFERROR(__xludf.DUMMYFUNCTION("""COMPUTED_VALUE"""),"Small Format")</f>
        <v>Small Format</v>
      </c>
      <c r="S1457" s="3" t="str">
        <f>IFERROR(__xludf.DUMMYFUNCTION("""COMPUTED_VALUE"""),"BCM")</f>
        <v>BCM</v>
      </c>
      <c r="T1457" s="3" t="str">
        <f>IFERROR(__xludf.DUMMYFUNCTION("""COMPUTED_VALUE"""),"#N/A")</f>
        <v>#N/A</v>
      </c>
      <c r="U1457" s="3" t="str">
        <f>IFERROR(__xludf.DUMMYFUNCTION("""COMPUTED_VALUE"""),"#N/A")</f>
        <v>#N/A</v>
      </c>
      <c r="V1457" s="3" t="str">
        <f>IFERROR(__xludf.DUMMYFUNCTION("""COMPUTED_VALUE"""),"N")</f>
        <v>N</v>
      </c>
      <c r="W1457" s="3">
        <f>IFERROR(__xludf.DUMMYFUNCTION("""COMPUTED_VALUE"""),210160.0)</f>
        <v>210160</v>
      </c>
      <c r="X1457" s="3" t="str">
        <f>IFERROR(__xludf.DUMMYFUNCTION("""COMPUTED_VALUE"""),"466 หมู่2 ตำบลหนองทะเล อำเภอเมืองกระบี่ จังหวัดกระบี่ 81000")</f>
        <v>466 หมู่2 ตำบลหนองทะเล อำเภอเมืองกระบี่ จังหวัดกระบี่ 81000</v>
      </c>
      <c r="Y1457" s="3"/>
      <c r="Z1457" s="3" t="str">
        <f>IFERROR(__xludf.DUMMYFUNCTION("""COMPUTED_VALUE"""),"หนองทะเล")</f>
        <v>หนองทะเล</v>
      </c>
      <c r="AA1457" s="3" t="str">
        <f>IFERROR(__xludf.DUMMYFUNCTION("""COMPUTED_VALUE"""),"เมือง")</f>
        <v>เมือง</v>
      </c>
      <c r="AB1457" s="3" t="str">
        <f>IFERROR(__xludf.DUMMYFUNCTION("""COMPUTED_VALUE"""),"กระบี่")</f>
        <v>กระบี่</v>
      </c>
      <c r="AC1457" s="3">
        <f>IFERROR(__xludf.DUMMYFUNCTION("""COMPUTED_VALUE"""),81000.0)</f>
        <v>81000</v>
      </c>
      <c r="AD1457" s="3">
        <f>IFERROR(__xludf.DUMMYFUNCTION("""COMPUTED_VALUE"""),8.052678)</f>
        <v>8.052678</v>
      </c>
      <c r="AE1457" s="3">
        <f>IFERROR(__xludf.DUMMYFUNCTION("""COMPUTED_VALUE"""),98.759931)</f>
        <v>98.759931</v>
      </c>
      <c r="AF1457" s="3" t="str">
        <f>IFERROR(__xludf.DUMMYFUNCTION("""COMPUTED_VALUE"""),"MBC หาดคลองม่วง กระบี่-22141")</f>
        <v>MBC หาดคลองม่วง กระบี่-22141</v>
      </c>
      <c r="AG1457" s="3" t="str">
        <f>IFERROR(__xludf.DUMMYFUNCTION("""COMPUTED_VALUE"""),"ใต้")</f>
        <v>ใต้</v>
      </c>
      <c r="AH1457" s="3" t="str">
        <f>IFERROR(__xludf.DUMMYFUNCTION("""COMPUTED_VALUE"""),"#N/A")</f>
        <v>#N/A</v>
      </c>
      <c r="AI1457" s="3" t="str">
        <f>IFERROR(__xludf.DUMMYFUNCTION("""COMPUTED_VALUE"""),"Out of warranty")</f>
        <v>Out of warranty</v>
      </c>
      <c r="AJ1457" s="3">
        <f>IFERROR(__xludf.DUMMYFUNCTION("""COMPUTED_VALUE"""),68.0)</f>
        <v>68</v>
      </c>
      <c r="AK1457" s="3" t="str">
        <f>IFERROR(__xludf.DUMMYFUNCTION("""COMPUTED_VALUE"""),"MMS15")</f>
        <v>MMS15</v>
      </c>
      <c r="AL1457" s="3"/>
    </row>
    <row r="1458" ht="15.75" customHeight="1">
      <c r="A1458" s="1" t="str">
        <f>IFERROR(__xludf.DUMMYFUNCTION("""COMPUTED_VALUE"""),"22142")</f>
        <v>22142</v>
      </c>
      <c r="B1458" s="2">
        <f>IFERROR(__xludf.DUMMYFUNCTION("""COMPUTED_VALUE"""),22142.0)</f>
        <v>22142</v>
      </c>
      <c r="C1458" s="3" t="str">
        <f>IFERROR(__xludf.DUMMYFUNCTION("""COMPUTED_VALUE"""),"MBC ดีโป้ปักธงชัย นครราชสีมา")</f>
        <v>MBC ดีโป้ปักธงชัย นครราชสีมา</v>
      </c>
      <c r="D1458" s="3" t="str">
        <f>IFERROR(__xludf.DUMMYFUNCTION("""COMPUTED_VALUE"""),"BCM DEPOT PAKTHONGCHAI")</f>
        <v>BCM DEPOT PAKTHONGCHAI</v>
      </c>
      <c r="E1458" s="1" t="str">
        <f>IFERROR(__xludf.DUMMYFUNCTION("""COMPUTED_VALUE"""),"บิ๊กซี MINI")</f>
        <v>บิ๊กซี MINI</v>
      </c>
      <c r="F1458" s="1" t="str">
        <f>IFERROR(__xludf.DUMMYFUNCTION("""COMPUTED_VALUE"""),"291105")</f>
        <v>291105</v>
      </c>
      <c r="G1458" s="1" t="str">
        <f>IFERROR(__xludf.DUMMYFUNCTION("""COMPUTED_VALUE"""),"นายสราวุฒิ พณิชยกุล")</f>
        <v>นายสราวุฒิ พณิชยกุล</v>
      </c>
      <c r="H1458" s="1" t="str">
        <f>IFERROR(__xludf.DUMMYFUNCTION("""COMPUTED_VALUE"""),"392433")</f>
        <v>392433</v>
      </c>
      <c r="I1458" s="1" t="str">
        <f>IFERROR(__xludf.DUMMYFUNCTION("""COMPUTED_VALUE"""),"นายพรธิวา ใจอ่อน")</f>
        <v>นายพรธิวา ใจอ่อน</v>
      </c>
      <c r="J1458" s="3">
        <f>IFERROR(__xludf.DUMMYFUNCTION("""COMPUTED_VALUE"""),295886.0)</f>
        <v>295886</v>
      </c>
      <c r="K1458" s="3" t="str">
        <f>IFERROR(__xludf.DUMMYFUNCTION("""COMPUTED_VALUE"""),"นายจิระพงษ์ โพธิ์นิล")</f>
        <v>นายจิระพงษ์ โพธิ์นิล</v>
      </c>
      <c r="L1458" s="1" t="str">
        <f>IFERROR(__xludf.DUMMYFUNCTION("""COMPUTED_VALUE"""),"นายจิระพงษ์ โพธิ์นิล")</f>
        <v>นายจิระพงษ์ โพธิ์นิล</v>
      </c>
      <c r="M1458" s="1" t="str">
        <f>IFERROR(__xludf.DUMMYFUNCTION("""COMPUTED_VALUE"""),"0933290754")</f>
        <v>0933290754</v>
      </c>
      <c r="N1458" s="3">
        <f>IFERROR(__xludf.DUMMYFUNCTION("""COMPUTED_VALUE"""),21622.0)</f>
        <v>21622</v>
      </c>
      <c r="O1458" s="3" t="str">
        <f>IFERROR(__xludf.DUMMYFUNCTION("""COMPUTED_VALUE"""),"MBC ตลาดบ้านดอน")</f>
        <v>MBC ตลาดบ้านดอน</v>
      </c>
      <c r="P1458" s="4">
        <f>IFERROR(__xludf.DUMMYFUNCTION("""COMPUTED_VALUE"""),43975.0)</f>
        <v>43975</v>
      </c>
      <c r="Q1458" s="3" t="str">
        <f>IFERROR(__xludf.DUMMYFUNCTION("""COMPUTED_VALUE"""),"I")</f>
        <v>I</v>
      </c>
      <c r="R1458" s="3" t="str">
        <f>IFERROR(__xludf.DUMMYFUNCTION("""COMPUTED_VALUE"""),"Small Format")</f>
        <v>Small Format</v>
      </c>
      <c r="S1458" s="3" t="str">
        <f>IFERROR(__xludf.DUMMYFUNCTION("""COMPUTED_VALUE"""),"BCM")</f>
        <v>BCM</v>
      </c>
      <c r="T1458" s="3" t="str">
        <f>IFERROR(__xludf.DUMMYFUNCTION("""COMPUTED_VALUE"""),"#N/A")</f>
        <v>#N/A</v>
      </c>
      <c r="U1458" s="3" t="str">
        <f>IFERROR(__xludf.DUMMYFUNCTION("""COMPUTED_VALUE"""),"#N/A")</f>
        <v>#N/A</v>
      </c>
      <c r="V1458" s="3" t="str">
        <f>IFERROR(__xludf.DUMMYFUNCTION("""COMPUTED_VALUE"""),"N")</f>
        <v>N</v>
      </c>
      <c r="W1458" s="3">
        <f>IFERROR(__xludf.DUMMYFUNCTION("""COMPUTED_VALUE"""),210199.0)</f>
        <v>210199</v>
      </c>
      <c r="X1458" s="3" t="str">
        <f>IFERROR(__xludf.DUMMYFUNCTION("""COMPUTED_VALUE"""),"338 หมู่12 ตำบลเมืองปัก อำเภอปักธงชัย จังหวัดนครราชสีมา 30150")</f>
        <v>338 หมู่12 ตำบลเมืองปัก อำเภอปักธงชัย จังหวัดนครราชสีมา 30150</v>
      </c>
      <c r="Y1458" s="3"/>
      <c r="Z1458" s="3" t="str">
        <f>IFERROR(__xludf.DUMMYFUNCTION("""COMPUTED_VALUE"""),"เมืองปัก")</f>
        <v>เมืองปัก</v>
      </c>
      <c r="AA1458" s="3" t="str">
        <f>IFERROR(__xludf.DUMMYFUNCTION("""COMPUTED_VALUE"""),"ปักธงชัย")</f>
        <v>ปักธงชัย</v>
      </c>
      <c r="AB1458" s="3" t="str">
        <f>IFERROR(__xludf.DUMMYFUNCTION("""COMPUTED_VALUE"""),"นครราชสีมา")</f>
        <v>นครราชสีมา</v>
      </c>
      <c r="AC1458" s="3">
        <f>IFERROR(__xludf.DUMMYFUNCTION("""COMPUTED_VALUE"""),30150.0)</f>
        <v>30150</v>
      </c>
      <c r="AD1458" s="3">
        <f>IFERROR(__xludf.DUMMYFUNCTION("""COMPUTED_VALUE"""),14.718662)</f>
        <v>14.718662</v>
      </c>
      <c r="AE1458" s="3">
        <f>IFERROR(__xludf.DUMMYFUNCTION("""COMPUTED_VALUE"""),102.017597)</f>
        <v>102.017597</v>
      </c>
      <c r="AF1458" s="3" t="str">
        <f>IFERROR(__xludf.DUMMYFUNCTION("""COMPUTED_VALUE"""),"MBC ดีโป้ปักธงชัย นครราชสีมา-22142")</f>
        <v>MBC ดีโป้ปักธงชัย นครราชสีมา-22142</v>
      </c>
      <c r="AG1458" s="3" t="str">
        <f>IFERROR(__xludf.DUMMYFUNCTION("""COMPUTED_VALUE"""),"ตะวันออกเฉียงเหนือ")</f>
        <v>ตะวันออกเฉียงเหนือ</v>
      </c>
      <c r="AH1458" s="3" t="str">
        <f>IFERROR(__xludf.DUMMYFUNCTION("""COMPUTED_VALUE"""),"#N/A")</f>
        <v>#N/A</v>
      </c>
      <c r="AI1458" s="3" t="str">
        <f>IFERROR(__xludf.DUMMYFUNCTION("""COMPUTED_VALUE"""),"Out of warranty")</f>
        <v>Out of warranty</v>
      </c>
      <c r="AJ1458" s="3">
        <f>IFERROR(__xludf.DUMMYFUNCTION("""COMPUTED_VALUE"""),68.0)</f>
        <v>68</v>
      </c>
      <c r="AK1458" s="3" t="str">
        <f>IFERROR(__xludf.DUMMYFUNCTION("""COMPUTED_VALUE"""),"MMS11")</f>
        <v>MMS11</v>
      </c>
      <c r="AL1458" s="3"/>
    </row>
    <row r="1459" ht="15.75" customHeight="1">
      <c r="A1459" s="1" t="str">
        <f>IFERROR(__xludf.DUMMYFUNCTION("""COMPUTED_VALUE"""),"22143")</f>
        <v>22143</v>
      </c>
      <c r="B1459" s="2">
        <f>IFERROR(__xludf.DUMMYFUNCTION("""COMPUTED_VALUE"""),22143.0)</f>
        <v>22143</v>
      </c>
      <c r="C1459" s="3" t="str">
        <f>IFERROR(__xludf.DUMMYFUNCTION("""COMPUTED_VALUE"""),"MBC ถนนพ่อขุน เชียงราย")</f>
        <v>MBC ถนนพ่อขุน เชียงราย</v>
      </c>
      <c r="D1459" s="3" t="str">
        <f>IFERROR(__xludf.DUMMYFUNCTION("""COMPUTED_VALUE"""),"BCM THANON PHO KHUN")</f>
        <v>BCM THANON PHO KHUN</v>
      </c>
      <c r="E1459" s="1" t="str">
        <f>IFERROR(__xludf.DUMMYFUNCTION("""COMPUTED_VALUE"""),"บิ๊กซี MINI")</f>
        <v>บิ๊กซี MINI</v>
      </c>
      <c r="F1459" s="1" t="str">
        <f>IFERROR(__xludf.DUMMYFUNCTION("""COMPUTED_VALUE"""),"296229")</f>
        <v>296229</v>
      </c>
      <c r="G1459" s="1" t="str">
        <f>IFERROR(__xludf.DUMMYFUNCTION("""COMPUTED_VALUE"""),"นายทนงศักดิ์ บุญมา")</f>
        <v>นายทนงศักดิ์ บุญมา</v>
      </c>
      <c r="H1459" s="1" t="str">
        <f>IFERROR(__xludf.DUMMYFUNCTION("""COMPUTED_VALUE"""),"392585")</f>
        <v>392585</v>
      </c>
      <c r="I1459" s="1" t="str">
        <f>IFERROR(__xludf.DUMMYFUNCTION("""COMPUTED_VALUE"""),"นายไชยัณต์ ผิวขัวเรียง")</f>
        <v>นายไชยัณต์ ผิวขัวเรียง</v>
      </c>
      <c r="J1459" s="3">
        <f>IFERROR(__xludf.DUMMYFUNCTION("""COMPUTED_VALUE"""),2010016.0)</f>
        <v>2010016</v>
      </c>
      <c r="K1459" s="3" t="str">
        <f>IFERROR(__xludf.DUMMYFUNCTION("""COMPUTED_VALUE"""),"นายตวงธรรม ใหม่ยศ")</f>
        <v>นายตวงธรรม ใหม่ยศ</v>
      </c>
      <c r="L1459" s="1" t="str">
        <f>IFERROR(__xludf.DUMMYFUNCTION("""COMPUTED_VALUE"""),"01 K.Tuangtham M.")</f>
        <v>01 K.Tuangtham M.</v>
      </c>
      <c r="M1459" s="1" t="str">
        <f>IFERROR(__xludf.DUMMYFUNCTION("""COMPUTED_VALUE"""),"063-976-595")</f>
        <v>063-976-595</v>
      </c>
      <c r="N1459" s="3">
        <f>IFERROR(__xludf.DUMMYFUNCTION("""COMPUTED_VALUE"""),22574.0)</f>
        <v>22574</v>
      </c>
      <c r="O1459" s="3" t="str">
        <f>IFERROR(__xludf.DUMMYFUNCTION("""COMPUTED_VALUE"""),"BCM ชุมชนศรีชุม ลำปาง")</f>
        <v>BCM ชุมชนศรีชุม ลำปาง</v>
      </c>
      <c r="P1459" s="4">
        <f>IFERROR(__xludf.DUMMYFUNCTION("""COMPUTED_VALUE"""),44003.0)</f>
        <v>44003</v>
      </c>
      <c r="Q1459" s="3" t="str">
        <f>IFERROR(__xludf.DUMMYFUNCTION("""COMPUTED_VALUE"""),"A")</f>
        <v>A</v>
      </c>
      <c r="R1459" s="3" t="str">
        <f>IFERROR(__xludf.DUMMYFUNCTION("""COMPUTED_VALUE"""),"Small Format")</f>
        <v>Small Format</v>
      </c>
      <c r="S1459" s="3" t="str">
        <f>IFERROR(__xludf.DUMMYFUNCTION("""COMPUTED_VALUE"""),"BCM")</f>
        <v>BCM</v>
      </c>
      <c r="T1459" s="3" t="str">
        <f>IFERROR(__xludf.DUMMYFUNCTION("""COMPUTED_VALUE"""),"#N/A")</f>
        <v>#N/A</v>
      </c>
      <c r="U1459" s="3" t="str">
        <f>IFERROR(__xludf.DUMMYFUNCTION("""COMPUTED_VALUE"""),"#N/A")</f>
        <v>#N/A</v>
      </c>
      <c r="V1459" s="3" t="str">
        <f>IFERROR(__xludf.DUMMYFUNCTION("""COMPUTED_VALUE"""),"N")</f>
        <v>N</v>
      </c>
      <c r="W1459" s="3">
        <f>IFERROR(__xludf.DUMMYFUNCTION("""COMPUTED_VALUE"""),210170.0)</f>
        <v>210170</v>
      </c>
      <c r="X1459" s="3" t="str">
        <f>IFERROR(__xludf.DUMMYFUNCTION("""COMPUTED_VALUE"""),"303/1 หมู่9 ตำบลรอบเวียง อำเภอเมืองเชียงราย จังหวัดเชียงราย 57000")</f>
        <v>303/1 หมู่9 ตำบลรอบเวียง อำเภอเมืองเชียงราย จังหวัดเชียงราย 57000</v>
      </c>
      <c r="Y1459" s="3"/>
      <c r="Z1459" s="3" t="str">
        <f>IFERROR(__xludf.DUMMYFUNCTION("""COMPUTED_VALUE"""),"รอบเวียง")</f>
        <v>รอบเวียง</v>
      </c>
      <c r="AA1459" s="3" t="str">
        <f>IFERROR(__xludf.DUMMYFUNCTION("""COMPUTED_VALUE"""),"เมือง")</f>
        <v>เมือง</v>
      </c>
      <c r="AB1459" s="3" t="str">
        <f>IFERROR(__xludf.DUMMYFUNCTION("""COMPUTED_VALUE"""),"เชียงราย")</f>
        <v>เชียงราย</v>
      </c>
      <c r="AC1459" s="3">
        <f>IFERROR(__xludf.DUMMYFUNCTION("""COMPUTED_VALUE"""),57000.0)</f>
        <v>57000</v>
      </c>
      <c r="AD1459" s="3">
        <f>IFERROR(__xludf.DUMMYFUNCTION("""COMPUTED_VALUE"""),19.907756)</f>
        <v>19.907756</v>
      </c>
      <c r="AE1459" s="3">
        <f>IFERROR(__xludf.DUMMYFUNCTION("""COMPUTED_VALUE"""),99.8557)</f>
        <v>99.8557</v>
      </c>
      <c r="AF1459" s="3" t="str">
        <f>IFERROR(__xludf.DUMMYFUNCTION("""COMPUTED_VALUE"""),"MBC ถนนพ่อขุน เชียงราย-22143")</f>
        <v>MBC ถนนพ่อขุน เชียงราย-22143</v>
      </c>
      <c r="AG1459" s="3" t="str">
        <f>IFERROR(__xludf.DUMMYFUNCTION("""COMPUTED_VALUE"""),"เหนือ")</f>
        <v>เหนือ</v>
      </c>
      <c r="AH1459" s="3" t="str">
        <f>IFERROR(__xludf.DUMMYFUNCTION("""COMPUTED_VALUE"""),"#N/A")</f>
        <v>#N/A</v>
      </c>
      <c r="AI1459" s="3" t="str">
        <f>IFERROR(__xludf.DUMMYFUNCTION("""COMPUTED_VALUE"""),"Out of warranty")</f>
        <v>Out of warranty</v>
      </c>
      <c r="AJ1459" s="3">
        <f>IFERROR(__xludf.DUMMYFUNCTION("""COMPUTED_VALUE"""),67.0)</f>
        <v>67</v>
      </c>
      <c r="AK1459" s="3" t="str">
        <f>IFERROR(__xludf.DUMMYFUNCTION("""COMPUTED_VALUE"""),"MMS10")</f>
        <v>MMS10</v>
      </c>
      <c r="AL1459" s="3"/>
    </row>
    <row r="1460" ht="15.75" customHeight="1">
      <c r="A1460" s="1" t="str">
        <f>IFERROR(__xludf.DUMMYFUNCTION("""COMPUTED_VALUE"""),"22144")</f>
        <v>22144</v>
      </c>
      <c r="B1460" s="2">
        <f>IFERROR(__xludf.DUMMYFUNCTION("""COMPUTED_VALUE"""),22144.0)</f>
        <v>22144</v>
      </c>
      <c r="C1460" s="3" t="str">
        <f>IFERROR(__xludf.DUMMYFUNCTION("""COMPUTED_VALUE"""),"MBC ภูเก็ตแฟนตาซี ภูเก็ต")</f>
        <v>MBC ภูเก็ตแฟนตาซี ภูเก็ต</v>
      </c>
      <c r="D1460" s="3" t="str">
        <f>IFERROR(__xludf.DUMMYFUNCTION("""COMPUTED_VALUE"""),"BCM PHUKET FANTASEA")</f>
        <v>BCM PHUKET FANTASEA</v>
      </c>
      <c r="E1460" s="1" t="str">
        <f>IFERROR(__xludf.DUMMYFUNCTION("""COMPUTED_VALUE"""),"บิ๊กซี MINI")</f>
        <v>บิ๊กซี MINI</v>
      </c>
      <c r="F1460" s="1" t="str">
        <f>IFERROR(__xludf.DUMMYFUNCTION("""COMPUTED_VALUE"""),"250760")</f>
        <v>250760</v>
      </c>
      <c r="G1460" s="1" t="str">
        <f>IFERROR(__xludf.DUMMYFUNCTION("""COMPUTED_VALUE"""),"นายประทวน สาราบรรณ์")</f>
        <v>นายประทวน สาราบรรณ์</v>
      </c>
      <c r="H1460" s="1" t="str">
        <f>IFERROR(__xludf.DUMMYFUNCTION("""COMPUTED_VALUE"""),"357284")</f>
        <v>357284</v>
      </c>
      <c r="I1460" s="1" t="str">
        <f>IFERROR(__xludf.DUMMYFUNCTION("""COMPUTED_VALUE"""),"น.ส.เบญจวรรณ ปัณฑโมรา")</f>
        <v>น.ส.เบญจวรรณ ปัณฑโมรา</v>
      </c>
      <c r="J1460" s="3">
        <f>IFERROR(__xludf.DUMMYFUNCTION("""COMPUTED_VALUE"""),25324.0)</f>
        <v>25324</v>
      </c>
      <c r="K1460" s="3" t="str">
        <f>IFERROR(__xludf.DUMMYFUNCTION("""COMPUTED_VALUE"""),"นายวิเชฎฐ์ ติรัตนะประคม")</f>
        <v>นายวิเชฎฐ์ ติรัตนะประคม</v>
      </c>
      <c r="L1460" s="1" t="str">
        <f>IFERROR(__xludf.DUMMYFUNCTION("""COMPUTED_VALUE"""),"14 K.Wichet T.")</f>
        <v>14 K.Wichet T.</v>
      </c>
      <c r="M1460" s="1" t="str">
        <f>IFERROR(__xludf.DUMMYFUNCTION("""COMPUTED_VALUE"""),"061-417-6569 / 086-445-5636")</f>
        <v>061-417-6569 / 086-445-5636</v>
      </c>
      <c r="N1460" s="3">
        <f>IFERROR(__xludf.DUMMYFUNCTION("""COMPUTED_VALUE"""),22658.0)</f>
        <v>22658</v>
      </c>
      <c r="O1460" s="3" t="str">
        <f>IFERROR(__xludf.DUMMYFUNCTION("""COMPUTED_VALUE"""),"BCM ถ.วิรัชหงษ์หยก ภูเก็ต")</f>
        <v>BCM ถ.วิรัชหงษ์หยก ภูเก็ต</v>
      </c>
      <c r="P1460" s="4">
        <f>IFERROR(__xludf.DUMMYFUNCTION("""COMPUTED_VALUE"""),44003.0)</f>
        <v>44003</v>
      </c>
      <c r="Q1460" s="3" t="str">
        <f>IFERROR(__xludf.DUMMYFUNCTION("""COMPUTED_VALUE"""),"A")</f>
        <v>A</v>
      </c>
      <c r="R1460" s="3" t="str">
        <f>IFERROR(__xludf.DUMMYFUNCTION("""COMPUTED_VALUE"""),"Small Format")</f>
        <v>Small Format</v>
      </c>
      <c r="S1460" s="3" t="str">
        <f>IFERROR(__xludf.DUMMYFUNCTION("""COMPUTED_VALUE"""),"BCM")</f>
        <v>BCM</v>
      </c>
      <c r="T1460" s="3" t="str">
        <f>IFERROR(__xludf.DUMMYFUNCTION("""COMPUTED_VALUE"""),"#N/A")</f>
        <v>#N/A</v>
      </c>
      <c r="U1460" s="3" t="str">
        <f>IFERROR(__xludf.DUMMYFUNCTION("""COMPUTED_VALUE"""),"#N/A")</f>
        <v>#N/A</v>
      </c>
      <c r="V1460" s="3" t="str">
        <f>IFERROR(__xludf.DUMMYFUNCTION("""COMPUTED_VALUE"""),"N")</f>
        <v>N</v>
      </c>
      <c r="W1460" s="3">
        <f>IFERROR(__xludf.DUMMYFUNCTION("""COMPUTED_VALUE"""),210159.0)</f>
        <v>210159</v>
      </c>
      <c r="X1460" s="3" t="str">
        <f>IFERROR(__xludf.DUMMYFUNCTION("""COMPUTED_VALUE"""),"71/32 หมู่3 ตำบลกมลา อำเภอกะทู้ จังหวัดภูเก็ต 83150")</f>
        <v>71/32 หมู่3 ตำบลกมลา อำเภอกะทู้ จังหวัดภูเก็ต 83150</v>
      </c>
      <c r="Y1460" s="3"/>
      <c r="Z1460" s="3" t="str">
        <f>IFERROR(__xludf.DUMMYFUNCTION("""COMPUTED_VALUE"""),"กมลา")</f>
        <v>กมลา</v>
      </c>
      <c r="AA1460" s="3" t="str">
        <f>IFERROR(__xludf.DUMMYFUNCTION("""COMPUTED_VALUE"""),"กะทู้")</f>
        <v>กะทู้</v>
      </c>
      <c r="AB1460" s="3" t="str">
        <f>IFERROR(__xludf.DUMMYFUNCTION("""COMPUTED_VALUE"""),"ภูเก็ต")</f>
        <v>ภูเก็ต</v>
      </c>
      <c r="AC1460" s="3">
        <f>IFERROR(__xludf.DUMMYFUNCTION("""COMPUTED_VALUE"""),83150.0)</f>
        <v>83150</v>
      </c>
      <c r="AD1460" s="3">
        <f>IFERROR(__xludf.DUMMYFUNCTION("""COMPUTED_VALUE"""),7.953756)</f>
        <v>7.953756</v>
      </c>
      <c r="AE1460" s="3">
        <f>IFERROR(__xludf.DUMMYFUNCTION("""COMPUTED_VALUE"""),98.288453)</f>
        <v>98.288453</v>
      </c>
      <c r="AF1460" s="3" t="str">
        <f>IFERROR(__xludf.DUMMYFUNCTION("""COMPUTED_VALUE"""),"MBC ภูเก็ตแฟนตาซี ภูเก็ต-22144")</f>
        <v>MBC ภูเก็ตแฟนตาซี ภูเก็ต-22144</v>
      </c>
      <c r="AG1460" s="3" t="str">
        <f>IFERROR(__xludf.DUMMYFUNCTION("""COMPUTED_VALUE"""),"ใต้")</f>
        <v>ใต้</v>
      </c>
      <c r="AH1460" s="3" t="str">
        <f>IFERROR(__xludf.DUMMYFUNCTION("""COMPUTED_VALUE"""),"#N/A")</f>
        <v>#N/A</v>
      </c>
      <c r="AI1460" s="3" t="str">
        <f>IFERROR(__xludf.DUMMYFUNCTION("""COMPUTED_VALUE"""),"Out of warranty")</f>
        <v>Out of warranty</v>
      </c>
      <c r="AJ1460" s="3">
        <f>IFERROR(__xludf.DUMMYFUNCTION("""COMPUTED_VALUE"""),67.0)</f>
        <v>67</v>
      </c>
      <c r="AK1460" s="3" t="str">
        <f>IFERROR(__xludf.DUMMYFUNCTION("""COMPUTED_VALUE"""),"MMS15")</f>
        <v>MMS15</v>
      </c>
      <c r="AL1460" s="3"/>
    </row>
    <row r="1461" ht="15.75" customHeight="1">
      <c r="A1461" s="1" t="str">
        <f>IFERROR(__xludf.DUMMYFUNCTION("""COMPUTED_VALUE"""),"22145")</f>
        <v>22145</v>
      </c>
      <c r="B1461" s="2">
        <f>IFERROR(__xludf.DUMMYFUNCTION("""COMPUTED_VALUE"""),22145.0)</f>
        <v>22145</v>
      </c>
      <c r="C1461" s="3" t="str">
        <f>IFERROR(__xludf.DUMMYFUNCTION("""COMPUTED_VALUE"""),"MBC วงแหวนบางขุนเทียน กรุงเทพมหานคร")</f>
        <v>MBC วงแหวนบางขุนเทียน กรุงเทพมหานคร</v>
      </c>
      <c r="D1461" s="3" t="str">
        <f>IFERROR(__xludf.DUMMYFUNCTION("""COMPUTED_VALUE"""),"BCM WONGWAN BANG KHUN THIAN")</f>
        <v>BCM WONGWAN BANG KHUN THIAN</v>
      </c>
      <c r="E1461" s="1" t="str">
        <f>IFERROR(__xludf.DUMMYFUNCTION("""COMPUTED_VALUE"""),"บิ๊กซี MINI")</f>
        <v>บิ๊กซี MINI</v>
      </c>
      <c r="F1461" s="1" t="str">
        <f>IFERROR(__xludf.DUMMYFUNCTION("""COMPUTED_VALUE"""),"291008")</f>
        <v>291008</v>
      </c>
      <c r="G1461" s="1" t="str">
        <f>IFERROR(__xludf.DUMMYFUNCTION("""COMPUTED_VALUE"""),"น.ส.รัชดาพร อีศรัตน์")</f>
        <v>น.ส.รัชดาพร อีศรัตน์</v>
      </c>
      <c r="H1461" s="1" t="str">
        <f>IFERROR(__xludf.DUMMYFUNCTION("""COMPUTED_VALUE"""),"254800")</f>
        <v>254800</v>
      </c>
      <c r="I1461" s="1" t="str">
        <f>IFERROR(__xludf.DUMMYFUNCTION("""COMPUTED_VALUE"""),"น.ส.นัชมล กางกรณ์")</f>
        <v>น.ส.นัชมล กางกรณ์</v>
      </c>
      <c r="J1461" s="3">
        <f>IFERROR(__xludf.DUMMYFUNCTION("""COMPUTED_VALUE"""),296608.0)</f>
        <v>296608</v>
      </c>
      <c r="K1461" s="3" t="str">
        <f>IFERROR(__xludf.DUMMYFUNCTION("""COMPUTED_VALUE"""),"นายภาคภูมิ เพ็ชรนิล")</f>
        <v>นายภาคภูมิ เพ็ชรนิล</v>
      </c>
      <c r="L1461" s="1" t="str">
        <f>IFERROR(__xludf.DUMMYFUNCTION("""COMPUTED_VALUE"""),"10 K.Phakphoom P.")</f>
        <v>10 K.Phakphoom P.</v>
      </c>
      <c r="M1461" s="1" t="str">
        <f>IFERROR(__xludf.DUMMYFUNCTION("""COMPUTED_VALUE"""),"063-8955329")</f>
        <v>063-8955329</v>
      </c>
      <c r="N1461" s="3">
        <f>IFERROR(__xludf.DUMMYFUNCTION("""COMPUTED_VALUE"""),22584.0)</f>
        <v>22584</v>
      </c>
      <c r="O1461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461" s="4">
        <f>IFERROR(__xludf.DUMMYFUNCTION("""COMPUTED_VALUE"""),44042.0)</f>
        <v>44042</v>
      </c>
      <c r="Q1461" s="3" t="str">
        <f>IFERROR(__xludf.DUMMYFUNCTION("""COMPUTED_VALUE"""),"A")</f>
        <v>A</v>
      </c>
      <c r="R1461" s="3" t="str">
        <f>IFERROR(__xludf.DUMMYFUNCTION("""COMPUTED_VALUE"""),"Small Format")</f>
        <v>Small Format</v>
      </c>
      <c r="S1461" s="3" t="str">
        <f>IFERROR(__xludf.DUMMYFUNCTION("""COMPUTED_VALUE"""),"BCM")</f>
        <v>BCM</v>
      </c>
      <c r="T1461" s="3" t="str">
        <f>IFERROR(__xludf.DUMMYFUNCTION("""COMPUTED_VALUE"""),"#N/A")</f>
        <v>#N/A</v>
      </c>
      <c r="U1461" s="3" t="str">
        <f>IFERROR(__xludf.DUMMYFUNCTION("""COMPUTED_VALUE"""),"#N/A")</f>
        <v>#N/A</v>
      </c>
      <c r="V1461" s="3" t="str">
        <f>IFERROR(__xludf.DUMMYFUNCTION("""COMPUTED_VALUE"""),"N")</f>
        <v>N</v>
      </c>
      <c r="W1461" s="3">
        <f>IFERROR(__xludf.DUMMYFUNCTION("""COMPUTED_VALUE"""),211965.0)</f>
        <v>211965</v>
      </c>
      <c r="X1461" s="3" t="str">
        <f>IFERROR(__xludf.DUMMYFUNCTION("""COMPUTED_VALUE"""),"177/13 ถนนกาญจนาภิเษก แขวงท่าข้าม เขตขางขุนเทียน จังหวัดกรุงเทพมหานคร 10150")</f>
        <v>177/13 ถนนกาญจนาภิเษก แขวงท่าข้าม เขตขางขุนเทียน จังหวัดกรุงเทพมหานคร 10150</v>
      </c>
      <c r="Y1461" s="3" t="str">
        <f>IFERROR(__xludf.DUMMYFUNCTION("""COMPUTED_VALUE"""),"ถนนกาญจนาภิเษก")</f>
        <v>ถนนกาญจนาภิเษก</v>
      </c>
      <c r="Z1461" s="3" t="str">
        <f>IFERROR(__xludf.DUMMYFUNCTION("""COMPUTED_VALUE"""),"ท่าข้าม")</f>
        <v>ท่าข้าม</v>
      </c>
      <c r="AA1461" s="3" t="str">
        <f>IFERROR(__xludf.DUMMYFUNCTION("""COMPUTED_VALUE"""),"ขางขุนเทียน")</f>
        <v>ขางขุนเทียน</v>
      </c>
      <c r="AB1461" s="3" t="str">
        <f>IFERROR(__xludf.DUMMYFUNCTION("""COMPUTED_VALUE"""),"กรุงเทพมหานคร")</f>
        <v>กรุงเทพมหานคร</v>
      </c>
      <c r="AC1461" s="3">
        <f>IFERROR(__xludf.DUMMYFUNCTION("""COMPUTED_VALUE"""),10510.0)</f>
        <v>10510</v>
      </c>
      <c r="AD1461" s="3">
        <f>IFERROR(__xludf.DUMMYFUNCTION("""COMPUTED_VALUE"""),13.626817)</f>
        <v>13.626817</v>
      </c>
      <c r="AE1461" s="3">
        <f>IFERROR(__xludf.DUMMYFUNCTION("""COMPUTED_VALUE"""),100.445802)</f>
        <v>100.445802</v>
      </c>
      <c r="AF1461" s="3" t="str">
        <f>IFERROR(__xludf.DUMMYFUNCTION("""COMPUTED_VALUE"""),"MBC วงแหวนบางขุนเทียน กรุงเทพมหานคร-22145")</f>
        <v>MBC วงแหวนบางขุนเทียน กรุงเทพมหานคร-22145</v>
      </c>
      <c r="AG1461" s="3" t="str">
        <f>IFERROR(__xludf.DUMMYFUNCTION("""COMPUTED_VALUE"""),"กลาง")</f>
        <v>กลาง</v>
      </c>
      <c r="AH1461" s="3" t="str">
        <f>IFERROR(__xludf.DUMMYFUNCTION("""COMPUTED_VALUE"""),"#N/A")</f>
        <v>#N/A</v>
      </c>
      <c r="AI1461" s="3" t="str">
        <f>IFERROR(__xludf.DUMMYFUNCTION("""COMPUTED_VALUE"""),"Out of warranty")</f>
        <v>Out of warranty</v>
      </c>
      <c r="AJ1461" s="3">
        <f>IFERROR(__xludf.DUMMYFUNCTION("""COMPUTED_VALUE"""),66.0)</f>
        <v>66</v>
      </c>
      <c r="AK1461" s="3" t="str">
        <f>IFERROR(__xludf.DUMMYFUNCTION("""COMPUTED_VALUE"""),"MMS02")</f>
        <v>MMS02</v>
      </c>
      <c r="AL1461" s="3"/>
    </row>
    <row r="1462" ht="15.75" customHeight="1">
      <c r="A1462" s="1" t="str">
        <f>IFERROR(__xludf.DUMMYFUNCTION("""COMPUTED_VALUE"""),"22146")</f>
        <v>22146</v>
      </c>
      <c r="B1462" s="2">
        <f>IFERROR(__xludf.DUMMYFUNCTION("""COMPUTED_VALUE"""),22146.0)</f>
        <v>22146</v>
      </c>
      <c r="C1462" s="3" t="str">
        <f>IFERROR(__xludf.DUMMYFUNCTION("""COMPUTED_VALUE"""),"MBC ห้วยท่าช้าง เพชรบุรี")</f>
        <v>MBC ห้วยท่าช้าง เพชรบุรี</v>
      </c>
      <c r="D1462" s="3" t="str">
        <f>IFERROR(__xludf.DUMMYFUNCTION("""COMPUTED_VALUE"""),"BCM HUAI TA CHANG")</f>
        <v>BCM HUAI TA CHANG</v>
      </c>
      <c r="E1462" s="1" t="str">
        <f>IFERROR(__xludf.DUMMYFUNCTION("""COMPUTED_VALUE"""),"บิ๊กซี MINI")</f>
        <v>บิ๊กซี MINI</v>
      </c>
      <c r="F1462" s="1" t="str">
        <f>IFERROR(__xludf.DUMMYFUNCTION("""COMPUTED_VALUE"""),"250760")</f>
        <v>250760</v>
      </c>
      <c r="G1462" s="1" t="str">
        <f>IFERROR(__xludf.DUMMYFUNCTION("""COMPUTED_VALUE"""),"นายประทวน สาราบรรณ์")</f>
        <v>นายประทวน สาราบรรณ์</v>
      </c>
      <c r="H1462" s="1" t="str">
        <f>IFERROR(__xludf.DUMMYFUNCTION("""COMPUTED_VALUE"""),"311437")</f>
        <v>311437</v>
      </c>
      <c r="I1462" s="1" t="str">
        <f>IFERROR(__xludf.DUMMYFUNCTION("""COMPUTED_VALUE"""),"นายฉัตรทพร รักวิเชียร")</f>
        <v>นายฉัตรทพร รักวิเชียร</v>
      </c>
      <c r="J1462" s="3">
        <f>IFERROR(__xludf.DUMMYFUNCTION("""COMPUTED_VALUE"""),25324.0)</f>
        <v>25324</v>
      </c>
      <c r="K1462" s="3" t="str">
        <f>IFERROR(__xludf.DUMMYFUNCTION("""COMPUTED_VALUE"""),"นายวิเชฎฐ์ ติรัตนะประคม")</f>
        <v>นายวิเชฎฐ์ ติรัตนะประคม</v>
      </c>
      <c r="L1462" s="1" t="str">
        <f>IFERROR(__xludf.DUMMYFUNCTION("""COMPUTED_VALUE"""),"14 K.Wichet T.")</f>
        <v>14 K.Wichet T.</v>
      </c>
      <c r="M1462" s="1" t="str">
        <f>IFERROR(__xludf.DUMMYFUNCTION("""COMPUTED_VALUE"""),"061-417-6569 / 086-445-5636")</f>
        <v>061-417-6569 / 086-445-5636</v>
      </c>
      <c r="N1462" s="3">
        <f>IFERROR(__xludf.DUMMYFUNCTION("""COMPUTED_VALUE"""),22658.0)</f>
        <v>22658</v>
      </c>
      <c r="O1462" s="3" t="str">
        <f>IFERROR(__xludf.DUMMYFUNCTION("""COMPUTED_VALUE"""),"BCM ถ.วิรัชหงษ์หยก ภูเก็ต")</f>
        <v>BCM ถ.วิรัชหงษ์หยก ภูเก็ต</v>
      </c>
      <c r="P1462" s="4">
        <f>IFERROR(__xludf.DUMMYFUNCTION("""COMPUTED_VALUE"""),44063.0)</f>
        <v>44063</v>
      </c>
      <c r="Q1462" s="3" t="str">
        <f>IFERROR(__xludf.DUMMYFUNCTION("""COMPUTED_VALUE"""),"A")</f>
        <v>A</v>
      </c>
      <c r="R1462" s="3" t="str">
        <f>IFERROR(__xludf.DUMMYFUNCTION("""COMPUTED_VALUE"""),"Small Format")</f>
        <v>Small Format</v>
      </c>
      <c r="S1462" s="3" t="str">
        <f>IFERROR(__xludf.DUMMYFUNCTION("""COMPUTED_VALUE"""),"BCM")</f>
        <v>BCM</v>
      </c>
      <c r="T1462" s="3" t="str">
        <f>IFERROR(__xludf.DUMMYFUNCTION("""COMPUTED_VALUE"""),"#N/A")</f>
        <v>#N/A</v>
      </c>
      <c r="U1462" s="3" t="str">
        <f>IFERROR(__xludf.DUMMYFUNCTION("""COMPUTED_VALUE"""),"#N/A")</f>
        <v>#N/A</v>
      </c>
      <c r="V1462" s="3" t="str">
        <f>IFERROR(__xludf.DUMMYFUNCTION("""COMPUTED_VALUE"""),"N")</f>
        <v>N</v>
      </c>
      <c r="W1462" s="3">
        <f>IFERROR(__xludf.DUMMYFUNCTION("""COMPUTED_VALUE"""),210164.0)</f>
        <v>210164</v>
      </c>
      <c r="X1462" s="3" t="str">
        <f>IFERROR(__xludf.DUMMYFUNCTION("""COMPUTED_VALUE"""),"121 หมู่4 ตำบลห้วยท่าช้าง อำเภอเขาย้อย จังหวัดเพชรบุรี 76140")</f>
        <v>121 หมู่4 ตำบลห้วยท่าช้าง อำเภอเขาย้อย จังหวัดเพชรบุรี 76140</v>
      </c>
      <c r="Y1462" s="3"/>
      <c r="Z1462" s="3" t="str">
        <f>IFERROR(__xludf.DUMMYFUNCTION("""COMPUTED_VALUE"""),"ห้วยท่าช้าง")</f>
        <v>ห้วยท่าช้าง</v>
      </c>
      <c r="AA1462" s="3" t="str">
        <f>IFERROR(__xludf.DUMMYFUNCTION("""COMPUTED_VALUE"""),"เขาย้อย")</f>
        <v>เขาย้อย</v>
      </c>
      <c r="AB1462" s="3" t="str">
        <f>IFERROR(__xludf.DUMMYFUNCTION("""COMPUTED_VALUE"""),"เพชรบุรี")</f>
        <v>เพชรบุรี</v>
      </c>
      <c r="AC1462" s="3">
        <f>IFERROR(__xludf.DUMMYFUNCTION("""COMPUTED_VALUE"""),76140.0)</f>
        <v>76140</v>
      </c>
      <c r="AD1462" s="3">
        <f>IFERROR(__xludf.DUMMYFUNCTION("""COMPUTED_VALUE"""),13.141668)</f>
        <v>13.141668</v>
      </c>
      <c r="AE1462" s="3">
        <f>IFERROR(__xludf.DUMMYFUNCTION("""COMPUTED_VALUE"""),99.825647)</f>
        <v>99.825647</v>
      </c>
      <c r="AF1462" s="3" t="str">
        <f>IFERROR(__xludf.DUMMYFUNCTION("""COMPUTED_VALUE"""),"MBC ห้วยท่าช้าง เพชรบุรี-22146")</f>
        <v>MBC ห้วยท่าช้าง เพชรบุรี-22146</v>
      </c>
      <c r="AG1462" s="3" t="str">
        <f>IFERROR(__xludf.DUMMYFUNCTION("""COMPUTED_VALUE"""),"ตะวันตก")</f>
        <v>ตะวันตก</v>
      </c>
      <c r="AH1462" s="3" t="str">
        <f>IFERROR(__xludf.DUMMYFUNCTION("""COMPUTED_VALUE"""),"#N/A")</f>
        <v>#N/A</v>
      </c>
      <c r="AI1462" s="3" t="str">
        <f>IFERROR(__xludf.DUMMYFUNCTION("""COMPUTED_VALUE"""),"Out of warranty")</f>
        <v>Out of warranty</v>
      </c>
      <c r="AJ1462" s="3">
        <f>IFERROR(__xludf.DUMMYFUNCTION("""COMPUTED_VALUE"""),66.0)</f>
        <v>66</v>
      </c>
      <c r="AK1462" s="3" t="str">
        <f>IFERROR(__xludf.DUMMYFUNCTION("""COMPUTED_VALUE"""),"MMS14")</f>
        <v>MMS14</v>
      </c>
      <c r="AL1462" s="3"/>
    </row>
    <row r="1463" ht="15.75" customHeight="1">
      <c r="A1463" s="1" t="str">
        <f>IFERROR(__xludf.DUMMYFUNCTION("""COMPUTED_VALUE"""),"22147")</f>
        <v>22147</v>
      </c>
      <c r="B1463" s="2">
        <f>IFERROR(__xludf.DUMMYFUNCTION("""COMPUTED_VALUE"""),22147.0)</f>
        <v>22147</v>
      </c>
      <c r="C1463" s="3" t="str">
        <f>IFERROR(__xludf.DUMMYFUNCTION("""COMPUTED_VALUE"""),"MBC สุขาภิบาล 5 ซอย 32 กรุงเทพมหานคร")</f>
        <v>MBC สุขาภิบาล 5 ซอย 32 กรุงเทพมหานคร</v>
      </c>
      <c r="D1463" s="3" t="str">
        <f>IFERROR(__xludf.DUMMYFUNCTION("""COMPUTED_VALUE"""),"BCM SUKHAPIBAL 5 SOI 32")</f>
        <v>BCM SUKHAPIBAL 5 SOI 32</v>
      </c>
      <c r="E1463" s="1" t="str">
        <f>IFERROR(__xludf.DUMMYFUNCTION("""COMPUTED_VALUE"""),"บิ๊กซี MINI")</f>
        <v>บิ๊กซี MINI</v>
      </c>
      <c r="F1463" s="1" t="str">
        <f>IFERROR(__xludf.DUMMYFUNCTION("""COMPUTED_VALUE"""),"291008")</f>
        <v>291008</v>
      </c>
      <c r="G1463" s="1" t="str">
        <f>IFERROR(__xludf.DUMMYFUNCTION("""COMPUTED_VALUE"""),"น.ส.รัชดาพร อีศรัตน์")</f>
        <v>น.ส.รัชดาพร อีศรัตน์</v>
      </c>
      <c r="H1463" s="1" t="str">
        <f>IFERROR(__xludf.DUMMYFUNCTION("""COMPUTED_VALUE"""),"288639")</f>
        <v>288639</v>
      </c>
      <c r="I1463" s="1" t="str">
        <f>IFERROR(__xludf.DUMMYFUNCTION("""COMPUTED_VALUE"""),"น.ส.สมหญิง สีชมภู")</f>
        <v>น.ส.สมหญิง สีชมภู</v>
      </c>
      <c r="J1463" s="3">
        <f>IFERROR(__xludf.DUMMYFUNCTION("""COMPUTED_VALUE"""),3510104.0)</f>
        <v>3510104</v>
      </c>
      <c r="K1463" s="3" t="str">
        <f>IFERROR(__xludf.DUMMYFUNCTION("""COMPUTED_VALUE"""),"นายวิโรจน์ อับดุลสมัด")</f>
        <v>นายวิโรจน์ อับดุลสมัด</v>
      </c>
      <c r="L1463" s="3" t="str">
        <f>IFERROR(__xludf.DUMMYFUNCTION("""COMPUTED_VALUE"""),"09 K.Wirode A")</f>
        <v>09 K.Wirode A</v>
      </c>
      <c r="M1463" s="1" t="str">
        <f>IFERROR(__xludf.DUMMYFUNCTION("""COMPUTED_VALUE"""),"080-235-4465")</f>
        <v>080-235-4465</v>
      </c>
      <c r="N1463" s="3">
        <f>IFERROR(__xludf.DUMMYFUNCTION("""COMPUTED_VALUE"""),21324.0)</f>
        <v>21324</v>
      </c>
      <c r="O1463" s="3" t="str">
        <f>IFERROR(__xludf.DUMMYFUNCTION("""COMPUTED_VALUE"""),"MBC BCP สุวินทวงศ์")</f>
        <v>MBC BCP สุวินทวงศ์</v>
      </c>
      <c r="P1463" s="4">
        <f>IFERROR(__xludf.DUMMYFUNCTION("""COMPUTED_VALUE"""),43982.0)</f>
        <v>43982</v>
      </c>
      <c r="Q1463" s="3" t="str">
        <f>IFERROR(__xludf.DUMMYFUNCTION("""COMPUTED_VALUE"""),"A")</f>
        <v>A</v>
      </c>
      <c r="R1463" s="3" t="str">
        <f>IFERROR(__xludf.DUMMYFUNCTION("""COMPUTED_VALUE"""),"Small Format")</f>
        <v>Small Format</v>
      </c>
      <c r="S1463" s="3" t="str">
        <f>IFERROR(__xludf.DUMMYFUNCTION("""COMPUTED_VALUE"""),"BCM")</f>
        <v>BCM</v>
      </c>
      <c r="T1463" s="3" t="str">
        <f>IFERROR(__xludf.DUMMYFUNCTION("""COMPUTED_VALUE"""),"#N/A")</f>
        <v>#N/A</v>
      </c>
      <c r="U1463" s="3" t="str">
        <f>IFERROR(__xludf.DUMMYFUNCTION("""COMPUTED_VALUE"""),"#N/A")</f>
        <v>#N/A</v>
      </c>
      <c r="V1463" s="3" t="str">
        <f>IFERROR(__xludf.DUMMYFUNCTION("""COMPUTED_VALUE"""),"N")</f>
        <v>N</v>
      </c>
      <c r="W1463" s="3">
        <f>IFERROR(__xludf.DUMMYFUNCTION("""COMPUTED_VALUE"""),210152.0)</f>
        <v>210152</v>
      </c>
      <c r="X1463" s="3" t="str">
        <f>IFERROR(__xludf.DUMMYFUNCTION("""COMPUTED_VALUE"""),"11/9 ซอยสุขาภิบาล5 ซอย32(วัดพรฯ) แขวงออเงิน เขตสายไหม จังหวัดกรุงเทพมหานคร 10220")</f>
        <v>11/9 ซอยสุขาภิบาล5 ซอย32(วัดพรฯ) แขวงออเงิน เขตสายไหม จังหวัดกรุงเทพมหานคร 10220</v>
      </c>
      <c r="Y1463" s="3" t="str">
        <f>IFERROR(__xludf.DUMMYFUNCTION("""COMPUTED_VALUE"""),"ซอยสุขาภิบาล5")</f>
        <v>ซอยสุขาภิบาล5</v>
      </c>
      <c r="Z1463" s="3" t="str">
        <f>IFERROR(__xludf.DUMMYFUNCTION("""COMPUTED_VALUE"""),"ออเงิน")</f>
        <v>ออเงิน</v>
      </c>
      <c r="AA1463" s="3" t="str">
        <f>IFERROR(__xludf.DUMMYFUNCTION("""COMPUTED_VALUE"""),"สายไหม")</f>
        <v>สายไหม</v>
      </c>
      <c r="AB1463" s="3" t="str">
        <f>IFERROR(__xludf.DUMMYFUNCTION("""COMPUTED_VALUE"""),"กรุงเทพมหานคร")</f>
        <v>กรุงเทพมหานคร</v>
      </c>
      <c r="AC1463" s="3">
        <f>IFERROR(__xludf.DUMMYFUNCTION("""COMPUTED_VALUE"""),10220.0)</f>
        <v>10220</v>
      </c>
      <c r="AD1463" s="3">
        <f>IFERROR(__xludf.DUMMYFUNCTION("""COMPUTED_VALUE"""),13.884527)</f>
        <v>13.884527</v>
      </c>
      <c r="AE1463" s="3">
        <f>IFERROR(__xludf.DUMMYFUNCTION("""COMPUTED_VALUE"""),100.659023)</f>
        <v>100.659023</v>
      </c>
      <c r="AF1463" s="3" t="str">
        <f>IFERROR(__xludf.DUMMYFUNCTION("""COMPUTED_VALUE"""),"MBC สุขาภิบาล 5 ซอย 32 กรุงเทพมหานคร-22147")</f>
        <v>MBC สุขาภิบาล 5 ซอย 32 กรุงเทพมหานคร-22147</v>
      </c>
      <c r="AG1463" s="3" t="str">
        <f>IFERROR(__xludf.DUMMYFUNCTION("""COMPUTED_VALUE"""),"กลาง")</f>
        <v>กลาง</v>
      </c>
      <c r="AH1463" s="3" t="str">
        <f>IFERROR(__xludf.DUMMYFUNCTION("""COMPUTED_VALUE"""),"#N/A")</f>
        <v>#N/A</v>
      </c>
      <c r="AI1463" s="3" t="str">
        <f>IFERROR(__xludf.DUMMYFUNCTION("""COMPUTED_VALUE"""),"Out of warranty")</f>
        <v>Out of warranty</v>
      </c>
      <c r="AJ1463" s="3">
        <f>IFERROR(__xludf.DUMMYFUNCTION("""COMPUTED_VALUE"""),68.0)</f>
        <v>68</v>
      </c>
      <c r="AK1463" s="3" t="str">
        <f>IFERROR(__xludf.DUMMYFUNCTION("""COMPUTED_VALUE"""),"MMS01")</f>
        <v>MMS01</v>
      </c>
      <c r="AL1463" s="3"/>
    </row>
    <row r="1464" ht="15.75" customHeight="1">
      <c r="A1464" s="1" t="str">
        <f>IFERROR(__xludf.DUMMYFUNCTION("""COMPUTED_VALUE"""),"22148")</f>
        <v>22148</v>
      </c>
      <c r="B1464" s="2">
        <f>IFERROR(__xludf.DUMMYFUNCTION("""COMPUTED_VALUE"""),22148.0)</f>
        <v>22148</v>
      </c>
      <c r="C1464" s="3" t="str">
        <f>IFERROR(__xludf.DUMMYFUNCTION("""COMPUTED_VALUE"""),"MBC หมู่บ้านศรีสุชาติ ภูเก็ต")</f>
        <v>MBC หมู่บ้านศรีสุชาติ ภูเก็ต</v>
      </c>
      <c r="D1464" s="3" t="str">
        <f>IFERROR(__xludf.DUMMYFUNCTION("""COMPUTED_VALUE"""),"BCM MOOBAN SISUCHART")</f>
        <v>BCM MOOBAN SISUCHART</v>
      </c>
      <c r="E1464" s="1" t="str">
        <f>IFERROR(__xludf.DUMMYFUNCTION("""COMPUTED_VALUE"""),"บิ๊กซี MINI")</f>
        <v>บิ๊กซี MINI</v>
      </c>
      <c r="F1464" s="1" t="str">
        <f>IFERROR(__xludf.DUMMYFUNCTION("""COMPUTED_VALUE"""),"250760")</f>
        <v>250760</v>
      </c>
      <c r="G1464" s="1" t="str">
        <f>IFERROR(__xludf.DUMMYFUNCTION("""COMPUTED_VALUE"""),"นายประทวน สาราบรรณ์")</f>
        <v>นายประทวน สาราบรรณ์</v>
      </c>
      <c r="H1464" s="1" t="str">
        <f>IFERROR(__xludf.DUMMYFUNCTION("""COMPUTED_VALUE"""),"357284")</f>
        <v>357284</v>
      </c>
      <c r="I1464" s="1" t="str">
        <f>IFERROR(__xludf.DUMMYFUNCTION("""COMPUTED_VALUE"""),"น.ส.เบญจวรรณ ปัณฑโมรา")</f>
        <v>น.ส.เบญจวรรณ ปัณฑโมรา</v>
      </c>
      <c r="J1464" s="3">
        <f>IFERROR(__xludf.DUMMYFUNCTION("""COMPUTED_VALUE"""),25324.0)</f>
        <v>25324</v>
      </c>
      <c r="K1464" s="3" t="str">
        <f>IFERROR(__xludf.DUMMYFUNCTION("""COMPUTED_VALUE"""),"นายวิเชฎฐ์ ติรัตนะประคม")</f>
        <v>นายวิเชฎฐ์ ติรัตนะประคม</v>
      </c>
      <c r="L1464" s="1" t="str">
        <f>IFERROR(__xludf.DUMMYFUNCTION("""COMPUTED_VALUE"""),"14 K.Wichet T.")</f>
        <v>14 K.Wichet T.</v>
      </c>
      <c r="M1464" s="1" t="str">
        <f>IFERROR(__xludf.DUMMYFUNCTION("""COMPUTED_VALUE"""),"061-417-6569 / 086-445-5636")</f>
        <v>061-417-6569 / 086-445-5636</v>
      </c>
      <c r="N1464" s="3">
        <f>IFERROR(__xludf.DUMMYFUNCTION("""COMPUTED_VALUE"""),22658.0)</f>
        <v>22658</v>
      </c>
      <c r="O1464" s="3" t="str">
        <f>IFERROR(__xludf.DUMMYFUNCTION("""COMPUTED_VALUE"""),"BCM ถ.วิรัชหงษ์หยก ภูเก็ต")</f>
        <v>BCM ถ.วิรัชหงษ์หยก ภูเก็ต</v>
      </c>
      <c r="P1464" s="4">
        <f>IFERROR(__xludf.DUMMYFUNCTION("""COMPUTED_VALUE"""),44004.0)</f>
        <v>44004</v>
      </c>
      <c r="Q1464" s="3" t="str">
        <f>IFERROR(__xludf.DUMMYFUNCTION("""COMPUTED_VALUE"""),"A")</f>
        <v>A</v>
      </c>
      <c r="R1464" s="3" t="str">
        <f>IFERROR(__xludf.DUMMYFUNCTION("""COMPUTED_VALUE"""),"Small Format")</f>
        <v>Small Format</v>
      </c>
      <c r="S1464" s="3" t="str">
        <f>IFERROR(__xludf.DUMMYFUNCTION("""COMPUTED_VALUE"""),"BCM")</f>
        <v>BCM</v>
      </c>
      <c r="T1464" s="3" t="str">
        <f>IFERROR(__xludf.DUMMYFUNCTION("""COMPUTED_VALUE"""),"#N/A")</f>
        <v>#N/A</v>
      </c>
      <c r="U1464" s="3" t="str">
        <f>IFERROR(__xludf.DUMMYFUNCTION("""COMPUTED_VALUE"""),"#N/A")</f>
        <v>#N/A</v>
      </c>
      <c r="V1464" s="3" t="str">
        <f>IFERROR(__xludf.DUMMYFUNCTION("""COMPUTED_VALUE"""),"N")</f>
        <v>N</v>
      </c>
      <c r="W1464" s="3">
        <f>IFERROR(__xludf.DUMMYFUNCTION("""COMPUTED_VALUE"""),210166.0)</f>
        <v>210166</v>
      </c>
      <c r="X1464" s="3" t="str">
        <f>IFERROR(__xludf.DUMMYFUNCTION("""COMPUTED_VALUE"""),"171/3 หมู่5 ตำบลรัษฎา อำเภอเมืองภูเก็ต จังหวัดภูเก็ต 83000")</f>
        <v>171/3 หมู่5 ตำบลรัษฎา อำเภอเมืองภูเก็ต จังหวัดภูเก็ต 83000</v>
      </c>
      <c r="Y1464" s="3"/>
      <c r="Z1464" s="3" t="str">
        <f>IFERROR(__xludf.DUMMYFUNCTION("""COMPUTED_VALUE"""),"รัษฎา")</f>
        <v>รัษฎา</v>
      </c>
      <c r="AA1464" s="3" t="str">
        <f>IFERROR(__xludf.DUMMYFUNCTION("""COMPUTED_VALUE"""),"เมือง")</f>
        <v>เมือง</v>
      </c>
      <c r="AB1464" s="3" t="str">
        <f>IFERROR(__xludf.DUMMYFUNCTION("""COMPUTED_VALUE"""),"ภูเก็ต")</f>
        <v>ภูเก็ต</v>
      </c>
      <c r="AC1464" s="3">
        <f>IFERROR(__xludf.DUMMYFUNCTION("""COMPUTED_VALUE"""),83000.0)</f>
        <v>83000</v>
      </c>
      <c r="AD1464" s="3">
        <f>IFERROR(__xludf.DUMMYFUNCTION("""COMPUTED_VALUE"""),7.922875)</f>
        <v>7.922875</v>
      </c>
      <c r="AE1464" s="3">
        <f>IFERROR(__xludf.DUMMYFUNCTION("""COMPUTED_VALUE"""),98.383778)</f>
        <v>98.383778</v>
      </c>
      <c r="AF1464" s="3" t="str">
        <f>IFERROR(__xludf.DUMMYFUNCTION("""COMPUTED_VALUE"""),"MBC หมู่บ้านศรีสุชาติ ภูเก็ต-22148")</f>
        <v>MBC หมู่บ้านศรีสุชาติ ภูเก็ต-22148</v>
      </c>
      <c r="AG1464" s="3" t="str">
        <f>IFERROR(__xludf.DUMMYFUNCTION("""COMPUTED_VALUE"""),"ใต้")</f>
        <v>ใต้</v>
      </c>
      <c r="AH1464" s="3" t="str">
        <f>IFERROR(__xludf.DUMMYFUNCTION("""COMPUTED_VALUE"""),"#N/A")</f>
        <v>#N/A</v>
      </c>
      <c r="AI1464" s="3" t="str">
        <f>IFERROR(__xludf.DUMMYFUNCTION("""COMPUTED_VALUE"""),"Out of warranty")</f>
        <v>Out of warranty</v>
      </c>
      <c r="AJ1464" s="3">
        <f>IFERROR(__xludf.DUMMYFUNCTION("""COMPUTED_VALUE"""),67.0)</f>
        <v>67</v>
      </c>
      <c r="AK1464" s="3" t="str">
        <f>IFERROR(__xludf.DUMMYFUNCTION("""COMPUTED_VALUE"""),"MMS15")</f>
        <v>MMS15</v>
      </c>
      <c r="AL1464" s="3"/>
    </row>
    <row r="1465" ht="15.75" customHeight="1">
      <c r="A1465" s="1" t="str">
        <f>IFERROR(__xludf.DUMMYFUNCTION("""COMPUTED_VALUE"""),"22149")</f>
        <v>22149</v>
      </c>
      <c r="B1465" s="2">
        <f>IFERROR(__xludf.DUMMYFUNCTION("""COMPUTED_VALUE"""),22149.0)</f>
        <v>22149</v>
      </c>
      <c r="C1465" s="3" t="str">
        <f>IFERROR(__xludf.DUMMYFUNCTION("""COMPUTED_VALUE"""),"MBC ถนนสามัคคี สาย ข. ปัตตานี")</f>
        <v>MBC ถนนสามัคคี สาย ข. ปัตตานี</v>
      </c>
      <c r="D1465" s="3" t="str">
        <f>IFERROR(__xludf.DUMMYFUNCTION("""COMPUTED_VALUE"""),"BCM THANON SAMAKKEE SAI KOR.")</f>
        <v>BCM THANON SAMAKKEE SAI KOR.</v>
      </c>
      <c r="E1465" s="1" t="str">
        <f>IFERROR(__xludf.DUMMYFUNCTION("""COMPUTED_VALUE"""),"บิ๊กซี MINI")</f>
        <v>บิ๊กซี MINI</v>
      </c>
      <c r="F1465" s="1" t="str">
        <f>IFERROR(__xludf.DUMMYFUNCTION("""COMPUTED_VALUE"""),"250760")</f>
        <v>250760</v>
      </c>
      <c r="G1465" s="1" t="str">
        <f>IFERROR(__xludf.DUMMYFUNCTION("""COMPUTED_VALUE"""),"นายประทวน สาราบรรณ์")</f>
        <v>นายประทวน สาราบรรณ์</v>
      </c>
      <c r="H1465" s="1" t="str">
        <f>IFERROR(__xludf.DUMMYFUNCTION("""COMPUTED_VALUE"""),"394185")</f>
        <v>394185</v>
      </c>
      <c r="I1465" s="1" t="str">
        <f>IFERROR(__xludf.DUMMYFUNCTION("""COMPUTED_VALUE"""),"น.ส.ฐาปนี สุวรรณรัตน์")</f>
        <v>น.ส.ฐาปนี สุวรรณรัตน์</v>
      </c>
      <c r="J1465" s="3">
        <f>IFERROR(__xludf.DUMMYFUNCTION("""COMPUTED_VALUE"""),2.0470331E7)</f>
        <v>20470331</v>
      </c>
      <c r="K1465" s="3" t="str">
        <f>IFERROR(__xludf.DUMMYFUNCTION("""COMPUTED_VALUE"""),"นายสมชาย ลักษณะสุวรรณ")</f>
        <v>นายสมชาย ลักษณะสุวรรณ</v>
      </c>
      <c r="L1465" s="1" t="str">
        <f>IFERROR(__xludf.DUMMYFUNCTION("""COMPUTED_VALUE"""),"15 K.Somchai L")</f>
        <v>15 K.Somchai L</v>
      </c>
      <c r="M1465" s="1" t="str">
        <f>IFERROR(__xludf.DUMMYFUNCTION("""COMPUTED_VALUE"""),"0655107372")</f>
        <v>0655107372</v>
      </c>
      <c r="N1465" s="3">
        <f>IFERROR(__xludf.DUMMYFUNCTION("""COMPUTED_VALUE"""),21723.0)</f>
        <v>21723</v>
      </c>
      <c r="O1465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465" s="4">
        <f>IFERROR(__xludf.DUMMYFUNCTION("""COMPUTED_VALUE"""),44052.0)</f>
        <v>44052</v>
      </c>
      <c r="Q1465" s="3" t="str">
        <f>IFERROR(__xludf.DUMMYFUNCTION("""COMPUTED_VALUE"""),"A")</f>
        <v>A</v>
      </c>
      <c r="R1465" s="3" t="str">
        <f>IFERROR(__xludf.DUMMYFUNCTION("""COMPUTED_VALUE"""),"Small Format")</f>
        <v>Small Format</v>
      </c>
      <c r="S1465" s="3" t="str">
        <f>IFERROR(__xludf.DUMMYFUNCTION("""COMPUTED_VALUE"""),"BCM")</f>
        <v>BCM</v>
      </c>
      <c r="T1465" s="3" t="str">
        <f>IFERROR(__xludf.DUMMYFUNCTION("""COMPUTED_VALUE"""),"#N/A")</f>
        <v>#N/A</v>
      </c>
      <c r="U1465" s="3" t="str">
        <f>IFERROR(__xludf.DUMMYFUNCTION("""COMPUTED_VALUE"""),"#N/A")</f>
        <v>#N/A</v>
      </c>
      <c r="V1465" s="3" t="str">
        <f>IFERROR(__xludf.DUMMYFUNCTION("""COMPUTED_VALUE"""),"N")</f>
        <v>N</v>
      </c>
      <c r="W1465" s="3">
        <f>IFERROR(__xludf.DUMMYFUNCTION("""COMPUTED_VALUE"""),210132.0)</f>
        <v>210132</v>
      </c>
      <c r="X1465" s="3" t="str">
        <f>IFERROR(__xludf.DUMMYFUNCTION("""COMPUTED_VALUE"""),"188/98 หมู่6 ตำบลรูสะมิแล อำเภอเมืองปัตตานี จังหวัดปัตตานี 94000")</f>
        <v>188/98 หมู่6 ตำบลรูสะมิแล อำเภอเมืองปัตตานี จังหวัดปัตตานี 94000</v>
      </c>
      <c r="Y1465" s="3"/>
      <c r="Z1465" s="3" t="str">
        <f>IFERROR(__xludf.DUMMYFUNCTION("""COMPUTED_VALUE"""),"รูสะมิแล")</f>
        <v>รูสะมิแล</v>
      </c>
      <c r="AA1465" s="3" t="str">
        <f>IFERROR(__xludf.DUMMYFUNCTION("""COMPUTED_VALUE"""),"เมือง")</f>
        <v>เมือง</v>
      </c>
      <c r="AB1465" s="3" t="str">
        <f>IFERROR(__xludf.DUMMYFUNCTION("""COMPUTED_VALUE"""),"ปัตตานี")</f>
        <v>ปัตตานี</v>
      </c>
      <c r="AC1465" s="3">
        <f>IFERROR(__xludf.DUMMYFUNCTION("""COMPUTED_VALUE"""),94000.0)</f>
        <v>94000</v>
      </c>
      <c r="AD1465" s="3">
        <f>IFERROR(__xludf.DUMMYFUNCTION("""COMPUTED_VALUE"""),6.875939)</f>
        <v>6.875939</v>
      </c>
      <c r="AE1465" s="3">
        <f>IFERROR(__xludf.DUMMYFUNCTION("""COMPUTED_VALUE"""),101.248489)</f>
        <v>101.248489</v>
      </c>
      <c r="AF1465" s="3" t="str">
        <f>IFERROR(__xludf.DUMMYFUNCTION("""COMPUTED_VALUE"""),"MBC ถนนสามัคคี สาย ข. ปัตตานี-22149")</f>
        <v>MBC ถนนสามัคคี สาย ข. ปัตตานี-22149</v>
      </c>
      <c r="AG1465" s="3" t="str">
        <f>IFERROR(__xludf.DUMMYFUNCTION("""COMPUTED_VALUE"""),"ใต้")</f>
        <v>ใต้</v>
      </c>
      <c r="AH1465" s="3" t="str">
        <f>IFERROR(__xludf.DUMMYFUNCTION("""COMPUTED_VALUE"""),"#N/A")</f>
        <v>#N/A</v>
      </c>
      <c r="AI1465" s="3" t="str">
        <f>IFERROR(__xludf.DUMMYFUNCTION("""COMPUTED_VALUE"""),"Out of warranty")</f>
        <v>Out of warranty</v>
      </c>
      <c r="AJ1465" s="3">
        <f>IFERROR(__xludf.DUMMYFUNCTION("""COMPUTED_VALUE"""),66.0)</f>
        <v>66</v>
      </c>
      <c r="AK1465" s="3" t="str">
        <f>IFERROR(__xludf.DUMMYFUNCTION("""COMPUTED_VALUE"""),"MMS16")</f>
        <v>MMS16</v>
      </c>
      <c r="AL1465" s="3"/>
    </row>
    <row r="1466" ht="15.75" customHeight="1">
      <c r="A1466" s="1" t="str">
        <f>IFERROR(__xludf.DUMMYFUNCTION("""COMPUTED_VALUE"""),"22150")</f>
        <v>22150</v>
      </c>
      <c r="B1466" s="2">
        <f>IFERROR(__xludf.DUMMYFUNCTION("""COMPUTED_VALUE"""),22150.0)</f>
        <v>22150</v>
      </c>
      <c r="C1466" s="3" t="str">
        <f>IFERROR(__xludf.DUMMYFUNCTION("""COMPUTED_VALUE"""),"MBC เขาใหญ่")</f>
        <v>MBC เขาใหญ่</v>
      </c>
      <c r="D1466" s="3" t="str">
        <f>IFERROR(__xludf.DUMMYFUNCTION("""COMPUTED_VALUE"""),"BCM KHAO YAI")</f>
        <v>BCM KHAO YAI</v>
      </c>
      <c r="E1466" s="1" t="str">
        <f>IFERROR(__xludf.DUMMYFUNCTION("""COMPUTED_VALUE"""),"บิ๊กซี MINI")</f>
        <v>บิ๊กซี MINI</v>
      </c>
      <c r="F1466" s="1" t="str">
        <f>IFERROR(__xludf.DUMMYFUNCTION("""COMPUTED_VALUE"""),"291105")</f>
        <v>291105</v>
      </c>
      <c r="G1466" s="1" t="str">
        <f>IFERROR(__xludf.DUMMYFUNCTION("""COMPUTED_VALUE"""),"นายสราวุฒิ พณิชยกุล")</f>
        <v>นายสราวุฒิ พณิชยกุล</v>
      </c>
      <c r="H1466" s="1" t="str">
        <f>IFERROR(__xludf.DUMMYFUNCTION("""COMPUTED_VALUE"""),"392433")</f>
        <v>392433</v>
      </c>
      <c r="I1466" s="1" t="str">
        <f>IFERROR(__xludf.DUMMYFUNCTION("""COMPUTED_VALUE"""),"นายพรธิวา ใจอ่อน")</f>
        <v>นายพรธิวา ใจอ่อน</v>
      </c>
      <c r="J1466" s="3">
        <f>IFERROR(__xludf.DUMMYFUNCTION("""COMPUTED_VALUE"""),295886.0)</f>
        <v>295886</v>
      </c>
      <c r="K1466" s="3" t="str">
        <f>IFERROR(__xludf.DUMMYFUNCTION("""COMPUTED_VALUE"""),"นายจิระพงษ์ โพธิ์นิล")</f>
        <v>นายจิระพงษ์ โพธิ์นิล</v>
      </c>
      <c r="L1466" s="1" t="str">
        <f>IFERROR(__xludf.DUMMYFUNCTION("""COMPUTED_VALUE"""),"นายจิระพงษ์ โพธิ์นิล")</f>
        <v>นายจิระพงษ์ โพธิ์นิล</v>
      </c>
      <c r="M1466" s="1" t="str">
        <f>IFERROR(__xludf.DUMMYFUNCTION("""COMPUTED_VALUE"""),"0933290754")</f>
        <v>0933290754</v>
      </c>
      <c r="N1466" s="3">
        <f>IFERROR(__xludf.DUMMYFUNCTION("""COMPUTED_VALUE"""),21622.0)</f>
        <v>21622</v>
      </c>
      <c r="O1466" s="3" t="str">
        <f>IFERROR(__xludf.DUMMYFUNCTION("""COMPUTED_VALUE"""),"MBC ตลาดบ้านดอน")</f>
        <v>MBC ตลาดบ้านดอน</v>
      </c>
      <c r="P1466" s="4">
        <f>IFERROR(__xludf.DUMMYFUNCTION("""COMPUTED_VALUE"""),43982.0)</f>
        <v>43982</v>
      </c>
      <c r="Q1466" s="3" t="str">
        <f>IFERROR(__xludf.DUMMYFUNCTION("""COMPUTED_VALUE"""),"I")</f>
        <v>I</v>
      </c>
      <c r="R1466" s="3" t="str">
        <f>IFERROR(__xludf.DUMMYFUNCTION("""COMPUTED_VALUE"""),"Small Format")</f>
        <v>Small Format</v>
      </c>
      <c r="S1466" s="3" t="str">
        <f>IFERROR(__xludf.DUMMYFUNCTION("""COMPUTED_VALUE"""),"BCM")</f>
        <v>BCM</v>
      </c>
      <c r="T1466" s="3" t="str">
        <f>IFERROR(__xludf.DUMMYFUNCTION("""COMPUTED_VALUE"""),"#N/A")</f>
        <v>#N/A</v>
      </c>
      <c r="U1466" s="3" t="str">
        <f>IFERROR(__xludf.DUMMYFUNCTION("""COMPUTED_VALUE"""),"#N/A")</f>
        <v>#N/A</v>
      </c>
      <c r="V1466" s="3" t="str">
        <f>IFERROR(__xludf.DUMMYFUNCTION("""COMPUTED_VALUE"""),"N")</f>
        <v>N</v>
      </c>
      <c r="W1466" s="3">
        <f>IFERROR(__xludf.DUMMYFUNCTION("""COMPUTED_VALUE"""),210168.0)</f>
        <v>210168</v>
      </c>
      <c r="X1466" s="3" t="str">
        <f>IFERROR(__xludf.DUMMYFUNCTION("""COMPUTED_VALUE"""),"276 หมู่5 ตำบลหมูสี อำเภอปากช่อง จังหวัดนครราชสีมา 30130")</f>
        <v>276 หมู่5 ตำบลหมูสี อำเภอปากช่อง จังหวัดนครราชสีมา 30130</v>
      </c>
      <c r="Y1466" s="3"/>
      <c r="Z1466" s="3" t="str">
        <f>IFERROR(__xludf.DUMMYFUNCTION("""COMPUTED_VALUE"""),"หมูสี")</f>
        <v>หมูสี</v>
      </c>
      <c r="AA1466" s="3" t="str">
        <f>IFERROR(__xludf.DUMMYFUNCTION("""COMPUTED_VALUE"""),"ปากช่อง")</f>
        <v>ปากช่อง</v>
      </c>
      <c r="AB1466" s="3" t="str">
        <f>IFERROR(__xludf.DUMMYFUNCTION("""COMPUTED_VALUE"""),"นครราชสีมา")</f>
        <v>นครราชสีมา</v>
      </c>
      <c r="AC1466" s="3">
        <f>IFERROR(__xludf.DUMMYFUNCTION("""COMPUTED_VALUE"""),30130.0)</f>
        <v>30130</v>
      </c>
      <c r="AD1466" s="3">
        <f>IFERROR(__xludf.DUMMYFUNCTION("""COMPUTED_VALUE"""),14.534066)</f>
        <v>14.534066</v>
      </c>
      <c r="AE1466" s="3">
        <f>IFERROR(__xludf.DUMMYFUNCTION("""COMPUTED_VALUE"""),101.370666)</f>
        <v>101.370666</v>
      </c>
      <c r="AF1466" s="3" t="str">
        <f>IFERROR(__xludf.DUMMYFUNCTION("""COMPUTED_VALUE"""),"MBC เขาใหญ่-22150")</f>
        <v>MBC เขาใหญ่-22150</v>
      </c>
      <c r="AG1466" s="3" t="str">
        <f>IFERROR(__xludf.DUMMYFUNCTION("""COMPUTED_VALUE"""),"ตะวันออกเฉียงเหนือ")</f>
        <v>ตะวันออกเฉียงเหนือ</v>
      </c>
      <c r="AH1466" s="3" t="str">
        <f>IFERROR(__xludf.DUMMYFUNCTION("""COMPUTED_VALUE"""),"#N/A")</f>
        <v>#N/A</v>
      </c>
      <c r="AI1466" s="3" t="str">
        <f>IFERROR(__xludf.DUMMYFUNCTION("""COMPUTED_VALUE"""),"Out of warranty")</f>
        <v>Out of warranty</v>
      </c>
      <c r="AJ1466" s="3">
        <f>IFERROR(__xludf.DUMMYFUNCTION("""COMPUTED_VALUE"""),68.0)</f>
        <v>68</v>
      </c>
      <c r="AK1466" s="3" t="str">
        <f>IFERROR(__xludf.DUMMYFUNCTION("""COMPUTED_VALUE"""),"MMS11")</f>
        <v>MMS11</v>
      </c>
      <c r="AL1466" s="3"/>
    </row>
    <row r="1467" ht="15.75" customHeight="1">
      <c r="A1467" s="1" t="str">
        <f>IFERROR(__xludf.DUMMYFUNCTION("""COMPUTED_VALUE"""),"22151")</f>
        <v>22151</v>
      </c>
      <c r="B1467" s="2">
        <f>IFERROR(__xludf.DUMMYFUNCTION("""COMPUTED_VALUE"""),22151.0)</f>
        <v>22151</v>
      </c>
      <c r="C1467" s="3" t="str">
        <f>IFERROR(__xludf.DUMMYFUNCTION("""COMPUTED_VALUE"""),"MBC คาลเท็กซ์ติวานนท์ นนทบุรี")</f>
        <v>MBC คาลเท็กซ์ติวานนท์ นนทบุรี</v>
      </c>
      <c r="D1467" s="3" t="str">
        <f>IFERROR(__xludf.DUMMYFUNCTION("""COMPUTED_VALUE"""),"BCM CALTEX TIWANON")</f>
        <v>BCM CALTEX TIWANON</v>
      </c>
      <c r="E1467" s="1" t="str">
        <f>IFERROR(__xludf.DUMMYFUNCTION("""COMPUTED_VALUE"""),"บิ๊กซี MINI")</f>
        <v>บิ๊กซี MINI</v>
      </c>
      <c r="F1467" s="1" t="str">
        <f>IFERROR(__xludf.DUMMYFUNCTION("""COMPUTED_VALUE"""),"291008")</f>
        <v>291008</v>
      </c>
      <c r="G1467" s="1" t="str">
        <f>IFERROR(__xludf.DUMMYFUNCTION("""COMPUTED_VALUE"""),"น.ส.รัชดาพร อีศรัตน์")</f>
        <v>น.ส.รัชดาพร อีศรัตน์</v>
      </c>
      <c r="H1467" s="1" t="str">
        <f>IFERROR(__xludf.DUMMYFUNCTION("""COMPUTED_VALUE"""),"034068")</f>
        <v>034068</v>
      </c>
      <c r="I1467" s="1" t="str">
        <f>IFERROR(__xludf.DUMMYFUNCTION("""COMPUTED_VALUE"""),"นายสมศักดิ์ ฐานทองดี")</f>
        <v>นายสมศักดิ์ ฐานทองดี</v>
      </c>
      <c r="J1467" s="3">
        <f>IFERROR(__xludf.DUMMYFUNCTION("""COMPUTED_VALUE"""),296608.0)</f>
        <v>296608</v>
      </c>
      <c r="K1467" s="3" t="str">
        <f>IFERROR(__xludf.DUMMYFUNCTION("""COMPUTED_VALUE"""),"นายภาคภูมิ เพ็ชรนิล")</f>
        <v>นายภาคภูมิ เพ็ชรนิล</v>
      </c>
      <c r="L1467" s="1" t="str">
        <f>IFERROR(__xludf.DUMMYFUNCTION("""COMPUTED_VALUE"""),"10 K.Phakphoom P.")</f>
        <v>10 K.Phakphoom P.</v>
      </c>
      <c r="M1467" s="1" t="str">
        <f>IFERROR(__xludf.DUMMYFUNCTION("""COMPUTED_VALUE"""),"063-8955329")</f>
        <v>063-8955329</v>
      </c>
      <c r="N1467" s="3">
        <f>IFERROR(__xludf.DUMMYFUNCTION("""COMPUTED_VALUE"""),22584.0)</f>
        <v>22584</v>
      </c>
      <c r="O1467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467" s="4">
        <f>IFERROR(__xludf.DUMMYFUNCTION("""COMPUTED_VALUE"""),43980.0)</f>
        <v>43980</v>
      </c>
      <c r="Q1467" s="3" t="str">
        <f>IFERROR(__xludf.DUMMYFUNCTION("""COMPUTED_VALUE"""),"A")</f>
        <v>A</v>
      </c>
      <c r="R1467" s="3" t="str">
        <f>IFERROR(__xludf.DUMMYFUNCTION("""COMPUTED_VALUE"""),"Small Format")</f>
        <v>Small Format</v>
      </c>
      <c r="S1467" s="3" t="str">
        <f>IFERROR(__xludf.DUMMYFUNCTION("""COMPUTED_VALUE"""),"BCM")</f>
        <v>BCM</v>
      </c>
      <c r="T1467" s="3" t="str">
        <f>IFERROR(__xludf.DUMMYFUNCTION("""COMPUTED_VALUE"""),"#N/A")</f>
        <v>#N/A</v>
      </c>
      <c r="U1467" s="3" t="str">
        <f>IFERROR(__xludf.DUMMYFUNCTION("""COMPUTED_VALUE"""),"#N/A")</f>
        <v>#N/A</v>
      </c>
      <c r="V1467" s="3" t="str">
        <f>IFERROR(__xludf.DUMMYFUNCTION("""COMPUTED_VALUE"""),"N")</f>
        <v>N</v>
      </c>
      <c r="W1467" s="3">
        <f>IFERROR(__xludf.DUMMYFUNCTION("""COMPUTED_VALUE"""),210200.0)</f>
        <v>210200</v>
      </c>
      <c r="X1467" s="3" t="str">
        <f>IFERROR(__xludf.DUMMYFUNCTION("""COMPUTED_VALUE"""),"76/2 หมู่5 ตำบลบ้านใหม่ อำเภอปากเกร็ด จังหวัดนนทบุรี 11120")</f>
        <v>76/2 หมู่5 ตำบลบ้านใหม่ อำเภอปากเกร็ด จังหวัดนนทบุรี 11120</v>
      </c>
      <c r="Y1467" s="3"/>
      <c r="Z1467" s="3" t="str">
        <f>IFERROR(__xludf.DUMMYFUNCTION("""COMPUTED_VALUE"""),"บ้านใหม่")</f>
        <v>บ้านใหม่</v>
      </c>
      <c r="AA1467" s="3" t="str">
        <f>IFERROR(__xludf.DUMMYFUNCTION("""COMPUTED_VALUE"""),"ปากเกร็ด")</f>
        <v>ปากเกร็ด</v>
      </c>
      <c r="AB1467" s="3" t="str">
        <f>IFERROR(__xludf.DUMMYFUNCTION("""COMPUTED_VALUE"""),"นนทบุรี")</f>
        <v>นนทบุรี</v>
      </c>
      <c r="AC1467" s="3">
        <f>IFERROR(__xludf.DUMMYFUNCTION("""COMPUTED_VALUE"""),11120.0)</f>
        <v>11120</v>
      </c>
      <c r="AD1467" s="3">
        <f>IFERROR(__xludf.DUMMYFUNCTION("""COMPUTED_VALUE"""),13.926192)</f>
        <v>13.926192</v>
      </c>
      <c r="AE1467" s="3">
        <f>IFERROR(__xludf.DUMMYFUNCTION("""COMPUTED_VALUE"""),100.525352)</f>
        <v>100.525352</v>
      </c>
      <c r="AF1467" s="3" t="str">
        <f>IFERROR(__xludf.DUMMYFUNCTION("""COMPUTED_VALUE"""),"MBC คาลเท็กซ์ติวานนท์ นนทบุรี-22151")</f>
        <v>MBC คาลเท็กซ์ติวานนท์ นนทบุรี-22151</v>
      </c>
      <c r="AG1467" s="3" t="str">
        <f>IFERROR(__xludf.DUMMYFUNCTION("""COMPUTED_VALUE"""),"กลาง")</f>
        <v>กลาง</v>
      </c>
      <c r="AH1467" s="3" t="str">
        <f>IFERROR(__xludf.DUMMYFUNCTION("""COMPUTED_VALUE"""),"#N/A")</f>
        <v>#N/A</v>
      </c>
      <c r="AI1467" s="3" t="str">
        <f>IFERROR(__xludf.DUMMYFUNCTION("""COMPUTED_VALUE"""),"Out of warranty")</f>
        <v>Out of warranty</v>
      </c>
      <c r="AJ1467" s="3">
        <f>IFERROR(__xludf.DUMMYFUNCTION("""COMPUTED_VALUE"""),68.0)</f>
        <v>68</v>
      </c>
      <c r="AK1467" s="3" t="str">
        <f>IFERROR(__xludf.DUMMYFUNCTION("""COMPUTED_VALUE"""),"MMS01")</f>
        <v>MMS01</v>
      </c>
      <c r="AL1467" s="3"/>
    </row>
    <row r="1468" ht="15.75" customHeight="1">
      <c r="A1468" s="1" t="str">
        <f>IFERROR(__xludf.DUMMYFUNCTION("""COMPUTED_VALUE"""),"22152")</f>
        <v>22152</v>
      </c>
      <c r="B1468" s="2">
        <f>IFERROR(__xludf.DUMMYFUNCTION("""COMPUTED_VALUE"""),22152.0)</f>
        <v>22152</v>
      </c>
      <c r="C1468" s="3" t="str">
        <f>IFERROR(__xludf.DUMMYFUNCTION("""COMPUTED_VALUE"""),"MBC ตลาดท่าประชุม ปราจีนบุรี")</f>
        <v>MBC ตลาดท่าประชุม ปราจีนบุรี</v>
      </c>
      <c r="D1468" s="3" t="str">
        <f>IFERROR(__xludf.DUMMYFUNCTION("""COMPUTED_VALUE"""),"BCM TALAD THA PRACHUM")</f>
        <v>BCM TALAD THA PRACHUM</v>
      </c>
      <c r="E1468" s="1" t="str">
        <f>IFERROR(__xludf.DUMMYFUNCTION("""COMPUTED_VALUE"""),"บิ๊กซี MINI")</f>
        <v>บิ๊กซี MINI</v>
      </c>
      <c r="F1468" s="1" t="str">
        <f>IFERROR(__xludf.DUMMYFUNCTION("""COMPUTED_VALUE"""),"2083447")</f>
        <v>2083447</v>
      </c>
      <c r="G1468" s="1" t="str">
        <f>IFERROR(__xludf.DUMMYFUNCTION("""COMPUTED_VALUE"""),"นายอนุกูล ศรีลัดดา")</f>
        <v>นายอนุกูล ศรีลัดดา</v>
      </c>
      <c r="H1468" s="1" t="str">
        <f>IFERROR(__xludf.DUMMYFUNCTION("""COMPUTED_VALUE"""),"259808")</f>
        <v>259808</v>
      </c>
      <c r="I1468" s="1" t="str">
        <f>IFERROR(__xludf.DUMMYFUNCTION("""COMPUTED_VALUE"""),"น.ส.สกุลรัตน์ พิกุลแก้ว")</f>
        <v>น.ส.สกุลรัตน์ พิกุลแก้ว</v>
      </c>
      <c r="J1468" s="3">
        <f>IFERROR(__xludf.DUMMYFUNCTION("""COMPUTED_VALUE"""),510143.0)</f>
        <v>510143</v>
      </c>
      <c r="K1468" s="3" t="str">
        <f>IFERROR(__xludf.DUMMYFUNCTION("""COMPUTED_VALUE"""),"นายธีระวัฒน์ บุญสิทธิ์")</f>
        <v>นายธีระวัฒน์ บุญสิทธิ์</v>
      </c>
      <c r="L1468" s="1" t="str">
        <f>IFERROR(__xludf.DUMMYFUNCTION("""COMPUTED_VALUE"""),"12 K.Theerawat B.")</f>
        <v>12 K.Theerawat B.</v>
      </c>
      <c r="M1468" s="1" t="str">
        <f>IFERROR(__xludf.DUMMYFUNCTION("""COMPUTED_VALUE"""),"0655107379")</f>
        <v>0655107379</v>
      </c>
      <c r="N1468" s="3">
        <f>IFERROR(__xludf.DUMMYFUNCTION("""COMPUTED_VALUE"""),21062.0)</f>
        <v>21062</v>
      </c>
      <c r="O1468" s="3" t="str">
        <f>IFERROR(__xludf.DUMMYFUNCTION("""COMPUTED_VALUE"""),"MBC นิคมนวนคร")</f>
        <v>MBC นิคมนวนคร</v>
      </c>
      <c r="P1468" s="4">
        <f>IFERROR(__xludf.DUMMYFUNCTION("""COMPUTED_VALUE"""),43984.0)</f>
        <v>43984</v>
      </c>
      <c r="Q1468" s="3" t="str">
        <f>IFERROR(__xludf.DUMMYFUNCTION("""COMPUTED_VALUE"""),"A")</f>
        <v>A</v>
      </c>
      <c r="R1468" s="3" t="str">
        <f>IFERROR(__xludf.DUMMYFUNCTION("""COMPUTED_VALUE"""),"Small Format")</f>
        <v>Small Format</v>
      </c>
      <c r="S1468" s="3" t="str">
        <f>IFERROR(__xludf.DUMMYFUNCTION("""COMPUTED_VALUE"""),"BCM")</f>
        <v>BCM</v>
      </c>
      <c r="T1468" s="3" t="str">
        <f>IFERROR(__xludf.DUMMYFUNCTION("""COMPUTED_VALUE"""),"#N/A")</f>
        <v>#N/A</v>
      </c>
      <c r="U1468" s="3" t="str">
        <f>IFERROR(__xludf.DUMMYFUNCTION("""COMPUTED_VALUE"""),"#N/A")</f>
        <v>#N/A</v>
      </c>
      <c r="V1468" s="3" t="str">
        <f>IFERROR(__xludf.DUMMYFUNCTION("""COMPUTED_VALUE"""),"N")</f>
        <v>N</v>
      </c>
      <c r="W1468" s="3">
        <f>IFERROR(__xludf.DUMMYFUNCTION("""COMPUTED_VALUE"""),210201.0)</f>
        <v>210201</v>
      </c>
      <c r="X1468" s="3" t="str">
        <f>IFERROR(__xludf.DUMMYFUNCTION("""COMPUTED_VALUE"""),"554 หมู่3 ตำบลศรีมหาโพธิ อำเภอศรีมหาโพธิ จังหวัดปราจีนบุรี 25140")</f>
        <v>554 หมู่3 ตำบลศรีมหาโพธิ อำเภอศรีมหาโพธิ จังหวัดปราจีนบุรี 25140</v>
      </c>
      <c r="Y1468" s="3"/>
      <c r="Z1468" s="3" t="str">
        <f>IFERROR(__xludf.DUMMYFUNCTION("""COMPUTED_VALUE"""),"ศรีมหาโพธิ")</f>
        <v>ศรีมหาโพธิ</v>
      </c>
      <c r="AA1468" s="3" t="str">
        <f>IFERROR(__xludf.DUMMYFUNCTION("""COMPUTED_VALUE"""),"ศรีมหาโพธิ")</f>
        <v>ศรีมหาโพธิ</v>
      </c>
      <c r="AB1468" s="3" t="str">
        <f>IFERROR(__xludf.DUMMYFUNCTION("""COMPUTED_VALUE"""),"ปราจีนบุรี")</f>
        <v>ปราจีนบุรี</v>
      </c>
      <c r="AC1468" s="3">
        <f>IFERROR(__xludf.DUMMYFUNCTION("""COMPUTED_VALUE"""),25140.0)</f>
        <v>25140</v>
      </c>
      <c r="AD1468" s="3">
        <f>IFERROR(__xludf.DUMMYFUNCTION("""COMPUTED_VALUE"""),13.971325)</f>
        <v>13.971325</v>
      </c>
      <c r="AE1468" s="3">
        <f>IFERROR(__xludf.DUMMYFUNCTION("""COMPUTED_VALUE"""),101.513684)</f>
        <v>101.513684</v>
      </c>
      <c r="AF1468" s="3" t="str">
        <f>IFERROR(__xludf.DUMMYFUNCTION("""COMPUTED_VALUE"""),"MBC ตลาดท่าประชุม ปราจีนบุรี-22152")</f>
        <v>MBC ตลาดท่าประชุม ปราจีนบุรี-22152</v>
      </c>
      <c r="AG1468" s="3" t="str">
        <f>IFERROR(__xludf.DUMMYFUNCTION("""COMPUTED_VALUE"""),"ตะวันออก")</f>
        <v>ตะวันออก</v>
      </c>
      <c r="AH1468" s="3" t="str">
        <f>IFERROR(__xludf.DUMMYFUNCTION("""COMPUTED_VALUE"""),"#N/A")</f>
        <v>#N/A</v>
      </c>
      <c r="AI1468" s="3" t="str">
        <f>IFERROR(__xludf.DUMMYFUNCTION("""COMPUTED_VALUE"""),"Out of warranty")</f>
        <v>Out of warranty</v>
      </c>
      <c r="AJ1468" s="3">
        <f>IFERROR(__xludf.DUMMYFUNCTION("""COMPUTED_VALUE"""),68.0)</f>
        <v>68</v>
      </c>
      <c r="AK1468" s="3" t="str">
        <f>IFERROR(__xludf.DUMMYFUNCTION("""COMPUTED_VALUE"""),"MMS08")</f>
        <v>MMS08</v>
      </c>
      <c r="AL1468" s="3"/>
    </row>
    <row r="1469" ht="15.75" customHeight="1">
      <c r="A1469" s="1" t="str">
        <f>IFERROR(__xludf.DUMMYFUNCTION("""COMPUTED_VALUE"""),"22153")</f>
        <v>22153</v>
      </c>
      <c r="B1469" s="2">
        <f>IFERROR(__xludf.DUMMYFUNCTION("""COMPUTED_VALUE"""),22153.0)</f>
        <v>22153</v>
      </c>
      <c r="C1469" s="3" t="str">
        <f>IFERROR(__xludf.DUMMYFUNCTION("""COMPUTED_VALUE"""),"MBC ตลาดเทศวิวัฒน์ ปัตตานี")</f>
        <v>MBC ตลาดเทศวิวัฒน์ ปัตตานี</v>
      </c>
      <c r="D1469" s="3" t="str">
        <f>IFERROR(__xludf.DUMMYFUNCTION("""COMPUTED_VALUE"""),"BCM TALAD THETWIWAT")</f>
        <v>BCM TALAD THETWIWAT</v>
      </c>
      <c r="E1469" s="1" t="str">
        <f>IFERROR(__xludf.DUMMYFUNCTION("""COMPUTED_VALUE"""),"บิ๊กซี MINI")</f>
        <v>บิ๊กซี MINI</v>
      </c>
      <c r="F1469" s="1" t="str">
        <f>IFERROR(__xludf.DUMMYFUNCTION("""COMPUTED_VALUE"""),"250760")</f>
        <v>250760</v>
      </c>
      <c r="G1469" s="1" t="str">
        <f>IFERROR(__xludf.DUMMYFUNCTION("""COMPUTED_VALUE"""),"นายประทวน สาราบรรณ์")</f>
        <v>นายประทวน สาราบรรณ์</v>
      </c>
      <c r="H1469" s="1" t="str">
        <f>IFERROR(__xludf.DUMMYFUNCTION("""COMPUTED_VALUE"""),"394185")</f>
        <v>394185</v>
      </c>
      <c r="I1469" s="1" t="str">
        <f>IFERROR(__xludf.DUMMYFUNCTION("""COMPUTED_VALUE"""),"น.ส.ฐาปนี สุวรรณรัตน์")</f>
        <v>น.ส.ฐาปนี สุวรรณรัตน์</v>
      </c>
      <c r="J1469" s="3">
        <f>IFERROR(__xludf.DUMMYFUNCTION("""COMPUTED_VALUE"""),2.0470331E7)</f>
        <v>20470331</v>
      </c>
      <c r="K1469" s="3" t="str">
        <f>IFERROR(__xludf.DUMMYFUNCTION("""COMPUTED_VALUE"""),"นายสมชาย ลักษณะสุวรรณ")</f>
        <v>นายสมชาย ลักษณะสุวรรณ</v>
      </c>
      <c r="L1469" s="1" t="str">
        <f>IFERROR(__xludf.DUMMYFUNCTION("""COMPUTED_VALUE"""),"15 K.Somchai L")</f>
        <v>15 K.Somchai L</v>
      </c>
      <c r="M1469" s="1" t="str">
        <f>IFERROR(__xludf.DUMMYFUNCTION("""COMPUTED_VALUE"""),"0655107372")</f>
        <v>0655107372</v>
      </c>
      <c r="N1469" s="3">
        <f>IFERROR(__xludf.DUMMYFUNCTION("""COMPUTED_VALUE"""),21723.0)</f>
        <v>21723</v>
      </c>
      <c r="O1469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469" s="4">
        <f>IFERROR(__xludf.DUMMYFUNCTION("""COMPUTED_VALUE"""),44021.0)</f>
        <v>44021</v>
      </c>
      <c r="Q1469" s="3" t="str">
        <f>IFERROR(__xludf.DUMMYFUNCTION("""COMPUTED_VALUE"""),"A")</f>
        <v>A</v>
      </c>
      <c r="R1469" s="3" t="str">
        <f>IFERROR(__xludf.DUMMYFUNCTION("""COMPUTED_VALUE"""),"Small Format")</f>
        <v>Small Format</v>
      </c>
      <c r="S1469" s="3" t="str">
        <f>IFERROR(__xludf.DUMMYFUNCTION("""COMPUTED_VALUE"""),"BCM")</f>
        <v>BCM</v>
      </c>
      <c r="T1469" s="3" t="str">
        <f>IFERROR(__xludf.DUMMYFUNCTION("""COMPUTED_VALUE"""),"#N/A")</f>
        <v>#N/A</v>
      </c>
      <c r="U1469" s="3" t="str">
        <f>IFERROR(__xludf.DUMMYFUNCTION("""COMPUTED_VALUE"""),"#N/A")</f>
        <v>#N/A</v>
      </c>
      <c r="V1469" s="3" t="str">
        <f>IFERROR(__xludf.DUMMYFUNCTION("""COMPUTED_VALUE"""),"N")</f>
        <v>N</v>
      </c>
      <c r="W1469" s="3">
        <f>IFERROR(__xludf.DUMMYFUNCTION("""COMPUTED_VALUE"""),210179.0)</f>
        <v>210179</v>
      </c>
      <c r="X1469" s="3" t="str">
        <f>IFERROR(__xludf.DUMMYFUNCTION("""COMPUTED_VALUE"""),"2 4 21 ซอย1 ถนนนาเกลือ ตำบลอาเนาะรู อำเภอเมืองปัตตานี จังหวัดปัตตานี 94000")</f>
        <v>2 4 21 ซอย1 ถนนนาเกลือ ตำบลอาเนาะรู อำเภอเมืองปัตตานี จังหวัดปัตตานี 94000</v>
      </c>
      <c r="Y1469" s="3"/>
      <c r="Z1469" s="3" t="str">
        <f>IFERROR(__xludf.DUMMYFUNCTION("""COMPUTED_VALUE"""),"อาเนาะรู")</f>
        <v>อาเนาะรู</v>
      </c>
      <c r="AA1469" s="3" t="str">
        <f>IFERROR(__xludf.DUMMYFUNCTION("""COMPUTED_VALUE"""),"เมือง")</f>
        <v>เมือง</v>
      </c>
      <c r="AB1469" s="3" t="str">
        <f>IFERROR(__xludf.DUMMYFUNCTION("""COMPUTED_VALUE"""),"ปัตตานี")</f>
        <v>ปัตตานี</v>
      </c>
      <c r="AC1469" s="3">
        <f>IFERROR(__xludf.DUMMYFUNCTION("""COMPUTED_VALUE"""),94000.0)</f>
        <v>94000</v>
      </c>
      <c r="AD1469" s="3">
        <f>IFERROR(__xludf.DUMMYFUNCTION("""COMPUTED_VALUE"""),6.867467)</f>
        <v>6.867467</v>
      </c>
      <c r="AE1469" s="3">
        <f>IFERROR(__xludf.DUMMYFUNCTION("""COMPUTED_VALUE"""),101.258183)</f>
        <v>101.258183</v>
      </c>
      <c r="AF1469" s="3" t="str">
        <f>IFERROR(__xludf.DUMMYFUNCTION("""COMPUTED_VALUE"""),"MBC ตลาดเทศวิวัฒน์ ปัตตานี-22153")</f>
        <v>MBC ตลาดเทศวิวัฒน์ ปัตตานี-22153</v>
      </c>
      <c r="AG1469" s="3" t="str">
        <f>IFERROR(__xludf.DUMMYFUNCTION("""COMPUTED_VALUE"""),"ใต้")</f>
        <v>ใต้</v>
      </c>
      <c r="AH1469" s="3" t="str">
        <f>IFERROR(__xludf.DUMMYFUNCTION("""COMPUTED_VALUE"""),"#N/A")</f>
        <v>#N/A</v>
      </c>
      <c r="AI1469" s="3" t="str">
        <f>IFERROR(__xludf.DUMMYFUNCTION("""COMPUTED_VALUE"""),"Out of warranty")</f>
        <v>Out of warranty</v>
      </c>
      <c r="AJ1469" s="3">
        <f>IFERROR(__xludf.DUMMYFUNCTION("""COMPUTED_VALUE"""),67.0)</f>
        <v>67</v>
      </c>
      <c r="AK1469" s="3" t="str">
        <f>IFERROR(__xludf.DUMMYFUNCTION("""COMPUTED_VALUE"""),"MMS16")</f>
        <v>MMS16</v>
      </c>
      <c r="AL1469" s="3"/>
    </row>
    <row r="1470" ht="15.75" customHeight="1">
      <c r="A1470" s="1" t="str">
        <f>IFERROR(__xludf.DUMMYFUNCTION("""COMPUTED_VALUE"""),"22154")</f>
        <v>22154</v>
      </c>
      <c r="B1470" s="2">
        <f>IFERROR(__xludf.DUMMYFUNCTION("""COMPUTED_VALUE"""),22154.0)</f>
        <v>22154</v>
      </c>
      <c r="C1470" s="3" t="str">
        <f>IFERROR(__xludf.DUMMYFUNCTION("""COMPUTED_VALUE"""),"MBC เดอะ คริสตัล 304 ปราจีนบุรี")</f>
        <v>MBC เดอะ คริสตัล 304 ปราจีนบุรี</v>
      </c>
      <c r="D1470" s="3" t="str">
        <f>IFERROR(__xludf.DUMMYFUNCTION("""COMPUTED_VALUE"""),"BCM THE CRYSTAL 304")</f>
        <v>BCM THE CRYSTAL 304</v>
      </c>
      <c r="E1470" s="1" t="str">
        <f>IFERROR(__xludf.DUMMYFUNCTION("""COMPUTED_VALUE"""),"บิ๊กซี MINI")</f>
        <v>บิ๊กซี MINI</v>
      </c>
      <c r="F1470" s="1" t="str">
        <f>IFERROR(__xludf.DUMMYFUNCTION("""COMPUTED_VALUE"""),"2083447")</f>
        <v>2083447</v>
      </c>
      <c r="G1470" s="1" t="str">
        <f>IFERROR(__xludf.DUMMYFUNCTION("""COMPUTED_VALUE"""),"นายอนุกูล ศรีลัดดา")</f>
        <v>นายอนุกูล ศรีลัดดา</v>
      </c>
      <c r="H1470" s="1" t="str">
        <f>IFERROR(__xludf.DUMMYFUNCTION("""COMPUTED_VALUE"""),"259808")</f>
        <v>259808</v>
      </c>
      <c r="I1470" s="1" t="str">
        <f>IFERROR(__xludf.DUMMYFUNCTION("""COMPUTED_VALUE"""),"น.ส.สกุลรัตน์ พิกุลแก้ว")</f>
        <v>น.ส.สกุลรัตน์ พิกุลแก้ว</v>
      </c>
      <c r="J1470" s="3">
        <f>IFERROR(__xludf.DUMMYFUNCTION("""COMPUTED_VALUE"""),510143.0)</f>
        <v>510143</v>
      </c>
      <c r="K1470" s="3" t="str">
        <f>IFERROR(__xludf.DUMMYFUNCTION("""COMPUTED_VALUE"""),"นายธีระวัฒน์ บุญสิทธิ์")</f>
        <v>นายธีระวัฒน์ บุญสิทธิ์</v>
      </c>
      <c r="L1470" s="1" t="str">
        <f>IFERROR(__xludf.DUMMYFUNCTION("""COMPUTED_VALUE"""),"12 K.Theerawat B.")</f>
        <v>12 K.Theerawat B.</v>
      </c>
      <c r="M1470" s="1" t="str">
        <f>IFERROR(__xludf.DUMMYFUNCTION("""COMPUTED_VALUE"""),"0655107379")</f>
        <v>0655107379</v>
      </c>
      <c r="N1470" s="3">
        <f>IFERROR(__xludf.DUMMYFUNCTION("""COMPUTED_VALUE"""),21062.0)</f>
        <v>21062</v>
      </c>
      <c r="O1470" s="3" t="str">
        <f>IFERROR(__xludf.DUMMYFUNCTION("""COMPUTED_VALUE"""),"MBC นิคมนวนคร")</f>
        <v>MBC นิคมนวนคร</v>
      </c>
      <c r="P1470" s="4">
        <f>IFERROR(__xludf.DUMMYFUNCTION("""COMPUTED_VALUE"""),44004.0)</f>
        <v>44004</v>
      </c>
      <c r="Q1470" s="3" t="str">
        <f>IFERROR(__xludf.DUMMYFUNCTION("""COMPUTED_VALUE"""),"A")</f>
        <v>A</v>
      </c>
      <c r="R1470" s="3" t="str">
        <f>IFERROR(__xludf.DUMMYFUNCTION("""COMPUTED_VALUE"""),"Small Format")</f>
        <v>Small Format</v>
      </c>
      <c r="S1470" s="3" t="str">
        <f>IFERROR(__xludf.DUMMYFUNCTION("""COMPUTED_VALUE"""),"BCM")</f>
        <v>BCM</v>
      </c>
      <c r="T1470" s="3" t="str">
        <f>IFERROR(__xludf.DUMMYFUNCTION("""COMPUTED_VALUE"""),"#N/A")</f>
        <v>#N/A</v>
      </c>
      <c r="U1470" s="3" t="str">
        <f>IFERROR(__xludf.DUMMYFUNCTION("""COMPUTED_VALUE"""),"#N/A")</f>
        <v>#N/A</v>
      </c>
      <c r="V1470" s="3" t="str">
        <f>IFERROR(__xludf.DUMMYFUNCTION("""COMPUTED_VALUE"""),"N")</f>
        <v>N</v>
      </c>
      <c r="W1470" s="3">
        <f>IFERROR(__xludf.DUMMYFUNCTION("""COMPUTED_VALUE"""),210180.0)</f>
        <v>210180</v>
      </c>
      <c r="X1470" s="3" t="str">
        <f>IFERROR(__xludf.DUMMYFUNCTION("""COMPUTED_VALUE"""),"968 หมู่7 ตำบลท่าตูม อำเภอศรีมหาโพธฺ จังหวัดปราจีนบุรี 25140")</f>
        <v>968 หมู่7 ตำบลท่าตูม อำเภอศรีมหาโพธฺ จังหวัดปราจีนบุรี 25140</v>
      </c>
      <c r="Y1470" s="3"/>
      <c r="Z1470" s="3" t="str">
        <f>IFERROR(__xludf.DUMMYFUNCTION("""COMPUTED_VALUE"""),"ท่าตูม")</f>
        <v>ท่าตูม</v>
      </c>
      <c r="AA1470" s="3" t="str">
        <f>IFERROR(__xludf.DUMMYFUNCTION("""COMPUTED_VALUE"""),"ศรีมหาโพธฺ")</f>
        <v>ศรีมหาโพธฺ</v>
      </c>
      <c r="AB1470" s="3" t="str">
        <f>IFERROR(__xludf.DUMMYFUNCTION("""COMPUTED_VALUE"""),"ปราจีนบุรี")</f>
        <v>ปราจีนบุรี</v>
      </c>
      <c r="AC1470" s="3">
        <f>IFERROR(__xludf.DUMMYFUNCTION("""COMPUTED_VALUE"""),25140.0)</f>
        <v>25140</v>
      </c>
      <c r="AD1470" s="3">
        <f>IFERROR(__xludf.DUMMYFUNCTION("""COMPUTED_VALUE"""),13.926042)</f>
        <v>13.926042</v>
      </c>
      <c r="AE1470" s="3">
        <f>IFERROR(__xludf.DUMMYFUNCTION("""COMPUTED_VALUE"""),101.565621)</f>
        <v>101.565621</v>
      </c>
      <c r="AF1470" s="3" t="str">
        <f>IFERROR(__xludf.DUMMYFUNCTION("""COMPUTED_VALUE"""),"MBC เดอะ คริสตัล 304 ปราจีนบุรี -22154")</f>
        <v>MBC เดอะ คริสตัล 304 ปราจีนบุรี -22154</v>
      </c>
      <c r="AG1470" s="3" t="str">
        <f>IFERROR(__xludf.DUMMYFUNCTION("""COMPUTED_VALUE"""),"ตะวันออก")</f>
        <v>ตะวันออก</v>
      </c>
      <c r="AH1470" s="3" t="str">
        <f>IFERROR(__xludf.DUMMYFUNCTION("""COMPUTED_VALUE"""),"#N/A")</f>
        <v>#N/A</v>
      </c>
      <c r="AI1470" s="3" t="str">
        <f>IFERROR(__xludf.DUMMYFUNCTION("""COMPUTED_VALUE"""),"Out of warranty")</f>
        <v>Out of warranty</v>
      </c>
      <c r="AJ1470" s="3">
        <f>IFERROR(__xludf.DUMMYFUNCTION("""COMPUTED_VALUE"""),67.0)</f>
        <v>67</v>
      </c>
      <c r="AK1470" s="3" t="str">
        <f>IFERROR(__xludf.DUMMYFUNCTION("""COMPUTED_VALUE"""),"MMS08")</f>
        <v>MMS08</v>
      </c>
      <c r="AL1470" s="3"/>
    </row>
    <row r="1471" ht="15.75" customHeight="1">
      <c r="A1471" s="1" t="str">
        <f>IFERROR(__xludf.DUMMYFUNCTION("""COMPUTED_VALUE"""),"22155")</f>
        <v>22155</v>
      </c>
      <c r="B1471" s="2">
        <f>IFERROR(__xludf.DUMMYFUNCTION("""COMPUTED_VALUE"""),22155.0)</f>
        <v>22155</v>
      </c>
      <c r="C1471" s="3" t="str">
        <f>IFERROR(__xludf.DUMMYFUNCTION("""COMPUTED_VALUE"""),"MBC ถนนมหาราช กระบี่")</f>
        <v>MBC ถนนมหาราช กระบี่</v>
      </c>
      <c r="D1471" s="3" t="str">
        <f>IFERROR(__xludf.DUMMYFUNCTION("""COMPUTED_VALUE"""),"BCM THANON MAHARAJ KRABI")</f>
        <v>BCM THANON MAHARAJ KRABI</v>
      </c>
      <c r="E1471" s="1" t="str">
        <f>IFERROR(__xludf.DUMMYFUNCTION("""COMPUTED_VALUE"""),"บิ๊กซี MINI")</f>
        <v>บิ๊กซี MINI</v>
      </c>
      <c r="F1471" s="1" t="str">
        <f>IFERROR(__xludf.DUMMYFUNCTION("""COMPUTED_VALUE"""),"250760")</f>
        <v>250760</v>
      </c>
      <c r="G1471" s="1" t="str">
        <f>IFERROR(__xludf.DUMMYFUNCTION("""COMPUTED_VALUE"""),"นายประทวน สาราบรรณ์")</f>
        <v>นายประทวน สาราบรรณ์</v>
      </c>
      <c r="H1471" s="1" t="str">
        <f>IFERROR(__xludf.DUMMYFUNCTION("""COMPUTED_VALUE"""),"394143")</f>
        <v>394143</v>
      </c>
      <c r="I1471" s="1" t="str">
        <f>IFERROR(__xludf.DUMMYFUNCTION("""COMPUTED_VALUE"""),"นายวิษณุ เพชรหัตถ์")</f>
        <v>นายวิษณุ เพชรหัตถ์</v>
      </c>
      <c r="J1471" s="3">
        <f>IFERROR(__xludf.DUMMYFUNCTION("""COMPUTED_VALUE"""),2.0470331E7)</f>
        <v>20470331</v>
      </c>
      <c r="K1471" s="3" t="str">
        <f>IFERROR(__xludf.DUMMYFUNCTION("""COMPUTED_VALUE"""),"นายสมชาย ลักษณะสุวรรณ")</f>
        <v>นายสมชาย ลักษณะสุวรรณ</v>
      </c>
      <c r="L1471" s="3" t="str">
        <f>IFERROR(__xludf.DUMMYFUNCTION("""COMPUTED_VALUE"""),"15 K.Somchai L")</f>
        <v>15 K.Somchai L</v>
      </c>
      <c r="M1471" s="1" t="str">
        <f>IFERROR(__xludf.DUMMYFUNCTION("""COMPUTED_VALUE"""),"0655107372")</f>
        <v>0655107372</v>
      </c>
      <c r="N1471" s="3">
        <f>IFERROR(__xludf.DUMMYFUNCTION("""COMPUTED_VALUE"""),21723.0)</f>
        <v>21723</v>
      </c>
      <c r="O147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471" s="4">
        <f>IFERROR(__xludf.DUMMYFUNCTION("""COMPUTED_VALUE"""),44063.0)</f>
        <v>44063</v>
      </c>
      <c r="Q1471" s="3" t="str">
        <f>IFERROR(__xludf.DUMMYFUNCTION("""COMPUTED_VALUE"""),"A")</f>
        <v>A</v>
      </c>
      <c r="R1471" s="3" t="str">
        <f>IFERROR(__xludf.DUMMYFUNCTION("""COMPUTED_VALUE"""),"Small Format")</f>
        <v>Small Format</v>
      </c>
      <c r="S1471" s="3" t="str">
        <f>IFERROR(__xludf.DUMMYFUNCTION("""COMPUTED_VALUE"""),"BCM")</f>
        <v>BCM</v>
      </c>
      <c r="T1471" s="3" t="str">
        <f>IFERROR(__xludf.DUMMYFUNCTION("""COMPUTED_VALUE"""),"#N/A")</f>
        <v>#N/A</v>
      </c>
      <c r="U1471" s="3" t="str">
        <f>IFERROR(__xludf.DUMMYFUNCTION("""COMPUTED_VALUE"""),"#N/A")</f>
        <v>#N/A</v>
      </c>
      <c r="V1471" s="3" t="str">
        <f>IFERROR(__xludf.DUMMYFUNCTION("""COMPUTED_VALUE"""),"N")</f>
        <v>N</v>
      </c>
      <c r="W1471" s="3">
        <f>IFERROR(__xludf.DUMMYFUNCTION("""COMPUTED_VALUE"""),210190.0)</f>
        <v>210190</v>
      </c>
      <c r="X1471" s="3" t="str">
        <f>IFERROR(__xludf.DUMMYFUNCTION("""COMPUTED_VALUE"""),"325/58 ถนนมหาราช ตำบลปากน้ำ อำเภอเมืองกระบี่ จังหวัดกระบี่ 81000")</f>
        <v>325/58 ถนนมหาราช ตำบลปากน้ำ อำเภอเมืองกระบี่ จังหวัดกระบี่ 81000</v>
      </c>
      <c r="Y1471" s="3" t="str">
        <f>IFERROR(__xludf.DUMMYFUNCTION("""COMPUTED_VALUE"""),"ถนนมหาราช")</f>
        <v>ถนนมหาราช</v>
      </c>
      <c r="Z1471" s="3" t="str">
        <f>IFERROR(__xludf.DUMMYFUNCTION("""COMPUTED_VALUE"""),"ปากน้ำ")</f>
        <v>ปากน้ำ</v>
      </c>
      <c r="AA1471" s="3" t="str">
        <f>IFERROR(__xludf.DUMMYFUNCTION("""COMPUTED_VALUE"""),"เมือง")</f>
        <v>เมือง</v>
      </c>
      <c r="AB1471" s="3" t="str">
        <f>IFERROR(__xludf.DUMMYFUNCTION("""COMPUTED_VALUE"""),"กระบี่")</f>
        <v>กระบี่</v>
      </c>
      <c r="AC1471" s="3">
        <f>IFERROR(__xludf.DUMMYFUNCTION("""COMPUTED_VALUE"""),81000.0)</f>
        <v>81000</v>
      </c>
      <c r="AD1471" s="3">
        <f>IFERROR(__xludf.DUMMYFUNCTION("""COMPUTED_VALUE"""),8.081619)</f>
        <v>8.081619</v>
      </c>
      <c r="AE1471" s="3">
        <f>IFERROR(__xludf.DUMMYFUNCTION("""COMPUTED_VALUE"""),98.906274)</f>
        <v>98.906274</v>
      </c>
      <c r="AF1471" s="3" t="str">
        <f>IFERROR(__xludf.DUMMYFUNCTION("""COMPUTED_VALUE"""),"MBC ถนนมหาราช กระบี่-22155")</f>
        <v>MBC ถนนมหาราช กระบี่-22155</v>
      </c>
      <c r="AG1471" s="3" t="str">
        <f>IFERROR(__xludf.DUMMYFUNCTION("""COMPUTED_VALUE"""),"ใต้")</f>
        <v>ใต้</v>
      </c>
      <c r="AH1471" s="3" t="str">
        <f>IFERROR(__xludf.DUMMYFUNCTION("""COMPUTED_VALUE"""),"#N/A")</f>
        <v>#N/A</v>
      </c>
      <c r="AI1471" s="3" t="str">
        <f>IFERROR(__xludf.DUMMYFUNCTION("""COMPUTED_VALUE"""),"Out of warranty")</f>
        <v>Out of warranty</v>
      </c>
      <c r="AJ1471" s="3">
        <f>IFERROR(__xludf.DUMMYFUNCTION("""COMPUTED_VALUE"""),66.0)</f>
        <v>66</v>
      </c>
      <c r="AK1471" s="3" t="str">
        <f>IFERROR(__xludf.DUMMYFUNCTION("""COMPUTED_VALUE"""),"MMS15")</f>
        <v>MMS15</v>
      </c>
      <c r="AL1471" s="3"/>
    </row>
    <row r="1472" ht="15.75" customHeight="1">
      <c r="A1472" s="1" t="str">
        <f>IFERROR(__xludf.DUMMYFUNCTION("""COMPUTED_VALUE"""),"22156")</f>
        <v>22156</v>
      </c>
      <c r="B1472" s="2">
        <f>IFERROR(__xludf.DUMMYFUNCTION("""COMPUTED_VALUE"""),22156.0)</f>
        <v>22156</v>
      </c>
      <c r="C1472" s="3" t="str">
        <f>IFERROR(__xludf.DUMMYFUNCTION("""COMPUTED_VALUE"""),"MBC หัวหมาก กรุงเทพมหานคร")</f>
        <v>MBC หัวหมาก กรุงเทพมหานคร</v>
      </c>
      <c r="D1472" s="3" t="str">
        <f>IFERROR(__xludf.DUMMYFUNCTION("""COMPUTED_VALUE"""),"BCM HUA MAK BANGKOK")</f>
        <v>BCM HUA MAK BANGKOK</v>
      </c>
      <c r="E1472" s="1" t="str">
        <f>IFERROR(__xludf.DUMMYFUNCTION("""COMPUTED_VALUE"""),"บิ๊กซี MINI")</f>
        <v>บิ๊กซี MINI</v>
      </c>
      <c r="F1472" s="1" t="str">
        <f>IFERROR(__xludf.DUMMYFUNCTION("""COMPUTED_VALUE"""),"291008")</f>
        <v>291008</v>
      </c>
      <c r="G1472" s="1" t="str">
        <f>IFERROR(__xludf.DUMMYFUNCTION("""COMPUTED_VALUE"""),"น.ส.รัชดาพร อีศรัตน์")</f>
        <v>น.ส.รัชดาพร อีศรัตน์</v>
      </c>
      <c r="H1472" s="1" t="str">
        <f>IFERROR(__xludf.DUMMYFUNCTION("""COMPUTED_VALUE"""),"468773")</f>
        <v>468773</v>
      </c>
      <c r="I1472" s="1" t="str">
        <f>IFERROR(__xludf.DUMMYFUNCTION("""COMPUTED_VALUE"""),"น.ส.พรพรรณ แซ่แต้")</f>
        <v>น.ส.พรพรรณ แซ่แต้</v>
      </c>
      <c r="J1472" s="3">
        <f>IFERROR(__xludf.DUMMYFUNCTION("""COMPUTED_VALUE"""),2452378.0)</f>
        <v>2452378</v>
      </c>
      <c r="K1472" s="3" t="str">
        <f>IFERROR(__xludf.DUMMYFUNCTION("""COMPUTED_VALUE"""),"นายศักดิ์ดา พวงประดับ")</f>
        <v>นายศักดิ์ดา พวงประดับ</v>
      </c>
      <c r="L1472" s="1" t="str">
        <f>IFERROR(__xludf.DUMMYFUNCTION("""COMPUTED_VALUE"""),"11 K.Sakda P.")</f>
        <v>11 K.Sakda P.</v>
      </c>
      <c r="M1472" s="1" t="str">
        <f>IFERROR(__xludf.DUMMYFUNCTION("""COMPUTED_VALUE"""),"065-929-1279")</f>
        <v>065-929-1279</v>
      </c>
      <c r="N1472" s="3">
        <f>IFERROR(__xludf.DUMMYFUNCTION("""COMPUTED_VALUE"""),21002.0)</f>
        <v>21002</v>
      </c>
      <c r="O1472" s="3" t="str">
        <f>IFERROR(__xludf.DUMMYFUNCTION("""COMPUTED_VALUE"""),"MBC อุดมสุข")</f>
        <v>MBC อุดมสุข</v>
      </c>
      <c r="P1472" s="4">
        <f>IFERROR(__xludf.DUMMYFUNCTION("""COMPUTED_VALUE"""),44011.0)</f>
        <v>44011</v>
      </c>
      <c r="Q1472" s="3" t="str">
        <f>IFERROR(__xludf.DUMMYFUNCTION("""COMPUTED_VALUE"""),"A")</f>
        <v>A</v>
      </c>
      <c r="R1472" s="3" t="str">
        <f>IFERROR(__xludf.DUMMYFUNCTION("""COMPUTED_VALUE"""),"Small Format")</f>
        <v>Small Format</v>
      </c>
      <c r="S1472" s="3" t="str">
        <f>IFERROR(__xludf.DUMMYFUNCTION("""COMPUTED_VALUE"""),"BCM")</f>
        <v>BCM</v>
      </c>
      <c r="T1472" s="3" t="str">
        <f>IFERROR(__xludf.DUMMYFUNCTION("""COMPUTED_VALUE"""),"#N/A")</f>
        <v>#N/A</v>
      </c>
      <c r="U1472" s="3" t="str">
        <f>IFERROR(__xludf.DUMMYFUNCTION("""COMPUTED_VALUE"""),"#N/A")</f>
        <v>#N/A</v>
      </c>
      <c r="V1472" s="3" t="str">
        <f>IFERROR(__xludf.DUMMYFUNCTION("""COMPUTED_VALUE"""),"N")</f>
        <v>N</v>
      </c>
      <c r="W1472" s="3">
        <f>IFERROR(__xludf.DUMMYFUNCTION("""COMPUTED_VALUE"""),210176.0)</f>
        <v>210176</v>
      </c>
      <c r="X1472" s="3" t="str">
        <f>IFERROR(__xludf.DUMMYFUNCTION("""COMPUTED_VALUE"""),"23/2 ถนนหัวหมาก แขวงหัวหมาก เขตบางกะปิ จังหวัดกรุงเทพมหานคร 10240")</f>
        <v>23/2 ถนนหัวหมาก แขวงหัวหมาก เขตบางกะปิ จังหวัดกรุงเทพมหานคร 10240</v>
      </c>
      <c r="Y1472" s="3" t="str">
        <f>IFERROR(__xludf.DUMMYFUNCTION("""COMPUTED_VALUE"""),"ถนนหัวหมาก")</f>
        <v>ถนนหัวหมาก</v>
      </c>
      <c r="Z1472" s="3" t="str">
        <f>IFERROR(__xludf.DUMMYFUNCTION("""COMPUTED_VALUE"""),"หัวหมาก")</f>
        <v>หัวหมาก</v>
      </c>
      <c r="AA1472" s="3" t="str">
        <f>IFERROR(__xludf.DUMMYFUNCTION("""COMPUTED_VALUE"""),"บางกะปิ")</f>
        <v>บางกะปิ</v>
      </c>
      <c r="AB1472" s="3" t="str">
        <f>IFERROR(__xludf.DUMMYFUNCTION("""COMPUTED_VALUE"""),"กรุงเทพมหานคร")</f>
        <v>กรุงเทพมหานคร</v>
      </c>
      <c r="AC1472" s="3">
        <f>IFERROR(__xludf.DUMMYFUNCTION("""COMPUTED_VALUE"""),10240.0)</f>
        <v>10240</v>
      </c>
      <c r="AD1472" s="3">
        <f>IFERROR(__xludf.DUMMYFUNCTION("""COMPUTED_VALUE"""),13.75198)</f>
        <v>13.75198</v>
      </c>
      <c r="AE1472" s="3">
        <f>IFERROR(__xludf.DUMMYFUNCTION("""COMPUTED_VALUE"""),100.634651)</f>
        <v>100.634651</v>
      </c>
      <c r="AF1472" s="3" t="str">
        <f>IFERROR(__xludf.DUMMYFUNCTION("""COMPUTED_VALUE"""),"MBC หัวหมาก กรุงเทพมหานคร-22156")</f>
        <v>MBC หัวหมาก กรุงเทพมหานคร-22156</v>
      </c>
      <c r="AG1472" s="3" t="str">
        <f>IFERROR(__xludf.DUMMYFUNCTION("""COMPUTED_VALUE"""),"กลาง")</f>
        <v>กลาง</v>
      </c>
      <c r="AH1472" s="3" t="str">
        <f>IFERROR(__xludf.DUMMYFUNCTION("""COMPUTED_VALUE"""),"#N/A")</f>
        <v>#N/A</v>
      </c>
      <c r="AI1472" s="3" t="str">
        <f>IFERROR(__xludf.DUMMYFUNCTION("""COMPUTED_VALUE"""),"Out of warranty")</f>
        <v>Out of warranty</v>
      </c>
      <c r="AJ1472" s="3">
        <f>IFERROR(__xludf.DUMMYFUNCTION("""COMPUTED_VALUE"""),67.0)</f>
        <v>67</v>
      </c>
      <c r="AK1472" s="3" t="str">
        <f>IFERROR(__xludf.DUMMYFUNCTION("""COMPUTED_VALUE"""),"MMS03")</f>
        <v>MMS03</v>
      </c>
      <c r="AL1472" s="3"/>
    </row>
    <row r="1473" ht="15.75" customHeight="1">
      <c r="A1473" s="1" t="str">
        <f>IFERROR(__xludf.DUMMYFUNCTION("""COMPUTED_VALUE"""),"22157")</f>
        <v>22157</v>
      </c>
      <c r="B1473" s="2">
        <f>IFERROR(__xludf.DUMMYFUNCTION("""COMPUTED_VALUE"""),22157.0)</f>
        <v>22157</v>
      </c>
      <c r="C1473" s="3" t="str">
        <f>IFERROR(__xludf.DUMMYFUNCTION("""COMPUTED_VALUE"""),"MBC ตลาดหนองคล้าใหม่ ชลบุรี")</f>
        <v>MBC ตลาดหนองคล้าใหม่ ชลบุรี</v>
      </c>
      <c r="D1473" s="3" t="str">
        <f>IFERROR(__xludf.DUMMYFUNCTION("""COMPUTED_VALUE"""),"BCM TALAD NONG KLA MAI")</f>
        <v>BCM TALAD NONG KLA MAI</v>
      </c>
      <c r="E1473" s="1" t="str">
        <f>IFERROR(__xludf.DUMMYFUNCTION("""COMPUTED_VALUE"""),"บิ๊กซี MINI")</f>
        <v>บิ๊กซี MINI</v>
      </c>
      <c r="F1473" s="1" t="str">
        <f>IFERROR(__xludf.DUMMYFUNCTION("""COMPUTED_VALUE"""),"221716")</f>
        <v>221716</v>
      </c>
      <c r="G1473" s="1" t="str">
        <f>IFERROR(__xludf.DUMMYFUNCTION("""COMPUTED_VALUE"""),"น.ส.เบญจพร โพธิสาร")</f>
        <v>น.ส.เบญจพร โพธิสาร</v>
      </c>
      <c r="H1473" s="1" t="str">
        <f>IFERROR(__xludf.DUMMYFUNCTION("""COMPUTED_VALUE"""),"291061")</f>
        <v>291061</v>
      </c>
      <c r="I1473" s="1" t="str">
        <f>IFERROR(__xludf.DUMMYFUNCTION("""COMPUTED_VALUE"""),"นายสมศักดิ์ เสียงก้อง")</f>
        <v>นายสมศักดิ์ เสียงก้อง</v>
      </c>
      <c r="J1473" s="3">
        <f>IFERROR(__xludf.DUMMYFUNCTION("""COMPUTED_VALUE"""),296942.0)</f>
        <v>296942</v>
      </c>
      <c r="K1473" s="3" t="str">
        <f>IFERROR(__xludf.DUMMYFUNCTION("""COMPUTED_VALUE"""),"นายปิยะ รักษากิจ")</f>
        <v>นายปิยะ รักษากิจ</v>
      </c>
      <c r="L1473" s="1" t="str">
        <f>IFERROR(__xludf.DUMMYFUNCTION("""COMPUTED_VALUE"""),"07 K.Piya R.")</f>
        <v>07 K.Piya R.</v>
      </c>
      <c r="M1473" s="1" t="str">
        <f>IFERROR(__xludf.DUMMYFUNCTION("""COMPUTED_VALUE"""),"097-919-5476")</f>
        <v>097-919-5476</v>
      </c>
      <c r="N1473" s="3">
        <f>IFERROR(__xludf.DUMMYFUNCTION("""COMPUTED_VALUE"""),21332.0)</f>
        <v>21332</v>
      </c>
      <c r="O1473" s="3" t="str">
        <f>IFERROR(__xludf.DUMMYFUNCTION("""COMPUTED_VALUE"""),"MBC BCP อ่อนนุช 17/1")</f>
        <v>MBC BCP อ่อนนุช 17/1</v>
      </c>
      <c r="P1473" s="4">
        <f>IFERROR(__xludf.DUMMYFUNCTION("""COMPUTED_VALUE"""),44012.0)</f>
        <v>44012</v>
      </c>
      <c r="Q1473" s="3" t="str">
        <f>IFERROR(__xludf.DUMMYFUNCTION("""COMPUTED_VALUE"""),"A")</f>
        <v>A</v>
      </c>
      <c r="R1473" s="3" t="str">
        <f>IFERROR(__xludf.DUMMYFUNCTION("""COMPUTED_VALUE"""),"Small Format")</f>
        <v>Small Format</v>
      </c>
      <c r="S1473" s="3" t="str">
        <f>IFERROR(__xludf.DUMMYFUNCTION("""COMPUTED_VALUE"""),"BCM")</f>
        <v>BCM</v>
      </c>
      <c r="T1473" s="3" t="str">
        <f>IFERROR(__xludf.DUMMYFUNCTION("""COMPUTED_VALUE"""),"#N/A")</f>
        <v>#N/A</v>
      </c>
      <c r="U1473" s="3" t="str">
        <f>IFERROR(__xludf.DUMMYFUNCTION("""COMPUTED_VALUE"""),"#N/A")</f>
        <v>#N/A</v>
      </c>
      <c r="V1473" s="3" t="str">
        <f>IFERROR(__xludf.DUMMYFUNCTION("""COMPUTED_VALUE"""),"N")</f>
        <v>N</v>
      </c>
      <c r="W1473" s="3">
        <f>IFERROR(__xludf.DUMMYFUNCTION("""COMPUTED_VALUE"""),210028.0)</f>
        <v>210028</v>
      </c>
      <c r="X1473" s="3" t="str">
        <f>IFERROR(__xludf.DUMMYFUNCTION("""COMPUTED_VALUE"""),"76/195 หมู่10 ตำบลทุ่งสุขลา อำเภอศรีราชา จังหวัดชลบุรี 20230")</f>
        <v>76/195 หมู่10 ตำบลทุ่งสุขลา อำเภอศรีราชา จังหวัดชลบุรี 20230</v>
      </c>
      <c r="Y1473" s="3"/>
      <c r="Z1473" s="3" t="str">
        <f>IFERROR(__xludf.DUMMYFUNCTION("""COMPUTED_VALUE"""),"ทุ่งสุขลา")</f>
        <v>ทุ่งสุขลา</v>
      </c>
      <c r="AA1473" s="3" t="str">
        <f>IFERROR(__xludf.DUMMYFUNCTION("""COMPUTED_VALUE"""),"ศรีราชา")</f>
        <v>ศรีราชา</v>
      </c>
      <c r="AB1473" s="3" t="str">
        <f>IFERROR(__xludf.DUMMYFUNCTION("""COMPUTED_VALUE"""),"ชลบุรี")</f>
        <v>ชลบุรี</v>
      </c>
      <c r="AC1473" s="3">
        <f>IFERROR(__xludf.DUMMYFUNCTION("""COMPUTED_VALUE"""),20230.0)</f>
        <v>20230</v>
      </c>
      <c r="AD1473" s="3">
        <f>IFERROR(__xludf.DUMMYFUNCTION("""COMPUTED_VALUE"""),13.088594)</f>
        <v>13.088594</v>
      </c>
      <c r="AE1473" s="3">
        <f>IFERROR(__xludf.DUMMYFUNCTION("""COMPUTED_VALUE"""),100.945478)</f>
        <v>100.945478</v>
      </c>
      <c r="AF1473" s="3" t="str">
        <f>IFERROR(__xludf.DUMMYFUNCTION("""COMPUTED_VALUE"""),"MBC ตลาดหนองคล้าใหม่ ชลบุรี-22157")</f>
        <v>MBC ตลาดหนองคล้าใหม่ ชลบุรี-22157</v>
      </c>
      <c r="AG1473" s="3" t="str">
        <f>IFERROR(__xludf.DUMMYFUNCTION("""COMPUTED_VALUE"""),"ตะวันออก")</f>
        <v>ตะวันออก</v>
      </c>
      <c r="AH1473" s="3" t="str">
        <f>IFERROR(__xludf.DUMMYFUNCTION("""COMPUTED_VALUE"""),"#N/A")</f>
        <v>#N/A</v>
      </c>
      <c r="AI1473" s="3" t="str">
        <f>IFERROR(__xludf.DUMMYFUNCTION("""COMPUTED_VALUE"""),"Out of warranty")</f>
        <v>Out of warranty</v>
      </c>
      <c r="AJ1473" s="3">
        <f>IFERROR(__xludf.DUMMYFUNCTION("""COMPUTED_VALUE"""),67.0)</f>
        <v>67</v>
      </c>
      <c r="AK1473" s="3" t="str">
        <f>IFERROR(__xludf.DUMMYFUNCTION("""COMPUTED_VALUE"""),"MMS06")</f>
        <v>MMS06</v>
      </c>
      <c r="AL1473" s="3"/>
    </row>
    <row r="1474" ht="15.75" customHeight="1">
      <c r="A1474" s="1" t="str">
        <f>IFERROR(__xludf.DUMMYFUNCTION("""COMPUTED_VALUE"""),"22158")</f>
        <v>22158</v>
      </c>
      <c r="B1474" s="2">
        <f>IFERROR(__xludf.DUMMYFUNCTION("""COMPUTED_VALUE"""),22158.0)</f>
        <v>22158</v>
      </c>
      <c r="C1474" s="3" t="str">
        <f>IFERROR(__xludf.DUMMYFUNCTION("""COMPUTED_VALUE"""),"MBC ตลาดนัดลำพญา นครปฐม")</f>
        <v>MBC ตลาดนัดลำพญา นครปฐม</v>
      </c>
      <c r="D1474" s="3" t="str">
        <f>IFERROR(__xludf.DUMMYFUNCTION("""COMPUTED_VALUE"""),"BCM TALAD NUT LAMPHAYA")</f>
        <v>BCM TALAD NUT LAMPHAYA</v>
      </c>
      <c r="E1474" s="1" t="str">
        <f>IFERROR(__xludf.DUMMYFUNCTION("""COMPUTED_VALUE"""),"บิ๊กซี MINI")</f>
        <v>บิ๊กซี MINI</v>
      </c>
      <c r="F1474" s="1" t="str">
        <f>IFERROR(__xludf.DUMMYFUNCTION("""COMPUTED_VALUE"""),"296229")</f>
        <v>296229</v>
      </c>
      <c r="G1474" s="1" t="str">
        <f>IFERROR(__xludf.DUMMYFUNCTION("""COMPUTED_VALUE"""),"นายทนงศักดิ์ บุญมา")</f>
        <v>นายทนงศักดิ์ บุญมา</v>
      </c>
      <c r="H1474" s="1" t="str">
        <f>IFERROR(__xludf.DUMMYFUNCTION("""COMPUTED_VALUE"""),"295245")</f>
        <v>295245</v>
      </c>
      <c r="I1474" s="1" t="str">
        <f>IFERROR(__xludf.DUMMYFUNCTION("""COMPUTED_VALUE"""),"นายมานะ วงศ์สุโชโต")</f>
        <v>นายมานะ วงศ์สุโชโต</v>
      </c>
      <c r="J1474" s="3">
        <f>IFERROR(__xludf.DUMMYFUNCTION("""COMPUTED_VALUE"""),46214.0)</f>
        <v>46214</v>
      </c>
      <c r="K1474" s="3" t="str">
        <f>IFERROR(__xludf.DUMMYFUNCTION("""COMPUTED_VALUE"""),"นายศักดิ์ชัย เด็ดดอกฟ้า")</f>
        <v>นายศักดิ์ชัย เด็ดดอกฟ้า</v>
      </c>
      <c r="L1474" s="1" t="str">
        <f>IFERROR(__xludf.DUMMYFUNCTION("""COMPUTED_VALUE"""),"02 K.Sakchai D")</f>
        <v>02 K.Sakchai D</v>
      </c>
      <c r="M1474" s="1" t="str">
        <f>IFERROR(__xludf.DUMMYFUNCTION("""COMPUTED_VALUE"""),"065-510-7376")</f>
        <v>065-510-7376</v>
      </c>
      <c r="N1474" s="3">
        <f>IFERROR(__xludf.DUMMYFUNCTION("""COMPUTED_VALUE"""),21714.0)</f>
        <v>21714</v>
      </c>
      <c r="O1474" s="3" t="str">
        <f>IFERROR(__xludf.DUMMYFUNCTION("""COMPUTED_VALUE"""),"MBC เอสโซ่ วัดโบสถ์")</f>
        <v>MBC เอสโซ่ วัดโบสถ์</v>
      </c>
      <c r="P1474" s="4">
        <f>IFERROR(__xludf.DUMMYFUNCTION("""COMPUTED_VALUE"""),44012.0)</f>
        <v>44012</v>
      </c>
      <c r="Q1474" s="3" t="str">
        <f>IFERROR(__xludf.DUMMYFUNCTION("""COMPUTED_VALUE"""),"A")</f>
        <v>A</v>
      </c>
      <c r="R1474" s="3" t="str">
        <f>IFERROR(__xludf.DUMMYFUNCTION("""COMPUTED_VALUE"""),"Small Format")</f>
        <v>Small Format</v>
      </c>
      <c r="S1474" s="3" t="str">
        <f>IFERROR(__xludf.DUMMYFUNCTION("""COMPUTED_VALUE"""),"BCM")</f>
        <v>BCM</v>
      </c>
      <c r="T1474" s="3" t="str">
        <f>IFERROR(__xludf.DUMMYFUNCTION("""COMPUTED_VALUE"""),"#N/A")</f>
        <v>#N/A</v>
      </c>
      <c r="U1474" s="3" t="str">
        <f>IFERROR(__xludf.DUMMYFUNCTION("""COMPUTED_VALUE"""),"#N/A")</f>
        <v>#N/A</v>
      </c>
      <c r="V1474" s="3" t="str">
        <f>IFERROR(__xludf.DUMMYFUNCTION("""COMPUTED_VALUE"""),"N")</f>
        <v>N</v>
      </c>
      <c r="W1474" s="3">
        <f>IFERROR(__xludf.DUMMYFUNCTION("""COMPUTED_VALUE"""),210184.0)</f>
        <v>210184</v>
      </c>
      <c r="X1474" s="3" t="str">
        <f>IFERROR(__xludf.DUMMYFUNCTION("""COMPUTED_VALUE"""),"77/8 หมู่3 ตำบลลำพยา อำเภอเมืองนครปฐม จังหวัดนครปฐม 73000")</f>
        <v>77/8 หมู่3 ตำบลลำพยา อำเภอเมืองนครปฐม จังหวัดนครปฐม 73000</v>
      </c>
      <c r="Y1474" s="3"/>
      <c r="Z1474" s="3" t="str">
        <f>IFERROR(__xludf.DUMMYFUNCTION("""COMPUTED_VALUE"""),"ลำพยา")</f>
        <v>ลำพยา</v>
      </c>
      <c r="AA1474" s="3" t="str">
        <f>IFERROR(__xludf.DUMMYFUNCTION("""COMPUTED_VALUE"""),"เมือง")</f>
        <v>เมือง</v>
      </c>
      <c r="AB1474" s="3" t="str">
        <f>IFERROR(__xludf.DUMMYFUNCTION("""COMPUTED_VALUE"""),"นครปฐม")</f>
        <v>นครปฐม</v>
      </c>
      <c r="AC1474" s="3">
        <f>IFERROR(__xludf.DUMMYFUNCTION("""COMPUTED_VALUE"""),73000.0)</f>
        <v>73000</v>
      </c>
      <c r="AD1474" s="3">
        <f>IFERROR(__xludf.DUMMYFUNCTION("""COMPUTED_VALUE"""),13.8206503)</f>
        <v>13.8206503</v>
      </c>
      <c r="AE1474" s="3">
        <f>IFERROR(__xludf.DUMMYFUNCTION("""COMPUTED_VALUE"""),100.0258579)</f>
        <v>100.0258579</v>
      </c>
      <c r="AF1474" s="3" t="str">
        <f>IFERROR(__xludf.DUMMYFUNCTION("""COMPUTED_VALUE"""),"MBC ตลาดนัดลำพญา นครปฐม-22158")</f>
        <v>MBC ตลาดนัดลำพญา นครปฐม-22158</v>
      </c>
      <c r="AG1474" s="3" t="str">
        <f>IFERROR(__xludf.DUMMYFUNCTION("""COMPUTED_VALUE"""),"กลาง")</f>
        <v>กลาง</v>
      </c>
      <c r="AH1474" s="3" t="str">
        <f>IFERROR(__xludf.DUMMYFUNCTION("""COMPUTED_VALUE"""),"#N/A")</f>
        <v>#N/A</v>
      </c>
      <c r="AI1474" s="3" t="str">
        <f>IFERROR(__xludf.DUMMYFUNCTION("""COMPUTED_VALUE"""),"Out of warranty")</f>
        <v>Out of warranty</v>
      </c>
      <c r="AJ1474" s="3">
        <f>IFERROR(__xludf.DUMMYFUNCTION("""COMPUTED_VALUE"""),67.0)</f>
        <v>67</v>
      </c>
      <c r="AK1474" s="3" t="str">
        <f>IFERROR(__xludf.DUMMYFUNCTION("""COMPUTED_VALUE"""),"MMS05")</f>
        <v>MMS05</v>
      </c>
      <c r="AL1474" s="3"/>
    </row>
    <row r="1475" ht="15.75" customHeight="1">
      <c r="A1475" s="1" t="str">
        <f>IFERROR(__xludf.DUMMYFUNCTION("""COMPUTED_VALUE"""),"22159")</f>
        <v>22159</v>
      </c>
      <c r="B1475" s="2">
        <f>IFERROR(__xludf.DUMMYFUNCTION("""COMPUTED_VALUE"""),22159.0)</f>
        <v>22159</v>
      </c>
      <c r="C1475" s="3" t="str">
        <f>IFERROR(__xludf.DUMMYFUNCTION("""COMPUTED_VALUE"""),"MBC ตลาดมากินตะ (หาดใหญ่) สงขลา")</f>
        <v>MBC ตลาดมากินตะ (หาดใหญ่) สงขลา</v>
      </c>
      <c r="D1475" s="3" t="str">
        <f>IFERROR(__xludf.DUMMYFUNCTION("""COMPUTED_VALUE"""),"BCM TALAD MAKINTA (HAT YAI)")</f>
        <v>BCM TALAD MAKINTA (HAT YAI)</v>
      </c>
      <c r="E1475" s="1" t="str">
        <f>IFERROR(__xludf.DUMMYFUNCTION("""COMPUTED_VALUE"""),"บิ๊กซี MINI")</f>
        <v>บิ๊กซี MINI</v>
      </c>
      <c r="F1475" s="1" t="str">
        <f>IFERROR(__xludf.DUMMYFUNCTION("""COMPUTED_VALUE"""),"250760")</f>
        <v>250760</v>
      </c>
      <c r="G1475" s="1" t="str">
        <f>IFERROR(__xludf.DUMMYFUNCTION("""COMPUTED_VALUE"""),"นายประทวน สาราบรรณ์")</f>
        <v>นายประทวน สาราบรรณ์</v>
      </c>
      <c r="H1475" s="1" t="str">
        <f>IFERROR(__xludf.DUMMYFUNCTION("""COMPUTED_VALUE"""),"394100")</f>
        <v>394100</v>
      </c>
      <c r="I1475" s="1" t="str">
        <f>IFERROR(__xludf.DUMMYFUNCTION("""COMPUTED_VALUE"""),"นายไพโรจน์ ถิระผะลิกะ")</f>
        <v>นายไพโรจน์ ถิระผะลิกะ</v>
      </c>
      <c r="J1475" s="3">
        <f>IFERROR(__xludf.DUMMYFUNCTION("""COMPUTED_VALUE"""),2.0470331E7)</f>
        <v>20470331</v>
      </c>
      <c r="K1475" s="3" t="str">
        <f>IFERROR(__xludf.DUMMYFUNCTION("""COMPUTED_VALUE"""),"นายสมชาย ลักษณะสุวรรณ")</f>
        <v>นายสมชาย ลักษณะสุวรรณ</v>
      </c>
      <c r="L1475" s="1" t="str">
        <f>IFERROR(__xludf.DUMMYFUNCTION("""COMPUTED_VALUE"""),"15 K.Somchai L")</f>
        <v>15 K.Somchai L</v>
      </c>
      <c r="M1475" s="1" t="str">
        <f>IFERROR(__xludf.DUMMYFUNCTION("""COMPUTED_VALUE"""),"0655107372")</f>
        <v>0655107372</v>
      </c>
      <c r="N1475" s="3">
        <f>IFERROR(__xludf.DUMMYFUNCTION("""COMPUTED_VALUE"""),21723.0)</f>
        <v>21723</v>
      </c>
      <c r="O1475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475" s="4">
        <f>IFERROR(__xludf.DUMMYFUNCTION("""COMPUTED_VALUE"""),44024.0)</f>
        <v>44024</v>
      </c>
      <c r="Q1475" s="3" t="str">
        <f>IFERROR(__xludf.DUMMYFUNCTION("""COMPUTED_VALUE"""),"A")</f>
        <v>A</v>
      </c>
      <c r="R1475" s="3" t="str">
        <f>IFERROR(__xludf.DUMMYFUNCTION("""COMPUTED_VALUE"""),"Small Format")</f>
        <v>Small Format</v>
      </c>
      <c r="S1475" s="3" t="str">
        <f>IFERROR(__xludf.DUMMYFUNCTION("""COMPUTED_VALUE"""),"BCM")</f>
        <v>BCM</v>
      </c>
      <c r="T1475" s="3" t="str">
        <f>IFERROR(__xludf.DUMMYFUNCTION("""COMPUTED_VALUE"""),"#N/A")</f>
        <v>#N/A</v>
      </c>
      <c r="U1475" s="3" t="str">
        <f>IFERROR(__xludf.DUMMYFUNCTION("""COMPUTED_VALUE"""),"#N/A")</f>
        <v>#N/A</v>
      </c>
      <c r="V1475" s="3" t="str">
        <f>IFERROR(__xludf.DUMMYFUNCTION("""COMPUTED_VALUE"""),"N")</f>
        <v>N</v>
      </c>
      <c r="W1475" s="3">
        <f>IFERROR(__xludf.DUMMYFUNCTION("""COMPUTED_VALUE"""),210215.0)</f>
        <v>210215</v>
      </c>
      <c r="X1475" s="3" t="str">
        <f>IFERROR(__xludf.DUMMYFUNCTION("""COMPUTED_VALUE"""),"520 ถนนธรรมนูญวิถี ตำบลหาดใหญ่ อำเภอหาดใหญ่ จังหวัดสงขลา 90110")</f>
        <v>520 ถนนธรรมนูญวิถี ตำบลหาดใหญ่ อำเภอหาดใหญ่ จังหวัดสงขลา 90110</v>
      </c>
      <c r="Y1475" s="3" t="str">
        <f>IFERROR(__xludf.DUMMYFUNCTION("""COMPUTED_VALUE"""),"ถนนธรรมนูญวิถี")</f>
        <v>ถนนธรรมนูญวิถี</v>
      </c>
      <c r="Z1475" s="3" t="str">
        <f>IFERROR(__xludf.DUMMYFUNCTION("""COMPUTED_VALUE"""),"หาดใหญ่")</f>
        <v>หาดใหญ่</v>
      </c>
      <c r="AA1475" s="3" t="str">
        <f>IFERROR(__xludf.DUMMYFUNCTION("""COMPUTED_VALUE"""),"หาดใหญ่")</f>
        <v>หาดใหญ่</v>
      </c>
      <c r="AB1475" s="3" t="str">
        <f>IFERROR(__xludf.DUMMYFUNCTION("""COMPUTED_VALUE"""),"สงขลา")</f>
        <v>สงขลา</v>
      </c>
      <c r="AC1475" s="3">
        <f>IFERROR(__xludf.DUMMYFUNCTION("""COMPUTED_VALUE"""),90110.0)</f>
        <v>90110</v>
      </c>
      <c r="AD1475" s="3">
        <f>IFERROR(__xludf.DUMMYFUNCTION("""COMPUTED_VALUE"""),7.013189)</f>
        <v>7.013189</v>
      </c>
      <c r="AE1475" s="3">
        <f>IFERROR(__xludf.DUMMYFUNCTION("""COMPUTED_VALUE"""),100.485014)</f>
        <v>100.485014</v>
      </c>
      <c r="AF1475" s="3" t="str">
        <f>IFERROR(__xludf.DUMMYFUNCTION("""COMPUTED_VALUE"""),"MBC ตลาดมากินตะ (หาดใหญ่) สงขลา-22159")</f>
        <v>MBC ตลาดมากินตะ (หาดใหญ่) สงขลา-22159</v>
      </c>
      <c r="AG1475" s="3" t="str">
        <f>IFERROR(__xludf.DUMMYFUNCTION("""COMPUTED_VALUE"""),"ใต้")</f>
        <v>ใต้</v>
      </c>
      <c r="AH1475" s="3" t="str">
        <f>IFERROR(__xludf.DUMMYFUNCTION("""COMPUTED_VALUE"""),"#N/A")</f>
        <v>#N/A</v>
      </c>
      <c r="AI1475" s="3" t="str">
        <f>IFERROR(__xludf.DUMMYFUNCTION("""COMPUTED_VALUE"""),"Out of warranty")</f>
        <v>Out of warranty</v>
      </c>
      <c r="AJ1475" s="3">
        <f>IFERROR(__xludf.DUMMYFUNCTION("""COMPUTED_VALUE"""),67.0)</f>
        <v>67</v>
      </c>
      <c r="AK1475" s="3" t="str">
        <f>IFERROR(__xludf.DUMMYFUNCTION("""COMPUTED_VALUE"""),"MMS16")</f>
        <v>MMS16</v>
      </c>
      <c r="AL1475" s="3"/>
    </row>
    <row r="1476" ht="15.75" customHeight="1">
      <c r="A1476" s="1" t="str">
        <f>IFERROR(__xludf.DUMMYFUNCTION("""COMPUTED_VALUE"""),"22160")</f>
        <v>22160</v>
      </c>
      <c r="B1476" s="2">
        <f>IFERROR(__xludf.DUMMYFUNCTION("""COMPUTED_VALUE"""),22160.0)</f>
        <v>22160</v>
      </c>
      <c r="C1476" s="3" t="str">
        <f>IFERROR(__xludf.DUMMYFUNCTION("""COMPUTED_VALUE"""),"MBC ตลาดเทศบาลสตึก บุรีรัมย์")</f>
        <v>MBC ตลาดเทศบาลสตึก บุรีรัมย์</v>
      </c>
      <c r="D1476" s="3" t="str">
        <f>IFERROR(__xludf.DUMMYFUNCTION("""COMPUTED_VALUE"""),"BCM TALAD TESSABAN SATUEK")</f>
        <v>BCM TALAD TESSABAN SATUEK</v>
      </c>
      <c r="E1476" s="1" t="str">
        <f>IFERROR(__xludf.DUMMYFUNCTION("""COMPUTED_VALUE"""),"บิ๊กซี MINI")</f>
        <v>บิ๊กซี MINI</v>
      </c>
      <c r="F1476" s="1" t="str">
        <f>IFERROR(__xludf.DUMMYFUNCTION("""COMPUTED_VALUE"""),"291105")</f>
        <v>291105</v>
      </c>
      <c r="G1476" s="1" t="str">
        <f>IFERROR(__xludf.DUMMYFUNCTION("""COMPUTED_VALUE"""),"นายสราวุฒิ พณิชยกุล")</f>
        <v>นายสราวุฒิ พณิชยกุล</v>
      </c>
      <c r="H1476" s="1" t="str">
        <f>IFERROR(__xludf.DUMMYFUNCTION("""COMPUTED_VALUE"""),"398136")</f>
        <v>398136</v>
      </c>
      <c r="I1476" s="1" t="str">
        <f>IFERROR(__xludf.DUMMYFUNCTION("""COMPUTED_VALUE"""),"นายประยูร ธาดาวงษา")</f>
        <v>นายประยูร ธาดาวงษา</v>
      </c>
      <c r="J1476" s="3">
        <f>IFERROR(__xludf.DUMMYFUNCTION("""COMPUTED_VALUE"""),15361.0)</f>
        <v>15361</v>
      </c>
      <c r="K1476" s="3" t="str">
        <f>IFERROR(__xludf.DUMMYFUNCTION("""COMPUTED_VALUE"""),"นายสมบูรณ์ พรหมในเมือง")</f>
        <v>นายสมบูรณ์ พรหมในเมือง</v>
      </c>
      <c r="L1476" s="1" t="str">
        <f>IFERROR(__xludf.DUMMYFUNCTION("""COMPUTED_VALUE"""),"04 K.Somboon P.")</f>
        <v>04 K.Somboon P.</v>
      </c>
      <c r="M1476" s="1" t="str">
        <f>IFERROR(__xludf.DUMMYFUNCTION("""COMPUTED_VALUE"""),"087-965-3051")</f>
        <v>087-965-3051</v>
      </c>
      <c r="N1476" s="3">
        <f>IFERROR(__xludf.DUMMYFUNCTION("""COMPUTED_VALUE"""),21869.0)</f>
        <v>21869</v>
      </c>
      <c r="O1476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476" s="4">
        <f>IFERROR(__xludf.DUMMYFUNCTION("""COMPUTED_VALUE"""),44080.0)</f>
        <v>44080</v>
      </c>
      <c r="Q1476" s="3" t="str">
        <f>IFERROR(__xludf.DUMMYFUNCTION("""COMPUTED_VALUE"""),"A")</f>
        <v>A</v>
      </c>
      <c r="R1476" s="3" t="str">
        <f>IFERROR(__xludf.DUMMYFUNCTION("""COMPUTED_VALUE"""),"Small Format")</f>
        <v>Small Format</v>
      </c>
      <c r="S1476" s="3" t="str">
        <f>IFERROR(__xludf.DUMMYFUNCTION("""COMPUTED_VALUE"""),"BCM")</f>
        <v>BCM</v>
      </c>
      <c r="T1476" s="3" t="str">
        <f>IFERROR(__xludf.DUMMYFUNCTION("""COMPUTED_VALUE"""),"#N/A")</f>
        <v>#N/A</v>
      </c>
      <c r="U1476" s="3" t="str">
        <f>IFERROR(__xludf.DUMMYFUNCTION("""COMPUTED_VALUE"""),"#N/A")</f>
        <v>#N/A</v>
      </c>
      <c r="V1476" s="3" t="str">
        <f>IFERROR(__xludf.DUMMYFUNCTION("""COMPUTED_VALUE"""),"N")</f>
        <v>N</v>
      </c>
      <c r="W1476" s="3">
        <f>IFERROR(__xludf.DUMMYFUNCTION("""COMPUTED_VALUE"""),210210.0)</f>
        <v>210210</v>
      </c>
      <c r="X1476" s="3" t="str">
        <f>IFERROR(__xludf.DUMMYFUNCTION("""COMPUTED_VALUE"""),"335/3-4 หมู่1 ตำบลนิคม อำเภอสตึก จังหวัดบุรีรัมย์ 31150")</f>
        <v>335/3-4 หมู่1 ตำบลนิคม อำเภอสตึก จังหวัดบุรีรัมย์ 31150</v>
      </c>
      <c r="Y1476" s="3"/>
      <c r="Z1476" s="3" t="str">
        <f>IFERROR(__xludf.DUMMYFUNCTION("""COMPUTED_VALUE"""),"นิคม")</f>
        <v>นิคม</v>
      </c>
      <c r="AA1476" s="3" t="str">
        <f>IFERROR(__xludf.DUMMYFUNCTION("""COMPUTED_VALUE"""),"สตึก")</f>
        <v>สตึก</v>
      </c>
      <c r="AB1476" s="3" t="str">
        <f>IFERROR(__xludf.DUMMYFUNCTION("""COMPUTED_VALUE"""),"บุรีรัมย์")</f>
        <v>บุรีรัมย์</v>
      </c>
      <c r="AC1476" s="3">
        <f>IFERROR(__xludf.DUMMYFUNCTION("""COMPUTED_VALUE"""),31150.0)</f>
        <v>31150</v>
      </c>
      <c r="AD1476" s="3">
        <f>IFERROR(__xludf.DUMMYFUNCTION("""COMPUTED_VALUE"""),15.295234)</f>
        <v>15.295234</v>
      </c>
      <c r="AE1476" s="3">
        <f>IFERROR(__xludf.DUMMYFUNCTION("""COMPUTED_VALUE"""),103.292395)</f>
        <v>103.292395</v>
      </c>
      <c r="AF1476" s="3" t="str">
        <f>IFERROR(__xludf.DUMMYFUNCTION("""COMPUTED_VALUE"""),"MBC ตลาดเทศบาลสตึก บุรีรัมย์-22160")</f>
        <v>MBC ตลาดเทศบาลสตึก บุรีรัมย์-22160</v>
      </c>
      <c r="AG1476" s="3" t="str">
        <f>IFERROR(__xludf.DUMMYFUNCTION("""COMPUTED_VALUE"""),"ตะวันออกเฉียงเหนือ")</f>
        <v>ตะวันออกเฉียงเหนือ</v>
      </c>
      <c r="AH1476" s="3" t="str">
        <f>IFERROR(__xludf.DUMMYFUNCTION("""COMPUTED_VALUE"""),"#N/A")</f>
        <v>#N/A</v>
      </c>
      <c r="AI1476" s="3" t="str">
        <f>IFERROR(__xludf.DUMMYFUNCTION("""COMPUTED_VALUE"""),"Out of warranty")</f>
        <v>Out of warranty</v>
      </c>
      <c r="AJ1476" s="3">
        <f>IFERROR(__xludf.DUMMYFUNCTION("""COMPUTED_VALUE"""),65.0)</f>
        <v>65</v>
      </c>
      <c r="AK1476" s="3" t="str">
        <f>IFERROR(__xludf.DUMMYFUNCTION("""COMPUTED_VALUE"""),"MMS11")</f>
        <v>MMS11</v>
      </c>
      <c r="AL1476" s="3"/>
    </row>
    <row r="1477" ht="15.75" customHeight="1">
      <c r="A1477" s="1" t="str">
        <f>IFERROR(__xludf.DUMMYFUNCTION("""COMPUTED_VALUE"""),"22161")</f>
        <v>22161</v>
      </c>
      <c r="B1477" s="2">
        <f>IFERROR(__xludf.DUMMYFUNCTION("""COMPUTED_VALUE"""),22161.0)</f>
        <v>22161</v>
      </c>
      <c r="C1477" s="3" t="str">
        <f>IFERROR(__xludf.DUMMYFUNCTION("""COMPUTED_VALUE"""),"MBC บรบือ มหาสารคาม")</f>
        <v>MBC บรบือ มหาสารคาม</v>
      </c>
      <c r="D1477" s="3" t="str">
        <f>IFERROR(__xludf.DUMMYFUNCTION("""COMPUTED_VALUE"""),"BCM BORABUE MAHASARAKHAM")</f>
        <v>BCM BORABUE MAHASARAKHAM</v>
      </c>
      <c r="E1477" s="1" t="str">
        <f>IFERROR(__xludf.DUMMYFUNCTION("""COMPUTED_VALUE"""),"บิ๊กซี MINI")</f>
        <v>บิ๊กซี MINI</v>
      </c>
      <c r="F1477" s="1" t="str">
        <f>IFERROR(__xludf.DUMMYFUNCTION("""COMPUTED_VALUE"""),"291105")</f>
        <v>291105</v>
      </c>
      <c r="G1477" s="1" t="str">
        <f>IFERROR(__xludf.DUMMYFUNCTION("""COMPUTED_VALUE"""),"นายสราวุฒิ พณิชยกุล")</f>
        <v>นายสราวุฒิ พณิชยกุล</v>
      </c>
      <c r="H1477" s="1" t="str">
        <f>IFERROR(__xludf.DUMMYFUNCTION("""COMPUTED_VALUE"""),"392433")</f>
        <v>392433</v>
      </c>
      <c r="I1477" s="1" t="str">
        <f>IFERROR(__xludf.DUMMYFUNCTION("""COMPUTED_VALUE"""),"นายพรธิวา ใจอ่อน")</f>
        <v>นายพรธิวา ใจอ่อน</v>
      </c>
      <c r="J1477" s="3">
        <f>IFERROR(__xludf.DUMMYFUNCTION("""COMPUTED_VALUE"""),2454781.0)</f>
        <v>2454781</v>
      </c>
      <c r="K1477" s="3" t="str">
        <f>IFERROR(__xludf.DUMMYFUNCTION("""COMPUTED_VALUE"""),"นายฌานกฤช นันทะโคต")</f>
        <v>นายฌานกฤช นันทะโคต</v>
      </c>
      <c r="L1477" s="1" t="str">
        <f>IFERROR(__xludf.DUMMYFUNCTION("""COMPUTED_VALUE"""),"05 K.Chanakrit N.")</f>
        <v>05 K.Chanakrit N.</v>
      </c>
      <c r="M1477" s="1" t="str">
        <f>IFERROR(__xludf.DUMMYFUNCTION("""COMPUTED_VALUE"""),"090-978-9785 ,065-929-1320")</f>
        <v>090-978-9785 ,065-929-1320</v>
      </c>
      <c r="N1477" s="3">
        <f>IFERROR(__xludf.DUMMYFUNCTION("""COMPUTED_VALUE"""),22195.0)</f>
        <v>22195</v>
      </c>
      <c r="O1477" s="3" t="str">
        <f>IFERROR(__xludf.DUMMYFUNCTION("""COMPUTED_VALUE"""),"MBC กันทรลักษ์ ศรีสะเกษ")</f>
        <v>MBC กันทรลักษ์ ศรีสะเกษ</v>
      </c>
      <c r="P1477" s="4">
        <f>IFERROR(__xludf.DUMMYFUNCTION("""COMPUTED_VALUE"""),44060.0)</f>
        <v>44060</v>
      </c>
      <c r="Q1477" s="3" t="str">
        <f>IFERROR(__xludf.DUMMYFUNCTION("""COMPUTED_VALUE"""),"A")</f>
        <v>A</v>
      </c>
      <c r="R1477" s="3" t="str">
        <f>IFERROR(__xludf.DUMMYFUNCTION("""COMPUTED_VALUE"""),"Small Format")</f>
        <v>Small Format</v>
      </c>
      <c r="S1477" s="3" t="str">
        <f>IFERROR(__xludf.DUMMYFUNCTION("""COMPUTED_VALUE"""),"BCM")</f>
        <v>BCM</v>
      </c>
      <c r="T1477" s="3" t="str">
        <f>IFERROR(__xludf.DUMMYFUNCTION("""COMPUTED_VALUE"""),"#N/A")</f>
        <v>#N/A</v>
      </c>
      <c r="U1477" s="3" t="str">
        <f>IFERROR(__xludf.DUMMYFUNCTION("""COMPUTED_VALUE"""),"#N/A")</f>
        <v>#N/A</v>
      </c>
      <c r="V1477" s="3" t="str">
        <f>IFERROR(__xludf.DUMMYFUNCTION("""COMPUTED_VALUE"""),"N")</f>
        <v>N</v>
      </c>
      <c r="W1477" s="3">
        <f>IFERROR(__xludf.DUMMYFUNCTION("""COMPUTED_VALUE"""),210202.0)</f>
        <v>210202</v>
      </c>
      <c r="X1477" s="3" t="str">
        <f>IFERROR(__xludf.DUMMYFUNCTION("""COMPUTED_VALUE"""),"684/1 685-685/1 หมู่1 ตำบลบรบือ อำเภอบรบือ จังหวัดมหาสารคาม 44130")</f>
        <v>684/1 685-685/1 หมู่1 ตำบลบรบือ อำเภอบรบือ จังหวัดมหาสารคาม 44130</v>
      </c>
      <c r="Y1477" s="3"/>
      <c r="Z1477" s="3" t="str">
        <f>IFERROR(__xludf.DUMMYFUNCTION("""COMPUTED_VALUE"""),"หมู่1")</f>
        <v>หมู่1</v>
      </c>
      <c r="AA1477" s="3" t="str">
        <f>IFERROR(__xludf.DUMMYFUNCTION("""COMPUTED_VALUE"""),"บรบือ")</f>
        <v>บรบือ</v>
      </c>
      <c r="AB1477" s="3" t="str">
        <f>IFERROR(__xludf.DUMMYFUNCTION("""COMPUTED_VALUE"""),"มหาสารคาม")</f>
        <v>มหาสารคาม</v>
      </c>
      <c r="AC1477" s="3">
        <f>IFERROR(__xludf.DUMMYFUNCTION("""COMPUTED_VALUE"""),44130.0)</f>
        <v>44130</v>
      </c>
      <c r="AD1477" s="3">
        <f>IFERROR(__xludf.DUMMYFUNCTION("""COMPUTED_VALUE"""),16.040392)</f>
        <v>16.040392</v>
      </c>
      <c r="AE1477" s="3">
        <f>IFERROR(__xludf.DUMMYFUNCTION("""COMPUTED_VALUE"""),103.118861)</f>
        <v>103.118861</v>
      </c>
      <c r="AF1477" s="3" t="str">
        <f>IFERROR(__xludf.DUMMYFUNCTION("""COMPUTED_VALUE"""),"MBC บรบือ มหาสารคาม-22161")</f>
        <v>MBC บรบือ มหาสารคาม-22161</v>
      </c>
      <c r="AG1477" s="3" t="str">
        <f>IFERROR(__xludf.DUMMYFUNCTION("""COMPUTED_VALUE"""),"ตะวันออกเฉียงเหนือ")</f>
        <v>ตะวันออกเฉียงเหนือ</v>
      </c>
      <c r="AH1477" s="3" t="str">
        <f>IFERROR(__xludf.DUMMYFUNCTION("""COMPUTED_VALUE"""),"#N/A")</f>
        <v>#N/A</v>
      </c>
      <c r="AI1477" s="3" t="str">
        <f>IFERROR(__xludf.DUMMYFUNCTION("""COMPUTED_VALUE"""),"Out of warranty")</f>
        <v>Out of warranty</v>
      </c>
      <c r="AJ1477" s="3">
        <f>IFERROR(__xludf.DUMMYFUNCTION("""COMPUTED_VALUE"""),66.0)</f>
        <v>66</v>
      </c>
      <c r="AK1477" s="3" t="str">
        <f>IFERROR(__xludf.DUMMYFUNCTION("""COMPUTED_VALUE"""),"MMS13")</f>
        <v>MMS13</v>
      </c>
      <c r="AL1477" s="3"/>
    </row>
    <row r="1478" ht="15.75" customHeight="1">
      <c r="A1478" s="1" t="str">
        <f>IFERROR(__xludf.DUMMYFUNCTION("""COMPUTED_VALUE"""),"22162")</f>
        <v>22162</v>
      </c>
      <c r="B1478" s="2">
        <f>IFERROR(__xludf.DUMMYFUNCTION("""COMPUTED_VALUE"""),22162.0)</f>
        <v>22162</v>
      </c>
      <c r="C1478" s="3" t="str">
        <f>IFERROR(__xludf.DUMMYFUNCTION("""COMPUTED_VALUE"""),"MBC หนองคอก ท่าตะเกียบ ฉะเชิงเทรา")</f>
        <v>MBC หนองคอก ท่าตะเกียบ ฉะเชิงเทรา</v>
      </c>
      <c r="D1478" s="3" t="str">
        <f>IFERROR(__xludf.DUMMYFUNCTION("""COMPUTED_VALUE"""),"BCM NONGKHOK THATAKIAB")</f>
        <v>BCM NONGKHOK THATAKIAB</v>
      </c>
      <c r="E1478" s="1" t="str">
        <f>IFERROR(__xludf.DUMMYFUNCTION("""COMPUTED_VALUE"""),"บิ๊กซี MINI")</f>
        <v>บิ๊กซี MINI</v>
      </c>
      <c r="F1478" s="1" t="str">
        <f>IFERROR(__xludf.DUMMYFUNCTION("""COMPUTED_VALUE"""),"2083447")</f>
        <v>2083447</v>
      </c>
      <c r="G1478" s="1" t="str">
        <f>IFERROR(__xludf.DUMMYFUNCTION("""COMPUTED_VALUE"""),"นายอนุกูล ศรีลัดดา")</f>
        <v>นายอนุกูล ศรีลัดดา</v>
      </c>
      <c r="H1478" s="1" t="str">
        <f>IFERROR(__xludf.DUMMYFUNCTION("""COMPUTED_VALUE"""),"254957")</f>
        <v>254957</v>
      </c>
      <c r="I1478" s="1" t="str">
        <f>IFERROR(__xludf.DUMMYFUNCTION("""COMPUTED_VALUE"""),"น.ส.ศิริพร รุ่งธัญญา")</f>
        <v>น.ส.ศิริพร รุ่งธัญญา</v>
      </c>
      <c r="J1478" s="3">
        <f>IFERROR(__xludf.DUMMYFUNCTION("""COMPUTED_VALUE"""),510143.0)</f>
        <v>510143</v>
      </c>
      <c r="K1478" s="3" t="str">
        <f>IFERROR(__xludf.DUMMYFUNCTION("""COMPUTED_VALUE"""),"นายธีระวัฒน์ บุญสิทธิ์")</f>
        <v>นายธีระวัฒน์ บุญสิทธิ์</v>
      </c>
      <c r="L1478" s="1" t="str">
        <f>IFERROR(__xludf.DUMMYFUNCTION("""COMPUTED_VALUE"""),"12 K.Theerawat B.")</f>
        <v>12 K.Theerawat B.</v>
      </c>
      <c r="M1478" s="1" t="str">
        <f>IFERROR(__xludf.DUMMYFUNCTION("""COMPUTED_VALUE"""),"0655107379")</f>
        <v>0655107379</v>
      </c>
      <c r="N1478" s="3">
        <f>IFERROR(__xludf.DUMMYFUNCTION("""COMPUTED_VALUE"""),21062.0)</f>
        <v>21062</v>
      </c>
      <c r="O1478" s="3" t="str">
        <f>IFERROR(__xludf.DUMMYFUNCTION("""COMPUTED_VALUE"""),"MBC นิคมนวนคร")</f>
        <v>MBC นิคมนวนคร</v>
      </c>
      <c r="P1478" s="4">
        <f>IFERROR(__xludf.DUMMYFUNCTION("""COMPUTED_VALUE"""),44178.0)</f>
        <v>44178</v>
      </c>
      <c r="Q1478" s="3" t="str">
        <f>IFERROR(__xludf.DUMMYFUNCTION("""COMPUTED_VALUE"""),"A")</f>
        <v>A</v>
      </c>
      <c r="R1478" s="3" t="str">
        <f>IFERROR(__xludf.DUMMYFUNCTION("""COMPUTED_VALUE"""),"Small Format")</f>
        <v>Small Format</v>
      </c>
      <c r="S1478" s="3" t="str">
        <f>IFERROR(__xludf.DUMMYFUNCTION("""COMPUTED_VALUE"""),"BCM")</f>
        <v>BCM</v>
      </c>
      <c r="T1478" s="3" t="str">
        <f>IFERROR(__xludf.DUMMYFUNCTION("""COMPUTED_VALUE"""),"#N/A")</f>
        <v>#N/A</v>
      </c>
      <c r="U1478" s="3" t="str">
        <f>IFERROR(__xludf.DUMMYFUNCTION("""COMPUTED_VALUE"""),"#N/A")</f>
        <v>#N/A</v>
      </c>
      <c r="V1478" s="3" t="str">
        <f>IFERROR(__xludf.DUMMYFUNCTION("""COMPUTED_VALUE"""),"N")</f>
        <v>N</v>
      </c>
      <c r="W1478" s="3">
        <f>IFERROR(__xludf.DUMMYFUNCTION("""COMPUTED_VALUE"""),210206.0)</f>
        <v>210206</v>
      </c>
      <c r="X1478" s="3" t="str">
        <f>IFERROR(__xludf.DUMMYFUNCTION("""COMPUTED_VALUE"""),"156/1-2 หมู่2 ตำบลคลองตะเกรา อำเภอท่าตะเกียบ จังหวัดฉะเชิงเทรา 24160")</f>
        <v>156/1-2 หมู่2 ตำบลคลองตะเกรา อำเภอท่าตะเกียบ จังหวัดฉะเชิงเทรา 24160</v>
      </c>
      <c r="Y1478" s="3"/>
      <c r="Z1478" s="3" t="str">
        <f>IFERROR(__xludf.DUMMYFUNCTION("""COMPUTED_VALUE"""),"คลองตะเกรา")</f>
        <v>คลองตะเกรา</v>
      </c>
      <c r="AA1478" s="3" t="str">
        <f>IFERROR(__xludf.DUMMYFUNCTION("""COMPUTED_VALUE"""),"ท่าตะเกียบ")</f>
        <v>ท่าตะเกียบ</v>
      </c>
      <c r="AB1478" s="3" t="str">
        <f>IFERROR(__xludf.DUMMYFUNCTION("""COMPUTED_VALUE"""),"ฉะเชิงเทรา")</f>
        <v>ฉะเชิงเทรา</v>
      </c>
      <c r="AC1478" s="3">
        <f>IFERROR(__xludf.DUMMYFUNCTION("""COMPUTED_VALUE"""),24160.0)</f>
        <v>24160</v>
      </c>
      <c r="AD1478" s="3">
        <f>IFERROR(__xludf.DUMMYFUNCTION("""COMPUTED_VALUE"""),13.382041)</f>
        <v>13.382041</v>
      </c>
      <c r="AE1478" s="3">
        <f>IFERROR(__xludf.DUMMYFUNCTION("""COMPUTED_VALUE"""),101.708731)</f>
        <v>101.708731</v>
      </c>
      <c r="AF1478" s="3" t="str">
        <f>IFERROR(__xludf.DUMMYFUNCTION("""COMPUTED_VALUE"""),"MBC หนองคอก ท่าตะเกียบ ฉะเชิงเทรา-22162")</f>
        <v>MBC หนองคอก ท่าตะเกียบ ฉะเชิงเทรา-22162</v>
      </c>
      <c r="AG1478" s="3" t="str">
        <f>IFERROR(__xludf.DUMMYFUNCTION("""COMPUTED_VALUE"""),"ตะวันออก")</f>
        <v>ตะวันออก</v>
      </c>
      <c r="AH1478" s="3" t="str">
        <f>IFERROR(__xludf.DUMMYFUNCTION("""COMPUTED_VALUE"""),"#N/A")</f>
        <v>#N/A</v>
      </c>
      <c r="AI1478" s="3" t="str">
        <f>IFERROR(__xludf.DUMMYFUNCTION("""COMPUTED_VALUE"""),"Out of warranty")</f>
        <v>Out of warranty</v>
      </c>
      <c r="AJ1478" s="3">
        <f>IFERROR(__xludf.DUMMYFUNCTION("""COMPUTED_VALUE"""),62.0)</f>
        <v>62</v>
      </c>
      <c r="AK1478" s="3" t="str">
        <f>IFERROR(__xludf.DUMMYFUNCTION("""COMPUTED_VALUE"""),"MMS08")</f>
        <v>MMS08</v>
      </c>
      <c r="AL1478" s="3"/>
    </row>
    <row r="1479" ht="15.75" customHeight="1">
      <c r="A1479" s="1" t="str">
        <f>IFERROR(__xludf.DUMMYFUNCTION("""COMPUTED_VALUE"""),"22164")</f>
        <v>22164</v>
      </c>
      <c r="B1479" s="2">
        <f>IFERROR(__xludf.DUMMYFUNCTION("""COMPUTED_VALUE"""),22164.0)</f>
        <v>22164</v>
      </c>
      <c r="C1479" s="3" t="str">
        <f>IFERROR(__xludf.DUMMYFUNCTION("""COMPUTED_VALUE"""),"MBC บ่อไร่ ตราด")</f>
        <v>MBC บ่อไร่ ตราด</v>
      </c>
      <c r="D1479" s="3" t="str">
        <f>IFERROR(__xludf.DUMMYFUNCTION("""COMPUTED_VALUE"""),"BCM BO RAI TRAT")</f>
        <v>BCM BO RAI TRAT</v>
      </c>
      <c r="E1479" s="1" t="str">
        <f>IFERROR(__xludf.DUMMYFUNCTION("""COMPUTED_VALUE"""),"บิ๊กซี MINI")</f>
        <v>บิ๊กซี MINI</v>
      </c>
      <c r="F1479" s="1" t="str">
        <f>IFERROR(__xludf.DUMMYFUNCTION("""COMPUTED_VALUE"""),"221716")</f>
        <v>221716</v>
      </c>
      <c r="G1479" s="1" t="str">
        <f>IFERROR(__xludf.DUMMYFUNCTION("""COMPUTED_VALUE"""),"น.ส.เบญจพร โพธิสาร")</f>
        <v>น.ส.เบญจพร โพธิสาร</v>
      </c>
      <c r="H1479" s="1" t="str">
        <f>IFERROR(__xludf.DUMMYFUNCTION("""COMPUTED_VALUE"""),"318151")</f>
        <v>318151</v>
      </c>
      <c r="I1479" s="1" t="str">
        <f>IFERROR(__xludf.DUMMYFUNCTION("""COMPUTED_VALUE"""),"นายพลฬกฤตต์ เนตมณี")</f>
        <v>นายพลฬกฤตต์ เนตมณี</v>
      </c>
      <c r="J1479" s="3">
        <f>IFERROR(__xludf.DUMMYFUNCTION("""COMPUTED_VALUE"""),2452376.0)</f>
        <v>2452376</v>
      </c>
      <c r="K1479" s="3" t="str">
        <f>IFERROR(__xludf.DUMMYFUNCTION("""COMPUTED_VALUE"""),"นายภาคภูมิ ทวีกุล")</f>
        <v>นายภาคภูมิ ทวีกุล</v>
      </c>
      <c r="L1479" s="1" t="str">
        <f>IFERROR(__xludf.DUMMYFUNCTION("""COMPUTED_VALUE"""),"08 K.Parkphum T.")</f>
        <v>08 K.Parkphum T.</v>
      </c>
      <c r="M1479" s="1" t="str">
        <f>IFERROR(__xludf.DUMMYFUNCTION("""COMPUTED_VALUE"""),"097-919-5476")</f>
        <v>097-919-5476</v>
      </c>
      <c r="N1479" s="3">
        <f>IFERROR(__xludf.DUMMYFUNCTION("""COMPUTED_VALUE"""),22028.0)</f>
        <v>22028</v>
      </c>
      <c r="O1479" s="3" t="str">
        <f>IFERROR(__xludf.DUMMYFUNCTION("""COMPUTED_VALUE"""),"MBC ทํบมา ระยอง")</f>
        <v>MBC ทํบมา ระยอง</v>
      </c>
      <c r="P1479" s="4">
        <f>IFERROR(__xludf.DUMMYFUNCTION("""COMPUTED_VALUE"""),44031.0)</f>
        <v>44031</v>
      </c>
      <c r="Q1479" s="3" t="str">
        <f>IFERROR(__xludf.DUMMYFUNCTION("""COMPUTED_VALUE"""),"A")</f>
        <v>A</v>
      </c>
      <c r="R1479" s="3" t="str">
        <f>IFERROR(__xludf.DUMMYFUNCTION("""COMPUTED_VALUE"""),"Small Format")</f>
        <v>Small Format</v>
      </c>
      <c r="S1479" s="3" t="str">
        <f>IFERROR(__xludf.DUMMYFUNCTION("""COMPUTED_VALUE"""),"BCM")</f>
        <v>BCM</v>
      </c>
      <c r="T1479" s="3" t="str">
        <f>IFERROR(__xludf.DUMMYFUNCTION("""COMPUTED_VALUE"""),"#N/A")</f>
        <v>#N/A</v>
      </c>
      <c r="U1479" s="3" t="str">
        <f>IFERROR(__xludf.DUMMYFUNCTION("""COMPUTED_VALUE"""),"#N/A")</f>
        <v>#N/A</v>
      </c>
      <c r="V1479" s="3" t="str">
        <f>IFERROR(__xludf.DUMMYFUNCTION("""COMPUTED_VALUE"""),"N")</f>
        <v>N</v>
      </c>
      <c r="W1479" s="3">
        <f>IFERROR(__xludf.DUMMYFUNCTION("""COMPUTED_VALUE"""),210189.0)</f>
        <v>210189</v>
      </c>
      <c r="X1479" s="3" t="str">
        <f>IFERROR(__xludf.DUMMYFUNCTION("""COMPUTED_VALUE"""),"317/4 หมู่3 ตำบลบ่อพลอย อำเภอบ่อไร่ จังหวัดตราด 23140")</f>
        <v>317/4 หมู่3 ตำบลบ่อพลอย อำเภอบ่อไร่ จังหวัดตราด 23140</v>
      </c>
      <c r="Y1479" s="3"/>
      <c r="Z1479" s="3" t="str">
        <f>IFERROR(__xludf.DUMMYFUNCTION("""COMPUTED_VALUE"""),"บ่อพลอย")</f>
        <v>บ่อพลอย</v>
      </c>
      <c r="AA1479" s="3" t="str">
        <f>IFERROR(__xludf.DUMMYFUNCTION("""COMPUTED_VALUE"""),"บ่อไร่")</f>
        <v>บ่อไร่</v>
      </c>
      <c r="AB1479" s="3" t="str">
        <f>IFERROR(__xludf.DUMMYFUNCTION("""COMPUTED_VALUE"""),"ตราด")</f>
        <v>ตราด</v>
      </c>
      <c r="AC1479" s="3">
        <f>IFERROR(__xludf.DUMMYFUNCTION("""COMPUTED_VALUE"""),23140.0)</f>
        <v>23140</v>
      </c>
      <c r="AD1479" s="3">
        <f>IFERROR(__xludf.DUMMYFUNCTION("""COMPUTED_VALUE"""),12.575757)</f>
        <v>12.575757</v>
      </c>
      <c r="AE1479" s="3">
        <f>IFERROR(__xludf.DUMMYFUNCTION("""COMPUTED_VALUE"""),102.538887)</f>
        <v>102.538887</v>
      </c>
      <c r="AF1479" s="3" t="str">
        <f>IFERROR(__xludf.DUMMYFUNCTION("""COMPUTED_VALUE"""),"MBC บ่อไร่ ตราด-22164")</f>
        <v>MBC บ่อไร่ ตราด-22164</v>
      </c>
      <c r="AG1479" s="3" t="str">
        <f>IFERROR(__xludf.DUMMYFUNCTION("""COMPUTED_VALUE"""),"ตะวันออก")</f>
        <v>ตะวันออก</v>
      </c>
      <c r="AH1479" s="3" t="str">
        <f>IFERROR(__xludf.DUMMYFUNCTION("""COMPUTED_VALUE"""),"#N/A")</f>
        <v>#N/A</v>
      </c>
      <c r="AI1479" s="3" t="str">
        <f>IFERROR(__xludf.DUMMYFUNCTION("""COMPUTED_VALUE"""),"Out of warranty")</f>
        <v>Out of warranty</v>
      </c>
      <c r="AJ1479" s="3">
        <f>IFERROR(__xludf.DUMMYFUNCTION("""COMPUTED_VALUE"""),67.0)</f>
        <v>67</v>
      </c>
      <c r="AK1479" s="3" t="str">
        <f>IFERROR(__xludf.DUMMYFUNCTION("""COMPUTED_VALUE"""),"MMS08")</f>
        <v>MMS08</v>
      </c>
      <c r="AL1479" s="3"/>
    </row>
    <row r="1480" ht="15.75" customHeight="1">
      <c r="A1480" s="1" t="str">
        <f>IFERROR(__xludf.DUMMYFUNCTION("""COMPUTED_VALUE"""),"22165")</f>
        <v>22165</v>
      </c>
      <c r="B1480" s="2">
        <f>IFERROR(__xludf.DUMMYFUNCTION("""COMPUTED_VALUE"""),22165.0)</f>
        <v>22165</v>
      </c>
      <c r="C1480" s="3" t="str">
        <f>IFERROR(__xludf.DUMMYFUNCTION("""COMPUTED_VALUE"""),"MBC วิภาวดี 60 กรุงเทพมหานคร")</f>
        <v>MBC วิภาวดี 60 กรุงเทพมหานคร</v>
      </c>
      <c r="D1480" s="3" t="str">
        <f>IFERROR(__xludf.DUMMYFUNCTION("""COMPUTED_VALUE"""),"BCM VIBHAVADI 60 BANGKOK")</f>
        <v>BCM VIBHAVADI 60 BANGKOK</v>
      </c>
      <c r="E1480" s="1" t="str">
        <f>IFERROR(__xludf.DUMMYFUNCTION("""COMPUTED_VALUE"""),"บิ๊กซี MINI")</f>
        <v>บิ๊กซี MINI</v>
      </c>
      <c r="F1480" s="1" t="str">
        <f>IFERROR(__xludf.DUMMYFUNCTION("""COMPUTED_VALUE"""),"291008")</f>
        <v>291008</v>
      </c>
      <c r="G1480" s="1" t="str">
        <f>IFERROR(__xludf.DUMMYFUNCTION("""COMPUTED_VALUE"""),"น.ส.รัชดาพร อีศรัตน์")</f>
        <v>น.ส.รัชดาพร อีศรัตน์</v>
      </c>
      <c r="H1480" s="1" t="str">
        <f>IFERROR(__xludf.DUMMYFUNCTION("""COMPUTED_VALUE"""),"373540")</f>
        <v>373540</v>
      </c>
      <c r="I1480" s="1" t="str">
        <f>IFERROR(__xludf.DUMMYFUNCTION("""COMPUTED_VALUE"""),"นายทศพร พึ่งพบ")</f>
        <v>นายทศพร พึ่งพบ</v>
      </c>
      <c r="J1480" s="3">
        <f>IFERROR(__xludf.DUMMYFUNCTION("""COMPUTED_VALUE"""),2452378.0)</f>
        <v>2452378</v>
      </c>
      <c r="K1480" s="3" t="str">
        <f>IFERROR(__xludf.DUMMYFUNCTION("""COMPUTED_VALUE"""),"นายศักดิ์ดา พวงประดับ")</f>
        <v>นายศักดิ์ดา พวงประดับ</v>
      </c>
      <c r="L1480" s="1" t="str">
        <f>IFERROR(__xludf.DUMMYFUNCTION("""COMPUTED_VALUE"""),"11 K.Sakda P.")</f>
        <v>11 K.Sakda P.</v>
      </c>
      <c r="M1480" s="1" t="str">
        <f>IFERROR(__xludf.DUMMYFUNCTION("""COMPUTED_VALUE"""),"065-929-1279")</f>
        <v>065-929-1279</v>
      </c>
      <c r="N1480" s="3">
        <f>IFERROR(__xludf.DUMMYFUNCTION("""COMPUTED_VALUE"""),21002.0)</f>
        <v>21002</v>
      </c>
      <c r="O1480" s="3" t="str">
        <f>IFERROR(__xludf.DUMMYFUNCTION("""COMPUTED_VALUE"""),"MBC อุดมสุข")</f>
        <v>MBC อุดมสุข</v>
      </c>
      <c r="P1480" s="4">
        <f>IFERROR(__xludf.DUMMYFUNCTION("""COMPUTED_VALUE"""),44032.0)</f>
        <v>44032</v>
      </c>
      <c r="Q1480" s="3" t="str">
        <f>IFERROR(__xludf.DUMMYFUNCTION("""COMPUTED_VALUE"""),"A")</f>
        <v>A</v>
      </c>
      <c r="R1480" s="3" t="str">
        <f>IFERROR(__xludf.DUMMYFUNCTION("""COMPUTED_VALUE"""),"Small Format")</f>
        <v>Small Format</v>
      </c>
      <c r="S1480" s="3" t="str">
        <f>IFERROR(__xludf.DUMMYFUNCTION("""COMPUTED_VALUE"""),"BCM")</f>
        <v>BCM</v>
      </c>
      <c r="T1480" s="3" t="str">
        <f>IFERROR(__xludf.DUMMYFUNCTION("""COMPUTED_VALUE"""),"#N/A")</f>
        <v>#N/A</v>
      </c>
      <c r="U1480" s="3" t="str">
        <f>IFERROR(__xludf.DUMMYFUNCTION("""COMPUTED_VALUE"""),"#N/A")</f>
        <v>#N/A</v>
      </c>
      <c r="V1480" s="3" t="str">
        <f>IFERROR(__xludf.DUMMYFUNCTION("""COMPUTED_VALUE"""),"N")</f>
        <v>N</v>
      </c>
      <c r="W1480" s="3">
        <f>IFERROR(__xludf.DUMMYFUNCTION("""COMPUTED_VALUE"""),210181.0)</f>
        <v>210181</v>
      </c>
      <c r="X1480" s="3" t="str">
        <f>IFERROR(__xludf.DUMMYFUNCTION("""COMPUTED_VALUE"""),"19/204 ซอยวิภาวดีรังสิต60 แยก20 แขวงตลาดบางเขน เขตหลักสี จังหวัดกรุงเทพมหานคร 10210")</f>
        <v>19/204 ซอยวิภาวดีรังสิต60 แยก20 แขวงตลาดบางเขน เขตหลักสี จังหวัดกรุงเทพมหานคร 10210</v>
      </c>
      <c r="Y1480" s="3" t="str">
        <f>IFERROR(__xludf.DUMMYFUNCTION("""COMPUTED_VALUE"""),"ซอยวิภาวดีรังสิต60")</f>
        <v>ซอยวิภาวดีรังสิต60</v>
      </c>
      <c r="Z1480" s="3" t="str">
        <f>IFERROR(__xludf.DUMMYFUNCTION("""COMPUTED_VALUE"""),"แยก20")</f>
        <v>แยก20</v>
      </c>
      <c r="AA1480" s="3" t="str">
        <f>IFERROR(__xludf.DUMMYFUNCTION("""COMPUTED_VALUE"""),"หลักสี")</f>
        <v>หลักสี</v>
      </c>
      <c r="AB1480" s="3" t="str">
        <f>IFERROR(__xludf.DUMMYFUNCTION("""COMPUTED_VALUE"""),"กรุงเทพมหานคร")</f>
        <v>กรุงเทพมหานคร</v>
      </c>
      <c r="AC1480" s="3">
        <f>IFERROR(__xludf.DUMMYFUNCTION("""COMPUTED_VALUE"""),10210.0)</f>
        <v>10210</v>
      </c>
      <c r="AD1480" s="3">
        <f>IFERROR(__xludf.DUMMYFUNCTION("""COMPUTED_VALUE"""),13.864525)</f>
        <v>13.864525</v>
      </c>
      <c r="AE1480" s="3">
        <f>IFERROR(__xludf.DUMMYFUNCTION("""COMPUTED_VALUE"""),100.581753)</f>
        <v>100.581753</v>
      </c>
      <c r="AF1480" s="3" t="str">
        <f>IFERROR(__xludf.DUMMYFUNCTION("""COMPUTED_VALUE"""),"MBC วิภาวดี 60 กรุงเทพมหานคร-22165")</f>
        <v>MBC วิภาวดี 60 กรุงเทพมหานคร-22165</v>
      </c>
      <c r="AG1480" s="3" t="str">
        <f>IFERROR(__xludf.DUMMYFUNCTION("""COMPUTED_VALUE"""),"กลาง")</f>
        <v>กลาง</v>
      </c>
      <c r="AH1480" s="3" t="str">
        <f>IFERROR(__xludf.DUMMYFUNCTION("""COMPUTED_VALUE"""),"#N/A")</f>
        <v>#N/A</v>
      </c>
      <c r="AI1480" s="3" t="str">
        <f>IFERROR(__xludf.DUMMYFUNCTION("""COMPUTED_VALUE"""),"Out of warranty")</f>
        <v>Out of warranty</v>
      </c>
      <c r="AJ1480" s="3">
        <f>IFERROR(__xludf.DUMMYFUNCTION("""COMPUTED_VALUE"""),67.0)</f>
        <v>67</v>
      </c>
      <c r="AK1480" s="3" t="str">
        <f>IFERROR(__xludf.DUMMYFUNCTION("""COMPUTED_VALUE"""),"MMS01")</f>
        <v>MMS01</v>
      </c>
      <c r="AL1480" s="3"/>
    </row>
    <row r="1481" ht="15.75" customHeight="1">
      <c r="A1481" s="1" t="str">
        <f>IFERROR(__xludf.DUMMYFUNCTION("""COMPUTED_VALUE"""),"22166")</f>
        <v>22166</v>
      </c>
      <c r="B1481" s="2">
        <f>IFERROR(__xludf.DUMMYFUNCTION("""COMPUTED_VALUE"""),22166.0)</f>
        <v>22166</v>
      </c>
      <c r="C1481" s="3" t="str">
        <f>IFERROR(__xludf.DUMMYFUNCTION("""COMPUTED_VALUE"""),"MBC ตลาดยิ่งเจริญ มหาสารคาม")</f>
        <v>MBC ตลาดยิ่งเจริญ มหาสารคาม</v>
      </c>
      <c r="D1481" s="3" t="str">
        <f>IFERROR(__xludf.DUMMYFUNCTION("""COMPUTED_VALUE"""),"BCM TALAD YINGCHAROEN")</f>
        <v>BCM TALAD YINGCHAROEN</v>
      </c>
      <c r="E1481" s="1" t="str">
        <f>IFERROR(__xludf.DUMMYFUNCTION("""COMPUTED_VALUE"""),"บิ๊กซี MINI")</f>
        <v>บิ๊กซี MINI</v>
      </c>
      <c r="F1481" s="1" t="str">
        <f>IFERROR(__xludf.DUMMYFUNCTION("""COMPUTED_VALUE"""),"291105")</f>
        <v>291105</v>
      </c>
      <c r="G1481" s="1" t="str">
        <f>IFERROR(__xludf.DUMMYFUNCTION("""COMPUTED_VALUE"""),"นายสราวุฒิ พณิชยกุล")</f>
        <v>นายสราวุฒิ พณิชยกุล</v>
      </c>
      <c r="H1481" s="1" t="str">
        <f>IFERROR(__xludf.DUMMYFUNCTION("""COMPUTED_VALUE"""),"392433")</f>
        <v>392433</v>
      </c>
      <c r="I1481" s="1" t="str">
        <f>IFERROR(__xludf.DUMMYFUNCTION("""COMPUTED_VALUE"""),"นายพรธิวา ใจอ่อน")</f>
        <v>นายพรธิวา ใจอ่อน</v>
      </c>
      <c r="J1481" s="3">
        <f>IFERROR(__xludf.DUMMYFUNCTION("""COMPUTED_VALUE"""),2454781.0)</f>
        <v>2454781</v>
      </c>
      <c r="K1481" s="3" t="str">
        <f>IFERROR(__xludf.DUMMYFUNCTION("""COMPUTED_VALUE"""),"นายฌานกฤช นันทะโคต")</f>
        <v>นายฌานกฤช นันทะโคต</v>
      </c>
      <c r="L1481" s="1" t="str">
        <f>IFERROR(__xludf.DUMMYFUNCTION("""COMPUTED_VALUE"""),"05 K.Chanakrit N.")</f>
        <v>05 K.Chanakrit N.</v>
      </c>
      <c r="M1481" s="1" t="str">
        <f>IFERROR(__xludf.DUMMYFUNCTION("""COMPUTED_VALUE"""),"090-978-9785 ,065-929-1320")</f>
        <v>090-978-9785 ,065-929-1320</v>
      </c>
      <c r="N1481" s="3">
        <f>IFERROR(__xludf.DUMMYFUNCTION("""COMPUTED_VALUE"""),22195.0)</f>
        <v>22195</v>
      </c>
      <c r="O1481" s="3" t="str">
        <f>IFERROR(__xludf.DUMMYFUNCTION("""COMPUTED_VALUE"""),"MBC กันทรลักษ์ ศรีสะเกษ")</f>
        <v>MBC กันทรลักษ์ ศรีสะเกษ</v>
      </c>
      <c r="P1481" s="4">
        <f>IFERROR(__xludf.DUMMYFUNCTION("""COMPUTED_VALUE"""),44039.0)</f>
        <v>44039</v>
      </c>
      <c r="Q1481" s="3" t="str">
        <f>IFERROR(__xludf.DUMMYFUNCTION("""COMPUTED_VALUE"""),"A")</f>
        <v>A</v>
      </c>
      <c r="R1481" s="3" t="str">
        <f>IFERROR(__xludf.DUMMYFUNCTION("""COMPUTED_VALUE"""),"Small Format")</f>
        <v>Small Format</v>
      </c>
      <c r="S1481" s="3" t="str">
        <f>IFERROR(__xludf.DUMMYFUNCTION("""COMPUTED_VALUE"""),"BCM")</f>
        <v>BCM</v>
      </c>
      <c r="T1481" s="3" t="str">
        <f>IFERROR(__xludf.DUMMYFUNCTION("""COMPUTED_VALUE"""),"#N/A")</f>
        <v>#N/A</v>
      </c>
      <c r="U1481" s="3" t="str">
        <f>IFERROR(__xludf.DUMMYFUNCTION("""COMPUTED_VALUE"""),"#N/A")</f>
        <v>#N/A</v>
      </c>
      <c r="V1481" s="3" t="str">
        <f>IFERROR(__xludf.DUMMYFUNCTION("""COMPUTED_VALUE"""),"N")</f>
        <v>N</v>
      </c>
      <c r="W1481" s="3">
        <f>IFERROR(__xludf.DUMMYFUNCTION("""COMPUTED_VALUE"""),210187.0)</f>
        <v>210187</v>
      </c>
      <c r="X1481" s="3" t="str">
        <f>IFERROR(__xludf.DUMMYFUNCTION("""COMPUTED_VALUE"""),"1/11 ถนนศรีสวัสดิ์รัตนโกสินทร์ ตำบลตลาด อำเภอเมืองมหาสารคาม จังหวัดมหาสารคาม 44000")</f>
        <v>1/11 ถนนศรีสวัสดิ์รัตนโกสินทร์ ตำบลตลาด อำเภอเมืองมหาสารคาม จังหวัดมหาสารคาม 44000</v>
      </c>
      <c r="Y1481" s="3" t="str">
        <f>IFERROR(__xludf.DUMMYFUNCTION("""COMPUTED_VALUE"""),"ถนนศรีสวัสดิ์รัตนโกสินทร์")</f>
        <v>ถนนศรีสวัสดิ์รัตนโกสินทร์</v>
      </c>
      <c r="Z1481" s="3" t="str">
        <f>IFERROR(__xludf.DUMMYFUNCTION("""COMPUTED_VALUE"""),"ตลาด")</f>
        <v>ตลาด</v>
      </c>
      <c r="AA1481" s="3" t="str">
        <f>IFERROR(__xludf.DUMMYFUNCTION("""COMPUTED_VALUE"""),"เมือง")</f>
        <v>เมือง</v>
      </c>
      <c r="AB1481" s="3" t="str">
        <f>IFERROR(__xludf.DUMMYFUNCTION("""COMPUTED_VALUE"""),"มหาสารคาม")</f>
        <v>มหาสารคาม</v>
      </c>
      <c r="AC1481" s="3">
        <f>IFERROR(__xludf.DUMMYFUNCTION("""COMPUTED_VALUE"""),44000.0)</f>
        <v>44000</v>
      </c>
      <c r="AD1481" s="3">
        <f>IFERROR(__xludf.DUMMYFUNCTION("""COMPUTED_VALUE"""),16.191511)</f>
        <v>16.191511</v>
      </c>
      <c r="AE1481" s="3">
        <f>IFERROR(__xludf.DUMMYFUNCTION("""COMPUTED_VALUE"""),103.281108)</f>
        <v>103.281108</v>
      </c>
      <c r="AF1481" s="3" t="str">
        <f>IFERROR(__xludf.DUMMYFUNCTION("""COMPUTED_VALUE"""),"MBC ตลาดยิ่งเจริญ มหาสารคาม-22166")</f>
        <v>MBC ตลาดยิ่งเจริญ มหาสารคาม-22166</v>
      </c>
      <c r="AG1481" s="3" t="str">
        <f>IFERROR(__xludf.DUMMYFUNCTION("""COMPUTED_VALUE"""),"ตะวันออกเฉียงเหนือ")</f>
        <v>ตะวันออกเฉียงเหนือ</v>
      </c>
      <c r="AH1481" s="3" t="str">
        <f>IFERROR(__xludf.DUMMYFUNCTION("""COMPUTED_VALUE"""),"#N/A")</f>
        <v>#N/A</v>
      </c>
      <c r="AI1481" s="3" t="str">
        <f>IFERROR(__xludf.DUMMYFUNCTION("""COMPUTED_VALUE"""),"Out of warranty")</f>
        <v>Out of warranty</v>
      </c>
      <c r="AJ1481" s="3">
        <f>IFERROR(__xludf.DUMMYFUNCTION("""COMPUTED_VALUE"""),66.0)</f>
        <v>66</v>
      </c>
      <c r="AK1481" s="3" t="str">
        <f>IFERROR(__xludf.DUMMYFUNCTION("""COMPUTED_VALUE"""),"MMS13")</f>
        <v>MMS13</v>
      </c>
      <c r="AL1481" s="3"/>
    </row>
    <row r="1482" ht="15.75" customHeight="1">
      <c r="A1482" s="1" t="str">
        <f>IFERROR(__xludf.DUMMYFUNCTION("""COMPUTED_VALUE"""),"22167")</f>
        <v>22167</v>
      </c>
      <c r="B1482" s="2">
        <f>IFERROR(__xludf.DUMMYFUNCTION("""COMPUTED_VALUE"""),22167.0)</f>
        <v>22167</v>
      </c>
      <c r="C1482" s="3" t="str">
        <f>IFERROR(__xludf.DUMMYFUNCTION("""COMPUTED_VALUE"""),"MBC ซอยเจริญลาภ ภูเก็ต")</f>
        <v>MBC ซอยเจริญลาภ ภูเก็ต</v>
      </c>
      <c r="D1482" s="3" t="str">
        <f>IFERROR(__xludf.DUMMYFUNCTION("""COMPUTED_VALUE"""),"BCM SOI CHAROEN LAP")</f>
        <v>BCM SOI CHAROEN LAP</v>
      </c>
      <c r="E1482" s="1" t="str">
        <f>IFERROR(__xludf.DUMMYFUNCTION("""COMPUTED_VALUE"""),"บิ๊กซี MINI")</f>
        <v>บิ๊กซี MINI</v>
      </c>
      <c r="F1482" s="1" t="str">
        <f>IFERROR(__xludf.DUMMYFUNCTION("""COMPUTED_VALUE"""),"250760")</f>
        <v>250760</v>
      </c>
      <c r="G1482" s="1" t="str">
        <f>IFERROR(__xludf.DUMMYFUNCTION("""COMPUTED_VALUE"""),"นายประทวน สาราบรรณ์")</f>
        <v>นายประทวน สาราบรรณ์</v>
      </c>
      <c r="H1482" s="1" t="str">
        <f>IFERROR(__xludf.DUMMYFUNCTION("""COMPUTED_VALUE"""),"357284")</f>
        <v>357284</v>
      </c>
      <c r="I1482" s="1" t="str">
        <f>IFERROR(__xludf.DUMMYFUNCTION("""COMPUTED_VALUE"""),"น.ส.เบญจวรรณ ปัณฑโมรา")</f>
        <v>น.ส.เบญจวรรณ ปัณฑโมรา</v>
      </c>
      <c r="J1482" s="3">
        <f>IFERROR(__xludf.DUMMYFUNCTION("""COMPUTED_VALUE"""),25324.0)</f>
        <v>25324</v>
      </c>
      <c r="K1482" s="3" t="str">
        <f>IFERROR(__xludf.DUMMYFUNCTION("""COMPUTED_VALUE"""),"นายวิเชฎฐ์ ติรัตนะประคม")</f>
        <v>นายวิเชฎฐ์ ติรัตนะประคม</v>
      </c>
      <c r="L1482" s="1" t="str">
        <f>IFERROR(__xludf.DUMMYFUNCTION("""COMPUTED_VALUE"""),"14 K.Wichet T.")</f>
        <v>14 K.Wichet T.</v>
      </c>
      <c r="M1482" s="1" t="str">
        <f>IFERROR(__xludf.DUMMYFUNCTION("""COMPUTED_VALUE"""),"061-417-6569 / 086-445-5636")</f>
        <v>061-417-6569 / 086-445-5636</v>
      </c>
      <c r="N1482" s="3">
        <f>IFERROR(__xludf.DUMMYFUNCTION("""COMPUTED_VALUE"""),22658.0)</f>
        <v>22658</v>
      </c>
      <c r="O1482" s="3" t="str">
        <f>IFERROR(__xludf.DUMMYFUNCTION("""COMPUTED_VALUE"""),"BCM ถ.วิรัชหงษ์หยก ภูเก็ต")</f>
        <v>BCM ถ.วิรัชหงษ์หยก ภูเก็ต</v>
      </c>
      <c r="P1482" s="4">
        <f>IFERROR(__xludf.DUMMYFUNCTION("""COMPUTED_VALUE"""),44035.0)</f>
        <v>44035</v>
      </c>
      <c r="Q1482" s="3" t="str">
        <f>IFERROR(__xludf.DUMMYFUNCTION("""COMPUTED_VALUE"""),"A")</f>
        <v>A</v>
      </c>
      <c r="R1482" s="3" t="str">
        <f>IFERROR(__xludf.DUMMYFUNCTION("""COMPUTED_VALUE"""),"Small Format")</f>
        <v>Small Format</v>
      </c>
      <c r="S1482" s="3" t="str">
        <f>IFERROR(__xludf.DUMMYFUNCTION("""COMPUTED_VALUE"""),"BCM")</f>
        <v>BCM</v>
      </c>
      <c r="T1482" s="3" t="str">
        <f>IFERROR(__xludf.DUMMYFUNCTION("""COMPUTED_VALUE"""),"#N/A")</f>
        <v>#N/A</v>
      </c>
      <c r="U1482" s="3" t="str">
        <f>IFERROR(__xludf.DUMMYFUNCTION("""COMPUTED_VALUE"""),"#N/A")</f>
        <v>#N/A</v>
      </c>
      <c r="V1482" s="3" t="str">
        <f>IFERROR(__xludf.DUMMYFUNCTION("""COMPUTED_VALUE"""),"N")</f>
        <v>N</v>
      </c>
      <c r="W1482" s="3">
        <f>IFERROR(__xludf.DUMMYFUNCTION("""COMPUTED_VALUE"""),210185.0)</f>
        <v>210185</v>
      </c>
      <c r="X1482" s="3" t="str">
        <f>IFERROR(__xludf.DUMMYFUNCTION("""COMPUTED_VALUE"""),"61/260 หมู่1 ตำบลวิชิต อำเภอเมืองภูเก็ต จังหวัดภูเก็ต 83000")</f>
        <v>61/260 หมู่1 ตำบลวิชิต อำเภอเมืองภูเก็ต จังหวัดภูเก็ต 83000</v>
      </c>
      <c r="Y1482" s="3"/>
      <c r="Z1482" s="3" t="str">
        <f>IFERROR(__xludf.DUMMYFUNCTION("""COMPUTED_VALUE"""),"วิชิต")</f>
        <v>วิชิต</v>
      </c>
      <c r="AA1482" s="3" t="str">
        <f>IFERROR(__xludf.DUMMYFUNCTION("""COMPUTED_VALUE"""),"เมือง")</f>
        <v>เมือง</v>
      </c>
      <c r="AB1482" s="3" t="str">
        <f>IFERROR(__xludf.DUMMYFUNCTION("""COMPUTED_VALUE"""),"ภูเก็ต")</f>
        <v>ภูเก็ต</v>
      </c>
      <c r="AC1482" s="3">
        <f>IFERROR(__xludf.DUMMYFUNCTION("""COMPUTED_VALUE"""),83000.0)</f>
        <v>83000</v>
      </c>
      <c r="AD1482" s="3">
        <f>IFERROR(__xludf.DUMMYFUNCTION("""COMPUTED_VALUE"""),7.861044)</f>
        <v>7.861044</v>
      </c>
      <c r="AE1482" s="3">
        <f>IFERROR(__xludf.DUMMYFUNCTION("""COMPUTED_VALUE"""),98.374667)</f>
        <v>98.374667</v>
      </c>
      <c r="AF1482" s="3" t="str">
        <f>IFERROR(__xludf.DUMMYFUNCTION("""COMPUTED_VALUE"""),"MBC ซอยเจริญลาภ ภูเก็ต-22167")</f>
        <v>MBC ซอยเจริญลาภ ภูเก็ต-22167</v>
      </c>
      <c r="AG1482" s="3" t="str">
        <f>IFERROR(__xludf.DUMMYFUNCTION("""COMPUTED_VALUE"""),"ใต้")</f>
        <v>ใต้</v>
      </c>
      <c r="AH1482" s="3" t="str">
        <f>IFERROR(__xludf.DUMMYFUNCTION("""COMPUTED_VALUE"""),"#N/A")</f>
        <v>#N/A</v>
      </c>
      <c r="AI1482" s="3" t="str">
        <f>IFERROR(__xludf.DUMMYFUNCTION("""COMPUTED_VALUE"""),"Out of warranty")</f>
        <v>Out of warranty</v>
      </c>
      <c r="AJ1482" s="3">
        <f>IFERROR(__xludf.DUMMYFUNCTION("""COMPUTED_VALUE"""),66.0)</f>
        <v>66</v>
      </c>
      <c r="AK1482" s="3" t="str">
        <f>IFERROR(__xludf.DUMMYFUNCTION("""COMPUTED_VALUE"""),"MMS15")</f>
        <v>MMS15</v>
      </c>
      <c r="AL1482" s="3"/>
    </row>
    <row r="1483" ht="15.75" customHeight="1">
      <c r="A1483" s="1" t="str">
        <f>IFERROR(__xludf.DUMMYFUNCTION("""COMPUTED_VALUE"""),"22168")</f>
        <v>22168</v>
      </c>
      <c r="B1483" s="2">
        <f>IFERROR(__xludf.DUMMYFUNCTION("""COMPUTED_VALUE"""),22168.0)</f>
        <v>22168</v>
      </c>
      <c r="C1483" s="3" t="str">
        <f>IFERROR(__xludf.DUMMYFUNCTION("""COMPUTED_VALUE"""),"MBC โคกโตนด ภูเก็ต")</f>
        <v>MBC โคกโตนด ภูเก็ต</v>
      </c>
      <c r="D1483" s="3" t="str">
        <f>IFERROR(__xludf.DUMMYFUNCTION("""COMPUTED_VALUE"""),"BCM KHOK TANOT PHUKET")</f>
        <v>BCM KHOK TANOT PHUKET</v>
      </c>
      <c r="E1483" s="1" t="str">
        <f>IFERROR(__xludf.DUMMYFUNCTION("""COMPUTED_VALUE"""),"บิ๊กซี MINI")</f>
        <v>บิ๊กซี MINI</v>
      </c>
      <c r="F1483" s="1" t="str">
        <f>IFERROR(__xludf.DUMMYFUNCTION("""COMPUTED_VALUE"""),"250760")</f>
        <v>250760</v>
      </c>
      <c r="G1483" s="1" t="str">
        <f>IFERROR(__xludf.DUMMYFUNCTION("""COMPUTED_VALUE"""),"นายประทวน สาราบรรณ์")</f>
        <v>นายประทวน สาราบรรณ์</v>
      </c>
      <c r="H1483" s="1" t="str">
        <f>IFERROR(__xludf.DUMMYFUNCTION("""COMPUTED_VALUE"""),"357284")</f>
        <v>357284</v>
      </c>
      <c r="I1483" s="1" t="str">
        <f>IFERROR(__xludf.DUMMYFUNCTION("""COMPUTED_VALUE"""),"น.ส.เบญจวรรณ ปัณฑโมรา")</f>
        <v>น.ส.เบญจวรรณ ปัณฑโมรา</v>
      </c>
      <c r="J1483" s="3">
        <f>IFERROR(__xludf.DUMMYFUNCTION("""COMPUTED_VALUE"""),25324.0)</f>
        <v>25324</v>
      </c>
      <c r="K1483" s="3" t="str">
        <f>IFERROR(__xludf.DUMMYFUNCTION("""COMPUTED_VALUE"""),"นายวิเชฎฐ์ ติรัตนะประคม")</f>
        <v>นายวิเชฎฐ์ ติรัตนะประคม</v>
      </c>
      <c r="L1483" s="1" t="str">
        <f>IFERROR(__xludf.DUMMYFUNCTION("""COMPUTED_VALUE"""),"14 K.Wichet T.")</f>
        <v>14 K.Wichet T.</v>
      </c>
      <c r="M1483" s="1" t="str">
        <f>IFERROR(__xludf.DUMMYFUNCTION("""COMPUTED_VALUE"""),"061-417-6569 / 086-445-5636")</f>
        <v>061-417-6569 / 086-445-5636</v>
      </c>
      <c r="N1483" s="3">
        <f>IFERROR(__xludf.DUMMYFUNCTION("""COMPUTED_VALUE"""),22658.0)</f>
        <v>22658</v>
      </c>
      <c r="O1483" s="3" t="str">
        <f>IFERROR(__xludf.DUMMYFUNCTION("""COMPUTED_VALUE"""),"BCM ถ.วิรัชหงษ์หยก ภูเก็ต")</f>
        <v>BCM ถ.วิรัชหงษ์หยก ภูเก็ต</v>
      </c>
      <c r="P1483" s="4">
        <f>IFERROR(__xludf.DUMMYFUNCTION("""COMPUTED_VALUE"""),44035.0)</f>
        <v>44035</v>
      </c>
      <c r="Q1483" s="3" t="str">
        <f>IFERROR(__xludf.DUMMYFUNCTION("""COMPUTED_VALUE"""),"A")</f>
        <v>A</v>
      </c>
      <c r="R1483" s="3" t="str">
        <f>IFERROR(__xludf.DUMMYFUNCTION("""COMPUTED_VALUE"""),"Small Format")</f>
        <v>Small Format</v>
      </c>
      <c r="S1483" s="3" t="str">
        <f>IFERROR(__xludf.DUMMYFUNCTION("""COMPUTED_VALUE"""),"BCM")</f>
        <v>BCM</v>
      </c>
      <c r="T1483" s="3" t="str">
        <f>IFERROR(__xludf.DUMMYFUNCTION("""COMPUTED_VALUE"""),"#N/A")</f>
        <v>#N/A</v>
      </c>
      <c r="U1483" s="3" t="str">
        <f>IFERROR(__xludf.DUMMYFUNCTION("""COMPUTED_VALUE"""),"#N/A")</f>
        <v>#N/A</v>
      </c>
      <c r="V1483" s="3" t="str">
        <f>IFERROR(__xludf.DUMMYFUNCTION("""COMPUTED_VALUE"""),"N")</f>
        <v>N</v>
      </c>
      <c r="W1483" s="3">
        <f>IFERROR(__xludf.DUMMYFUNCTION("""COMPUTED_VALUE"""),210165.0)</f>
        <v>210165</v>
      </c>
      <c r="X1483" s="3" t="str">
        <f>IFERROR(__xludf.DUMMYFUNCTION("""COMPUTED_VALUE"""),"43/1 ถนนโคกโตนด ตำบลกะรน อำเภอเมืองภูเก็ต จังหวัดภูเก็ต 83100")</f>
        <v>43/1 ถนนโคกโตนด ตำบลกะรน อำเภอเมืองภูเก็ต จังหวัดภูเก็ต 83100</v>
      </c>
      <c r="Y1483" s="3" t="str">
        <f>IFERROR(__xludf.DUMMYFUNCTION("""COMPUTED_VALUE"""),"ถนนโคกโตนด")</f>
        <v>ถนนโคกโตนด</v>
      </c>
      <c r="Z1483" s="3" t="str">
        <f>IFERROR(__xludf.DUMMYFUNCTION("""COMPUTED_VALUE"""),"กะรน")</f>
        <v>กะรน</v>
      </c>
      <c r="AA1483" s="3" t="str">
        <f>IFERROR(__xludf.DUMMYFUNCTION("""COMPUTED_VALUE"""),"เมือง")</f>
        <v>เมือง</v>
      </c>
      <c r="AB1483" s="3" t="str">
        <f>IFERROR(__xludf.DUMMYFUNCTION("""COMPUTED_VALUE"""),"ภูเก็ต")</f>
        <v>ภูเก็ต</v>
      </c>
      <c r="AC1483" s="3">
        <f>IFERROR(__xludf.DUMMYFUNCTION("""COMPUTED_VALUE"""),83100.0)</f>
        <v>83100</v>
      </c>
      <c r="AD1483" s="3">
        <f>IFERROR(__xludf.DUMMYFUNCTION("""COMPUTED_VALUE"""),7.816367)</f>
        <v>7.816367</v>
      </c>
      <c r="AE1483" s="3">
        <f>IFERROR(__xludf.DUMMYFUNCTION("""COMPUTED_VALUE"""),98.309914)</f>
        <v>98.309914</v>
      </c>
      <c r="AF1483" s="3" t="str">
        <f>IFERROR(__xludf.DUMMYFUNCTION("""COMPUTED_VALUE"""),"MBC โคกโตนด ภูเก็ต-22168")</f>
        <v>MBC โคกโตนด ภูเก็ต-22168</v>
      </c>
      <c r="AG1483" s="3" t="str">
        <f>IFERROR(__xludf.DUMMYFUNCTION("""COMPUTED_VALUE"""),"ใต้")</f>
        <v>ใต้</v>
      </c>
      <c r="AH1483" s="3" t="str">
        <f>IFERROR(__xludf.DUMMYFUNCTION("""COMPUTED_VALUE"""),"#N/A")</f>
        <v>#N/A</v>
      </c>
      <c r="AI1483" s="3" t="str">
        <f>IFERROR(__xludf.DUMMYFUNCTION("""COMPUTED_VALUE"""),"Out of warranty")</f>
        <v>Out of warranty</v>
      </c>
      <c r="AJ1483" s="3">
        <f>IFERROR(__xludf.DUMMYFUNCTION("""COMPUTED_VALUE"""),66.0)</f>
        <v>66</v>
      </c>
      <c r="AK1483" s="3" t="str">
        <f>IFERROR(__xludf.DUMMYFUNCTION("""COMPUTED_VALUE"""),"MMS15")</f>
        <v>MMS15</v>
      </c>
      <c r="AL1483" s="3"/>
    </row>
    <row r="1484" ht="15.75" customHeight="1">
      <c r="A1484" s="1" t="str">
        <f>IFERROR(__xludf.DUMMYFUNCTION("""COMPUTED_VALUE"""),"22169")</f>
        <v>22169</v>
      </c>
      <c r="B1484" s="2">
        <f>IFERROR(__xludf.DUMMYFUNCTION("""COMPUTED_VALUE"""),22169.0)</f>
        <v>22169</v>
      </c>
      <c r="C1484" s="3" t="str">
        <f>IFERROR(__xludf.DUMMYFUNCTION("""COMPUTED_VALUE"""),"MBC แจ้งวัฒนะ - ปากเกร็ด 21 นนทบุรี")</f>
        <v>MBC แจ้งวัฒนะ - ปากเกร็ด 21 นนทบุรี</v>
      </c>
      <c r="D1484" s="3" t="str">
        <f>IFERROR(__xludf.DUMMYFUNCTION("""COMPUTED_VALUE"""),"BCM CHAENG WATTANA - PAK KRET")</f>
        <v>BCM CHAENG WATTANA - PAK KRET</v>
      </c>
      <c r="E1484" s="1" t="str">
        <f>IFERROR(__xludf.DUMMYFUNCTION("""COMPUTED_VALUE"""),"บิ๊กซี MINI")</f>
        <v>บิ๊กซี MINI</v>
      </c>
      <c r="F1484" s="1" t="str">
        <f>IFERROR(__xludf.DUMMYFUNCTION("""COMPUTED_VALUE"""),"291008")</f>
        <v>291008</v>
      </c>
      <c r="G1484" s="1" t="str">
        <f>IFERROR(__xludf.DUMMYFUNCTION("""COMPUTED_VALUE"""),"น.ส.รัชดาพร อีศรัตน์")</f>
        <v>น.ส.รัชดาพร อีศรัตน์</v>
      </c>
      <c r="H1484" s="1" t="str">
        <f>IFERROR(__xludf.DUMMYFUNCTION("""COMPUTED_VALUE"""),"034068")</f>
        <v>034068</v>
      </c>
      <c r="I1484" s="1" t="str">
        <f>IFERROR(__xludf.DUMMYFUNCTION("""COMPUTED_VALUE"""),"นายสมศักดิ์ ฐานทองดี")</f>
        <v>นายสมศักดิ์ ฐานทองดี</v>
      </c>
      <c r="J1484" s="3">
        <f>IFERROR(__xludf.DUMMYFUNCTION("""COMPUTED_VALUE"""),296608.0)</f>
        <v>296608</v>
      </c>
      <c r="K1484" s="3" t="str">
        <f>IFERROR(__xludf.DUMMYFUNCTION("""COMPUTED_VALUE"""),"นายภาคภูมิ เพ็ชรนิล")</f>
        <v>นายภาคภูมิ เพ็ชรนิล</v>
      </c>
      <c r="L1484" s="1" t="str">
        <f>IFERROR(__xludf.DUMMYFUNCTION("""COMPUTED_VALUE"""),"10 K.Phakphoom P.")</f>
        <v>10 K.Phakphoom P.</v>
      </c>
      <c r="M1484" s="1" t="str">
        <f>IFERROR(__xludf.DUMMYFUNCTION("""COMPUTED_VALUE"""),"063-8955329")</f>
        <v>063-8955329</v>
      </c>
      <c r="N1484" s="3">
        <f>IFERROR(__xludf.DUMMYFUNCTION("""COMPUTED_VALUE"""),22584.0)</f>
        <v>22584</v>
      </c>
      <c r="O1484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484" s="4">
        <f>IFERROR(__xludf.DUMMYFUNCTION("""COMPUTED_VALUE"""),44042.0)</f>
        <v>44042</v>
      </c>
      <c r="Q1484" s="3" t="str">
        <f>IFERROR(__xludf.DUMMYFUNCTION("""COMPUTED_VALUE"""),"A")</f>
        <v>A</v>
      </c>
      <c r="R1484" s="3" t="str">
        <f>IFERROR(__xludf.DUMMYFUNCTION("""COMPUTED_VALUE"""),"Small Format")</f>
        <v>Small Format</v>
      </c>
      <c r="S1484" s="3" t="str">
        <f>IFERROR(__xludf.DUMMYFUNCTION("""COMPUTED_VALUE"""),"BCM")</f>
        <v>BCM</v>
      </c>
      <c r="T1484" s="3" t="str">
        <f>IFERROR(__xludf.DUMMYFUNCTION("""COMPUTED_VALUE"""),"#N/A")</f>
        <v>#N/A</v>
      </c>
      <c r="U1484" s="3" t="str">
        <f>IFERROR(__xludf.DUMMYFUNCTION("""COMPUTED_VALUE"""),"#N/A")</f>
        <v>#N/A</v>
      </c>
      <c r="V1484" s="3" t="str">
        <f>IFERROR(__xludf.DUMMYFUNCTION("""COMPUTED_VALUE"""),"N")</f>
        <v>N</v>
      </c>
      <c r="W1484" s="3">
        <f>IFERROR(__xludf.DUMMYFUNCTION("""COMPUTED_VALUE"""),210183.0)</f>
        <v>210183</v>
      </c>
      <c r="X1484" s="3" t="str">
        <f>IFERROR(__xludf.DUMMYFUNCTION("""COMPUTED_VALUE"""),"1/71 หมู่4 ตำบลคลองเกลือ อำเภอปากเกร็ด จังหวัดนนทบุรี 11120")</f>
        <v>1/71 หมู่4 ตำบลคลองเกลือ อำเภอปากเกร็ด จังหวัดนนทบุรี 11120</v>
      </c>
      <c r="Y1484" s="3"/>
      <c r="Z1484" s="3" t="str">
        <f>IFERROR(__xludf.DUMMYFUNCTION("""COMPUTED_VALUE"""),"คลองเกลือ")</f>
        <v>คลองเกลือ</v>
      </c>
      <c r="AA1484" s="3" t="str">
        <f>IFERROR(__xludf.DUMMYFUNCTION("""COMPUTED_VALUE"""),"ปากเกร็ด")</f>
        <v>ปากเกร็ด</v>
      </c>
      <c r="AB1484" s="3" t="str">
        <f>IFERROR(__xludf.DUMMYFUNCTION("""COMPUTED_VALUE"""),"นนทบุรี")</f>
        <v>นนทบุรี</v>
      </c>
      <c r="AC1484" s="3">
        <f>IFERROR(__xludf.DUMMYFUNCTION("""COMPUTED_VALUE"""),11120.0)</f>
        <v>11120</v>
      </c>
      <c r="AD1484" s="3">
        <f>IFERROR(__xludf.DUMMYFUNCTION("""COMPUTED_VALUE"""),13.905951)</f>
        <v>13.905951</v>
      </c>
      <c r="AE1484" s="3">
        <f>IFERROR(__xludf.DUMMYFUNCTION("""COMPUTED_VALUE"""),100.530521)</f>
        <v>100.530521</v>
      </c>
      <c r="AF1484" s="3" t="str">
        <f>IFERROR(__xludf.DUMMYFUNCTION("""COMPUTED_VALUE"""),"MBC แจ้งวัฒนะ - ปากเกร็ด 21 นนทบุรี-22169")</f>
        <v>MBC แจ้งวัฒนะ - ปากเกร็ด 21 นนทบุรี-22169</v>
      </c>
      <c r="AG1484" s="3" t="str">
        <f>IFERROR(__xludf.DUMMYFUNCTION("""COMPUTED_VALUE"""),"กลาง")</f>
        <v>กลาง</v>
      </c>
      <c r="AH1484" s="3" t="str">
        <f>IFERROR(__xludf.DUMMYFUNCTION("""COMPUTED_VALUE"""),"#N/A")</f>
        <v>#N/A</v>
      </c>
      <c r="AI1484" s="3" t="str">
        <f>IFERROR(__xludf.DUMMYFUNCTION("""COMPUTED_VALUE"""),"Out of warranty")</f>
        <v>Out of warranty</v>
      </c>
      <c r="AJ1484" s="3">
        <f>IFERROR(__xludf.DUMMYFUNCTION("""COMPUTED_VALUE"""),66.0)</f>
        <v>66</v>
      </c>
      <c r="AK1484" s="3" t="str">
        <f>IFERROR(__xludf.DUMMYFUNCTION("""COMPUTED_VALUE"""),"MMS01")</f>
        <v>MMS01</v>
      </c>
      <c r="AL1484" s="3"/>
    </row>
    <row r="1485" ht="15.75" customHeight="1">
      <c r="A1485" s="1" t="str">
        <f>IFERROR(__xludf.DUMMYFUNCTION("""COMPUTED_VALUE"""),"22170")</f>
        <v>22170</v>
      </c>
      <c r="B1485" s="2">
        <f>IFERROR(__xludf.DUMMYFUNCTION("""COMPUTED_VALUE"""),22170.0)</f>
        <v>22170</v>
      </c>
      <c r="C1485" s="3" t="str">
        <f>IFERROR(__xludf.DUMMYFUNCTION("""COMPUTED_VALUE"""),"MBC ตือเบาะ ยะลา")</f>
        <v>MBC ตือเบาะ ยะลา</v>
      </c>
      <c r="D1485" s="3" t="str">
        <f>IFERROR(__xludf.DUMMYFUNCTION("""COMPUTED_VALUE"""),"BCM TUBOH YALA")</f>
        <v>BCM TUBOH YALA</v>
      </c>
      <c r="E1485" s="1" t="str">
        <f>IFERROR(__xludf.DUMMYFUNCTION("""COMPUTED_VALUE"""),"บิ๊กซี MINI")</f>
        <v>บิ๊กซี MINI</v>
      </c>
      <c r="F1485" s="1" t="str">
        <f>IFERROR(__xludf.DUMMYFUNCTION("""COMPUTED_VALUE"""),"250760")</f>
        <v>250760</v>
      </c>
      <c r="G1485" s="1" t="str">
        <f>IFERROR(__xludf.DUMMYFUNCTION("""COMPUTED_VALUE"""),"นายประทวน สาราบรรณ์")</f>
        <v>นายประทวน สาราบรรณ์</v>
      </c>
      <c r="H1485" s="1" t="str">
        <f>IFERROR(__xludf.DUMMYFUNCTION("""COMPUTED_VALUE"""),"485279")</f>
        <v>485279</v>
      </c>
      <c r="I1485" s="1" t="str">
        <f>IFERROR(__xludf.DUMMYFUNCTION("""COMPUTED_VALUE"""),"นายสิริพงศ์ ชูชื่น")</f>
        <v>นายสิริพงศ์ ชูชื่น</v>
      </c>
      <c r="J1485" s="3">
        <f>IFERROR(__xludf.DUMMYFUNCTION("""COMPUTED_VALUE"""),2.0470331E7)</f>
        <v>20470331</v>
      </c>
      <c r="K1485" s="3" t="str">
        <f>IFERROR(__xludf.DUMMYFUNCTION("""COMPUTED_VALUE"""),"นายสมชาย ลักษณะสุวรรณ")</f>
        <v>นายสมชาย ลักษณะสุวรรณ</v>
      </c>
      <c r="L1485" s="1" t="str">
        <f>IFERROR(__xludf.DUMMYFUNCTION("""COMPUTED_VALUE"""),"15 K.Somchai L")</f>
        <v>15 K.Somchai L</v>
      </c>
      <c r="M1485" s="1" t="str">
        <f>IFERROR(__xludf.DUMMYFUNCTION("""COMPUTED_VALUE"""),"0655107372")</f>
        <v>0655107372</v>
      </c>
      <c r="N1485" s="3">
        <f>IFERROR(__xludf.DUMMYFUNCTION("""COMPUTED_VALUE"""),21723.0)</f>
        <v>21723</v>
      </c>
      <c r="O1485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485" s="4">
        <f>IFERROR(__xludf.DUMMYFUNCTION("""COMPUTED_VALUE"""),44043.0)</f>
        <v>44043</v>
      </c>
      <c r="Q1485" s="3" t="str">
        <f>IFERROR(__xludf.DUMMYFUNCTION("""COMPUTED_VALUE"""),"A")</f>
        <v>A</v>
      </c>
      <c r="R1485" s="3" t="str">
        <f>IFERROR(__xludf.DUMMYFUNCTION("""COMPUTED_VALUE"""),"Small Format")</f>
        <v>Small Format</v>
      </c>
      <c r="S1485" s="3" t="str">
        <f>IFERROR(__xludf.DUMMYFUNCTION("""COMPUTED_VALUE"""),"BCM")</f>
        <v>BCM</v>
      </c>
      <c r="T1485" s="3" t="str">
        <f>IFERROR(__xludf.DUMMYFUNCTION("""COMPUTED_VALUE"""),"#N/A")</f>
        <v>#N/A</v>
      </c>
      <c r="U1485" s="3" t="str">
        <f>IFERROR(__xludf.DUMMYFUNCTION("""COMPUTED_VALUE"""),"#N/A")</f>
        <v>#N/A</v>
      </c>
      <c r="V1485" s="3" t="str">
        <f>IFERROR(__xludf.DUMMYFUNCTION("""COMPUTED_VALUE"""),"N")</f>
        <v>N</v>
      </c>
      <c r="W1485" s="3">
        <f>IFERROR(__xludf.DUMMYFUNCTION("""COMPUTED_VALUE"""),210162.0)</f>
        <v>210162</v>
      </c>
      <c r="X1485" s="3" t="str">
        <f>IFERROR(__xludf.DUMMYFUNCTION("""COMPUTED_VALUE"""),"127/32 หมู่10 สะเตงนอก อำเภอเมืองยะลา จังหวัดยะลา 95000")</f>
        <v>127/32 หมู่10 สะเตงนอก อำเภอเมืองยะลา จังหวัดยะลา 95000</v>
      </c>
      <c r="Y1485" s="3"/>
      <c r="Z1485" s="3" t="str">
        <f>IFERROR(__xludf.DUMMYFUNCTION("""COMPUTED_VALUE"""),"สะเตงนอก")</f>
        <v>สะเตงนอก</v>
      </c>
      <c r="AA1485" s="3" t="str">
        <f>IFERROR(__xludf.DUMMYFUNCTION("""COMPUTED_VALUE"""),"เมือง")</f>
        <v>เมือง</v>
      </c>
      <c r="AB1485" s="3" t="str">
        <f>IFERROR(__xludf.DUMMYFUNCTION("""COMPUTED_VALUE"""),"ยะลา")</f>
        <v>ยะลา</v>
      </c>
      <c r="AC1485" s="3">
        <f>IFERROR(__xludf.DUMMYFUNCTION("""COMPUTED_VALUE"""),95000.0)</f>
        <v>95000</v>
      </c>
      <c r="AD1485" s="3">
        <f>IFERROR(__xludf.DUMMYFUNCTION("""COMPUTED_VALUE"""),6.537392)</f>
        <v>6.537392</v>
      </c>
      <c r="AE1485" s="3">
        <f>IFERROR(__xludf.DUMMYFUNCTION("""COMPUTED_VALUE"""),101.293103)</f>
        <v>101.293103</v>
      </c>
      <c r="AF1485" s="3" t="str">
        <f>IFERROR(__xludf.DUMMYFUNCTION("""COMPUTED_VALUE"""),"MBC ตือเบาะ ยะลา-22170")</f>
        <v>MBC ตือเบาะ ยะลา-22170</v>
      </c>
      <c r="AG1485" s="3" t="str">
        <f>IFERROR(__xludf.DUMMYFUNCTION("""COMPUTED_VALUE"""),"ใต้")</f>
        <v>ใต้</v>
      </c>
      <c r="AH1485" s="3" t="str">
        <f>IFERROR(__xludf.DUMMYFUNCTION("""COMPUTED_VALUE"""),"#N/A")</f>
        <v>#N/A</v>
      </c>
      <c r="AI1485" s="3" t="str">
        <f>IFERROR(__xludf.DUMMYFUNCTION("""COMPUTED_VALUE"""),"Out of warranty")</f>
        <v>Out of warranty</v>
      </c>
      <c r="AJ1485" s="3">
        <f>IFERROR(__xludf.DUMMYFUNCTION("""COMPUTED_VALUE"""),66.0)</f>
        <v>66</v>
      </c>
      <c r="AK1485" s="3" t="str">
        <f>IFERROR(__xludf.DUMMYFUNCTION("""COMPUTED_VALUE"""),"MMS16")</f>
        <v>MMS16</v>
      </c>
      <c r="AL1485" s="3"/>
    </row>
    <row r="1486" ht="15.75" customHeight="1">
      <c r="A1486" s="1" t="str">
        <f>IFERROR(__xludf.DUMMYFUNCTION("""COMPUTED_VALUE"""),"22171")</f>
        <v>22171</v>
      </c>
      <c r="B1486" s="2">
        <f>IFERROR(__xludf.DUMMYFUNCTION("""COMPUTED_VALUE"""),22171.0)</f>
        <v>22171</v>
      </c>
      <c r="C1486" s="3" t="str">
        <f>IFERROR(__xludf.DUMMYFUNCTION("""COMPUTED_VALUE"""),"MBC บ้านเอ้ออาทรร้อยเอ็ด ร้อยเอ็ด")</f>
        <v>MBC บ้านเอ้ออาทรร้อยเอ็ด ร้อยเอ็ด</v>
      </c>
      <c r="D1486" s="3" t="str">
        <f>IFERROR(__xludf.DUMMYFUNCTION("""COMPUTED_VALUE"""),"BCM BAN AUR ARTHON ROI ET")</f>
        <v>BCM BAN AUR ARTHON ROI ET</v>
      </c>
      <c r="E1486" s="1" t="str">
        <f>IFERROR(__xludf.DUMMYFUNCTION("""COMPUTED_VALUE"""),"บิ๊กซี MINI")</f>
        <v>บิ๊กซี MINI</v>
      </c>
      <c r="F1486" s="1" t="str">
        <f>IFERROR(__xludf.DUMMYFUNCTION("""COMPUTED_VALUE"""),"291105")</f>
        <v>291105</v>
      </c>
      <c r="G1486" s="1" t="str">
        <f>IFERROR(__xludf.DUMMYFUNCTION("""COMPUTED_VALUE"""),"นายสราวุฒิ พณิชยกุล")</f>
        <v>นายสราวุฒิ พณิชยกุล</v>
      </c>
      <c r="H1486" s="1" t="str">
        <f>IFERROR(__xludf.DUMMYFUNCTION("""COMPUTED_VALUE"""),"398136")</f>
        <v>398136</v>
      </c>
      <c r="I1486" s="1" t="str">
        <f>IFERROR(__xludf.DUMMYFUNCTION("""COMPUTED_VALUE"""),"นายประยูร ธาดาวงษา")</f>
        <v>นายประยูร ธาดาวงษา</v>
      </c>
      <c r="J1486" s="3">
        <f>IFERROR(__xludf.DUMMYFUNCTION("""COMPUTED_VALUE"""),15361.0)</f>
        <v>15361</v>
      </c>
      <c r="K1486" s="3" t="str">
        <f>IFERROR(__xludf.DUMMYFUNCTION("""COMPUTED_VALUE"""),"นายสมบูรณ์ พรหมในเมือง")</f>
        <v>นายสมบูรณ์ พรหมในเมือง</v>
      </c>
      <c r="L1486" s="1" t="str">
        <f>IFERROR(__xludf.DUMMYFUNCTION("""COMPUTED_VALUE"""),"04 K.Somboon P.")</f>
        <v>04 K.Somboon P.</v>
      </c>
      <c r="M1486" s="1" t="str">
        <f>IFERROR(__xludf.DUMMYFUNCTION("""COMPUTED_VALUE"""),"087-965-3051")</f>
        <v>087-965-3051</v>
      </c>
      <c r="N1486" s="3">
        <f>IFERROR(__xludf.DUMMYFUNCTION("""COMPUTED_VALUE"""),21869.0)</f>
        <v>21869</v>
      </c>
      <c r="O1486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486" s="4">
        <f>IFERROR(__xludf.DUMMYFUNCTION("""COMPUTED_VALUE"""),44040.0)</f>
        <v>44040</v>
      </c>
      <c r="Q1486" s="3" t="str">
        <f>IFERROR(__xludf.DUMMYFUNCTION("""COMPUTED_VALUE"""),"A")</f>
        <v>A</v>
      </c>
      <c r="R1486" s="3" t="str">
        <f>IFERROR(__xludf.DUMMYFUNCTION("""COMPUTED_VALUE"""),"Small Format")</f>
        <v>Small Format</v>
      </c>
      <c r="S1486" s="3" t="str">
        <f>IFERROR(__xludf.DUMMYFUNCTION("""COMPUTED_VALUE"""),"BCM")</f>
        <v>BCM</v>
      </c>
      <c r="T1486" s="3" t="str">
        <f>IFERROR(__xludf.DUMMYFUNCTION("""COMPUTED_VALUE"""),"#N/A")</f>
        <v>#N/A</v>
      </c>
      <c r="U1486" s="3" t="str">
        <f>IFERROR(__xludf.DUMMYFUNCTION("""COMPUTED_VALUE"""),"#N/A")</f>
        <v>#N/A</v>
      </c>
      <c r="V1486" s="3" t="str">
        <f>IFERROR(__xludf.DUMMYFUNCTION("""COMPUTED_VALUE"""),"N")</f>
        <v>N</v>
      </c>
      <c r="W1486" s="3">
        <f>IFERROR(__xludf.DUMMYFUNCTION("""COMPUTED_VALUE"""),210182.0)</f>
        <v>210182</v>
      </c>
      <c r="X1486" s="3" t="str">
        <f>IFERROR(__xludf.DUMMYFUNCTION("""COMPUTED_VALUE"""),"46/13 ถนนเทวาภิบาล ตำบลในเมือง อำเภอเมืองร้อยเอ็ด จังหวัดร้อยเอ็ด 45000")</f>
        <v>46/13 ถนนเทวาภิบาล ตำบลในเมือง อำเภอเมืองร้อยเอ็ด จังหวัดร้อยเอ็ด 45000</v>
      </c>
      <c r="Y1486" s="3" t="str">
        <f>IFERROR(__xludf.DUMMYFUNCTION("""COMPUTED_VALUE"""),"ถนนเทวาภิบาล")</f>
        <v>ถนนเทวาภิบาล</v>
      </c>
      <c r="Z1486" s="3" t="str">
        <f>IFERROR(__xludf.DUMMYFUNCTION("""COMPUTED_VALUE"""),"ในเมือง")</f>
        <v>ในเมือง</v>
      </c>
      <c r="AA1486" s="3" t="str">
        <f>IFERROR(__xludf.DUMMYFUNCTION("""COMPUTED_VALUE"""),"เมือง")</f>
        <v>เมือง</v>
      </c>
      <c r="AB1486" s="3" t="str">
        <f>IFERROR(__xludf.DUMMYFUNCTION("""COMPUTED_VALUE"""),"ร้อยเอ็ด")</f>
        <v>ร้อยเอ็ด</v>
      </c>
      <c r="AC1486" s="3">
        <f>IFERROR(__xludf.DUMMYFUNCTION("""COMPUTED_VALUE"""),45000.0)</f>
        <v>45000</v>
      </c>
      <c r="AD1486" s="3">
        <f>IFERROR(__xludf.DUMMYFUNCTION("""COMPUTED_VALUE"""),16.05714)</f>
        <v>16.05714</v>
      </c>
      <c r="AE1486" s="3">
        <f>IFERROR(__xludf.DUMMYFUNCTION("""COMPUTED_VALUE"""),103.634963)</f>
        <v>103.634963</v>
      </c>
      <c r="AF1486" s="3" t="str">
        <f>IFERROR(__xludf.DUMMYFUNCTION("""COMPUTED_VALUE"""),"MBC บ้านเอ้ออาทรร้อยเอ็ด ร้อยเอ็ด-22171")</f>
        <v>MBC บ้านเอ้ออาทรร้อยเอ็ด ร้อยเอ็ด-22171</v>
      </c>
      <c r="AG1486" s="3" t="str">
        <f>IFERROR(__xludf.DUMMYFUNCTION("""COMPUTED_VALUE"""),"ตะวันออกเฉียงเหนือ")</f>
        <v>ตะวันออกเฉียงเหนือ</v>
      </c>
      <c r="AH1486" s="3" t="str">
        <f>IFERROR(__xludf.DUMMYFUNCTION("""COMPUTED_VALUE"""),"#N/A")</f>
        <v>#N/A</v>
      </c>
      <c r="AI1486" s="3" t="str">
        <f>IFERROR(__xludf.DUMMYFUNCTION("""COMPUTED_VALUE"""),"Out of warranty")</f>
        <v>Out of warranty</v>
      </c>
      <c r="AJ1486" s="3">
        <f>IFERROR(__xludf.DUMMYFUNCTION("""COMPUTED_VALUE"""),66.0)</f>
        <v>66</v>
      </c>
      <c r="AK1486" s="3" t="str">
        <f>IFERROR(__xludf.DUMMYFUNCTION("""COMPUTED_VALUE"""),"MMS13")</f>
        <v>MMS13</v>
      </c>
      <c r="AL1486" s="3"/>
    </row>
    <row r="1487" ht="15.75" customHeight="1">
      <c r="A1487" s="1" t="str">
        <f>IFERROR(__xludf.DUMMYFUNCTION("""COMPUTED_VALUE"""),"22172")</f>
        <v>22172</v>
      </c>
      <c r="B1487" s="2">
        <f>IFERROR(__xludf.DUMMYFUNCTION("""COMPUTED_VALUE"""),22172.0)</f>
        <v>22172</v>
      </c>
      <c r="C1487" s="3" t="str">
        <f>IFERROR(__xludf.DUMMYFUNCTION("""COMPUTED_VALUE"""),"MBC ถนนคชพลายุกต์ ร้อยเอ็ด")</f>
        <v>MBC ถนนคชพลายุกต์ ร้อยเอ็ด</v>
      </c>
      <c r="D1487" s="3" t="str">
        <f>IFERROR(__xludf.DUMMYFUNCTION("""COMPUTED_VALUE"""),"BCM THANON KHOTCHAPHA YUK")</f>
        <v>BCM THANON KHOTCHAPHA YUK</v>
      </c>
      <c r="E1487" s="1" t="str">
        <f>IFERROR(__xludf.DUMMYFUNCTION("""COMPUTED_VALUE"""),"บิ๊กซี MINI")</f>
        <v>บิ๊กซี MINI</v>
      </c>
      <c r="F1487" s="1" t="str">
        <f>IFERROR(__xludf.DUMMYFUNCTION("""COMPUTED_VALUE"""),"291105")</f>
        <v>291105</v>
      </c>
      <c r="G1487" s="1" t="str">
        <f>IFERROR(__xludf.DUMMYFUNCTION("""COMPUTED_VALUE"""),"นายสราวุฒิ พณิชยกุล")</f>
        <v>นายสราวุฒิ พณิชยกุล</v>
      </c>
      <c r="H1487" s="1" t="str">
        <f>IFERROR(__xludf.DUMMYFUNCTION("""COMPUTED_VALUE"""),"398136")</f>
        <v>398136</v>
      </c>
      <c r="I1487" s="1" t="str">
        <f>IFERROR(__xludf.DUMMYFUNCTION("""COMPUTED_VALUE"""),"นายประยูร ธาดาวงษา")</f>
        <v>นายประยูร ธาดาวงษา</v>
      </c>
      <c r="J1487" s="3">
        <f>IFERROR(__xludf.DUMMYFUNCTION("""COMPUTED_VALUE"""),15361.0)</f>
        <v>15361</v>
      </c>
      <c r="K1487" s="3" t="str">
        <f>IFERROR(__xludf.DUMMYFUNCTION("""COMPUTED_VALUE"""),"นายสมบูรณ์ พรหมในเมือง")</f>
        <v>นายสมบูรณ์ พรหมในเมือง</v>
      </c>
      <c r="L1487" s="1" t="str">
        <f>IFERROR(__xludf.DUMMYFUNCTION("""COMPUTED_VALUE"""),"04 K.Somboon P.")</f>
        <v>04 K.Somboon P.</v>
      </c>
      <c r="M1487" s="1" t="str">
        <f>IFERROR(__xludf.DUMMYFUNCTION("""COMPUTED_VALUE"""),"087-965-3051")</f>
        <v>087-965-3051</v>
      </c>
      <c r="N1487" s="3">
        <f>IFERROR(__xludf.DUMMYFUNCTION("""COMPUTED_VALUE"""),21869.0)</f>
        <v>21869</v>
      </c>
      <c r="O1487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487" s="4">
        <f>IFERROR(__xludf.DUMMYFUNCTION("""COMPUTED_VALUE"""),44040.0)</f>
        <v>44040</v>
      </c>
      <c r="Q1487" s="3" t="str">
        <f>IFERROR(__xludf.DUMMYFUNCTION("""COMPUTED_VALUE"""),"A")</f>
        <v>A</v>
      </c>
      <c r="R1487" s="3" t="str">
        <f>IFERROR(__xludf.DUMMYFUNCTION("""COMPUTED_VALUE"""),"Small Format")</f>
        <v>Small Format</v>
      </c>
      <c r="S1487" s="3" t="str">
        <f>IFERROR(__xludf.DUMMYFUNCTION("""COMPUTED_VALUE"""),"BCM")</f>
        <v>BCM</v>
      </c>
      <c r="T1487" s="3" t="str">
        <f>IFERROR(__xludf.DUMMYFUNCTION("""COMPUTED_VALUE"""),"#N/A")</f>
        <v>#N/A</v>
      </c>
      <c r="U1487" s="3" t="str">
        <f>IFERROR(__xludf.DUMMYFUNCTION("""COMPUTED_VALUE"""),"#N/A")</f>
        <v>#N/A</v>
      </c>
      <c r="V1487" s="3" t="str">
        <f>IFERROR(__xludf.DUMMYFUNCTION("""COMPUTED_VALUE"""),"N")</f>
        <v>N</v>
      </c>
      <c r="W1487" s="3">
        <f>IFERROR(__xludf.DUMMYFUNCTION("""COMPUTED_VALUE"""),210192.0)</f>
        <v>210192</v>
      </c>
      <c r="X1487" s="3" t="str">
        <f>IFERROR(__xludf.DUMMYFUNCTION("""COMPUTED_VALUE"""),"596 หมู่17 ตำบลเหนือเมือง อำเภอเมืองร้อยเอ็ด จังหวัดร้อยเอ็ด 45000")</f>
        <v>596 หมู่17 ตำบลเหนือเมือง อำเภอเมืองร้อยเอ็ด จังหวัดร้อยเอ็ด 45000</v>
      </c>
      <c r="Y1487" s="3"/>
      <c r="Z1487" s="3" t="str">
        <f>IFERROR(__xludf.DUMMYFUNCTION("""COMPUTED_VALUE"""),"เหนือเมือง")</f>
        <v>เหนือเมือง</v>
      </c>
      <c r="AA1487" s="3" t="str">
        <f>IFERROR(__xludf.DUMMYFUNCTION("""COMPUTED_VALUE"""),"เมือง")</f>
        <v>เมือง</v>
      </c>
      <c r="AB1487" s="3" t="str">
        <f>IFERROR(__xludf.DUMMYFUNCTION("""COMPUTED_VALUE"""),"ร้อยเอ็ด")</f>
        <v>ร้อยเอ็ด</v>
      </c>
      <c r="AC1487" s="3">
        <f>IFERROR(__xludf.DUMMYFUNCTION("""COMPUTED_VALUE"""),45000.0)</f>
        <v>45000</v>
      </c>
      <c r="AD1487" s="3">
        <f>IFERROR(__xludf.DUMMYFUNCTION("""COMPUTED_VALUE"""),16.068025)</f>
        <v>16.068025</v>
      </c>
      <c r="AE1487" s="3">
        <f>IFERROR(__xludf.DUMMYFUNCTION("""COMPUTED_VALUE"""),103.653514)</f>
        <v>103.653514</v>
      </c>
      <c r="AF1487" s="3" t="str">
        <f>IFERROR(__xludf.DUMMYFUNCTION("""COMPUTED_VALUE"""),"MBC ถนนคชพลายุกต์ ร้อยเอ็ด-22172")</f>
        <v>MBC ถนนคชพลายุกต์ ร้อยเอ็ด-22172</v>
      </c>
      <c r="AG1487" s="3" t="str">
        <f>IFERROR(__xludf.DUMMYFUNCTION("""COMPUTED_VALUE"""),"ตะวันออกเฉียงเหนือ")</f>
        <v>ตะวันออกเฉียงเหนือ</v>
      </c>
      <c r="AH1487" s="3" t="str">
        <f>IFERROR(__xludf.DUMMYFUNCTION("""COMPUTED_VALUE"""),"#N/A")</f>
        <v>#N/A</v>
      </c>
      <c r="AI1487" s="3" t="str">
        <f>IFERROR(__xludf.DUMMYFUNCTION("""COMPUTED_VALUE"""),"Out of warranty")</f>
        <v>Out of warranty</v>
      </c>
      <c r="AJ1487" s="3">
        <f>IFERROR(__xludf.DUMMYFUNCTION("""COMPUTED_VALUE"""),66.0)</f>
        <v>66</v>
      </c>
      <c r="AK1487" s="3" t="str">
        <f>IFERROR(__xludf.DUMMYFUNCTION("""COMPUTED_VALUE"""),"MMS13")</f>
        <v>MMS13</v>
      </c>
      <c r="AL1487" s="3"/>
    </row>
    <row r="1488" ht="15.75" customHeight="1">
      <c r="A1488" s="1" t="str">
        <f>IFERROR(__xludf.DUMMYFUNCTION("""COMPUTED_VALUE"""),"22173")</f>
        <v>22173</v>
      </c>
      <c r="B1488" s="2">
        <f>IFERROR(__xludf.DUMMYFUNCTION("""COMPUTED_VALUE"""),22173.0)</f>
        <v>22173</v>
      </c>
      <c r="C1488" s="3" t="str">
        <f>IFERROR(__xludf.DUMMYFUNCTION("""COMPUTED_VALUE"""),"MBC บ้านสวย3 ท่าตูม ปราจีนบุรี")</f>
        <v>MBC บ้านสวย3 ท่าตูม ปราจีนบุรี</v>
      </c>
      <c r="D1488" s="3" t="str">
        <f>IFERROR(__xludf.DUMMYFUNCTION("""COMPUTED_VALUE"""),"BCM BAN SUAY 3 THATUM")</f>
        <v>BCM BAN SUAY 3 THATUM</v>
      </c>
      <c r="E1488" s="1" t="str">
        <f>IFERROR(__xludf.DUMMYFUNCTION("""COMPUTED_VALUE"""),"บิ๊กซี MINI")</f>
        <v>บิ๊กซี MINI</v>
      </c>
      <c r="F1488" s="1" t="str">
        <f>IFERROR(__xludf.DUMMYFUNCTION("""COMPUTED_VALUE"""),"2083447")</f>
        <v>2083447</v>
      </c>
      <c r="G1488" s="1" t="str">
        <f>IFERROR(__xludf.DUMMYFUNCTION("""COMPUTED_VALUE"""),"นายอนุกูล ศรีลัดดา")</f>
        <v>นายอนุกูล ศรีลัดดา</v>
      </c>
      <c r="H1488" s="1" t="str">
        <f>IFERROR(__xludf.DUMMYFUNCTION("""COMPUTED_VALUE"""),"259808")</f>
        <v>259808</v>
      </c>
      <c r="I1488" s="1" t="str">
        <f>IFERROR(__xludf.DUMMYFUNCTION("""COMPUTED_VALUE"""),"น.ส.สกุลรัตน์ พิกุลแก้ว")</f>
        <v>น.ส.สกุลรัตน์ พิกุลแก้ว</v>
      </c>
      <c r="J1488" s="3">
        <f>IFERROR(__xludf.DUMMYFUNCTION("""COMPUTED_VALUE"""),510143.0)</f>
        <v>510143</v>
      </c>
      <c r="K1488" s="3" t="str">
        <f>IFERROR(__xludf.DUMMYFUNCTION("""COMPUTED_VALUE"""),"นายธีระวัฒน์ บุญสิทธิ์")</f>
        <v>นายธีระวัฒน์ บุญสิทธิ์</v>
      </c>
      <c r="L1488" s="1" t="str">
        <f>IFERROR(__xludf.DUMMYFUNCTION("""COMPUTED_VALUE"""),"12 K.Theerawat B.")</f>
        <v>12 K.Theerawat B.</v>
      </c>
      <c r="M1488" s="1" t="str">
        <f>IFERROR(__xludf.DUMMYFUNCTION("""COMPUTED_VALUE"""),"0655107379")</f>
        <v>0655107379</v>
      </c>
      <c r="N1488" s="3">
        <f>IFERROR(__xludf.DUMMYFUNCTION("""COMPUTED_VALUE"""),21062.0)</f>
        <v>21062</v>
      </c>
      <c r="O1488" s="3" t="str">
        <f>IFERROR(__xludf.DUMMYFUNCTION("""COMPUTED_VALUE"""),"MBC นิคมนวนคร")</f>
        <v>MBC นิคมนวนคร</v>
      </c>
      <c r="P1488" s="4">
        <f>IFERROR(__xludf.DUMMYFUNCTION("""COMPUTED_VALUE"""),44040.0)</f>
        <v>44040</v>
      </c>
      <c r="Q1488" s="3" t="str">
        <f>IFERROR(__xludf.DUMMYFUNCTION("""COMPUTED_VALUE"""),"A")</f>
        <v>A</v>
      </c>
      <c r="R1488" s="3" t="str">
        <f>IFERROR(__xludf.DUMMYFUNCTION("""COMPUTED_VALUE"""),"Small Format")</f>
        <v>Small Format</v>
      </c>
      <c r="S1488" s="3" t="str">
        <f>IFERROR(__xludf.DUMMYFUNCTION("""COMPUTED_VALUE"""),"BCM")</f>
        <v>BCM</v>
      </c>
      <c r="T1488" s="3" t="str">
        <f>IFERROR(__xludf.DUMMYFUNCTION("""COMPUTED_VALUE"""),"#N/A")</f>
        <v>#N/A</v>
      </c>
      <c r="U1488" s="3" t="str">
        <f>IFERROR(__xludf.DUMMYFUNCTION("""COMPUTED_VALUE"""),"#N/A")</f>
        <v>#N/A</v>
      </c>
      <c r="V1488" s="3" t="str">
        <f>IFERROR(__xludf.DUMMYFUNCTION("""COMPUTED_VALUE"""),"N")</f>
        <v>N</v>
      </c>
      <c r="W1488" s="3">
        <f>IFERROR(__xludf.DUMMYFUNCTION("""COMPUTED_VALUE"""),210211.0)</f>
        <v>210211</v>
      </c>
      <c r="X1488" s="3" t="str">
        <f>IFERROR(__xludf.DUMMYFUNCTION("""COMPUTED_VALUE"""),"249 หมู่5 ตำบลท่าตูม อำเภอศรีมหาโพธิ จังหวัดปราจีนบุรี 25140")</f>
        <v>249 หมู่5 ตำบลท่าตูม อำเภอศรีมหาโพธิ จังหวัดปราจีนบุรี 25140</v>
      </c>
      <c r="Y1488" s="3"/>
      <c r="Z1488" s="3" t="str">
        <f>IFERROR(__xludf.DUMMYFUNCTION("""COMPUTED_VALUE"""),"ท่าตูม")</f>
        <v>ท่าตูม</v>
      </c>
      <c r="AA1488" s="3" t="str">
        <f>IFERROR(__xludf.DUMMYFUNCTION("""COMPUTED_VALUE"""),"ศรีมหาโพธิ")</f>
        <v>ศรีมหาโพธิ</v>
      </c>
      <c r="AB1488" s="3" t="str">
        <f>IFERROR(__xludf.DUMMYFUNCTION("""COMPUTED_VALUE"""),"ปราจีนบุรี")</f>
        <v>ปราจีนบุรี</v>
      </c>
      <c r="AC1488" s="3">
        <f>IFERROR(__xludf.DUMMYFUNCTION("""COMPUTED_VALUE"""),25140.0)</f>
        <v>25140</v>
      </c>
      <c r="AD1488" s="3">
        <f>IFERROR(__xludf.DUMMYFUNCTION("""COMPUTED_VALUE"""),13.938182)</f>
        <v>13.938182</v>
      </c>
      <c r="AE1488" s="3">
        <f>IFERROR(__xludf.DUMMYFUNCTION("""COMPUTED_VALUE"""),101.555451)</f>
        <v>101.555451</v>
      </c>
      <c r="AF1488" s="3" t="str">
        <f>IFERROR(__xludf.DUMMYFUNCTION("""COMPUTED_VALUE"""),"MBC บ้านสวย3 ท่าตูม ปราจีนบุรี-22173")</f>
        <v>MBC บ้านสวย3 ท่าตูม ปราจีนบุรี-22173</v>
      </c>
      <c r="AG1488" s="3" t="str">
        <f>IFERROR(__xludf.DUMMYFUNCTION("""COMPUTED_VALUE"""),"ตะวันออก")</f>
        <v>ตะวันออก</v>
      </c>
      <c r="AH1488" s="3" t="str">
        <f>IFERROR(__xludf.DUMMYFUNCTION("""COMPUTED_VALUE"""),"#N/A")</f>
        <v>#N/A</v>
      </c>
      <c r="AI1488" s="3" t="str">
        <f>IFERROR(__xludf.DUMMYFUNCTION("""COMPUTED_VALUE"""),"Out of warranty")</f>
        <v>Out of warranty</v>
      </c>
      <c r="AJ1488" s="3">
        <f>IFERROR(__xludf.DUMMYFUNCTION("""COMPUTED_VALUE"""),66.0)</f>
        <v>66</v>
      </c>
      <c r="AK1488" s="3" t="str">
        <f>IFERROR(__xludf.DUMMYFUNCTION("""COMPUTED_VALUE"""),"MMS08")</f>
        <v>MMS08</v>
      </c>
      <c r="AL1488" s="3"/>
    </row>
    <row r="1489" ht="15.75" customHeight="1">
      <c r="A1489" s="1" t="str">
        <f>IFERROR(__xludf.DUMMYFUNCTION("""COMPUTED_VALUE"""),"22174")</f>
        <v>22174</v>
      </c>
      <c r="B1489" s="2">
        <f>IFERROR(__xludf.DUMMYFUNCTION("""COMPUTED_VALUE"""),22174.0)</f>
        <v>22174</v>
      </c>
      <c r="C1489" s="3" t="str">
        <f>IFERROR(__xludf.DUMMYFUNCTION("""COMPUTED_VALUE"""),"MBC อำเภอหนองจิก ปัตตานี")</f>
        <v>MBC อำเภอหนองจิก ปัตตานี</v>
      </c>
      <c r="D1489" s="3" t="str">
        <f>IFERROR(__xludf.DUMMYFUNCTION("""COMPUTED_VALUE"""),"BCM AMPHOE NONG CHIK")</f>
        <v>BCM AMPHOE NONG CHIK</v>
      </c>
      <c r="E1489" s="1" t="str">
        <f>IFERROR(__xludf.DUMMYFUNCTION("""COMPUTED_VALUE"""),"บิ๊กซี MINI")</f>
        <v>บิ๊กซี MINI</v>
      </c>
      <c r="F1489" s="1" t="str">
        <f>IFERROR(__xludf.DUMMYFUNCTION("""COMPUTED_VALUE"""),"250760")</f>
        <v>250760</v>
      </c>
      <c r="G1489" s="1" t="str">
        <f>IFERROR(__xludf.DUMMYFUNCTION("""COMPUTED_VALUE"""),"นายประทวน สาราบรรณ์")</f>
        <v>นายประทวน สาราบรรณ์</v>
      </c>
      <c r="H1489" s="1" t="str">
        <f>IFERROR(__xludf.DUMMYFUNCTION("""COMPUTED_VALUE"""),"394185")</f>
        <v>394185</v>
      </c>
      <c r="I1489" s="1" t="str">
        <f>IFERROR(__xludf.DUMMYFUNCTION("""COMPUTED_VALUE"""),"น.ส.ฐาปนี สุวรรณรัตน์")</f>
        <v>น.ส.ฐาปนี สุวรรณรัตน์</v>
      </c>
      <c r="J1489" s="3">
        <f>IFERROR(__xludf.DUMMYFUNCTION("""COMPUTED_VALUE"""),2.0470331E7)</f>
        <v>20470331</v>
      </c>
      <c r="K1489" s="3" t="str">
        <f>IFERROR(__xludf.DUMMYFUNCTION("""COMPUTED_VALUE"""),"นายสมชาย ลักษณะสุวรรณ")</f>
        <v>นายสมชาย ลักษณะสุวรรณ</v>
      </c>
      <c r="L1489" s="1" t="str">
        <f>IFERROR(__xludf.DUMMYFUNCTION("""COMPUTED_VALUE"""),"15 K.Somchai L")</f>
        <v>15 K.Somchai L</v>
      </c>
      <c r="M1489" s="1" t="str">
        <f>IFERROR(__xludf.DUMMYFUNCTION("""COMPUTED_VALUE"""),"0655107372")</f>
        <v>0655107372</v>
      </c>
      <c r="N1489" s="3">
        <f>IFERROR(__xludf.DUMMYFUNCTION("""COMPUTED_VALUE"""),21723.0)</f>
        <v>21723</v>
      </c>
      <c r="O1489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489" s="4">
        <f>IFERROR(__xludf.DUMMYFUNCTION("""COMPUTED_VALUE"""),44043.0)</f>
        <v>44043</v>
      </c>
      <c r="Q1489" s="3" t="str">
        <f>IFERROR(__xludf.DUMMYFUNCTION("""COMPUTED_VALUE"""),"A")</f>
        <v>A</v>
      </c>
      <c r="R1489" s="3" t="str">
        <f>IFERROR(__xludf.DUMMYFUNCTION("""COMPUTED_VALUE"""),"Small Format")</f>
        <v>Small Format</v>
      </c>
      <c r="S1489" s="3" t="str">
        <f>IFERROR(__xludf.DUMMYFUNCTION("""COMPUTED_VALUE"""),"BCM")</f>
        <v>BCM</v>
      </c>
      <c r="T1489" s="3" t="str">
        <f>IFERROR(__xludf.DUMMYFUNCTION("""COMPUTED_VALUE"""),"#N/A")</f>
        <v>#N/A</v>
      </c>
      <c r="U1489" s="3" t="str">
        <f>IFERROR(__xludf.DUMMYFUNCTION("""COMPUTED_VALUE"""),"#N/A")</f>
        <v>#N/A</v>
      </c>
      <c r="V1489" s="3" t="str">
        <f>IFERROR(__xludf.DUMMYFUNCTION("""COMPUTED_VALUE"""),"N")</f>
        <v>N</v>
      </c>
      <c r="W1489" s="3">
        <f>IFERROR(__xludf.DUMMYFUNCTION("""COMPUTED_VALUE"""),210186.0)</f>
        <v>210186</v>
      </c>
      <c r="X1489" s="3" t="str">
        <f>IFERROR(__xludf.DUMMYFUNCTION("""COMPUTED_VALUE"""),"23/4 หมู่1 ตำบลตุยง อำเภอหนองจิก จังหวัดปัตตานี 94170")</f>
        <v>23/4 หมู่1 ตำบลตุยง อำเภอหนองจิก จังหวัดปัตตานี 94170</v>
      </c>
      <c r="Y1489" s="3"/>
      <c r="Z1489" s="3" t="str">
        <f>IFERROR(__xludf.DUMMYFUNCTION("""COMPUTED_VALUE"""),"ตุยง")</f>
        <v>ตุยง</v>
      </c>
      <c r="AA1489" s="3" t="str">
        <f>IFERROR(__xludf.DUMMYFUNCTION("""COMPUTED_VALUE"""),"หนองจิก")</f>
        <v>หนองจิก</v>
      </c>
      <c r="AB1489" s="3" t="str">
        <f>IFERROR(__xludf.DUMMYFUNCTION("""COMPUTED_VALUE"""),"ปัตตานี")</f>
        <v>ปัตตานี</v>
      </c>
      <c r="AC1489" s="3">
        <f>IFERROR(__xludf.DUMMYFUNCTION("""COMPUTED_VALUE"""),94170.0)</f>
        <v>94170</v>
      </c>
      <c r="AD1489" s="3">
        <f>IFERROR(__xludf.DUMMYFUNCTION("""COMPUTED_VALUE"""),6.844714)</f>
        <v>6.844714</v>
      </c>
      <c r="AE1489" s="3">
        <f>IFERROR(__xludf.DUMMYFUNCTION("""COMPUTED_VALUE"""),101.180925)</f>
        <v>101.180925</v>
      </c>
      <c r="AF1489" s="3" t="str">
        <f>IFERROR(__xludf.DUMMYFUNCTION("""COMPUTED_VALUE"""),"MBC อำเภอหนองจิก ปัตตานี-22174")</f>
        <v>MBC อำเภอหนองจิก ปัตตานี-22174</v>
      </c>
      <c r="AG1489" s="3" t="str">
        <f>IFERROR(__xludf.DUMMYFUNCTION("""COMPUTED_VALUE"""),"ใต้")</f>
        <v>ใต้</v>
      </c>
      <c r="AH1489" s="3" t="str">
        <f>IFERROR(__xludf.DUMMYFUNCTION("""COMPUTED_VALUE"""),"#N/A")</f>
        <v>#N/A</v>
      </c>
      <c r="AI1489" s="3" t="str">
        <f>IFERROR(__xludf.DUMMYFUNCTION("""COMPUTED_VALUE"""),"Out of warranty")</f>
        <v>Out of warranty</v>
      </c>
      <c r="AJ1489" s="3">
        <f>IFERROR(__xludf.DUMMYFUNCTION("""COMPUTED_VALUE"""),66.0)</f>
        <v>66</v>
      </c>
      <c r="AK1489" s="3" t="str">
        <f>IFERROR(__xludf.DUMMYFUNCTION("""COMPUTED_VALUE"""),"MMS16")</f>
        <v>MMS16</v>
      </c>
      <c r="AL1489" s="3"/>
    </row>
    <row r="1490" ht="15.75" customHeight="1">
      <c r="A1490" s="1" t="str">
        <f>IFERROR(__xludf.DUMMYFUNCTION("""COMPUTED_VALUE"""),"22175")</f>
        <v>22175</v>
      </c>
      <c r="B1490" s="2">
        <f>IFERROR(__xludf.DUMMYFUNCTION("""COMPUTED_VALUE"""),22175.0)</f>
        <v>22175</v>
      </c>
      <c r="C1490" s="3" t="str">
        <f>IFERROR(__xludf.DUMMYFUNCTION("""COMPUTED_VALUE"""),"MBC ดงอุดม อุดรธานี")</f>
        <v>MBC ดงอุดม อุดรธานี</v>
      </c>
      <c r="D1490" s="3" t="str">
        <f>IFERROR(__xludf.DUMMYFUNCTION("""COMPUTED_VALUE"""),"BCM DONG UDOM")</f>
        <v>BCM DONG UDOM</v>
      </c>
      <c r="E1490" s="1" t="str">
        <f>IFERROR(__xludf.DUMMYFUNCTION("""COMPUTED_VALUE"""),"บิ๊กซี MINI")</f>
        <v>บิ๊กซี MINI</v>
      </c>
      <c r="F1490" s="1" t="str">
        <f>IFERROR(__xludf.DUMMYFUNCTION("""COMPUTED_VALUE"""),"291105")</f>
        <v>291105</v>
      </c>
      <c r="G1490" s="1" t="str">
        <f>IFERROR(__xludf.DUMMYFUNCTION("""COMPUTED_VALUE"""),"นายสราวุฒิ พณิชยกุล")</f>
        <v>นายสราวุฒิ พณิชยกุล</v>
      </c>
      <c r="H1490" s="1" t="str">
        <f>IFERROR(__xludf.DUMMYFUNCTION("""COMPUTED_VALUE"""),"392005")</f>
        <v>392005</v>
      </c>
      <c r="I1490" s="1" t="str">
        <f>IFERROR(__xludf.DUMMYFUNCTION("""COMPUTED_VALUE"""),"นายรัฐพล หาญลำยวง")</f>
        <v>นายรัฐพล หาญลำยวง</v>
      </c>
      <c r="J1490" s="3">
        <f>IFERROR(__xludf.DUMMYFUNCTION("""COMPUTED_VALUE"""),295886.0)</f>
        <v>295886</v>
      </c>
      <c r="K1490" s="3" t="str">
        <f>IFERROR(__xludf.DUMMYFUNCTION("""COMPUTED_VALUE"""),"นายจิระพงษ์ โพธิ์นิล")</f>
        <v>นายจิระพงษ์ โพธิ์นิล</v>
      </c>
      <c r="L1490" s="1" t="str">
        <f>IFERROR(__xludf.DUMMYFUNCTION("""COMPUTED_VALUE"""),"นายจิระพงษ์ โพธิ์นิล")</f>
        <v>นายจิระพงษ์ โพธิ์นิล</v>
      </c>
      <c r="M1490" s="1" t="str">
        <f>IFERROR(__xludf.DUMMYFUNCTION("""COMPUTED_VALUE"""),"0933290754")</f>
        <v>0933290754</v>
      </c>
      <c r="N1490" s="3">
        <f>IFERROR(__xludf.DUMMYFUNCTION("""COMPUTED_VALUE"""),21622.0)</f>
        <v>21622</v>
      </c>
      <c r="O1490" s="3" t="str">
        <f>IFERROR(__xludf.DUMMYFUNCTION("""COMPUTED_VALUE"""),"MBC ตลาดบ้านดอน")</f>
        <v>MBC ตลาดบ้านดอน</v>
      </c>
      <c r="P1490" s="4">
        <f>IFERROR(__xludf.DUMMYFUNCTION("""COMPUTED_VALUE"""),44040.0)</f>
        <v>44040</v>
      </c>
      <c r="Q1490" s="3" t="str">
        <f>IFERROR(__xludf.DUMMYFUNCTION("""COMPUTED_VALUE"""),"I")</f>
        <v>I</v>
      </c>
      <c r="R1490" s="3" t="str">
        <f>IFERROR(__xludf.DUMMYFUNCTION("""COMPUTED_VALUE"""),"Small Format")</f>
        <v>Small Format</v>
      </c>
      <c r="S1490" s="3" t="str">
        <f>IFERROR(__xludf.DUMMYFUNCTION("""COMPUTED_VALUE"""),"BCM")</f>
        <v>BCM</v>
      </c>
      <c r="T1490" s="3" t="str">
        <f>IFERROR(__xludf.DUMMYFUNCTION("""COMPUTED_VALUE"""),"#N/A")</f>
        <v>#N/A</v>
      </c>
      <c r="U1490" s="3" t="str">
        <f>IFERROR(__xludf.DUMMYFUNCTION("""COMPUTED_VALUE"""),"#N/A")</f>
        <v>#N/A</v>
      </c>
      <c r="V1490" s="3" t="str">
        <f>IFERROR(__xludf.DUMMYFUNCTION("""COMPUTED_VALUE"""),"N")</f>
        <v>N</v>
      </c>
      <c r="W1490" s="3">
        <f>IFERROR(__xludf.DUMMYFUNCTION("""COMPUTED_VALUE"""),210142.0)</f>
        <v>210142</v>
      </c>
      <c r="X1490" s="3" t="str">
        <f>IFERROR(__xludf.DUMMYFUNCTION("""COMPUTED_VALUE"""),"21/9 หมู่5 ตำบลหนองบัว อำเภอเมืองอุดรธานี จังหวัดอุดรธานี 41000")</f>
        <v>21/9 หมู่5 ตำบลหนองบัว อำเภอเมืองอุดรธานี จังหวัดอุดรธานี 41000</v>
      </c>
      <c r="Y1490" s="3"/>
      <c r="Z1490" s="3" t="str">
        <f>IFERROR(__xludf.DUMMYFUNCTION("""COMPUTED_VALUE"""),"หนองบัว")</f>
        <v>หนองบัว</v>
      </c>
      <c r="AA1490" s="3" t="str">
        <f>IFERROR(__xludf.DUMMYFUNCTION("""COMPUTED_VALUE"""),"เมือง")</f>
        <v>เมือง</v>
      </c>
      <c r="AB1490" s="3" t="str">
        <f>IFERROR(__xludf.DUMMYFUNCTION("""COMPUTED_VALUE"""),"อุดรธานี")</f>
        <v>อุดรธานี</v>
      </c>
      <c r="AC1490" s="3">
        <f>IFERROR(__xludf.DUMMYFUNCTION("""COMPUTED_VALUE"""),41000.0)</f>
        <v>41000</v>
      </c>
      <c r="AD1490" s="3">
        <f>IFERROR(__xludf.DUMMYFUNCTION("""COMPUTED_VALUE"""),17.40545)</f>
        <v>17.40545</v>
      </c>
      <c r="AE1490" s="3">
        <f>IFERROR(__xludf.DUMMYFUNCTION("""COMPUTED_VALUE"""),102.82421)</f>
        <v>102.82421</v>
      </c>
      <c r="AF1490" s="3" t="str">
        <f>IFERROR(__xludf.DUMMYFUNCTION("""COMPUTED_VALUE"""),"MBC ดงอุดม อุดรธานี-22175")</f>
        <v>MBC ดงอุดม อุดรธานี-22175</v>
      </c>
      <c r="AG1490" s="3" t="str">
        <f>IFERROR(__xludf.DUMMYFUNCTION("""COMPUTED_VALUE"""),"ตะวันออกเฉียงเหนือ")</f>
        <v>ตะวันออกเฉียงเหนือ</v>
      </c>
      <c r="AH1490" s="3" t="str">
        <f>IFERROR(__xludf.DUMMYFUNCTION("""COMPUTED_VALUE"""),"#N/A")</f>
        <v>#N/A</v>
      </c>
      <c r="AI1490" s="3" t="str">
        <f>IFERROR(__xludf.DUMMYFUNCTION("""COMPUTED_VALUE"""),"Out of warranty")</f>
        <v>Out of warranty</v>
      </c>
      <c r="AJ1490" s="3">
        <f>IFERROR(__xludf.DUMMYFUNCTION("""COMPUTED_VALUE"""),66.0)</f>
        <v>66</v>
      </c>
      <c r="AK1490" s="3" t="str">
        <f>IFERROR(__xludf.DUMMYFUNCTION("""COMPUTED_VALUE"""),"MMS12")</f>
        <v>MMS12</v>
      </c>
      <c r="AL1490" s="3"/>
    </row>
    <row r="1491" ht="15.75" customHeight="1">
      <c r="A1491" s="1" t="str">
        <f>IFERROR(__xludf.DUMMYFUNCTION("""COMPUTED_VALUE"""),"22176")</f>
        <v>22176</v>
      </c>
      <c r="B1491" s="2">
        <f>IFERROR(__xludf.DUMMYFUNCTION("""COMPUTED_VALUE"""),22176.0)</f>
        <v>22176</v>
      </c>
      <c r="C1491" s="3" t="str">
        <f>IFERROR(__xludf.DUMMYFUNCTION("""COMPUTED_VALUE"""),"MBC เคหะธัญบุรี ปทุมธานี")</f>
        <v>MBC เคหะธัญบุรี ปทุมธานี</v>
      </c>
      <c r="D1491" s="3" t="str">
        <f>IFERROR(__xludf.DUMMYFUNCTION("""COMPUTED_VALUE"""),"BCM KEHA THANYABURI")</f>
        <v>BCM KEHA THANYABURI</v>
      </c>
      <c r="E1491" s="1" t="str">
        <f>IFERROR(__xludf.DUMMYFUNCTION("""COMPUTED_VALUE"""),"บิ๊กซี MINI")</f>
        <v>บิ๊กซี MINI</v>
      </c>
      <c r="F1491" s="1" t="str">
        <f>IFERROR(__xludf.DUMMYFUNCTION("""COMPUTED_VALUE"""),"2083447")</f>
        <v>2083447</v>
      </c>
      <c r="G1491" s="1" t="str">
        <f>IFERROR(__xludf.DUMMYFUNCTION("""COMPUTED_VALUE"""),"นายอนุกูล ศรีลัดดา")</f>
        <v>นายอนุกูล ศรีลัดดา</v>
      </c>
      <c r="H1491" s="1" t="str">
        <f>IFERROR(__xludf.DUMMYFUNCTION("""COMPUTED_VALUE"""),"373849")</f>
        <v>373849</v>
      </c>
      <c r="I1491" s="1" t="str">
        <f>IFERROR(__xludf.DUMMYFUNCTION("""COMPUTED_VALUE"""),"น.ส.อรอุมา นิ่มวิศิษย์")</f>
        <v>น.ส.อรอุมา นิ่มวิศิษย์</v>
      </c>
      <c r="J1491" s="3">
        <f>IFERROR(__xludf.DUMMYFUNCTION("""COMPUTED_VALUE"""),510143.0)</f>
        <v>510143</v>
      </c>
      <c r="K1491" s="3" t="str">
        <f>IFERROR(__xludf.DUMMYFUNCTION("""COMPUTED_VALUE"""),"นายธีระวัฒน์ บุญสิทธิ์")</f>
        <v>นายธีระวัฒน์ บุญสิทธิ์</v>
      </c>
      <c r="L1491" s="1" t="str">
        <f>IFERROR(__xludf.DUMMYFUNCTION("""COMPUTED_VALUE"""),"12 K.Theerawat B.")</f>
        <v>12 K.Theerawat B.</v>
      </c>
      <c r="M1491" s="1" t="str">
        <f>IFERROR(__xludf.DUMMYFUNCTION("""COMPUTED_VALUE"""),"0655107379")</f>
        <v>0655107379</v>
      </c>
      <c r="N1491" s="3">
        <f>IFERROR(__xludf.DUMMYFUNCTION("""COMPUTED_VALUE"""),21062.0)</f>
        <v>21062</v>
      </c>
      <c r="O1491" s="3" t="str">
        <f>IFERROR(__xludf.DUMMYFUNCTION("""COMPUTED_VALUE"""),"MBC นิคมนวนคร")</f>
        <v>MBC นิคมนวนคร</v>
      </c>
      <c r="P1491" s="4">
        <f>IFERROR(__xludf.DUMMYFUNCTION("""COMPUTED_VALUE"""),44616.0)</f>
        <v>44616</v>
      </c>
      <c r="Q1491" s="3" t="str">
        <f>IFERROR(__xludf.DUMMYFUNCTION("""COMPUTED_VALUE"""),"A")</f>
        <v>A</v>
      </c>
      <c r="R1491" s="3" t="str">
        <f>IFERROR(__xludf.DUMMYFUNCTION("""COMPUTED_VALUE"""),"Small Format")</f>
        <v>Small Format</v>
      </c>
      <c r="S1491" s="3" t="str">
        <f>IFERROR(__xludf.DUMMYFUNCTION("""COMPUTED_VALUE"""),"BCM")</f>
        <v>BCM</v>
      </c>
      <c r="T1491" s="3" t="str">
        <f>IFERROR(__xludf.DUMMYFUNCTION("""COMPUTED_VALUE"""),"#N/A")</f>
        <v>#N/A</v>
      </c>
      <c r="U1491" s="3" t="str">
        <f>IFERROR(__xludf.DUMMYFUNCTION("""COMPUTED_VALUE"""),"#N/A")</f>
        <v>#N/A</v>
      </c>
      <c r="V1491" s="3" t="str">
        <f>IFERROR(__xludf.DUMMYFUNCTION("""COMPUTED_VALUE"""),"N")</f>
        <v>N</v>
      </c>
      <c r="W1491" s="3">
        <f>IFERROR(__xludf.DUMMYFUNCTION("""COMPUTED_VALUE"""),210177.0)</f>
        <v>210177</v>
      </c>
      <c r="X1491" s="3" t="str">
        <f>IFERROR(__xludf.DUMMYFUNCTION("""COMPUTED_VALUE"""),"183 183/1-3 หมู่2 ตำบลรังสิต อำเภอธัญบุรี จังหวัดปทุมธานี 12110")</f>
        <v>183 183/1-3 หมู่2 ตำบลรังสิต อำเภอธัญบุรี จังหวัดปทุมธานี 12110</v>
      </c>
      <c r="Y1491" s="3"/>
      <c r="Z1491" s="3" t="str">
        <f>IFERROR(__xludf.DUMMYFUNCTION("""COMPUTED_VALUE"""),"รังสิต")</f>
        <v>รังสิต</v>
      </c>
      <c r="AA1491" s="3" t="str">
        <f>IFERROR(__xludf.DUMMYFUNCTION("""COMPUTED_VALUE"""),"ธัญบุรี")</f>
        <v>ธัญบุรี</v>
      </c>
      <c r="AB1491" s="3" t="str">
        <f>IFERROR(__xludf.DUMMYFUNCTION("""COMPUTED_VALUE"""),"ปทุมธานี")</f>
        <v>ปทุมธานี</v>
      </c>
      <c r="AC1491" s="3">
        <f>IFERROR(__xludf.DUMMYFUNCTION("""COMPUTED_VALUE"""),12110.0)</f>
        <v>12110</v>
      </c>
      <c r="AD1491" s="3">
        <f>IFERROR(__xludf.DUMMYFUNCTION("""COMPUTED_VALUE"""),14.028768)</f>
        <v>14.028768</v>
      </c>
      <c r="AE1491" s="3">
        <f>IFERROR(__xludf.DUMMYFUNCTION("""COMPUTED_VALUE"""),100.730027)</f>
        <v>100.730027</v>
      </c>
      <c r="AF1491" s="3" t="str">
        <f>IFERROR(__xludf.DUMMYFUNCTION("""COMPUTED_VALUE"""),"MBC เคหะธัญบุรี ปทุมธานี-22176")</f>
        <v>MBC เคหะธัญบุรี ปทุมธานี-22176</v>
      </c>
      <c r="AG1491" s="3" t="str">
        <f>IFERROR(__xludf.DUMMYFUNCTION("""COMPUTED_VALUE"""),"กลาง")</f>
        <v>กลาง</v>
      </c>
      <c r="AH1491" s="3" t="str">
        <f>IFERROR(__xludf.DUMMYFUNCTION("""COMPUTED_VALUE"""),"#N/A")</f>
        <v>#N/A</v>
      </c>
      <c r="AI1491" s="3" t="str">
        <f>IFERROR(__xludf.DUMMYFUNCTION("""COMPUTED_VALUE"""),"Out of warranty")</f>
        <v>Out of warranty</v>
      </c>
      <c r="AJ1491" s="3">
        <f>IFERROR(__xludf.DUMMYFUNCTION("""COMPUTED_VALUE"""),47.0)</f>
        <v>47</v>
      </c>
      <c r="AK1491" s="3" t="str">
        <f>IFERROR(__xludf.DUMMYFUNCTION("""COMPUTED_VALUE"""),"MMS04")</f>
        <v>MMS04</v>
      </c>
      <c r="AL1491" s="3"/>
    </row>
    <row r="1492" ht="15.75" customHeight="1">
      <c r="A1492" s="1" t="str">
        <f>IFERROR(__xludf.DUMMYFUNCTION("""COMPUTED_VALUE"""),"22177")</f>
        <v>22177</v>
      </c>
      <c r="B1492" s="2">
        <f>IFERROR(__xludf.DUMMYFUNCTION("""COMPUTED_VALUE"""),22177.0)</f>
        <v>22177</v>
      </c>
      <c r="C1492" s="3" t="str">
        <f>IFERROR(__xludf.DUMMYFUNCTION("""COMPUTED_VALUE"""),"MBC หาดไม้ขาว ภูเก็ต")</f>
        <v>MBC หาดไม้ขาว ภูเก็ต</v>
      </c>
      <c r="D1492" s="3" t="str">
        <f>IFERROR(__xludf.DUMMYFUNCTION("""COMPUTED_VALUE"""),"BCM HAD MAI KHAO PHUKET")</f>
        <v>BCM HAD MAI KHAO PHUKET</v>
      </c>
      <c r="E1492" s="1" t="str">
        <f>IFERROR(__xludf.DUMMYFUNCTION("""COMPUTED_VALUE"""),"บิ๊กซี MINI")</f>
        <v>บิ๊กซี MINI</v>
      </c>
      <c r="F1492" s="1" t="str">
        <f>IFERROR(__xludf.DUMMYFUNCTION("""COMPUTED_VALUE"""),"250760")</f>
        <v>250760</v>
      </c>
      <c r="G1492" s="1" t="str">
        <f>IFERROR(__xludf.DUMMYFUNCTION("""COMPUTED_VALUE"""),"นายประทวน สาราบรรณ์")</f>
        <v>นายประทวน สาราบรรณ์</v>
      </c>
      <c r="H1492" s="1" t="str">
        <f>IFERROR(__xludf.DUMMYFUNCTION("""COMPUTED_VALUE"""),"357284")</f>
        <v>357284</v>
      </c>
      <c r="I1492" s="1" t="str">
        <f>IFERROR(__xludf.DUMMYFUNCTION("""COMPUTED_VALUE"""),"น.ส.เบญจวรรณ ปัณฑโมรา")</f>
        <v>น.ส.เบญจวรรณ ปัณฑโมรา</v>
      </c>
      <c r="J1492" s="3">
        <f>IFERROR(__xludf.DUMMYFUNCTION("""COMPUTED_VALUE"""),25324.0)</f>
        <v>25324</v>
      </c>
      <c r="K1492" s="3" t="str">
        <f>IFERROR(__xludf.DUMMYFUNCTION("""COMPUTED_VALUE"""),"นายวิเชฎฐ์ ติรัตนะประคม")</f>
        <v>นายวิเชฎฐ์ ติรัตนะประคม</v>
      </c>
      <c r="L1492" s="1" t="str">
        <f>IFERROR(__xludf.DUMMYFUNCTION("""COMPUTED_VALUE"""),"14 K.Wichet T.")</f>
        <v>14 K.Wichet T.</v>
      </c>
      <c r="M1492" s="1" t="str">
        <f>IFERROR(__xludf.DUMMYFUNCTION("""COMPUTED_VALUE"""),"061-417-6569 / 086-445-5636")</f>
        <v>061-417-6569 / 086-445-5636</v>
      </c>
      <c r="N1492" s="3">
        <f>IFERROR(__xludf.DUMMYFUNCTION("""COMPUTED_VALUE"""),22658.0)</f>
        <v>22658</v>
      </c>
      <c r="O1492" s="3" t="str">
        <f>IFERROR(__xludf.DUMMYFUNCTION("""COMPUTED_VALUE"""),"BCM ถ.วิรัชหงษ์หยก ภูเก็ต")</f>
        <v>BCM ถ.วิรัชหงษ์หยก ภูเก็ต</v>
      </c>
      <c r="P1492" s="4">
        <f>IFERROR(__xludf.DUMMYFUNCTION("""COMPUTED_VALUE"""),44042.0)</f>
        <v>44042</v>
      </c>
      <c r="Q1492" s="3" t="str">
        <f>IFERROR(__xludf.DUMMYFUNCTION("""COMPUTED_VALUE"""),"A")</f>
        <v>A</v>
      </c>
      <c r="R1492" s="3" t="str">
        <f>IFERROR(__xludf.DUMMYFUNCTION("""COMPUTED_VALUE"""),"Small Format")</f>
        <v>Small Format</v>
      </c>
      <c r="S1492" s="3" t="str">
        <f>IFERROR(__xludf.DUMMYFUNCTION("""COMPUTED_VALUE"""),"BCM")</f>
        <v>BCM</v>
      </c>
      <c r="T1492" s="3" t="str">
        <f>IFERROR(__xludf.DUMMYFUNCTION("""COMPUTED_VALUE"""),"#N/A")</f>
        <v>#N/A</v>
      </c>
      <c r="U1492" s="3" t="str">
        <f>IFERROR(__xludf.DUMMYFUNCTION("""COMPUTED_VALUE"""),"#N/A")</f>
        <v>#N/A</v>
      </c>
      <c r="V1492" s="3" t="str">
        <f>IFERROR(__xludf.DUMMYFUNCTION("""COMPUTED_VALUE"""),"N")</f>
        <v>N</v>
      </c>
      <c r="W1492" s="3">
        <f>IFERROR(__xludf.DUMMYFUNCTION("""COMPUTED_VALUE"""),210188.0)</f>
        <v>210188</v>
      </c>
      <c r="X1492" s="3" t="str">
        <f>IFERROR(__xludf.DUMMYFUNCTION("""COMPUTED_VALUE"""),"173/20 หมู่4 ตำบลไม้ขาว อำเภอถลาง จังหวัดภูเก็ต 83110")</f>
        <v>173/20 หมู่4 ตำบลไม้ขาว อำเภอถลาง จังหวัดภูเก็ต 83110</v>
      </c>
      <c r="Y1492" s="3"/>
      <c r="Z1492" s="3" t="str">
        <f>IFERROR(__xludf.DUMMYFUNCTION("""COMPUTED_VALUE"""),"ไม้ขาว")</f>
        <v>ไม้ขาว</v>
      </c>
      <c r="AA1492" s="3" t="str">
        <f>IFERROR(__xludf.DUMMYFUNCTION("""COMPUTED_VALUE"""),"ถลาง")</f>
        <v>ถลาง</v>
      </c>
      <c r="AB1492" s="3" t="str">
        <f>IFERROR(__xludf.DUMMYFUNCTION("""COMPUTED_VALUE"""),"ภูเก็ต")</f>
        <v>ภูเก็ต</v>
      </c>
      <c r="AC1492" s="3">
        <f>IFERROR(__xludf.DUMMYFUNCTION("""COMPUTED_VALUE"""),83110.0)</f>
        <v>83110</v>
      </c>
      <c r="AD1492" s="3">
        <f>IFERROR(__xludf.DUMMYFUNCTION("""COMPUTED_VALUE"""),8.134914)</f>
        <v>8.134914</v>
      </c>
      <c r="AE1492" s="3">
        <f>IFERROR(__xludf.DUMMYFUNCTION("""COMPUTED_VALUE"""),98.307142)</f>
        <v>98.307142</v>
      </c>
      <c r="AF1492" s="3" t="str">
        <f>IFERROR(__xludf.DUMMYFUNCTION("""COMPUTED_VALUE"""),"MBC หาดไม้ขาว ภูเก็ต-22177")</f>
        <v>MBC หาดไม้ขาว ภูเก็ต-22177</v>
      </c>
      <c r="AG1492" s="3" t="str">
        <f>IFERROR(__xludf.DUMMYFUNCTION("""COMPUTED_VALUE"""),"ใต้")</f>
        <v>ใต้</v>
      </c>
      <c r="AH1492" s="3" t="str">
        <f>IFERROR(__xludf.DUMMYFUNCTION("""COMPUTED_VALUE"""),"#N/A")</f>
        <v>#N/A</v>
      </c>
      <c r="AI1492" s="3" t="str">
        <f>IFERROR(__xludf.DUMMYFUNCTION("""COMPUTED_VALUE"""),"Out of warranty")</f>
        <v>Out of warranty</v>
      </c>
      <c r="AJ1492" s="3">
        <f>IFERROR(__xludf.DUMMYFUNCTION("""COMPUTED_VALUE"""),66.0)</f>
        <v>66</v>
      </c>
      <c r="AK1492" s="3" t="str">
        <f>IFERROR(__xludf.DUMMYFUNCTION("""COMPUTED_VALUE"""),"MMS15")</f>
        <v>MMS15</v>
      </c>
      <c r="AL1492" s="3"/>
    </row>
    <row r="1493" ht="15.75" customHeight="1">
      <c r="A1493" s="1" t="str">
        <f>IFERROR(__xludf.DUMMYFUNCTION("""COMPUTED_VALUE"""),"22178")</f>
        <v>22178</v>
      </c>
      <c r="B1493" s="2">
        <f>IFERROR(__xludf.DUMMYFUNCTION("""COMPUTED_VALUE"""),22178.0)</f>
        <v>22178</v>
      </c>
      <c r="C1493" s="3" t="str">
        <f>IFERROR(__xludf.DUMMYFUNCTION("""COMPUTED_VALUE"""),"MBC รามอินทรา 99 กรุงเทพมหานคร")</f>
        <v>MBC รามอินทรา 99 กรุงเทพมหานคร</v>
      </c>
      <c r="D1493" s="3" t="str">
        <f>IFERROR(__xludf.DUMMYFUNCTION("""COMPUTED_VALUE"""),"BCM RAMINTRA 99")</f>
        <v>BCM RAMINTRA 99</v>
      </c>
      <c r="E1493" s="1" t="str">
        <f>IFERROR(__xludf.DUMMYFUNCTION("""COMPUTED_VALUE"""),"บิ๊กซี MINI")</f>
        <v>บิ๊กซี MINI</v>
      </c>
      <c r="F1493" s="1" t="str">
        <f>IFERROR(__xludf.DUMMYFUNCTION("""COMPUTED_VALUE"""),"291008")</f>
        <v>291008</v>
      </c>
      <c r="G1493" s="1" t="str">
        <f>IFERROR(__xludf.DUMMYFUNCTION("""COMPUTED_VALUE"""),"น.ส.รัชดาพร อีศรัตน์")</f>
        <v>น.ส.รัชดาพร อีศรัตน์</v>
      </c>
      <c r="H1493" s="1" t="str">
        <f>IFERROR(__xludf.DUMMYFUNCTION("""COMPUTED_VALUE"""),"288639")</f>
        <v>288639</v>
      </c>
      <c r="I1493" s="1" t="str">
        <f>IFERROR(__xludf.DUMMYFUNCTION("""COMPUTED_VALUE"""),"น.ส.สมหญิง สีชมภู")</f>
        <v>น.ส.สมหญิง สีชมภู</v>
      </c>
      <c r="J1493" s="3">
        <f>IFERROR(__xludf.DUMMYFUNCTION("""COMPUTED_VALUE"""),3510104.0)</f>
        <v>3510104</v>
      </c>
      <c r="K1493" s="3" t="str">
        <f>IFERROR(__xludf.DUMMYFUNCTION("""COMPUTED_VALUE"""),"นายวิโรจน์ อับดุลสมัด")</f>
        <v>นายวิโรจน์ อับดุลสมัด</v>
      </c>
      <c r="L1493" s="1" t="str">
        <f>IFERROR(__xludf.DUMMYFUNCTION("""COMPUTED_VALUE"""),"09 K.Wirode A")</f>
        <v>09 K.Wirode A</v>
      </c>
      <c r="M1493" s="1" t="str">
        <f>IFERROR(__xludf.DUMMYFUNCTION("""COMPUTED_VALUE"""),"080-235-4465")</f>
        <v>080-235-4465</v>
      </c>
      <c r="N1493" s="3">
        <f>IFERROR(__xludf.DUMMYFUNCTION("""COMPUTED_VALUE"""),21324.0)</f>
        <v>21324</v>
      </c>
      <c r="O1493" s="3" t="str">
        <f>IFERROR(__xludf.DUMMYFUNCTION("""COMPUTED_VALUE"""),"MBC BCP สุวินทวงศ์")</f>
        <v>MBC BCP สุวินทวงศ์</v>
      </c>
      <c r="P1493" s="4">
        <f>IFERROR(__xludf.DUMMYFUNCTION("""COMPUTED_VALUE"""),44042.0)</f>
        <v>44042</v>
      </c>
      <c r="Q1493" s="3" t="str">
        <f>IFERROR(__xludf.DUMMYFUNCTION("""COMPUTED_VALUE"""),"A")</f>
        <v>A</v>
      </c>
      <c r="R1493" s="3" t="str">
        <f>IFERROR(__xludf.DUMMYFUNCTION("""COMPUTED_VALUE"""),"Small Format")</f>
        <v>Small Format</v>
      </c>
      <c r="S1493" s="3" t="str">
        <f>IFERROR(__xludf.DUMMYFUNCTION("""COMPUTED_VALUE"""),"BCM")</f>
        <v>BCM</v>
      </c>
      <c r="T1493" s="3" t="str">
        <f>IFERROR(__xludf.DUMMYFUNCTION("""COMPUTED_VALUE"""),"#N/A")</f>
        <v>#N/A</v>
      </c>
      <c r="U1493" s="3" t="str">
        <f>IFERROR(__xludf.DUMMYFUNCTION("""COMPUTED_VALUE"""),"#N/A")</f>
        <v>#N/A</v>
      </c>
      <c r="V1493" s="3" t="str">
        <f>IFERROR(__xludf.DUMMYFUNCTION("""COMPUTED_VALUE"""),"N")</f>
        <v>N</v>
      </c>
      <c r="W1493" s="3">
        <f>IFERROR(__xludf.DUMMYFUNCTION("""COMPUTED_VALUE"""),210203.0)</f>
        <v>210203</v>
      </c>
      <c r="X1493" s="3" t="str">
        <f>IFERROR(__xludf.DUMMYFUNCTION("""COMPUTED_VALUE"""),"15/1 ซอยรามอินทรา 99 แขวงคันนายาว เขตคันนายาว จังหวัดกรุงเทพมหานคร 10230")</f>
        <v>15/1 ซอยรามอินทรา 99 แขวงคันนายาว เขตคันนายาว จังหวัดกรุงเทพมหานคร 10230</v>
      </c>
      <c r="Y1493" s="3" t="str">
        <f>IFERROR(__xludf.DUMMYFUNCTION("""COMPUTED_VALUE"""),"ซอยรามอินทรา")</f>
        <v>ซอยรามอินทรา</v>
      </c>
      <c r="Z1493" s="3" t="str">
        <f>IFERROR(__xludf.DUMMYFUNCTION("""COMPUTED_VALUE"""),"คันนายาว")</f>
        <v>คันนายาว</v>
      </c>
      <c r="AA1493" s="3" t="str">
        <f>IFERROR(__xludf.DUMMYFUNCTION("""COMPUTED_VALUE"""),"คันนายาว")</f>
        <v>คันนายาว</v>
      </c>
      <c r="AB1493" s="3" t="str">
        <f>IFERROR(__xludf.DUMMYFUNCTION("""COMPUTED_VALUE"""),"กรุงเทพมหานคร")</f>
        <v>กรุงเทพมหานคร</v>
      </c>
      <c r="AC1493" s="3">
        <f>IFERROR(__xludf.DUMMYFUNCTION("""COMPUTED_VALUE"""),10230.0)</f>
        <v>10230</v>
      </c>
      <c r="AD1493" s="3">
        <f>IFERROR(__xludf.DUMMYFUNCTION("""COMPUTED_VALUE"""),13.825259)</f>
        <v>13.825259</v>
      </c>
      <c r="AE1493" s="3">
        <f>IFERROR(__xludf.DUMMYFUNCTION("""COMPUTED_VALUE"""),100.68065)</f>
        <v>100.68065</v>
      </c>
      <c r="AF1493" s="3" t="str">
        <f>IFERROR(__xludf.DUMMYFUNCTION("""COMPUTED_VALUE"""),"MBC รามอินทรา 99 กรุงเทพมหานคร-22178")</f>
        <v>MBC รามอินทรา 99 กรุงเทพมหานคร-22178</v>
      </c>
      <c r="AG1493" s="3" t="str">
        <f>IFERROR(__xludf.DUMMYFUNCTION("""COMPUTED_VALUE"""),"กลาง")</f>
        <v>กลาง</v>
      </c>
      <c r="AH1493" s="3" t="str">
        <f>IFERROR(__xludf.DUMMYFUNCTION("""COMPUTED_VALUE"""),"#N/A")</f>
        <v>#N/A</v>
      </c>
      <c r="AI1493" s="3" t="str">
        <f>IFERROR(__xludf.DUMMYFUNCTION("""COMPUTED_VALUE"""),"Out of warranty")</f>
        <v>Out of warranty</v>
      </c>
      <c r="AJ1493" s="3">
        <f>IFERROR(__xludf.DUMMYFUNCTION("""COMPUTED_VALUE"""),66.0)</f>
        <v>66</v>
      </c>
      <c r="AK1493" s="3" t="str">
        <f>IFERROR(__xludf.DUMMYFUNCTION("""COMPUTED_VALUE"""),"MMS01")</f>
        <v>MMS01</v>
      </c>
      <c r="AL1493" s="3"/>
    </row>
    <row r="1494" ht="15.75" customHeight="1">
      <c r="A1494" s="1" t="str">
        <f>IFERROR(__xludf.DUMMYFUNCTION("""COMPUTED_VALUE"""),"22179")</f>
        <v>22179</v>
      </c>
      <c r="B1494" s="2">
        <f>IFERROR(__xludf.DUMMYFUNCTION("""COMPUTED_VALUE"""),22179.0)</f>
        <v>22179</v>
      </c>
      <c r="C1494" s="3" t="str">
        <f>IFERROR(__xludf.DUMMYFUNCTION("""COMPUTED_VALUE"""),"MBC มหาวิทยาลัยราภัฏศรีสะเกษ ศรีสะเกษ")</f>
        <v>MBC มหาวิทยาลัยราภัฏศรีสะเกษ ศรีสะเกษ</v>
      </c>
      <c r="D1494" s="3" t="str">
        <f>IFERROR(__xludf.DUMMYFUNCTION("""COMPUTED_VALUE"""),"BCM RAJABHAT SISAKET")</f>
        <v>BCM RAJABHAT SISAKET</v>
      </c>
      <c r="E1494" s="1" t="str">
        <f>IFERROR(__xludf.DUMMYFUNCTION("""COMPUTED_VALUE"""),"บิ๊กซี MINI")</f>
        <v>บิ๊กซี MINI</v>
      </c>
      <c r="F1494" s="1" t="str">
        <f>IFERROR(__xludf.DUMMYFUNCTION("""COMPUTED_VALUE"""),"291105")</f>
        <v>291105</v>
      </c>
      <c r="G1494" s="1" t="str">
        <f>IFERROR(__xludf.DUMMYFUNCTION("""COMPUTED_VALUE"""),"นายสราวุฒิ พณิชยกุล")</f>
        <v>นายสราวุฒิ พณิชยกุล</v>
      </c>
      <c r="H1494" s="1" t="str">
        <f>IFERROR(__xludf.DUMMYFUNCTION("""COMPUTED_VALUE"""),"398146")</f>
        <v>398146</v>
      </c>
      <c r="I1494" s="1" t="str">
        <f>IFERROR(__xludf.DUMMYFUNCTION("""COMPUTED_VALUE"""),"น.ส.กนกสิริ สุขหอม")</f>
        <v>น.ส.กนกสิริ สุขหอม</v>
      </c>
      <c r="J1494" s="3">
        <f>IFERROR(__xludf.DUMMYFUNCTION("""COMPUTED_VALUE"""),2454781.0)</f>
        <v>2454781</v>
      </c>
      <c r="K1494" s="3" t="str">
        <f>IFERROR(__xludf.DUMMYFUNCTION("""COMPUTED_VALUE"""),"นายฌานกฤช นันทะโคต")</f>
        <v>นายฌานกฤช นันทะโคต</v>
      </c>
      <c r="L1494" s="1" t="str">
        <f>IFERROR(__xludf.DUMMYFUNCTION("""COMPUTED_VALUE"""),"05 K.Chanakrit N.")</f>
        <v>05 K.Chanakrit N.</v>
      </c>
      <c r="M1494" s="1" t="str">
        <f>IFERROR(__xludf.DUMMYFUNCTION("""COMPUTED_VALUE"""),"090-978-9785 ,065-929-1320")</f>
        <v>090-978-9785 ,065-929-1320</v>
      </c>
      <c r="N1494" s="3">
        <f>IFERROR(__xludf.DUMMYFUNCTION("""COMPUTED_VALUE"""),22195.0)</f>
        <v>22195</v>
      </c>
      <c r="O1494" s="3" t="str">
        <f>IFERROR(__xludf.DUMMYFUNCTION("""COMPUTED_VALUE"""),"MBC กันทรลักษ์ ศรีสะเกษ")</f>
        <v>MBC กันทรลักษ์ ศรีสะเกษ</v>
      </c>
      <c r="P1494" s="4">
        <f>IFERROR(__xludf.DUMMYFUNCTION("""COMPUTED_VALUE"""),44043.0)</f>
        <v>44043</v>
      </c>
      <c r="Q1494" s="3" t="str">
        <f>IFERROR(__xludf.DUMMYFUNCTION("""COMPUTED_VALUE"""),"A")</f>
        <v>A</v>
      </c>
      <c r="R1494" s="3" t="str">
        <f>IFERROR(__xludf.DUMMYFUNCTION("""COMPUTED_VALUE"""),"Small Format")</f>
        <v>Small Format</v>
      </c>
      <c r="S1494" s="3" t="str">
        <f>IFERROR(__xludf.DUMMYFUNCTION("""COMPUTED_VALUE"""),"BCM")</f>
        <v>BCM</v>
      </c>
      <c r="T1494" s="3" t="str">
        <f>IFERROR(__xludf.DUMMYFUNCTION("""COMPUTED_VALUE"""),"#N/A")</f>
        <v>#N/A</v>
      </c>
      <c r="U1494" s="3" t="str">
        <f>IFERROR(__xludf.DUMMYFUNCTION("""COMPUTED_VALUE"""),"#N/A")</f>
        <v>#N/A</v>
      </c>
      <c r="V1494" s="3" t="str">
        <f>IFERROR(__xludf.DUMMYFUNCTION("""COMPUTED_VALUE"""),"N")</f>
        <v>N</v>
      </c>
      <c r="W1494" s="3">
        <f>IFERROR(__xludf.DUMMYFUNCTION("""COMPUTED_VALUE"""),210174.0)</f>
        <v>210174</v>
      </c>
      <c r="X1494" s="3" t="str">
        <f>IFERROR(__xludf.DUMMYFUNCTION("""COMPUTED_VALUE"""),"319/80 หมู่8 ตำบลโพธิ์ อำเภอเมืองศรีสะเกษ จังหวัดศรีสะเกษ 33000")</f>
        <v>319/80 หมู่8 ตำบลโพธิ์ อำเภอเมืองศรีสะเกษ จังหวัดศรีสะเกษ 33000</v>
      </c>
      <c r="Y1494" s="3"/>
      <c r="Z1494" s="3" t="str">
        <f>IFERROR(__xludf.DUMMYFUNCTION("""COMPUTED_VALUE"""),"โพธิ์")</f>
        <v>โพธิ์</v>
      </c>
      <c r="AA1494" s="3" t="str">
        <f>IFERROR(__xludf.DUMMYFUNCTION("""COMPUTED_VALUE"""),"เมือง")</f>
        <v>เมือง</v>
      </c>
      <c r="AB1494" s="3" t="str">
        <f>IFERROR(__xludf.DUMMYFUNCTION("""COMPUTED_VALUE"""),"ศรีสะเกษ")</f>
        <v>ศรีสะเกษ</v>
      </c>
      <c r="AC1494" s="3">
        <f>IFERROR(__xludf.DUMMYFUNCTION("""COMPUTED_VALUE"""),33000.0)</f>
        <v>33000</v>
      </c>
      <c r="AD1494" s="3">
        <f>IFERROR(__xludf.DUMMYFUNCTION("""COMPUTED_VALUE"""),15.118615)</f>
        <v>15.118615</v>
      </c>
      <c r="AE1494" s="3">
        <f>IFERROR(__xludf.DUMMYFUNCTION("""COMPUTED_VALUE"""),104.358489)</f>
        <v>104.358489</v>
      </c>
      <c r="AF1494" s="3" t="str">
        <f>IFERROR(__xludf.DUMMYFUNCTION("""COMPUTED_VALUE"""),"MBC มหาวิทยาลัยราภัฏศรีสะเกษ ศรีสะเกษ-22179")</f>
        <v>MBC มหาวิทยาลัยราภัฏศรีสะเกษ ศรีสะเกษ-22179</v>
      </c>
      <c r="AG1494" s="3" t="str">
        <f>IFERROR(__xludf.DUMMYFUNCTION("""COMPUTED_VALUE"""),"ตะวันออกเฉียงเหนือ")</f>
        <v>ตะวันออกเฉียงเหนือ</v>
      </c>
      <c r="AH1494" s="3" t="str">
        <f>IFERROR(__xludf.DUMMYFUNCTION("""COMPUTED_VALUE"""),"#N/A")</f>
        <v>#N/A</v>
      </c>
      <c r="AI1494" s="3" t="str">
        <f>IFERROR(__xludf.DUMMYFUNCTION("""COMPUTED_VALUE"""),"Out of warranty")</f>
        <v>Out of warranty</v>
      </c>
      <c r="AJ1494" s="3">
        <f>IFERROR(__xludf.DUMMYFUNCTION("""COMPUTED_VALUE"""),66.0)</f>
        <v>66</v>
      </c>
      <c r="AK1494" s="3" t="str">
        <f>IFERROR(__xludf.DUMMYFUNCTION("""COMPUTED_VALUE"""),"MMS13")</f>
        <v>MMS13</v>
      </c>
      <c r="AL1494" s="3"/>
    </row>
    <row r="1495" ht="15.75" customHeight="1">
      <c r="A1495" s="1" t="str">
        <f>IFERROR(__xludf.DUMMYFUNCTION("""COMPUTED_VALUE"""),"22180")</f>
        <v>22180</v>
      </c>
      <c r="B1495" s="2">
        <f>IFERROR(__xludf.DUMMYFUNCTION("""COMPUTED_VALUE"""),22180.0)</f>
        <v>22180</v>
      </c>
      <c r="C1495" s="3" t="str">
        <f>IFERROR(__xludf.DUMMYFUNCTION("""COMPUTED_VALUE"""),"MBC โกลเด้นเพลส บางใหญ่ นนทบุรี")</f>
        <v>MBC โกลเด้นเพลส บางใหญ่ นนทบุรี</v>
      </c>
      <c r="D1495" s="3" t="str">
        <f>IFERROR(__xludf.DUMMYFUNCTION("""COMPUTED_VALUE"""),"BCM GOLDEN PLACE BANG YAI")</f>
        <v>BCM GOLDEN PLACE BANG YAI</v>
      </c>
      <c r="E1495" s="1" t="str">
        <f>IFERROR(__xludf.DUMMYFUNCTION("""COMPUTED_VALUE"""),"บิ๊กซี MINI")</f>
        <v>บิ๊กซี MINI</v>
      </c>
      <c r="F1495" s="1" t="str">
        <f>IFERROR(__xludf.DUMMYFUNCTION("""COMPUTED_VALUE"""),"291008")</f>
        <v>291008</v>
      </c>
      <c r="G1495" s="1" t="str">
        <f>IFERROR(__xludf.DUMMYFUNCTION("""COMPUTED_VALUE"""),"น.ส.รัชดาพร อีศรัตน์")</f>
        <v>น.ส.รัชดาพร อีศรัตน์</v>
      </c>
      <c r="H1495" s="1" t="str">
        <f>IFERROR(__xludf.DUMMYFUNCTION("""COMPUTED_VALUE"""),"180055")</f>
        <v>180055</v>
      </c>
      <c r="I1495" s="1" t="str">
        <f>IFERROR(__xludf.DUMMYFUNCTION("""COMPUTED_VALUE"""),"น.ส.สุดารัตน์ บุญล้ำ")</f>
        <v>น.ส.สุดารัตน์ บุญล้ำ</v>
      </c>
      <c r="J1495" s="3">
        <f>IFERROR(__xludf.DUMMYFUNCTION("""COMPUTED_VALUE"""),296608.0)</f>
        <v>296608</v>
      </c>
      <c r="K1495" s="3" t="str">
        <f>IFERROR(__xludf.DUMMYFUNCTION("""COMPUTED_VALUE"""),"นายภาคภูมิ เพ็ชรนิล")</f>
        <v>นายภาคภูมิ เพ็ชรนิล</v>
      </c>
      <c r="L1495" s="3" t="str">
        <f>IFERROR(__xludf.DUMMYFUNCTION("""COMPUTED_VALUE"""),"10 K.Phakphoom P.")</f>
        <v>10 K.Phakphoom P.</v>
      </c>
      <c r="M1495" s="1" t="str">
        <f>IFERROR(__xludf.DUMMYFUNCTION("""COMPUTED_VALUE"""),"063-8955329")</f>
        <v>063-8955329</v>
      </c>
      <c r="N1495" s="3">
        <f>IFERROR(__xludf.DUMMYFUNCTION("""COMPUTED_VALUE"""),22584.0)</f>
        <v>22584</v>
      </c>
      <c r="O1495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495" s="4">
        <f>IFERROR(__xludf.DUMMYFUNCTION("""COMPUTED_VALUE"""),44043.0)</f>
        <v>44043</v>
      </c>
      <c r="Q1495" s="3" t="str">
        <f>IFERROR(__xludf.DUMMYFUNCTION("""COMPUTED_VALUE"""),"A")</f>
        <v>A</v>
      </c>
      <c r="R1495" s="3" t="str">
        <f>IFERROR(__xludf.DUMMYFUNCTION("""COMPUTED_VALUE"""),"Small Format")</f>
        <v>Small Format</v>
      </c>
      <c r="S1495" s="3" t="str">
        <f>IFERROR(__xludf.DUMMYFUNCTION("""COMPUTED_VALUE"""),"BCM")</f>
        <v>BCM</v>
      </c>
      <c r="T1495" s="3" t="str">
        <f>IFERROR(__xludf.DUMMYFUNCTION("""COMPUTED_VALUE"""),"#N/A")</f>
        <v>#N/A</v>
      </c>
      <c r="U1495" s="3" t="str">
        <f>IFERROR(__xludf.DUMMYFUNCTION("""COMPUTED_VALUE"""),"#N/A")</f>
        <v>#N/A</v>
      </c>
      <c r="V1495" s="3" t="str">
        <f>IFERROR(__xludf.DUMMYFUNCTION("""COMPUTED_VALUE"""),"N")</f>
        <v>N</v>
      </c>
      <c r="W1495" s="3">
        <f>IFERROR(__xludf.DUMMYFUNCTION("""COMPUTED_VALUE"""),210228.0)</f>
        <v>210228</v>
      </c>
      <c r="X1495" s="3" t="str">
        <f>IFERROR(__xludf.DUMMYFUNCTION("""COMPUTED_VALUE"""),"16/1 หมู่11 ตำบลบางแม่นาง อำเภอบางใหญ่ จังหวัดนนทบุรี 11140")</f>
        <v>16/1 หมู่11 ตำบลบางแม่นาง อำเภอบางใหญ่ จังหวัดนนทบุรี 11140</v>
      </c>
      <c r="Y1495" s="3"/>
      <c r="Z1495" s="3" t="str">
        <f>IFERROR(__xludf.DUMMYFUNCTION("""COMPUTED_VALUE"""),"บางแม่นาง")</f>
        <v>บางแม่นาง</v>
      </c>
      <c r="AA1495" s="3" t="str">
        <f>IFERROR(__xludf.DUMMYFUNCTION("""COMPUTED_VALUE"""),"บางใหญ่")</f>
        <v>บางใหญ่</v>
      </c>
      <c r="AB1495" s="3" t="str">
        <f>IFERROR(__xludf.DUMMYFUNCTION("""COMPUTED_VALUE"""),"นนทบุรี")</f>
        <v>นนทบุรี</v>
      </c>
      <c r="AC1495" s="3">
        <f>IFERROR(__xludf.DUMMYFUNCTION("""COMPUTED_VALUE"""),11140.0)</f>
        <v>11140</v>
      </c>
      <c r="AD1495" s="3">
        <f>IFERROR(__xludf.DUMMYFUNCTION("""COMPUTED_VALUE"""),13.9103755)</f>
        <v>13.9103755</v>
      </c>
      <c r="AE1495" s="3">
        <f>IFERROR(__xludf.DUMMYFUNCTION("""COMPUTED_VALUE"""),100.3697644)</f>
        <v>100.3697644</v>
      </c>
      <c r="AF1495" s="3" t="str">
        <f>IFERROR(__xludf.DUMMYFUNCTION("""COMPUTED_VALUE"""),"MBC โกลเด้นเพลส บางใหญ่ นนทบุรี-22180")</f>
        <v>MBC โกลเด้นเพลส บางใหญ่ นนทบุรี-22180</v>
      </c>
      <c r="AG1495" s="3" t="str">
        <f>IFERROR(__xludf.DUMMYFUNCTION("""COMPUTED_VALUE"""),"กลาง")</f>
        <v>กลาง</v>
      </c>
      <c r="AH1495" s="3" t="str">
        <f>IFERROR(__xludf.DUMMYFUNCTION("""COMPUTED_VALUE"""),"#N/A")</f>
        <v>#N/A</v>
      </c>
      <c r="AI1495" s="3" t="str">
        <f>IFERROR(__xludf.DUMMYFUNCTION("""COMPUTED_VALUE"""),"Out of warranty")</f>
        <v>Out of warranty</v>
      </c>
      <c r="AJ1495" s="3">
        <f>IFERROR(__xludf.DUMMYFUNCTION("""COMPUTED_VALUE"""),66.0)</f>
        <v>66</v>
      </c>
      <c r="AK1495" s="3" t="str">
        <f>IFERROR(__xludf.DUMMYFUNCTION("""COMPUTED_VALUE"""),"MMS04")</f>
        <v>MMS04</v>
      </c>
      <c r="AL1495" s="3"/>
    </row>
    <row r="1496" ht="15.75" customHeight="1">
      <c r="A1496" s="1" t="str">
        <f>IFERROR(__xludf.DUMMYFUNCTION("""COMPUTED_VALUE"""),"22181")</f>
        <v>22181</v>
      </c>
      <c r="B1496" s="2">
        <f>IFERROR(__xludf.DUMMYFUNCTION("""COMPUTED_VALUE"""),22181.0)</f>
        <v>22181</v>
      </c>
      <c r="C1496" s="3" t="str">
        <f>IFERROR(__xludf.DUMMYFUNCTION("""COMPUTED_VALUE"""),"MBC ถนนสิโรรส 1 ยะลา")</f>
        <v>MBC ถนนสิโรรส 1 ยะลา</v>
      </c>
      <c r="D1496" s="3" t="str">
        <f>IFERROR(__xludf.DUMMYFUNCTION("""COMPUTED_VALUE"""),"BCM_THANON SIROROT 1")</f>
        <v>BCM_THANON SIROROT 1</v>
      </c>
      <c r="E1496" s="1" t="str">
        <f>IFERROR(__xludf.DUMMYFUNCTION("""COMPUTED_VALUE"""),"บิ๊กซี MINI")</f>
        <v>บิ๊กซี MINI</v>
      </c>
      <c r="F1496" s="1" t="str">
        <f>IFERROR(__xludf.DUMMYFUNCTION("""COMPUTED_VALUE"""),"250760")</f>
        <v>250760</v>
      </c>
      <c r="G1496" s="1" t="str">
        <f>IFERROR(__xludf.DUMMYFUNCTION("""COMPUTED_VALUE"""),"นายประทวน สาราบรรณ์")</f>
        <v>นายประทวน สาราบรรณ์</v>
      </c>
      <c r="H1496" s="1" t="str">
        <f>IFERROR(__xludf.DUMMYFUNCTION("""COMPUTED_VALUE"""),"485279")</f>
        <v>485279</v>
      </c>
      <c r="I1496" s="1" t="str">
        <f>IFERROR(__xludf.DUMMYFUNCTION("""COMPUTED_VALUE"""),"นายสิริพงศ์ ชูชื่น")</f>
        <v>นายสิริพงศ์ ชูชื่น</v>
      </c>
      <c r="J1496" s="3">
        <f>IFERROR(__xludf.DUMMYFUNCTION("""COMPUTED_VALUE"""),2.0470331E7)</f>
        <v>20470331</v>
      </c>
      <c r="K1496" s="3" t="str">
        <f>IFERROR(__xludf.DUMMYFUNCTION("""COMPUTED_VALUE"""),"นายสมชาย ลักษณะสุวรรณ")</f>
        <v>นายสมชาย ลักษณะสุวรรณ</v>
      </c>
      <c r="L1496" s="1" t="str">
        <f>IFERROR(__xludf.DUMMYFUNCTION("""COMPUTED_VALUE"""),"15 K.Somchai L")</f>
        <v>15 K.Somchai L</v>
      </c>
      <c r="M1496" s="1" t="str">
        <f>IFERROR(__xludf.DUMMYFUNCTION("""COMPUTED_VALUE"""),"0655107372")</f>
        <v>0655107372</v>
      </c>
      <c r="N1496" s="3">
        <f>IFERROR(__xludf.DUMMYFUNCTION("""COMPUTED_VALUE"""),21723.0)</f>
        <v>21723</v>
      </c>
      <c r="O1496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496" s="4">
        <f>IFERROR(__xludf.DUMMYFUNCTION("""COMPUTED_VALUE"""),44074.0)</f>
        <v>44074</v>
      </c>
      <c r="Q1496" s="3" t="str">
        <f>IFERROR(__xludf.DUMMYFUNCTION("""COMPUTED_VALUE"""),"A")</f>
        <v>A</v>
      </c>
      <c r="R1496" s="3" t="str">
        <f>IFERROR(__xludf.DUMMYFUNCTION("""COMPUTED_VALUE"""),"Small Format")</f>
        <v>Small Format</v>
      </c>
      <c r="S1496" s="3" t="str">
        <f>IFERROR(__xludf.DUMMYFUNCTION("""COMPUTED_VALUE"""),"BCM")</f>
        <v>BCM</v>
      </c>
      <c r="T1496" s="3" t="str">
        <f>IFERROR(__xludf.DUMMYFUNCTION("""COMPUTED_VALUE"""),"#N/A")</f>
        <v>#N/A</v>
      </c>
      <c r="U1496" s="3" t="str">
        <f>IFERROR(__xludf.DUMMYFUNCTION("""COMPUTED_VALUE"""),"#N/A")</f>
        <v>#N/A</v>
      </c>
      <c r="V1496" s="3" t="str">
        <f>IFERROR(__xludf.DUMMYFUNCTION("""COMPUTED_VALUE"""),"N")</f>
        <v>N</v>
      </c>
      <c r="W1496" s="3">
        <f>IFERROR(__xludf.DUMMYFUNCTION("""COMPUTED_VALUE"""),210178.0)</f>
        <v>210178</v>
      </c>
      <c r="X1496" s="3" t="str">
        <f>IFERROR(__xludf.DUMMYFUNCTION("""COMPUTED_VALUE"""),"759 761 763 ถนนสิโรรส ตำบลสะเตง อำเภอเมืองยะลา จังหวัดยะลา 95000")</f>
        <v>759 761 763 ถนนสิโรรส ตำบลสะเตง อำเภอเมืองยะลา จังหวัดยะลา 95000</v>
      </c>
      <c r="Y1496" s="3"/>
      <c r="Z1496" s="3" t="str">
        <f>IFERROR(__xludf.DUMMYFUNCTION("""COMPUTED_VALUE"""),"สะเตง")</f>
        <v>สะเตง</v>
      </c>
      <c r="AA1496" s="3" t="str">
        <f>IFERROR(__xludf.DUMMYFUNCTION("""COMPUTED_VALUE"""),"เมือง")</f>
        <v>เมือง</v>
      </c>
      <c r="AB1496" s="3" t="str">
        <f>IFERROR(__xludf.DUMMYFUNCTION("""COMPUTED_VALUE"""),"ยะลา")</f>
        <v>ยะลา</v>
      </c>
      <c r="AC1496" s="3">
        <f>IFERROR(__xludf.DUMMYFUNCTION("""COMPUTED_VALUE"""),95000.0)</f>
        <v>95000</v>
      </c>
      <c r="AD1496" s="3">
        <f>IFERROR(__xludf.DUMMYFUNCTION("""COMPUTED_VALUE"""),6.564439)</f>
        <v>6.564439</v>
      </c>
      <c r="AE1496" s="3">
        <f>IFERROR(__xludf.DUMMYFUNCTION("""COMPUTED_VALUE"""),101.293497)</f>
        <v>101.293497</v>
      </c>
      <c r="AF1496" s="3" t="str">
        <f>IFERROR(__xludf.DUMMYFUNCTION("""COMPUTED_VALUE"""),"MBC ถนนสิโรรส 1 ยะลา-22181")</f>
        <v>MBC ถนนสิโรรส 1 ยะลา-22181</v>
      </c>
      <c r="AG1496" s="3" t="str">
        <f>IFERROR(__xludf.DUMMYFUNCTION("""COMPUTED_VALUE"""),"ใต้")</f>
        <v>ใต้</v>
      </c>
      <c r="AH1496" s="3" t="str">
        <f>IFERROR(__xludf.DUMMYFUNCTION("""COMPUTED_VALUE"""),"#N/A")</f>
        <v>#N/A</v>
      </c>
      <c r="AI1496" s="3" t="str">
        <f>IFERROR(__xludf.DUMMYFUNCTION("""COMPUTED_VALUE"""),"Out of warranty")</f>
        <v>Out of warranty</v>
      </c>
      <c r="AJ1496" s="3">
        <f>IFERROR(__xludf.DUMMYFUNCTION("""COMPUTED_VALUE"""),65.0)</f>
        <v>65</v>
      </c>
      <c r="AK1496" s="3" t="str">
        <f>IFERROR(__xludf.DUMMYFUNCTION("""COMPUTED_VALUE"""),"MMS16")</f>
        <v>MMS16</v>
      </c>
      <c r="AL1496" s="3"/>
    </row>
    <row r="1497" ht="15.75" customHeight="1">
      <c r="A1497" s="1" t="str">
        <f>IFERROR(__xludf.DUMMYFUNCTION("""COMPUTED_VALUE"""),"22182")</f>
        <v>22182</v>
      </c>
      <c r="B1497" s="2">
        <f>IFERROR(__xludf.DUMMYFUNCTION("""COMPUTED_VALUE"""),22182.0)</f>
        <v>22182</v>
      </c>
      <c r="C1497" s="3" t="str">
        <f>IFERROR(__xludf.DUMMYFUNCTION("""COMPUTED_VALUE"""),"MBC ม.สัมมากร ชัยพฤกษ์-วงแหวน นนทบุรี")</f>
        <v>MBC ม.สัมมากร ชัยพฤกษ์-วงแหวน นนทบุรี</v>
      </c>
      <c r="D1497" s="3" t="str">
        <f>IFERROR(__xludf.DUMMYFUNCTION("""COMPUTED_VALUE"""),"BCM MOOBAN SAMMAKORN")</f>
        <v>BCM MOOBAN SAMMAKORN</v>
      </c>
      <c r="E1497" s="1" t="str">
        <f>IFERROR(__xludf.DUMMYFUNCTION("""COMPUTED_VALUE"""),"บิ๊กซี MINI")</f>
        <v>บิ๊กซี MINI</v>
      </c>
      <c r="F1497" s="1" t="str">
        <f>IFERROR(__xludf.DUMMYFUNCTION("""COMPUTED_VALUE"""),"291008")</f>
        <v>291008</v>
      </c>
      <c r="G1497" s="1" t="str">
        <f>IFERROR(__xludf.DUMMYFUNCTION("""COMPUTED_VALUE"""),"น.ส.รัชดาพร อีศรัตน์")</f>
        <v>น.ส.รัชดาพร อีศรัตน์</v>
      </c>
      <c r="H1497" s="1" t="str">
        <f>IFERROR(__xludf.DUMMYFUNCTION("""COMPUTED_VALUE"""),"034068")</f>
        <v>034068</v>
      </c>
      <c r="I1497" s="1" t="str">
        <f>IFERROR(__xludf.DUMMYFUNCTION("""COMPUTED_VALUE"""),"นายสมศักดิ์ ฐานทองดี")</f>
        <v>นายสมศักดิ์ ฐานทองดี</v>
      </c>
      <c r="J1497" s="3">
        <f>IFERROR(__xludf.DUMMYFUNCTION("""COMPUTED_VALUE"""),296608.0)</f>
        <v>296608</v>
      </c>
      <c r="K1497" s="3" t="str">
        <f>IFERROR(__xludf.DUMMYFUNCTION("""COMPUTED_VALUE"""),"นายภาคภูมิ เพ็ชรนิล")</f>
        <v>นายภาคภูมิ เพ็ชรนิล</v>
      </c>
      <c r="L1497" s="1" t="str">
        <f>IFERROR(__xludf.DUMMYFUNCTION("""COMPUTED_VALUE"""),"10 K.Phakphoom P.")</f>
        <v>10 K.Phakphoom P.</v>
      </c>
      <c r="M1497" s="1" t="str">
        <f>IFERROR(__xludf.DUMMYFUNCTION("""COMPUTED_VALUE"""),"063-8955329")</f>
        <v>063-8955329</v>
      </c>
      <c r="N1497" s="3">
        <f>IFERROR(__xludf.DUMMYFUNCTION("""COMPUTED_VALUE"""),22584.0)</f>
        <v>22584</v>
      </c>
      <c r="O1497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497" s="4">
        <f>IFERROR(__xludf.DUMMYFUNCTION("""COMPUTED_VALUE"""),44047.0)</f>
        <v>44047</v>
      </c>
      <c r="Q1497" s="3" t="str">
        <f>IFERROR(__xludf.DUMMYFUNCTION("""COMPUTED_VALUE"""),"A")</f>
        <v>A</v>
      </c>
      <c r="R1497" s="3" t="str">
        <f>IFERROR(__xludf.DUMMYFUNCTION("""COMPUTED_VALUE"""),"Small Format")</f>
        <v>Small Format</v>
      </c>
      <c r="S1497" s="3" t="str">
        <f>IFERROR(__xludf.DUMMYFUNCTION("""COMPUTED_VALUE"""),"BCM")</f>
        <v>BCM</v>
      </c>
      <c r="T1497" s="3" t="str">
        <f>IFERROR(__xludf.DUMMYFUNCTION("""COMPUTED_VALUE"""),"#N/A")</f>
        <v>#N/A</v>
      </c>
      <c r="U1497" s="3" t="str">
        <f>IFERROR(__xludf.DUMMYFUNCTION("""COMPUTED_VALUE"""),"#N/A")</f>
        <v>#N/A</v>
      </c>
      <c r="V1497" s="3" t="str">
        <f>IFERROR(__xludf.DUMMYFUNCTION("""COMPUTED_VALUE"""),"N")</f>
        <v>N</v>
      </c>
      <c r="W1497" s="3">
        <f>IFERROR(__xludf.DUMMYFUNCTION("""COMPUTED_VALUE"""),210220.0)</f>
        <v>210220</v>
      </c>
      <c r="X1497" s="3" t="str">
        <f>IFERROR(__xludf.DUMMYFUNCTION("""COMPUTED_VALUE"""),"6/10 หมู่6 ตำบลลำโพ อำเภอบางบัวทอง จังหวัดนนทบุรี 11110")</f>
        <v>6/10 หมู่6 ตำบลลำโพ อำเภอบางบัวทอง จังหวัดนนทบุรี 11110</v>
      </c>
      <c r="Y1497" s="3"/>
      <c r="Z1497" s="3" t="str">
        <f>IFERROR(__xludf.DUMMYFUNCTION("""COMPUTED_VALUE"""),"ลำโพ")</f>
        <v>ลำโพ</v>
      </c>
      <c r="AA1497" s="3" t="str">
        <f>IFERROR(__xludf.DUMMYFUNCTION("""COMPUTED_VALUE"""),"บางบัวทอง")</f>
        <v>บางบัวทอง</v>
      </c>
      <c r="AB1497" s="3" t="str">
        <f>IFERROR(__xludf.DUMMYFUNCTION("""COMPUTED_VALUE"""),"นนทบุรี")</f>
        <v>นนทบุรี</v>
      </c>
      <c r="AC1497" s="3">
        <f>IFERROR(__xludf.DUMMYFUNCTION("""COMPUTED_VALUE"""),11110.0)</f>
        <v>11110</v>
      </c>
      <c r="AD1497" s="3">
        <f>IFERROR(__xludf.DUMMYFUNCTION("""COMPUTED_VALUE"""),13.9443125)</f>
        <v>13.9443125</v>
      </c>
      <c r="AE1497" s="3">
        <f>IFERROR(__xludf.DUMMYFUNCTION("""COMPUTED_VALUE"""),100.4423272)</f>
        <v>100.4423272</v>
      </c>
      <c r="AF1497" s="3" t="str">
        <f>IFERROR(__xludf.DUMMYFUNCTION("""COMPUTED_VALUE"""),"MBC ม.สัมมากร ชัยพฤกษ์-วงแหวน นนทบุรี-22182")</f>
        <v>MBC ม.สัมมากร ชัยพฤกษ์-วงแหวน นนทบุรี-22182</v>
      </c>
      <c r="AG1497" s="3" t="str">
        <f>IFERROR(__xludf.DUMMYFUNCTION("""COMPUTED_VALUE"""),"กลาง")</f>
        <v>กลาง</v>
      </c>
      <c r="AH1497" s="3" t="str">
        <f>IFERROR(__xludf.DUMMYFUNCTION("""COMPUTED_VALUE"""),"#N/A")</f>
        <v>#N/A</v>
      </c>
      <c r="AI1497" s="3" t="str">
        <f>IFERROR(__xludf.DUMMYFUNCTION("""COMPUTED_VALUE"""),"Out of warranty")</f>
        <v>Out of warranty</v>
      </c>
      <c r="AJ1497" s="3">
        <f>IFERROR(__xludf.DUMMYFUNCTION("""COMPUTED_VALUE"""),66.0)</f>
        <v>66</v>
      </c>
      <c r="AK1497" s="3" t="str">
        <f>IFERROR(__xludf.DUMMYFUNCTION("""COMPUTED_VALUE"""),"MMS04")</f>
        <v>MMS04</v>
      </c>
      <c r="AL1497" s="3"/>
    </row>
    <row r="1498" ht="15.75" customHeight="1">
      <c r="A1498" s="1" t="str">
        <f>IFERROR(__xludf.DUMMYFUNCTION("""COMPUTED_VALUE"""),"22183")</f>
        <v>22183</v>
      </c>
      <c r="B1498" s="2">
        <f>IFERROR(__xludf.DUMMYFUNCTION("""COMPUTED_VALUE"""),22183.0)</f>
        <v>22183</v>
      </c>
      <c r="C1498" s="3" t="str">
        <f>IFERROR(__xludf.DUMMYFUNCTION("""COMPUTED_VALUE"""),"MBC ม.เทคโนโลยีราชมงคลกรุงเทพ")</f>
        <v>MBC ม.เทคโนโลยีราชมงคลกรุงเทพ</v>
      </c>
      <c r="D1498" s="3" t="str">
        <f>IFERROR(__xludf.DUMMYFUNCTION("""COMPUTED_VALUE"""),"BCM TECHNOLOGY KRUNGTHEP")</f>
        <v>BCM TECHNOLOGY KRUNGTHEP</v>
      </c>
      <c r="E1498" s="1" t="str">
        <f>IFERROR(__xludf.DUMMYFUNCTION("""COMPUTED_VALUE"""),"บิ๊กซี MINI")</f>
        <v>บิ๊กซี MINI</v>
      </c>
      <c r="F1498" s="1" t="str">
        <f>IFERROR(__xludf.DUMMYFUNCTION("""COMPUTED_VALUE"""),"291008")</f>
        <v>291008</v>
      </c>
      <c r="G1498" s="1" t="str">
        <f>IFERROR(__xludf.DUMMYFUNCTION("""COMPUTED_VALUE"""),"น.ส.รัชดาพร อีศรัตน์")</f>
        <v>น.ส.รัชดาพร อีศรัตน์</v>
      </c>
      <c r="H1498" s="1" t="str">
        <f>IFERROR(__xludf.DUMMYFUNCTION("""COMPUTED_VALUE"""),"359002")</f>
        <v>359002</v>
      </c>
      <c r="I1498" s="1" t="str">
        <f>IFERROR(__xludf.DUMMYFUNCTION("""COMPUTED_VALUE"""),"น.ส.นิตยา สมจิตร")</f>
        <v>น.ส.นิตยา สมจิตร</v>
      </c>
      <c r="J1498" s="3">
        <f>IFERROR(__xludf.DUMMYFUNCTION("""COMPUTED_VALUE"""),3510104.0)</f>
        <v>3510104</v>
      </c>
      <c r="K1498" s="3" t="str">
        <f>IFERROR(__xludf.DUMMYFUNCTION("""COMPUTED_VALUE"""),"นายวิโรจน์ อับดุลสมัด")</f>
        <v>นายวิโรจน์ อับดุลสมัด</v>
      </c>
      <c r="L1498" s="1" t="str">
        <f>IFERROR(__xludf.DUMMYFUNCTION("""COMPUTED_VALUE"""),"09 K.Wirode A")</f>
        <v>09 K.Wirode A</v>
      </c>
      <c r="M1498" s="1" t="str">
        <f>IFERROR(__xludf.DUMMYFUNCTION("""COMPUTED_VALUE"""),"080-235-4465")</f>
        <v>080-235-4465</v>
      </c>
      <c r="N1498" s="3">
        <f>IFERROR(__xludf.DUMMYFUNCTION("""COMPUTED_VALUE"""),21324.0)</f>
        <v>21324</v>
      </c>
      <c r="O1498" s="3" t="str">
        <f>IFERROR(__xludf.DUMMYFUNCTION("""COMPUTED_VALUE"""),"MBC BCP สุวินทวงศ์")</f>
        <v>MBC BCP สุวินทวงศ์</v>
      </c>
      <c r="P1498" s="4">
        <f>IFERROR(__xludf.DUMMYFUNCTION("""COMPUTED_VALUE"""),44051.0)</f>
        <v>44051</v>
      </c>
      <c r="Q1498" s="3" t="str">
        <f>IFERROR(__xludf.DUMMYFUNCTION("""COMPUTED_VALUE"""),"A")</f>
        <v>A</v>
      </c>
      <c r="R1498" s="3" t="str">
        <f>IFERROR(__xludf.DUMMYFUNCTION("""COMPUTED_VALUE"""),"Small Format")</f>
        <v>Small Format</v>
      </c>
      <c r="S1498" s="3" t="str">
        <f>IFERROR(__xludf.DUMMYFUNCTION("""COMPUTED_VALUE"""),"BCM")</f>
        <v>BCM</v>
      </c>
      <c r="T1498" s="3" t="str">
        <f>IFERROR(__xludf.DUMMYFUNCTION("""COMPUTED_VALUE"""),"#N/A")</f>
        <v>#N/A</v>
      </c>
      <c r="U1498" s="3" t="str">
        <f>IFERROR(__xludf.DUMMYFUNCTION("""COMPUTED_VALUE"""),"#N/A")</f>
        <v>#N/A</v>
      </c>
      <c r="V1498" s="3" t="str">
        <f>IFERROR(__xludf.DUMMYFUNCTION("""COMPUTED_VALUE"""),"N")</f>
        <v>N</v>
      </c>
      <c r="W1498" s="3">
        <f>IFERROR(__xludf.DUMMYFUNCTION("""COMPUTED_VALUE"""),210258.0)</f>
        <v>210258</v>
      </c>
      <c r="X1498" s="3" t="str">
        <f>IFERROR(__xludf.DUMMYFUNCTION("""COMPUTED_VALUE"""),"อาคาร 3/1 เลขที่2 ถนนนางลิ้นจี่ แขวงทุ่งมหาเมฆ เขตสาทร จังหวัดกรุงเทพมหานคร 10120")</f>
        <v>อาคาร 3/1 เลขที่2 ถนนนางลิ้นจี่ แขวงทุ่งมหาเมฆ เขตสาทร จังหวัดกรุงเทพมหานคร 10120</v>
      </c>
      <c r="Y1498" s="3" t="str">
        <f>IFERROR(__xludf.DUMMYFUNCTION("""COMPUTED_VALUE"""),"ถนนนางลิ้นจี่")</f>
        <v>ถนนนางลิ้นจี่</v>
      </c>
      <c r="Z1498" s="3" t="str">
        <f>IFERROR(__xludf.DUMMYFUNCTION("""COMPUTED_VALUE"""),"เลขที่2")</f>
        <v>เลขที่2</v>
      </c>
      <c r="AA1498" s="3" t="str">
        <f>IFERROR(__xludf.DUMMYFUNCTION("""COMPUTED_VALUE"""),"สาทร")</f>
        <v>สาทร</v>
      </c>
      <c r="AB1498" s="3" t="str">
        <f>IFERROR(__xludf.DUMMYFUNCTION("""COMPUTED_VALUE"""),"กรุงเทพมหานคร")</f>
        <v>กรุงเทพมหานคร</v>
      </c>
      <c r="AC1498" s="3">
        <f>IFERROR(__xludf.DUMMYFUNCTION("""COMPUTED_VALUE"""),10120.0)</f>
        <v>10120</v>
      </c>
      <c r="AD1498" s="3">
        <f>IFERROR(__xludf.DUMMYFUNCTION("""COMPUTED_VALUE"""),13.713692)</f>
        <v>13.713692</v>
      </c>
      <c r="AE1498" s="3">
        <f>IFERROR(__xludf.DUMMYFUNCTION("""COMPUTED_VALUE"""),100.539803)</f>
        <v>100.539803</v>
      </c>
      <c r="AF1498" s="3" t="str">
        <f>IFERROR(__xludf.DUMMYFUNCTION("""COMPUTED_VALUE"""),"MBC ม.เทคโนโลยีราชมงคลกรุงเทพ-22183")</f>
        <v>MBC ม.เทคโนโลยีราชมงคลกรุงเทพ-22183</v>
      </c>
      <c r="AG1498" s="3" t="str">
        <f>IFERROR(__xludf.DUMMYFUNCTION("""COMPUTED_VALUE"""),"กลาง")</f>
        <v>กลาง</v>
      </c>
      <c r="AH1498" s="3" t="str">
        <f>IFERROR(__xludf.DUMMYFUNCTION("""COMPUTED_VALUE"""),"#N/A")</f>
        <v>#N/A</v>
      </c>
      <c r="AI1498" s="3" t="str">
        <f>IFERROR(__xludf.DUMMYFUNCTION("""COMPUTED_VALUE"""),"Out of warranty")</f>
        <v>Out of warranty</v>
      </c>
      <c r="AJ1498" s="3">
        <f>IFERROR(__xludf.DUMMYFUNCTION("""COMPUTED_VALUE"""),66.0)</f>
        <v>66</v>
      </c>
      <c r="AK1498" s="3"/>
      <c r="AL1498" s="3"/>
    </row>
    <row r="1499" ht="15.75" customHeight="1">
      <c r="A1499" s="1" t="str">
        <f>IFERROR(__xludf.DUMMYFUNCTION("""COMPUTED_VALUE"""),"22184")</f>
        <v>22184</v>
      </c>
      <c r="B1499" s="2">
        <f>IFERROR(__xludf.DUMMYFUNCTION("""COMPUTED_VALUE"""),22184.0)</f>
        <v>22184</v>
      </c>
      <c r="C1499" s="3" t="str">
        <f>IFERROR(__xludf.DUMMYFUNCTION("""COMPUTED_VALUE"""),"MBC ใหม่เกตุงาม ชลบุรี")</f>
        <v>MBC ใหม่เกตุงาม ชลบุรี</v>
      </c>
      <c r="D1499" s="3" t="str">
        <f>IFERROR(__xludf.DUMMYFUNCTION("""COMPUTED_VALUE"""),"BCM MAI KET NGAM CHONBURI")</f>
        <v>BCM MAI KET NGAM CHONBURI</v>
      </c>
      <c r="E1499" s="1" t="str">
        <f>IFERROR(__xludf.DUMMYFUNCTION("""COMPUTED_VALUE"""),"บิ๊กซี MINI")</f>
        <v>บิ๊กซี MINI</v>
      </c>
      <c r="F1499" s="1" t="str">
        <f>IFERROR(__xludf.DUMMYFUNCTION("""COMPUTED_VALUE"""),"221716")</f>
        <v>221716</v>
      </c>
      <c r="G1499" s="1" t="str">
        <f>IFERROR(__xludf.DUMMYFUNCTION("""COMPUTED_VALUE"""),"น.ส.เบญจพร โพธิสาร")</f>
        <v>น.ส.เบญจพร โพธิสาร</v>
      </c>
      <c r="H1499" s="1" t="str">
        <f>IFERROR(__xludf.DUMMYFUNCTION("""COMPUTED_VALUE"""),"034605")</f>
        <v>034605</v>
      </c>
      <c r="I1499" s="1" t="str">
        <f>IFERROR(__xludf.DUMMYFUNCTION("""COMPUTED_VALUE"""),"นายธรรมรัตน์ สุขเจริญ")</f>
        <v>นายธรรมรัตน์ สุขเจริญ</v>
      </c>
      <c r="J1499" s="3">
        <f>IFERROR(__xludf.DUMMYFUNCTION("""COMPUTED_VALUE"""),3510104.0)</f>
        <v>3510104</v>
      </c>
      <c r="K1499" s="3" t="str">
        <f>IFERROR(__xludf.DUMMYFUNCTION("""COMPUTED_VALUE"""),"นายวิโรจน์ อับดุลสมัด")</f>
        <v>นายวิโรจน์ อับดุลสมัด</v>
      </c>
      <c r="L1499" s="1" t="str">
        <f>IFERROR(__xludf.DUMMYFUNCTION("""COMPUTED_VALUE"""),"09 K.Wirode A")</f>
        <v>09 K.Wirode A</v>
      </c>
      <c r="M1499" s="1" t="str">
        <f>IFERROR(__xludf.DUMMYFUNCTION("""COMPUTED_VALUE"""),"080-235-4465")</f>
        <v>080-235-4465</v>
      </c>
      <c r="N1499" s="3">
        <f>IFERROR(__xludf.DUMMYFUNCTION("""COMPUTED_VALUE"""),21324.0)</f>
        <v>21324</v>
      </c>
      <c r="O1499" s="3" t="str">
        <f>IFERROR(__xludf.DUMMYFUNCTION("""COMPUTED_VALUE"""),"MBC BCP สุวินทวงศ์")</f>
        <v>MBC BCP สุวินทวงศ์</v>
      </c>
      <c r="P1499" s="4">
        <f>IFERROR(__xludf.DUMMYFUNCTION("""COMPUTED_VALUE"""),44050.0)</f>
        <v>44050</v>
      </c>
      <c r="Q1499" s="3" t="str">
        <f>IFERROR(__xludf.DUMMYFUNCTION("""COMPUTED_VALUE"""),"I")</f>
        <v>I</v>
      </c>
      <c r="R1499" s="3" t="str">
        <f>IFERROR(__xludf.DUMMYFUNCTION("""COMPUTED_VALUE"""),"Small Format")</f>
        <v>Small Format</v>
      </c>
      <c r="S1499" s="3" t="str">
        <f>IFERROR(__xludf.DUMMYFUNCTION("""COMPUTED_VALUE"""),"BCM")</f>
        <v>BCM</v>
      </c>
      <c r="T1499" s="3" t="str">
        <f>IFERROR(__xludf.DUMMYFUNCTION("""COMPUTED_VALUE"""),"#N/A")</f>
        <v>#N/A</v>
      </c>
      <c r="U1499" s="3" t="str">
        <f>IFERROR(__xludf.DUMMYFUNCTION("""COMPUTED_VALUE"""),"#N/A")</f>
        <v>#N/A</v>
      </c>
      <c r="V1499" s="3" t="str">
        <f>IFERROR(__xludf.DUMMYFUNCTION("""COMPUTED_VALUE"""),"N")</f>
        <v>N</v>
      </c>
      <c r="W1499" s="3">
        <f>IFERROR(__xludf.DUMMYFUNCTION("""COMPUTED_VALUE"""),210208.0)</f>
        <v>210208</v>
      </c>
      <c r="X1499" s="3" t="str">
        <f>IFERROR(__xludf.DUMMYFUNCTION("""COMPUTED_VALUE"""),"30/28 หมู่2 ตำบลบ้านบึง อำเภอเมืองชลบุรี จังหวัดชลบุรี 20130")</f>
        <v>30/28 หมู่2 ตำบลบ้านบึง อำเภอเมืองชลบุรี จังหวัดชลบุรี 20130</v>
      </c>
      <c r="Y1499" s="3"/>
      <c r="Z1499" s="3" t="str">
        <f>IFERROR(__xludf.DUMMYFUNCTION("""COMPUTED_VALUE"""),"บ้านบึง")</f>
        <v>บ้านบึง</v>
      </c>
      <c r="AA1499" s="3" t="str">
        <f>IFERROR(__xludf.DUMMYFUNCTION("""COMPUTED_VALUE"""),"เมือง")</f>
        <v>เมือง</v>
      </c>
      <c r="AB1499" s="3" t="str">
        <f>IFERROR(__xludf.DUMMYFUNCTION("""COMPUTED_VALUE"""),"ชลบุรี")</f>
        <v>ชลบุรี</v>
      </c>
      <c r="AC1499" s="3">
        <f>IFERROR(__xludf.DUMMYFUNCTION("""COMPUTED_VALUE"""),20130.0)</f>
        <v>20130</v>
      </c>
      <c r="AD1499" s="3">
        <f>IFERROR(__xludf.DUMMYFUNCTION("""COMPUTED_VALUE"""),13.316859)</f>
        <v>13.316859</v>
      </c>
      <c r="AE1499" s="3">
        <f>IFERROR(__xludf.DUMMYFUNCTION("""COMPUTED_VALUE"""),100.930492)</f>
        <v>100.930492</v>
      </c>
      <c r="AF1499" s="3" t="str">
        <f>IFERROR(__xludf.DUMMYFUNCTION("""COMPUTED_VALUE"""),"MBC ใหม่เกตุงาม ชลบุรี-22184")</f>
        <v>MBC ใหม่เกตุงาม ชลบุรี-22184</v>
      </c>
      <c r="AG1499" s="3" t="str">
        <f>IFERROR(__xludf.DUMMYFUNCTION("""COMPUTED_VALUE"""),"ตะวันออก")</f>
        <v>ตะวันออก</v>
      </c>
      <c r="AH1499" s="3" t="str">
        <f>IFERROR(__xludf.DUMMYFUNCTION("""COMPUTED_VALUE"""),"#N/A")</f>
        <v>#N/A</v>
      </c>
      <c r="AI1499" s="3" t="str">
        <f>IFERROR(__xludf.DUMMYFUNCTION("""COMPUTED_VALUE"""),"Out of warranty")</f>
        <v>Out of warranty</v>
      </c>
      <c r="AJ1499" s="3">
        <f>IFERROR(__xludf.DUMMYFUNCTION("""COMPUTED_VALUE"""),66.0)</f>
        <v>66</v>
      </c>
      <c r="AK1499" s="3" t="str">
        <f>IFERROR(__xludf.DUMMYFUNCTION("""COMPUTED_VALUE"""),"MMS06")</f>
        <v>MMS06</v>
      </c>
      <c r="AL1499" s="3"/>
    </row>
    <row r="1500" ht="15.75" customHeight="1">
      <c r="A1500" s="1" t="str">
        <f>IFERROR(__xludf.DUMMYFUNCTION("""COMPUTED_VALUE"""),"22185")</f>
        <v>22185</v>
      </c>
      <c r="B1500" s="2">
        <f>IFERROR(__xludf.DUMMYFUNCTION("""COMPUTED_VALUE"""),22185.0)</f>
        <v>22185</v>
      </c>
      <c r="C1500" s="3" t="str">
        <f>IFERROR(__xludf.DUMMYFUNCTION("""COMPUTED_VALUE"""),"MBC ด่านทับตะโก ราชบุรี")</f>
        <v>MBC ด่านทับตะโก ราชบุรี</v>
      </c>
      <c r="D1500" s="3" t="str">
        <f>IFERROR(__xludf.DUMMYFUNCTION("""COMPUTED_VALUE"""),"BCM DAN THAP TAKO")</f>
        <v>BCM DAN THAP TAKO</v>
      </c>
      <c r="E1500" s="1" t="str">
        <f>IFERROR(__xludf.DUMMYFUNCTION("""COMPUTED_VALUE"""),"บิ๊กซี MINI")</f>
        <v>บิ๊กซี MINI</v>
      </c>
      <c r="F1500" s="1" t="str">
        <f>IFERROR(__xludf.DUMMYFUNCTION("""COMPUTED_VALUE"""),"2083447")</f>
        <v>2083447</v>
      </c>
      <c r="G1500" s="1" t="str">
        <f>IFERROR(__xludf.DUMMYFUNCTION("""COMPUTED_VALUE"""),"นายอนุกูล ศรีลัดดา")</f>
        <v>นายอนุกูล ศรีลัดดา</v>
      </c>
      <c r="H1500" s="1" t="str">
        <f>IFERROR(__xludf.DUMMYFUNCTION("""COMPUTED_VALUE"""),"391191")</f>
        <v>391191</v>
      </c>
      <c r="I1500" s="1" t="str">
        <f>IFERROR(__xludf.DUMMYFUNCTION("""COMPUTED_VALUE"""),"นายวสันต์ สรงพรมทิพย์")</f>
        <v>นายวสันต์ สรงพรมทิพย์</v>
      </c>
      <c r="J1500" s="3">
        <f>IFERROR(__xludf.DUMMYFUNCTION("""COMPUTED_VALUE"""),2451655.0)</f>
        <v>2451655</v>
      </c>
      <c r="K1500" s="3" t="str">
        <f>IFERROR(__xludf.DUMMYFUNCTION("""COMPUTED_VALUE"""),"นายวิษณุพงษ์ ชินบุตร")</f>
        <v>นายวิษณุพงษ์ ชินบุตร</v>
      </c>
      <c r="L1500" s="1" t="str">
        <f>IFERROR(__xludf.DUMMYFUNCTION("""COMPUTED_VALUE"""),"13 K.Wisanupong Ch")</f>
        <v>13 K.Wisanupong Ch</v>
      </c>
      <c r="M1500" s="1" t="str">
        <f>IFERROR(__xludf.DUMMYFUNCTION("""COMPUTED_VALUE"""),"0843374693")</f>
        <v>0843374693</v>
      </c>
      <c r="N1500" s="3">
        <f>IFERROR(__xludf.DUMMYFUNCTION("""COMPUTED_VALUE"""),22729.0)</f>
        <v>22729</v>
      </c>
      <c r="O1500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500" s="4">
        <f>IFERROR(__xludf.DUMMYFUNCTION("""COMPUTED_VALUE"""),44055.0)</f>
        <v>44055</v>
      </c>
      <c r="Q1500" s="3" t="str">
        <f>IFERROR(__xludf.DUMMYFUNCTION("""COMPUTED_VALUE"""),"A")</f>
        <v>A</v>
      </c>
      <c r="R1500" s="3" t="str">
        <f>IFERROR(__xludf.DUMMYFUNCTION("""COMPUTED_VALUE"""),"Small Format")</f>
        <v>Small Format</v>
      </c>
      <c r="S1500" s="3" t="str">
        <f>IFERROR(__xludf.DUMMYFUNCTION("""COMPUTED_VALUE"""),"BCM")</f>
        <v>BCM</v>
      </c>
      <c r="T1500" s="3" t="str">
        <f>IFERROR(__xludf.DUMMYFUNCTION("""COMPUTED_VALUE"""),"#N/A")</f>
        <v>#N/A</v>
      </c>
      <c r="U1500" s="3" t="str">
        <f>IFERROR(__xludf.DUMMYFUNCTION("""COMPUTED_VALUE"""),"#N/A")</f>
        <v>#N/A</v>
      </c>
      <c r="V1500" s="3" t="str">
        <f>IFERROR(__xludf.DUMMYFUNCTION("""COMPUTED_VALUE"""),"N")</f>
        <v>N</v>
      </c>
      <c r="W1500" s="3">
        <f>IFERROR(__xludf.DUMMYFUNCTION("""COMPUTED_VALUE"""),210218.0)</f>
        <v>210218</v>
      </c>
      <c r="X1500" s="3" t="str">
        <f>IFERROR(__xludf.DUMMYFUNCTION("""COMPUTED_VALUE"""),"115 115/1-3 หมู่1 ตำบลด่านทับตะโก อำเภอจอมบึง จังหวัดราชบุรี 70150")</f>
        <v>115 115/1-3 หมู่1 ตำบลด่านทับตะโก อำเภอจอมบึง จังหวัดราชบุรี 70150</v>
      </c>
      <c r="Y1500" s="3"/>
      <c r="Z1500" s="3" t="str">
        <f>IFERROR(__xludf.DUMMYFUNCTION("""COMPUTED_VALUE"""),"หมู่1")</f>
        <v>หมู่1</v>
      </c>
      <c r="AA1500" s="3" t="str">
        <f>IFERROR(__xludf.DUMMYFUNCTION("""COMPUTED_VALUE"""),"จอมบึง")</f>
        <v>จอมบึง</v>
      </c>
      <c r="AB1500" s="3" t="str">
        <f>IFERROR(__xludf.DUMMYFUNCTION("""COMPUTED_VALUE"""),"ราชบุรี")</f>
        <v>ราชบุรี</v>
      </c>
      <c r="AC1500" s="3">
        <f>IFERROR(__xludf.DUMMYFUNCTION("""COMPUTED_VALUE"""),70150.0)</f>
        <v>70150</v>
      </c>
      <c r="AD1500" s="3">
        <f>IFERROR(__xludf.DUMMYFUNCTION("""COMPUTED_VALUE"""),13.68699)</f>
        <v>13.68699</v>
      </c>
      <c r="AE1500" s="3">
        <f>IFERROR(__xludf.DUMMYFUNCTION("""COMPUTED_VALUE"""),99.451813)</f>
        <v>99.451813</v>
      </c>
      <c r="AF1500" s="3" t="str">
        <f>IFERROR(__xludf.DUMMYFUNCTION("""COMPUTED_VALUE"""),"MBC ด่านทับตะโก ราชบุรี-22185")</f>
        <v>MBC ด่านทับตะโก ราชบุรี-22185</v>
      </c>
      <c r="AG1500" s="3" t="str">
        <f>IFERROR(__xludf.DUMMYFUNCTION("""COMPUTED_VALUE"""),"ตะวันตก")</f>
        <v>ตะวันตก</v>
      </c>
      <c r="AH1500" s="3" t="str">
        <f>IFERROR(__xludf.DUMMYFUNCTION("""COMPUTED_VALUE"""),"#N/A")</f>
        <v>#N/A</v>
      </c>
      <c r="AI1500" s="3" t="str">
        <f>IFERROR(__xludf.DUMMYFUNCTION("""COMPUTED_VALUE"""),"Out of warranty")</f>
        <v>Out of warranty</v>
      </c>
      <c r="AJ1500" s="3">
        <f>IFERROR(__xludf.DUMMYFUNCTION("""COMPUTED_VALUE"""),66.0)</f>
        <v>66</v>
      </c>
      <c r="AK1500" s="3" t="str">
        <f>IFERROR(__xludf.DUMMYFUNCTION("""COMPUTED_VALUE"""),"MMS05")</f>
        <v>MMS05</v>
      </c>
      <c r="AL1500" s="3"/>
    </row>
    <row r="1501" ht="15.75" customHeight="1">
      <c r="A1501" s="1" t="str">
        <f>IFERROR(__xludf.DUMMYFUNCTION("""COMPUTED_VALUE"""),"22186")</f>
        <v>22186</v>
      </c>
      <c r="B1501" s="2">
        <f>IFERROR(__xludf.DUMMYFUNCTION("""COMPUTED_VALUE"""),22186.0)</f>
        <v>22186</v>
      </c>
      <c r="C1501" s="3" t="str">
        <f>IFERROR(__xludf.DUMMYFUNCTION("""COMPUTED_VALUE"""),"MBC หนองจับเต่า ชลบุรี")</f>
        <v>MBC หนองจับเต่า ชลบุรี</v>
      </c>
      <c r="D1501" s="3" t="str">
        <f>IFERROR(__xludf.DUMMYFUNCTION("""COMPUTED_VALUE"""),"BCM NONG CHAP TAO")</f>
        <v>BCM NONG CHAP TAO</v>
      </c>
      <c r="E1501" s="1" t="str">
        <f>IFERROR(__xludf.DUMMYFUNCTION("""COMPUTED_VALUE"""),"บิ๊กซี MINI")</f>
        <v>บิ๊กซี MINI</v>
      </c>
      <c r="F1501" s="1" t="str">
        <f>IFERROR(__xludf.DUMMYFUNCTION("""COMPUTED_VALUE"""),"221716")</f>
        <v>221716</v>
      </c>
      <c r="G1501" s="1" t="str">
        <f>IFERROR(__xludf.DUMMYFUNCTION("""COMPUTED_VALUE"""),"น.ส.เบญจพร โพธิสาร")</f>
        <v>น.ส.เบญจพร โพธิสาร</v>
      </c>
      <c r="H1501" s="1" t="str">
        <f>IFERROR(__xludf.DUMMYFUNCTION("""COMPUTED_VALUE"""),"313065")</f>
        <v>313065</v>
      </c>
      <c r="I1501" s="1" t="str">
        <f>IFERROR(__xludf.DUMMYFUNCTION("""COMPUTED_VALUE"""),"นายจิรายุทธ กันทา")</f>
        <v>นายจิรายุทธ กันทา</v>
      </c>
      <c r="J1501" s="3">
        <f>IFERROR(__xludf.DUMMYFUNCTION("""COMPUTED_VALUE"""),1.3461215E7)</f>
        <v>13461215</v>
      </c>
      <c r="K1501" s="3" t="str">
        <f>IFERROR(__xludf.DUMMYFUNCTION("""COMPUTED_VALUE"""),"นายธีรภัทร สังข์เงิน")</f>
        <v>นายธีรภัทร สังข์เงิน</v>
      </c>
      <c r="L1501" s="1" t="str">
        <f>IFERROR(__xludf.DUMMYFUNCTION("""COMPUTED_VALUE"""),"06 K.Teerapat")</f>
        <v>06 K.Teerapat</v>
      </c>
      <c r="M1501" s="1" t="str">
        <f>IFERROR(__xludf.DUMMYFUNCTION("""COMPUTED_VALUE"""),"063-601-6803")</f>
        <v>063-601-6803</v>
      </c>
      <c r="N1501" s="3">
        <f>IFERROR(__xludf.DUMMYFUNCTION("""COMPUTED_VALUE"""),22115.0)</f>
        <v>22115</v>
      </c>
      <c r="O1501" s="3" t="str">
        <f>IFERROR(__xludf.DUMMYFUNCTION("""COMPUTED_VALUE"""),"MBC เลี่ยงหนองมน ชลบุรี")</f>
        <v>MBC เลี่ยงหนองมน ชลบุรี</v>
      </c>
      <c r="P1501" s="4">
        <f>IFERROR(__xludf.DUMMYFUNCTION("""COMPUTED_VALUE"""),44061.0)</f>
        <v>44061</v>
      </c>
      <c r="Q1501" s="3" t="str">
        <f>IFERROR(__xludf.DUMMYFUNCTION("""COMPUTED_VALUE"""),"A")</f>
        <v>A</v>
      </c>
      <c r="R1501" s="3" t="str">
        <f>IFERROR(__xludf.DUMMYFUNCTION("""COMPUTED_VALUE"""),"Small Format")</f>
        <v>Small Format</v>
      </c>
      <c r="S1501" s="3" t="str">
        <f>IFERROR(__xludf.DUMMYFUNCTION("""COMPUTED_VALUE"""),"BCM")</f>
        <v>BCM</v>
      </c>
      <c r="T1501" s="3" t="str">
        <f>IFERROR(__xludf.DUMMYFUNCTION("""COMPUTED_VALUE"""),"#N/A")</f>
        <v>#N/A</v>
      </c>
      <c r="U1501" s="3" t="str">
        <f>IFERROR(__xludf.DUMMYFUNCTION("""COMPUTED_VALUE"""),"#N/A")</f>
        <v>#N/A</v>
      </c>
      <c r="V1501" s="3" t="str">
        <f>IFERROR(__xludf.DUMMYFUNCTION("""COMPUTED_VALUE"""),"N")</f>
        <v>N</v>
      </c>
      <c r="W1501" s="3">
        <f>IFERROR(__xludf.DUMMYFUNCTION("""COMPUTED_VALUE"""),210212.0)</f>
        <v>210212</v>
      </c>
      <c r="X1501" s="3" t="str">
        <f>IFERROR(__xludf.DUMMYFUNCTION("""COMPUTED_VALUE"""),"21/12 หมู่5 ตำบลนาจอมเทียน อำเภอสัตหีบ จังหวัดชลบุรี 20250")</f>
        <v>21/12 หมู่5 ตำบลนาจอมเทียน อำเภอสัตหีบ จังหวัดชลบุรี 20250</v>
      </c>
      <c r="Y1501" s="3"/>
      <c r="Z1501" s="3" t="str">
        <f>IFERROR(__xludf.DUMMYFUNCTION("""COMPUTED_VALUE"""),"นาจอมเทียน")</f>
        <v>นาจอมเทียน</v>
      </c>
      <c r="AA1501" s="3" t="str">
        <f>IFERROR(__xludf.DUMMYFUNCTION("""COMPUTED_VALUE"""),"สัตหีบ")</f>
        <v>สัตหีบ</v>
      </c>
      <c r="AB1501" s="3" t="str">
        <f>IFERROR(__xludf.DUMMYFUNCTION("""COMPUTED_VALUE"""),"ชลบุรี")</f>
        <v>ชลบุรี</v>
      </c>
      <c r="AC1501" s="3">
        <f>IFERROR(__xludf.DUMMYFUNCTION("""COMPUTED_VALUE"""),20250.0)</f>
        <v>20250</v>
      </c>
      <c r="AD1501" s="3">
        <f>IFERROR(__xludf.DUMMYFUNCTION("""COMPUTED_VALUE"""),12.789353)</f>
        <v>12.789353</v>
      </c>
      <c r="AE1501" s="3">
        <f>IFERROR(__xludf.DUMMYFUNCTION("""COMPUTED_VALUE"""),100.929569)</f>
        <v>100.929569</v>
      </c>
      <c r="AF1501" s="3" t="str">
        <f>IFERROR(__xludf.DUMMYFUNCTION("""COMPUTED_VALUE"""),"MBC หนองจับเต่า ชลบุรี-22186")</f>
        <v>MBC หนองจับเต่า ชลบุรี-22186</v>
      </c>
      <c r="AG1501" s="3" t="str">
        <f>IFERROR(__xludf.DUMMYFUNCTION("""COMPUTED_VALUE"""),"ตะวันออก")</f>
        <v>ตะวันออก</v>
      </c>
      <c r="AH1501" s="3" t="str">
        <f>IFERROR(__xludf.DUMMYFUNCTION("""COMPUTED_VALUE"""),"#N/A")</f>
        <v>#N/A</v>
      </c>
      <c r="AI1501" s="3" t="str">
        <f>IFERROR(__xludf.DUMMYFUNCTION("""COMPUTED_VALUE"""),"Out of warranty")</f>
        <v>Out of warranty</v>
      </c>
      <c r="AJ1501" s="3">
        <f>IFERROR(__xludf.DUMMYFUNCTION("""COMPUTED_VALUE"""),66.0)</f>
        <v>66</v>
      </c>
      <c r="AK1501" s="3" t="str">
        <f>IFERROR(__xludf.DUMMYFUNCTION("""COMPUTED_VALUE"""),"MMS08")</f>
        <v>MMS08</v>
      </c>
      <c r="AL1501" s="3"/>
    </row>
    <row r="1502" ht="15.75" customHeight="1">
      <c r="A1502" s="1" t="str">
        <f>IFERROR(__xludf.DUMMYFUNCTION("""COMPUTED_VALUE"""),"22187")</f>
        <v>22187</v>
      </c>
      <c r="B1502" s="2">
        <f>IFERROR(__xludf.DUMMYFUNCTION("""COMPUTED_VALUE"""),22187.0)</f>
        <v>22187</v>
      </c>
      <c r="C1502" s="3" t="str">
        <f>IFERROR(__xludf.DUMMYFUNCTION("""COMPUTED_VALUE"""),"MBC บ้านสะพลี ชุมพร")</f>
        <v>MBC บ้านสะพลี ชุมพร</v>
      </c>
      <c r="D1502" s="3" t="str">
        <f>IFERROR(__xludf.DUMMYFUNCTION("""COMPUTED_VALUE"""),"BCM BAN SAPHLI CHUMPHON")</f>
        <v>BCM BAN SAPHLI CHUMPHON</v>
      </c>
      <c r="E1502" s="1" t="str">
        <f>IFERROR(__xludf.DUMMYFUNCTION("""COMPUTED_VALUE"""),"บิ๊กซี MINI")</f>
        <v>บิ๊กซี MINI</v>
      </c>
      <c r="F1502" s="1" t="str">
        <f>IFERROR(__xludf.DUMMYFUNCTION("""COMPUTED_VALUE"""),"250760")</f>
        <v>250760</v>
      </c>
      <c r="G1502" s="1" t="str">
        <f>IFERROR(__xludf.DUMMYFUNCTION("""COMPUTED_VALUE"""),"นายประทวน สาราบรรณ์")</f>
        <v>นายประทวน สาราบรรณ์</v>
      </c>
      <c r="H1502" s="1" t="str">
        <f>IFERROR(__xludf.DUMMYFUNCTION("""COMPUTED_VALUE"""),"311437")</f>
        <v>311437</v>
      </c>
      <c r="I1502" s="1" t="str">
        <f>IFERROR(__xludf.DUMMYFUNCTION("""COMPUTED_VALUE"""),"นายฉัตรทพร รักวิเชียร")</f>
        <v>นายฉัตรทพร รักวิเชียร</v>
      </c>
      <c r="J1502" s="3">
        <f>IFERROR(__xludf.DUMMYFUNCTION("""COMPUTED_VALUE"""),25324.0)</f>
        <v>25324</v>
      </c>
      <c r="K1502" s="3" t="str">
        <f>IFERROR(__xludf.DUMMYFUNCTION("""COMPUTED_VALUE"""),"นายวิเชฎฐ์ ติรัตนะประคม")</f>
        <v>นายวิเชฎฐ์ ติรัตนะประคม</v>
      </c>
      <c r="L1502" s="1" t="str">
        <f>IFERROR(__xludf.DUMMYFUNCTION("""COMPUTED_VALUE"""),"14 K.Wichet T.")</f>
        <v>14 K.Wichet T.</v>
      </c>
      <c r="M1502" s="1" t="str">
        <f>IFERROR(__xludf.DUMMYFUNCTION("""COMPUTED_VALUE"""),"061-417-6569 / 086-445-5636")</f>
        <v>061-417-6569 / 086-445-5636</v>
      </c>
      <c r="N1502" s="3">
        <f>IFERROR(__xludf.DUMMYFUNCTION("""COMPUTED_VALUE"""),22658.0)</f>
        <v>22658</v>
      </c>
      <c r="O1502" s="3" t="str">
        <f>IFERROR(__xludf.DUMMYFUNCTION("""COMPUTED_VALUE"""),"BCM ถ.วิรัชหงษ์หยก ภูเก็ต")</f>
        <v>BCM ถ.วิรัชหงษ์หยก ภูเก็ต</v>
      </c>
      <c r="P1502" s="4">
        <f>IFERROR(__xludf.DUMMYFUNCTION("""COMPUTED_VALUE"""),44060.0)</f>
        <v>44060</v>
      </c>
      <c r="Q1502" s="3" t="str">
        <f>IFERROR(__xludf.DUMMYFUNCTION("""COMPUTED_VALUE"""),"A")</f>
        <v>A</v>
      </c>
      <c r="R1502" s="3" t="str">
        <f>IFERROR(__xludf.DUMMYFUNCTION("""COMPUTED_VALUE"""),"Small Format")</f>
        <v>Small Format</v>
      </c>
      <c r="S1502" s="3" t="str">
        <f>IFERROR(__xludf.DUMMYFUNCTION("""COMPUTED_VALUE"""),"BCM")</f>
        <v>BCM</v>
      </c>
      <c r="T1502" s="3" t="str">
        <f>IFERROR(__xludf.DUMMYFUNCTION("""COMPUTED_VALUE"""),"#N/A")</f>
        <v>#N/A</v>
      </c>
      <c r="U1502" s="3" t="str">
        <f>IFERROR(__xludf.DUMMYFUNCTION("""COMPUTED_VALUE"""),"#N/A")</f>
        <v>#N/A</v>
      </c>
      <c r="V1502" s="3" t="str">
        <f>IFERROR(__xludf.DUMMYFUNCTION("""COMPUTED_VALUE"""),"N")</f>
        <v>N</v>
      </c>
      <c r="W1502" s="3">
        <f>IFERROR(__xludf.DUMMYFUNCTION("""COMPUTED_VALUE"""),210214.0)</f>
        <v>210214</v>
      </c>
      <c r="X1502" s="3" t="str">
        <f>IFERROR(__xludf.DUMMYFUNCTION("""COMPUTED_VALUE"""),"65/12 หมู่5 ตำบลสะพลี อำเภอปะทิว จังหวัดชุมพร 86230")</f>
        <v>65/12 หมู่5 ตำบลสะพลี อำเภอปะทิว จังหวัดชุมพร 86230</v>
      </c>
      <c r="Y1502" s="3"/>
      <c r="Z1502" s="3" t="str">
        <f>IFERROR(__xludf.DUMMYFUNCTION("""COMPUTED_VALUE"""),"สะพลี")</f>
        <v>สะพลี</v>
      </c>
      <c r="AA1502" s="3" t="str">
        <f>IFERROR(__xludf.DUMMYFUNCTION("""COMPUTED_VALUE"""),"ปะทิว")</f>
        <v>ปะทิว</v>
      </c>
      <c r="AB1502" s="3" t="str">
        <f>IFERROR(__xludf.DUMMYFUNCTION("""COMPUTED_VALUE"""),"ชุมพร")</f>
        <v>ชุมพร</v>
      </c>
      <c r="AC1502" s="3">
        <f>IFERROR(__xludf.DUMMYFUNCTION("""COMPUTED_VALUE"""),86230.0)</f>
        <v>86230</v>
      </c>
      <c r="AD1502" s="3">
        <f>IFERROR(__xludf.DUMMYFUNCTION("""COMPUTED_VALUE"""),10.588758)</f>
        <v>10.588758</v>
      </c>
      <c r="AE1502" s="3">
        <f>IFERROR(__xludf.DUMMYFUNCTION("""COMPUTED_VALUE"""),99.279225)</f>
        <v>99.279225</v>
      </c>
      <c r="AF1502" s="3" t="str">
        <f>IFERROR(__xludf.DUMMYFUNCTION("""COMPUTED_VALUE"""),"MBC บ้านสะพลี ชุมพร-22187")</f>
        <v>MBC บ้านสะพลี ชุมพร-22187</v>
      </c>
      <c r="AG1502" s="3" t="str">
        <f>IFERROR(__xludf.DUMMYFUNCTION("""COMPUTED_VALUE"""),"ใต้")</f>
        <v>ใต้</v>
      </c>
      <c r="AH1502" s="3" t="str">
        <f>IFERROR(__xludf.DUMMYFUNCTION("""COMPUTED_VALUE"""),"#N/A")</f>
        <v>#N/A</v>
      </c>
      <c r="AI1502" s="3" t="str">
        <f>IFERROR(__xludf.DUMMYFUNCTION("""COMPUTED_VALUE"""),"Out of warranty")</f>
        <v>Out of warranty</v>
      </c>
      <c r="AJ1502" s="3">
        <f>IFERROR(__xludf.DUMMYFUNCTION("""COMPUTED_VALUE"""),66.0)</f>
        <v>66</v>
      </c>
      <c r="AK1502" s="3" t="str">
        <f>IFERROR(__xludf.DUMMYFUNCTION("""COMPUTED_VALUE"""),"MMS14")</f>
        <v>MMS14</v>
      </c>
      <c r="AL1502" s="3"/>
    </row>
    <row r="1503" ht="15.75" customHeight="1">
      <c r="A1503" s="1" t="str">
        <f>IFERROR(__xludf.DUMMYFUNCTION("""COMPUTED_VALUE"""),"22188")</f>
        <v>22188</v>
      </c>
      <c r="B1503" s="2">
        <f>IFERROR(__xludf.DUMMYFUNCTION("""COMPUTED_VALUE"""),22188.0)</f>
        <v>22188</v>
      </c>
      <c r="C1503" s="3" t="str">
        <f>IFERROR(__xludf.DUMMYFUNCTION("""COMPUTED_VALUE"""),"MBC บางจากเกษตร-นวมินทร์ กรุงเทพฯ")</f>
        <v>MBC บางจากเกษตร-นวมินทร์ กรุงเทพฯ</v>
      </c>
      <c r="D1503" s="3" t="str">
        <f>IFERROR(__xludf.DUMMYFUNCTION("""COMPUTED_VALUE"""),"BCM BCP KASET-NAWAMIN")</f>
        <v>BCM BCP KASET-NAWAMIN</v>
      </c>
      <c r="E1503" s="1" t="str">
        <f>IFERROR(__xludf.DUMMYFUNCTION("""COMPUTED_VALUE"""),"บิ๊กซี MINI")</f>
        <v>บิ๊กซี MINI</v>
      </c>
      <c r="F1503" s="1" t="str">
        <f>IFERROR(__xludf.DUMMYFUNCTION("""COMPUTED_VALUE"""),"291008")</f>
        <v>291008</v>
      </c>
      <c r="G1503" s="1" t="str">
        <f>IFERROR(__xludf.DUMMYFUNCTION("""COMPUTED_VALUE"""),"น.ส.รัชดาพร อีศรัตน์")</f>
        <v>น.ส.รัชดาพร อีศรัตน์</v>
      </c>
      <c r="H1503" s="1" t="str">
        <f>IFERROR(__xludf.DUMMYFUNCTION("""COMPUTED_VALUE"""),"373540")</f>
        <v>373540</v>
      </c>
      <c r="I1503" s="1" t="str">
        <f>IFERROR(__xludf.DUMMYFUNCTION("""COMPUTED_VALUE"""),"นายทศพร พึ่งพบ")</f>
        <v>นายทศพร พึ่งพบ</v>
      </c>
      <c r="J1503" s="3">
        <f>IFERROR(__xludf.DUMMYFUNCTION("""COMPUTED_VALUE"""),2452378.0)</f>
        <v>2452378</v>
      </c>
      <c r="K1503" s="3" t="str">
        <f>IFERROR(__xludf.DUMMYFUNCTION("""COMPUTED_VALUE"""),"นายศักดิ์ดา พวงประดับ")</f>
        <v>นายศักดิ์ดา พวงประดับ</v>
      </c>
      <c r="L1503" s="1" t="str">
        <f>IFERROR(__xludf.DUMMYFUNCTION("""COMPUTED_VALUE"""),"11 K.Sakda P.")</f>
        <v>11 K.Sakda P.</v>
      </c>
      <c r="M1503" s="1" t="str">
        <f>IFERROR(__xludf.DUMMYFUNCTION("""COMPUTED_VALUE"""),"065-929-1279")</f>
        <v>065-929-1279</v>
      </c>
      <c r="N1503" s="3">
        <f>IFERROR(__xludf.DUMMYFUNCTION("""COMPUTED_VALUE"""),21002.0)</f>
        <v>21002</v>
      </c>
      <c r="O1503" s="3" t="str">
        <f>IFERROR(__xludf.DUMMYFUNCTION("""COMPUTED_VALUE"""),"MBC อุดมสุข")</f>
        <v>MBC อุดมสุข</v>
      </c>
      <c r="P1503" s="4">
        <f>IFERROR(__xludf.DUMMYFUNCTION("""COMPUTED_VALUE"""),44074.0)</f>
        <v>44074</v>
      </c>
      <c r="Q1503" s="3" t="str">
        <f>IFERROR(__xludf.DUMMYFUNCTION("""COMPUTED_VALUE"""),"A")</f>
        <v>A</v>
      </c>
      <c r="R1503" s="3" t="str">
        <f>IFERROR(__xludf.DUMMYFUNCTION("""COMPUTED_VALUE"""),"Small Format")</f>
        <v>Small Format</v>
      </c>
      <c r="S1503" s="3" t="str">
        <f>IFERROR(__xludf.DUMMYFUNCTION("""COMPUTED_VALUE"""),"BCM")</f>
        <v>BCM</v>
      </c>
      <c r="T1503" s="3" t="str">
        <f>IFERROR(__xludf.DUMMYFUNCTION("""COMPUTED_VALUE"""),"#N/A")</f>
        <v>#N/A</v>
      </c>
      <c r="U1503" s="3" t="str">
        <f>IFERROR(__xludf.DUMMYFUNCTION("""COMPUTED_VALUE"""),"#N/A")</f>
        <v>#N/A</v>
      </c>
      <c r="V1503" s="3" t="str">
        <f>IFERROR(__xludf.DUMMYFUNCTION("""COMPUTED_VALUE"""),"N")</f>
        <v>N</v>
      </c>
      <c r="W1503" s="3">
        <f>IFERROR(__xludf.DUMMYFUNCTION("""COMPUTED_VALUE"""),361235.0)</f>
        <v>361235</v>
      </c>
      <c r="X1503" s="3" t="str">
        <f>IFERROR(__xludf.DUMMYFUNCTION("""COMPUTED_VALUE"""),"88 ถนนประเสริฐมนูกิจ แขวงจรเข้บัว เขตลาดพร้าว จังหวัดกรุงเทพมหานคร 10230")</f>
        <v>88 ถนนประเสริฐมนูกิจ แขวงจรเข้บัว เขตลาดพร้าว จังหวัดกรุงเทพมหานคร 10230</v>
      </c>
      <c r="Y1503" s="3" t="str">
        <f>IFERROR(__xludf.DUMMYFUNCTION("""COMPUTED_VALUE"""),"ถนนประเสริฐมนูกิจ")</f>
        <v>ถนนประเสริฐมนูกิจ</v>
      </c>
      <c r="Z1503" s="3" t="str">
        <f>IFERROR(__xludf.DUMMYFUNCTION("""COMPUTED_VALUE"""),"จรเข้บัว")</f>
        <v>จรเข้บัว</v>
      </c>
      <c r="AA1503" s="3" t="str">
        <f>IFERROR(__xludf.DUMMYFUNCTION("""COMPUTED_VALUE"""),"ลาดพร้าว")</f>
        <v>ลาดพร้าว</v>
      </c>
      <c r="AB1503" s="3" t="str">
        <f>IFERROR(__xludf.DUMMYFUNCTION("""COMPUTED_VALUE"""),"กรุงเทพมหานคร")</f>
        <v>กรุงเทพมหานคร</v>
      </c>
      <c r="AC1503" s="3">
        <f>IFERROR(__xludf.DUMMYFUNCTION("""COMPUTED_VALUE"""),10230.0)</f>
        <v>10230</v>
      </c>
      <c r="AD1503" s="3">
        <f>IFERROR(__xludf.DUMMYFUNCTION("""COMPUTED_VALUE"""),13.839691)</f>
        <v>13.839691</v>
      </c>
      <c r="AE1503" s="3">
        <f>IFERROR(__xludf.DUMMYFUNCTION("""COMPUTED_VALUE"""),100.59829)</f>
        <v>100.59829</v>
      </c>
      <c r="AF1503" s="3" t="str">
        <f>IFERROR(__xludf.DUMMYFUNCTION("""COMPUTED_VALUE"""),"MBC บางจากเกษตร-นวมินทร์ กรุงเทพฯ-22188")</f>
        <v>MBC บางจากเกษตร-นวมินทร์ กรุงเทพฯ-22188</v>
      </c>
      <c r="AG1503" s="3" t="str">
        <f>IFERROR(__xludf.DUMMYFUNCTION("""COMPUTED_VALUE"""),"กลาง")</f>
        <v>กลาง</v>
      </c>
      <c r="AH1503" s="3" t="str">
        <f>IFERROR(__xludf.DUMMYFUNCTION("""COMPUTED_VALUE"""),"#N/A")</f>
        <v>#N/A</v>
      </c>
      <c r="AI1503" s="3" t="str">
        <f>IFERROR(__xludf.DUMMYFUNCTION("""COMPUTED_VALUE"""),"Out of warranty")</f>
        <v>Out of warranty</v>
      </c>
      <c r="AJ1503" s="3">
        <f>IFERROR(__xludf.DUMMYFUNCTION("""COMPUTED_VALUE"""),65.0)</f>
        <v>65</v>
      </c>
      <c r="AK1503" s="3" t="str">
        <f>IFERROR(__xludf.DUMMYFUNCTION("""COMPUTED_VALUE"""),"MMS01")</f>
        <v>MMS01</v>
      </c>
      <c r="AL1503" s="3"/>
    </row>
    <row r="1504" ht="15.75" customHeight="1">
      <c r="A1504" s="1" t="str">
        <f>IFERROR(__xludf.DUMMYFUNCTION("""COMPUTED_VALUE"""),"22189")</f>
        <v>22189</v>
      </c>
      <c r="B1504" s="2">
        <f>IFERROR(__xludf.DUMMYFUNCTION("""COMPUTED_VALUE"""),22189.0)</f>
        <v>22189</v>
      </c>
      <c r="C1504" s="3" t="str">
        <f>IFERROR(__xludf.DUMMYFUNCTION("""COMPUTED_VALUE"""),"MBC ตลาดนิคมพระพุทธบาท สระบุรี")</f>
        <v>MBC ตลาดนิคมพระพุทธบาท สระบุรี</v>
      </c>
      <c r="D1504" s="3" t="str">
        <f>IFERROR(__xludf.DUMMYFUNCTION("""COMPUTED_VALUE"""),"BCM TALAD NIKHOM PHRAPUTTABAT")</f>
        <v>BCM TALAD NIKHOM PHRAPUTTABAT</v>
      </c>
      <c r="E1504" s="1" t="str">
        <f>IFERROR(__xludf.DUMMYFUNCTION("""COMPUTED_VALUE"""),"บิ๊กซี MINI")</f>
        <v>บิ๊กซี MINI</v>
      </c>
      <c r="F1504" s="1" t="str">
        <f>IFERROR(__xludf.DUMMYFUNCTION("""COMPUTED_VALUE"""),"296229")</f>
        <v>296229</v>
      </c>
      <c r="G1504" s="1" t="str">
        <f>IFERROR(__xludf.DUMMYFUNCTION("""COMPUTED_VALUE"""),"นายทนงศักดิ์ บุญมา")</f>
        <v>นายทนงศักดิ์ บุญมา</v>
      </c>
      <c r="H1504" s="1" t="str">
        <f>IFERROR(__xludf.DUMMYFUNCTION("""COMPUTED_VALUE"""),"291082")</f>
        <v>291082</v>
      </c>
      <c r="I1504" s="1" t="str">
        <f>IFERROR(__xludf.DUMMYFUNCTION("""COMPUTED_VALUE"""),"น.ส.วจี กันเกตุ")</f>
        <v>น.ส.วจี กันเกตุ</v>
      </c>
      <c r="J1504" s="3">
        <f>IFERROR(__xludf.DUMMYFUNCTION("""COMPUTED_VALUE"""),46214.0)</f>
        <v>46214</v>
      </c>
      <c r="K1504" s="3" t="str">
        <f>IFERROR(__xludf.DUMMYFUNCTION("""COMPUTED_VALUE"""),"นายศักดิ์ชัย เด็ดดอกฟ้า")</f>
        <v>นายศักดิ์ชัย เด็ดดอกฟ้า</v>
      </c>
      <c r="L1504" s="1" t="str">
        <f>IFERROR(__xludf.DUMMYFUNCTION("""COMPUTED_VALUE"""),"02 K.Sakchai D")</f>
        <v>02 K.Sakchai D</v>
      </c>
      <c r="M1504" s="1" t="str">
        <f>IFERROR(__xludf.DUMMYFUNCTION("""COMPUTED_VALUE"""),"065-510-7376")</f>
        <v>065-510-7376</v>
      </c>
      <c r="N1504" s="3">
        <f>IFERROR(__xludf.DUMMYFUNCTION("""COMPUTED_VALUE"""),21714.0)</f>
        <v>21714</v>
      </c>
      <c r="O1504" s="3" t="str">
        <f>IFERROR(__xludf.DUMMYFUNCTION("""COMPUTED_VALUE"""),"MBC เอสโซ่ วัดโบสถ์")</f>
        <v>MBC เอสโซ่ วัดโบสถ์</v>
      </c>
      <c r="P1504" s="4">
        <f>IFERROR(__xludf.DUMMYFUNCTION("""COMPUTED_VALUE"""),44064.0)</f>
        <v>44064</v>
      </c>
      <c r="Q1504" s="3" t="str">
        <f>IFERROR(__xludf.DUMMYFUNCTION("""COMPUTED_VALUE"""),"A")</f>
        <v>A</v>
      </c>
      <c r="R1504" s="3" t="str">
        <f>IFERROR(__xludf.DUMMYFUNCTION("""COMPUTED_VALUE"""),"Small Format")</f>
        <v>Small Format</v>
      </c>
      <c r="S1504" s="3" t="str">
        <f>IFERROR(__xludf.DUMMYFUNCTION("""COMPUTED_VALUE"""),"BCM")</f>
        <v>BCM</v>
      </c>
      <c r="T1504" s="3" t="str">
        <f>IFERROR(__xludf.DUMMYFUNCTION("""COMPUTED_VALUE"""),"#N/A")</f>
        <v>#N/A</v>
      </c>
      <c r="U1504" s="3" t="str">
        <f>IFERROR(__xludf.DUMMYFUNCTION("""COMPUTED_VALUE"""),"#N/A")</f>
        <v>#N/A</v>
      </c>
      <c r="V1504" s="3" t="str">
        <f>IFERROR(__xludf.DUMMYFUNCTION("""COMPUTED_VALUE"""),"N")</f>
        <v>N</v>
      </c>
      <c r="W1504" s="3">
        <f>IFERROR(__xludf.DUMMYFUNCTION("""COMPUTED_VALUE"""),210239.0)</f>
        <v>210239</v>
      </c>
      <c r="X1504" s="3" t="str">
        <f>IFERROR(__xludf.DUMMYFUNCTION("""COMPUTED_VALUE"""),"157 157/1-2 หมู่12 ตำบลธารเกษม อำเภอพระพุทธบาท จังหวัดสระบุรี 18120")</f>
        <v>157 157/1-2 หมู่12 ตำบลธารเกษม อำเภอพระพุทธบาท จังหวัดสระบุรี 18120</v>
      </c>
      <c r="Y1504" s="3"/>
      <c r="Z1504" s="3" t="str">
        <f>IFERROR(__xludf.DUMMYFUNCTION("""COMPUTED_VALUE"""),"หมู่12")</f>
        <v>หมู่12</v>
      </c>
      <c r="AA1504" s="3" t="str">
        <f>IFERROR(__xludf.DUMMYFUNCTION("""COMPUTED_VALUE"""),"พระพุทธบาท")</f>
        <v>พระพุทธบาท</v>
      </c>
      <c r="AB1504" s="3" t="str">
        <f>IFERROR(__xludf.DUMMYFUNCTION("""COMPUTED_VALUE"""),"สระบุรี")</f>
        <v>สระบุรี</v>
      </c>
      <c r="AC1504" s="3">
        <f>IFERROR(__xludf.DUMMYFUNCTION("""COMPUTED_VALUE"""),18120.0)</f>
        <v>18120</v>
      </c>
      <c r="AD1504" s="3">
        <f>IFERROR(__xludf.DUMMYFUNCTION("""COMPUTED_VALUE"""),14.727069)</f>
        <v>14.727069</v>
      </c>
      <c r="AE1504" s="3">
        <f>IFERROR(__xludf.DUMMYFUNCTION("""COMPUTED_VALUE"""),100.798296)</f>
        <v>100.798296</v>
      </c>
      <c r="AF1504" s="3" t="str">
        <f>IFERROR(__xludf.DUMMYFUNCTION("""COMPUTED_VALUE"""),"MBC ตลาดนิคมพระพุทธบาท สระบุรี-22189")</f>
        <v>MBC ตลาดนิคมพระพุทธบาท สระบุรี-22189</v>
      </c>
      <c r="AG1504" s="3" t="str">
        <f>IFERROR(__xludf.DUMMYFUNCTION("""COMPUTED_VALUE"""),"กลาง")</f>
        <v>กลาง</v>
      </c>
      <c r="AH1504" s="3" t="str">
        <f>IFERROR(__xludf.DUMMYFUNCTION("""COMPUTED_VALUE"""),"#N/A")</f>
        <v>#N/A</v>
      </c>
      <c r="AI1504" s="3" t="str">
        <f>IFERROR(__xludf.DUMMYFUNCTION("""COMPUTED_VALUE"""),"Out of warranty")</f>
        <v>Out of warranty</v>
      </c>
      <c r="AJ1504" s="3">
        <f>IFERROR(__xludf.DUMMYFUNCTION("""COMPUTED_VALUE"""),65.0)</f>
        <v>65</v>
      </c>
      <c r="AK1504" s="3" t="str">
        <f>IFERROR(__xludf.DUMMYFUNCTION("""COMPUTED_VALUE"""),"MMS09")</f>
        <v>MMS09</v>
      </c>
      <c r="AL1504" s="3"/>
    </row>
    <row r="1505" ht="15.75" customHeight="1">
      <c r="A1505" s="1" t="str">
        <f>IFERROR(__xludf.DUMMYFUNCTION("""COMPUTED_VALUE"""),"22190")</f>
        <v>22190</v>
      </c>
      <c r="B1505" s="2">
        <f>IFERROR(__xludf.DUMMYFUNCTION("""COMPUTED_VALUE"""),22190.0)</f>
        <v>22190</v>
      </c>
      <c r="C1505" s="3" t="str">
        <f>IFERROR(__xludf.DUMMYFUNCTION("""COMPUTED_VALUE"""),"MBC มาบยางพร บึงประดิษฐ์ ระยอง")</f>
        <v>MBC มาบยางพร บึงประดิษฐ์ ระยอง</v>
      </c>
      <c r="D1505" s="3" t="str">
        <f>IFERROR(__xludf.DUMMYFUNCTION("""COMPUTED_VALUE"""),"BCM MABYANGPORN-BUNGPRADIT")</f>
        <v>BCM MABYANGPORN-BUNGPRADIT</v>
      </c>
      <c r="E1505" s="1" t="str">
        <f>IFERROR(__xludf.DUMMYFUNCTION("""COMPUTED_VALUE"""),"บิ๊กซี MINI")</f>
        <v>บิ๊กซี MINI</v>
      </c>
      <c r="F1505" s="1" t="str">
        <f>IFERROR(__xludf.DUMMYFUNCTION("""COMPUTED_VALUE"""),"221716")</f>
        <v>221716</v>
      </c>
      <c r="G1505" s="1" t="str">
        <f>IFERROR(__xludf.DUMMYFUNCTION("""COMPUTED_VALUE"""),"น.ส.เบญจพร โพธิสาร")</f>
        <v>น.ส.เบญจพร โพธิสาร</v>
      </c>
      <c r="H1505" s="1" t="str">
        <f>IFERROR(__xludf.DUMMYFUNCTION("""COMPUTED_VALUE"""),"371384")</f>
        <v>371384</v>
      </c>
      <c r="I1505" s="1" t="str">
        <f>IFERROR(__xludf.DUMMYFUNCTION("""COMPUTED_VALUE"""),"น.ส.นิลเนตร สิงห์ทอง")</f>
        <v>น.ส.นิลเนตร สิงห์ทอง</v>
      </c>
      <c r="J1505" s="3">
        <f>IFERROR(__xludf.DUMMYFUNCTION("""COMPUTED_VALUE"""),2452376.0)</f>
        <v>2452376</v>
      </c>
      <c r="K1505" s="3" t="str">
        <f>IFERROR(__xludf.DUMMYFUNCTION("""COMPUTED_VALUE"""),"นายภาคภูมิ ทวีกุล")</f>
        <v>นายภาคภูมิ ทวีกุล</v>
      </c>
      <c r="L1505" s="1" t="str">
        <f>IFERROR(__xludf.DUMMYFUNCTION("""COMPUTED_VALUE"""),"08 K.Parkphum T.")</f>
        <v>08 K.Parkphum T.</v>
      </c>
      <c r="M1505" s="1" t="str">
        <f>IFERROR(__xludf.DUMMYFUNCTION("""COMPUTED_VALUE"""),"097-919-5476")</f>
        <v>097-919-5476</v>
      </c>
      <c r="N1505" s="3">
        <f>IFERROR(__xludf.DUMMYFUNCTION("""COMPUTED_VALUE"""),22028.0)</f>
        <v>22028</v>
      </c>
      <c r="O1505" s="3" t="str">
        <f>IFERROR(__xludf.DUMMYFUNCTION("""COMPUTED_VALUE"""),"MBC ทํบมา ระยอง")</f>
        <v>MBC ทํบมา ระยอง</v>
      </c>
      <c r="P1505" s="4">
        <f>IFERROR(__xludf.DUMMYFUNCTION("""COMPUTED_VALUE"""),44074.0)</f>
        <v>44074</v>
      </c>
      <c r="Q1505" s="3" t="str">
        <f>IFERROR(__xludf.DUMMYFUNCTION("""COMPUTED_VALUE"""),"A")</f>
        <v>A</v>
      </c>
      <c r="R1505" s="3" t="str">
        <f>IFERROR(__xludf.DUMMYFUNCTION("""COMPUTED_VALUE"""),"Small Format")</f>
        <v>Small Format</v>
      </c>
      <c r="S1505" s="3" t="str">
        <f>IFERROR(__xludf.DUMMYFUNCTION("""COMPUTED_VALUE"""),"BCM")</f>
        <v>BCM</v>
      </c>
      <c r="T1505" s="3" t="str">
        <f>IFERROR(__xludf.DUMMYFUNCTION("""COMPUTED_VALUE"""),"#N/A")</f>
        <v>#N/A</v>
      </c>
      <c r="U1505" s="3" t="str">
        <f>IFERROR(__xludf.DUMMYFUNCTION("""COMPUTED_VALUE"""),"#N/A")</f>
        <v>#N/A</v>
      </c>
      <c r="V1505" s="3" t="str">
        <f>IFERROR(__xludf.DUMMYFUNCTION("""COMPUTED_VALUE"""),"N")</f>
        <v>N</v>
      </c>
      <c r="W1505" s="3">
        <f>IFERROR(__xludf.DUMMYFUNCTION("""COMPUTED_VALUE"""),210222.0)</f>
        <v>210222</v>
      </c>
      <c r="X1505" s="3" t="str">
        <f>IFERROR(__xludf.DUMMYFUNCTION("""COMPUTED_VALUE"""),"73/3-10 หมู่6 ตำบลมาบยางพร อำเภอปลวกแดง จังหวัดระยอง 21140")</f>
        <v>73/3-10 หมู่6 ตำบลมาบยางพร อำเภอปลวกแดง จังหวัดระยอง 21140</v>
      </c>
      <c r="Y1505" s="3"/>
      <c r="Z1505" s="3" t="str">
        <f>IFERROR(__xludf.DUMMYFUNCTION("""COMPUTED_VALUE"""),"มาบยางพร")</f>
        <v>มาบยางพร</v>
      </c>
      <c r="AA1505" s="3" t="str">
        <f>IFERROR(__xludf.DUMMYFUNCTION("""COMPUTED_VALUE"""),"ปลวกแดง")</f>
        <v>ปลวกแดง</v>
      </c>
      <c r="AB1505" s="3" t="str">
        <f>IFERROR(__xludf.DUMMYFUNCTION("""COMPUTED_VALUE"""),"ระยอง")</f>
        <v>ระยอง</v>
      </c>
      <c r="AC1505" s="3">
        <f>IFERROR(__xludf.DUMMYFUNCTION("""COMPUTED_VALUE"""),21140.0)</f>
        <v>21140</v>
      </c>
      <c r="AD1505" s="3">
        <f>IFERROR(__xludf.DUMMYFUNCTION("""COMPUTED_VALUE"""),12.985335)</f>
        <v>12.985335</v>
      </c>
      <c r="AE1505" s="3">
        <f>IFERROR(__xludf.DUMMYFUNCTION("""COMPUTED_VALUE"""),101.113115)</f>
        <v>101.113115</v>
      </c>
      <c r="AF1505" s="3" t="str">
        <f>IFERROR(__xludf.DUMMYFUNCTION("""COMPUTED_VALUE"""),"MBC มาบยางพร บึงประดิษฐ์ ระยอง-22190")</f>
        <v>MBC มาบยางพร บึงประดิษฐ์ ระยอง-22190</v>
      </c>
      <c r="AG1505" s="3" t="str">
        <f>IFERROR(__xludf.DUMMYFUNCTION("""COMPUTED_VALUE"""),"ตะวันออก")</f>
        <v>ตะวันออก</v>
      </c>
      <c r="AH1505" s="3" t="str">
        <f>IFERROR(__xludf.DUMMYFUNCTION("""COMPUTED_VALUE"""),"#N/A")</f>
        <v>#N/A</v>
      </c>
      <c r="AI1505" s="3" t="str">
        <f>IFERROR(__xludf.DUMMYFUNCTION("""COMPUTED_VALUE"""),"Out of warranty")</f>
        <v>Out of warranty</v>
      </c>
      <c r="AJ1505" s="3">
        <f>IFERROR(__xludf.DUMMYFUNCTION("""COMPUTED_VALUE"""),65.0)</f>
        <v>65</v>
      </c>
      <c r="AK1505" s="3" t="str">
        <f>IFERROR(__xludf.DUMMYFUNCTION("""COMPUTED_VALUE"""),"MMS07")</f>
        <v>MMS07</v>
      </c>
      <c r="AL1505" s="3"/>
    </row>
    <row r="1506" ht="15.75" customHeight="1">
      <c r="A1506" s="1" t="str">
        <f>IFERROR(__xludf.DUMMYFUNCTION("""COMPUTED_VALUE"""),"22191")</f>
        <v>22191</v>
      </c>
      <c r="B1506" s="2">
        <f>IFERROR(__xludf.DUMMYFUNCTION("""COMPUTED_VALUE"""),22191.0)</f>
        <v>22191</v>
      </c>
      <c r="C1506" s="3" t="str">
        <f>IFERROR(__xludf.DUMMYFUNCTION("""COMPUTED_VALUE"""),"MBC ถ.ผังเมือง 4 (ซอยกอบฤทธิ์) ยะลา")</f>
        <v>MBC ถ.ผังเมือง 4 (ซอยกอบฤทธิ์) ยะลา</v>
      </c>
      <c r="D1506" s="3" t="str">
        <f>IFERROR(__xludf.DUMMYFUNCTION("""COMPUTED_VALUE"""),"BCM THANON PHANG MEUANG 4")</f>
        <v>BCM THANON PHANG MEUANG 4</v>
      </c>
      <c r="E1506" s="1" t="str">
        <f>IFERROR(__xludf.DUMMYFUNCTION("""COMPUTED_VALUE"""),"บิ๊กซี MINI")</f>
        <v>บิ๊กซี MINI</v>
      </c>
      <c r="F1506" s="1" t="str">
        <f>IFERROR(__xludf.DUMMYFUNCTION("""COMPUTED_VALUE"""),"250760")</f>
        <v>250760</v>
      </c>
      <c r="G1506" s="1" t="str">
        <f>IFERROR(__xludf.DUMMYFUNCTION("""COMPUTED_VALUE"""),"นายประทวน สาราบรรณ์")</f>
        <v>นายประทวน สาราบรรณ์</v>
      </c>
      <c r="H1506" s="1" t="str">
        <f>IFERROR(__xludf.DUMMYFUNCTION("""COMPUTED_VALUE"""),"485279")</f>
        <v>485279</v>
      </c>
      <c r="I1506" s="1" t="str">
        <f>IFERROR(__xludf.DUMMYFUNCTION("""COMPUTED_VALUE"""),"นายสิริพงศ์ ชูชื่น")</f>
        <v>นายสิริพงศ์ ชูชื่น</v>
      </c>
      <c r="J1506" s="3">
        <f>IFERROR(__xludf.DUMMYFUNCTION("""COMPUTED_VALUE"""),2.0470331E7)</f>
        <v>20470331</v>
      </c>
      <c r="K1506" s="3" t="str">
        <f>IFERROR(__xludf.DUMMYFUNCTION("""COMPUTED_VALUE"""),"นายสมชาย ลักษณะสุวรรณ")</f>
        <v>นายสมชาย ลักษณะสุวรรณ</v>
      </c>
      <c r="L1506" s="1" t="str">
        <f>IFERROR(__xludf.DUMMYFUNCTION("""COMPUTED_VALUE"""),"15 K.Somchai L")</f>
        <v>15 K.Somchai L</v>
      </c>
      <c r="M1506" s="1" t="str">
        <f>IFERROR(__xludf.DUMMYFUNCTION("""COMPUTED_VALUE"""),"0655107372")</f>
        <v>0655107372</v>
      </c>
      <c r="N1506" s="3">
        <f>IFERROR(__xludf.DUMMYFUNCTION("""COMPUTED_VALUE"""),21723.0)</f>
        <v>21723</v>
      </c>
      <c r="O1506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506" s="4">
        <f>IFERROR(__xludf.DUMMYFUNCTION("""COMPUTED_VALUE"""),44068.0)</f>
        <v>44068</v>
      </c>
      <c r="Q1506" s="3" t="str">
        <f>IFERROR(__xludf.DUMMYFUNCTION("""COMPUTED_VALUE"""),"A")</f>
        <v>A</v>
      </c>
      <c r="R1506" s="3" t="str">
        <f>IFERROR(__xludf.DUMMYFUNCTION("""COMPUTED_VALUE"""),"Small Format")</f>
        <v>Small Format</v>
      </c>
      <c r="S1506" s="3" t="str">
        <f>IFERROR(__xludf.DUMMYFUNCTION("""COMPUTED_VALUE"""),"BCM")</f>
        <v>BCM</v>
      </c>
      <c r="T1506" s="3" t="str">
        <f>IFERROR(__xludf.DUMMYFUNCTION("""COMPUTED_VALUE"""),"#N/A")</f>
        <v>#N/A</v>
      </c>
      <c r="U1506" s="3" t="str">
        <f>IFERROR(__xludf.DUMMYFUNCTION("""COMPUTED_VALUE"""),"#N/A")</f>
        <v>#N/A</v>
      </c>
      <c r="V1506" s="3" t="str">
        <f>IFERROR(__xludf.DUMMYFUNCTION("""COMPUTED_VALUE"""),"N")</f>
        <v>N</v>
      </c>
      <c r="W1506" s="3">
        <f>IFERROR(__xludf.DUMMYFUNCTION("""COMPUTED_VALUE"""),210194.0)</f>
        <v>210194</v>
      </c>
      <c r="X1506" s="3" t="str">
        <f>IFERROR(__xludf.DUMMYFUNCTION("""COMPUTED_VALUE"""),"720 722 ถนนผังเมือง4 ตำบลสะเตง อำเภอเมืองยะลา จังหวัดยะลา 95000")</f>
        <v>720 722 ถนนผังเมือง4 ตำบลสะเตง อำเภอเมืองยะลา จังหวัดยะลา 95000</v>
      </c>
      <c r="Y1506" s="3"/>
      <c r="Z1506" s="3" t="str">
        <f>IFERROR(__xludf.DUMMYFUNCTION("""COMPUTED_VALUE"""),"สะเตง")</f>
        <v>สะเตง</v>
      </c>
      <c r="AA1506" s="3" t="str">
        <f>IFERROR(__xludf.DUMMYFUNCTION("""COMPUTED_VALUE"""),"เมือง")</f>
        <v>เมือง</v>
      </c>
      <c r="AB1506" s="3" t="str">
        <f>IFERROR(__xludf.DUMMYFUNCTION("""COMPUTED_VALUE"""),"ยะลา")</f>
        <v>ยะลา</v>
      </c>
      <c r="AC1506" s="3">
        <f>IFERROR(__xludf.DUMMYFUNCTION("""COMPUTED_VALUE"""),95000.0)</f>
        <v>95000</v>
      </c>
      <c r="AD1506" s="3">
        <f>IFERROR(__xludf.DUMMYFUNCTION("""COMPUTED_VALUE"""),6.54325)</f>
        <v>6.54325</v>
      </c>
      <c r="AE1506" s="3">
        <f>IFERROR(__xludf.DUMMYFUNCTION("""COMPUTED_VALUE"""),101.290214)</f>
        <v>101.290214</v>
      </c>
      <c r="AF1506" s="3" t="str">
        <f>IFERROR(__xludf.DUMMYFUNCTION("""COMPUTED_VALUE"""),"MBC ถ.ผังเมือง 4 (ซอยกอบฤทธิ์) ยะลา-22191")</f>
        <v>MBC ถ.ผังเมือง 4 (ซอยกอบฤทธิ์) ยะลา-22191</v>
      </c>
      <c r="AG1506" s="3" t="str">
        <f>IFERROR(__xludf.DUMMYFUNCTION("""COMPUTED_VALUE"""),"ใต้")</f>
        <v>ใต้</v>
      </c>
      <c r="AH1506" s="3" t="str">
        <f>IFERROR(__xludf.DUMMYFUNCTION("""COMPUTED_VALUE"""),"#N/A")</f>
        <v>#N/A</v>
      </c>
      <c r="AI1506" s="3" t="str">
        <f>IFERROR(__xludf.DUMMYFUNCTION("""COMPUTED_VALUE"""),"Out of warranty")</f>
        <v>Out of warranty</v>
      </c>
      <c r="AJ1506" s="3">
        <f>IFERROR(__xludf.DUMMYFUNCTION("""COMPUTED_VALUE"""),65.0)</f>
        <v>65</v>
      </c>
      <c r="AK1506" s="3" t="str">
        <f>IFERROR(__xludf.DUMMYFUNCTION("""COMPUTED_VALUE"""),"MMS16")</f>
        <v>MMS16</v>
      </c>
      <c r="AL1506" s="3"/>
    </row>
    <row r="1507" ht="15.75" customHeight="1">
      <c r="A1507" s="1" t="str">
        <f>IFERROR(__xludf.DUMMYFUNCTION("""COMPUTED_VALUE"""),"22192")</f>
        <v>22192</v>
      </c>
      <c r="B1507" s="2">
        <f>IFERROR(__xludf.DUMMYFUNCTION("""COMPUTED_VALUE"""),22192.0)</f>
        <v>22192</v>
      </c>
      <c r="C1507" s="3" t="str">
        <f>IFERROR(__xludf.DUMMYFUNCTION("""COMPUTED_VALUE"""),"MBC ชุมชนพระขาว พระนครศรีอยุธยา")</f>
        <v>MBC ชุมชนพระขาว พระนครศรีอยุธยา</v>
      </c>
      <c r="D1507" s="3" t="str">
        <f>IFERROR(__xludf.DUMMYFUNCTION("""COMPUTED_VALUE"""),"BCM CHUM CHON PHRA KAOW")</f>
        <v>BCM CHUM CHON PHRA KAOW</v>
      </c>
      <c r="E1507" s="1" t="str">
        <f>IFERROR(__xludf.DUMMYFUNCTION("""COMPUTED_VALUE"""),"บิ๊กซี MINI")</f>
        <v>บิ๊กซี MINI</v>
      </c>
      <c r="F1507" s="1" t="str">
        <f>IFERROR(__xludf.DUMMYFUNCTION("""COMPUTED_VALUE"""),"296229")</f>
        <v>296229</v>
      </c>
      <c r="G1507" s="1" t="str">
        <f>IFERROR(__xludf.DUMMYFUNCTION("""COMPUTED_VALUE"""),"นายทนงศักดิ์ บุญมา")</f>
        <v>นายทนงศักดิ์ บุญมา</v>
      </c>
      <c r="H1507" s="1" t="str">
        <f>IFERROR(__xludf.DUMMYFUNCTION("""COMPUTED_VALUE"""),"211363")</f>
        <v>211363</v>
      </c>
      <c r="I1507" s="1" t="str">
        <f>IFERROR(__xludf.DUMMYFUNCTION("""COMPUTED_VALUE"""),"นายสามารถ บุญลับ")</f>
        <v>นายสามารถ บุญลับ</v>
      </c>
      <c r="J1507" s="3">
        <f>IFERROR(__xludf.DUMMYFUNCTION("""COMPUTED_VALUE"""),46214.0)</f>
        <v>46214</v>
      </c>
      <c r="K1507" s="3" t="str">
        <f>IFERROR(__xludf.DUMMYFUNCTION("""COMPUTED_VALUE"""),"นายศักดิ์ชัย เด็ดดอกฟ้า")</f>
        <v>นายศักดิ์ชัย เด็ดดอกฟ้า</v>
      </c>
      <c r="L1507" s="1" t="str">
        <f>IFERROR(__xludf.DUMMYFUNCTION("""COMPUTED_VALUE"""),"02 K.Sakchai D")</f>
        <v>02 K.Sakchai D</v>
      </c>
      <c r="M1507" s="1" t="str">
        <f>IFERROR(__xludf.DUMMYFUNCTION("""COMPUTED_VALUE"""),"065-510-7376")</f>
        <v>065-510-7376</v>
      </c>
      <c r="N1507" s="3">
        <f>IFERROR(__xludf.DUMMYFUNCTION("""COMPUTED_VALUE"""),21714.0)</f>
        <v>21714</v>
      </c>
      <c r="O1507" s="3" t="str">
        <f>IFERROR(__xludf.DUMMYFUNCTION("""COMPUTED_VALUE"""),"MBC เอสโซ่ วัดโบสถ์")</f>
        <v>MBC เอสโซ่ วัดโบสถ์</v>
      </c>
      <c r="P1507" s="4">
        <f>IFERROR(__xludf.DUMMYFUNCTION("""COMPUTED_VALUE"""),44068.0)</f>
        <v>44068</v>
      </c>
      <c r="Q1507" s="3" t="str">
        <f>IFERROR(__xludf.DUMMYFUNCTION("""COMPUTED_VALUE"""),"A")</f>
        <v>A</v>
      </c>
      <c r="R1507" s="3" t="str">
        <f>IFERROR(__xludf.DUMMYFUNCTION("""COMPUTED_VALUE"""),"Small Format")</f>
        <v>Small Format</v>
      </c>
      <c r="S1507" s="3" t="str">
        <f>IFERROR(__xludf.DUMMYFUNCTION("""COMPUTED_VALUE"""),"BCM")</f>
        <v>BCM</v>
      </c>
      <c r="T1507" s="3" t="str">
        <f>IFERROR(__xludf.DUMMYFUNCTION("""COMPUTED_VALUE"""),"#N/A")</f>
        <v>#N/A</v>
      </c>
      <c r="U1507" s="3" t="str">
        <f>IFERROR(__xludf.DUMMYFUNCTION("""COMPUTED_VALUE"""),"#N/A")</f>
        <v>#N/A</v>
      </c>
      <c r="V1507" s="3" t="str">
        <f>IFERROR(__xludf.DUMMYFUNCTION("""COMPUTED_VALUE"""),"N")</f>
        <v>N</v>
      </c>
      <c r="W1507" s="3">
        <f>IFERROR(__xludf.DUMMYFUNCTION("""COMPUTED_VALUE"""),210227.0)</f>
        <v>210227</v>
      </c>
      <c r="X1507" s="3" t="str">
        <f>IFERROR(__xludf.DUMMYFUNCTION("""COMPUTED_VALUE"""),"100 หมู่7 ตำบลพระขาว อำเภอบางบาล จังหวัดพระนครศรีอยุธยา 13250")</f>
        <v>100 หมู่7 ตำบลพระขาว อำเภอบางบาล จังหวัดพระนครศรีอยุธยา 13250</v>
      </c>
      <c r="Y1507" s="3"/>
      <c r="Z1507" s="3" t="str">
        <f>IFERROR(__xludf.DUMMYFUNCTION("""COMPUTED_VALUE"""),"พระขาว")</f>
        <v>พระขาว</v>
      </c>
      <c r="AA1507" s="3" t="str">
        <f>IFERROR(__xludf.DUMMYFUNCTION("""COMPUTED_VALUE"""),"บางบาล")</f>
        <v>บางบาล</v>
      </c>
      <c r="AB1507" s="3" t="str">
        <f>IFERROR(__xludf.DUMMYFUNCTION("""COMPUTED_VALUE"""),"พระนครศรีอยุธยา")</f>
        <v>พระนครศรีอยุธยา</v>
      </c>
      <c r="AC1507" s="3">
        <f>IFERROR(__xludf.DUMMYFUNCTION("""COMPUTED_VALUE"""),13250.0)</f>
        <v>13250</v>
      </c>
      <c r="AD1507" s="3">
        <f>IFERROR(__xludf.DUMMYFUNCTION("""COMPUTED_VALUE"""),14.324649)</f>
        <v>14.324649</v>
      </c>
      <c r="AE1507" s="3">
        <f>IFERROR(__xludf.DUMMYFUNCTION("""COMPUTED_VALUE"""),100.454449)</f>
        <v>100.454449</v>
      </c>
      <c r="AF1507" s="3" t="str">
        <f>IFERROR(__xludf.DUMMYFUNCTION("""COMPUTED_VALUE"""),"MBC ชุมชนพระขาว พระนครศรีอยุธยา-22192")</f>
        <v>MBC ชุมชนพระขาว พระนครศรีอยุธยา-22192</v>
      </c>
      <c r="AG1507" s="3" t="str">
        <f>IFERROR(__xludf.DUMMYFUNCTION("""COMPUTED_VALUE"""),"กลาง")</f>
        <v>กลาง</v>
      </c>
      <c r="AH1507" s="3" t="str">
        <f>IFERROR(__xludf.DUMMYFUNCTION("""COMPUTED_VALUE"""),"#N/A")</f>
        <v>#N/A</v>
      </c>
      <c r="AI1507" s="3" t="str">
        <f>IFERROR(__xludf.DUMMYFUNCTION("""COMPUTED_VALUE"""),"Out of warranty")</f>
        <v>Out of warranty</v>
      </c>
      <c r="AJ1507" s="3">
        <f>IFERROR(__xludf.DUMMYFUNCTION("""COMPUTED_VALUE"""),65.0)</f>
        <v>65</v>
      </c>
      <c r="AK1507" s="3" t="str">
        <f>IFERROR(__xludf.DUMMYFUNCTION("""COMPUTED_VALUE"""),"MMS04")</f>
        <v>MMS04</v>
      </c>
      <c r="AL1507" s="3"/>
    </row>
    <row r="1508" ht="15.75" customHeight="1">
      <c r="A1508" s="1" t="str">
        <f>IFERROR(__xludf.DUMMYFUNCTION("""COMPUTED_VALUE"""),"22193")</f>
        <v>22193</v>
      </c>
      <c r="B1508" s="2">
        <f>IFERROR(__xludf.DUMMYFUNCTION("""COMPUTED_VALUE"""),22193.0)</f>
        <v>22193</v>
      </c>
      <c r="C1508" s="3" t="str">
        <f>IFERROR(__xludf.DUMMYFUNCTION("""COMPUTED_VALUE"""),"MBC ตลาดรุ่งโรจน์เจริญทรัพย์ กาญจนบุรี")</f>
        <v>MBC ตลาดรุ่งโรจน์เจริญทรัพย์ กาญจนบุรี</v>
      </c>
      <c r="D1508" s="3" t="str">
        <f>IFERROR(__xludf.DUMMYFUNCTION("""COMPUTED_VALUE"""),"BCM TALAD RUNGROJ CHAROENSUB")</f>
        <v>BCM TALAD RUNGROJ CHAROENSUB</v>
      </c>
      <c r="E1508" s="1" t="str">
        <f>IFERROR(__xludf.DUMMYFUNCTION("""COMPUTED_VALUE"""),"บิ๊กซี MINI")</f>
        <v>บิ๊กซี MINI</v>
      </c>
      <c r="F1508" s="1" t="str">
        <f>IFERROR(__xludf.DUMMYFUNCTION("""COMPUTED_VALUE"""),"2083447")</f>
        <v>2083447</v>
      </c>
      <c r="G1508" s="1" t="str">
        <f>IFERROR(__xludf.DUMMYFUNCTION("""COMPUTED_VALUE"""),"นายอนุกูล ศรีลัดดา")</f>
        <v>นายอนุกูล ศรีลัดดา</v>
      </c>
      <c r="H1508" s="1" t="str">
        <f>IFERROR(__xludf.DUMMYFUNCTION("""COMPUTED_VALUE"""),"391191")</f>
        <v>391191</v>
      </c>
      <c r="I1508" s="1" t="str">
        <f>IFERROR(__xludf.DUMMYFUNCTION("""COMPUTED_VALUE"""),"นายวสันต์ สรงพรมทิพย์")</f>
        <v>นายวสันต์ สรงพรมทิพย์</v>
      </c>
      <c r="J1508" s="3">
        <f>IFERROR(__xludf.DUMMYFUNCTION("""COMPUTED_VALUE"""),2451655.0)</f>
        <v>2451655</v>
      </c>
      <c r="K1508" s="3" t="str">
        <f>IFERROR(__xludf.DUMMYFUNCTION("""COMPUTED_VALUE"""),"นายวิษณุพงษ์ ชินบุตร")</f>
        <v>นายวิษณุพงษ์ ชินบุตร</v>
      </c>
      <c r="L1508" s="1" t="str">
        <f>IFERROR(__xludf.DUMMYFUNCTION("""COMPUTED_VALUE"""),"13 K.Wisanupong Ch")</f>
        <v>13 K.Wisanupong Ch</v>
      </c>
      <c r="M1508" s="1" t="str">
        <f>IFERROR(__xludf.DUMMYFUNCTION("""COMPUTED_VALUE"""),"0843374693")</f>
        <v>0843374693</v>
      </c>
      <c r="N1508" s="3">
        <f>IFERROR(__xludf.DUMMYFUNCTION("""COMPUTED_VALUE"""),22729.0)</f>
        <v>22729</v>
      </c>
      <c r="O1508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508" s="4">
        <f>IFERROR(__xludf.DUMMYFUNCTION("""COMPUTED_VALUE"""),44066.0)</f>
        <v>44066</v>
      </c>
      <c r="Q1508" s="3" t="str">
        <f>IFERROR(__xludf.DUMMYFUNCTION("""COMPUTED_VALUE"""),"A")</f>
        <v>A</v>
      </c>
      <c r="R1508" s="3" t="str">
        <f>IFERROR(__xludf.DUMMYFUNCTION("""COMPUTED_VALUE"""),"Small Format")</f>
        <v>Small Format</v>
      </c>
      <c r="S1508" s="3" t="str">
        <f>IFERROR(__xludf.DUMMYFUNCTION("""COMPUTED_VALUE"""),"BCM")</f>
        <v>BCM</v>
      </c>
      <c r="T1508" s="3" t="str">
        <f>IFERROR(__xludf.DUMMYFUNCTION("""COMPUTED_VALUE"""),"#N/A")</f>
        <v>#N/A</v>
      </c>
      <c r="U1508" s="3" t="str">
        <f>IFERROR(__xludf.DUMMYFUNCTION("""COMPUTED_VALUE"""),"#N/A")</f>
        <v>#N/A</v>
      </c>
      <c r="V1508" s="3" t="str">
        <f>IFERROR(__xludf.DUMMYFUNCTION("""COMPUTED_VALUE"""),"N")</f>
        <v>N</v>
      </c>
      <c r="W1508" s="3">
        <f>IFERROR(__xludf.DUMMYFUNCTION("""COMPUTED_VALUE"""),210226.0)</f>
        <v>210226</v>
      </c>
      <c r="X1508" s="3" t="str">
        <f>IFERROR(__xludf.DUMMYFUNCTION("""COMPUTED_VALUE"""),"170/11 หมู่12 ตำบลพระแท่ม อำเภอท่ามะกา จังหวัดกาญจนบุรี 71130")</f>
        <v>170/11 หมู่12 ตำบลพระแท่ม อำเภอท่ามะกา จังหวัดกาญจนบุรี 71130</v>
      </c>
      <c r="Y1508" s="3"/>
      <c r="Z1508" s="3" t="str">
        <f>IFERROR(__xludf.DUMMYFUNCTION("""COMPUTED_VALUE"""),"พระแท่ม")</f>
        <v>พระแท่ม</v>
      </c>
      <c r="AA1508" s="3" t="str">
        <f>IFERROR(__xludf.DUMMYFUNCTION("""COMPUTED_VALUE"""),"ท่ามะกา")</f>
        <v>ท่ามะกา</v>
      </c>
      <c r="AB1508" s="3" t="str">
        <f>IFERROR(__xludf.DUMMYFUNCTION("""COMPUTED_VALUE"""),"กาญจนบุรี")</f>
        <v>กาญจนบุรี</v>
      </c>
      <c r="AC1508" s="3">
        <f>IFERROR(__xludf.DUMMYFUNCTION("""COMPUTED_VALUE"""),71130.0)</f>
        <v>71130</v>
      </c>
      <c r="AD1508" s="3">
        <f>IFERROR(__xludf.DUMMYFUNCTION("""COMPUTED_VALUE"""),14.036072)</f>
        <v>14.036072</v>
      </c>
      <c r="AE1508" s="3">
        <f>IFERROR(__xludf.DUMMYFUNCTION("""COMPUTED_VALUE"""),99.795196)</f>
        <v>99.795196</v>
      </c>
      <c r="AF1508" s="3" t="str">
        <f>IFERROR(__xludf.DUMMYFUNCTION("""COMPUTED_VALUE"""),"MBC ตลาดรุ่งโรจน์เจริญทรัพย์ กาญจนบุรี-22193")</f>
        <v>MBC ตลาดรุ่งโรจน์เจริญทรัพย์ กาญจนบุรี-22193</v>
      </c>
      <c r="AG1508" s="3" t="str">
        <f>IFERROR(__xludf.DUMMYFUNCTION("""COMPUTED_VALUE"""),"ตะวันตก")</f>
        <v>ตะวันตก</v>
      </c>
      <c r="AH1508" s="3" t="str">
        <f>IFERROR(__xludf.DUMMYFUNCTION("""COMPUTED_VALUE"""),"#N/A")</f>
        <v>#N/A</v>
      </c>
      <c r="AI1508" s="3" t="str">
        <f>IFERROR(__xludf.DUMMYFUNCTION("""COMPUTED_VALUE"""),"Out of warranty")</f>
        <v>Out of warranty</v>
      </c>
      <c r="AJ1508" s="3">
        <f>IFERROR(__xludf.DUMMYFUNCTION("""COMPUTED_VALUE"""),65.0)</f>
        <v>65</v>
      </c>
      <c r="AK1508" s="3" t="str">
        <f>IFERROR(__xludf.DUMMYFUNCTION("""COMPUTED_VALUE"""),"MMS05")</f>
        <v>MMS05</v>
      </c>
      <c r="AL1508" s="3"/>
    </row>
    <row r="1509" ht="15.75" customHeight="1">
      <c r="A1509" s="1" t="str">
        <f>IFERROR(__xludf.DUMMYFUNCTION("""COMPUTED_VALUE"""),"22194")</f>
        <v>22194</v>
      </c>
      <c r="B1509" s="2">
        <f>IFERROR(__xludf.DUMMYFUNCTION("""COMPUTED_VALUE"""),22194.0)</f>
        <v>22194</v>
      </c>
      <c r="C1509" s="3" t="str">
        <f>IFERROR(__xludf.DUMMYFUNCTION("""COMPUTED_VALUE"""),"MBC บ้านทะเลน้อย พัทลุง")</f>
        <v>MBC บ้านทะเลน้อย พัทลุง</v>
      </c>
      <c r="D1509" s="3" t="str">
        <f>IFERROR(__xludf.DUMMYFUNCTION("""COMPUTED_VALUE"""),"BCM BAN TALAY NOI PHATTHALUNG")</f>
        <v>BCM BAN TALAY NOI PHATTHALUNG</v>
      </c>
      <c r="E1509" s="1" t="str">
        <f>IFERROR(__xludf.DUMMYFUNCTION("""COMPUTED_VALUE"""),"บิ๊กซี MINI")</f>
        <v>บิ๊กซี MINI</v>
      </c>
      <c r="F1509" s="1" t="str">
        <f>IFERROR(__xludf.DUMMYFUNCTION("""COMPUTED_VALUE"""),"250760")</f>
        <v>250760</v>
      </c>
      <c r="G1509" s="1" t="str">
        <f>IFERROR(__xludf.DUMMYFUNCTION("""COMPUTED_VALUE"""),"นายประทวน สาราบรรณ์")</f>
        <v>นายประทวน สาราบรรณ์</v>
      </c>
      <c r="H1509" s="1" t="str">
        <f>IFERROR(__xludf.DUMMYFUNCTION("""COMPUTED_VALUE"""),"394100")</f>
        <v>394100</v>
      </c>
      <c r="I1509" s="1" t="str">
        <f>IFERROR(__xludf.DUMMYFUNCTION("""COMPUTED_VALUE"""),"นายไพโรจน์ ถิระผะลิกะ")</f>
        <v>นายไพโรจน์ ถิระผะลิกะ</v>
      </c>
      <c r="J1509" s="3">
        <f>IFERROR(__xludf.DUMMYFUNCTION("""COMPUTED_VALUE"""),2.0470331E7)</f>
        <v>20470331</v>
      </c>
      <c r="K1509" s="3" t="str">
        <f>IFERROR(__xludf.DUMMYFUNCTION("""COMPUTED_VALUE"""),"นายสมชาย ลักษณะสุวรรณ")</f>
        <v>นายสมชาย ลักษณะสุวรรณ</v>
      </c>
      <c r="L1509" s="1" t="str">
        <f>IFERROR(__xludf.DUMMYFUNCTION("""COMPUTED_VALUE"""),"15 K.Somchai L")</f>
        <v>15 K.Somchai L</v>
      </c>
      <c r="M1509" s="1" t="str">
        <f>IFERROR(__xludf.DUMMYFUNCTION("""COMPUTED_VALUE"""),"0655107372")</f>
        <v>0655107372</v>
      </c>
      <c r="N1509" s="3">
        <f>IFERROR(__xludf.DUMMYFUNCTION("""COMPUTED_VALUE"""),21723.0)</f>
        <v>21723</v>
      </c>
      <c r="O1509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509" s="4">
        <f>IFERROR(__xludf.DUMMYFUNCTION("""COMPUTED_VALUE"""),44070.0)</f>
        <v>44070</v>
      </c>
      <c r="Q1509" s="3" t="str">
        <f>IFERROR(__xludf.DUMMYFUNCTION("""COMPUTED_VALUE"""),"A")</f>
        <v>A</v>
      </c>
      <c r="R1509" s="3" t="str">
        <f>IFERROR(__xludf.DUMMYFUNCTION("""COMPUTED_VALUE"""),"Small Format")</f>
        <v>Small Format</v>
      </c>
      <c r="S1509" s="3" t="str">
        <f>IFERROR(__xludf.DUMMYFUNCTION("""COMPUTED_VALUE"""),"BCM")</f>
        <v>BCM</v>
      </c>
      <c r="T1509" s="3" t="str">
        <f>IFERROR(__xludf.DUMMYFUNCTION("""COMPUTED_VALUE"""),"#N/A")</f>
        <v>#N/A</v>
      </c>
      <c r="U1509" s="3" t="str">
        <f>IFERROR(__xludf.DUMMYFUNCTION("""COMPUTED_VALUE"""),"#N/A")</f>
        <v>#N/A</v>
      </c>
      <c r="V1509" s="3" t="str">
        <f>IFERROR(__xludf.DUMMYFUNCTION("""COMPUTED_VALUE"""),"N")</f>
        <v>N</v>
      </c>
      <c r="W1509" s="3">
        <f>IFERROR(__xludf.DUMMYFUNCTION("""COMPUTED_VALUE"""),210221.0)</f>
        <v>210221</v>
      </c>
      <c r="X1509" s="3" t="str">
        <f>IFERROR(__xludf.DUMMYFUNCTION("""COMPUTED_VALUE"""),"259 392 หมู่3 ตำบลพนางตุง อำเภอควนขนุน จังหวัดพัทลุง 93150")</f>
        <v>259 392 หมู่3 ตำบลพนางตุง อำเภอควนขนุน จังหวัดพัทลุง 93150</v>
      </c>
      <c r="Y1509" s="3"/>
      <c r="Z1509" s="3" t="str">
        <f>IFERROR(__xludf.DUMMYFUNCTION("""COMPUTED_VALUE"""),"หมู่3")</f>
        <v>หมู่3</v>
      </c>
      <c r="AA1509" s="3" t="str">
        <f>IFERROR(__xludf.DUMMYFUNCTION("""COMPUTED_VALUE"""),"ควนขนุน")</f>
        <v>ควนขนุน</v>
      </c>
      <c r="AB1509" s="3" t="str">
        <f>IFERROR(__xludf.DUMMYFUNCTION("""COMPUTED_VALUE"""),"พัทลุง")</f>
        <v>พัทลุง</v>
      </c>
      <c r="AC1509" s="3">
        <f>IFERROR(__xludf.DUMMYFUNCTION("""COMPUTED_VALUE"""),93150.0)</f>
        <v>93150</v>
      </c>
      <c r="AD1509" s="3">
        <f>IFERROR(__xludf.DUMMYFUNCTION("""COMPUTED_VALUE"""),7.777753)</f>
        <v>7.777753</v>
      </c>
      <c r="AE1509" s="3">
        <f>IFERROR(__xludf.DUMMYFUNCTION("""COMPUTED_VALUE"""),100.116789)</f>
        <v>100.116789</v>
      </c>
      <c r="AF1509" s="3" t="str">
        <f>IFERROR(__xludf.DUMMYFUNCTION("""COMPUTED_VALUE"""),"MBC บ้านทะเลน้อย พัทลุง-22194")</f>
        <v>MBC บ้านทะเลน้อย พัทลุง-22194</v>
      </c>
      <c r="AG1509" s="3" t="str">
        <f>IFERROR(__xludf.DUMMYFUNCTION("""COMPUTED_VALUE"""),"ใต้")</f>
        <v>ใต้</v>
      </c>
      <c r="AH1509" s="3" t="str">
        <f>IFERROR(__xludf.DUMMYFUNCTION("""COMPUTED_VALUE"""),"#N/A")</f>
        <v>#N/A</v>
      </c>
      <c r="AI1509" s="3" t="str">
        <f>IFERROR(__xludf.DUMMYFUNCTION("""COMPUTED_VALUE"""),"Out of warranty")</f>
        <v>Out of warranty</v>
      </c>
      <c r="AJ1509" s="3">
        <f>IFERROR(__xludf.DUMMYFUNCTION("""COMPUTED_VALUE"""),65.0)</f>
        <v>65</v>
      </c>
      <c r="AK1509" s="3" t="str">
        <f>IFERROR(__xludf.DUMMYFUNCTION("""COMPUTED_VALUE"""),"MMS15")</f>
        <v>MMS15</v>
      </c>
      <c r="AL1509" s="3"/>
    </row>
    <row r="1510" ht="15.75" customHeight="1">
      <c r="A1510" s="1" t="str">
        <f>IFERROR(__xludf.DUMMYFUNCTION("""COMPUTED_VALUE"""),"22195")</f>
        <v>22195</v>
      </c>
      <c r="B1510" s="2">
        <f>IFERROR(__xludf.DUMMYFUNCTION("""COMPUTED_VALUE"""),22195.0)</f>
        <v>22195</v>
      </c>
      <c r="C1510" s="3" t="str">
        <f>IFERROR(__xludf.DUMMYFUNCTION("""COMPUTED_VALUE"""),"MBC กันทรลักษ์ ศรีสะเกษ")</f>
        <v>MBC กันทรลักษ์ ศรีสะเกษ</v>
      </c>
      <c r="D1510" s="3" t="str">
        <f>IFERROR(__xludf.DUMMYFUNCTION("""COMPUTED_VALUE"""),"BCM KANTHARALAK SISAKET")</f>
        <v>BCM KANTHARALAK SISAKET</v>
      </c>
      <c r="E1510" s="1" t="str">
        <f>IFERROR(__xludf.DUMMYFUNCTION("""COMPUTED_VALUE"""),"บิ๊กซี MINI")</f>
        <v>บิ๊กซี MINI</v>
      </c>
      <c r="F1510" s="1" t="str">
        <f>IFERROR(__xludf.DUMMYFUNCTION("""COMPUTED_VALUE"""),"291105")</f>
        <v>291105</v>
      </c>
      <c r="G1510" s="1" t="str">
        <f>IFERROR(__xludf.DUMMYFUNCTION("""COMPUTED_VALUE"""),"นายสราวุฒิ พณิชยกุล")</f>
        <v>นายสราวุฒิ พณิชยกุล</v>
      </c>
      <c r="H1510" s="1" t="str">
        <f>IFERROR(__xludf.DUMMYFUNCTION("""COMPUTED_VALUE"""),"398146")</f>
        <v>398146</v>
      </c>
      <c r="I1510" s="1" t="str">
        <f>IFERROR(__xludf.DUMMYFUNCTION("""COMPUTED_VALUE"""),"น.ส.กนกสิริ สุขหอม")</f>
        <v>น.ส.กนกสิริ สุขหอม</v>
      </c>
      <c r="J1510" s="3">
        <f>IFERROR(__xludf.DUMMYFUNCTION("""COMPUTED_VALUE"""),2454781.0)</f>
        <v>2454781</v>
      </c>
      <c r="K1510" s="3" t="str">
        <f>IFERROR(__xludf.DUMMYFUNCTION("""COMPUTED_VALUE"""),"นายฌานกฤช นันทะโคต")</f>
        <v>นายฌานกฤช นันทะโคต</v>
      </c>
      <c r="L1510" s="1" t="str">
        <f>IFERROR(__xludf.DUMMYFUNCTION("""COMPUTED_VALUE"""),"05 K.Chanakrit N.")</f>
        <v>05 K.Chanakrit N.</v>
      </c>
      <c r="M1510" s="1" t="str">
        <f>IFERROR(__xludf.DUMMYFUNCTION("""COMPUTED_VALUE"""),"090-978-9785 ,065-929-1320")</f>
        <v>090-978-9785 ,065-929-1320</v>
      </c>
      <c r="N1510" s="3">
        <f>IFERROR(__xludf.DUMMYFUNCTION("""COMPUTED_VALUE"""),22195.0)</f>
        <v>22195</v>
      </c>
      <c r="O1510" s="3" t="str">
        <f>IFERROR(__xludf.DUMMYFUNCTION("""COMPUTED_VALUE"""),"MBC กันทรลักษ์ ศรีสะเกษ")</f>
        <v>MBC กันทรลักษ์ ศรีสะเกษ</v>
      </c>
      <c r="P1510" s="4">
        <f>IFERROR(__xludf.DUMMYFUNCTION("""COMPUTED_VALUE"""),44068.0)</f>
        <v>44068</v>
      </c>
      <c r="Q1510" s="3" t="str">
        <f>IFERROR(__xludf.DUMMYFUNCTION("""COMPUTED_VALUE"""),"A")</f>
        <v>A</v>
      </c>
      <c r="R1510" s="3" t="str">
        <f>IFERROR(__xludf.DUMMYFUNCTION("""COMPUTED_VALUE"""),"Small Format")</f>
        <v>Small Format</v>
      </c>
      <c r="S1510" s="3" t="str">
        <f>IFERROR(__xludf.DUMMYFUNCTION("""COMPUTED_VALUE"""),"BCM")</f>
        <v>BCM</v>
      </c>
      <c r="T1510" s="3" t="str">
        <f>IFERROR(__xludf.DUMMYFUNCTION("""COMPUTED_VALUE"""),"#N/A")</f>
        <v>#N/A</v>
      </c>
      <c r="U1510" s="3" t="str">
        <f>IFERROR(__xludf.DUMMYFUNCTION("""COMPUTED_VALUE"""),"#N/A")</f>
        <v>#N/A</v>
      </c>
      <c r="V1510" s="3" t="str">
        <f>IFERROR(__xludf.DUMMYFUNCTION("""COMPUTED_VALUE"""),"N")</f>
        <v>N</v>
      </c>
      <c r="W1510" s="3">
        <f>IFERROR(__xludf.DUMMYFUNCTION("""COMPUTED_VALUE"""),210235.0)</f>
        <v>210235</v>
      </c>
      <c r="X1510" s="3" t="str">
        <f>IFERROR(__xludf.DUMMYFUNCTION("""COMPUTED_VALUE"""),"1036 หมู่5 ตำบลน้ำอ้อม อำเภอกันทรลักษ์ จังหวัดศรีสะเกษ 33110")</f>
        <v>1036 หมู่5 ตำบลน้ำอ้อม อำเภอกันทรลักษ์ จังหวัดศรีสะเกษ 33110</v>
      </c>
      <c r="Y1510" s="3"/>
      <c r="Z1510" s="3" t="str">
        <f>IFERROR(__xludf.DUMMYFUNCTION("""COMPUTED_VALUE"""),"น้ำอ้อม")</f>
        <v>น้ำอ้อม</v>
      </c>
      <c r="AA1510" s="3" t="str">
        <f>IFERROR(__xludf.DUMMYFUNCTION("""COMPUTED_VALUE"""),"กันทรลักษ์")</f>
        <v>กันทรลักษ์</v>
      </c>
      <c r="AB1510" s="3" t="str">
        <f>IFERROR(__xludf.DUMMYFUNCTION("""COMPUTED_VALUE"""),"ศรีสะเกษ")</f>
        <v>ศรีสะเกษ</v>
      </c>
      <c r="AC1510" s="3">
        <f>IFERROR(__xludf.DUMMYFUNCTION("""COMPUTED_VALUE"""),33110.0)</f>
        <v>33110</v>
      </c>
      <c r="AD1510" s="3">
        <f>IFERROR(__xludf.DUMMYFUNCTION("""COMPUTED_VALUE"""),14.646454)</f>
        <v>14.646454</v>
      </c>
      <c r="AE1510" s="3">
        <f>IFERROR(__xludf.DUMMYFUNCTION("""COMPUTED_VALUE"""),104.650288)</f>
        <v>104.650288</v>
      </c>
      <c r="AF1510" s="3" t="str">
        <f>IFERROR(__xludf.DUMMYFUNCTION("""COMPUTED_VALUE"""),"MBC กันทรลักษ์ ศรีสะเกษ-22195")</f>
        <v>MBC กันทรลักษ์ ศรีสะเกษ-22195</v>
      </c>
      <c r="AG1510" s="3" t="str">
        <f>IFERROR(__xludf.DUMMYFUNCTION("""COMPUTED_VALUE"""),"ตะวันออกเฉียงเหนือ")</f>
        <v>ตะวันออกเฉียงเหนือ</v>
      </c>
      <c r="AH1510" s="3" t="str">
        <f>IFERROR(__xludf.DUMMYFUNCTION("""COMPUTED_VALUE"""),"#N/A")</f>
        <v>#N/A</v>
      </c>
      <c r="AI1510" s="3" t="str">
        <f>IFERROR(__xludf.DUMMYFUNCTION("""COMPUTED_VALUE"""),"Out of warranty")</f>
        <v>Out of warranty</v>
      </c>
      <c r="AJ1510" s="3">
        <f>IFERROR(__xludf.DUMMYFUNCTION("""COMPUTED_VALUE"""),65.0)</f>
        <v>65</v>
      </c>
      <c r="AK1510" s="3" t="str">
        <f>IFERROR(__xludf.DUMMYFUNCTION("""COMPUTED_VALUE"""),"MMS13")</f>
        <v>MMS13</v>
      </c>
      <c r="AL1510" s="3"/>
    </row>
    <row r="1511" ht="15.75" customHeight="1">
      <c r="A1511" s="1" t="str">
        <f>IFERROR(__xludf.DUMMYFUNCTION("""COMPUTED_VALUE"""),"22196")</f>
        <v>22196</v>
      </c>
      <c r="B1511" s="2">
        <f>IFERROR(__xludf.DUMMYFUNCTION("""COMPUTED_VALUE"""),22196.0)</f>
        <v>22196</v>
      </c>
      <c r="C1511" s="3" t="str">
        <f>IFERROR(__xludf.DUMMYFUNCTION("""COMPUTED_VALUE"""),"MBC มาบยางพร - เปี่ยมสุข ระยอง")</f>
        <v>MBC มาบยางพร - เปี่ยมสุข ระยอง</v>
      </c>
      <c r="D1511" s="3" t="str">
        <f>IFERROR(__xludf.DUMMYFUNCTION("""COMPUTED_VALUE"""),"BCM MABYANGPORN-PIAMSUK")</f>
        <v>BCM MABYANGPORN-PIAMSUK</v>
      </c>
      <c r="E1511" s="1" t="str">
        <f>IFERROR(__xludf.DUMMYFUNCTION("""COMPUTED_VALUE"""),"บิ๊กซี MINI")</f>
        <v>บิ๊กซี MINI</v>
      </c>
      <c r="F1511" s="1" t="str">
        <f>IFERROR(__xludf.DUMMYFUNCTION("""COMPUTED_VALUE"""),"221716")</f>
        <v>221716</v>
      </c>
      <c r="G1511" s="1" t="str">
        <f>IFERROR(__xludf.DUMMYFUNCTION("""COMPUTED_VALUE"""),"น.ส.เบญจพร โพธิสาร")</f>
        <v>น.ส.เบญจพร โพธิสาร</v>
      </c>
      <c r="H1511" s="1" t="str">
        <f>IFERROR(__xludf.DUMMYFUNCTION("""COMPUTED_VALUE"""),"371384")</f>
        <v>371384</v>
      </c>
      <c r="I1511" s="1" t="str">
        <f>IFERROR(__xludf.DUMMYFUNCTION("""COMPUTED_VALUE"""),"น.ส.นิลเนตร สิงห์ทอง")</f>
        <v>น.ส.นิลเนตร สิงห์ทอง</v>
      </c>
      <c r="J1511" s="3">
        <f>IFERROR(__xludf.DUMMYFUNCTION("""COMPUTED_VALUE"""),2452376.0)</f>
        <v>2452376</v>
      </c>
      <c r="K1511" s="3" t="str">
        <f>IFERROR(__xludf.DUMMYFUNCTION("""COMPUTED_VALUE"""),"นายภาคภูมิ ทวีกุล")</f>
        <v>นายภาคภูมิ ทวีกุล</v>
      </c>
      <c r="L1511" s="1" t="str">
        <f>IFERROR(__xludf.DUMMYFUNCTION("""COMPUTED_VALUE"""),"08 K.Parkphum T.")</f>
        <v>08 K.Parkphum T.</v>
      </c>
      <c r="M1511" s="1" t="str">
        <f>IFERROR(__xludf.DUMMYFUNCTION("""COMPUTED_VALUE"""),"097-919-5476")</f>
        <v>097-919-5476</v>
      </c>
      <c r="N1511" s="3">
        <f>IFERROR(__xludf.DUMMYFUNCTION("""COMPUTED_VALUE"""),22028.0)</f>
        <v>22028</v>
      </c>
      <c r="O1511" s="3" t="str">
        <f>IFERROR(__xludf.DUMMYFUNCTION("""COMPUTED_VALUE"""),"MBC ทํบมา ระยอง")</f>
        <v>MBC ทํบมา ระยอง</v>
      </c>
      <c r="P1511" s="4">
        <f>IFERROR(__xludf.DUMMYFUNCTION("""COMPUTED_VALUE"""),44073.0)</f>
        <v>44073</v>
      </c>
      <c r="Q1511" s="3" t="str">
        <f>IFERROR(__xludf.DUMMYFUNCTION("""COMPUTED_VALUE"""),"A")</f>
        <v>A</v>
      </c>
      <c r="R1511" s="3" t="str">
        <f>IFERROR(__xludf.DUMMYFUNCTION("""COMPUTED_VALUE"""),"Small Format")</f>
        <v>Small Format</v>
      </c>
      <c r="S1511" s="3" t="str">
        <f>IFERROR(__xludf.DUMMYFUNCTION("""COMPUTED_VALUE"""),"BCM")</f>
        <v>BCM</v>
      </c>
      <c r="T1511" s="3" t="str">
        <f>IFERROR(__xludf.DUMMYFUNCTION("""COMPUTED_VALUE"""),"#N/A")</f>
        <v>#N/A</v>
      </c>
      <c r="U1511" s="3" t="str">
        <f>IFERROR(__xludf.DUMMYFUNCTION("""COMPUTED_VALUE"""),"#N/A")</f>
        <v>#N/A</v>
      </c>
      <c r="V1511" s="3" t="str">
        <f>IFERROR(__xludf.DUMMYFUNCTION("""COMPUTED_VALUE"""),"N")</f>
        <v>N</v>
      </c>
      <c r="W1511" s="3">
        <f>IFERROR(__xludf.DUMMYFUNCTION("""COMPUTED_VALUE"""),210234.0)</f>
        <v>210234</v>
      </c>
      <c r="X1511" s="3" t="str">
        <f>IFERROR(__xludf.DUMMYFUNCTION("""COMPUTED_VALUE"""),"222/6 หมู่6 ตำบลมาบยางพร อำเภอปลวกแดง จังหวัดระยอง 21140")</f>
        <v>222/6 หมู่6 ตำบลมาบยางพร อำเภอปลวกแดง จังหวัดระยอง 21140</v>
      </c>
      <c r="Y1511" s="3"/>
      <c r="Z1511" s="3" t="str">
        <f>IFERROR(__xludf.DUMMYFUNCTION("""COMPUTED_VALUE"""),"มาบยางพร")</f>
        <v>มาบยางพร</v>
      </c>
      <c r="AA1511" s="3" t="str">
        <f>IFERROR(__xludf.DUMMYFUNCTION("""COMPUTED_VALUE"""),"ปลวกแดง")</f>
        <v>ปลวกแดง</v>
      </c>
      <c r="AB1511" s="3" t="str">
        <f>IFERROR(__xludf.DUMMYFUNCTION("""COMPUTED_VALUE"""),"ระยอง")</f>
        <v>ระยอง</v>
      </c>
      <c r="AC1511" s="3">
        <f>IFERROR(__xludf.DUMMYFUNCTION("""COMPUTED_VALUE"""),21140.0)</f>
        <v>21140</v>
      </c>
      <c r="AD1511" s="3">
        <f>IFERROR(__xludf.DUMMYFUNCTION("""COMPUTED_VALUE"""),12.993321)</f>
        <v>12.993321</v>
      </c>
      <c r="AE1511" s="3">
        <f>IFERROR(__xludf.DUMMYFUNCTION("""COMPUTED_VALUE"""),101.132011)</f>
        <v>101.132011</v>
      </c>
      <c r="AF1511" s="3" t="str">
        <f>IFERROR(__xludf.DUMMYFUNCTION("""COMPUTED_VALUE"""),"MBC มาบยางพร - เปี่ยมสุข ระยอง-22196")</f>
        <v>MBC มาบยางพร - เปี่ยมสุข ระยอง-22196</v>
      </c>
      <c r="AG1511" s="3" t="str">
        <f>IFERROR(__xludf.DUMMYFUNCTION("""COMPUTED_VALUE"""),"ตะวันออก")</f>
        <v>ตะวันออก</v>
      </c>
      <c r="AH1511" s="3" t="str">
        <f>IFERROR(__xludf.DUMMYFUNCTION("""COMPUTED_VALUE"""),"#N/A")</f>
        <v>#N/A</v>
      </c>
      <c r="AI1511" s="3" t="str">
        <f>IFERROR(__xludf.DUMMYFUNCTION("""COMPUTED_VALUE"""),"Out of warranty")</f>
        <v>Out of warranty</v>
      </c>
      <c r="AJ1511" s="3">
        <f>IFERROR(__xludf.DUMMYFUNCTION("""COMPUTED_VALUE"""),65.0)</f>
        <v>65</v>
      </c>
      <c r="AK1511" s="3" t="str">
        <f>IFERROR(__xludf.DUMMYFUNCTION("""COMPUTED_VALUE"""),"MMS07")</f>
        <v>MMS07</v>
      </c>
      <c r="AL1511" s="3"/>
    </row>
    <row r="1512" ht="15.75" customHeight="1">
      <c r="A1512" s="1" t="str">
        <f>IFERROR(__xludf.DUMMYFUNCTION("""COMPUTED_VALUE"""),"22197")</f>
        <v>22197</v>
      </c>
      <c r="B1512" s="2">
        <f>IFERROR(__xludf.DUMMYFUNCTION("""COMPUTED_VALUE"""),22197.0)</f>
        <v>22197</v>
      </c>
      <c r="C1512" s="3" t="str">
        <f>IFERROR(__xludf.DUMMYFUNCTION("""COMPUTED_VALUE"""),"MBC ตลาดหนองมน ชลบุรี")</f>
        <v>MBC ตลาดหนองมน ชลบุรี</v>
      </c>
      <c r="D1512" s="3" t="str">
        <f>IFERROR(__xludf.DUMMYFUNCTION("""COMPUTED_VALUE"""),"BCM TALAD NONG MON")</f>
        <v>BCM TALAD NONG MON</v>
      </c>
      <c r="E1512" s="1" t="str">
        <f>IFERROR(__xludf.DUMMYFUNCTION("""COMPUTED_VALUE"""),"บิ๊กซี MINI")</f>
        <v>บิ๊กซี MINI</v>
      </c>
      <c r="F1512" s="1" t="str">
        <f>IFERROR(__xludf.DUMMYFUNCTION("""COMPUTED_VALUE"""),"250760")</f>
        <v>250760</v>
      </c>
      <c r="G1512" s="1" t="str">
        <f>IFERROR(__xludf.DUMMYFUNCTION("""COMPUTED_VALUE"""),"นายประทวน สาราบรรณ์")</f>
        <v>นายประทวน สาราบรรณ์</v>
      </c>
      <c r="H1512" s="1" t="str">
        <f>IFERROR(__xludf.DUMMYFUNCTION("""COMPUTED_VALUE"""),"034605")</f>
        <v>034605</v>
      </c>
      <c r="I1512" s="1" t="str">
        <f>IFERROR(__xludf.DUMMYFUNCTION("""COMPUTED_VALUE"""),"นายธรรมรัตน์ สุขเจริญ")</f>
        <v>นายธรรมรัตน์ สุขเจริญ</v>
      </c>
      <c r="J1512" s="3">
        <f>IFERROR(__xludf.DUMMYFUNCTION("""COMPUTED_VALUE"""),295541.0)</f>
        <v>295541</v>
      </c>
      <c r="K1512" s="3" t="str">
        <f>IFERROR(__xludf.DUMMYFUNCTION("""COMPUTED_VALUE"""),"นายรพิพล ศรีมาตย์")</f>
        <v>นายรพิพล ศรีมาตย์</v>
      </c>
      <c r="L1512" s="1" t="str">
        <f>IFERROR(__xludf.DUMMYFUNCTION("""COMPUTED_VALUE"""),"นายรพิพล ศรีมาตย์")</f>
        <v>นายรพิพล ศรีมาตย์</v>
      </c>
      <c r="M1512" s="1" t="str">
        <f>IFERROR(__xludf.DUMMYFUNCTION("""COMPUTED_VALUE"""),"0613966115")</f>
        <v>0613966115</v>
      </c>
      <c r="N1512" s="3">
        <f>IFERROR(__xludf.DUMMYFUNCTION("""COMPUTED_VALUE"""),21175.0)</f>
        <v>21175</v>
      </c>
      <c r="O1512" s="3" t="str">
        <f>IFERROR(__xludf.DUMMYFUNCTION("""COMPUTED_VALUE"""),"MBC BCP กิ่งแก้ว")</f>
        <v>MBC BCP กิ่งแก้ว</v>
      </c>
      <c r="P1512" s="4">
        <f>IFERROR(__xludf.DUMMYFUNCTION("""COMPUTED_VALUE"""),44099.0)</f>
        <v>44099</v>
      </c>
      <c r="Q1512" s="3" t="str">
        <f>IFERROR(__xludf.DUMMYFUNCTION("""COMPUTED_VALUE"""),"I")</f>
        <v>I</v>
      </c>
      <c r="R1512" s="3" t="str">
        <f>IFERROR(__xludf.DUMMYFUNCTION("""COMPUTED_VALUE"""),"Small Format")</f>
        <v>Small Format</v>
      </c>
      <c r="S1512" s="3" t="str">
        <f>IFERROR(__xludf.DUMMYFUNCTION("""COMPUTED_VALUE"""),"BCM")</f>
        <v>BCM</v>
      </c>
      <c r="T1512" s="3" t="str">
        <f>IFERROR(__xludf.DUMMYFUNCTION("""COMPUTED_VALUE"""),"#N/A")</f>
        <v>#N/A</v>
      </c>
      <c r="U1512" s="3" t="str">
        <f>IFERROR(__xludf.DUMMYFUNCTION("""COMPUTED_VALUE"""),"#N/A")</f>
        <v>#N/A</v>
      </c>
      <c r="V1512" s="3" t="str">
        <f>IFERROR(__xludf.DUMMYFUNCTION("""COMPUTED_VALUE"""),"N")</f>
        <v>N</v>
      </c>
      <c r="W1512" s="3">
        <f>IFERROR(__xludf.DUMMYFUNCTION("""COMPUTED_VALUE"""),210225.0)</f>
        <v>210225</v>
      </c>
      <c r="X1512" s="3" t="str">
        <f>IFERROR(__xludf.DUMMYFUNCTION("""COMPUTED_VALUE"""),"234 234/1-2 ถนนสุขุมวิท ตำบลแสนสุข อำเภอเมืองชลบุรี จังหวัดชลบุรี 20130")</f>
        <v>234 234/1-2 ถนนสุขุมวิท ตำบลแสนสุข อำเภอเมืองชลบุรี จังหวัดชลบุรี 20130</v>
      </c>
      <c r="Y1512" s="3"/>
      <c r="Z1512" s="3" t="str">
        <f>IFERROR(__xludf.DUMMYFUNCTION("""COMPUTED_VALUE"""),"แสนสุข")</f>
        <v>แสนสุข</v>
      </c>
      <c r="AA1512" s="3" t="str">
        <f>IFERROR(__xludf.DUMMYFUNCTION("""COMPUTED_VALUE"""),"เมือง")</f>
        <v>เมือง</v>
      </c>
      <c r="AB1512" s="3" t="str">
        <f>IFERROR(__xludf.DUMMYFUNCTION("""COMPUTED_VALUE"""),"ชลบุรี")</f>
        <v>ชลบุรี</v>
      </c>
      <c r="AC1512" s="3">
        <f>IFERROR(__xludf.DUMMYFUNCTION("""COMPUTED_VALUE"""),20130.0)</f>
        <v>20130</v>
      </c>
      <c r="AD1512" s="3">
        <f>IFERROR(__xludf.DUMMYFUNCTION("""COMPUTED_VALUE"""),13.2794)</f>
        <v>13.2794</v>
      </c>
      <c r="AE1512" s="3">
        <f>IFERROR(__xludf.DUMMYFUNCTION("""COMPUTED_VALUE"""),100.936225)</f>
        <v>100.936225</v>
      </c>
      <c r="AF1512" s="3" t="str">
        <f>IFERROR(__xludf.DUMMYFUNCTION("""COMPUTED_VALUE"""),"MBC ตลาดหนองมน ชลบุรี-22197")</f>
        <v>MBC ตลาดหนองมน ชลบุรี-22197</v>
      </c>
      <c r="AG1512" s="3" t="str">
        <f>IFERROR(__xludf.DUMMYFUNCTION("""COMPUTED_VALUE"""),"ตะวันออก")</f>
        <v>ตะวันออก</v>
      </c>
      <c r="AH1512" s="3" t="str">
        <f>IFERROR(__xludf.DUMMYFUNCTION("""COMPUTED_VALUE"""),"#N/A")</f>
        <v>#N/A</v>
      </c>
      <c r="AI1512" s="3" t="str">
        <f>IFERROR(__xludf.DUMMYFUNCTION("""COMPUTED_VALUE"""),"Out of warranty")</f>
        <v>Out of warranty</v>
      </c>
      <c r="AJ1512" s="3">
        <f>IFERROR(__xludf.DUMMYFUNCTION("""COMPUTED_VALUE"""),64.0)</f>
        <v>64</v>
      </c>
      <c r="AK1512" s="3"/>
      <c r="AL1512" s="3"/>
    </row>
    <row r="1513" ht="15.75" customHeight="1">
      <c r="A1513" s="1" t="str">
        <f>IFERROR(__xludf.DUMMYFUNCTION("""COMPUTED_VALUE"""),"22198")</f>
        <v>22198</v>
      </c>
      <c r="B1513" s="2">
        <f>IFERROR(__xludf.DUMMYFUNCTION("""COMPUTED_VALUE"""),22198.0)</f>
        <v>22198</v>
      </c>
      <c r="C1513" s="3" t="str">
        <f>IFERROR(__xludf.DUMMYFUNCTION("""COMPUTED_VALUE"""),"MBC วิเศษสุขนคร เฟส2 สมุทรสาคร")</f>
        <v>MBC วิเศษสุขนคร เฟส2 สมุทรสาคร</v>
      </c>
      <c r="D1513" s="3" t="str">
        <f>IFERROR(__xludf.DUMMYFUNCTION("""COMPUTED_VALUE"""),"BCM WISETSUK NAKHON PHASE 2")</f>
        <v>BCM WISETSUK NAKHON PHASE 2</v>
      </c>
      <c r="E1513" s="1" t="str">
        <f>IFERROR(__xludf.DUMMYFUNCTION("""COMPUTED_VALUE"""),"บิ๊กซี MINI")</f>
        <v>บิ๊กซี MINI</v>
      </c>
      <c r="F1513" s="1" t="str">
        <f>IFERROR(__xludf.DUMMYFUNCTION("""COMPUTED_VALUE"""),"2083447")</f>
        <v>2083447</v>
      </c>
      <c r="G1513" s="1" t="str">
        <f>IFERROR(__xludf.DUMMYFUNCTION("""COMPUTED_VALUE"""),"นายอนุกูล ศรีลัดดา")</f>
        <v>นายอนุกูล ศรีลัดดา</v>
      </c>
      <c r="H1513" s="1" t="str">
        <f>IFERROR(__xludf.DUMMYFUNCTION("""COMPUTED_VALUE"""),"2455053")</f>
        <v>2455053</v>
      </c>
      <c r="I1513" s="1" t="str">
        <f>IFERROR(__xludf.DUMMYFUNCTION("""COMPUTED_VALUE"""),"นายพันธมิตร โพธิ")</f>
        <v>นายพันธมิตร โพธิ</v>
      </c>
      <c r="J1513" s="3">
        <f>IFERROR(__xludf.DUMMYFUNCTION("""COMPUTED_VALUE"""),2451655.0)</f>
        <v>2451655</v>
      </c>
      <c r="K1513" s="3" t="str">
        <f>IFERROR(__xludf.DUMMYFUNCTION("""COMPUTED_VALUE"""),"นายวิษณุพงษ์ ชินบุตร")</f>
        <v>นายวิษณุพงษ์ ชินบุตร</v>
      </c>
      <c r="L1513" s="1" t="str">
        <f>IFERROR(__xludf.DUMMYFUNCTION("""COMPUTED_VALUE"""),"13 K.Wisanupong Ch")</f>
        <v>13 K.Wisanupong Ch</v>
      </c>
      <c r="M1513" s="1" t="str">
        <f>IFERROR(__xludf.DUMMYFUNCTION("""COMPUTED_VALUE"""),"0843374693")</f>
        <v>0843374693</v>
      </c>
      <c r="N1513" s="3">
        <f>IFERROR(__xludf.DUMMYFUNCTION("""COMPUTED_VALUE"""),22729.0)</f>
        <v>22729</v>
      </c>
      <c r="O1513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513" s="4">
        <f>IFERROR(__xludf.DUMMYFUNCTION("""COMPUTED_VALUE"""),44072.0)</f>
        <v>44072</v>
      </c>
      <c r="Q1513" s="3" t="str">
        <f>IFERROR(__xludf.DUMMYFUNCTION("""COMPUTED_VALUE"""),"A")</f>
        <v>A</v>
      </c>
      <c r="R1513" s="3" t="str">
        <f>IFERROR(__xludf.DUMMYFUNCTION("""COMPUTED_VALUE"""),"Small Format")</f>
        <v>Small Format</v>
      </c>
      <c r="S1513" s="3" t="str">
        <f>IFERROR(__xludf.DUMMYFUNCTION("""COMPUTED_VALUE"""),"BCM")</f>
        <v>BCM</v>
      </c>
      <c r="T1513" s="3" t="str">
        <f>IFERROR(__xludf.DUMMYFUNCTION("""COMPUTED_VALUE"""),"#N/A")</f>
        <v>#N/A</v>
      </c>
      <c r="U1513" s="3" t="str">
        <f>IFERROR(__xludf.DUMMYFUNCTION("""COMPUTED_VALUE"""),"#N/A")</f>
        <v>#N/A</v>
      </c>
      <c r="V1513" s="3" t="str">
        <f>IFERROR(__xludf.DUMMYFUNCTION("""COMPUTED_VALUE"""),"N")</f>
        <v>N</v>
      </c>
      <c r="W1513" s="3">
        <f>IFERROR(__xludf.DUMMYFUNCTION("""COMPUTED_VALUE"""),210240.0)</f>
        <v>210240</v>
      </c>
      <c r="X1513" s="3" t="str">
        <f>IFERROR(__xludf.DUMMYFUNCTION("""COMPUTED_VALUE"""),"1/19 หมุ่6 ตำบลพันท้ายนรสิงห์ อำเภอเมืองสมุทรสาคร จังหวัดสมุทรสาคร 74000")</f>
        <v>1/19 หมุ่6 ตำบลพันท้ายนรสิงห์ อำเภอเมืองสมุทรสาคร จังหวัดสมุทรสาคร 74000</v>
      </c>
      <c r="Y1513" s="3"/>
      <c r="Z1513" s="3" t="str">
        <f>IFERROR(__xludf.DUMMYFUNCTION("""COMPUTED_VALUE"""),"พันท้ายนรสิงห์")</f>
        <v>พันท้ายนรสิงห์</v>
      </c>
      <c r="AA1513" s="3" t="str">
        <f>IFERROR(__xludf.DUMMYFUNCTION("""COMPUTED_VALUE"""),"เมือง")</f>
        <v>เมือง</v>
      </c>
      <c r="AB1513" s="3" t="str">
        <f>IFERROR(__xludf.DUMMYFUNCTION("""COMPUTED_VALUE"""),"สมุทรสาคร")</f>
        <v>สมุทรสาคร</v>
      </c>
      <c r="AC1513" s="3">
        <f>IFERROR(__xludf.DUMMYFUNCTION("""COMPUTED_VALUE"""),74000.0)</f>
        <v>74000</v>
      </c>
      <c r="AD1513" s="3">
        <f>IFERROR(__xludf.DUMMYFUNCTION("""COMPUTED_VALUE"""),13.929113)</f>
        <v>13.929113</v>
      </c>
      <c r="AE1513" s="3">
        <f>IFERROR(__xludf.DUMMYFUNCTION("""COMPUTED_VALUE"""),100.506137)</f>
        <v>100.506137</v>
      </c>
      <c r="AF1513" s="3" t="str">
        <f>IFERROR(__xludf.DUMMYFUNCTION("""COMPUTED_VALUE"""),"MBC วิเศษสุขนคร เฟส2 สมุทรสาคร-22198")</f>
        <v>MBC วิเศษสุขนคร เฟส2 สมุทรสาคร-22198</v>
      </c>
      <c r="AG1513" s="3" t="str">
        <f>IFERROR(__xludf.DUMMYFUNCTION("""COMPUTED_VALUE"""),"กลาง")</f>
        <v>กลาง</v>
      </c>
      <c r="AH1513" s="3" t="str">
        <f>IFERROR(__xludf.DUMMYFUNCTION("""COMPUTED_VALUE"""),"#N/A")</f>
        <v>#N/A</v>
      </c>
      <c r="AI1513" s="3" t="str">
        <f>IFERROR(__xludf.DUMMYFUNCTION("""COMPUTED_VALUE"""),"Out of warranty")</f>
        <v>Out of warranty</v>
      </c>
      <c r="AJ1513" s="3">
        <f>IFERROR(__xludf.DUMMYFUNCTION("""COMPUTED_VALUE"""),65.0)</f>
        <v>65</v>
      </c>
      <c r="AK1513" s="3" t="str">
        <f>IFERROR(__xludf.DUMMYFUNCTION("""COMPUTED_VALUE"""),"MMS05")</f>
        <v>MMS05</v>
      </c>
      <c r="AL1513" s="3"/>
    </row>
    <row r="1514" ht="15.75" customHeight="1">
      <c r="A1514" s="1" t="str">
        <f>IFERROR(__xludf.DUMMYFUNCTION("""COMPUTED_VALUE"""),"22199")</f>
        <v>22199</v>
      </c>
      <c r="B1514" s="2">
        <f>IFERROR(__xludf.DUMMYFUNCTION("""COMPUTED_VALUE"""),22199.0)</f>
        <v>22199</v>
      </c>
      <c r="C1514" s="3" t="str">
        <f>IFERROR(__xludf.DUMMYFUNCTION("""COMPUTED_VALUE"""),"MBC วัดแหลมฟ้าผ่า สมุทรปราการ")</f>
        <v>MBC วัดแหลมฟ้าผ่า สมุทรปราการ</v>
      </c>
      <c r="D1514" s="3" t="str">
        <f>IFERROR(__xludf.DUMMYFUNCTION("""COMPUTED_VALUE"""),"BCM WAT LAEMFAPA")</f>
        <v>BCM WAT LAEMFAPA</v>
      </c>
      <c r="E1514" s="1" t="str">
        <f>IFERROR(__xludf.DUMMYFUNCTION("""COMPUTED_VALUE"""),"บิ๊กซี MINI")</f>
        <v>บิ๊กซี MINI</v>
      </c>
      <c r="F1514" s="1" t="str">
        <f>IFERROR(__xludf.DUMMYFUNCTION("""COMPUTED_VALUE"""),"2083447")</f>
        <v>2083447</v>
      </c>
      <c r="G1514" s="1" t="str">
        <f>IFERROR(__xludf.DUMMYFUNCTION("""COMPUTED_VALUE"""),"นายอนุกูล ศรีลัดดา")</f>
        <v>นายอนุกูล ศรีลัดดา</v>
      </c>
      <c r="H1514" s="1" t="str">
        <f>IFERROR(__xludf.DUMMYFUNCTION("""COMPUTED_VALUE"""),"379037")</f>
        <v>379037</v>
      </c>
      <c r="I1514" s="1" t="str">
        <f>IFERROR(__xludf.DUMMYFUNCTION("""COMPUTED_VALUE"""),"นางแก้วใจ แก้วกาญจน์")</f>
        <v>นางแก้วใจ แก้วกาญจน์</v>
      </c>
      <c r="J1514" s="3">
        <f>IFERROR(__xludf.DUMMYFUNCTION("""COMPUTED_VALUE"""),2451655.0)</f>
        <v>2451655</v>
      </c>
      <c r="K1514" s="3" t="str">
        <f>IFERROR(__xludf.DUMMYFUNCTION("""COMPUTED_VALUE"""),"นายวิษณุพงษ์ ชินบุตร")</f>
        <v>นายวิษณุพงษ์ ชินบุตร</v>
      </c>
      <c r="L1514" s="1" t="str">
        <f>IFERROR(__xludf.DUMMYFUNCTION("""COMPUTED_VALUE"""),"13 K.Wisanupong Ch")</f>
        <v>13 K.Wisanupong Ch</v>
      </c>
      <c r="M1514" s="1" t="str">
        <f>IFERROR(__xludf.DUMMYFUNCTION("""COMPUTED_VALUE"""),"0843374693")</f>
        <v>0843374693</v>
      </c>
      <c r="N1514" s="3">
        <f>IFERROR(__xludf.DUMMYFUNCTION("""COMPUTED_VALUE"""),22729.0)</f>
        <v>22729</v>
      </c>
      <c r="O1514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514" s="4">
        <f>IFERROR(__xludf.DUMMYFUNCTION("""COMPUTED_VALUE"""),44074.0)</f>
        <v>44074</v>
      </c>
      <c r="Q1514" s="3" t="str">
        <f>IFERROR(__xludf.DUMMYFUNCTION("""COMPUTED_VALUE"""),"A")</f>
        <v>A</v>
      </c>
      <c r="R1514" s="3" t="str">
        <f>IFERROR(__xludf.DUMMYFUNCTION("""COMPUTED_VALUE"""),"Small Format")</f>
        <v>Small Format</v>
      </c>
      <c r="S1514" s="3" t="str">
        <f>IFERROR(__xludf.DUMMYFUNCTION("""COMPUTED_VALUE"""),"BCM")</f>
        <v>BCM</v>
      </c>
      <c r="T1514" s="3" t="str">
        <f>IFERROR(__xludf.DUMMYFUNCTION("""COMPUTED_VALUE"""),"#N/A")</f>
        <v>#N/A</v>
      </c>
      <c r="U1514" s="3" t="str">
        <f>IFERROR(__xludf.DUMMYFUNCTION("""COMPUTED_VALUE"""),"#N/A")</f>
        <v>#N/A</v>
      </c>
      <c r="V1514" s="3" t="str">
        <f>IFERROR(__xludf.DUMMYFUNCTION("""COMPUTED_VALUE"""),"N")</f>
        <v>N</v>
      </c>
      <c r="W1514" s="3">
        <f>IFERROR(__xludf.DUMMYFUNCTION("""COMPUTED_VALUE"""),210213.0)</f>
        <v>210213</v>
      </c>
      <c r="X1514" s="3" t="str">
        <f>IFERROR(__xludf.DUMMYFUNCTION("""COMPUTED_VALUE"""),"92/3 หมู่7 ตำบลในคลองบางปลากด อำเภอพระสมุทรเจดีย์ จังหวัดสมุทรปราการ 10290")</f>
        <v>92/3 หมู่7 ตำบลในคลองบางปลากด อำเภอพระสมุทรเจดีย์ จังหวัดสมุทรปราการ 10290</v>
      </c>
      <c r="Y1514" s="3"/>
      <c r="Z1514" s="3" t="str">
        <f>IFERROR(__xludf.DUMMYFUNCTION("""COMPUTED_VALUE"""),"ในคลองบางปลากด")</f>
        <v>ในคลองบางปลากด</v>
      </c>
      <c r="AA1514" s="3" t="str">
        <f>IFERROR(__xludf.DUMMYFUNCTION("""COMPUTED_VALUE"""),"พระสมุทรเจดีย์")</f>
        <v>พระสมุทรเจดีย์</v>
      </c>
      <c r="AB1514" s="3" t="str">
        <f>IFERROR(__xludf.DUMMYFUNCTION("""COMPUTED_VALUE"""),"สมุทรปราการ")</f>
        <v>สมุทรปราการ</v>
      </c>
      <c r="AC1514" s="3">
        <f>IFERROR(__xludf.DUMMYFUNCTION("""COMPUTED_VALUE"""),10290.0)</f>
        <v>10290</v>
      </c>
      <c r="AD1514" s="3">
        <f>IFERROR(__xludf.DUMMYFUNCTION("""COMPUTED_VALUE"""),13.568733)</f>
        <v>13.568733</v>
      </c>
      <c r="AE1514" s="3">
        <f>IFERROR(__xludf.DUMMYFUNCTION("""COMPUTED_VALUE"""),100.550204)</f>
        <v>100.550204</v>
      </c>
      <c r="AF1514" s="3" t="str">
        <f>IFERROR(__xludf.DUMMYFUNCTION("""COMPUTED_VALUE"""),"MBC วัดแหลมฟ้าผ่า สมุทรปราการ-22199")</f>
        <v>MBC วัดแหลมฟ้าผ่า สมุทรปราการ-22199</v>
      </c>
      <c r="AG1514" s="3" t="str">
        <f>IFERROR(__xludf.DUMMYFUNCTION("""COMPUTED_VALUE"""),"กลาง")</f>
        <v>กลาง</v>
      </c>
      <c r="AH1514" s="3" t="str">
        <f>IFERROR(__xludf.DUMMYFUNCTION("""COMPUTED_VALUE"""),"#N/A")</f>
        <v>#N/A</v>
      </c>
      <c r="AI1514" s="3" t="str">
        <f>IFERROR(__xludf.DUMMYFUNCTION("""COMPUTED_VALUE"""),"Out of warranty")</f>
        <v>Out of warranty</v>
      </c>
      <c r="AJ1514" s="3">
        <f>IFERROR(__xludf.DUMMYFUNCTION("""COMPUTED_VALUE"""),65.0)</f>
        <v>65</v>
      </c>
      <c r="AK1514" s="3" t="str">
        <f>IFERROR(__xludf.DUMMYFUNCTION("""COMPUTED_VALUE"""),"MMS02")</f>
        <v>MMS02</v>
      </c>
      <c r="AL1514" s="3"/>
    </row>
    <row r="1515" ht="15.75" customHeight="1">
      <c r="A1515" s="1" t="str">
        <f>IFERROR(__xludf.DUMMYFUNCTION("""COMPUTED_VALUE"""),"22200")</f>
        <v>22200</v>
      </c>
      <c r="B1515" s="2">
        <f>IFERROR(__xludf.DUMMYFUNCTION("""COMPUTED_VALUE"""),22200.0)</f>
        <v>22200</v>
      </c>
      <c r="C1515" s="3" t="str">
        <f>IFERROR(__xludf.DUMMYFUNCTION("""COMPUTED_VALUE"""),"MBC พรสว่างนิเวศน์ สมุทรปราการ")</f>
        <v>MBC พรสว่างนิเวศน์ สมุทรปราการ</v>
      </c>
      <c r="D1515" s="3" t="str">
        <f>IFERROR(__xludf.DUMMYFUNCTION("""COMPUTED_VALUE"""),"BCM PHON SAWANG NIWET")</f>
        <v>BCM PHON SAWANG NIWET</v>
      </c>
      <c r="E1515" s="1" t="str">
        <f>IFERROR(__xludf.DUMMYFUNCTION("""COMPUTED_VALUE"""),"บิ๊กซี MINI")</f>
        <v>บิ๊กซี MINI</v>
      </c>
      <c r="F1515" s="1" t="str">
        <f>IFERROR(__xludf.DUMMYFUNCTION("""COMPUTED_VALUE"""),"2083447")</f>
        <v>2083447</v>
      </c>
      <c r="G1515" s="1" t="str">
        <f>IFERROR(__xludf.DUMMYFUNCTION("""COMPUTED_VALUE"""),"นายอนุกูล ศรีลัดดา")</f>
        <v>นายอนุกูล ศรีลัดดา</v>
      </c>
      <c r="H1515" s="1" t="str">
        <f>IFERROR(__xludf.DUMMYFUNCTION("""COMPUTED_VALUE"""),"284752")</f>
        <v>284752</v>
      </c>
      <c r="I1515" s="1" t="str">
        <f>IFERROR(__xludf.DUMMYFUNCTION("""COMPUTED_VALUE"""),"น.ส.วีรนันท์ แสงใส")</f>
        <v>น.ส.วีรนันท์ แสงใส</v>
      </c>
      <c r="J1515" s="3">
        <f>IFERROR(__xludf.DUMMYFUNCTION("""COMPUTED_VALUE"""),2451655.0)</f>
        <v>2451655</v>
      </c>
      <c r="K1515" s="3" t="str">
        <f>IFERROR(__xludf.DUMMYFUNCTION("""COMPUTED_VALUE"""),"นายวิษณุพงษ์ ชินบุตร")</f>
        <v>นายวิษณุพงษ์ ชินบุตร</v>
      </c>
      <c r="L1515" s="1" t="str">
        <f>IFERROR(__xludf.DUMMYFUNCTION("""COMPUTED_VALUE"""),"13 K.Wisanupong Ch")</f>
        <v>13 K.Wisanupong Ch</v>
      </c>
      <c r="M1515" s="1" t="str">
        <f>IFERROR(__xludf.DUMMYFUNCTION("""COMPUTED_VALUE"""),"0843374693")</f>
        <v>0843374693</v>
      </c>
      <c r="N1515" s="3">
        <f>IFERROR(__xludf.DUMMYFUNCTION("""COMPUTED_VALUE"""),22729.0)</f>
        <v>22729</v>
      </c>
      <c r="O1515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515" s="4">
        <f>IFERROR(__xludf.DUMMYFUNCTION("""COMPUTED_VALUE"""),44068.0)</f>
        <v>44068</v>
      </c>
      <c r="Q1515" s="3" t="str">
        <f>IFERROR(__xludf.DUMMYFUNCTION("""COMPUTED_VALUE"""),"A")</f>
        <v>A</v>
      </c>
      <c r="R1515" s="3" t="str">
        <f>IFERROR(__xludf.DUMMYFUNCTION("""COMPUTED_VALUE"""),"Small Format")</f>
        <v>Small Format</v>
      </c>
      <c r="S1515" s="3" t="str">
        <f>IFERROR(__xludf.DUMMYFUNCTION("""COMPUTED_VALUE"""),"BCM")</f>
        <v>BCM</v>
      </c>
      <c r="T1515" s="3" t="str">
        <f>IFERROR(__xludf.DUMMYFUNCTION("""COMPUTED_VALUE"""),"#N/A")</f>
        <v>#N/A</v>
      </c>
      <c r="U1515" s="3" t="str">
        <f>IFERROR(__xludf.DUMMYFUNCTION("""COMPUTED_VALUE"""),"#N/A")</f>
        <v>#N/A</v>
      </c>
      <c r="V1515" s="3" t="str">
        <f>IFERROR(__xludf.DUMMYFUNCTION("""COMPUTED_VALUE"""),"N")</f>
        <v>N</v>
      </c>
      <c r="W1515" s="3">
        <f>IFERROR(__xludf.DUMMYFUNCTION("""COMPUTED_VALUE"""),210175.0)</f>
        <v>210175</v>
      </c>
      <c r="X1515" s="3" t="str">
        <f>IFERROR(__xludf.DUMMYFUNCTION("""COMPUTED_VALUE"""),"117/225 หมู่3 ตำบลบางพลีใหญ่ อำเภอบางพลี จังหวัดสมุทรปราการ 10540")</f>
        <v>117/225 หมู่3 ตำบลบางพลีใหญ่ อำเภอบางพลี จังหวัดสมุทรปราการ 10540</v>
      </c>
      <c r="Y1515" s="3"/>
      <c r="Z1515" s="3" t="str">
        <f>IFERROR(__xludf.DUMMYFUNCTION("""COMPUTED_VALUE"""),"บางพลีใหญ่")</f>
        <v>บางพลีใหญ่</v>
      </c>
      <c r="AA1515" s="3" t="str">
        <f>IFERROR(__xludf.DUMMYFUNCTION("""COMPUTED_VALUE"""),"บางพลี")</f>
        <v>บางพลี</v>
      </c>
      <c r="AB1515" s="3" t="str">
        <f>IFERROR(__xludf.DUMMYFUNCTION("""COMPUTED_VALUE"""),"สมุทรปราการ")</f>
        <v>สมุทรปราการ</v>
      </c>
      <c r="AC1515" s="3">
        <f>IFERROR(__xludf.DUMMYFUNCTION("""COMPUTED_VALUE"""),10540.0)</f>
        <v>10540</v>
      </c>
      <c r="AD1515" s="3">
        <f>IFERROR(__xludf.DUMMYFUNCTION("""COMPUTED_VALUE"""),13.607572)</f>
        <v>13.607572</v>
      </c>
      <c r="AE1515" s="3">
        <f>IFERROR(__xludf.DUMMYFUNCTION("""COMPUTED_VALUE"""),100.682698)</f>
        <v>100.682698</v>
      </c>
      <c r="AF1515" s="3" t="str">
        <f>IFERROR(__xludf.DUMMYFUNCTION("""COMPUTED_VALUE"""),"MBC พรสว่างนิเวศน์ สมุทรปราการ-22200")</f>
        <v>MBC พรสว่างนิเวศน์ สมุทรปราการ-22200</v>
      </c>
      <c r="AG1515" s="3" t="str">
        <f>IFERROR(__xludf.DUMMYFUNCTION("""COMPUTED_VALUE"""),"กลาง")</f>
        <v>กลาง</v>
      </c>
      <c r="AH1515" s="3" t="str">
        <f>IFERROR(__xludf.DUMMYFUNCTION("""COMPUTED_VALUE"""),"#N/A")</f>
        <v>#N/A</v>
      </c>
      <c r="AI1515" s="3" t="str">
        <f>IFERROR(__xludf.DUMMYFUNCTION("""COMPUTED_VALUE"""),"Out of warranty")</f>
        <v>Out of warranty</v>
      </c>
      <c r="AJ1515" s="3">
        <f>IFERROR(__xludf.DUMMYFUNCTION("""COMPUTED_VALUE"""),65.0)</f>
        <v>65</v>
      </c>
      <c r="AK1515" s="3" t="str">
        <f>IFERROR(__xludf.DUMMYFUNCTION("""COMPUTED_VALUE"""),"MMS03")</f>
        <v>MMS03</v>
      </c>
      <c r="AL1515" s="3"/>
    </row>
    <row r="1516" ht="15.75" customHeight="1">
      <c r="A1516" s="1" t="str">
        <f>IFERROR(__xludf.DUMMYFUNCTION("""COMPUTED_VALUE"""),"22201")</f>
        <v>22201</v>
      </c>
      <c r="B1516" s="2">
        <f>IFERROR(__xludf.DUMMYFUNCTION("""COMPUTED_VALUE"""),22201.0)</f>
        <v>22201</v>
      </c>
      <c r="C1516" s="3" t="str">
        <f>IFERROR(__xludf.DUMMYFUNCTION("""COMPUTED_VALUE"""),"MBC คาลเท็กซ์นาจอมเทียน ชลบุรี")</f>
        <v>MBC คาลเท็กซ์นาจอมเทียน ชลบุรี</v>
      </c>
      <c r="D1516" s="3" t="str">
        <f>IFERROR(__xludf.DUMMYFUNCTION("""COMPUTED_VALUE"""),"BCM CALTEX NAJOMTIEN")</f>
        <v>BCM CALTEX NAJOMTIEN</v>
      </c>
      <c r="E1516" s="1" t="str">
        <f>IFERROR(__xludf.DUMMYFUNCTION("""COMPUTED_VALUE"""),"บิ๊กซี MINI")</f>
        <v>บิ๊กซี MINI</v>
      </c>
      <c r="F1516" s="1" t="str">
        <f>IFERROR(__xludf.DUMMYFUNCTION("""COMPUTED_VALUE"""),"221716")</f>
        <v>221716</v>
      </c>
      <c r="G1516" s="1" t="str">
        <f>IFERROR(__xludf.DUMMYFUNCTION("""COMPUTED_VALUE"""),"น.ส.เบญจพร โพธิสาร")</f>
        <v>น.ส.เบญจพร โพธิสาร</v>
      </c>
      <c r="H1516" s="1" t="str">
        <f>IFERROR(__xludf.DUMMYFUNCTION("""COMPUTED_VALUE"""),"313065")</f>
        <v>313065</v>
      </c>
      <c r="I1516" s="1" t="str">
        <f>IFERROR(__xludf.DUMMYFUNCTION("""COMPUTED_VALUE"""),"นายจิรายุทธ กันทา")</f>
        <v>นายจิรายุทธ กันทา</v>
      </c>
      <c r="J1516" s="3">
        <f>IFERROR(__xludf.DUMMYFUNCTION("""COMPUTED_VALUE"""),1.3461215E7)</f>
        <v>13461215</v>
      </c>
      <c r="K1516" s="3" t="str">
        <f>IFERROR(__xludf.DUMMYFUNCTION("""COMPUTED_VALUE"""),"นายธีรภัทร สังข์เงิน")</f>
        <v>นายธีรภัทร สังข์เงิน</v>
      </c>
      <c r="L1516" s="1" t="str">
        <f>IFERROR(__xludf.DUMMYFUNCTION("""COMPUTED_VALUE"""),"06 K.Teerapat")</f>
        <v>06 K.Teerapat</v>
      </c>
      <c r="M1516" s="1" t="str">
        <f>IFERROR(__xludf.DUMMYFUNCTION("""COMPUTED_VALUE"""),"063-601-6803")</f>
        <v>063-601-6803</v>
      </c>
      <c r="N1516" s="3">
        <f>IFERROR(__xludf.DUMMYFUNCTION("""COMPUTED_VALUE"""),22115.0)</f>
        <v>22115</v>
      </c>
      <c r="O1516" s="3" t="str">
        <f>IFERROR(__xludf.DUMMYFUNCTION("""COMPUTED_VALUE"""),"MBC เลี่ยงหนองมน ชลบุรี")</f>
        <v>MBC เลี่ยงหนองมน ชลบุรี</v>
      </c>
      <c r="P1516" s="4">
        <f>IFERROR(__xludf.DUMMYFUNCTION("""COMPUTED_VALUE"""),44074.0)</f>
        <v>44074</v>
      </c>
      <c r="Q1516" s="3" t="str">
        <f>IFERROR(__xludf.DUMMYFUNCTION("""COMPUTED_VALUE"""),"A")</f>
        <v>A</v>
      </c>
      <c r="R1516" s="3" t="str">
        <f>IFERROR(__xludf.DUMMYFUNCTION("""COMPUTED_VALUE"""),"Small Format")</f>
        <v>Small Format</v>
      </c>
      <c r="S1516" s="3" t="str">
        <f>IFERROR(__xludf.DUMMYFUNCTION("""COMPUTED_VALUE"""),"BCM")</f>
        <v>BCM</v>
      </c>
      <c r="T1516" s="3" t="str">
        <f>IFERROR(__xludf.DUMMYFUNCTION("""COMPUTED_VALUE"""),"#N/A")</f>
        <v>#N/A</v>
      </c>
      <c r="U1516" s="3" t="str">
        <f>IFERROR(__xludf.DUMMYFUNCTION("""COMPUTED_VALUE"""),"#N/A")</f>
        <v>#N/A</v>
      </c>
      <c r="V1516" s="3" t="str">
        <f>IFERROR(__xludf.DUMMYFUNCTION("""COMPUTED_VALUE"""),"N")</f>
        <v>N</v>
      </c>
      <c r="W1516" s="3">
        <f>IFERROR(__xludf.DUMMYFUNCTION("""COMPUTED_VALUE"""),210274.0)</f>
        <v>210274</v>
      </c>
      <c r="X1516" s="3" t="str">
        <f>IFERROR(__xludf.DUMMYFUNCTION("""COMPUTED_VALUE"""),"247/21 หมู่9 ตำบลนาจอมเทียน อำเภอสัตหีบ จังหวัดชลบุรี 20250")</f>
        <v>247/21 หมู่9 ตำบลนาจอมเทียน อำเภอสัตหีบ จังหวัดชลบุรี 20250</v>
      </c>
      <c r="Y1516" s="3"/>
      <c r="Z1516" s="3" t="str">
        <f>IFERROR(__xludf.DUMMYFUNCTION("""COMPUTED_VALUE"""),"นาจอมเทียน")</f>
        <v>นาจอมเทียน</v>
      </c>
      <c r="AA1516" s="3" t="str">
        <f>IFERROR(__xludf.DUMMYFUNCTION("""COMPUTED_VALUE"""),"สัตหีบ")</f>
        <v>สัตหีบ</v>
      </c>
      <c r="AB1516" s="3" t="str">
        <f>IFERROR(__xludf.DUMMYFUNCTION("""COMPUTED_VALUE"""),"ชลบุรี")</f>
        <v>ชลบุรี</v>
      </c>
      <c r="AC1516" s="3">
        <f>IFERROR(__xludf.DUMMYFUNCTION("""COMPUTED_VALUE"""),20250.0)</f>
        <v>20250</v>
      </c>
      <c r="AD1516" s="3">
        <f>IFERROR(__xludf.DUMMYFUNCTION("""COMPUTED_VALUE"""),12.832905)</f>
        <v>12.832905</v>
      </c>
      <c r="AE1516" s="3">
        <f>IFERROR(__xludf.DUMMYFUNCTION("""COMPUTED_VALUE"""),100.913762)</f>
        <v>100.913762</v>
      </c>
      <c r="AF1516" s="3" t="str">
        <f>IFERROR(__xludf.DUMMYFUNCTION("""COMPUTED_VALUE"""),"MBC คาลเท็กซ์นาจอมเทียน ชลบุรี-22201")</f>
        <v>MBC คาลเท็กซ์นาจอมเทียน ชลบุรี-22201</v>
      </c>
      <c r="AG1516" s="3" t="str">
        <f>IFERROR(__xludf.DUMMYFUNCTION("""COMPUTED_VALUE"""),"ตะวันออก")</f>
        <v>ตะวันออก</v>
      </c>
      <c r="AH1516" s="3" t="str">
        <f>IFERROR(__xludf.DUMMYFUNCTION("""COMPUTED_VALUE"""),"#N/A")</f>
        <v>#N/A</v>
      </c>
      <c r="AI1516" s="3" t="str">
        <f>IFERROR(__xludf.DUMMYFUNCTION("""COMPUTED_VALUE"""),"Out of warranty")</f>
        <v>Out of warranty</v>
      </c>
      <c r="AJ1516" s="3">
        <f>IFERROR(__xludf.DUMMYFUNCTION("""COMPUTED_VALUE"""),65.0)</f>
        <v>65</v>
      </c>
      <c r="AK1516" s="3" t="str">
        <f>IFERROR(__xludf.DUMMYFUNCTION("""COMPUTED_VALUE"""),"MMS08")</f>
        <v>MMS08</v>
      </c>
      <c r="AL1516" s="3"/>
    </row>
    <row r="1517" ht="15.75" customHeight="1">
      <c r="A1517" s="1" t="str">
        <f>IFERROR(__xludf.DUMMYFUNCTION("""COMPUTED_VALUE"""),"22202")</f>
        <v>22202</v>
      </c>
      <c r="B1517" s="2">
        <f>IFERROR(__xludf.DUMMYFUNCTION("""COMPUTED_VALUE"""),22202.0)</f>
        <v>22202</v>
      </c>
      <c r="C1517" s="3" t="str">
        <f>IFERROR(__xludf.DUMMYFUNCTION("""COMPUTED_VALUE"""),"MBC คาลเท็กซ์นิคมปิ่นทอง 2")</f>
        <v>MBC คาลเท็กซ์นิคมปิ่นทอง 2</v>
      </c>
      <c r="D1517" s="3" t="str">
        <f>IFERROR(__xludf.DUMMYFUNCTION("""COMPUTED_VALUE"""),"BCM CALTEX NIKOMPINTHONG 2")</f>
        <v>BCM CALTEX NIKOMPINTHONG 2</v>
      </c>
      <c r="E1517" s="1" t="str">
        <f>IFERROR(__xludf.DUMMYFUNCTION("""COMPUTED_VALUE"""),"บิ๊กซี MINI")</f>
        <v>บิ๊กซี MINI</v>
      </c>
      <c r="F1517" s="1" t="str">
        <f>IFERROR(__xludf.DUMMYFUNCTION("""COMPUTED_VALUE"""),"221716")</f>
        <v>221716</v>
      </c>
      <c r="G1517" s="1" t="str">
        <f>IFERROR(__xludf.DUMMYFUNCTION("""COMPUTED_VALUE"""),"น.ส.เบญจพร โพธิสาร")</f>
        <v>น.ส.เบญจพร โพธิสาร</v>
      </c>
      <c r="H1517" s="1" t="str">
        <f>IFERROR(__xludf.DUMMYFUNCTION("""COMPUTED_VALUE"""),"376139")</f>
        <v>376139</v>
      </c>
      <c r="I1517" s="1" t="str">
        <f>IFERROR(__xludf.DUMMYFUNCTION("""COMPUTED_VALUE"""),"นายอนุชา อำไพ")</f>
        <v>นายอนุชา อำไพ</v>
      </c>
      <c r="J1517" s="3">
        <f>IFERROR(__xludf.DUMMYFUNCTION("""COMPUTED_VALUE"""),296942.0)</f>
        <v>296942</v>
      </c>
      <c r="K1517" s="3" t="str">
        <f>IFERROR(__xludf.DUMMYFUNCTION("""COMPUTED_VALUE"""),"นายปิยะ รักษากิจ")</f>
        <v>นายปิยะ รักษากิจ</v>
      </c>
      <c r="L1517" s="1" t="str">
        <f>IFERROR(__xludf.DUMMYFUNCTION("""COMPUTED_VALUE"""),"07 K.Piya R.")</f>
        <v>07 K.Piya R.</v>
      </c>
      <c r="M1517" s="1" t="str">
        <f>IFERROR(__xludf.DUMMYFUNCTION("""COMPUTED_VALUE"""),"097-919-5476")</f>
        <v>097-919-5476</v>
      </c>
      <c r="N1517" s="3">
        <f>IFERROR(__xludf.DUMMYFUNCTION("""COMPUTED_VALUE"""),21332.0)</f>
        <v>21332</v>
      </c>
      <c r="O1517" s="3" t="str">
        <f>IFERROR(__xludf.DUMMYFUNCTION("""COMPUTED_VALUE"""),"MBC BCP อ่อนนุช 17/1")</f>
        <v>MBC BCP อ่อนนุช 17/1</v>
      </c>
      <c r="P1517" s="4">
        <f>IFERROR(__xludf.DUMMYFUNCTION("""COMPUTED_VALUE"""),44074.0)</f>
        <v>44074</v>
      </c>
      <c r="Q1517" s="3" t="str">
        <f>IFERROR(__xludf.DUMMYFUNCTION("""COMPUTED_VALUE"""),"A")</f>
        <v>A</v>
      </c>
      <c r="R1517" s="3" t="str">
        <f>IFERROR(__xludf.DUMMYFUNCTION("""COMPUTED_VALUE"""),"Small Format")</f>
        <v>Small Format</v>
      </c>
      <c r="S1517" s="3" t="str">
        <f>IFERROR(__xludf.DUMMYFUNCTION("""COMPUTED_VALUE"""),"BCM")</f>
        <v>BCM</v>
      </c>
      <c r="T1517" s="3" t="str">
        <f>IFERROR(__xludf.DUMMYFUNCTION("""COMPUTED_VALUE"""),"#N/A")</f>
        <v>#N/A</v>
      </c>
      <c r="U1517" s="3" t="str">
        <f>IFERROR(__xludf.DUMMYFUNCTION("""COMPUTED_VALUE"""),"#N/A")</f>
        <v>#N/A</v>
      </c>
      <c r="V1517" s="3" t="str">
        <f>IFERROR(__xludf.DUMMYFUNCTION("""COMPUTED_VALUE"""),"N")</f>
        <v>N</v>
      </c>
      <c r="W1517" s="3">
        <f>IFERROR(__xludf.DUMMYFUNCTION("""COMPUTED_VALUE"""),210291.0)</f>
        <v>210291</v>
      </c>
      <c r="X1517" s="3" t="str">
        <f>IFERROR(__xludf.DUMMYFUNCTION("""COMPUTED_VALUE"""),"123/20 หมู่9 ตำบลหนองขาม อำเภอศรีราชา จังหวัดชลบุรี 20110")</f>
        <v>123/20 หมู่9 ตำบลหนองขาม อำเภอศรีราชา จังหวัดชลบุรี 20110</v>
      </c>
      <c r="Y1517" s="3"/>
      <c r="Z1517" s="3" t="str">
        <f>IFERROR(__xludf.DUMMYFUNCTION("""COMPUTED_VALUE"""),"หนองขาม")</f>
        <v>หนองขาม</v>
      </c>
      <c r="AA1517" s="3" t="str">
        <f>IFERROR(__xludf.DUMMYFUNCTION("""COMPUTED_VALUE"""),"ศรีราชา")</f>
        <v>ศรีราชา</v>
      </c>
      <c r="AB1517" s="3" t="str">
        <f>IFERROR(__xludf.DUMMYFUNCTION("""COMPUTED_VALUE"""),"ชลบุรี")</f>
        <v>ชลบุรี</v>
      </c>
      <c r="AC1517" s="3">
        <f>IFERROR(__xludf.DUMMYFUNCTION("""COMPUTED_VALUE"""),20110.0)</f>
        <v>20110</v>
      </c>
      <c r="AD1517" s="3">
        <f>IFERROR(__xludf.DUMMYFUNCTION("""COMPUTED_VALUE"""),13.119176)</f>
        <v>13.119176</v>
      </c>
      <c r="AE1517" s="3">
        <f>IFERROR(__xludf.DUMMYFUNCTION("""COMPUTED_VALUE"""),101.03139)</f>
        <v>101.03139</v>
      </c>
      <c r="AF1517" s="3" t="str">
        <f>IFERROR(__xludf.DUMMYFUNCTION("""COMPUTED_VALUE"""),"MBC คาลเท็กซ์นิคมปิ่นทอง 2-22202")</f>
        <v>MBC คาลเท็กซ์นิคมปิ่นทอง 2-22202</v>
      </c>
      <c r="AG1517" s="3" t="str">
        <f>IFERROR(__xludf.DUMMYFUNCTION("""COMPUTED_VALUE"""),"ตะวันออก")</f>
        <v>ตะวันออก</v>
      </c>
      <c r="AH1517" s="3" t="str">
        <f>IFERROR(__xludf.DUMMYFUNCTION("""COMPUTED_VALUE"""),"#N/A")</f>
        <v>#N/A</v>
      </c>
      <c r="AI1517" s="3" t="str">
        <f>IFERROR(__xludf.DUMMYFUNCTION("""COMPUTED_VALUE"""),"Out of warranty")</f>
        <v>Out of warranty</v>
      </c>
      <c r="AJ1517" s="3">
        <f>IFERROR(__xludf.DUMMYFUNCTION("""COMPUTED_VALUE"""),65.0)</f>
        <v>65</v>
      </c>
      <c r="AK1517" s="3" t="str">
        <f>IFERROR(__xludf.DUMMYFUNCTION("""COMPUTED_VALUE"""),"MMS07")</f>
        <v>MMS07</v>
      </c>
      <c r="AL1517" s="3"/>
    </row>
    <row r="1518" ht="15.75" customHeight="1">
      <c r="A1518" s="1" t="str">
        <f>IFERROR(__xludf.DUMMYFUNCTION("""COMPUTED_VALUE"""),"22203")</f>
        <v>22203</v>
      </c>
      <c r="B1518" s="2">
        <f>IFERROR(__xludf.DUMMYFUNCTION("""COMPUTED_VALUE"""),22203.0)</f>
        <v>22203</v>
      </c>
      <c r="C1518" s="3" t="str">
        <f>IFERROR(__xludf.DUMMYFUNCTION("""COMPUTED_VALUE"""),"MBC เดอะไนน์ราชบุรี ราชบุรี")</f>
        <v>MBC เดอะไนน์ราชบุรี ราชบุรี</v>
      </c>
      <c r="D1518" s="3" t="str">
        <f>IFERROR(__xludf.DUMMYFUNCTION("""COMPUTED_VALUE"""),"BCM THE 9 RATCHABURI")</f>
        <v>BCM THE 9 RATCHABURI</v>
      </c>
      <c r="E1518" s="1" t="str">
        <f>IFERROR(__xludf.DUMMYFUNCTION("""COMPUTED_VALUE"""),"บิ๊กซี MINI")</f>
        <v>บิ๊กซี MINI</v>
      </c>
      <c r="F1518" s="1" t="str">
        <f>IFERROR(__xludf.DUMMYFUNCTION("""COMPUTED_VALUE"""),"2083447")</f>
        <v>2083447</v>
      </c>
      <c r="G1518" s="1" t="str">
        <f>IFERROR(__xludf.DUMMYFUNCTION("""COMPUTED_VALUE"""),"นายอนุกูล ศรีลัดดา")</f>
        <v>นายอนุกูล ศรีลัดดา</v>
      </c>
      <c r="H1518" s="1" t="str">
        <f>IFERROR(__xludf.DUMMYFUNCTION("""COMPUTED_VALUE"""),"391191")</f>
        <v>391191</v>
      </c>
      <c r="I1518" s="1" t="str">
        <f>IFERROR(__xludf.DUMMYFUNCTION("""COMPUTED_VALUE"""),"นายวสันต์ สรงพรมทิพย์")</f>
        <v>นายวสันต์ สรงพรมทิพย์</v>
      </c>
      <c r="J1518" s="3">
        <f>IFERROR(__xludf.DUMMYFUNCTION("""COMPUTED_VALUE"""),2451655.0)</f>
        <v>2451655</v>
      </c>
      <c r="K1518" s="3" t="str">
        <f>IFERROR(__xludf.DUMMYFUNCTION("""COMPUTED_VALUE"""),"นายวิษณุพงษ์ ชินบุตร")</f>
        <v>นายวิษณุพงษ์ ชินบุตร</v>
      </c>
      <c r="L1518" s="1" t="str">
        <f>IFERROR(__xludf.DUMMYFUNCTION("""COMPUTED_VALUE"""),"13 K.Wisanupong Ch")</f>
        <v>13 K.Wisanupong Ch</v>
      </c>
      <c r="M1518" s="1" t="str">
        <f>IFERROR(__xludf.DUMMYFUNCTION("""COMPUTED_VALUE"""),"0843374693")</f>
        <v>0843374693</v>
      </c>
      <c r="N1518" s="3">
        <f>IFERROR(__xludf.DUMMYFUNCTION("""COMPUTED_VALUE"""),22729.0)</f>
        <v>22729</v>
      </c>
      <c r="O1518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518" s="4">
        <f>IFERROR(__xludf.DUMMYFUNCTION("""COMPUTED_VALUE"""),44083.0)</f>
        <v>44083</v>
      </c>
      <c r="Q1518" s="3" t="str">
        <f>IFERROR(__xludf.DUMMYFUNCTION("""COMPUTED_VALUE"""),"A")</f>
        <v>A</v>
      </c>
      <c r="R1518" s="3" t="str">
        <f>IFERROR(__xludf.DUMMYFUNCTION("""COMPUTED_VALUE"""),"Small Format")</f>
        <v>Small Format</v>
      </c>
      <c r="S1518" s="3" t="str">
        <f>IFERROR(__xludf.DUMMYFUNCTION("""COMPUTED_VALUE"""),"BCM")</f>
        <v>BCM</v>
      </c>
      <c r="T1518" s="3" t="str">
        <f>IFERROR(__xludf.DUMMYFUNCTION("""COMPUTED_VALUE"""),"#N/A")</f>
        <v>#N/A</v>
      </c>
      <c r="U1518" s="3" t="str">
        <f>IFERROR(__xludf.DUMMYFUNCTION("""COMPUTED_VALUE"""),"#N/A")</f>
        <v>#N/A</v>
      </c>
      <c r="V1518" s="3" t="str">
        <f>IFERROR(__xludf.DUMMYFUNCTION("""COMPUTED_VALUE"""),"N")</f>
        <v>N</v>
      </c>
      <c r="W1518" s="3">
        <f>IFERROR(__xludf.DUMMYFUNCTION("""COMPUTED_VALUE"""),210259.0)</f>
        <v>210259</v>
      </c>
      <c r="X1518" s="3" t="str">
        <f>IFERROR(__xludf.DUMMYFUNCTION("""COMPUTED_VALUE"""),"582 หมู่2 ตำบลบ้านไร่ อำเภอเมืองราชบุรี จังหวัดราชบุรี 70000")</f>
        <v>582 หมู่2 ตำบลบ้านไร่ อำเภอเมืองราชบุรี จังหวัดราชบุรี 70000</v>
      </c>
      <c r="Y1518" s="3"/>
      <c r="Z1518" s="3" t="str">
        <f>IFERROR(__xludf.DUMMYFUNCTION("""COMPUTED_VALUE"""),"บ้านไร่")</f>
        <v>บ้านไร่</v>
      </c>
      <c r="AA1518" s="3" t="str">
        <f>IFERROR(__xludf.DUMMYFUNCTION("""COMPUTED_VALUE"""),"เมือง")</f>
        <v>เมือง</v>
      </c>
      <c r="AB1518" s="3" t="str">
        <f>IFERROR(__xludf.DUMMYFUNCTION("""COMPUTED_VALUE"""),"ราชบุรี")</f>
        <v>ราชบุรี</v>
      </c>
      <c r="AC1518" s="3">
        <f>IFERROR(__xludf.DUMMYFUNCTION("""COMPUTED_VALUE"""),70000.0)</f>
        <v>70000</v>
      </c>
      <c r="AD1518" s="3">
        <f>IFERROR(__xludf.DUMMYFUNCTION("""COMPUTED_VALUE"""),13.530628)</f>
        <v>13.530628</v>
      </c>
      <c r="AE1518" s="3">
        <f>IFERROR(__xludf.DUMMYFUNCTION("""COMPUTED_VALUE"""),99.845907)</f>
        <v>99.845907</v>
      </c>
      <c r="AF1518" s="3" t="str">
        <f>IFERROR(__xludf.DUMMYFUNCTION("""COMPUTED_VALUE"""),"MBC เดอะไนน์ราชบุรี ราชบุรี-22203")</f>
        <v>MBC เดอะไนน์ราชบุรี ราชบุรี-22203</v>
      </c>
      <c r="AG1518" s="3" t="str">
        <f>IFERROR(__xludf.DUMMYFUNCTION("""COMPUTED_VALUE"""),"ตะวันตก")</f>
        <v>ตะวันตก</v>
      </c>
      <c r="AH1518" s="3" t="str">
        <f>IFERROR(__xludf.DUMMYFUNCTION("""COMPUTED_VALUE"""),"#N/A")</f>
        <v>#N/A</v>
      </c>
      <c r="AI1518" s="3" t="str">
        <f>IFERROR(__xludf.DUMMYFUNCTION("""COMPUTED_VALUE"""),"Out of warranty")</f>
        <v>Out of warranty</v>
      </c>
      <c r="AJ1518" s="3">
        <f>IFERROR(__xludf.DUMMYFUNCTION("""COMPUTED_VALUE"""),65.0)</f>
        <v>65</v>
      </c>
      <c r="AK1518" s="3" t="str">
        <f>IFERROR(__xludf.DUMMYFUNCTION("""COMPUTED_VALUE"""),"MMS05")</f>
        <v>MMS05</v>
      </c>
      <c r="AL1518" s="3"/>
    </row>
    <row r="1519" ht="15.75" customHeight="1">
      <c r="A1519" s="1" t="str">
        <f>IFERROR(__xludf.DUMMYFUNCTION("""COMPUTED_VALUE"""),"22204")</f>
        <v>22204</v>
      </c>
      <c r="B1519" s="2">
        <f>IFERROR(__xludf.DUMMYFUNCTION("""COMPUTED_VALUE"""),22204.0)</f>
        <v>22204</v>
      </c>
      <c r="C1519" s="3" t="str">
        <f>IFERROR(__xludf.DUMMYFUNCTION("""COMPUTED_VALUE"""),"MBC เลียบคลองภาษีเจริญฝั่งเหนือ กรุงเทพฯ")</f>
        <v>MBC เลียบคลองภาษีเจริญฝั่งเหนือ กรุงเทพฯ</v>
      </c>
      <c r="D1519" s="3" t="str">
        <f>IFERROR(__xludf.DUMMYFUNCTION("""COMPUTED_VALUE"""),"BCM LIAP KHLONG PHASI CHAROEN")</f>
        <v>BCM LIAP KHLONG PHASI CHAROEN</v>
      </c>
      <c r="E1519" s="1" t="str">
        <f>IFERROR(__xludf.DUMMYFUNCTION("""COMPUTED_VALUE"""),"บิ๊กซี MINI")</f>
        <v>บิ๊กซี MINI</v>
      </c>
      <c r="F1519" s="1" t="str">
        <f>IFERROR(__xludf.DUMMYFUNCTION("""COMPUTED_VALUE"""),"291008")</f>
        <v>291008</v>
      </c>
      <c r="G1519" s="1" t="str">
        <f>IFERROR(__xludf.DUMMYFUNCTION("""COMPUTED_VALUE"""),"น.ส.รัชดาพร อีศรัตน์")</f>
        <v>น.ส.รัชดาพร อีศรัตน์</v>
      </c>
      <c r="H1519" s="1" t="str">
        <f>IFERROR(__xludf.DUMMYFUNCTION("""COMPUTED_VALUE"""),"291101")</f>
        <v>291101</v>
      </c>
      <c r="I1519" s="1" t="str">
        <f>IFERROR(__xludf.DUMMYFUNCTION("""COMPUTED_VALUE"""),"นายจักรพงศ์ โพธิ์ศรี")</f>
        <v>นายจักรพงศ์ โพธิ์ศรี</v>
      </c>
      <c r="J1519" s="3">
        <f>IFERROR(__xludf.DUMMYFUNCTION("""COMPUTED_VALUE"""),296608.0)</f>
        <v>296608</v>
      </c>
      <c r="K1519" s="3" t="str">
        <f>IFERROR(__xludf.DUMMYFUNCTION("""COMPUTED_VALUE"""),"นายภาคภูมิ เพ็ชรนิล")</f>
        <v>นายภาคภูมิ เพ็ชรนิล</v>
      </c>
      <c r="L1519" s="1" t="str">
        <f>IFERROR(__xludf.DUMMYFUNCTION("""COMPUTED_VALUE"""),"10 K.Phakphoom P.")</f>
        <v>10 K.Phakphoom P.</v>
      </c>
      <c r="M1519" s="1" t="str">
        <f>IFERROR(__xludf.DUMMYFUNCTION("""COMPUTED_VALUE"""),"063-8955329")</f>
        <v>063-8955329</v>
      </c>
      <c r="N1519" s="3">
        <f>IFERROR(__xludf.DUMMYFUNCTION("""COMPUTED_VALUE"""),22584.0)</f>
        <v>22584</v>
      </c>
      <c r="O1519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519" s="4">
        <f>IFERROR(__xludf.DUMMYFUNCTION("""COMPUTED_VALUE"""),44083.0)</f>
        <v>44083</v>
      </c>
      <c r="Q1519" s="3" t="str">
        <f>IFERROR(__xludf.DUMMYFUNCTION("""COMPUTED_VALUE"""),"A")</f>
        <v>A</v>
      </c>
      <c r="R1519" s="3" t="str">
        <f>IFERROR(__xludf.DUMMYFUNCTION("""COMPUTED_VALUE"""),"Small Format")</f>
        <v>Small Format</v>
      </c>
      <c r="S1519" s="3" t="str">
        <f>IFERROR(__xludf.DUMMYFUNCTION("""COMPUTED_VALUE"""),"BCM")</f>
        <v>BCM</v>
      </c>
      <c r="T1519" s="3" t="str">
        <f>IFERROR(__xludf.DUMMYFUNCTION("""COMPUTED_VALUE"""),"#N/A")</f>
        <v>#N/A</v>
      </c>
      <c r="U1519" s="3" t="str">
        <f>IFERROR(__xludf.DUMMYFUNCTION("""COMPUTED_VALUE"""),"#N/A")</f>
        <v>#N/A</v>
      </c>
      <c r="V1519" s="3" t="str">
        <f>IFERROR(__xludf.DUMMYFUNCTION("""COMPUTED_VALUE"""),"N")</f>
        <v>N</v>
      </c>
      <c r="W1519" s="3">
        <f>IFERROR(__xludf.DUMMYFUNCTION("""COMPUTED_VALUE"""),210233.0)</f>
        <v>210233</v>
      </c>
      <c r="X1519" s="3" t="str">
        <f>IFERROR(__xludf.DUMMYFUNCTION("""COMPUTED_VALUE"""),"101/1 ถนนเลียบคลองภาษีเจริญฝั่งเหนือ แขวงหนองแขม เขตหนองแขม จังหวัดกรุงเทพมหานคร 10160")</f>
        <v>101/1 ถนนเลียบคลองภาษีเจริญฝั่งเหนือ แขวงหนองแขม เขตหนองแขม จังหวัดกรุงเทพมหานคร 10160</v>
      </c>
      <c r="Y1519" s="3" t="str">
        <f>IFERROR(__xludf.DUMMYFUNCTION("""COMPUTED_VALUE"""),"ถนนเลียบคลองภาษีเจริญฝั่งเหนือ")</f>
        <v>ถนนเลียบคลองภาษีเจริญฝั่งเหนือ</v>
      </c>
      <c r="Z1519" s="3" t="str">
        <f>IFERROR(__xludf.DUMMYFUNCTION("""COMPUTED_VALUE"""),"หนองแขม")</f>
        <v>หนองแขม</v>
      </c>
      <c r="AA1519" s="3" t="str">
        <f>IFERROR(__xludf.DUMMYFUNCTION("""COMPUTED_VALUE"""),"หนองแขม")</f>
        <v>หนองแขม</v>
      </c>
      <c r="AB1519" s="3" t="str">
        <f>IFERROR(__xludf.DUMMYFUNCTION("""COMPUTED_VALUE"""),"กรุงเทพมหานคร")</f>
        <v>กรุงเทพมหานคร</v>
      </c>
      <c r="AC1519" s="3">
        <f>IFERROR(__xludf.DUMMYFUNCTION("""COMPUTED_VALUE"""),10160.0)</f>
        <v>10160</v>
      </c>
      <c r="AD1519" s="3">
        <f>IFERROR(__xludf.DUMMYFUNCTION("""COMPUTED_VALUE"""),13.690927)</f>
        <v>13.690927</v>
      </c>
      <c r="AE1519" s="3">
        <f>IFERROR(__xludf.DUMMYFUNCTION("""COMPUTED_VALUE"""),100.373679)</f>
        <v>100.373679</v>
      </c>
      <c r="AF1519" s="3" t="str">
        <f>IFERROR(__xludf.DUMMYFUNCTION("""COMPUTED_VALUE"""),"MBC เลียบคลองภาษีเจริญฝั่งเหนือ กรุงเทพฯ-22204")</f>
        <v>MBC เลียบคลองภาษีเจริญฝั่งเหนือ กรุงเทพฯ-22204</v>
      </c>
      <c r="AG1519" s="3" t="str">
        <f>IFERROR(__xludf.DUMMYFUNCTION("""COMPUTED_VALUE"""),"กลาง")</f>
        <v>กลาง</v>
      </c>
      <c r="AH1519" s="3" t="str">
        <f>IFERROR(__xludf.DUMMYFUNCTION("""COMPUTED_VALUE"""),"#N/A")</f>
        <v>#N/A</v>
      </c>
      <c r="AI1519" s="3" t="str">
        <f>IFERROR(__xludf.DUMMYFUNCTION("""COMPUTED_VALUE"""),"Out of warranty")</f>
        <v>Out of warranty</v>
      </c>
      <c r="AJ1519" s="3">
        <f>IFERROR(__xludf.DUMMYFUNCTION("""COMPUTED_VALUE"""),65.0)</f>
        <v>65</v>
      </c>
      <c r="AK1519" s="3" t="str">
        <f>IFERROR(__xludf.DUMMYFUNCTION("""COMPUTED_VALUE"""),"MMS02")</f>
        <v>MMS02</v>
      </c>
      <c r="AL1519" s="3"/>
    </row>
    <row r="1520" ht="15.75" customHeight="1">
      <c r="A1520" s="1" t="str">
        <f>IFERROR(__xludf.DUMMYFUNCTION("""COMPUTED_VALUE"""),"22205")</f>
        <v>22205</v>
      </c>
      <c r="B1520" s="2">
        <f>IFERROR(__xludf.DUMMYFUNCTION("""COMPUTED_VALUE"""),22205.0)</f>
        <v>22205</v>
      </c>
      <c r="C1520" s="3" t="str">
        <f>IFERROR(__xludf.DUMMYFUNCTION("""COMPUTED_VALUE"""),"MBC สามแยกโรงโฟม นนทบุรี")</f>
        <v>MBC สามแยกโรงโฟม นนทบุรี</v>
      </c>
      <c r="D1520" s="3" t="str">
        <f>IFERROR(__xludf.DUMMYFUNCTION("""COMPUTED_VALUE"""),"BCM 3 YAEK RONG FOM")</f>
        <v>BCM 3 YAEK RONG FOM</v>
      </c>
      <c r="E1520" s="1" t="str">
        <f>IFERROR(__xludf.DUMMYFUNCTION("""COMPUTED_VALUE"""),"บิ๊กซี MINI")</f>
        <v>บิ๊กซี MINI</v>
      </c>
      <c r="F1520" s="1" t="str">
        <f>IFERROR(__xludf.DUMMYFUNCTION("""COMPUTED_VALUE"""),"291008")</f>
        <v>291008</v>
      </c>
      <c r="G1520" s="1" t="str">
        <f>IFERROR(__xludf.DUMMYFUNCTION("""COMPUTED_VALUE"""),"น.ส.รัชดาพร อีศรัตน์")</f>
        <v>น.ส.รัชดาพร อีศรัตน์</v>
      </c>
      <c r="H1520" s="1" t="str">
        <f>IFERROR(__xludf.DUMMYFUNCTION("""COMPUTED_VALUE"""),"180055")</f>
        <v>180055</v>
      </c>
      <c r="I1520" s="1" t="str">
        <f>IFERROR(__xludf.DUMMYFUNCTION("""COMPUTED_VALUE"""),"น.ส.สุดารัตน์ บุญล้ำ")</f>
        <v>น.ส.สุดารัตน์ บุญล้ำ</v>
      </c>
      <c r="J1520" s="3">
        <f>IFERROR(__xludf.DUMMYFUNCTION("""COMPUTED_VALUE"""),296608.0)</f>
        <v>296608</v>
      </c>
      <c r="K1520" s="3" t="str">
        <f>IFERROR(__xludf.DUMMYFUNCTION("""COMPUTED_VALUE"""),"นายภาคภูมิ เพ็ชรนิล")</f>
        <v>นายภาคภูมิ เพ็ชรนิล</v>
      </c>
      <c r="L1520" s="1" t="str">
        <f>IFERROR(__xludf.DUMMYFUNCTION("""COMPUTED_VALUE"""),"10 K.Phakphoom P.")</f>
        <v>10 K.Phakphoom P.</v>
      </c>
      <c r="M1520" s="1" t="str">
        <f>IFERROR(__xludf.DUMMYFUNCTION("""COMPUTED_VALUE"""),"063-8955329")</f>
        <v>063-8955329</v>
      </c>
      <c r="N1520" s="3">
        <f>IFERROR(__xludf.DUMMYFUNCTION("""COMPUTED_VALUE"""),22584.0)</f>
        <v>22584</v>
      </c>
      <c r="O1520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520" s="4">
        <f>IFERROR(__xludf.DUMMYFUNCTION("""COMPUTED_VALUE"""),44084.0)</f>
        <v>44084</v>
      </c>
      <c r="Q1520" s="3" t="str">
        <f>IFERROR(__xludf.DUMMYFUNCTION("""COMPUTED_VALUE"""),"A")</f>
        <v>A</v>
      </c>
      <c r="R1520" s="3" t="str">
        <f>IFERROR(__xludf.DUMMYFUNCTION("""COMPUTED_VALUE"""),"Small Format")</f>
        <v>Small Format</v>
      </c>
      <c r="S1520" s="3" t="str">
        <f>IFERROR(__xludf.DUMMYFUNCTION("""COMPUTED_VALUE"""),"BCM")</f>
        <v>BCM</v>
      </c>
      <c r="T1520" s="3" t="str">
        <f>IFERROR(__xludf.DUMMYFUNCTION("""COMPUTED_VALUE"""),"#N/A")</f>
        <v>#N/A</v>
      </c>
      <c r="U1520" s="3" t="str">
        <f>IFERROR(__xludf.DUMMYFUNCTION("""COMPUTED_VALUE"""),"#N/A")</f>
        <v>#N/A</v>
      </c>
      <c r="V1520" s="3" t="str">
        <f>IFERROR(__xludf.DUMMYFUNCTION("""COMPUTED_VALUE"""),"N")</f>
        <v>N</v>
      </c>
      <c r="W1520" s="3">
        <f>IFERROR(__xludf.DUMMYFUNCTION("""COMPUTED_VALUE"""),210224.0)</f>
        <v>210224</v>
      </c>
      <c r="X1520" s="3" t="str">
        <f>IFERROR(__xludf.DUMMYFUNCTION("""COMPUTED_VALUE"""),"68/11 หมู่5 ตำบลบางแม่นาง อำเภอบางใหญ่ จังหวัดนนทบุรี 11140")</f>
        <v>68/11 หมู่5 ตำบลบางแม่นาง อำเภอบางใหญ่ จังหวัดนนทบุรี 11140</v>
      </c>
      <c r="Y1520" s="3"/>
      <c r="Z1520" s="3" t="str">
        <f>IFERROR(__xludf.DUMMYFUNCTION("""COMPUTED_VALUE"""),"บางแม่นาง")</f>
        <v>บางแม่นาง</v>
      </c>
      <c r="AA1520" s="3" t="str">
        <f>IFERROR(__xludf.DUMMYFUNCTION("""COMPUTED_VALUE"""),"บางใหญ่")</f>
        <v>บางใหญ่</v>
      </c>
      <c r="AB1520" s="3" t="str">
        <f>IFERROR(__xludf.DUMMYFUNCTION("""COMPUTED_VALUE"""),"นนทบุรี")</f>
        <v>นนทบุรี</v>
      </c>
      <c r="AC1520" s="3">
        <f>IFERROR(__xludf.DUMMYFUNCTION("""COMPUTED_VALUE"""),11140.0)</f>
        <v>11140</v>
      </c>
      <c r="AD1520" s="3">
        <f>IFERROR(__xludf.DUMMYFUNCTION("""COMPUTED_VALUE"""),13.8603865)</f>
        <v>13.8603865</v>
      </c>
      <c r="AE1520" s="3">
        <f>IFERROR(__xludf.DUMMYFUNCTION("""COMPUTED_VALUE"""),100.3907564)</f>
        <v>100.3907564</v>
      </c>
      <c r="AF1520" s="3" t="str">
        <f>IFERROR(__xludf.DUMMYFUNCTION("""COMPUTED_VALUE"""),"MBC สามแยกโรงโฟม นนทบุรี-22205")</f>
        <v>MBC สามแยกโรงโฟม นนทบุรี-22205</v>
      </c>
      <c r="AG1520" s="3" t="str">
        <f>IFERROR(__xludf.DUMMYFUNCTION("""COMPUTED_VALUE"""),"กลาง")</f>
        <v>กลาง</v>
      </c>
      <c r="AH1520" s="3" t="str">
        <f>IFERROR(__xludf.DUMMYFUNCTION("""COMPUTED_VALUE"""),"#N/A")</f>
        <v>#N/A</v>
      </c>
      <c r="AI1520" s="3" t="str">
        <f>IFERROR(__xludf.DUMMYFUNCTION("""COMPUTED_VALUE"""),"Out of warranty")</f>
        <v>Out of warranty</v>
      </c>
      <c r="AJ1520" s="3">
        <f>IFERROR(__xludf.DUMMYFUNCTION("""COMPUTED_VALUE"""),65.0)</f>
        <v>65</v>
      </c>
      <c r="AK1520" s="3" t="str">
        <f>IFERROR(__xludf.DUMMYFUNCTION("""COMPUTED_VALUE"""),"MMS04")</f>
        <v>MMS04</v>
      </c>
      <c r="AL1520" s="3"/>
    </row>
    <row r="1521" ht="15.75" customHeight="1">
      <c r="A1521" s="1" t="str">
        <f>IFERROR(__xludf.DUMMYFUNCTION("""COMPUTED_VALUE"""),"22206")</f>
        <v>22206</v>
      </c>
      <c r="B1521" s="2">
        <f>IFERROR(__xludf.DUMMYFUNCTION("""COMPUTED_VALUE"""),22206.0)</f>
        <v>22206</v>
      </c>
      <c r="C1521" s="3" t="str">
        <f>IFERROR(__xludf.DUMMYFUNCTION("""COMPUTED_VALUE"""),"MBC บ้านสวยน้ำใส ฉะเชิงเทรา")</f>
        <v>MBC บ้านสวยน้ำใส ฉะเชิงเทรา</v>
      </c>
      <c r="D1521" s="3" t="str">
        <f>IFERROR(__xludf.DUMMYFUNCTION("""COMPUTED_VALUE"""),"BCM BAN SUAI NAM SAI")</f>
        <v>BCM BAN SUAI NAM SAI</v>
      </c>
      <c r="E1521" s="1" t="str">
        <f>IFERROR(__xludf.DUMMYFUNCTION("""COMPUTED_VALUE"""),"บิ๊กซี MINI")</f>
        <v>บิ๊กซี MINI</v>
      </c>
      <c r="F1521" s="1" t="str">
        <f>IFERROR(__xludf.DUMMYFUNCTION("""COMPUTED_VALUE"""),"2083447")</f>
        <v>2083447</v>
      </c>
      <c r="G1521" s="1" t="str">
        <f>IFERROR(__xludf.DUMMYFUNCTION("""COMPUTED_VALUE"""),"นายอนุกูล ศรีลัดดา")</f>
        <v>นายอนุกูล ศรีลัดดา</v>
      </c>
      <c r="H1521" s="1" t="str">
        <f>IFERROR(__xludf.DUMMYFUNCTION("""COMPUTED_VALUE"""),"254957")</f>
        <v>254957</v>
      </c>
      <c r="I1521" s="1" t="str">
        <f>IFERROR(__xludf.DUMMYFUNCTION("""COMPUTED_VALUE"""),"น.ส.ศิริพร รุ่งธัญญา")</f>
        <v>น.ส.ศิริพร รุ่งธัญญา</v>
      </c>
      <c r="J1521" s="3">
        <f>IFERROR(__xludf.DUMMYFUNCTION("""COMPUTED_VALUE"""),510143.0)</f>
        <v>510143</v>
      </c>
      <c r="K1521" s="3" t="str">
        <f>IFERROR(__xludf.DUMMYFUNCTION("""COMPUTED_VALUE"""),"นายธีระวัฒน์ บุญสิทธิ์")</f>
        <v>นายธีระวัฒน์ บุญสิทธิ์</v>
      </c>
      <c r="L1521" s="1" t="str">
        <f>IFERROR(__xludf.DUMMYFUNCTION("""COMPUTED_VALUE"""),"12 K.Theerawat B.")</f>
        <v>12 K.Theerawat B.</v>
      </c>
      <c r="M1521" s="1" t="str">
        <f>IFERROR(__xludf.DUMMYFUNCTION("""COMPUTED_VALUE"""),"0655107379")</f>
        <v>0655107379</v>
      </c>
      <c r="N1521" s="3">
        <f>IFERROR(__xludf.DUMMYFUNCTION("""COMPUTED_VALUE"""),21062.0)</f>
        <v>21062</v>
      </c>
      <c r="O1521" s="3" t="str">
        <f>IFERROR(__xludf.DUMMYFUNCTION("""COMPUTED_VALUE"""),"MBC นิคมนวนคร")</f>
        <v>MBC นิคมนวนคร</v>
      </c>
      <c r="P1521" s="4">
        <f>IFERROR(__xludf.DUMMYFUNCTION("""COMPUTED_VALUE"""),44087.0)</f>
        <v>44087</v>
      </c>
      <c r="Q1521" s="3" t="str">
        <f>IFERROR(__xludf.DUMMYFUNCTION("""COMPUTED_VALUE"""),"A")</f>
        <v>A</v>
      </c>
      <c r="R1521" s="3" t="str">
        <f>IFERROR(__xludf.DUMMYFUNCTION("""COMPUTED_VALUE"""),"Small Format")</f>
        <v>Small Format</v>
      </c>
      <c r="S1521" s="3" t="str">
        <f>IFERROR(__xludf.DUMMYFUNCTION("""COMPUTED_VALUE"""),"BCM")</f>
        <v>BCM</v>
      </c>
      <c r="T1521" s="3" t="str">
        <f>IFERROR(__xludf.DUMMYFUNCTION("""COMPUTED_VALUE"""),"#N/A")</f>
        <v>#N/A</v>
      </c>
      <c r="U1521" s="3" t="str">
        <f>IFERROR(__xludf.DUMMYFUNCTION("""COMPUTED_VALUE"""),"#N/A")</f>
        <v>#N/A</v>
      </c>
      <c r="V1521" s="3" t="str">
        <f>IFERROR(__xludf.DUMMYFUNCTION("""COMPUTED_VALUE"""),"N")</f>
        <v>N</v>
      </c>
      <c r="W1521" s="3">
        <f>IFERROR(__xludf.DUMMYFUNCTION("""COMPUTED_VALUE"""),210256.0)</f>
        <v>210256</v>
      </c>
      <c r="X1521" s="3" t="str">
        <f>IFERROR(__xludf.DUMMYFUNCTION("""COMPUTED_VALUE"""),"10/11 หมู่3 ตำบลบางสมัคร อำเภอบางประกง จังหวัดฉะเชิงเทรา 24180")</f>
        <v>10/11 หมู่3 ตำบลบางสมัคร อำเภอบางประกง จังหวัดฉะเชิงเทรา 24180</v>
      </c>
      <c r="Y1521" s="3"/>
      <c r="Z1521" s="3" t="str">
        <f>IFERROR(__xludf.DUMMYFUNCTION("""COMPUTED_VALUE"""),"บางสมัคร")</f>
        <v>บางสมัคร</v>
      </c>
      <c r="AA1521" s="3" t="str">
        <f>IFERROR(__xludf.DUMMYFUNCTION("""COMPUTED_VALUE"""),"บางประกง")</f>
        <v>บางประกง</v>
      </c>
      <c r="AB1521" s="3" t="str">
        <f>IFERROR(__xludf.DUMMYFUNCTION("""COMPUTED_VALUE"""),"ฉะเชิงเทรา")</f>
        <v>ฉะเชิงเทรา</v>
      </c>
      <c r="AC1521" s="3">
        <f>IFERROR(__xludf.DUMMYFUNCTION("""COMPUTED_VALUE"""),24180.0)</f>
        <v>24180</v>
      </c>
      <c r="AD1521" s="3">
        <f>IFERROR(__xludf.DUMMYFUNCTION("""COMPUTED_VALUE"""),13.532001)</f>
        <v>13.532001</v>
      </c>
      <c r="AE1521" s="3">
        <f>IFERROR(__xludf.DUMMYFUNCTION("""COMPUTED_VALUE"""),100.957238)</f>
        <v>100.957238</v>
      </c>
      <c r="AF1521" s="3" t="str">
        <f>IFERROR(__xludf.DUMMYFUNCTION("""COMPUTED_VALUE"""),"MBC บ้านสวยน้ำใส ฉะเชิงเทรา-22206")</f>
        <v>MBC บ้านสวยน้ำใส ฉะเชิงเทรา-22206</v>
      </c>
      <c r="AG1521" s="3" t="str">
        <f>IFERROR(__xludf.DUMMYFUNCTION("""COMPUTED_VALUE"""),"ตะวันออก")</f>
        <v>ตะวันออก</v>
      </c>
      <c r="AH1521" s="3" t="str">
        <f>IFERROR(__xludf.DUMMYFUNCTION("""COMPUTED_VALUE"""),"#N/A")</f>
        <v>#N/A</v>
      </c>
      <c r="AI1521" s="3" t="str">
        <f>IFERROR(__xludf.DUMMYFUNCTION("""COMPUTED_VALUE"""),"Out of warranty")</f>
        <v>Out of warranty</v>
      </c>
      <c r="AJ1521" s="3">
        <f>IFERROR(__xludf.DUMMYFUNCTION("""COMPUTED_VALUE"""),65.0)</f>
        <v>65</v>
      </c>
      <c r="AK1521" s="3" t="str">
        <f>IFERROR(__xludf.DUMMYFUNCTION("""COMPUTED_VALUE"""),"MMS03")</f>
        <v>MMS03</v>
      </c>
      <c r="AL1521" s="3"/>
    </row>
    <row r="1522" ht="15.75" customHeight="1">
      <c r="A1522" s="1" t="str">
        <f>IFERROR(__xludf.DUMMYFUNCTION("""COMPUTED_VALUE"""),"22207")</f>
        <v>22207</v>
      </c>
      <c r="B1522" s="2">
        <f>IFERROR(__xludf.DUMMYFUNCTION("""COMPUTED_VALUE"""),22207.0)</f>
        <v>22207</v>
      </c>
      <c r="C1522" s="3" t="str">
        <f>IFERROR(__xludf.DUMMYFUNCTION("""COMPUTED_VALUE"""),"MBC ชุมชนนพรัตน์ธารา กระบี่")</f>
        <v>MBC ชุมชนนพรัตน์ธารา กระบี่</v>
      </c>
      <c r="D1522" s="3" t="str">
        <f>IFERROR(__xludf.DUMMYFUNCTION("""COMPUTED_VALUE"""),"BCM CHUMCHON NOPPHARATTHARA")</f>
        <v>BCM CHUMCHON NOPPHARATTHARA</v>
      </c>
      <c r="E1522" s="1" t="str">
        <f>IFERROR(__xludf.DUMMYFUNCTION("""COMPUTED_VALUE"""),"บิ๊กซี MINI")</f>
        <v>บิ๊กซี MINI</v>
      </c>
      <c r="F1522" s="1" t="str">
        <f>IFERROR(__xludf.DUMMYFUNCTION("""COMPUTED_VALUE"""),"250760")</f>
        <v>250760</v>
      </c>
      <c r="G1522" s="1" t="str">
        <f>IFERROR(__xludf.DUMMYFUNCTION("""COMPUTED_VALUE"""),"นายประทวน สาราบรรณ์")</f>
        <v>นายประทวน สาราบรรณ์</v>
      </c>
      <c r="H1522" s="1" t="str">
        <f>IFERROR(__xludf.DUMMYFUNCTION("""COMPUTED_VALUE"""),"394143")</f>
        <v>394143</v>
      </c>
      <c r="I1522" s="1" t="str">
        <f>IFERROR(__xludf.DUMMYFUNCTION("""COMPUTED_VALUE"""),"นายวิษณุ เพชรหัตถ์")</f>
        <v>นายวิษณุ เพชรหัตถ์</v>
      </c>
      <c r="J1522" s="3">
        <f>IFERROR(__xludf.DUMMYFUNCTION("""COMPUTED_VALUE"""),2.0470331E7)</f>
        <v>20470331</v>
      </c>
      <c r="K1522" s="3" t="str">
        <f>IFERROR(__xludf.DUMMYFUNCTION("""COMPUTED_VALUE"""),"นายสมชาย ลักษณะสุวรรณ")</f>
        <v>นายสมชาย ลักษณะสุวรรณ</v>
      </c>
      <c r="L1522" s="1" t="str">
        <f>IFERROR(__xludf.DUMMYFUNCTION("""COMPUTED_VALUE"""),"15 K.Somchai L")</f>
        <v>15 K.Somchai L</v>
      </c>
      <c r="M1522" s="1" t="str">
        <f>IFERROR(__xludf.DUMMYFUNCTION("""COMPUTED_VALUE"""),"0655107372")</f>
        <v>0655107372</v>
      </c>
      <c r="N1522" s="3">
        <f>IFERROR(__xludf.DUMMYFUNCTION("""COMPUTED_VALUE"""),21723.0)</f>
        <v>21723</v>
      </c>
      <c r="O1522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522" s="4">
        <f>IFERROR(__xludf.DUMMYFUNCTION("""COMPUTED_VALUE"""),44114.0)</f>
        <v>44114</v>
      </c>
      <c r="Q1522" s="3" t="str">
        <f>IFERROR(__xludf.DUMMYFUNCTION("""COMPUTED_VALUE"""),"A")</f>
        <v>A</v>
      </c>
      <c r="R1522" s="3" t="str">
        <f>IFERROR(__xludf.DUMMYFUNCTION("""COMPUTED_VALUE"""),"Small Format")</f>
        <v>Small Format</v>
      </c>
      <c r="S1522" s="3" t="str">
        <f>IFERROR(__xludf.DUMMYFUNCTION("""COMPUTED_VALUE"""),"BCM")</f>
        <v>BCM</v>
      </c>
      <c r="T1522" s="3" t="str">
        <f>IFERROR(__xludf.DUMMYFUNCTION("""COMPUTED_VALUE"""),"#N/A")</f>
        <v>#N/A</v>
      </c>
      <c r="U1522" s="3" t="str">
        <f>IFERROR(__xludf.DUMMYFUNCTION("""COMPUTED_VALUE"""),"#N/A")</f>
        <v>#N/A</v>
      </c>
      <c r="V1522" s="3" t="str">
        <f>IFERROR(__xludf.DUMMYFUNCTION("""COMPUTED_VALUE"""),"N")</f>
        <v>N</v>
      </c>
      <c r="W1522" s="3">
        <f>IFERROR(__xludf.DUMMYFUNCTION("""COMPUTED_VALUE"""),210217.0)</f>
        <v>210217</v>
      </c>
      <c r="X1522" s="3" t="str">
        <f>IFERROR(__xludf.DUMMYFUNCTION("""COMPUTED_VALUE"""),"152/2-4 หมู่5 ตำบลอ่าวนาง อำเภอเมืองกระบี่ จังหวัดกระบี่ 81000")</f>
        <v>152/2-4 หมู่5 ตำบลอ่าวนาง อำเภอเมืองกระบี่ จังหวัดกระบี่ 81000</v>
      </c>
      <c r="Y1522" s="3"/>
      <c r="Z1522" s="3" t="str">
        <f>IFERROR(__xludf.DUMMYFUNCTION("""COMPUTED_VALUE"""),"อ่าวนาง")</f>
        <v>อ่าวนาง</v>
      </c>
      <c r="AA1522" s="3" t="str">
        <f>IFERROR(__xludf.DUMMYFUNCTION("""COMPUTED_VALUE"""),"เมือง")</f>
        <v>เมือง</v>
      </c>
      <c r="AB1522" s="3" t="str">
        <f>IFERROR(__xludf.DUMMYFUNCTION("""COMPUTED_VALUE"""),"กระบี่")</f>
        <v>กระบี่</v>
      </c>
      <c r="AC1522" s="3">
        <f>IFERROR(__xludf.DUMMYFUNCTION("""COMPUTED_VALUE"""),81000.0)</f>
        <v>81000</v>
      </c>
      <c r="AD1522" s="3">
        <f>IFERROR(__xludf.DUMMYFUNCTION("""COMPUTED_VALUE"""),8.051889)</f>
        <v>8.051889</v>
      </c>
      <c r="AE1522" s="3">
        <f>IFERROR(__xludf.DUMMYFUNCTION("""COMPUTED_VALUE"""),98.816033)</f>
        <v>98.816033</v>
      </c>
      <c r="AF1522" s="3" t="str">
        <f>IFERROR(__xludf.DUMMYFUNCTION("""COMPUTED_VALUE"""),"MBC ชุมชนนพรัตน์ธารา กระบี่-22207")</f>
        <v>MBC ชุมชนนพรัตน์ธารา กระบี่-22207</v>
      </c>
      <c r="AG1522" s="3" t="str">
        <f>IFERROR(__xludf.DUMMYFUNCTION("""COMPUTED_VALUE"""),"ใต้")</f>
        <v>ใต้</v>
      </c>
      <c r="AH1522" s="3" t="str">
        <f>IFERROR(__xludf.DUMMYFUNCTION("""COMPUTED_VALUE"""),"#N/A")</f>
        <v>#N/A</v>
      </c>
      <c r="AI1522" s="3" t="str">
        <f>IFERROR(__xludf.DUMMYFUNCTION("""COMPUTED_VALUE"""),"Out of warranty")</f>
        <v>Out of warranty</v>
      </c>
      <c r="AJ1522" s="3">
        <f>IFERROR(__xludf.DUMMYFUNCTION("""COMPUTED_VALUE"""),64.0)</f>
        <v>64</v>
      </c>
      <c r="AK1522" s="3" t="str">
        <f>IFERROR(__xludf.DUMMYFUNCTION("""COMPUTED_VALUE"""),"MMS15")</f>
        <v>MMS15</v>
      </c>
      <c r="AL1522" s="3"/>
    </row>
    <row r="1523" ht="15.75" customHeight="1">
      <c r="A1523" s="1" t="str">
        <f>IFERROR(__xludf.DUMMYFUNCTION("""COMPUTED_VALUE"""),"22208")</f>
        <v>22208</v>
      </c>
      <c r="B1523" s="2">
        <f>IFERROR(__xludf.DUMMYFUNCTION("""COMPUTED_VALUE"""),22208.0)</f>
        <v>22208</v>
      </c>
      <c r="C1523" s="3" t="str">
        <f>IFERROR(__xludf.DUMMYFUNCTION("""COMPUTED_VALUE"""),"MBC ตลาดคุ้มทรัพย์ นนทบุรี")</f>
        <v>MBC ตลาดคุ้มทรัพย์ นนทบุรี</v>
      </c>
      <c r="D1523" s="3" t="str">
        <f>IFERROR(__xludf.DUMMYFUNCTION("""COMPUTED_VALUE"""),"BCM TALAD KHUM SAP")</f>
        <v>BCM TALAD KHUM SAP</v>
      </c>
      <c r="E1523" s="1" t="str">
        <f>IFERROR(__xludf.DUMMYFUNCTION("""COMPUTED_VALUE"""),"บิ๊กซี MINI")</f>
        <v>บิ๊กซี MINI</v>
      </c>
      <c r="F1523" s="1" t="str">
        <f>IFERROR(__xludf.DUMMYFUNCTION("""COMPUTED_VALUE"""),"291008")</f>
        <v>291008</v>
      </c>
      <c r="G1523" s="1" t="str">
        <f>IFERROR(__xludf.DUMMYFUNCTION("""COMPUTED_VALUE"""),"น.ส.รัชดาพร อีศรัตน์")</f>
        <v>น.ส.รัชดาพร อีศรัตน์</v>
      </c>
      <c r="H1523" s="1" t="str">
        <f>IFERROR(__xludf.DUMMYFUNCTION("""COMPUTED_VALUE"""),"180055")</f>
        <v>180055</v>
      </c>
      <c r="I1523" s="1" t="str">
        <f>IFERROR(__xludf.DUMMYFUNCTION("""COMPUTED_VALUE"""),"น.ส.สุดารัตน์ บุญล้ำ")</f>
        <v>น.ส.สุดารัตน์ บุญล้ำ</v>
      </c>
      <c r="J1523" s="3">
        <f>IFERROR(__xludf.DUMMYFUNCTION("""COMPUTED_VALUE"""),296608.0)</f>
        <v>296608</v>
      </c>
      <c r="K1523" s="3" t="str">
        <f>IFERROR(__xludf.DUMMYFUNCTION("""COMPUTED_VALUE"""),"นายภาคภูมิ เพ็ชรนิล")</f>
        <v>นายภาคภูมิ เพ็ชรนิล</v>
      </c>
      <c r="L1523" s="1" t="str">
        <f>IFERROR(__xludf.DUMMYFUNCTION("""COMPUTED_VALUE"""),"10 K.Phakphoom P.")</f>
        <v>10 K.Phakphoom P.</v>
      </c>
      <c r="M1523" s="1" t="str">
        <f>IFERROR(__xludf.DUMMYFUNCTION("""COMPUTED_VALUE"""),"063-8955329")</f>
        <v>063-8955329</v>
      </c>
      <c r="N1523" s="3">
        <f>IFERROR(__xludf.DUMMYFUNCTION("""COMPUTED_VALUE"""),22584.0)</f>
        <v>22584</v>
      </c>
      <c r="O1523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523" s="4">
        <f>IFERROR(__xludf.DUMMYFUNCTION("""COMPUTED_VALUE"""),44092.0)</f>
        <v>44092</v>
      </c>
      <c r="Q1523" s="3" t="str">
        <f>IFERROR(__xludf.DUMMYFUNCTION("""COMPUTED_VALUE"""),"A")</f>
        <v>A</v>
      </c>
      <c r="R1523" s="3" t="str">
        <f>IFERROR(__xludf.DUMMYFUNCTION("""COMPUTED_VALUE"""),"Small Format")</f>
        <v>Small Format</v>
      </c>
      <c r="S1523" s="3" t="str">
        <f>IFERROR(__xludf.DUMMYFUNCTION("""COMPUTED_VALUE"""),"BCM")</f>
        <v>BCM</v>
      </c>
      <c r="T1523" s="3" t="str">
        <f>IFERROR(__xludf.DUMMYFUNCTION("""COMPUTED_VALUE"""),"#N/A")</f>
        <v>#N/A</v>
      </c>
      <c r="U1523" s="3" t="str">
        <f>IFERROR(__xludf.DUMMYFUNCTION("""COMPUTED_VALUE"""),"#N/A")</f>
        <v>#N/A</v>
      </c>
      <c r="V1523" s="3" t="str">
        <f>IFERROR(__xludf.DUMMYFUNCTION("""COMPUTED_VALUE"""),"N")</f>
        <v>N</v>
      </c>
      <c r="W1523" s="3">
        <f>IFERROR(__xludf.DUMMYFUNCTION("""COMPUTED_VALUE"""),210247.0)</f>
        <v>210247</v>
      </c>
      <c r="X1523" s="3" t="str">
        <f>IFERROR(__xludf.DUMMYFUNCTION("""COMPUTED_VALUE"""),"8/21 หมู่15 ตำบลบางม่วง อำเภอบางใหญ่ จังหวัดนนทบุรี 11140")</f>
        <v>8/21 หมู่15 ตำบลบางม่วง อำเภอบางใหญ่ จังหวัดนนทบุรี 11140</v>
      </c>
      <c r="Y1523" s="3"/>
      <c r="Z1523" s="3" t="str">
        <f>IFERROR(__xludf.DUMMYFUNCTION("""COMPUTED_VALUE"""),"บางม่วง")</f>
        <v>บางม่วง</v>
      </c>
      <c r="AA1523" s="3" t="str">
        <f>IFERROR(__xludf.DUMMYFUNCTION("""COMPUTED_VALUE"""),"บางใหญ่")</f>
        <v>บางใหญ่</v>
      </c>
      <c r="AB1523" s="3" t="str">
        <f>IFERROR(__xludf.DUMMYFUNCTION("""COMPUTED_VALUE"""),"นนทบุรี")</f>
        <v>นนทบุรี</v>
      </c>
      <c r="AC1523" s="3">
        <f>IFERROR(__xludf.DUMMYFUNCTION("""COMPUTED_VALUE"""),11140.0)</f>
        <v>11140</v>
      </c>
      <c r="AD1523" s="3">
        <f>IFERROR(__xludf.DUMMYFUNCTION("""COMPUTED_VALUE"""),13.829257)</f>
        <v>13.829257</v>
      </c>
      <c r="AE1523" s="3">
        <f>IFERROR(__xludf.DUMMYFUNCTION("""COMPUTED_VALUE"""),100.367682)</f>
        <v>100.367682</v>
      </c>
      <c r="AF1523" s="3" t="str">
        <f>IFERROR(__xludf.DUMMYFUNCTION("""COMPUTED_VALUE"""),"MBC ตลาดคุ้มทรัพย์ นนทบุรี-22208")</f>
        <v>MBC ตลาดคุ้มทรัพย์ นนทบุรี-22208</v>
      </c>
      <c r="AG1523" s="3" t="str">
        <f>IFERROR(__xludf.DUMMYFUNCTION("""COMPUTED_VALUE"""),"กลาง")</f>
        <v>กลาง</v>
      </c>
      <c r="AH1523" s="3" t="str">
        <f>IFERROR(__xludf.DUMMYFUNCTION("""COMPUTED_VALUE"""),"#N/A")</f>
        <v>#N/A</v>
      </c>
      <c r="AI1523" s="3" t="str">
        <f>IFERROR(__xludf.DUMMYFUNCTION("""COMPUTED_VALUE"""),"Out of warranty")</f>
        <v>Out of warranty</v>
      </c>
      <c r="AJ1523" s="3">
        <f>IFERROR(__xludf.DUMMYFUNCTION("""COMPUTED_VALUE"""),65.0)</f>
        <v>65</v>
      </c>
      <c r="AK1523" s="3" t="str">
        <f>IFERROR(__xludf.DUMMYFUNCTION("""COMPUTED_VALUE"""),"MMS05")</f>
        <v>MMS05</v>
      </c>
      <c r="AL1523" s="3"/>
    </row>
    <row r="1524" ht="15.75" customHeight="1">
      <c r="A1524" s="1" t="str">
        <f>IFERROR(__xludf.DUMMYFUNCTION("""COMPUTED_VALUE"""),"22209")</f>
        <v>22209</v>
      </c>
      <c r="B1524" s="2">
        <f>IFERROR(__xludf.DUMMYFUNCTION("""COMPUTED_VALUE"""),22209.0)</f>
        <v>22209</v>
      </c>
      <c r="C1524" s="3" t="str">
        <f>IFERROR(__xludf.DUMMYFUNCTION("""COMPUTED_VALUE"""),"MBC พยุห์ ศรีสะเกษ")</f>
        <v>MBC พยุห์ ศรีสะเกษ</v>
      </c>
      <c r="D1524" s="3" t="str">
        <f>IFERROR(__xludf.DUMMYFUNCTION("""COMPUTED_VALUE"""),"BCM PHAYU SISAKET")</f>
        <v>BCM PHAYU SISAKET</v>
      </c>
      <c r="E1524" s="1" t="str">
        <f>IFERROR(__xludf.DUMMYFUNCTION("""COMPUTED_VALUE"""),"บิ๊กซี MINI")</f>
        <v>บิ๊กซี MINI</v>
      </c>
      <c r="F1524" s="1" t="str">
        <f>IFERROR(__xludf.DUMMYFUNCTION("""COMPUTED_VALUE"""),"291105")</f>
        <v>291105</v>
      </c>
      <c r="G1524" s="1" t="str">
        <f>IFERROR(__xludf.DUMMYFUNCTION("""COMPUTED_VALUE"""),"นายสราวุฒิ พณิชยกุล")</f>
        <v>นายสราวุฒิ พณิชยกุล</v>
      </c>
      <c r="H1524" s="1" t="str">
        <f>IFERROR(__xludf.DUMMYFUNCTION("""COMPUTED_VALUE"""),"398146")</f>
        <v>398146</v>
      </c>
      <c r="I1524" s="1" t="str">
        <f>IFERROR(__xludf.DUMMYFUNCTION("""COMPUTED_VALUE"""),"น.ส.กนกสิริ สุขหอม")</f>
        <v>น.ส.กนกสิริ สุขหอม</v>
      </c>
      <c r="J1524" s="3">
        <f>IFERROR(__xludf.DUMMYFUNCTION("""COMPUTED_VALUE"""),2454781.0)</f>
        <v>2454781</v>
      </c>
      <c r="K1524" s="3" t="str">
        <f>IFERROR(__xludf.DUMMYFUNCTION("""COMPUTED_VALUE"""),"นายฌานกฤช นันทะโคต")</f>
        <v>นายฌานกฤช นันทะโคต</v>
      </c>
      <c r="L1524" s="1" t="str">
        <f>IFERROR(__xludf.DUMMYFUNCTION("""COMPUTED_VALUE"""),"05 K.Chanakrit N.")</f>
        <v>05 K.Chanakrit N.</v>
      </c>
      <c r="M1524" s="1" t="str">
        <f>IFERROR(__xludf.DUMMYFUNCTION("""COMPUTED_VALUE"""),"090-978-9785 ,065-929-1320")</f>
        <v>090-978-9785 ,065-929-1320</v>
      </c>
      <c r="N1524" s="3">
        <f>IFERROR(__xludf.DUMMYFUNCTION("""COMPUTED_VALUE"""),22195.0)</f>
        <v>22195</v>
      </c>
      <c r="O1524" s="3" t="str">
        <f>IFERROR(__xludf.DUMMYFUNCTION("""COMPUTED_VALUE"""),"MBC กันทรลักษ์ ศรีสะเกษ")</f>
        <v>MBC กันทรลักษ์ ศรีสะเกษ</v>
      </c>
      <c r="P1524" s="4">
        <f>IFERROR(__xludf.DUMMYFUNCTION("""COMPUTED_VALUE"""),44101.0)</f>
        <v>44101</v>
      </c>
      <c r="Q1524" s="3" t="str">
        <f>IFERROR(__xludf.DUMMYFUNCTION("""COMPUTED_VALUE"""),"A")</f>
        <v>A</v>
      </c>
      <c r="R1524" s="3" t="str">
        <f>IFERROR(__xludf.DUMMYFUNCTION("""COMPUTED_VALUE"""),"Small Format")</f>
        <v>Small Format</v>
      </c>
      <c r="S1524" s="3" t="str">
        <f>IFERROR(__xludf.DUMMYFUNCTION("""COMPUTED_VALUE"""),"BCM")</f>
        <v>BCM</v>
      </c>
      <c r="T1524" s="3" t="str">
        <f>IFERROR(__xludf.DUMMYFUNCTION("""COMPUTED_VALUE"""),"#N/A")</f>
        <v>#N/A</v>
      </c>
      <c r="U1524" s="3" t="str">
        <f>IFERROR(__xludf.DUMMYFUNCTION("""COMPUTED_VALUE"""),"#N/A")</f>
        <v>#N/A</v>
      </c>
      <c r="V1524" s="3" t="str">
        <f>IFERROR(__xludf.DUMMYFUNCTION("""COMPUTED_VALUE"""),"N")</f>
        <v>N</v>
      </c>
      <c r="W1524" s="3">
        <f>IFERROR(__xludf.DUMMYFUNCTION("""COMPUTED_VALUE"""),210236.0)</f>
        <v>210236</v>
      </c>
      <c r="X1524" s="3" t="str">
        <f>IFERROR(__xludf.DUMMYFUNCTION("""COMPUTED_VALUE"""),"7 หมู่1 ตำบลพยุห์ อำเภอพยุห์ จังหวัดศรีสะเกษ 33230")</f>
        <v>7 หมู่1 ตำบลพยุห์ อำเภอพยุห์ จังหวัดศรีสะเกษ 33230</v>
      </c>
      <c r="Y1524" s="3"/>
      <c r="Z1524" s="3" t="str">
        <f>IFERROR(__xludf.DUMMYFUNCTION("""COMPUTED_VALUE"""),"พยุห์")</f>
        <v>พยุห์</v>
      </c>
      <c r="AA1524" s="3" t="str">
        <f>IFERROR(__xludf.DUMMYFUNCTION("""COMPUTED_VALUE"""),"พยุห์")</f>
        <v>พยุห์</v>
      </c>
      <c r="AB1524" s="3" t="str">
        <f>IFERROR(__xludf.DUMMYFUNCTION("""COMPUTED_VALUE"""),"ศรีสะเกษ")</f>
        <v>ศรีสะเกษ</v>
      </c>
      <c r="AC1524" s="3">
        <f>IFERROR(__xludf.DUMMYFUNCTION("""COMPUTED_VALUE"""),33230.0)</f>
        <v>33230</v>
      </c>
      <c r="AD1524" s="3">
        <f>IFERROR(__xludf.DUMMYFUNCTION("""COMPUTED_VALUE"""),14.943194)</f>
        <v>14.943194</v>
      </c>
      <c r="AE1524" s="3">
        <f>IFERROR(__xludf.DUMMYFUNCTION("""COMPUTED_VALUE"""),104.393738)</f>
        <v>104.393738</v>
      </c>
      <c r="AF1524" s="3" t="str">
        <f>IFERROR(__xludf.DUMMYFUNCTION("""COMPUTED_VALUE"""),"MBC พยุห์ ศรีสะเกษ-22209")</f>
        <v>MBC พยุห์ ศรีสะเกษ-22209</v>
      </c>
      <c r="AG1524" s="3" t="str">
        <f>IFERROR(__xludf.DUMMYFUNCTION("""COMPUTED_VALUE"""),"ตะวันออกเฉียงเหนือ")</f>
        <v>ตะวันออกเฉียงเหนือ</v>
      </c>
      <c r="AH1524" s="3" t="str">
        <f>IFERROR(__xludf.DUMMYFUNCTION("""COMPUTED_VALUE"""),"#N/A")</f>
        <v>#N/A</v>
      </c>
      <c r="AI1524" s="3" t="str">
        <f>IFERROR(__xludf.DUMMYFUNCTION("""COMPUTED_VALUE"""),"Out of warranty")</f>
        <v>Out of warranty</v>
      </c>
      <c r="AJ1524" s="3">
        <f>IFERROR(__xludf.DUMMYFUNCTION("""COMPUTED_VALUE"""),64.0)</f>
        <v>64</v>
      </c>
      <c r="AK1524" s="3" t="str">
        <f>IFERROR(__xludf.DUMMYFUNCTION("""COMPUTED_VALUE"""),"MMS13")</f>
        <v>MMS13</v>
      </c>
      <c r="AL1524" s="3"/>
    </row>
    <row r="1525" ht="15.75" customHeight="1">
      <c r="A1525" s="1" t="str">
        <f>IFERROR(__xludf.DUMMYFUNCTION("""COMPUTED_VALUE"""),"22210")</f>
        <v>22210</v>
      </c>
      <c r="B1525" s="2">
        <f>IFERROR(__xludf.DUMMYFUNCTION("""COMPUTED_VALUE"""),22210.0)</f>
        <v>22210</v>
      </c>
      <c r="C1525" s="3" t="str">
        <f>IFERROR(__xludf.DUMMYFUNCTION("""COMPUTED_VALUE"""),"MBC โกรกกราก สมุทรสาคร")</f>
        <v>MBC โกรกกราก สมุทรสาคร</v>
      </c>
      <c r="D1525" s="3" t="str">
        <f>IFERROR(__xludf.DUMMYFUNCTION("""COMPUTED_VALUE"""),"BCM KROK KRAK")</f>
        <v>BCM KROK KRAK</v>
      </c>
      <c r="E1525" s="1" t="str">
        <f>IFERROR(__xludf.DUMMYFUNCTION("""COMPUTED_VALUE"""),"บิ๊กซี MINI")</f>
        <v>บิ๊กซี MINI</v>
      </c>
      <c r="F1525" s="1" t="str">
        <f>IFERROR(__xludf.DUMMYFUNCTION("""COMPUTED_VALUE"""),"2083447")</f>
        <v>2083447</v>
      </c>
      <c r="G1525" s="1" t="str">
        <f>IFERROR(__xludf.DUMMYFUNCTION("""COMPUTED_VALUE"""),"นายอนุกูล ศรีลัดดา")</f>
        <v>นายอนุกูล ศรีลัดดา</v>
      </c>
      <c r="H1525" s="1" t="str">
        <f>IFERROR(__xludf.DUMMYFUNCTION("""COMPUTED_VALUE"""),"2455053")</f>
        <v>2455053</v>
      </c>
      <c r="I1525" s="1" t="str">
        <f>IFERROR(__xludf.DUMMYFUNCTION("""COMPUTED_VALUE"""),"นายพันธมิตร โพธิ")</f>
        <v>นายพันธมิตร โพธิ</v>
      </c>
      <c r="J1525" s="3">
        <f>IFERROR(__xludf.DUMMYFUNCTION("""COMPUTED_VALUE"""),2451655.0)</f>
        <v>2451655</v>
      </c>
      <c r="K1525" s="3" t="str">
        <f>IFERROR(__xludf.DUMMYFUNCTION("""COMPUTED_VALUE"""),"นายวิษณุพงษ์ ชินบุตร")</f>
        <v>นายวิษณุพงษ์ ชินบุตร</v>
      </c>
      <c r="L1525" s="1" t="str">
        <f>IFERROR(__xludf.DUMMYFUNCTION("""COMPUTED_VALUE"""),"13 K.Wisanupong Ch")</f>
        <v>13 K.Wisanupong Ch</v>
      </c>
      <c r="M1525" s="1" t="str">
        <f>IFERROR(__xludf.DUMMYFUNCTION("""COMPUTED_VALUE"""),"0843374693")</f>
        <v>0843374693</v>
      </c>
      <c r="N1525" s="3">
        <f>IFERROR(__xludf.DUMMYFUNCTION("""COMPUTED_VALUE"""),22729.0)</f>
        <v>22729</v>
      </c>
      <c r="O1525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525" s="4">
        <f>IFERROR(__xludf.DUMMYFUNCTION("""COMPUTED_VALUE"""),44097.0)</f>
        <v>44097</v>
      </c>
      <c r="Q1525" s="3" t="str">
        <f>IFERROR(__xludf.DUMMYFUNCTION("""COMPUTED_VALUE"""),"A")</f>
        <v>A</v>
      </c>
      <c r="R1525" s="3" t="str">
        <f>IFERROR(__xludf.DUMMYFUNCTION("""COMPUTED_VALUE"""),"Small Format")</f>
        <v>Small Format</v>
      </c>
      <c r="S1525" s="3" t="str">
        <f>IFERROR(__xludf.DUMMYFUNCTION("""COMPUTED_VALUE"""),"BCM")</f>
        <v>BCM</v>
      </c>
      <c r="T1525" s="3" t="str">
        <f>IFERROR(__xludf.DUMMYFUNCTION("""COMPUTED_VALUE"""),"#N/A")</f>
        <v>#N/A</v>
      </c>
      <c r="U1525" s="3" t="str">
        <f>IFERROR(__xludf.DUMMYFUNCTION("""COMPUTED_VALUE"""),"#N/A")</f>
        <v>#N/A</v>
      </c>
      <c r="V1525" s="3" t="str">
        <f>IFERROR(__xludf.DUMMYFUNCTION("""COMPUTED_VALUE"""),"N")</f>
        <v>N</v>
      </c>
      <c r="W1525" s="3">
        <f>IFERROR(__xludf.DUMMYFUNCTION("""COMPUTED_VALUE"""),210257.0)</f>
        <v>210257</v>
      </c>
      <c r="X1525" s="3" t="str">
        <f>IFERROR(__xludf.DUMMYFUNCTION("""COMPUTED_VALUE"""),"60/15 ถนนธรรมคุณากร ตำบลโกรกกราก อำเภอเมืองสมุทรสาคร จังหวัดสมุทรสาคร 74000")</f>
        <v>60/15 ถนนธรรมคุณากร ตำบลโกรกกราก อำเภอเมืองสมุทรสาคร จังหวัดสมุทรสาคร 74000</v>
      </c>
      <c r="Y1525" s="3" t="str">
        <f>IFERROR(__xludf.DUMMYFUNCTION("""COMPUTED_VALUE"""),"ถนนธรรมคุณากร")</f>
        <v>ถนนธรรมคุณากร</v>
      </c>
      <c r="Z1525" s="3" t="str">
        <f>IFERROR(__xludf.DUMMYFUNCTION("""COMPUTED_VALUE"""),"โกรกกราก")</f>
        <v>โกรกกราก</v>
      </c>
      <c r="AA1525" s="3" t="str">
        <f>IFERROR(__xludf.DUMMYFUNCTION("""COMPUTED_VALUE"""),"เมือง")</f>
        <v>เมือง</v>
      </c>
      <c r="AB1525" s="3" t="str">
        <f>IFERROR(__xludf.DUMMYFUNCTION("""COMPUTED_VALUE"""),"สมุทรสาคร")</f>
        <v>สมุทรสาคร</v>
      </c>
      <c r="AC1525" s="3">
        <f>IFERROR(__xludf.DUMMYFUNCTION("""COMPUTED_VALUE"""),74000.0)</f>
        <v>74000</v>
      </c>
      <c r="AD1525" s="3">
        <f>IFERROR(__xludf.DUMMYFUNCTION("""COMPUTED_VALUE"""),13.534244)</f>
        <v>13.534244</v>
      </c>
      <c r="AE1525" s="3">
        <f>IFERROR(__xludf.DUMMYFUNCTION("""COMPUTED_VALUE"""),100.279942)</f>
        <v>100.279942</v>
      </c>
      <c r="AF1525" s="3" t="str">
        <f>IFERROR(__xludf.DUMMYFUNCTION("""COMPUTED_VALUE"""),"MBC โกรกกราก สมุทรสาคร-22210")</f>
        <v>MBC โกรกกราก สมุทรสาคร-22210</v>
      </c>
      <c r="AG1525" s="3" t="str">
        <f>IFERROR(__xludf.DUMMYFUNCTION("""COMPUTED_VALUE"""),"กลาง")</f>
        <v>กลาง</v>
      </c>
      <c r="AH1525" s="3" t="str">
        <f>IFERROR(__xludf.DUMMYFUNCTION("""COMPUTED_VALUE"""),"#N/A")</f>
        <v>#N/A</v>
      </c>
      <c r="AI1525" s="3" t="str">
        <f>IFERROR(__xludf.DUMMYFUNCTION("""COMPUTED_VALUE"""),"Out of warranty")</f>
        <v>Out of warranty</v>
      </c>
      <c r="AJ1525" s="3">
        <f>IFERROR(__xludf.DUMMYFUNCTION("""COMPUTED_VALUE"""),64.0)</f>
        <v>64</v>
      </c>
      <c r="AK1525" s="3" t="str">
        <f>IFERROR(__xludf.DUMMYFUNCTION("""COMPUTED_VALUE"""),"MMS05")</f>
        <v>MMS05</v>
      </c>
      <c r="AL1525" s="3"/>
    </row>
    <row r="1526" ht="15.75" customHeight="1">
      <c r="A1526" s="1" t="str">
        <f>IFERROR(__xludf.DUMMYFUNCTION("""COMPUTED_VALUE"""),"22211")</f>
        <v>22211</v>
      </c>
      <c r="B1526" s="2">
        <f>IFERROR(__xludf.DUMMYFUNCTION("""COMPUTED_VALUE"""),22211.0)</f>
        <v>22211</v>
      </c>
      <c r="C1526" s="3" t="str">
        <f>IFERROR(__xludf.DUMMYFUNCTION("""COMPUTED_VALUE"""),"MBC อำเภอยะรัง ปัตตานี")</f>
        <v>MBC อำเภอยะรัง ปัตตานี</v>
      </c>
      <c r="D1526" s="3" t="str">
        <f>IFERROR(__xludf.DUMMYFUNCTION("""COMPUTED_VALUE"""),"BCM AMPHUR YARANG (OPT.2)")</f>
        <v>BCM AMPHUR YARANG (OPT.2)</v>
      </c>
      <c r="E1526" s="1" t="str">
        <f>IFERROR(__xludf.DUMMYFUNCTION("""COMPUTED_VALUE"""),"บิ๊กซี MINI")</f>
        <v>บิ๊กซี MINI</v>
      </c>
      <c r="F1526" s="1" t="str">
        <f>IFERROR(__xludf.DUMMYFUNCTION("""COMPUTED_VALUE"""),"250760")</f>
        <v>250760</v>
      </c>
      <c r="G1526" s="1" t="str">
        <f>IFERROR(__xludf.DUMMYFUNCTION("""COMPUTED_VALUE"""),"นายประทวน สาราบรรณ์")</f>
        <v>นายประทวน สาราบรรณ์</v>
      </c>
      <c r="H1526" s="1" t="str">
        <f>IFERROR(__xludf.DUMMYFUNCTION("""COMPUTED_VALUE"""),"485279")</f>
        <v>485279</v>
      </c>
      <c r="I1526" s="1" t="str">
        <f>IFERROR(__xludf.DUMMYFUNCTION("""COMPUTED_VALUE"""),"นายสิริพงศ์ ชูชื่น")</f>
        <v>นายสิริพงศ์ ชูชื่น</v>
      </c>
      <c r="J1526" s="3">
        <f>IFERROR(__xludf.DUMMYFUNCTION("""COMPUTED_VALUE"""),2.0470331E7)</f>
        <v>20470331</v>
      </c>
      <c r="K1526" s="3" t="str">
        <f>IFERROR(__xludf.DUMMYFUNCTION("""COMPUTED_VALUE"""),"นายสมชาย ลักษณะสุวรรณ")</f>
        <v>นายสมชาย ลักษณะสุวรรณ</v>
      </c>
      <c r="L1526" s="1" t="str">
        <f>IFERROR(__xludf.DUMMYFUNCTION("""COMPUTED_VALUE"""),"15 K.Somchai L")</f>
        <v>15 K.Somchai L</v>
      </c>
      <c r="M1526" s="1" t="str">
        <f>IFERROR(__xludf.DUMMYFUNCTION("""COMPUTED_VALUE"""),"0655107372")</f>
        <v>0655107372</v>
      </c>
      <c r="N1526" s="3">
        <f>IFERROR(__xludf.DUMMYFUNCTION("""COMPUTED_VALUE"""),21723.0)</f>
        <v>21723</v>
      </c>
      <c r="O1526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526" s="4">
        <f>IFERROR(__xludf.DUMMYFUNCTION("""COMPUTED_VALUE"""),44117.0)</f>
        <v>44117</v>
      </c>
      <c r="Q1526" s="3" t="str">
        <f>IFERROR(__xludf.DUMMYFUNCTION("""COMPUTED_VALUE"""),"A")</f>
        <v>A</v>
      </c>
      <c r="R1526" s="3" t="str">
        <f>IFERROR(__xludf.DUMMYFUNCTION("""COMPUTED_VALUE"""),"Small Format")</f>
        <v>Small Format</v>
      </c>
      <c r="S1526" s="3" t="str">
        <f>IFERROR(__xludf.DUMMYFUNCTION("""COMPUTED_VALUE"""),"BCM")</f>
        <v>BCM</v>
      </c>
      <c r="T1526" s="3" t="str">
        <f>IFERROR(__xludf.DUMMYFUNCTION("""COMPUTED_VALUE"""),"#N/A")</f>
        <v>#N/A</v>
      </c>
      <c r="U1526" s="3" t="str">
        <f>IFERROR(__xludf.DUMMYFUNCTION("""COMPUTED_VALUE"""),"#N/A")</f>
        <v>#N/A</v>
      </c>
      <c r="V1526" s="3" t="str">
        <f>IFERROR(__xludf.DUMMYFUNCTION("""COMPUTED_VALUE"""),"N")</f>
        <v>N</v>
      </c>
      <c r="W1526" s="3">
        <f>IFERROR(__xludf.DUMMYFUNCTION("""COMPUTED_VALUE"""),210255.0)</f>
        <v>210255</v>
      </c>
      <c r="X1526" s="3" t="str">
        <f>IFERROR(__xludf.DUMMYFUNCTION("""COMPUTED_VALUE"""),"38 หมู่3 ตำบลยะรัง อำเภอยะรัง จังหวัดปัตตานี 94160")</f>
        <v>38 หมู่3 ตำบลยะรัง อำเภอยะรัง จังหวัดปัตตานี 94160</v>
      </c>
      <c r="Y1526" s="3"/>
      <c r="Z1526" s="3" t="str">
        <f>IFERROR(__xludf.DUMMYFUNCTION("""COMPUTED_VALUE"""),"ยะรัง")</f>
        <v>ยะรัง</v>
      </c>
      <c r="AA1526" s="3" t="str">
        <f>IFERROR(__xludf.DUMMYFUNCTION("""COMPUTED_VALUE"""),"ยะรัง")</f>
        <v>ยะรัง</v>
      </c>
      <c r="AB1526" s="3" t="str">
        <f>IFERROR(__xludf.DUMMYFUNCTION("""COMPUTED_VALUE"""),"ปัตตานี")</f>
        <v>ปัตตานี</v>
      </c>
      <c r="AC1526" s="3">
        <f>IFERROR(__xludf.DUMMYFUNCTION("""COMPUTED_VALUE"""),94160.0)</f>
        <v>94160</v>
      </c>
      <c r="AD1526" s="3">
        <f>IFERROR(__xludf.DUMMYFUNCTION("""COMPUTED_VALUE"""),6.761444)</f>
        <v>6.761444</v>
      </c>
      <c r="AE1526" s="3">
        <f>IFERROR(__xludf.DUMMYFUNCTION("""COMPUTED_VALUE"""),101.294436)</f>
        <v>101.294436</v>
      </c>
      <c r="AF1526" s="3" t="str">
        <f>IFERROR(__xludf.DUMMYFUNCTION("""COMPUTED_VALUE"""),"MBC อำเภอยะรัง ปัตตานี-22211")</f>
        <v>MBC อำเภอยะรัง ปัตตานี-22211</v>
      </c>
      <c r="AG1526" s="3" t="str">
        <f>IFERROR(__xludf.DUMMYFUNCTION("""COMPUTED_VALUE"""),"ใต้")</f>
        <v>ใต้</v>
      </c>
      <c r="AH1526" s="3" t="str">
        <f>IFERROR(__xludf.DUMMYFUNCTION("""COMPUTED_VALUE"""),"#N/A")</f>
        <v>#N/A</v>
      </c>
      <c r="AI1526" s="3" t="str">
        <f>IFERROR(__xludf.DUMMYFUNCTION("""COMPUTED_VALUE"""),"Out of warranty")</f>
        <v>Out of warranty</v>
      </c>
      <c r="AJ1526" s="3">
        <f>IFERROR(__xludf.DUMMYFUNCTION("""COMPUTED_VALUE"""),64.0)</f>
        <v>64</v>
      </c>
      <c r="AK1526" s="3" t="str">
        <f>IFERROR(__xludf.DUMMYFUNCTION("""COMPUTED_VALUE"""),"MMS16")</f>
        <v>MMS16</v>
      </c>
      <c r="AL1526" s="3"/>
    </row>
    <row r="1527" ht="15.75" customHeight="1">
      <c r="A1527" s="1" t="str">
        <f>IFERROR(__xludf.DUMMYFUNCTION("""COMPUTED_VALUE"""),"22212")</f>
        <v>22212</v>
      </c>
      <c r="B1527" s="2">
        <f>IFERROR(__xludf.DUMMYFUNCTION("""COMPUTED_VALUE"""),22212.0)</f>
        <v>22212</v>
      </c>
      <c r="C1527" s="3" t="str">
        <f>IFERROR(__xludf.DUMMYFUNCTION("""COMPUTED_VALUE"""),"MBC โพนทอง ร้อยเอ็ด")</f>
        <v>MBC โพนทอง ร้อยเอ็ด</v>
      </c>
      <c r="D1527" s="3" t="str">
        <f>IFERROR(__xludf.DUMMYFUNCTION("""COMPUTED_VALUE"""),"BCM AMPHOE PHON THONG")</f>
        <v>BCM AMPHOE PHON THONG</v>
      </c>
      <c r="E1527" s="1" t="str">
        <f>IFERROR(__xludf.DUMMYFUNCTION("""COMPUTED_VALUE"""),"บิ๊กซี MINI")</f>
        <v>บิ๊กซี MINI</v>
      </c>
      <c r="F1527" s="1" t="str">
        <f>IFERROR(__xludf.DUMMYFUNCTION("""COMPUTED_VALUE"""),"291105")</f>
        <v>291105</v>
      </c>
      <c r="G1527" s="1" t="str">
        <f>IFERROR(__xludf.DUMMYFUNCTION("""COMPUTED_VALUE"""),"นายสราวุฒิ พณิชยกุล")</f>
        <v>นายสราวุฒิ พณิชยกุล</v>
      </c>
      <c r="H1527" s="1" t="str">
        <f>IFERROR(__xludf.DUMMYFUNCTION("""COMPUTED_VALUE"""),"398136")</f>
        <v>398136</v>
      </c>
      <c r="I1527" s="1" t="str">
        <f>IFERROR(__xludf.DUMMYFUNCTION("""COMPUTED_VALUE"""),"นายประยูร ธาดาวงษา")</f>
        <v>นายประยูร ธาดาวงษา</v>
      </c>
      <c r="J1527" s="3">
        <f>IFERROR(__xludf.DUMMYFUNCTION("""COMPUTED_VALUE"""),15361.0)</f>
        <v>15361</v>
      </c>
      <c r="K1527" s="3" t="str">
        <f>IFERROR(__xludf.DUMMYFUNCTION("""COMPUTED_VALUE"""),"นายสมบูรณ์ พรหมในเมือง")</f>
        <v>นายสมบูรณ์ พรหมในเมือง</v>
      </c>
      <c r="L1527" s="1" t="str">
        <f>IFERROR(__xludf.DUMMYFUNCTION("""COMPUTED_VALUE"""),"04 K.Somboon P.")</f>
        <v>04 K.Somboon P.</v>
      </c>
      <c r="M1527" s="1" t="str">
        <f>IFERROR(__xludf.DUMMYFUNCTION("""COMPUTED_VALUE"""),"087-965-3051")</f>
        <v>087-965-3051</v>
      </c>
      <c r="N1527" s="3">
        <f>IFERROR(__xludf.DUMMYFUNCTION("""COMPUTED_VALUE"""),21869.0)</f>
        <v>21869</v>
      </c>
      <c r="O1527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527" s="4">
        <f>IFERROR(__xludf.DUMMYFUNCTION("""COMPUTED_VALUE"""),44099.0)</f>
        <v>44099</v>
      </c>
      <c r="Q1527" s="3" t="str">
        <f>IFERROR(__xludf.DUMMYFUNCTION("""COMPUTED_VALUE"""),"A")</f>
        <v>A</v>
      </c>
      <c r="R1527" s="3" t="str">
        <f>IFERROR(__xludf.DUMMYFUNCTION("""COMPUTED_VALUE"""),"Small Format")</f>
        <v>Small Format</v>
      </c>
      <c r="S1527" s="3" t="str">
        <f>IFERROR(__xludf.DUMMYFUNCTION("""COMPUTED_VALUE"""),"BCM")</f>
        <v>BCM</v>
      </c>
      <c r="T1527" s="3" t="str">
        <f>IFERROR(__xludf.DUMMYFUNCTION("""COMPUTED_VALUE"""),"#N/A")</f>
        <v>#N/A</v>
      </c>
      <c r="U1527" s="3" t="str">
        <f>IFERROR(__xludf.DUMMYFUNCTION("""COMPUTED_VALUE"""),"#N/A")</f>
        <v>#N/A</v>
      </c>
      <c r="V1527" s="3" t="str">
        <f>IFERROR(__xludf.DUMMYFUNCTION("""COMPUTED_VALUE"""),"N")</f>
        <v>N</v>
      </c>
      <c r="W1527" s="3">
        <f>IFERROR(__xludf.DUMMYFUNCTION("""COMPUTED_VALUE"""),210242.0)</f>
        <v>210242</v>
      </c>
      <c r="X1527" s="3" t="str">
        <f>IFERROR(__xludf.DUMMYFUNCTION("""COMPUTED_VALUE"""),"501 หมู่1 ตำบลแวง อำเภอโพนทอง จังหวัดร้อยเอ็ด 45110")</f>
        <v>501 หมู่1 ตำบลแวง อำเภอโพนทอง จังหวัดร้อยเอ็ด 45110</v>
      </c>
      <c r="Y1527" s="3"/>
      <c r="Z1527" s="3" t="str">
        <f>IFERROR(__xludf.DUMMYFUNCTION("""COMPUTED_VALUE"""),"แวง")</f>
        <v>แวง</v>
      </c>
      <c r="AA1527" s="3" t="str">
        <f>IFERROR(__xludf.DUMMYFUNCTION("""COMPUTED_VALUE"""),"โพนทอง")</f>
        <v>โพนทอง</v>
      </c>
      <c r="AB1527" s="3" t="str">
        <f>IFERROR(__xludf.DUMMYFUNCTION("""COMPUTED_VALUE"""),"ร้อยเอ็ด")</f>
        <v>ร้อยเอ็ด</v>
      </c>
      <c r="AC1527" s="3">
        <f>IFERROR(__xludf.DUMMYFUNCTION("""COMPUTED_VALUE"""),45110.0)</f>
        <v>45110</v>
      </c>
      <c r="AD1527" s="3">
        <f>IFERROR(__xludf.DUMMYFUNCTION("""COMPUTED_VALUE"""),16.301837)</f>
        <v>16.301837</v>
      </c>
      <c r="AE1527" s="3">
        <f>IFERROR(__xludf.DUMMYFUNCTION("""COMPUTED_VALUE"""),103.979091)</f>
        <v>103.979091</v>
      </c>
      <c r="AF1527" s="3" t="str">
        <f>IFERROR(__xludf.DUMMYFUNCTION("""COMPUTED_VALUE"""),"MBC โพนทอง ร้อยเอ็ด-22212")</f>
        <v>MBC โพนทอง ร้อยเอ็ด-22212</v>
      </c>
      <c r="AG1527" s="3" t="str">
        <f>IFERROR(__xludf.DUMMYFUNCTION("""COMPUTED_VALUE"""),"ตะวันออกเฉียงเหนือ")</f>
        <v>ตะวันออกเฉียงเหนือ</v>
      </c>
      <c r="AH1527" s="3" t="str">
        <f>IFERROR(__xludf.DUMMYFUNCTION("""COMPUTED_VALUE"""),"#N/A")</f>
        <v>#N/A</v>
      </c>
      <c r="AI1527" s="3" t="str">
        <f>IFERROR(__xludf.DUMMYFUNCTION("""COMPUTED_VALUE"""),"Out of warranty")</f>
        <v>Out of warranty</v>
      </c>
      <c r="AJ1527" s="3">
        <f>IFERROR(__xludf.DUMMYFUNCTION("""COMPUTED_VALUE"""),64.0)</f>
        <v>64</v>
      </c>
      <c r="AK1527" s="3" t="str">
        <f>IFERROR(__xludf.DUMMYFUNCTION("""COMPUTED_VALUE"""),"MMS13")</f>
        <v>MMS13</v>
      </c>
      <c r="AL1527" s="3"/>
    </row>
    <row r="1528" ht="15.75" customHeight="1">
      <c r="A1528" s="1" t="str">
        <f>IFERROR(__xludf.DUMMYFUNCTION("""COMPUTED_VALUE"""),"22213")</f>
        <v>22213</v>
      </c>
      <c r="B1528" s="2">
        <f>IFERROR(__xludf.DUMMYFUNCTION("""COMPUTED_VALUE"""),22213.0)</f>
        <v>22213</v>
      </c>
      <c r="C1528" s="3" t="str">
        <f>IFERROR(__xludf.DUMMYFUNCTION("""COMPUTED_VALUE"""),"MBC สุขุมวิท-ระยอง38 ระยอง")</f>
        <v>MBC สุขุมวิท-ระยอง38 ระยอง</v>
      </c>
      <c r="D1528" s="3" t="str">
        <f>IFERROR(__xludf.DUMMYFUNCTION("""COMPUTED_VALUE"""),"BCM SUKHUMVIT-RAYONG 38")</f>
        <v>BCM SUKHUMVIT-RAYONG 38</v>
      </c>
      <c r="E1528" s="1" t="str">
        <f>IFERROR(__xludf.DUMMYFUNCTION("""COMPUTED_VALUE"""),"บิ๊กซี MINI")</f>
        <v>บิ๊กซี MINI</v>
      </c>
      <c r="F1528" s="1" t="str">
        <f>IFERROR(__xludf.DUMMYFUNCTION("""COMPUTED_VALUE"""),"221716")</f>
        <v>221716</v>
      </c>
      <c r="G1528" s="1" t="str">
        <f>IFERROR(__xludf.DUMMYFUNCTION("""COMPUTED_VALUE"""),"น.ส.เบญจพร โพธิสาร")</f>
        <v>น.ส.เบญจพร โพธิสาร</v>
      </c>
      <c r="H1528" s="1" t="str">
        <f>IFERROR(__xludf.DUMMYFUNCTION("""COMPUTED_VALUE"""),"359233")</f>
        <v>359233</v>
      </c>
      <c r="I1528" s="1" t="str">
        <f>IFERROR(__xludf.DUMMYFUNCTION("""COMPUTED_VALUE"""),"น.ส.ปยุดา คำมีอ่อน")</f>
        <v>น.ส.ปยุดา คำมีอ่อน</v>
      </c>
      <c r="J1528" s="3">
        <f>IFERROR(__xludf.DUMMYFUNCTION("""COMPUTED_VALUE"""),2452376.0)</f>
        <v>2452376</v>
      </c>
      <c r="K1528" s="3" t="str">
        <f>IFERROR(__xludf.DUMMYFUNCTION("""COMPUTED_VALUE"""),"นายภาคภูมิ ทวีกุล")</f>
        <v>นายภาคภูมิ ทวีกุล</v>
      </c>
      <c r="L1528" s="1" t="str">
        <f>IFERROR(__xludf.DUMMYFUNCTION("""COMPUTED_VALUE"""),"08 K.Parkphum T.")</f>
        <v>08 K.Parkphum T.</v>
      </c>
      <c r="M1528" s="1" t="str">
        <f>IFERROR(__xludf.DUMMYFUNCTION("""COMPUTED_VALUE"""),"097-919-5476")</f>
        <v>097-919-5476</v>
      </c>
      <c r="N1528" s="3">
        <f>IFERROR(__xludf.DUMMYFUNCTION("""COMPUTED_VALUE"""),22028.0)</f>
        <v>22028</v>
      </c>
      <c r="O1528" s="3" t="str">
        <f>IFERROR(__xludf.DUMMYFUNCTION("""COMPUTED_VALUE"""),"MBC ทํบมา ระยอง")</f>
        <v>MBC ทํบมา ระยอง</v>
      </c>
      <c r="P1528" s="4">
        <f>IFERROR(__xludf.DUMMYFUNCTION("""COMPUTED_VALUE"""),44100.0)</f>
        <v>44100</v>
      </c>
      <c r="Q1528" s="3" t="str">
        <f>IFERROR(__xludf.DUMMYFUNCTION("""COMPUTED_VALUE"""),"A")</f>
        <v>A</v>
      </c>
      <c r="R1528" s="3" t="str">
        <f>IFERROR(__xludf.DUMMYFUNCTION("""COMPUTED_VALUE"""),"Small Format")</f>
        <v>Small Format</v>
      </c>
      <c r="S1528" s="3" t="str">
        <f>IFERROR(__xludf.DUMMYFUNCTION("""COMPUTED_VALUE"""),"BCM")</f>
        <v>BCM</v>
      </c>
      <c r="T1528" s="3" t="str">
        <f>IFERROR(__xludf.DUMMYFUNCTION("""COMPUTED_VALUE"""),"#N/A")</f>
        <v>#N/A</v>
      </c>
      <c r="U1528" s="3" t="str">
        <f>IFERROR(__xludf.DUMMYFUNCTION("""COMPUTED_VALUE"""),"#N/A")</f>
        <v>#N/A</v>
      </c>
      <c r="V1528" s="3" t="str">
        <f>IFERROR(__xludf.DUMMYFUNCTION("""COMPUTED_VALUE"""),"N")</f>
        <v>N</v>
      </c>
      <c r="W1528" s="3">
        <f>IFERROR(__xludf.DUMMYFUNCTION("""COMPUTED_VALUE"""),210229.0)</f>
        <v>210229</v>
      </c>
      <c r="X1528" s="3" t="str">
        <f>IFERROR(__xludf.DUMMYFUNCTION("""COMPUTED_VALUE"""),"43/2 ถนนตากวน-หาดทรายทอง ตำบลมาบตาพุด อำเภอเมืองระยอง จังหวัดระยอง 21150")</f>
        <v>43/2 ถนนตากวน-หาดทรายทอง ตำบลมาบตาพุด อำเภอเมืองระยอง จังหวัดระยอง 21150</v>
      </c>
      <c r="Y1528" s="3" t="str">
        <f>IFERROR(__xludf.DUMMYFUNCTION("""COMPUTED_VALUE"""),"ถนนตากวน-หาดทรายทอง")</f>
        <v>ถนนตากวน-หาดทรายทอง</v>
      </c>
      <c r="Z1528" s="3" t="str">
        <f>IFERROR(__xludf.DUMMYFUNCTION("""COMPUTED_VALUE"""),"มาบตาพุด")</f>
        <v>มาบตาพุด</v>
      </c>
      <c r="AA1528" s="3" t="str">
        <f>IFERROR(__xludf.DUMMYFUNCTION("""COMPUTED_VALUE"""),"เมืองระยอง")</f>
        <v>เมืองระยอง</v>
      </c>
      <c r="AB1528" s="3" t="str">
        <f>IFERROR(__xludf.DUMMYFUNCTION("""COMPUTED_VALUE"""),"ระยอง")</f>
        <v>ระยอง</v>
      </c>
      <c r="AC1528" s="3">
        <f>IFERROR(__xludf.DUMMYFUNCTION("""COMPUTED_VALUE"""),21150.0)</f>
        <v>21150</v>
      </c>
      <c r="AD1528" s="3">
        <f>IFERROR(__xludf.DUMMYFUNCTION("""COMPUTED_VALUE"""),12.710569)</f>
        <v>12.710569</v>
      </c>
      <c r="AE1528" s="3">
        <f>IFERROR(__xludf.DUMMYFUNCTION("""COMPUTED_VALUE"""),101.167486)</f>
        <v>101.167486</v>
      </c>
      <c r="AF1528" s="3" t="str">
        <f>IFERROR(__xludf.DUMMYFUNCTION("""COMPUTED_VALUE"""),"MBC สุขุมวิท-ระยอง38 ระยอง-22213")</f>
        <v>MBC สุขุมวิท-ระยอง38 ระยอง-22213</v>
      </c>
      <c r="AG1528" s="3" t="str">
        <f>IFERROR(__xludf.DUMMYFUNCTION("""COMPUTED_VALUE"""),"ตะวันออก")</f>
        <v>ตะวันออก</v>
      </c>
      <c r="AH1528" s="3" t="str">
        <f>IFERROR(__xludf.DUMMYFUNCTION("""COMPUTED_VALUE"""),"#N/A")</f>
        <v>#N/A</v>
      </c>
      <c r="AI1528" s="3" t="str">
        <f>IFERROR(__xludf.DUMMYFUNCTION("""COMPUTED_VALUE"""),"Out of warranty")</f>
        <v>Out of warranty</v>
      </c>
      <c r="AJ1528" s="3">
        <f>IFERROR(__xludf.DUMMYFUNCTION("""COMPUTED_VALUE"""),64.0)</f>
        <v>64</v>
      </c>
      <c r="AK1528" s="3" t="str">
        <f>IFERROR(__xludf.DUMMYFUNCTION("""COMPUTED_VALUE"""),"MMS08")</f>
        <v>MMS08</v>
      </c>
      <c r="AL1528" s="3"/>
    </row>
    <row r="1529" ht="15.75" customHeight="1">
      <c r="A1529" s="1" t="str">
        <f>IFERROR(__xludf.DUMMYFUNCTION("""COMPUTED_VALUE"""),"22214")</f>
        <v>22214</v>
      </c>
      <c r="B1529" s="2">
        <f>IFERROR(__xludf.DUMMYFUNCTION("""COMPUTED_VALUE"""),22214.0)</f>
        <v>22214</v>
      </c>
      <c r="C1529" s="3" t="str">
        <f>IFERROR(__xludf.DUMMYFUNCTION("""COMPUTED_VALUE"""),"MBC หมู่บ้านทิพวัล สมุทรปราการ")</f>
        <v>MBC หมู่บ้านทิพวัล สมุทรปราการ</v>
      </c>
      <c r="D1529" s="3" t="str">
        <f>IFERROR(__xludf.DUMMYFUNCTION("""COMPUTED_VALUE"""),"BCM MOOBAN THIPPHAWAN")</f>
        <v>BCM MOOBAN THIPPHAWAN</v>
      </c>
      <c r="E1529" s="1" t="str">
        <f>IFERROR(__xludf.DUMMYFUNCTION("""COMPUTED_VALUE"""),"บิ๊กซี MINI")</f>
        <v>บิ๊กซี MINI</v>
      </c>
      <c r="F1529" s="1" t="str">
        <f>IFERROR(__xludf.DUMMYFUNCTION("""COMPUTED_VALUE"""),"2083447")</f>
        <v>2083447</v>
      </c>
      <c r="G1529" s="1" t="str">
        <f>IFERROR(__xludf.DUMMYFUNCTION("""COMPUTED_VALUE"""),"นายอนุกูล ศรีลัดดา")</f>
        <v>นายอนุกูล ศรีลัดดา</v>
      </c>
      <c r="H1529" s="1" t="str">
        <f>IFERROR(__xludf.DUMMYFUNCTION("""COMPUTED_VALUE"""),"399107")</f>
        <v>399107</v>
      </c>
      <c r="I1529" s="1" t="str">
        <f>IFERROR(__xludf.DUMMYFUNCTION("""COMPUTED_VALUE"""),"นายรัชระวี กลมแป้น")</f>
        <v>นายรัชระวี กลมแป้น</v>
      </c>
      <c r="J1529" s="3">
        <f>IFERROR(__xludf.DUMMYFUNCTION("""COMPUTED_VALUE"""),510143.0)</f>
        <v>510143</v>
      </c>
      <c r="K1529" s="3" t="str">
        <f>IFERROR(__xludf.DUMMYFUNCTION("""COMPUTED_VALUE"""),"นายธีระวัฒน์ บุญสิทธิ์")</f>
        <v>นายธีระวัฒน์ บุญสิทธิ์</v>
      </c>
      <c r="L1529" s="1" t="str">
        <f>IFERROR(__xludf.DUMMYFUNCTION("""COMPUTED_VALUE"""),"12 K.Theerawat B.")</f>
        <v>12 K.Theerawat B.</v>
      </c>
      <c r="M1529" s="1" t="str">
        <f>IFERROR(__xludf.DUMMYFUNCTION("""COMPUTED_VALUE"""),"0655107379")</f>
        <v>0655107379</v>
      </c>
      <c r="N1529" s="3">
        <f>IFERROR(__xludf.DUMMYFUNCTION("""COMPUTED_VALUE"""),21062.0)</f>
        <v>21062</v>
      </c>
      <c r="O1529" s="3" t="str">
        <f>IFERROR(__xludf.DUMMYFUNCTION("""COMPUTED_VALUE"""),"MBC นิคมนวนคร")</f>
        <v>MBC นิคมนวนคร</v>
      </c>
      <c r="P1529" s="4">
        <f>IFERROR(__xludf.DUMMYFUNCTION("""COMPUTED_VALUE"""),44101.0)</f>
        <v>44101</v>
      </c>
      <c r="Q1529" s="3" t="str">
        <f>IFERROR(__xludf.DUMMYFUNCTION("""COMPUTED_VALUE"""),"A")</f>
        <v>A</v>
      </c>
      <c r="R1529" s="3" t="str">
        <f>IFERROR(__xludf.DUMMYFUNCTION("""COMPUTED_VALUE"""),"Small Format")</f>
        <v>Small Format</v>
      </c>
      <c r="S1529" s="3" t="str">
        <f>IFERROR(__xludf.DUMMYFUNCTION("""COMPUTED_VALUE"""),"BCM")</f>
        <v>BCM</v>
      </c>
      <c r="T1529" s="3" t="str">
        <f>IFERROR(__xludf.DUMMYFUNCTION("""COMPUTED_VALUE"""),"#N/A")</f>
        <v>#N/A</v>
      </c>
      <c r="U1529" s="3" t="str">
        <f>IFERROR(__xludf.DUMMYFUNCTION("""COMPUTED_VALUE"""),"#N/A")</f>
        <v>#N/A</v>
      </c>
      <c r="V1529" s="3" t="str">
        <f>IFERROR(__xludf.DUMMYFUNCTION("""COMPUTED_VALUE"""),"N")</f>
        <v>N</v>
      </c>
      <c r="W1529" s="3">
        <f>IFERROR(__xludf.DUMMYFUNCTION("""COMPUTED_VALUE"""),210243.0)</f>
        <v>210243</v>
      </c>
      <c r="X1529" s="3" t="str">
        <f>IFERROR(__xludf.DUMMYFUNCTION("""COMPUTED_VALUE"""),"419 หมู่5 ตำบลเทพารักษ์ อำเภอเมืองสมุทรปราการ จังหวัดสมุทรปราการ 10270")</f>
        <v>419 หมู่5 ตำบลเทพารักษ์ อำเภอเมืองสมุทรปราการ จังหวัดสมุทรปราการ 10270</v>
      </c>
      <c r="Y1529" s="3"/>
      <c r="Z1529" s="3" t="str">
        <f>IFERROR(__xludf.DUMMYFUNCTION("""COMPUTED_VALUE"""),"เทพารักษ์")</f>
        <v>เทพารักษ์</v>
      </c>
      <c r="AA1529" s="3" t="str">
        <f>IFERROR(__xludf.DUMMYFUNCTION("""COMPUTED_VALUE"""),"เมืองสมุทรปราการ")</f>
        <v>เมืองสมุทรปราการ</v>
      </c>
      <c r="AB1529" s="3" t="str">
        <f>IFERROR(__xludf.DUMMYFUNCTION("""COMPUTED_VALUE"""),"สมุทรปราการ")</f>
        <v>สมุทรปราการ</v>
      </c>
      <c r="AC1529" s="3">
        <f>IFERROR(__xludf.DUMMYFUNCTION("""COMPUTED_VALUE"""),10270.0)</f>
        <v>10270</v>
      </c>
      <c r="AD1529" s="3">
        <f>IFERROR(__xludf.DUMMYFUNCTION("""COMPUTED_VALUE"""),13.631971)</f>
        <v>13.631971</v>
      </c>
      <c r="AE1529" s="3">
        <f>IFERROR(__xludf.DUMMYFUNCTION("""COMPUTED_VALUE"""),100.604946)</f>
        <v>100.604946</v>
      </c>
      <c r="AF1529" s="3" t="str">
        <f>IFERROR(__xludf.DUMMYFUNCTION("""COMPUTED_VALUE"""),"MBC หมู่บ้านทิพวัล สมุทรปราการ-22214")</f>
        <v>MBC หมู่บ้านทิพวัล สมุทรปราการ-22214</v>
      </c>
      <c r="AG1529" s="3" t="str">
        <f>IFERROR(__xludf.DUMMYFUNCTION("""COMPUTED_VALUE"""),"กลาง")</f>
        <v>กลาง</v>
      </c>
      <c r="AH1529" s="3" t="str">
        <f>IFERROR(__xludf.DUMMYFUNCTION("""COMPUTED_VALUE"""),"#N/A")</f>
        <v>#N/A</v>
      </c>
      <c r="AI1529" s="3" t="str">
        <f>IFERROR(__xludf.DUMMYFUNCTION("""COMPUTED_VALUE"""),"Out of warranty")</f>
        <v>Out of warranty</v>
      </c>
      <c r="AJ1529" s="3">
        <f>IFERROR(__xludf.DUMMYFUNCTION("""COMPUTED_VALUE"""),64.0)</f>
        <v>64</v>
      </c>
      <c r="AK1529" s="3" t="str">
        <f>IFERROR(__xludf.DUMMYFUNCTION("""COMPUTED_VALUE"""),"MMS02")</f>
        <v>MMS02</v>
      </c>
      <c r="AL1529" s="3"/>
    </row>
    <row r="1530" ht="15.75" customHeight="1">
      <c r="A1530" s="1" t="str">
        <f>IFERROR(__xludf.DUMMYFUNCTION("""COMPUTED_VALUE"""),"22215")</f>
        <v>22215</v>
      </c>
      <c r="B1530" s="2">
        <f>IFERROR(__xludf.DUMMYFUNCTION("""COMPUTED_VALUE"""),22215.0)</f>
        <v>22215</v>
      </c>
      <c r="C1530" s="3" t="str">
        <f>IFERROR(__xludf.DUMMYFUNCTION("""COMPUTED_VALUE"""),"MBC บ้านปลายแหลม (สมุย) สุราษฎร์ธานี")</f>
        <v>MBC บ้านปลายแหลม (สมุย) สุราษฎร์ธานี</v>
      </c>
      <c r="D1530" s="3" t="str">
        <f>IFERROR(__xludf.DUMMYFUNCTION("""COMPUTED_VALUE"""),"BCM BAN PLAI LAEM (SAMUI)")</f>
        <v>BCM BAN PLAI LAEM (SAMUI)</v>
      </c>
      <c r="E1530" s="1" t="str">
        <f>IFERROR(__xludf.DUMMYFUNCTION("""COMPUTED_VALUE"""),"บิ๊กซี MINI")</f>
        <v>บิ๊กซี MINI</v>
      </c>
      <c r="F1530" s="1" t="str">
        <f>IFERROR(__xludf.DUMMYFUNCTION("""COMPUTED_VALUE"""),"250760")</f>
        <v>250760</v>
      </c>
      <c r="G1530" s="1" t="str">
        <f>IFERROR(__xludf.DUMMYFUNCTION("""COMPUTED_VALUE"""),"นายประทวน สาราบรรณ์")</f>
        <v>นายประทวน สาราบรรณ์</v>
      </c>
      <c r="H1530" s="1" t="str">
        <f>IFERROR(__xludf.DUMMYFUNCTION("""COMPUTED_VALUE"""),"356760")</f>
        <v>356760</v>
      </c>
      <c r="I1530" s="1" t="str">
        <f>IFERROR(__xludf.DUMMYFUNCTION("""COMPUTED_VALUE"""),"นายภูมิภัทร แก้วพรรณราย")</f>
        <v>นายภูมิภัทร แก้วพรรณราย</v>
      </c>
      <c r="J1530" s="3">
        <f>IFERROR(__xludf.DUMMYFUNCTION("""COMPUTED_VALUE"""),25324.0)</f>
        <v>25324</v>
      </c>
      <c r="K1530" s="3" t="str">
        <f>IFERROR(__xludf.DUMMYFUNCTION("""COMPUTED_VALUE"""),"นายวิเชฎฐ์ ติรัตนะประคม")</f>
        <v>นายวิเชฎฐ์ ติรัตนะประคม</v>
      </c>
      <c r="L1530" s="1" t="str">
        <f>IFERROR(__xludf.DUMMYFUNCTION("""COMPUTED_VALUE"""),"14 K.Wichet T.")</f>
        <v>14 K.Wichet T.</v>
      </c>
      <c r="M1530" s="1" t="str">
        <f>IFERROR(__xludf.DUMMYFUNCTION("""COMPUTED_VALUE"""),"061-417-6569 / 086-445-5636")</f>
        <v>061-417-6569 / 086-445-5636</v>
      </c>
      <c r="N1530" s="3">
        <f>IFERROR(__xludf.DUMMYFUNCTION("""COMPUTED_VALUE"""),22658.0)</f>
        <v>22658</v>
      </c>
      <c r="O1530" s="3" t="str">
        <f>IFERROR(__xludf.DUMMYFUNCTION("""COMPUTED_VALUE"""),"BCM ถ.วิรัชหงษ์หยก ภูเก็ต")</f>
        <v>BCM ถ.วิรัชหงษ์หยก ภูเก็ต</v>
      </c>
      <c r="P1530" s="4">
        <f>IFERROR(__xludf.DUMMYFUNCTION("""COMPUTED_VALUE"""),44104.0)</f>
        <v>44104</v>
      </c>
      <c r="Q1530" s="3" t="str">
        <f>IFERROR(__xludf.DUMMYFUNCTION("""COMPUTED_VALUE"""),"A")</f>
        <v>A</v>
      </c>
      <c r="R1530" s="3" t="str">
        <f>IFERROR(__xludf.DUMMYFUNCTION("""COMPUTED_VALUE"""),"Small Format")</f>
        <v>Small Format</v>
      </c>
      <c r="S1530" s="3" t="str">
        <f>IFERROR(__xludf.DUMMYFUNCTION("""COMPUTED_VALUE"""),"BCM")</f>
        <v>BCM</v>
      </c>
      <c r="T1530" s="3" t="str">
        <f>IFERROR(__xludf.DUMMYFUNCTION("""COMPUTED_VALUE"""),"#N/A")</f>
        <v>#N/A</v>
      </c>
      <c r="U1530" s="3" t="str">
        <f>IFERROR(__xludf.DUMMYFUNCTION("""COMPUTED_VALUE"""),"#N/A")</f>
        <v>#N/A</v>
      </c>
      <c r="V1530" s="3" t="str">
        <f>IFERROR(__xludf.DUMMYFUNCTION("""COMPUTED_VALUE"""),"N")</f>
        <v>N</v>
      </c>
      <c r="W1530" s="3">
        <f>IFERROR(__xludf.DUMMYFUNCTION("""COMPUTED_VALUE"""),210231.0)</f>
        <v>210231</v>
      </c>
      <c r="X1530" s="3" t="str">
        <f>IFERROR(__xludf.DUMMYFUNCTION("""COMPUTED_VALUE"""),"79/166 หมู่5 ตำบลบ่อผุด อำเภอเกาะสมุย จังหวัดสุราษฎร์ธานี 84320")</f>
        <v>79/166 หมู่5 ตำบลบ่อผุด อำเภอเกาะสมุย จังหวัดสุราษฎร์ธานี 84320</v>
      </c>
      <c r="Y1530" s="3"/>
      <c r="Z1530" s="3" t="str">
        <f>IFERROR(__xludf.DUMMYFUNCTION("""COMPUTED_VALUE"""),"บ่อผุด")</f>
        <v>บ่อผุด</v>
      </c>
      <c r="AA1530" s="3" t="str">
        <f>IFERROR(__xludf.DUMMYFUNCTION("""COMPUTED_VALUE"""),"เกาะสมุย")</f>
        <v>เกาะสมุย</v>
      </c>
      <c r="AB1530" s="3" t="str">
        <f>IFERROR(__xludf.DUMMYFUNCTION("""COMPUTED_VALUE"""),"สุราษฎร์ธานี")</f>
        <v>สุราษฎร์ธานี</v>
      </c>
      <c r="AC1530" s="3">
        <f>IFERROR(__xludf.DUMMYFUNCTION("""COMPUTED_VALUE"""),84320.0)</f>
        <v>84320</v>
      </c>
      <c r="AD1530" s="3">
        <f>IFERROR(__xludf.DUMMYFUNCTION("""COMPUTED_VALUE"""),9.567808)</f>
        <v>9.567808</v>
      </c>
      <c r="AE1530" s="3">
        <f>IFERROR(__xludf.DUMMYFUNCTION("""COMPUTED_VALUE"""),100.069386)</f>
        <v>100.069386</v>
      </c>
      <c r="AF1530" s="3" t="str">
        <f>IFERROR(__xludf.DUMMYFUNCTION("""COMPUTED_VALUE"""),"MBC บ้านปลายแหลม (สมุย) สุราษฎร์ธานี-22215")</f>
        <v>MBC บ้านปลายแหลม (สมุย) สุราษฎร์ธานี-22215</v>
      </c>
      <c r="AG1530" s="3" t="str">
        <f>IFERROR(__xludf.DUMMYFUNCTION("""COMPUTED_VALUE"""),"ใต้")</f>
        <v>ใต้</v>
      </c>
      <c r="AH1530" s="3" t="str">
        <f>IFERROR(__xludf.DUMMYFUNCTION("""COMPUTED_VALUE"""),"#N/A")</f>
        <v>#N/A</v>
      </c>
      <c r="AI1530" s="3" t="str">
        <f>IFERROR(__xludf.DUMMYFUNCTION("""COMPUTED_VALUE"""),"Out of warranty")</f>
        <v>Out of warranty</v>
      </c>
      <c r="AJ1530" s="3">
        <f>IFERROR(__xludf.DUMMYFUNCTION("""COMPUTED_VALUE"""),64.0)</f>
        <v>64</v>
      </c>
      <c r="AK1530" s="3" t="str">
        <f>IFERROR(__xludf.DUMMYFUNCTION("""COMPUTED_VALUE"""),"MMS14")</f>
        <v>MMS14</v>
      </c>
      <c r="AL1530" s="3"/>
    </row>
    <row r="1531" ht="15.75" customHeight="1">
      <c r="A1531" s="1" t="str">
        <f>IFERROR(__xludf.DUMMYFUNCTION("""COMPUTED_VALUE"""),"22216")</f>
        <v>22216</v>
      </c>
      <c r="B1531" s="2">
        <f>IFERROR(__xludf.DUMMYFUNCTION("""COMPUTED_VALUE"""),22216.0)</f>
        <v>22216</v>
      </c>
      <c r="C1531" s="3" t="str">
        <f>IFERROR(__xludf.DUMMYFUNCTION("""COMPUTED_VALUE"""),"MBC ถนนพ่อขุนทะเล สุราษฎร์ธานี")</f>
        <v>MBC ถนนพ่อขุนทะเล สุราษฎร์ธานี</v>
      </c>
      <c r="D1531" s="3" t="str">
        <f>IFERROR(__xludf.DUMMYFUNCTION("""COMPUTED_VALUE"""),"BCM THANON PHORKHUNTALE")</f>
        <v>BCM THANON PHORKHUNTALE</v>
      </c>
      <c r="E1531" s="1" t="str">
        <f>IFERROR(__xludf.DUMMYFUNCTION("""COMPUTED_VALUE"""),"บิ๊กซี MINI")</f>
        <v>บิ๊กซี MINI</v>
      </c>
      <c r="F1531" s="1" t="str">
        <f>IFERROR(__xludf.DUMMYFUNCTION("""COMPUTED_VALUE"""),"250760")</f>
        <v>250760</v>
      </c>
      <c r="G1531" s="1" t="str">
        <f>IFERROR(__xludf.DUMMYFUNCTION("""COMPUTED_VALUE"""),"นายประทวน สาราบรรณ์")</f>
        <v>นายประทวน สาราบรรณ์</v>
      </c>
      <c r="H1531" s="1" t="str">
        <f>IFERROR(__xludf.DUMMYFUNCTION("""COMPUTED_VALUE"""),"228389")</f>
        <v>228389</v>
      </c>
      <c r="I1531" s="1" t="str">
        <f>IFERROR(__xludf.DUMMYFUNCTION("""COMPUTED_VALUE"""),"นายมณีรันดร์ ชัยชนะ")</f>
        <v>นายมณีรันดร์ ชัยชนะ</v>
      </c>
      <c r="J1531" s="3">
        <f>IFERROR(__xludf.DUMMYFUNCTION("""COMPUTED_VALUE"""),25324.0)</f>
        <v>25324</v>
      </c>
      <c r="K1531" s="3" t="str">
        <f>IFERROR(__xludf.DUMMYFUNCTION("""COMPUTED_VALUE"""),"นายวิเชฎฐ์ ติรัตนะประคม")</f>
        <v>นายวิเชฎฐ์ ติรัตนะประคม</v>
      </c>
      <c r="L1531" s="1" t="str">
        <f>IFERROR(__xludf.DUMMYFUNCTION("""COMPUTED_VALUE"""),"14 K.Wichet T.")</f>
        <v>14 K.Wichet T.</v>
      </c>
      <c r="M1531" s="1" t="str">
        <f>IFERROR(__xludf.DUMMYFUNCTION("""COMPUTED_VALUE"""),"061-417-6569 / 086-445-5636")</f>
        <v>061-417-6569 / 086-445-5636</v>
      </c>
      <c r="N1531" s="3">
        <f>IFERROR(__xludf.DUMMYFUNCTION("""COMPUTED_VALUE"""),22658.0)</f>
        <v>22658</v>
      </c>
      <c r="O1531" s="3" t="str">
        <f>IFERROR(__xludf.DUMMYFUNCTION("""COMPUTED_VALUE"""),"BCM ถ.วิรัชหงษ์หยก ภูเก็ต")</f>
        <v>BCM ถ.วิรัชหงษ์หยก ภูเก็ต</v>
      </c>
      <c r="P1531" s="4">
        <f>IFERROR(__xludf.DUMMYFUNCTION("""COMPUTED_VALUE"""),44100.0)</f>
        <v>44100</v>
      </c>
      <c r="Q1531" s="3" t="str">
        <f>IFERROR(__xludf.DUMMYFUNCTION("""COMPUTED_VALUE"""),"A")</f>
        <v>A</v>
      </c>
      <c r="R1531" s="3" t="str">
        <f>IFERROR(__xludf.DUMMYFUNCTION("""COMPUTED_VALUE"""),"Small Format")</f>
        <v>Small Format</v>
      </c>
      <c r="S1531" s="3" t="str">
        <f>IFERROR(__xludf.DUMMYFUNCTION("""COMPUTED_VALUE"""),"BCM")</f>
        <v>BCM</v>
      </c>
      <c r="T1531" s="3" t="str">
        <f>IFERROR(__xludf.DUMMYFUNCTION("""COMPUTED_VALUE"""),"#N/A")</f>
        <v>#N/A</v>
      </c>
      <c r="U1531" s="3" t="str">
        <f>IFERROR(__xludf.DUMMYFUNCTION("""COMPUTED_VALUE"""),"#N/A")</f>
        <v>#N/A</v>
      </c>
      <c r="V1531" s="3" t="str">
        <f>IFERROR(__xludf.DUMMYFUNCTION("""COMPUTED_VALUE"""),"N")</f>
        <v>N</v>
      </c>
      <c r="W1531" s="3">
        <f>IFERROR(__xludf.DUMMYFUNCTION("""COMPUTED_VALUE"""),210250.0)</f>
        <v>210250</v>
      </c>
      <c r="X1531" s="3" t="str">
        <f>IFERROR(__xludf.DUMMYFUNCTION("""COMPUTED_VALUE"""),"64/62 หมู่3 ถนนพ่อขุนทะเล ตำบลมะขามเตี้ย อำเภอเมืองสุราษฎร์ธานี จังหวัดสุราษฎร์ธานี 84000")</f>
        <v>64/62 หมู่3 ถนนพ่อขุนทะเล ตำบลมะขามเตี้ย อำเภอเมืองสุราษฎร์ธานี จังหวัดสุราษฎร์ธานี 84000</v>
      </c>
      <c r="Y1531" s="3"/>
      <c r="Z1531" s="3" t="str">
        <f>IFERROR(__xludf.DUMMYFUNCTION("""COMPUTED_VALUE"""),"มะขามเตี้ย")</f>
        <v>มะขามเตี้ย</v>
      </c>
      <c r="AA1531" s="3" t="str">
        <f>IFERROR(__xludf.DUMMYFUNCTION("""COMPUTED_VALUE"""),"เมือง")</f>
        <v>เมือง</v>
      </c>
      <c r="AB1531" s="3" t="str">
        <f>IFERROR(__xludf.DUMMYFUNCTION("""COMPUTED_VALUE"""),"สุราษฎร์ธานี")</f>
        <v>สุราษฎร์ธานี</v>
      </c>
      <c r="AC1531" s="3">
        <f>IFERROR(__xludf.DUMMYFUNCTION("""COMPUTED_VALUE"""),84000.0)</f>
        <v>84000</v>
      </c>
      <c r="AD1531" s="3">
        <f>IFERROR(__xludf.DUMMYFUNCTION("""COMPUTED_VALUE"""),9.089497)</f>
        <v>9.089497</v>
      </c>
      <c r="AE1531" s="3">
        <f>IFERROR(__xludf.DUMMYFUNCTION("""COMPUTED_VALUE"""),99.325626)</f>
        <v>99.325626</v>
      </c>
      <c r="AF1531" s="3" t="str">
        <f>IFERROR(__xludf.DUMMYFUNCTION("""COMPUTED_VALUE"""),"MBC ถนนพ่อขุนทะเล สุราษฎร์ธานี-22216")</f>
        <v>MBC ถนนพ่อขุนทะเล สุราษฎร์ธานี-22216</v>
      </c>
      <c r="AG1531" s="3" t="str">
        <f>IFERROR(__xludf.DUMMYFUNCTION("""COMPUTED_VALUE"""),"ใต้")</f>
        <v>ใต้</v>
      </c>
      <c r="AH1531" s="3" t="str">
        <f>IFERROR(__xludf.DUMMYFUNCTION("""COMPUTED_VALUE"""),"#N/A")</f>
        <v>#N/A</v>
      </c>
      <c r="AI1531" s="3" t="str">
        <f>IFERROR(__xludf.DUMMYFUNCTION("""COMPUTED_VALUE"""),"Out of warranty")</f>
        <v>Out of warranty</v>
      </c>
      <c r="AJ1531" s="3">
        <f>IFERROR(__xludf.DUMMYFUNCTION("""COMPUTED_VALUE"""),64.0)</f>
        <v>64</v>
      </c>
      <c r="AK1531" s="3" t="str">
        <f>IFERROR(__xludf.DUMMYFUNCTION("""COMPUTED_VALUE"""),"MMS14")</f>
        <v>MMS14</v>
      </c>
      <c r="AL1531" s="3"/>
    </row>
    <row r="1532" ht="15.75" customHeight="1">
      <c r="A1532" s="1" t="str">
        <f>IFERROR(__xludf.DUMMYFUNCTION("""COMPUTED_VALUE"""),"22217")</f>
        <v>22217</v>
      </c>
      <c r="B1532" s="2">
        <f>IFERROR(__xludf.DUMMYFUNCTION("""COMPUTED_VALUE"""),22217.0)</f>
        <v>22217</v>
      </c>
      <c r="C1532" s="3" t="str">
        <f>IFERROR(__xludf.DUMMYFUNCTION("""COMPUTED_VALUE"""),"MBC ถนนเจริญประดิษฐ์ ซอย1 ปัตตานี")</f>
        <v>MBC ถนนเจริญประดิษฐ์ ซอย1 ปัตตานี</v>
      </c>
      <c r="D1532" s="3" t="str">
        <f>IFERROR(__xludf.DUMMYFUNCTION("""COMPUTED_VALUE"""),"BCM THANON CHAROEN PRADIT")</f>
        <v>BCM THANON CHAROEN PRADIT</v>
      </c>
      <c r="E1532" s="1" t="str">
        <f>IFERROR(__xludf.DUMMYFUNCTION("""COMPUTED_VALUE"""),"บิ๊กซี MINI")</f>
        <v>บิ๊กซี MINI</v>
      </c>
      <c r="F1532" s="1" t="str">
        <f>IFERROR(__xludf.DUMMYFUNCTION("""COMPUTED_VALUE"""),"250760")</f>
        <v>250760</v>
      </c>
      <c r="G1532" s="1" t="str">
        <f>IFERROR(__xludf.DUMMYFUNCTION("""COMPUTED_VALUE"""),"นายประทวน สาราบรรณ์")</f>
        <v>นายประทวน สาราบรรณ์</v>
      </c>
      <c r="H1532" s="1" t="str">
        <f>IFERROR(__xludf.DUMMYFUNCTION("""COMPUTED_VALUE"""),"394185")</f>
        <v>394185</v>
      </c>
      <c r="I1532" s="1" t="str">
        <f>IFERROR(__xludf.DUMMYFUNCTION("""COMPUTED_VALUE"""),"น.ส.ฐาปนี สุวรรณรัตน์")</f>
        <v>น.ส.ฐาปนี สุวรรณรัตน์</v>
      </c>
      <c r="J1532" s="3">
        <f>IFERROR(__xludf.DUMMYFUNCTION("""COMPUTED_VALUE"""),2.0470331E7)</f>
        <v>20470331</v>
      </c>
      <c r="K1532" s="3" t="str">
        <f>IFERROR(__xludf.DUMMYFUNCTION("""COMPUTED_VALUE"""),"นายสมชาย ลักษณะสุวรรณ")</f>
        <v>นายสมชาย ลักษณะสุวรรณ</v>
      </c>
      <c r="L1532" s="1" t="str">
        <f>IFERROR(__xludf.DUMMYFUNCTION("""COMPUTED_VALUE"""),"15 K.Somchai L")</f>
        <v>15 K.Somchai L</v>
      </c>
      <c r="M1532" s="1" t="str">
        <f>IFERROR(__xludf.DUMMYFUNCTION("""COMPUTED_VALUE"""),"0655107372")</f>
        <v>0655107372</v>
      </c>
      <c r="N1532" s="3">
        <f>IFERROR(__xludf.DUMMYFUNCTION("""COMPUTED_VALUE"""),21723.0)</f>
        <v>21723</v>
      </c>
      <c r="O1532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532" s="4">
        <f>IFERROR(__xludf.DUMMYFUNCTION("""COMPUTED_VALUE"""),44102.0)</f>
        <v>44102</v>
      </c>
      <c r="Q1532" s="3" t="str">
        <f>IFERROR(__xludf.DUMMYFUNCTION("""COMPUTED_VALUE"""),"A")</f>
        <v>A</v>
      </c>
      <c r="R1532" s="3" t="str">
        <f>IFERROR(__xludf.DUMMYFUNCTION("""COMPUTED_VALUE"""),"Small Format")</f>
        <v>Small Format</v>
      </c>
      <c r="S1532" s="3" t="str">
        <f>IFERROR(__xludf.DUMMYFUNCTION("""COMPUTED_VALUE"""),"BCM")</f>
        <v>BCM</v>
      </c>
      <c r="T1532" s="3" t="str">
        <f>IFERROR(__xludf.DUMMYFUNCTION("""COMPUTED_VALUE"""),"#N/A")</f>
        <v>#N/A</v>
      </c>
      <c r="U1532" s="3" t="str">
        <f>IFERROR(__xludf.DUMMYFUNCTION("""COMPUTED_VALUE"""),"#N/A")</f>
        <v>#N/A</v>
      </c>
      <c r="V1532" s="3" t="str">
        <f>IFERROR(__xludf.DUMMYFUNCTION("""COMPUTED_VALUE"""),"N")</f>
        <v>N</v>
      </c>
      <c r="W1532" s="3">
        <f>IFERROR(__xludf.DUMMYFUNCTION("""COMPUTED_VALUE"""),210133.0)</f>
        <v>210133</v>
      </c>
      <c r="X1532" s="3" t="str">
        <f>IFERROR(__xludf.DUMMYFUNCTION("""COMPUTED_VALUE"""),"43/3 ถนนเจริญประดิษฐ์ ตำบลสะบารัง อำเภอเมืองปัตตานี จังหวัดปัตตานี 94000")</f>
        <v>43/3 ถนนเจริญประดิษฐ์ ตำบลสะบารัง อำเภอเมืองปัตตานี จังหวัดปัตตานี 94000</v>
      </c>
      <c r="Y1532" s="3" t="str">
        <f>IFERROR(__xludf.DUMMYFUNCTION("""COMPUTED_VALUE"""),"ถนนเจริญประดิษฐ์")</f>
        <v>ถนนเจริญประดิษฐ์</v>
      </c>
      <c r="Z1532" s="3" t="str">
        <f>IFERROR(__xludf.DUMMYFUNCTION("""COMPUTED_VALUE"""),"สะบารัง")</f>
        <v>สะบารัง</v>
      </c>
      <c r="AA1532" s="3" t="str">
        <f>IFERROR(__xludf.DUMMYFUNCTION("""COMPUTED_VALUE"""),"เมือง")</f>
        <v>เมือง</v>
      </c>
      <c r="AB1532" s="3" t="str">
        <f>IFERROR(__xludf.DUMMYFUNCTION("""COMPUTED_VALUE"""),"ปัตตานี")</f>
        <v>ปัตตานี</v>
      </c>
      <c r="AC1532" s="3">
        <f>IFERROR(__xludf.DUMMYFUNCTION("""COMPUTED_VALUE"""),94000.0)</f>
        <v>94000</v>
      </c>
      <c r="AD1532" s="3">
        <f>IFERROR(__xludf.DUMMYFUNCTION("""COMPUTED_VALUE"""),6.867081)</f>
        <v>6.867081</v>
      </c>
      <c r="AE1532" s="3">
        <f>IFERROR(__xludf.DUMMYFUNCTION("""COMPUTED_VALUE"""),101.239694)</f>
        <v>101.239694</v>
      </c>
      <c r="AF1532" s="3" t="str">
        <f>IFERROR(__xludf.DUMMYFUNCTION("""COMPUTED_VALUE"""),"MBC ถนนเจริญประดิษฐ์ ซอย1 ปัตตานี-22217")</f>
        <v>MBC ถนนเจริญประดิษฐ์ ซอย1 ปัตตานี-22217</v>
      </c>
      <c r="AG1532" s="3" t="str">
        <f>IFERROR(__xludf.DUMMYFUNCTION("""COMPUTED_VALUE"""),"ใต้")</f>
        <v>ใต้</v>
      </c>
      <c r="AH1532" s="3" t="str">
        <f>IFERROR(__xludf.DUMMYFUNCTION("""COMPUTED_VALUE"""),"#N/A")</f>
        <v>#N/A</v>
      </c>
      <c r="AI1532" s="3" t="str">
        <f>IFERROR(__xludf.DUMMYFUNCTION("""COMPUTED_VALUE"""),"Out of warranty")</f>
        <v>Out of warranty</v>
      </c>
      <c r="AJ1532" s="3">
        <f>IFERROR(__xludf.DUMMYFUNCTION("""COMPUTED_VALUE"""),64.0)</f>
        <v>64</v>
      </c>
      <c r="AK1532" s="3" t="str">
        <f>IFERROR(__xludf.DUMMYFUNCTION("""COMPUTED_VALUE"""),"MMS16")</f>
        <v>MMS16</v>
      </c>
      <c r="AL1532" s="3"/>
    </row>
    <row r="1533" ht="15.75" customHeight="1">
      <c r="A1533" s="1" t="str">
        <f>IFERROR(__xludf.DUMMYFUNCTION("""COMPUTED_VALUE"""),"22218")</f>
        <v>22218</v>
      </c>
      <c r="B1533" s="2">
        <f>IFERROR(__xludf.DUMMYFUNCTION("""COMPUTED_VALUE"""),22218.0)</f>
        <v>22218</v>
      </c>
      <c r="C1533" s="3" t="str">
        <f>IFERROR(__xludf.DUMMYFUNCTION("""COMPUTED_VALUE"""),"MBC หมู่บ้านคุณาภัทร นนทบุรี")</f>
        <v>MBC หมู่บ้านคุณาภัทร นนทบุรี</v>
      </c>
      <c r="D1533" s="3" t="str">
        <f>IFERROR(__xludf.DUMMYFUNCTION("""COMPUTED_VALUE"""),"BCM MOOBAN KHUNAPHAT")</f>
        <v>BCM MOOBAN KHUNAPHAT</v>
      </c>
      <c r="E1533" s="1" t="str">
        <f>IFERROR(__xludf.DUMMYFUNCTION("""COMPUTED_VALUE"""),"บิ๊กซี MINI")</f>
        <v>บิ๊กซี MINI</v>
      </c>
      <c r="F1533" s="1" t="str">
        <f>IFERROR(__xludf.DUMMYFUNCTION("""COMPUTED_VALUE"""),"291008")</f>
        <v>291008</v>
      </c>
      <c r="G1533" s="1" t="str">
        <f>IFERROR(__xludf.DUMMYFUNCTION("""COMPUTED_VALUE"""),"น.ส.รัชดาพร อีศรัตน์")</f>
        <v>น.ส.รัชดาพร อีศรัตน์</v>
      </c>
      <c r="H1533" s="1" t="str">
        <f>IFERROR(__xludf.DUMMYFUNCTION("""COMPUTED_VALUE"""),"180055")</f>
        <v>180055</v>
      </c>
      <c r="I1533" s="1" t="str">
        <f>IFERROR(__xludf.DUMMYFUNCTION("""COMPUTED_VALUE"""),"น.ส.สุดารัตน์ บุญล้ำ")</f>
        <v>น.ส.สุดารัตน์ บุญล้ำ</v>
      </c>
      <c r="J1533" s="3">
        <f>IFERROR(__xludf.DUMMYFUNCTION("""COMPUTED_VALUE"""),296728.0)</f>
        <v>296728</v>
      </c>
      <c r="K1533" s="3" t="str">
        <f>IFERROR(__xludf.DUMMYFUNCTION("""COMPUTED_VALUE"""),"นายธิติ บัวทองรังสิมา")</f>
        <v>นายธิติ บัวทองรังสิมา</v>
      </c>
      <c r="L1533" s="1" t="str">
        <f>IFERROR(__xludf.DUMMYFUNCTION("""COMPUTED_VALUE"""),"นายธิติ บัวทองรังสิมา")</f>
        <v>นายธิติ บัวทองรังสิมา</v>
      </c>
      <c r="M1533" s="1" t="str">
        <f>IFERROR(__xludf.DUMMYFUNCTION("""COMPUTED_VALUE"""),"0920849994")</f>
        <v>0920849994</v>
      </c>
      <c r="N1533" s="3">
        <f>IFERROR(__xludf.DUMMYFUNCTION("""COMPUTED_VALUE"""),21012.0)</f>
        <v>21012</v>
      </c>
      <c r="O1533" s="3" t="str">
        <f>IFERROR(__xludf.DUMMYFUNCTION("""COMPUTED_VALUE"""),"MBC ท่าอิฐ")</f>
        <v>MBC ท่าอิฐ</v>
      </c>
      <c r="P1533" s="4">
        <f>IFERROR(__xludf.DUMMYFUNCTION("""COMPUTED_VALUE"""),44099.0)</f>
        <v>44099</v>
      </c>
      <c r="Q1533" s="3" t="str">
        <f>IFERROR(__xludf.DUMMYFUNCTION("""COMPUTED_VALUE"""),"I")</f>
        <v>I</v>
      </c>
      <c r="R1533" s="3" t="str">
        <f>IFERROR(__xludf.DUMMYFUNCTION("""COMPUTED_VALUE"""),"Small Format")</f>
        <v>Small Format</v>
      </c>
      <c r="S1533" s="3" t="str">
        <f>IFERROR(__xludf.DUMMYFUNCTION("""COMPUTED_VALUE"""),"BCM")</f>
        <v>BCM</v>
      </c>
      <c r="T1533" s="3" t="str">
        <f>IFERROR(__xludf.DUMMYFUNCTION("""COMPUTED_VALUE"""),"#N/A")</f>
        <v>#N/A</v>
      </c>
      <c r="U1533" s="3" t="str">
        <f>IFERROR(__xludf.DUMMYFUNCTION("""COMPUTED_VALUE"""),"#N/A")</f>
        <v>#N/A</v>
      </c>
      <c r="V1533" s="3" t="str">
        <f>IFERROR(__xludf.DUMMYFUNCTION("""COMPUTED_VALUE"""),"N")</f>
        <v>N</v>
      </c>
      <c r="W1533" s="3">
        <f>IFERROR(__xludf.DUMMYFUNCTION("""COMPUTED_VALUE"""),210275.0)</f>
        <v>210275</v>
      </c>
      <c r="X1533" s="3" t="str">
        <f>IFERROR(__xludf.DUMMYFUNCTION("""COMPUTED_VALUE"""),"196/9-11 หมู่7 ตำบลพิมลราช อำเภอบางบัวทอง จังหวัดนนทบุรี 11110")</f>
        <v>196/9-11 หมู่7 ตำบลพิมลราช อำเภอบางบัวทอง จังหวัดนนทบุรี 11110</v>
      </c>
      <c r="Y1533" s="3"/>
      <c r="Z1533" s="3" t="str">
        <f>IFERROR(__xludf.DUMMYFUNCTION("""COMPUTED_VALUE"""),"พิมลราช")</f>
        <v>พิมลราช</v>
      </c>
      <c r="AA1533" s="3" t="str">
        <f>IFERROR(__xludf.DUMMYFUNCTION("""COMPUTED_VALUE"""),"บางบัวทอง")</f>
        <v>บางบัวทอง</v>
      </c>
      <c r="AB1533" s="3" t="str">
        <f>IFERROR(__xludf.DUMMYFUNCTION("""COMPUTED_VALUE"""),"นนทบุรี")</f>
        <v>นนทบุรี</v>
      </c>
      <c r="AC1533" s="3">
        <f>IFERROR(__xludf.DUMMYFUNCTION("""COMPUTED_VALUE"""),11110.0)</f>
        <v>11110</v>
      </c>
      <c r="AD1533" s="3">
        <f>IFERROR(__xludf.DUMMYFUNCTION("""COMPUTED_VALUE"""),13.9382763)</f>
        <v>13.9382763</v>
      </c>
      <c r="AE1533" s="3">
        <f>IFERROR(__xludf.DUMMYFUNCTION("""COMPUTED_VALUE"""),100.3651232)</f>
        <v>100.3651232</v>
      </c>
      <c r="AF1533" s="3" t="str">
        <f>IFERROR(__xludf.DUMMYFUNCTION("""COMPUTED_VALUE"""),"MBC หมู่บ้านคุณาภัทร นนทบุรี-22218")</f>
        <v>MBC หมู่บ้านคุณาภัทร นนทบุรี-22218</v>
      </c>
      <c r="AG1533" s="3" t="str">
        <f>IFERROR(__xludf.DUMMYFUNCTION("""COMPUTED_VALUE"""),"กลาง")</f>
        <v>กลาง</v>
      </c>
      <c r="AH1533" s="3" t="str">
        <f>IFERROR(__xludf.DUMMYFUNCTION("""COMPUTED_VALUE"""),"#N/A")</f>
        <v>#N/A</v>
      </c>
      <c r="AI1533" s="3" t="str">
        <f>IFERROR(__xludf.DUMMYFUNCTION("""COMPUTED_VALUE"""),"Out of warranty")</f>
        <v>Out of warranty</v>
      </c>
      <c r="AJ1533" s="3">
        <f>IFERROR(__xludf.DUMMYFUNCTION("""COMPUTED_VALUE"""),64.0)</f>
        <v>64</v>
      </c>
      <c r="AK1533" s="3" t="str">
        <f>IFERROR(__xludf.DUMMYFUNCTION("""COMPUTED_VALUE"""),"MMS04")</f>
        <v>MMS04</v>
      </c>
      <c r="AL1533" s="3"/>
    </row>
    <row r="1534" ht="15.75" customHeight="1">
      <c r="A1534" s="1" t="str">
        <f>IFERROR(__xludf.DUMMYFUNCTION("""COMPUTED_VALUE"""),"22219")</f>
        <v>22219</v>
      </c>
      <c r="B1534" s="2">
        <f>IFERROR(__xludf.DUMMYFUNCTION("""COMPUTED_VALUE"""),22219.0)</f>
        <v>22219</v>
      </c>
      <c r="C1534" s="3" t="str">
        <f>IFERROR(__xludf.DUMMYFUNCTION("""COMPUTED_VALUE"""),"MBC สตรีวิทยา2 ซอย20 กรุงเทพฯ")</f>
        <v>MBC สตรีวิทยา2 ซอย20 กรุงเทพฯ</v>
      </c>
      <c r="D1534" s="3" t="str">
        <f>IFERROR(__xludf.DUMMYFUNCTION("""COMPUTED_VALUE"""),"BCM SATRI WITTHAYA 2 SOI 20")</f>
        <v>BCM SATRI WITTHAYA 2 SOI 20</v>
      </c>
      <c r="E1534" s="1" t="str">
        <f>IFERROR(__xludf.DUMMYFUNCTION("""COMPUTED_VALUE"""),"บิ๊กซี MINI")</f>
        <v>บิ๊กซี MINI</v>
      </c>
      <c r="F1534" s="1" t="str">
        <f>IFERROR(__xludf.DUMMYFUNCTION("""COMPUTED_VALUE"""),"291008")</f>
        <v>291008</v>
      </c>
      <c r="G1534" s="1" t="str">
        <f>IFERROR(__xludf.DUMMYFUNCTION("""COMPUTED_VALUE"""),"น.ส.รัชดาพร อีศรัตน์")</f>
        <v>น.ส.รัชดาพร อีศรัตน์</v>
      </c>
      <c r="H1534" s="1" t="str">
        <f>IFERROR(__xludf.DUMMYFUNCTION("""COMPUTED_VALUE"""),"373540")</f>
        <v>373540</v>
      </c>
      <c r="I1534" s="1" t="str">
        <f>IFERROR(__xludf.DUMMYFUNCTION("""COMPUTED_VALUE"""),"นายทศพร พึ่งพบ")</f>
        <v>นายทศพร พึ่งพบ</v>
      </c>
      <c r="J1534" s="3">
        <f>IFERROR(__xludf.DUMMYFUNCTION("""COMPUTED_VALUE"""),296728.0)</f>
        <v>296728</v>
      </c>
      <c r="K1534" s="3" t="str">
        <f>IFERROR(__xludf.DUMMYFUNCTION("""COMPUTED_VALUE"""),"นายธิติ บัวทองรังสิมา")</f>
        <v>นายธิติ บัวทองรังสิมา</v>
      </c>
      <c r="L1534" s="1" t="str">
        <f>IFERROR(__xludf.DUMMYFUNCTION("""COMPUTED_VALUE"""),"นายธิติ บัวทองรังสิมา")</f>
        <v>นายธิติ บัวทองรังสิมา</v>
      </c>
      <c r="M1534" s="1" t="str">
        <f>IFERROR(__xludf.DUMMYFUNCTION("""COMPUTED_VALUE"""),"0920849994")</f>
        <v>0920849994</v>
      </c>
      <c r="N1534" s="3">
        <f>IFERROR(__xludf.DUMMYFUNCTION("""COMPUTED_VALUE"""),21012.0)</f>
        <v>21012</v>
      </c>
      <c r="O1534" s="3" t="str">
        <f>IFERROR(__xludf.DUMMYFUNCTION("""COMPUTED_VALUE"""),"MBC ท่าอิฐ")</f>
        <v>MBC ท่าอิฐ</v>
      </c>
      <c r="P1534" s="4">
        <f>IFERROR(__xludf.DUMMYFUNCTION("""COMPUTED_VALUE"""),44112.0)</f>
        <v>44112</v>
      </c>
      <c r="Q1534" s="3" t="str">
        <f>IFERROR(__xludf.DUMMYFUNCTION("""COMPUTED_VALUE"""),"I")</f>
        <v>I</v>
      </c>
      <c r="R1534" s="3" t="str">
        <f>IFERROR(__xludf.DUMMYFUNCTION("""COMPUTED_VALUE"""),"Small Format")</f>
        <v>Small Format</v>
      </c>
      <c r="S1534" s="3" t="str">
        <f>IFERROR(__xludf.DUMMYFUNCTION("""COMPUTED_VALUE"""),"BCM")</f>
        <v>BCM</v>
      </c>
      <c r="T1534" s="3" t="str">
        <f>IFERROR(__xludf.DUMMYFUNCTION("""COMPUTED_VALUE"""),"#N/A")</f>
        <v>#N/A</v>
      </c>
      <c r="U1534" s="3" t="str">
        <f>IFERROR(__xludf.DUMMYFUNCTION("""COMPUTED_VALUE"""),"#N/A")</f>
        <v>#N/A</v>
      </c>
      <c r="V1534" s="3" t="str">
        <f>IFERROR(__xludf.DUMMYFUNCTION("""COMPUTED_VALUE"""),"N")</f>
        <v>N</v>
      </c>
      <c r="W1534" s="3">
        <f>IFERROR(__xludf.DUMMYFUNCTION("""COMPUTED_VALUE"""),210244.0)</f>
        <v>210244</v>
      </c>
      <c r="X1534" s="3" t="str">
        <f>IFERROR(__xludf.DUMMYFUNCTION("""COMPUTED_VALUE"""),"164/1 ถนนสตรีวิทยา2 แขวงลาดพร้าว เขตลาดพร้าว จังหวัดกรุงเทพมหานคร 10230")</f>
        <v>164/1 ถนนสตรีวิทยา2 แขวงลาดพร้าว เขตลาดพร้าว จังหวัดกรุงเทพมหานคร 10230</v>
      </c>
      <c r="Y1534" s="3" t="str">
        <f>IFERROR(__xludf.DUMMYFUNCTION("""COMPUTED_VALUE"""),"ถนนสตรีวิทยา")</f>
        <v>ถนนสตรีวิทยา</v>
      </c>
      <c r="Z1534" s="3" t="str">
        <f>IFERROR(__xludf.DUMMYFUNCTION("""COMPUTED_VALUE"""),"ลาดพร้าว")</f>
        <v>ลาดพร้าว</v>
      </c>
      <c r="AA1534" s="3" t="str">
        <f>IFERROR(__xludf.DUMMYFUNCTION("""COMPUTED_VALUE"""),"ลาดพร้าว")</f>
        <v>ลาดพร้าว</v>
      </c>
      <c r="AB1534" s="3" t="str">
        <f>IFERROR(__xludf.DUMMYFUNCTION("""COMPUTED_VALUE"""),"กรุงเทพมหานคร")</f>
        <v>กรุงเทพมหานคร</v>
      </c>
      <c r="AC1534" s="3">
        <f>IFERROR(__xludf.DUMMYFUNCTION("""COMPUTED_VALUE"""),10230.0)</f>
        <v>10230</v>
      </c>
      <c r="AD1534" s="3">
        <f>IFERROR(__xludf.DUMMYFUNCTION("""COMPUTED_VALUE"""),13.821371)</f>
        <v>13.821371</v>
      </c>
      <c r="AE1534" s="3">
        <f>IFERROR(__xludf.DUMMYFUNCTION("""COMPUTED_VALUE"""),100.600191)</f>
        <v>100.600191</v>
      </c>
      <c r="AF1534" s="3" t="str">
        <f>IFERROR(__xludf.DUMMYFUNCTION("""COMPUTED_VALUE"""),"MBC สตรีวิทยา2 ซอย20 กรุงเทพฯ-22219")</f>
        <v>MBC สตรีวิทยา2 ซอย20 กรุงเทพฯ-22219</v>
      </c>
      <c r="AG1534" s="3" t="str">
        <f>IFERROR(__xludf.DUMMYFUNCTION("""COMPUTED_VALUE"""),"กลาง")</f>
        <v>กลาง</v>
      </c>
      <c r="AH1534" s="3" t="str">
        <f>IFERROR(__xludf.DUMMYFUNCTION("""COMPUTED_VALUE"""),"#N/A")</f>
        <v>#N/A</v>
      </c>
      <c r="AI1534" s="3" t="str">
        <f>IFERROR(__xludf.DUMMYFUNCTION("""COMPUTED_VALUE"""),"Out of warranty")</f>
        <v>Out of warranty</v>
      </c>
      <c r="AJ1534" s="3">
        <f>IFERROR(__xludf.DUMMYFUNCTION("""COMPUTED_VALUE"""),64.0)</f>
        <v>64</v>
      </c>
      <c r="AK1534" s="3" t="str">
        <f>IFERROR(__xludf.DUMMYFUNCTION("""COMPUTED_VALUE"""),"MMS01")</f>
        <v>MMS01</v>
      </c>
      <c r="AL1534" s="3"/>
    </row>
    <row r="1535" ht="15.75" customHeight="1">
      <c r="A1535" s="1" t="str">
        <f>IFERROR(__xludf.DUMMYFUNCTION("""COMPUTED_VALUE"""),"22220")</f>
        <v>22220</v>
      </c>
      <c r="B1535" s="2">
        <f>IFERROR(__xludf.DUMMYFUNCTION("""COMPUTED_VALUE"""),22220.0)</f>
        <v>22220</v>
      </c>
      <c r="C1535" s="3" t="str">
        <f>IFERROR(__xludf.DUMMYFUNCTION("""COMPUTED_VALUE"""),"MBC อำเภอกระบุรี ระนอง")</f>
        <v>MBC อำเภอกระบุรี ระนอง</v>
      </c>
      <c r="D1535" s="3" t="str">
        <f>IFERROR(__xludf.DUMMYFUNCTION("""COMPUTED_VALUE"""),"BCM AMPHOE KRA BURI")</f>
        <v>BCM AMPHOE KRA BURI</v>
      </c>
      <c r="E1535" s="1" t="str">
        <f>IFERROR(__xludf.DUMMYFUNCTION("""COMPUTED_VALUE"""),"บิ๊กซี MINI")</f>
        <v>บิ๊กซี MINI</v>
      </c>
      <c r="F1535" s="1" t="str">
        <f>IFERROR(__xludf.DUMMYFUNCTION("""COMPUTED_VALUE"""),"250760")</f>
        <v>250760</v>
      </c>
      <c r="G1535" s="1" t="str">
        <f>IFERROR(__xludf.DUMMYFUNCTION("""COMPUTED_VALUE"""),"นายประทวน สาราบรรณ์")</f>
        <v>นายประทวน สาราบรรณ์</v>
      </c>
      <c r="H1535" s="1" t="str">
        <f>IFERROR(__xludf.DUMMYFUNCTION("""COMPUTED_VALUE"""),"311437")</f>
        <v>311437</v>
      </c>
      <c r="I1535" s="1" t="str">
        <f>IFERROR(__xludf.DUMMYFUNCTION("""COMPUTED_VALUE"""),"นายฉัตรทพร รักวิเชียร")</f>
        <v>นายฉัตรทพร รักวิเชียร</v>
      </c>
      <c r="J1535" s="3">
        <f>IFERROR(__xludf.DUMMYFUNCTION("""COMPUTED_VALUE"""),25324.0)</f>
        <v>25324</v>
      </c>
      <c r="K1535" s="3" t="str">
        <f>IFERROR(__xludf.DUMMYFUNCTION("""COMPUTED_VALUE"""),"นายวิเชฎฐ์ ติรัตนะประคม")</f>
        <v>นายวิเชฎฐ์ ติรัตนะประคม</v>
      </c>
      <c r="L1535" s="1" t="str">
        <f>IFERROR(__xludf.DUMMYFUNCTION("""COMPUTED_VALUE"""),"14 K.Wichet T.")</f>
        <v>14 K.Wichet T.</v>
      </c>
      <c r="M1535" s="1" t="str">
        <f>IFERROR(__xludf.DUMMYFUNCTION("""COMPUTED_VALUE"""),"061-417-6569 / 086-445-5636")</f>
        <v>061-417-6569 / 086-445-5636</v>
      </c>
      <c r="N1535" s="3">
        <f>IFERROR(__xludf.DUMMYFUNCTION("""COMPUTED_VALUE"""),22658.0)</f>
        <v>22658</v>
      </c>
      <c r="O1535" s="3" t="str">
        <f>IFERROR(__xludf.DUMMYFUNCTION("""COMPUTED_VALUE"""),"BCM ถ.วิรัชหงษ์หยก ภูเก็ต")</f>
        <v>BCM ถ.วิรัชหงษ์หยก ภูเก็ต</v>
      </c>
      <c r="P1535" s="4">
        <f>IFERROR(__xludf.DUMMYFUNCTION("""COMPUTED_VALUE"""),44113.0)</f>
        <v>44113</v>
      </c>
      <c r="Q1535" s="3" t="str">
        <f>IFERROR(__xludf.DUMMYFUNCTION("""COMPUTED_VALUE"""),"A")</f>
        <v>A</v>
      </c>
      <c r="R1535" s="3" t="str">
        <f>IFERROR(__xludf.DUMMYFUNCTION("""COMPUTED_VALUE"""),"Small Format")</f>
        <v>Small Format</v>
      </c>
      <c r="S1535" s="3" t="str">
        <f>IFERROR(__xludf.DUMMYFUNCTION("""COMPUTED_VALUE"""),"BCM")</f>
        <v>BCM</v>
      </c>
      <c r="T1535" s="3" t="str">
        <f>IFERROR(__xludf.DUMMYFUNCTION("""COMPUTED_VALUE"""),"#N/A")</f>
        <v>#N/A</v>
      </c>
      <c r="U1535" s="3" t="str">
        <f>IFERROR(__xludf.DUMMYFUNCTION("""COMPUTED_VALUE"""),"#N/A")</f>
        <v>#N/A</v>
      </c>
      <c r="V1535" s="3" t="str">
        <f>IFERROR(__xludf.DUMMYFUNCTION("""COMPUTED_VALUE"""),"N")</f>
        <v>N</v>
      </c>
      <c r="W1535" s="3">
        <f>IFERROR(__xludf.DUMMYFUNCTION("""COMPUTED_VALUE"""),210223.0)</f>
        <v>210223</v>
      </c>
      <c r="X1535" s="3" t="str">
        <f>IFERROR(__xludf.DUMMYFUNCTION("""COMPUTED_VALUE"""),"219/3 หมู่3 ตำบลน้ำจืด อำเภอกระบุรี จังหวัดระนอง 85110")</f>
        <v>219/3 หมู่3 ตำบลน้ำจืด อำเภอกระบุรี จังหวัดระนอง 85110</v>
      </c>
      <c r="Y1535" s="3"/>
      <c r="Z1535" s="3" t="str">
        <f>IFERROR(__xludf.DUMMYFUNCTION("""COMPUTED_VALUE"""),"น้ำจืด")</f>
        <v>น้ำจืด</v>
      </c>
      <c r="AA1535" s="3" t="str">
        <f>IFERROR(__xludf.DUMMYFUNCTION("""COMPUTED_VALUE"""),"กระบุรี")</f>
        <v>กระบุรี</v>
      </c>
      <c r="AB1535" s="3" t="str">
        <f>IFERROR(__xludf.DUMMYFUNCTION("""COMPUTED_VALUE"""),"ระนอง")</f>
        <v>ระนอง</v>
      </c>
      <c r="AC1535" s="3">
        <f>IFERROR(__xludf.DUMMYFUNCTION("""COMPUTED_VALUE"""),85110.0)</f>
        <v>85110</v>
      </c>
      <c r="AD1535" s="3">
        <f>IFERROR(__xludf.DUMMYFUNCTION("""COMPUTED_VALUE"""),10.40314)</f>
        <v>10.40314</v>
      </c>
      <c r="AE1535" s="3">
        <f>IFERROR(__xludf.DUMMYFUNCTION("""COMPUTED_VALUE"""),98.772343)</f>
        <v>98.772343</v>
      </c>
      <c r="AF1535" s="3" t="str">
        <f>IFERROR(__xludf.DUMMYFUNCTION("""COMPUTED_VALUE"""),"MBC อำเภอกระบุรี ระนอง-22220")</f>
        <v>MBC อำเภอกระบุรี ระนอง-22220</v>
      </c>
      <c r="AG1535" s="3" t="str">
        <f>IFERROR(__xludf.DUMMYFUNCTION("""COMPUTED_VALUE"""),"ใต้")</f>
        <v>ใต้</v>
      </c>
      <c r="AH1535" s="3" t="str">
        <f>IFERROR(__xludf.DUMMYFUNCTION("""COMPUTED_VALUE"""),"#N/A")</f>
        <v>#N/A</v>
      </c>
      <c r="AI1535" s="3" t="str">
        <f>IFERROR(__xludf.DUMMYFUNCTION("""COMPUTED_VALUE"""),"Out of warranty")</f>
        <v>Out of warranty</v>
      </c>
      <c r="AJ1535" s="3">
        <f>IFERROR(__xludf.DUMMYFUNCTION("""COMPUTED_VALUE"""),64.0)</f>
        <v>64</v>
      </c>
      <c r="AK1535" s="3" t="str">
        <f>IFERROR(__xludf.DUMMYFUNCTION("""COMPUTED_VALUE"""),"MMS14")</f>
        <v>MMS14</v>
      </c>
      <c r="AL1535" s="3"/>
    </row>
    <row r="1536" ht="15.75" customHeight="1">
      <c r="A1536" s="1" t="str">
        <f>IFERROR(__xludf.DUMMYFUNCTION("""COMPUTED_VALUE"""),"22221")</f>
        <v>22221</v>
      </c>
      <c r="B1536" s="2">
        <f>IFERROR(__xludf.DUMMYFUNCTION("""COMPUTED_VALUE"""),22221.0)</f>
        <v>22221</v>
      </c>
      <c r="C1536" s="3" t="str">
        <f>IFERROR(__xludf.DUMMYFUNCTION("""COMPUTED_VALUE"""),"MBC บ้านใหญ่-บางพระ ฉะเชิงเทรา")</f>
        <v>MBC บ้านใหญ่-บางพระ ฉะเชิงเทรา</v>
      </c>
      <c r="D1536" s="3" t="str">
        <f>IFERROR(__xludf.DUMMYFUNCTION("""COMPUTED_VALUE"""),"BCM BAN YAI-BANG PRA")</f>
        <v>BCM BAN YAI-BANG PRA</v>
      </c>
      <c r="E1536" s="1" t="str">
        <f>IFERROR(__xludf.DUMMYFUNCTION("""COMPUTED_VALUE"""),"บิ๊กซี MINI")</f>
        <v>บิ๊กซี MINI</v>
      </c>
      <c r="F1536" s="1" t="str">
        <f>IFERROR(__xludf.DUMMYFUNCTION("""COMPUTED_VALUE"""),"2083447")</f>
        <v>2083447</v>
      </c>
      <c r="G1536" s="1" t="str">
        <f>IFERROR(__xludf.DUMMYFUNCTION("""COMPUTED_VALUE"""),"นายอนุกูล ศรีลัดดา")</f>
        <v>นายอนุกูล ศรีลัดดา</v>
      </c>
      <c r="H1536" s="1" t="str">
        <f>IFERROR(__xludf.DUMMYFUNCTION("""COMPUTED_VALUE"""),"254957")</f>
        <v>254957</v>
      </c>
      <c r="I1536" s="1" t="str">
        <f>IFERROR(__xludf.DUMMYFUNCTION("""COMPUTED_VALUE"""),"น.ส.ศิริพร รุ่งธัญญา")</f>
        <v>น.ส.ศิริพร รุ่งธัญญา</v>
      </c>
      <c r="J1536" s="3">
        <f>IFERROR(__xludf.DUMMYFUNCTION("""COMPUTED_VALUE"""),510143.0)</f>
        <v>510143</v>
      </c>
      <c r="K1536" s="3" t="str">
        <f>IFERROR(__xludf.DUMMYFUNCTION("""COMPUTED_VALUE"""),"นายธีระวัฒน์ บุญสิทธิ์")</f>
        <v>นายธีระวัฒน์ บุญสิทธิ์</v>
      </c>
      <c r="L1536" s="1" t="str">
        <f>IFERROR(__xludf.DUMMYFUNCTION("""COMPUTED_VALUE"""),"12 K.Theerawat B.")</f>
        <v>12 K.Theerawat B.</v>
      </c>
      <c r="M1536" s="1" t="str">
        <f>IFERROR(__xludf.DUMMYFUNCTION("""COMPUTED_VALUE"""),"0655107379")</f>
        <v>0655107379</v>
      </c>
      <c r="N1536" s="3">
        <f>IFERROR(__xludf.DUMMYFUNCTION("""COMPUTED_VALUE"""),21062.0)</f>
        <v>21062</v>
      </c>
      <c r="O1536" s="3" t="str">
        <f>IFERROR(__xludf.DUMMYFUNCTION("""COMPUTED_VALUE"""),"MBC นิคมนวนคร")</f>
        <v>MBC นิคมนวนคร</v>
      </c>
      <c r="P1536" s="4">
        <f>IFERROR(__xludf.DUMMYFUNCTION("""COMPUTED_VALUE"""),44121.0)</f>
        <v>44121</v>
      </c>
      <c r="Q1536" s="3" t="str">
        <f>IFERROR(__xludf.DUMMYFUNCTION("""COMPUTED_VALUE"""),"A")</f>
        <v>A</v>
      </c>
      <c r="R1536" s="3" t="str">
        <f>IFERROR(__xludf.DUMMYFUNCTION("""COMPUTED_VALUE"""),"Small Format")</f>
        <v>Small Format</v>
      </c>
      <c r="S1536" s="3" t="str">
        <f>IFERROR(__xludf.DUMMYFUNCTION("""COMPUTED_VALUE"""),"BCM")</f>
        <v>BCM</v>
      </c>
      <c r="T1536" s="3" t="str">
        <f>IFERROR(__xludf.DUMMYFUNCTION("""COMPUTED_VALUE"""),"#N/A")</f>
        <v>#N/A</v>
      </c>
      <c r="U1536" s="3" t="str">
        <f>IFERROR(__xludf.DUMMYFUNCTION("""COMPUTED_VALUE"""),"#N/A")</f>
        <v>#N/A</v>
      </c>
      <c r="V1536" s="3" t="str">
        <f>IFERROR(__xludf.DUMMYFUNCTION("""COMPUTED_VALUE"""),"N")</f>
        <v>N</v>
      </c>
      <c r="W1536" s="3">
        <f>IFERROR(__xludf.DUMMYFUNCTION("""COMPUTED_VALUE"""),210230.0)</f>
        <v>210230</v>
      </c>
      <c r="X1536" s="3" t="str">
        <f>IFERROR(__xludf.DUMMYFUNCTION("""COMPUTED_VALUE"""),"44/10 หมู่7 ตำบลบางพระ อำเภอเมืองฉะเชิงเทรา จังหวัดฉะเชิงเทรา 24000")</f>
        <v>44/10 หมู่7 ตำบลบางพระ อำเภอเมืองฉะเชิงเทรา จังหวัดฉะเชิงเทรา 24000</v>
      </c>
      <c r="Y1536" s="3"/>
      <c r="Z1536" s="3" t="str">
        <f>IFERROR(__xludf.DUMMYFUNCTION("""COMPUTED_VALUE"""),"บางพระ")</f>
        <v>บางพระ</v>
      </c>
      <c r="AA1536" s="3" t="str">
        <f>IFERROR(__xludf.DUMMYFUNCTION("""COMPUTED_VALUE"""),"เมือง")</f>
        <v>เมือง</v>
      </c>
      <c r="AB1536" s="3" t="str">
        <f>IFERROR(__xludf.DUMMYFUNCTION("""COMPUTED_VALUE"""),"ฉะเชิงเทรา")</f>
        <v>ฉะเชิงเทรา</v>
      </c>
      <c r="AC1536" s="3">
        <f>IFERROR(__xludf.DUMMYFUNCTION("""COMPUTED_VALUE"""),24000.0)</f>
        <v>24000</v>
      </c>
      <c r="AD1536" s="3">
        <f>IFERROR(__xludf.DUMMYFUNCTION("""COMPUTED_VALUE"""),13.653029)</f>
        <v>13.653029</v>
      </c>
      <c r="AE1536" s="3">
        <f>IFERROR(__xludf.DUMMYFUNCTION("""COMPUTED_VALUE"""),101.045095)</f>
        <v>101.045095</v>
      </c>
      <c r="AF1536" s="3" t="str">
        <f>IFERROR(__xludf.DUMMYFUNCTION("""COMPUTED_VALUE"""),"MBC บ้านใหญ่-บางพระ ฉะเชิงเทรา-22221")</f>
        <v>MBC บ้านใหญ่-บางพระ ฉะเชิงเทรา-22221</v>
      </c>
      <c r="AG1536" s="3" t="str">
        <f>IFERROR(__xludf.DUMMYFUNCTION("""COMPUTED_VALUE"""),"ตะวันออก")</f>
        <v>ตะวันออก</v>
      </c>
      <c r="AH1536" s="3" t="str">
        <f>IFERROR(__xludf.DUMMYFUNCTION("""COMPUTED_VALUE"""),"#N/A")</f>
        <v>#N/A</v>
      </c>
      <c r="AI1536" s="3" t="str">
        <f>IFERROR(__xludf.DUMMYFUNCTION("""COMPUTED_VALUE"""),"Out of warranty")</f>
        <v>Out of warranty</v>
      </c>
      <c r="AJ1536" s="3">
        <f>IFERROR(__xludf.DUMMYFUNCTION("""COMPUTED_VALUE"""),64.0)</f>
        <v>64</v>
      </c>
      <c r="AK1536" s="3" t="str">
        <f>IFERROR(__xludf.DUMMYFUNCTION("""COMPUTED_VALUE"""),"MMS07")</f>
        <v>MMS07</v>
      </c>
      <c r="AL1536" s="3"/>
    </row>
    <row r="1537" ht="15.75" customHeight="1">
      <c r="A1537" s="1" t="str">
        <f>IFERROR(__xludf.DUMMYFUNCTION("""COMPUTED_VALUE"""),"22222")</f>
        <v>22222</v>
      </c>
      <c r="B1537" s="2">
        <f>IFERROR(__xludf.DUMMYFUNCTION("""COMPUTED_VALUE"""),22222.0)</f>
        <v>22222</v>
      </c>
      <c r="C1537" s="3" t="str">
        <f>IFERROR(__xludf.DUMMYFUNCTION("""COMPUTED_VALUE"""),"MBC ถนนพระบารมี ป่าตอง ภูเก็ต")</f>
        <v>MBC ถนนพระบารมี ป่าตอง ภูเก็ต</v>
      </c>
      <c r="D1537" s="3" t="str">
        <f>IFERROR(__xludf.DUMMYFUNCTION("""COMPUTED_VALUE"""),"BCM THANON PRABARAMEE")</f>
        <v>BCM THANON PRABARAMEE</v>
      </c>
      <c r="E1537" s="1" t="str">
        <f>IFERROR(__xludf.DUMMYFUNCTION("""COMPUTED_VALUE"""),"บิ๊กซี MINI")</f>
        <v>บิ๊กซี MINI</v>
      </c>
      <c r="F1537" s="1" t="str">
        <f>IFERROR(__xludf.DUMMYFUNCTION("""COMPUTED_VALUE"""),"250760")</f>
        <v>250760</v>
      </c>
      <c r="G1537" s="1" t="str">
        <f>IFERROR(__xludf.DUMMYFUNCTION("""COMPUTED_VALUE"""),"นายประทวน สาราบรรณ์")</f>
        <v>นายประทวน สาราบรรณ์</v>
      </c>
      <c r="H1537" s="1" t="str">
        <f>IFERROR(__xludf.DUMMYFUNCTION("""COMPUTED_VALUE"""),"357284")</f>
        <v>357284</v>
      </c>
      <c r="I1537" s="1" t="str">
        <f>IFERROR(__xludf.DUMMYFUNCTION("""COMPUTED_VALUE"""),"น.ส.เบญจวรรณ ปัณฑโมรา")</f>
        <v>น.ส.เบญจวรรณ ปัณฑโมรา</v>
      </c>
      <c r="J1537" s="3">
        <f>IFERROR(__xludf.DUMMYFUNCTION("""COMPUTED_VALUE"""),25324.0)</f>
        <v>25324</v>
      </c>
      <c r="K1537" s="3" t="str">
        <f>IFERROR(__xludf.DUMMYFUNCTION("""COMPUTED_VALUE"""),"นายวิเชฎฐ์ ติรัตนะประคม")</f>
        <v>นายวิเชฎฐ์ ติรัตนะประคม</v>
      </c>
      <c r="L1537" s="1" t="str">
        <f>IFERROR(__xludf.DUMMYFUNCTION("""COMPUTED_VALUE"""),"14 K.Wichet T.")</f>
        <v>14 K.Wichet T.</v>
      </c>
      <c r="M1537" s="1" t="str">
        <f>IFERROR(__xludf.DUMMYFUNCTION("""COMPUTED_VALUE"""),"061-417-6569 / 086-445-5636")</f>
        <v>061-417-6569 / 086-445-5636</v>
      </c>
      <c r="N1537" s="3">
        <f>IFERROR(__xludf.DUMMYFUNCTION("""COMPUTED_VALUE"""),22658.0)</f>
        <v>22658</v>
      </c>
      <c r="O1537" s="3" t="str">
        <f>IFERROR(__xludf.DUMMYFUNCTION("""COMPUTED_VALUE"""),"BCM ถ.วิรัชหงษ์หยก ภูเก็ต")</f>
        <v>BCM ถ.วิรัชหงษ์หยก ภูเก็ต</v>
      </c>
      <c r="P1537" s="4">
        <f>IFERROR(__xludf.DUMMYFUNCTION("""COMPUTED_VALUE"""),44122.0)</f>
        <v>44122</v>
      </c>
      <c r="Q1537" s="3" t="str">
        <f>IFERROR(__xludf.DUMMYFUNCTION("""COMPUTED_VALUE"""),"A")</f>
        <v>A</v>
      </c>
      <c r="R1537" s="3" t="str">
        <f>IFERROR(__xludf.DUMMYFUNCTION("""COMPUTED_VALUE"""),"Small Format")</f>
        <v>Small Format</v>
      </c>
      <c r="S1537" s="3" t="str">
        <f>IFERROR(__xludf.DUMMYFUNCTION("""COMPUTED_VALUE"""),"BCM")</f>
        <v>BCM</v>
      </c>
      <c r="T1537" s="3" t="str">
        <f>IFERROR(__xludf.DUMMYFUNCTION("""COMPUTED_VALUE"""),"#N/A")</f>
        <v>#N/A</v>
      </c>
      <c r="U1537" s="3" t="str">
        <f>IFERROR(__xludf.DUMMYFUNCTION("""COMPUTED_VALUE"""),"#N/A")</f>
        <v>#N/A</v>
      </c>
      <c r="V1537" s="3" t="str">
        <f>IFERROR(__xludf.DUMMYFUNCTION("""COMPUTED_VALUE"""),"N")</f>
        <v>N</v>
      </c>
      <c r="W1537" s="3">
        <f>IFERROR(__xludf.DUMMYFUNCTION("""COMPUTED_VALUE"""),210205.0)</f>
        <v>210205</v>
      </c>
      <c r="X1537" s="3" t="str">
        <f>IFERROR(__xludf.DUMMYFUNCTION("""COMPUTED_VALUE"""),"117 ถนนพระบารมี ตำบลป่าตอง อำเภอกะทู้ จังหวัดภูเก็ต 83150")</f>
        <v>117 ถนนพระบารมี ตำบลป่าตอง อำเภอกะทู้ จังหวัดภูเก็ต 83150</v>
      </c>
      <c r="Y1537" s="3"/>
      <c r="Z1537" s="3" t="str">
        <f>IFERROR(__xludf.DUMMYFUNCTION("""COMPUTED_VALUE"""),"ป่าตอง")</f>
        <v>ป่าตอง</v>
      </c>
      <c r="AA1537" s="3" t="str">
        <f>IFERROR(__xludf.DUMMYFUNCTION("""COMPUTED_VALUE"""),"กะทู้")</f>
        <v>กะทู้</v>
      </c>
      <c r="AB1537" s="3" t="str">
        <f>IFERROR(__xludf.DUMMYFUNCTION("""COMPUTED_VALUE"""),"ภูเก็ต")</f>
        <v>ภูเก็ต</v>
      </c>
      <c r="AC1537" s="3">
        <f>IFERROR(__xludf.DUMMYFUNCTION("""COMPUTED_VALUE"""),83150.0)</f>
        <v>83150</v>
      </c>
      <c r="AD1537" s="3">
        <f>IFERROR(__xludf.DUMMYFUNCTION("""COMPUTED_VALUE"""),13.653029)</f>
        <v>13.653029</v>
      </c>
      <c r="AE1537" s="3">
        <f>IFERROR(__xludf.DUMMYFUNCTION("""COMPUTED_VALUE"""),101.045095)</f>
        <v>101.045095</v>
      </c>
      <c r="AF1537" s="3" t="str">
        <f>IFERROR(__xludf.DUMMYFUNCTION("""COMPUTED_VALUE"""),"MBC ถนนพระบารมี ป่าตอง ภูเก็ต-22222")</f>
        <v>MBC ถนนพระบารมี ป่าตอง ภูเก็ต-22222</v>
      </c>
      <c r="AG1537" s="3" t="str">
        <f>IFERROR(__xludf.DUMMYFUNCTION("""COMPUTED_VALUE"""),"ใต้")</f>
        <v>ใต้</v>
      </c>
      <c r="AH1537" s="3" t="str">
        <f>IFERROR(__xludf.DUMMYFUNCTION("""COMPUTED_VALUE"""),"#N/A")</f>
        <v>#N/A</v>
      </c>
      <c r="AI1537" s="3" t="str">
        <f>IFERROR(__xludf.DUMMYFUNCTION("""COMPUTED_VALUE"""),"Out of warranty")</f>
        <v>Out of warranty</v>
      </c>
      <c r="AJ1537" s="3">
        <f>IFERROR(__xludf.DUMMYFUNCTION("""COMPUTED_VALUE"""),64.0)</f>
        <v>64</v>
      </c>
      <c r="AK1537" s="3" t="str">
        <f>IFERROR(__xludf.DUMMYFUNCTION("""COMPUTED_VALUE"""),"MMS15")</f>
        <v>MMS15</v>
      </c>
      <c r="AL1537" s="3"/>
    </row>
    <row r="1538" ht="15.75" customHeight="1">
      <c r="A1538" s="1" t="str">
        <f>IFERROR(__xludf.DUMMYFUNCTION("""COMPUTED_VALUE"""),"22223")</f>
        <v>22223</v>
      </c>
      <c r="B1538" s="2">
        <f>IFERROR(__xludf.DUMMYFUNCTION("""COMPUTED_VALUE"""),22223.0)</f>
        <v>22223</v>
      </c>
      <c r="C1538" s="3" t="str">
        <f>IFERROR(__xludf.DUMMYFUNCTION("""COMPUTED_VALUE"""),"MBC บ้านแซร์ออ สระแก้ว")</f>
        <v>MBC บ้านแซร์ออ สระแก้ว</v>
      </c>
      <c r="D1538" s="3" t="str">
        <f>IFERROR(__xludf.DUMMYFUNCTION("""COMPUTED_VALUE"""),"BCM BAN SAE OR")</f>
        <v>BCM BAN SAE OR</v>
      </c>
      <c r="E1538" s="1" t="str">
        <f>IFERROR(__xludf.DUMMYFUNCTION("""COMPUTED_VALUE"""),"บิ๊กซี MINI")</f>
        <v>บิ๊กซี MINI</v>
      </c>
      <c r="F1538" s="1" t="str">
        <f>IFERROR(__xludf.DUMMYFUNCTION("""COMPUTED_VALUE"""),"2083447")</f>
        <v>2083447</v>
      </c>
      <c r="G1538" s="1" t="str">
        <f>IFERROR(__xludf.DUMMYFUNCTION("""COMPUTED_VALUE"""),"นายอนุกูล ศรีลัดดา")</f>
        <v>นายอนุกูล ศรีลัดดา</v>
      </c>
      <c r="H1538" s="1" t="str">
        <f>IFERROR(__xludf.DUMMYFUNCTION("""COMPUTED_VALUE"""),"259808")</f>
        <v>259808</v>
      </c>
      <c r="I1538" s="1" t="str">
        <f>IFERROR(__xludf.DUMMYFUNCTION("""COMPUTED_VALUE"""),"น.ส.สกุลรัตน์ พิกุลแก้ว")</f>
        <v>น.ส.สกุลรัตน์ พิกุลแก้ว</v>
      </c>
      <c r="J1538" s="3">
        <f>IFERROR(__xludf.DUMMYFUNCTION("""COMPUTED_VALUE"""),510143.0)</f>
        <v>510143</v>
      </c>
      <c r="K1538" s="3" t="str">
        <f>IFERROR(__xludf.DUMMYFUNCTION("""COMPUTED_VALUE"""),"นายธีระวัฒน์ บุญสิทธิ์")</f>
        <v>นายธีระวัฒน์ บุญสิทธิ์</v>
      </c>
      <c r="L1538" s="3" t="str">
        <f>IFERROR(__xludf.DUMMYFUNCTION("""COMPUTED_VALUE"""),"12 K.Theerawat B.")</f>
        <v>12 K.Theerawat B.</v>
      </c>
      <c r="M1538" s="1" t="str">
        <f>IFERROR(__xludf.DUMMYFUNCTION("""COMPUTED_VALUE"""),"0655107379")</f>
        <v>0655107379</v>
      </c>
      <c r="N1538" s="3">
        <f>IFERROR(__xludf.DUMMYFUNCTION("""COMPUTED_VALUE"""),21062.0)</f>
        <v>21062</v>
      </c>
      <c r="O1538" s="3" t="str">
        <f>IFERROR(__xludf.DUMMYFUNCTION("""COMPUTED_VALUE"""),"MBC นิคมนวนคร")</f>
        <v>MBC นิคมนวนคร</v>
      </c>
      <c r="P1538" s="4">
        <f>IFERROR(__xludf.DUMMYFUNCTION("""COMPUTED_VALUE"""),44124.0)</f>
        <v>44124</v>
      </c>
      <c r="Q1538" s="3" t="str">
        <f>IFERROR(__xludf.DUMMYFUNCTION("""COMPUTED_VALUE"""),"A")</f>
        <v>A</v>
      </c>
      <c r="R1538" s="3" t="str">
        <f>IFERROR(__xludf.DUMMYFUNCTION("""COMPUTED_VALUE"""),"Small Format")</f>
        <v>Small Format</v>
      </c>
      <c r="S1538" s="3" t="str">
        <f>IFERROR(__xludf.DUMMYFUNCTION("""COMPUTED_VALUE"""),"BCM")</f>
        <v>BCM</v>
      </c>
      <c r="T1538" s="3" t="str">
        <f>IFERROR(__xludf.DUMMYFUNCTION("""COMPUTED_VALUE"""),"#N/A")</f>
        <v>#N/A</v>
      </c>
      <c r="U1538" s="3" t="str">
        <f>IFERROR(__xludf.DUMMYFUNCTION("""COMPUTED_VALUE"""),"#N/A")</f>
        <v>#N/A</v>
      </c>
      <c r="V1538" s="3" t="str">
        <f>IFERROR(__xludf.DUMMYFUNCTION("""COMPUTED_VALUE"""),"N")</f>
        <v>N</v>
      </c>
      <c r="W1538" s="3">
        <f>IFERROR(__xludf.DUMMYFUNCTION("""COMPUTED_VALUE"""),210260.0)</f>
        <v>210260</v>
      </c>
      <c r="X1538" s="3" t="str">
        <f>IFERROR(__xludf.DUMMYFUNCTION("""COMPUTED_VALUE"""),"535 หมู่1 ตำบลแซร์ออ อำเภอวัฒนานคร จังหวัดสระแก้ว 27160")</f>
        <v>535 หมู่1 ตำบลแซร์ออ อำเภอวัฒนานคร จังหวัดสระแก้ว 27160</v>
      </c>
      <c r="Y1538" s="3"/>
      <c r="Z1538" s="3" t="str">
        <f>IFERROR(__xludf.DUMMYFUNCTION("""COMPUTED_VALUE"""),"แซร์ออ")</f>
        <v>แซร์ออ</v>
      </c>
      <c r="AA1538" s="3" t="str">
        <f>IFERROR(__xludf.DUMMYFUNCTION("""COMPUTED_VALUE"""),"วัฒนานคร")</f>
        <v>วัฒนานคร</v>
      </c>
      <c r="AB1538" s="3" t="str">
        <f>IFERROR(__xludf.DUMMYFUNCTION("""COMPUTED_VALUE"""),"สระแก้ว")</f>
        <v>สระแก้ว</v>
      </c>
      <c r="AC1538" s="3">
        <f>IFERROR(__xludf.DUMMYFUNCTION("""COMPUTED_VALUE"""),27160.0)</f>
        <v>27160</v>
      </c>
      <c r="AD1538" s="3">
        <f>IFERROR(__xludf.DUMMYFUNCTION("""COMPUTED_VALUE"""),13.904366)</f>
        <v>13.904366</v>
      </c>
      <c r="AE1538" s="3">
        <f>IFERROR(__xludf.DUMMYFUNCTION("""COMPUTED_VALUE"""),102.520066)</f>
        <v>102.520066</v>
      </c>
      <c r="AF1538" s="3" t="str">
        <f>IFERROR(__xludf.DUMMYFUNCTION("""COMPUTED_VALUE"""),"MBC บ้านแซร์ออ สระแก้ว-22223")</f>
        <v>MBC บ้านแซร์ออ สระแก้ว-22223</v>
      </c>
      <c r="AG1538" s="3" t="str">
        <f>IFERROR(__xludf.DUMMYFUNCTION("""COMPUTED_VALUE"""),"ตะวันออก")</f>
        <v>ตะวันออก</v>
      </c>
      <c r="AH1538" s="3" t="str">
        <f>IFERROR(__xludf.DUMMYFUNCTION("""COMPUTED_VALUE"""),"#N/A")</f>
        <v>#N/A</v>
      </c>
      <c r="AI1538" s="3" t="str">
        <f>IFERROR(__xludf.DUMMYFUNCTION("""COMPUTED_VALUE"""),"Out of warranty")</f>
        <v>Out of warranty</v>
      </c>
      <c r="AJ1538" s="3">
        <f>IFERROR(__xludf.DUMMYFUNCTION("""COMPUTED_VALUE"""),64.0)</f>
        <v>64</v>
      </c>
      <c r="AK1538" s="3" t="str">
        <f>IFERROR(__xludf.DUMMYFUNCTION("""COMPUTED_VALUE"""),"MMS08")</f>
        <v>MMS08</v>
      </c>
      <c r="AL1538" s="3"/>
    </row>
    <row r="1539" ht="15.75" customHeight="1">
      <c r="A1539" s="1" t="str">
        <f>IFERROR(__xludf.DUMMYFUNCTION("""COMPUTED_VALUE"""),"22224")</f>
        <v>22224</v>
      </c>
      <c r="B1539" s="2">
        <f>IFERROR(__xludf.DUMMYFUNCTION("""COMPUTED_VALUE"""),22224.0)</f>
        <v>22224</v>
      </c>
      <c r="C1539" s="3" t="str">
        <f>IFERROR(__xludf.DUMMYFUNCTION("""COMPUTED_VALUE"""),"MBC ลิ่นถิ่น กาญจนบุรี")</f>
        <v>MBC ลิ่นถิ่น กาญจนบุรี</v>
      </c>
      <c r="D1539" s="3" t="str">
        <f>IFERROR(__xludf.DUMMYFUNCTION("""COMPUTED_VALUE"""),"BCM LIN THIN KANCHANABURI")</f>
        <v>BCM LIN THIN KANCHANABURI</v>
      </c>
      <c r="E1539" s="1" t="str">
        <f>IFERROR(__xludf.DUMMYFUNCTION("""COMPUTED_VALUE"""),"บิ๊กซี MINI")</f>
        <v>บิ๊กซี MINI</v>
      </c>
      <c r="F1539" s="1" t="str">
        <f>IFERROR(__xludf.DUMMYFUNCTION("""COMPUTED_VALUE"""),"2083447")</f>
        <v>2083447</v>
      </c>
      <c r="G1539" s="1" t="str">
        <f>IFERROR(__xludf.DUMMYFUNCTION("""COMPUTED_VALUE"""),"นายอนุกูล ศรีลัดดา")</f>
        <v>นายอนุกูล ศรีลัดดา</v>
      </c>
      <c r="H1539" s="1" t="str">
        <f>IFERROR(__xludf.DUMMYFUNCTION("""COMPUTED_VALUE"""),"391191")</f>
        <v>391191</v>
      </c>
      <c r="I1539" s="1" t="str">
        <f>IFERROR(__xludf.DUMMYFUNCTION("""COMPUTED_VALUE"""),"นายวสันต์ สรงพรมทิพย์")</f>
        <v>นายวสันต์ สรงพรมทิพย์</v>
      </c>
      <c r="J1539" s="3">
        <f>IFERROR(__xludf.DUMMYFUNCTION("""COMPUTED_VALUE"""),2451655.0)</f>
        <v>2451655</v>
      </c>
      <c r="K1539" s="3" t="str">
        <f>IFERROR(__xludf.DUMMYFUNCTION("""COMPUTED_VALUE"""),"นายวิษณุพงษ์ ชินบุตร")</f>
        <v>นายวิษณุพงษ์ ชินบุตร</v>
      </c>
      <c r="L1539" s="3" t="str">
        <f>IFERROR(__xludf.DUMMYFUNCTION("""COMPUTED_VALUE"""),"13 K.Wisanupong Ch")</f>
        <v>13 K.Wisanupong Ch</v>
      </c>
      <c r="M1539" s="1" t="str">
        <f>IFERROR(__xludf.DUMMYFUNCTION("""COMPUTED_VALUE"""),"0843374693")</f>
        <v>0843374693</v>
      </c>
      <c r="N1539" s="3">
        <f>IFERROR(__xludf.DUMMYFUNCTION("""COMPUTED_VALUE"""),21013.0)</f>
        <v>21013</v>
      </c>
      <c r="O1539" s="3" t="str">
        <f>IFERROR(__xludf.DUMMYFUNCTION("""COMPUTED_VALUE"""),"MBC รังสิตคลอง2")</f>
        <v>MBC รังสิตคลอง2</v>
      </c>
      <c r="P1539" s="4">
        <f>IFERROR(__xludf.DUMMYFUNCTION("""COMPUTED_VALUE"""),44128.0)</f>
        <v>44128</v>
      </c>
      <c r="Q1539" s="3" t="str">
        <f>IFERROR(__xludf.DUMMYFUNCTION("""COMPUTED_VALUE"""),"I")</f>
        <v>I</v>
      </c>
      <c r="R1539" s="3" t="str">
        <f>IFERROR(__xludf.DUMMYFUNCTION("""COMPUTED_VALUE"""),"Small Format")</f>
        <v>Small Format</v>
      </c>
      <c r="S1539" s="3" t="str">
        <f>IFERROR(__xludf.DUMMYFUNCTION("""COMPUTED_VALUE"""),"BCM")</f>
        <v>BCM</v>
      </c>
      <c r="T1539" s="3" t="str">
        <f>IFERROR(__xludf.DUMMYFUNCTION("""COMPUTED_VALUE"""),"#N/A")</f>
        <v>#N/A</v>
      </c>
      <c r="U1539" s="3" t="str">
        <f>IFERROR(__xludf.DUMMYFUNCTION("""COMPUTED_VALUE"""),"#N/A")</f>
        <v>#N/A</v>
      </c>
      <c r="V1539" s="3" t="str">
        <f>IFERROR(__xludf.DUMMYFUNCTION("""COMPUTED_VALUE"""),"N")</f>
        <v>N</v>
      </c>
      <c r="W1539" s="3">
        <f>IFERROR(__xludf.DUMMYFUNCTION("""COMPUTED_VALUE"""),210263.0)</f>
        <v>210263</v>
      </c>
      <c r="X1539" s="3" t="str">
        <f>IFERROR(__xludf.DUMMYFUNCTION("""COMPUTED_VALUE"""),"18/15 หมู่4 ตำบลลิ่นถิ่น อำเภอทองผาภูมิ จังหวัดกาญจนบุรี 71180")</f>
        <v>18/15 หมู่4 ตำบลลิ่นถิ่น อำเภอทองผาภูมิ จังหวัดกาญจนบุรี 71180</v>
      </c>
      <c r="Y1539" s="3"/>
      <c r="Z1539" s="3" t="str">
        <f>IFERROR(__xludf.DUMMYFUNCTION("""COMPUTED_VALUE"""),"ลิ่นถิ่น")</f>
        <v>ลิ่นถิ่น</v>
      </c>
      <c r="AA1539" s="3" t="str">
        <f>IFERROR(__xludf.DUMMYFUNCTION("""COMPUTED_VALUE"""),"ทองผาภูมิ")</f>
        <v>ทองผาภูมิ</v>
      </c>
      <c r="AB1539" s="3" t="str">
        <f>IFERROR(__xludf.DUMMYFUNCTION("""COMPUTED_VALUE"""),"กาญจนบุรี")</f>
        <v>กาญจนบุรี</v>
      </c>
      <c r="AC1539" s="3">
        <f>IFERROR(__xludf.DUMMYFUNCTION("""COMPUTED_VALUE"""),71180.0)</f>
        <v>71180</v>
      </c>
      <c r="AD1539" s="3">
        <f>IFERROR(__xludf.DUMMYFUNCTION("""COMPUTED_VALUE"""),14.543761)</f>
        <v>14.543761</v>
      </c>
      <c r="AE1539" s="3">
        <f>IFERROR(__xludf.DUMMYFUNCTION("""COMPUTED_VALUE"""),98.791567)</f>
        <v>98.791567</v>
      </c>
      <c r="AF1539" s="3" t="str">
        <f>IFERROR(__xludf.DUMMYFUNCTION("""COMPUTED_VALUE"""),"MBC ลิ่นถิ่น กาญจนบุรี-22224")</f>
        <v>MBC ลิ่นถิ่น กาญจนบุรี-22224</v>
      </c>
      <c r="AG1539" s="3" t="str">
        <f>IFERROR(__xludf.DUMMYFUNCTION("""COMPUTED_VALUE"""),"ตะวันตก")</f>
        <v>ตะวันตก</v>
      </c>
      <c r="AH1539" s="3" t="str">
        <f>IFERROR(__xludf.DUMMYFUNCTION("""COMPUTED_VALUE"""),"#N/A")</f>
        <v>#N/A</v>
      </c>
      <c r="AI1539" s="3" t="str">
        <f>IFERROR(__xludf.DUMMYFUNCTION("""COMPUTED_VALUE"""),"Out of warranty")</f>
        <v>Out of warranty</v>
      </c>
      <c r="AJ1539" s="3">
        <f>IFERROR(__xludf.DUMMYFUNCTION("""COMPUTED_VALUE"""),63.0)</f>
        <v>63</v>
      </c>
      <c r="AK1539" s="3" t="str">
        <f>IFERROR(__xludf.DUMMYFUNCTION("""COMPUTED_VALUE"""),"MMS05")</f>
        <v>MMS05</v>
      </c>
      <c r="AL1539" s="3"/>
    </row>
    <row r="1540" ht="15.75" customHeight="1">
      <c r="A1540" s="1" t="str">
        <f>IFERROR(__xludf.DUMMYFUNCTION("""COMPUTED_VALUE"""),"22225")</f>
        <v>22225</v>
      </c>
      <c r="B1540" s="2">
        <f>IFERROR(__xludf.DUMMYFUNCTION("""COMPUTED_VALUE"""),22225.0)</f>
        <v>22225</v>
      </c>
      <c r="C1540" s="3" t="str">
        <f>IFERROR(__xludf.DUMMYFUNCTION("""COMPUTED_VALUE"""),"MBC ตลาดสดนับอนุสรณ์ นครศรีธรรมราช")</f>
        <v>MBC ตลาดสดนับอนุสรณ์ นครศรีธรรมราช</v>
      </c>
      <c r="D1540" s="3" t="str">
        <f>IFERROR(__xludf.DUMMYFUNCTION("""COMPUTED_VALUE"""),"BCM TALAD SOD NAB ANUSORN")</f>
        <v>BCM TALAD SOD NAB ANUSORN</v>
      </c>
      <c r="E1540" s="1" t="str">
        <f>IFERROR(__xludf.DUMMYFUNCTION("""COMPUTED_VALUE"""),"บิ๊กซี MINI")</f>
        <v>บิ๊กซี MINI</v>
      </c>
      <c r="F1540" s="1" t="str">
        <f>IFERROR(__xludf.DUMMYFUNCTION("""COMPUTED_VALUE"""),"250760")</f>
        <v>250760</v>
      </c>
      <c r="G1540" s="1" t="str">
        <f>IFERROR(__xludf.DUMMYFUNCTION("""COMPUTED_VALUE"""),"นายประทวน สาราบรรณ์")</f>
        <v>นายประทวน สาราบรรณ์</v>
      </c>
      <c r="H1540" s="1" t="str">
        <f>IFERROR(__xludf.DUMMYFUNCTION("""COMPUTED_VALUE"""),"356760")</f>
        <v>356760</v>
      </c>
      <c r="I1540" s="1" t="str">
        <f>IFERROR(__xludf.DUMMYFUNCTION("""COMPUTED_VALUE"""),"นายภูมิภัทร แก้วพรรณราย")</f>
        <v>นายภูมิภัทร แก้วพรรณราย</v>
      </c>
      <c r="J1540" s="3">
        <f>IFERROR(__xludf.DUMMYFUNCTION("""COMPUTED_VALUE"""),25324.0)</f>
        <v>25324</v>
      </c>
      <c r="K1540" s="3" t="str">
        <f>IFERROR(__xludf.DUMMYFUNCTION("""COMPUTED_VALUE"""),"นายวิเชฎฐ์ ติรัตนะประคม")</f>
        <v>นายวิเชฎฐ์ ติรัตนะประคม</v>
      </c>
      <c r="L1540" s="1" t="str">
        <f>IFERROR(__xludf.DUMMYFUNCTION("""COMPUTED_VALUE"""),"14 K.Wichet T.")</f>
        <v>14 K.Wichet T.</v>
      </c>
      <c r="M1540" s="1" t="str">
        <f>IFERROR(__xludf.DUMMYFUNCTION("""COMPUTED_VALUE"""),"061-417-6569 / 086-445-5636")</f>
        <v>061-417-6569 / 086-445-5636</v>
      </c>
      <c r="N1540" s="3">
        <f>IFERROR(__xludf.DUMMYFUNCTION("""COMPUTED_VALUE"""),22658.0)</f>
        <v>22658</v>
      </c>
      <c r="O1540" s="3" t="str">
        <f>IFERROR(__xludf.DUMMYFUNCTION("""COMPUTED_VALUE"""),"BCM ถ.วิรัชหงษ์หยก ภูเก็ต")</f>
        <v>BCM ถ.วิรัชหงษ์หยก ภูเก็ต</v>
      </c>
      <c r="P1540" s="4">
        <f>IFERROR(__xludf.DUMMYFUNCTION("""COMPUTED_VALUE"""),44129.0)</f>
        <v>44129</v>
      </c>
      <c r="Q1540" s="3" t="str">
        <f>IFERROR(__xludf.DUMMYFUNCTION("""COMPUTED_VALUE"""),"A")</f>
        <v>A</v>
      </c>
      <c r="R1540" s="3" t="str">
        <f>IFERROR(__xludf.DUMMYFUNCTION("""COMPUTED_VALUE"""),"Small Format")</f>
        <v>Small Format</v>
      </c>
      <c r="S1540" s="3" t="str">
        <f>IFERROR(__xludf.DUMMYFUNCTION("""COMPUTED_VALUE"""),"BCM")</f>
        <v>BCM</v>
      </c>
      <c r="T1540" s="3" t="str">
        <f>IFERROR(__xludf.DUMMYFUNCTION("""COMPUTED_VALUE"""),"#N/A")</f>
        <v>#N/A</v>
      </c>
      <c r="U1540" s="3" t="str">
        <f>IFERROR(__xludf.DUMMYFUNCTION("""COMPUTED_VALUE"""),"#N/A")</f>
        <v>#N/A</v>
      </c>
      <c r="V1540" s="3" t="str">
        <f>IFERROR(__xludf.DUMMYFUNCTION("""COMPUTED_VALUE"""),"N")</f>
        <v>N</v>
      </c>
      <c r="W1540" s="3">
        <f>IFERROR(__xludf.DUMMYFUNCTION("""COMPUTED_VALUE"""),210254.0)</f>
        <v>210254</v>
      </c>
      <c r="X1540" s="3" t="str">
        <f>IFERROR(__xludf.DUMMYFUNCTION("""COMPUTED_VALUE"""),"262 หมู่1 ตำบลท่าศาลา อำเภอท่าศาลา จังหวัดนครศรีธรรมราช 80160")</f>
        <v>262 หมู่1 ตำบลท่าศาลา อำเภอท่าศาลา จังหวัดนครศรีธรรมราช 80160</v>
      </c>
      <c r="Y1540" s="3"/>
      <c r="Z1540" s="3" t="str">
        <f>IFERROR(__xludf.DUMMYFUNCTION("""COMPUTED_VALUE"""),"ท่าศาลา")</f>
        <v>ท่าศาลา</v>
      </c>
      <c r="AA1540" s="3" t="str">
        <f>IFERROR(__xludf.DUMMYFUNCTION("""COMPUTED_VALUE"""),"ท่าศาลา")</f>
        <v>ท่าศาลา</v>
      </c>
      <c r="AB1540" s="3" t="str">
        <f>IFERROR(__xludf.DUMMYFUNCTION("""COMPUTED_VALUE"""),"นครศรีธรรมราช")</f>
        <v>นครศรีธรรมราช</v>
      </c>
      <c r="AC1540" s="3">
        <f>IFERROR(__xludf.DUMMYFUNCTION("""COMPUTED_VALUE"""),80160.0)</f>
        <v>80160</v>
      </c>
      <c r="AD1540" s="3">
        <f>IFERROR(__xludf.DUMMYFUNCTION("""COMPUTED_VALUE"""),8.665919)</f>
        <v>8.665919</v>
      </c>
      <c r="AE1540" s="3">
        <f>IFERROR(__xludf.DUMMYFUNCTION("""COMPUTED_VALUE"""),99.929892)</f>
        <v>99.929892</v>
      </c>
      <c r="AF1540" s="3" t="str">
        <f>IFERROR(__xludf.DUMMYFUNCTION("""COMPUTED_VALUE"""),"MBC ตลาดสดนับอนุสรณ์ นครศรีธรรมราช-22225")</f>
        <v>MBC ตลาดสดนับอนุสรณ์ นครศรีธรรมราช-22225</v>
      </c>
      <c r="AG1540" s="3" t="str">
        <f>IFERROR(__xludf.DUMMYFUNCTION("""COMPUTED_VALUE"""),"ใต้")</f>
        <v>ใต้</v>
      </c>
      <c r="AH1540" s="3" t="str">
        <f>IFERROR(__xludf.DUMMYFUNCTION("""COMPUTED_VALUE"""),"#N/A")</f>
        <v>#N/A</v>
      </c>
      <c r="AI1540" s="3" t="str">
        <f>IFERROR(__xludf.DUMMYFUNCTION("""COMPUTED_VALUE"""),"Out of warranty")</f>
        <v>Out of warranty</v>
      </c>
      <c r="AJ1540" s="3">
        <f>IFERROR(__xludf.DUMMYFUNCTION("""COMPUTED_VALUE"""),63.0)</f>
        <v>63</v>
      </c>
      <c r="AK1540" s="3" t="str">
        <f>IFERROR(__xludf.DUMMYFUNCTION("""COMPUTED_VALUE"""),"MMS15")</f>
        <v>MMS15</v>
      </c>
      <c r="AL1540" s="3"/>
    </row>
    <row r="1541" ht="15.75" customHeight="1">
      <c r="A1541" s="1" t="str">
        <f>IFERROR(__xludf.DUMMYFUNCTION("""COMPUTED_VALUE"""),"22226")</f>
        <v>22226</v>
      </c>
      <c r="B1541" s="2">
        <f>IFERROR(__xludf.DUMMYFUNCTION("""COMPUTED_VALUE"""),22226.0)</f>
        <v>22226</v>
      </c>
      <c r="C1541" s="3" t="str">
        <f>IFERROR(__xludf.DUMMYFUNCTION("""COMPUTED_VALUE"""),"MBC ชุมชนท่าเรือ อยุธยา")</f>
        <v>MBC ชุมชนท่าเรือ อยุธยา</v>
      </c>
      <c r="D1541" s="3" t="str">
        <f>IFERROR(__xludf.DUMMYFUNCTION("""COMPUTED_VALUE"""),"BCM CHUM CHON THA RUEA")</f>
        <v>BCM CHUM CHON THA RUEA</v>
      </c>
      <c r="E1541" s="1" t="str">
        <f>IFERROR(__xludf.DUMMYFUNCTION("""COMPUTED_VALUE"""),"บิ๊กซี MINI")</f>
        <v>บิ๊กซี MINI</v>
      </c>
      <c r="F1541" s="1" t="str">
        <f>IFERROR(__xludf.DUMMYFUNCTION("""COMPUTED_VALUE"""),"296229")</f>
        <v>296229</v>
      </c>
      <c r="G1541" s="1" t="str">
        <f>IFERROR(__xludf.DUMMYFUNCTION("""COMPUTED_VALUE"""),"นายทนงศักดิ์ บุญมา")</f>
        <v>นายทนงศักดิ์ บุญมา</v>
      </c>
      <c r="H1541" s="1" t="str">
        <f>IFERROR(__xludf.DUMMYFUNCTION("""COMPUTED_VALUE"""),"318233")</f>
        <v>318233</v>
      </c>
      <c r="I1541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1541" s="3">
        <f>IFERROR(__xludf.DUMMYFUNCTION("""COMPUTED_VALUE"""),46214.0)</f>
        <v>46214</v>
      </c>
      <c r="K1541" s="3" t="str">
        <f>IFERROR(__xludf.DUMMYFUNCTION("""COMPUTED_VALUE"""),"นายศักดิ์ชัย เด็ดดอกฟ้า")</f>
        <v>นายศักดิ์ชัย เด็ดดอกฟ้า</v>
      </c>
      <c r="L1541" s="1" t="str">
        <f>IFERROR(__xludf.DUMMYFUNCTION("""COMPUTED_VALUE"""),"02 K.Sakchai D")</f>
        <v>02 K.Sakchai D</v>
      </c>
      <c r="M1541" s="1" t="str">
        <f>IFERROR(__xludf.DUMMYFUNCTION("""COMPUTED_VALUE"""),"065-510-7376")</f>
        <v>065-510-7376</v>
      </c>
      <c r="N1541" s="3">
        <f>IFERROR(__xludf.DUMMYFUNCTION("""COMPUTED_VALUE"""),21714.0)</f>
        <v>21714</v>
      </c>
      <c r="O1541" s="3" t="str">
        <f>IFERROR(__xludf.DUMMYFUNCTION("""COMPUTED_VALUE"""),"MBC เอสโซ่ วัดโบสถ์")</f>
        <v>MBC เอสโซ่ วัดโบสถ์</v>
      </c>
      <c r="P1541" s="4">
        <f>IFERROR(__xludf.DUMMYFUNCTION("""COMPUTED_VALUE"""),44125.0)</f>
        <v>44125</v>
      </c>
      <c r="Q1541" s="3" t="str">
        <f>IFERROR(__xludf.DUMMYFUNCTION("""COMPUTED_VALUE"""),"A")</f>
        <v>A</v>
      </c>
      <c r="R1541" s="3" t="str">
        <f>IFERROR(__xludf.DUMMYFUNCTION("""COMPUTED_VALUE"""),"Small Format")</f>
        <v>Small Format</v>
      </c>
      <c r="S1541" s="3" t="str">
        <f>IFERROR(__xludf.DUMMYFUNCTION("""COMPUTED_VALUE"""),"BCM")</f>
        <v>BCM</v>
      </c>
      <c r="T1541" s="3" t="str">
        <f>IFERROR(__xludf.DUMMYFUNCTION("""COMPUTED_VALUE"""),"#N/A")</f>
        <v>#N/A</v>
      </c>
      <c r="U1541" s="3" t="str">
        <f>IFERROR(__xludf.DUMMYFUNCTION("""COMPUTED_VALUE"""),"#N/A")</f>
        <v>#N/A</v>
      </c>
      <c r="V1541" s="3" t="str">
        <f>IFERROR(__xludf.DUMMYFUNCTION("""COMPUTED_VALUE"""),"N")</f>
        <v>N</v>
      </c>
      <c r="W1541" s="3">
        <f>IFERROR(__xludf.DUMMYFUNCTION("""COMPUTED_VALUE"""),210253.0)</f>
        <v>210253</v>
      </c>
      <c r="X1541" s="3" t="str">
        <f>IFERROR(__xludf.DUMMYFUNCTION("""COMPUTED_VALUE"""),"651/2 ถนนท่าเรือ-ท่าลาน ตำบลท่าเรือ อำเภอท่าเรือ จังหวัดพระนครศรีอยุธยา 13130")</f>
        <v>651/2 ถนนท่าเรือ-ท่าลาน ตำบลท่าเรือ อำเภอท่าเรือ จังหวัดพระนครศรีอยุธยา 13130</v>
      </c>
      <c r="Y1541" s="3"/>
      <c r="Z1541" s="3" t="str">
        <f>IFERROR(__xludf.DUMMYFUNCTION("""COMPUTED_VALUE"""),"ท่าเรือ")</f>
        <v>ท่าเรือ</v>
      </c>
      <c r="AA1541" s="3" t="str">
        <f>IFERROR(__xludf.DUMMYFUNCTION("""COMPUTED_VALUE"""),"ท่าเรือ")</f>
        <v>ท่าเรือ</v>
      </c>
      <c r="AB1541" s="3" t="str">
        <f>IFERROR(__xludf.DUMMYFUNCTION("""COMPUTED_VALUE"""),"พระนครศรีอยุธยา")</f>
        <v>พระนครศรีอยุธยา</v>
      </c>
      <c r="AC1541" s="3">
        <f>IFERROR(__xludf.DUMMYFUNCTION("""COMPUTED_VALUE"""),13130.0)</f>
        <v>13130</v>
      </c>
      <c r="AD1541" s="3">
        <f>IFERROR(__xludf.DUMMYFUNCTION("""COMPUTED_VALUE"""),14.563265)</f>
        <v>14.563265</v>
      </c>
      <c r="AE1541" s="3">
        <f>IFERROR(__xludf.DUMMYFUNCTION("""COMPUTED_VALUE"""),100.719888)</f>
        <v>100.719888</v>
      </c>
      <c r="AF1541" s="3" t="str">
        <f>IFERROR(__xludf.DUMMYFUNCTION("""COMPUTED_VALUE"""),"MBC ชุมชนท่าเรือ อยุธยา-22226")</f>
        <v>MBC ชุมชนท่าเรือ อยุธยา-22226</v>
      </c>
      <c r="AG1541" s="3" t="str">
        <f>IFERROR(__xludf.DUMMYFUNCTION("""COMPUTED_VALUE"""),"กลาง")</f>
        <v>กลาง</v>
      </c>
      <c r="AH1541" s="3" t="str">
        <f>IFERROR(__xludf.DUMMYFUNCTION("""COMPUTED_VALUE"""),"#N/A")</f>
        <v>#N/A</v>
      </c>
      <c r="AI1541" s="3" t="str">
        <f>IFERROR(__xludf.DUMMYFUNCTION("""COMPUTED_VALUE"""),"Out of warranty")</f>
        <v>Out of warranty</v>
      </c>
      <c r="AJ1541" s="3">
        <f>IFERROR(__xludf.DUMMYFUNCTION("""COMPUTED_VALUE"""),63.0)</f>
        <v>63</v>
      </c>
      <c r="AK1541" s="3" t="str">
        <f>IFERROR(__xludf.DUMMYFUNCTION("""COMPUTED_VALUE"""),"MMS09")</f>
        <v>MMS09</v>
      </c>
      <c r="AL1541" s="3"/>
    </row>
    <row r="1542" ht="15.75" customHeight="1">
      <c r="A1542" s="1" t="str">
        <f>IFERROR(__xludf.DUMMYFUNCTION("""COMPUTED_VALUE"""),"22227")</f>
        <v>22227</v>
      </c>
      <c r="B1542" s="2">
        <f>IFERROR(__xludf.DUMMYFUNCTION("""COMPUTED_VALUE"""),22227.0)</f>
        <v>22227</v>
      </c>
      <c r="C1542" s="3" t="str">
        <f>IFERROR(__xludf.DUMMYFUNCTION("""COMPUTED_VALUE"""),"MBC ด่านขุนทด นครราชสีมา")</f>
        <v>MBC ด่านขุนทด นครราชสีมา</v>
      </c>
      <c r="D1542" s="3" t="str">
        <f>IFERROR(__xludf.DUMMYFUNCTION("""COMPUTED_VALUE"""),"BCM DANKHUNTOD")</f>
        <v>BCM DANKHUNTOD</v>
      </c>
      <c r="E1542" s="1" t="str">
        <f>IFERROR(__xludf.DUMMYFUNCTION("""COMPUTED_VALUE"""),"บิ๊กซี MINI")</f>
        <v>บิ๊กซี MINI</v>
      </c>
      <c r="F1542" s="1" t="str">
        <f>IFERROR(__xludf.DUMMYFUNCTION("""COMPUTED_VALUE"""),"291105")</f>
        <v>291105</v>
      </c>
      <c r="G1542" s="1" t="str">
        <f>IFERROR(__xludf.DUMMYFUNCTION("""COMPUTED_VALUE"""),"นายสราวุฒิ พณิชยกุล")</f>
        <v>นายสราวุฒิ พณิชยกุล</v>
      </c>
      <c r="H1542" s="1" t="str">
        <f>IFERROR(__xludf.DUMMYFUNCTION("""COMPUTED_VALUE"""),"392433")</f>
        <v>392433</v>
      </c>
      <c r="I1542" s="1" t="str">
        <f>IFERROR(__xludf.DUMMYFUNCTION("""COMPUTED_VALUE"""),"นายพรธิวา ใจอ่อน")</f>
        <v>นายพรธิวา ใจอ่อน</v>
      </c>
      <c r="J1542" s="3">
        <f>IFERROR(__xludf.DUMMYFUNCTION("""COMPUTED_VALUE"""),295886.0)</f>
        <v>295886</v>
      </c>
      <c r="K1542" s="3" t="str">
        <f>IFERROR(__xludf.DUMMYFUNCTION("""COMPUTED_VALUE"""),"นายจิระพงษ์ โพธิ์นิล")</f>
        <v>นายจิระพงษ์ โพธิ์นิล</v>
      </c>
      <c r="L1542" s="1" t="str">
        <f>IFERROR(__xludf.DUMMYFUNCTION("""COMPUTED_VALUE"""),"นายจิระพงษ์ โพธิ์นิล")</f>
        <v>นายจิระพงษ์ โพธิ์นิล</v>
      </c>
      <c r="M1542" s="1" t="str">
        <f>IFERROR(__xludf.DUMMYFUNCTION("""COMPUTED_VALUE"""),"0933290754")</f>
        <v>0933290754</v>
      </c>
      <c r="N1542" s="3">
        <f>IFERROR(__xludf.DUMMYFUNCTION("""COMPUTED_VALUE"""),21622.0)</f>
        <v>21622</v>
      </c>
      <c r="O1542" s="3" t="str">
        <f>IFERROR(__xludf.DUMMYFUNCTION("""COMPUTED_VALUE"""),"MBC ตลาดบ้านดอน")</f>
        <v>MBC ตลาดบ้านดอน</v>
      </c>
      <c r="P1542" s="4">
        <f>IFERROR(__xludf.DUMMYFUNCTION("""COMPUTED_VALUE"""),44125.0)</f>
        <v>44125</v>
      </c>
      <c r="Q1542" s="3" t="str">
        <f>IFERROR(__xludf.DUMMYFUNCTION("""COMPUTED_VALUE"""),"I")</f>
        <v>I</v>
      </c>
      <c r="R1542" s="3" t="str">
        <f>IFERROR(__xludf.DUMMYFUNCTION("""COMPUTED_VALUE"""),"Small Format")</f>
        <v>Small Format</v>
      </c>
      <c r="S1542" s="3" t="str">
        <f>IFERROR(__xludf.DUMMYFUNCTION("""COMPUTED_VALUE"""),"BCM")</f>
        <v>BCM</v>
      </c>
      <c r="T1542" s="3" t="str">
        <f>IFERROR(__xludf.DUMMYFUNCTION("""COMPUTED_VALUE"""),"#N/A")</f>
        <v>#N/A</v>
      </c>
      <c r="U1542" s="3" t="str">
        <f>IFERROR(__xludf.DUMMYFUNCTION("""COMPUTED_VALUE"""),"#N/A")</f>
        <v>#N/A</v>
      </c>
      <c r="V1542" s="3" t="str">
        <f>IFERROR(__xludf.DUMMYFUNCTION("""COMPUTED_VALUE"""),"N")</f>
        <v>N</v>
      </c>
      <c r="W1542" s="3">
        <f>IFERROR(__xludf.DUMMYFUNCTION("""COMPUTED_VALUE"""),210292.0)</f>
        <v>210292</v>
      </c>
      <c r="X1542" s="3" t="str">
        <f>IFERROR(__xludf.DUMMYFUNCTION("""COMPUTED_VALUE"""),"700 หมู่2 ตำบลด่านขุนทด อำเภอด่านขุนทด จังหวัดนครราชสีมา 30210")</f>
        <v>700 หมู่2 ตำบลด่านขุนทด อำเภอด่านขุนทด จังหวัดนครราชสีมา 30210</v>
      </c>
      <c r="Y1542" s="3"/>
      <c r="Z1542" s="3" t="str">
        <f>IFERROR(__xludf.DUMMYFUNCTION("""COMPUTED_VALUE"""),"ด่านขุนทด")</f>
        <v>ด่านขุนทด</v>
      </c>
      <c r="AA1542" s="3" t="str">
        <f>IFERROR(__xludf.DUMMYFUNCTION("""COMPUTED_VALUE"""),"ด่านขุนทด")</f>
        <v>ด่านขุนทด</v>
      </c>
      <c r="AB1542" s="3" t="str">
        <f>IFERROR(__xludf.DUMMYFUNCTION("""COMPUTED_VALUE"""),"นครราชสีมา")</f>
        <v>นครราชสีมา</v>
      </c>
      <c r="AC1542" s="3">
        <f>IFERROR(__xludf.DUMMYFUNCTION("""COMPUTED_VALUE"""),30210.0)</f>
        <v>30210</v>
      </c>
      <c r="AD1542" s="3">
        <f>IFERROR(__xludf.DUMMYFUNCTION("""COMPUTED_VALUE"""),15.208814)</f>
        <v>15.208814</v>
      </c>
      <c r="AE1542" s="3">
        <f>IFERROR(__xludf.DUMMYFUNCTION("""COMPUTED_VALUE"""),101.769337)</f>
        <v>101.769337</v>
      </c>
      <c r="AF1542" s="3" t="str">
        <f>IFERROR(__xludf.DUMMYFUNCTION("""COMPUTED_VALUE"""),"MBC ด่านขุนทด นครราชสีมา-22227")</f>
        <v>MBC ด่านขุนทด นครราชสีมา-22227</v>
      </c>
      <c r="AG1542" s="3" t="str">
        <f>IFERROR(__xludf.DUMMYFUNCTION("""COMPUTED_VALUE"""),"ตะวันออกเฉียงเหนือ")</f>
        <v>ตะวันออกเฉียงเหนือ</v>
      </c>
      <c r="AH1542" s="3" t="str">
        <f>IFERROR(__xludf.DUMMYFUNCTION("""COMPUTED_VALUE"""),"#N/A")</f>
        <v>#N/A</v>
      </c>
      <c r="AI1542" s="3" t="str">
        <f>IFERROR(__xludf.DUMMYFUNCTION("""COMPUTED_VALUE"""),"Out of warranty")</f>
        <v>Out of warranty</v>
      </c>
      <c r="AJ1542" s="3">
        <f>IFERROR(__xludf.DUMMYFUNCTION("""COMPUTED_VALUE"""),63.0)</f>
        <v>63</v>
      </c>
      <c r="AK1542" s="3" t="str">
        <f>IFERROR(__xludf.DUMMYFUNCTION("""COMPUTED_VALUE"""),"MMS11")</f>
        <v>MMS11</v>
      </c>
      <c r="AL1542" s="3"/>
    </row>
    <row r="1543" ht="15.75" customHeight="1">
      <c r="A1543" s="1" t="str">
        <f>IFERROR(__xludf.DUMMYFUNCTION("""COMPUTED_VALUE"""),"22228")</f>
        <v>22228</v>
      </c>
      <c r="B1543" s="2">
        <f>IFERROR(__xludf.DUMMYFUNCTION("""COMPUTED_VALUE"""),22228.0)</f>
        <v>22228</v>
      </c>
      <c r="C1543" s="3" t="str">
        <f>IFERROR(__xludf.DUMMYFUNCTION("""COMPUTED_VALUE"""),"MBC ถนนผังเมือง 5 ยะลา")</f>
        <v>MBC ถนนผังเมือง 5 ยะลา</v>
      </c>
      <c r="D1543" s="3" t="str">
        <f>IFERROR(__xludf.DUMMYFUNCTION("""COMPUTED_VALUE"""),"BCM THANON PHANG MEUANG 5")</f>
        <v>BCM THANON PHANG MEUANG 5</v>
      </c>
      <c r="E1543" s="1" t="str">
        <f>IFERROR(__xludf.DUMMYFUNCTION("""COMPUTED_VALUE"""),"บิ๊กซี MINI")</f>
        <v>บิ๊กซี MINI</v>
      </c>
      <c r="F1543" s="1" t="str">
        <f>IFERROR(__xludf.DUMMYFUNCTION("""COMPUTED_VALUE"""),"250760")</f>
        <v>250760</v>
      </c>
      <c r="G1543" s="1" t="str">
        <f>IFERROR(__xludf.DUMMYFUNCTION("""COMPUTED_VALUE"""),"นายประทวน สาราบรรณ์")</f>
        <v>นายประทวน สาราบรรณ์</v>
      </c>
      <c r="H1543" s="1" t="str">
        <f>IFERROR(__xludf.DUMMYFUNCTION("""COMPUTED_VALUE"""),"485279")</f>
        <v>485279</v>
      </c>
      <c r="I1543" s="1" t="str">
        <f>IFERROR(__xludf.DUMMYFUNCTION("""COMPUTED_VALUE"""),"นายสิริพงศ์ ชูชื่น")</f>
        <v>นายสิริพงศ์ ชูชื่น</v>
      </c>
      <c r="J1543" s="3">
        <f>IFERROR(__xludf.DUMMYFUNCTION("""COMPUTED_VALUE"""),2.0470331E7)</f>
        <v>20470331</v>
      </c>
      <c r="K1543" s="3" t="str">
        <f>IFERROR(__xludf.DUMMYFUNCTION("""COMPUTED_VALUE"""),"นายสมชาย ลักษณะสุวรรณ")</f>
        <v>นายสมชาย ลักษณะสุวรรณ</v>
      </c>
      <c r="L1543" s="1" t="str">
        <f>IFERROR(__xludf.DUMMYFUNCTION("""COMPUTED_VALUE"""),"15 K.Somchai L")</f>
        <v>15 K.Somchai L</v>
      </c>
      <c r="M1543" s="1" t="str">
        <f>IFERROR(__xludf.DUMMYFUNCTION("""COMPUTED_VALUE"""),"0655107372")</f>
        <v>0655107372</v>
      </c>
      <c r="N1543" s="3">
        <f>IFERROR(__xludf.DUMMYFUNCTION("""COMPUTED_VALUE"""),21723.0)</f>
        <v>21723</v>
      </c>
      <c r="O1543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543" s="4">
        <f>IFERROR(__xludf.DUMMYFUNCTION("""COMPUTED_VALUE"""),44127.0)</f>
        <v>44127</v>
      </c>
      <c r="Q1543" s="3" t="str">
        <f>IFERROR(__xludf.DUMMYFUNCTION("""COMPUTED_VALUE"""),"A")</f>
        <v>A</v>
      </c>
      <c r="R1543" s="3" t="str">
        <f>IFERROR(__xludf.DUMMYFUNCTION("""COMPUTED_VALUE"""),"Small Format")</f>
        <v>Small Format</v>
      </c>
      <c r="S1543" s="3" t="str">
        <f>IFERROR(__xludf.DUMMYFUNCTION("""COMPUTED_VALUE"""),"BCM")</f>
        <v>BCM</v>
      </c>
      <c r="T1543" s="3" t="str">
        <f>IFERROR(__xludf.DUMMYFUNCTION("""COMPUTED_VALUE"""),"#N/A")</f>
        <v>#N/A</v>
      </c>
      <c r="U1543" s="3" t="str">
        <f>IFERROR(__xludf.DUMMYFUNCTION("""COMPUTED_VALUE"""),"#N/A")</f>
        <v>#N/A</v>
      </c>
      <c r="V1543" s="3" t="str">
        <f>IFERROR(__xludf.DUMMYFUNCTION("""COMPUTED_VALUE"""),"N")</f>
        <v>N</v>
      </c>
      <c r="W1543" s="3">
        <f>IFERROR(__xludf.DUMMYFUNCTION("""COMPUTED_VALUE"""),210216.0)</f>
        <v>210216</v>
      </c>
      <c r="X1543" s="3" t="str">
        <f>IFERROR(__xludf.DUMMYFUNCTION("""COMPUTED_VALUE"""),"39/1 ถนนผังเมือง5 ตำบลสะเตง อำเภอเมืองยะลา จังหวัดยะลา 95000")</f>
        <v>39/1 ถนนผังเมือง5 ตำบลสะเตง อำเภอเมืองยะลา จังหวัดยะลา 95000</v>
      </c>
      <c r="Y1543" s="3"/>
      <c r="Z1543" s="3" t="str">
        <f>IFERROR(__xludf.DUMMYFUNCTION("""COMPUTED_VALUE"""),"สะเตง")</f>
        <v>สะเตง</v>
      </c>
      <c r="AA1543" s="3" t="str">
        <f>IFERROR(__xludf.DUMMYFUNCTION("""COMPUTED_VALUE"""),"เมือง")</f>
        <v>เมือง</v>
      </c>
      <c r="AB1543" s="3" t="str">
        <f>IFERROR(__xludf.DUMMYFUNCTION("""COMPUTED_VALUE"""),"ยะลา")</f>
        <v>ยะลา</v>
      </c>
      <c r="AC1543" s="3">
        <f>IFERROR(__xludf.DUMMYFUNCTION("""COMPUTED_VALUE"""),95000.0)</f>
        <v>95000</v>
      </c>
      <c r="AD1543" s="3">
        <f>IFERROR(__xludf.DUMMYFUNCTION("""COMPUTED_VALUE"""),6.538172)</f>
        <v>6.538172</v>
      </c>
      <c r="AE1543" s="3">
        <f>IFERROR(__xludf.DUMMYFUNCTION("""COMPUTED_VALUE"""),101.284975)</f>
        <v>101.284975</v>
      </c>
      <c r="AF1543" s="3" t="str">
        <f>IFERROR(__xludf.DUMMYFUNCTION("""COMPUTED_VALUE"""),"MBC ถนนผังเมือง 5 ยะลา-22228")</f>
        <v>MBC ถนนผังเมือง 5 ยะลา-22228</v>
      </c>
      <c r="AG1543" s="3" t="str">
        <f>IFERROR(__xludf.DUMMYFUNCTION("""COMPUTED_VALUE"""),"ใต้")</f>
        <v>ใต้</v>
      </c>
      <c r="AH1543" s="3" t="str">
        <f>IFERROR(__xludf.DUMMYFUNCTION("""COMPUTED_VALUE"""),"#N/A")</f>
        <v>#N/A</v>
      </c>
      <c r="AI1543" s="3" t="str">
        <f>IFERROR(__xludf.DUMMYFUNCTION("""COMPUTED_VALUE"""),"Out of warranty")</f>
        <v>Out of warranty</v>
      </c>
      <c r="AJ1543" s="3">
        <f>IFERROR(__xludf.DUMMYFUNCTION("""COMPUTED_VALUE"""),63.0)</f>
        <v>63</v>
      </c>
      <c r="AK1543" s="3" t="str">
        <f>IFERROR(__xludf.DUMMYFUNCTION("""COMPUTED_VALUE"""),"MMS16")</f>
        <v>MMS16</v>
      </c>
      <c r="AL1543" s="3"/>
    </row>
    <row r="1544" ht="15.75" customHeight="1">
      <c r="A1544" s="1" t="str">
        <f>IFERROR(__xludf.DUMMYFUNCTION("""COMPUTED_VALUE"""),"22229")</f>
        <v>22229</v>
      </c>
      <c r="B1544" s="2">
        <f>IFERROR(__xludf.DUMMYFUNCTION("""COMPUTED_VALUE"""),22229.0)</f>
        <v>22229</v>
      </c>
      <c r="C1544" s="3" t="str">
        <f>IFERROR(__xludf.DUMMYFUNCTION("""COMPUTED_VALUE"""),"MBC บางวัว ซ.4 ฉะเชิงเทรา")</f>
        <v>MBC บางวัว ซ.4 ฉะเชิงเทรา</v>
      </c>
      <c r="D1544" s="3" t="str">
        <f>IFERROR(__xludf.DUMMYFUNCTION("""COMPUTED_VALUE"""),"BCM BANG WUA SOI4")</f>
        <v>BCM BANG WUA SOI4</v>
      </c>
      <c r="E1544" s="1" t="str">
        <f>IFERROR(__xludf.DUMMYFUNCTION("""COMPUTED_VALUE"""),"บิ๊กซี MINI")</f>
        <v>บิ๊กซี MINI</v>
      </c>
      <c r="F1544" s="1" t="str">
        <f>IFERROR(__xludf.DUMMYFUNCTION("""COMPUTED_VALUE"""),"2083447")</f>
        <v>2083447</v>
      </c>
      <c r="G1544" s="1" t="str">
        <f>IFERROR(__xludf.DUMMYFUNCTION("""COMPUTED_VALUE"""),"นายอนุกูล ศรีลัดดา")</f>
        <v>นายอนุกูล ศรีลัดดา</v>
      </c>
      <c r="H1544" s="1" t="str">
        <f>IFERROR(__xludf.DUMMYFUNCTION("""COMPUTED_VALUE"""),"254957")</f>
        <v>254957</v>
      </c>
      <c r="I1544" s="1" t="str">
        <f>IFERROR(__xludf.DUMMYFUNCTION("""COMPUTED_VALUE"""),"น.ส.ศิริพร รุ่งธัญญา")</f>
        <v>น.ส.ศิริพร รุ่งธัญญา</v>
      </c>
      <c r="J1544" s="3">
        <f>IFERROR(__xludf.DUMMYFUNCTION("""COMPUTED_VALUE"""),510143.0)</f>
        <v>510143</v>
      </c>
      <c r="K1544" s="3" t="str">
        <f>IFERROR(__xludf.DUMMYFUNCTION("""COMPUTED_VALUE"""),"นายธีระวัฒน์ บุญสิทธิ์")</f>
        <v>นายธีระวัฒน์ บุญสิทธิ์</v>
      </c>
      <c r="L1544" s="1" t="str">
        <f>IFERROR(__xludf.DUMMYFUNCTION("""COMPUTED_VALUE"""),"12 K.Theerawat B.")</f>
        <v>12 K.Theerawat B.</v>
      </c>
      <c r="M1544" s="1" t="str">
        <f>IFERROR(__xludf.DUMMYFUNCTION("""COMPUTED_VALUE"""),"0655107379")</f>
        <v>0655107379</v>
      </c>
      <c r="N1544" s="3">
        <f>IFERROR(__xludf.DUMMYFUNCTION("""COMPUTED_VALUE"""),21062.0)</f>
        <v>21062</v>
      </c>
      <c r="O1544" s="3" t="str">
        <f>IFERROR(__xludf.DUMMYFUNCTION("""COMPUTED_VALUE"""),"MBC นิคมนวนคร")</f>
        <v>MBC นิคมนวนคร</v>
      </c>
      <c r="P1544" s="4">
        <f>IFERROR(__xludf.DUMMYFUNCTION("""COMPUTED_VALUE"""),44144.0)</f>
        <v>44144</v>
      </c>
      <c r="Q1544" s="3" t="str">
        <f>IFERROR(__xludf.DUMMYFUNCTION("""COMPUTED_VALUE"""),"A")</f>
        <v>A</v>
      </c>
      <c r="R1544" s="3" t="str">
        <f>IFERROR(__xludf.DUMMYFUNCTION("""COMPUTED_VALUE"""),"Small Format")</f>
        <v>Small Format</v>
      </c>
      <c r="S1544" s="3" t="str">
        <f>IFERROR(__xludf.DUMMYFUNCTION("""COMPUTED_VALUE"""),"BCM")</f>
        <v>BCM</v>
      </c>
      <c r="T1544" s="3" t="str">
        <f>IFERROR(__xludf.DUMMYFUNCTION("""COMPUTED_VALUE"""),"#N/A")</f>
        <v>#N/A</v>
      </c>
      <c r="U1544" s="3" t="str">
        <f>IFERROR(__xludf.DUMMYFUNCTION("""COMPUTED_VALUE"""),"#N/A")</f>
        <v>#N/A</v>
      </c>
      <c r="V1544" s="3" t="str">
        <f>IFERROR(__xludf.DUMMYFUNCTION("""COMPUTED_VALUE"""),"N")</f>
        <v>N</v>
      </c>
      <c r="W1544" s="3">
        <f>IFERROR(__xludf.DUMMYFUNCTION("""COMPUTED_VALUE"""),210238.0)</f>
        <v>210238</v>
      </c>
      <c r="X1544" s="3" t="str">
        <f>IFERROR(__xludf.DUMMYFUNCTION("""COMPUTED_VALUE"""),"11/7 หมู่9 ตำบลบางวัว อำเภอบางประกง จังหวัดฉะเชิงเทรา 24180")</f>
        <v>11/7 หมู่9 ตำบลบางวัว อำเภอบางประกง จังหวัดฉะเชิงเทรา 24180</v>
      </c>
      <c r="Y1544" s="3"/>
      <c r="Z1544" s="3" t="str">
        <f>IFERROR(__xludf.DUMMYFUNCTION("""COMPUTED_VALUE"""),"บางวัว")</f>
        <v>บางวัว</v>
      </c>
      <c r="AA1544" s="3" t="str">
        <f>IFERROR(__xludf.DUMMYFUNCTION("""COMPUTED_VALUE"""),"บางประกง")</f>
        <v>บางประกง</v>
      </c>
      <c r="AB1544" s="3" t="str">
        <f>IFERROR(__xludf.DUMMYFUNCTION("""COMPUTED_VALUE"""),"ฉะเชิงเทรา")</f>
        <v>ฉะเชิงเทรา</v>
      </c>
      <c r="AC1544" s="3">
        <f>IFERROR(__xludf.DUMMYFUNCTION("""COMPUTED_VALUE"""),24180.0)</f>
        <v>24180</v>
      </c>
      <c r="AD1544" s="3">
        <f>IFERROR(__xludf.DUMMYFUNCTION("""COMPUTED_VALUE"""),13.564332)</f>
        <v>13.564332</v>
      </c>
      <c r="AE1544" s="3">
        <f>IFERROR(__xludf.DUMMYFUNCTION("""COMPUTED_VALUE"""),100.957574)</f>
        <v>100.957574</v>
      </c>
      <c r="AF1544" s="3" t="str">
        <f>IFERROR(__xludf.DUMMYFUNCTION("""COMPUTED_VALUE"""),"MBC บางวัว ซ.4 ฉะเชิงเทรา-22229")</f>
        <v>MBC บางวัว ซ.4 ฉะเชิงเทรา-22229</v>
      </c>
      <c r="AG1544" s="3" t="str">
        <f>IFERROR(__xludf.DUMMYFUNCTION("""COMPUTED_VALUE"""),"ตะวันออก")</f>
        <v>ตะวันออก</v>
      </c>
      <c r="AH1544" s="3" t="str">
        <f>IFERROR(__xludf.DUMMYFUNCTION("""COMPUTED_VALUE"""),"#N/A")</f>
        <v>#N/A</v>
      </c>
      <c r="AI1544" s="3" t="str">
        <f>IFERROR(__xludf.DUMMYFUNCTION("""COMPUTED_VALUE"""),"Out of warranty")</f>
        <v>Out of warranty</v>
      </c>
      <c r="AJ1544" s="3">
        <f>IFERROR(__xludf.DUMMYFUNCTION("""COMPUTED_VALUE"""),63.0)</f>
        <v>63</v>
      </c>
      <c r="AK1544" s="3" t="str">
        <f>IFERROR(__xludf.DUMMYFUNCTION("""COMPUTED_VALUE"""),"MMS03")</f>
        <v>MMS03</v>
      </c>
      <c r="AL1544" s="3"/>
    </row>
    <row r="1545" ht="15.75" customHeight="1">
      <c r="A1545" s="1" t="str">
        <f>IFERROR(__xludf.DUMMYFUNCTION("""COMPUTED_VALUE"""),"22230")</f>
        <v>22230</v>
      </c>
      <c r="B1545" s="2">
        <f>IFERROR(__xludf.DUMMYFUNCTION("""COMPUTED_VALUE"""),22230.0)</f>
        <v>22230</v>
      </c>
      <c r="C1545" s="3" t="str">
        <f>IFERROR(__xludf.DUMMYFUNCTION("""COMPUTED_VALUE"""),"MBC หมู่บ้านเสรีอ่อนนุช กรุงเทพฯ")</f>
        <v>MBC หมู่บ้านเสรีอ่อนนุช กรุงเทพฯ</v>
      </c>
      <c r="D1545" s="3" t="str">
        <f>IFERROR(__xludf.DUMMYFUNCTION("""COMPUTED_VALUE"""),"BCM MOOBAN SERI ONNUT")</f>
        <v>BCM MOOBAN SERI ONNUT</v>
      </c>
      <c r="E1545" s="1" t="str">
        <f>IFERROR(__xludf.DUMMYFUNCTION("""COMPUTED_VALUE"""),"บิ๊กซี MINI")</f>
        <v>บิ๊กซี MINI</v>
      </c>
      <c r="F1545" s="1" t="str">
        <f>IFERROR(__xludf.DUMMYFUNCTION("""COMPUTED_VALUE"""),"291008")</f>
        <v>291008</v>
      </c>
      <c r="G1545" s="1" t="str">
        <f>IFERROR(__xludf.DUMMYFUNCTION("""COMPUTED_VALUE"""),"น.ส.รัชดาพร อีศรัตน์")</f>
        <v>น.ส.รัชดาพร อีศรัตน์</v>
      </c>
      <c r="H1545" s="1" t="str">
        <f>IFERROR(__xludf.DUMMYFUNCTION("""COMPUTED_VALUE"""),"359054")</f>
        <v>359054</v>
      </c>
      <c r="I1545" s="1" t="str">
        <f>IFERROR(__xludf.DUMMYFUNCTION("""COMPUTED_VALUE"""),"น.ส.กรรณิการ์ พุทธวงค์")</f>
        <v>น.ส.กรรณิการ์ พุทธวงค์</v>
      </c>
      <c r="J1545" s="3">
        <f>IFERROR(__xludf.DUMMYFUNCTION("""COMPUTED_VALUE"""),2452378.0)</f>
        <v>2452378</v>
      </c>
      <c r="K1545" s="3" t="str">
        <f>IFERROR(__xludf.DUMMYFUNCTION("""COMPUTED_VALUE"""),"นายศักดิ์ดา พวงประดับ")</f>
        <v>นายศักดิ์ดา พวงประดับ</v>
      </c>
      <c r="L1545" s="1" t="str">
        <f>IFERROR(__xludf.DUMMYFUNCTION("""COMPUTED_VALUE"""),"11 K.Sakda P.")</f>
        <v>11 K.Sakda P.</v>
      </c>
      <c r="M1545" s="1" t="str">
        <f>IFERROR(__xludf.DUMMYFUNCTION("""COMPUTED_VALUE"""),"065-929-1279")</f>
        <v>065-929-1279</v>
      </c>
      <c r="N1545" s="3">
        <f>IFERROR(__xludf.DUMMYFUNCTION("""COMPUTED_VALUE"""),21002.0)</f>
        <v>21002</v>
      </c>
      <c r="O1545" s="3" t="str">
        <f>IFERROR(__xludf.DUMMYFUNCTION("""COMPUTED_VALUE"""),"MBC อุดมสุข")</f>
        <v>MBC อุดมสุข</v>
      </c>
      <c r="P1545" s="4">
        <f>IFERROR(__xludf.DUMMYFUNCTION("""COMPUTED_VALUE"""),44128.0)</f>
        <v>44128</v>
      </c>
      <c r="Q1545" s="3" t="str">
        <f>IFERROR(__xludf.DUMMYFUNCTION("""COMPUTED_VALUE"""),"A")</f>
        <v>A</v>
      </c>
      <c r="R1545" s="3" t="str">
        <f>IFERROR(__xludf.DUMMYFUNCTION("""COMPUTED_VALUE"""),"Small Format")</f>
        <v>Small Format</v>
      </c>
      <c r="S1545" s="3" t="str">
        <f>IFERROR(__xludf.DUMMYFUNCTION("""COMPUTED_VALUE"""),"BCM")</f>
        <v>BCM</v>
      </c>
      <c r="T1545" s="3" t="str">
        <f>IFERROR(__xludf.DUMMYFUNCTION("""COMPUTED_VALUE"""),"#N/A")</f>
        <v>#N/A</v>
      </c>
      <c r="U1545" s="3" t="str">
        <f>IFERROR(__xludf.DUMMYFUNCTION("""COMPUTED_VALUE"""),"#N/A")</f>
        <v>#N/A</v>
      </c>
      <c r="V1545" s="3" t="str">
        <f>IFERROR(__xludf.DUMMYFUNCTION("""COMPUTED_VALUE"""),"N")</f>
        <v>N</v>
      </c>
      <c r="W1545" s="3">
        <f>IFERROR(__xludf.DUMMYFUNCTION("""COMPUTED_VALUE"""),210252.0)</f>
        <v>210252</v>
      </c>
      <c r="X1545" s="3" t="str">
        <f>IFERROR(__xludf.DUMMYFUNCTION("""COMPUTED_VALUE"""),"183 ซอยอ่อนนุช 70/1 แขวงประเวศ เขตประเวศ จังหวัดกรุงเทพมหานคร 10250")</f>
        <v>183 ซอยอ่อนนุช 70/1 แขวงประเวศ เขตประเวศ จังหวัดกรุงเทพมหานคร 10250</v>
      </c>
      <c r="Y1545" s="3" t="str">
        <f>IFERROR(__xludf.DUMMYFUNCTION("""COMPUTED_VALUE"""),"ซอยอ่อนนุช")</f>
        <v>ซอยอ่อนนุช</v>
      </c>
      <c r="Z1545" s="3" t="str">
        <f>IFERROR(__xludf.DUMMYFUNCTION("""COMPUTED_VALUE"""),"ประเวศ")</f>
        <v>ประเวศ</v>
      </c>
      <c r="AA1545" s="3" t="str">
        <f>IFERROR(__xludf.DUMMYFUNCTION("""COMPUTED_VALUE"""),"ประเวศ")</f>
        <v>ประเวศ</v>
      </c>
      <c r="AB1545" s="3" t="str">
        <f>IFERROR(__xludf.DUMMYFUNCTION("""COMPUTED_VALUE"""),"กรุงเทพมหานคร")</f>
        <v>กรุงเทพมหานคร</v>
      </c>
      <c r="AC1545" s="3">
        <f>IFERROR(__xludf.DUMMYFUNCTION("""COMPUTED_VALUE"""),10250.0)</f>
        <v>10250</v>
      </c>
      <c r="AD1545" s="3">
        <f>IFERROR(__xludf.DUMMYFUNCTION("""COMPUTED_VALUE"""),13.713232)</f>
        <v>13.713232</v>
      </c>
      <c r="AE1545" s="3">
        <f>IFERROR(__xludf.DUMMYFUNCTION("""COMPUTED_VALUE"""),100.657884)</f>
        <v>100.657884</v>
      </c>
      <c r="AF1545" s="3" t="str">
        <f>IFERROR(__xludf.DUMMYFUNCTION("""COMPUTED_VALUE"""),"MBC หมู่บ้านเสรีอ่อนนุช กรุงเทพฯ-22230")</f>
        <v>MBC หมู่บ้านเสรีอ่อนนุช กรุงเทพฯ-22230</v>
      </c>
      <c r="AG1545" s="3" t="str">
        <f>IFERROR(__xludf.DUMMYFUNCTION("""COMPUTED_VALUE"""),"กลาง")</f>
        <v>กลาง</v>
      </c>
      <c r="AH1545" s="3" t="str">
        <f>IFERROR(__xludf.DUMMYFUNCTION("""COMPUTED_VALUE"""),"#N/A")</f>
        <v>#N/A</v>
      </c>
      <c r="AI1545" s="3" t="str">
        <f>IFERROR(__xludf.DUMMYFUNCTION("""COMPUTED_VALUE"""),"Out of warranty")</f>
        <v>Out of warranty</v>
      </c>
      <c r="AJ1545" s="3">
        <f>IFERROR(__xludf.DUMMYFUNCTION("""COMPUTED_VALUE"""),63.0)</f>
        <v>63</v>
      </c>
      <c r="AK1545" s="3" t="str">
        <f>IFERROR(__xludf.DUMMYFUNCTION("""COMPUTED_VALUE"""),"MMS03")</f>
        <v>MMS03</v>
      </c>
      <c r="AL1545" s="3"/>
    </row>
    <row r="1546" ht="15.75" customHeight="1">
      <c r="A1546" s="1" t="str">
        <f>IFERROR(__xludf.DUMMYFUNCTION("""COMPUTED_VALUE"""),"22231")</f>
        <v>22231</v>
      </c>
      <c r="B1546" s="2">
        <f>IFERROR(__xludf.DUMMYFUNCTION("""COMPUTED_VALUE"""),22231.0)</f>
        <v>22231</v>
      </c>
      <c r="C1546" s="3" t="str">
        <f>IFERROR(__xludf.DUMMYFUNCTION("""COMPUTED_VALUE"""),"MBC ปากพนังตะวันออก นครศรีธรรมราช")</f>
        <v>MBC ปากพนังตะวันออก นครศรีธรรมราช</v>
      </c>
      <c r="D1546" s="3" t="str">
        <f>IFERROR(__xludf.DUMMYFUNCTION("""COMPUTED_VALUE"""),"BCM PAK PHANANG TAWAN-OK")</f>
        <v>BCM PAK PHANANG TAWAN-OK</v>
      </c>
      <c r="E1546" s="1" t="str">
        <f>IFERROR(__xludf.DUMMYFUNCTION("""COMPUTED_VALUE"""),"บิ๊กซี MINI")</f>
        <v>บิ๊กซี MINI</v>
      </c>
      <c r="F1546" s="1" t="str">
        <f>IFERROR(__xludf.DUMMYFUNCTION("""COMPUTED_VALUE"""),"250760")</f>
        <v>250760</v>
      </c>
      <c r="G1546" s="1" t="str">
        <f>IFERROR(__xludf.DUMMYFUNCTION("""COMPUTED_VALUE"""),"นายประทวน สาราบรรณ์")</f>
        <v>นายประทวน สาราบรรณ์</v>
      </c>
      <c r="H1546" s="1" t="str">
        <f>IFERROR(__xludf.DUMMYFUNCTION("""COMPUTED_VALUE"""),"394143")</f>
        <v>394143</v>
      </c>
      <c r="I1546" s="1" t="str">
        <f>IFERROR(__xludf.DUMMYFUNCTION("""COMPUTED_VALUE"""),"นายวิษณุ เพชรหัตถ์")</f>
        <v>นายวิษณุ เพชรหัตถ์</v>
      </c>
      <c r="J1546" s="3">
        <f>IFERROR(__xludf.DUMMYFUNCTION("""COMPUTED_VALUE"""),2.0470331E7)</f>
        <v>20470331</v>
      </c>
      <c r="K1546" s="3" t="str">
        <f>IFERROR(__xludf.DUMMYFUNCTION("""COMPUTED_VALUE"""),"นายสมชาย ลักษณะสุวรรณ")</f>
        <v>นายสมชาย ลักษณะสุวรรณ</v>
      </c>
      <c r="L1546" s="1" t="str">
        <f>IFERROR(__xludf.DUMMYFUNCTION("""COMPUTED_VALUE"""),"15 K.Somchai L")</f>
        <v>15 K.Somchai L</v>
      </c>
      <c r="M1546" s="1" t="str">
        <f>IFERROR(__xludf.DUMMYFUNCTION("""COMPUTED_VALUE"""),"0655107372")</f>
        <v>0655107372</v>
      </c>
      <c r="N1546" s="3">
        <f>IFERROR(__xludf.DUMMYFUNCTION("""COMPUTED_VALUE"""),21723.0)</f>
        <v>21723</v>
      </c>
      <c r="O1546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546" s="4">
        <f>IFERROR(__xludf.DUMMYFUNCTION("""COMPUTED_VALUE"""),44129.0)</f>
        <v>44129</v>
      </c>
      <c r="Q1546" s="3" t="str">
        <f>IFERROR(__xludf.DUMMYFUNCTION("""COMPUTED_VALUE"""),"A")</f>
        <v>A</v>
      </c>
      <c r="R1546" s="3" t="str">
        <f>IFERROR(__xludf.DUMMYFUNCTION("""COMPUTED_VALUE"""),"Small Format")</f>
        <v>Small Format</v>
      </c>
      <c r="S1546" s="3" t="str">
        <f>IFERROR(__xludf.DUMMYFUNCTION("""COMPUTED_VALUE"""),"BCM")</f>
        <v>BCM</v>
      </c>
      <c r="T1546" s="3" t="str">
        <f>IFERROR(__xludf.DUMMYFUNCTION("""COMPUTED_VALUE"""),"#N/A")</f>
        <v>#N/A</v>
      </c>
      <c r="U1546" s="3" t="str">
        <f>IFERROR(__xludf.DUMMYFUNCTION("""COMPUTED_VALUE"""),"#N/A")</f>
        <v>#N/A</v>
      </c>
      <c r="V1546" s="3" t="str">
        <f>IFERROR(__xludf.DUMMYFUNCTION("""COMPUTED_VALUE"""),"N")</f>
        <v>N</v>
      </c>
      <c r="W1546" s="3">
        <f>IFERROR(__xludf.DUMMYFUNCTION("""COMPUTED_VALUE"""),210265.0)</f>
        <v>210265</v>
      </c>
      <c r="X1546" s="3" t="str">
        <f>IFERROR(__xludf.DUMMYFUNCTION("""COMPUTED_VALUE"""),"37/2 ถนนชายน้ำ ตำบลปากพนัง อำเภอปากพนัง จังหวัดนครศรีธรรมราช 80140")</f>
        <v>37/2 ถนนชายน้ำ ตำบลปากพนัง อำเภอปากพนัง จังหวัดนครศรีธรรมราช 80140</v>
      </c>
      <c r="Y1546" s="3"/>
      <c r="Z1546" s="3" t="str">
        <f>IFERROR(__xludf.DUMMYFUNCTION("""COMPUTED_VALUE"""),"ปากพนัง")</f>
        <v>ปากพนัง</v>
      </c>
      <c r="AA1546" s="3" t="str">
        <f>IFERROR(__xludf.DUMMYFUNCTION("""COMPUTED_VALUE"""),"ปากพนัง")</f>
        <v>ปากพนัง</v>
      </c>
      <c r="AB1546" s="3" t="str">
        <f>IFERROR(__xludf.DUMMYFUNCTION("""COMPUTED_VALUE"""),"นครศรีธรรมราช")</f>
        <v>นครศรีธรรมราช</v>
      </c>
      <c r="AC1546" s="3">
        <f>IFERROR(__xludf.DUMMYFUNCTION("""COMPUTED_VALUE"""),80140.0)</f>
        <v>80140</v>
      </c>
      <c r="AD1546" s="3">
        <f>IFERROR(__xludf.DUMMYFUNCTION("""COMPUTED_VALUE"""),8.347851)</f>
        <v>8.347851</v>
      </c>
      <c r="AE1546" s="3">
        <f>IFERROR(__xludf.DUMMYFUNCTION("""COMPUTED_VALUE"""),100.199591)</f>
        <v>100.199591</v>
      </c>
      <c r="AF1546" s="3" t="str">
        <f>IFERROR(__xludf.DUMMYFUNCTION("""COMPUTED_VALUE"""),"MBC ปากพนังตะวันออก นครศรีธรรมราช-22231")</f>
        <v>MBC ปากพนังตะวันออก นครศรีธรรมราช-22231</v>
      </c>
      <c r="AG1546" s="3" t="str">
        <f>IFERROR(__xludf.DUMMYFUNCTION("""COMPUTED_VALUE"""),"ใต้")</f>
        <v>ใต้</v>
      </c>
      <c r="AH1546" s="3" t="str">
        <f>IFERROR(__xludf.DUMMYFUNCTION("""COMPUTED_VALUE"""),"#N/A")</f>
        <v>#N/A</v>
      </c>
      <c r="AI1546" s="3" t="str">
        <f>IFERROR(__xludf.DUMMYFUNCTION("""COMPUTED_VALUE"""),"Out of warranty")</f>
        <v>Out of warranty</v>
      </c>
      <c r="AJ1546" s="3">
        <f>IFERROR(__xludf.DUMMYFUNCTION("""COMPUTED_VALUE"""),63.0)</f>
        <v>63</v>
      </c>
      <c r="AK1546" s="3" t="str">
        <f>IFERROR(__xludf.DUMMYFUNCTION("""COMPUTED_VALUE"""),"MMS15")</f>
        <v>MMS15</v>
      </c>
      <c r="AL1546" s="3"/>
    </row>
    <row r="1547" ht="15.75" customHeight="1">
      <c r="A1547" s="1" t="str">
        <f>IFERROR(__xludf.DUMMYFUNCTION("""COMPUTED_VALUE"""),"22232")</f>
        <v>22232</v>
      </c>
      <c r="B1547" s="2">
        <f>IFERROR(__xludf.DUMMYFUNCTION("""COMPUTED_VALUE"""),22232.0)</f>
        <v>22232</v>
      </c>
      <c r="C1547" s="3" t="str">
        <f>IFERROR(__xludf.DUMMYFUNCTION("""COMPUTED_VALUE"""),"MBC บางใหญ่-บางคูลัด นนทบุรี")</f>
        <v>MBC บางใหญ่-บางคูลัด นนทบุรี</v>
      </c>
      <c r="D1547" s="3" t="str">
        <f>IFERROR(__xludf.DUMMYFUNCTION("""COMPUTED_VALUE"""),"BCM BANG YAI-BANG KHU RAT")</f>
        <v>BCM BANG YAI-BANG KHU RAT</v>
      </c>
      <c r="E1547" s="1" t="str">
        <f>IFERROR(__xludf.DUMMYFUNCTION("""COMPUTED_VALUE"""),"บิ๊กซี MINI")</f>
        <v>บิ๊กซี MINI</v>
      </c>
      <c r="F1547" s="1" t="str">
        <f>IFERROR(__xludf.DUMMYFUNCTION("""COMPUTED_VALUE"""),"291008")</f>
        <v>291008</v>
      </c>
      <c r="G1547" s="1" t="str">
        <f>IFERROR(__xludf.DUMMYFUNCTION("""COMPUTED_VALUE"""),"น.ส.รัชดาพร อีศรัตน์")</f>
        <v>น.ส.รัชดาพร อีศรัตน์</v>
      </c>
      <c r="H1547" s="1" t="str">
        <f>IFERROR(__xludf.DUMMYFUNCTION("""COMPUTED_VALUE"""),"180055")</f>
        <v>180055</v>
      </c>
      <c r="I1547" s="1" t="str">
        <f>IFERROR(__xludf.DUMMYFUNCTION("""COMPUTED_VALUE"""),"น.ส.สุดารัตน์ บุญล้ำ")</f>
        <v>น.ส.สุดารัตน์ บุญล้ำ</v>
      </c>
      <c r="J1547" s="3">
        <f>IFERROR(__xludf.DUMMYFUNCTION("""COMPUTED_VALUE"""),296608.0)</f>
        <v>296608</v>
      </c>
      <c r="K1547" s="3" t="str">
        <f>IFERROR(__xludf.DUMMYFUNCTION("""COMPUTED_VALUE"""),"นายภาคภูมิ เพ็ชรนิล")</f>
        <v>นายภาคภูมิ เพ็ชรนิล</v>
      </c>
      <c r="L1547" s="3" t="str">
        <f>IFERROR(__xludf.DUMMYFUNCTION("""COMPUTED_VALUE"""),"10 K.Phakphoom P.")</f>
        <v>10 K.Phakphoom P.</v>
      </c>
      <c r="M1547" s="1" t="str">
        <f>IFERROR(__xludf.DUMMYFUNCTION("""COMPUTED_VALUE"""),"063-8955329")</f>
        <v>063-8955329</v>
      </c>
      <c r="N1547" s="3">
        <f>IFERROR(__xludf.DUMMYFUNCTION("""COMPUTED_VALUE"""),22584.0)</f>
        <v>22584</v>
      </c>
      <c r="O1547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547" s="4">
        <f>IFERROR(__xludf.DUMMYFUNCTION("""COMPUTED_VALUE"""),44129.0)</f>
        <v>44129</v>
      </c>
      <c r="Q1547" s="3" t="str">
        <f>IFERROR(__xludf.DUMMYFUNCTION("""COMPUTED_VALUE"""),"A")</f>
        <v>A</v>
      </c>
      <c r="R1547" s="3" t="str">
        <f>IFERROR(__xludf.DUMMYFUNCTION("""COMPUTED_VALUE"""),"Small Format")</f>
        <v>Small Format</v>
      </c>
      <c r="S1547" s="3" t="str">
        <f>IFERROR(__xludf.DUMMYFUNCTION("""COMPUTED_VALUE"""),"BCM")</f>
        <v>BCM</v>
      </c>
      <c r="T1547" s="3" t="str">
        <f>IFERROR(__xludf.DUMMYFUNCTION("""COMPUTED_VALUE"""),"#N/A")</f>
        <v>#N/A</v>
      </c>
      <c r="U1547" s="3" t="str">
        <f>IFERROR(__xludf.DUMMYFUNCTION("""COMPUTED_VALUE"""),"#N/A")</f>
        <v>#N/A</v>
      </c>
      <c r="V1547" s="3" t="str">
        <f>IFERROR(__xludf.DUMMYFUNCTION("""COMPUTED_VALUE"""),"N")</f>
        <v>N</v>
      </c>
      <c r="W1547" s="3">
        <f>IFERROR(__xludf.DUMMYFUNCTION("""COMPUTED_VALUE"""),210246.0)</f>
        <v>210246</v>
      </c>
      <c r="X1547" s="3" t="str">
        <f>IFERROR(__xludf.DUMMYFUNCTION("""COMPUTED_VALUE"""),"24/3 หมู่3 ตำบลบางม่วง อำเภอบางใหญ่ จังหวัดนนทบุรี 11140")</f>
        <v>24/3 หมู่3 ตำบลบางม่วง อำเภอบางใหญ่ จังหวัดนนทบุรี 11140</v>
      </c>
      <c r="Y1547" s="3"/>
      <c r="Z1547" s="3" t="str">
        <f>IFERROR(__xludf.DUMMYFUNCTION("""COMPUTED_VALUE"""),"บางม่วง")</f>
        <v>บางม่วง</v>
      </c>
      <c r="AA1547" s="3" t="str">
        <f>IFERROR(__xludf.DUMMYFUNCTION("""COMPUTED_VALUE"""),"บางใหญ่")</f>
        <v>บางใหญ่</v>
      </c>
      <c r="AB1547" s="3" t="str">
        <f>IFERROR(__xludf.DUMMYFUNCTION("""COMPUTED_VALUE"""),"นนทบุรี")</f>
        <v>นนทบุรี</v>
      </c>
      <c r="AC1547" s="3">
        <f>IFERROR(__xludf.DUMMYFUNCTION("""COMPUTED_VALUE"""),11140.0)</f>
        <v>11140</v>
      </c>
      <c r="AD1547" s="3">
        <f>IFERROR(__xludf.DUMMYFUNCTION("""COMPUTED_VALUE"""),13.847998)</f>
        <v>13.847998</v>
      </c>
      <c r="AE1547" s="3">
        <f>IFERROR(__xludf.DUMMYFUNCTION("""COMPUTED_VALUE"""),100.416166)</f>
        <v>100.416166</v>
      </c>
      <c r="AF1547" s="3" t="str">
        <f>IFERROR(__xludf.DUMMYFUNCTION("""COMPUTED_VALUE"""),"MBC บางใหญ่-บางคูลัด นนทบุรี-22232")</f>
        <v>MBC บางใหญ่-บางคูลัด นนทบุรี-22232</v>
      </c>
      <c r="AG1547" s="3" t="str">
        <f>IFERROR(__xludf.DUMMYFUNCTION("""COMPUTED_VALUE"""),"กลาง")</f>
        <v>กลาง</v>
      </c>
      <c r="AH1547" s="3" t="str">
        <f>IFERROR(__xludf.DUMMYFUNCTION("""COMPUTED_VALUE"""),"#N/A")</f>
        <v>#N/A</v>
      </c>
      <c r="AI1547" s="3" t="str">
        <f>IFERROR(__xludf.DUMMYFUNCTION("""COMPUTED_VALUE"""),"Out of warranty")</f>
        <v>Out of warranty</v>
      </c>
      <c r="AJ1547" s="3">
        <f>IFERROR(__xludf.DUMMYFUNCTION("""COMPUTED_VALUE"""),63.0)</f>
        <v>63</v>
      </c>
      <c r="AK1547" s="3" t="str">
        <f>IFERROR(__xludf.DUMMYFUNCTION("""COMPUTED_VALUE"""),"MMS04")</f>
        <v>MMS04</v>
      </c>
      <c r="AL1547" s="3"/>
    </row>
    <row r="1548" ht="15.75" customHeight="1">
      <c r="A1548" s="1" t="str">
        <f>IFERROR(__xludf.DUMMYFUNCTION("""COMPUTED_VALUE"""),"22233")</f>
        <v>22233</v>
      </c>
      <c r="B1548" s="2">
        <f>IFERROR(__xludf.DUMMYFUNCTION("""COMPUTED_VALUE"""),22233.0)</f>
        <v>22233</v>
      </c>
      <c r="C1548" s="3" t="str">
        <f>IFERROR(__xludf.DUMMYFUNCTION("""COMPUTED_VALUE"""),"MBC ซอยร่วมใจสามัคคี กรุงเทพมหานคร")</f>
        <v>MBC ซอยร่วมใจสามัคคี กรุงเทพมหานคร</v>
      </c>
      <c r="D1548" s="3" t="str">
        <f>IFERROR(__xludf.DUMMYFUNCTION("""COMPUTED_VALUE"""),"BCM SOI RUAMJAI SAMAKKEE")</f>
        <v>BCM SOI RUAMJAI SAMAKKEE</v>
      </c>
      <c r="E1548" s="1" t="str">
        <f>IFERROR(__xludf.DUMMYFUNCTION("""COMPUTED_VALUE"""),"บิ๊กซี MINI")</f>
        <v>บิ๊กซี MINI</v>
      </c>
      <c r="F1548" s="1" t="str">
        <f>IFERROR(__xludf.DUMMYFUNCTION("""COMPUTED_VALUE"""),"291008")</f>
        <v>291008</v>
      </c>
      <c r="G1548" s="1" t="str">
        <f>IFERROR(__xludf.DUMMYFUNCTION("""COMPUTED_VALUE"""),"น.ส.รัชดาพร อีศรัตน์")</f>
        <v>น.ส.รัชดาพร อีศรัตน์</v>
      </c>
      <c r="H1548" s="1" t="str">
        <f>IFERROR(__xludf.DUMMYFUNCTION("""COMPUTED_VALUE"""),"288639")</f>
        <v>288639</v>
      </c>
      <c r="I1548" s="1" t="str">
        <f>IFERROR(__xludf.DUMMYFUNCTION("""COMPUTED_VALUE"""),"น.ส.สมหญิง สีชมภู")</f>
        <v>น.ส.สมหญิง สีชมภู</v>
      </c>
      <c r="J1548" s="3">
        <f>IFERROR(__xludf.DUMMYFUNCTION("""COMPUTED_VALUE"""),3510104.0)</f>
        <v>3510104</v>
      </c>
      <c r="K1548" s="3" t="str">
        <f>IFERROR(__xludf.DUMMYFUNCTION("""COMPUTED_VALUE"""),"นายวิโรจน์ อับดุลสมัด")</f>
        <v>นายวิโรจน์ อับดุลสมัด</v>
      </c>
      <c r="L1548" s="1" t="str">
        <f>IFERROR(__xludf.DUMMYFUNCTION("""COMPUTED_VALUE"""),"09 K.Wirode A")</f>
        <v>09 K.Wirode A</v>
      </c>
      <c r="M1548" s="1" t="str">
        <f>IFERROR(__xludf.DUMMYFUNCTION("""COMPUTED_VALUE"""),"080-235-4465")</f>
        <v>080-235-4465</v>
      </c>
      <c r="N1548" s="3">
        <f>IFERROR(__xludf.DUMMYFUNCTION("""COMPUTED_VALUE"""),21324.0)</f>
        <v>21324</v>
      </c>
      <c r="O1548" s="3" t="str">
        <f>IFERROR(__xludf.DUMMYFUNCTION("""COMPUTED_VALUE"""),"MBC BCP สุวินทวงศ์")</f>
        <v>MBC BCP สุวินทวงศ์</v>
      </c>
      <c r="P1548" s="4">
        <f>IFERROR(__xludf.DUMMYFUNCTION("""COMPUTED_VALUE"""),44130.0)</f>
        <v>44130</v>
      </c>
      <c r="Q1548" s="3" t="str">
        <f>IFERROR(__xludf.DUMMYFUNCTION("""COMPUTED_VALUE"""),"A")</f>
        <v>A</v>
      </c>
      <c r="R1548" s="3" t="str">
        <f>IFERROR(__xludf.DUMMYFUNCTION("""COMPUTED_VALUE"""),"Small Format")</f>
        <v>Small Format</v>
      </c>
      <c r="S1548" s="3" t="str">
        <f>IFERROR(__xludf.DUMMYFUNCTION("""COMPUTED_VALUE"""),"BCM")</f>
        <v>BCM</v>
      </c>
      <c r="T1548" s="3" t="str">
        <f>IFERROR(__xludf.DUMMYFUNCTION("""COMPUTED_VALUE"""),"#N/A")</f>
        <v>#N/A</v>
      </c>
      <c r="U1548" s="3" t="str">
        <f>IFERROR(__xludf.DUMMYFUNCTION("""COMPUTED_VALUE"""),"#N/A")</f>
        <v>#N/A</v>
      </c>
      <c r="V1548" s="3" t="str">
        <f>IFERROR(__xludf.DUMMYFUNCTION("""COMPUTED_VALUE"""),"N")</f>
        <v>N</v>
      </c>
      <c r="W1548" s="3">
        <f>IFERROR(__xludf.DUMMYFUNCTION("""COMPUTED_VALUE"""),210267.0)</f>
        <v>210267</v>
      </c>
      <c r="X1548" s="3" t="str">
        <f>IFERROR(__xludf.DUMMYFUNCTION("""COMPUTED_VALUE"""),"19/212 ซอยพหลโยธิน 54/1 แยก2(ก.ส.บ.) แขวงคลองถนน เขตสายไหม จังหวัดกรุงเทพมหานคร 10220")</f>
        <v>19/212 ซอยพหลโยธิน 54/1 แยก2(ก.ส.บ.) แขวงคลองถนน เขตสายไหม จังหวัดกรุงเทพมหานคร 10220</v>
      </c>
      <c r="Y1548" s="3" t="str">
        <f>IFERROR(__xludf.DUMMYFUNCTION("""COMPUTED_VALUE"""),"ซอยพหลโยธิน 54/1 แยก2(ก.ส.บ.)")</f>
        <v>ซอยพหลโยธิน 54/1 แยก2(ก.ส.บ.)</v>
      </c>
      <c r="Z1548" s="3" t="str">
        <f>IFERROR(__xludf.DUMMYFUNCTION("""COMPUTED_VALUE"""),"คลองถนน")</f>
        <v>คลองถนน</v>
      </c>
      <c r="AA1548" s="3" t="str">
        <f>IFERROR(__xludf.DUMMYFUNCTION("""COMPUTED_VALUE"""),"สายไหม")</f>
        <v>สายไหม</v>
      </c>
      <c r="AB1548" s="3" t="str">
        <f>IFERROR(__xludf.DUMMYFUNCTION("""COMPUTED_VALUE"""),"กรุงเทพมหานคร")</f>
        <v>กรุงเทพมหานคร</v>
      </c>
      <c r="AC1548" s="3">
        <f>IFERROR(__xludf.DUMMYFUNCTION("""COMPUTED_VALUE"""),10220.0)</f>
        <v>10220</v>
      </c>
      <c r="AD1548" s="3">
        <f>IFERROR(__xludf.DUMMYFUNCTION("""COMPUTED_VALUE"""),13.900267)</f>
        <v>13.900267</v>
      </c>
      <c r="AE1548" s="3">
        <f>IFERROR(__xludf.DUMMYFUNCTION("""COMPUTED_VALUE"""),100.618169)</f>
        <v>100.618169</v>
      </c>
      <c r="AF1548" s="3" t="str">
        <f>IFERROR(__xludf.DUMMYFUNCTION("""COMPUTED_VALUE"""),"MBC ซอยร่วมใจสามัคคี กรุงเทพมหานคร-22233")</f>
        <v>MBC ซอยร่วมใจสามัคคี กรุงเทพมหานคร-22233</v>
      </c>
      <c r="AG1548" s="3" t="str">
        <f>IFERROR(__xludf.DUMMYFUNCTION("""COMPUTED_VALUE"""),"กลาง")</f>
        <v>กลาง</v>
      </c>
      <c r="AH1548" s="3" t="str">
        <f>IFERROR(__xludf.DUMMYFUNCTION("""COMPUTED_VALUE"""),"#N/A")</f>
        <v>#N/A</v>
      </c>
      <c r="AI1548" s="3" t="str">
        <f>IFERROR(__xludf.DUMMYFUNCTION("""COMPUTED_VALUE"""),"Out of warranty")</f>
        <v>Out of warranty</v>
      </c>
      <c r="AJ1548" s="3">
        <f>IFERROR(__xludf.DUMMYFUNCTION("""COMPUTED_VALUE"""),63.0)</f>
        <v>63</v>
      </c>
      <c r="AK1548" s="3" t="str">
        <f>IFERROR(__xludf.DUMMYFUNCTION("""COMPUTED_VALUE"""),"MMS01")</f>
        <v>MMS01</v>
      </c>
      <c r="AL1548" s="3"/>
    </row>
    <row r="1549" ht="15.75" customHeight="1">
      <c r="A1549" s="1" t="str">
        <f>IFERROR(__xludf.DUMMYFUNCTION("""COMPUTED_VALUE"""),"22234")</f>
        <v>22234</v>
      </c>
      <c r="B1549" s="2">
        <f>IFERROR(__xludf.DUMMYFUNCTION("""COMPUTED_VALUE"""),22234.0)</f>
        <v>22234</v>
      </c>
      <c r="C1549" s="3" t="str">
        <f>IFERROR(__xludf.DUMMYFUNCTION("""COMPUTED_VALUE"""),"MBC โพธิ์ไทร อุบลราชธานี")</f>
        <v>MBC โพธิ์ไทร อุบลราชธานี</v>
      </c>
      <c r="D1549" s="3" t="str">
        <f>IFERROR(__xludf.DUMMYFUNCTION("""COMPUTED_VALUE"""),"BCM PHO SAI")</f>
        <v>BCM PHO SAI</v>
      </c>
      <c r="E1549" s="1" t="str">
        <f>IFERROR(__xludf.DUMMYFUNCTION("""COMPUTED_VALUE"""),"บิ๊กซี MINI")</f>
        <v>บิ๊กซี MINI</v>
      </c>
      <c r="F1549" s="1" t="str">
        <f>IFERROR(__xludf.DUMMYFUNCTION("""COMPUTED_VALUE"""),"291105")</f>
        <v>291105</v>
      </c>
      <c r="G1549" s="1" t="str">
        <f>IFERROR(__xludf.DUMMYFUNCTION("""COMPUTED_VALUE"""),"นายสราวุฒิ พณิชยกุล")</f>
        <v>นายสราวุฒิ พณิชยกุล</v>
      </c>
      <c r="H1549" s="1" t="str">
        <f>IFERROR(__xludf.DUMMYFUNCTION("""COMPUTED_VALUE"""),"250772")</f>
        <v>250772</v>
      </c>
      <c r="I1549" s="1" t="str">
        <f>IFERROR(__xludf.DUMMYFUNCTION("""COMPUTED_VALUE"""),"น.ส.วรุณยุพา จรูญไธสง")</f>
        <v>น.ส.วรุณยุพา จรูญไธสง</v>
      </c>
      <c r="J1549" s="3">
        <f>IFERROR(__xludf.DUMMYFUNCTION("""COMPUTED_VALUE"""),2454781.0)</f>
        <v>2454781</v>
      </c>
      <c r="K1549" s="3" t="str">
        <f>IFERROR(__xludf.DUMMYFUNCTION("""COMPUTED_VALUE"""),"นายฌานกฤช นันทะโคต")</f>
        <v>นายฌานกฤช นันทะโคต</v>
      </c>
      <c r="L1549" s="1" t="str">
        <f>IFERROR(__xludf.DUMMYFUNCTION("""COMPUTED_VALUE"""),"05 K.Chanakrit N.")</f>
        <v>05 K.Chanakrit N.</v>
      </c>
      <c r="M1549" s="1" t="str">
        <f>IFERROR(__xludf.DUMMYFUNCTION("""COMPUTED_VALUE"""),"090-978-9785 ,065-929-1320")</f>
        <v>090-978-9785 ,065-929-1320</v>
      </c>
      <c r="N1549" s="3">
        <f>IFERROR(__xludf.DUMMYFUNCTION("""COMPUTED_VALUE"""),22195.0)</f>
        <v>22195</v>
      </c>
      <c r="O1549" s="3" t="str">
        <f>IFERROR(__xludf.DUMMYFUNCTION("""COMPUTED_VALUE"""),"MBC กันทรลักษ์ ศรีสะเกษ")</f>
        <v>MBC กันทรลักษ์ ศรีสะเกษ</v>
      </c>
      <c r="P1549" s="4">
        <f>IFERROR(__xludf.DUMMYFUNCTION("""COMPUTED_VALUE"""),44135.0)</f>
        <v>44135</v>
      </c>
      <c r="Q1549" s="3" t="str">
        <f>IFERROR(__xludf.DUMMYFUNCTION("""COMPUTED_VALUE"""),"A")</f>
        <v>A</v>
      </c>
      <c r="R1549" s="3" t="str">
        <f>IFERROR(__xludf.DUMMYFUNCTION("""COMPUTED_VALUE"""),"Small Format")</f>
        <v>Small Format</v>
      </c>
      <c r="S1549" s="3" t="str">
        <f>IFERROR(__xludf.DUMMYFUNCTION("""COMPUTED_VALUE"""),"BCM")</f>
        <v>BCM</v>
      </c>
      <c r="T1549" s="3" t="str">
        <f>IFERROR(__xludf.DUMMYFUNCTION("""COMPUTED_VALUE"""),"#N/A")</f>
        <v>#N/A</v>
      </c>
      <c r="U1549" s="3" t="str">
        <f>IFERROR(__xludf.DUMMYFUNCTION("""COMPUTED_VALUE"""),"#N/A")</f>
        <v>#N/A</v>
      </c>
      <c r="V1549" s="3" t="str">
        <f>IFERROR(__xludf.DUMMYFUNCTION("""COMPUTED_VALUE"""),"N")</f>
        <v>N</v>
      </c>
      <c r="W1549" s="3">
        <f>IFERROR(__xludf.DUMMYFUNCTION("""COMPUTED_VALUE"""),210261.0)</f>
        <v>210261</v>
      </c>
      <c r="X1549" s="3" t="str">
        <f>IFERROR(__xludf.DUMMYFUNCTION("""COMPUTED_VALUE"""),"11 หมู่15 ตำบลโพธิ์ไทร อำเภอโพธิ์ไทร จังหวัดอุบลราชธานี 34340")</f>
        <v>11 หมู่15 ตำบลโพธิ์ไทร อำเภอโพธิ์ไทร จังหวัดอุบลราชธานี 34340</v>
      </c>
      <c r="Y1549" s="3"/>
      <c r="Z1549" s="3" t="str">
        <f>IFERROR(__xludf.DUMMYFUNCTION("""COMPUTED_VALUE"""),"โพธิ์ไทร")</f>
        <v>โพธิ์ไทร</v>
      </c>
      <c r="AA1549" s="3" t="str">
        <f>IFERROR(__xludf.DUMMYFUNCTION("""COMPUTED_VALUE"""),"โพธิ์ไทร")</f>
        <v>โพธิ์ไทร</v>
      </c>
      <c r="AB1549" s="3" t="str">
        <f>IFERROR(__xludf.DUMMYFUNCTION("""COMPUTED_VALUE"""),"อุบลราชธานี")</f>
        <v>อุบลราชธานี</v>
      </c>
      <c r="AC1549" s="3">
        <f>IFERROR(__xludf.DUMMYFUNCTION("""COMPUTED_VALUE"""),34340.0)</f>
        <v>34340</v>
      </c>
      <c r="AD1549" s="3">
        <f>IFERROR(__xludf.DUMMYFUNCTION("""COMPUTED_VALUE"""),15.824543)</f>
        <v>15.824543</v>
      </c>
      <c r="AE1549" s="3">
        <f>IFERROR(__xludf.DUMMYFUNCTION("""COMPUTED_VALUE"""),105.252984)</f>
        <v>105.252984</v>
      </c>
      <c r="AF1549" s="3" t="str">
        <f>IFERROR(__xludf.DUMMYFUNCTION("""COMPUTED_VALUE"""),"MBC โพธิ์ไทร อุบลราชธานี-22234")</f>
        <v>MBC โพธิ์ไทร อุบลราชธานี-22234</v>
      </c>
      <c r="AG1549" s="3" t="str">
        <f>IFERROR(__xludf.DUMMYFUNCTION("""COMPUTED_VALUE"""),"ตะวันออกเฉียงเหนือ")</f>
        <v>ตะวันออกเฉียงเหนือ</v>
      </c>
      <c r="AH1549" s="3" t="str">
        <f>IFERROR(__xludf.DUMMYFUNCTION("""COMPUTED_VALUE"""),"#N/A")</f>
        <v>#N/A</v>
      </c>
      <c r="AI1549" s="3" t="str">
        <f>IFERROR(__xludf.DUMMYFUNCTION("""COMPUTED_VALUE"""),"Out of warranty")</f>
        <v>Out of warranty</v>
      </c>
      <c r="AJ1549" s="3">
        <f>IFERROR(__xludf.DUMMYFUNCTION("""COMPUTED_VALUE"""),63.0)</f>
        <v>63</v>
      </c>
      <c r="AK1549" s="3" t="str">
        <f>IFERROR(__xludf.DUMMYFUNCTION("""COMPUTED_VALUE"""),"MMS13")</f>
        <v>MMS13</v>
      </c>
      <c r="AL1549" s="3"/>
    </row>
    <row r="1550" ht="15.75" customHeight="1">
      <c r="A1550" s="1" t="str">
        <f>IFERROR(__xludf.DUMMYFUNCTION("""COMPUTED_VALUE"""),"22235")</f>
        <v>22235</v>
      </c>
      <c r="B1550" s="2">
        <f>IFERROR(__xludf.DUMMYFUNCTION("""COMPUTED_VALUE"""),22235.0)</f>
        <v>22235</v>
      </c>
      <c r="C1550" s="3" t="str">
        <f>IFERROR(__xludf.DUMMYFUNCTION("""COMPUTED_VALUE"""),"MBC สุขสวัสดิ์ 74 สมุทรปราการ")</f>
        <v>MBC สุขสวัสดิ์ 74 สมุทรปราการ</v>
      </c>
      <c r="D1550" s="3" t="str">
        <f>IFERROR(__xludf.DUMMYFUNCTION("""COMPUTED_VALUE"""),"BCM SUKSAWAT 74")</f>
        <v>BCM SUKSAWAT 74</v>
      </c>
      <c r="E1550" s="1" t="str">
        <f>IFERROR(__xludf.DUMMYFUNCTION("""COMPUTED_VALUE"""),"บิ๊กซี MINI")</f>
        <v>บิ๊กซี MINI</v>
      </c>
      <c r="F1550" s="1" t="str">
        <f>IFERROR(__xludf.DUMMYFUNCTION("""COMPUTED_VALUE"""),"2083447")</f>
        <v>2083447</v>
      </c>
      <c r="G1550" s="1" t="str">
        <f>IFERROR(__xludf.DUMMYFUNCTION("""COMPUTED_VALUE"""),"นายอนุกูล ศรีลัดดา")</f>
        <v>นายอนุกูล ศรีลัดดา</v>
      </c>
      <c r="H1550" s="1" t="str">
        <f>IFERROR(__xludf.DUMMYFUNCTION("""COMPUTED_VALUE"""),"379037")</f>
        <v>379037</v>
      </c>
      <c r="I1550" s="1" t="str">
        <f>IFERROR(__xludf.DUMMYFUNCTION("""COMPUTED_VALUE"""),"นางแก้วใจ แก้วกาญจน์")</f>
        <v>นางแก้วใจ แก้วกาญจน์</v>
      </c>
      <c r="J1550" s="3">
        <f>IFERROR(__xludf.DUMMYFUNCTION("""COMPUTED_VALUE"""),2451655.0)</f>
        <v>2451655</v>
      </c>
      <c r="K1550" s="3" t="str">
        <f>IFERROR(__xludf.DUMMYFUNCTION("""COMPUTED_VALUE"""),"นายวิษณุพงษ์ ชินบุตร")</f>
        <v>นายวิษณุพงษ์ ชินบุตร</v>
      </c>
      <c r="L1550" s="1" t="str">
        <f>IFERROR(__xludf.DUMMYFUNCTION("""COMPUTED_VALUE"""),"13 K.Wisanupong Ch")</f>
        <v>13 K.Wisanupong Ch</v>
      </c>
      <c r="M1550" s="1" t="str">
        <f>IFERROR(__xludf.DUMMYFUNCTION("""COMPUTED_VALUE"""),"0843374693")</f>
        <v>0843374693</v>
      </c>
      <c r="N1550" s="3">
        <f>IFERROR(__xludf.DUMMYFUNCTION("""COMPUTED_VALUE"""),22729.0)</f>
        <v>22729</v>
      </c>
      <c r="O1550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550" s="4">
        <f>IFERROR(__xludf.DUMMYFUNCTION("""COMPUTED_VALUE"""),44133.0)</f>
        <v>44133</v>
      </c>
      <c r="Q1550" s="3" t="str">
        <f>IFERROR(__xludf.DUMMYFUNCTION("""COMPUTED_VALUE"""),"A")</f>
        <v>A</v>
      </c>
      <c r="R1550" s="3" t="str">
        <f>IFERROR(__xludf.DUMMYFUNCTION("""COMPUTED_VALUE"""),"Small Format")</f>
        <v>Small Format</v>
      </c>
      <c r="S1550" s="3" t="str">
        <f>IFERROR(__xludf.DUMMYFUNCTION("""COMPUTED_VALUE"""),"BCM")</f>
        <v>BCM</v>
      </c>
      <c r="T1550" s="3" t="str">
        <f>IFERROR(__xludf.DUMMYFUNCTION("""COMPUTED_VALUE"""),"#N/A")</f>
        <v>#N/A</v>
      </c>
      <c r="U1550" s="3" t="str">
        <f>IFERROR(__xludf.DUMMYFUNCTION("""COMPUTED_VALUE"""),"#N/A")</f>
        <v>#N/A</v>
      </c>
      <c r="V1550" s="3" t="str">
        <f>IFERROR(__xludf.DUMMYFUNCTION("""COMPUTED_VALUE"""),"N")</f>
        <v>N</v>
      </c>
      <c r="W1550" s="3">
        <f>IFERROR(__xludf.DUMMYFUNCTION("""COMPUTED_VALUE"""),210262.0)</f>
        <v>210262</v>
      </c>
      <c r="X1550" s="3" t="str">
        <f>IFERROR(__xludf.DUMMYFUNCTION("""COMPUTED_VALUE"""),"85/15 หมู่8 ตำบลบางครุ อำเภอพระประแดง จังหวัดสมุทรปราการ 10130")</f>
        <v>85/15 หมู่8 ตำบลบางครุ อำเภอพระประแดง จังหวัดสมุทรปราการ 10130</v>
      </c>
      <c r="Y1550" s="3"/>
      <c r="Z1550" s="3" t="str">
        <f>IFERROR(__xludf.DUMMYFUNCTION("""COMPUTED_VALUE"""),"บางครุ")</f>
        <v>บางครุ</v>
      </c>
      <c r="AA1550" s="3" t="str">
        <f>IFERROR(__xludf.DUMMYFUNCTION("""COMPUTED_VALUE"""),"พระประแดง")</f>
        <v>พระประแดง</v>
      </c>
      <c r="AB1550" s="3" t="str">
        <f>IFERROR(__xludf.DUMMYFUNCTION("""COMPUTED_VALUE"""),"สมุทรปราการ")</f>
        <v>สมุทรปราการ</v>
      </c>
      <c r="AC1550" s="3">
        <f>IFERROR(__xludf.DUMMYFUNCTION("""COMPUTED_VALUE"""),10130.0)</f>
        <v>10130</v>
      </c>
      <c r="AD1550" s="3">
        <f>IFERROR(__xludf.DUMMYFUNCTION("""COMPUTED_VALUE"""),13.6207552)</f>
        <v>13.6207552</v>
      </c>
      <c r="AE1550" s="3">
        <f>IFERROR(__xludf.DUMMYFUNCTION("""COMPUTED_VALUE"""),100.5267273)</f>
        <v>100.5267273</v>
      </c>
      <c r="AF1550" s="3" t="str">
        <f>IFERROR(__xludf.DUMMYFUNCTION("""COMPUTED_VALUE"""),"MBC สุขสวัสดิ์ 74 สมุทรปราการ-22235")</f>
        <v>MBC สุขสวัสดิ์ 74 สมุทรปราการ-22235</v>
      </c>
      <c r="AG1550" s="3" t="str">
        <f>IFERROR(__xludf.DUMMYFUNCTION("""COMPUTED_VALUE"""),"กลาง")</f>
        <v>กลาง</v>
      </c>
      <c r="AH1550" s="3" t="str">
        <f>IFERROR(__xludf.DUMMYFUNCTION("""COMPUTED_VALUE"""),"#N/A")</f>
        <v>#N/A</v>
      </c>
      <c r="AI1550" s="3" t="str">
        <f>IFERROR(__xludf.DUMMYFUNCTION("""COMPUTED_VALUE"""),"Out of warranty")</f>
        <v>Out of warranty</v>
      </c>
      <c r="AJ1550" s="3">
        <f>IFERROR(__xludf.DUMMYFUNCTION("""COMPUTED_VALUE"""),63.0)</f>
        <v>63</v>
      </c>
      <c r="AK1550" s="3" t="str">
        <f>IFERROR(__xludf.DUMMYFUNCTION("""COMPUTED_VALUE"""),"MMS02")</f>
        <v>MMS02</v>
      </c>
      <c r="AL1550" s="3"/>
    </row>
    <row r="1551" ht="15.75" customHeight="1">
      <c r="A1551" s="1" t="str">
        <f>IFERROR(__xludf.DUMMYFUNCTION("""COMPUTED_VALUE"""),"22236")</f>
        <v>22236</v>
      </c>
      <c r="B1551" s="2">
        <f>IFERROR(__xludf.DUMMYFUNCTION("""COMPUTED_VALUE"""),22236.0)</f>
        <v>22236</v>
      </c>
      <c r="C1551" s="3" t="str">
        <f>IFERROR(__xludf.DUMMYFUNCTION("""COMPUTED_VALUE"""),"MBC ภูมิใจนิเวศน์3 สมุทรปราการ")</f>
        <v>MBC ภูมิใจนิเวศน์3 สมุทรปราการ</v>
      </c>
      <c r="D1551" s="3" t="str">
        <f>IFERROR(__xludf.DUMMYFUNCTION("""COMPUTED_VALUE"""),"BCM POOMJAI NIVATE 3")</f>
        <v>BCM POOMJAI NIVATE 3</v>
      </c>
      <c r="E1551" s="1" t="str">
        <f>IFERROR(__xludf.DUMMYFUNCTION("""COMPUTED_VALUE"""),"บิ๊กซี MINI")</f>
        <v>บิ๊กซี MINI</v>
      </c>
      <c r="F1551" s="1" t="str">
        <f>IFERROR(__xludf.DUMMYFUNCTION("""COMPUTED_VALUE"""),"2083447")</f>
        <v>2083447</v>
      </c>
      <c r="G1551" s="1" t="str">
        <f>IFERROR(__xludf.DUMMYFUNCTION("""COMPUTED_VALUE"""),"นายอนุกูล ศรีลัดดา")</f>
        <v>นายอนุกูล ศรีลัดดา</v>
      </c>
      <c r="H1551" s="1" t="str">
        <f>IFERROR(__xludf.DUMMYFUNCTION("""COMPUTED_VALUE"""),"379037")</f>
        <v>379037</v>
      </c>
      <c r="I1551" s="1" t="str">
        <f>IFERROR(__xludf.DUMMYFUNCTION("""COMPUTED_VALUE"""),"นางแก้วใจ แก้วกาญจน์")</f>
        <v>นางแก้วใจ แก้วกาญจน์</v>
      </c>
      <c r="J1551" s="3">
        <f>IFERROR(__xludf.DUMMYFUNCTION("""COMPUTED_VALUE"""),2451655.0)</f>
        <v>2451655</v>
      </c>
      <c r="K1551" s="3" t="str">
        <f>IFERROR(__xludf.DUMMYFUNCTION("""COMPUTED_VALUE"""),"นายวิษณุพงษ์ ชินบุตร")</f>
        <v>นายวิษณุพงษ์ ชินบุตร</v>
      </c>
      <c r="L1551" s="1" t="str">
        <f>IFERROR(__xludf.DUMMYFUNCTION("""COMPUTED_VALUE"""),"13 K.Wisanupong Ch")</f>
        <v>13 K.Wisanupong Ch</v>
      </c>
      <c r="M1551" s="1" t="str">
        <f>IFERROR(__xludf.DUMMYFUNCTION("""COMPUTED_VALUE"""),"0843374693")</f>
        <v>0843374693</v>
      </c>
      <c r="N1551" s="3">
        <f>IFERROR(__xludf.DUMMYFUNCTION("""COMPUTED_VALUE"""),22729.0)</f>
        <v>22729</v>
      </c>
      <c r="O1551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551" s="4">
        <f>IFERROR(__xludf.DUMMYFUNCTION("""COMPUTED_VALUE"""),44134.0)</f>
        <v>44134</v>
      </c>
      <c r="Q1551" s="3" t="str">
        <f>IFERROR(__xludf.DUMMYFUNCTION("""COMPUTED_VALUE"""),"A")</f>
        <v>A</v>
      </c>
      <c r="R1551" s="3" t="str">
        <f>IFERROR(__xludf.DUMMYFUNCTION("""COMPUTED_VALUE"""),"Small Format")</f>
        <v>Small Format</v>
      </c>
      <c r="S1551" s="3" t="str">
        <f>IFERROR(__xludf.DUMMYFUNCTION("""COMPUTED_VALUE"""),"BCM")</f>
        <v>BCM</v>
      </c>
      <c r="T1551" s="3" t="str">
        <f>IFERROR(__xludf.DUMMYFUNCTION("""COMPUTED_VALUE"""),"#N/A")</f>
        <v>#N/A</v>
      </c>
      <c r="U1551" s="3" t="str">
        <f>IFERROR(__xludf.DUMMYFUNCTION("""COMPUTED_VALUE"""),"#N/A")</f>
        <v>#N/A</v>
      </c>
      <c r="V1551" s="3" t="str">
        <f>IFERROR(__xludf.DUMMYFUNCTION("""COMPUTED_VALUE"""),"N")</f>
        <v>N</v>
      </c>
      <c r="W1551" s="3">
        <f>IFERROR(__xludf.DUMMYFUNCTION("""COMPUTED_VALUE"""),210286.0)</f>
        <v>210286</v>
      </c>
      <c r="X1551" s="3" t="str">
        <f>IFERROR(__xludf.DUMMYFUNCTION("""COMPUTED_VALUE"""),"174/2 หมู่4 ตำบลในคลองบางปลากด อำเภอพระสมุทรเจดีย์ จังหวัดสมุทรปราการ 10290")</f>
        <v>174/2 หมู่4 ตำบลในคลองบางปลากด อำเภอพระสมุทรเจดีย์ จังหวัดสมุทรปราการ 10290</v>
      </c>
      <c r="Y1551" s="3"/>
      <c r="Z1551" s="3" t="str">
        <f>IFERROR(__xludf.DUMMYFUNCTION("""COMPUTED_VALUE"""),"ในคลองบางปลากด")</f>
        <v>ในคลองบางปลากด</v>
      </c>
      <c r="AA1551" s="3" t="str">
        <f>IFERROR(__xludf.DUMMYFUNCTION("""COMPUTED_VALUE"""),"พระสมุทรเจดีย์")</f>
        <v>พระสมุทรเจดีย์</v>
      </c>
      <c r="AB1551" s="3" t="str">
        <f>IFERROR(__xludf.DUMMYFUNCTION("""COMPUTED_VALUE"""),"สมุทรปราการ")</f>
        <v>สมุทรปราการ</v>
      </c>
      <c r="AC1551" s="3">
        <f>IFERROR(__xludf.DUMMYFUNCTION("""COMPUTED_VALUE"""),10290.0)</f>
        <v>10290</v>
      </c>
      <c r="AD1551" s="3">
        <f>IFERROR(__xludf.DUMMYFUNCTION("""COMPUTED_VALUE"""),13.580777)</f>
        <v>13.580777</v>
      </c>
      <c r="AE1551" s="3">
        <f>IFERROR(__xludf.DUMMYFUNCTION("""COMPUTED_VALUE"""),100.562905)</f>
        <v>100.562905</v>
      </c>
      <c r="AF1551" s="3" t="str">
        <f>IFERROR(__xludf.DUMMYFUNCTION("""COMPUTED_VALUE"""),"MBC ภูมิใจนิเวศน์3 สมุทรปราการ-22236")</f>
        <v>MBC ภูมิใจนิเวศน์3 สมุทรปราการ-22236</v>
      </c>
      <c r="AG1551" s="3" t="str">
        <f>IFERROR(__xludf.DUMMYFUNCTION("""COMPUTED_VALUE"""),"กลาง")</f>
        <v>กลาง</v>
      </c>
      <c r="AH1551" s="3" t="str">
        <f>IFERROR(__xludf.DUMMYFUNCTION("""COMPUTED_VALUE"""),"#N/A")</f>
        <v>#N/A</v>
      </c>
      <c r="AI1551" s="3" t="str">
        <f>IFERROR(__xludf.DUMMYFUNCTION("""COMPUTED_VALUE"""),"Out of warranty")</f>
        <v>Out of warranty</v>
      </c>
      <c r="AJ1551" s="3">
        <f>IFERROR(__xludf.DUMMYFUNCTION("""COMPUTED_VALUE"""),63.0)</f>
        <v>63</v>
      </c>
      <c r="AK1551" s="3" t="str">
        <f>IFERROR(__xludf.DUMMYFUNCTION("""COMPUTED_VALUE"""),"MMS02")</f>
        <v>MMS02</v>
      </c>
      <c r="AL1551" s="3"/>
    </row>
    <row r="1552" ht="15.75" customHeight="1">
      <c r="A1552" s="1" t="str">
        <f>IFERROR(__xludf.DUMMYFUNCTION("""COMPUTED_VALUE"""),"22237")</f>
        <v>22237</v>
      </c>
      <c r="B1552" s="2">
        <f>IFERROR(__xludf.DUMMYFUNCTION("""COMPUTED_VALUE"""),22237.0)</f>
        <v>22237</v>
      </c>
      <c r="C1552" s="3" t="str">
        <f>IFERROR(__xludf.DUMMYFUNCTION("""COMPUTED_VALUE"""),"MBC ถ.บางบ่อ(แปลงยาว) ฉะเชิงเทรา")</f>
        <v>MBC ถ.บางบ่อ(แปลงยาว) ฉะเชิงเทรา</v>
      </c>
      <c r="D1552" s="3" t="str">
        <f>IFERROR(__xludf.DUMMYFUNCTION("""COMPUTED_VALUE"""),"BCM THANON BANG BO PLAENG YAO")</f>
        <v>BCM THANON BANG BO PLAENG YAO</v>
      </c>
      <c r="E1552" s="1" t="str">
        <f>IFERROR(__xludf.DUMMYFUNCTION("""COMPUTED_VALUE"""),"บิ๊กซี MINI")</f>
        <v>บิ๊กซี MINI</v>
      </c>
      <c r="F1552" s="1" t="str">
        <f>IFERROR(__xludf.DUMMYFUNCTION("""COMPUTED_VALUE"""),"2083447")</f>
        <v>2083447</v>
      </c>
      <c r="G1552" s="1" t="str">
        <f>IFERROR(__xludf.DUMMYFUNCTION("""COMPUTED_VALUE"""),"นายอนุกูล ศรีลัดดา")</f>
        <v>นายอนุกูล ศรีลัดดา</v>
      </c>
      <c r="H1552" s="1" t="str">
        <f>IFERROR(__xludf.DUMMYFUNCTION("""COMPUTED_VALUE"""),"254957")</f>
        <v>254957</v>
      </c>
      <c r="I1552" s="1" t="str">
        <f>IFERROR(__xludf.DUMMYFUNCTION("""COMPUTED_VALUE"""),"น.ส.ศิริพร รุ่งธัญญา")</f>
        <v>น.ส.ศิริพร รุ่งธัญญา</v>
      </c>
      <c r="J1552" s="3">
        <f>IFERROR(__xludf.DUMMYFUNCTION("""COMPUTED_VALUE"""),510143.0)</f>
        <v>510143</v>
      </c>
      <c r="K1552" s="3" t="str">
        <f>IFERROR(__xludf.DUMMYFUNCTION("""COMPUTED_VALUE"""),"นายธีระวัฒน์ บุญสิทธิ์")</f>
        <v>นายธีระวัฒน์ บุญสิทธิ์</v>
      </c>
      <c r="L1552" s="1" t="str">
        <f>IFERROR(__xludf.DUMMYFUNCTION("""COMPUTED_VALUE"""),"12 K.Theerawat B.")</f>
        <v>12 K.Theerawat B.</v>
      </c>
      <c r="M1552" s="1" t="str">
        <f>IFERROR(__xludf.DUMMYFUNCTION("""COMPUTED_VALUE"""),"0655107379")</f>
        <v>0655107379</v>
      </c>
      <c r="N1552" s="3">
        <f>IFERROR(__xludf.DUMMYFUNCTION("""COMPUTED_VALUE"""),21062.0)</f>
        <v>21062</v>
      </c>
      <c r="O1552" s="3" t="str">
        <f>IFERROR(__xludf.DUMMYFUNCTION("""COMPUTED_VALUE"""),"MBC นิคมนวนคร")</f>
        <v>MBC นิคมนวนคร</v>
      </c>
      <c r="P1552" s="4">
        <f>IFERROR(__xludf.DUMMYFUNCTION("""COMPUTED_VALUE"""),44135.0)</f>
        <v>44135</v>
      </c>
      <c r="Q1552" s="3" t="str">
        <f>IFERROR(__xludf.DUMMYFUNCTION("""COMPUTED_VALUE"""),"A")</f>
        <v>A</v>
      </c>
      <c r="R1552" s="3" t="str">
        <f>IFERROR(__xludf.DUMMYFUNCTION("""COMPUTED_VALUE"""),"Small Format")</f>
        <v>Small Format</v>
      </c>
      <c r="S1552" s="3" t="str">
        <f>IFERROR(__xludf.DUMMYFUNCTION("""COMPUTED_VALUE"""),"BCM")</f>
        <v>BCM</v>
      </c>
      <c r="T1552" s="3" t="str">
        <f>IFERROR(__xludf.DUMMYFUNCTION("""COMPUTED_VALUE"""),"#N/A")</f>
        <v>#N/A</v>
      </c>
      <c r="U1552" s="3" t="str">
        <f>IFERROR(__xludf.DUMMYFUNCTION("""COMPUTED_VALUE"""),"#N/A")</f>
        <v>#N/A</v>
      </c>
      <c r="V1552" s="3" t="str">
        <f>IFERROR(__xludf.DUMMYFUNCTION("""COMPUTED_VALUE"""),"N")</f>
        <v>N</v>
      </c>
      <c r="W1552" s="3">
        <f>IFERROR(__xludf.DUMMYFUNCTION("""COMPUTED_VALUE"""),210277.0)</f>
        <v>210277</v>
      </c>
      <c r="X1552" s="3" t="str">
        <f>IFERROR(__xludf.DUMMYFUNCTION("""COMPUTED_VALUE"""),"210 หมู่5 ตำบลแปลงยาว อำเภอแปลงยาว จังหวัดฉะเชิงเทรา 24190")</f>
        <v>210 หมู่5 ตำบลแปลงยาว อำเภอแปลงยาว จังหวัดฉะเชิงเทรา 24190</v>
      </c>
      <c r="Y1552" s="3"/>
      <c r="Z1552" s="3" t="str">
        <f>IFERROR(__xludf.DUMMYFUNCTION("""COMPUTED_VALUE"""),"แปลงยาว")</f>
        <v>แปลงยาว</v>
      </c>
      <c r="AA1552" s="3" t="str">
        <f>IFERROR(__xludf.DUMMYFUNCTION("""COMPUTED_VALUE"""),"แปลงยาว")</f>
        <v>แปลงยาว</v>
      </c>
      <c r="AB1552" s="3" t="str">
        <f>IFERROR(__xludf.DUMMYFUNCTION("""COMPUTED_VALUE"""),"ฉะเชิงเทรา")</f>
        <v>ฉะเชิงเทรา</v>
      </c>
      <c r="AC1552" s="3">
        <f>IFERROR(__xludf.DUMMYFUNCTION("""COMPUTED_VALUE"""),24190.0)</f>
        <v>24190</v>
      </c>
      <c r="AD1552" s="3">
        <f>IFERROR(__xludf.DUMMYFUNCTION("""COMPUTED_VALUE"""),13.602643)</f>
        <v>13.602643</v>
      </c>
      <c r="AE1552" s="3">
        <f>IFERROR(__xludf.DUMMYFUNCTION("""COMPUTED_VALUE"""),101.24666)</f>
        <v>101.24666</v>
      </c>
      <c r="AF1552" s="3" t="str">
        <f>IFERROR(__xludf.DUMMYFUNCTION("""COMPUTED_VALUE"""),"MBC ถ.บางบ่อ(แปลงยาว) ฉะเชิงเทรา-22237")</f>
        <v>MBC ถ.บางบ่อ(แปลงยาว) ฉะเชิงเทรา-22237</v>
      </c>
      <c r="AG1552" s="3" t="str">
        <f>IFERROR(__xludf.DUMMYFUNCTION("""COMPUTED_VALUE"""),"ตะวันออก")</f>
        <v>ตะวันออก</v>
      </c>
      <c r="AH1552" s="3" t="str">
        <f>IFERROR(__xludf.DUMMYFUNCTION("""COMPUTED_VALUE"""),"#N/A")</f>
        <v>#N/A</v>
      </c>
      <c r="AI1552" s="3" t="str">
        <f>IFERROR(__xludf.DUMMYFUNCTION("""COMPUTED_VALUE"""),"Out of warranty")</f>
        <v>Out of warranty</v>
      </c>
      <c r="AJ1552" s="3">
        <f>IFERROR(__xludf.DUMMYFUNCTION("""COMPUTED_VALUE"""),63.0)</f>
        <v>63</v>
      </c>
      <c r="AK1552" s="3" t="str">
        <f>IFERROR(__xludf.DUMMYFUNCTION("""COMPUTED_VALUE"""),"MMS07")</f>
        <v>MMS07</v>
      </c>
      <c r="AL1552" s="3"/>
    </row>
    <row r="1553" ht="15.75" customHeight="1">
      <c r="A1553" s="1" t="str">
        <f>IFERROR(__xludf.DUMMYFUNCTION("""COMPUTED_VALUE"""),"22238")</f>
        <v>22238</v>
      </c>
      <c r="B1553" s="2">
        <f>IFERROR(__xludf.DUMMYFUNCTION("""COMPUTED_VALUE"""),22238.0)</f>
        <v>22238</v>
      </c>
      <c r="C1553" s="3" t="str">
        <f>IFERROR(__xludf.DUMMYFUNCTION("""COMPUTED_VALUE"""),"MBC หนองกุงศรี กาฬสินธุ์")</f>
        <v>MBC หนองกุงศรี กาฬสินธุ์</v>
      </c>
      <c r="D1553" s="3" t="str">
        <f>IFERROR(__xludf.DUMMYFUNCTION("""COMPUTED_VALUE"""),"BCM NONGKUNGSRI")</f>
        <v>BCM NONGKUNGSRI</v>
      </c>
      <c r="E1553" s="1" t="str">
        <f>IFERROR(__xludf.DUMMYFUNCTION("""COMPUTED_VALUE"""),"บิ๊กซี MINI")</f>
        <v>บิ๊กซี MINI</v>
      </c>
      <c r="F1553" s="1" t="str">
        <f>IFERROR(__xludf.DUMMYFUNCTION("""COMPUTED_VALUE"""),"291105")</f>
        <v>291105</v>
      </c>
      <c r="G1553" s="1" t="str">
        <f>IFERROR(__xludf.DUMMYFUNCTION("""COMPUTED_VALUE"""),"นายสราวุฒิ พณิชยกุล")</f>
        <v>นายสราวุฒิ พณิชยกุล</v>
      </c>
      <c r="H1553" s="1" t="str">
        <f>IFERROR(__xludf.DUMMYFUNCTION("""COMPUTED_VALUE"""),"392433")</f>
        <v>392433</v>
      </c>
      <c r="I1553" s="1" t="str">
        <f>IFERROR(__xludf.DUMMYFUNCTION("""COMPUTED_VALUE"""),"นายพรธิวา ใจอ่อน")</f>
        <v>นายพรธิวา ใจอ่อน</v>
      </c>
      <c r="J1553" s="3">
        <f>IFERROR(__xludf.DUMMYFUNCTION("""COMPUTED_VALUE"""),2454781.0)</f>
        <v>2454781</v>
      </c>
      <c r="K1553" s="3" t="str">
        <f>IFERROR(__xludf.DUMMYFUNCTION("""COMPUTED_VALUE"""),"นายฌานกฤช นันทะโคต")</f>
        <v>นายฌานกฤช นันทะโคต</v>
      </c>
      <c r="L1553" s="1" t="str">
        <f>IFERROR(__xludf.DUMMYFUNCTION("""COMPUTED_VALUE"""),"05 K.Chanakrit N.")</f>
        <v>05 K.Chanakrit N.</v>
      </c>
      <c r="M1553" s="1" t="str">
        <f>IFERROR(__xludf.DUMMYFUNCTION("""COMPUTED_VALUE"""),"090-978-9785 ,065-929-1320")</f>
        <v>090-978-9785 ,065-929-1320</v>
      </c>
      <c r="N1553" s="3">
        <f>IFERROR(__xludf.DUMMYFUNCTION("""COMPUTED_VALUE"""),22195.0)</f>
        <v>22195</v>
      </c>
      <c r="O1553" s="3" t="str">
        <f>IFERROR(__xludf.DUMMYFUNCTION("""COMPUTED_VALUE"""),"MBC กันทรลักษ์ ศรีสะเกษ")</f>
        <v>MBC กันทรลักษ์ ศรีสะเกษ</v>
      </c>
      <c r="P1553" s="4">
        <f>IFERROR(__xludf.DUMMYFUNCTION("""COMPUTED_VALUE"""),44132.0)</f>
        <v>44132</v>
      </c>
      <c r="Q1553" s="3" t="str">
        <f>IFERROR(__xludf.DUMMYFUNCTION("""COMPUTED_VALUE"""),"A")</f>
        <v>A</v>
      </c>
      <c r="R1553" s="3" t="str">
        <f>IFERROR(__xludf.DUMMYFUNCTION("""COMPUTED_VALUE"""),"Small Format")</f>
        <v>Small Format</v>
      </c>
      <c r="S1553" s="3" t="str">
        <f>IFERROR(__xludf.DUMMYFUNCTION("""COMPUTED_VALUE"""),"BCM")</f>
        <v>BCM</v>
      </c>
      <c r="T1553" s="3" t="str">
        <f>IFERROR(__xludf.DUMMYFUNCTION("""COMPUTED_VALUE"""),"#N/A")</f>
        <v>#N/A</v>
      </c>
      <c r="U1553" s="3" t="str">
        <f>IFERROR(__xludf.DUMMYFUNCTION("""COMPUTED_VALUE"""),"#N/A")</f>
        <v>#N/A</v>
      </c>
      <c r="V1553" s="3" t="str">
        <f>IFERROR(__xludf.DUMMYFUNCTION("""COMPUTED_VALUE"""),"N")</f>
        <v>N</v>
      </c>
      <c r="W1553" s="3">
        <f>IFERROR(__xludf.DUMMYFUNCTION("""COMPUTED_VALUE"""),210294.0)</f>
        <v>210294</v>
      </c>
      <c r="X1553" s="3" t="str">
        <f>IFERROR(__xludf.DUMMYFUNCTION("""COMPUTED_VALUE"""),"91 หมู่1 ตำบลลำหนองแสน อำเภอหนองกุงศรี จังหวัดกาฬสินธุ์ 46220")</f>
        <v>91 หมู่1 ตำบลลำหนองแสน อำเภอหนองกุงศรี จังหวัดกาฬสินธุ์ 46220</v>
      </c>
      <c r="Y1553" s="3"/>
      <c r="Z1553" s="3" t="str">
        <f>IFERROR(__xludf.DUMMYFUNCTION("""COMPUTED_VALUE"""),"ลำหนองแสน")</f>
        <v>ลำหนองแสน</v>
      </c>
      <c r="AA1553" s="3" t="str">
        <f>IFERROR(__xludf.DUMMYFUNCTION("""COMPUTED_VALUE"""),"หนองกุงศรี")</f>
        <v>หนองกุงศรี</v>
      </c>
      <c r="AB1553" s="3" t="str">
        <f>IFERROR(__xludf.DUMMYFUNCTION("""COMPUTED_VALUE"""),"กาฬสินธุ์")</f>
        <v>กาฬสินธุ์</v>
      </c>
      <c r="AC1553" s="3">
        <f>IFERROR(__xludf.DUMMYFUNCTION("""COMPUTED_VALUE"""),46220.0)</f>
        <v>46220</v>
      </c>
      <c r="AD1553" s="3">
        <f>IFERROR(__xludf.DUMMYFUNCTION("""COMPUTED_VALUE"""),16.672825)</f>
        <v>16.672825</v>
      </c>
      <c r="AE1553" s="3">
        <f>IFERROR(__xludf.DUMMYFUNCTION("""COMPUTED_VALUE"""),103.302593)</f>
        <v>103.302593</v>
      </c>
      <c r="AF1553" s="3" t="str">
        <f>IFERROR(__xludf.DUMMYFUNCTION("""COMPUTED_VALUE"""),"MBC หนองกุงศรี กาฬสินธุ์-22238")</f>
        <v>MBC หนองกุงศรี กาฬสินธุ์-22238</v>
      </c>
      <c r="AG1553" s="3" t="str">
        <f>IFERROR(__xludf.DUMMYFUNCTION("""COMPUTED_VALUE"""),"ตะวันออกเฉียงเหนือ")</f>
        <v>ตะวันออกเฉียงเหนือ</v>
      </c>
      <c r="AH1553" s="3" t="str">
        <f>IFERROR(__xludf.DUMMYFUNCTION("""COMPUTED_VALUE"""),"#N/A")</f>
        <v>#N/A</v>
      </c>
      <c r="AI1553" s="3" t="str">
        <f>IFERROR(__xludf.DUMMYFUNCTION("""COMPUTED_VALUE"""),"Out of warranty")</f>
        <v>Out of warranty</v>
      </c>
      <c r="AJ1553" s="3">
        <f>IFERROR(__xludf.DUMMYFUNCTION("""COMPUTED_VALUE"""),63.0)</f>
        <v>63</v>
      </c>
      <c r="AK1553" s="3" t="str">
        <f>IFERROR(__xludf.DUMMYFUNCTION("""COMPUTED_VALUE"""),"MMS12")</f>
        <v>MMS12</v>
      </c>
      <c r="AL1553" s="3"/>
    </row>
    <row r="1554" ht="15.75" customHeight="1">
      <c r="A1554" s="1" t="str">
        <f>IFERROR(__xludf.DUMMYFUNCTION("""COMPUTED_VALUE"""),"22239")</f>
        <v>22239</v>
      </c>
      <c r="B1554" s="2">
        <f>IFERROR(__xludf.DUMMYFUNCTION("""COMPUTED_VALUE"""),22239.0)</f>
        <v>22239</v>
      </c>
      <c r="C1554" s="3" t="str">
        <f>IFERROR(__xludf.DUMMYFUNCTION("""COMPUTED_VALUE"""),"MBC บ้านนายาว ฉะเชิงเทรา")</f>
        <v>MBC บ้านนายาว ฉะเชิงเทรา</v>
      </c>
      <c r="D1554" s="3" t="str">
        <f>IFERROR(__xludf.DUMMYFUNCTION("""COMPUTED_VALUE"""),"BCM BAN NA YAW")</f>
        <v>BCM BAN NA YAW</v>
      </c>
      <c r="E1554" s="1" t="str">
        <f>IFERROR(__xludf.DUMMYFUNCTION("""COMPUTED_VALUE"""),"บิ๊กซี MINI")</f>
        <v>บิ๊กซี MINI</v>
      </c>
      <c r="F1554" s="1" t="str">
        <f>IFERROR(__xludf.DUMMYFUNCTION("""COMPUTED_VALUE"""),"2083447")</f>
        <v>2083447</v>
      </c>
      <c r="G1554" s="1" t="str">
        <f>IFERROR(__xludf.DUMMYFUNCTION("""COMPUTED_VALUE"""),"นายอนุกูล ศรีลัดดา")</f>
        <v>นายอนุกูล ศรีลัดดา</v>
      </c>
      <c r="H1554" s="1" t="str">
        <f>IFERROR(__xludf.DUMMYFUNCTION("""COMPUTED_VALUE"""),"254957")</f>
        <v>254957</v>
      </c>
      <c r="I1554" s="1" t="str">
        <f>IFERROR(__xludf.DUMMYFUNCTION("""COMPUTED_VALUE"""),"น.ส.ศิริพร รุ่งธัญญา")</f>
        <v>น.ส.ศิริพร รุ่งธัญญา</v>
      </c>
      <c r="J1554" s="3">
        <f>IFERROR(__xludf.DUMMYFUNCTION("""COMPUTED_VALUE"""),510143.0)</f>
        <v>510143</v>
      </c>
      <c r="K1554" s="3" t="str">
        <f>IFERROR(__xludf.DUMMYFUNCTION("""COMPUTED_VALUE"""),"นายธีระวัฒน์ บุญสิทธิ์")</f>
        <v>นายธีระวัฒน์ บุญสิทธิ์</v>
      </c>
      <c r="L1554" s="1" t="str">
        <f>IFERROR(__xludf.DUMMYFUNCTION("""COMPUTED_VALUE"""),"12 K.Theerawat B.")</f>
        <v>12 K.Theerawat B.</v>
      </c>
      <c r="M1554" s="1" t="str">
        <f>IFERROR(__xludf.DUMMYFUNCTION("""COMPUTED_VALUE"""),"0655107379")</f>
        <v>0655107379</v>
      </c>
      <c r="N1554" s="3">
        <f>IFERROR(__xludf.DUMMYFUNCTION("""COMPUTED_VALUE"""),21062.0)</f>
        <v>21062</v>
      </c>
      <c r="O1554" s="3" t="str">
        <f>IFERROR(__xludf.DUMMYFUNCTION("""COMPUTED_VALUE"""),"MBC นิคมนวนคร")</f>
        <v>MBC นิคมนวนคร</v>
      </c>
      <c r="P1554" s="4">
        <f>IFERROR(__xludf.DUMMYFUNCTION("""COMPUTED_VALUE"""),44135.0)</f>
        <v>44135</v>
      </c>
      <c r="Q1554" s="3" t="str">
        <f>IFERROR(__xludf.DUMMYFUNCTION("""COMPUTED_VALUE"""),"A")</f>
        <v>A</v>
      </c>
      <c r="R1554" s="3" t="str">
        <f>IFERROR(__xludf.DUMMYFUNCTION("""COMPUTED_VALUE"""),"Small Format")</f>
        <v>Small Format</v>
      </c>
      <c r="S1554" s="3" t="str">
        <f>IFERROR(__xludf.DUMMYFUNCTION("""COMPUTED_VALUE"""),"BCM")</f>
        <v>BCM</v>
      </c>
      <c r="T1554" s="3" t="str">
        <f>IFERROR(__xludf.DUMMYFUNCTION("""COMPUTED_VALUE"""),"#N/A")</f>
        <v>#N/A</v>
      </c>
      <c r="U1554" s="3" t="str">
        <f>IFERROR(__xludf.DUMMYFUNCTION("""COMPUTED_VALUE"""),"#N/A")</f>
        <v>#N/A</v>
      </c>
      <c r="V1554" s="3" t="str">
        <f>IFERROR(__xludf.DUMMYFUNCTION("""COMPUTED_VALUE"""),"N")</f>
        <v>N</v>
      </c>
      <c r="W1554" s="3">
        <f>IFERROR(__xludf.DUMMYFUNCTION("""COMPUTED_VALUE"""),210289.0)</f>
        <v>210289</v>
      </c>
      <c r="X1554" s="3" t="str">
        <f>IFERROR(__xludf.DUMMYFUNCTION("""COMPUTED_VALUE"""),"1164 หมู่15 ตำบลท่ากระดาน อำเภอสามชัยเขต จังหวัดฉะเชิงเทรา 24160")</f>
        <v>1164 หมู่15 ตำบลท่ากระดาน อำเภอสามชัยเขต จังหวัดฉะเชิงเทรา 24160</v>
      </c>
      <c r="Y1554" s="3"/>
      <c r="Z1554" s="3" t="str">
        <f>IFERROR(__xludf.DUMMYFUNCTION("""COMPUTED_VALUE"""),"ท่ากระดาน")</f>
        <v>ท่ากระดาน</v>
      </c>
      <c r="AA1554" s="3" t="str">
        <f>IFERROR(__xludf.DUMMYFUNCTION("""COMPUTED_VALUE"""),"สามชัยเขต")</f>
        <v>สามชัยเขต</v>
      </c>
      <c r="AB1554" s="3" t="str">
        <f>IFERROR(__xludf.DUMMYFUNCTION("""COMPUTED_VALUE"""),"ฉะเชิงเทรา")</f>
        <v>ฉะเชิงเทรา</v>
      </c>
      <c r="AC1554" s="3">
        <f>IFERROR(__xludf.DUMMYFUNCTION("""COMPUTED_VALUE"""),24160.0)</f>
        <v>24160</v>
      </c>
      <c r="AD1554" s="3">
        <f>IFERROR(__xludf.DUMMYFUNCTION("""COMPUTED_VALUE"""),13.545963)</f>
        <v>13.545963</v>
      </c>
      <c r="AE1554" s="3">
        <f>IFERROR(__xludf.DUMMYFUNCTION("""COMPUTED_VALUE"""),101.852962)</f>
        <v>101.852962</v>
      </c>
      <c r="AF1554" s="3" t="str">
        <f>IFERROR(__xludf.DUMMYFUNCTION("""COMPUTED_VALUE"""),"MBC บ้านนายาว ฉะเชิงเทรา-22239")</f>
        <v>MBC บ้านนายาว ฉะเชิงเทรา-22239</v>
      </c>
      <c r="AG1554" s="3" t="str">
        <f>IFERROR(__xludf.DUMMYFUNCTION("""COMPUTED_VALUE"""),"ตะวันออก")</f>
        <v>ตะวันออก</v>
      </c>
      <c r="AH1554" s="3" t="str">
        <f>IFERROR(__xludf.DUMMYFUNCTION("""COMPUTED_VALUE"""),"#N/A")</f>
        <v>#N/A</v>
      </c>
      <c r="AI1554" s="3" t="str">
        <f>IFERROR(__xludf.DUMMYFUNCTION("""COMPUTED_VALUE"""),"Out of warranty")</f>
        <v>Out of warranty</v>
      </c>
      <c r="AJ1554" s="3">
        <f>IFERROR(__xludf.DUMMYFUNCTION("""COMPUTED_VALUE"""),63.0)</f>
        <v>63</v>
      </c>
      <c r="AK1554" s="3" t="str">
        <f>IFERROR(__xludf.DUMMYFUNCTION("""COMPUTED_VALUE"""),"MMS08")</f>
        <v>MMS08</v>
      </c>
      <c r="AL1554" s="3"/>
    </row>
    <row r="1555" ht="15.75" customHeight="1">
      <c r="A1555" s="1" t="str">
        <f>IFERROR(__xludf.DUMMYFUNCTION("""COMPUTED_VALUE"""),"22240")</f>
        <v>22240</v>
      </c>
      <c r="B1555" s="2">
        <f>IFERROR(__xludf.DUMMYFUNCTION("""COMPUTED_VALUE"""),22240.0)</f>
        <v>22240</v>
      </c>
      <c r="C1555" s="3" t="str">
        <f>IFERROR(__xludf.DUMMYFUNCTION("""COMPUTED_VALUE"""),"MBC ถ.บัวนครินทร์ สมุทรปราการ")</f>
        <v>MBC ถ.บัวนครินทร์ สมุทรปราการ</v>
      </c>
      <c r="D1555" s="3" t="str">
        <f>IFERROR(__xludf.DUMMYFUNCTION("""COMPUTED_VALUE"""),"BCM THANON BUANAKARIN (OPT.2)")</f>
        <v>BCM THANON BUANAKARIN (OPT.2)</v>
      </c>
      <c r="E1555" s="1" t="str">
        <f>IFERROR(__xludf.DUMMYFUNCTION("""COMPUTED_VALUE"""),"บิ๊กซี MINI")</f>
        <v>บิ๊กซี MINI</v>
      </c>
      <c r="F1555" s="1" t="str">
        <f>IFERROR(__xludf.DUMMYFUNCTION("""COMPUTED_VALUE"""),"2083447")</f>
        <v>2083447</v>
      </c>
      <c r="G1555" s="1" t="str">
        <f>IFERROR(__xludf.DUMMYFUNCTION("""COMPUTED_VALUE"""),"นายอนุกูล ศรีลัดดา")</f>
        <v>นายอนุกูล ศรีลัดดา</v>
      </c>
      <c r="H1555" s="1" t="str">
        <f>IFERROR(__xludf.DUMMYFUNCTION("""COMPUTED_VALUE"""),"399107")</f>
        <v>399107</v>
      </c>
      <c r="I1555" s="1" t="str">
        <f>IFERROR(__xludf.DUMMYFUNCTION("""COMPUTED_VALUE"""),"นายรัชระวี กลมแป้น")</f>
        <v>นายรัชระวี กลมแป้น</v>
      </c>
      <c r="J1555" s="3">
        <f>IFERROR(__xludf.DUMMYFUNCTION("""COMPUTED_VALUE"""),510143.0)</f>
        <v>510143</v>
      </c>
      <c r="K1555" s="3" t="str">
        <f>IFERROR(__xludf.DUMMYFUNCTION("""COMPUTED_VALUE"""),"นายธีระวัฒน์ บุญสิทธิ์")</f>
        <v>นายธีระวัฒน์ บุญสิทธิ์</v>
      </c>
      <c r="L1555" s="1" t="str">
        <f>IFERROR(__xludf.DUMMYFUNCTION("""COMPUTED_VALUE"""),"12 K.Theerawat B.")</f>
        <v>12 K.Theerawat B.</v>
      </c>
      <c r="M1555" s="1" t="str">
        <f>IFERROR(__xludf.DUMMYFUNCTION("""COMPUTED_VALUE"""),"0655107379")</f>
        <v>0655107379</v>
      </c>
      <c r="N1555" s="3">
        <f>IFERROR(__xludf.DUMMYFUNCTION("""COMPUTED_VALUE"""),21062.0)</f>
        <v>21062</v>
      </c>
      <c r="O1555" s="3" t="str">
        <f>IFERROR(__xludf.DUMMYFUNCTION("""COMPUTED_VALUE"""),"MBC นิคมนวนคร")</f>
        <v>MBC นิคมนวนคร</v>
      </c>
      <c r="P1555" s="4">
        <f>IFERROR(__xludf.DUMMYFUNCTION("""COMPUTED_VALUE"""),44145.0)</f>
        <v>44145</v>
      </c>
      <c r="Q1555" s="3" t="str">
        <f>IFERROR(__xludf.DUMMYFUNCTION("""COMPUTED_VALUE"""),"A")</f>
        <v>A</v>
      </c>
      <c r="R1555" s="3" t="str">
        <f>IFERROR(__xludf.DUMMYFUNCTION("""COMPUTED_VALUE"""),"Small Format")</f>
        <v>Small Format</v>
      </c>
      <c r="S1555" s="3" t="str">
        <f>IFERROR(__xludf.DUMMYFUNCTION("""COMPUTED_VALUE"""),"BCM")</f>
        <v>BCM</v>
      </c>
      <c r="T1555" s="3" t="str">
        <f>IFERROR(__xludf.DUMMYFUNCTION("""COMPUTED_VALUE"""),"#N/A")</f>
        <v>#N/A</v>
      </c>
      <c r="U1555" s="3" t="str">
        <f>IFERROR(__xludf.DUMMYFUNCTION("""COMPUTED_VALUE"""),"#N/A")</f>
        <v>#N/A</v>
      </c>
      <c r="V1555" s="3" t="str">
        <f>IFERROR(__xludf.DUMMYFUNCTION("""COMPUTED_VALUE"""),"N")</f>
        <v>N</v>
      </c>
      <c r="W1555" s="3">
        <f>IFERROR(__xludf.DUMMYFUNCTION("""COMPUTED_VALUE"""),210155.0)</f>
        <v>210155</v>
      </c>
      <c r="X1555" s="3" t="str">
        <f>IFERROR(__xludf.DUMMYFUNCTION("""COMPUTED_VALUE"""),"89/188-189 หมู่12 ตำบลบางแก้ว อำเภอบางพลี จังหวัดสมุทรปราการ 10540")</f>
        <v>89/188-189 หมู่12 ตำบลบางแก้ว อำเภอบางพลี จังหวัดสมุทรปราการ 10540</v>
      </c>
      <c r="Y1555" s="3"/>
      <c r="Z1555" s="3" t="str">
        <f>IFERROR(__xludf.DUMMYFUNCTION("""COMPUTED_VALUE"""),"บางแก้ว")</f>
        <v>บางแก้ว</v>
      </c>
      <c r="AA1555" s="3" t="str">
        <f>IFERROR(__xludf.DUMMYFUNCTION("""COMPUTED_VALUE"""),"บางพลี")</f>
        <v>บางพลี</v>
      </c>
      <c r="AB1555" s="3" t="str">
        <f>IFERROR(__xludf.DUMMYFUNCTION("""COMPUTED_VALUE"""),"สมุทรปราการ")</f>
        <v>สมุทรปราการ</v>
      </c>
      <c r="AC1555" s="3">
        <f>IFERROR(__xludf.DUMMYFUNCTION("""COMPUTED_VALUE"""),10540.0)</f>
        <v>10540</v>
      </c>
      <c r="AD1555" s="3">
        <f>IFERROR(__xludf.DUMMYFUNCTION("""COMPUTED_VALUE"""),13.645574)</f>
        <v>13.645574</v>
      </c>
      <c r="AE1555" s="3">
        <f>IFERROR(__xludf.DUMMYFUNCTION("""COMPUTED_VALUE"""),100.661149)</f>
        <v>100.661149</v>
      </c>
      <c r="AF1555" s="3" t="str">
        <f>IFERROR(__xludf.DUMMYFUNCTION("""COMPUTED_VALUE"""),"MBC ถ.บัวนครินทร์ สมุทรปราการ-22240")</f>
        <v>MBC ถ.บัวนครินทร์ สมุทรปราการ-22240</v>
      </c>
      <c r="AG1555" s="3" t="str">
        <f>IFERROR(__xludf.DUMMYFUNCTION("""COMPUTED_VALUE"""),"กลาง")</f>
        <v>กลาง</v>
      </c>
      <c r="AH1555" s="3" t="str">
        <f>IFERROR(__xludf.DUMMYFUNCTION("""COMPUTED_VALUE"""),"#N/A")</f>
        <v>#N/A</v>
      </c>
      <c r="AI1555" s="3" t="str">
        <f>IFERROR(__xludf.DUMMYFUNCTION("""COMPUTED_VALUE"""),"Out of warranty")</f>
        <v>Out of warranty</v>
      </c>
      <c r="AJ1555" s="3">
        <f>IFERROR(__xludf.DUMMYFUNCTION("""COMPUTED_VALUE"""),63.0)</f>
        <v>63</v>
      </c>
      <c r="AK1555" s="3" t="str">
        <f>IFERROR(__xludf.DUMMYFUNCTION("""COMPUTED_VALUE"""),"MMS03")</f>
        <v>MMS03</v>
      </c>
      <c r="AL1555" s="3"/>
    </row>
    <row r="1556" ht="15.75" customHeight="1">
      <c r="A1556" s="1" t="str">
        <f>IFERROR(__xludf.DUMMYFUNCTION("""COMPUTED_VALUE"""),"22241")</f>
        <v>22241</v>
      </c>
      <c r="B1556" s="2">
        <f>IFERROR(__xludf.DUMMYFUNCTION("""COMPUTED_VALUE"""),22241.0)</f>
        <v>22241</v>
      </c>
      <c r="C1556" s="3" t="str">
        <f>IFERROR(__xludf.DUMMYFUNCTION("""COMPUTED_VALUE"""),"MBC บางบอน3 กรุงเทพฯ")</f>
        <v>MBC บางบอน3 กรุงเทพฯ</v>
      </c>
      <c r="D1556" s="3" t="str">
        <f>IFERROR(__xludf.DUMMYFUNCTION("""COMPUTED_VALUE"""),"BCM BANG BON 3 (OPT2.)")</f>
        <v>BCM BANG BON 3 (OPT2.)</v>
      </c>
      <c r="E1556" s="1" t="str">
        <f>IFERROR(__xludf.DUMMYFUNCTION("""COMPUTED_VALUE"""),"บิ๊กซี MINI")</f>
        <v>บิ๊กซี MINI</v>
      </c>
      <c r="F1556" s="1" t="str">
        <f>IFERROR(__xludf.DUMMYFUNCTION("""COMPUTED_VALUE"""),"291008")</f>
        <v>291008</v>
      </c>
      <c r="G1556" s="1" t="str">
        <f>IFERROR(__xludf.DUMMYFUNCTION("""COMPUTED_VALUE"""),"น.ส.รัชดาพร อีศรัตน์")</f>
        <v>น.ส.รัชดาพร อีศรัตน์</v>
      </c>
      <c r="H1556" s="1" t="str">
        <f>IFERROR(__xludf.DUMMYFUNCTION("""COMPUTED_VALUE"""),"250921")</f>
        <v>250921</v>
      </c>
      <c r="I1556" s="1" t="str">
        <f>IFERROR(__xludf.DUMMYFUNCTION("""COMPUTED_VALUE"""),"นายปรัชญาวัต ถิระสังวร")</f>
        <v>นายปรัชญาวัต ถิระสังวร</v>
      </c>
      <c r="J1556" s="3">
        <f>IFERROR(__xludf.DUMMYFUNCTION("""COMPUTED_VALUE"""),2452378.0)</f>
        <v>2452378</v>
      </c>
      <c r="K1556" s="3" t="str">
        <f>IFERROR(__xludf.DUMMYFUNCTION("""COMPUTED_VALUE"""),"นายศักดิ์ดา พวงประดับ")</f>
        <v>นายศักดิ์ดา พวงประดับ</v>
      </c>
      <c r="L1556" s="1" t="str">
        <f>IFERROR(__xludf.DUMMYFUNCTION("""COMPUTED_VALUE"""),"11 K.Sakda P.")</f>
        <v>11 K.Sakda P.</v>
      </c>
      <c r="M1556" s="1" t="str">
        <f>IFERROR(__xludf.DUMMYFUNCTION("""COMPUTED_VALUE"""),"065-929-1279")</f>
        <v>065-929-1279</v>
      </c>
      <c r="N1556" s="3">
        <f>IFERROR(__xludf.DUMMYFUNCTION("""COMPUTED_VALUE"""),21002.0)</f>
        <v>21002</v>
      </c>
      <c r="O1556" s="3" t="str">
        <f>IFERROR(__xludf.DUMMYFUNCTION("""COMPUTED_VALUE"""),"MBC อุดมสุข")</f>
        <v>MBC อุดมสุข</v>
      </c>
      <c r="P1556" s="4">
        <f>IFERROR(__xludf.DUMMYFUNCTION("""COMPUTED_VALUE"""),44153.0)</f>
        <v>44153</v>
      </c>
      <c r="Q1556" s="3" t="str">
        <f>IFERROR(__xludf.DUMMYFUNCTION("""COMPUTED_VALUE"""),"A")</f>
        <v>A</v>
      </c>
      <c r="R1556" s="3" t="str">
        <f>IFERROR(__xludf.DUMMYFUNCTION("""COMPUTED_VALUE"""),"Small Format")</f>
        <v>Small Format</v>
      </c>
      <c r="S1556" s="3" t="str">
        <f>IFERROR(__xludf.DUMMYFUNCTION("""COMPUTED_VALUE"""),"BCM")</f>
        <v>BCM</v>
      </c>
      <c r="T1556" s="3" t="str">
        <f>IFERROR(__xludf.DUMMYFUNCTION("""COMPUTED_VALUE"""),"#N/A")</f>
        <v>#N/A</v>
      </c>
      <c r="U1556" s="3" t="str">
        <f>IFERROR(__xludf.DUMMYFUNCTION("""COMPUTED_VALUE"""),"#N/A")</f>
        <v>#N/A</v>
      </c>
      <c r="V1556" s="3" t="str">
        <f>IFERROR(__xludf.DUMMYFUNCTION("""COMPUTED_VALUE"""),"N")</f>
        <v>N</v>
      </c>
      <c r="W1556" s="3">
        <f>IFERROR(__xludf.DUMMYFUNCTION("""COMPUTED_VALUE"""),210241.0)</f>
        <v>210241</v>
      </c>
      <c r="X1556" s="3" t="str">
        <f>IFERROR(__xludf.DUMMYFUNCTION("""COMPUTED_VALUE"""),"33 ถนนบางบอน 3 ตำบลบางบอนเหนือ อำเภอบางบอน จังหวัดกรุงเทพมหานคร 10150")</f>
        <v>33 ถนนบางบอน 3 ตำบลบางบอนเหนือ อำเภอบางบอน จังหวัดกรุงเทพมหานคร 10150</v>
      </c>
      <c r="Y1556" s="3" t="str">
        <f>IFERROR(__xludf.DUMMYFUNCTION("""COMPUTED_VALUE"""),"ถนนบางบอน")</f>
        <v>ถนนบางบอน</v>
      </c>
      <c r="Z1556" s="3" t="str">
        <f>IFERROR(__xludf.DUMMYFUNCTION("""COMPUTED_VALUE"""),"บางบอนเหนือ")</f>
        <v>บางบอนเหนือ</v>
      </c>
      <c r="AA1556" s="3" t="str">
        <f>IFERROR(__xludf.DUMMYFUNCTION("""COMPUTED_VALUE"""),"บางบอน")</f>
        <v>บางบอน</v>
      </c>
      <c r="AB1556" s="3" t="str">
        <f>IFERROR(__xludf.DUMMYFUNCTION("""COMPUTED_VALUE"""),"กรุงเทพมหานคร")</f>
        <v>กรุงเทพมหานคร</v>
      </c>
      <c r="AC1556" s="3">
        <f>IFERROR(__xludf.DUMMYFUNCTION("""COMPUTED_VALUE"""),10150.0)</f>
        <v>10150</v>
      </c>
      <c r="AD1556" s="3">
        <f>IFERROR(__xludf.DUMMYFUNCTION("""COMPUTED_VALUE"""),13.652898)</f>
        <v>13.652898</v>
      </c>
      <c r="AE1556" s="3">
        <f>IFERROR(__xludf.DUMMYFUNCTION("""COMPUTED_VALUE"""),100.385708)</f>
        <v>100.385708</v>
      </c>
      <c r="AF1556" s="3" t="str">
        <f>IFERROR(__xludf.DUMMYFUNCTION("""COMPUTED_VALUE"""),"MBC บางบอน3 กรุงเทพฯ-22241")</f>
        <v>MBC บางบอน3 กรุงเทพฯ-22241</v>
      </c>
      <c r="AG1556" s="3" t="str">
        <f>IFERROR(__xludf.DUMMYFUNCTION("""COMPUTED_VALUE"""),"กลาง")</f>
        <v>กลาง</v>
      </c>
      <c r="AH1556" s="3" t="str">
        <f>IFERROR(__xludf.DUMMYFUNCTION("""COMPUTED_VALUE"""),"#N/A")</f>
        <v>#N/A</v>
      </c>
      <c r="AI1556" s="3" t="str">
        <f>IFERROR(__xludf.DUMMYFUNCTION("""COMPUTED_VALUE"""),"Out of warranty")</f>
        <v>Out of warranty</v>
      </c>
      <c r="AJ1556" s="3">
        <f>IFERROR(__xludf.DUMMYFUNCTION("""COMPUTED_VALUE"""),63.0)</f>
        <v>63</v>
      </c>
      <c r="AK1556" s="3" t="str">
        <f>IFERROR(__xludf.DUMMYFUNCTION("""COMPUTED_VALUE"""),"MMS05")</f>
        <v>MMS05</v>
      </c>
      <c r="AL1556" s="3"/>
    </row>
    <row r="1557" ht="15.75" customHeight="1">
      <c r="A1557" s="1" t="str">
        <f>IFERROR(__xludf.DUMMYFUNCTION("""COMPUTED_VALUE"""),"22242")</f>
        <v>22242</v>
      </c>
      <c r="B1557" s="2">
        <f>IFERROR(__xludf.DUMMYFUNCTION("""COMPUTED_VALUE"""),22242.0)</f>
        <v>22242</v>
      </c>
      <c r="C1557" s="3" t="str">
        <f>IFERROR(__xludf.DUMMYFUNCTION("""COMPUTED_VALUE"""),"MBC พฤกษา26 นนทบุรี")</f>
        <v>MBC พฤกษา26 นนทบุรี</v>
      </c>
      <c r="D1557" s="3" t="str">
        <f>IFERROR(__xludf.DUMMYFUNCTION("""COMPUTED_VALUE"""),"BCM PRUKSA 26")</f>
        <v>BCM PRUKSA 26</v>
      </c>
      <c r="E1557" s="1" t="str">
        <f>IFERROR(__xludf.DUMMYFUNCTION("""COMPUTED_VALUE"""),"บิ๊กซี MINI")</f>
        <v>บิ๊กซี MINI</v>
      </c>
      <c r="F1557" s="1" t="str">
        <f>IFERROR(__xludf.DUMMYFUNCTION("""COMPUTED_VALUE"""),"291008")</f>
        <v>291008</v>
      </c>
      <c r="G1557" s="1" t="str">
        <f>IFERROR(__xludf.DUMMYFUNCTION("""COMPUTED_VALUE"""),"น.ส.รัชดาพร อีศรัตน์")</f>
        <v>น.ส.รัชดาพร อีศรัตน์</v>
      </c>
      <c r="H1557" s="1" t="str">
        <f>IFERROR(__xludf.DUMMYFUNCTION("""COMPUTED_VALUE"""),"180055")</f>
        <v>180055</v>
      </c>
      <c r="I1557" s="1" t="str">
        <f>IFERROR(__xludf.DUMMYFUNCTION("""COMPUTED_VALUE"""),"น.ส.สุดารัตน์ บุญล้ำ")</f>
        <v>น.ส.สุดารัตน์ บุญล้ำ</v>
      </c>
      <c r="J1557" s="3">
        <f>IFERROR(__xludf.DUMMYFUNCTION("""COMPUTED_VALUE"""),296608.0)</f>
        <v>296608</v>
      </c>
      <c r="K1557" s="3" t="str">
        <f>IFERROR(__xludf.DUMMYFUNCTION("""COMPUTED_VALUE"""),"นายภาคภูมิ เพ็ชรนิล")</f>
        <v>นายภาคภูมิ เพ็ชรนิล</v>
      </c>
      <c r="L1557" s="1" t="str">
        <f>IFERROR(__xludf.DUMMYFUNCTION("""COMPUTED_VALUE"""),"10 K.Phakphoom P.")</f>
        <v>10 K.Phakphoom P.</v>
      </c>
      <c r="M1557" s="1" t="str">
        <f>IFERROR(__xludf.DUMMYFUNCTION("""COMPUTED_VALUE"""),"063-8955329")</f>
        <v>063-8955329</v>
      </c>
      <c r="N1557" s="3">
        <f>IFERROR(__xludf.DUMMYFUNCTION("""COMPUTED_VALUE"""),22584.0)</f>
        <v>22584</v>
      </c>
      <c r="O1557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557" s="4">
        <f>IFERROR(__xludf.DUMMYFUNCTION("""COMPUTED_VALUE"""),44154.0)</f>
        <v>44154</v>
      </c>
      <c r="Q1557" s="3" t="str">
        <f>IFERROR(__xludf.DUMMYFUNCTION("""COMPUTED_VALUE"""),"A")</f>
        <v>A</v>
      </c>
      <c r="R1557" s="3" t="str">
        <f>IFERROR(__xludf.DUMMYFUNCTION("""COMPUTED_VALUE"""),"Small Format")</f>
        <v>Small Format</v>
      </c>
      <c r="S1557" s="3" t="str">
        <f>IFERROR(__xludf.DUMMYFUNCTION("""COMPUTED_VALUE"""),"BCM")</f>
        <v>BCM</v>
      </c>
      <c r="T1557" s="3" t="str">
        <f>IFERROR(__xludf.DUMMYFUNCTION("""COMPUTED_VALUE"""),"#N/A")</f>
        <v>#N/A</v>
      </c>
      <c r="U1557" s="3" t="str">
        <f>IFERROR(__xludf.DUMMYFUNCTION("""COMPUTED_VALUE"""),"#N/A")</f>
        <v>#N/A</v>
      </c>
      <c r="V1557" s="3" t="str">
        <f>IFERROR(__xludf.DUMMYFUNCTION("""COMPUTED_VALUE"""),"N")</f>
        <v>N</v>
      </c>
      <c r="W1557" s="3">
        <f>IFERROR(__xludf.DUMMYFUNCTION("""COMPUTED_VALUE"""),210284.0)</f>
        <v>210284</v>
      </c>
      <c r="X1557" s="3" t="str">
        <f>IFERROR(__xludf.DUMMYFUNCTION("""COMPUTED_VALUE"""),"8/5 หมู่4 ตำบลบางแม่นาง อำเภอบางใหญ่ จังหวัดนนทบุรี 11140")</f>
        <v>8/5 หมู่4 ตำบลบางแม่นาง อำเภอบางใหญ่ จังหวัดนนทบุรี 11140</v>
      </c>
      <c r="Y1557" s="3"/>
      <c r="Z1557" s="3" t="str">
        <f>IFERROR(__xludf.DUMMYFUNCTION("""COMPUTED_VALUE"""),"บางแม่นาง")</f>
        <v>บางแม่นาง</v>
      </c>
      <c r="AA1557" s="3" t="str">
        <f>IFERROR(__xludf.DUMMYFUNCTION("""COMPUTED_VALUE"""),"บางใหญ่")</f>
        <v>บางใหญ่</v>
      </c>
      <c r="AB1557" s="3" t="str">
        <f>IFERROR(__xludf.DUMMYFUNCTION("""COMPUTED_VALUE"""),"นนทบุรี")</f>
        <v>นนทบุรี</v>
      </c>
      <c r="AC1557" s="3">
        <f>IFERROR(__xludf.DUMMYFUNCTION("""COMPUTED_VALUE"""),11140.0)</f>
        <v>11140</v>
      </c>
      <c r="AD1557" s="3">
        <f>IFERROR(__xludf.DUMMYFUNCTION("""COMPUTED_VALUE"""),13.871297)</f>
        <v>13.871297</v>
      </c>
      <c r="AE1557" s="3">
        <f>IFERROR(__xludf.DUMMYFUNCTION("""COMPUTED_VALUE"""),100.37691)</f>
        <v>100.37691</v>
      </c>
      <c r="AF1557" s="3" t="str">
        <f>IFERROR(__xludf.DUMMYFUNCTION("""COMPUTED_VALUE"""),"MBC พฤกษา26 นนทบุรี-22242")</f>
        <v>MBC พฤกษา26 นนทบุรี-22242</v>
      </c>
      <c r="AG1557" s="3" t="str">
        <f>IFERROR(__xludf.DUMMYFUNCTION("""COMPUTED_VALUE"""),"กลาง")</f>
        <v>กลาง</v>
      </c>
      <c r="AH1557" s="3" t="str">
        <f>IFERROR(__xludf.DUMMYFUNCTION("""COMPUTED_VALUE"""),"#N/A")</f>
        <v>#N/A</v>
      </c>
      <c r="AI1557" s="3" t="str">
        <f>IFERROR(__xludf.DUMMYFUNCTION("""COMPUTED_VALUE"""),"Out of warranty")</f>
        <v>Out of warranty</v>
      </c>
      <c r="AJ1557" s="3">
        <f>IFERROR(__xludf.DUMMYFUNCTION("""COMPUTED_VALUE"""),63.0)</f>
        <v>63</v>
      </c>
      <c r="AK1557" s="3" t="str">
        <f>IFERROR(__xludf.DUMMYFUNCTION("""COMPUTED_VALUE"""),"MMS04")</f>
        <v>MMS04</v>
      </c>
      <c r="AL1557" s="3"/>
    </row>
    <row r="1558" ht="15.75" customHeight="1">
      <c r="A1558" s="1" t="str">
        <f>IFERROR(__xludf.DUMMYFUNCTION("""COMPUTED_VALUE"""),"22243")</f>
        <v>22243</v>
      </c>
      <c r="B1558" s="2">
        <f>IFERROR(__xludf.DUMMYFUNCTION("""COMPUTED_VALUE"""),22243.0)</f>
        <v>22243</v>
      </c>
      <c r="C1558" s="3" t="str">
        <f>IFERROR(__xludf.DUMMYFUNCTION("""COMPUTED_VALUE"""),"MBC ประชาอุทิศ 33 กรุงเทพฯ")</f>
        <v>MBC ประชาอุทิศ 33 กรุงเทพฯ</v>
      </c>
      <c r="D1558" s="3" t="str">
        <f>IFERROR(__xludf.DUMMYFUNCTION("""COMPUTED_VALUE"""),"BCM PRACHA UTHIT 33")</f>
        <v>BCM PRACHA UTHIT 33</v>
      </c>
      <c r="E1558" s="1" t="str">
        <f>IFERROR(__xludf.DUMMYFUNCTION("""COMPUTED_VALUE"""),"บิ๊กซี MINI")</f>
        <v>บิ๊กซี MINI</v>
      </c>
      <c r="F1558" s="1" t="str">
        <f>IFERROR(__xludf.DUMMYFUNCTION("""COMPUTED_VALUE"""),"291008")</f>
        <v>291008</v>
      </c>
      <c r="G1558" s="1" t="str">
        <f>IFERROR(__xludf.DUMMYFUNCTION("""COMPUTED_VALUE"""),"น.ส.รัชดาพร อีศรัตน์")</f>
        <v>น.ส.รัชดาพร อีศรัตน์</v>
      </c>
      <c r="H1558" s="1" t="str">
        <f>IFERROR(__xludf.DUMMYFUNCTION("""COMPUTED_VALUE"""),"250921")</f>
        <v>250921</v>
      </c>
      <c r="I1558" s="1" t="str">
        <f>IFERROR(__xludf.DUMMYFUNCTION("""COMPUTED_VALUE"""),"นายปรัชญาวัต ถิระสังวร")</f>
        <v>นายปรัชญาวัต ถิระสังวร</v>
      </c>
      <c r="J1558" s="3">
        <f>IFERROR(__xludf.DUMMYFUNCTION("""COMPUTED_VALUE"""),296728.0)</f>
        <v>296728</v>
      </c>
      <c r="K1558" s="3" t="str">
        <f>IFERROR(__xludf.DUMMYFUNCTION("""COMPUTED_VALUE"""),"นายธิติ บัวทองรังสิมา")</f>
        <v>นายธิติ บัวทองรังสิมา</v>
      </c>
      <c r="L1558" s="1" t="str">
        <f>IFERROR(__xludf.DUMMYFUNCTION("""COMPUTED_VALUE"""),"นายธิติ บัวทองรังสิมา")</f>
        <v>นายธิติ บัวทองรังสิมา</v>
      </c>
      <c r="M1558" s="1" t="str">
        <f>IFERROR(__xludf.DUMMYFUNCTION("""COMPUTED_VALUE"""),"0920849994")</f>
        <v>0920849994</v>
      </c>
      <c r="N1558" s="3">
        <f>IFERROR(__xludf.DUMMYFUNCTION("""COMPUTED_VALUE"""),21012.0)</f>
        <v>21012</v>
      </c>
      <c r="O1558" s="3" t="str">
        <f>IFERROR(__xludf.DUMMYFUNCTION("""COMPUTED_VALUE"""),"MBC ท่าอิฐ")</f>
        <v>MBC ท่าอิฐ</v>
      </c>
      <c r="P1558" s="4">
        <f>IFERROR(__xludf.DUMMYFUNCTION("""COMPUTED_VALUE"""),44157.0)</f>
        <v>44157</v>
      </c>
      <c r="Q1558" s="3" t="str">
        <f>IFERROR(__xludf.DUMMYFUNCTION("""COMPUTED_VALUE"""),"I")</f>
        <v>I</v>
      </c>
      <c r="R1558" s="3" t="str">
        <f>IFERROR(__xludf.DUMMYFUNCTION("""COMPUTED_VALUE"""),"Small Format")</f>
        <v>Small Format</v>
      </c>
      <c r="S1558" s="3" t="str">
        <f>IFERROR(__xludf.DUMMYFUNCTION("""COMPUTED_VALUE"""),"BCM")</f>
        <v>BCM</v>
      </c>
      <c r="T1558" s="3" t="str">
        <f>IFERROR(__xludf.DUMMYFUNCTION("""COMPUTED_VALUE"""),"#N/A")</f>
        <v>#N/A</v>
      </c>
      <c r="U1558" s="3" t="str">
        <f>IFERROR(__xludf.DUMMYFUNCTION("""COMPUTED_VALUE"""),"#N/A")</f>
        <v>#N/A</v>
      </c>
      <c r="V1558" s="3" t="str">
        <f>IFERROR(__xludf.DUMMYFUNCTION("""COMPUTED_VALUE"""),"N")</f>
        <v>N</v>
      </c>
      <c r="W1558" s="3">
        <f>IFERROR(__xludf.DUMMYFUNCTION("""COMPUTED_VALUE"""),210279.0)</f>
        <v>210279</v>
      </c>
      <c r="X1558" s="3" t="str">
        <f>IFERROR(__xludf.DUMMYFUNCTION("""COMPUTED_VALUE"""),"11 ซอยประชาอุทิศ 33 แขวงบางมด เขตทุ่งครุ จังหวัดกรุงเทพมหานคร 10140")</f>
        <v>11 ซอยประชาอุทิศ 33 แขวงบางมด เขตทุ่งครุ จังหวัดกรุงเทพมหานคร 10140</v>
      </c>
      <c r="Y1558" s="3" t="str">
        <f>IFERROR(__xludf.DUMMYFUNCTION("""COMPUTED_VALUE"""),"ซอยประชาอุทิศ33")</f>
        <v>ซอยประชาอุทิศ33</v>
      </c>
      <c r="Z1558" s="3" t="str">
        <f>IFERROR(__xludf.DUMMYFUNCTION("""COMPUTED_VALUE"""),"บางมด")</f>
        <v>บางมด</v>
      </c>
      <c r="AA1558" s="3" t="str">
        <f>IFERROR(__xludf.DUMMYFUNCTION("""COMPUTED_VALUE"""),"ทุ่งครุ")</f>
        <v>ทุ่งครุ</v>
      </c>
      <c r="AB1558" s="3" t="str">
        <f>IFERROR(__xludf.DUMMYFUNCTION("""COMPUTED_VALUE"""),"กรุงเทพมหานคร")</f>
        <v>กรุงเทพมหานคร</v>
      </c>
      <c r="AC1558" s="3">
        <f>IFERROR(__xludf.DUMMYFUNCTION("""COMPUTED_VALUE"""),10140.0)</f>
        <v>10140</v>
      </c>
      <c r="AD1558" s="3">
        <f>IFERROR(__xludf.DUMMYFUNCTION("""COMPUTED_VALUE"""),13.656191)</f>
        <v>13.656191</v>
      </c>
      <c r="AE1558" s="3">
        <f>IFERROR(__xludf.DUMMYFUNCTION("""COMPUTED_VALUE"""),100.500801)</f>
        <v>100.500801</v>
      </c>
      <c r="AF1558" s="3" t="str">
        <f>IFERROR(__xludf.DUMMYFUNCTION("""COMPUTED_VALUE"""),"MBC ประชาอุทิศ 33 กรุงเทพฯ-22243")</f>
        <v>MBC ประชาอุทิศ 33 กรุงเทพฯ-22243</v>
      </c>
      <c r="AG1558" s="3" t="str">
        <f>IFERROR(__xludf.DUMMYFUNCTION("""COMPUTED_VALUE"""),"กลาง")</f>
        <v>กลาง</v>
      </c>
      <c r="AH1558" s="3" t="str">
        <f>IFERROR(__xludf.DUMMYFUNCTION("""COMPUTED_VALUE"""),"#N/A")</f>
        <v>#N/A</v>
      </c>
      <c r="AI1558" s="3" t="str">
        <f>IFERROR(__xludf.DUMMYFUNCTION("""COMPUTED_VALUE"""),"Out of warranty")</f>
        <v>Out of warranty</v>
      </c>
      <c r="AJ1558" s="3">
        <f>IFERROR(__xludf.DUMMYFUNCTION("""COMPUTED_VALUE"""),62.0)</f>
        <v>62</v>
      </c>
      <c r="AK1558" s="3" t="str">
        <f>IFERROR(__xludf.DUMMYFUNCTION("""COMPUTED_VALUE"""),"MMS02")</f>
        <v>MMS02</v>
      </c>
      <c r="AL1558" s="3"/>
    </row>
    <row r="1559" ht="15.75" customHeight="1">
      <c r="A1559" s="1" t="str">
        <f>IFERROR(__xludf.DUMMYFUNCTION("""COMPUTED_VALUE"""),"22244")</f>
        <v>22244</v>
      </c>
      <c r="B1559" s="2">
        <f>IFERROR(__xludf.DUMMYFUNCTION("""COMPUTED_VALUE"""),22244.0)</f>
        <v>22244</v>
      </c>
      <c r="C1559" s="3" t="str">
        <f>IFERROR(__xludf.DUMMYFUNCTION("""COMPUTED_VALUE"""),"MBC บางปิ้ง สมุทรปราการ")</f>
        <v>MBC บางปิ้ง สมุทรปราการ</v>
      </c>
      <c r="D1559" s="3" t="str">
        <f>IFERROR(__xludf.DUMMYFUNCTION("""COMPUTED_VALUE"""),"BCM BANG PING")</f>
        <v>BCM BANG PING</v>
      </c>
      <c r="E1559" s="1" t="str">
        <f>IFERROR(__xludf.DUMMYFUNCTION("""COMPUTED_VALUE"""),"บิ๊กซี MINI")</f>
        <v>บิ๊กซี MINI</v>
      </c>
      <c r="F1559" s="1" t="str">
        <f>IFERROR(__xludf.DUMMYFUNCTION("""COMPUTED_VALUE"""),"2083447")</f>
        <v>2083447</v>
      </c>
      <c r="G1559" s="1" t="str">
        <f>IFERROR(__xludf.DUMMYFUNCTION("""COMPUTED_VALUE"""),"นายอนุกูล ศรีลัดดา")</f>
        <v>นายอนุกูล ศรีลัดดา</v>
      </c>
      <c r="H1559" s="1" t="str">
        <f>IFERROR(__xludf.DUMMYFUNCTION("""COMPUTED_VALUE"""),"399107")</f>
        <v>399107</v>
      </c>
      <c r="I1559" s="1" t="str">
        <f>IFERROR(__xludf.DUMMYFUNCTION("""COMPUTED_VALUE"""),"นายรัชระวี กลมแป้น")</f>
        <v>นายรัชระวี กลมแป้น</v>
      </c>
      <c r="J1559" s="3">
        <f>IFERROR(__xludf.DUMMYFUNCTION("""COMPUTED_VALUE"""),510143.0)</f>
        <v>510143</v>
      </c>
      <c r="K1559" s="3" t="str">
        <f>IFERROR(__xludf.DUMMYFUNCTION("""COMPUTED_VALUE"""),"นายธีระวัฒน์ บุญสิทธิ์")</f>
        <v>นายธีระวัฒน์ บุญสิทธิ์</v>
      </c>
      <c r="L1559" s="1" t="str">
        <f>IFERROR(__xludf.DUMMYFUNCTION("""COMPUTED_VALUE"""),"12 K.Theerawat B.")</f>
        <v>12 K.Theerawat B.</v>
      </c>
      <c r="M1559" s="1" t="str">
        <f>IFERROR(__xludf.DUMMYFUNCTION("""COMPUTED_VALUE"""),"0655107379")</f>
        <v>0655107379</v>
      </c>
      <c r="N1559" s="3">
        <f>IFERROR(__xludf.DUMMYFUNCTION("""COMPUTED_VALUE"""),21062.0)</f>
        <v>21062</v>
      </c>
      <c r="O1559" s="3" t="str">
        <f>IFERROR(__xludf.DUMMYFUNCTION("""COMPUTED_VALUE"""),"MBC นิคมนวนคร")</f>
        <v>MBC นิคมนวนคร</v>
      </c>
      <c r="P1559" s="4">
        <f>IFERROR(__xludf.DUMMYFUNCTION("""COMPUTED_VALUE"""),44158.0)</f>
        <v>44158</v>
      </c>
      <c r="Q1559" s="3" t="str">
        <f>IFERROR(__xludf.DUMMYFUNCTION("""COMPUTED_VALUE"""),"A")</f>
        <v>A</v>
      </c>
      <c r="R1559" s="3" t="str">
        <f>IFERROR(__xludf.DUMMYFUNCTION("""COMPUTED_VALUE"""),"Small Format")</f>
        <v>Small Format</v>
      </c>
      <c r="S1559" s="3" t="str">
        <f>IFERROR(__xludf.DUMMYFUNCTION("""COMPUTED_VALUE"""),"BCM")</f>
        <v>BCM</v>
      </c>
      <c r="T1559" s="3" t="str">
        <f>IFERROR(__xludf.DUMMYFUNCTION("""COMPUTED_VALUE"""),"#N/A")</f>
        <v>#N/A</v>
      </c>
      <c r="U1559" s="3" t="str">
        <f>IFERROR(__xludf.DUMMYFUNCTION("""COMPUTED_VALUE"""),"#N/A")</f>
        <v>#N/A</v>
      </c>
      <c r="V1559" s="3" t="str">
        <f>IFERROR(__xludf.DUMMYFUNCTION("""COMPUTED_VALUE"""),"N")</f>
        <v>N</v>
      </c>
      <c r="W1559" s="3">
        <f>IFERROR(__xludf.DUMMYFUNCTION("""COMPUTED_VALUE"""),210287.0)</f>
        <v>210287</v>
      </c>
      <c r="X1559" s="3" t="str">
        <f>IFERROR(__xludf.DUMMYFUNCTION("""COMPUTED_VALUE"""),"40/46 หมู่5 ตำบลบางเมือง อำเภอเมืองสมุทรปราการ จังหวัดสมุทรปราการ 10270")</f>
        <v>40/46 หมู่5 ตำบลบางเมือง อำเภอเมืองสมุทรปราการ จังหวัดสมุทรปราการ 10270</v>
      </c>
      <c r="Y1559" s="3"/>
      <c r="Z1559" s="3" t="str">
        <f>IFERROR(__xludf.DUMMYFUNCTION("""COMPUTED_VALUE"""),"บางเมือง")</f>
        <v>บางเมือง</v>
      </c>
      <c r="AA1559" s="3" t="str">
        <f>IFERROR(__xludf.DUMMYFUNCTION("""COMPUTED_VALUE"""),"เมืองสมุทรปราการ")</f>
        <v>เมืองสมุทรปราการ</v>
      </c>
      <c r="AB1559" s="3" t="str">
        <f>IFERROR(__xludf.DUMMYFUNCTION("""COMPUTED_VALUE"""),"สมุทรปราการ")</f>
        <v>สมุทรปราการ</v>
      </c>
      <c r="AC1559" s="3">
        <f>IFERROR(__xludf.DUMMYFUNCTION("""COMPUTED_VALUE"""),10270.0)</f>
        <v>10270</v>
      </c>
      <c r="AD1559" s="3">
        <f>IFERROR(__xludf.DUMMYFUNCTION("""COMPUTED_VALUE"""),13.60838)</f>
        <v>13.60838</v>
      </c>
      <c r="AE1559" s="3">
        <f>IFERROR(__xludf.DUMMYFUNCTION("""COMPUTED_VALUE"""),100.618037)</f>
        <v>100.618037</v>
      </c>
      <c r="AF1559" s="3" t="str">
        <f>IFERROR(__xludf.DUMMYFUNCTION("""COMPUTED_VALUE"""),"MBC บางปิ้ง สมุทรปราการ-22244")</f>
        <v>MBC บางปิ้ง สมุทรปราการ-22244</v>
      </c>
      <c r="AG1559" s="3" t="str">
        <f>IFERROR(__xludf.DUMMYFUNCTION("""COMPUTED_VALUE"""),"กลาง")</f>
        <v>กลาง</v>
      </c>
      <c r="AH1559" s="3" t="str">
        <f>IFERROR(__xludf.DUMMYFUNCTION("""COMPUTED_VALUE"""),"#N/A")</f>
        <v>#N/A</v>
      </c>
      <c r="AI1559" s="3" t="str">
        <f>IFERROR(__xludf.DUMMYFUNCTION("""COMPUTED_VALUE"""),"Out of warranty")</f>
        <v>Out of warranty</v>
      </c>
      <c r="AJ1559" s="3">
        <f>IFERROR(__xludf.DUMMYFUNCTION("""COMPUTED_VALUE"""),62.0)</f>
        <v>62</v>
      </c>
      <c r="AK1559" s="3" t="str">
        <f>IFERROR(__xludf.DUMMYFUNCTION("""COMPUTED_VALUE"""),"MMS02")</f>
        <v>MMS02</v>
      </c>
      <c r="AL1559" s="3"/>
    </row>
    <row r="1560" ht="15.75" customHeight="1">
      <c r="A1560" s="1" t="str">
        <f>IFERROR(__xludf.DUMMYFUNCTION("""COMPUTED_VALUE"""),"22245")</f>
        <v>22245</v>
      </c>
      <c r="B1560" s="2">
        <f>IFERROR(__xludf.DUMMYFUNCTION("""COMPUTED_VALUE"""),22245.0)</f>
        <v>22245</v>
      </c>
      <c r="C1560" s="3" t="str">
        <f>IFERROR(__xludf.DUMMYFUNCTION("""COMPUTED_VALUE"""),"MBC กลางซอยห้างแก้ว ระยอง")</f>
        <v>MBC กลางซอยห้างแก้ว ระยอง</v>
      </c>
      <c r="D1560" s="3" t="str">
        <f>IFERROR(__xludf.DUMMYFUNCTION("""COMPUTED_VALUE"""),"BCM KLANG SOI HANG KEAW")</f>
        <v>BCM KLANG SOI HANG KEAW</v>
      </c>
      <c r="E1560" s="1" t="str">
        <f>IFERROR(__xludf.DUMMYFUNCTION("""COMPUTED_VALUE"""),"บิ๊กซี MINI")</f>
        <v>บิ๊กซี MINI</v>
      </c>
      <c r="F1560" s="1" t="str">
        <f>IFERROR(__xludf.DUMMYFUNCTION("""COMPUTED_VALUE"""),"221716")</f>
        <v>221716</v>
      </c>
      <c r="G1560" s="1" t="str">
        <f>IFERROR(__xludf.DUMMYFUNCTION("""COMPUTED_VALUE"""),"น.ส.เบญจพร โพธิสาร")</f>
        <v>น.ส.เบญจพร โพธิสาร</v>
      </c>
      <c r="H1560" s="1" t="str">
        <f>IFERROR(__xludf.DUMMYFUNCTION("""COMPUTED_VALUE"""),"371384")</f>
        <v>371384</v>
      </c>
      <c r="I1560" s="1" t="str">
        <f>IFERROR(__xludf.DUMMYFUNCTION("""COMPUTED_VALUE"""),"น.ส.นิลเนตร สิงห์ทอง")</f>
        <v>น.ส.นิลเนตร สิงห์ทอง</v>
      </c>
      <c r="J1560" s="3">
        <f>IFERROR(__xludf.DUMMYFUNCTION("""COMPUTED_VALUE"""),2452376.0)</f>
        <v>2452376</v>
      </c>
      <c r="K1560" s="3" t="str">
        <f>IFERROR(__xludf.DUMMYFUNCTION("""COMPUTED_VALUE"""),"นายภาคภูมิ ทวีกุล")</f>
        <v>นายภาคภูมิ ทวีกุล</v>
      </c>
      <c r="L1560" s="1" t="str">
        <f>IFERROR(__xludf.DUMMYFUNCTION("""COMPUTED_VALUE"""),"08 K.Parkphum T.")</f>
        <v>08 K.Parkphum T.</v>
      </c>
      <c r="M1560" s="1" t="str">
        <f>IFERROR(__xludf.DUMMYFUNCTION("""COMPUTED_VALUE"""),"097-919-5476")</f>
        <v>097-919-5476</v>
      </c>
      <c r="N1560" s="3">
        <f>IFERROR(__xludf.DUMMYFUNCTION("""COMPUTED_VALUE"""),22028.0)</f>
        <v>22028</v>
      </c>
      <c r="O1560" s="3" t="str">
        <f>IFERROR(__xludf.DUMMYFUNCTION("""COMPUTED_VALUE"""),"MBC ทํบมา ระยอง")</f>
        <v>MBC ทํบมา ระยอง</v>
      </c>
      <c r="P1560" s="4">
        <f>IFERROR(__xludf.DUMMYFUNCTION("""COMPUTED_VALUE"""),44158.0)</f>
        <v>44158</v>
      </c>
      <c r="Q1560" s="3" t="str">
        <f>IFERROR(__xludf.DUMMYFUNCTION("""COMPUTED_VALUE"""),"A")</f>
        <v>A</v>
      </c>
      <c r="R1560" s="3" t="str">
        <f>IFERROR(__xludf.DUMMYFUNCTION("""COMPUTED_VALUE"""),"Small Format")</f>
        <v>Small Format</v>
      </c>
      <c r="S1560" s="3" t="str">
        <f>IFERROR(__xludf.DUMMYFUNCTION("""COMPUTED_VALUE"""),"BCM")</f>
        <v>BCM</v>
      </c>
      <c r="T1560" s="3" t="str">
        <f>IFERROR(__xludf.DUMMYFUNCTION("""COMPUTED_VALUE"""),"#N/A")</f>
        <v>#N/A</v>
      </c>
      <c r="U1560" s="3" t="str">
        <f>IFERROR(__xludf.DUMMYFUNCTION("""COMPUTED_VALUE"""),"#N/A")</f>
        <v>#N/A</v>
      </c>
      <c r="V1560" s="3" t="str">
        <f>IFERROR(__xludf.DUMMYFUNCTION("""COMPUTED_VALUE"""),"N")</f>
        <v>N</v>
      </c>
      <c r="W1560" s="3">
        <f>IFERROR(__xludf.DUMMYFUNCTION("""COMPUTED_VALUE"""),210301.0)</f>
        <v>210301</v>
      </c>
      <c r="X1560" s="3" t="str">
        <f>IFERROR(__xludf.DUMMYFUNCTION("""COMPUTED_VALUE"""),"186 หมู่4 ตำบลมาบยางพร อำเภอปลวดแดง จังหวัดระยอง 21140")</f>
        <v>186 หมู่4 ตำบลมาบยางพร อำเภอปลวดแดง จังหวัดระยอง 21140</v>
      </c>
      <c r="Y1560" s="3"/>
      <c r="Z1560" s="3" t="str">
        <f>IFERROR(__xludf.DUMMYFUNCTION("""COMPUTED_VALUE"""),"มาบยางพร")</f>
        <v>มาบยางพร</v>
      </c>
      <c r="AA1560" s="3" t="str">
        <f>IFERROR(__xludf.DUMMYFUNCTION("""COMPUTED_VALUE"""),"ปลวดแดง")</f>
        <v>ปลวดแดง</v>
      </c>
      <c r="AB1560" s="3" t="str">
        <f>IFERROR(__xludf.DUMMYFUNCTION("""COMPUTED_VALUE"""),"ระยอง")</f>
        <v>ระยอง</v>
      </c>
      <c r="AC1560" s="3">
        <f>IFERROR(__xludf.DUMMYFUNCTION("""COMPUTED_VALUE"""),21140.0)</f>
        <v>21140</v>
      </c>
      <c r="AD1560" s="3">
        <f>IFERROR(__xludf.DUMMYFUNCTION("""COMPUTED_VALUE"""),13.009511)</f>
        <v>13.009511</v>
      </c>
      <c r="AE1560" s="3">
        <f>IFERROR(__xludf.DUMMYFUNCTION("""COMPUTED_VALUE"""),101.108843)</f>
        <v>101.108843</v>
      </c>
      <c r="AF1560" s="3" t="str">
        <f>IFERROR(__xludf.DUMMYFUNCTION("""COMPUTED_VALUE"""),"MBC กลางซอยห้างแก้ว ระยอง-22245")</f>
        <v>MBC กลางซอยห้างแก้ว ระยอง-22245</v>
      </c>
      <c r="AG1560" s="3" t="str">
        <f>IFERROR(__xludf.DUMMYFUNCTION("""COMPUTED_VALUE"""),"ตะวันออก")</f>
        <v>ตะวันออก</v>
      </c>
      <c r="AH1560" s="3" t="str">
        <f>IFERROR(__xludf.DUMMYFUNCTION("""COMPUTED_VALUE"""),"#N/A")</f>
        <v>#N/A</v>
      </c>
      <c r="AI1560" s="3" t="str">
        <f>IFERROR(__xludf.DUMMYFUNCTION("""COMPUTED_VALUE"""),"Out of warranty")</f>
        <v>Out of warranty</v>
      </c>
      <c r="AJ1560" s="3">
        <f>IFERROR(__xludf.DUMMYFUNCTION("""COMPUTED_VALUE"""),62.0)</f>
        <v>62</v>
      </c>
      <c r="AK1560" s="3" t="str">
        <f>IFERROR(__xludf.DUMMYFUNCTION("""COMPUTED_VALUE"""),"MMS07")</f>
        <v>MMS07</v>
      </c>
      <c r="AL1560" s="3"/>
    </row>
    <row r="1561" ht="15.75" customHeight="1">
      <c r="A1561" s="1" t="str">
        <f>IFERROR(__xludf.DUMMYFUNCTION("""COMPUTED_VALUE"""),"22246")</f>
        <v>22246</v>
      </c>
      <c r="B1561" s="2">
        <f>IFERROR(__xludf.DUMMYFUNCTION("""COMPUTED_VALUE"""),22246.0)</f>
        <v>22246</v>
      </c>
      <c r="C1561" s="3" t="str">
        <f>IFERROR(__xludf.DUMMYFUNCTION("""COMPUTED_VALUE"""),"MBC ไทรโยคน้อย กาญจนบุรี")</f>
        <v>MBC ไทรโยคน้อย กาญจนบุรี</v>
      </c>
      <c r="D1561" s="3" t="str">
        <f>IFERROR(__xludf.DUMMYFUNCTION("""COMPUTED_VALUE"""),"BCM SAI YOK NOI")</f>
        <v>BCM SAI YOK NOI</v>
      </c>
      <c r="E1561" s="1" t="str">
        <f>IFERROR(__xludf.DUMMYFUNCTION("""COMPUTED_VALUE"""),"บิ๊กซี MINI")</f>
        <v>บิ๊กซี MINI</v>
      </c>
      <c r="F1561" s="1" t="str">
        <f>IFERROR(__xludf.DUMMYFUNCTION("""COMPUTED_VALUE"""),"2083447")</f>
        <v>2083447</v>
      </c>
      <c r="G1561" s="1" t="str">
        <f>IFERROR(__xludf.DUMMYFUNCTION("""COMPUTED_VALUE"""),"นายอนุกูล ศรีลัดดา")</f>
        <v>นายอนุกูล ศรีลัดดา</v>
      </c>
      <c r="H1561" s="1" t="str">
        <f>IFERROR(__xludf.DUMMYFUNCTION("""COMPUTED_VALUE"""),"391191")</f>
        <v>391191</v>
      </c>
      <c r="I1561" s="1" t="str">
        <f>IFERROR(__xludf.DUMMYFUNCTION("""COMPUTED_VALUE"""),"นายวสันต์ สรงพรมทิพย์")</f>
        <v>นายวสันต์ สรงพรมทิพย์</v>
      </c>
      <c r="J1561" s="3">
        <f>IFERROR(__xludf.DUMMYFUNCTION("""COMPUTED_VALUE"""),2451655.0)</f>
        <v>2451655</v>
      </c>
      <c r="K1561" s="3" t="str">
        <f>IFERROR(__xludf.DUMMYFUNCTION("""COMPUTED_VALUE"""),"นายวิษณุพงษ์ ชินบุตร")</f>
        <v>นายวิษณุพงษ์ ชินบุตร</v>
      </c>
      <c r="L1561" s="1" t="str">
        <f>IFERROR(__xludf.DUMMYFUNCTION("""COMPUTED_VALUE"""),"13 K.Wisanupong Ch")</f>
        <v>13 K.Wisanupong Ch</v>
      </c>
      <c r="M1561" s="1" t="str">
        <f>IFERROR(__xludf.DUMMYFUNCTION("""COMPUTED_VALUE"""),"0843374693")</f>
        <v>0843374693</v>
      </c>
      <c r="N1561" s="3">
        <f>IFERROR(__xludf.DUMMYFUNCTION("""COMPUTED_VALUE"""),22729.0)</f>
        <v>22729</v>
      </c>
      <c r="O1561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561" s="4">
        <f>IFERROR(__xludf.DUMMYFUNCTION("""COMPUTED_VALUE"""),44158.0)</f>
        <v>44158</v>
      </c>
      <c r="Q1561" s="3" t="str">
        <f>IFERROR(__xludf.DUMMYFUNCTION("""COMPUTED_VALUE"""),"A")</f>
        <v>A</v>
      </c>
      <c r="R1561" s="3" t="str">
        <f>IFERROR(__xludf.DUMMYFUNCTION("""COMPUTED_VALUE"""),"Small Format")</f>
        <v>Small Format</v>
      </c>
      <c r="S1561" s="3" t="str">
        <f>IFERROR(__xludf.DUMMYFUNCTION("""COMPUTED_VALUE"""),"BCM")</f>
        <v>BCM</v>
      </c>
      <c r="T1561" s="3" t="str">
        <f>IFERROR(__xludf.DUMMYFUNCTION("""COMPUTED_VALUE"""),"#N/A")</f>
        <v>#N/A</v>
      </c>
      <c r="U1561" s="3" t="str">
        <f>IFERROR(__xludf.DUMMYFUNCTION("""COMPUTED_VALUE"""),"#N/A")</f>
        <v>#N/A</v>
      </c>
      <c r="V1561" s="3" t="str">
        <f>IFERROR(__xludf.DUMMYFUNCTION("""COMPUTED_VALUE"""),"N")</f>
        <v>N</v>
      </c>
      <c r="W1561" s="3">
        <f>IFERROR(__xludf.DUMMYFUNCTION("""COMPUTED_VALUE"""),210269.0)</f>
        <v>210269</v>
      </c>
      <c r="X1561" s="3" t="str">
        <f>IFERROR(__xludf.DUMMYFUNCTION("""COMPUTED_VALUE"""),"851 หมู่3 ตำบลท่าเสา อำเภอไทรโยค จังหวัดกาญจนบุรี 71150")</f>
        <v>851 หมู่3 ตำบลท่าเสา อำเภอไทรโยค จังหวัดกาญจนบุรี 71150</v>
      </c>
      <c r="Y1561" s="3"/>
      <c r="Z1561" s="3" t="str">
        <f>IFERROR(__xludf.DUMMYFUNCTION("""COMPUTED_VALUE"""),"ท่าเสา")</f>
        <v>ท่าเสา</v>
      </c>
      <c r="AA1561" s="3" t="str">
        <f>IFERROR(__xludf.DUMMYFUNCTION("""COMPUTED_VALUE"""),"ไทรโยค")</f>
        <v>ไทรโยค</v>
      </c>
      <c r="AB1561" s="3" t="str">
        <f>IFERROR(__xludf.DUMMYFUNCTION("""COMPUTED_VALUE"""),"กาญจนบุรี")</f>
        <v>กาญจนบุรี</v>
      </c>
      <c r="AC1561" s="3">
        <f>IFERROR(__xludf.DUMMYFUNCTION("""COMPUTED_VALUE"""),71150.0)</f>
        <v>71150</v>
      </c>
      <c r="AD1561" s="3">
        <f>IFERROR(__xludf.DUMMYFUNCTION("""COMPUTED_VALUE"""),14.229533)</f>
        <v>14.229533</v>
      </c>
      <c r="AE1561" s="3">
        <f>IFERROR(__xludf.DUMMYFUNCTION("""COMPUTED_VALUE"""),99.065038)</f>
        <v>99.065038</v>
      </c>
      <c r="AF1561" s="3" t="str">
        <f>IFERROR(__xludf.DUMMYFUNCTION("""COMPUTED_VALUE"""),"MBC ไทรโยคน้อย กาญจนบุรี-22246")</f>
        <v>MBC ไทรโยคน้อย กาญจนบุรี-22246</v>
      </c>
      <c r="AG1561" s="3" t="str">
        <f>IFERROR(__xludf.DUMMYFUNCTION("""COMPUTED_VALUE"""),"ตะวันตก")</f>
        <v>ตะวันตก</v>
      </c>
      <c r="AH1561" s="3" t="str">
        <f>IFERROR(__xludf.DUMMYFUNCTION("""COMPUTED_VALUE"""),"#N/A")</f>
        <v>#N/A</v>
      </c>
      <c r="AI1561" s="3" t="str">
        <f>IFERROR(__xludf.DUMMYFUNCTION("""COMPUTED_VALUE"""),"Out of warranty")</f>
        <v>Out of warranty</v>
      </c>
      <c r="AJ1561" s="3">
        <f>IFERROR(__xludf.DUMMYFUNCTION("""COMPUTED_VALUE"""),62.0)</f>
        <v>62</v>
      </c>
      <c r="AK1561" s="3" t="str">
        <f>IFERROR(__xludf.DUMMYFUNCTION("""COMPUTED_VALUE"""),"MMS05")</f>
        <v>MMS05</v>
      </c>
      <c r="AL1561" s="3"/>
    </row>
    <row r="1562" ht="15.75" customHeight="1">
      <c r="A1562" s="1" t="str">
        <f>IFERROR(__xludf.DUMMYFUNCTION("""COMPUTED_VALUE"""),"22247")</f>
        <v>22247</v>
      </c>
      <c r="B1562" s="2">
        <f>IFERROR(__xludf.DUMMYFUNCTION("""COMPUTED_VALUE"""),22247.0)</f>
        <v>22247</v>
      </c>
      <c r="C1562" s="3" t="str">
        <f>IFERROR(__xludf.DUMMYFUNCTION("""COMPUTED_VALUE"""),"MBC ถ.ผังเมือง 4 (ซ.บานา) ยะลา")</f>
        <v>MBC ถ.ผังเมือง 4 (ซ.บานา) ยะลา</v>
      </c>
      <c r="D1562" s="3" t="str">
        <f>IFERROR(__xludf.DUMMYFUNCTION("""COMPUTED_VALUE"""),"BCM THANON PHANG MUENG 4")</f>
        <v>BCM THANON PHANG MUENG 4</v>
      </c>
      <c r="E1562" s="1" t="str">
        <f>IFERROR(__xludf.DUMMYFUNCTION("""COMPUTED_VALUE"""),"บิ๊กซี MINI")</f>
        <v>บิ๊กซี MINI</v>
      </c>
      <c r="F1562" s="1" t="str">
        <f>IFERROR(__xludf.DUMMYFUNCTION("""COMPUTED_VALUE"""),"250760")</f>
        <v>250760</v>
      </c>
      <c r="G1562" s="1" t="str">
        <f>IFERROR(__xludf.DUMMYFUNCTION("""COMPUTED_VALUE"""),"นายประทวน สาราบรรณ์")</f>
        <v>นายประทวน สาราบรรณ์</v>
      </c>
      <c r="H1562" s="1" t="str">
        <f>IFERROR(__xludf.DUMMYFUNCTION("""COMPUTED_VALUE"""),"485279")</f>
        <v>485279</v>
      </c>
      <c r="I1562" s="1" t="str">
        <f>IFERROR(__xludf.DUMMYFUNCTION("""COMPUTED_VALUE"""),"นายสิริพงศ์ ชูชื่น")</f>
        <v>นายสิริพงศ์ ชูชื่น</v>
      </c>
      <c r="J1562" s="3">
        <f>IFERROR(__xludf.DUMMYFUNCTION("""COMPUTED_VALUE"""),2.0470331E7)</f>
        <v>20470331</v>
      </c>
      <c r="K1562" s="3" t="str">
        <f>IFERROR(__xludf.DUMMYFUNCTION("""COMPUTED_VALUE"""),"นายสมชาย ลักษณะสุวรรณ")</f>
        <v>นายสมชาย ลักษณะสุวรรณ</v>
      </c>
      <c r="L1562" s="1" t="str">
        <f>IFERROR(__xludf.DUMMYFUNCTION("""COMPUTED_VALUE"""),"15 K.Somchai L")</f>
        <v>15 K.Somchai L</v>
      </c>
      <c r="M1562" s="1" t="str">
        <f>IFERROR(__xludf.DUMMYFUNCTION("""COMPUTED_VALUE"""),"0655107372")</f>
        <v>0655107372</v>
      </c>
      <c r="N1562" s="3">
        <f>IFERROR(__xludf.DUMMYFUNCTION("""COMPUTED_VALUE"""),21723.0)</f>
        <v>21723</v>
      </c>
      <c r="O1562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562" s="4">
        <f>IFERROR(__xludf.DUMMYFUNCTION("""COMPUTED_VALUE"""),44158.0)</f>
        <v>44158</v>
      </c>
      <c r="Q1562" s="3" t="str">
        <f>IFERROR(__xludf.DUMMYFUNCTION("""COMPUTED_VALUE"""),"A")</f>
        <v>A</v>
      </c>
      <c r="R1562" s="3" t="str">
        <f>IFERROR(__xludf.DUMMYFUNCTION("""COMPUTED_VALUE"""),"Small Format")</f>
        <v>Small Format</v>
      </c>
      <c r="S1562" s="3" t="str">
        <f>IFERROR(__xludf.DUMMYFUNCTION("""COMPUTED_VALUE"""),"BCM")</f>
        <v>BCM</v>
      </c>
      <c r="T1562" s="3" t="str">
        <f>IFERROR(__xludf.DUMMYFUNCTION("""COMPUTED_VALUE"""),"#N/A")</f>
        <v>#N/A</v>
      </c>
      <c r="U1562" s="3" t="str">
        <f>IFERROR(__xludf.DUMMYFUNCTION("""COMPUTED_VALUE"""),"#N/A")</f>
        <v>#N/A</v>
      </c>
      <c r="V1562" s="3" t="str">
        <f>IFERROR(__xludf.DUMMYFUNCTION("""COMPUTED_VALUE"""),"N")</f>
        <v>N</v>
      </c>
      <c r="W1562" s="3">
        <f>IFERROR(__xludf.DUMMYFUNCTION("""COMPUTED_VALUE"""),210248.0)</f>
        <v>210248</v>
      </c>
      <c r="X1562" s="3" t="str">
        <f>IFERROR(__xludf.DUMMYFUNCTION("""COMPUTED_VALUE"""),"126 ถนนผังเมือง 4 ตำบลสะเตง อำเภอเมืองยะลา จังหวัดยะลา 95000")</f>
        <v>126 ถนนผังเมือง 4 ตำบลสะเตง อำเภอเมืองยะลา จังหวัดยะลา 95000</v>
      </c>
      <c r="Y1562" s="3"/>
      <c r="Z1562" s="3" t="str">
        <f>IFERROR(__xludf.DUMMYFUNCTION("""COMPUTED_VALUE"""),"สะเตง")</f>
        <v>สะเตง</v>
      </c>
      <c r="AA1562" s="3" t="str">
        <f>IFERROR(__xludf.DUMMYFUNCTION("""COMPUTED_VALUE"""),"เมือง")</f>
        <v>เมือง</v>
      </c>
      <c r="AB1562" s="3" t="str">
        <f>IFERROR(__xludf.DUMMYFUNCTION("""COMPUTED_VALUE"""),"ยะลา")</f>
        <v>ยะลา</v>
      </c>
      <c r="AC1562" s="3">
        <f>IFERROR(__xludf.DUMMYFUNCTION("""COMPUTED_VALUE"""),95000.0)</f>
        <v>95000</v>
      </c>
      <c r="AD1562" s="3">
        <f>IFERROR(__xludf.DUMMYFUNCTION("""COMPUTED_VALUE"""),6.528947)</f>
        <v>6.528947</v>
      </c>
      <c r="AE1562" s="3">
        <f>IFERROR(__xludf.DUMMYFUNCTION("""COMPUTED_VALUE"""),101.283778)</f>
        <v>101.283778</v>
      </c>
      <c r="AF1562" s="3" t="str">
        <f>IFERROR(__xludf.DUMMYFUNCTION("""COMPUTED_VALUE"""),"MBC ถ.ผังเมือง 4 (ซ.บานา) ยะลา-22247")</f>
        <v>MBC ถ.ผังเมือง 4 (ซ.บานา) ยะลา-22247</v>
      </c>
      <c r="AG1562" s="3" t="str">
        <f>IFERROR(__xludf.DUMMYFUNCTION("""COMPUTED_VALUE"""),"ใต้")</f>
        <v>ใต้</v>
      </c>
      <c r="AH1562" s="3" t="str">
        <f>IFERROR(__xludf.DUMMYFUNCTION("""COMPUTED_VALUE"""),"#N/A")</f>
        <v>#N/A</v>
      </c>
      <c r="AI1562" s="3" t="str">
        <f>IFERROR(__xludf.DUMMYFUNCTION("""COMPUTED_VALUE"""),"Out of warranty")</f>
        <v>Out of warranty</v>
      </c>
      <c r="AJ1562" s="3">
        <f>IFERROR(__xludf.DUMMYFUNCTION("""COMPUTED_VALUE"""),62.0)</f>
        <v>62</v>
      </c>
      <c r="AK1562" s="3" t="str">
        <f>IFERROR(__xludf.DUMMYFUNCTION("""COMPUTED_VALUE"""),"MMS16")</f>
        <v>MMS16</v>
      </c>
      <c r="AL1562" s="3"/>
    </row>
    <row r="1563" ht="15.75" customHeight="1">
      <c r="A1563" s="1" t="str">
        <f>IFERROR(__xludf.DUMMYFUNCTION("""COMPUTED_VALUE"""),"22248")</f>
        <v>22248</v>
      </c>
      <c r="B1563" s="2">
        <f>IFERROR(__xludf.DUMMYFUNCTION("""COMPUTED_VALUE"""),22248.0)</f>
        <v>22248</v>
      </c>
      <c r="C1563" s="3" t="str">
        <f>IFERROR(__xludf.DUMMYFUNCTION("""COMPUTED_VALUE"""),"MBC บางราวนก นนทบุรี")</f>
        <v>MBC บางราวนก นนทบุรี</v>
      </c>
      <c r="D1563" s="3" t="str">
        <f>IFERROR(__xludf.DUMMYFUNCTION("""COMPUTED_VALUE"""),"BCM BANG RAO NOK")</f>
        <v>BCM BANG RAO NOK</v>
      </c>
      <c r="E1563" s="1" t="str">
        <f>IFERROR(__xludf.DUMMYFUNCTION("""COMPUTED_VALUE"""),"บิ๊กซี MINI")</f>
        <v>บิ๊กซี MINI</v>
      </c>
      <c r="F1563" s="1" t="str">
        <f>IFERROR(__xludf.DUMMYFUNCTION("""COMPUTED_VALUE"""),"291008")</f>
        <v>291008</v>
      </c>
      <c r="G1563" s="1" t="str">
        <f>IFERROR(__xludf.DUMMYFUNCTION("""COMPUTED_VALUE"""),"น.ส.รัชดาพร อีศรัตน์")</f>
        <v>น.ส.รัชดาพร อีศรัตน์</v>
      </c>
      <c r="H1563" s="1" t="str">
        <f>IFERROR(__xludf.DUMMYFUNCTION("""COMPUTED_VALUE"""),"034068")</f>
        <v>034068</v>
      </c>
      <c r="I1563" s="1" t="str">
        <f>IFERROR(__xludf.DUMMYFUNCTION("""COMPUTED_VALUE"""),"นายสมศักดิ์ ฐานทองดี")</f>
        <v>นายสมศักดิ์ ฐานทองดี</v>
      </c>
      <c r="J1563" s="3">
        <f>IFERROR(__xludf.DUMMYFUNCTION("""COMPUTED_VALUE"""),296608.0)</f>
        <v>296608</v>
      </c>
      <c r="K1563" s="3" t="str">
        <f>IFERROR(__xludf.DUMMYFUNCTION("""COMPUTED_VALUE"""),"นายภาคภูมิ เพ็ชรนิล")</f>
        <v>นายภาคภูมิ เพ็ชรนิล</v>
      </c>
      <c r="L1563" s="3" t="str">
        <f>IFERROR(__xludf.DUMMYFUNCTION("""COMPUTED_VALUE"""),"10 K.Phakphoom P.")</f>
        <v>10 K.Phakphoom P.</v>
      </c>
      <c r="M1563" s="1" t="str">
        <f>IFERROR(__xludf.DUMMYFUNCTION("""COMPUTED_VALUE"""),"063-8955329")</f>
        <v>063-8955329</v>
      </c>
      <c r="N1563" s="3">
        <f>IFERROR(__xludf.DUMMYFUNCTION("""COMPUTED_VALUE"""),22584.0)</f>
        <v>22584</v>
      </c>
      <c r="O1563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563" s="4">
        <f>IFERROR(__xludf.DUMMYFUNCTION("""COMPUTED_VALUE"""),44159.0)</f>
        <v>44159</v>
      </c>
      <c r="Q1563" s="3" t="str">
        <f>IFERROR(__xludf.DUMMYFUNCTION("""COMPUTED_VALUE"""),"A")</f>
        <v>A</v>
      </c>
      <c r="R1563" s="3" t="str">
        <f>IFERROR(__xludf.DUMMYFUNCTION("""COMPUTED_VALUE"""),"Small Format")</f>
        <v>Small Format</v>
      </c>
      <c r="S1563" s="3" t="str">
        <f>IFERROR(__xludf.DUMMYFUNCTION("""COMPUTED_VALUE"""),"BCM")</f>
        <v>BCM</v>
      </c>
      <c r="T1563" s="3" t="str">
        <f>IFERROR(__xludf.DUMMYFUNCTION("""COMPUTED_VALUE"""),"#N/A")</f>
        <v>#N/A</v>
      </c>
      <c r="U1563" s="3" t="str">
        <f>IFERROR(__xludf.DUMMYFUNCTION("""COMPUTED_VALUE"""),"#N/A")</f>
        <v>#N/A</v>
      </c>
      <c r="V1563" s="3" t="str">
        <f>IFERROR(__xludf.DUMMYFUNCTION("""COMPUTED_VALUE"""),"N")</f>
        <v>N</v>
      </c>
      <c r="W1563" s="3">
        <f>IFERROR(__xludf.DUMMYFUNCTION("""COMPUTED_VALUE"""),210298.0)</f>
        <v>210298</v>
      </c>
      <c r="X1563" s="3" t="str">
        <f>IFERROR(__xludf.DUMMYFUNCTION("""COMPUTED_VALUE"""),"63/8 หมู่1 ตำบลบางคูเวียง อำเภอบางกรวย จังหวัดนนทบุรี 11130")</f>
        <v>63/8 หมู่1 ตำบลบางคูเวียง อำเภอบางกรวย จังหวัดนนทบุรี 11130</v>
      </c>
      <c r="Y1563" s="3"/>
      <c r="Z1563" s="3" t="str">
        <f>IFERROR(__xludf.DUMMYFUNCTION("""COMPUTED_VALUE"""),"บางคูเวียง")</f>
        <v>บางคูเวียง</v>
      </c>
      <c r="AA1563" s="3" t="str">
        <f>IFERROR(__xludf.DUMMYFUNCTION("""COMPUTED_VALUE"""),"บางกรวย")</f>
        <v>บางกรวย</v>
      </c>
      <c r="AB1563" s="3" t="str">
        <f>IFERROR(__xludf.DUMMYFUNCTION("""COMPUTED_VALUE"""),"นนทบุรี")</f>
        <v>นนทบุรี</v>
      </c>
      <c r="AC1563" s="3">
        <f>IFERROR(__xludf.DUMMYFUNCTION("""COMPUTED_VALUE"""),11130.0)</f>
        <v>11130</v>
      </c>
      <c r="AD1563" s="3">
        <f>IFERROR(__xludf.DUMMYFUNCTION("""COMPUTED_VALUE"""),13.815223)</f>
        <v>13.815223</v>
      </c>
      <c r="AE1563" s="3">
        <f>IFERROR(__xludf.DUMMYFUNCTION("""COMPUTED_VALUE"""),100.420931)</f>
        <v>100.420931</v>
      </c>
      <c r="AF1563" s="3" t="str">
        <f>IFERROR(__xludf.DUMMYFUNCTION("""COMPUTED_VALUE"""),"MBC บางราวนก นนทบุรี-22248")</f>
        <v>MBC บางราวนก นนทบุรี-22248</v>
      </c>
      <c r="AG1563" s="3" t="str">
        <f>IFERROR(__xludf.DUMMYFUNCTION("""COMPUTED_VALUE"""),"กลาง")</f>
        <v>กลาง</v>
      </c>
      <c r="AH1563" s="3" t="str">
        <f>IFERROR(__xludf.DUMMYFUNCTION("""COMPUTED_VALUE"""),"#N/A")</f>
        <v>#N/A</v>
      </c>
      <c r="AI1563" s="3" t="str">
        <f>IFERROR(__xludf.DUMMYFUNCTION("""COMPUTED_VALUE"""),"Out of warranty")</f>
        <v>Out of warranty</v>
      </c>
      <c r="AJ1563" s="3">
        <f>IFERROR(__xludf.DUMMYFUNCTION("""COMPUTED_VALUE"""),62.0)</f>
        <v>62</v>
      </c>
      <c r="AK1563" s="3" t="str">
        <f>IFERROR(__xludf.DUMMYFUNCTION("""COMPUTED_VALUE"""),"MMS01")</f>
        <v>MMS01</v>
      </c>
      <c r="AL1563" s="3"/>
    </row>
    <row r="1564" ht="15.75" customHeight="1">
      <c r="A1564" s="1" t="str">
        <f>IFERROR(__xludf.DUMMYFUNCTION("""COMPUTED_VALUE"""),"22249")</f>
        <v>22249</v>
      </c>
      <c r="B1564" s="2">
        <f>IFERROR(__xludf.DUMMYFUNCTION("""COMPUTED_VALUE"""),22249.0)</f>
        <v>22249</v>
      </c>
      <c r="C1564" s="3" t="str">
        <f>IFERROR(__xludf.DUMMYFUNCTION("""COMPUTED_VALUE"""),"MBC รามคำแหง 24 แยก 6 กรุงเทพฯ")</f>
        <v>MBC รามคำแหง 24 แยก 6 กรุงเทพฯ</v>
      </c>
      <c r="D1564" s="3" t="str">
        <f>IFERROR(__xludf.DUMMYFUNCTION("""COMPUTED_VALUE"""),"BCM RAMKHAMHAENG 24 YEAK 6")</f>
        <v>BCM RAMKHAMHAENG 24 YEAK 6</v>
      </c>
      <c r="E1564" s="1" t="str">
        <f>IFERROR(__xludf.DUMMYFUNCTION("""COMPUTED_VALUE"""),"บิ๊กซี MINI")</f>
        <v>บิ๊กซี MINI</v>
      </c>
      <c r="F1564" s="1" t="str">
        <f>IFERROR(__xludf.DUMMYFUNCTION("""COMPUTED_VALUE"""),"291008")</f>
        <v>291008</v>
      </c>
      <c r="G1564" s="1" t="str">
        <f>IFERROR(__xludf.DUMMYFUNCTION("""COMPUTED_VALUE"""),"น.ส.รัชดาพร อีศรัตน์")</f>
        <v>น.ส.รัชดาพร อีศรัตน์</v>
      </c>
      <c r="H1564" s="1" t="str">
        <f>IFERROR(__xludf.DUMMYFUNCTION("""COMPUTED_VALUE"""),"468773")</f>
        <v>468773</v>
      </c>
      <c r="I1564" s="1" t="str">
        <f>IFERROR(__xludf.DUMMYFUNCTION("""COMPUTED_VALUE"""),"น.ส.พรพรรณ แซ่แต้")</f>
        <v>น.ส.พรพรรณ แซ่แต้</v>
      </c>
      <c r="J1564" s="3">
        <f>IFERROR(__xludf.DUMMYFUNCTION("""COMPUTED_VALUE"""),2452378.0)</f>
        <v>2452378</v>
      </c>
      <c r="K1564" s="3" t="str">
        <f>IFERROR(__xludf.DUMMYFUNCTION("""COMPUTED_VALUE"""),"นายศักดิ์ดา พวงประดับ")</f>
        <v>นายศักดิ์ดา พวงประดับ</v>
      </c>
      <c r="L1564" s="1" t="str">
        <f>IFERROR(__xludf.DUMMYFUNCTION("""COMPUTED_VALUE"""),"11 K.Sakda P.")</f>
        <v>11 K.Sakda P.</v>
      </c>
      <c r="M1564" s="1" t="str">
        <f>IFERROR(__xludf.DUMMYFUNCTION("""COMPUTED_VALUE"""),"065-929-1279")</f>
        <v>065-929-1279</v>
      </c>
      <c r="N1564" s="3">
        <f>IFERROR(__xludf.DUMMYFUNCTION("""COMPUTED_VALUE"""),21002.0)</f>
        <v>21002</v>
      </c>
      <c r="O1564" s="3" t="str">
        <f>IFERROR(__xludf.DUMMYFUNCTION("""COMPUTED_VALUE"""),"MBC อุดมสุข")</f>
        <v>MBC อุดมสุข</v>
      </c>
      <c r="P1564" s="4">
        <f>IFERROR(__xludf.DUMMYFUNCTION("""COMPUTED_VALUE"""),44161.0)</f>
        <v>44161</v>
      </c>
      <c r="Q1564" s="3" t="str">
        <f>IFERROR(__xludf.DUMMYFUNCTION("""COMPUTED_VALUE"""),"A")</f>
        <v>A</v>
      </c>
      <c r="R1564" s="3" t="str">
        <f>IFERROR(__xludf.DUMMYFUNCTION("""COMPUTED_VALUE"""),"Small Format")</f>
        <v>Small Format</v>
      </c>
      <c r="S1564" s="3" t="str">
        <f>IFERROR(__xludf.DUMMYFUNCTION("""COMPUTED_VALUE"""),"BCM")</f>
        <v>BCM</v>
      </c>
      <c r="T1564" s="3" t="str">
        <f>IFERROR(__xludf.DUMMYFUNCTION("""COMPUTED_VALUE"""),"#N/A")</f>
        <v>#N/A</v>
      </c>
      <c r="U1564" s="3" t="str">
        <f>IFERROR(__xludf.DUMMYFUNCTION("""COMPUTED_VALUE"""),"#N/A")</f>
        <v>#N/A</v>
      </c>
      <c r="V1564" s="3" t="str">
        <f>IFERROR(__xludf.DUMMYFUNCTION("""COMPUTED_VALUE"""),"N")</f>
        <v>N</v>
      </c>
      <c r="W1564" s="3">
        <f>IFERROR(__xludf.DUMMYFUNCTION("""COMPUTED_VALUE"""),210272.0)</f>
        <v>210272</v>
      </c>
      <c r="X1564" s="3" t="str">
        <f>IFERROR(__xludf.DUMMYFUNCTION("""COMPUTED_VALUE"""),"212 214 216 ซอย รามคำแหง 24 แขวงหัวหมาก เขตบางกะปิ จังหวัดกรุงเทพมหานคร 10240")</f>
        <v>212 214 216 ซอย รามคำแหง 24 แขวงหัวหมาก เขตบางกะปิ จังหวัดกรุงเทพมหานคร 10240</v>
      </c>
      <c r="Y1564" s="3" t="str">
        <f>IFERROR(__xludf.DUMMYFUNCTION("""COMPUTED_VALUE"""),"ซอย รามคำแหง 24")</f>
        <v>ซอย รามคำแหง 24</v>
      </c>
      <c r="Z1564" s="3" t="str">
        <f>IFERROR(__xludf.DUMMYFUNCTION("""COMPUTED_VALUE"""),"หัวหมาก")</f>
        <v>หัวหมาก</v>
      </c>
      <c r="AA1564" s="3" t="str">
        <f>IFERROR(__xludf.DUMMYFUNCTION("""COMPUTED_VALUE"""),"บางกะปิ")</f>
        <v>บางกะปิ</v>
      </c>
      <c r="AB1564" s="3" t="str">
        <f>IFERROR(__xludf.DUMMYFUNCTION("""COMPUTED_VALUE"""),"กรุงเทพมหานคร")</f>
        <v>กรุงเทพมหานคร</v>
      </c>
      <c r="AC1564" s="3">
        <f>IFERROR(__xludf.DUMMYFUNCTION("""COMPUTED_VALUE"""),10240.0)</f>
        <v>10240</v>
      </c>
      <c r="AD1564" s="3">
        <f>IFERROR(__xludf.DUMMYFUNCTION("""COMPUTED_VALUE"""),13.752547)</f>
        <v>13.752547</v>
      </c>
      <c r="AE1564" s="3">
        <f>IFERROR(__xludf.DUMMYFUNCTION("""COMPUTED_VALUE"""),100.61856)</f>
        <v>100.61856</v>
      </c>
      <c r="AF1564" s="3" t="str">
        <f>IFERROR(__xludf.DUMMYFUNCTION("""COMPUTED_VALUE"""),"MBC รามคำแหง 24 แยก 6 กรุงเทพฯ-22249")</f>
        <v>MBC รามคำแหง 24 แยก 6 กรุงเทพฯ-22249</v>
      </c>
      <c r="AG1564" s="3" t="str">
        <f>IFERROR(__xludf.DUMMYFUNCTION("""COMPUTED_VALUE"""),"กลาง")</f>
        <v>กลาง</v>
      </c>
      <c r="AH1564" s="3" t="str">
        <f>IFERROR(__xludf.DUMMYFUNCTION("""COMPUTED_VALUE"""),"#N/A")</f>
        <v>#N/A</v>
      </c>
      <c r="AI1564" s="3" t="str">
        <f>IFERROR(__xludf.DUMMYFUNCTION("""COMPUTED_VALUE"""),"Out of warranty")</f>
        <v>Out of warranty</v>
      </c>
      <c r="AJ1564" s="3">
        <f>IFERROR(__xludf.DUMMYFUNCTION("""COMPUTED_VALUE"""),62.0)</f>
        <v>62</v>
      </c>
      <c r="AK1564" s="3" t="str">
        <f>IFERROR(__xludf.DUMMYFUNCTION("""COMPUTED_VALUE"""),"MMS03")</f>
        <v>MMS03</v>
      </c>
      <c r="AL1564" s="3"/>
    </row>
    <row r="1565" ht="15.75" customHeight="1">
      <c r="A1565" s="1" t="str">
        <f>IFERROR(__xludf.DUMMYFUNCTION("""COMPUTED_VALUE"""),"22250")</f>
        <v>22250</v>
      </c>
      <c r="B1565" s="2">
        <f>IFERROR(__xludf.DUMMYFUNCTION("""COMPUTED_VALUE"""),22250.0)</f>
        <v>22250</v>
      </c>
      <c r="C1565" s="3" t="str">
        <f>IFERROR(__xludf.DUMMYFUNCTION("""COMPUTED_VALUE"""),"MBC ถ.เจษฎาวิถี สมุทรสาคร")</f>
        <v>MBC ถ.เจษฎาวิถี สมุทรสาคร</v>
      </c>
      <c r="D1565" s="3" t="str">
        <f>IFERROR(__xludf.DUMMYFUNCTION("""COMPUTED_VALUE"""),"BCM THANON JESSADA WITHI")</f>
        <v>BCM THANON JESSADA WITHI</v>
      </c>
      <c r="E1565" s="1" t="str">
        <f>IFERROR(__xludf.DUMMYFUNCTION("""COMPUTED_VALUE"""),"บิ๊กซี MINI")</f>
        <v>บิ๊กซี MINI</v>
      </c>
      <c r="F1565" s="1" t="str">
        <f>IFERROR(__xludf.DUMMYFUNCTION("""COMPUTED_VALUE"""),"2083447")</f>
        <v>2083447</v>
      </c>
      <c r="G1565" s="1" t="str">
        <f>IFERROR(__xludf.DUMMYFUNCTION("""COMPUTED_VALUE"""),"นายอนุกูล ศรีลัดดา")</f>
        <v>นายอนุกูล ศรีลัดดา</v>
      </c>
      <c r="H1565" s="1" t="str">
        <f>IFERROR(__xludf.DUMMYFUNCTION("""COMPUTED_VALUE"""),"2455053")</f>
        <v>2455053</v>
      </c>
      <c r="I1565" s="1" t="str">
        <f>IFERROR(__xludf.DUMMYFUNCTION("""COMPUTED_VALUE"""),"นายพันธมิตร โพธิ")</f>
        <v>นายพันธมิตร โพธิ</v>
      </c>
      <c r="J1565" s="3">
        <f>IFERROR(__xludf.DUMMYFUNCTION("""COMPUTED_VALUE"""),2451655.0)</f>
        <v>2451655</v>
      </c>
      <c r="K1565" s="3" t="str">
        <f>IFERROR(__xludf.DUMMYFUNCTION("""COMPUTED_VALUE"""),"นายวิษณุพงษ์ ชินบุตร")</f>
        <v>นายวิษณุพงษ์ ชินบุตร</v>
      </c>
      <c r="L1565" s="1" t="str">
        <f>IFERROR(__xludf.DUMMYFUNCTION("""COMPUTED_VALUE"""),"13 K.Wisanupong Ch")</f>
        <v>13 K.Wisanupong Ch</v>
      </c>
      <c r="M1565" s="1" t="str">
        <f>IFERROR(__xludf.DUMMYFUNCTION("""COMPUTED_VALUE"""),"0843374693")</f>
        <v>0843374693</v>
      </c>
      <c r="N1565" s="3">
        <f>IFERROR(__xludf.DUMMYFUNCTION("""COMPUTED_VALUE"""),22729.0)</f>
        <v>22729</v>
      </c>
      <c r="O1565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565" s="4">
        <f>IFERROR(__xludf.DUMMYFUNCTION("""COMPUTED_VALUE"""),44160.0)</f>
        <v>44160</v>
      </c>
      <c r="Q1565" s="3" t="str">
        <f>IFERROR(__xludf.DUMMYFUNCTION("""COMPUTED_VALUE"""),"A")</f>
        <v>A</v>
      </c>
      <c r="R1565" s="3" t="str">
        <f>IFERROR(__xludf.DUMMYFUNCTION("""COMPUTED_VALUE"""),"Small Format")</f>
        <v>Small Format</v>
      </c>
      <c r="S1565" s="3" t="str">
        <f>IFERROR(__xludf.DUMMYFUNCTION("""COMPUTED_VALUE"""),"BCM")</f>
        <v>BCM</v>
      </c>
      <c r="T1565" s="3" t="str">
        <f>IFERROR(__xludf.DUMMYFUNCTION("""COMPUTED_VALUE"""),"#N/A")</f>
        <v>#N/A</v>
      </c>
      <c r="U1565" s="3" t="str">
        <f>IFERROR(__xludf.DUMMYFUNCTION("""COMPUTED_VALUE"""),"#N/A")</f>
        <v>#N/A</v>
      </c>
      <c r="V1565" s="3" t="str">
        <f>IFERROR(__xludf.DUMMYFUNCTION("""COMPUTED_VALUE"""),"N")</f>
        <v>N</v>
      </c>
      <c r="W1565" s="3">
        <f>IFERROR(__xludf.DUMMYFUNCTION("""COMPUTED_VALUE"""),210288.0)</f>
        <v>210288</v>
      </c>
      <c r="X1565" s="3" t="str">
        <f>IFERROR(__xludf.DUMMYFUNCTION("""COMPUTED_VALUE"""),"206/46 ถนนเจษฎาวิถี ตำบลมหาชัย อำเภอเมืองสมุทรสาคร จังหวัดสมุทรสาคร 74000")</f>
        <v>206/46 ถนนเจษฎาวิถี ตำบลมหาชัย อำเภอเมืองสมุทรสาคร จังหวัดสมุทรสาคร 74000</v>
      </c>
      <c r="Y1565" s="3"/>
      <c r="Z1565" s="3" t="str">
        <f>IFERROR(__xludf.DUMMYFUNCTION("""COMPUTED_VALUE"""),"มหาชัย")</f>
        <v>มหาชัย</v>
      </c>
      <c r="AA1565" s="3" t="str">
        <f>IFERROR(__xludf.DUMMYFUNCTION("""COMPUTED_VALUE"""),"เมือง")</f>
        <v>เมือง</v>
      </c>
      <c r="AB1565" s="3" t="str">
        <f>IFERROR(__xludf.DUMMYFUNCTION("""COMPUTED_VALUE"""),"สมุทรสาคร")</f>
        <v>สมุทรสาคร</v>
      </c>
      <c r="AC1565" s="3">
        <f>IFERROR(__xludf.DUMMYFUNCTION("""COMPUTED_VALUE"""),74000.0)</f>
        <v>74000</v>
      </c>
      <c r="AD1565" s="3">
        <f>IFERROR(__xludf.DUMMYFUNCTION("""COMPUTED_VALUE"""),13.551222)</f>
        <v>13.551222</v>
      </c>
      <c r="AE1565" s="3">
        <f>IFERROR(__xludf.DUMMYFUNCTION("""COMPUTED_VALUE"""),100.295749)</f>
        <v>100.295749</v>
      </c>
      <c r="AF1565" s="3" t="str">
        <f>IFERROR(__xludf.DUMMYFUNCTION("""COMPUTED_VALUE"""),"MBC ถ.เจษฎาวิถี สมุทรสาคร-22250")</f>
        <v>MBC ถ.เจษฎาวิถี สมุทรสาคร-22250</v>
      </c>
      <c r="AG1565" s="3" t="str">
        <f>IFERROR(__xludf.DUMMYFUNCTION("""COMPUTED_VALUE"""),"กลาง")</f>
        <v>กลาง</v>
      </c>
      <c r="AH1565" s="3" t="str">
        <f>IFERROR(__xludf.DUMMYFUNCTION("""COMPUTED_VALUE"""),"#N/A")</f>
        <v>#N/A</v>
      </c>
      <c r="AI1565" s="3" t="str">
        <f>IFERROR(__xludf.DUMMYFUNCTION("""COMPUTED_VALUE"""),"Out of warranty")</f>
        <v>Out of warranty</v>
      </c>
      <c r="AJ1565" s="3">
        <f>IFERROR(__xludf.DUMMYFUNCTION("""COMPUTED_VALUE"""),62.0)</f>
        <v>62</v>
      </c>
      <c r="AK1565" s="3" t="str">
        <f>IFERROR(__xludf.DUMMYFUNCTION("""COMPUTED_VALUE"""),"MMS05")</f>
        <v>MMS05</v>
      </c>
      <c r="AL1565" s="3"/>
    </row>
    <row r="1566" ht="15.75" customHeight="1">
      <c r="A1566" s="1" t="str">
        <f>IFERROR(__xludf.DUMMYFUNCTION("""COMPUTED_VALUE"""),"22251")</f>
        <v>22251</v>
      </c>
      <c r="B1566" s="2">
        <f>IFERROR(__xludf.DUMMYFUNCTION("""COMPUTED_VALUE"""),22251.0)</f>
        <v>22251</v>
      </c>
      <c r="C1566" s="3" t="str">
        <f>IFERROR(__xludf.DUMMYFUNCTION("""COMPUTED_VALUE"""),"MBC แปลงยาว2 ฉะเชิงเทรา")</f>
        <v>MBC แปลงยาว2 ฉะเชิงเทรา</v>
      </c>
      <c r="D1566" s="3" t="str">
        <f>IFERROR(__xludf.DUMMYFUNCTION("""COMPUTED_VALUE"""),"BCM PLANGYAO2")</f>
        <v>BCM PLANGYAO2</v>
      </c>
      <c r="E1566" s="1" t="str">
        <f>IFERROR(__xludf.DUMMYFUNCTION("""COMPUTED_VALUE"""),"บิ๊กซี MINI")</f>
        <v>บิ๊กซี MINI</v>
      </c>
      <c r="F1566" s="1" t="str">
        <f>IFERROR(__xludf.DUMMYFUNCTION("""COMPUTED_VALUE"""),"2083447")</f>
        <v>2083447</v>
      </c>
      <c r="G1566" s="1" t="str">
        <f>IFERROR(__xludf.DUMMYFUNCTION("""COMPUTED_VALUE"""),"นายอนุกูล ศรีลัดดา")</f>
        <v>นายอนุกูล ศรีลัดดา</v>
      </c>
      <c r="H1566" s="1" t="str">
        <f>IFERROR(__xludf.DUMMYFUNCTION("""COMPUTED_VALUE"""),"254957")</f>
        <v>254957</v>
      </c>
      <c r="I1566" s="1" t="str">
        <f>IFERROR(__xludf.DUMMYFUNCTION("""COMPUTED_VALUE"""),"น.ส.ศิริพร รุ่งธัญญา")</f>
        <v>น.ส.ศิริพร รุ่งธัญญา</v>
      </c>
      <c r="J1566" s="3">
        <f>IFERROR(__xludf.DUMMYFUNCTION("""COMPUTED_VALUE"""),510143.0)</f>
        <v>510143</v>
      </c>
      <c r="K1566" s="3" t="str">
        <f>IFERROR(__xludf.DUMMYFUNCTION("""COMPUTED_VALUE"""),"นายธีระวัฒน์ บุญสิทธิ์")</f>
        <v>นายธีระวัฒน์ บุญสิทธิ์</v>
      </c>
      <c r="L1566" s="1" t="str">
        <f>IFERROR(__xludf.DUMMYFUNCTION("""COMPUTED_VALUE"""),"12 K.Theerawat B.")</f>
        <v>12 K.Theerawat B.</v>
      </c>
      <c r="M1566" s="1" t="str">
        <f>IFERROR(__xludf.DUMMYFUNCTION("""COMPUTED_VALUE"""),"0655107379")</f>
        <v>0655107379</v>
      </c>
      <c r="N1566" s="3">
        <f>IFERROR(__xludf.DUMMYFUNCTION("""COMPUTED_VALUE"""),21062.0)</f>
        <v>21062</v>
      </c>
      <c r="O1566" s="3" t="str">
        <f>IFERROR(__xludf.DUMMYFUNCTION("""COMPUTED_VALUE"""),"MBC นิคมนวนคร")</f>
        <v>MBC นิคมนวนคร</v>
      </c>
      <c r="P1566" s="4">
        <f>IFERROR(__xludf.DUMMYFUNCTION("""COMPUTED_VALUE"""),44162.0)</f>
        <v>44162</v>
      </c>
      <c r="Q1566" s="3" t="str">
        <f>IFERROR(__xludf.DUMMYFUNCTION("""COMPUTED_VALUE"""),"A")</f>
        <v>A</v>
      </c>
      <c r="R1566" s="3" t="str">
        <f>IFERROR(__xludf.DUMMYFUNCTION("""COMPUTED_VALUE"""),"Small Format")</f>
        <v>Small Format</v>
      </c>
      <c r="S1566" s="3" t="str">
        <f>IFERROR(__xludf.DUMMYFUNCTION("""COMPUTED_VALUE"""),"BCM")</f>
        <v>BCM</v>
      </c>
      <c r="T1566" s="3" t="str">
        <f>IFERROR(__xludf.DUMMYFUNCTION("""COMPUTED_VALUE"""),"#N/A")</f>
        <v>#N/A</v>
      </c>
      <c r="U1566" s="3" t="str">
        <f>IFERROR(__xludf.DUMMYFUNCTION("""COMPUTED_VALUE"""),"#N/A")</f>
        <v>#N/A</v>
      </c>
      <c r="V1566" s="3" t="str">
        <f>IFERROR(__xludf.DUMMYFUNCTION("""COMPUTED_VALUE"""),"N")</f>
        <v>N</v>
      </c>
      <c r="W1566" s="3">
        <f>IFERROR(__xludf.DUMMYFUNCTION("""COMPUTED_VALUE"""),210290.0)</f>
        <v>210290</v>
      </c>
      <c r="X1566" s="3" t="str">
        <f>IFERROR(__xludf.DUMMYFUNCTION("""COMPUTED_VALUE"""),"151/6 หมู่3 ตำบลวังเย็น อำเภอแปลงยาว จังหวัดฉะเชิงเทรา 24190")</f>
        <v>151/6 หมู่3 ตำบลวังเย็น อำเภอแปลงยาว จังหวัดฉะเชิงเทรา 24190</v>
      </c>
      <c r="Y1566" s="3"/>
      <c r="Z1566" s="3" t="str">
        <f>IFERROR(__xludf.DUMMYFUNCTION("""COMPUTED_VALUE"""),"วังเย็น")</f>
        <v>วังเย็น</v>
      </c>
      <c r="AA1566" s="3" t="str">
        <f>IFERROR(__xludf.DUMMYFUNCTION("""COMPUTED_VALUE"""),"แปลงยาว")</f>
        <v>แปลงยาว</v>
      </c>
      <c r="AB1566" s="3" t="str">
        <f>IFERROR(__xludf.DUMMYFUNCTION("""COMPUTED_VALUE"""),"ฉะเชิงเทรา")</f>
        <v>ฉะเชิงเทรา</v>
      </c>
      <c r="AC1566" s="3">
        <f>IFERROR(__xludf.DUMMYFUNCTION("""COMPUTED_VALUE"""),24190.0)</f>
        <v>24190</v>
      </c>
      <c r="AD1566" s="3">
        <f>IFERROR(__xludf.DUMMYFUNCTION("""COMPUTED_VALUE"""),13.581993)</f>
        <v>13.581993</v>
      </c>
      <c r="AE1566" s="3">
        <f>IFERROR(__xludf.DUMMYFUNCTION("""COMPUTED_VALUE"""),101.278164)</f>
        <v>101.278164</v>
      </c>
      <c r="AF1566" s="3" t="str">
        <f>IFERROR(__xludf.DUMMYFUNCTION("""COMPUTED_VALUE"""),"MBC แปลงยาว2 ฉะเชิงเทรา-22251")</f>
        <v>MBC แปลงยาว2 ฉะเชิงเทรา-22251</v>
      </c>
      <c r="AG1566" s="3" t="str">
        <f>IFERROR(__xludf.DUMMYFUNCTION("""COMPUTED_VALUE"""),"ตะวันออก")</f>
        <v>ตะวันออก</v>
      </c>
      <c r="AH1566" s="3" t="str">
        <f>IFERROR(__xludf.DUMMYFUNCTION("""COMPUTED_VALUE"""),"#N/A")</f>
        <v>#N/A</v>
      </c>
      <c r="AI1566" s="3" t="str">
        <f>IFERROR(__xludf.DUMMYFUNCTION("""COMPUTED_VALUE"""),"Out of warranty")</f>
        <v>Out of warranty</v>
      </c>
      <c r="AJ1566" s="3">
        <f>IFERROR(__xludf.DUMMYFUNCTION("""COMPUTED_VALUE"""),62.0)</f>
        <v>62</v>
      </c>
      <c r="AK1566" s="3" t="str">
        <f>IFERROR(__xludf.DUMMYFUNCTION("""COMPUTED_VALUE"""),"MMS07")</f>
        <v>MMS07</v>
      </c>
      <c r="AL1566" s="3"/>
    </row>
    <row r="1567" ht="15.75" customHeight="1">
      <c r="A1567" s="1" t="str">
        <f>IFERROR(__xludf.DUMMYFUNCTION("""COMPUTED_VALUE"""),"22252")</f>
        <v>22252</v>
      </c>
      <c r="B1567" s="2">
        <f>IFERROR(__xludf.DUMMYFUNCTION("""COMPUTED_VALUE"""),22252.0)</f>
        <v>22252</v>
      </c>
      <c r="C1567" s="3" t="str">
        <f>IFERROR(__xludf.DUMMYFUNCTION("""COMPUTED_VALUE"""),"MBC หาดใหญ่ใน สงขลา")</f>
        <v>MBC หาดใหญ่ใน สงขลา</v>
      </c>
      <c r="D1567" s="3" t="str">
        <f>IFERROR(__xludf.DUMMYFUNCTION("""COMPUTED_VALUE"""),"BCM HATYAI NAI SONGKHLA")</f>
        <v>BCM HATYAI NAI SONGKHLA</v>
      </c>
      <c r="E1567" s="1" t="str">
        <f>IFERROR(__xludf.DUMMYFUNCTION("""COMPUTED_VALUE"""),"บิ๊กซี MINI")</f>
        <v>บิ๊กซี MINI</v>
      </c>
      <c r="F1567" s="1" t="str">
        <f>IFERROR(__xludf.DUMMYFUNCTION("""COMPUTED_VALUE"""),"250760")</f>
        <v>250760</v>
      </c>
      <c r="G1567" s="1" t="str">
        <f>IFERROR(__xludf.DUMMYFUNCTION("""COMPUTED_VALUE"""),"นายประทวน สาราบรรณ์")</f>
        <v>นายประทวน สาราบรรณ์</v>
      </c>
      <c r="H1567" s="1" t="str">
        <f>IFERROR(__xludf.DUMMYFUNCTION("""COMPUTED_VALUE"""),"394100")</f>
        <v>394100</v>
      </c>
      <c r="I1567" s="1" t="str">
        <f>IFERROR(__xludf.DUMMYFUNCTION("""COMPUTED_VALUE"""),"นายไพโรจน์ ถิระผะลิกะ")</f>
        <v>นายไพโรจน์ ถิระผะลิกะ</v>
      </c>
      <c r="J1567" s="3">
        <f>IFERROR(__xludf.DUMMYFUNCTION("""COMPUTED_VALUE"""),2.0470331E7)</f>
        <v>20470331</v>
      </c>
      <c r="K1567" s="3" t="str">
        <f>IFERROR(__xludf.DUMMYFUNCTION("""COMPUTED_VALUE"""),"นายสมชาย ลักษณะสุวรรณ")</f>
        <v>นายสมชาย ลักษณะสุวรรณ</v>
      </c>
      <c r="L1567" s="1" t="str">
        <f>IFERROR(__xludf.DUMMYFUNCTION("""COMPUTED_VALUE"""),"15 K.Somchai L")</f>
        <v>15 K.Somchai L</v>
      </c>
      <c r="M1567" s="1" t="str">
        <f>IFERROR(__xludf.DUMMYFUNCTION("""COMPUTED_VALUE"""),"0655107372")</f>
        <v>0655107372</v>
      </c>
      <c r="N1567" s="3">
        <f>IFERROR(__xludf.DUMMYFUNCTION("""COMPUTED_VALUE"""),21723.0)</f>
        <v>21723</v>
      </c>
      <c r="O1567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567" s="4">
        <f>IFERROR(__xludf.DUMMYFUNCTION("""COMPUTED_VALUE"""),44163.0)</f>
        <v>44163</v>
      </c>
      <c r="Q1567" s="3" t="str">
        <f>IFERROR(__xludf.DUMMYFUNCTION("""COMPUTED_VALUE"""),"A")</f>
        <v>A</v>
      </c>
      <c r="R1567" s="3" t="str">
        <f>IFERROR(__xludf.DUMMYFUNCTION("""COMPUTED_VALUE"""),"Small Format")</f>
        <v>Small Format</v>
      </c>
      <c r="S1567" s="3" t="str">
        <f>IFERROR(__xludf.DUMMYFUNCTION("""COMPUTED_VALUE"""),"BCM")</f>
        <v>BCM</v>
      </c>
      <c r="T1567" s="3" t="str">
        <f>IFERROR(__xludf.DUMMYFUNCTION("""COMPUTED_VALUE"""),"#N/A")</f>
        <v>#N/A</v>
      </c>
      <c r="U1567" s="3" t="str">
        <f>IFERROR(__xludf.DUMMYFUNCTION("""COMPUTED_VALUE"""),"#N/A")</f>
        <v>#N/A</v>
      </c>
      <c r="V1567" s="3" t="str">
        <f>IFERROR(__xludf.DUMMYFUNCTION("""COMPUTED_VALUE"""),"N")</f>
        <v>N</v>
      </c>
      <c r="W1567" s="3">
        <f>IFERROR(__xludf.DUMMYFUNCTION("""COMPUTED_VALUE"""),210273.0)</f>
        <v>210273</v>
      </c>
      <c r="X1567" s="3" t="str">
        <f>IFERROR(__xludf.DUMMYFUNCTION("""COMPUTED_VALUE"""),"1371/5 ถนนเพชรเกษม ตำบลหาดใหญ่ อำเภอหาดใหญ่ จังหวัดสงขลา 90110")</f>
        <v>1371/5 ถนนเพชรเกษม ตำบลหาดใหญ่ อำเภอหาดใหญ่ จังหวัดสงขลา 90110</v>
      </c>
      <c r="Y1567" s="3"/>
      <c r="Z1567" s="3" t="str">
        <f>IFERROR(__xludf.DUMMYFUNCTION("""COMPUTED_VALUE"""),"หาดใหญ่")</f>
        <v>หาดใหญ่</v>
      </c>
      <c r="AA1567" s="3" t="str">
        <f>IFERROR(__xludf.DUMMYFUNCTION("""COMPUTED_VALUE"""),"หาดใหญ่")</f>
        <v>หาดใหญ่</v>
      </c>
      <c r="AB1567" s="3" t="str">
        <f>IFERROR(__xludf.DUMMYFUNCTION("""COMPUTED_VALUE"""),"สงขลา")</f>
        <v>สงขลา</v>
      </c>
      <c r="AC1567" s="3">
        <f>IFERROR(__xludf.DUMMYFUNCTION("""COMPUTED_VALUE"""),90110.0)</f>
        <v>90110</v>
      </c>
      <c r="AD1567" s="3">
        <f>IFERROR(__xludf.DUMMYFUNCTION("""COMPUTED_VALUE"""),6.99818)</f>
        <v>6.99818</v>
      </c>
      <c r="AE1567" s="3">
        <f>IFERROR(__xludf.DUMMYFUNCTION("""COMPUTED_VALUE"""),100.44271)</f>
        <v>100.44271</v>
      </c>
      <c r="AF1567" s="3" t="str">
        <f>IFERROR(__xludf.DUMMYFUNCTION("""COMPUTED_VALUE"""),"MBC หาดใหญ่ใน สงขลา-22252")</f>
        <v>MBC หาดใหญ่ใน สงขลา-22252</v>
      </c>
      <c r="AG1567" s="3" t="str">
        <f>IFERROR(__xludf.DUMMYFUNCTION("""COMPUTED_VALUE"""),"ใต้")</f>
        <v>ใต้</v>
      </c>
      <c r="AH1567" s="3" t="str">
        <f>IFERROR(__xludf.DUMMYFUNCTION("""COMPUTED_VALUE"""),"#N/A")</f>
        <v>#N/A</v>
      </c>
      <c r="AI1567" s="3" t="str">
        <f>IFERROR(__xludf.DUMMYFUNCTION("""COMPUTED_VALUE"""),"Out of warranty")</f>
        <v>Out of warranty</v>
      </c>
      <c r="AJ1567" s="3">
        <f>IFERROR(__xludf.DUMMYFUNCTION("""COMPUTED_VALUE"""),62.0)</f>
        <v>62</v>
      </c>
      <c r="AK1567" s="3" t="str">
        <f>IFERROR(__xludf.DUMMYFUNCTION("""COMPUTED_VALUE"""),"MMS16")</f>
        <v>MMS16</v>
      </c>
      <c r="AL1567" s="3"/>
    </row>
    <row r="1568" ht="15.75" customHeight="1">
      <c r="A1568" s="1" t="str">
        <f>IFERROR(__xludf.DUMMYFUNCTION("""COMPUTED_VALUE"""),"22253")</f>
        <v>22253</v>
      </c>
      <c r="B1568" s="2">
        <f>IFERROR(__xludf.DUMMYFUNCTION("""COMPUTED_VALUE"""),22253.0)</f>
        <v>22253</v>
      </c>
      <c r="C1568" s="3" t="str">
        <f>IFERROR(__xludf.DUMMYFUNCTION("""COMPUTED_VALUE"""),"MBC ม.เมืองยิ้ม สาย 7 นครปฐม")</f>
        <v>MBC ม.เมืองยิ้ม สาย 7 นครปฐม</v>
      </c>
      <c r="D1568" s="3" t="str">
        <f>IFERROR(__xludf.DUMMYFUNCTION("""COMPUTED_VALUE"""),"BCM MOOBAN MUEANG YIM SAI 7")</f>
        <v>BCM MOOBAN MUEANG YIM SAI 7</v>
      </c>
      <c r="E1568" s="1" t="str">
        <f>IFERROR(__xludf.DUMMYFUNCTION("""COMPUTED_VALUE"""),"บิ๊กซี MINI")</f>
        <v>บิ๊กซี MINI</v>
      </c>
      <c r="F1568" s="1" t="str">
        <f>IFERROR(__xludf.DUMMYFUNCTION("""COMPUTED_VALUE"""),"296229")</f>
        <v>296229</v>
      </c>
      <c r="G1568" s="1" t="str">
        <f>IFERROR(__xludf.DUMMYFUNCTION("""COMPUTED_VALUE"""),"นายทนงศักดิ์ บุญมา")</f>
        <v>นายทนงศักดิ์ บุญมา</v>
      </c>
      <c r="H1568" s="1" t="str">
        <f>IFERROR(__xludf.DUMMYFUNCTION("""COMPUTED_VALUE"""),"295245")</f>
        <v>295245</v>
      </c>
      <c r="I1568" s="1" t="str">
        <f>IFERROR(__xludf.DUMMYFUNCTION("""COMPUTED_VALUE"""),"นายมานะ วงศ์สุโชโต")</f>
        <v>นายมานะ วงศ์สุโชโต</v>
      </c>
      <c r="J1568" s="3">
        <f>IFERROR(__xludf.DUMMYFUNCTION("""COMPUTED_VALUE"""),46214.0)</f>
        <v>46214</v>
      </c>
      <c r="K1568" s="3" t="str">
        <f>IFERROR(__xludf.DUMMYFUNCTION("""COMPUTED_VALUE"""),"นายศักดิ์ชัย เด็ดดอกฟ้า")</f>
        <v>นายศักดิ์ชัย เด็ดดอกฟ้า</v>
      </c>
      <c r="L1568" s="1" t="str">
        <f>IFERROR(__xludf.DUMMYFUNCTION("""COMPUTED_VALUE"""),"02 K.Sakchai D")</f>
        <v>02 K.Sakchai D</v>
      </c>
      <c r="M1568" s="1" t="str">
        <f>IFERROR(__xludf.DUMMYFUNCTION("""COMPUTED_VALUE"""),"065-510-7376")</f>
        <v>065-510-7376</v>
      </c>
      <c r="N1568" s="3">
        <f>IFERROR(__xludf.DUMMYFUNCTION("""COMPUTED_VALUE"""),21714.0)</f>
        <v>21714</v>
      </c>
      <c r="O1568" s="3" t="str">
        <f>IFERROR(__xludf.DUMMYFUNCTION("""COMPUTED_VALUE"""),"MBC เอสโซ่ วัดโบสถ์")</f>
        <v>MBC เอสโซ่ วัดโบสถ์</v>
      </c>
      <c r="P1568" s="4">
        <f>IFERROR(__xludf.DUMMYFUNCTION("""COMPUTED_VALUE"""),44165.0)</f>
        <v>44165</v>
      </c>
      <c r="Q1568" s="3" t="str">
        <f>IFERROR(__xludf.DUMMYFUNCTION("""COMPUTED_VALUE"""),"A")</f>
        <v>A</v>
      </c>
      <c r="R1568" s="3" t="str">
        <f>IFERROR(__xludf.DUMMYFUNCTION("""COMPUTED_VALUE"""),"Small Format")</f>
        <v>Small Format</v>
      </c>
      <c r="S1568" s="3" t="str">
        <f>IFERROR(__xludf.DUMMYFUNCTION("""COMPUTED_VALUE"""),"BCM")</f>
        <v>BCM</v>
      </c>
      <c r="T1568" s="3" t="str">
        <f>IFERROR(__xludf.DUMMYFUNCTION("""COMPUTED_VALUE"""),"#N/A")</f>
        <v>#N/A</v>
      </c>
      <c r="U1568" s="3" t="str">
        <f>IFERROR(__xludf.DUMMYFUNCTION("""COMPUTED_VALUE"""),"#N/A")</f>
        <v>#N/A</v>
      </c>
      <c r="V1568" s="3" t="str">
        <f>IFERROR(__xludf.DUMMYFUNCTION("""COMPUTED_VALUE"""),"N")</f>
        <v>N</v>
      </c>
      <c r="W1568" s="3">
        <f>IFERROR(__xludf.DUMMYFUNCTION("""COMPUTED_VALUE"""),210316.0)</f>
        <v>210316</v>
      </c>
      <c r="X1568" s="3" t="str">
        <f>IFERROR(__xludf.DUMMYFUNCTION("""COMPUTED_VALUE"""),"13/15 หมู่ที่ 6 ตำบลหอมเกร็ด อำเภอสามพราน จังหวัดนครปฐม 73110")</f>
        <v>13/15 หมู่ที่ 6 ตำบลหอมเกร็ด อำเภอสามพราน จังหวัดนครปฐม 73110</v>
      </c>
      <c r="Y1568" s="3"/>
      <c r="Z1568" s="3" t="str">
        <f>IFERROR(__xludf.DUMMYFUNCTION("""COMPUTED_VALUE"""),"หอมเกร็ด")</f>
        <v>หอมเกร็ด</v>
      </c>
      <c r="AA1568" s="3" t="str">
        <f>IFERROR(__xludf.DUMMYFUNCTION("""COMPUTED_VALUE"""),"สามพราน")</f>
        <v>สามพราน</v>
      </c>
      <c r="AB1568" s="3" t="str">
        <f>IFERROR(__xludf.DUMMYFUNCTION("""COMPUTED_VALUE"""),"นครปฐม")</f>
        <v>นครปฐม</v>
      </c>
      <c r="AC1568" s="3">
        <f>IFERROR(__xludf.DUMMYFUNCTION("""COMPUTED_VALUE"""),73110.0)</f>
        <v>73110</v>
      </c>
      <c r="AD1568" s="3">
        <f>IFERROR(__xludf.DUMMYFUNCTION("""COMPUTED_VALUE"""),13.7665357)</f>
        <v>13.7665357</v>
      </c>
      <c r="AE1568" s="3">
        <f>IFERROR(__xludf.DUMMYFUNCTION("""COMPUTED_VALUE"""),100.2275654)</f>
        <v>100.2275654</v>
      </c>
      <c r="AF1568" s="3" t="str">
        <f>IFERROR(__xludf.DUMMYFUNCTION("""COMPUTED_VALUE"""),"MBC ม.เมืองยิ้ม สาย 7 นครปฐม-22253")</f>
        <v>MBC ม.เมืองยิ้ม สาย 7 นครปฐม-22253</v>
      </c>
      <c r="AG1568" s="3" t="str">
        <f>IFERROR(__xludf.DUMMYFUNCTION("""COMPUTED_VALUE"""),"กลาง")</f>
        <v>กลาง</v>
      </c>
      <c r="AH1568" s="3" t="str">
        <f>IFERROR(__xludf.DUMMYFUNCTION("""COMPUTED_VALUE"""),"#N/A")</f>
        <v>#N/A</v>
      </c>
      <c r="AI1568" s="3" t="str">
        <f>IFERROR(__xludf.DUMMYFUNCTION("""COMPUTED_VALUE"""),"Out of warranty")</f>
        <v>Out of warranty</v>
      </c>
      <c r="AJ1568" s="3">
        <f>IFERROR(__xludf.DUMMYFUNCTION("""COMPUTED_VALUE"""),62.0)</f>
        <v>62</v>
      </c>
      <c r="AK1568" s="3" t="str">
        <f>IFERROR(__xludf.DUMMYFUNCTION("""COMPUTED_VALUE"""),"MMS05")</f>
        <v>MMS05</v>
      </c>
      <c r="AL1568" s="3"/>
    </row>
    <row r="1569" ht="15.75" customHeight="1">
      <c r="A1569" s="1" t="str">
        <f>IFERROR(__xludf.DUMMYFUNCTION("""COMPUTED_VALUE"""),"22254")</f>
        <v>22254</v>
      </c>
      <c r="B1569" s="2">
        <f>IFERROR(__xludf.DUMMYFUNCTION("""COMPUTED_VALUE"""),22254.0)</f>
        <v>22254</v>
      </c>
      <c r="C1569" s="3" t="str">
        <f>IFERROR(__xludf.DUMMYFUNCTION("""COMPUTED_VALUE"""),"MBC ซ.ที่ดินบางบัวทอง นนทบุรี")</f>
        <v>MBC ซ.ที่ดินบางบัวทอง นนทบุรี</v>
      </c>
      <c r="D1569" s="3" t="str">
        <f>IFERROR(__xludf.DUMMYFUNCTION("""COMPUTED_VALUE"""),"BCM SOI TEEDIN BANGBUATHONG")</f>
        <v>BCM SOI TEEDIN BANGBUATHONG</v>
      </c>
      <c r="E1569" s="1" t="str">
        <f>IFERROR(__xludf.DUMMYFUNCTION("""COMPUTED_VALUE"""),"บิ๊กซี MINI")</f>
        <v>บิ๊กซี MINI</v>
      </c>
      <c r="F1569" s="1" t="str">
        <f>IFERROR(__xludf.DUMMYFUNCTION("""COMPUTED_VALUE"""),"291008")</f>
        <v>291008</v>
      </c>
      <c r="G1569" s="1" t="str">
        <f>IFERROR(__xludf.DUMMYFUNCTION("""COMPUTED_VALUE"""),"น.ส.รัชดาพร อีศรัตน์")</f>
        <v>น.ส.รัชดาพร อีศรัตน์</v>
      </c>
      <c r="H1569" s="1" t="str">
        <f>IFERROR(__xludf.DUMMYFUNCTION("""COMPUTED_VALUE"""),"034068")</f>
        <v>034068</v>
      </c>
      <c r="I1569" s="1" t="str">
        <f>IFERROR(__xludf.DUMMYFUNCTION("""COMPUTED_VALUE"""),"นายสมศักดิ์ ฐานทองดี")</f>
        <v>นายสมศักดิ์ ฐานทองดี</v>
      </c>
      <c r="J1569" s="3">
        <f>IFERROR(__xludf.DUMMYFUNCTION("""COMPUTED_VALUE"""),296608.0)</f>
        <v>296608</v>
      </c>
      <c r="K1569" s="3" t="str">
        <f>IFERROR(__xludf.DUMMYFUNCTION("""COMPUTED_VALUE"""),"นายภาคภูมิ เพ็ชรนิล")</f>
        <v>นายภาคภูมิ เพ็ชรนิล</v>
      </c>
      <c r="L1569" s="1" t="str">
        <f>IFERROR(__xludf.DUMMYFUNCTION("""COMPUTED_VALUE"""),"10 K.Phakphoom P.")</f>
        <v>10 K.Phakphoom P.</v>
      </c>
      <c r="M1569" s="1" t="str">
        <f>IFERROR(__xludf.DUMMYFUNCTION("""COMPUTED_VALUE"""),"063-8955329")</f>
        <v>063-8955329</v>
      </c>
      <c r="N1569" s="3">
        <f>IFERROR(__xludf.DUMMYFUNCTION("""COMPUTED_VALUE"""),22584.0)</f>
        <v>22584</v>
      </c>
      <c r="O1569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569" s="4">
        <f>IFERROR(__xludf.DUMMYFUNCTION("""COMPUTED_VALUE"""),44165.0)</f>
        <v>44165</v>
      </c>
      <c r="Q1569" s="3" t="str">
        <f>IFERROR(__xludf.DUMMYFUNCTION("""COMPUTED_VALUE"""),"A")</f>
        <v>A</v>
      </c>
      <c r="R1569" s="3" t="str">
        <f>IFERROR(__xludf.DUMMYFUNCTION("""COMPUTED_VALUE"""),"Small Format")</f>
        <v>Small Format</v>
      </c>
      <c r="S1569" s="3" t="str">
        <f>IFERROR(__xludf.DUMMYFUNCTION("""COMPUTED_VALUE"""),"BCM")</f>
        <v>BCM</v>
      </c>
      <c r="T1569" s="3" t="str">
        <f>IFERROR(__xludf.DUMMYFUNCTION("""COMPUTED_VALUE"""),"#N/A")</f>
        <v>#N/A</v>
      </c>
      <c r="U1569" s="3" t="str">
        <f>IFERROR(__xludf.DUMMYFUNCTION("""COMPUTED_VALUE"""),"#N/A")</f>
        <v>#N/A</v>
      </c>
      <c r="V1569" s="3" t="str">
        <f>IFERROR(__xludf.DUMMYFUNCTION("""COMPUTED_VALUE"""),"N")</f>
        <v>N</v>
      </c>
      <c r="W1569" s="3">
        <f>IFERROR(__xludf.DUMMYFUNCTION("""COMPUTED_VALUE"""),210285.0)</f>
        <v>210285</v>
      </c>
      <c r="X1569" s="3" t="str">
        <f>IFERROR(__xludf.DUMMYFUNCTION("""COMPUTED_VALUE"""),"50/11 หมู่2 ตำบลพิมลราช อำเภอบางบัวทอง จังหวัดนนทบุรี 11110")</f>
        <v>50/11 หมู่2 ตำบลพิมลราช อำเภอบางบัวทอง จังหวัดนนทบุรี 11110</v>
      </c>
      <c r="Y1569" s="3"/>
      <c r="Z1569" s="3" t="str">
        <f>IFERROR(__xludf.DUMMYFUNCTION("""COMPUTED_VALUE"""),"พิมลราช")</f>
        <v>พิมลราช</v>
      </c>
      <c r="AA1569" s="3" t="str">
        <f>IFERROR(__xludf.DUMMYFUNCTION("""COMPUTED_VALUE"""),"บางบัวทอง")</f>
        <v>บางบัวทอง</v>
      </c>
      <c r="AB1569" s="3" t="str">
        <f>IFERROR(__xludf.DUMMYFUNCTION("""COMPUTED_VALUE"""),"นนทบุรี")</f>
        <v>นนทบุรี</v>
      </c>
      <c r="AC1569" s="3">
        <f>IFERROR(__xludf.DUMMYFUNCTION("""COMPUTED_VALUE"""),11110.0)</f>
        <v>11110</v>
      </c>
      <c r="AD1569" s="3">
        <f>IFERROR(__xludf.DUMMYFUNCTION("""COMPUTED_VALUE"""),13.919009)</f>
        <v>13.919009</v>
      </c>
      <c r="AE1569" s="3">
        <f>IFERROR(__xludf.DUMMYFUNCTION("""COMPUTED_VALUE"""),100.432457)</f>
        <v>100.432457</v>
      </c>
      <c r="AF1569" s="3" t="str">
        <f>IFERROR(__xludf.DUMMYFUNCTION("""COMPUTED_VALUE"""),"MBC ซ.ที่ดินบางบัวทอง นนทบุรี-22254")</f>
        <v>MBC ซ.ที่ดินบางบัวทอง นนทบุรี-22254</v>
      </c>
      <c r="AG1569" s="3" t="str">
        <f>IFERROR(__xludf.DUMMYFUNCTION("""COMPUTED_VALUE"""),"กลาง")</f>
        <v>กลาง</v>
      </c>
      <c r="AH1569" s="3" t="str">
        <f>IFERROR(__xludf.DUMMYFUNCTION("""COMPUTED_VALUE"""),"#N/A")</f>
        <v>#N/A</v>
      </c>
      <c r="AI1569" s="3" t="str">
        <f>IFERROR(__xludf.DUMMYFUNCTION("""COMPUTED_VALUE"""),"Out of warranty")</f>
        <v>Out of warranty</v>
      </c>
      <c r="AJ1569" s="3">
        <f>IFERROR(__xludf.DUMMYFUNCTION("""COMPUTED_VALUE"""),62.0)</f>
        <v>62</v>
      </c>
      <c r="AK1569" s="3" t="str">
        <f>IFERROR(__xludf.DUMMYFUNCTION("""COMPUTED_VALUE"""),"MMS04")</f>
        <v>MMS04</v>
      </c>
      <c r="AL1569" s="3"/>
    </row>
    <row r="1570" ht="15.75" customHeight="1">
      <c r="A1570" s="1" t="str">
        <f>IFERROR(__xludf.DUMMYFUNCTION("""COMPUTED_VALUE"""),"22255")</f>
        <v>22255</v>
      </c>
      <c r="B1570" s="2">
        <f>IFERROR(__xludf.DUMMYFUNCTION("""COMPUTED_VALUE"""),22255.0)</f>
        <v>22255</v>
      </c>
      <c r="C1570" s="3" t="str">
        <f>IFERROR(__xludf.DUMMYFUNCTION("""COMPUTED_VALUE"""),"MBC พหลโยธิน 34 แยก 11 กรุงเทพฯ")</f>
        <v>MBC พหลโยธิน 34 แยก 11 กรุงเทพฯ</v>
      </c>
      <c r="D1570" s="3" t="str">
        <f>IFERROR(__xludf.DUMMYFUNCTION("""COMPUTED_VALUE"""),"BCM PHAHONYOTIN 34 YEAK 11")</f>
        <v>BCM PHAHONYOTIN 34 YEAK 11</v>
      </c>
      <c r="E1570" s="1" t="str">
        <f>IFERROR(__xludf.DUMMYFUNCTION("""COMPUTED_VALUE"""),"บิ๊กซี MINI")</f>
        <v>บิ๊กซี MINI</v>
      </c>
      <c r="F1570" s="1" t="str">
        <f>IFERROR(__xludf.DUMMYFUNCTION("""COMPUTED_VALUE"""),"291008")</f>
        <v>291008</v>
      </c>
      <c r="G1570" s="1" t="str">
        <f>IFERROR(__xludf.DUMMYFUNCTION("""COMPUTED_VALUE"""),"น.ส.รัชดาพร อีศรัตน์")</f>
        <v>น.ส.รัชดาพร อีศรัตน์</v>
      </c>
      <c r="H1570" s="1" t="str">
        <f>IFERROR(__xludf.DUMMYFUNCTION("""COMPUTED_VALUE"""),"373540")</f>
        <v>373540</v>
      </c>
      <c r="I1570" s="1" t="str">
        <f>IFERROR(__xludf.DUMMYFUNCTION("""COMPUTED_VALUE"""),"นายทศพร พึ่งพบ")</f>
        <v>นายทศพร พึ่งพบ</v>
      </c>
      <c r="J1570" s="3">
        <f>IFERROR(__xludf.DUMMYFUNCTION("""COMPUTED_VALUE"""),2452378.0)</f>
        <v>2452378</v>
      </c>
      <c r="K1570" s="3" t="str">
        <f>IFERROR(__xludf.DUMMYFUNCTION("""COMPUTED_VALUE"""),"นายศักดิ์ดา พวงประดับ")</f>
        <v>นายศักดิ์ดา พวงประดับ</v>
      </c>
      <c r="L1570" s="1" t="str">
        <f>IFERROR(__xludf.DUMMYFUNCTION("""COMPUTED_VALUE"""),"11 K.Sakda P.")</f>
        <v>11 K.Sakda P.</v>
      </c>
      <c r="M1570" s="1" t="str">
        <f>IFERROR(__xludf.DUMMYFUNCTION("""COMPUTED_VALUE"""),"065-929-1279")</f>
        <v>065-929-1279</v>
      </c>
      <c r="N1570" s="3">
        <f>IFERROR(__xludf.DUMMYFUNCTION("""COMPUTED_VALUE"""),21002.0)</f>
        <v>21002</v>
      </c>
      <c r="O1570" s="3" t="str">
        <f>IFERROR(__xludf.DUMMYFUNCTION("""COMPUTED_VALUE"""),"MBC อุดมสุข")</f>
        <v>MBC อุดมสุข</v>
      </c>
      <c r="P1570" s="4">
        <f>IFERROR(__xludf.DUMMYFUNCTION("""COMPUTED_VALUE"""),44165.0)</f>
        <v>44165</v>
      </c>
      <c r="Q1570" s="3" t="str">
        <f>IFERROR(__xludf.DUMMYFUNCTION("""COMPUTED_VALUE"""),"A")</f>
        <v>A</v>
      </c>
      <c r="R1570" s="3" t="str">
        <f>IFERROR(__xludf.DUMMYFUNCTION("""COMPUTED_VALUE"""),"Small Format")</f>
        <v>Small Format</v>
      </c>
      <c r="S1570" s="3" t="str">
        <f>IFERROR(__xludf.DUMMYFUNCTION("""COMPUTED_VALUE"""),"BCM")</f>
        <v>BCM</v>
      </c>
      <c r="T1570" s="3" t="str">
        <f>IFERROR(__xludf.DUMMYFUNCTION("""COMPUTED_VALUE"""),"#N/A")</f>
        <v>#N/A</v>
      </c>
      <c r="U1570" s="3" t="str">
        <f>IFERROR(__xludf.DUMMYFUNCTION("""COMPUTED_VALUE"""),"#N/A")</f>
        <v>#N/A</v>
      </c>
      <c r="V1570" s="3" t="str">
        <f>IFERROR(__xludf.DUMMYFUNCTION("""COMPUTED_VALUE"""),"N")</f>
        <v>N</v>
      </c>
      <c r="W1570" s="3">
        <f>IFERROR(__xludf.DUMMYFUNCTION("""COMPUTED_VALUE"""),210276.0)</f>
        <v>210276</v>
      </c>
      <c r="X1570" s="3" t="str">
        <f>IFERROR(__xludf.DUMMYFUNCTION("""COMPUTED_VALUE"""),"149/11 ซอยพหลโยธิน 34 แขวงเสนานิคม เขตจตุจักร จังหวัดกรุงเทพมหานคร 10900")</f>
        <v>149/11 ซอยพหลโยธิน 34 แขวงเสนานิคม เขตจตุจักร จังหวัดกรุงเทพมหานคร 10900</v>
      </c>
      <c r="Y1570" s="3" t="str">
        <f>IFERROR(__xludf.DUMMYFUNCTION("""COMPUTED_VALUE"""),"ซอยพหลโยธิน 34")</f>
        <v>ซอยพหลโยธิน 34</v>
      </c>
      <c r="Z1570" s="3" t="str">
        <f>IFERROR(__xludf.DUMMYFUNCTION("""COMPUTED_VALUE"""),"เสนานิคม")</f>
        <v>เสนานิคม</v>
      </c>
      <c r="AA1570" s="3" t="str">
        <f>IFERROR(__xludf.DUMMYFUNCTION("""COMPUTED_VALUE"""),"จตุจักร")</f>
        <v>จตุจักร</v>
      </c>
      <c r="AB1570" s="3" t="str">
        <f>IFERROR(__xludf.DUMMYFUNCTION("""COMPUTED_VALUE"""),"กรุงเทพมหานคร")</f>
        <v>กรุงเทพมหานคร</v>
      </c>
      <c r="AC1570" s="3">
        <f>IFERROR(__xludf.DUMMYFUNCTION("""COMPUTED_VALUE"""),10900.0)</f>
        <v>10900</v>
      </c>
      <c r="AD1570" s="3">
        <f>IFERROR(__xludf.DUMMYFUNCTION("""COMPUTED_VALUE"""),13.83903)</f>
        <v>13.83903</v>
      </c>
      <c r="AE1570" s="3">
        <f>IFERROR(__xludf.DUMMYFUNCTION("""COMPUTED_VALUE"""),100.582303)</f>
        <v>100.582303</v>
      </c>
      <c r="AF1570" s="3" t="str">
        <f>IFERROR(__xludf.DUMMYFUNCTION("""COMPUTED_VALUE"""),"MBC พหลโยธิน 34 แยก 11 กรุงเทพฯ-22255")</f>
        <v>MBC พหลโยธิน 34 แยก 11 กรุงเทพฯ-22255</v>
      </c>
      <c r="AG1570" s="3" t="str">
        <f>IFERROR(__xludf.DUMMYFUNCTION("""COMPUTED_VALUE"""),"กลาง")</f>
        <v>กลาง</v>
      </c>
      <c r="AH1570" s="3" t="str">
        <f>IFERROR(__xludf.DUMMYFUNCTION("""COMPUTED_VALUE"""),"#N/A")</f>
        <v>#N/A</v>
      </c>
      <c r="AI1570" s="3" t="str">
        <f>IFERROR(__xludf.DUMMYFUNCTION("""COMPUTED_VALUE"""),"Out of warranty")</f>
        <v>Out of warranty</v>
      </c>
      <c r="AJ1570" s="3">
        <f>IFERROR(__xludf.DUMMYFUNCTION("""COMPUTED_VALUE"""),62.0)</f>
        <v>62</v>
      </c>
      <c r="AK1570" s="3" t="str">
        <f>IFERROR(__xludf.DUMMYFUNCTION("""COMPUTED_VALUE"""),"MMS01")</f>
        <v>MMS01</v>
      </c>
      <c r="AL1570" s="3"/>
    </row>
    <row r="1571" ht="15.75" customHeight="1">
      <c r="A1571" s="1" t="str">
        <f>IFERROR(__xludf.DUMMYFUNCTION("""COMPUTED_VALUE"""),"22256")</f>
        <v>22256</v>
      </c>
      <c r="B1571" s="2">
        <f>IFERROR(__xludf.DUMMYFUNCTION("""COMPUTED_VALUE"""),22256.0)</f>
        <v>22256</v>
      </c>
      <c r="C1571" s="3" t="str">
        <f>IFERROR(__xludf.DUMMYFUNCTION("""COMPUTED_VALUE"""),"MBC เพชรเกษม 63 กรุงเทพฯ")</f>
        <v>MBC เพชรเกษม 63 กรุงเทพฯ</v>
      </c>
      <c r="D1571" s="3" t="str">
        <f>IFERROR(__xludf.DUMMYFUNCTION("""COMPUTED_VALUE"""),"BCM PHETKASEM 63")</f>
        <v>BCM PHETKASEM 63</v>
      </c>
      <c r="E1571" s="1" t="str">
        <f>IFERROR(__xludf.DUMMYFUNCTION("""COMPUTED_VALUE"""),"บิ๊กซี MINI")</f>
        <v>บิ๊กซี MINI</v>
      </c>
      <c r="F1571" s="1" t="str">
        <f>IFERROR(__xludf.DUMMYFUNCTION("""COMPUTED_VALUE"""),"291008")</f>
        <v>291008</v>
      </c>
      <c r="G1571" s="1" t="str">
        <f>IFERROR(__xludf.DUMMYFUNCTION("""COMPUTED_VALUE"""),"น.ส.รัชดาพร อีศรัตน์")</f>
        <v>น.ส.รัชดาพร อีศรัตน์</v>
      </c>
      <c r="H1571" s="1" t="str">
        <f>IFERROR(__xludf.DUMMYFUNCTION("""COMPUTED_VALUE"""),"291101")</f>
        <v>291101</v>
      </c>
      <c r="I1571" s="1" t="str">
        <f>IFERROR(__xludf.DUMMYFUNCTION("""COMPUTED_VALUE"""),"นายจักรพงศ์ โพธิ์ศรี")</f>
        <v>นายจักรพงศ์ โพธิ์ศรี</v>
      </c>
      <c r="J1571" s="3">
        <f>IFERROR(__xludf.DUMMYFUNCTION("""COMPUTED_VALUE"""),296608.0)</f>
        <v>296608</v>
      </c>
      <c r="K1571" s="3" t="str">
        <f>IFERROR(__xludf.DUMMYFUNCTION("""COMPUTED_VALUE"""),"นายภาคภูมิ เพ็ชรนิล")</f>
        <v>นายภาคภูมิ เพ็ชรนิล</v>
      </c>
      <c r="L1571" s="1" t="str">
        <f>IFERROR(__xludf.DUMMYFUNCTION("""COMPUTED_VALUE"""),"10 K.Phakphoom P.")</f>
        <v>10 K.Phakphoom P.</v>
      </c>
      <c r="M1571" s="1" t="str">
        <f>IFERROR(__xludf.DUMMYFUNCTION("""COMPUTED_VALUE"""),"063-8955329")</f>
        <v>063-8955329</v>
      </c>
      <c r="N1571" s="3">
        <f>IFERROR(__xludf.DUMMYFUNCTION("""COMPUTED_VALUE"""),22584.0)</f>
        <v>22584</v>
      </c>
      <c r="O1571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571" s="4">
        <f>IFERROR(__xludf.DUMMYFUNCTION("""COMPUTED_VALUE"""),44165.0)</f>
        <v>44165</v>
      </c>
      <c r="Q1571" s="3" t="str">
        <f>IFERROR(__xludf.DUMMYFUNCTION("""COMPUTED_VALUE"""),"A")</f>
        <v>A</v>
      </c>
      <c r="R1571" s="3" t="str">
        <f>IFERROR(__xludf.DUMMYFUNCTION("""COMPUTED_VALUE"""),"Small Format")</f>
        <v>Small Format</v>
      </c>
      <c r="S1571" s="3" t="str">
        <f>IFERROR(__xludf.DUMMYFUNCTION("""COMPUTED_VALUE"""),"BCM")</f>
        <v>BCM</v>
      </c>
      <c r="T1571" s="3" t="str">
        <f>IFERROR(__xludf.DUMMYFUNCTION("""COMPUTED_VALUE"""),"#N/A")</f>
        <v>#N/A</v>
      </c>
      <c r="U1571" s="3" t="str">
        <f>IFERROR(__xludf.DUMMYFUNCTION("""COMPUTED_VALUE"""),"#N/A")</f>
        <v>#N/A</v>
      </c>
      <c r="V1571" s="3" t="str">
        <f>IFERROR(__xludf.DUMMYFUNCTION("""COMPUTED_VALUE"""),"N")</f>
        <v>N</v>
      </c>
      <c r="W1571" s="3">
        <f>IFERROR(__xludf.DUMMYFUNCTION("""COMPUTED_VALUE"""),210280.0)</f>
        <v>210280</v>
      </c>
      <c r="X1571" s="3" t="str">
        <f>IFERROR(__xludf.DUMMYFUNCTION("""COMPUTED_VALUE"""),"657/2 ซอยเพชรเกษม 63 แขวงหลักสอง เขตบางแค จังหวัดกรุงเทพมหานคร 10160")</f>
        <v>657/2 ซอยเพชรเกษม 63 แขวงหลักสอง เขตบางแค จังหวัดกรุงเทพมหานคร 10160</v>
      </c>
      <c r="Y1571" s="3" t="str">
        <f>IFERROR(__xludf.DUMMYFUNCTION("""COMPUTED_VALUE"""),"ซอยเพชรเกษม 63")</f>
        <v>ซอยเพชรเกษม 63</v>
      </c>
      <c r="Z1571" s="3" t="str">
        <f>IFERROR(__xludf.DUMMYFUNCTION("""COMPUTED_VALUE"""),"หลักสอง")</f>
        <v>หลักสอง</v>
      </c>
      <c r="AA1571" s="3" t="str">
        <f>IFERROR(__xludf.DUMMYFUNCTION("""COMPUTED_VALUE"""),"บางแค")</f>
        <v>บางแค</v>
      </c>
      <c r="AB1571" s="3" t="str">
        <f>IFERROR(__xludf.DUMMYFUNCTION("""COMPUTED_VALUE"""),"กรุงเทพมหานคร")</f>
        <v>กรุงเทพมหานคร</v>
      </c>
      <c r="AC1571" s="3">
        <f>IFERROR(__xludf.DUMMYFUNCTION("""COMPUTED_VALUE"""),10160.0)</f>
        <v>10160</v>
      </c>
      <c r="AD1571" s="3">
        <f>IFERROR(__xludf.DUMMYFUNCTION("""COMPUTED_VALUE"""),13.6980123)</f>
        <v>13.6980123</v>
      </c>
      <c r="AE1571" s="3">
        <f>IFERROR(__xludf.DUMMYFUNCTION("""COMPUTED_VALUE"""),100.3916043)</f>
        <v>100.3916043</v>
      </c>
      <c r="AF1571" s="3" t="str">
        <f>IFERROR(__xludf.DUMMYFUNCTION("""COMPUTED_VALUE"""),"MBC เพชรเกษม 63 กรุงเทพฯ-22256")</f>
        <v>MBC เพชรเกษม 63 กรุงเทพฯ-22256</v>
      </c>
      <c r="AG1571" s="3" t="str">
        <f>IFERROR(__xludf.DUMMYFUNCTION("""COMPUTED_VALUE"""),"กลาง")</f>
        <v>กลาง</v>
      </c>
      <c r="AH1571" s="3" t="str">
        <f>IFERROR(__xludf.DUMMYFUNCTION("""COMPUTED_VALUE"""),"#N/A")</f>
        <v>#N/A</v>
      </c>
      <c r="AI1571" s="3" t="str">
        <f>IFERROR(__xludf.DUMMYFUNCTION("""COMPUTED_VALUE"""),"Out of warranty")</f>
        <v>Out of warranty</v>
      </c>
      <c r="AJ1571" s="3">
        <f>IFERROR(__xludf.DUMMYFUNCTION("""COMPUTED_VALUE"""),62.0)</f>
        <v>62</v>
      </c>
      <c r="AK1571" s="3" t="str">
        <f>IFERROR(__xludf.DUMMYFUNCTION("""COMPUTED_VALUE"""),"MMS02")</f>
        <v>MMS02</v>
      </c>
      <c r="AL1571" s="3"/>
    </row>
    <row r="1572" ht="15.75" customHeight="1">
      <c r="A1572" s="1" t="str">
        <f>IFERROR(__xludf.DUMMYFUNCTION("""COMPUTED_VALUE"""),"22257")</f>
        <v>22257</v>
      </c>
      <c r="B1572" s="2">
        <f>IFERROR(__xludf.DUMMYFUNCTION("""COMPUTED_VALUE"""),22257.0)</f>
        <v>22257</v>
      </c>
      <c r="C1572" s="3" t="str">
        <f>IFERROR(__xludf.DUMMYFUNCTION("""COMPUTED_VALUE"""),"MBC ชุมชนวัดเฉลิมพระเกียรติ นนทบุรี")</f>
        <v>MBC ชุมชนวัดเฉลิมพระเกียรติ นนทบุรี</v>
      </c>
      <c r="D1572" s="3" t="str">
        <f>IFERROR(__xludf.DUMMYFUNCTION("""COMPUTED_VALUE"""),"BCM CHUMCHON CHALOEM PHRAKIAET")</f>
        <v>BCM CHUMCHON CHALOEM PHRAKIAET</v>
      </c>
      <c r="E1572" s="1" t="str">
        <f>IFERROR(__xludf.DUMMYFUNCTION("""COMPUTED_VALUE"""),"บิ๊กซี MINI")</f>
        <v>บิ๊กซี MINI</v>
      </c>
      <c r="F1572" s="1" t="str">
        <f>IFERROR(__xludf.DUMMYFUNCTION("""COMPUTED_VALUE"""),"291008")</f>
        <v>291008</v>
      </c>
      <c r="G1572" s="1" t="str">
        <f>IFERROR(__xludf.DUMMYFUNCTION("""COMPUTED_VALUE"""),"น.ส.รัชดาพร อีศรัตน์")</f>
        <v>น.ส.รัชดาพร อีศรัตน์</v>
      </c>
      <c r="H1572" s="1" t="str">
        <f>IFERROR(__xludf.DUMMYFUNCTION("""COMPUTED_VALUE"""),"034068")</f>
        <v>034068</v>
      </c>
      <c r="I1572" s="1" t="str">
        <f>IFERROR(__xludf.DUMMYFUNCTION("""COMPUTED_VALUE"""),"นายสมศักดิ์ ฐานทองดี")</f>
        <v>นายสมศักดิ์ ฐานทองดี</v>
      </c>
      <c r="J1572" s="3">
        <f>IFERROR(__xludf.DUMMYFUNCTION("""COMPUTED_VALUE"""),296608.0)</f>
        <v>296608</v>
      </c>
      <c r="K1572" s="3" t="str">
        <f>IFERROR(__xludf.DUMMYFUNCTION("""COMPUTED_VALUE"""),"นายภาคภูมิ เพ็ชรนิล")</f>
        <v>นายภาคภูมิ เพ็ชรนิล</v>
      </c>
      <c r="L1572" s="1" t="str">
        <f>IFERROR(__xludf.DUMMYFUNCTION("""COMPUTED_VALUE"""),"10 K.Phakphoom P.")</f>
        <v>10 K.Phakphoom P.</v>
      </c>
      <c r="M1572" s="1" t="str">
        <f>IFERROR(__xludf.DUMMYFUNCTION("""COMPUTED_VALUE"""),"063-8955329")</f>
        <v>063-8955329</v>
      </c>
      <c r="N1572" s="3">
        <f>IFERROR(__xludf.DUMMYFUNCTION("""COMPUTED_VALUE"""),22584.0)</f>
        <v>22584</v>
      </c>
      <c r="O1572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572" s="4">
        <f>IFERROR(__xludf.DUMMYFUNCTION("""COMPUTED_VALUE"""),44165.0)</f>
        <v>44165</v>
      </c>
      <c r="Q1572" s="3" t="str">
        <f>IFERROR(__xludf.DUMMYFUNCTION("""COMPUTED_VALUE"""),"A")</f>
        <v>A</v>
      </c>
      <c r="R1572" s="3" t="str">
        <f>IFERROR(__xludf.DUMMYFUNCTION("""COMPUTED_VALUE"""),"Small Format")</f>
        <v>Small Format</v>
      </c>
      <c r="S1572" s="3" t="str">
        <f>IFERROR(__xludf.DUMMYFUNCTION("""COMPUTED_VALUE"""),"BCM")</f>
        <v>BCM</v>
      </c>
      <c r="T1572" s="3" t="str">
        <f>IFERROR(__xludf.DUMMYFUNCTION("""COMPUTED_VALUE"""),"#N/A")</f>
        <v>#N/A</v>
      </c>
      <c r="U1572" s="3" t="str">
        <f>IFERROR(__xludf.DUMMYFUNCTION("""COMPUTED_VALUE"""),"#N/A")</f>
        <v>#N/A</v>
      </c>
      <c r="V1572" s="3" t="str">
        <f>IFERROR(__xludf.DUMMYFUNCTION("""COMPUTED_VALUE"""),"N")</f>
        <v>N</v>
      </c>
      <c r="W1572" s="3">
        <f>IFERROR(__xludf.DUMMYFUNCTION("""COMPUTED_VALUE"""),210266.0)</f>
        <v>210266</v>
      </c>
      <c r="X1572" s="3" t="str">
        <f>IFERROR(__xludf.DUMMYFUNCTION("""COMPUTED_VALUE"""),"34/42 หมู่1 ตำบลบางศรีเมือง อำเภอเมืองนนทบุรี จังหวัดนนทบุรี 11000")</f>
        <v>34/42 หมู่1 ตำบลบางศรีเมือง อำเภอเมืองนนทบุรี จังหวัดนนทบุรี 11000</v>
      </c>
      <c r="Y1572" s="3"/>
      <c r="Z1572" s="3" t="str">
        <f>IFERROR(__xludf.DUMMYFUNCTION("""COMPUTED_VALUE"""),"บางศรีเมือง")</f>
        <v>บางศรีเมือง</v>
      </c>
      <c r="AA1572" s="3" t="str">
        <f>IFERROR(__xludf.DUMMYFUNCTION("""COMPUTED_VALUE"""),"เมืองนนทบุรี")</f>
        <v>เมืองนนทบุรี</v>
      </c>
      <c r="AB1572" s="3" t="str">
        <f>IFERROR(__xludf.DUMMYFUNCTION("""COMPUTED_VALUE"""),"นนทบุรี")</f>
        <v>นนทบุรี</v>
      </c>
      <c r="AC1572" s="3">
        <f>IFERROR(__xludf.DUMMYFUNCTION("""COMPUTED_VALUE"""),11000.0)</f>
        <v>11000</v>
      </c>
      <c r="AD1572" s="3">
        <f>IFERROR(__xludf.DUMMYFUNCTION("""COMPUTED_VALUE"""),13.844977)</f>
        <v>13.844977</v>
      </c>
      <c r="AE1572" s="3">
        <f>IFERROR(__xludf.DUMMYFUNCTION("""COMPUTED_VALUE"""),100.479059)</f>
        <v>100.479059</v>
      </c>
      <c r="AF1572" s="3" t="str">
        <f>IFERROR(__xludf.DUMMYFUNCTION("""COMPUTED_VALUE"""),"MBC ชุมชนวัดเฉลิมพระเกียรติ นนทบุรี-22257")</f>
        <v>MBC ชุมชนวัดเฉลิมพระเกียรติ นนทบุรี-22257</v>
      </c>
      <c r="AG1572" s="3" t="str">
        <f>IFERROR(__xludf.DUMMYFUNCTION("""COMPUTED_VALUE"""),"กลาง")</f>
        <v>กลาง</v>
      </c>
      <c r="AH1572" s="3" t="str">
        <f>IFERROR(__xludf.DUMMYFUNCTION("""COMPUTED_VALUE"""),"#N/A")</f>
        <v>#N/A</v>
      </c>
      <c r="AI1572" s="3" t="str">
        <f>IFERROR(__xludf.DUMMYFUNCTION("""COMPUTED_VALUE"""),"Out of warranty")</f>
        <v>Out of warranty</v>
      </c>
      <c r="AJ1572" s="3">
        <f>IFERROR(__xludf.DUMMYFUNCTION("""COMPUTED_VALUE"""),62.0)</f>
        <v>62</v>
      </c>
      <c r="AK1572" s="3" t="str">
        <f>IFERROR(__xludf.DUMMYFUNCTION("""COMPUTED_VALUE"""),"MMS01")</f>
        <v>MMS01</v>
      </c>
      <c r="AL1572" s="3"/>
    </row>
    <row r="1573" ht="15.75" customHeight="1">
      <c r="A1573" s="1" t="str">
        <f>IFERROR(__xludf.DUMMYFUNCTION("""COMPUTED_VALUE"""),"22258")</f>
        <v>22258</v>
      </c>
      <c r="B1573" s="2">
        <f>IFERROR(__xludf.DUMMYFUNCTION("""COMPUTED_VALUE"""),22258.0)</f>
        <v>22258</v>
      </c>
      <c r="C1573" s="3" t="str">
        <f>IFERROR(__xludf.DUMMYFUNCTION("""COMPUTED_VALUE"""),"MBC บางเลน-รัตนาธิเบศร์ นนทบุรี")</f>
        <v>MBC บางเลน-รัตนาธิเบศร์ นนทบุรี</v>
      </c>
      <c r="D1573" s="3" t="str">
        <f>IFERROR(__xludf.DUMMYFUNCTION("""COMPUTED_VALUE"""),"BCM BANG LEN - RATTANATHIBET")</f>
        <v>BCM BANG LEN - RATTANATHIBET</v>
      </c>
      <c r="E1573" s="1" t="str">
        <f>IFERROR(__xludf.DUMMYFUNCTION("""COMPUTED_VALUE"""),"บิ๊กซี MINI")</f>
        <v>บิ๊กซี MINI</v>
      </c>
      <c r="F1573" s="1" t="str">
        <f>IFERROR(__xludf.DUMMYFUNCTION("""COMPUTED_VALUE"""),"291008")</f>
        <v>291008</v>
      </c>
      <c r="G1573" s="1" t="str">
        <f>IFERROR(__xludf.DUMMYFUNCTION("""COMPUTED_VALUE"""),"น.ส.รัชดาพร อีศรัตน์")</f>
        <v>น.ส.รัชดาพร อีศรัตน์</v>
      </c>
      <c r="H1573" s="1" t="str">
        <f>IFERROR(__xludf.DUMMYFUNCTION("""COMPUTED_VALUE"""),"034068")</f>
        <v>034068</v>
      </c>
      <c r="I1573" s="1" t="str">
        <f>IFERROR(__xludf.DUMMYFUNCTION("""COMPUTED_VALUE"""),"นายสมศักดิ์ ฐานทองดี")</f>
        <v>นายสมศักดิ์ ฐานทองดี</v>
      </c>
      <c r="J1573" s="3">
        <f>IFERROR(__xludf.DUMMYFUNCTION("""COMPUTED_VALUE"""),296608.0)</f>
        <v>296608</v>
      </c>
      <c r="K1573" s="3" t="str">
        <f>IFERROR(__xludf.DUMMYFUNCTION("""COMPUTED_VALUE"""),"นายภาคภูมิ เพ็ชรนิล")</f>
        <v>นายภาคภูมิ เพ็ชรนิล</v>
      </c>
      <c r="L1573" s="1" t="str">
        <f>IFERROR(__xludf.DUMMYFUNCTION("""COMPUTED_VALUE"""),"10 K.Phakphoom P.")</f>
        <v>10 K.Phakphoom P.</v>
      </c>
      <c r="M1573" s="1" t="str">
        <f>IFERROR(__xludf.DUMMYFUNCTION("""COMPUTED_VALUE"""),"063-8955329")</f>
        <v>063-8955329</v>
      </c>
      <c r="N1573" s="3">
        <f>IFERROR(__xludf.DUMMYFUNCTION("""COMPUTED_VALUE"""),22584.0)</f>
        <v>22584</v>
      </c>
      <c r="O1573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573" s="4">
        <f>IFERROR(__xludf.DUMMYFUNCTION("""COMPUTED_VALUE"""),44165.0)</f>
        <v>44165</v>
      </c>
      <c r="Q1573" s="3" t="str">
        <f>IFERROR(__xludf.DUMMYFUNCTION("""COMPUTED_VALUE"""),"A")</f>
        <v>A</v>
      </c>
      <c r="R1573" s="3" t="str">
        <f>IFERROR(__xludf.DUMMYFUNCTION("""COMPUTED_VALUE"""),"Small Format")</f>
        <v>Small Format</v>
      </c>
      <c r="S1573" s="3" t="str">
        <f>IFERROR(__xludf.DUMMYFUNCTION("""COMPUTED_VALUE"""),"BCM")</f>
        <v>BCM</v>
      </c>
      <c r="T1573" s="3" t="str">
        <f>IFERROR(__xludf.DUMMYFUNCTION("""COMPUTED_VALUE"""),"#N/A")</f>
        <v>#N/A</v>
      </c>
      <c r="U1573" s="3" t="str">
        <f>IFERROR(__xludf.DUMMYFUNCTION("""COMPUTED_VALUE"""),"#N/A")</f>
        <v>#N/A</v>
      </c>
      <c r="V1573" s="3" t="str">
        <f>IFERROR(__xludf.DUMMYFUNCTION("""COMPUTED_VALUE"""),"N")</f>
        <v>N</v>
      </c>
      <c r="W1573" s="3">
        <f>IFERROR(__xludf.DUMMYFUNCTION("""COMPUTED_VALUE"""),210283.0)</f>
        <v>210283</v>
      </c>
      <c r="X1573" s="3" t="str">
        <f>IFERROR(__xludf.DUMMYFUNCTION("""COMPUTED_VALUE"""),"86/28 หมู่9 ตำบลบางเลน อำเภอบางใหญ่ จังหวัดนนทบุรี 11140")</f>
        <v>86/28 หมู่9 ตำบลบางเลน อำเภอบางใหญ่ จังหวัดนนทบุรี 11140</v>
      </c>
      <c r="Y1573" s="3"/>
      <c r="Z1573" s="3" t="str">
        <f>IFERROR(__xludf.DUMMYFUNCTION("""COMPUTED_VALUE"""),"บางเลน")</f>
        <v>บางเลน</v>
      </c>
      <c r="AA1573" s="3" t="str">
        <f>IFERROR(__xludf.DUMMYFUNCTION("""COMPUTED_VALUE"""),"บางใหญ่")</f>
        <v>บางใหญ่</v>
      </c>
      <c r="AB1573" s="3" t="str">
        <f>IFERROR(__xludf.DUMMYFUNCTION("""COMPUTED_VALUE"""),"นนทบุรี")</f>
        <v>นนทบุรี</v>
      </c>
      <c r="AC1573" s="3">
        <f>IFERROR(__xludf.DUMMYFUNCTION("""COMPUTED_VALUE"""),11140.0)</f>
        <v>11140</v>
      </c>
      <c r="AD1573" s="3">
        <f>IFERROR(__xludf.DUMMYFUNCTION("""COMPUTED_VALUE"""),13.853858)</f>
        <v>13.853858</v>
      </c>
      <c r="AE1573" s="3">
        <f>IFERROR(__xludf.DUMMYFUNCTION("""COMPUTED_VALUE"""),100.438097)</f>
        <v>100.438097</v>
      </c>
      <c r="AF1573" s="3" t="str">
        <f>IFERROR(__xludf.DUMMYFUNCTION("""COMPUTED_VALUE"""),"MBC บางเลน-รัตนาธิเบศร์ นนทบุรี-22258")</f>
        <v>MBC บางเลน-รัตนาธิเบศร์ นนทบุรี-22258</v>
      </c>
      <c r="AG1573" s="3" t="str">
        <f>IFERROR(__xludf.DUMMYFUNCTION("""COMPUTED_VALUE"""),"กลาง")</f>
        <v>กลาง</v>
      </c>
      <c r="AH1573" s="3" t="str">
        <f>IFERROR(__xludf.DUMMYFUNCTION("""COMPUTED_VALUE"""),"#N/A")</f>
        <v>#N/A</v>
      </c>
      <c r="AI1573" s="3" t="str">
        <f>IFERROR(__xludf.DUMMYFUNCTION("""COMPUTED_VALUE"""),"Out of warranty")</f>
        <v>Out of warranty</v>
      </c>
      <c r="AJ1573" s="3">
        <f>IFERROR(__xludf.DUMMYFUNCTION("""COMPUTED_VALUE"""),62.0)</f>
        <v>62</v>
      </c>
      <c r="AK1573" s="3" t="str">
        <f>IFERROR(__xludf.DUMMYFUNCTION("""COMPUTED_VALUE"""),"MMS01")</f>
        <v>MMS01</v>
      </c>
      <c r="AL1573" s="3"/>
    </row>
    <row r="1574" ht="15.75" customHeight="1">
      <c r="A1574" s="1" t="str">
        <f>IFERROR(__xludf.DUMMYFUNCTION("""COMPUTED_VALUE"""),"22259")</f>
        <v>22259</v>
      </c>
      <c r="B1574" s="2">
        <f>IFERROR(__xludf.DUMMYFUNCTION("""COMPUTED_VALUE"""),22259.0)</f>
        <v>22259</v>
      </c>
      <c r="C1574" s="3" t="str">
        <f>IFERROR(__xludf.DUMMYFUNCTION("""COMPUTED_VALUE"""),"MBC พหลโยธิน 48 กรุงเทพฯ")</f>
        <v>MBC พหลโยธิน 48 กรุงเทพฯ</v>
      </c>
      <c r="D1574" s="3" t="str">
        <f>IFERROR(__xludf.DUMMYFUNCTION("""COMPUTED_VALUE"""),"BCM PHAHONYOTHIN 48")</f>
        <v>BCM PHAHONYOTHIN 48</v>
      </c>
      <c r="E1574" s="1" t="str">
        <f>IFERROR(__xludf.DUMMYFUNCTION("""COMPUTED_VALUE"""),"บิ๊กซี MINI")</f>
        <v>บิ๊กซี MINI</v>
      </c>
      <c r="F1574" s="1" t="str">
        <f>IFERROR(__xludf.DUMMYFUNCTION("""COMPUTED_VALUE"""),"291008")</f>
        <v>291008</v>
      </c>
      <c r="G1574" s="1" t="str">
        <f>IFERROR(__xludf.DUMMYFUNCTION("""COMPUTED_VALUE"""),"น.ส.รัชดาพร อีศรัตน์")</f>
        <v>น.ส.รัชดาพร อีศรัตน์</v>
      </c>
      <c r="H1574" s="1" t="str">
        <f>IFERROR(__xludf.DUMMYFUNCTION("""COMPUTED_VALUE"""),"373540")</f>
        <v>373540</v>
      </c>
      <c r="I1574" s="1" t="str">
        <f>IFERROR(__xludf.DUMMYFUNCTION("""COMPUTED_VALUE"""),"นายทศพร พึ่งพบ")</f>
        <v>นายทศพร พึ่งพบ</v>
      </c>
      <c r="J1574" s="3">
        <f>IFERROR(__xludf.DUMMYFUNCTION("""COMPUTED_VALUE"""),2452378.0)</f>
        <v>2452378</v>
      </c>
      <c r="K1574" s="3" t="str">
        <f>IFERROR(__xludf.DUMMYFUNCTION("""COMPUTED_VALUE"""),"นายศักดิ์ดา พวงประดับ")</f>
        <v>นายศักดิ์ดา พวงประดับ</v>
      </c>
      <c r="L1574" s="1" t="str">
        <f>IFERROR(__xludf.DUMMYFUNCTION("""COMPUTED_VALUE"""),"11 K.Sakda P.")</f>
        <v>11 K.Sakda P.</v>
      </c>
      <c r="M1574" s="1" t="str">
        <f>IFERROR(__xludf.DUMMYFUNCTION("""COMPUTED_VALUE"""),"065-929-1279")</f>
        <v>065-929-1279</v>
      </c>
      <c r="N1574" s="3">
        <f>IFERROR(__xludf.DUMMYFUNCTION("""COMPUTED_VALUE"""),21002.0)</f>
        <v>21002</v>
      </c>
      <c r="O1574" s="3" t="str">
        <f>IFERROR(__xludf.DUMMYFUNCTION("""COMPUTED_VALUE"""),"MBC อุดมสุข")</f>
        <v>MBC อุดมสุข</v>
      </c>
      <c r="P1574" s="4">
        <f>IFERROR(__xludf.DUMMYFUNCTION("""COMPUTED_VALUE"""),44210.0)</f>
        <v>44210</v>
      </c>
      <c r="Q1574" s="3" t="str">
        <f>IFERROR(__xludf.DUMMYFUNCTION("""COMPUTED_VALUE"""),"A")</f>
        <v>A</v>
      </c>
      <c r="R1574" s="3" t="str">
        <f>IFERROR(__xludf.DUMMYFUNCTION("""COMPUTED_VALUE"""),"Small Format")</f>
        <v>Small Format</v>
      </c>
      <c r="S1574" s="3" t="str">
        <f>IFERROR(__xludf.DUMMYFUNCTION("""COMPUTED_VALUE"""),"BCM")</f>
        <v>BCM</v>
      </c>
      <c r="T1574" s="3" t="str">
        <f>IFERROR(__xludf.DUMMYFUNCTION("""COMPUTED_VALUE"""),"#N/A")</f>
        <v>#N/A</v>
      </c>
      <c r="U1574" s="3" t="str">
        <f>IFERROR(__xludf.DUMMYFUNCTION("""COMPUTED_VALUE"""),"#N/A")</f>
        <v>#N/A</v>
      </c>
      <c r="V1574" s="3" t="str">
        <f>IFERROR(__xludf.DUMMYFUNCTION("""COMPUTED_VALUE"""),"N")</f>
        <v>N</v>
      </c>
      <c r="W1574" s="3">
        <f>IFERROR(__xludf.DUMMYFUNCTION("""COMPUTED_VALUE"""),210297.0)</f>
        <v>210297</v>
      </c>
      <c r="X1574" s="3" t="str">
        <f>IFERROR(__xludf.DUMMYFUNCTION("""COMPUTED_VALUE"""),"65/1 ซอยพหลโยธิน 48 แขวงอนุสาวรีย์ เขตบางเขน จังหวัดกรุงเทพมหานคร 10220")</f>
        <v>65/1 ซอยพหลโยธิน 48 แขวงอนุสาวรีย์ เขตบางเขน จังหวัดกรุงเทพมหานคร 10220</v>
      </c>
      <c r="Y1574" s="3" t="str">
        <f>IFERROR(__xludf.DUMMYFUNCTION("""COMPUTED_VALUE"""),"ซอยพหลโยธิน 48")</f>
        <v>ซอยพหลโยธิน 48</v>
      </c>
      <c r="Z1574" s="3" t="str">
        <f>IFERROR(__xludf.DUMMYFUNCTION("""COMPUTED_VALUE"""),"อนุสาวรีย์")</f>
        <v>อนุสาวรีย์</v>
      </c>
      <c r="AA1574" s="3" t="str">
        <f>IFERROR(__xludf.DUMMYFUNCTION("""COMPUTED_VALUE"""),"บางเขน")</f>
        <v>บางเขน</v>
      </c>
      <c r="AB1574" s="3" t="str">
        <f>IFERROR(__xludf.DUMMYFUNCTION("""COMPUTED_VALUE"""),"กรุงเทพมหานคร")</f>
        <v>กรุงเทพมหานคร</v>
      </c>
      <c r="AC1574" s="3">
        <f>IFERROR(__xludf.DUMMYFUNCTION("""COMPUTED_VALUE"""),10220.0)</f>
        <v>10220</v>
      </c>
      <c r="AD1574" s="3">
        <f>IFERROR(__xludf.DUMMYFUNCTION("""COMPUTED_VALUE"""),13.885236)</f>
        <v>13.885236</v>
      </c>
      <c r="AE1574" s="3">
        <f>IFERROR(__xludf.DUMMYFUNCTION("""COMPUTED_VALUE"""),100.605093)</f>
        <v>100.605093</v>
      </c>
      <c r="AF1574" s="3" t="str">
        <f>IFERROR(__xludf.DUMMYFUNCTION("""COMPUTED_VALUE"""),"MBC พหลโยธิน 48 กรุงเทพฯ-22259")</f>
        <v>MBC พหลโยธิน 48 กรุงเทพฯ-22259</v>
      </c>
      <c r="AG1574" s="3" t="str">
        <f>IFERROR(__xludf.DUMMYFUNCTION("""COMPUTED_VALUE"""),"กลาง")</f>
        <v>กลาง</v>
      </c>
      <c r="AH1574" s="3" t="str">
        <f>IFERROR(__xludf.DUMMYFUNCTION("""COMPUTED_VALUE"""),"#N/A")</f>
        <v>#N/A</v>
      </c>
      <c r="AI1574" s="3" t="str">
        <f>IFERROR(__xludf.DUMMYFUNCTION("""COMPUTED_VALUE"""),"Out of warranty")</f>
        <v>Out of warranty</v>
      </c>
      <c r="AJ1574" s="3">
        <f>IFERROR(__xludf.DUMMYFUNCTION("""COMPUTED_VALUE"""),61.0)</f>
        <v>61</v>
      </c>
      <c r="AK1574" s="3" t="str">
        <f>IFERROR(__xludf.DUMMYFUNCTION("""COMPUTED_VALUE"""),"MMS01")</f>
        <v>MMS01</v>
      </c>
      <c r="AL1574" s="3"/>
    </row>
    <row r="1575" ht="15.75" customHeight="1">
      <c r="A1575" s="1" t="str">
        <f>IFERROR(__xludf.DUMMYFUNCTION("""COMPUTED_VALUE"""),"22260")</f>
        <v>22260</v>
      </c>
      <c r="B1575" s="2">
        <f>IFERROR(__xludf.DUMMYFUNCTION("""COMPUTED_VALUE"""),22260.0)</f>
        <v>22260</v>
      </c>
      <c r="C1575" s="3" t="str">
        <f>IFERROR(__xludf.DUMMYFUNCTION("""COMPUTED_VALUE"""),"MBC เพชรเกษม 88 กรุงเทพฯ")</f>
        <v>MBC เพชรเกษม 88 กรุงเทพฯ</v>
      </c>
      <c r="D1575" s="3" t="str">
        <f>IFERROR(__xludf.DUMMYFUNCTION("""COMPUTED_VALUE"""),"BCM PHETKASEM 88")</f>
        <v>BCM PHETKASEM 88</v>
      </c>
      <c r="E1575" s="1" t="str">
        <f>IFERROR(__xludf.DUMMYFUNCTION("""COMPUTED_VALUE"""),"บิ๊กซี MINI")</f>
        <v>บิ๊กซี MINI</v>
      </c>
      <c r="F1575" s="1" t="str">
        <f>IFERROR(__xludf.DUMMYFUNCTION("""COMPUTED_VALUE"""),"291008")</f>
        <v>291008</v>
      </c>
      <c r="G1575" s="1" t="str">
        <f>IFERROR(__xludf.DUMMYFUNCTION("""COMPUTED_VALUE"""),"น.ส.รัชดาพร อีศรัตน์")</f>
        <v>น.ส.รัชดาพร อีศรัตน์</v>
      </c>
      <c r="H1575" s="1" t="str">
        <f>IFERROR(__xludf.DUMMYFUNCTION("""COMPUTED_VALUE"""),"291101")</f>
        <v>291101</v>
      </c>
      <c r="I1575" s="1" t="str">
        <f>IFERROR(__xludf.DUMMYFUNCTION("""COMPUTED_VALUE"""),"นายจักรพงศ์ โพธิ์ศรี")</f>
        <v>นายจักรพงศ์ โพธิ์ศรี</v>
      </c>
      <c r="J1575" s="3">
        <f>IFERROR(__xludf.DUMMYFUNCTION("""COMPUTED_VALUE"""),296608.0)</f>
        <v>296608</v>
      </c>
      <c r="K1575" s="3" t="str">
        <f>IFERROR(__xludf.DUMMYFUNCTION("""COMPUTED_VALUE"""),"นายภาคภูมิ เพ็ชรนิล")</f>
        <v>นายภาคภูมิ เพ็ชรนิล</v>
      </c>
      <c r="L1575" s="1" t="str">
        <f>IFERROR(__xludf.DUMMYFUNCTION("""COMPUTED_VALUE"""),"10 K.Phakphoom P.")</f>
        <v>10 K.Phakphoom P.</v>
      </c>
      <c r="M1575" s="1" t="str">
        <f>IFERROR(__xludf.DUMMYFUNCTION("""COMPUTED_VALUE"""),"063-8955329")</f>
        <v>063-8955329</v>
      </c>
      <c r="N1575" s="3">
        <f>IFERROR(__xludf.DUMMYFUNCTION("""COMPUTED_VALUE"""),22584.0)</f>
        <v>22584</v>
      </c>
      <c r="O1575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575" s="4">
        <f>IFERROR(__xludf.DUMMYFUNCTION("""COMPUTED_VALUE"""),44165.0)</f>
        <v>44165</v>
      </c>
      <c r="Q1575" s="3" t="str">
        <f>IFERROR(__xludf.DUMMYFUNCTION("""COMPUTED_VALUE"""),"A")</f>
        <v>A</v>
      </c>
      <c r="R1575" s="3" t="str">
        <f>IFERROR(__xludf.DUMMYFUNCTION("""COMPUTED_VALUE"""),"Small Format")</f>
        <v>Small Format</v>
      </c>
      <c r="S1575" s="3" t="str">
        <f>IFERROR(__xludf.DUMMYFUNCTION("""COMPUTED_VALUE"""),"BCM")</f>
        <v>BCM</v>
      </c>
      <c r="T1575" s="3" t="str">
        <f>IFERROR(__xludf.DUMMYFUNCTION("""COMPUTED_VALUE"""),"#N/A")</f>
        <v>#N/A</v>
      </c>
      <c r="U1575" s="3" t="str">
        <f>IFERROR(__xludf.DUMMYFUNCTION("""COMPUTED_VALUE"""),"#N/A")</f>
        <v>#N/A</v>
      </c>
      <c r="V1575" s="3" t="str">
        <f>IFERROR(__xludf.DUMMYFUNCTION("""COMPUTED_VALUE"""),"N")</f>
        <v>N</v>
      </c>
      <c r="W1575" s="3">
        <f>IFERROR(__xludf.DUMMYFUNCTION("""COMPUTED_VALUE"""),210278.0)</f>
        <v>210278</v>
      </c>
      <c r="X1575" s="3" t="str">
        <f>IFERROR(__xludf.DUMMYFUNCTION("""COMPUTED_VALUE"""),"90 ซอยเพชรเกษม 88 แขวงบางแคเหนือ เขตบางแค จังหวัดกรุงเทพมหานคร 10160")</f>
        <v>90 ซอยเพชรเกษม 88 แขวงบางแคเหนือ เขตบางแค จังหวัดกรุงเทพมหานคร 10160</v>
      </c>
      <c r="Y1575" s="3" t="str">
        <f>IFERROR(__xludf.DUMMYFUNCTION("""COMPUTED_VALUE"""),"ซอยเพชรเกษม 88")</f>
        <v>ซอยเพชรเกษม 88</v>
      </c>
      <c r="Z1575" s="3" t="str">
        <f>IFERROR(__xludf.DUMMYFUNCTION("""COMPUTED_VALUE"""),"บางแคเหนือ")</f>
        <v>บางแคเหนือ</v>
      </c>
      <c r="AA1575" s="3" t="str">
        <f>IFERROR(__xludf.DUMMYFUNCTION("""COMPUTED_VALUE"""),"บางแค")</f>
        <v>บางแค</v>
      </c>
      <c r="AB1575" s="3" t="str">
        <f>IFERROR(__xludf.DUMMYFUNCTION("""COMPUTED_VALUE"""),"กรุงเทพมหานคร")</f>
        <v>กรุงเทพมหานคร</v>
      </c>
      <c r="AC1575" s="3">
        <f>IFERROR(__xludf.DUMMYFUNCTION("""COMPUTED_VALUE"""),10160.0)</f>
        <v>10160</v>
      </c>
      <c r="AD1575" s="3">
        <f>IFERROR(__xludf.DUMMYFUNCTION("""COMPUTED_VALUE"""),13.71365)</f>
        <v>13.71365</v>
      </c>
      <c r="AE1575" s="3">
        <f>IFERROR(__xludf.DUMMYFUNCTION("""COMPUTED_VALUE"""),100.402495)</f>
        <v>100.402495</v>
      </c>
      <c r="AF1575" s="3" t="str">
        <f>IFERROR(__xludf.DUMMYFUNCTION("""COMPUTED_VALUE"""),"MBC เพชรเกษม 88 กรุงเทพฯ-22260")</f>
        <v>MBC เพชรเกษม 88 กรุงเทพฯ-22260</v>
      </c>
      <c r="AG1575" s="3" t="str">
        <f>IFERROR(__xludf.DUMMYFUNCTION("""COMPUTED_VALUE"""),"กลาง")</f>
        <v>กลาง</v>
      </c>
      <c r="AH1575" s="3" t="str">
        <f>IFERROR(__xludf.DUMMYFUNCTION("""COMPUTED_VALUE"""),"#N/A")</f>
        <v>#N/A</v>
      </c>
      <c r="AI1575" s="3" t="str">
        <f>IFERROR(__xludf.DUMMYFUNCTION("""COMPUTED_VALUE"""),"Out of warranty")</f>
        <v>Out of warranty</v>
      </c>
      <c r="AJ1575" s="3">
        <f>IFERROR(__xludf.DUMMYFUNCTION("""COMPUTED_VALUE"""),62.0)</f>
        <v>62</v>
      </c>
      <c r="AK1575" s="3" t="str">
        <f>IFERROR(__xludf.DUMMYFUNCTION("""COMPUTED_VALUE"""),"MMS02")</f>
        <v>MMS02</v>
      </c>
      <c r="AL1575" s="3"/>
    </row>
    <row r="1576" ht="15.75" customHeight="1">
      <c r="A1576" s="1" t="str">
        <f>IFERROR(__xludf.DUMMYFUNCTION("""COMPUTED_VALUE"""),"22261")</f>
        <v>22261</v>
      </c>
      <c r="B1576" s="2">
        <f>IFERROR(__xludf.DUMMYFUNCTION("""COMPUTED_VALUE"""),22261.0)</f>
        <v>22261</v>
      </c>
      <c r="C1576" s="3" t="str">
        <f>IFERROR(__xludf.DUMMYFUNCTION("""COMPUTED_VALUE"""),"MBC ตลาดทรัพย์พูลมา สระบุรี")</f>
        <v>MBC ตลาดทรัพย์พูลมา สระบุรี</v>
      </c>
      <c r="D1576" s="3" t="str">
        <f>IFERROR(__xludf.DUMMYFUNCTION("""COMPUTED_VALUE"""),"BCM TALAD SAP POONMA")</f>
        <v>BCM TALAD SAP POONMA</v>
      </c>
      <c r="E1576" s="1" t="str">
        <f>IFERROR(__xludf.DUMMYFUNCTION("""COMPUTED_VALUE"""),"บิ๊กซี MINI")</f>
        <v>บิ๊กซี MINI</v>
      </c>
      <c r="F1576" s="1" t="str">
        <f>IFERROR(__xludf.DUMMYFUNCTION("""COMPUTED_VALUE"""),"296229")</f>
        <v>296229</v>
      </c>
      <c r="G1576" s="1" t="str">
        <f>IFERROR(__xludf.DUMMYFUNCTION("""COMPUTED_VALUE"""),"นายทนงศักดิ์ บุญมา")</f>
        <v>นายทนงศักดิ์ บุญมา</v>
      </c>
      <c r="H1576" s="1" t="str">
        <f>IFERROR(__xludf.DUMMYFUNCTION("""COMPUTED_VALUE"""),"318233")</f>
        <v>318233</v>
      </c>
      <c r="I1576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1576" s="3">
        <f>IFERROR(__xludf.DUMMYFUNCTION("""COMPUTED_VALUE"""),46214.0)</f>
        <v>46214</v>
      </c>
      <c r="K1576" s="3" t="str">
        <f>IFERROR(__xludf.DUMMYFUNCTION("""COMPUTED_VALUE"""),"นายศักดิ์ชัย เด็ดดอกฟ้า")</f>
        <v>นายศักดิ์ชัย เด็ดดอกฟ้า</v>
      </c>
      <c r="L1576" s="1" t="str">
        <f>IFERROR(__xludf.DUMMYFUNCTION("""COMPUTED_VALUE"""),"02 K.Sakchai D")</f>
        <v>02 K.Sakchai D</v>
      </c>
      <c r="M1576" s="1" t="str">
        <f>IFERROR(__xludf.DUMMYFUNCTION("""COMPUTED_VALUE"""),"065-510-7376")</f>
        <v>065-510-7376</v>
      </c>
      <c r="N1576" s="3">
        <f>IFERROR(__xludf.DUMMYFUNCTION("""COMPUTED_VALUE"""),21714.0)</f>
        <v>21714</v>
      </c>
      <c r="O1576" s="3" t="str">
        <f>IFERROR(__xludf.DUMMYFUNCTION("""COMPUTED_VALUE"""),"MBC เอสโซ่ วัดโบสถ์")</f>
        <v>MBC เอสโซ่ วัดโบสถ์</v>
      </c>
      <c r="P1576" s="4">
        <f>IFERROR(__xludf.DUMMYFUNCTION("""COMPUTED_VALUE"""),44165.0)</f>
        <v>44165</v>
      </c>
      <c r="Q1576" s="3" t="str">
        <f>IFERROR(__xludf.DUMMYFUNCTION("""COMPUTED_VALUE"""),"A")</f>
        <v>A</v>
      </c>
      <c r="R1576" s="3" t="str">
        <f>IFERROR(__xludf.DUMMYFUNCTION("""COMPUTED_VALUE"""),"Small Format")</f>
        <v>Small Format</v>
      </c>
      <c r="S1576" s="3" t="str">
        <f>IFERROR(__xludf.DUMMYFUNCTION("""COMPUTED_VALUE"""),"BCM")</f>
        <v>BCM</v>
      </c>
      <c r="T1576" s="3" t="str">
        <f>IFERROR(__xludf.DUMMYFUNCTION("""COMPUTED_VALUE"""),"#N/A")</f>
        <v>#N/A</v>
      </c>
      <c r="U1576" s="3" t="str">
        <f>IFERROR(__xludf.DUMMYFUNCTION("""COMPUTED_VALUE"""),"#N/A")</f>
        <v>#N/A</v>
      </c>
      <c r="V1576" s="3" t="str">
        <f>IFERROR(__xludf.DUMMYFUNCTION("""COMPUTED_VALUE"""),"N")</f>
        <v>N</v>
      </c>
      <c r="W1576" s="3">
        <f>IFERROR(__xludf.DUMMYFUNCTION("""COMPUTED_VALUE"""),210305.0)</f>
        <v>210305</v>
      </c>
      <c r="X1576" s="3" t="str">
        <f>IFERROR(__xludf.DUMMYFUNCTION("""COMPUTED_VALUE"""),"32/2 หมู่11 ตำบลหนองไข่น้ำ อำเภอหนองแค จังหวัดสระบุรี 18140")</f>
        <v>32/2 หมู่11 ตำบลหนองไข่น้ำ อำเภอหนองแค จังหวัดสระบุรี 18140</v>
      </c>
      <c r="Y1576" s="3"/>
      <c r="Z1576" s="3" t="str">
        <f>IFERROR(__xludf.DUMMYFUNCTION("""COMPUTED_VALUE"""),"หนองไข่น้ำ")</f>
        <v>หนองไข่น้ำ</v>
      </c>
      <c r="AA1576" s="3" t="str">
        <f>IFERROR(__xludf.DUMMYFUNCTION("""COMPUTED_VALUE"""),"หนองแค")</f>
        <v>หนองแค</v>
      </c>
      <c r="AB1576" s="3" t="str">
        <f>IFERROR(__xludf.DUMMYFUNCTION("""COMPUTED_VALUE"""),"สระบุรี")</f>
        <v>สระบุรี</v>
      </c>
      <c r="AC1576" s="3">
        <f>IFERROR(__xludf.DUMMYFUNCTION("""COMPUTED_VALUE"""),18140.0)</f>
        <v>18140</v>
      </c>
      <c r="AD1576" s="3">
        <f>IFERROR(__xludf.DUMMYFUNCTION("""COMPUTED_VALUE"""),14.349128)</f>
        <v>14.349128</v>
      </c>
      <c r="AE1576" s="3">
        <f>IFERROR(__xludf.DUMMYFUNCTION("""COMPUTED_VALUE"""),100.855661)</f>
        <v>100.855661</v>
      </c>
      <c r="AF1576" s="3" t="str">
        <f>IFERROR(__xludf.DUMMYFUNCTION("""COMPUTED_VALUE"""),"MBC ตลาดทรัพย์พูลมา สระบุรี-22261")</f>
        <v>MBC ตลาดทรัพย์พูลมา สระบุรี-22261</v>
      </c>
      <c r="AG1576" s="3" t="str">
        <f>IFERROR(__xludf.DUMMYFUNCTION("""COMPUTED_VALUE"""),"กลาง")</f>
        <v>กลาง</v>
      </c>
      <c r="AH1576" s="3" t="str">
        <f>IFERROR(__xludf.DUMMYFUNCTION("""COMPUTED_VALUE"""),"#N/A")</f>
        <v>#N/A</v>
      </c>
      <c r="AI1576" s="3" t="str">
        <f>IFERROR(__xludf.DUMMYFUNCTION("""COMPUTED_VALUE"""),"Out of warranty")</f>
        <v>Out of warranty</v>
      </c>
      <c r="AJ1576" s="3">
        <f>IFERROR(__xludf.DUMMYFUNCTION("""COMPUTED_VALUE"""),62.0)</f>
        <v>62</v>
      </c>
      <c r="AK1576" s="3" t="str">
        <f>IFERROR(__xludf.DUMMYFUNCTION("""COMPUTED_VALUE"""),"MMS09")</f>
        <v>MMS09</v>
      </c>
      <c r="AL1576" s="3"/>
    </row>
    <row r="1577" ht="15.75" customHeight="1">
      <c r="A1577" s="1" t="str">
        <f>IFERROR(__xludf.DUMMYFUNCTION("""COMPUTED_VALUE"""),"22262")</f>
        <v>22262</v>
      </c>
      <c r="B1577" s="2">
        <f>IFERROR(__xludf.DUMMYFUNCTION("""COMPUTED_VALUE"""),22262.0)</f>
        <v>22262</v>
      </c>
      <c r="C1577" s="3" t="str">
        <f>IFERROR(__xludf.DUMMYFUNCTION("""COMPUTED_VALUE"""),"MBC ถนนอำเภอ ภูเก็ต")</f>
        <v>MBC ถนนอำเภอ ภูเก็ต</v>
      </c>
      <c r="D1577" s="3" t="str">
        <f>IFERROR(__xludf.DUMMYFUNCTION("""COMPUTED_VALUE"""),"BCM THANON AMPHER")</f>
        <v>BCM THANON AMPHER</v>
      </c>
      <c r="E1577" s="1" t="str">
        <f>IFERROR(__xludf.DUMMYFUNCTION("""COMPUTED_VALUE"""),"บิ๊กซี MINI")</f>
        <v>บิ๊กซี MINI</v>
      </c>
      <c r="F1577" s="1" t="str">
        <f>IFERROR(__xludf.DUMMYFUNCTION("""COMPUTED_VALUE"""),"250760")</f>
        <v>250760</v>
      </c>
      <c r="G1577" s="1" t="str">
        <f>IFERROR(__xludf.DUMMYFUNCTION("""COMPUTED_VALUE"""),"นายประทวน สาราบรรณ์")</f>
        <v>นายประทวน สาราบรรณ์</v>
      </c>
      <c r="H1577" s="1" t="str">
        <f>IFERROR(__xludf.DUMMYFUNCTION("""COMPUTED_VALUE"""),"357284")</f>
        <v>357284</v>
      </c>
      <c r="I1577" s="1" t="str">
        <f>IFERROR(__xludf.DUMMYFUNCTION("""COMPUTED_VALUE"""),"น.ส.เบญจวรรณ ปัณฑโมรา")</f>
        <v>น.ส.เบญจวรรณ ปัณฑโมรา</v>
      </c>
      <c r="J1577" s="3">
        <f>IFERROR(__xludf.DUMMYFUNCTION("""COMPUTED_VALUE"""),25324.0)</f>
        <v>25324</v>
      </c>
      <c r="K1577" s="3" t="str">
        <f>IFERROR(__xludf.DUMMYFUNCTION("""COMPUTED_VALUE"""),"นายวิเชฎฐ์ ติรัตนะประคม")</f>
        <v>นายวิเชฎฐ์ ติรัตนะประคม</v>
      </c>
      <c r="L1577" s="1" t="str">
        <f>IFERROR(__xludf.DUMMYFUNCTION("""COMPUTED_VALUE"""),"14 K.Wichet T.")</f>
        <v>14 K.Wichet T.</v>
      </c>
      <c r="M1577" s="1" t="str">
        <f>IFERROR(__xludf.DUMMYFUNCTION("""COMPUTED_VALUE"""),"061-417-6569 / 086-445-5636")</f>
        <v>061-417-6569 / 086-445-5636</v>
      </c>
      <c r="N1577" s="3">
        <f>IFERROR(__xludf.DUMMYFUNCTION("""COMPUTED_VALUE"""),22658.0)</f>
        <v>22658</v>
      </c>
      <c r="O1577" s="3" t="str">
        <f>IFERROR(__xludf.DUMMYFUNCTION("""COMPUTED_VALUE"""),"BCM ถ.วิรัชหงษ์หยก ภูเก็ต")</f>
        <v>BCM ถ.วิรัชหงษ์หยก ภูเก็ต</v>
      </c>
      <c r="P1577" s="4">
        <f>IFERROR(__xludf.DUMMYFUNCTION("""COMPUTED_VALUE"""),44165.0)</f>
        <v>44165</v>
      </c>
      <c r="Q1577" s="3" t="str">
        <f>IFERROR(__xludf.DUMMYFUNCTION("""COMPUTED_VALUE"""),"A")</f>
        <v>A</v>
      </c>
      <c r="R1577" s="3" t="str">
        <f>IFERROR(__xludf.DUMMYFUNCTION("""COMPUTED_VALUE"""),"Small Format")</f>
        <v>Small Format</v>
      </c>
      <c r="S1577" s="3" t="str">
        <f>IFERROR(__xludf.DUMMYFUNCTION("""COMPUTED_VALUE"""),"BCM")</f>
        <v>BCM</v>
      </c>
      <c r="T1577" s="3" t="str">
        <f>IFERROR(__xludf.DUMMYFUNCTION("""COMPUTED_VALUE"""),"#N/A")</f>
        <v>#N/A</v>
      </c>
      <c r="U1577" s="3" t="str">
        <f>IFERROR(__xludf.DUMMYFUNCTION("""COMPUTED_VALUE"""),"#N/A")</f>
        <v>#N/A</v>
      </c>
      <c r="V1577" s="3" t="str">
        <f>IFERROR(__xludf.DUMMYFUNCTION("""COMPUTED_VALUE"""),"N")</f>
        <v>N</v>
      </c>
      <c r="W1577" s="3">
        <f>IFERROR(__xludf.DUMMYFUNCTION("""COMPUTED_VALUE"""),210042.0)</f>
        <v>210042</v>
      </c>
      <c r="X1577" s="3" t="str">
        <f>IFERROR(__xludf.DUMMYFUNCTION("""COMPUTED_VALUE"""),"4/34 ถนนอำเภอ ตำบลตลาดใหญ่ อำเภอเมืองภูเก็ต จังหวัดภูเก็ต 83000")</f>
        <v>4/34 ถนนอำเภอ ตำบลตลาดใหญ่ อำเภอเมืองภูเก็ต จังหวัดภูเก็ต 83000</v>
      </c>
      <c r="Y1577" s="3"/>
      <c r="Z1577" s="3" t="str">
        <f>IFERROR(__xludf.DUMMYFUNCTION("""COMPUTED_VALUE"""),"ตลาดใหญ่")</f>
        <v>ตลาดใหญ่</v>
      </c>
      <c r="AA1577" s="3" t="str">
        <f>IFERROR(__xludf.DUMMYFUNCTION("""COMPUTED_VALUE"""),"เมือง")</f>
        <v>เมือง</v>
      </c>
      <c r="AB1577" s="3" t="str">
        <f>IFERROR(__xludf.DUMMYFUNCTION("""COMPUTED_VALUE"""),"ภูเก็ต")</f>
        <v>ภูเก็ต</v>
      </c>
      <c r="AC1577" s="3">
        <f>IFERROR(__xludf.DUMMYFUNCTION("""COMPUTED_VALUE"""),83000.0)</f>
        <v>83000</v>
      </c>
      <c r="AD1577" s="3">
        <f>IFERROR(__xludf.DUMMYFUNCTION("""COMPUTED_VALUE"""),7.885972)</f>
        <v>7.885972</v>
      </c>
      <c r="AE1577" s="3">
        <f>IFERROR(__xludf.DUMMYFUNCTION("""COMPUTED_VALUE"""),98.403981)</f>
        <v>98.403981</v>
      </c>
      <c r="AF1577" s="3" t="str">
        <f>IFERROR(__xludf.DUMMYFUNCTION("""COMPUTED_VALUE"""),"MBC ถนนอำเภอ ภูเก็ต-22262")</f>
        <v>MBC ถนนอำเภอ ภูเก็ต-22262</v>
      </c>
      <c r="AG1577" s="3" t="str">
        <f>IFERROR(__xludf.DUMMYFUNCTION("""COMPUTED_VALUE"""),"ใต้")</f>
        <v>ใต้</v>
      </c>
      <c r="AH1577" s="3" t="str">
        <f>IFERROR(__xludf.DUMMYFUNCTION("""COMPUTED_VALUE"""),"#N/A")</f>
        <v>#N/A</v>
      </c>
      <c r="AI1577" s="3" t="str">
        <f>IFERROR(__xludf.DUMMYFUNCTION("""COMPUTED_VALUE"""),"Out of warranty")</f>
        <v>Out of warranty</v>
      </c>
      <c r="AJ1577" s="3">
        <f>IFERROR(__xludf.DUMMYFUNCTION("""COMPUTED_VALUE"""),62.0)</f>
        <v>62</v>
      </c>
      <c r="AK1577" s="3" t="str">
        <f>IFERROR(__xludf.DUMMYFUNCTION("""COMPUTED_VALUE"""),"MMS15")</f>
        <v>MMS15</v>
      </c>
      <c r="AL1577" s="3"/>
    </row>
    <row r="1578" ht="15.75" customHeight="1">
      <c r="A1578" s="1" t="str">
        <f>IFERROR(__xludf.DUMMYFUNCTION("""COMPUTED_VALUE"""),"22263")</f>
        <v>22263</v>
      </c>
      <c r="B1578" s="2">
        <f>IFERROR(__xludf.DUMMYFUNCTION("""COMPUTED_VALUE"""),22263.0)</f>
        <v>22263</v>
      </c>
      <c r="C1578" s="3" t="str">
        <f>IFERROR(__xludf.DUMMYFUNCTION("""COMPUTED_VALUE"""),"MBC ตลาดบางซ้าย อยุธยา")</f>
        <v>MBC ตลาดบางซ้าย อยุธยา</v>
      </c>
      <c r="D1578" s="3" t="str">
        <f>IFERROR(__xludf.DUMMYFUNCTION("""COMPUTED_VALUE"""),"BCM TALAD BANG SAI")</f>
        <v>BCM TALAD BANG SAI</v>
      </c>
      <c r="E1578" s="1" t="str">
        <f>IFERROR(__xludf.DUMMYFUNCTION("""COMPUTED_VALUE"""),"บิ๊กซี MINI")</f>
        <v>บิ๊กซี MINI</v>
      </c>
      <c r="F1578" s="1" t="str">
        <f>IFERROR(__xludf.DUMMYFUNCTION("""COMPUTED_VALUE"""),"296229")</f>
        <v>296229</v>
      </c>
      <c r="G1578" s="1" t="str">
        <f>IFERROR(__xludf.DUMMYFUNCTION("""COMPUTED_VALUE"""),"นายทนงศักดิ์ บุญมา")</f>
        <v>นายทนงศักดิ์ บุญมา</v>
      </c>
      <c r="H1578" s="1" t="str">
        <f>IFERROR(__xludf.DUMMYFUNCTION("""COMPUTED_VALUE"""),"211363")</f>
        <v>211363</v>
      </c>
      <c r="I1578" s="1" t="str">
        <f>IFERROR(__xludf.DUMMYFUNCTION("""COMPUTED_VALUE"""),"นายสามารถ บุญลับ")</f>
        <v>นายสามารถ บุญลับ</v>
      </c>
      <c r="J1578" s="3">
        <f>IFERROR(__xludf.DUMMYFUNCTION("""COMPUTED_VALUE"""),46214.0)</f>
        <v>46214</v>
      </c>
      <c r="K1578" s="3" t="str">
        <f>IFERROR(__xludf.DUMMYFUNCTION("""COMPUTED_VALUE"""),"นายศักดิ์ชัย เด็ดดอกฟ้า")</f>
        <v>นายศักดิ์ชัย เด็ดดอกฟ้า</v>
      </c>
      <c r="L1578" s="1" t="str">
        <f>IFERROR(__xludf.DUMMYFUNCTION("""COMPUTED_VALUE"""),"02 K.Sakchai D")</f>
        <v>02 K.Sakchai D</v>
      </c>
      <c r="M1578" s="1" t="str">
        <f>IFERROR(__xludf.DUMMYFUNCTION("""COMPUTED_VALUE"""),"065-510-7376")</f>
        <v>065-510-7376</v>
      </c>
      <c r="N1578" s="3">
        <f>IFERROR(__xludf.DUMMYFUNCTION("""COMPUTED_VALUE"""),21714.0)</f>
        <v>21714</v>
      </c>
      <c r="O1578" s="3" t="str">
        <f>IFERROR(__xludf.DUMMYFUNCTION("""COMPUTED_VALUE"""),"MBC เอสโซ่ วัดโบสถ์")</f>
        <v>MBC เอสโซ่ วัดโบสถ์</v>
      </c>
      <c r="P1578" s="4">
        <f>IFERROR(__xludf.DUMMYFUNCTION("""COMPUTED_VALUE"""),44174.0)</f>
        <v>44174</v>
      </c>
      <c r="Q1578" s="3" t="str">
        <f>IFERROR(__xludf.DUMMYFUNCTION("""COMPUTED_VALUE"""),"A")</f>
        <v>A</v>
      </c>
      <c r="R1578" s="3" t="str">
        <f>IFERROR(__xludf.DUMMYFUNCTION("""COMPUTED_VALUE"""),"Small Format")</f>
        <v>Small Format</v>
      </c>
      <c r="S1578" s="3" t="str">
        <f>IFERROR(__xludf.DUMMYFUNCTION("""COMPUTED_VALUE"""),"BCM")</f>
        <v>BCM</v>
      </c>
      <c r="T1578" s="3" t="str">
        <f>IFERROR(__xludf.DUMMYFUNCTION("""COMPUTED_VALUE"""),"#N/A")</f>
        <v>#N/A</v>
      </c>
      <c r="U1578" s="3" t="str">
        <f>IFERROR(__xludf.DUMMYFUNCTION("""COMPUTED_VALUE"""),"#N/A")</f>
        <v>#N/A</v>
      </c>
      <c r="V1578" s="3" t="str">
        <f>IFERROR(__xludf.DUMMYFUNCTION("""COMPUTED_VALUE"""),"N")</f>
        <v>N</v>
      </c>
      <c r="W1578" s="3">
        <f>IFERROR(__xludf.DUMMYFUNCTION("""COMPUTED_VALUE"""),210315.0)</f>
        <v>210315</v>
      </c>
      <c r="X1578" s="3" t="str">
        <f>IFERROR(__xludf.DUMMYFUNCTION("""COMPUTED_VALUE"""),"118/8 หมู่3 ตำบลบางซ้าย อำเภอบางซ้าย จังหวัดพระนครศรีอยุธยา 13270")</f>
        <v>118/8 หมู่3 ตำบลบางซ้าย อำเภอบางซ้าย จังหวัดพระนครศรีอยุธยา 13270</v>
      </c>
      <c r="Y1578" s="3"/>
      <c r="Z1578" s="3" t="str">
        <f>IFERROR(__xludf.DUMMYFUNCTION("""COMPUTED_VALUE"""),"บางซ้าย")</f>
        <v>บางซ้าย</v>
      </c>
      <c r="AA1578" s="3" t="str">
        <f>IFERROR(__xludf.DUMMYFUNCTION("""COMPUTED_VALUE"""),"บางซ้าย")</f>
        <v>บางซ้าย</v>
      </c>
      <c r="AB1578" s="3" t="str">
        <f>IFERROR(__xludf.DUMMYFUNCTION("""COMPUTED_VALUE"""),"พระนครศรีอยุธยา")</f>
        <v>พระนครศรีอยุธยา</v>
      </c>
      <c r="AC1578" s="3">
        <f>IFERROR(__xludf.DUMMYFUNCTION("""COMPUTED_VALUE"""),13270.0)</f>
        <v>13270</v>
      </c>
      <c r="AD1578" s="3">
        <f>IFERROR(__xludf.DUMMYFUNCTION("""COMPUTED_VALUE"""),14.334433)</f>
        <v>14.334433</v>
      </c>
      <c r="AE1578" s="3">
        <f>IFERROR(__xludf.DUMMYFUNCTION("""COMPUTED_VALUE"""),100.302323)</f>
        <v>100.302323</v>
      </c>
      <c r="AF1578" s="3" t="str">
        <f>IFERROR(__xludf.DUMMYFUNCTION("""COMPUTED_VALUE"""),"MBC ตลาดบางซ้าย อยุธยา-22263")</f>
        <v>MBC ตลาดบางซ้าย อยุธยา-22263</v>
      </c>
      <c r="AG1578" s="3" t="str">
        <f>IFERROR(__xludf.DUMMYFUNCTION("""COMPUTED_VALUE"""),"กลาง")</f>
        <v>กลาง</v>
      </c>
      <c r="AH1578" s="3" t="str">
        <f>IFERROR(__xludf.DUMMYFUNCTION("""COMPUTED_VALUE"""),"#N/A")</f>
        <v>#N/A</v>
      </c>
      <c r="AI1578" s="3" t="str">
        <f>IFERROR(__xludf.DUMMYFUNCTION("""COMPUTED_VALUE"""),"Out of warranty")</f>
        <v>Out of warranty</v>
      </c>
      <c r="AJ1578" s="3">
        <f>IFERROR(__xludf.DUMMYFUNCTION("""COMPUTED_VALUE"""),62.0)</f>
        <v>62</v>
      </c>
      <c r="AK1578" s="3" t="str">
        <f>IFERROR(__xludf.DUMMYFUNCTION("""COMPUTED_VALUE"""),"MMS09")</f>
        <v>MMS09</v>
      </c>
      <c r="AL1578" s="3"/>
    </row>
    <row r="1579" ht="15.75" customHeight="1">
      <c r="A1579" s="1" t="str">
        <f>IFERROR(__xludf.DUMMYFUNCTION("""COMPUTED_VALUE"""),"22264")</f>
        <v>22264</v>
      </c>
      <c r="B1579" s="2">
        <f>IFERROR(__xludf.DUMMYFUNCTION("""COMPUTED_VALUE"""),22264.0)</f>
        <v>22264</v>
      </c>
      <c r="C1579" s="3" t="str">
        <f>IFERROR(__xludf.DUMMYFUNCTION("""COMPUTED_VALUE"""),"MBC ตลาดนัดแม่เล้ง ฉะเชิงเทรา")</f>
        <v>MBC ตลาดนัดแม่เล้ง ฉะเชิงเทรา</v>
      </c>
      <c r="D1579" s="3" t="str">
        <f>IFERROR(__xludf.DUMMYFUNCTION("""COMPUTED_VALUE"""),"BCM TALAD NUD MAE LENG")</f>
        <v>BCM TALAD NUD MAE LENG</v>
      </c>
      <c r="E1579" s="1" t="str">
        <f>IFERROR(__xludf.DUMMYFUNCTION("""COMPUTED_VALUE"""),"บิ๊กซี MINI")</f>
        <v>บิ๊กซี MINI</v>
      </c>
      <c r="F1579" s="1" t="str">
        <f>IFERROR(__xludf.DUMMYFUNCTION("""COMPUTED_VALUE"""),"2083447")</f>
        <v>2083447</v>
      </c>
      <c r="G1579" s="1" t="str">
        <f>IFERROR(__xludf.DUMMYFUNCTION("""COMPUTED_VALUE"""),"นายอนุกูล ศรีลัดดา")</f>
        <v>นายอนุกูล ศรีลัดดา</v>
      </c>
      <c r="H1579" s="1" t="str">
        <f>IFERROR(__xludf.DUMMYFUNCTION("""COMPUTED_VALUE"""),"254957")</f>
        <v>254957</v>
      </c>
      <c r="I1579" s="1" t="str">
        <f>IFERROR(__xludf.DUMMYFUNCTION("""COMPUTED_VALUE"""),"น.ส.ศิริพร รุ่งธัญญา")</f>
        <v>น.ส.ศิริพร รุ่งธัญญา</v>
      </c>
      <c r="J1579" s="3">
        <f>IFERROR(__xludf.DUMMYFUNCTION("""COMPUTED_VALUE"""),510143.0)</f>
        <v>510143</v>
      </c>
      <c r="K1579" s="3" t="str">
        <f>IFERROR(__xludf.DUMMYFUNCTION("""COMPUTED_VALUE"""),"นายธีระวัฒน์ บุญสิทธิ์")</f>
        <v>นายธีระวัฒน์ บุญสิทธิ์</v>
      </c>
      <c r="L1579" s="1" t="str">
        <f>IFERROR(__xludf.DUMMYFUNCTION("""COMPUTED_VALUE"""),"12 K.Theerawat B.")</f>
        <v>12 K.Theerawat B.</v>
      </c>
      <c r="M1579" s="1" t="str">
        <f>IFERROR(__xludf.DUMMYFUNCTION("""COMPUTED_VALUE"""),"0655107379")</f>
        <v>0655107379</v>
      </c>
      <c r="N1579" s="3">
        <f>IFERROR(__xludf.DUMMYFUNCTION("""COMPUTED_VALUE"""),21062.0)</f>
        <v>21062</v>
      </c>
      <c r="O1579" s="3" t="str">
        <f>IFERROR(__xludf.DUMMYFUNCTION("""COMPUTED_VALUE"""),"MBC นิคมนวนคร")</f>
        <v>MBC นิคมนวนคร</v>
      </c>
      <c r="P1579" s="4">
        <f>IFERROR(__xludf.DUMMYFUNCTION("""COMPUTED_VALUE"""),44171.0)</f>
        <v>44171</v>
      </c>
      <c r="Q1579" s="3" t="str">
        <f>IFERROR(__xludf.DUMMYFUNCTION("""COMPUTED_VALUE"""),"A")</f>
        <v>A</v>
      </c>
      <c r="R1579" s="3" t="str">
        <f>IFERROR(__xludf.DUMMYFUNCTION("""COMPUTED_VALUE"""),"Small Format")</f>
        <v>Small Format</v>
      </c>
      <c r="S1579" s="3" t="str">
        <f>IFERROR(__xludf.DUMMYFUNCTION("""COMPUTED_VALUE"""),"BCM")</f>
        <v>BCM</v>
      </c>
      <c r="T1579" s="3" t="str">
        <f>IFERROR(__xludf.DUMMYFUNCTION("""COMPUTED_VALUE"""),"#N/A")</f>
        <v>#N/A</v>
      </c>
      <c r="U1579" s="3" t="str">
        <f>IFERROR(__xludf.DUMMYFUNCTION("""COMPUTED_VALUE"""),"#N/A")</f>
        <v>#N/A</v>
      </c>
      <c r="V1579" s="3" t="str">
        <f>IFERROR(__xludf.DUMMYFUNCTION("""COMPUTED_VALUE"""),"N")</f>
        <v>N</v>
      </c>
      <c r="W1579" s="3">
        <f>IFERROR(__xludf.DUMMYFUNCTION("""COMPUTED_VALUE"""),210195.0)</f>
        <v>210195</v>
      </c>
      <c r="X1579" s="3" t="str">
        <f>IFERROR(__xludf.DUMMYFUNCTION("""COMPUTED_VALUE"""),"124/19 หมู่1 ตำบลท่าทองหลาง อำเภอบางคล้า จังหวัดฉะเชิงเทรา 24110")</f>
        <v>124/19 หมู่1 ตำบลท่าทองหลาง อำเภอบางคล้า จังหวัดฉะเชิงเทรา 24110</v>
      </c>
      <c r="Y1579" s="3"/>
      <c r="Z1579" s="3" t="str">
        <f>IFERROR(__xludf.DUMMYFUNCTION("""COMPUTED_VALUE"""),"ท่าทองหลาง")</f>
        <v>ท่าทองหลาง</v>
      </c>
      <c r="AA1579" s="3" t="str">
        <f>IFERROR(__xludf.DUMMYFUNCTION("""COMPUTED_VALUE"""),"บางคล้า")</f>
        <v>บางคล้า</v>
      </c>
      <c r="AB1579" s="3" t="str">
        <f>IFERROR(__xludf.DUMMYFUNCTION("""COMPUTED_VALUE"""),"ฉะเชิงเทรา")</f>
        <v>ฉะเชิงเทรา</v>
      </c>
      <c r="AC1579" s="3">
        <f>IFERROR(__xludf.DUMMYFUNCTION("""COMPUTED_VALUE"""),24110.0)</f>
        <v>24110</v>
      </c>
      <c r="AD1579" s="3">
        <f>IFERROR(__xludf.DUMMYFUNCTION("""COMPUTED_VALUE"""),13.71286)</f>
        <v>13.71286</v>
      </c>
      <c r="AE1579" s="3">
        <f>IFERROR(__xludf.DUMMYFUNCTION("""COMPUTED_VALUE"""),101.209663)</f>
        <v>101.209663</v>
      </c>
      <c r="AF1579" s="3" t="str">
        <f>IFERROR(__xludf.DUMMYFUNCTION("""COMPUTED_VALUE"""),"MBC ตลาดนัดแม่เล้ง ฉะเชิงเทรา-22264")</f>
        <v>MBC ตลาดนัดแม่เล้ง ฉะเชิงเทรา-22264</v>
      </c>
      <c r="AG1579" s="3" t="str">
        <f>IFERROR(__xludf.DUMMYFUNCTION("""COMPUTED_VALUE"""),"ตะวันออก")</f>
        <v>ตะวันออก</v>
      </c>
      <c r="AH1579" s="3" t="str">
        <f>IFERROR(__xludf.DUMMYFUNCTION("""COMPUTED_VALUE"""),"#N/A")</f>
        <v>#N/A</v>
      </c>
      <c r="AI1579" s="3" t="str">
        <f>IFERROR(__xludf.DUMMYFUNCTION("""COMPUTED_VALUE"""),"Out of warranty")</f>
        <v>Out of warranty</v>
      </c>
      <c r="AJ1579" s="3">
        <f>IFERROR(__xludf.DUMMYFUNCTION("""COMPUTED_VALUE"""),62.0)</f>
        <v>62</v>
      </c>
      <c r="AK1579" s="3" t="str">
        <f>IFERROR(__xludf.DUMMYFUNCTION("""COMPUTED_VALUE"""),"MMS07")</f>
        <v>MMS07</v>
      </c>
      <c r="AL1579" s="3"/>
    </row>
    <row r="1580" ht="15.75" customHeight="1">
      <c r="A1580" s="1" t="str">
        <f>IFERROR(__xludf.DUMMYFUNCTION("""COMPUTED_VALUE"""),"22265")</f>
        <v>22265</v>
      </c>
      <c r="B1580" s="2">
        <f>IFERROR(__xludf.DUMMYFUNCTION("""COMPUTED_VALUE"""),22265.0)</f>
        <v>22265</v>
      </c>
      <c r="C1580" s="3" t="str">
        <f>IFERROR(__xludf.DUMMYFUNCTION("""COMPUTED_VALUE"""),"MBC หัวถนน นครศรีธรรมราช")</f>
        <v>MBC หัวถนน นครศรีธรรมราช</v>
      </c>
      <c r="D1580" s="3" t="str">
        <f>IFERROR(__xludf.DUMMYFUNCTION("""COMPUTED_VALUE"""),"BCM HUA THANON")</f>
        <v>BCM HUA THANON</v>
      </c>
      <c r="E1580" s="1" t="str">
        <f>IFERROR(__xludf.DUMMYFUNCTION("""COMPUTED_VALUE"""),"บิ๊กซี MINI")</f>
        <v>บิ๊กซี MINI</v>
      </c>
      <c r="F1580" s="1" t="str">
        <f>IFERROR(__xludf.DUMMYFUNCTION("""COMPUTED_VALUE"""),"250760")</f>
        <v>250760</v>
      </c>
      <c r="G1580" s="1" t="str">
        <f>IFERROR(__xludf.DUMMYFUNCTION("""COMPUTED_VALUE"""),"นายประทวน สาราบรรณ์")</f>
        <v>นายประทวน สาราบรรณ์</v>
      </c>
      <c r="H1580" s="1" t="str">
        <f>IFERROR(__xludf.DUMMYFUNCTION("""COMPUTED_VALUE"""),"394143")</f>
        <v>394143</v>
      </c>
      <c r="I1580" s="1" t="str">
        <f>IFERROR(__xludf.DUMMYFUNCTION("""COMPUTED_VALUE"""),"นายวิษณุ เพชรหัตถ์")</f>
        <v>นายวิษณุ เพชรหัตถ์</v>
      </c>
      <c r="J1580" s="3">
        <f>IFERROR(__xludf.DUMMYFUNCTION("""COMPUTED_VALUE"""),2.0470331E7)</f>
        <v>20470331</v>
      </c>
      <c r="K1580" s="3" t="str">
        <f>IFERROR(__xludf.DUMMYFUNCTION("""COMPUTED_VALUE"""),"นายสมชาย ลักษณะสุวรรณ")</f>
        <v>นายสมชาย ลักษณะสุวรรณ</v>
      </c>
      <c r="L1580" s="1" t="str">
        <f>IFERROR(__xludf.DUMMYFUNCTION("""COMPUTED_VALUE"""),"15 K.Somchai L")</f>
        <v>15 K.Somchai L</v>
      </c>
      <c r="M1580" s="1" t="str">
        <f>IFERROR(__xludf.DUMMYFUNCTION("""COMPUTED_VALUE"""),"0655107372")</f>
        <v>0655107372</v>
      </c>
      <c r="N1580" s="3">
        <f>IFERROR(__xludf.DUMMYFUNCTION("""COMPUTED_VALUE"""),21723.0)</f>
        <v>21723</v>
      </c>
      <c r="O1580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580" s="4">
        <f>IFERROR(__xludf.DUMMYFUNCTION("""COMPUTED_VALUE"""),44172.0)</f>
        <v>44172</v>
      </c>
      <c r="Q1580" s="3" t="str">
        <f>IFERROR(__xludf.DUMMYFUNCTION("""COMPUTED_VALUE"""),"A")</f>
        <v>A</v>
      </c>
      <c r="R1580" s="3" t="str">
        <f>IFERROR(__xludf.DUMMYFUNCTION("""COMPUTED_VALUE"""),"Small Format")</f>
        <v>Small Format</v>
      </c>
      <c r="S1580" s="3" t="str">
        <f>IFERROR(__xludf.DUMMYFUNCTION("""COMPUTED_VALUE"""),"BCM")</f>
        <v>BCM</v>
      </c>
      <c r="T1580" s="3" t="str">
        <f>IFERROR(__xludf.DUMMYFUNCTION("""COMPUTED_VALUE"""),"#N/A")</f>
        <v>#N/A</v>
      </c>
      <c r="U1580" s="3" t="str">
        <f>IFERROR(__xludf.DUMMYFUNCTION("""COMPUTED_VALUE"""),"#N/A")</f>
        <v>#N/A</v>
      </c>
      <c r="V1580" s="3" t="str">
        <f>IFERROR(__xludf.DUMMYFUNCTION("""COMPUTED_VALUE"""),"N")</f>
        <v>N</v>
      </c>
      <c r="W1580" s="3">
        <f>IFERROR(__xludf.DUMMYFUNCTION("""COMPUTED_VALUE"""),210313.0)</f>
        <v>210313</v>
      </c>
      <c r="X1580" s="3" t="str">
        <f>IFERROR(__xludf.DUMMYFUNCTION("""COMPUTED_VALUE"""),"32/15 หมู่10 ตำบลท่าเรือ อำเภอเมืองนครศรีธรรมราช จังหวัดนครศรีธรรมราช 80000")</f>
        <v>32/15 หมู่10 ตำบลท่าเรือ อำเภอเมืองนครศรีธรรมราช จังหวัดนครศรีธรรมราช 80000</v>
      </c>
      <c r="Y1580" s="3"/>
      <c r="Z1580" s="3" t="str">
        <f>IFERROR(__xludf.DUMMYFUNCTION("""COMPUTED_VALUE"""),"ท่าเรือ")</f>
        <v>ท่าเรือ</v>
      </c>
      <c r="AA1580" s="3" t="str">
        <f>IFERROR(__xludf.DUMMYFUNCTION("""COMPUTED_VALUE"""),"เมือง")</f>
        <v>เมือง</v>
      </c>
      <c r="AB1580" s="3" t="str">
        <f>IFERROR(__xludf.DUMMYFUNCTION("""COMPUTED_VALUE"""),"นครศรีธรรมราช")</f>
        <v>นครศรีธรรมราช</v>
      </c>
      <c r="AC1580" s="3">
        <f>IFERROR(__xludf.DUMMYFUNCTION("""COMPUTED_VALUE"""),80000.0)</f>
        <v>80000</v>
      </c>
      <c r="AD1580" s="3">
        <f>IFERROR(__xludf.DUMMYFUNCTION("""COMPUTED_VALUE"""),8.378196)</f>
        <v>8.378196</v>
      </c>
      <c r="AE1580" s="3">
        <f>IFERROR(__xludf.DUMMYFUNCTION("""COMPUTED_VALUE"""),99.973726)</f>
        <v>99.973726</v>
      </c>
      <c r="AF1580" s="3" t="str">
        <f>IFERROR(__xludf.DUMMYFUNCTION("""COMPUTED_VALUE"""),"MBC หัวถนน นครศรีธรรมราช-22265")</f>
        <v>MBC หัวถนน นครศรีธรรมราช-22265</v>
      </c>
      <c r="AG1580" s="3" t="str">
        <f>IFERROR(__xludf.DUMMYFUNCTION("""COMPUTED_VALUE"""),"ใต้")</f>
        <v>ใต้</v>
      </c>
      <c r="AH1580" s="3" t="str">
        <f>IFERROR(__xludf.DUMMYFUNCTION("""COMPUTED_VALUE"""),"#N/A")</f>
        <v>#N/A</v>
      </c>
      <c r="AI1580" s="3" t="str">
        <f>IFERROR(__xludf.DUMMYFUNCTION("""COMPUTED_VALUE"""),"Out of warranty")</f>
        <v>Out of warranty</v>
      </c>
      <c r="AJ1580" s="3">
        <f>IFERROR(__xludf.DUMMYFUNCTION("""COMPUTED_VALUE"""),62.0)</f>
        <v>62</v>
      </c>
      <c r="AK1580" s="3" t="str">
        <f>IFERROR(__xludf.DUMMYFUNCTION("""COMPUTED_VALUE"""),"MMS15")</f>
        <v>MMS15</v>
      </c>
      <c r="AL1580" s="3"/>
    </row>
    <row r="1581" ht="15.75" customHeight="1">
      <c r="A1581" s="1" t="str">
        <f>IFERROR(__xludf.DUMMYFUNCTION("""COMPUTED_VALUE"""),"22266")</f>
        <v>22266</v>
      </c>
      <c r="B1581" s="2">
        <f>IFERROR(__xludf.DUMMYFUNCTION("""COMPUTED_VALUE"""),22266.0)</f>
        <v>22266</v>
      </c>
      <c r="C1581" s="3" t="str">
        <f>IFERROR(__xludf.DUMMYFUNCTION("""COMPUTED_VALUE"""),"MBC หัวตะพาน อำนาจเจริญ")</f>
        <v>MBC หัวตะพาน อำนาจเจริญ</v>
      </c>
      <c r="D1581" s="3" t="str">
        <f>IFERROR(__xludf.DUMMYFUNCTION("""COMPUTED_VALUE"""),"BCM HUA TAPHAN")</f>
        <v>BCM HUA TAPHAN</v>
      </c>
      <c r="E1581" s="1" t="str">
        <f>IFERROR(__xludf.DUMMYFUNCTION("""COMPUTED_VALUE"""),"บิ๊กซี MINI")</f>
        <v>บิ๊กซี MINI</v>
      </c>
      <c r="F1581" s="1" t="str">
        <f>IFERROR(__xludf.DUMMYFUNCTION("""COMPUTED_VALUE"""),"291105")</f>
        <v>291105</v>
      </c>
      <c r="G1581" s="1" t="str">
        <f>IFERROR(__xludf.DUMMYFUNCTION("""COMPUTED_VALUE"""),"นายสราวุฒิ พณิชยกุล")</f>
        <v>นายสราวุฒิ พณิชยกุล</v>
      </c>
      <c r="H1581" s="1" t="str">
        <f>IFERROR(__xludf.DUMMYFUNCTION("""COMPUTED_VALUE"""),"398285")</f>
        <v>398285</v>
      </c>
      <c r="I1581" s="1" t="str">
        <f>IFERROR(__xludf.DUMMYFUNCTION("""COMPUTED_VALUE"""),"น.ส.พชิรา บุญจูง")</f>
        <v>น.ส.พชิรา บุญจูง</v>
      </c>
      <c r="J1581" s="3">
        <f>IFERROR(__xludf.DUMMYFUNCTION("""COMPUTED_VALUE"""),2454781.0)</f>
        <v>2454781</v>
      </c>
      <c r="K1581" s="3" t="str">
        <f>IFERROR(__xludf.DUMMYFUNCTION("""COMPUTED_VALUE"""),"นายฌานกฤช นันทะโคต")</f>
        <v>นายฌานกฤช นันทะโคต</v>
      </c>
      <c r="L1581" s="1" t="str">
        <f>IFERROR(__xludf.DUMMYFUNCTION("""COMPUTED_VALUE"""),"05 K.Chanakrit N.")</f>
        <v>05 K.Chanakrit N.</v>
      </c>
      <c r="M1581" s="1" t="str">
        <f>IFERROR(__xludf.DUMMYFUNCTION("""COMPUTED_VALUE"""),"090-978-9785 ,065-929-1320")</f>
        <v>090-978-9785 ,065-929-1320</v>
      </c>
      <c r="N1581" s="3">
        <f>IFERROR(__xludf.DUMMYFUNCTION("""COMPUTED_VALUE"""),22195.0)</f>
        <v>22195</v>
      </c>
      <c r="O1581" s="3" t="str">
        <f>IFERROR(__xludf.DUMMYFUNCTION("""COMPUTED_VALUE"""),"MBC กันทรลักษ์ ศรีสะเกษ")</f>
        <v>MBC กันทรลักษ์ ศรีสะเกษ</v>
      </c>
      <c r="P1581" s="4">
        <f>IFERROR(__xludf.DUMMYFUNCTION("""COMPUTED_VALUE"""),44185.0)</f>
        <v>44185</v>
      </c>
      <c r="Q1581" s="3" t="str">
        <f>IFERROR(__xludf.DUMMYFUNCTION("""COMPUTED_VALUE"""),"A")</f>
        <v>A</v>
      </c>
      <c r="R1581" s="3" t="str">
        <f>IFERROR(__xludf.DUMMYFUNCTION("""COMPUTED_VALUE"""),"Small Format")</f>
        <v>Small Format</v>
      </c>
      <c r="S1581" s="3" t="str">
        <f>IFERROR(__xludf.DUMMYFUNCTION("""COMPUTED_VALUE"""),"BCM")</f>
        <v>BCM</v>
      </c>
      <c r="T1581" s="3" t="str">
        <f>IFERROR(__xludf.DUMMYFUNCTION("""COMPUTED_VALUE"""),"#N/A")</f>
        <v>#N/A</v>
      </c>
      <c r="U1581" s="3" t="str">
        <f>IFERROR(__xludf.DUMMYFUNCTION("""COMPUTED_VALUE"""),"#N/A")</f>
        <v>#N/A</v>
      </c>
      <c r="V1581" s="3" t="str">
        <f>IFERROR(__xludf.DUMMYFUNCTION("""COMPUTED_VALUE"""),"N")</f>
        <v>N</v>
      </c>
      <c r="W1581" s="3">
        <f>IFERROR(__xludf.DUMMYFUNCTION("""COMPUTED_VALUE"""),210312.0)</f>
        <v>210312</v>
      </c>
      <c r="X1581" s="3" t="str">
        <f>IFERROR(__xludf.DUMMYFUNCTION("""COMPUTED_VALUE"""),"37/16 หมู่1 ตำบลรัตนวารี อำเภอหัวตะพาน จังหวัดอำนาจเจริญ 37240")</f>
        <v>37/16 หมู่1 ตำบลรัตนวารี อำเภอหัวตะพาน จังหวัดอำนาจเจริญ 37240</v>
      </c>
      <c r="Y1581" s="3"/>
      <c r="Z1581" s="3" t="str">
        <f>IFERROR(__xludf.DUMMYFUNCTION("""COMPUTED_VALUE"""),"รัตนวารี")</f>
        <v>รัตนวารี</v>
      </c>
      <c r="AA1581" s="3" t="str">
        <f>IFERROR(__xludf.DUMMYFUNCTION("""COMPUTED_VALUE"""),"หัวตะพาน")</f>
        <v>หัวตะพาน</v>
      </c>
      <c r="AB1581" s="3" t="str">
        <f>IFERROR(__xludf.DUMMYFUNCTION("""COMPUTED_VALUE"""),"อำนาจเจริญ")</f>
        <v>อำนาจเจริญ</v>
      </c>
      <c r="AC1581" s="3">
        <f>IFERROR(__xludf.DUMMYFUNCTION("""COMPUTED_VALUE"""),37240.0)</f>
        <v>37240</v>
      </c>
      <c r="AD1581" s="3">
        <f>IFERROR(__xludf.DUMMYFUNCTION("""COMPUTED_VALUE"""),15.697535)</f>
        <v>15.697535</v>
      </c>
      <c r="AE1581" s="3">
        <f>IFERROR(__xludf.DUMMYFUNCTION("""COMPUTED_VALUE"""),104.494067)</f>
        <v>104.494067</v>
      </c>
      <c r="AF1581" s="3" t="str">
        <f>IFERROR(__xludf.DUMMYFUNCTION("""COMPUTED_VALUE"""),"MBC หัวตะพาน อำนาจเจริญ-22266")</f>
        <v>MBC หัวตะพาน อำนาจเจริญ-22266</v>
      </c>
      <c r="AG1581" s="3" t="str">
        <f>IFERROR(__xludf.DUMMYFUNCTION("""COMPUTED_VALUE"""),"ตะวันออกเฉียงเหนือ")</f>
        <v>ตะวันออกเฉียงเหนือ</v>
      </c>
      <c r="AH1581" s="3" t="str">
        <f>IFERROR(__xludf.DUMMYFUNCTION("""COMPUTED_VALUE"""),"#N/A")</f>
        <v>#N/A</v>
      </c>
      <c r="AI1581" s="3" t="str">
        <f>IFERROR(__xludf.DUMMYFUNCTION("""COMPUTED_VALUE"""),"Out of warranty")</f>
        <v>Out of warranty</v>
      </c>
      <c r="AJ1581" s="3">
        <f>IFERROR(__xludf.DUMMYFUNCTION("""COMPUTED_VALUE"""),62.0)</f>
        <v>62</v>
      </c>
      <c r="AK1581" s="3" t="str">
        <f>IFERROR(__xludf.DUMMYFUNCTION("""COMPUTED_VALUE"""),"MMS13")</f>
        <v>MMS13</v>
      </c>
      <c r="AL1581" s="3"/>
    </row>
    <row r="1582" ht="15.75" customHeight="1">
      <c r="A1582" s="1" t="str">
        <f>IFERROR(__xludf.DUMMYFUNCTION("""COMPUTED_VALUE"""),"22267")</f>
        <v>22267</v>
      </c>
      <c r="B1582" s="2">
        <f>IFERROR(__xludf.DUMMYFUNCTION("""COMPUTED_VALUE"""),22267.0)</f>
        <v>22267</v>
      </c>
      <c r="C1582" s="3" t="str">
        <f>IFERROR(__xludf.DUMMYFUNCTION("""COMPUTED_VALUE"""),"MBC ม.ประดับดาว นนทบุรี")</f>
        <v>MBC ม.ประดับดาว นนทบุรี</v>
      </c>
      <c r="D1582" s="3" t="str">
        <f>IFERROR(__xludf.DUMMYFUNCTION("""COMPUTED_VALUE"""),"BCM MOOBAN PRADUBDAO")</f>
        <v>BCM MOOBAN PRADUBDAO</v>
      </c>
      <c r="E1582" s="1" t="str">
        <f>IFERROR(__xludf.DUMMYFUNCTION("""COMPUTED_VALUE"""),"บิ๊กซี MINI")</f>
        <v>บิ๊กซี MINI</v>
      </c>
      <c r="F1582" s="1" t="str">
        <f>IFERROR(__xludf.DUMMYFUNCTION("""COMPUTED_VALUE"""),"291008")</f>
        <v>291008</v>
      </c>
      <c r="G1582" s="1" t="str">
        <f>IFERROR(__xludf.DUMMYFUNCTION("""COMPUTED_VALUE"""),"น.ส.รัชดาพร อีศรัตน์")</f>
        <v>น.ส.รัชดาพร อีศรัตน์</v>
      </c>
      <c r="H1582" s="1" t="str">
        <f>IFERROR(__xludf.DUMMYFUNCTION("""COMPUTED_VALUE"""),"034068")</f>
        <v>034068</v>
      </c>
      <c r="I1582" s="1" t="str">
        <f>IFERROR(__xludf.DUMMYFUNCTION("""COMPUTED_VALUE"""),"นายสมศักดิ์ ฐานทองดี")</f>
        <v>นายสมศักดิ์ ฐานทองดี</v>
      </c>
      <c r="J1582" s="3">
        <f>IFERROR(__xludf.DUMMYFUNCTION("""COMPUTED_VALUE"""),296608.0)</f>
        <v>296608</v>
      </c>
      <c r="K1582" s="3" t="str">
        <f>IFERROR(__xludf.DUMMYFUNCTION("""COMPUTED_VALUE"""),"นายภาคภูมิ เพ็ชรนิล")</f>
        <v>นายภาคภูมิ เพ็ชรนิล</v>
      </c>
      <c r="L1582" s="1" t="str">
        <f>IFERROR(__xludf.DUMMYFUNCTION("""COMPUTED_VALUE"""),"10 K.Phakphoom P.")</f>
        <v>10 K.Phakphoom P.</v>
      </c>
      <c r="M1582" s="1" t="str">
        <f>IFERROR(__xludf.DUMMYFUNCTION("""COMPUTED_VALUE"""),"063-8955329")</f>
        <v>063-8955329</v>
      </c>
      <c r="N1582" s="3">
        <f>IFERROR(__xludf.DUMMYFUNCTION("""COMPUTED_VALUE"""),22584.0)</f>
        <v>22584</v>
      </c>
      <c r="O1582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582" s="4">
        <f>IFERROR(__xludf.DUMMYFUNCTION("""COMPUTED_VALUE"""),44174.0)</f>
        <v>44174</v>
      </c>
      <c r="Q1582" s="3" t="str">
        <f>IFERROR(__xludf.DUMMYFUNCTION("""COMPUTED_VALUE"""),"A")</f>
        <v>A</v>
      </c>
      <c r="R1582" s="3" t="str">
        <f>IFERROR(__xludf.DUMMYFUNCTION("""COMPUTED_VALUE"""),"Small Format")</f>
        <v>Small Format</v>
      </c>
      <c r="S1582" s="3" t="str">
        <f>IFERROR(__xludf.DUMMYFUNCTION("""COMPUTED_VALUE"""),"BCM")</f>
        <v>BCM</v>
      </c>
      <c r="T1582" s="3" t="str">
        <f>IFERROR(__xludf.DUMMYFUNCTION("""COMPUTED_VALUE"""),"#N/A")</f>
        <v>#N/A</v>
      </c>
      <c r="U1582" s="3" t="str">
        <f>IFERROR(__xludf.DUMMYFUNCTION("""COMPUTED_VALUE"""),"#N/A")</f>
        <v>#N/A</v>
      </c>
      <c r="V1582" s="3" t="str">
        <f>IFERROR(__xludf.DUMMYFUNCTION("""COMPUTED_VALUE"""),"N")</f>
        <v>N</v>
      </c>
      <c r="W1582" s="3">
        <f>IFERROR(__xludf.DUMMYFUNCTION("""COMPUTED_VALUE"""),210282.0)</f>
        <v>210282</v>
      </c>
      <c r="X1582" s="3" t="str">
        <f>IFERROR(__xludf.DUMMYFUNCTION("""COMPUTED_VALUE"""),"23/15 หมู่1 ตำบลท่าอิฐ อำเภอปากเกร็ด จังหวัดนนทบุรี 11120")</f>
        <v>23/15 หมู่1 ตำบลท่าอิฐ อำเภอปากเกร็ด จังหวัดนนทบุรี 11120</v>
      </c>
      <c r="Y1582" s="3"/>
      <c r="Z1582" s="3" t="str">
        <f>IFERROR(__xludf.DUMMYFUNCTION("""COMPUTED_VALUE"""),"ท่าอิฐ")</f>
        <v>ท่าอิฐ</v>
      </c>
      <c r="AA1582" s="3" t="str">
        <f>IFERROR(__xludf.DUMMYFUNCTION("""COMPUTED_VALUE"""),"ปากเกร็ด")</f>
        <v>ปากเกร็ด</v>
      </c>
      <c r="AB1582" s="3" t="str">
        <f>IFERROR(__xludf.DUMMYFUNCTION("""COMPUTED_VALUE"""),"นนทบุรี")</f>
        <v>นนทบุรี</v>
      </c>
      <c r="AC1582" s="3">
        <f>IFERROR(__xludf.DUMMYFUNCTION("""COMPUTED_VALUE"""),11120.0)</f>
        <v>11120</v>
      </c>
      <c r="AD1582" s="3">
        <f>IFERROR(__xludf.DUMMYFUNCTION("""COMPUTED_VALUE"""),13.894346)</f>
        <v>13.894346</v>
      </c>
      <c r="AE1582" s="3">
        <f>IFERROR(__xludf.DUMMYFUNCTION("""COMPUTED_VALUE"""),100.45157)</f>
        <v>100.45157</v>
      </c>
      <c r="AF1582" s="3" t="str">
        <f>IFERROR(__xludf.DUMMYFUNCTION("""COMPUTED_VALUE"""),"MBC ม.ประดับดาว นนทบุรี-22267")</f>
        <v>MBC ม.ประดับดาว นนทบุรี-22267</v>
      </c>
      <c r="AG1582" s="3" t="str">
        <f>IFERROR(__xludf.DUMMYFUNCTION("""COMPUTED_VALUE"""),"กลาง")</f>
        <v>กลาง</v>
      </c>
      <c r="AH1582" s="3" t="str">
        <f>IFERROR(__xludf.DUMMYFUNCTION("""COMPUTED_VALUE"""),"#N/A")</f>
        <v>#N/A</v>
      </c>
      <c r="AI1582" s="3" t="str">
        <f>IFERROR(__xludf.DUMMYFUNCTION("""COMPUTED_VALUE"""),"Out of warranty")</f>
        <v>Out of warranty</v>
      </c>
      <c r="AJ1582" s="3">
        <f>IFERROR(__xludf.DUMMYFUNCTION("""COMPUTED_VALUE"""),62.0)</f>
        <v>62</v>
      </c>
      <c r="AK1582" s="3" t="str">
        <f>IFERROR(__xludf.DUMMYFUNCTION("""COMPUTED_VALUE"""),"MMS01")</f>
        <v>MMS01</v>
      </c>
      <c r="AL1582" s="3"/>
    </row>
    <row r="1583" ht="15.75" customHeight="1">
      <c r="A1583" s="1" t="str">
        <f>IFERROR(__xludf.DUMMYFUNCTION("""COMPUTED_VALUE"""),"22268")</f>
        <v>22268</v>
      </c>
      <c r="B1583" s="2">
        <f>IFERROR(__xludf.DUMMYFUNCTION("""COMPUTED_VALUE"""),22268.0)</f>
        <v>22268</v>
      </c>
      <c r="C1583" s="3" t="str">
        <f>IFERROR(__xludf.DUMMYFUNCTION("""COMPUTED_VALUE"""),"MBC ศีชรภูมิ สุรินทร์")</f>
        <v>MBC ศีชรภูมิ สุรินทร์</v>
      </c>
      <c r="D1583" s="3" t="str">
        <f>IFERROR(__xludf.DUMMYFUNCTION("""COMPUTED_VALUE"""),"BCM SIKHORAPHUM (OPT2.)")</f>
        <v>BCM SIKHORAPHUM (OPT2.)</v>
      </c>
      <c r="E1583" s="1" t="str">
        <f>IFERROR(__xludf.DUMMYFUNCTION("""COMPUTED_VALUE"""),"บิ๊กซี MINI")</f>
        <v>บิ๊กซี MINI</v>
      </c>
      <c r="F1583" s="1" t="str">
        <f>IFERROR(__xludf.DUMMYFUNCTION("""COMPUTED_VALUE"""),"291105")</f>
        <v>291105</v>
      </c>
      <c r="G1583" s="1" t="str">
        <f>IFERROR(__xludf.DUMMYFUNCTION("""COMPUTED_VALUE"""),"นายสราวุฒิ พณิชยกุล")</f>
        <v>นายสราวุฒิ พณิชยกุล</v>
      </c>
      <c r="H1583" s="1" t="str">
        <f>IFERROR(__xludf.DUMMYFUNCTION("""COMPUTED_VALUE"""),"398146")</f>
        <v>398146</v>
      </c>
      <c r="I1583" s="1" t="str">
        <f>IFERROR(__xludf.DUMMYFUNCTION("""COMPUTED_VALUE"""),"น.ส.กนกสิริ สุขหอม")</f>
        <v>น.ส.กนกสิริ สุขหอม</v>
      </c>
      <c r="J1583" s="3">
        <f>IFERROR(__xludf.DUMMYFUNCTION("""COMPUTED_VALUE"""),2454781.0)</f>
        <v>2454781</v>
      </c>
      <c r="K1583" s="3" t="str">
        <f>IFERROR(__xludf.DUMMYFUNCTION("""COMPUTED_VALUE"""),"นายฌานกฤช นันทะโคต")</f>
        <v>นายฌานกฤช นันทะโคต</v>
      </c>
      <c r="L1583" s="1" t="str">
        <f>IFERROR(__xludf.DUMMYFUNCTION("""COMPUTED_VALUE"""),"05 K.Chanakrit N.")</f>
        <v>05 K.Chanakrit N.</v>
      </c>
      <c r="M1583" s="1" t="str">
        <f>IFERROR(__xludf.DUMMYFUNCTION("""COMPUTED_VALUE"""),"090-978-9785 ,065-929-1320")</f>
        <v>090-978-9785 ,065-929-1320</v>
      </c>
      <c r="N1583" s="3">
        <f>IFERROR(__xludf.DUMMYFUNCTION("""COMPUTED_VALUE"""),22195.0)</f>
        <v>22195</v>
      </c>
      <c r="O1583" s="3" t="str">
        <f>IFERROR(__xludf.DUMMYFUNCTION("""COMPUTED_VALUE"""),"MBC กันทรลักษ์ ศรีสะเกษ")</f>
        <v>MBC กันทรลักษ์ ศรีสะเกษ</v>
      </c>
      <c r="P1583" s="4">
        <f>IFERROR(__xludf.DUMMYFUNCTION("""COMPUTED_VALUE"""),44178.0)</f>
        <v>44178</v>
      </c>
      <c r="Q1583" s="3" t="str">
        <f>IFERROR(__xludf.DUMMYFUNCTION("""COMPUTED_VALUE"""),"A")</f>
        <v>A</v>
      </c>
      <c r="R1583" s="3" t="str">
        <f>IFERROR(__xludf.DUMMYFUNCTION("""COMPUTED_VALUE"""),"Small Format")</f>
        <v>Small Format</v>
      </c>
      <c r="S1583" s="3" t="str">
        <f>IFERROR(__xludf.DUMMYFUNCTION("""COMPUTED_VALUE"""),"BCM")</f>
        <v>BCM</v>
      </c>
      <c r="T1583" s="3" t="str">
        <f>IFERROR(__xludf.DUMMYFUNCTION("""COMPUTED_VALUE"""),"#N/A")</f>
        <v>#N/A</v>
      </c>
      <c r="U1583" s="3" t="str">
        <f>IFERROR(__xludf.DUMMYFUNCTION("""COMPUTED_VALUE"""),"#N/A")</f>
        <v>#N/A</v>
      </c>
      <c r="V1583" s="3" t="str">
        <f>IFERROR(__xludf.DUMMYFUNCTION("""COMPUTED_VALUE"""),"N")</f>
        <v>N</v>
      </c>
      <c r="W1583" s="3">
        <f>IFERROR(__xludf.DUMMYFUNCTION("""COMPUTED_VALUE"""),210295.0)</f>
        <v>210295</v>
      </c>
      <c r="X1583" s="3" t="str">
        <f>IFERROR(__xludf.DUMMYFUNCTION("""COMPUTED_VALUE"""),"140 หมู่2 ตำบลระแงง อำเภอศีชรภูมิ จังหวัดสุรินทร์ 32110")</f>
        <v>140 หมู่2 ตำบลระแงง อำเภอศีชรภูมิ จังหวัดสุรินทร์ 32110</v>
      </c>
      <c r="Y1583" s="3"/>
      <c r="Z1583" s="3" t="str">
        <f>IFERROR(__xludf.DUMMYFUNCTION("""COMPUTED_VALUE"""),"ระแงง")</f>
        <v>ระแงง</v>
      </c>
      <c r="AA1583" s="3" t="str">
        <f>IFERROR(__xludf.DUMMYFUNCTION("""COMPUTED_VALUE"""),"ศีชรภูมิ")</f>
        <v>ศีชรภูมิ</v>
      </c>
      <c r="AB1583" s="3" t="str">
        <f>IFERROR(__xludf.DUMMYFUNCTION("""COMPUTED_VALUE"""),"สุรินทร์")</f>
        <v>สุรินทร์</v>
      </c>
      <c r="AC1583" s="3">
        <f>IFERROR(__xludf.DUMMYFUNCTION("""COMPUTED_VALUE"""),32110.0)</f>
        <v>32110</v>
      </c>
      <c r="AD1583" s="3">
        <f>IFERROR(__xludf.DUMMYFUNCTION("""COMPUTED_VALUE"""),14.945298)</f>
        <v>14.945298</v>
      </c>
      <c r="AE1583" s="3">
        <f>IFERROR(__xludf.DUMMYFUNCTION("""COMPUTED_VALUE"""),103.788654)</f>
        <v>103.788654</v>
      </c>
      <c r="AF1583" s="3" t="str">
        <f>IFERROR(__xludf.DUMMYFUNCTION("""COMPUTED_VALUE"""),"MBC ศีชรภูมิ สุรินทร์-22268")</f>
        <v>MBC ศีชรภูมิ สุรินทร์-22268</v>
      </c>
      <c r="AG1583" s="3" t="str">
        <f>IFERROR(__xludf.DUMMYFUNCTION("""COMPUTED_VALUE"""),"ตะวันออกเฉียงเหนือ")</f>
        <v>ตะวันออกเฉียงเหนือ</v>
      </c>
      <c r="AH1583" s="3" t="str">
        <f>IFERROR(__xludf.DUMMYFUNCTION("""COMPUTED_VALUE"""),"#N/A")</f>
        <v>#N/A</v>
      </c>
      <c r="AI1583" s="3" t="str">
        <f>IFERROR(__xludf.DUMMYFUNCTION("""COMPUTED_VALUE"""),"Out of warranty")</f>
        <v>Out of warranty</v>
      </c>
      <c r="AJ1583" s="3">
        <f>IFERROR(__xludf.DUMMYFUNCTION("""COMPUTED_VALUE"""),62.0)</f>
        <v>62</v>
      </c>
      <c r="AK1583" s="3" t="str">
        <f>IFERROR(__xludf.DUMMYFUNCTION("""COMPUTED_VALUE"""),"MMS13")</f>
        <v>MMS13</v>
      </c>
      <c r="AL1583" s="3"/>
    </row>
    <row r="1584" ht="15.75" customHeight="1">
      <c r="A1584" s="1" t="str">
        <f>IFERROR(__xludf.DUMMYFUNCTION("""COMPUTED_VALUE"""),"22269")</f>
        <v>22269</v>
      </c>
      <c r="B1584" s="2">
        <f>IFERROR(__xludf.DUMMYFUNCTION("""COMPUTED_VALUE"""),22269.0)</f>
        <v>22269</v>
      </c>
      <c r="C1584" s="3" t="str">
        <f>IFERROR(__xludf.DUMMYFUNCTION("""COMPUTED_VALUE"""),"MBC พนา อำนาจเจริญ")</f>
        <v>MBC พนา อำนาจเจริญ</v>
      </c>
      <c r="D1584" s="3" t="str">
        <f>IFERROR(__xludf.DUMMYFUNCTION("""COMPUTED_VALUE"""),"BCM PANA, AMNAT CHAROEN")</f>
        <v>BCM PANA, AMNAT CHAROEN</v>
      </c>
      <c r="E1584" s="1" t="str">
        <f>IFERROR(__xludf.DUMMYFUNCTION("""COMPUTED_VALUE"""),"บิ๊กซี MINI")</f>
        <v>บิ๊กซี MINI</v>
      </c>
      <c r="F1584" s="1" t="str">
        <f>IFERROR(__xludf.DUMMYFUNCTION("""COMPUTED_VALUE"""),"291105")</f>
        <v>291105</v>
      </c>
      <c r="G1584" s="1" t="str">
        <f>IFERROR(__xludf.DUMMYFUNCTION("""COMPUTED_VALUE"""),"นายสราวุฒิ พณิชยกุล")</f>
        <v>นายสราวุฒิ พณิชยกุล</v>
      </c>
      <c r="H1584" s="1" t="str">
        <f>IFERROR(__xludf.DUMMYFUNCTION("""COMPUTED_VALUE"""),"398285")</f>
        <v>398285</v>
      </c>
      <c r="I1584" s="1" t="str">
        <f>IFERROR(__xludf.DUMMYFUNCTION("""COMPUTED_VALUE"""),"น.ส.พชิรา บุญจูง")</f>
        <v>น.ส.พชิรา บุญจูง</v>
      </c>
      <c r="J1584" s="3">
        <f>IFERROR(__xludf.DUMMYFUNCTION("""COMPUTED_VALUE"""),2454781.0)</f>
        <v>2454781</v>
      </c>
      <c r="K1584" s="3" t="str">
        <f>IFERROR(__xludf.DUMMYFUNCTION("""COMPUTED_VALUE"""),"นายฌานกฤช นันทะโคต")</f>
        <v>นายฌานกฤช นันทะโคต</v>
      </c>
      <c r="L1584" s="1" t="str">
        <f>IFERROR(__xludf.DUMMYFUNCTION("""COMPUTED_VALUE"""),"05 K.Chanakrit N.")</f>
        <v>05 K.Chanakrit N.</v>
      </c>
      <c r="M1584" s="1" t="str">
        <f>IFERROR(__xludf.DUMMYFUNCTION("""COMPUTED_VALUE"""),"090-978-9785 ,065-929-1320")</f>
        <v>090-978-9785 ,065-929-1320</v>
      </c>
      <c r="N1584" s="3">
        <f>IFERROR(__xludf.DUMMYFUNCTION("""COMPUTED_VALUE"""),22195.0)</f>
        <v>22195</v>
      </c>
      <c r="O1584" s="3" t="str">
        <f>IFERROR(__xludf.DUMMYFUNCTION("""COMPUTED_VALUE"""),"MBC กันทรลักษ์ ศรีสะเกษ")</f>
        <v>MBC กันทรลักษ์ ศรีสะเกษ</v>
      </c>
      <c r="P1584" s="4">
        <f>IFERROR(__xludf.DUMMYFUNCTION("""COMPUTED_VALUE"""),44175.0)</f>
        <v>44175</v>
      </c>
      <c r="Q1584" s="3" t="str">
        <f>IFERROR(__xludf.DUMMYFUNCTION("""COMPUTED_VALUE"""),"A")</f>
        <v>A</v>
      </c>
      <c r="R1584" s="3" t="str">
        <f>IFERROR(__xludf.DUMMYFUNCTION("""COMPUTED_VALUE"""),"Small Format")</f>
        <v>Small Format</v>
      </c>
      <c r="S1584" s="3" t="str">
        <f>IFERROR(__xludf.DUMMYFUNCTION("""COMPUTED_VALUE"""),"BCM")</f>
        <v>BCM</v>
      </c>
      <c r="T1584" s="3" t="str">
        <f>IFERROR(__xludf.DUMMYFUNCTION("""COMPUTED_VALUE"""),"#N/A")</f>
        <v>#N/A</v>
      </c>
      <c r="U1584" s="3" t="str">
        <f>IFERROR(__xludf.DUMMYFUNCTION("""COMPUTED_VALUE"""),"#N/A")</f>
        <v>#N/A</v>
      </c>
      <c r="V1584" s="3" t="str">
        <f>IFERROR(__xludf.DUMMYFUNCTION("""COMPUTED_VALUE"""),"N")</f>
        <v>N</v>
      </c>
      <c r="W1584" s="3">
        <f>IFERROR(__xludf.DUMMYFUNCTION("""COMPUTED_VALUE"""),210322.0)</f>
        <v>210322</v>
      </c>
      <c r="X1584" s="3" t="str">
        <f>IFERROR(__xludf.DUMMYFUNCTION("""COMPUTED_VALUE"""),"179 179/1-2 หมู่8 ตำบลพนา อำเภอพนา จังหวัดอำนาจเจริญ 37180")</f>
        <v>179 179/1-2 หมู่8 ตำบลพนา อำเภอพนา จังหวัดอำนาจเจริญ 37180</v>
      </c>
      <c r="Y1584" s="3"/>
      <c r="Z1584" s="3" t="str">
        <f>IFERROR(__xludf.DUMMYFUNCTION("""COMPUTED_VALUE"""),"พนา")</f>
        <v>พนา</v>
      </c>
      <c r="AA1584" s="3" t="str">
        <f>IFERROR(__xludf.DUMMYFUNCTION("""COMPUTED_VALUE"""),"พนา")</f>
        <v>พนา</v>
      </c>
      <c r="AB1584" s="3" t="str">
        <f>IFERROR(__xludf.DUMMYFUNCTION("""COMPUTED_VALUE"""),"อำนาจเจริญ")</f>
        <v>อำนาจเจริญ</v>
      </c>
      <c r="AC1584" s="3">
        <f>IFERROR(__xludf.DUMMYFUNCTION("""COMPUTED_VALUE"""),37180.0)</f>
        <v>37180</v>
      </c>
      <c r="AD1584" s="3">
        <f>IFERROR(__xludf.DUMMYFUNCTION("""COMPUTED_VALUE"""),15.678205)</f>
        <v>15.678205</v>
      </c>
      <c r="AE1584" s="3">
        <f>IFERROR(__xludf.DUMMYFUNCTION("""COMPUTED_VALUE"""),104.850535)</f>
        <v>104.850535</v>
      </c>
      <c r="AF1584" s="3" t="str">
        <f>IFERROR(__xludf.DUMMYFUNCTION("""COMPUTED_VALUE"""),"MBC พนา อำนาจเจริญ-22269")</f>
        <v>MBC พนา อำนาจเจริญ-22269</v>
      </c>
      <c r="AG1584" s="3" t="str">
        <f>IFERROR(__xludf.DUMMYFUNCTION("""COMPUTED_VALUE"""),"ตะวันออกเฉียงเหนือ")</f>
        <v>ตะวันออกเฉียงเหนือ</v>
      </c>
      <c r="AH1584" s="3" t="str">
        <f>IFERROR(__xludf.DUMMYFUNCTION("""COMPUTED_VALUE"""),"#N/A")</f>
        <v>#N/A</v>
      </c>
      <c r="AI1584" s="3" t="str">
        <f>IFERROR(__xludf.DUMMYFUNCTION("""COMPUTED_VALUE"""),"Out of warranty")</f>
        <v>Out of warranty</v>
      </c>
      <c r="AJ1584" s="3">
        <f>IFERROR(__xludf.DUMMYFUNCTION("""COMPUTED_VALUE"""),62.0)</f>
        <v>62</v>
      </c>
      <c r="AK1584" s="3" t="str">
        <f>IFERROR(__xludf.DUMMYFUNCTION("""COMPUTED_VALUE"""),"MMS13")</f>
        <v>MMS13</v>
      </c>
      <c r="AL1584" s="3"/>
    </row>
    <row r="1585" ht="15.75" customHeight="1">
      <c r="A1585" s="1" t="str">
        <f>IFERROR(__xludf.DUMMYFUNCTION("""COMPUTED_VALUE"""),"22270")</f>
        <v>22270</v>
      </c>
      <c r="B1585" s="2">
        <f>IFERROR(__xludf.DUMMYFUNCTION("""COMPUTED_VALUE"""),22270.0)</f>
        <v>22270</v>
      </c>
      <c r="C1585" s="3" t="str">
        <f>IFERROR(__xludf.DUMMYFUNCTION("""COMPUTED_VALUE"""),"MBC ตลาดวังจันทร์ ระยอง")</f>
        <v>MBC ตลาดวังจันทร์ ระยอง</v>
      </c>
      <c r="D1585" s="3" t="str">
        <f>IFERROR(__xludf.DUMMYFUNCTION("""COMPUTED_VALUE"""),"BCM TALAD WANGCHAN")</f>
        <v>BCM TALAD WANGCHAN</v>
      </c>
      <c r="E1585" s="1" t="str">
        <f>IFERROR(__xludf.DUMMYFUNCTION("""COMPUTED_VALUE"""),"บิ๊กซี MINI")</f>
        <v>บิ๊กซี MINI</v>
      </c>
      <c r="F1585" s="1" t="str">
        <f>IFERROR(__xludf.DUMMYFUNCTION("""COMPUTED_VALUE"""),"221716")</f>
        <v>221716</v>
      </c>
      <c r="G1585" s="1" t="str">
        <f>IFERROR(__xludf.DUMMYFUNCTION("""COMPUTED_VALUE"""),"น.ส.เบญจพร โพธิสาร")</f>
        <v>น.ส.เบญจพร โพธิสาร</v>
      </c>
      <c r="H1585" s="1" t="str">
        <f>IFERROR(__xludf.DUMMYFUNCTION("""COMPUTED_VALUE"""),"359233")</f>
        <v>359233</v>
      </c>
      <c r="I1585" s="1" t="str">
        <f>IFERROR(__xludf.DUMMYFUNCTION("""COMPUTED_VALUE"""),"น.ส.ปยุดา คำมีอ่อน")</f>
        <v>น.ส.ปยุดา คำมีอ่อน</v>
      </c>
      <c r="J1585" s="3">
        <f>IFERROR(__xludf.DUMMYFUNCTION("""COMPUTED_VALUE"""),2452376.0)</f>
        <v>2452376</v>
      </c>
      <c r="K1585" s="3" t="str">
        <f>IFERROR(__xludf.DUMMYFUNCTION("""COMPUTED_VALUE"""),"นายภาคภูมิ ทวีกุล")</f>
        <v>นายภาคภูมิ ทวีกุล</v>
      </c>
      <c r="L1585" s="1" t="str">
        <f>IFERROR(__xludf.DUMMYFUNCTION("""COMPUTED_VALUE"""),"08 K.Parkphum T.")</f>
        <v>08 K.Parkphum T.</v>
      </c>
      <c r="M1585" s="1" t="str">
        <f>IFERROR(__xludf.DUMMYFUNCTION("""COMPUTED_VALUE"""),"097-919-5476")</f>
        <v>097-919-5476</v>
      </c>
      <c r="N1585" s="3">
        <f>IFERROR(__xludf.DUMMYFUNCTION("""COMPUTED_VALUE"""),22028.0)</f>
        <v>22028</v>
      </c>
      <c r="O1585" s="3" t="str">
        <f>IFERROR(__xludf.DUMMYFUNCTION("""COMPUTED_VALUE"""),"MBC ทํบมา ระยอง")</f>
        <v>MBC ทํบมา ระยอง</v>
      </c>
      <c r="P1585" s="4">
        <f>IFERROR(__xludf.DUMMYFUNCTION("""COMPUTED_VALUE"""),44172.0)</f>
        <v>44172</v>
      </c>
      <c r="Q1585" s="3" t="str">
        <f>IFERROR(__xludf.DUMMYFUNCTION("""COMPUTED_VALUE"""),"A")</f>
        <v>A</v>
      </c>
      <c r="R1585" s="3" t="str">
        <f>IFERROR(__xludf.DUMMYFUNCTION("""COMPUTED_VALUE"""),"Small Format")</f>
        <v>Small Format</v>
      </c>
      <c r="S1585" s="3" t="str">
        <f>IFERROR(__xludf.DUMMYFUNCTION("""COMPUTED_VALUE"""),"BCM")</f>
        <v>BCM</v>
      </c>
      <c r="T1585" s="3" t="str">
        <f>IFERROR(__xludf.DUMMYFUNCTION("""COMPUTED_VALUE"""),"#N/A")</f>
        <v>#N/A</v>
      </c>
      <c r="U1585" s="3" t="str">
        <f>IFERROR(__xludf.DUMMYFUNCTION("""COMPUTED_VALUE"""),"#N/A")</f>
        <v>#N/A</v>
      </c>
      <c r="V1585" s="3" t="str">
        <f>IFERROR(__xludf.DUMMYFUNCTION("""COMPUTED_VALUE"""),"N")</f>
        <v>N</v>
      </c>
      <c r="W1585" s="3">
        <f>IFERROR(__xludf.DUMMYFUNCTION("""COMPUTED_VALUE"""),210325.0)</f>
        <v>210325</v>
      </c>
      <c r="X1585" s="3" t="str">
        <f>IFERROR(__xludf.DUMMYFUNCTION("""COMPUTED_VALUE"""),"499/5 หมู่1 ตำบลชุมแสง อำเภอวังจันทร์ จังหวัดระยอง 21210")</f>
        <v>499/5 หมู่1 ตำบลชุมแสง อำเภอวังจันทร์ จังหวัดระยอง 21210</v>
      </c>
      <c r="Y1585" s="3"/>
      <c r="Z1585" s="3" t="str">
        <f>IFERROR(__xludf.DUMMYFUNCTION("""COMPUTED_VALUE"""),"ชุมแสง")</f>
        <v>ชุมแสง</v>
      </c>
      <c r="AA1585" s="3" t="str">
        <f>IFERROR(__xludf.DUMMYFUNCTION("""COMPUTED_VALUE"""),"วังจันทร์")</f>
        <v>วังจันทร์</v>
      </c>
      <c r="AB1585" s="3" t="str">
        <f>IFERROR(__xludf.DUMMYFUNCTION("""COMPUTED_VALUE"""),"ระยอง")</f>
        <v>ระยอง</v>
      </c>
      <c r="AC1585" s="3">
        <f>IFERROR(__xludf.DUMMYFUNCTION("""COMPUTED_VALUE"""),21210.0)</f>
        <v>21210</v>
      </c>
      <c r="AD1585" s="3">
        <f>IFERROR(__xludf.DUMMYFUNCTION("""COMPUTED_VALUE"""),12.939344)</f>
        <v>12.939344</v>
      </c>
      <c r="AE1585" s="3">
        <f>IFERROR(__xludf.DUMMYFUNCTION("""COMPUTED_VALUE"""),100.523015)</f>
        <v>100.523015</v>
      </c>
      <c r="AF1585" s="3" t="str">
        <f>IFERROR(__xludf.DUMMYFUNCTION("""COMPUTED_VALUE"""),"MBC ตลาดวังจันทร์ ระยอง-22270")</f>
        <v>MBC ตลาดวังจันทร์ ระยอง-22270</v>
      </c>
      <c r="AG1585" s="3" t="str">
        <f>IFERROR(__xludf.DUMMYFUNCTION("""COMPUTED_VALUE"""),"ตะวันออก")</f>
        <v>ตะวันออก</v>
      </c>
      <c r="AH1585" s="3" t="str">
        <f>IFERROR(__xludf.DUMMYFUNCTION("""COMPUTED_VALUE"""),"#N/A")</f>
        <v>#N/A</v>
      </c>
      <c r="AI1585" s="3" t="str">
        <f>IFERROR(__xludf.DUMMYFUNCTION("""COMPUTED_VALUE"""),"Out of warranty")</f>
        <v>Out of warranty</v>
      </c>
      <c r="AJ1585" s="3">
        <f>IFERROR(__xludf.DUMMYFUNCTION("""COMPUTED_VALUE"""),62.0)</f>
        <v>62</v>
      </c>
      <c r="AK1585" s="3" t="str">
        <f>IFERROR(__xludf.DUMMYFUNCTION("""COMPUTED_VALUE"""),"MMS08")</f>
        <v>MMS08</v>
      </c>
      <c r="AL1585" s="3"/>
    </row>
    <row r="1586" ht="15.75" customHeight="1">
      <c r="A1586" s="1" t="str">
        <f>IFERROR(__xludf.DUMMYFUNCTION("""COMPUTED_VALUE"""),"22271")</f>
        <v>22271</v>
      </c>
      <c r="B1586" s="2">
        <f>IFERROR(__xludf.DUMMYFUNCTION("""COMPUTED_VALUE"""),22271.0)</f>
        <v>22271</v>
      </c>
      <c r="C1586" s="3" t="str">
        <f>IFERROR(__xludf.DUMMYFUNCTION("""COMPUTED_VALUE"""),"MBC สมชายพัฒนา นนทบุรี")</f>
        <v>MBC สมชายพัฒนา นนทบุรี</v>
      </c>
      <c r="D1586" s="3" t="str">
        <f>IFERROR(__xludf.DUMMYFUNCTION("""COMPUTED_VALUE"""),"BCM SOMCHAI PATTANA")</f>
        <v>BCM SOMCHAI PATTANA</v>
      </c>
      <c r="E1586" s="1" t="str">
        <f>IFERROR(__xludf.DUMMYFUNCTION("""COMPUTED_VALUE"""),"บิ๊กซี MINI")</f>
        <v>บิ๊กซี MINI</v>
      </c>
      <c r="F1586" s="1" t="str">
        <f>IFERROR(__xludf.DUMMYFUNCTION("""COMPUTED_VALUE"""),"291008")</f>
        <v>291008</v>
      </c>
      <c r="G1586" s="1" t="str">
        <f>IFERROR(__xludf.DUMMYFUNCTION("""COMPUTED_VALUE"""),"น.ส.รัชดาพร อีศรัตน์")</f>
        <v>น.ส.รัชดาพร อีศรัตน์</v>
      </c>
      <c r="H1586" s="1" t="str">
        <f>IFERROR(__xludf.DUMMYFUNCTION("""COMPUTED_VALUE"""),"034068")</f>
        <v>034068</v>
      </c>
      <c r="I1586" s="1" t="str">
        <f>IFERROR(__xludf.DUMMYFUNCTION("""COMPUTED_VALUE"""),"นายสมศักดิ์ ฐานทองดี")</f>
        <v>นายสมศักดิ์ ฐานทองดี</v>
      </c>
      <c r="J1586" s="3">
        <f>IFERROR(__xludf.DUMMYFUNCTION("""COMPUTED_VALUE"""),296608.0)</f>
        <v>296608</v>
      </c>
      <c r="K1586" s="3" t="str">
        <f>IFERROR(__xludf.DUMMYFUNCTION("""COMPUTED_VALUE"""),"นายภาคภูมิ เพ็ชรนิล")</f>
        <v>นายภาคภูมิ เพ็ชรนิล</v>
      </c>
      <c r="L1586" s="1" t="str">
        <f>IFERROR(__xludf.DUMMYFUNCTION("""COMPUTED_VALUE"""),"10 K.Phakphoom P.")</f>
        <v>10 K.Phakphoom P.</v>
      </c>
      <c r="M1586" s="1" t="str">
        <f>IFERROR(__xludf.DUMMYFUNCTION("""COMPUTED_VALUE"""),"063-8955329")</f>
        <v>063-8955329</v>
      </c>
      <c r="N1586" s="3">
        <f>IFERROR(__xludf.DUMMYFUNCTION("""COMPUTED_VALUE"""),22584.0)</f>
        <v>22584</v>
      </c>
      <c r="O1586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586" s="4">
        <f>IFERROR(__xludf.DUMMYFUNCTION("""COMPUTED_VALUE"""),44179.0)</f>
        <v>44179</v>
      </c>
      <c r="Q1586" s="3" t="str">
        <f>IFERROR(__xludf.DUMMYFUNCTION("""COMPUTED_VALUE"""),"A")</f>
        <v>A</v>
      </c>
      <c r="R1586" s="3" t="str">
        <f>IFERROR(__xludf.DUMMYFUNCTION("""COMPUTED_VALUE"""),"Small Format")</f>
        <v>Small Format</v>
      </c>
      <c r="S1586" s="3" t="str">
        <f>IFERROR(__xludf.DUMMYFUNCTION("""COMPUTED_VALUE"""),"BCM")</f>
        <v>BCM</v>
      </c>
      <c r="T1586" s="3" t="str">
        <f>IFERROR(__xludf.DUMMYFUNCTION("""COMPUTED_VALUE"""),"#N/A")</f>
        <v>#N/A</v>
      </c>
      <c r="U1586" s="3" t="str">
        <f>IFERROR(__xludf.DUMMYFUNCTION("""COMPUTED_VALUE"""),"#N/A")</f>
        <v>#N/A</v>
      </c>
      <c r="V1586" s="3" t="str">
        <f>IFERROR(__xludf.DUMMYFUNCTION("""COMPUTED_VALUE"""),"N")</f>
        <v>N</v>
      </c>
      <c r="W1586" s="3">
        <f>IFERROR(__xludf.DUMMYFUNCTION("""COMPUTED_VALUE"""),210299.0)</f>
        <v>210299</v>
      </c>
      <c r="X1586" s="3" t="str">
        <f>IFERROR(__xludf.DUMMYFUNCTION("""COMPUTED_VALUE"""),"64/18 หมู่7 ถนนบางกรวย-ไทรน้อย ตำบลบางกรวย อำเภอบางกรวย จังหวัดนนทบุรี 11130")</f>
        <v>64/18 หมู่7 ถนนบางกรวย-ไทรน้อย ตำบลบางกรวย อำเภอบางกรวย จังหวัดนนทบุรี 11130</v>
      </c>
      <c r="Y1586" s="3"/>
      <c r="Z1586" s="3" t="str">
        <f>IFERROR(__xludf.DUMMYFUNCTION("""COMPUTED_VALUE"""),"บางกรวย")</f>
        <v>บางกรวย</v>
      </c>
      <c r="AA1586" s="3" t="str">
        <f>IFERROR(__xludf.DUMMYFUNCTION("""COMPUTED_VALUE"""),"บางกรวย")</f>
        <v>บางกรวย</v>
      </c>
      <c r="AB1586" s="3" t="str">
        <f>IFERROR(__xludf.DUMMYFUNCTION("""COMPUTED_VALUE"""),"นนทบุรี")</f>
        <v>นนทบุรี</v>
      </c>
      <c r="AC1586" s="3">
        <f>IFERROR(__xludf.DUMMYFUNCTION("""COMPUTED_VALUE"""),11130.0)</f>
        <v>11130</v>
      </c>
      <c r="AD1586" s="3">
        <f>IFERROR(__xludf.DUMMYFUNCTION("""COMPUTED_VALUE"""),13.807837)</f>
        <v>13.807837</v>
      </c>
      <c r="AE1586" s="3">
        <f>IFERROR(__xludf.DUMMYFUNCTION("""COMPUTED_VALUE"""),100.492905)</f>
        <v>100.492905</v>
      </c>
      <c r="AF1586" s="3" t="str">
        <f>IFERROR(__xludf.DUMMYFUNCTION("""COMPUTED_VALUE"""),"MBC สมชายพัฒนา นนทบุรี-22271")</f>
        <v>MBC สมชายพัฒนา นนทบุรี-22271</v>
      </c>
      <c r="AG1586" s="3" t="str">
        <f>IFERROR(__xludf.DUMMYFUNCTION("""COMPUTED_VALUE"""),"กลาง")</f>
        <v>กลาง</v>
      </c>
      <c r="AH1586" s="3" t="str">
        <f>IFERROR(__xludf.DUMMYFUNCTION("""COMPUTED_VALUE"""),"#N/A")</f>
        <v>#N/A</v>
      </c>
      <c r="AI1586" s="3" t="str">
        <f>IFERROR(__xludf.DUMMYFUNCTION("""COMPUTED_VALUE"""),"Out of warranty")</f>
        <v>Out of warranty</v>
      </c>
      <c r="AJ1586" s="3">
        <f>IFERROR(__xludf.DUMMYFUNCTION("""COMPUTED_VALUE"""),62.0)</f>
        <v>62</v>
      </c>
      <c r="AK1586" s="3" t="str">
        <f>IFERROR(__xludf.DUMMYFUNCTION("""COMPUTED_VALUE"""),"MMS01")</f>
        <v>MMS01</v>
      </c>
      <c r="AL1586" s="3"/>
    </row>
    <row r="1587" ht="15.75" customHeight="1">
      <c r="A1587" s="1" t="str">
        <f>IFERROR(__xludf.DUMMYFUNCTION("""COMPUTED_VALUE"""),"22272")</f>
        <v>22272</v>
      </c>
      <c r="B1587" s="2">
        <f>IFERROR(__xludf.DUMMYFUNCTION("""COMPUTED_VALUE"""),22272.0)</f>
        <v>22272</v>
      </c>
      <c r="C1587" s="3" t="str">
        <f>IFERROR(__xludf.DUMMYFUNCTION("""COMPUTED_VALUE"""),"MBC มวกเหล็ก-เขาใหญ่ สระบุรี")</f>
        <v>MBC มวกเหล็ก-เขาใหญ่ สระบุรี</v>
      </c>
      <c r="D1587" s="3" t="str">
        <f>IFERROR(__xludf.DUMMYFUNCTION("""COMPUTED_VALUE"""),"BCM MUAKLEK- KHAOYAI")</f>
        <v>BCM MUAKLEK- KHAOYAI</v>
      </c>
      <c r="E1587" s="1" t="str">
        <f>IFERROR(__xludf.DUMMYFUNCTION("""COMPUTED_VALUE"""),"บิ๊กซี MINI")</f>
        <v>บิ๊กซี MINI</v>
      </c>
      <c r="F1587" s="1" t="str">
        <f>IFERROR(__xludf.DUMMYFUNCTION("""COMPUTED_VALUE"""),"296229")</f>
        <v>296229</v>
      </c>
      <c r="G1587" s="1" t="str">
        <f>IFERROR(__xludf.DUMMYFUNCTION("""COMPUTED_VALUE"""),"นายทนงศักดิ์ บุญมา")</f>
        <v>นายทนงศักดิ์ บุญมา</v>
      </c>
      <c r="H1587" s="1" t="str">
        <f>IFERROR(__xludf.DUMMYFUNCTION("""COMPUTED_VALUE"""),"318233")</f>
        <v>318233</v>
      </c>
      <c r="I1587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1587" s="3">
        <f>IFERROR(__xludf.DUMMYFUNCTION("""COMPUTED_VALUE"""),46214.0)</f>
        <v>46214</v>
      </c>
      <c r="K1587" s="3" t="str">
        <f>IFERROR(__xludf.DUMMYFUNCTION("""COMPUTED_VALUE"""),"นายศักดิ์ชัย เด็ดดอกฟ้า")</f>
        <v>นายศักดิ์ชัย เด็ดดอกฟ้า</v>
      </c>
      <c r="L1587" s="1" t="str">
        <f>IFERROR(__xludf.DUMMYFUNCTION("""COMPUTED_VALUE"""),"02 K.Sakchai D")</f>
        <v>02 K.Sakchai D</v>
      </c>
      <c r="M1587" s="1" t="str">
        <f>IFERROR(__xludf.DUMMYFUNCTION("""COMPUTED_VALUE"""),"065-510-7376")</f>
        <v>065-510-7376</v>
      </c>
      <c r="N1587" s="3">
        <f>IFERROR(__xludf.DUMMYFUNCTION("""COMPUTED_VALUE"""),21714.0)</f>
        <v>21714</v>
      </c>
      <c r="O1587" s="3" t="str">
        <f>IFERROR(__xludf.DUMMYFUNCTION("""COMPUTED_VALUE"""),"MBC เอสโซ่ วัดโบสถ์")</f>
        <v>MBC เอสโซ่ วัดโบสถ์</v>
      </c>
      <c r="P1587" s="4">
        <f>IFERROR(__xludf.DUMMYFUNCTION("""COMPUTED_VALUE"""),44183.0)</f>
        <v>44183</v>
      </c>
      <c r="Q1587" s="3" t="str">
        <f>IFERROR(__xludf.DUMMYFUNCTION("""COMPUTED_VALUE"""),"A")</f>
        <v>A</v>
      </c>
      <c r="R1587" s="3" t="str">
        <f>IFERROR(__xludf.DUMMYFUNCTION("""COMPUTED_VALUE"""),"Small Format")</f>
        <v>Small Format</v>
      </c>
      <c r="S1587" s="3" t="str">
        <f>IFERROR(__xludf.DUMMYFUNCTION("""COMPUTED_VALUE"""),"BCM")</f>
        <v>BCM</v>
      </c>
      <c r="T1587" s="3" t="str">
        <f>IFERROR(__xludf.DUMMYFUNCTION("""COMPUTED_VALUE"""),"#N/A")</f>
        <v>#N/A</v>
      </c>
      <c r="U1587" s="3" t="str">
        <f>IFERROR(__xludf.DUMMYFUNCTION("""COMPUTED_VALUE"""),"#N/A")</f>
        <v>#N/A</v>
      </c>
      <c r="V1587" s="3" t="str">
        <f>IFERROR(__xludf.DUMMYFUNCTION("""COMPUTED_VALUE"""),"N")</f>
        <v>N</v>
      </c>
      <c r="W1587" s="3">
        <f>IFERROR(__xludf.DUMMYFUNCTION("""COMPUTED_VALUE"""),210306.0)</f>
        <v>210306</v>
      </c>
      <c r="X1587" s="3" t="str">
        <f>IFERROR(__xludf.DUMMYFUNCTION("""COMPUTED_VALUE"""),"247 หมู่8 ตำบลมิตรภาพ อำเภอมวกเหล็ก จังหวัดสระบุรี 18180")</f>
        <v>247 หมู่8 ตำบลมิตรภาพ อำเภอมวกเหล็ก จังหวัดสระบุรี 18180</v>
      </c>
      <c r="Y1587" s="3"/>
      <c r="Z1587" s="3" t="str">
        <f>IFERROR(__xludf.DUMMYFUNCTION("""COMPUTED_VALUE"""),"มิตรภาพ")</f>
        <v>มิตรภาพ</v>
      </c>
      <c r="AA1587" s="3" t="str">
        <f>IFERROR(__xludf.DUMMYFUNCTION("""COMPUTED_VALUE"""),"มวกเหล็ก")</f>
        <v>มวกเหล็ก</v>
      </c>
      <c r="AB1587" s="3" t="str">
        <f>IFERROR(__xludf.DUMMYFUNCTION("""COMPUTED_VALUE"""),"สระบุรี")</f>
        <v>สระบุรี</v>
      </c>
      <c r="AC1587" s="3">
        <f>IFERROR(__xludf.DUMMYFUNCTION("""COMPUTED_VALUE"""),18180.0)</f>
        <v>18180</v>
      </c>
      <c r="AD1587" s="3">
        <f>IFERROR(__xludf.DUMMYFUNCTION("""COMPUTED_VALUE"""),14.604983)</f>
        <v>14.604983</v>
      </c>
      <c r="AE1587" s="3">
        <f>IFERROR(__xludf.DUMMYFUNCTION("""COMPUTED_VALUE"""),101.1989)</f>
        <v>101.1989</v>
      </c>
      <c r="AF1587" s="3" t="str">
        <f>IFERROR(__xludf.DUMMYFUNCTION("""COMPUTED_VALUE"""),"MBC มวกเหล็ก-เขาใหญ่ สระบุรี-22272")</f>
        <v>MBC มวกเหล็ก-เขาใหญ่ สระบุรี-22272</v>
      </c>
      <c r="AG1587" s="3" t="str">
        <f>IFERROR(__xludf.DUMMYFUNCTION("""COMPUTED_VALUE"""),"กลาง")</f>
        <v>กลาง</v>
      </c>
      <c r="AH1587" s="3" t="str">
        <f>IFERROR(__xludf.DUMMYFUNCTION("""COMPUTED_VALUE"""),"#N/A")</f>
        <v>#N/A</v>
      </c>
      <c r="AI1587" s="3" t="str">
        <f>IFERROR(__xludf.DUMMYFUNCTION("""COMPUTED_VALUE"""),"Out of warranty")</f>
        <v>Out of warranty</v>
      </c>
      <c r="AJ1587" s="3">
        <f>IFERROR(__xludf.DUMMYFUNCTION("""COMPUTED_VALUE"""),62.0)</f>
        <v>62</v>
      </c>
      <c r="AK1587" s="3" t="str">
        <f>IFERROR(__xludf.DUMMYFUNCTION("""COMPUTED_VALUE"""),"MMS09")</f>
        <v>MMS09</v>
      </c>
      <c r="AL1587" s="3"/>
    </row>
    <row r="1588" ht="15.75" customHeight="1">
      <c r="A1588" s="1" t="str">
        <f>IFERROR(__xludf.DUMMYFUNCTION("""COMPUTED_VALUE"""),"22273")</f>
        <v>22273</v>
      </c>
      <c r="B1588" s="2">
        <f>IFERROR(__xludf.DUMMYFUNCTION("""COMPUTED_VALUE"""),22273.0)</f>
        <v>22273</v>
      </c>
      <c r="C1588" s="3" t="str">
        <f>IFERROR(__xludf.DUMMYFUNCTION("""COMPUTED_VALUE"""),"MBC บางแวก62 กรุงเทพฯ")</f>
        <v>MBC บางแวก62 กรุงเทพฯ</v>
      </c>
      <c r="D1588" s="3" t="str">
        <f>IFERROR(__xludf.DUMMYFUNCTION("""COMPUTED_VALUE"""),"BCM BANG WAEK 62")</f>
        <v>BCM BANG WAEK 62</v>
      </c>
      <c r="E1588" s="1" t="str">
        <f>IFERROR(__xludf.DUMMYFUNCTION("""COMPUTED_VALUE"""),"บิ๊กซี MINI")</f>
        <v>บิ๊กซี MINI</v>
      </c>
      <c r="F1588" s="1" t="str">
        <f>IFERROR(__xludf.DUMMYFUNCTION("""COMPUTED_VALUE"""),"291008")</f>
        <v>291008</v>
      </c>
      <c r="G1588" s="1" t="str">
        <f>IFERROR(__xludf.DUMMYFUNCTION("""COMPUTED_VALUE"""),"น.ส.รัชดาพร อีศรัตน์")</f>
        <v>น.ส.รัชดาพร อีศรัตน์</v>
      </c>
      <c r="H1588" s="1" t="str">
        <f>IFERROR(__xludf.DUMMYFUNCTION("""COMPUTED_VALUE"""),"291101")</f>
        <v>291101</v>
      </c>
      <c r="I1588" s="1" t="str">
        <f>IFERROR(__xludf.DUMMYFUNCTION("""COMPUTED_VALUE"""),"นายจักรพงศ์ โพธิ์ศรี")</f>
        <v>นายจักรพงศ์ โพธิ์ศรี</v>
      </c>
      <c r="J1588" s="3">
        <f>IFERROR(__xludf.DUMMYFUNCTION("""COMPUTED_VALUE"""),296608.0)</f>
        <v>296608</v>
      </c>
      <c r="K1588" s="3" t="str">
        <f>IFERROR(__xludf.DUMMYFUNCTION("""COMPUTED_VALUE"""),"นายภาคภูมิ เพ็ชรนิล")</f>
        <v>นายภาคภูมิ เพ็ชรนิล</v>
      </c>
      <c r="L1588" s="1" t="str">
        <f>IFERROR(__xludf.DUMMYFUNCTION("""COMPUTED_VALUE"""),"10 K.Phakphoom P.")</f>
        <v>10 K.Phakphoom P.</v>
      </c>
      <c r="M1588" s="1" t="str">
        <f>IFERROR(__xludf.DUMMYFUNCTION("""COMPUTED_VALUE"""),"063-8955329")</f>
        <v>063-8955329</v>
      </c>
      <c r="N1588" s="3">
        <f>IFERROR(__xludf.DUMMYFUNCTION("""COMPUTED_VALUE"""),22584.0)</f>
        <v>22584</v>
      </c>
      <c r="O1588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588" s="4">
        <f>IFERROR(__xludf.DUMMYFUNCTION("""COMPUTED_VALUE"""),44183.0)</f>
        <v>44183</v>
      </c>
      <c r="Q1588" s="3" t="str">
        <f>IFERROR(__xludf.DUMMYFUNCTION("""COMPUTED_VALUE"""),"A")</f>
        <v>A</v>
      </c>
      <c r="R1588" s="3" t="str">
        <f>IFERROR(__xludf.DUMMYFUNCTION("""COMPUTED_VALUE"""),"Small Format")</f>
        <v>Small Format</v>
      </c>
      <c r="S1588" s="3" t="str">
        <f>IFERROR(__xludf.DUMMYFUNCTION("""COMPUTED_VALUE"""),"BCM")</f>
        <v>BCM</v>
      </c>
      <c r="T1588" s="3" t="str">
        <f>IFERROR(__xludf.DUMMYFUNCTION("""COMPUTED_VALUE"""),"#N/A")</f>
        <v>#N/A</v>
      </c>
      <c r="U1588" s="3" t="str">
        <f>IFERROR(__xludf.DUMMYFUNCTION("""COMPUTED_VALUE"""),"#N/A")</f>
        <v>#N/A</v>
      </c>
      <c r="V1588" s="3" t="str">
        <f>IFERROR(__xludf.DUMMYFUNCTION("""COMPUTED_VALUE"""),"N")</f>
        <v>N</v>
      </c>
      <c r="W1588" s="3">
        <f>IFERROR(__xludf.DUMMYFUNCTION("""COMPUTED_VALUE"""),210281.0)</f>
        <v>210281</v>
      </c>
      <c r="X1588" s="3" t="str">
        <f>IFERROR(__xludf.DUMMYFUNCTION("""COMPUTED_VALUE"""),"600 ถนนบางแวก แขวงบางแวก เขตภาษีเจริญ จังหวัดกรุงเทพมหานคร 10160")</f>
        <v>600 ถนนบางแวก แขวงบางแวก เขตภาษีเจริญ จังหวัดกรุงเทพมหานคร 10160</v>
      </c>
      <c r="Y1588" s="3" t="str">
        <f>IFERROR(__xludf.DUMMYFUNCTION("""COMPUTED_VALUE"""),"ถนนบางแวก")</f>
        <v>ถนนบางแวก</v>
      </c>
      <c r="Z1588" s="3" t="str">
        <f>IFERROR(__xludf.DUMMYFUNCTION("""COMPUTED_VALUE"""),"บางแวก")</f>
        <v>บางแวก</v>
      </c>
      <c r="AA1588" s="3" t="str">
        <f>IFERROR(__xludf.DUMMYFUNCTION("""COMPUTED_VALUE"""),"ภาษีเจริญ")</f>
        <v>ภาษีเจริญ</v>
      </c>
      <c r="AB1588" s="3" t="str">
        <f>IFERROR(__xludf.DUMMYFUNCTION("""COMPUTED_VALUE"""),"กรุงเทพมหานคร")</f>
        <v>กรุงเทพมหานคร</v>
      </c>
      <c r="AC1588" s="3">
        <f>IFERROR(__xludf.DUMMYFUNCTION("""COMPUTED_VALUE"""),10160.0)</f>
        <v>10160</v>
      </c>
      <c r="AD1588" s="3">
        <f>IFERROR(__xludf.DUMMYFUNCTION("""COMPUTED_VALUE"""),13.737116)</f>
        <v>13.737116</v>
      </c>
      <c r="AE1588" s="3">
        <f>IFERROR(__xludf.DUMMYFUNCTION("""COMPUTED_VALUE"""),100.438382)</f>
        <v>100.438382</v>
      </c>
      <c r="AF1588" s="3" t="str">
        <f>IFERROR(__xludf.DUMMYFUNCTION("""COMPUTED_VALUE"""),"MBC บางแวก62 กรุงเทพฯ-22273")</f>
        <v>MBC บางแวก62 กรุงเทพฯ-22273</v>
      </c>
      <c r="AG1588" s="3" t="str">
        <f>IFERROR(__xludf.DUMMYFUNCTION("""COMPUTED_VALUE"""),"กลาง")</f>
        <v>กลาง</v>
      </c>
      <c r="AH1588" s="3" t="str">
        <f>IFERROR(__xludf.DUMMYFUNCTION("""COMPUTED_VALUE"""),"#N/A")</f>
        <v>#N/A</v>
      </c>
      <c r="AI1588" s="3" t="str">
        <f>IFERROR(__xludf.DUMMYFUNCTION("""COMPUTED_VALUE"""),"Out of warranty")</f>
        <v>Out of warranty</v>
      </c>
      <c r="AJ1588" s="3">
        <f>IFERROR(__xludf.DUMMYFUNCTION("""COMPUTED_VALUE"""),62.0)</f>
        <v>62</v>
      </c>
      <c r="AK1588" s="3" t="str">
        <f>IFERROR(__xludf.DUMMYFUNCTION("""COMPUTED_VALUE"""),"MMS02")</f>
        <v>MMS02</v>
      </c>
      <c r="AL1588" s="3"/>
    </row>
    <row r="1589" ht="15.75" customHeight="1">
      <c r="A1589" s="1" t="str">
        <f>IFERROR(__xludf.DUMMYFUNCTION("""COMPUTED_VALUE"""),"22274")</f>
        <v>22274</v>
      </c>
      <c r="B1589" s="2">
        <f>IFERROR(__xludf.DUMMYFUNCTION("""COMPUTED_VALUE"""),22274.0)</f>
        <v>22274</v>
      </c>
      <c r="C1589" s="3" t="str">
        <f>IFERROR(__xludf.DUMMYFUNCTION("""COMPUTED_VALUE"""),"MBC คลองเดื่อ-เขาใหญ่ นครราชสีมา")</f>
        <v>MBC คลองเดื่อ-เขาใหญ่ นครราชสีมา</v>
      </c>
      <c r="D1589" s="3" t="str">
        <f>IFERROR(__xludf.DUMMYFUNCTION("""COMPUTED_VALUE"""),"BCM KHLONG DUEA KHAO YAI")</f>
        <v>BCM KHLONG DUEA KHAO YAI</v>
      </c>
      <c r="E1589" s="1" t="str">
        <f>IFERROR(__xludf.DUMMYFUNCTION("""COMPUTED_VALUE"""),"บิ๊กซี MINI")</f>
        <v>บิ๊กซี MINI</v>
      </c>
      <c r="F1589" s="1" t="str">
        <f>IFERROR(__xludf.DUMMYFUNCTION("""COMPUTED_VALUE"""),"291105")</f>
        <v>291105</v>
      </c>
      <c r="G1589" s="1" t="str">
        <f>IFERROR(__xludf.DUMMYFUNCTION("""COMPUTED_VALUE"""),"นายสราวุฒิ พณิชยกุล")</f>
        <v>นายสราวุฒิ พณิชยกุล</v>
      </c>
      <c r="H1589" s="1" t="str">
        <f>IFERROR(__xludf.DUMMYFUNCTION("""COMPUTED_VALUE"""),"281315")</f>
        <v>281315</v>
      </c>
      <c r="I1589" s="1" t="str">
        <f>IFERROR(__xludf.DUMMYFUNCTION("""COMPUTED_VALUE"""),"นายกิตติพงษ์ มั่นคง")</f>
        <v>นายกิตติพงษ์ มั่นคง</v>
      </c>
      <c r="J1589" s="3">
        <f>IFERROR(__xludf.DUMMYFUNCTION("""COMPUTED_VALUE"""),15361.0)</f>
        <v>15361</v>
      </c>
      <c r="K1589" s="3" t="str">
        <f>IFERROR(__xludf.DUMMYFUNCTION("""COMPUTED_VALUE"""),"นายสมบูรณ์ พรหมในเมือง")</f>
        <v>นายสมบูรณ์ พรหมในเมือง</v>
      </c>
      <c r="L1589" s="1" t="str">
        <f>IFERROR(__xludf.DUMMYFUNCTION("""COMPUTED_VALUE"""),"04 K.Somboon P.")</f>
        <v>04 K.Somboon P.</v>
      </c>
      <c r="M1589" s="1" t="str">
        <f>IFERROR(__xludf.DUMMYFUNCTION("""COMPUTED_VALUE"""),"087-965-3051")</f>
        <v>087-965-3051</v>
      </c>
      <c r="N1589" s="3">
        <f>IFERROR(__xludf.DUMMYFUNCTION("""COMPUTED_VALUE"""),21869.0)</f>
        <v>21869</v>
      </c>
      <c r="O1589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589" s="4">
        <f>IFERROR(__xludf.DUMMYFUNCTION("""COMPUTED_VALUE"""),44185.0)</f>
        <v>44185</v>
      </c>
      <c r="Q1589" s="3" t="str">
        <f>IFERROR(__xludf.DUMMYFUNCTION("""COMPUTED_VALUE"""),"A")</f>
        <v>A</v>
      </c>
      <c r="R1589" s="3" t="str">
        <f>IFERROR(__xludf.DUMMYFUNCTION("""COMPUTED_VALUE"""),"Small Format")</f>
        <v>Small Format</v>
      </c>
      <c r="S1589" s="3" t="str">
        <f>IFERROR(__xludf.DUMMYFUNCTION("""COMPUTED_VALUE"""),"BCM")</f>
        <v>BCM</v>
      </c>
      <c r="T1589" s="3" t="str">
        <f>IFERROR(__xludf.DUMMYFUNCTION("""COMPUTED_VALUE"""),"#N/A")</f>
        <v>#N/A</v>
      </c>
      <c r="U1589" s="3" t="str">
        <f>IFERROR(__xludf.DUMMYFUNCTION("""COMPUTED_VALUE"""),"#N/A")</f>
        <v>#N/A</v>
      </c>
      <c r="V1589" s="3" t="str">
        <f>IFERROR(__xludf.DUMMYFUNCTION("""COMPUTED_VALUE"""),"N")</f>
        <v>N</v>
      </c>
      <c r="W1589" s="3">
        <f>IFERROR(__xludf.DUMMYFUNCTION("""COMPUTED_VALUE"""),210310.0)</f>
        <v>210310</v>
      </c>
      <c r="X1589" s="3" t="str">
        <f>IFERROR(__xludf.DUMMYFUNCTION("""COMPUTED_VALUE"""),"116/2 หมู่6 ตำบลหมูสี อำเภอปากช่อง จังหวัดนครราชสีมา 30130")</f>
        <v>116/2 หมู่6 ตำบลหมูสี อำเภอปากช่อง จังหวัดนครราชสีมา 30130</v>
      </c>
      <c r="Y1589" s="3"/>
      <c r="Z1589" s="3" t="str">
        <f>IFERROR(__xludf.DUMMYFUNCTION("""COMPUTED_VALUE"""),"หมูสี")</f>
        <v>หมูสี</v>
      </c>
      <c r="AA1589" s="3" t="str">
        <f>IFERROR(__xludf.DUMMYFUNCTION("""COMPUTED_VALUE"""),"ปากช่อง")</f>
        <v>ปากช่อง</v>
      </c>
      <c r="AB1589" s="3" t="str">
        <f>IFERROR(__xludf.DUMMYFUNCTION("""COMPUTED_VALUE"""),"นครราชสีมา")</f>
        <v>นครราชสีมา</v>
      </c>
      <c r="AC1589" s="3">
        <f>IFERROR(__xludf.DUMMYFUNCTION("""COMPUTED_VALUE"""),30130.0)</f>
        <v>30130</v>
      </c>
      <c r="AD1589" s="3">
        <f>IFERROR(__xludf.DUMMYFUNCTION("""COMPUTED_VALUE"""),14.515414)</f>
        <v>14.515414</v>
      </c>
      <c r="AE1589" s="3">
        <f>IFERROR(__xludf.DUMMYFUNCTION("""COMPUTED_VALUE"""),101.441516)</f>
        <v>101.441516</v>
      </c>
      <c r="AF1589" s="3" t="str">
        <f>IFERROR(__xludf.DUMMYFUNCTION("""COMPUTED_VALUE"""),"MBC คลองเดื่อ-เขาใหญ่ นครราชสีมา-22274")</f>
        <v>MBC คลองเดื่อ-เขาใหญ่ นครราชสีมา-22274</v>
      </c>
      <c r="AG1589" s="3" t="str">
        <f>IFERROR(__xludf.DUMMYFUNCTION("""COMPUTED_VALUE"""),"ตะวันออกเฉียงเหนือ")</f>
        <v>ตะวันออกเฉียงเหนือ</v>
      </c>
      <c r="AH1589" s="3" t="str">
        <f>IFERROR(__xludf.DUMMYFUNCTION("""COMPUTED_VALUE"""),"#N/A")</f>
        <v>#N/A</v>
      </c>
      <c r="AI1589" s="3" t="str">
        <f>IFERROR(__xludf.DUMMYFUNCTION("""COMPUTED_VALUE"""),"Out of warranty")</f>
        <v>Out of warranty</v>
      </c>
      <c r="AJ1589" s="3">
        <f>IFERROR(__xludf.DUMMYFUNCTION("""COMPUTED_VALUE"""),62.0)</f>
        <v>62</v>
      </c>
      <c r="AK1589" s="3" t="str">
        <f>IFERROR(__xludf.DUMMYFUNCTION("""COMPUTED_VALUE"""),"MMS11")</f>
        <v>MMS11</v>
      </c>
      <c r="AL1589" s="3"/>
    </row>
    <row r="1590" ht="15.75" customHeight="1">
      <c r="A1590" s="1" t="str">
        <f>IFERROR(__xludf.DUMMYFUNCTION("""COMPUTED_VALUE"""),"22275")</f>
        <v>22275</v>
      </c>
      <c r="B1590" s="2">
        <f>IFERROR(__xludf.DUMMYFUNCTION("""COMPUTED_VALUE"""),22275.0)</f>
        <v>22275</v>
      </c>
      <c r="C1590" s="3" t="str">
        <f>IFERROR(__xludf.DUMMYFUNCTION("""COMPUTED_VALUE"""),"MBC ศรีด่าน 3 สมุทรปราการ")</f>
        <v>MBC ศรีด่าน 3 สมุทรปราการ</v>
      </c>
      <c r="D1590" s="3" t="str">
        <f>IFERROR(__xludf.DUMMYFUNCTION("""COMPUTED_VALUE"""),"BCM SRIDAN 3")</f>
        <v>BCM SRIDAN 3</v>
      </c>
      <c r="E1590" s="1" t="str">
        <f>IFERROR(__xludf.DUMMYFUNCTION("""COMPUTED_VALUE"""),"บิ๊กซี MINI")</f>
        <v>บิ๊กซี MINI</v>
      </c>
      <c r="F1590" s="1" t="str">
        <f>IFERROR(__xludf.DUMMYFUNCTION("""COMPUTED_VALUE"""),"2083447")</f>
        <v>2083447</v>
      </c>
      <c r="G1590" s="1" t="str">
        <f>IFERROR(__xludf.DUMMYFUNCTION("""COMPUTED_VALUE"""),"นายอนุกูล ศรีลัดดา")</f>
        <v>นายอนุกูล ศรีลัดดา</v>
      </c>
      <c r="H1590" s="1" t="str">
        <f>IFERROR(__xludf.DUMMYFUNCTION("""COMPUTED_VALUE"""),"399107")</f>
        <v>399107</v>
      </c>
      <c r="I1590" s="1" t="str">
        <f>IFERROR(__xludf.DUMMYFUNCTION("""COMPUTED_VALUE"""),"นายรัชระวี กลมแป้น")</f>
        <v>นายรัชระวี กลมแป้น</v>
      </c>
      <c r="J1590" s="3">
        <f>IFERROR(__xludf.DUMMYFUNCTION("""COMPUTED_VALUE"""),510143.0)</f>
        <v>510143</v>
      </c>
      <c r="K1590" s="3" t="str">
        <f>IFERROR(__xludf.DUMMYFUNCTION("""COMPUTED_VALUE"""),"นายธีระวัฒน์ บุญสิทธิ์")</f>
        <v>นายธีระวัฒน์ บุญสิทธิ์</v>
      </c>
      <c r="L1590" s="1" t="str">
        <f>IFERROR(__xludf.DUMMYFUNCTION("""COMPUTED_VALUE"""),"12 K.Theerawat B.")</f>
        <v>12 K.Theerawat B.</v>
      </c>
      <c r="M1590" s="1" t="str">
        <f>IFERROR(__xludf.DUMMYFUNCTION("""COMPUTED_VALUE"""),"0655107379")</f>
        <v>0655107379</v>
      </c>
      <c r="N1590" s="3">
        <f>IFERROR(__xludf.DUMMYFUNCTION("""COMPUTED_VALUE"""),21062.0)</f>
        <v>21062</v>
      </c>
      <c r="O1590" s="3" t="str">
        <f>IFERROR(__xludf.DUMMYFUNCTION("""COMPUTED_VALUE"""),"MBC นิคมนวนคร")</f>
        <v>MBC นิคมนวนคร</v>
      </c>
      <c r="P1590" s="4">
        <f>IFERROR(__xludf.DUMMYFUNCTION("""COMPUTED_VALUE"""),44186.0)</f>
        <v>44186</v>
      </c>
      <c r="Q1590" s="3" t="str">
        <f>IFERROR(__xludf.DUMMYFUNCTION("""COMPUTED_VALUE"""),"A")</f>
        <v>A</v>
      </c>
      <c r="R1590" s="3" t="str">
        <f>IFERROR(__xludf.DUMMYFUNCTION("""COMPUTED_VALUE"""),"Small Format")</f>
        <v>Small Format</v>
      </c>
      <c r="S1590" s="3" t="str">
        <f>IFERROR(__xludf.DUMMYFUNCTION("""COMPUTED_VALUE"""),"BCM")</f>
        <v>BCM</v>
      </c>
      <c r="T1590" s="3" t="str">
        <f>IFERROR(__xludf.DUMMYFUNCTION("""COMPUTED_VALUE"""),"#N/A")</f>
        <v>#N/A</v>
      </c>
      <c r="U1590" s="3" t="str">
        <f>IFERROR(__xludf.DUMMYFUNCTION("""COMPUTED_VALUE"""),"#N/A")</f>
        <v>#N/A</v>
      </c>
      <c r="V1590" s="3" t="str">
        <f>IFERROR(__xludf.DUMMYFUNCTION("""COMPUTED_VALUE"""),"N")</f>
        <v>N</v>
      </c>
      <c r="W1590" s="3">
        <f>IFERROR(__xludf.DUMMYFUNCTION("""COMPUTED_VALUE"""),210317.0)</f>
        <v>210317</v>
      </c>
      <c r="X1590" s="3" t="str">
        <f>IFERROR(__xludf.DUMMYFUNCTION("""COMPUTED_VALUE"""),"19 หมู่4 ตำบลสำโรงเหนือ อำเภอเมืองสมุทรปราการ จังหวัดสมุทรปราการ 10270")</f>
        <v>19 หมู่4 ตำบลสำโรงเหนือ อำเภอเมืองสมุทรปราการ จังหวัดสมุทรปราการ 10270</v>
      </c>
      <c r="Y1590" s="3"/>
      <c r="Z1590" s="3" t="str">
        <f>IFERROR(__xludf.DUMMYFUNCTION("""COMPUTED_VALUE"""),"สำโรงเหนือ")</f>
        <v>สำโรงเหนือ</v>
      </c>
      <c r="AA1590" s="3" t="str">
        <f>IFERROR(__xludf.DUMMYFUNCTION("""COMPUTED_VALUE"""),"เมืองสมุทรปราการ")</f>
        <v>เมืองสมุทรปราการ</v>
      </c>
      <c r="AB1590" s="3" t="str">
        <f>IFERROR(__xludf.DUMMYFUNCTION("""COMPUTED_VALUE"""),"สมุทรปราการ")</f>
        <v>สมุทรปราการ</v>
      </c>
      <c r="AC1590" s="3">
        <f>IFERROR(__xludf.DUMMYFUNCTION("""COMPUTED_VALUE"""),10270.0)</f>
        <v>10270</v>
      </c>
      <c r="AD1590" s="3">
        <f>IFERROR(__xludf.DUMMYFUNCTION("""COMPUTED_VALUE"""),13.642544)</f>
        <v>13.642544</v>
      </c>
      <c r="AE1590" s="3">
        <f>IFERROR(__xludf.DUMMYFUNCTION("""COMPUTED_VALUE"""),100.629726)</f>
        <v>100.629726</v>
      </c>
      <c r="AF1590" s="3" t="str">
        <f>IFERROR(__xludf.DUMMYFUNCTION("""COMPUTED_VALUE"""),"MBC ศรีด่าน 3 สมุทรปราการ-22275")</f>
        <v>MBC ศรีด่าน 3 สมุทรปราการ-22275</v>
      </c>
      <c r="AG1590" s="3" t="str">
        <f>IFERROR(__xludf.DUMMYFUNCTION("""COMPUTED_VALUE"""),"กลาง")</f>
        <v>กลาง</v>
      </c>
      <c r="AH1590" s="3" t="str">
        <f>IFERROR(__xludf.DUMMYFUNCTION("""COMPUTED_VALUE"""),"#N/A")</f>
        <v>#N/A</v>
      </c>
      <c r="AI1590" s="3" t="str">
        <f>IFERROR(__xludf.DUMMYFUNCTION("""COMPUTED_VALUE"""),"Out of warranty")</f>
        <v>Out of warranty</v>
      </c>
      <c r="AJ1590" s="3">
        <f>IFERROR(__xludf.DUMMYFUNCTION("""COMPUTED_VALUE"""),61.0)</f>
        <v>61</v>
      </c>
      <c r="AK1590" s="3" t="str">
        <f>IFERROR(__xludf.DUMMYFUNCTION("""COMPUTED_VALUE"""),"MMS02")</f>
        <v>MMS02</v>
      </c>
      <c r="AL1590" s="3"/>
    </row>
    <row r="1591" ht="15.75" customHeight="1">
      <c r="A1591" s="1" t="str">
        <f>IFERROR(__xludf.DUMMYFUNCTION("""COMPUTED_VALUE"""),"22276")</f>
        <v>22276</v>
      </c>
      <c r="B1591" s="2">
        <f>IFERROR(__xludf.DUMMYFUNCTION("""COMPUTED_VALUE"""),22276.0)</f>
        <v>22276</v>
      </c>
      <c r="C1591" s="3" t="str">
        <f>IFERROR(__xludf.DUMMYFUNCTION("""COMPUTED_VALUE"""),"MBC ตลาดเกาะหมี สงขลา")</f>
        <v>MBC ตลาดเกาะหมี สงขลา</v>
      </c>
      <c r="D1591" s="3" t="str">
        <f>IFERROR(__xludf.DUMMYFUNCTION("""COMPUTED_VALUE"""),"BCM TALAD KOH MEE")</f>
        <v>BCM TALAD KOH MEE</v>
      </c>
      <c r="E1591" s="1" t="str">
        <f>IFERROR(__xludf.DUMMYFUNCTION("""COMPUTED_VALUE"""),"บิ๊กซี MINI")</f>
        <v>บิ๊กซี MINI</v>
      </c>
      <c r="F1591" s="1" t="str">
        <f>IFERROR(__xludf.DUMMYFUNCTION("""COMPUTED_VALUE"""),"250760")</f>
        <v>250760</v>
      </c>
      <c r="G1591" s="1" t="str">
        <f>IFERROR(__xludf.DUMMYFUNCTION("""COMPUTED_VALUE"""),"นายประทวน สาราบรรณ์")</f>
        <v>นายประทวน สาราบรรณ์</v>
      </c>
      <c r="H1591" s="1" t="str">
        <f>IFERROR(__xludf.DUMMYFUNCTION("""COMPUTED_VALUE"""),"394100")</f>
        <v>394100</v>
      </c>
      <c r="I1591" s="1" t="str">
        <f>IFERROR(__xludf.DUMMYFUNCTION("""COMPUTED_VALUE"""),"นายไพโรจน์ ถิระผะลิกะ")</f>
        <v>นายไพโรจน์ ถิระผะลิกะ</v>
      </c>
      <c r="J1591" s="3">
        <f>IFERROR(__xludf.DUMMYFUNCTION("""COMPUTED_VALUE"""),2.0470331E7)</f>
        <v>20470331</v>
      </c>
      <c r="K1591" s="3" t="str">
        <f>IFERROR(__xludf.DUMMYFUNCTION("""COMPUTED_VALUE"""),"นายสมชาย ลักษณะสุวรรณ")</f>
        <v>นายสมชาย ลักษณะสุวรรณ</v>
      </c>
      <c r="L1591" s="1" t="str">
        <f>IFERROR(__xludf.DUMMYFUNCTION("""COMPUTED_VALUE"""),"15 K.Somchai L")</f>
        <v>15 K.Somchai L</v>
      </c>
      <c r="M1591" s="1" t="str">
        <f>IFERROR(__xludf.DUMMYFUNCTION("""COMPUTED_VALUE"""),"0655107372")</f>
        <v>0655107372</v>
      </c>
      <c r="N1591" s="3">
        <f>IFERROR(__xludf.DUMMYFUNCTION("""COMPUTED_VALUE"""),21723.0)</f>
        <v>21723</v>
      </c>
      <c r="O159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591" s="4">
        <f>IFERROR(__xludf.DUMMYFUNCTION("""COMPUTED_VALUE"""),44186.0)</f>
        <v>44186</v>
      </c>
      <c r="Q1591" s="3" t="str">
        <f>IFERROR(__xludf.DUMMYFUNCTION("""COMPUTED_VALUE"""),"A")</f>
        <v>A</v>
      </c>
      <c r="R1591" s="3" t="str">
        <f>IFERROR(__xludf.DUMMYFUNCTION("""COMPUTED_VALUE"""),"Small Format")</f>
        <v>Small Format</v>
      </c>
      <c r="S1591" s="3" t="str">
        <f>IFERROR(__xludf.DUMMYFUNCTION("""COMPUTED_VALUE"""),"BCM")</f>
        <v>BCM</v>
      </c>
      <c r="T1591" s="3" t="str">
        <f>IFERROR(__xludf.DUMMYFUNCTION("""COMPUTED_VALUE"""),"#N/A")</f>
        <v>#N/A</v>
      </c>
      <c r="U1591" s="3" t="str">
        <f>IFERROR(__xludf.DUMMYFUNCTION("""COMPUTED_VALUE"""),"#N/A")</f>
        <v>#N/A</v>
      </c>
      <c r="V1591" s="3" t="str">
        <f>IFERROR(__xludf.DUMMYFUNCTION("""COMPUTED_VALUE"""),"N")</f>
        <v>N</v>
      </c>
      <c r="W1591" s="3">
        <f>IFERROR(__xludf.DUMMYFUNCTION("""COMPUTED_VALUE"""),210270.0)</f>
        <v>210270</v>
      </c>
      <c r="X1591" s="3" t="str">
        <f>IFERROR(__xludf.DUMMYFUNCTION("""COMPUTED_VALUE"""),"15 ถนนกาญจนราเมศวร์ ตำบลคอหงส์ อำเภอหาดใหญ่ จังหวัดสงขลา 90110")</f>
        <v>15 ถนนกาญจนราเมศวร์ ตำบลคอหงส์ อำเภอหาดใหญ่ จังหวัดสงขลา 90110</v>
      </c>
      <c r="Y1591" s="3"/>
      <c r="Z1591" s="3" t="str">
        <f>IFERROR(__xludf.DUMMYFUNCTION("""COMPUTED_VALUE"""),"คอหงส์")</f>
        <v>คอหงส์</v>
      </c>
      <c r="AA1591" s="3" t="str">
        <f>IFERROR(__xludf.DUMMYFUNCTION("""COMPUTED_VALUE"""),"หาดใหญ่")</f>
        <v>หาดใหญ่</v>
      </c>
      <c r="AB1591" s="3" t="str">
        <f>IFERROR(__xludf.DUMMYFUNCTION("""COMPUTED_VALUE"""),"สงขลา")</f>
        <v>สงขลา</v>
      </c>
      <c r="AC1591" s="3">
        <f>IFERROR(__xludf.DUMMYFUNCTION("""COMPUTED_VALUE"""),90110.0)</f>
        <v>90110</v>
      </c>
      <c r="AD1591" s="3">
        <f>IFERROR(__xludf.DUMMYFUNCTION("""COMPUTED_VALUE"""),7.052039)</f>
        <v>7.052039</v>
      </c>
      <c r="AE1591" s="3">
        <f>IFERROR(__xludf.DUMMYFUNCTION("""COMPUTED_VALUE"""),100.505061)</f>
        <v>100.505061</v>
      </c>
      <c r="AF1591" s="3" t="str">
        <f>IFERROR(__xludf.DUMMYFUNCTION("""COMPUTED_VALUE"""),"MBC ตลาดเกาะหมี สงขลา-22276")</f>
        <v>MBC ตลาดเกาะหมี สงขลา-22276</v>
      </c>
      <c r="AG1591" s="3" t="str">
        <f>IFERROR(__xludf.DUMMYFUNCTION("""COMPUTED_VALUE"""),"ใต้")</f>
        <v>ใต้</v>
      </c>
      <c r="AH1591" s="3" t="str">
        <f>IFERROR(__xludf.DUMMYFUNCTION("""COMPUTED_VALUE"""),"#N/A")</f>
        <v>#N/A</v>
      </c>
      <c r="AI1591" s="3" t="str">
        <f>IFERROR(__xludf.DUMMYFUNCTION("""COMPUTED_VALUE"""),"Out of warranty")</f>
        <v>Out of warranty</v>
      </c>
      <c r="AJ1591" s="3">
        <f>IFERROR(__xludf.DUMMYFUNCTION("""COMPUTED_VALUE"""),61.0)</f>
        <v>61</v>
      </c>
      <c r="AK1591" s="3" t="str">
        <f>IFERROR(__xludf.DUMMYFUNCTION("""COMPUTED_VALUE"""),"MMS16")</f>
        <v>MMS16</v>
      </c>
      <c r="AL1591" s="3"/>
    </row>
    <row r="1592" ht="15.75" customHeight="1">
      <c r="A1592" s="1" t="str">
        <f>IFERROR(__xludf.DUMMYFUNCTION("""COMPUTED_VALUE"""),"22277")</f>
        <v>22277</v>
      </c>
      <c r="B1592" s="2">
        <f>IFERROR(__xludf.DUMMYFUNCTION("""COMPUTED_VALUE"""),22277.0)</f>
        <v>22277</v>
      </c>
      <c r="C1592" s="3" t="str">
        <f>IFERROR(__xludf.DUMMYFUNCTION("""COMPUTED_VALUE"""),"MBC ซ.วัดพระเงิน นนทบุรี")</f>
        <v>MBC ซ.วัดพระเงิน นนทบุรี</v>
      </c>
      <c r="D1592" s="3" t="str">
        <f>IFERROR(__xludf.DUMMYFUNCTION("""COMPUTED_VALUE"""),"BCM SOI WAT PHRA NGUEN")</f>
        <v>BCM SOI WAT PHRA NGUEN</v>
      </c>
      <c r="E1592" s="1" t="str">
        <f>IFERROR(__xludf.DUMMYFUNCTION("""COMPUTED_VALUE"""),"บิ๊กซี MINI")</f>
        <v>บิ๊กซี MINI</v>
      </c>
      <c r="F1592" s="1" t="str">
        <f>IFERROR(__xludf.DUMMYFUNCTION("""COMPUTED_VALUE"""),"291008")</f>
        <v>291008</v>
      </c>
      <c r="G1592" s="1" t="str">
        <f>IFERROR(__xludf.DUMMYFUNCTION("""COMPUTED_VALUE"""),"น.ส.รัชดาพร อีศรัตน์")</f>
        <v>น.ส.รัชดาพร อีศรัตน์</v>
      </c>
      <c r="H1592" s="1" t="str">
        <f>IFERROR(__xludf.DUMMYFUNCTION("""COMPUTED_VALUE"""),"291101")</f>
        <v>291101</v>
      </c>
      <c r="I1592" s="1" t="str">
        <f>IFERROR(__xludf.DUMMYFUNCTION("""COMPUTED_VALUE"""),"นายจักรพงศ์ โพธิ์ศรี")</f>
        <v>นายจักรพงศ์ โพธิ์ศรี</v>
      </c>
      <c r="J1592" s="3">
        <f>IFERROR(__xludf.DUMMYFUNCTION("""COMPUTED_VALUE"""),296728.0)</f>
        <v>296728</v>
      </c>
      <c r="K1592" s="3" t="str">
        <f>IFERROR(__xludf.DUMMYFUNCTION("""COMPUTED_VALUE"""),"นายธิติ บัวทองรังสิมา")</f>
        <v>นายธิติ บัวทองรังสิมา</v>
      </c>
      <c r="L1592" s="1" t="str">
        <f>IFERROR(__xludf.DUMMYFUNCTION("""COMPUTED_VALUE"""),"นายธิติ บัวทองรังสิมา")</f>
        <v>นายธิติ บัวทองรังสิมา</v>
      </c>
      <c r="M1592" s="1" t="str">
        <f>IFERROR(__xludf.DUMMYFUNCTION("""COMPUTED_VALUE"""),"0920849994")</f>
        <v>0920849994</v>
      </c>
      <c r="N1592" s="3">
        <f>IFERROR(__xludf.DUMMYFUNCTION("""COMPUTED_VALUE"""),21012.0)</f>
        <v>21012</v>
      </c>
      <c r="O1592" s="3" t="str">
        <f>IFERROR(__xludf.DUMMYFUNCTION("""COMPUTED_VALUE"""),"MBC ท่าอิฐ")</f>
        <v>MBC ท่าอิฐ</v>
      </c>
      <c r="P1592" s="4">
        <f>IFERROR(__xludf.DUMMYFUNCTION("""COMPUTED_VALUE"""),44187.0)</f>
        <v>44187</v>
      </c>
      <c r="Q1592" s="3" t="str">
        <f>IFERROR(__xludf.DUMMYFUNCTION("""COMPUTED_VALUE"""),"I")</f>
        <v>I</v>
      </c>
      <c r="R1592" s="3" t="str">
        <f>IFERROR(__xludf.DUMMYFUNCTION("""COMPUTED_VALUE"""),"Small Format")</f>
        <v>Small Format</v>
      </c>
      <c r="S1592" s="3" t="str">
        <f>IFERROR(__xludf.DUMMYFUNCTION("""COMPUTED_VALUE"""),"BCM")</f>
        <v>BCM</v>
      </c>
      <c r="T1592" s="3" t="str">
        <f>IFERROR(__xludf.DUMMYFUNCTION("""COMPUTED_VALUE"""),"#N/A")</f>
        <v>#N/A</v>
      </c>
      <c r="U1592" s="3" t="str">
        <f>IFERROR(__xludf.DUMMYFUNCTION("""COMPUTED_VALUE"""),"#N/A")</f>
        <v>#N/A</v>
      </c>
      <c r="V1592" s="3" t="str">
        <f>IFERROR(__xludf.DUMMYFUNCTION("""COMPUTED_VALUE"""),"N")</f>
        <v>N</v>
      </c>
      <c r="W1592" s="3">
        <f>IFERROR(__xludf.DUMMYFUNCTION("""COMPUTED_VALUE"""),210321.0)</f>
        <v>210321</v>
      </c>
      <c r="X1592" s="3" t="str">
        <f>IFERROR(__xludf.DUMMYFUNCTION("""COMPUTED_VALUE"""),"99/12 หมู่10 ตำบลบางม่วง อำเภอบางใหญ่ จังหวัดนนทบุรี 11140")</f>
        <v>99/12 หมู่10 ตำบลบางม่วง อำเภอบางใหญ่ จังหวัดนนทบุรี 11140</v>
      </c>
      <c r="Y1592" s="3"/>
      <c r="Z1592" s="3" t="str">
        <f>IFERROR(__xludf.DUMMYFUNCTION("""COMPUTED_VALUE"""),"บางม่วง")</f>
        <v>บางม่วง</v>
      </c>
      <c r="AA1592" s="3" t="str">
        <f>IFERROR(__xludf.DUMMYFUNCTION("""COMPUTED_VALUE"""),"บางใหญ่")</f>
        <v>บางใหญ่</v>
      </c>
      <c r="AB1592" s="3" t="str">
        <f>IFERROR(__xludf.DUMMYFUNCTION("""COMPUTED_VALUE"""),"นนทบุรี")</f>
        <v>นนทบุรี</v>
      </c>
      <c r="AC1592" s="3">
        <f>IFERROR(__xludf.DUMMYFUNCTION("""COMPUTED_VALUE"""),11140.0)</f>
        <v>11140</v>
      </c>
      <c r="AD1592" s="3">
        <f>IFERROR(__xludf.DUMMYFUNCTION("""COMPUTED_VALUE"""),13.831677)</f>
        <v>13.831677</v>
      </c>
      <c r="AE1592" s="3">
        <f>IFERROR(__xludf.DUMMYFUNCTION("""COMPUTED_VALUE"""),100.405236)</f>
        <v>100.405236</v>
      </c>
      <c r="AF1592" s="3" t="str">
        <f>IFERROR(__xludf.DUMMYFUNCTION("""COMPUTED_VALUE"""),"MBC ซ.วัดพระเงิน นนทบุรี-22277")</f>
        <v>MBC ซ.วัดพระเงิน นนทบุรี-22277</v>
      </c>
      <c r="AG1592" s="3" t="str">
        <f>IFERROR(__xludf.DUMMYFUNCTION("""COMPUTED_VALUE"""),"กลาง")</f>
        <v>กลาง</v>
      </c>
      <c r="AH1592" s="3" t="str">
        <f>IFERROR(__xludf.DUMMYFUNCTION("""COMPUTED_VALUE"""),"#N/A")</f>
        <v>#N/A</v>
      </c>
      <c r="AI1592" s="3" t="str">
        <f>IFERROR(__xludf.DUMMYFUNCTION("""COMPUTED_VALUE"""),"Out of warranty")</f>
        <v>Out of warranty</v>
      </c>
      <c r="AJ1592" s="3">
        <f>IFERROR(__xludf.DUMMYFUNCTION("""COMPUTED_VALUE"""),61.0)</f>
        <v>61</v>
      </c>
      <c r="AK1592" s="3" t="str">
        <f>IFERROR(__xludf.DUMMYFUNCTION("""COMPUTED_VALUE"""),"MMS05")</f>
        <v>MMS05</v>
      </c>
      <c r="AL1592" s="3"/>
    </row>
    <row r="1593" ht="15.75" customHeight="1">
      <c r="A1593" s="1" t="str">
        <f>IFERROR(__xludf.DUMMYFUNCTION("""COMPUTED_VALUE"""),"22278")</f>
        <v>22278</v>
      </c>
      <c r="B1593" s="2">
        <f>IFERROR(__xludf.DUMMYFUNCTION("""COMPUTED_VALUE"""),22278.0)</f>
        <v>22278</v>
      </c>
      <c r="C1593" s="3" t="str">
        <f>IFERROR(__xludf.DUMMYFUNCTION("""COMPUTED_VALUE"""),"MBC ลาดปลาเค้า 44 กรุงเทพฯ")</f>
        <v>MBC ลาดปลาเค้า 44 กรุงเทพฯ</v>
      </c>
      <c r="D1593" s="3" t="str">
        <f>IFERROR(__xludf.DUMMYFUNCTION("""COMPUTED_VALUE"""),"BCM LAT PLA KHAO 44")</f>
        <v>BCM LAT PLA KHAO 44</v>
      </c>
      <c r="E1593" s="1" t="str">
        <f>IFERROR(__xludf.DUMMYFUNCTION("""COMPUTED_VALUE"""),"บิ๊กซี MINI")</f>
        <v>บิ๊กซี MINI</v>
      </c>
      <c r="F1593" s="1" t="str">
        <f>IFERROR(__xludf.DUMMYFUNCTION("""COMPUTED_VALUE"""),"291008")</f>
        <v>291008</v>
      </c>
      <c r="G1593" s="1" t="str">
        <f>IFERROR(__xludf.DUMMYFUNCTION("""COMPUTED_VALUE"""),"น.ส.รัชดาพร อีศรัตน์")</f>
        <v>น.ส.รัชดาพร อีศรัตน์</v>
      </c>
      <c r="H1593" s="1" t="str">
        <f>IFERROR(__xludf.DUMMYFUNCTION("""COMPUTED_VALUE"""),"288639")</f>
        <v>288639</v>
      </c>
      <c r="I1593" s="1" t="str">
        <f>IFERROR(__xludf.DUMMYFUNCTION("""COMPUTED_VALUE"""),"น.ส.สมหญิง สีชมภู")</f>
        <v>น.ส.สมหญิง สีชมภู</v>
      </c>
      <c r="J1593" s="3">
        <f>IFERROR(__xludf.DUMMYFUNCTION("""COMPUTED_VALUE"""),3510104.0)</f>
        <v>3510104</v>
      </c>
      <c r="K1593" s="3" t="str">
        <f>IFERROR(__xludf.DUMMYFUNCTION("""COMPUTED_VALUE"""),"นายวิโรจน์ อับดุลสมัด")</f>
        <v>นายวิโรจน์ อับดุลสมัด</v>
      </c>
      <c r="L1593" s="1" t="str">
        <f>IFERROR(__xludf.DUMMYFUNCTION("""COMPUTED_VALUE"""),"09 K.Wirode A")</f>
        <v>09 K.Wirode A</v>
      </c>
      <c r="M1593" s="1" t="str">
        <f>IFERROR(__xludf.DUMMYFUNCTION("""COMPUTED_VALUE"""),"080-235-4465")</f>
        <v>080-235-4465</v>
      </c>
      <c r="N1593" s="3">
        <f>IFERROR(__xludf.DUMMYFUNCTION("""COMPUTED_VALUE"""),21324.0)</f>
        <v>21324</v>
      </c>
      <c r="O1593" s="3" t="str">
        <f>IFERROR(__xludf.DUMMYFUNCTION("""COMPUTED_VALUE"""),"MBC BCP สุวินทวงศ์")</f>
        <v>MBC BCP สุวินทวงศ์</v>
      </c>
      <c r="P1593" s="4">
        <f>IFERROR(__xludf.DUMMYFUNCTION("""COMPUTED_VALUE"""),44187.0)</f>
        <v>44187</v>
      </c>
      <c r="Q1593" s="3" t="str">
        <f>IFERROR(__xludf.DUMMYFUNCTION("""COMPUTED_VALUE"""),"A")</f>
        <v>A</v>
      </c>
      <c r="R1593" s="3" t="str">
        <f>IFERROR(__xludf.DUMMYFUNCTION("""COMPUTED_VALUE"""),"Small Format")</f>
        <v>Small Format</v>
      </c>
      <c r="S1593" s="3" t="str">
        <f>IFERROR(__xludf.DUMMYFUNCTION("""COMPUTED_VALUE"""),"BCM")</f>
        <v>BCM</v>
      </c>
      <c r="T1593" s="3" t="str">
        <f>IFERROR(__xludf.DUMMYFUNCTION("""COMPUTED_VALUE"""),"#N/A")</f>
        <v>#N/A</v>
      </c>
      <c r="U1593" s="3" t="str">
        <f>IFERROR(__xludf.DUMMYFUNCTION("""COMPUTED_VALUE"""),"#N/A")</f>
        <v>#N/A</v>
      </c>
      <c r="V1593" s="3" t="str">
        <f>IFERROR(__xludf.DUMMYFUNCTION("""COMPUTED_VALUE"""),"N")</f>
        <v>N</v>
      </c>
      <c r="W1593" s="3">
        <f>IFERROR(__xludf.DUMMYFUNCTION("""COMPUTED_VALUE"""),210268.0)</f>
        <v>210268</v>
      </c>
      <c r="X1593" s="3" t="str">
        <f>IFERROR(__xludf.DUMMYFUNCTION("""COMPUTED_VALUE"""),"422 ถนนลาดปลาเค้า แขวงจรเข้บัว เขตลาดพร้าว จังหวัดกรุงเทพมหานคร 10230")</f>
        <v>422 ถนนลาดปลาเค้า แขวงจรเข้บัว เขตลาดพร้าว จังหวัดกรุงเทพมหานคร 10230</v>
      </c>
      <c r="Y1593" s="3" t="str">
        <f>IFERROR(__xludf.DUMMYFUNCTION("""COMPUTED_VALUE"""),"ถนนลาดปลาเค้า")</f>
        <v>ถนนลาดปลาเค้า</v>
      </c>
      <c r="Z1593" s="3" t="str">
        <f>IFERROR(__xludf.DUMMYFUNCTION("""COMPUTED_VALUE"""),"จรเข้บัว")</f>
        <v>จรเข้บัว</v>
      </c>
      <c r="AA1593" s="3" t="str">
        <f>IFERROR(__xludf.DUMMYFUNCTION("""COMPUTED_VALUE"""),"ลาดพร้าว")</f>
        <v>ลาดพร้าว</v>
      </c>
      <c r="AB1593" s="3" t="str">
        <f>IFERROR(__xludf.DUMMYFUNCTION("""COMPUTED_VALUE"""),"กรุงเทพมหานคร")</f>
        <v>กรุงเทพมหานคร</v>
      </c>
      <c r="AC1593" s="3">
        <f>IFERROR(__xludf.DUMMYFUNCTION("""COMPUTED_VALUE"""),10230.0)</f>
        <v>10230</v>
      </c>
      <c r="AD1593" s="3">
        <f>IFERROR(__xludf.DUMMYFUNCTION("""COMPUTED_VALUE"""),13.84484)</f>
        <v>13.84484</v>
      </c>
      <c r="AE1593" s="3">
        <f>IFERROR(__xludf.DUMMYFUNCTION("""COMPUTED_VALUE"""),100.600425)</f>
        <v>100.600425</v>
      </c>
      <c r="AF1593" s="3" t="str">
        <f>IFERROR(__xludf.DUMMYFUNCTION("""COMPUTED_VALUE"""),"MBC ลาดปลาเค้า 44 กรุงเทพฯ-22278")</f>
        <v>MBC ลาดปลาเค้า 44 กรุงเทพฯ-22278</v>
      </c>
      <c r="AG1593" s="3" t="str">
        <f>IFERROR(__xludf.DUMMYFUNCTION("""COMPUTED_VALUE"""),"กลาง")</f>
        <v>กลาง</v>
      </c>
      <c r="AH1593" s="3" t="str">
        <f>IFERROR(__xludf.DUMMYFUNCTION("""COMPUTED_VALUE"""),"#N/A")</f>
        <v>#N/A</v>
      </c>
      <c r="AI1593" s="3" t="str">
        <f>IFERROR(__xludf.DUMMYFUNCTION("""COMPUTED_VALUE"""),"Out of warranty")</f>
        <v>Out of warranty</v>
      </c>
      <c r="AJ1593" s="3">
        <f>IFERROR(__xludf.DUMMYFUNCTION("""COMPUTED_VALUE"""),61.0)</f>
        <v>61</v>
      </c>
      <c r="AK1593" s="3" t="str">
        <f>IFERROR(__xludf.DUMMYFUNCTION("""COMPUTED_VALUE"""),"MMS01")</f>
        <v>MMS01</v>
      </c>
      <c r="AL1593" s="3"/>
    </row>
    <row r="1594" ht="15.75" customHeight="1">
      <c r="A1594" s="1" t="str">
        <f>IFERROR(__xludf.DUMMYFUNCTION("""COMPUTED_VALUE"""),"22279")</f>
        <v>22279</v>
      </c>
      <c r="B1594" s="2">
        <f>IFERROR(__xludf.DUMMYFUNCTION("""COMPUTED_VALUE"""),22279.0)</f>
        <v>22279</v>
      </c>
      <c r="C1594" s="3" t="str">
        <f>IFERROR(__xludf.DUMMYFUNCTION("""COMPUTED_VALUE"""),"MBC เทศบาลบางกรวย นนทบุรี")</f>
        <v>MBC เทศบาลบางกรวย นนทบุรี</v>
      </c>
      <c r="D1594" s="3" t="str">
        <f>IFERROR(__xludf.DUMMYFUNCTION("""COMPUTED_VALUE"""),"BCM THESABAN BANG KRUAI")</f>
        <v>BCM THESABAN BANG KRUAI</v>
      </c>
      <c r="E1594" s="1" t="str">
        <f>IFERROR(__xludf.DUMMYFUNCTION("""COMPUTED_VALUE"""),"บิ๊กซี MINI")</f>
        <v>บิ๊กซี MINI</v>
      </c>
      <c r="F1594" s="1" t="str">
        <f>IFERROR(__xludf.DUMMYFUNCTION("""COMPUTED_VALUE"""),"291008")</f>
        <v>291008</v>
      </c>
      <c r="G1594" s="1" t="str">
        <f>IFERROR(__xludf.DUMMYFUNCTION("""COMPUTED_VALUE"""),"น.ส.รัชดาพร อีศรัตน์")</f>
        <v>น.ส.รัชดาพร อีศรัตน์</v>
      </c>
      <c r="H1594" s="1" t="str">
        <f>IFERROR(__xludf.DUMMYFUNCTION("""COMPUTED_VALUE"""),"359054")</f>
        <v>359054</v>
      </c>
      <c r="I1594" s="1" t="str">
        <f>IFERROR(__xludf.DUMMYFUNCTION("""COMPUTED_VALUE"""),"น.ส.กรรณิการ์ พุทธวงค์")</f>
        <v>น.ส.กรรณิการ์ พุทธวงค์</v>
      </c>
      <c r="J1594" s="3">
        <f>IFERROR(__xludf.DUMMYFUNCTION("""COMPUTED_VALUE"""),296728.0)</f>
        <v>296728</v>
      </c>
      <c r="K1594" s="3" t="str">
        <f>IFERROR(__xludf.DUMMYFUNCTION("""COMPUTED_VALUE"""),"นายธิติ บัวทองรังสิมา")</f>
        <v>นายธิติ บัวทองรังสิมา</v>
      </c>
      <c r="L1594" s="1" t="str">
        <f>IFERROR(__xludf.DUMMYFUNCTION("""COMPUTED_VALUE"""),"นายธิติ บัวทองรังสิมา")</f>
        <v>นายธิติ บัวทองรังสิมา</v>
      </c>
      <c r="M1594" s="1" t="str">
        <f>IFERROR(__xludf.DUMMYFUNCTION("""COMPUTED_VALUE"""),"0920849994")</f>
        <v>0920849994</v>
      </c>
      <c r="N1594" s="3">
        <f>IFERROR(__xludf.DUMMYFUNCTION("""COMPUTED_VALUE"""),21012.0)</f>
        <v>21012</v>
      </c>
      <c r="O1594" s="3" t="str">
        <f>IFERROR(__xludf.DUMMYFUNCTION("""COMPUTED_VALUE"""),"MBC ท่าอิฐ")</f>
        <v>MBC ท่าอิฐ</v>
      </c>
      <c r="P1594" s="4">
        <f>IFERROR(__xludf.DUMMYFUNCTION("""COMPUTED_VALUE"""),44188.0)</f>
        <v>44188</v>
      </c>
      <c r="Q1594" s="3" t="str">
        <f>IFERROR(__xludf.DUMMYFUNCTION("""COMPUTED_VALUE"""),"I")</f>
        <v>I</v>
      </c>
      <c r="R1594" s="3" t="str">
        <f>IFERROR(__xludf.DUMMYFUNCTION("""COMPUTED_VALUE"""),"Small Format")</f>
        <v>Small Format</v>
      </c>
      <c r="S1594" s="3" t="str">
        <f>IFERROR(__xludf.DUMMYFUNCTION("""COMPUTED_VALUE"""),"BCM")</f>
        <v>BCM</v>
      </c>
      <c r="T1594" s="3" t="str">
        <f>IFERROR(__xludf.DUMMYFUNCTION("""COMPUTED_VALUE"""),"#N/A")</f>
        <v>#N/A</v>
      </c>
      <c r="U1594" s="3" t="str">
        <f>IFERROR(__xludf.DUMMYFUNCTION("""COMPUTED_VALUE"""),"#N/A")</f>
        <v>#N/A</v>
      </c>
      <c r="V1594" s="3" t="str">
        <f>IFERROR(__xludf.DUMMYFUNCTION("""COMPUTED_VALUE"""),"N")</f>
        <v>N</v>
      </c>
      <c r="W1594" s="3">
        <f>IFERROR(__xludf.DUMMYFUNCTION("""COMPUTED_VALUE"""),210309.0)</f>
        <v>210309</v>
      </c>
      <c r="X1594" s="3" t="str">
        <f>IFERROR(__xludf.DUMMYFUNCTION("""COMPUTED_VALUE"""),"99/2 หมู่3 ถนนบางกรวย-จงถนอม ตำบลวัดชลอ อำเภอบางกรวย จังหวัดนนทบุรี 11130")</f>
        <v>99/2 หมู่3 ถนนบางกรวย-จงถนอม ตำบลวัดชลอ อำเภอบางกรวย จังหวัดนนทบุรี 11130</v>
      </c>
      <c r="Y1594" s="3"/>
      <c r="Z1594" s="3" t="str">
        <f>IFERROR(__xludf.DUMMYFUNCTION("""COMPUTED_VALUE"""),"วัดชลอ")</f>
        <v>วัดชลอ</v>
      </c>
      <c r="AA1594" s="3" t="str">
        <f>IFERROR(__xludf.DUMMYFUNCTION("""COMPUTED_VALUE"""),"บางกรวย")</f>
        <v>บางกรวย</v>
      </c>
      <c r="AB1594" s="3" t="str">
        <f>IFERROR(__xludf.DUMMYFUNCTION("""COMPUTED_VALUE"""),"นนทบุรี")</f>
        <v>นนทบุรี</v>
      </c>
      <c r="AC1594" s="3">
        <f>IFERROR(__xludf.DUMMYFUNCTION("""COMPUTED_VALUE"""),11130.0)</f>
        <v>11130</v>
      </c>
      <c r="AD1594" s="3">
        <f>IFERROR(__xludf.DUMMYFUNCTION("""COMPUTED_VALUE"""),13.804137)</f>
        <v>13.804137</v>
      </c>
      <c r="AE1594" s="3">
        <f>IFERROR(__xludf.DUMMYFUNCTION("""COMPUTED_VALUE"""),100.47507)</f>
        <v>100.47507</v>
      </c>
      <c r="AF1594" s="3" t="str">
        <f>IFERROR(__xludf.DUMMYFUNCTION("""COMPUTED_VALUE"""),"MBC เทศบาลบางกรวย นนทบุรี-22279")</f>
        <v>MBC เทศบาลบางกรวย นนทบุรี-22279</v>
      </c>
      <c r="AG1594" s="3" t="str">
        <f>IFERROR(__xludf.DUMMYFUNCTION("""COMPUTED_VALUE"""),"กลาง")</f>
        <v>กลาง</v>
      </c>
      <c r="AH1594" s="3" t="str">
        <f>IFERROR(__xludf.DUMMYFUNCTION("""COMPUTED_VALUE"""),"#N/A")</f>
        <v>#N/A</v>
      </c>
      <c r="AI1594" s="3" t="str">
        <f>IFERROR(__xludf.DUMMYFUNCTION("""COMPUTED_VALUE"""),"Out of warranty")</f>
        <v>Out of warranty</v>
      </c>
      <c r="AJ1594" s="3">
        <f>IFERROR(__xludf.DUMMYFUNCTION("""COMPUTED_VALUE"""),61.0)</f>
        <v>61</v>
      </c>
      <c r="AK1594" s="3" t="str">
        <f>IFERROR(__xludf.DUMMYFUNCTION("""COMPUTED_VALUE"""),"MMS01")</f>
        <v>MMS01</v>
      </c>
      <c r="AL1594" s="3"/>
    </row>
    <row r="1595" ht="15.75" customHeight="1">
      <c r="A1595" s="1" t="str">
        <f>IFERROR(__xludf.DUMMYFUNCTION("""COMPUTED_VALUE"""),"22280")</f>
        <v>22280</v>
      </c>
      <c r="B1595" s="2">
        <f>IFERROR(__xludf.DUMMYFUNCTION("""COMPUTED_VALUE"""),22280.0)</f>
        <v>22280</v>
      </c>
      <c r="C1595" s="3" t="str">
        <f>IFERROR(__xludf.DUMMYFUNCTION("""COMPUTED_VALUE"""),"MBC อ.สะบ้าย้อย สงขลา")</f>
        <v>MBC อ.สะบ้าย้อย สงขลา</v>
      </c>
      <c r="D1595" s="3" t="str">
        <f>IFERROR(__xludf.DUMMYFUNCTION("""COMPUTED_VALUE"""),"BCM AMPHUR SABA YOI")</f>
        <v>BCM AMPHUR SABA YOI</v>
      </c>
      <c r="E1595" s="1" t="str">
        <f>IFERROR(__xludf.DUMMYFUNCTION("""COMPUTED_VALUE"""),"บิ๊กซี MINI")</f>
        <v>บิ๊กซี MINI</v>
      </c>
      <c r="F1595" s="1" t="str">
        <f>IFERROR(__xludf.DUMMYFUNCTION("""COMPUTED_VALUE"""),"250760")</f>
        <v>250760</v>
      </c>
      <c r="G1595" s="1" t="str">
        <f>IFERROR(__xludf.DUMMYFUNCTION("""COMPUTED_VALUE"""),"นายประทวน สาราบรรณ์")</f>
        <v>นายประทวน สาราบรรณ์</v>
      </c>
      <c r="H1595" s="1" t="str">
        <f>IFERROR(__xludf.DUMMYFUNCTION("""COMPUTED_VALUE"""),"394185")</f>
        <v>394185</v>
      </c>
      <c r="I1595" s="1" t="str">
        <f>IFERROR(__xludf.DUMMYFUNCTION("""COMPUTED_VALUE"""),"น.ส.ฐาปนี สุวรรณรัตน์")</f>
        <v>น.ส.ฐาปนี สุวรรณรัตน์</v>
      </c>
      <c r="J1595" s="3">
        <f>IFERROR(__xludf.DUMMYFUNCTION("""COMPUTED_VALUE"""),2.0470331E7)</f>
        <v>20470331</v>
      </c>
      <c r="K1595" s="3" t="str">
        <f>IFERROR(__xludf.DUMMYFUNCTION("""COMPUTED_VALUE"""),"นายสมชาย ลักษณะสุวรรณ")</f>
        <v>นายสมชาย ลักษณะสุวรรณ</v>
      </c>
      <c r="L1595" s="1" t="str">
        <f>IFERROR(__xludf.DUMMYFUNCTION("""COMPUTED_VALUE"""),"15 K.Somchai L")</f>
        <v>15 K.Somchai L</v>
      </c>
      <c r="M1595" s="1" t="str">
        <f>IFERROR(__xludf.DUMMYFUNCTION("""COMPUTED_VALUE"""),"0655107372")</f>
        <v>0655107372</v>
      </c>
      <c r="N1595" s="3">
        <f>IFERROR(__xludf.DUMMYFUNCTION("""COMPUTED_VALUE"""),21723.0)</f>
        <v>21723</v>
      </c>
      <c r="O1595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595" s="4">
        <f>IFERROR(__xludf.DUMMYFUNCTION("""COMPUTED_VALUE"""),44210.0)</f>
        <v>44210</v>
      </c>
      <c r="Q1595" s="3" t="str">
        <f>IFERROR(__xludf.DUMMYFUNCTION("""COMPUTED_VALUE"""),"A")</f>
        <v>A</v>
      </c>
      <c r="R1595" s="3" t="str">
        <f>IFERROR(__xludf.DUMMYFUNCTION("""COMPUTED_VALUE"""),"Small Format")</f>
        <v>Small Format</v>
      </c>
      <c r="S1595" s="3" t="str">
        <f>IFERROR(__xludf.DUMMYFUNCTION("""COMPUTED_VALUE"""),"BCM")</f>
        <v>BCM</v>
      </c>
      <c r="T1595" s="3" t="str">
        <f>IFERROR(__xludf.DUMMYFUNCTION("""COMPUTED_VALUE"""),"#N/A")</f>
        <v>#N/A</v>
      </c>
      <c r="U1595" s="3" t="str">
        <f>IFERROR(__xludf.DUMMYFUNCTION("""COMPUTED_VALUE"""),"#N/A")</f>
        <v>#N/A</v>
      </c>
      <c r="V1595" s="3" t="str">
        <f>IFERROR(__xludf.DUMMYFUNCTION("""COMPUTED_VALUE"""),"N")</f>
        <v>N</v>
      </c>
      <c r="W1595" s="3">
        <f>IFERROR(__xludf.DUMMYFUNCTION("""COMPUTED_VALUE"""),210318.0)</f>
        <v>210318</v>
      </c>
      <c r="X1595" s="3" t="str">
        <f>IFERROR(__xludf.DUMMYFUNCTION("""COMPUTED_VALUE"""),"1/2 ถนนลำไพ - สะบ้าย้อย 1 ตำบลสะบ้าย้อย อำเภอสะบ้าย้อย จังหวัดสงขลา 90210")</f>
        <v>1/2 ถนนลำไพ - สะบ้าย้อย 1 ตำบลสะบ้าย้อย อำเภอสะบ้าย้อย จังหวัดสงขลา 90210</v>
      </c>
      <c r="Y1595" s="3"/>
      <c r="Z1595" s="3" t="str">
        <f>IFERROR(__xludf.DUMMYFUNCTION("""COMPUTED_VALUE"""),"สะบ้าย้อย")</f>
        <v>สะบ้าย้อย</v>
      </c>
      <c r="AA1595" s="3" t="str">
        <f>IFERROR(__xludf.DUMMYFUNCTION("""COMPUTED_VALUE"""),"สะบ้าย้อย")</f>
        <v>สะบ้าย้อย</v>
      </c>
      <c r="AB1595" s="3" t="str">
        <f>IFERROR(__xludf.DUMMYFUNCTION("""COMPUTED_VALUE"""),"สงขลา")</f>
        <v>สงขลา</v>
      </c>
      <c r="AC1595" s="3">
        <f>IFERROR(__xludf.DUMMYFUNCTION("""COMPUTED_VALUE"""),90210.0)</f>
        <v>90210</v>
      </c>
      <c r="AD1595" s="3">
        <f>IFERROR(__xludf.DUMMYFUNCTION("""COMPUTED_VALUE"""),6.621167)</f>
        <v>6.621167</v>
      </c>
      <c r="AE1595" s="3">
        <f>IFERROR(__xludf.DUMMYFUNCTION("""COMPUTED_VALUE"""),100.947947)</f>
        <v>100.947947</v>
      </c>
      <c r="AF1595" s="3" t="str">
        <f>IFERROR(__xludf.DUMMYFUNCTION("""COMPUTED_VALUE"""),"MBC อ.สะบ้าย้อย สงขลา-22280")</f>
        <v>MBC อ.สะบ้าย้อย สงขลา-22280</v>
      </c>
      <c r="AG1595" s="3" t="str">
        <f>IFERROR(__xludf.DUMMYFUNCTION("""COMPUTED_VALUE"""),"ใต้")</f>
        <v>ใต้</v>
      </c>
      <c r="AH1595" s="3" t="str">
        <f>IFERROR(__xludf.DUMMYFUNCTION("""COMPUTED_VALUE"""),"#N/A")</f>
        <v>#N/A</v>
      </c>
      <c r="AI1595" s="3" t="str">
        <f>IFERROR(__xludf.DUMMYFUNCTION("""COMPUTED_VALUE"""),"Out of warranty")</f>
        <v>Out of warranty</v>
      </c>
      <c r="AJ1595" s="3">
        <f>IFERROR(__xludf.DUMMYFUNCTION("""COMPUTED_VALUE"""),61.0)</f>
        <v>61</v>
      </c>
      <c r="AK1595" s="3" t="str">
        <f>IFERROR(__xludf.DUMMYFUNCTION("""COMPUTED_VALUE"""),"MMS16")</f>
        <v>MMS16</v>
      </c>
      <c r="AL1595" s="3"/>
    </row>
    <row r="1596" ht="15.75" customHeight="1">
      <c r="A1596" s="1" t="str">
        <f>IFERROR(__xludf.DUMMYFUNCTION("""COMPUTED_VALUE"""),"22281")</f>
        <v>22281</v>
      </c>
      <c r="B1596" s="2">
        <f>IFERROR(__xludf.DUMMYFUNCTION("""COMPUTED_VALUE"""),22281.0)</f>
        <v>22281</v>
      </c>
      <c r="C1596" s="3" t="str">
        <f>IFERROR(__xludf.DUMMYFUNCTION("""COMPUTED_VALUE"""),"MBC เลียบคองเทพกาญจนา สมุทรสาคร")</f>
        <v>MBC เลียบคองเทพกาญจนา สมุทรสาคร</v>
      </c>
      <c r="D1596" s="3" t="str">
        <f>IFERROR(__xludf.DUMMYFUNCTION("""COMPUTED_VALUE"""),"BCM LIAP KHLONG THEP KANCHANA")</f>
        <v>BCM LIAP KHLONG THEP KANCHANA</v>
      </c>
      <c r="E1596" s="1" t="str">
        <f>IFERROR(__xludf.DUMMYFUNCTION("""COMPUTED_VALUE"""),"บิ๊กซี MINI")</f>
        <v>บิ๊กซี MINI</v>
      </c>
      <c r="F1596" s="1" t="str">
        <f>IFERROR(__xludf.DUMMYFUNCTION("""COMPUTED_VALUE"""),"2083447")</f>
        <v>2083447</v>
      </c>
      <c r="G1596" s="1" t="str">
        <f>IFERROR(__xludf.DUMMYFUNCTION("""COMPUTED_VALUE"""),"นายอนุกูล ศรีลัดดา")</f>
        <v>นายอนุกูล ศรีลัดดา</v>
      </c>
      <c r="H1596" s="1" t="str">
        <f>IFERROR(__xludf.DUMMYFUNCTION("""COMPUTED_VALUE"""),"2455053")</f>
        <v>2455053</v>
      </c>
      <c r="I1596" s="1" t="str">
        <f>IFERROR(__xludf.DUMMYFUNCTION("""COMPUTED_VALUE"""),"นายพันธมิตร โพธิ")</f>
        <v>นายพันธมิตร โพธิ</v>
      </c>
      <c r="J1596" s="3">
        <f>IFERROR(__xludf.DUMMYFUNCTION("""COMPUTED_VALUE"""),2451655.0)</f>
        <v>2451655</v>
      </c>
      <c r="K1596" s="3" t="str">
        <f>IFERROR(__xludf.DUMMYFUNCTION("""COMPUTED_VALUE"""),"นายวิษณุพงษ์ ชินบุตร")</f>
        <v>นายวิษณุพงษ์ ชินบุตร</v>
      </c>
      <c r="L1596" s="1" t="str">
        <f>IFERROR(__xludf.DUMMYFUNCTION("""COMPUTED_VALUE"""),"13 K.Wisanupong Ch")</f>
        <v>13 K.Wisanupong Ch</v>
      </c>
      <c r="M1596" s="1" t="str">
        <f>IFERROR(__xludf.DUMMYFUNCTION("""COMPUTED_VALUE"""),"0843374693")</f>
        <v>0843374693</v>
      </c>
      <c r="N1596" s="3">
        <f>IFERROR(__xludf.DUMMYFUNCTION("""COMPUTED_VALUE"""),22729.0)</f>
        <v>22729</v>
      </c>
      <c r="O1596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596" s="4">
        <f>IFERROR(__xludf.DUMMYFUNCTION("""COMPUTED_VALUE"""),44189.0)</f>
        <v>44189</v>
      </c>
      <c r="Q1596" s="3" t="str">
        <f>IFERROR(__xludf.DUMMYFUNCTION("""COMPUTED_VALUE"""),"A")</f>
        <v>A</v>
      </c>
      <c r="R1596" s="3" t="str">
        <f>IFERROR(__xludf.DUMMYFUNCTION("""COMPUTED_VALUE"""),"Small Format")</f>
        <v>Small Format</v>
      </c>
      <c r="S1596" s="3" t="str">
        <f>IFERROR(__xludf.DUMMYFUNCTION("""COMPUTED_VALUE"""),"BCM")</f>
        <v>BCM</v>
      </c>
      <c r="T1596" s="3" t="str">
        <f>IFERROR(__xludf.DUMMYFUNCTION("""COMPUTED_VALUE"""),"#N/A")</f>
        <v>#N/A</v>
      </c>
      <c r="U1596" s="3" t="str">
        <f>IFERROR(__xludf.DUMMYFUNCTION("""COMPUTED_VALUE"""),"#N/A")</f>
        <v>#N/A</v>
      </c>
      <c r="V1596" s="3" t="str">
        <f>IFERROR(__xludf.DUMMYFUNCTION("""COMPUTED_VALUE"""),"N")</f>
        <v>N</v>
      </c>
      <c r="W1596" s="3">
        <f>IFERROR(__xludf.DUMMYFUNCTION("""COMPUTED_VALUE"""),210319.0)</f>
        <v>210319</v>
      </c>
      <c r="X1596" s="3" t="str">
        <f>IFERROR(__xludf.DUMMYFUNCTION("""COMPUTED_VALUE"""),"14/50 หมู่5 ตำบลคอกกระบือ อำเภอเมืองสมุทรสาคร จังหวัดสมุทรสาคร 74000")</f>
        <v>14/50 หมู่5 ตำบลคอกกระบือ อำเภอเมืองสมุทรสาคร จังหวัดสมุทรสาคร 74000</v>
      </c>
      <c r="Y1596" s="3"/>
      <c r="Z1596" s="3" t="str">
        <f>IFERROR(__xludf.DUMMYFUNCTION("""COMPUTED_VALUE"""),"คอกกระบือ")</f>
        <v>คอกกระบือ</v>
      </c>
      <c r="AA1596" s="3" t="str">
        <f>IFERROR(__xludf.DUMMYFUNCTION("""COMPUTED_VALUE"""),"เมือง")</f>
        <v>เมือง</v>
      </c>
      <c r="AB1596" s="3" t="str">
        <f>IFERROR(__xludf.DUMMYFUNCTION("""COMPUTED_VALUE"""),"สมุทรสาคร")</f>
        <v>สมุทรสาคร</v>
      </c>
      <c r="AC1596" s="3">
        <f>IFERROR(__xludf.DUMMYFUNCTION("""COMPUTED_VALUE"""),74000.0)</f>
        <v>74000</v>
      </c>
      <c r="AD1596" s="3">
        <f>IFERROR(__xludf.DUMMYFUNCTION("""COMPUTED_VALUE"""),13.606023)</f>
        <v>13.606023</v>
      </c>
      <c r="AE1596" s="3">
        <f>IFERROR(__xludf.DUMMYFUNCTION("""COMPUTED_VALUE"""),100.325177)</f>
        <v>100.325177</v>
      </c>
      <c r="AF1596" s="3" t="str">
        <f>IFERROR(__xludf.DUMMYFUNCTION("""COMPUTED_VALUE"""),"MBC เลียบคองเทพกาญจนา สมุทรสาคร-22281")</f>
        <v>MBC เลียบคองเทพกาญจนา สมุทรสาคร-22281</v>
      </c>
      <c r="AG1596" s="3" t="str">
        <f>IFERROR(__xludf.DUMMYFUNCTION("""COMPUTED_VALUE"""),"กลาง")</f>
        <v>กลาง</v>
      </c>
      <c r="AH1596" s="3" t="str">
        <f>IFERROR(__xludf.DUMMYFUNCTION("""COMPUTED_VALUE"""),"#N/A")</f>
        <v>#N/A</v>
      </c>
      <c r="AI1596" s="3" t="str">
        <f>IFERROR(__xludf.DUMMYFUNCTION("""COMPUTED_VALUE"""),"Out of warranty")</f>
        <v>Out of warranty</v>
      </c>
      <c r="AJ1596" s="3">
        <f>IFERROR(__xludf.DUMMYFUNCTION("""COMPUTED_VALUE"""),61.0)</f>
        <v>61</v>
      </c>
      <c r="AK1596" s="3" t="str">
        <f>IFERROR(__xludf.DUMMYFUNCTION("""COMPUTED_VALUE"""),"MMS05")</f>
        <v>MMS05</v>
      </c>
      <c r="AL1596" s="3"/>
    </row>
    <row r="1597" ht="15.75" customHeight="1">
      <c r="A1597" s="1" t="str">
        <f>IFERROR(__xludf.DUMMYFUNCTION("""COMPUTED_VALUE"""),"22282")</f>
        <v>22282</v>
      </c>
      <c r="B1597" s="2">
        <f>IFERROR(__xludf.DUMMYFUNCTION("""COMPUTED_VALUE"""),22282.0)</f>
        <v>22282</v>
      </c>
      <c r="C1597" s="3" t="str">
        <f>IFERROR(__xludf.DUMMYFUNCTION("""COMPUTED_VALUE"""),"MBC จตุรพักตรพิมาน ร้อยเอ็ด")</f>
        <v>MBC จตุรพักตรพิมาน ร้อยเอ็ด</v>
      </c>
      <c r="D1597" s="3" t="str">
        <f>IFERROR(__xludf.DUMMYFUNCTION("""COMPUTED_VALUE"""),"BCM CHATURAPHAK PHIMAN")</f>
        <v>BCM CHATURAPHAK PHIMAN</v>
      </c>
      <c r="E1597" s="1" t="str">
        <f>IFERROR(__xludf.DUMMYFUNCTION("""COMPUTED_VALUE"""),"บิ๊กซี MINI")</f>
        <v>บิ๊กซี MINI</v>
      </c>
      <c r="F1597" s="1" t="str">
        <f>IFERROR(__xludf.DUMMYFUNCTION("""COMPUTED_VALUE"""),"291105")</f>
        <v>291105</v>
      </c>
      <c r="G1597" s="1" t="str">
        <f>IFERROR(__xludf.DUMMYFUNCTION("""COMPUTED_VALUE"""),"นายสราวุฒิ พณิชยกุล")</f>
        <v>นายสราวุฒิ พณิชยกุล</v>
      </c>
      <c r="H1597" s="1" t="str">
        <f>IFERROR(__xludf.DUMMYFUNCTION("""COMPUTED_VALUE"""),"398136")</f>
        <v>398136</v>
      </c>
      <c r="I1597" s="1" t="str">
        <f>IFERROR(__xludf.DUMMYFUNCTION("""COMPUTED_VALUE"""),"นายประยูร ธาดาวงษา")</f>
        <v>นายประยูร ธาดาวงษา</v>
      </c>
      <c r="J1597" s="3">
        <f>IFERROR(__xludf.DUMMYFUNCTION("""COMPUTED_VALUE"""),15361.0)</f>
        <v>15361</v>
      </c>
      <c r="K1597" s="3" t="str">
        <f>IFERROR(__xludf.DUMMYFUNCTION("""COMPUTED_VALUE"""),"นายสมบูรณ์ พรหมในเมือง")</f>
        <v>นายสมบูรณ์ พรหมในเมือง</v>
      </c>
      <c r="L1597" s="3" t="str">
        <f>IFERROR(__xludf.DUMMYFUNCTION("""COMPUTED_VALUE"""),"04 K.Somboon P.")</f>
        <v>04 K.Somboon P.</v>
      </c>
      <c r="M1597" s="1" t="str">
        <f>IFERROR(__xludf.DUMMYFUNCTION("""COMPUTED_VALUE"""),"087-965-3051")</f>
        <v>087-965-3051</v>
      </c>
      <c r="N1597" s="3">
        <f>IFERROR(__xludf.DUMMYFUNCTION("""COMPUTED_VALUE"""),21869.0)</f>
        <v>21869</v>
      </c>
      <c r="O1597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597" s="4">
        <f>IFERROR(__xludf.DUMMYFUNCTION("""COMPUTED_VALUE"""),44181.0)</f>
        <v>44181</v>
      </c>
      <c r="Q1597" s="3" t="str">
        <f>IFERROR(__xludf.DUMMYFUNCTION("""COMPUTED_VALUE"""),"A")</f>
        <v>A</v>
      </c>
      <c r="R1597" s="3" t="str">
        <f>IFERROR(__xludf.DUMMYFUNCTION("""COMPUTED_VALUE"""),"Small Format")</f>
        <v>Small Format</v>
      </c>
      <c r="S1597" s="3" t="str">
        <f>IFERROR(__xludf.DUMMYFUNCTION("""COMPUTED_VALUE"""),"BCM")</f>
        <v>BCM</v>
      </c>
      <c r="T1597" s="3" t="str">
        <f>IFERROR(__xludf.DUMMYFUNCTION("""COMPUTED_VALUE"""),"#N/A")</f>
        <v>#N/A</v>
      </c>
      <c r="U1597" s="3" t="str">
        <f>IFERROR(__xludf.DUMMYFUNCTION("""COMPUTED_VALUE"""),"#N/A")</f>
        <v>#N/A</v>
      </c>
      <c r="V1597" s="3" t="str">
        <f>IFERROR(__xludf.DUMMYFUNCTION("""COMPUTED_VALUE"""),"N")</f>
        <v>N</v>
      </c>
      <c r="W1597" s="3">
        <f>IFERROR(__xludf.DUMMYFUNCTION("""COMPUTED_VALUE"""),210304.0)</f>
        <v>210304</v>
      </c>
      <c r="X1597" s="3" t="str">
        <f>IFERROR(__xludf.DUMMYFUNCTION("""COMPUTED_VALUE"""),"342 หมู่1 ตำบลหัวช้าง อำเภอจตุรพักตรพิมาน จังหวัดร้อยเอ็ด 45180")</f>
        <v>342 หมู่1 ตำบลหัวช้าง อำเภอจตุรพักตรพิมาน จังหวัดร้อยเอ็ด 45180</v>
      </c>
      <c r="Y1597" s="3"/>
      <c r="Z1597" s="3" t="str">
        <f>IFERROR(__xludf.DUMMYFUNCTION("""COMPUTED_VALUE"""),"หัวช้าง")</f>
        <v>หัวช้าง</v>
      </c>
      <c r="AA1597" s="3" t="str">
        <f>IFERROR(__xludf.DUMMYFUNCTION("""COMPUTED_VALUE"""),"จตุรพักตรพิมาน")</f>
        <v>จตุรพักตรพิมาน</v>
      </c>
      <c r="AB1597" s="3" t="str">
        <f>IFERROR(__xludf.DUMMYFUNCTION("""COMPUTED_VALUE"""),"ร้อยเอ็ด")</f>
        <v>ร้อยเอ็ด</v>
      </c>
      <c r="AC1597" s="3">
        <f>IFERROR(__xludf.DUMMYFUNCTION("""COMPUTED_VALUE"""),45180.0)</f>
        <v>45180</v>
      </c>
      <c r="AD1597" s="3">
        <f>IFERROR(__xludf.DUMMYFUNCTION("""COMPUTED_VALUE"""),15.843595)</f>
        <v>15.843595</v>
      </c>
      <c r="AE1597" s="3">
        <f>IFERROR(__xludf.DUMMYFUNCTION("""COMPUTED_VALUE"""),103.555933)</f>
        <v>103.555933</v>
      </c>
      <c r="AF1597" s="3" t="str">
        <f>IFERROR(__xludf.DUMMYFUNCTION("""COMPUTED_VALUE"""),"MBC จตุรพักตรพิมาน ร้อยเอ็ด-22282")</f>
        <v>MBC จตุรพักตรพิมาน ร้อยเอ็ด-22282</v>
      </c>
      <c r="AG1597" s="3" t="str">
        <f>IFERROR(__xludf.DUMMYFUNCTION("""COMPUTED_VALUE"""),"ตะวันออกเฉียงเหนือ")</f>
        <v>ตะวันออกเฉียงเหนือ</v>
      </c>
      <c r="AH1597" s="3" t="str">
        <f>IFERROR(__xludf.DUMMYFUNCTION("""COMPUTED_VALUE"""),"#N/A")</f>
        <v>#N/A</v>
      </c>
      <c r="AI1597" s="3" t="str">
        <f>IFERROR(__xludf.DUMMYFUNCTION("""COMPUTED_VALUE"""),"Out of warranty")</f>
        <v>Out of warranty</v>
      </c>
      <c r="AJ1597" s="3">
        <f>IFERROR(__xludf.DUMMYFUNCTION("""COMPUTED_VALUE"""),62.0)</f>
        <v>62</v>
      </c>
      <c r="AK1597" s="3" t="str">
        <f>IFERROR(__xludf.DUMMYFUNCTION("""COMPUTED_VALUE"""),"MMS13")</f>
        <v>MMS13</v>
      </c>
      <c r="AL1597" s="3"/>
    </row>
    <row r="1598" ht="15.75" customHeight="1">
      <c r="A1598" s="1" t="str">
        <f>IFERROR(__xludf.DUMMYFUNCTION("""COMPUTED_VALUE"""),"22283")</f>
        <v>22283</v>
      </c>
      <c r="B1598" s="2">
        <f>IFERROR(__xludf.DUMMYFUNCTION("""COMPUTED_VALUE"""),22283.0)</f>
        <v>22283</v>
      </c>
      <c r="C1598" s="3" t="str">
        <f>IFERROR(__xludf.DUMMYFUNCTION("""COMPUTED_VALUE"""),"MBC อ.ท้ายเหมือง พังงา")</f>
        <v>MBC อ.ท้ายเหมือง พังงา</v>
      </c>
      <c r="D1598" s="3" t="str">
        <f>IFERROR(__xludf.DUMMYFUNCTION("""COMPUTED_VALUE"""),"BCM AMPHOE THAIMUANG")</f>
        <v>BCM AMPHOE THAIMUANG</v>
      </c>
      <c r="E1598" s="1" t="str">
        <f>IFERROR(__xludf.DUMMYFUNCTION("""COMPUTED_VALUE"""),"บิ๊กซี MINI")</f>
        <v>บิ๊กซี MINI</v>
      </c>
      <c r="F1598" s="1" t="str">
        <f>IFERROR(__xludf.DUMMYFUNCTION("""COMPUTED_VALUE"""),"250760")</f>
        <v>250760</v>
      </c>
      <c r="G1598" s="1" t="str">
        <f>IFERROR(__xludf.DUMMYFUNCTION("""COMPUTED_VALUE"""),"นายประทวน สาราบรรณ์")</f>
        <v>นายประทวน สาราบรรณ์</v>
      </c>
      <c r="H1598" s="1" t="str">
        <f>IFERROR(__xludf.DUMMYFUNCTION("""COMPUTED_VALUE"""),"394143")</f>
        <v>394143</v>
      </c>
      <c r="I1598" s="1" t="str">
        <f>IFERROR(__xludf.DUMMYFUNCTION("""COMPUTED_VALUE"""),"นายวิษณุ เพชรหัตถ์")</f>
        <v>นายวิษณุ เพชรหัตถ์</v>
      </c>
      <c r="J1598" s="3">
        <f>IFERROR(__xludf.DUMMYFUNCTION("""COMPUTED_VALUE"""),2.0470331E7)</f>
        <v>20470331</v>
      </c>
      <c r="K1598" s="3" t="str">
        <f>IFERROR(__xludf.DUMMYFUNCTION("""COMPUTED_VALUE"""),"นายสมชาย ลักษณะสุวรรณ")</f>
        <v>นายสมชาย ลักษณะสุวรรณ</v>
      </c>
      <c r="L1598" s="1" t="str">
        <f>IFERROR(__xludf.DUMMYFUNCTION("""COMPUTED_VALUE"""),"15 K.Somchai L")</f>
        <v>15 K.Somchai L</v>
      </c>
      <c r="M1598" s="1" t="str">
        <f>IFERROR(__xludf.DUMMYFUNCTION("""COMPUTED_VALUE"""),"0655107372")</f>
        <v>0655107372</v>
      </c>
      <c r="N1598" s="3">
        <f>IFERROR(__xludf.DUMMYFUNCTION("""COMPUTED_VALUE"""),21723.0)</f>
        <v>21723</v>
      </c>
      <c r="O1598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598" s="4">
        <f>IFERROR(__xludf.DUMMYFUNCTION("""COMPUTED_VALUE"""),44234.0)</f>
        <v>44234</v>
      </c>
      <c r="Q1598" s="3" t="str">
        <f>IFERROR(__xludf.DUMMYFUNCTION("""COMPUTED_VALUE"""),"A")</f>
        <v>A</v>
      </c>
      <c r="R1598" s="3" t="str">
        <f>IFERROR(__xludf.DUMMYFUNCTION("""COMPUTED_VALUE"""),"Small Format")</f>
        <v>Small Format</v>
      </c>
      <c r="S1598" s="3" t="str">
        <f>IFERROR(__xludf.DUMMYFUNCTION("""COMPUTED_VALUE"""),"BCM")</f>
        <v>BCM</v>
      </c>
      <c r="T1598" s="3" t="str">
        <f>IFERROR(__xludf.DUMMYFUNCTION("""COMPUTED_VALUE"""),"#N/A")</f>
        <v>#N/A</v>
      </c>
      <c r="U1598" s="3" t="str">
        <f>IFERROR(__xludf.DUMMYFUNCTION("""COMPUTED_VALUE"""),"#N/A")</f>
        <v>#N/A</v>
      </c>
      <c r="V1598" s="3" t="str">
        <f>IFERROR(__xludf.DUMMYFUNCTION("""COMPUTED_VALUE"""),"N")</f>
        <v>N</v>
      </c>
      <c r="W1598" s="3">
        <f>IFERROR(__xludf.DUMMYFUNCTION("""COMPUTED_VALUE"""),210302.0)</f>
        <v>210302</v>
      </c>
      <c r="X1598" s="3" t="str">
        <f>IFERROR(__xludf.DUMMYFUNCTION("""COMPUTED_VALUE"""),"18/6 หมู่4 ถนนเพชรเกษม (ฝั่งขวา) ตำบลท้ายเหมือง อำเภอท้ายเหมือง จังหวัดพังงา 82120")</f>
        <v>18/6 หมู่4 ถนนเพชรเกษม (ฝั่งขวา) ตำบลท้ายเหมือง อำเภอท้ายเหมือง จังหวัดพังงา 82120</v>
      </c>
      <c r="Y1598" s="3" t="str">
        <f>IFERROR(__xludf.DUMMYFUNCTION("""COMPUTED_VALUE"""),"เพชรเกษม(ฝั่งขวา)")</f>
        <v>เพชรเกษม(ฝั่งขวา)</v>
      </c>
      <c r="Z1598" s="3" t="str">
        <f>IFERROR(__xludf.DUMMYFUNCTION("""COMPUTED_VALUE"""),"ท้ายเหมือง")</f>
        <v>ท้ายเหมือง</v>
      </c>
      <c r="AA1598" s="3" t="str">
        <f>IFERROR(__xludf.DUMMYFUNCTION("""COMPUTED_VALUE"""),"ท้ายเหมือง")</f>
        <v>ท้ายเหมือง</v>
      </c>
      <c r="AB1598" s="3" t="str">
        <f>IFERROR(__xludf.DUMMYFUNCTION("""COMPUTED_VALUE"""),"พังงา")</f>
        <v>พังงา</v>
      </c>
      <c r="AC1598" s="3">
        <f>IFERROR(__xludf.DUMMYFUNCTION("""COMPUTED_VALUE"""),82120.0)</f>
        <v>82120</v>
      </c>
      <c r="AD1598" s="3">
        <f>IFERROR(__xludf.DUMMYFUNCTION("""COMPUTED_VALUE"""),8.391848)</f>
        <v>8.391848</v>
      </c>
      <c r="AE1598" s="3">
        <f>IFERROR(__xludf.DUMMYFUNCTION("""COMPUTED_VALUE"""),98.262893)</f>
        <v>98.262893</v>
      </c>
      <c r="AF1598" s="3" t="str">
        <f>IFERROR(__xludf.DUMMYFUNCTION("""COMPUTED_VALUE"""),"MBC อ.ท้ายเหมือง พังงา-22283")</f>
        <v>MBC อ.ท้ายเหมือง พังงา-22283</v>
      </c>
      <c r="AG1598" s="3" t="str">
        <f>IFERROR(__xludf.DUMMYFUNCTION("""COMPUTED_VALUE"""),"ใต้")</f>
        <v>ใต้</v>
      </c>
      <c r="AH1598" s="3" t="str">
        <f>IFERROR(__xludf.DUMMYFUNCTION("""COMPUTED_VALUE"""),"#N/A")</f>
        <v>#N/A</v>
      </c>
      <c r="AI1598" s="3" t="str">
        <f>IFERROR(__xludf.DUMMYFUNCTION("""COMPUTED_VALUE"""),"Out of warranty")</f>
        <v>Out of warranty</v>
      </c>
      <c r="AJ1598" s="3">
        <f>IFERROR(__xludf.DUMMYFUNCTION("""COMPUTED_VALUE"""),60.0)</f>
        <v>60</v>
      </c>
      <c r="AK1598" s="3" t="str">
        <f>IFERROR(__xludf.DUMMYFUNCTION("""COMPUTED_VALUE"""),"MMS15")</f>
        <v>MMS15</v>
      </c>
      <c r="AL1598" s="3"/>
    </row>
    <row r="1599" ht="15.75" customHeight="1">
      <c r="A1599" s="1" t="str">
        <f>IFERROR(__xludf.DUMMYFUNCTION("""COMPUTED_VALUE"""),"22284")</f>
        <v>22284</v>
      </c>
      <c r="B1599" s="2">
        <f>IFERROR(__xludf.DUMMYFUNCTION("""COMPUTED_VALUE"""),22284.0)</f>
        <v>22284</v>
      </c>
      <c r="C1599" s="3" t="str">
        <f>IFERROR(__xludf.DUMMYFUNCTION("""COMPUTED_VALUE"""),"MBC ไทรน้อย-ต้นเชือก นนทบุรี")</f>
        <v>MBC ไทรน้อย-ต้นเชือก นนทบุรี</v>
      </c>
      <c r="D1599" s="3" t="str">
        <f>IFERROR(__xludf.DUMMYFUNCTION("""COMPUTED_VALUE"""),"BCM SOI NOI-TON CHUEAK")</f>
        <v>BCM SOI NOI-TON CHUEAK</v>
      </c>
      <c r="E1599" s="1" t="str">
        <f>IFERROR(__xludf.DUMMYFUNCTION("""COMPUTED_VALUE"""),"บิ๊กซี MINI")</f>
        <v>บิ๊กซี MINI</v>
      </c>
      <c r="F1599" s="1" t="str">
        <f>IFERROR(__xludf.DUMMYFUNCTION("""COMPUTED_VALUE"""),"291008")</f>
        <v>291008</v>
      </c>
      <c r="G1599" s="1" t="str">
        <f>IFERROR(__xludf.DUMMYFUNCTION("""COMPUTED_VALUE"""),"น.ส.รัชดาพร อีศรัตน์")</f>
        <v>น.ส.รัชดาพร อีศรัตน์</v>
      </c>
      <c r="H1599" s="1" t="str">
        <f>IFERROR(__xludf.DUMMYFUNCTION("""COMPUTED_VALUE"""),"180055")</f>
        <v>180055</v>
      </c>
      <c r="I1599" s="1" t="str">
        <f>IFERROR(__xludf.DUMMYFUNCTION("""COMPUTED_VALUE"""),"น.ส.สุดารัตน์ บุญล้ำ")</f>
        <v>น.ส.สุดารัตน์ บุญล้ำ</v>
      </c>
      <c r="J1599" s="3">
        <f>IFERROR(__xludf.DUMMYFUNCTION("""COMPUTED_VALUE"""),296608.0)</f>
        <v>296608</v>
      </c>
      <c r="K1599" s="3" t="str">
        <f>IFERROR(__xludf.DUMMYFUNCTION("""COMPUTED_VALUE"""),"นายภาคภูมิ เพ็ชรนิล")</f>
        <v>นายภาคภูมิ เพ็ชรนิล</v>
      </c>
      <c r="L1599" s="3" t="str">
        <f>IFERROR(__xludf.DUMMYFUNCTION("""COMPUTED_VALUE"""),"10 K.Phakphoom P.")</f>
        <v>10 K.Phakphoom P.</v>
      </c>
      <c r="M1599" s="1" t="str">
        <f>IFERROR(__xludf.DUMMYFUNCTION("""COMPUTED_VALUE"""),"063-8955329")</f>
        <v>063-8955329</v>
      </c>
      <c r="N1599" s="3">
        <f>IFERROR(__xludf.DUMMYFUNCTION("""COMPUTED_VALUE"""),22584.0)</f>
        <v>22584</v>
      </c>
      <c r="O1599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599" s="4">
        <f>IFERROR(__xludf.DUMMYFUNCTION("""COMPUTED_VALUE"""),44207.0)</f>
        <v>44207</v>
      </c>
      <c r="Q1599" s="3" t="str">
        <f>IFERROR(__xludf.DUMMYFUNCTION("""COMPUTED_VALUE"""),"A")</f>
        <v>A</v>
      </c>
      <c r="R1599" s="3" t="str">
        <f>IFERROR(__xludf.DUMMYFUNCTION("""COMPUTED_VALUE"""),"Small Format")</f>
        <v>Small Format</v>
      </c>
      <c r="S1599" s="3" t="str">
        <f>IFERROR(__xludf.DUMMYFUNCTION("""COMPUTED_VALUE"""),"BCM")</f>
        <v>BCM</v>
      </c>
      <c r="T1599" s="3" t="str">
        <f>IFERROR(__xludf.DUMMYFUNCTION("""COMPUTED_VALUE"""),"#N/A")</f>
        <v>#N/A</v>
      </c>
      <c r="U1599" s="3" t="str">
        <f>IFERROR(__xludf.DUMMYFUNCTION("""COMPUTED_VALUE"""),"#N/A")</f>
        <v>#N/A</v>
      </c>
      <c r="V1599" s="3" t="str">
        <f>IFERROR(__xludf.DUMMYFUNCTION("""COMPUTED_VALUE"""),"N")</f>
        <v>N</v>
      </c>
      <c r="W1599" s="3">
        <f>IFERROR(__xludf.DUMMYFUNCTION("""COMPUTED_VALUE"""),210329.0)</f>
        <v>210329</v>
      </c>
      <c r="X1599" s="3" t="str">
        <f>IFERROR(__xludf.DUMMYFUNCTION("""COMPUTED_VALUE"""),"84/10 หมู่6 ตำบลหนองเพรางาย อำเภอไทรน้อย จังหวัดนนทบุรี 11150")</f>
        <v>84/10 หมู่6 ตำบลหนองเพรางาย อำเภอไทรน้อย จังหวัดนนทบุรี 11150</v>
      </c>
      <c r="Y1599" s="3"/>
      <c r="Z1599" s="3" t="str">
        <f>IFERROR(__xludf.DUMMYFUNCTION("""COMPUTED_VALUE"""),"หนองเพรางาย")</f>
        <v>หนองเพรางาย</v>
      </c>
      <c r="AA1599" s="3" t="str">
        <f>IFERROR(__xludf.DUMMYFUNCTION("""COMPUTED_VALUE"""),"ไทรน้อย")</f>
        <v>ไทรน้อย</v>
      </c>
      <c r="AB1599" s="3" t="str">
        <f>IFERROR(__xludf.DUMMYFUNCTION("""COMPUTED_VALUE"""),"นนทบุรี")</f>
        <v>นนทบุรี</v>
      </c>
      <c r="AC1599" s="3">
        <f>IFERROR(__xludf.DUMMYFUNCTION("""COMPUTED_VALUE"""),11150.0)</f>
        <v>11150</v>
      </c>
      <c r="AD1599" s="3">
        <f>IFERROR(__xludf.DUMMYFUNCTION("""COMPUTED_VALUE"""),13.919582)</f>
        <v>13.919582</v>
      </c>
      <c r="AE1599" s="3">
        <f>IFERROR(__xludf.DUMMYFUNCTION("""COMPUTED_VALUE"""),100.321024)</f>
        <v>100.321024</v>
      </c>
      <c r="AF1599" s="3" t="str">
        <f>IFERROR(__xludf.DUMMYFUNCTION("""COMPUTED_VALUE"""),"MBC ไทรน้อย-ต้นเชือก นนทบุรี-22284")</f>
        <v>MBC ไทรน้อย-ต้นเชือก นนทบุรี-22284</v>
      </c>
      <c r="AG1599" s="3" t="str">
        <f>IFERROR(__xludf.DUMMYFUNCTION("""COMPUTED_VALUE"""),"กลาง")</f>
        <v>กลาง</v>
      </c>
      <c r="AH1599" s="3" t="str">
        <f>IFERROR(__xludf.DUMMYFUNCTION("""COMPUTED_VALUE"""),"#N/A")</f>
        <v>#N/A</v>
      </c>
      <c r="AI1599" s="3" t="str">
        <f>IFERROR(__xludf.DUMMYFUNCTION("""COMPUTED_VALUE"""),"Out of warranty")</f>
        <v>Out of warranty</v>
      </c>
      <c r="AJ1599" s="3">
        <f>IFERROR(__xludf.DUMMYFUNCTION("""COMPUTED_VALUE"""),61.0)</f>
        <v>61</v>
      </c>
      <c r="AK1599" s="3" t="str">
        <f>IFERROR(__xludf.DUMMYFUNCTION("""COMPUTED_VALUE"""),"MMS04")</f>
        <v>MMS04</v>
      </c>
      <c r="AL1599" s="3"/>
    </row>
    <row r="1600" ht="15.75" customHeight="1">
      <c r="A1600" s="1" t="str">
        <f>IFERROR(__xludf.DUMMYFUNCTION("""COMPUTED_VALUE"""),"22285")</f>
        <v>22285</v>
      </c>
      <c r="B1600" s="2">
        <f>IFERROR(__xludf.DUMMYFUNCTION("""COMPUTED_VALUE"""),22285.0)</f>
        <v>22285</v>
      </c>
      <c r="C1600" s="3" t="str">
        <f>IFERROR(__xludf.DUMMYFUNCTION("""COMPUTED_VALUE"""),"MBC นบพิตำ นครศรีธรรมราช")</f>
        <v>MBC นบพิตำ นครศรีธรรมราช</v>
      </c>
      <c r="D1600" s="3" t="str">
        <f>IFERROR(__xludf.DUMMYFUNCTION("""COMPUTED_VALUE"""),"BCM AMPHOE NOPPHITAM")</f>
        <v>BCM AMPHOE NOPPHITAM</v>
      </c>
      <c r="E1600" s="1" t="str">
        <f>IFERROR(__xludf.DUMMYFUNCTION("""COMPUTED_VALUE"""),"บิ๊กซี MINI")</f>
        <v>บิ๊กซี MINI</v>
      </c>
      <c r="F1600" s="1" t="str">
        <f>IFERROR(__xludf.DUMMYFUNCTION("""COMPUTED_VALUE"""),"250760")</f>
        <v>250760</v>
      </c>
      <c r="G1600" s="1" t="str">
        <f>IFERROR(__xludf.DUMMYFUNCTION("""COMPUTED_VALUE"""),"นายประทวน สาราบรรณ์")</f>
        <v>นายประทวน สาราบรรณ์</v>
      </c>
      <c r="H1600" s="1" t="str">
        <f>IFERROR(__xludf.DUMMYFUNCTION("""COMPUTED_VALUE"""),"356760")</f>
        <v>356760</v>
      </c>
      <c r="I1600" s="1" t="str">
        <f>IFERROR(__xludf.DUMMYFUNCTION("""COMPUTED_VALUE"""),"นายภูมิภัทร แก้วพรรณราย")</f>
        <v>นายภูมิภัทร แก้วพรรณราย</v>
      </c>
      <c r="J1600" s="3">
        <f>IFERROR(__xludf.DUMMYFUNCTION("""COMPUTED_VALUE"""),2.0470331E7)</f>
        <v>20470331</v>
      </c>
      <c r="K1600" s="3" t="str">
        <f>IFERROR(__xludf.DUMMYFUNCTION("""COMPUTED_VALUE"""),"นายสมชาย ลักษณะสุวรรณ")</f>
        <v>นายสมชาย ลักษณะสุวรรณ</v>
      </c>
      <c r="L1600" s="1" t="str">
        <f>IFERROR(__xludf.DUMMYFUNCTION("""COMPUTED_VALUE"""),"15 K.Somchai L")</f>
        <v>15 K.Somchai L</v>
      </c>
      <c r="M1600" s="1" t="str">
        <f>IFERROR(__xludf.DUMMYFUNCTION("""COMPUTED_VALUE"""),"0655107372")</f>
        <v>0655107372</v>
      </c>
      <c r="N1600" s="3">
        <f>IFERROR(__xludf.DUMMYFUNCTION("""COMPUTED_VALUE"""),21723.0)</f>
        <v>21723</v>
      </c>
      <c r="O1600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00" s="4">
        <f>IFERROR(__xludf.DUMMYFUNCTION("""COMPUTED_VALUE"""),44207.0)</f>
        <v>44207</v>
      </c>
      <c r="Q1600" s="3" t="str">
        <f>IFERROR(__xludf.DUMMYFUNCTION("""COMPUTED_VALUE"""),"I")</f>
        <v>I</v>
      </c>
      <c r="R1600" s="3" t="str">
        <f>IFERROR(__xludf.DUMMYFUNCTION("""COMPUTED_VALUE"""),"Small Format")</f>
        <v>Small Format</v>
      </c>
      <c r="S1600" s="3" t="str">
        <f>IFERROR(__xludf.DUMMYFUNCTION("""COMPUTED_VALUE"""),"BCM")</f>
        <v>BCM</v>
      </c>
      <c r="T1600" s="3" t="str">
        <f>IFERROR(__xludf.DUMMYFUNCTION("""COMPUTED_VALUE"""),"#N/A")</f>
        <v>#N/A</v>
      </c>
      <c r="U1600" s="3" t="str">
        <f>IFERROR(__xludf.DUMMYFUNCTION("""COMPUTED_VALUE"""),"#N/A")</f>
        <v>#N/A</v>
      </c>
      <c r="V1600" s="3" t="str">
        <f>IFERROR(__xludf.DUMMYFUNCTION("""COMPUTED_VALUE"""),"N")</f>
        <v>N</v>
      </c>
      <c r="W1600" s="3">
        <f>IFERROR(__xludf.DUMMYFUNCTION("""COMPUTED_VALUE"""),210314.0)</f>
        <v>210314</v>
      </c>
      <c r="X1600" s="3" t="str">
        <f>IFERROR(__xludf.DUMMYFUNCTION("""COMPUTED_VALUE"""),"443 หมู่1 ตำบลนบพิตำ อำเภอนบพิตำ จังหวัดนครศรีธรรมราช 80160")</f>
        <v>443 หมู่1 ตำบลนบพิตำ อำเภอนบพิตำ จังหวัดนครศรีธรรมราช 80160</v>
      </c>
      <c r="Y1600" s="3"/>
      <c r="Z1600" s="3" t="str">
        <f>IFERROR(__xludf.DUMMYFUNCTION("""COMPUTED_VALUE"""),"นบพิตำ")</f>
        <v>นบพิตำ</v>
      </c>
      <c r="AA1600" s="3" t="str">
        <f>IFERROR(__xludf.DUMMYFUNCTION("""COMPUTED_VALUE"""),"นบพิตำ")</f>
        <v>นบพิตำ</v>
      </c>
      <c r="AB1600" s="3" t="str">
        <f>IFERROR(__xludf.DUMMYFUNCTION("""COMPUTED_VALUE"""),"นครศรีธรรมราช")</f>
        <v>นครศรีธรรมราช</v>
      </c>
      <c r="AC1600" s="3">
        <f>IFERROR(__xludf.DUMMYFUNCTION("""COMPUTED_VALUE"""),80160.0)</f>
        <v>80160</v>
      </c>
      <c r="AD1600" s="3">
        <f>IFERROR(__xludf.DUMMYFUNCTION("""COMPUTED_VALUE"""),8.722881)</f>
        <v>8.722881</v>
      </c>
      <c r="AE1600" s="3">
        <f>IFERROR(__xludf.DUMMYFUNCTION("""COMPUTED_VALUE"""),99.750564)</f>
        <v>99.750564</v>
      </c>
      <c r="AF1600" s="3" t="str">
        <f>IFERROR(__xludf.DUMMYFUNCTION("""COMPUTED_VALUE"""),"MBC นบพิตำ นครศรีธรรมราช-22285")</f>
        <v>MBC นบพิตำ นครศรีธรรมราช-22285</v>
      </c>
      <c r="AG1600" s="3" t="str">
        <f>IFERROR(__xludf.DUMMYFUNCTION("""COMPUTED_VALUE"""),"ใต้")</f>
        <v>ใต้</v>
      </c>
      <c r="AH1600" s="3" t="str">
        <f>IFERROR(__xludf.DUMMYFUNCTION("""COMPUTED_VALUE"""),"#N/A")</f>
        <v>#N/A</v>
      </c>
      <c r="AI1600" s="3" t="str">
        <f>IFERROR(__xludf.DUMMYFUNCTION("""COMPUTED_VALUE"""),"Out of warranty")</f>
        <v>Out of warranty</v>
      </c>
      <c r="AJ1600" s="3">
        <f>IFERROR(__xludf.DUMMYFUNCTION("""COMPUTED_VALUE"""),61.0)</f>
        <v>61</v>
      </c>
      <c r="AK1600" s="3" t="str">
        <f>IFERROR(__xludf.DUMMYFUNCTION("""COMPUTED_VALUE"""),"MMS15")</f>
        <v>MMS15</v>
      </c>
      <c r="AL1600" s="3"/>
    </row>
    <row r="1601" ht="15.75" customHeight="1">
      <c r="A1601" s="1" t="str">
        <f>IFERROR(__xludf.DUMMYFUNCTION("""COMPUTED_VALUE"""),"22286")</f>
        <v>22286</v>
      </c>
      <c r="B1601" s="2">
        <f>IFERROR(__xludf.DUMMYFUNCTION("""COMPUTED_VALUE"""),22286.0)</f>
        <v>22286</v>
      </c>
      <c r="C1601" s="3" t="str">
        <f>IFERROR(__xludf.DUMMYFUNCTION("""COMPUTED_VALUE"""),"MBC ท่าช้าง นครราชสีมา")</f>
        <v>MBC ท่าช้าง นครราชสีมา</v>
      </c>
      <c r="D1601" s="3" t="str">
        <f>IFERROR(__xludf.DUMMYFUNCTION("""COMPUTED_VALUE"""),"BCM THA CHANG")</f>
        <v>BCM THA CHANG</v>
      </c>
      <c r="E1601" s="1" t="str">
        <f>IFERROR(__xludf.DUMMYFUNCTION("""COMPUTED_VALUE"""),"บิ๊กซี MINI")</f>
        <v>บิ๊กซี MINI</v>
      </c>
      <c r="F1601" s="1" t="str">
        <f>IFERROR(__xludf.DUMMYFUNCTION("""COMPUTED_VALUE"""),"291105")</f>
        <v>291105</v>
      </c>
      <c r="G1601" s="1" t="str">
        <f>IFERROR(__xludf.DUMMYFUNCTION("""COMPUTED_VALUE"""),"นายสราวุฒิ พณิชยกุล")</f>
        <v>นายสราวุฒิ พณิชยกุล</v>
      </c>
      <c r="H1601" s="1" t="str">
        <f>IFERROR(__xludf.DUMMYFUNCTION("""COMPUTED_VALUE"""),"281315")</f>
        <v>281315</v>
      </c>
      <c r="I1601" s="1" t="str">
        <f>IFERROR(__xludf.DUMMYFUNCTION("""COMPUTED_VALUE"""),"นายกิตติพงษ์ มั่นคง")</f>
        <v>นายกิตติพงษ์ มั่นคง</v>
      </c>
      <c r="J1601" s="3">
        <f>IFERROR(__xludf.DUMMYFUNCTION("""COMPUTED_VALUE"""),15361.0)</f>
        <v>15361</v>
      </c>
      <c r="K1601" s="3" t="str">
        <f>IFERROR(__xludf.DUMMYFUNCTION("""COMPUTED_VALUE"""),"นายสมบูรณ์ พรหมในเมือง")</f>
        <v>นายสมบูรณ์ พรหมในเมือง</v>
      </c>
      <c r="L1601" s="1" t="str">
        <f>IFERROR(__xludf.DUMMYFUNCTION("""COMPUTED_VALUE"""),"04 K.Somboon P.")</f>
        <v>04 K.Somboon P.</v>
      </c>
      <c r="M1601" s="1" t="str">
        <f>IFERROR(__xludf.DUMMYFUNCTION("""COMPUTED_VALUE"""),"087-965-3051")</f>
        <v>087-965-3051</v>
      </c>
      <c r="N1601" s="3">
        <f>IFERROR(__xludf.DUMMYFUNCTION("""COMPUTED_VALUE"""),21869.0)</f>
        <v>21869</v>
      </c>
      <c r="O1601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601" s="4">
        <f>IFERROR(__xludf.DUMMYFUNCTION("""COMPUTED_VALUE"""),44207.0)</f>
        <v>44207</v>
      </c>
      <c r="Q1601" s="3" t="str">
        <f>IFERROR(__xludf.DUMMYFUNCTION("""COMPUTED_VALUE"""),"A")</f>
        <v>A</v>
      </c>
      <c r="R1601" s="3" t="str">
        <f>IFERROR(__xludf.DUMMYFUNCTION("""COMPUTED_VALUE"""),"Small Format")</f>
        <v>Small Format</v>
      </c>
      <c r="S1601" s="3" t="str">
        <f>IFERROR(__xludf.DUMMYFUNCTION("""COMPUTED_VALUE"""),"BCM")</f>
        <v>BCM</v>
      </c>
      <c r="T1601" s="3" t="str">
        <f>IFERROR(__xludf.DUMMYFUNCTION("""COMPUTED_VALUE"""),"#N/A")</f>
        <v>#N/A</v>
      </c>
      <c r="U1601" s="3" t="str">
        <f>IFERROR(__xludf.DUMMYFUNCTION("""COMPUTED_VALUE"""),"#N/A")</f>
        <v>#N/A</v>
      </c>
      <c r="V1601" s="3" t="str">
        <f>IFERROR(__xludf.DUMMYFUNCTION("""COMPUTED_VALUE"""),"N")</f>
        <v>N</v>
      </c>
      <c r="W1601" s="3">
        <f>IFERROR(__xludf.DUMMYFUNCTION("""COMPUTED_VALUE"""),210293.0)</f>
        <v>210293</v>
      </c>
      <c r="X1601" s="3" t="str">
        <f>IFERROR(__xludf.DUMMYFUNCTION("""COMPUTED_VALUE"""),"371 หมู่16 ตำบลหมูสี อำเภอปากช่อง จังหวัดนครราชสีมา 30130")</f>
        <v>371 หมู่16 ตำบลหมูสี อำเภอปากช่อง จังหวัดนครราชสีมา 30130</v>
      </c>
      <c r="Y1601" s="3"/>
      <c r="Z1601" s="3" t="str">
        <f>IFERROR(__xludf.DUMMYFUNCTION("""COMPUTED_VALUE"""),"หมูสี")</f>
        <v>หมูสี</v>
      </c>
      <c r="AA1601" s="3" t="str">
        <f>IFERROR(__xludf.DUMMYFUNCTION("""COMPUTED_VALUE"""),"ปากช่อง")</f>
        <v>ปากช่อง</v>
      </c>
      <c r="AB1601" s="3" t="str">
        <f>IFERROR(__xludf.DUMMYFUNCTION("""COMPUTED_VALUE"""),"นครราชสีมา")</f>
        <v>นครราชสีมา</v>
      </c>
      <c r="AC1601" s="3">
        <f>IFERROR(__xludf.DUMMYFUNCTION("""COMPUTED_VALUE"""),30130.0)</f>
        <v>30130</v>
      </c>
      <c r="AD1601" s="3">
        <f>IFERROR(__xludf.DUMMYFUNCTION("""COMPUTED_VALUE"""),14.548065)</f>
        <v>14.548065</v>
      </c>
      <c r="AE1601" s="3">
        <f>IFERROR(__xludf.DUMMYFUNCTION("""COMPUTED_VALUE"""),101.425075)</f>
        <v>101.425075</v>
      </c>
      <c r="AF1601" s="3" t="str">
        <f>IFERROR(__xludf.DUMMYFUNCTION("""COMPUTED_VALUE"""),"MBC ท่าช้าง นครราชสีมา-22286")</f>
        <v>MBC ท่าช้าง นครราชสีมา-22286</v>
      </c>
      <c r="AG1601" s="3" t="str">
        <f>IFERROR(__xludf.DUMMYFUNCTION("""COMPUTED_VALUE"""),"ตะวันออกเฉียงเหนือ")</f>
        <v>ตะวันออกเฉียงเหนือ</v>
      </c>
      <c r="AH1601" s="3" t="str">
        <f>IFERROR(__xludf.DUMMYFUNCTION("""COMPUTED_VALUE"""),"#N/A")</f>
        <v>#N/A</v>
      </c>
      <c r="AI1601" s="3" t="str">
        <f>IFERROR(__xludf.DUMMYFUNCTION("""COMPUTED_VALUE"""),"Out of warranty")</f>
        <v>Out of warranty</v>
      </c>
      <c r="AJ1601" s="3">
        <f>IFERROR(__xludf.DUMMYFUNCTION("""COMPUTED_VALUE"""),61.0)</f>
        <v>61</v>
      </c>
      <c r="AK1601" s="3" t="str">
        <f>IFERROR(__xludf.DUMMYFUNCTION("""COMPUTED_VALUE"""),"MMS11")</f>
        <v>MMS11</v>
      </c>
      <c r="AL1601" s="3"/>
    </row>
    <row r="1602" ht="15.75" customHeight="1">
      <c r="A1602" s="1" t="str">
        <f>IFERROR(__xludf.DUMMYFUNCTION("""COMPUTED_VALUE"""),"22287")</f>
        <v>22287</v>
      </c>
      <c r="B1602" s="2">
        <f>IFERROR(__xludf.DUMMYFUNCTION("""COMPUTED_VALUE"""),22287.0)</f>
        <v>22287</v>
      </c>
      <c r="C1602" s="3" t="str">
        <f>IFERROR(__xludf.DUMMYFUNCTION("""COMPUTED_VALUE"""),"MBC ชุมชนในไร่ ระยอง")</f>
        <v>MBC ชุมชนในไร่ ระยอง</v>
      </c>
      <c r="D1602" s="3" t="str">
        <f>IFERROR(__xludf.DUMMYFUNCTION("""COMPUTED_VALUE"""),"BCM CHUMCHON NAI RAI")</f>
        <v>BCM CHUMCHON NAI RAI</v>
      </c>
      <c r="E1602" s="1" t="str">
        <f>IFERROR(__xludf.DUMMYFUNCTION("""COMPUTED_VALUE"""),"บิ๊กซี MINI")</f>
        <v>บิ๊กซี MINI</v>
      </c>
      <c r="F1602" s="1" t="str">
        <f>IFERROR(__xludf.DUMMYFUNCTION("""COMPUTED_VALUE"""),"221716")</f>
        <v>221716</v>
      </c>
      <c r="G1602" s="1" t="str">
        <f>IFERROR(__xludf.DUMMYFUNCTION("""COMPUTED_VALUE"""),"น.ส.เบญจพร โพธิสาร")</f>
        <v>น.ส.เบญจพร โพธิสาร</v>
      </c>
      <c r="H1602" s="1" t="str">
        <f>IFERROR(__xludf.DUMMYFUNCTION("""COMPUTED_VALUE"""),"359233")</f>
        <v>359233</v>
      </c>
      <c r="I1602" s="1" t="str">
        <f>IFERROR(__xludf.DUMMYFUNCTION("""COMPUTED_VALUE"""),"น.ส.ปยุดา คำมีอ่อน")</f>
        <v>น.ส.ปยุดา คำมีอ่อน</v>
      </c>
      <c r="J1602" s="3">
        <f>IFERROR(__xludf.DUMMYFUNCTION("""COMPUTED_VALUE"""),2452376.0)</f>
        <v>2452376</v>
      </c>
      <c r="K1602" s="3" t="str">
        <f>IFERROR(__xludf.DUMMYFUNCTION("""COMPUTED_VALUE"""),"นายภาคภูมิ ทวีกุล")</f>
        <v>นายภาคภูมิ ทวีกุล</v>
      </c>
      <c r="L1602" s="1" t="str">
        <f>IFERROR(__xludf.DUMMYFUNCTION("""COMPUTED_VALUE"""),"08 K.Parkphum T.")</f>
        <v>08 K.Parkphum T.</v>
      </c>
      <c r="M1602" s="1" t="str">
        <f>IFERROR(__xludf.DUMMYFUNCTION("""COMPUTED_VALUE"""),"097-919-5476")</f>
        <v>097-919-5476</v>
      </c>
      <c r="N1602" s="3">
        <f>IFERROR(__xludf.DUMMYFUNCTION("""COMPUTED_VALUE"""),22028.0)</f>
        <v>22028</v>
      </c>
      <c r="O1602" s="3" t="str">
        <f>IFERROR(__xludf.DUMMYFUNCTION("""COMPUTED_VALUE"""),"MBC ทํบมา ระยอง")</f>
        <v>MBC ทํบมา ระยอง</v>
      </c>
      <c r="P1602" s="4">
        <f>IFERROR(__xludf.DUMMYFUNCTION("""COMPUTED_VALUE"""),44261.0)</f>
        <v>44261</v>
      </c>
      <c r="Q1602" s="3" t="str">
        <f>IFERROR(__xludf.DUMMYFUNCTION("""COMPUTED_VALUE"""),"A")</f>
        <v>A</v>
      </c>
      <c r="R1602" s="3" t="str">
        <f>IFERROR(__xludf.DUMMYFUNCTION("""COMPUTED_VALUE"""),"Small Format")</f>
        <v>Small Format</v>
      </c>
      <c r="S1602" s="3" t="str">
        <f>IFERROR(__xludf.DUMMYFUNCTION("""COMPUTED_VALUE"""),"BCM")</f>
        <v>BCM</v>
      </c>
      <c r="T1602" s="3" t="str">
        <f>IFERROR(__xludf.DUMMYFUNCTION("""COMPUTED_VALUE"""),"#N/A")</f>
        <v>#N/A</v>
      </c>
      <c r="U1602" s="3" t="str">
        <f>IFERROR(__xludf.DUMMYFUNCTION("""COMPUTED_VALUE"""),"#N/A")</f>
        <v>#N/A</v>
      </c>
      <c r="V1602" s="3" t="str">
        <f>IFERROR(__xludf.DUMMYFUNCTION("""COMPUTED_VALUE"""),"N")</f>
        <v>N</v>
      </c>
      <c r="W1602" s="3">
        <f>IFERROR(__xludf.DUMMYFUNCTION("""COMPUTED_VALUE"""),210331.0)</f>
        <v>210331</v>
      </c>
      <c r="X1602" s="3" t="str">
        <f>IFERROR(__xludf.DUMMYFUNCTION("""COMPUTED_VALUE"""),"100/17-19 หมู่1 ตำบลเพ อำเภอเมืองระยอง จังหวัดระยอง 21160")</f>
        <v>100/17-19 หมู่1 ตำบลเพ อำเภอเมืองระยอง จังหวัดระยอง 21160</v>
      </c>
      <c r="Y1602" s="3"/>
      <c r="Z1602" s="3" t="str">
        <f>IFERROR(__xludf.DUMMYFUNCTION("""COMPUTED_VALUE"""),"เพ")</f>
        <v>เพ</v>
      </c>
      <c r="AA1602" s="3" t="str">
        <f>IFERROR(__xludf.DUMMYFUNCTION("""COMPUTED_VALUE"""),"เมือง")</f>
        <v>เมือง</v>
      </c>
      <c r="AB1602" s="3" t="str">
        <f>IFERROR(__xludf.DUMMYFUNCTION("""COMPUTED_VALUE"""),"ระยอง")</f>
        <v>ระยอง</v>
      </c>
      <c r="AC1602" s="3">
        <f>IFERROR(__xludf.DUMMYFUNCTION("""COMPUTED_VALUE"""),21160.0)</f>
        <v>21160</v>
      </c>
      <c r="AD1602" s="3">
        <f>IFERROR(__xludf.DUMMYFUNCTION("""COMPUTED_VALUE"""),12.618867)</f>
        <v>12.618867</v>
      </c>
      <c r="AE1602" s="3">
        <f>IFERROR(__xludf.DUMMYFUNCTION("""COMPUTED_VALUE"""),101.406698)</f>
        <v>101.406698</v>
      </c>
      <c r="AF1602" s="3" t="str">
        <f>IFERROR(__xludf.DUMMYFUNCTION("""COMPUTED_VALUE"""),"MBC ชุมชนในไร่ ระยอง-22287")</f>
        <v>MBC ชุมชนในไร่ ระยอง-22287</v>
      </c>
      <c r="AG1602" s="3" t="str">
        <f>IFERROR(__xludf.DUMMYFUNCTION("""COMPUTED_VALUE"""),"ตะวันออก")</f>
        <v>ตะวันออก</v>
      </c>
      <c r="AH1602" s="3" t="str">
        <f>IFERROR(__xludf.DUMMYFUNCTION("""COMPUTED_VALUE"""),"#N/A")</f>
        <v>#N/A</v>
      </c>
      <c r="AI1602" s="3" t="str">
        <f>IFERROR(__xludf.DUMMYFUNCTION("""COMPUTED_VALUE"""),"Out of warranty")</f>
        <v>Out of warranty</v>
      </c>
      <c r="AJ1602" s="3">
        <f>IFERROR(__xludf.DUMMYFUNCTION("""COMPUTED_VALUE"""),59.0)</f>
        <v>59</v>
      </c>
      <c r="AK1602" s="3" t="str">
        <f>IFERROR(__xludf.DUMMYFUNCTION("""COMPUTED_VALUE"""),"MMS08")</f>
        <v>MMS08</v>
      </c>
      <c r="AL1602" s="3"/>
    </row>
    <row r="1603" ht="15.75" customHeight="1">
      <c r="A1603" s="1" t="str">
        <f>IFERROR(__xludf.DUMMYFUNCTION("""COMPUTED_VALUE"""),"22288")</f>
        <v>22288</v>
      </c>
      <c r="B1603" s="2">
        <f>IFERROR(__xludf.DUMMYFUNCTION("""COMPUTED_VALUE"""),22288.0)</f>
        <v>22288</v>
      </c>
      <c r="C1603" s="3" t="str">
        <f>IFERROR(__xludf.DUMMYFUNCTION("""COMPUTED_VALUE"""),"MBC อ.พระแสง สุราษฎร์ธานี")</f>
        <v>MBC อ.พระแสง สุราษฎร์ธานี</v>
      </c>
      <c r="D1603" s="3" t="str">
        <f>IFERROR(__xludf.DUMMYFUNCTION("""COMPUTED_VALUE"""),"BCM AMPHOE PRASANG")</f>
        <v>BCM AMPHOE PRASANG</v>
      </c>
      <c r="E1603" s="1" t="str">
        <f>IFERROR(__xludf.DUMMYFUNCTION("""COMPUTED_VALUE"""),"บิ๊กซี MINI")</f>
        <v>บิ๊กซี MINI</v>
      </c>
      <c r="F1603" s="1" t="str">
        <f>IFERROR(__xludf.DUMMYFUNCTION("""COMPUTED_VALUE"""),"250760")</f>
        <v>250760</v>
      </c>
      <c r="G1603" s="1" t="str">
        <f>IFERROR(__xludf.DUMMYFUNCTION("""COMPUTED_VALUE"""),"นายประทวน สาราบรรณ์")</f>
        <v>นายประทวน สาราบรรณ์</v>
      </c>
      <c r="H1603" s="1" t="str">
        <f>IFERROR(__xludf.DUMMYFUNCTION("""COMPUTED_VALUE"""),"228389")</f>
        <v>228389</v>
      </c>
      <c r="I1603" s="1" t="str">
        <f>IFERROR(__xludf.DUMMYFUNCTION("""COMPUTED_VALUE"""),"นายมณีรันดร์ ชัยชนะ")</f>
        <v>นายมณีรันดร์ ชัยชนะ</v>
      </c>
      <c r="J1603" s="3">
        <f>IFERROR(__xludf.DUMMYFUNCTION("""COMPUTED_VALUE"""),2.0470331E7)</f>
        <v>20470331</v>
      </c>
      <c r="K1603" s="3" t="str">
        <f>IFERROR(__xludf.DUMMYFUNCTION("""COMPUTED_VALUE"""),"นายสมชาย ลักษณะสุวรรณ")</f>
        <v>นายสมชาย ลักษณะสุวรรณ</v>
      </c>
      <c r="L1603" s="1" t="str">
        <f>IFERROR(__xludf.DUMMYFUNCTION("""COMPUTED_VALUE"""),"15 K.Somchai L")</f>
        <v>15 K.Somchai L</v>
      </c>
      <c r="M1603" s="1" t="str">
        <f>IFERROR(__xludf.DUMMYFUNCTION("""COMPUTED_VALUE"""),"0655107372")</f>
        <v>0655107372</v>
      </c>
      <c r="N1603" s="3">
        <f>IFERROR(__xludf.DUMMYFUNCTION("""COMPUTED_VALUE"""),21723.0)</f>
        <v>21723</v>
      </c>
      <c r="O1603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03" s="4">
        <f>IFERROR(__xludf.DUMMYFUNCTION("""COMPUTED_VALUE"""),44240.0)</f>
        <v>44240</v>
      </c>
      <c r="Q1603" s="3" t="str">
        <f>IFERROR(__xludf.DUMMYFUNCTION("""COMPUTED_VALUE"""),"I")</f>
        <v>I</v>
      </c>
      <c r="R1603" s="3" t="str">
        <f>IFERROR(__xludf.DUMMYFUNCTION("""COMPUTED_VALUE"""),"Small Format")</f>
        <v>Small Format</v>
      </c>
      <c r="S1603" s="3" t="str">
        <f>IFERROR(__xludf.DUMMYFUNCTION("""COMPUTED_VALUE"""),"BCM")</f>
        <v>BCM</v>
      </c>
      <c r="T1603" s="3" t="str">
        <f>IFERROR(__xludf.DUMMYFUNCTION("""COMPUTED_VALUE"""),"#N/A")</f>
        <v>#N/A</v>
      </c>
      <c r="U1603" s="3" t="str">
        <f>IFERROR(__xludf.DUMMYFUNCTION("""COMPUTED_VALUE"""),"#N/A")</f>
        <v>#N/A</v>
      </c>
      <c r="V1603" s="3" t="str">
        <f>IFERROR(__xludf.DUMMYFUNCTION("""COMPUTED_VALUE"""),"N")</f>
        <v>N</v>
      </c>
      <c r="W1603" s="3">
        <f>IFERROR(__xludf.DUMMYFUNCTION("""COMPUTED_VALUE"""),210323.0)</f>
        <v>210323</v>
      </c>
      <c r="X1603" s="3" t="str">
        <f>IFERROR(__xludf.DUMMYFUNCTION("""COMPUTED_VALUE"""),"1/13 หมู่1 ตำบลอิปัน อำเภอพระแสง จังหวัดสุราษฎร์ธานี 84210")</f>
        <v>1/13 หมู่1 ตำบลอิปัน อำเภอพระแสง จังหวัดสุราษฎร์ธานี 84210</v>
      </c>
      <c r="Y1603" s="3"/>
      <c r="Z1603" s="3" t="str">
        <f>IFERROR(__xludf.DUMMYFUNCTION("""COMPUTED_VALUE"""),"อิปัน")</f>
        <v>อิปัน</v>
      </c>
      <c r="AA1603" s="3" t="str">
        <f>IFERROR(__xludf.DUMMYFUNCTION("""COMPUTED_VALUE"""),"พระแสง")</f>
        <v>พระแสง</v>
      </c>
      <c r="AB1603" s="3" t="str">
        <f>IFERROR(__xludf.DUMMYFUNCTION("""COMPUTED_VALUE"""),"สุราษฎร์ธานี")</f>
        <v>สุราษฎร์ธานี</v>
      </c>
      <c r="AC1603" s="3">
        <f>IFERROR(__xludf.DUMMYFUNCTION("""COMPUTED_VALUE"""),84210.0)</f>
        <v>84210</v>
      </c>
      <c r="AD1603" s="3">
        <f>IFERROR(__xludf.DUMMYFUNCTION("""COMPUTED_VALUE"""),8.574269)</f>
        <v>8.574269</v>
      </c>
      <c r="AE1603" s="3">
        <f>IFERROR(__xludf.DUMMYFUNCTION("""COMPUTED_VALUE"""),99.239532)</f>
        <v>99.239532</v>
      </c>
      <c r="AF1603" s="3" t="str">
        <f>IFERROR(__xludf.DUMMYFUNCTION("""COMPUTED_VALUE"""),"MBC อ.พระแสง สุราษฎร์ธานี-22288")</f>
        <v>MBC อ.พระแสง สุราษฎร์ธานี-22288</v>
      </c>
      <c r="AG1603" s="3" t="str">
        <f>IFERROR(__xludf.DUMMYFUNCTION("""COMPUTED_VALUE"""),"ใต้")</f>
        <v>ใต้</v>
      </c>
      <c r="AH1603" s="3" t="str">
        <f>IFERROR(__xludf.DUMMYFUNCTION("""COMPUTED_VALUE"""),"#N/A")</f>
        <v>#N/A</v>
      </c>
      <c r="AI1603" s="3" t="str">
        <f>IFERROR(__xludf.DUMMYFUNCTION("""COMPUTED_VALUE"""),"Out of warranty")</f>
        <v>Out of warranty</v>
      </c>
      <c r="AJ1603" s="3">
        <f>IFERROR(__xludf.DUMMYFUNCTION("""COMPUTED_VALUE"""),60.0)</f>
        <v>60</v>
      </c>
      <c r="AK1603" s="3" t="str">
        <f>IFERROR(__xludf.DUMMYFUNCTION("""COMPUTED_VALUE"""),"MMS15")</f>
        <v>MMS15</v>
      </c>
      <c r="AL1603" s="3"/>
    </row>
    <row r="1604" ht="15.75" customHeight="1">
      <c r="A1604" s="1" t="str">
        <f>IFERROR(__xludf.DUMMYFUNCTION("""COMPUTED_VALUE"""),"22289")</f>
        <v>22289</v>
      </c>
      <c r="B1604" s="2">
        <f>IFERROR(__xludf.DUMMYFUNCTION("""COMPUTED_VALUE"""),22289.0)</f>
        <v>22289</v>
      </c>
      <c r="C1604" s="3" t="str">
        <f>IFERROR(__xludf.DUMMYFUNCTION("""COMPUTED_VALUE"""),"MBC ตลาดบ้านคลองเตย สงขลา")</f>
        <v>MBC ตลาดบ้านคลองเตย สงขลา</v>
      </c>
      <c r="D1604" s="3" t="str">
        <f>IFERROR(__xludf.DUMMYFUNCTION("""COMPUTED_VALUE"""),"BCM TALAD BAN KHLONG TOEI")</f>
        <v>BCM TALAD BAN KHLONG TOEI</v>
      </c>
      <c r="E1604" s="1" t="str">
        <f>IFERROR(__xludf.DUMMYFUNCTION("""COMPUTED_VALUE"""),"บิ๊กซี MINI")</f>
        <v>บิ๊กซี MINI</v>
      </c>
      <c r="F1604" s="1" t="str">
        <f>IFERROR(__xludf.DUMMYFUNCTION("""COMPUTED_VALUE"""),"250760")</f>
        <v>250760</v>
      </c>
      <c r="G1604" s="1" t="str">
        <f>IFERROR(__xludf.DUMMYFUNCTION("""COMPUTED_VALUE"""),"นายประทวน สาราบรรณ์")</f>
        <v>นายประทวน สาราบรรณ์</v>
      </c>
      <c r="H1604" s="1" t="str">
        <f>IFERROR(__xludf.DUMMYFUNCTION("""COMPUTED_VALUE"""),"394100")</f>
        <v>394100</v>
      </c>
      <c r="I1604" s="1" t="str">
        <f>IFERROR(__xludf.DUMMYFUNCTION("""COMPUTED_VALUE"""),"นายไพโรจน์ ถิระผะลิกะ")</f>
        <v>นายไพโรจน์ ถิระผะลิกะ</v>
      </c>
      <c r="J1604" s="3">
        <f>IFERROR(__xludf.DUMMYFUNCTION("""COMPUTED_VALUE"""),2.0470331E7)</f>
        <v>20470331</v>
      </c>
      <c r="K1604" s="3" t="str">
        <f>IFERROR(__xludf.DUMMYFUNCTION("""COMPUTED_VALUE"""),"นายสมชาย ลักษณะสุวรรณ")</f>
        <v>นายสมชาย ลักษณะสุวรรณ</v>
      </c>
      <c r="L1604" s="1" t="str">
        <f>IFERROR(__xludf.DUMMYFUNCTION("""COMPUTED_VALUE"""),"15 K.Somchai L")</f>
        <v>15 K.Somchai L</v>
      </c>
      <c r="M1604" s="1" t="str">
        <f>IFERROR(__xludf.DUMMYFUNCTION("""COMPUTED_VALUE"""),"0655107372")</f>
        <v>0655107372</v>
      </c>
      <c r="N1604" s="3">
        <f>IFERROR(__xludf.DUMMYFUNCTION("""COMPUTED_VALUE"""),21723.0)</f>
        <v>21723</v>
      </c>
      <c r="O1604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04" s="4">
        <f>IFERROR(__xludf.DUMMYFUNCTION("""COMPUTED_VALUE"""),44247.0)</f>
        <v>44247</v>
      </c>
      <c r="Q1604" s="3" t="str">
        <f>IFERROR(__xludf.DUMMYFUNCTION("""COMPUTED_VALUE"""),"A")</f>
        <v>A</v>
      </c>
      <c r="R1604" s="3" t="str">
        <f>IFERROR(__xludf.DUMMYFUNCTION("""COMPUTED_VALUE"""),"Small Format")</f>
        <v>Small Format</v>
      </c>
      <c r="S1604" s="3" t="str">
        <f>IFERROR(__xludf.DUMMYFUNCTION("""COMPUTED_VALUE"""),"BCM")</f>
        <v>BCM</v>
      </c>
      <c r="T1604" s="3" t="str">
        <f>IFERROR(__xludf.DUMMYFUNCTION("""COMPUTED_VALUE"""),"#N/A")</f>
        <v>#N/A</v>
      </c>
      <c r="U1604" s="3" t="str">
        <f>IFERROR(__xludf.DUMMYFUNCTION("""COMPUTED_VALUE"""),"#N/A")</f>
        <v>#N/A</v>
      </c>
      <c r="V1604" s="3" t="str">
        <f>IFERROR(__xludf.DUMMYFUNCTION("""COMPUTED_VALUE"""),"N")</f>
        <v>N</v>
      </c>
      <c r="W1604" s="3">
        <f>IFERROR(__xludf.DUMMYFUNCTION("""COMPUTED_VALUE"""),210311.0)</f>
        <v>210311</v>
      </c>
      <c r="X1604" s="3" t="str">
        <f>IFERROR(__xludf.DUMMYFUNCTION("""COMPUTED_VALUE"""),"69 71 73 75 ถนนคลองเตยขคลองเปล ซอย4 ตำบลคอหงส์ อำเภอหาดใหญ่ จังหวัดสงขลา 90110")</f>
        <v>69 71 73 75 ถนนคลองเตยขคลองเปล ซอย4 ตำบลคอหงส์ อำเภอหาดใหญ่ จังหวัดสงขลา 90110</v>
      </c>
      <c r="Y1604" s="3" t="str">
        <f>IFERROR(__xludf.DUMMYFUNCTION("""COMPUTED_VALUE"""),"คลองเตยคลองเปล")</f>
        <v>คลองเตยคลองเปล</v>
      </c>
      <c r="Z1604" s="3" t="str">
        <f>IFERROR(__xludf.DUMMYFUNCTION("""COMPUTED_VALUE"""),"คอหงส์")</f>
        <v>คอหงส์</v>
      </c>
      <c r="AA1604" s="3" t="str">
        <f>IFERROR(__xludf.DUMMYFUNCTION("""COMPUTED_VALUE"""),"หาดใหญ่")</f>
        <v>หาดใหญ่</v>
      </c>
      <c r="AB1604" s="3" t="str">
        <f>IFERROR(__xludf.DUMMYFUNCTION("""COMPUTED_VALUE"""),"สงขลา")</f>
        <v>สงขลา</v>
      </c>
      <c r="AC1604" s="3">
        <f>IFERROR(__xludf.DUMMYFUNCTION("""COMPUTED_VALUE"""),90110.0)</f>
        <v>90110</v>
      </c>
      <c r="AD1604" s="3">
        <f>IFERROR(__xludf.DUMMYFUNCTION("""COMPUTED_VALUE"""),7.029589)</f>
        <v>7.029589</v>
      </c>
      <c r="AE1604" s="3">
        <f>IFERROR(__xludf.DUMMYFUNCTION("""COMPUTED_VALUE"""),100.486061)</f>
        <v>100.486061</v>
      </c>
      <c r="AF1604" s="3" t="str">
        <f>IFERROR(__xludf.DUMMYFUNCTION("""COMPUTED_VALUE"""),"MBC ตลาดบ้านคลองเตย สงขลา-22289")</f>
        <v>MBC ตลาดบ้านคลองเตย สงขลา-22289</v>
      </c>
      <c r="AG1604" s="3" t="str">
        <f>IFERROR(__xludf.DUMMYFUNCTION("""COMPUTED_VALUE"""),"ใต้")</f>
        <v>ใต้</v>
      </c>
      <c r="AH1604" s="3" t="str">
        <f>IFERROR(__xludf.DUMMYFUNCTION("""COMPUTED_VALUE"""),"#N/A")</f>
        <v>#N/A</v>
      </c>
      <c r="AI1604" s="3" t="str">
        <f>IFERROR(__xludf.DUMMYFUNCTION("""COMPUTED_VALUE"""),"Out of warranty")</f>
        <v>Out of warranty</v>
      </c>
      <c r="AJ1604" s="3">
        <f>IFERROR(__xludf.DUMMYFUNCTION("""COMPUTED_VALUE"""),60.0)</f>
        <v>60</v>
      </c>
      <c r="AK1604" s="3" t="str">
        <f>IFERROR(__xludf.DUMMYFUNCTION("""COMPUTED_VALUE"""),"MMS16")</f>
        <v>MMS16</v>
      </c>
      <c r="AL1604" s="3"/>
    </row>
    <row r="1605" ht="15.75" customHeight="1">
      <c r="A1605" s="1" t="str">
        <f>IFERROR(__xludf.DUMMYFUNCTION("""COMPUTED_VALUE"""),"22290")</f>
        <v>22290</v>
      </c>
      <c r="B1605" s="2">
        <f>IFERROR(__xludf.DUMMYFUNCTION("""COMPUTED_VALUE"""),22290.0)</f>
        <v>22290</v>
      </c>
      <c r="C1605" s="3" t="str">
        <f>IFERROR(__xludf.DUMMYFUNCTION("""COMPUTED_VALUE"""),"MBC วัดกลางบางปะกง ฉะเชิงเทรา")</f>
        <v>MBC วัดกลางบางปะกง ฉะเชิงเทรา</v>
      </c>
      <c r="D1605" s="3" t="str">
        <f>IFERROR(__xludf.DUMMYFUNCTION("""COMPUTED_VALUE"""),"BCM WAT KLANG BANGPAKONG")</f>
        <v>BCM WAT KLANG BANGPAKONG</v>
      </c>
      <c r="E1605" s="1" t="str">
        <f>IFERROR(__xludf.DUMMYFUNCTION("""COMPUTED_VALUE"""),"บิ๊กซี MINI")</f>
        <v>บิ๊กซี MINI</v>
      </c>
      <c r="F1605" s="1" t="str">
        <f>IFERROR(__xludf.DUMMYFUNCTION("""COMPUTED_VALUE"""),"2083447")</f>
        <v>2083447</v>
      </c>
      <c r="G1605" s="1" t="str">
        <f>IFERROR(__xludf.DUMMYFUNCTION("""COMPUTED_VALUE"""),"นายอนุกูล ศรีลัดดา")</f>
        <v>นายอนุกูล ศรีลัดดา</v>
      </c>
      <c r="H1605" s="1" t="str">
        <f>IFERROR(__xludf.DUMMYFUNCTION("""COMPUTED_VALUE"""),"254957")</f>
        <v>254957</v>
      </c>
      <c r="I1605" s="1" t="str">
        <f>IFERROR(__xludf.DUMMYFUNCTION("""COMPUTED_VALUE"""),"น.ส.ศิริพร รุ่งธัญญา")</f>
        <v>น.ส.ศิริพร รุ่งธัญญา</v>
      </c>
      <c r="J1605" s="3">
        <f>IFERROR(__xludf.DUMMYFUNCTION("""COMPUTED_VALUE"""),510143.0)</f>
        <v>510143</v>
      </c>
      <c r="K1605" s="3" t="str">
        <f>IFERROR(__xludf.DUMMYFUNCTION("""COMPUTED_VALUE"""),"นายธีระวัฒน์ บุญสิทธิ์")</f>
        <v>นายธีระวัฒน์ บุญสิทธิ์</v>
      </c>
      <c r="L1605" s="1" t="str">
        <f>IFERROR(__xludf.DUMMYFUNCTION("""COMPUTED_VALUE"""),"12 K.Theerawat B.")</f>
        <v>12 K.Theerawat B.</v>
      </c>
      <c r="M1605" s="1" t="str">
        <f>IFERROR(__xludf.DUMMYFUNCTION("""COMPUTED_VALUE"""),"0655107379")</f>
        <v>0655107379</v>
      </c>
      <c r="N1605" s="3">
        <f>IFERROR(__xludf.DUMMYFUNCTION("""COMPUTED_VALUE"""),21062.0)</f>
        <v>21062</v>
      </c>
      <c r="O1605" s="3" t="str">
        <f>IFERROR(__xludf.DUMMYFUNCTION("""COMPUTED_VALUE"""),"MBC นิคมนวนคร")</f>
        <v>MBC นิคมนวนคร</v>
      </c>
      <c r="P1605" s="4">
        <f>IFERROR(__xludf.DUMMYFUNCTION("""COMPUTED_VALUE"""),44247.0)</f>
        <v>44247</v>
      </c>
      <c r="Q1605" s="3" t="str">
        <f>IFERROR(__xludf.DUMMYFUNCTION("""COMPUTED_VALUE"""),"A")</f>
        <v>A</v>
      </c>
      <c r="R1605" s="3" t="str">
        <f>IFERROR(__xludf.DUMMYFUNCTION("""COMPUTED_VALUE"""),"Small Format")</f>
        <v>Small Format</v>
      </c>
      <c r="S1605" s="3" t="str">
        <f>IFERROR(__xludf.DUMMYFUNCTION("""COMPUTED_VALUE"""),"BCM")</f>
        <v>BCM</v>
      </c>
      <c r="T1605" s="3" t="str">
        <f>IFERROR(__xludf.DUMMYFUNCTION("""COMPUTED_VALUE"""),"#N/A")</f>
        <v>#N/A</v>
      </c>
      <c r="U1605" s="3" t="str">
        <f>IFERROR(__xludf.DUMMYFUNCTION("""COMPUTED_VALUE"""),"#N/A")</f>
        <v>#N/A</v>
      </c>
      <c r="V1605" s="3" t="str">
        <f>IFERROR(__xludf.DUMMYFUNCTION("""COMPUTED_VALUE"""),"N")</f>
        <v>N</v>
      </c>
      <c r="W1605" s="3">
        <f>IFERROR(__xludf.DUMMYFUNCTION("""COMPUTED_VALUE"""),210333.0)</f>
        <v>210333</v>
      </c>
      <c r="X1605" s="3" t="str">
        <f>IFERROR(__xludf.DUMMYFUNCTION("""COMPUTED_VALUE"""),"58/13 หมู่18 ตำบลบางปะกง อำเภอบางปะกง จังหวัดฉะเชิงเทรา 24130")</f>
        <v>58/13 หมู่18 ตำบลบางปะกง อำเภอบางปะกง จังหวัดฉะเชิงเทรา 24130</v>
      </c>
      <c r="Y1605" s="3"/>
      <c r="Z1605" s="3" t="str">
        <f>IFERROR(__xludf.DUMMYFUNCTION("""COMPUTED_VALUE"""),"บางปะกง")</f>
        <v>บางปะกง</v>
      </c>
      <c r="AA1605" s="3" t="str">
        <f>IFERROR(__xludf.DUMMYFUNCTION("""COMPUTED_VALUE"""),"บางปะกง")</f>
        <v>บางปะกง</v>
      </c>
      <c r="AB1605" s="3" t="str">
        <f>IFERROR(__xludf.DUMMYFUNCTION("""COMPUTED_VALUE"""),"ฉะเชิงเทรา")</f>
        <v>ฉะเชิงเทรา</v>
      </c>
      <c r="AC1605" s="3">
        <f>IFERROR(__xludf.DUMMYFUNCTION("""COMPUTED_VALUE"""),24130.0)</f>
        <v>24130</v>
      </c>
      <c r="AD1605" s="3">
        <f>IFERROR(__xludf.DUMMYFUNCTION("""COMPUTED_VALUE"""),13.5041)</f>
        <v>13.5041</v>
      </c>
      <c r="AE1605" s="3">
        <f>IFERROR(__xludf.DUMMYFUNCTION("""COMPUTED_VALUE"""),100.990363)</f>
        <v>100.990363</v>
      </c>
      <c r="AF1605" s="3" t="str">
        <f>IFERROR(__xludf.DUMMYFUNCTION("""COMPUTED_VALUE"""),"MBC วัดกลางบางปะกง ฉะเชิงเทรา-22290")</f>
        <v>MBC วัดกลางบางปะกง ฉะเชิงเทรา-22290</v>
      </c>
      <c r="AG1605" s="3" t="str">
        <f>IFERROR(__xludf.DUMMYFUNCTION("""COMPUTED_VALUE"""),"ตะวันออก")</f>
        <v>ตะวันออก</v>
      </c>
      <c r="AH1605" s="3" t="str">
        <f>IFERROR(__xludf.DUMMYFUNCTION("""COMPUTED_VALUE"""),"#N/A")</f>
        <v>#N/A</v>
      </c>
      <c r="AI1605" s="3" t="str">
        <f>IFERROR(__xludf.DUMMYFUNCTION("""COMPUTED_VALUE"""),"Out of warranty")</f>
        <v>Out of warranty</v>
      </c>
      <c r="AJ1605" s="3">
        <f>IFERROR(__xludf.DUMMYFUNCTION("""COMPUTED_VALUE"""),60.0)</f>
        <v>60</v>
      </c>
      <c r="AK1605" s="3" t="str">
        <f>IFERROR(__xludf.DUMMYFUNCTION("""COMPUTED_VALUE"""),"MMS03")</f>
        <v>MMS03</v>
      </c>
      <c r="AL1605" s="3"/>
    </row>
    <row r="1606" ht="15.75" customHeight="1">
      <c r="A1606" s="1" t="str">
        <f>IFERROR(__xludf.DUMMYFUNCTION("""COMPUTED_VALUE"""),"22291")</f>
        <v>22291</v>
      </c>
      <c r="B1606" s="2">
        <f>IFERROR(__xludf.DUMMYFUNCTION("""COMPUTED_VALUE"""),22291.0)</f>
        <v>22291</v>
      </c>
      <c r="C1606" s="3" t="str">
        <f>IFERROR(__xludf.DUMMYFUNCTION("""COMPUTED_VALUE"""),"MBC ลาดพร้าว ซอย1 กรุงเทพฯ")</f>
        <v>MBC ลาดพร้าว ซอย1 กรุงเทพฯ</v>
      </c>
      <c r="D1606" s="3" t="str">
        <f>IFERROR(__xludf.DUMMYFUNCTION("""COMPUTED_VALUE"""),"BCM LADPRAO SOI 1")</f>
        <v>BCM LADPRAO SOI 1</v>
      </c>
      <c r="E1606" s="1" t="str">
        <f>IFERROR(__xludf.DUMMYFUNCTION("""COMPUTED_VALUE"""),"บิ๊กซี MINI")</f>
        <v>บิ๊กซี MINI</v>
      </c>
      <c r="F1606" s="1" t="str">
        <f>IFERROR(__xludf.DUMMYFUNCTION("""COMPUTED_VALUE"""),"291008")</f>
        <v>291008</v>
      </c>
      <c r="G1606" s="1" t="str">
        <f>IFERROR(__xludf.DUMMYFUNCTION("""COMPUTED_VALUE"""),"น.ส.รัชดาพร อีศรัตน์")</f>
        <v>น.ส.รัชดาพร อีศรัตน์</v>
      </c>
      <c r="H1606" s="1" t="str">
        <f>IFERROR(__xludf.DUMMYFUNCTION("""COMPUTED_VALUE"""),"373540")</f>
        <v>373540</v>
      </c>
      <c r="I1606" s="1" t="str">
        <f>IFERROR(__xludf.DUMMYFUNCTION("""COMPUTED_VALUE"""),"นายทศพร พึ่งพบ")</f>
        <v>นายทศพร พึ่งพบ</v>
      </c>
      <c r="J1606" s="3">
        <f>IFERROR(__xludf.DUMMYFUNCTION("""COMPUTED_VALUE"""),2452378.0)</f>
        <v>2452378</v>
      </c>
      <c r="K1606" s="3" t="str">
        <f>IFERROR(__xludf.DUMMYFUNCTION("""COMPUTED_VALUE"""),"นายศักดิ์ดา พวงประดับ")</f>
        <v>นายศักดิ์ดา พวงประดับ</v>
      </c>
      <c r="L1606" s="1" t="str">
        <f>IFERROR(__xludf.DUMMYFUNCTION("""COMPUTED_VALUE"""),"11 K.Sakda P.")</f>
        <v>11 K.Sakda P.</v>
      </c>
      <c r="M1606" s="1" t="str">
        <f>IFERROR(__xludf.DUMMYFUNCTION("""COMPUTED_VALUE"""),"065-929-1279")</f>
        <v>065-929-1279</v>
      </c>
      <c r="N1606" s="3">
        <f>IFERROR(__xludf.DUMMYFUNCTION("""COMPUTED_VALUE"""),21002.0)</f>
        <v>21002</v>
      </c>
      <c r="O1606" s="3" t="str">
        <f>IFERROR(__xludf.DUMMYFUNCTION("""COMPUTED_VALUE"""),"MBC อุดมสุข")</f>
        <v>MBC อุดมสุข</v>
      </c>
      <c r="P1606" s="4">
        <f>IFERROR(__xludf.DUMMYFUNCTION("""COMPUTED_VALUE"""),44253.0)</f>
        <v>44253</v>
      </c>
      <c r="Q1606" s="3" t="str">
        <f>IFERROR(__xludf.DUMMYFUNCTION("""COMPUTED_VALUE"""),"A")</f>
        <v>A</v>
      </c>
      <c r="R1606" s="3" t="str">
        <f>IFERROR(__xludf.DUMMYFUNCTION("""COMPUTED_VALUE"""),"Small Format")</f>
        <v>Small Format</v>
      </c>
      <c r="S1606" s="3" t="str">
        <f>IFERROR(__xludf.DUMMYFUNCTION("""COMPUTED_VALUE"""),"BCM")</f>
        <v>BCM</v>
      </c>
      <c r="T1606" s="3" t="str">
        <f>IFERROR(__xludf.DUMMYFUNCTION("""COMPUTED_VALUE"""),"#N/A")</f>
        <v>#N/A</v>
      </c>
      <c r="U1606" s="3" t="str">
        <f>IFERROR(__xludf.DUMMYFUNCTION("""COMPUTED_VALUE"""),"#N/A")</f>
        <v>#N/A</v>
      </c>
      <c r="V1606" s="3" t="str">
        <f>IFERROR(__xludf.DUMMYFUNCTION("""COMPUTED_VALUE"""),"N")</f>
        <v>N</v>
      </c>
      <c r="W1606" s="3">
        <f>IFERROR(__xludf.DUMMYFUNCTION("""COMPUTED_VALUE"""),210308.0)</f>
        <v>210308</v>
      </c>
      <c r="X1606" s="3" t="str">
        <f>IFERROR(__xludf.DUMMYFUNCTION("""COMPUTED_VALUE"""),"90/37 ซอยลาดพร้าว 1 แขวงจอมพล เขตจตุจักร จังหวัดกรุงเทพมหานคร 10900")</f>
        <v>90/37 ซอยลาดพร้าว 1 แขวงจอมพล เขตจตุจักร จังหวัดกรุงเทพมหานคร 10900</v>
      </c>
      <c r="Y1606" s="3" t="str">
        <f>IFERROR(__xludf.DUMMYFUNCTION("""COMPUTED_VALUE"""),"ลาดพร้าว")</f>
        <v>ลาดพร้าว</v>
      </c>
      <c r="Z1606" s="3" t="str">
        <f>IFERROR(__xludf.DUMMYFUNCTION("""COMPUTED_VALUE"""),"จอมพล")</f>
        <v>จอมพล</v>
      </c>
      <c r="AA1606" s="3" t="str">
        <f>IFERROR(__xludf.DUMMYFUNCTION("""COMPUTED_VALUE"""),"จตุจักร")</f>
        <v>จตุจักร</v>
      </c>
      <c r="AB1606" s="3" t="str">
        <f>IFERROR(__xludf.DUMMYFUNCTION("""COMPUTED_VALUE"""),"กรุงเทพมหานคร")</f>
        <v>กรุงเทพมหานคร</v>
      </c>
      <c r="AC1606" s="3">
        <f>IFERROR(__xludf.DUMMYFUNCTION("""COMPUTED_VALUE"""),10900.0)</f>
        <v>10900</v>
      </c>
      <c r="AD1606" s="3">
        <f>IFERROR(__xludf.DUMMYFUNCTION("""COMPUTED_VALUE"""),13.815804)</f>
        <v>13.815804</v>
      </c>
      <c r="AE1606" s="3">
        <f>IFERROR(__xludf.DUMMYFUNCTION("""COMPUTED_VALUE"""),100.565348)</f>
        <v>100.565348</v>
      </c>
      <c r="AF1606" s="3" t="str">
        <f>IFERROR(__xludf.DUMMYFUNCTION("""COMPUTED_VALUE"""),"MBC ลาดพร้าว ซอย1 กรุงเทพฯ-22291")</f>
        <v>MBC ลาดพร้าว ซอย1 กรุงเทพฯ-22291</v>
      </c>
      <c r="AG1606" s="3" t="str">
        <f>IFERROR(__xludf.DUMMYFUNCTION("""COMPUTED_VALUE"""),"กลาง")</f>
        <v>กลาง</v>
      </c>
      <c r="AH1606" s="3" t="str">
        <f>IFERROR(__xludf.DUMMYFUNCTION("""COMPUTED_VALUE"""),"#N/A")</f>
        <v>#N/A</v>
      </c>
      <c r="AI1606" s="3" t="str">
        <f>IFERROR(__xludf.DUMMYFUNCTION("""COMPUTED_VALUE"""),"Out of warranty")</f>
        <v>Out of warranty</v>
      </c>
      <c r="AJ1606" s="3">
        <f>IFERROR(__xludf.DUMMYFUNCTION("""COMPUTED_VALUE"""),59.0)</f>
        <v>59</v>
      </c>
      <c r="AK1606" s="3" t="str">
        <f>IFERROR(__xludf.DUMMYFUNCTION("""COMPUTED_VALUE"""),"MMS01")</f>
        <v>MMS01</v>
      </c>
      <c r="AL1606" s="3"/>
    </row>
    <row r="1607" ht="15.75" customHeight="1">
      <c r="A1607" s="1" t="str">
        <f>IFERROR(__xludf.DUMMYFUNCTION("""COMPUTED_VALUE"""),"22292")</f>
        <v>22292</v>
      </c>
      <c r="B1607" s="2">
        <f>IFERROR(__xludf.DUMMYFUNCTION("""COMPUTED_VALUE"""),22292.0)</f>
        <v>22292</v>
      </c>
      <c r="C1607" s="3" t="str">
        <f>IFERROR(__xludf.DUMMYFUNCTION("""COMPUTED_VALUE"""),"MBC โพนสวรรค์ นครพนม")</f>
        <v>MBC โพนสวรรค์ นครพนม</v>
      </c>
      <c r="D1607" s="3" t="str">
        <f>IFERROR(__xludf.DUMMYFUNCTION("""COMPUTED_VALUE"""),"BCM PHON SAWAN")</f>
        <v>BCM PHON SAWAN</v>
      </c>
      <c r="E1607" s="1" t="str">
        <f>IFERROR(__xludf.DUMMYFUNCTION("""COMPUTED_VALUE"""),"บิ๊กซี MINI")</f>
        <v>บิ๊กซี MINI</v>
      </c>
      <c r="F1607" s="1" t="str">
        <f>IFERROR(__xludf.DUMMYFUNCTION("""COMPUTED_VALUE"""),"291105")</f>
        <v>291105</v>
      </c>
      <c r="G1607" s="1" t="str">
        <f>IFERROR(__xludf.DUMMYFUNCTION("""COMPUTED_VALUE"""),"นายสราวุฒิ พณิชยกุล")</f>
        <v>นายสราวุฒิ พณิชยกุล</v>
      </c>
      <c r="H1607" s="1" t="str">
        <f>IFERROR(__xludf.DUMMYFUNCTION("""COMPUTED_VALUE"""),"392885")</f>
        <v>392885</v>
      </c>
      <c r="I1607" s="1" t="str">
        <f>IFERROR(__xludf.DUMMYFUNCTION("""COMPUTED_VALUE"""),"น.ส.วราพร จันปลิว")</f>
        <v>น.ส.วราพร จันปลิว</v>
      </c>
      <c r="J1607" s="3">
        <f>IFERROR(__xludf.DUMMYFUNCTION("""COMPUTED_VALUE"""),296868.0)</f>
        <v>296868</v>
      </c>
      <c r="K1607" s="3" t="str">
        <f>IFERROR(__xludf.DUMMYFUNCTION("""COMPUTED_VALUE"""),"นายพีระพงษ์ แก้วดวงดี")</f>
        <v>นายพีระพงษ์ แก้วดวงดี</v>
      </c>
      <c r="L1607" s="1" t="str">
        <f>IFERROR(__xludf.DUMMYFUNCTION("""COMPUTED_VALUE"""),"03 K.Peerapong K.")</f>
        <v>03 K.Peerapong K.</v>
      </c>
      <c r="M1607" s="1" t="str">
        <f>IFERROR(__xludf.DUMMYFUNCTION("""COMPUTED_VALUE"""),"089-002-6599")</f>
        <v>089-002-6599</v>
      </c>
      <c r="N1607" s="3">
        <f>IFERROR(__xludf.DUMMYFUNCTION("""COMPUTED_VALUE"""),21946.0)</f>
        <v>21946</v>
      </c>
      <c r="O1607" s="3" t="str">
        <f>IFERROR(__xludf.DUMMYFUNCTION("""COMPUTED_VALUE"""),"MBC เซกา บึงกาฬ")</f>
        <v>MBC เซกา บึงกาฬ</v>
      </c>
      <c r="P1607" s="4">
        <f>IFERROR(__xludf.DUMMYFUNCTION("""COMPUTED_VALUE"""),44255.0)</f>
        <v>44255</v>
      </c>
      <c r="Q1607" s="3" t="str">
        <f>IFERROR(__xludf.DUMMYFUNCTION("""COMPUTED_VALUE"""),"A")</f>
        <v>A</v>
      </c>
      <c r="R1607" s="3" t="str">
        <f>IFERROR(__xludf.DUMMYFUNCTION("""COMPUTED_VALUE"""),"Small Format")</f>
        <v>Small Format</v>
      </c>
      <c r="S1607" s="3" t="str">
        <f>IFERROR(__xludf.DUMMYFUNCTION("""COMPUTED_VALUE"""),"BCM")</f>
        <v>BCM</v>
      </c>
      <c r="T1607" s="3" t="str">
        <f>IFERROR(__xludf.DUMMYFUNCTION("""COMPUTED_VALUE"""),"#N/A")</f>
        <v>#N/A</v>
      </c>
      <c r="U1607" s="3" t="str">
        <f>IFERROR(__xludf.DUMMYFUNCTION("""COMPUTED_VALUE"""),"#N/A")</f>
        <v>#N/A</v>
      </c>
      <c r="V1607" s="3" t="str">
        <f>IFERROR(__xludf.DUMMYFUNCTION("""COMPUTED_VALUE"""),"N")</f>
        <v>N</v>
      </c>
      <c r="W1607" s="3">
        <f>IFERROR(__xludf.DUMMYFUNCTION("""COMPUTED_VALUE"""),210324.0)</f>
        <v>210324</v>
      </c>
      <c r="X1607" s="3" t="str">
        <f>IFERROR(__xludf.DUMMYFUNCTION("""COMPUTED_VALUE"""),"639/1 หมู่12 ตำบลโพนสวรรค์ อำเภอโพนสวรรค์ จังหวัดนครพนม 48190")</f>
        <v>639/1 หมู่12 ตำบลโพนสวรรค์ อำเภอโพนสวรรค์ จังหวัดนครพนม 48190</v>
      </c>
      <c r="Y1607" s="3"/>
      <c r="Z1607" s="3" t="str">
        <f>IFERROR(__xludf.DUMMYFUNCTION("""COMPUTED_VALUE"""),"โพนสวรรค์")</f>
        <v>โพนสวรรค์</v>
      </c>
      <c r="AA1607" s="3" t="str">
        <f>IFERROR(__xludf.DUMMYFUNCTION("""COMPUTED_VALUE"""),"โพนสวรรค์")</f>
        <v>โพนสวรรค์</v>
      </c>
      <c r="AB1607" s="3" t="str">
        <f>IFERROR(__xludf.DUMMYFUNCTION("""COMPUTED_VALUE"""),"นครพนม")</f>
        <v>นครพนม</v>
      </c>
      <c r="AC1607" s="3">
        <f>IFERROR(__xludf.DUMMYFUNCTION("""COMPUTED_VALUE"""),48190.0)</f>
        <v>48190</v>
      </c>
      <c r="AD1607" s="3">
        <f>IFERROR(__xludf.DUMMYFUNCTION("""COMPUTED_VALUE"""),17.451061)</f>
        <v>17.451061</v>
      </c>
      <c r="AE1607" s="3">
        <f>IFERROR(__xludf.DUMMYFUNCTION("""COMPUTED_VALUE"""),104.459037)</f>
        <v>104.459037</v>
      </c>
      <c r="AF1607" s="3" t="str">
        <f>IFERROR(__xludf.DUMMYFUNCTION("""COMPUTED_VALUE"""),"MBC โพนสวรรค์ นครพนม-22292")</f>
        <v>MBC โพนสวรรค์ นครพนม-22292</v>
      </c>
      <c r="AG1607" s="3" t="str">
        <f>IFERROR(__xludf.DUMMYFUNCTION("""COMPUTED_VALUE"""),"ตะวันออกเฉียงเหนือ")</f>
        <v>ตะวันออกเฉียงเหนือ</v>
      </c>
      <c r="AH1607" s="3" t="str">
        <f>IFERROR(__xludf.DUMMYFUNCTION("""COMPUTED_VALUE"""),"#N/A")</f>
        <v>#N/A</v>
      </c>
      <c r="AI1607" s="3" t="str">
        <f>IFERROR(__xludf.DUMMYFUNCTION("""COMPUTED_VALUE"""),"Out of warranty")</f>
        <v>Out of warranty</v>
      </c>
      <c r="AJ1607" s="3">
        <f>IFERROR(__xludf.DUMMYFUNCTION("""COMPUTED_VALUE"""),59.0)</f>
        <v>59</v>
      </c>
      <c r="AK1607" s="3" t="str">
        <f>IFERROR(__xludf.DUMMYFUNCTION("""COMPUTED_VALUE"""),"MMS12")</f>
        <v>MMS12</v>
      </c>
      <c r="AL1607" s="3"/>
    </row>
    <row r="1608" ht="15.75" customHeight="1">
      <c r="A1608" s="1" t="str">
        <f>IFERROR(__xludf.DUMMYFUNCTION("""COMPUTED_VALUE"""),"22293")</f>
        <v>22293</v>
      </c>
      <c r="B1608" s="2">
        <f>IFERROR(__xludf.DUMMYFUNCTION("""COMPUTED_VALUE"""),22293.0)</f>
        <v>22293</v>
      </c>
      <c r="C1608" s="3" t="str">
        <f>IFERROR(__xludf.DUMMYFUNCTION("""COMPUTED_VALUE"""),"MBC ตลาดเมืองใหม่ ยะลา")</f>
        <v>MBC ตลาดเมืองใหม่ ยะลา</v>
      </c>
      <c r="D1608" s="3" t="str">
        <f>IFERROR(__xludf.DUMMYFUNCTION("""COMPUTED_VALUE"""),"BCM TALAD MUEANG MAI, YALA")</f>
        <v>BCM TALAD MUEANG MAI, YALA</v>
      </c>
      <c r="E1608" s="1" t="str">
        <f>IFERROR(__xludf.DUMMYFUNCTION("""COMPUTED_VALUE"""),"บิ๊กซี MINI")</f>
        <v>บิ๊กซี MINI</v>
      </c>
      <c r="F1608" s="1" t="str">
        <f>IFERROR(__xludf.DUMMYFUNCTION("""COMPUTED_VALUE"""),"250760")</f>
        <v>250760</v>
      </c>
      <c r="G1608" s="1" t="str">
        <f>IFERROR(__xludf.DUMMYFUNCTION("""COMPUTED_VALUE"""),"นายประทวน สาราบรรณ์")</f>
        <v>นายประทวน สาราบรรณ์</v>
      </c>
      <c r="H1608" s="1" t="str">
        <f>IFERROR(__xludf.DUMMYFUNCTION("""COMPUTED_VALUE"""),"485279")</f>
        <v>485279</v>
      </c>
      <c r="I1608" s="1" t="str">
        <f>IFERROR(__xludf.DUMMYFUNCTION("""COMPUTED_VALUE"""),"นายสิริพงศ์ ชูชื่น")</f>
        <v>นายสิริพงศ์ ชูชื่น</v>
      </c>
      <c r="J1608" s="3">
        <f>IFERROR(__xludf.DUMMYFUNCTION("""COMPUTED_VALUE"""),2.0470331E7)</f>
        <v>20470331</v>
      </c>
      <c r="K1608" s="3" t="str">
        <f>IFERROR(__xludf.DUMMYFUNCTION("""COMPUTED_VALUE"""),"นายสมชาย ลักษณะสุวรรณ")</f>
        <v>นายสมชาย ลักษณะสุวรรณ</v>
      </c>
      <c r="L1608" s="1" t="str">
        <f>IFERROR(__xludf.DUMMYFUNCTION("""COMPUTED_VALUE"""),"15 K.Somchai L")</f>
        <v>15 K.Somchai L</v>
      </c>
      <c r="M1608" s="1" t="str">
        <f>IFERROR(__xludf.DUMMYFUNCTION("""COMPUTED_VALUE"""),"0655107372")</f>
        <v>0655107372</v>
      </c>
      <c r="N1608" s="3">
        <f>IFERROR(__xludf.DUMMYFUNCTION("""COMPUTED_VALUE"""),21723.0)</f>
        <v>21723</v>
      </c>
      <c r="O1608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08" s="4">
        <f>IFERROR(__xludf.DUMMYFUNCTION("""COMPUTED_VALUE"""),44287.0)</f>
        <v>44287</v>
      </c>
      <c r="Q1608" s="3" t="str">
        <f>IFERROR(__xludf.DUMMYFUNCTION("""COMPUTED_VALUE"""),"A")</f>
        <v>A</v>
      </c>
      <c r="R1608" s="3" t="str">
        <f>IFERROR(__xludf.DUMMYFUNCTION("""COMPUTED_VALUE"""),"Small Format")</f>
        <v>Small Format</v>
      </c>
      <c r="S1608" s="3" t="str">
        <f>IFERROR(__xludf.DUMMYFUNCTION("""COMPUTED_VALUE"""),"BCM")</f>
        <v>BCM</v>
      </c>
      <c r="T1608" s="3" t="str">
        <f>IFERROR(__xludf.DUMMYFUNCTION("""COMPUTED_VALUE"""),"#N/A")</f>
        <v>#N/A</v>
      </c>
      <c r="U1608" s="3" t="str">
        <f>IFERROR(__xludf.DUMMYFUNCTION("""COMPUTED_VALUE"""),"#N/A")</f>
        <v>#N/A</v>
      </c>
      <c r="V1608" s="3" t="str">
        <f>IFERROR(__xludf.DUMMYFUNCTION("""COMPUTED_VALUE"""),"N")</f>
        <v>N</v>
      </c>
      <c r="W1608" s="3">
        <f>IFERROR(__xludf.DUMMYFUNCTION("""COMPUTED_VALUE"""),210251.0)</f>
        <v>210251</v>
      </c>
      <c r="X1608" s="3" t="str">
        <f>IFERROR(__xludf.DUMMYFUNCTION("""COMPUTED_VALUE"""),"243 ถนนเปรมจิตต์-สุรพันธ์ ตำบลสะเตง อำเภอเมืองยะลา จังหวัดยะลา 95000")</f>
        <v>243 ถนนเปรมจิตต์-สุรพันธ์ ตำบลสะเตง อำเภอเมืองยะลา จังหวัดยะลา 95000</v>
      </c>
      <c r="Y1608" s="3" t="str">
        <f>IFERROR(__xludf.DUMMYFUNCTION("""COMPUTED_VALUE"""),"เปรมจิตต์-สุรพันธ์")</f>
        <v>เปรมจิตต์-สุรพันธ์</v>
      </c>
      <c r="Z1608" s="3" t="str">
        <f>IFERROR(__xludf.DUMMYFUNCTION("""COMPUTED_VALUE"""),"สะเตง")</f>
        <v>สะเตง</v>
      </c>
      <c r="AA1608" s="3" t="str">
        <f>IFERROR(__xludf.DUMMYFUNCTION("""COMPUTED_VALUE"""),"เมือง")</f>
        <v>เมือง</v>
      </c>
      <c r="AB1608" s="3" t="str">
        <f>IFERROR(__xludf.DUMMYFUNCTION("""COMPUTED_VALUE"""),"ยะลา")</f>
        <v>ยะลา</v>
      </c>
      <c r="AC1608" s="3">
        <f>IFERROR(__xludf.DUMMYFUNCTION("""COMPUTED_VALUE"""),95000.0)</f>
        <v>95000</v>
      </c>
      <c r="AD1608" s="3">
        <f>IFERROR(__xludf.DUMMYFUNCTION("""COMPUTED_VALUE"""),6.557197)</f>
        <v>6.557197</v>
      </c>
      <c r="AE1608" s="3">
        <f>IFERROR(__xludf.DUMMYFUNCTION("""COMPUTED_VALUE"""),101.279017)</f>
        <v>101.279017</v>
      </c>
      <c r="AF1608" s="3" t="str">
        <f>IFERROR(__xludf.DUMMYFUNCTION("""COMPUTED_VALUE"""),"MBC ตลาดเมืองใหม่ ยะลา-22293")</f>
        <v>MBC ตลาดเมืองใหม่ ยะลา-22293</v>
      </c>
      <c r="AG1608" s="3" t="str">
        <f>IFERROR(__xludf.DUMMYFUNCTION("""COMPUTED_VALUE"""),"ใต้")</f>
        <v>ใต้</v>
      </c>
      <c r="AH1608" s="3" t="str">
        <f>IFERROR(__xludf.DUMMYFUNCTION("""COMPUTED_VALUE"""),"#N/A")</f>
        <v>#N/A</v>
      </c>
      <c r="AI1608" s="3" t="str">
        <f>IFERROR(__xludf.DUMMYFUNCTION("""COMPUTED_VALUE"""),"Out of warranty")</f>
        <v>Out of warranty</v>
      </c>
      <c r="AJ1608" s="3">
        <f>IFERROR(__xludf.DUMMYFUNCTION("""COMPUTED_VALUE"""),58.0)</f>
        <v>58</v>
      </c>
      <c r="AK1608" s="3" t="str">
        <f>IFERROR(__xludf.DUMMYFUNCTION("""COMPUTED_VALUE"""),"MMS16")</f>
        <v>MMS16</v>
      </c>
      <c r="AL1608" s="3"/>
    </row>
    <row r="1609" ht="15.75" customHeight="1">
      <c r="A1609" s="1" t="str">
        <f>IFERROR(__xludf.DUMMYFUNCTION("""COMPUTED_VALUE"""),"22294")</f>
        <v>22294</v>
      </c>
      <c r="B1609" s="2">
        <f>IFERROR(__xludf.DUMMYFUNCTION("""COMPUTED_VALUE"""),22294.0)</f>
        <v>22294</v>
      </c>
      <c r="C1609" s="3" t="str">
        <f>IFERROR(__xludf.DUMMYFUNCTION("""COMPUTED_VALUE"""),"MBC ถ.ลาดพร้าว-วังหิน กรุงเทพฯ")</f>
        <v>MBC ถ.ลาดพร้าว-วังหิน กรุงเทพฯ</v>
      </c>
      <c r="D1609" s="3" t="str">
        <f>IFERROR(__xludf.DUMMYFUNCTION("""COMPUTED_VALUE"""),"BCM THANON LADPRAO-WANG HIN")</f>
        <v>BCM THANON LADPRAO-WANG HIN</v>
      </c>
      <c r="E1609" s="1" t="str">
        <f>IFERROR(__xludf.DUMMYFUNCTION("""COMPUTED_VALUE"""),"บิ๊กซี MINI")</f>
        <v>บิ๊กซี MINI</v>
      </c>
      <c r="F1609" s="1" t="str">
        <f>IFERROR(__xludf.DUMMYFUNCTION("""COMPUTED_VALUE"""),"291008")</f>
        <v>291008</v>
      </c>
      <c r="G1609" s="1" t="str">
        <f>IFERROR(__xludf.DUMMYFUNCTION("""COMPUTED_VALUE"""),"น.ส.รัชดาพร อีศรัตน์")</f>
        <v>น.ส.รัชดาพร อีศรัตน์</v>
      </c>
      <c r="H1609" s="1" t="str">
        <f>IFERROR(__xludf.DUMMYFUNCTION("""COMPUTED_VALUE"""),"468773")</f>
        <v>468773</v>
      </c>
      <c r="I1609" s="1" t="str">
        <f>IFERROR(__xludf.DUMMYFUNCTION("""COMPUTED_VALUE"""),"น.ส.พรพรรณ แซ่แต้")</f>
        <v>น.ส.พรพรรณ แซ่แต้</v>
      </c>
      <c r="J1609" s="3">
        <f>IFERROR(__xludf.DUMMYFUNCTION("""COMPUTED_VALUE"""),2452378.0)</f>
        <v>2452378</v>
      </c>
      <c r="K1609" s="3" t="str">
        <f>IFERROR(__xludf.DUMMYFUNCTION("""COMPUTED_VALUE"""),"นายศักดิ์ดา พวงประดับ")</f>
        <v>นายศักดิ์ดา พวงประดับ</v>
      </c>
      <c r="L1609" s="1" t="str">
        <f>IFERROR(__xludf.DUMMYFUNCTION("""COMPUTED_VALUE"""),"11 K.Sakda P.")</f>
        <v>11 K.Sakda P.</v>
      </c>
      <c r="M1609" s="1" t="str">
        <f>IFERROR(__xludf.DUMMYFUNCTION("""COMPUTED_VALUE"""),"065-929-1279")</f>
        <v>065-929-1279</v>
      </c>
      <c r="N1609" s="3">
        <f>IFERROR(__xludf.DUMMYFUNCTION("""COMPUTED_VALUE"""),21002.0)</f>
        <v>21002</v>
      </c>
      <c r="O1609" s="3" t="str">
        <f>IFERROR(__xludf.DUMMYFUNCTION("""COMPUTED_VALUE"""),"MBC อุดมสุข")</f>
        <v>MBC อุดมสุข</v>
      </c>
      <c r="P1609" s="4">
        <f>IFERROR(__xludf.DUMMYFUNCTION("""COMPUTED_VALUE"""),44261.0)</f>
        <v>44261</v>
      </c>
      <c r="Q1609" s="3" t="str">
        <f>IFERROR(__xludf.DUMMYFUNCTION("""COMPUTED_VALUE"""),"A")</f>
        <v>A</v>
      </c>
      <c r="R1609" s="3" t="str">
        <f>IFERROR(__xludf.DUMMYFUNCTION("""COMPUTED_VALUE"""),"Small Format")</f>
        <v>Small Format</v>
      </c>
      <c r="S1609" s="3" t="str">
        <f>IFERROR(__xludf.DUMMYFUNCTION("""COMPUTED_VALUE"""),"BCM")</f>
        <v>BCM</v>
      </c>
      <c r="T1609" s="3" t="str">
        <f>IFERROR(__xludf.DUMMYFUNCTION("""COMPUTED_VALUE"""),"#N/A")</f>
        <v>#N/A</v>
      </c>
      <c r="U1609" s="3" t="str">
        <f>IFERROR(__xludf.DUMMYFUNCTION("""COMPUTED_VALUE"""),"#N/A")</f>
        <v>#N/A</v>
      </c>
      <c r="V1609" s="3" t="str">
        <f>IFERROR(__xludf.DUMMYFUNCTION("""COMPUTED_VALUE"""),"N")</f>
        <v>N</v>
      </c>
      <c r="W1609" s="3">
        <f>IFERROR(__xludf.DUMMYFUNCTION("""COMPUTED_VALUE"""),210326.0)</f>
        <v>210326</v>
      </c>
      <c r="X1609" s="3" t="str">
        <f>IFERROR(__xludf.DUMMYFUNCTION("""COMPUTED_VALUE"""),"435/1 ถนนลาดพร้าววังหิน แขวงลาดพร้าว เขตลาดพร้าว จังหวัดกรุงเทพมหานคร 10230")</f>
        <v>435/1 ถนนลาดพร้าววังหิน แขวงลาดพร้าว เขตลาดพร้าว จังหวัดกรุงเทพมหานคร 10230</v>
      </c>
      <c r="Y1609" s="3" t="str">
        <f>IFERROR(__xludf.DUMMYFUNCTION("""COMPUTED_VALUE"""),"ลาดพร้าววังหิน")</f>
        <v>ลาดพร้าววังหิน</v>
      </c>
      <c r="Z1609" s="3" t="str">
        <f>IFERROR(__xludf.DUMMYFUNCTION("""COMPUTED_VALUE"""),"ลาดพร้าว")</f>
        <v>ลาดพร้าว</v>
      </c>
      <c r="AA1609" s="3" t="str">
        <f>IFERROR(__xludf.DUMMYFUNCTION("""COMPUTED_VALUE"""),"ลาดพร้าว")</f>
        <v>ลาดพร้าว</v>
      </c>
      <c r="AB1609" s="3" t="str">
        <f>IFERROR(__xludf.DUMMYFUNCTION("""COMPUTED_VALUE"""),"กรุงเทพมหานคร")</f>
        <v>กรุงเทพมหานคร</v>
      </c>
      <c r="AC1609" s="3">
        <f>IFERROR(__xludf.DUMMYFUNCTION("""COMPUTED_VALUE"""),10230.0)</f>
        <v>10230</v>
      </c>
      <c r="AD1609" s="3">
        <f>IFERROR(__xludf.DUMMYFUNCTION("""COMPUTED_VALUE"""),13.815655)</f>
        <v>13.815655</v>
      </c>
      <c r="AE1609" s="3">
        <f>IFERROR(__xludf.DUMMYFUNCTION("""COMPUTED_VALUE"""),100.590992)</f>
        <v>100.590992</v>
      </c>
      <c r="AF1609" s="3" t="str">
        <f>IFERROR(__xludf.DUMMYFUNCTION("""COMPUTED_VALUE"""),"MBC ถ.ลาดพร้าว-วังหิน กรุงเทพฯ-22294")</f>
        <v>MBC ถ.ลาดพร้าว-วังหิน กรุงเทพฯ-22294</v>
      </c>
      <c r="AG1609" s="3" t="str">
        <f>IFERROR(__xludf.DUMMYFUNCTION("""COMPUTED_VALUE"""),"กลาง")</f>
        <v>กลาง</v>
      </c>
      <c r="AH1609" s="3" t="str">
        <f>IFERROR(__xludf.DUMMYFUNCTION("""COMPUTED_VALUE"""),"#N/A")</f>
        <v>#N/A</v>
      </c>
      <c r="AI1609" s="3" t="str">
        <f>IFERROR(__xludf.DUMMYFUNCTION("""COMPUTED_VALUE"""),"Out of warranty")</f>
        <v>Out of warranty</v>
      </c>
      <c r="AJ1609" s="3">
        <f>IFERROR(__xludf.DUMMYFUNCTION("""COMPUTED_VALUE"""),59.0)</f>
        <v>59</v>
      </c>
      <c r="AK1609" s="3" t="str">
        <f>IFERROR(__xludf.DUMMYFUNCTION("""COMPUTED_VALUE"""),"MMS01")</f>
        <v>MMS01</v>
      </c>
      <c r="AL1609" s="3"/>
    </row>
    <row r="1610" ht="15.75" customHeight="1">
      <c r="A1610" s="1" t="str">
        <f>IFERROR(__xludf.DUMMYFUNCTION("""COMPUTED_VALUE"""),"22295")</f>
        <v>22295</v>
      </c>
      <c r="B1610" s="2">
        <f>IFERROR(__xludf.DUMMYFUNCTION("""COMPUTED_VALUE"""),22295.0)</f>
        <v>22295</v>
      </c>
      <c r="C1610" s="3" t="str">
        <f>IFERROR(__xludf.DUMMYFUNCTION("""COMPUTED_VALUE"""),"MBC แก้งสนามนาง นครราชสีมา")</f>
        <v>MBC แก้งสนามนาง นครราชสีมา</v>
      </c>
      <c r="D1610" s="3" t="str">
        <f>IFERROR(__xludf.DUMMYFUNCTION("""COMPUTED_VALUE"""),"BCM KAENG SANAM NANG")</f>
        <v>BCM KAENG SANAM NANG</v>
      </c>
      <c r="E1610" s="1" t="str">
        <f>IFERROR(__xludf.DUMMYFUNCTION("""COMPUTED_VALUE"""),"บิ๊กซี MINI")</f>
        <v>บิ๊กซี MINI</v>
      </c>
      <c r="F1610" s="1" t="str">
        <f>IFERROR(__xludf.DUMMYFUNCTION("""COMPUTED_VALUE"""),"291105")</f>
        <v>291105</v>
      </c>
      <c r="G1610" s="1" t="str">
        <f>IFERROR(__xludf.DUMMYFUNCTION("""COMPUTED_VALUE"""),"นายสราวุฒิ พณิชยกุล")</f>
        <v>นายสราวุฒิ พณิชยกุล</v>
      </c>
      <c r="H1610" s="1" t="str">
        <f>IFERROR(__xludf.DUMMYFUNCTION("""COMPUTED_VALUE"""),"371396")</f>
        <v>371396</v>
      </c>
      <c r="I1610" s="1" t="str">
        <f>IFERROR(__xludf.DUMMYFUNCTION("""COMPUTED_VALUE"""),"น.ส.สุภาวดี วิลัยพร")</f>
        <v>น.ส.สุภาวดี วิลัยพร</v>
      </c>
      <c r="J1610" s="3">
        <f>IFERROR(__xludf.DUMMYFUNCTION("""COMPUTED_VALUE"""),295886.0)</f>
        <v>295886</v>
      </c>
      <c r="K1610" s="3" t="str">
        <f>IFERROR(__xludf.DUMMYFUNCTION("""COMPUTED_VALUE"""),"นายจิระพงษ์ โพธิ์นิล")</f>
        <v>นายจิระพงษ์ โพธิ์นิล</v>
      </c>
      <c r="L1610" s="1" t="str">
        <f>IFERROR(__xludf.DUMMYFUNCTION("""COMPUTED_VALUE"""),"นายจิระพงษ์ โพธิ์นิล")</f>
        <v>นายจิระพงษ์ โพธิ์นิล</v>
      </c>
      <c r="M1610" s="1" t="str">
        <f>IFERROR(__xludf.DUMMYFUNCTION("""COMPUTED_VALUE"""),"0933290754")</f>
        <v>0933290754</v>
      </c>
      <c r="N1610" s="3">
        <f>IFERROR(__xludf.DUMMYFUNCTION("""COMPUTED_VALUE"""),21622.0)</f>
        <v>21622</v>
      </c>
      <c r="O1610" s="3" t="str">
        <f>IFERROR(__xludf.DUMMYFUNCTION("""COMPUTED_VALUE"""),"MBC ตลาดบ้านดอน")</f>
        <v>MBC ตลาดบ้านดอน</v>
      </c>
      <c r="P1610" s="4">
        <f>IFERROR(__xludf.DUMMYFUNCTION("""COMPUTED_VALUE"""),44267.0)</f>
        <v>44267</v>
      </c>
      <c r="Q1610" s="3" t="str">
        <f>IFERROR(__xludf.DUMMYFUNCTION("""COMPUTED_VALUE"""),"I")</f>
        <v>I</v>
      </c>
      <c r="R1610" s="3" t="str">
        <f>IFERROR(__xludf.DUMMYFUNCTION("""COMPUTED_VALUE"""),"Small Format")</f>
        <v>Small Format</v>
      </c>
      <c r="S1610" s="3" t="str">
        <f>IFERROR(__xludf.DUMMYFUNCTION("""COMPUTED_VALUE"""),"BCM")</f>
        <v>BCM</v>
      </c>
      <c r="T1610" s="3" t="str">
        <f>IFERROR(__xludf.DUMMYFUNCTION("""COMPUTED_VALUE"""),"#N/A")</f>
        <v>#N/A</v>
      </c>
      <c r="U1610" s="3" t="str">
        <f>IFERROR(__xludf.DUMMYFUNCTION("""COMPUTED_VALUE"""),"#N/A")</f>
        <v>#N/A</v>
      </c>
      <c r="V1610" s="3" t="str">
        <f>IFERROR(__xludf.DUMMYFUNCTION("""COMPUTED_VALUE"""),"N")</f>
        <v>N</v>
      </c>
      <c r="W1610" s="3">
        <f>IFERROR(__xludf.DUMMYFUNCTION("""COMPUTED_VALUE"""),210334.0)</f>
        <v>210334</v>
      </c>
      <c r="X1610" s="3" t="str">
        <f>IFERROR(__xludf.DUMMYFUNCTION("""COMPUTED_VALUE"""),"38-38/1 หมู่9 ตำบลแก้งสนามนาง อำเภอแก้งสนามนาง จังหวัดนครราชสีมา 30440")</f>
        <v>38-38/1 หมู่9 ตำบลแก้งสนามนาง อำเภอแก้งสนามนาง จังหวัดนครราชสีมา 30440</v>
      </c>
      <c r="Y1610" s="3"/>
      <c r="Z1610" s="3" t="str">
        <f>IFERROR(__xludf.DUMMYFUNCTION("""COMPUTED_VALUE"""),"แก้งสนามนาง")</f>
        <v>แก้งสนามนาง</v>
      </c>
      <c r="AA1610" s="3" t="str">
        <f>IFERROR(__xludf.DUMMYFUNCTION("""COMPUTED_VALUE"""),"แก้งสนามนาง")</f>
        <v>แก้งสนามนาง</v>
      </c>
      <c r="AB1610" s="3" t="str">
        <f>IFERROR(__xludf.DUMMYFUNCTION("""COMPUTED_VALUE"""),"นครราชสีมา")</f>
        <v>นครราชสีมา</v>
      </c>
      <c r="AC1610" s="3">
        <f>IFERROR(__xludf.DUMMYFUNCTION("""COMPUTED_VALUE"""),30440.0)</f>
        <v>30440</v>
      </c>
      <c r="AD1610" s="3">
        <f>IFERROR(__xludf.DUMMYFUNCTION("""COMPUTED_VALUE"""),15.749186)</f>
        <v>15.749186</v>
      </c>
      <c r="AE1610" s="3">
        <f>IFERROR(__xludf.DUMMYFUNCTION("""COMPUTED_VALUE"""),102.257501)</f>
        <v>102.257501</v>
      </c>
      <c r="AF1610" s="3" t="str">
        <f>IFERROR(__xludf.DUMMYFUNCTION("""COMPUTED_VALUE"""),"MBC แก้งสนามนาง นครราชสีมา-22295")</f>
        <v>MBC แก้งสนามนาง นครราชสีมา-22295</v>
      </c>
      <c r="AG1610" s="3" t="str">
        <f>IFERROR(__xludf.DUMMYFUNCTION("""COMPUTED_VALUE"""),"ตะวันออกเฉียงเหนือ")</f>
        <v>ตะวันออกเฉียงเหนือ</v>
      </c>
      <c r="AH1610" s="3" t="str">
        <f>IFERROR(__xludf.DUMMYFUNCTION("""COMPUTED_VALUE"""),"#N/A")</f>
        <v>#N/A</v>
      </c>
      <c r="AI1610" s="3" t="str">
        <f>IFERROR(__xludf.DUMMYFUNCTION("""COMPUTED_VALUE"""),"Out of warranty")</f>
        <v>Out of warranty</v>
      </c>
      <c r="AJ1610" s="3">
        <f>IFERROR(__xludf.DUMMYFUNCTION("""COMPUTED_VALUE"""),59.0)</f>
        <v>59</v>
      </c>
      <c r="AK1610" s="3" t="str">
        <f>IFERROR(__xludf.DUMMYFUNCTION("""COMPUTED_VALUE"""),"MMS11")</f>
        <v>MMS11</v>
      </c>
      <c r="AL1610" s="3"/>
    </row>
    <row r="1611" ht="15.75" customHeight="1">
      <c r="A1611" s="1" t="str">
        <f>IFERROR(__xludf.DUMMYFUNCTION("""COMPUTED_VALUE"""),"22296")</f>
        <v>22296</v>
      </c>
      <c r="B1611" s="2">
        <f>IFERROR(__xludf.DUMMYFUNCTION("""COMPUTED_VALUE"""),22296.0)</f>
        <v>22296</v>
      </c>
      <c r="C1611" s="3" t="str">
        <f>IFERROR(__xludf.DUMMYFUNCTION("""COMPUTED_VALUE"""),"MBC คำม่วง กาฬสินธุ์")</f>
        <v>MBC คำม่วง กาฬสินธุ์</v>
      </c>
      <c r="D1611" s="3" t="str">
        <f>IFERROR(__xludf.DUMMYFUNCTION("""COMPUTED_VALUE"""),"BCM KHAM MUANG")</f>
        <v>BCM KHAM MUANG</v>
      </c>
      <c r="E1611" s="1" t="str">
        <f>IFERROR(__xludf.DUMMYFUNCTION("""COMPUTED_VALUE"""),"บิ๊กซี MINI")</f>
        <v>บิ๊กซี MINI</v>
      </c>
      <c r="F1611" s="1" t="str">
        <f>IFERROR(__xludf.DUMMYFUNCTION("""COMPUTED_VALUE"""),"291105")</f>
        <v>291105</v>
      </c>
      <c r="G1611" s="1" t="str">
        <f>IFERROR(__xludf.DUMMYFUNCTION("""COMPUTED_VALUE"""),"นายสราวุฒิ พณิชยกุล")</f>
        <v>นายสราวุฒิ พณิชยกุล</v>
      </c>
      <c r="H1611" s="1" t="str">
        <f>IFERROR(__xludf.DUMMYFUNCTION("""COMPUTED_VALUE"""),"305119")</f>
        <v>305119</v>
      </c>
      <c r="I1611" s="1" t="str">
        <f>IFERROR(__xludf.DUMMYFUNCTION("""COMPUTED_VALUE"""),"นายไชยกร ลีพิบูลย์สวัสดิ์")</f>
        <v>นายไชยกร ลีพิบูลย์สวัสดิ์</v>
      </c>
      <c r="J1611" s="3">
        <f>IFERROR(__xludf.DUMMYFUNCTION("""COMPUTED_VALUE"""),295886.0)</f>
        <v>295886</v>
      </c>
      <c r="K1611" s="3" t="str">
        <f>IFERROR(__xludf.DUMMYFUNCTION("""COMPUTED_VALUE"""),"นายจิระพงษ์ โพธิ์นิล")</f>
        <v>นายจิระพงษ์ โพธิ์นิล</v>
      </c>
      <c r="L1611" s="1" t="str">
        <f>IFERROR(__xludf.DUMMYFUNCTION("""COMPUTED_VALUE"""),"นายจิระพงษ์ โพธิ์นิล")</f>
        <v>นายจิระพงษ์ โพธิ์นิล</v>
      </c>
      <c r="M1611" s="1" t="str">
        <f>IFERROR(__xludf.DUMMYFUNCTION("""COMPUTED_VALUE"""),"0933290754")</f>
        <v>0933290754</v>
      </c>
      <c r="N1611" s="3">
        <f>IFERROR(__xludf.DUMMYFUNCTION("""COMPUTED_VALUE"""),21622.0)</f>
        <v>21622</v>
      </c>
      <c r="O1611" s="3" t="str">
        <f>IFERROR(__xludf.DUMMYFUNCTION("""COMPUTED_VALUE"""),"MBC ตลาดบ้านดอน")</f>
        <v>MBC ตลาดบ้านดอน</v>
      </c>
      <c r="P1611" s="4">
        <f>IFERROR(__xludf.DUMMYFUNCTION("""COMPUTED_VALUE"""),44276.0)</f>
        <v>44276</v>
      </c>
      <c r="Q1611" s="3" t="str">
        <f>IFERROR(__xludf.DUMMYFUNCTION("""COMPUTED_VALUE"""),"I")</f>
        <v>I</v>
      </c>
      <c r="R1611" s="3" t="str">
        <f>IFERROR(__xludf.DUMMYFUNCTION("""COMPUTED_VALUE"""),"Small Format")</f>
        <v>Small Format</v>
      </c>
      <c r="S1611" s="3" t="str">
        <f>IFERROR(__xludf.DUMMYFUNCTION("""COMPUTED_VALUE"""),"BCM")</f>
        <v>BCM</v>
      </c>
      <c r="T1611" s="3" t="str">
        <f>IFERROR(__xludf.DUMMYFUNCTION("""COMPUTED_VALUE"""),"#N/A")</f>
        <v>#N/A</v>
      </c>
      <c r="U1611" s="3" t="str">
        <f>IFERROR(__xludf.DUMMYFUNCTION("""COMPUTED_VALUE"""),"#N/A")</f>
        <v>#N/A</v>
      </c>
      <c r="V1611" s="3" t="str">
        <f>IFERROR(__xludf.DUMMYFUNCTION("""COMPUTED_VALUE"""),"N")</f>
        <v>N</v>
      </c>
      <c r="W1611" s="3">
        <f>IFERROR(__xludf.DUMMYFUNCTION("""COMPUTED_VALUE"""),210338.0)</f>
        <v>210338</v>
      </c>
      <c r="X1611" s="3" t="str">
        <f>IFERROR(__xludf.DUMMYFUNCTION("""COMPUTED_VALUE"""),"71 หมู่10 ตำบลทุ่งคลอง อำเภอคำม่วง จังหวัดกาฬสินธุ์ 46180")</f>
        <v>71 หมู่10 ตำบลทุ่งคลอง อำเภอคำม่วง จังหวัดกาฬสินธุ์ 46180</v>
      </c>
      <c r="Y1611" s="3"/>
      <c r="Z1611" s="3" t="str">
        <f>IFERROR(__xludf.DUMMYFUNCTION("""COMPUTED_VALUE"""),"ทุ่งคลอง")</f>
        <v>ทุ่งคลอง</v>
      </c>
      <c r="AA1611" s="3" t="str">
        <f>IFERROR(__xludf.DUMMYFUNCTION("""COMPUTED_VALUE"""),"คำม่วง")</f>
        <v>คำม่วง</v>
      </c>
      <c r="AB1611" s="3" t="str">
        <f>IFERROR(__xludf.DUMMYFUNCTION("""COMPUTED_VALUE"""),"กาฬสินธุ์")</f>
        <v>กาฬสินธุ์</v>
      </c>
      <c r="AC1611" s="3">
        <f>IFERROR(__xludf.DUMMYFUNCTION("""COMPUTED_VALUE"""),46180.0)</f>
        <v>46180</v>
      </c>
      <c r="AD1611" s="3">
        <f>IFERROR(__xludf.DUMMYFUNCTION("""COMPUTED_VALUE"""),16.928942)</f>
        <v>16.928942</v>
      </c>
      <c r="AE1611" s="3">
        <f>IFERROR(__xludf.DUMMYFUNCTION("""COMPUTED_VALUE"""),103.634862)</f>
        <v>103.634862</v>
      </c>
      <c r="AF1611" s="3" t="str">
        <f>IFERROR(__xludf.DUMMYFUNCTION("""COMPUTED_VALUE"""),"MBC คำม่วง กาฬสินธุ์-22296")</f>
        <v>MBC คำม่วง กาฬสินธุ์-22296</v>
      </c>
      <c r="AG1611" s="3" t="str">
        <f>IFERROR(__xludf.DUMMYFUNCTION("""COMPUTED_VALUE"""),"ตะวันออกเฉียงเหนือ")</f>
        <v>ตะวันออกเฉียงเหนือ</v>
      </c>
      <c r="AH1611" s="3" t="str">
        <f>IFERROR(__xludf.DUMMYFUNCTION("""COMPUTED_VALUE"""),"#N/A")</f>
        <v>#N/A</v>
      </c>
      <c r="AI1611" s="3" t="str">
        <f>IFERROR(__xludf.DUMMYFUNCTION("""COMPUTED_VALUE"""),"Out of warranty")</f>
        <v>Out of warranty</v>
      </c>
      <c r="AJ1611" s="3">
        <f>IFERROR(__xludf.DUMMYFUNCTION("""COMPUTED_VALUE"""),58.0)</f>
        <v>58</v>
      </c>
      <c r="AK1611" s="3" t="str">
        <f>IFERROR(__xludf.DUMMYFUNCTION("""COMPUTED_VALUE"""),"MMS12")</f>
        <v>MMS12</v>
      </c>
      <c r="AL1611" s="3"/>
    </row>
    <row r="1612" ht="15.75" customHeight="1">
      <c r="A1612" s="1" t="str">
        <f>IFERROR(__xludf.DUMMYFUNCTION("""COMPUTED_VALUE"""),"22297")</f>
        <v>22297</v>
      </c>
      <c r="B1612" s="2">
        <f>IFERROR(__xludf.DUMMYFUNCTION("""COMPUTED_VALUE"""),22297.0)</f>
        <v>22297</v>
      </c>
      <c r="C1612" s="3" t="str">
        <f>IFERROR(__xludf.DUMMYFUNCTION("""COMPUTED_VALUE"""),"MBC ซ.บ่อทอง9 ปัตตานี")</f>
        <v>MBC ซ.บ่อทอง9 ปัตตานี</v>
      </c>
      <c r="D1612" s="3" t="str">
        <f>IFERROR(__xludf.DUMMYFUNCTION("""COMPUTED_VALUE"""),"BCM SOI BOTHONG 9")</f>
        <v>BCM SOI BOTHONG 9</v>
      </c>
      <c r="E1612" s="1" t="str">
        <f>IFERROR(__xludf.DUMMYFUNCTION("""COMPUTED_VALUE"""),"บิ๊กซี MINI")</f>
        <v>บิ๊กซี MINI</v>
      </c>
      <c r="F1612" s="1" t="str">
        <f>IFERROR(__xludf.DUMMYFUNCTION("""COMPUTED_VALUE"""),"250760")</f>
        <v>250760</v>
      </c>
      <c r="G1612" s="1" t="str">
        <f>IFERROR(__xludf.DUMMYFUNCTION("""COMPUTED_VALUE"""),"นายประทวน สาราบรรณ์")</f>
        <v>นายประทวน สาราบรรณ์</v>
      </c>
      <c r="H1612" s="1" t="str">
        <f>IFERROR(__xludf.DUMMYFUNCTION("""COMPUTED_VALUE"""),"394185")</f>
        <v>394185</v>
      </c>
      <c r="I1612" s="1" t="str">
        <f>IFERROR(__xludf.DUMMYFUNCTION("""COMPUTED_VALUE"""),"น.ส.ฐาปนี สุวรรณรัตน์")</f>
        <v>น.ส.ฐาปนี สุวรรณรัตน์</v>
      </c>
      <c r="J1612" s="3">
        <f>IFERROR(__xludf.DUMMYFUNCTION("""COMPUTED_VALUE"""),2.0470331E7)</f>
        <v>20470331</v>
      </c>
      <c r="K1612" s="3" t="str">
        <f>IFERROR(__xludf.DUMMYFUNCTION("""COMPUTED_VALUE"""),"นายสมชาย ลักษณะสุวรรณ")</f>
        <v>นายสมชาย ลักษณะสุวรรณ</v>
      </c>
      <c r="L1612" s="1" t="str">
        <f>IFERROR(__xludf.DUMMYFUNCTION("""COMPUTED_VALUE"""),"15 K.Somchai L")</f>
        <v>15 K.Somchai L</v>
      </c>
      <c r="M1612" s="1" t="str">
        <f>IFERROR(__xludf.DUMMYFUNCTION("""COMPUTED_VALUE"""),"0655107372")</f>
        <v>0655107372</v>
      </c>
      <c r="N1612" s="3">
        <f>IFERROR(__xludf.DUMMYFUNCTION("""COMPUTED_VALUE"""),21723.0)</f>
        <v>21723</v>
      </c>
      <c r="O1612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12" s="4">
        <f>IFERROR(__xludf.DUMMYFUNCTION("""COMPUTED_VALUE"""),44276.0)</f>
        <v>44276</v>
      </c>
      <c r="Q1612" s="3" t="str">
        <f>IFERROR(__xludf.DUMMYFUNCTION("""COMPUTED_VALUE"""),"A")</f>
        <v>A</v>
      </c>
      <c r="R1612" s="3" t="str">
        <f>IFERROR(__xludf.DUMMYFUNCTION("""COMPUTED_VALUE"""),"Small Format")</f>
        <v>Small Format</v>
      </c>
      <c r="S1612" s="3" t="str">
        <f>IFERROR(__xludf.DUMMYFUNCTION("""COMPUTED_VALUE"""),"BCM")</f>
        <v>BCM</v>
      </c>
      <c r="T1612" s="3" t="str">
        <f>IFERROR(__xludf.DUMMYFUNCTION("""COMPUTED_VALUE"""),"#N/A")</f>
        <v>#N/A</v>
      </c>
      <c r="U1612" s="3" t="str">
        <f>IFERROR(__xludf.DUMMYFUNCTION("""COMPUTED_VALUE"""),"#N/A")</f>
        <v>#N/A</v>
      </c>
      <c r="V1612" s="3" t="str">
        <f>IFERROR(__xludf.DUMMYFUNCTION("""COMPUTED_VALUE"""),"N")</f>
        <v>N</v>
      </c>
      <c r="W1612" s="3">
        <f>IFERROR(__xludf.DUMMYFUNCTION("""COMPUTED_VALUE"""),210341.0)</f>
        <v>210341</v>
      </c>
      <c r="X1612" s="3" t="str">
        <f>IFERROR(__xludf.DUMMYFUNCTION("""COMPUTED_VALUE"""),"36/1 หมู่6 ตำบลบ่อทอง อำเภอหนองจิก จังหวัดปัตตานี 94170")</f>
        <v>36/1 หมู่6 ตำบลบ่อทอง อำเภอหนองจิก จังหวัดปัตตานี 94170</v>
      </c>
      <c r="Y1612" s="3"/>
      <c r="Z1612" s="3" t="str">
        <f>IFERROR(__xludf.DUMMYFUNCTION("""COMPUTED_VALUE"""),"บ่อทอง")</f>
        <v>บ่อทอง</v>
      </c>
      <c r="AA1612" s="3" t="str">
        <f>IFERROR(__xludf.DUMMYFUNCTION("""COMPUTED_VALUE"""),"หนองจิก")</f>
        <v>หนองจิก</v>
      </c>
      <c r="AB1612" s="3" t="str">
        <f>IFERROR(__xludf.DUMMYFUNCTION("""COMPUTED_VALUE"""),"ปัตตานี")</f>
        <v>ปัตตานี</v>
      </c>
      <c r="AC1612" s="3">
        <f>IFERROR(__xludf.DUMMYFUNCTION("""COMPUTED_VALUE"""),94170.0)</f>
        <v>94170</v>
      </c>
      <c r="AD1612" s="3">
        <f>IFERROR(__xludf.DUMMYFUNCTION("""COMPUTED_VALUE"""),6.79135)</f>
        <v>6.79135</v>
      </c>
      <c r="AE1612" s="3">
        <f>IFERROR(__xludf.DUMMYFUNCTION("""COMPUTED_VALUE"""),101.147442)</f>
        <v>101.147442</v>
      </c>
      <c r="AF1612" s="3" t="str">
        <f>IFERROR(__xludf.DUMMYFUNCTION("""COMPUTED_VALUE"""),"MBC ซ.บ่อทอง9 ปัตตานี-22297")</f>
        <v>MBC ซ.บ่อทอง9 ปัตตานี-22297</v>
      </c>
      <c r="AG1612" s="3" t="str">
        <f>IFERROR(__xludf.DUMMYFUNCTION("""COMPUTED_VALUE"""),"ใต้")</f>
        <v>ใต้</v>
      </c>
      <c r="AH1612" s="3" t="str">
        <f>IFERROR(__xludf.DUMMYFUNCTION("""COMPUTED_VALUE"""),"#N/A")</f>
        <v>#N/A</v>
      </c>
      <c r="AI1612" s="3" t="str">
        <f>IFERROR(__xludf.DUMMYFUNCTION("""COMPUTED_VALUE"""),"Out of warranty")</f>
        <v>Out of warranty</v>
      </c>
      <c r="AJ1612" s="3">
        <f>IFERROR(__xludf.DUMMYFUNCTION("""COMPUTED_VALUE"""),58.0)</f>
        <v>58</v>
      </c>
      <c r="AK1612" s="3" t="str">
        <f>IFERROR(__xludf.DUMMYFUNCTION("""COMPUTED_VALUE"""),"MMS16")</f>
        <v>MMS16</v>
      </c>
      <c r="AL1612" s="3"/>
    </row>
    <row r="1613" ht="15.75" customHeight="1">
      <c r="A1613" s="1" t="str">
        <f>IFERROR(__xludf.DUMMYFUNCTION("""COMPUTED_VALUE"""),"22298")</f>
        <v>22298</v>
      </c>
      <c r="B1613" s="2">
        <f>IFERROR(__xludf.DUMMYFUNCTION("""COMPUTED_VALUE"""),22298.0)</f>
        <v>22298</v>
      </c>
      <c r="C1613" s="3" t="str">
        <f>IFERROR(__xludf.DUMMYFUNCTION("""COMPUTED_VALUE"""),"MBC พรเจริญ บึงกาฬ")</f>
        <v>MBC พรเจริญ บึงกาฬ</v>
      </c>
      <c r="D1613" s="3" t="str">
        <f>IFERROR(__xludf.DUMMYFUNCTION("""COMPUTED_VALUE"""),"BCM PHONCHAROEN")</f>
        <v>BCM PHONCHAROEN</v>
      </c>
      <c r="E1613" s="1" t="str">
        <f>IFERROR(__xludf.DUMMYFUNCTION("""COMPUTED_VALUE"""),"บิ๊กซี MINI")</f>
        <v>บิ๊กซี MINI</v>
      </c>
      <c r="F1613" s="1" t="str">
        <f>IFERROR(__xludf.DUMMYFUNCTION("""COMPUTED_VALUE"""),"291105")</f>
        <v>291105</v>
      </c>
      <c r="G1613" s="1" t="str">
        <f>IFERROR(__xludf.DUMMYFUNCTION("""COMPUTED_VALUE"""),"นายสราวุฒิ พณิชยกุล")</f>
        <v>นายสราวุฒิ พณิชยกุล</v>
      </c>
      <c r="H1613" s="1" t="str">
        <f>IFERROR(__xludf.DUMMYFUNCTION("""COMPUTED_VALUE"""),"392885")</f>
        <v>392885</v>
      </c>
      <c r="I1613" s="1" t="str">
        <f>IFERROR(__xludf.DUMMYFUNCTION("""COMPUTED_VALUE"""),"น.ส.วราพร จันปลิว")</f>
        <v>น.ส.วราพร จันปลิว</v>
      </c>
      <c r="J1613" s="3">
        <f>IFERROR(__xludf.DUMMYFUNCTION("""COMPUTED_VALUE"""),296868.0)</f>
        <v>296868</v>
      </c>
      <c r="K1613" s="3" t="str">
        <f>IFERROR(__xludf.DUMMYFUNCTION("""COMPUTED_VALUE"""),"นายพีระพงษ์ แก้วดวงดี")</f>
        <v>นายพีระพงษ์ แก้วดวงดี</v>
      </c>
      <c r="L1613" s="1" t="str">
        <f>IFERROR(__xludf.DUMMYFUNCTION("""COMPUTED_VALUE"""),"03 K.Peerapong K.")</f>
        <v>03 K.Peerapong K.</v>
      </c>
      <c r="M1613" s="1" t="str">
        <f>IFERROR(__xludf.DUMMYFUNCTION("""COMPUTED_VALUE"""),"089-002-6599")</f>
        <v>089-002-6599</v>
      </c>
      <c r="N1613" s="3">
        <f>IFERROR(__xludf.DUMMYFUNCTION("""COMPUTED_VALUE"""),21946.0)</f>
        <v>21946</v>
      </c>
      <c r="O1613" s="3" t="str">
        <f>IFERROR(__xludf.DUMMYFUNCTION("""COMPUTED_VALUE"""),"MBC เซกา บึงกาฬ")</f>
        <v>MBC เซกา บึงกาฬ</v>
      </c>
      <c r="P1613" s="4">
        <f>IFERROR(__xludf.DUMMYFUNCTION("""COMPUTED_VALUE"""),44277.0)</f>
        <v>44277</v>
      </c>
      <c r="Q1613" s="3" t="str">
        <f>IFERROR(__xludf.DUMMYFUNCTION("""COMPUTED_VALUE"""),"A")</f>
        <v>A</v>
      </c>
      <c r="R1613" s="3" t="str">
        <f>IFERROR(__xludf.DUMMYFUNCTION("""COMPUTED_VALUE"""),"Small Format")</f>
        <v>Small Format</v>
      </c>
      <c r="S1613" s="3" t="str">
        <f>IFERROR(__xludf.DUMMYFUNCTION("""COMPUTED_VALUE"""),"BCM")</f>
        <v>BCM</v>
      </c>
      <c r="T1613" s="3" t="str">
        <f>IFERROR(__xludf.DUMMYFUNCTION("""COMPUTED_VALUE"""),"#N/A")</f>
        <v>#N/A</v>
      </c>
      <c r="U1613" s="3" t="str">
        <f>IFERROR(__xludf.DUMMYFUNCTION("""COMPUTED_VALUE"""),"#N/A")</f>
        <v>#N/A</v>
      </c>
      <c r="V1613" s="3" t="str">
        <f>IFERROR(__xludf.DUMMYFUNCTION("""COMPUTED_VALUE"""),"N")</f>
        <v>N</v>
      </c>
      <c r="W1613" s="3">
        <f>IFERROR(__xludf.DUMMYFUNCTION("""COMPUTED_VALUE"""),210337.0)</f>
        <v>210337</v>
      </c>
      <c r="X1613" s="3" t="str">
        <f>IFERROR(__xludf.DUMMYFUNCTION("""COMPUTED_VALUE"""),"167 หมู่7 ตำบลพรเจริญ อำเภอพรเจริญ จังหวัดบึงกาฬ 38180")</f>
        <v>167 หมู่7 ตำบลพรเจริญ อำเภอพรเจริญ จังหวัดบึงกาฬ 38180</v>
      </c>
      <c r="Y1613" s="3"/>
      <c r="Z1613" s="3" t="str">
        <f>IFERROR(__xludf.DUMMYFUNCTION("""COMPUTED_VALUE"""),"พรเจริญ")</f>
        <v>พรเจริญ</v>
      </c>
      <c r="AA1613" s="3" t="str">
        <f>IFERROR(__xludf.DUMMYFUNCTION("""COMPUTED_VALUE"""),"พรเจริญ")</f>
        <v>พรเจริญ</v>
      </c>
      <c r="AB1613" s="3" t="str">
        <f>IFERROR(__xludf.DUMMYFUNCTION("""COMPUTED_VALUE"""),"บึงกาฬ")</f>
        <v>บึงกาฬ</v>
      </c>
      <c r="AC1613" s="3">
        <f>IFERROR(__xludf.DUMMYFUNCTION("""COMPUTED_VALUE"""),38180.0)</f>
        <v>38180</v>
      </c>
      <c r="AD1613" s="3">
        <f>IFERROR(__xludf.DUMMYFUNCTION("""COMPUTED_VALUE"""),18.023653)</f>
        <v>18.023653</v>
      </c>
      <c r="AE1613" s="3">
        <f>IFERROR(__xludf.DUMMYFUNCTION("""COMPUTED_VALUE"""),103.705277)</f>
        <v>103.705277</v>
      </c>
      <c r="AF1613" s="3" t="str">
        <f>IFERROR(__xludf.DUMMYFUNCTION("""COMPUTED_VALUE"""),"MBC พรเจริญ บึงกาฬ-22298")</f>
        <v>MBC พรเจริญ บึงกาฬ-22298</v>
      </c>
      <c r="AG1613" s="3" t="str">
        <f>IFERROR(__xludf.DUMMYFUNCTION("""COMPUTED_VALUE"""),"ตะวันออกเฉียงเหนือ")</f>
        <v>ตะวันออกเฉียงเหนือ</v>
      </c>
      <c r="AH1613" s="3" t="str">
        <f>IFERROR(__xludf.DUMMYFUNCTION("""COMPUTED_VALUE"""),"#N/A")</f>
        <v>#N/A</v>
      </c>
      <c r="AI1613" s="3" t="str">
        <f>IFERROR(__xludf.DUMMYFUNCTION("""COMPUTED_VALUE"""),"Out of warranty")</f>
        <v>Out of warranty</v>
      </c>
      <c r="AJ1613" s="3">
        <f>IFERROR(__xludf.DUMMYFUNCTION("""COMPUTED_VALUE"""),58.0)</f>
        <v>58</v>
      </c>
      <c r="AK1613" s="3" t="str">
        <f>IFERROR(__xludf.DUMMYFUNCTION("""COMPUTED_VALUE"""),"MMS12")</f>
        <v>MMS12</v>
      </c>
      <c r="AL1613" s="3"/>
    </row>
    <row r="1614" ht="15.75" customHeight="1">
      <c r="A1614" s="1" t="str">
        <f>IFERROR(__xludf.DUMMYFUNCTION("""COMPUTED_VALUE"""),"22299")</f>
        <v>22299</v>
      </c>
      <c r="B1614" s="2">
        <f>IFERROR(__xludf.DUMMYFUNCTION("""COMPUTED_VALUE"""),22299.0)</f>
        <v>22299</v>
      </c>
      <c r="C1614" s="3" t="str">
        <f>IFERROR(__xludf.DUMMYFUNCTION("""COMPUTED_VALUE"""),"MBC อ.สายบุรี ปัตตานี")</f>
        <v>MBC อ.สายบุรี ปัตตานี</v>
      </c>
      <c r="D1614" s="3" t="str">
        <f>IFERROR(__xludf.DUMMYFUNCTION("""COMPUTED_VALUE"""),"BCM AMPHUR SAI BURI")</f>
        <v>BCM AMPHUR SAI BURI</v>
      </c>
      <c r="E1614" s="1" t="str">
        <f>IFERROR(__xludf.DUMMYFUNCTION("""COMPUTED_VALUE"""),"บิ๊กซี MINI")</f>
        <v>บิ๊กซี MINI</v>
      </c>
      <c r="F1614" s="1" t="str">
        <f>IFERROR(__xludf.DUMMYFUNCTION("""COMPUTED_VALUE"""),"250760")</f>
        <v>250760</v>
      </c>
      <c r="G1614" s="1" t="str">
        <f>IFERROR(__xludf.DUMMYFUNCTION("""COMPUTED_VALUE"""),"นายประทวน สาราบรรณ์")</f>
        <v>นายประทวน สาราบรรณ์</v>
      </c>
      <c r="H1614" s="1" t="str">
        <f>IFERROR(__xludf.DUMMYFUNCTION("""COMPUTED_VALUE"""),"006583")</f>
        <v>006583</v>
      </c>
      <c r="I1614" s="1" t="str">
        <f>IFERROR(__xludf.DUMMYFUNCTION("""COMPUTED_VALUE"""),"นายเด่น ยะอิง")</f>
        <v>นายเด่น ยะอิง</v>
      </c>
      <c r="J1614" s="3">
        <f>IFERROR(__xludf.DUMMYFUNCTION("""COMPUTED_VALUE"""),2.0470331E7)</f>
        <v>20470331</v>
      </c>
      <c r="K1614" s="3" t="str">
        <f>IFERROR(__xludf.DUMMYFUNCTION("""COMPUTED_VALUE"""),"นายสมชาย ลักษณะสุวรรณ")</f>
        <v>นายสมชาย ลักษณะสุวรรณ</v>
      </c>
      <c r="L1614" s="1" t="str">
        <f>IFERROR(__xludf.DUMMYFUNCTION("""COMPUTED_VALUE"""),"15 K.Somchai L")</f>
        <v>15 K.Somchai L</v>
      </c>
      <c r="M1614" s="1" t="str">
        <f>IFERROR(__xludf.DUMMYFUNCTION("""COMPUTED_VALUE"""),"0655107372")</f>
        <v>0655107372</v>
      </c>
      <c r="N1614" s="3">
        <f>IFERROR(__xludf.DUMMYFUNCTION("""COMPUTED_VALUE"""),21723.0)</f>
        <v>21723</v>
      </c>
      <c r="O1614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14" s="4">
        <f>IFERROR(__xludf.DUMMYFUNCTION("""COMPUTED_VALUE"""),44283.0)</f>
        <v>44283</v>
      </c>
      <c r="Q1614" s="3" t="str">
        <f>IFERROR(__xludf.DUMMYFUNCTION("""COMPUTED_VALUE"""),"A")</f>
        <v>A</v>
      </c>
      <c r="R1614" s="3" t="str">
        <f>IFERROR(__xludf.DUMMYFUNCTION("""COMPUTED_VALUE"""),"Small Format")</f>
        <v>Small Format</v>
      </c>
      <c r="S1614" s="3" t="str">
        <f>IFERROR(__xludf.DUMMYFUNCTION("""COMPUTED_VALUE"""),"BCM")</f>
        <v>BCM</v>
      </c>
      <c r="T1614" s="3" t="str">
        <f>IFERROR(__xludf.DUMMYFUNCTION("""COMPUTED_VALUE"""),"#N/A")</f>
        <v>#N/A</v>
      </c>
      <c r="U1614" s="3" t="str">
        <f>IFERROR(__xludf.DUMMYFUNCTION("""COMPUTED_VALUE"""),"#N/A")</f>
        <v>#N/A</v>
      </c>
      <c r="V1614" s="3" t="str">
        <f>IFERROR(__xludf.DUMMYFUNCTION("""COMPUTED_VALUE"""),"N")</f>
        <v>N</v>
      </c>
      <c r="W1614" s="3">
        <f>IFERROR(__xludf.DUMMYFUNCTION("""COMPUTED_VALUE"""),210348.0)</f>
        <v>210348</v>
      </c>
      <c r="X1614" s="3" t="str">
        <f>IFERROR(__xludf.DUMMYFUNCTION("""COMPUTED_VALUE"""),"28/7 ถนนสุริยะ ตำบลตะลุบัน อำเภอสายบุรี จังหวัดปัตตานี 94110")</f>
        <v>28/7 ถนนสุริยะ ตำบลตะลุบัน อำเภอสายบุรี จังหวัดปัตตานี 94110</v>
      </c>
      <c r="Y1614" s="3" t="str">
        <f>IFERROR(__xludf.DUMMYFUNCTION("""COMPUTED_VALUE"""),"สุริยะ")</f>
        <v>สุริยะ</v>
      </c>
      <c r="Z1614" s="3" t="str">
        <f>IFERROR(__xludf.DUMMYFUNCTION("""COMPUTED_VALUE"""),"ตะลุบัน")</f>
        <v>ตะลุบัน</v>
      </c>
      <c r="AA1614" s="3" t="str">
        <f>IFERROR(__xludf.DUMMYFUNCTION("""COMPUTED_VALUE"""),"สายบุรี")</f>
        <v>สายบุรี</v>
      </c>
      <c r="AB1614" s="3" t="str">
        <f>IFERROR(__xludf.DUMMYFUNCTION("""COMPUTED_VALUE"""),"ปัตตานี")</f>
        <v>ปัตตานี</v>
      </c>
      <c r="AC1614" s="3">
        <f>IFERROR(__xludf.DUMMYFUNCTION("""COMPUTED_VALUE"""),94110.0)</f>
        <v>94110</v>
      </c>
      <c r="AD1614" s="3">
        <f>IFERROR(__xludf.DUMMYFUNCTION("""COMPUTED_VALUE"""),6.703517)</f>
        <v>6.703517</v>
      </c>
      <c r="AE1614" s="3">
        <f>IFERROR(__xludf.DUMMYFUNCTION("""COMPUTED_VALUE"""),101.618353)</f>
        <v>101.618353</v>
      </c>
      <c r="AF1614" s="3" t="str">
        <f>IFERROR(__xludf.DUMMYFUNCTION("""COMPUTED_VALUE"""),"MBC อ.สายบุรี ปัตตานี-22299")</f>
        <v>MBC อ.สายบุรี ปัตตานี-22299</v>
      </c>
      <c r="AG1614" s="3" t="str">
        <f>IFERROR(__xludf.DUMMYFUNCTION("""COMPUTED_VALUE"""),"ใต้")</f>
        <v>ใต้</v>
      </c>
      <c r="AH1614" s="3" t="str">
        <f>IFERROR(__xludf.DUMMYFUNCTION("""COMPUTED_VALUE"""),"#N/A")</f>
        <v>#N/A</v>
      </c>
      <c r="AI1614" s="3" t="str">
        <f>IFERROR(__xludf.DUMMYFUNCTION("""COMPUTED_VALUE"""),"Out of warranty")</f>
        <v>Out of warranty</v>
      </c>
      <c r="AJ1614" s="3">
        <f>IFERROR(__xludf.DUMMYFUNCTION("""COMPUTED_VALUE"""),58.0)</f>
        <v>58</v>
      </c>
      <c r="AK1614" s="3" t="str">
        <f>IFERROR(__xludf.DUMMYFUNCTION("""COMPUTED_VALUE"""),"MMS16")</f>
        <v>MMS16</v>
      </c>
      <c r="AL1614" s="3"/>
    </row>
    <row r="1615" ht="15.75" customHeight="1">
      <c r="A1615" s="1" t="str">
        <f>IFERROR(__xludf.DUMMYFUNCTION("""COMPUTED_VALUE"""),"22300")</f>
        <v>22300</v>
      </c>
      <c r="B1615" s="2">
        <f>IFERROR(__xludf.DUMMYFUNCTION("""COMPUTED_VALUE"""),22300.0)</f>
        <v>22300</v>
      </c>
      <c r="C1615" s="3" t="str">
        <f>IFERROR(__xludf.DUMMYFUNCTION("""COMPUTED_VALUE"""),"MBC ตำบลนาประดู่ ปัตตานี")</f>
        <v>MBC ตำบลนาประดู่ ปัตตานี</v>
      </c>
      <c r="D1615" s="3" t="str">
        <f>IFERROR(__xludf.DUMMYFUNCTION("""COMPUTED_VALUE"""),"BCM TUMBON NA PRADU")</f>
        <v>BCM TUMBON NA PRADU</v>
      </c>
      <c r="E1615" s="1" t="str">
        <f>IFERROR(__xludf.DUMMYFUNCTION("""COMPUTED_VALUE"""),"บิ๊กซี MINI")</f>
        <v>บิ๊กซี MINI</v>
      </c>
      <c r="F1615" s="1" t="str">
        <f>IFERROR(__xludf.DUMMYFUNCTION("""COMPUTED_VALUE"""),"250760")</f>
        <v>250760</v>
      </c>
      <c r="G1615" s="1" t="str">
        <f>IFERROR(__xludf.DUMMYFUNCTION("""COMPUTED_VALUE"""),"นายประทวน สาราบรรณ์")</f>
        <v>นายประทวน สาราบรรณ์</v>
      </c>
      <c r="H1615" s="1" t="str">
        <f>IFERROR(__xludf.DUMMYFUNCTION("""COMPUTED_VALUE"""),"485279")</f>
        <v>485279</v>
      </c>
      <c r="I1615" s="1" t="str">
        <f>IFERROR(__xludf.DUMMYFUNCTION("""COMPUTED_VALUE"""),"นายสิริพงศ์ ชูชื่น")</f>
        <v>นายสิริพงศ์ ชูชื่น</v>
      </c>
      <c r="J1615" s="3">
        <f>IFERROR(__xludf.DUMMYFUNCTION("""COMPUTED_VALUE"""),2.0470331E7)</f>
        <v>20470331</v>
      </c>
      <c r="K1615" s="3" t="str">
        <f>IFERROR(__xludf.DUMMYFUNCTION("""COMPUTED_VALUE"""),"นายสมชาย ลักษณะสุวรรณ")</f>
        <v>นายสมชาย ลักษณะสุวรรณ</v>
      </c>
      <c r="L1615" s="3" t="str">
        <f>IFERROR(__xludf.DUMMYFUNCTION("""COMPUTED_VALUE"""),"15 K.Somchai L")</f>
        <v>15 K.Somchai L</v>
      </c>
      <c r="M1615" s="1" t="str">
        <f>IFERROR(__xludf.DUMMYFUNCTION("""COMPUTED_VALUE"""),"0655107372")</f>
        <v>0655107372</v>
      </c>
      <c r="N1615" s="3">
        <f>IFERROR(__xludf.DUMMYFUNCTION("""COMPUTED_VALUE"""),21723.0)</f>
        <v>21723</v>
      </c>
      <c r="O1615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15" s="4">
        <f>IFERROR(__xludf.DUMMYFUNCTION("""COMPUTED_VALUE"""),44297.0)</f>
        <v>44297</v>
      </c>
      <c r="Q1615" s="3" t="str">
        <f>IFERROR(__xludf.DUMMYFUNCTION("""COMPUTED_VALUE"""),"A")</f>
        <v>A</v>
      </c>
      <c r="R1615" s="3" t="str">
        <f>IFERROR(__xludf.DUMMYFUNCTION("""COMPUTED_VALUE"""),"Small Format")</f>
        <v>Small Format</v>
      </c>
      <c r="S1615" s="3" t="str">
        <f>IFERROR(__xludf.DUMMYFUNCTION("""COMPUTED_VALUE"""),"BCM")</f>
        <v>BCM</v>
      </c>
      <c r="T1615" s="3" t="str">
        <f>IFERROR(__xludf.DUMMYFUNCTION("""COMPUTED_VALUE"""),"#N/A")</f>
        <v>#N/A</v>
      </c>
      <c r="U1615" s="3" t="str">
        <f>IFERROR(__xludf.DUMMYFUNCTION("""COMPUTED_VALUE"""),"#N/A")</f>
        <v>#N/A</v>
      </c>
      <c r="V1615" s="3" t="str">
        <f>IFERROR(__xludf.DUMMYFUNCTION("""COMPUTED_VALUE"""),"N")</f>
        <v>N</v>
      </c>
      <c r="W1615" s="3">
        <f>IFERROR(__xludf.DUMMYFUNCTION("""COMPUTED_VALUE"""),210365.0)</f>
        <v>210365</v>
      </c>
      <c r="X1615" s="3" t="str">
        <f>IFERROR(__xludf.DUMMYFUNCTION("""COMPUTED_VALUE"""),"53/16 หมู่1 ตำบลนาประดู่ อำเภอโคกโพธิ์ จังหวัดปัตตานี 94180")</f>
        <v>53/16 หมู่1 ตำบลนาประดู่ อำเภอโคกโพธิ์ จังหวัดปัตตานี 94180</v>
      </c>
      <c r="Y1615" s="3"/>
      <c r="Z1615" s="3" t="str">
        <f>IFERROR(__xludf.DUMMYFUNCTION("""COMPUTED_VALUE"""),"นาประดู่")</f>
        <v>นาประดู่</v>
      </c>
      <c r="AA1615" s="3" t="str">
        <f>IFERROR(__xludf.DUMMYFUNCTION("""COMPUTED_VALUE"""),"โคกโพธิ์")</f>
        <v>โคกโพธิ์</v>
      </c>
      <c r="AB1615" s="3" t="str">
        <f>IFERROR(__xludf.DUMMYFUNCTION("""COMPUTED_VALUE"""),"ปัตตานี")</f>
        <v>ปัตตานี</v>
      </c>
      <c r="AC1615" s="3">
        <f>IFERROR(__xludf.DUMMYFUNCTION("""COMPUTED_VALUE"""),94180.0)</f>
        <v>94180</v>
      </c>
      <c r="AD1615" s="3">
        <f>IFERROR(__xludf.DUMMYFUNCTION("""COMPUTED_VALUE"""),6.677936)</f>
        <v>6.677936</v>
      </c>
      <c r="AE1615" s="3">
        <f>IFERROR(__xludf.DUMMYFUNCTION("""COMPUTED_VALUE"""),101.146753)</f>
        <v>101.146753</v>
      </c>
      <c r="AF1615" s="3" t="str">
        <f>IFERROR(__xludf.DUMMYFUNCTION("""COMPUTED_VALUE"""),"MBC ตำบลนาประดู่ ปัตตานี-22300")</f>
        <v>MBC ตำบลนาประดู่ ปัตตานี-22300</v>
      </c>
      <c r="AG1615" s="3" t="str">
        <f>IFERROR(__xludf.DUMMYFUNCTION("""COMPUTED_VALUE"""),"ใต้")</f>
        <v>ใต้</v>
      </c>
      <c r="AH1615" s="3" t="str">
        <f>IFERROR(__xludf.DUMMYFUNCTION("""COMPUTED_VALUE"""),"#N/A")</f>
        <v>#N/A</v>
      </c>
      <c r="AI1615" s="3" t="str">
        <f>IFERROR(__xludf.DUMMYFUNCTION("""COMPUTED_VALUE"""),"Out of warranty")</f>
        <v>Out of warranty</v>
      </c>
      <c r="AJ1615" s="3">
        <f>IFERROR(__xludf.DUMMYFUNCTION("""COMPUTED_VALUE"""),58.0)</f>
        <v>58</v>
      </c>
      <c r="AK1615" s="3" t="str">
        <f>IFERROR(__xludf.DUMMYFUNCTION("""COMPUTED_VALUE"""),"MMS16")</f>
        <v>MMS16</v>
      </c>
      <c r="AL1615" s="3"/>
    </row>
    <row r="1616" ht="15.75" customHeight="1">
      <c r="A1616" s="1" t="str">
        <f>IFERROR(__xludf.DUMMYFUNCTION("""COMPUTED_VALUE"""),"22301")</f>
        <v>22301</v>
      </c>
      <c r="B1616" s="2">
        <f>IFERROR(__xludf.DUMMYFUNCTION("""COMPUTED_VALUE"""),22301.0)</f>
        <v>22301</v>
      </c>
      <c r="C1616" s="3" t="str">
        <f>IFERROR(__xludf.DUMMYFUNCTION("""COMPUTED_VALUE"""),"MBC ทีซีซีเยาวราช กรุงเทพฯ")</f>
        <v>MBC ทีซีซีเยาวราช กรุงเทพฯ</v>
      </c>
      <c r="D1616" s="3" t="str">
        <f>IFERROR(__xludf.DUMMYFUNCTION("""COMPUTED_VALUE"""),"BCM TCC YAOWARAJ")</f>
        <v>BCM TCC YAOWARAJ</v>
      </c>
      <c r="E1616" s="1" t="str">
        <f>IFERROR(__xludf.DUMMYFUNCTION("""COMPUTED_VALUE"""),"บิ๊กซี MINI")</f>
        <v>บิ๊กซี MINI</v>
      </c>
      <c r="F1616" s="1" t="str">
        <f>IFERROR(__xludf.DUMMYFUNCTION("""COMPUTED_VALUE"""),"291008")</f>
        <v>291008</v>
      </c>
      <c r="G1616" s="1" t="str">
        <f>IFERROR(__xludf.DUMMYFUNCTION("""COMPUTED_VALUE"""),"น.ส.รัชดาพร อีศรัตน์")</f>
        <v>น.ส.รัชดาพร อีศรัตน์</v>
      </c>
      <c r="H1616" s="1" t="str">
        <f>IFERROR(__xludf.DUMMYFUNCTION("""COMPUTED_VALUE"""),"359002")</f>
        <v>359002</v>
      </c>
      <c r="I1616" s="1" t="str">
        <f>IFERROR(__xludf.DUMMYFUNCTION("""COMPUTED_VALUE"""),"น.ส.นิตยา สมจิตร")</f>
        <v>น.ส.นิตยา สมจิตร</v>
      </c>
      <c r="J1616" s="3">
        <f>IFERROR(__xludf.DUMMYFUNCTION("""COMPUTED_VALUE"""),3510104.0)</f>
        <v>3510104</v>
      </c>
      <c r="K1616" s="3" t="str">
        <f>IFERROR(__xludf.DUMMYFUNCTION("""COMPUTED_VALUE"""),"นายวิโรจน์ อับดุลสมัด")</f>
        <v>นายวิโรจน์ อับดุลสมัด</v>
      </c>
      <c r="L1616" s="3" t="str">
        <f>IFERROR(__xludf.DUMMYFUNCTION("""COMPUTED_VALUE"""),"09 K.Wirode A")</f>
        <v>09 K.Wirode A</v>
      </c>
      <c r="M1616" s="1" t="str">
        <f>IFERROR(__xludf.DUMMYFUNCTION("""COMPUTED_VALUE"""),"080-235-4465")</f>
        <v>080-235-4465</v>
      </c>
      <c r="N1616" s="3">
        <f>IFERROR(__xludf.DUMMYFUNCTION("""COMPUTED_VALUE"""),21324.0)</f>
        <v>21324</v>
      </c>
      <c r="O1616" s="3" t="str">
        <f>IFERROR(__xludf.DUMMYFUNCTION("""COMPUTED_VALUE"""),"MBC BCP สุวินทวงศ์")</f>
        <v>MBC BCP สุวินทวงศ์</v>
      </c>
      <c r="P1616" s="4">
        <f>IFERROR(__xludf.DUMMYFUNCTION("""COMPUTED_VALUE"""),44305.0)</f>
        <v>44305</v>
      </c>
      <c r="Q1616" s="3" t="str">
        <f>IFERROR(__xludf.DUMMYFUNCTION("""COMPUTED_VALUE"""),"A")</f>
        <v>A</v>
      </c>
      <c r="R1616" s="3" t="str">
        <f>IFERROR(__xludf.DUMMYFUNCTION("""COMPUTED_VALUE"""),"Small Format")</f>
        <v>Small Format</v>
      </c>
      <c r="S1616" s="3" t="str">
        <f>IFERROR(__xludf.DUMMYFUNCTION("""COMPUTED_VALUE"""),"BCM")</f>
        <v>BCM</v>
      </c>
      <c r="T1616" s="3" t="str">
        <f>IFERROR(__xludf.DUMMYFUNCTION("""COMPUTED_VALUE"""),"#N/A")</f>
        <v>#N/A</v>
      </c>
      <c r="U1616" s="3" t="str">
        <f>IFERROR(__xludf.DUMMYFUNCTION("""COMPUTED_VALUE"""),"#N/A")</f>
        <v>#N/A</v>
      </c>
      <c r="V1616" s="3" t="str">
        <f>IFERROR(__xludf.DUMMYFUNCTION("""COMPUTED_VALUE"""),"N")</f>
        <v>N</v>
      </c>
      <c r="W1616" s="3">
        <f>IFERROR(__xludf.DUMMYFUNCTION("""COMPUTED_VALUE"""),211896.0)</f>
        <v>211896</v>
      </c>
      <c r="X1616" s="3" t="str">
        <f>IFERROR(__xludf.DUMMYFUNCTION("""COMPUTED_VALUE"""),"326 328 334/3-4 ตรอกอิศรานุภาพ ถนนเยาวราช แขวงจักรวรรดิ เขตสัมพันธวงศ์ จังหวัดกรุงเทพมหานคร 10100")</f>
        <v>326 328 334/3-4 ตรอกอิศรานุภาพ ถนนเยาวราช แขวงจักรวรรดิ เขตสัมพันธวงศ์ จังหวัดกรุงเทพมหานคร 10100</v>
      </c>
      <c r="Y1616" s="3" t="str">
        <f>IFERROR(__xludf.DUMMYFUNCTION("""COMPUTED_VALUE"""),"เยาวราช")</f>
        <v>เยาวราช</v>
      </c>
      <c r="Z1616" s="3" t="str">
        <f>IFERROR(__xludf.DUMMYFUNCTION("""COMPUTED_VALUE"""),"จักรวรรดิ")</f>
        <v>จักรวรรดิ</v>
      </c>
      <c r="AA1616" s="3" t="str">
        <f>IFERROR(__xludf.DUMMYFUNCTION("""COMPUTED_VALUE"""),"สัมพันธวงศ์")</f>
        <v>สัมพันธวงศ์</v>
      </c>
      <c r="AB1616" s="3" t="str">
        <f>IFERROR(__xludf.DUMMYFUNCTION("""COMPUTED_VALUE"""),"กรุงเทพมหานคร")</f>
        <v>กรุงเทพมหานคร</v>
      </c>
      <c r="AC1616" s="3">
        <f>IFERROR(__xludf.DUMMYFUNCTION("""COMPUTED_VALUE"""),10100.0)</f>
        <v>10100</v>
      </c>
      <c r="AD1616" s="3">
        <f>IFERROR(__xludf.DUMMYFUNCTION("""COMPUTED_VALUE"""),13.740936)</f>
        <v>13.740936</v>
      </c>
      <c r="AE1616" s="3">
        <f>IFERROR(__xludf.DUMMYFUNCTION("""COMPUTED_VALUE"""),100.508279)</f>
        <v>100.508279</v>
      </c>
      <c r="AF1616" s="3" t="str">
        <f>IFERROR(__xludf.DUMMYFUNCTION("""COMPUTED_VALUE"""),"MBC ทีซีซีเยาวราช กรุงเทพฯ-22301")</f>
        <v>MBC ทีซีซีเยาวราช กรุงเทพฯ-22301</v>
      </c>
      <c r="AG1616" s="3" t="str">
        <f>IFERROR(__xludf.DUMMYFUNCTION("""COMPUTED_VALUE"""),"กลาง")</f>
        <v>กลาง</v>
      </c>
      <c r="AH1616" s="3" t="str">
        <f>IFERROR(__xludf.DUMMYFUNCTION("""COMPUTED_VALUE"""),"#N/A")</f>
        <v>#N/A</v>
      </c>
      <c r="AI1616" s="3" t="str">
        <f>IFERROR(__xludf.DUMMYFUNCTION("""COMPUTED_VALUE"""),"Out of warranty")</f>
        <v>Out of warranty</v>
      </c>
      <c r="AJ1616" s="3">
        <f>IFERROR(__xludf.DUMMYFUNCTION("""COMPUTED_VALUE"""),58.0)</f>
        <v>58</v>
      </c>
      <c r="AK1616" s="3" t="str">
        <f>IFERROR(__xludf.DUMMYFUNCTION("""COMPUTED_VALUE"""),"MMS02")</f>
        <v>MMS02</v>
      </c>
      <c r="AL1616" s="3"/>
    </row>
    <row r="1617" ht="15.75" customHeight="1">
      <c r="A1617" s="1" t="str">
        <f>IFERROR(__xludf.DUMMYFUNCTION("""COMPUTED_VALUE"""),"22302")</f>
        <v>22302</v>
      </c>
      <c r="B1617" s="2">
        <f>IFERROR(__xludf.DUMMYFUNCTION("""COMPUTED_VALUE"""),22302.0)</f>
        <v>22302</v>
      </c>
      <c r="C1617" s="3" t="str">
        <f>IFERROR(__xludf.DUMMYFUNCTION("""COMPUTED_VALUE"""),"MBC บ้านแสนตอ กาญจนบุรี")</f>
        <v>MBC บ้านแสนตอ กาญจนบุรี</v>
      </c>
      <c r="D1617" s="3" t="str">
        <f>IFERROR(__xludf.DUMMYFUNCTION("""COMPUTED_VALUE"""),"BCM BAN SANE TOR")</f>
        <v>BCM BAN SANE TOR</v>
      </c>
      <c r="E1617" s="1" t="str">
        <f>IFERROR(__xludf.DUMMYFUNCTION("""COMPUTED_VALUE"""),"บิ๊กซี MINI")</f>
        <v>บิ๊กซี MINI</v>
      </c>
      <c r="F1617" s="1" t="str">
        <f>IFERROR(__xludf.DUMMYFUNCTION("""COMPUTED_VALUE"""),"2083447")</f>
        <v>2083447</v>
      </c>
      <c r="G1617" s="1" t="str">
        <f>IFERROR(__xludf.DUMMYFUNCTION("""COMPUTED_VALUE"""),"นายอนุกูล ศรีลัดดา")</f>
        <v>นายอนุกูล ศรีลัดดา</v>
      </c>
      <c r="H1617" s="1" t="str">
        <f>IFERROR(__xludf.DUMMYFUNCTION("""COMPUTED_VALUE"""),"391191")</f>
        <v>391191</v>
      </c>
      <c r="I1617" s="1" t="str">
        <f>IFERROR(__xludf.DUMMYFUNCTION("""COMPUTED_VALUE"""),"นายวสันต์ สรงพรมทิพย์")</f>
        <v>นายวสันต์ สรงพรมทิพย์</v>
      </c>
      <c r="J1617" s="3">
        <f>IFERROR(__xludf.DUMMYFUNCTION("""COMPUTED_VALUE"""),2451655.0)</f>
        <v>2451655</v>
      </c>
      <c r="K1617" s="3" t="str">
        <f>IFERROR(__xludf.DUMMYFUNCTION("""COMPUTED_VALUE"""),"นายวิษณุพงษ์ ชินบุตร")</f>
        <v>นายวิษณุพงษ์ ชินบุตร</v>
      </c>
      <c r="L1617" s="1" t="str">
        <f>IFERROR(__xludf.DUMMYFUNCTION("""COMPUTED_VALUE"""),"13 K.Wisanupong Ch")</f>
        <v>13 K.Wisanupong Ch</v>
      </c>
      <c r="M1617" s="1" t="str">
        <f>IFERROR(__xludf.DUMMYFUNCTION("""COMPUTED_VALUE"""),"0843374693")</f>
        <v>0843374693</v>
      </c>
      <c r="N1617" s="3">
        <f>IFERROR(__xludf.DUMMYFUNCTION("""COMPUTED_VALUE"""),22729.0)</f>
        <v>22729</v>
      </c>
      <c r="O1617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617" s="4">
        <f>IFERROR(__xludf.DUMMYFUNCTION("""COMPUTED_VALUE"""),44308.0)</f>
        <v>44308</v>
      </c>
      <c r="Q1617" s="3" t="str">
        <f>IFERROR(__xludf.DUMMYFUNCTION("""COMPUTED_VALUE"""),"A")</f>
        <v>A</v>
      </c>
      <c r="R1617" s="3" t="str">
        <f>IFERROR(__xludf.DUMMYFUNCTION("""COMPUTED_VALUE"""),"Small Format")</f>
        <v>Small Format</v>
      </c>
      <c r="S1617" s="3" t="str">
        <f>IFERROR(__xludf.DUMMYFUNCTION("""COMPUTED_VALUE"""),"BCM")</f>
        <v>BCM</v>
      </c>
      <c r="T1617" s="3" t="str">
        <f>IFERROR(__xludf.DUMMYFUNCTION("""COMPUTED_VALUE"""),"#N/A")</f>
        <v>#N/A</v>
      </c>
      <c r="U1617" s="3" t="str">
        <f>IFERROR(__xludf.DUMMYFUNCTION("""COMPUTED_VALUE"""),"#N/A")</f>
        <v>#N/A</v>
      </c>
      <c r="V1617" s="3" t="str">
        <f>IFERROR(__xludf.DUMMYFUNCTION("""COMPUTED_VALUE"""),"N")</f>
        <v>N</v>
      </c>
      <c r="W1617" s="3">
        <f>IFERROR(__xludf.DUMMYFUNCTION("""COMPUTED_VALUE"""),210330.0)</f>
        <v>210330</v>
      </c>
      <c r="X1617" s="3" t="str">
        <f>IFERROR(__xludf.DUMMYFUNCTION("""COMPUTED_VALUE"""),"62 หมู่3 ตำบลแสนตอ อำเภอท่ามะกา จังหวัดกาญจนบุรี 71130")</f>
        <v>62 หมู่3 ตำบลแสนตอ อำเภอท่ามะกา จังหวัดกาญจนบุรี 71130</v>
      </c>
      <c r="Y1617" s="3"/>
      <c r="Z1617" s="3" t="str">
        <f>IFERROR(__xludf.DUMMYFUNCTION("""COMPUTED_VALUE"""),"แสนตอ")</f>
        <v>แสนตอ</v>
      </c>
      <c r="AA1617" s="3" t="str">
        <f>IFERROR(__xludf.DUMMYFUNCTION("""COMPUTED_VALUE"""),"ท่ามะกา")</f>
        <v>ท่ามะกา</v>
      </c>
      <c r="AB1617" s="3" t="str">
        <f>IFERROR(__xludf.DUMMYFUNCTION("""COMPUTED_VALUE"""),"กาญจนบุรี")</f>
        <v>กาญจนบุรี</v>
      </c>
      <c r="AC1617" s="3">
        <f>IFERROR(__xludf.DUMMYFUNCTION("""COMPUTED_VALUE"""),71130.0)</f>
        <v>71130</v>
      </c>
      <c r="AD1617" s="3">
        <f>IFERROR(__xludf.DUMMYFUNCTION("""COMPUTED_VALUE"""),13.945572)</f>
        <v>13.945572</v>
      </c>
      <c r="AE1617" s="3">
        <f>IFERROR(__xludf.DUMMYFUNCTION("""COMPUTED_VALUE"""),99.744947)</f>
        <v>99.744947</v>
      </c>
      <c r="AF1617" s="3" t="str">
        <f>IFERROR(__xludf.DUMMYFUNCTION("""COMPUTED_VALUE"""),"MBC บ้านแสนตอ กาญจนบุรี-22302")</f>
        <v>MBC บ้านแสนตอ กาญจนบุรี-22302</v>
      </c>
      <c r="AG1617" s="3" t="str">
        <f>IFERROR(__xludf.DUMMYFUNCTION("""COMPUTED_VALUE"""),"ตะวันตก")</f>
        <v>ตะวันตก</v>
      </c>
      <c r="AH1617" s="3" t="str">
        <f>IFERROR(__xludf.DUMMYFUNCTION("""COMPUTED_VALUE"""),"#N/A")</f>
        <v>#N/A</v>
      </c>
      <c r="AI1617" s="3" t="str">
        <f>IFERROR(__xludf.DUMMYFUNCTION("""COMPUTED_VALUE"""),"Out of warranty")</f>
        <v>Out of warranty</v>
      </c>
      <c r="AJ1617" s="3">
        <f>IFERROR(__xludf.DUMMYFUNCTION("""COMPUTED_VALUE"""),57.0)</f>
        <v>57</v>
      </c>
      <c r="AK1617" s="3" t="str">
        <f>IFERROR(__xludf.DUMMYFUNCTION("""COMPUTED_VALUE"""),"MMS05")</f>
        <v>MMS05</v>
      </c>
      <c r="AL1617" s="3"/>
    </row>
    <row r="1618" ht="15.75" customHeight="1">
      <c r="A1618" s="1" t="str">
        <f>IFERROR(__xludf.DUMMYFUNCTION("""COMPUTED_VALUE"""),"22303")</f>
        <v>22303</v>
      </c>
      <c r="B1618" s="2">
        <f>IFERROR(__xludf.DUMMYFUNCTION("""COMPUTED_VALUE"""),22303.0)</f>
        <v>22303</v>
      </c>
      <c r="C1618" s="3" t="str">
        <f>IFERROR(__xludf.DUMMYFUNCTION("""COMPUTED_VALUE"""),"MBC ชุมชนบาเละฮีเล นราธิวาส")</f>
        <v>MBC ชุมชนบาเละฮีเล นราธิวาส</v>
      </c>
      <c r="D1618" s="3" t="str">
        <f>IFERROR(__xludf.DUMMYFUNCTION("""COMPUTED_VALUE"""),"BCM CHUMCHON BALE HILE")</f>
        <v>BCM CHUMCHON BALE HILE</v>
      </c>
      <c r="E1618" s="1" t="str">
        <f>IFERROR(__xludf.DUMMYFUNCTION("""COMPUTED_VALUE"""),"บิ๊กซี MINI")</f>
        <v>บิ๊กซี MINI</v>
      </c>
      <c r="F1618" s="1" t="str">
        <f>IFERROR(__xludf.DUMMYFUNCTION("""COMPUTED_VALUE"""),"250760")</f>
        <v>250760</v>
      </c>
      <c r="G1618" s="1" t="str">
        <f>IFERROR(__xludf.DUMMYFUNCTION("""COMPUTED_VALUE"""),"นายประทวน สาราบรรณ์")</f>
        <v>นายประทวน สาราบรรณ์</v>
      </c>
      <c r="H1618" s="1" t="str">
        <f>IFERROR(__xludf.DUMMYFUNCTION("""COMPUTED_VALUE"""),"006583")</f>
        <v>006583</v>
      </c>
      <c r="I1618" s="1" t="str">
        <f>IFERROR(__xludf.DUMMYFUNCTION("""COMPUTED_VALUE"""),"นายเด่น ยะอิง")</f>
        <v>นายเด่น ยะอิง</v>
      </c>
      <c r="J1618" s="3">
        <f>IFERROR(__xludf.DUMMYFUNCTION("""COMPUTED_VALUE"""),2.0470331E7)</f>
        <v>20470331</v>
      </c>
      <c r="K1618" s="3" t="str">
        <f>IFERROR(__xludf.DUMMYFUNCTION("""COMPUTED_VALUE"""),"นายสมชาย ลักษณะสุวรรณ")</f>
        <v>นายสมชาย ลักษณะสุวรรณ</v>
      </c>
      <c r="L1618" s="1" t="str">
        <f>IFERROR(__xludf.DUMMYFUNCTION("""COMPUTED_VALUE"""),"15 K.Somchai L")</f>
        <v>15 K.Somchai L</v>
      </c>
      <c r="M1618" s="1" t="str">
        <f>IFERROR(__xludf.DUMMYFUNCTION("""COMPUTED_VALUE"""),"0655107372")</f>
        <v>0655107372</v>
      </c>
      <c r="N1618" s="3">
        <f>IFERROR(__xludf.DUMMYFUNCTION("""COMPUTED_VALUE"""),21723.0)</f>
        <v>21723</v>
      </c>
      <c r="O1618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18" s="4">
        <f>IFERROR(__xludf.DUMMYFUNCTION("""COMPUTED_VALUE"""),44311.0)</f>
        <v>44311</v>
      </c>
      <c r="Q1618" s="3" t="str">
        <f>IFERROR(__xludf.DUMMYFUNCTION("""COMPUTED_VALUE"""),"A")</f>
        <v>A</v>
      </c>
      <c r="R1618" s="3" t="str">
        <f>IFERROR(__xludf.DUMMYFUNCTION("""COMPUTED_VALUE"""),"Small Format")</f>
        <v>Small Format</v>
      </c>
      <c r="S1618" s="3" t="str">
        <f>IFERROR(__xludf.DUMMYFUNCTION("""COMPUTED_VALUE"""),"BCM")</f>
        <v>BCM</v>
      </c>
      <c r="T1618" s="3" t="str">
        <f>IFERROR(__xludf.DUMMYFUNCTION("""COMPUTED_VALUE"""),"#N/A")</f>
        <v>#N/A</v>
      </c>
      <c r="U1618" s="3" t="str">
        <f>IFERROR(__xludf.DUMMYFUNCTION("""COMPUTED_VALUE"""),"#N/A")</f>
        <v>#N/A</v>
      </c>
      <c r="V1618" s="3" t="str">
        <f>IFERROR(__xludf.DUMMYFUNCTION("""COMPUTED_VALUE"""),"N")</f>
        <v>N</v>
      </c>
      <c r="W1618" s="3">
        <f>IFERROR(__xludf.DUMMYFUNCTION("""COMPUTED_VALUE"""),210336.0)</f>
        <v>210336</v>
      </c>
      <c r="X1618" s="3" t="str">
        <f>IFERROR(__xludf.DUMMYFUNCTION("""COMPUTED_VALUE"""),"48 ถนนภูผาภัภดี ตำบลบางนาค อำเภอเมืองนราธิวาส จังหวัดนราธิวาส 96000")</f>
        <v>48 ถนนภูผาภัภดี ตำบลบางนาค อำเภอเมืองนราธิวาส จังหวัดนราธิวาส 96000</v>
      </c>
      <c r="Y1618" s="3" t="str">
        <f>IFERROR(__xludf.DUMMYFUNCTION("""COMPUTED_VALUE"""),"ภูผาภัภดี")</f>
        <v>ภูผาภัภดี</v>
      </c>
      <c r="Z1618" s="3" t="str">
        <f>IFERROR(__xludf.DUMMYFUNCTION("""COMPUTED_VALUE"""),"บางนาค")</f>
        <v>บางนาค</v>
      </c>
      <c r="AA1618" s="3" t="str">
        <f>IFERROR(__xludf.DUMMYFUNCTION("""COMPUTED_VALUE"""),"เมือง")</f>
        <v>เมือง</v>
      </c>
      <c r="AB1618" s="3" t="str">
        <f>IFERROR(__xludf.DUMMYFUNCTION("""COMPUTED_VALUE"""),"นราธิวาส")</f>
        <v>นราธิวาส</v>
      </c>
      <c r="AC1618" s="3">
        <f>IFERROR(__xludf.DUMMYFUNCTION("""COMPUTED_VALUE"""),96000.0)</f>
        <v>96000</v>
      </c>
      <c r="AD1618" s="3">
        <f>IFERROR(__xludf.DUMMYFUNCTION("""COMPUTED_VALUE"""),6.44005)</f>
        <v>6.44005</v>
      </c>
      <c r="AE1618" s="3">
        <f>IFERROR(__xludf.DUMMYFUNCTION("""COMPUTED_VALUE"""),101.825378)</f>
        <v>101.825378</v>
      </c>
      <c r="AF1618" s="3" t="str">
        <f>IFERROR(__xludf.DUMMYFUNCTION("""COMPUTED_VALUE"""),"MBC ชุมชนบาเละฮีเล นราธิวาส-22303")</f>
        <v>MBC ชุมชนบาเละฮีเล นราธิวาส-22303</v>
      </c>
      <c r="AG1618" s="3" t="str">
        <f>IFERROR(__xludf.DUMMYFUNCTION("""COMPUTED_VALUE"""),"ใต้")</f>
        <v>ใต้</v>
      </c>
      <c r="AH1618" s="3" t="str">
        <f>IFERROR(__xludf.DUMMYFUNCTION("""COMPUTED_VALUE"""),"#N/A")</f>
        <v>#N/A</v>
      </c>
      <c r="AI1618" s="3" t="str">
        <f>IFERROR(__xludf.DUMMYFUNCTION("""COMPUTED_VALUE"""),"Out of warranty")</f>
        <v>Out of warranty</v>
      </c>
      <c r="AJ1618" s="3">
        <f>IFERROR(__xludf.DUMMYFUNCTION("""COMPUTED_VALUE"""),57.0)</f>
        <v>57</v>
      </c>
      <c r="AK1618" s="3" t="str">
        <f>IFERROR(__xludf.DUMMYFUNCTION("""COMPUTED_VALUE"""),"MMS16")</f>
        <v>MMS16</v>
      </c>
      <c r="AL1618" s="3"/>
    </row>
    <row r="1619" ht="15.75" customHeight="1">
      <c r="A1619" s="1" t="str">
        <f>IFERROR(__xludf.DUMMYFUNCTION("""COMPUTED_VALUE"""),"22305")</f>
        <v>22305</v>
      </c>
      <c r="B1619" s="2">
        <f>IFERROR(__xludf.DUMMYFUNCTION("""COMPUTED_VALUE"""),22305.0)</f>
        <v>22305</v>
      </c>
      <c r="C1619" s="3" t="str">
        <f>IFERROR(__xludf.DUMMYFUNCTION("""COMPUTED_VALUE"""),"MBC ม.เทคโนโลยีราชมงคลกรุงเทพ (พระนครใต้)กรุงเทพฯ")</f>
        <v>MBC ม.เทคโนโลยีราชมงคลกรุงเทพ (พระนครใต้)กรุงเทพฯ</v>
      </c>
      <c r="D1619" s="3" t="str">
        <f>IFERROR(__xludf.DUMMYFUNCTION("""COMPUTED_VALUE"""),"BCM RMUT KRUNGTHEP")</f>
        <v>BCM RMUT KRUNGTHEP</v>
      </c>
      <c r="E1619" s="1" t="str">
        <f>IFERROR(__xludf.DUMMYFUNCTION("""COMPUTED_VALUE"""),"บิ๊กซี MINI")</f>
        <v>บิ๊กซี MINI</v>
      </c>
      <c r="F1619" s="1" t="str">
        <f>IFERROR(__xludf.DUMMYFUNCTION("""COMPUTED_VALUE"""),"291008")</f>
        <v>291008</v>
      </c>
      <c r="G1619" s="1" t="str">
        <f>IFERROR(__xludf.DUMMYFUNCTION("""COMPUTED_VALUE"""),"น.ส.รัชดาพร อีศรัตน์")</f>
        <v>น.ส.รัชดาพร อีศรัตน์</v>
      </c>
      <c r="H1619" s="1" t="str">
        <f>IFERROR(__xludf.DUMMYFUNCTION("""COMPUTED_VALUE"""),"359002")</f>
        <v>359002</v>
      </c>
      <c r="I1619" s="1" t="str">
        <f>IFERROR(__xludf.DUMMYFUNCTION("""COMPUTED_VALUE"""),"น.ส.นิตยา สมจิตร")</f>
        <v>น.ส.นิตยา สมจิตร</v>
      </c>
      <c r="J1619" s="3">
        <f>IFERROR(__xludf.DUMMYFUNCTION("""COMPUTED_VALUE"""),3510104.0)</f>
        <v>3510104</v>
      </c>
      <c r="K1619" s="3" t="str">
        <f>IFERROR(__xludf.DUMMYFUNCTION("""COMPUTED_VALUE"""),"นายวิโรจน์ อับดุลสมัด")</f>
        <v>นายวิโรจน์ อับดุลสมัด</v>
      </c>
      <c r="L1619" s="1" t="str">
        <f>IFERROR(__xludf.DUMMYFUNCTION("""COMPUTED_VALUE"""),"09 K.Wirode A")</f>
        <v>09 K.Wirode A</v>
      </c>
      <c r="M1619" s="1" t="str">
        <f>IFERROR(__xludf.DUMMYFUNCTION("""COMPUTED_VALUE"""),"080-235-4465")</f>
        <v>080-235-4465</v>
      </c>
      <c r="N1619" s="3">
        <f>IFERROR(__xludf.DUMMYFUNCTION("""COMPUTED_VALUE"""),21324.0)</f>
        <v>21324</v>
      </c>
      <c r="O1619" s="3" t="str">
        <f>IFERROR(__xludf.DUMMYFUNCTION("""COMPUTED_VALUE"""),"MBC BCP สุวินทวงศ์")</f>
        <v>MBC BCP สุวินทวงศ์</v>
      </c>
      <c r="P1619" s="4">
        <f>IFERROR(__xludf.DUMMYFUNCTION("""COMPUTED_VALUE"""),44588.0)</f>
        <v>44588</v>
      </c>
      <c r="Q1619" s="3" t="str">
        <f>IFERROR(__xludf.DUMMYFUNCTION("""COMPUTED_VALUE"""),"A")</f>
        <v>A</v>
      </c>
      <c r="R1619" s="3" t="str">
        <f>IFERROR(__xludf.DUMMYFUNCTION("""COMPUTED_VALUE"""),"Small Format")</f>
        <v>Small Format</v>
      </c>
      <c r="S1619" s="3" t="str">
        <f>IFERROR(__xludf.DUMMYFUNCTION("""COMPUTED_VALUE"""),"BCM")</f>
        <v>BCM</v>
      </c>
      <c r="T1619" s="3" t="str">
        <f>IFERROR(__xludf.DUMMYFUNCTION("""COMPUTED_VALUE"""),"#N/A")</f>
        <v>#N/A</v>
      </c>
      <c r="U1619" s="3" t="str">
        <f>IFERROR(__xludf.DUMMYFUNCTION("""COMPUTED_VALUE"""),"#N/A")</f>
        <v>#N/A</v>
      </c>
      <c r="V1619" s="3" t="str">
        <f>IFERROR(__xludf.DUMMYFUNCTION("""COMPUTED_VALUE"""),"N")</f>
        <v>N</v>
      </c>
      <c r="W1619" s="3">
        <f>IFERROR(__xludf.DUMMYFUNCTION("""COMPUTED_VALUE"""),210349.0)</f>
        <v>210349</v>
      </c>
      <c r="X1619" s="3" t="str">
        <f>IFERROR(__xludf.DUMMYFUNCTION("""COMPUTED_VALUE"""),"149 ถนนเจริญกรุง แขวงยานนาวา เขตสาทร กรุงเทพมหานคร 10120")</f>
        <v>149 ถนนเจริญกรุง แขวงยานนาวา เขตสาทร กรุงเทพมหานคร 10120</v>
      </c>
      <c r="Y1619" s="3" t="str">
        <f>IFERROR(__xludf.DUMMYFUNCTION("""COMPUTED_VALUE"""),"เจริญกรุง")</f>
        <v>เจริญกรุง</v>
      </c>
      <c r="Z1619" s="3" t="str">
        <f>IFERROR(__xludf.DUMMYFUNCTION("""COMPUTED_VALUE"""),"ยานนาวา")</f>
        <v>ยานนาวา</v>
      </c>
      <c r="AA1619" s="3" t="str">
        <f>IFERROR(__xludf.DUMMYFUNCTION("""COMPUTED_VALUE"""),"สาทร")</f>
        <v>สาทร</v>
      </c>
      <c r="AB1619" s="3" t="str">
        <f>IFERROR(__xludf.DUMMYFUNCTION("""COMPUTED_VALUE"""),"กรุงเทพมหานคร")</f>
        <v>กรุงเทพมหานคร</v>
      </c>
      <c r="AC1619" s="3">
        <f>IFERROR(__xludf.DUMMYFUNCTION("""COMPUTED_VALUE"""),10120.0)</f>
        <v>10120</v>
      </c>
      <c r="AD1619" s="3">
        <f>IFERROR(__xludf.DUMMYFUNCTION("""COMPUTED_VALUE"""),13.715198)</f>
        <v>13.715198</v>
      </c>
      <c r="AE1619" s="3">
        <f>IFERROR(__xludf.DUMMYFUNCTION("""COMPUTED_VALUE"""),100.514711)</f>
        <v>100.514711</v>
      </c>
      <c r="AF1619" s="3" t="str">
        <f>IFERROR(__xludf.DUMMYFUNCTION("""COMPUTED_VALUE"""),"MBC ม.เทคโนโลยีราชมงคลกรุงเทพ (พระนครใต้)กรุงเทพฯ-22305")</f>
        <v>MBC ม.เทคโนโลยีราชมงคลกรุงเทพ (พระนครใต้)กรุงเทพฯ-22305</v>
      </c>
      <c r="AG1619" s="3" t="str">
        <f>IFERROR(__xludf.DUMMYFUNCTION("""COMPUTED_VALUE"""),"กลาง")</f>
        <v>กลาง</v>
      </c>
      <c r="AH1619" s="3" t="str">
        <f>IFERROR(__xludf.DUMMYFUNCTION("""COMPUTED_VALUE"""),"#N/A")</f>
        <v>#N/A</v>
      </c>
      <c r="AI1619" s="3" t="str">
        <f>IFERROR(__xludf.DUMMYFUNCTION("""COMPUTED_VALUE"""),"Out of warranty")</f>
        <v>Out of warranty</v>
      </c>
      <c r="AJ1619" s="3">
        <f>IFERROR(__xludf.DUMMYFUNCTION("""COMPUTED_VALUE"""),48.0)</f>
        <v>48</v>
      </c>
      <c r="AK1619" s="3" t="str">
        <f>IFERROR(__xludf.DUMMYFUNCTION("""COMPUTED_VALUE"""),"MMS02")</f>
        <v>MMS02</v>
      </c>
      <c r="AL1619" s="3"/>
    </row>
    <row r="1620" ht="15.75" customHeight="1">
      <c r="A1620" s="1" t="str">
        <f>IFERROR(__xludf.DUMMYFUNCTION("""COMPUTED_VALUE"""),"22306")</f>
        <v>22306</v>
      </c>
      <c r="B1620" s="2">
        <f>IFERROR(__xludf.DUMMYFUNCTION("""COMPUTED_VALUE"""),22306.0)</f>
        <v>22306</v>
      </c>
      <c r="C1620" s="3" t="str">
        <f>IFERROR(__xludf.DUMMYFUNCTION("""COMPUTED_VALUE"""),"MBC ตลาดบางนาค นราธิวาส")</f>
        <v>MBC ตลาดบางนาค นราธิวาส</v>
      </c>
      <c r="D1620" s="3" t="str">
        <f>IFERROR(__xludf.DUMMYFUNCTION("""COMPUTED_VALUE"""),"BCM TALAD BANGNAK")</f>
        <v>BCM TALAD BANGNAK</v>
      </c>
      <c r="E1620" s="1" t="str">
        <f>IFERROR(__xludf.DUMMYFUNCTION("""COMPUTED_VALUE"""),"บิ๊กซี MINI")</f>
        <v>บิ๊กซี MINI</v>
      </c>
      <c r="F1620" s="1" t="str">
        <f>IFERROR(__xludf.DUMMYFUNCTION("""COMPUTED_VALUE"""),"250760")</f>
        <v>250760</v>
      </c>
      <c r="G1620" s="1" t="str">
        <f>IFERROR(__xludf.DUMMYFUNCTION("""COMPUTED_VALUE"""),"นายประทวน สาราบรรณ์")</f>
        <v>นายประทวน สาราบรรณ์</v>
      </c>
      <c r="H1620" s="1" t="str">
        <f>IFERROR(__xludf.DUMMYFUNCTION("""COMPUTED_VALUE"""),"006583")</f>
        <v>006583</v>
      </c>
      <c r="I1620" s="1" t="str">
        <f>IFERROR(__xludf.DUMMYFUNCTION("""COMPUTED_VALUE"""),"นายเด่น ยะอิง")</f>
        <v>นายเด่น ยะอิง</v>
      </c>
      <c r="J1620" s="3">
        <f>IFERROR(__xludf.DUMMYFUNCTION("""COMPUTED_VALUE"""),2.0470331E7)</f>
        <v>20470331</v>
      </c>
      <c r="K1620" s="3" t="str">
        <f>IFERROR(__xludf.DUMMYFUNCTION("""COMPUTED_VALUE"""),"นายสมชาย ลักษณะสุวรรณ")</f>
        <v>นายสมชาย ลักษณะสุวรรณ</v>
      </c>
      <c r="L1620" s="1" t="str">
        <f>IFERROR(__xludf.DUMMYFUNCTION("""COMPUTED_VALUE"""),"15 K.Somchai L")</f>
        <v>15 K.Somchai L</v>
      </c>
      <c r="M1620" s="1" t="str">
        <f>IFERROR(__xludf.DUMMYFUNCTION("""COMPUTED_VALUE"""),"0655107372")</f>
        <v>0655107372</v>
      </c>
      <c r="N1620" s="3">
        <f>IFERROR(__xludf.DUMMYFUNCTION("""COMPUTED_VALUE"""),21723.0)</f>
        <v>21723</v>
      </c>
      <c r="O1620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20" s="4">
        <f>IFERROR(__xludf.DUMMYFUNCTION("""COMPUTED_VALUE"""),44311.0)</f>
        <v>44311</v>
      </c>
      <c r="Q1620" s="3" t="str">
        <f>IFERROR(__xludf.DUMMYFUNCTION("""COMPUTED_VALUE"""),"A")</f>
        <v>A</v>
      </c>
      <c r="R1620" s="3" t="str">
        <f>IFERROR(__xludf.DUMMYFUNCTION("""COMPUTED_VALUE"""),"Small Format")</f>
        <v>Small Format</v>
      </c>
      <c r="S1620" s="3" t="str">
        <f>IFERROR(__xludf.DUMMYFUNCTION("""COMPUTED_VALUE"""),"BCM")</f>
        <v>BCM</v>
      </c>
      <c r="T1620" s="3" t="str">
        <f>IFERROR(__xludf.DUMMYFUNCTION("""COMPUTED_VALUE"""),"#N/A")</f>
        <v>#N/A</v>
      </c>
      <c r="U1620" s="3" t="str">
        <f>IFERROR(__xludf.DUMMYFUNCTION("""COMPUTED_VALUE"""),"#N/A")</f>
        <v>#N/A</v>
      </c>
      <c r="V1620" s="3" t="str">
        <f>IFERROR(__xludf.DUMMYFUNCTION("""COMPUTED_VALUE"""),"N")</f>
        <v>N</v>
      </c>
      <c r="W1620" s="3">
        <f>IFERROR(__xludf.DUMMYFUNCTION("""COMPUTED_VALUE"""),210350.0)</f>
        <v>210350</v>
      </c>
      <c r="X1620" s="3" t="str">
        <f>IFERROR(__xludf.DUMMYFUNCTION("""COMPUTED_VALUE"""),"76 78 ถนนระแงะมรรคา ตำบลบางนาค อำเภอเมืองนราธิวาส จังหวัดนราธิวาส 96000")</f>
        <v>76 78 ถนนระแงะมรรคา ตำบลบางนาค อำเภอเมืองนราธิวาส จังหวัดนราธิวาส 96000</v>
      </c>
      <c r="Y1620" s="3" t="str">
        <f>IFERROR(__xludf.DUMMYFUNCTION("""COMPUTED_VALUE"""),"ระแงะมรรคา")</f>
        <v>ระแงะมรรคา</v>
      </c>
      <c r="Z1620" s="3" t="str">
        <f>IFERROR(__xludf.DUMMYFUNCTION("""COMPUTED_VALUE"""),"บางนาค")</f>
        <v>บางนาค</v>
      </c>
      <c r="AA1620" s="3" t="str">
        <f>IFERROR(__xludf.DUMMYFUNCTION("""COMPUTED_VALUE"""),"เมือง")</f>
        <v>เมือง</v>
      </c>
      <c r="AB1620" s="3" t="str">
        <f>IFERROR(__xludf.DUMMYFUNCTION("""COMPUTED_VALUE"""),"นราธิวาส")</f>
        <v>นราธิวาส</v>
      </c>
      <c r="AC1620" s="3">
        <f>IFERROR(__xludf.DUMMYFUNCTION("""COMPUTED_VALUE"""),96000.0)</f>
        <v>96000</v>
      </c>
      <c r="AD1620" s="3">
        <f>IFERROR(__xludf.DUMMYFUNCTION("""COMPUTED_VALUE"""),6.420431)</f>
        <v>6.420431</v>
      </c>
      <c r="AE1620" s="3">
        <f>IFERROR(__xludf.DUMMYFUNCTION("""COMPUTED_VALUE"""),101.824599)</f>
        <v>101.824599</v>
      </c>
      <c r="AF1620" s="3" t="str">
        <f>IFERROR(__xludf.DUMMYFUNCTION("""COMPUTED_VALUE"""),"MBC ตลาดบางนาค นราธิวาส-22306")</f>
        <v>MBC ตลาดบางนาค นราธิวาส-22306</v>
      </c>
      <c r="AG1620" s="3" t="str">
        <f>IFERROR(__xludf.DUMMYFUNCTION("""COMPUTED_VALUE"""),"ใต้")</f>
        <v>ใต้</v>
      </c>
      <c r="AH1620" s="3" t="str">
        <f>IFERROR(__xludf.DUMMYFUNCTION("""COMPUTED_VALUE"""),"#N/A")</f>
        <v>#N/A</v>
      </c>
      <c r="AI1620" s="3" t="str">
        <f>IFERROR(__xludf.DUMMYFUNCTION("""COMPUTED_VALUE"""),"Out of warranty")</f>
        <v>Out of warranty</v>
      </c>
      <c r="AJ1620" s="3">
        <f>IFERROR(__xludf.DUMMYFUNCTION("""COMPUTED_VALUE"""),57.0)</f>
        <v>57</v>
      </c>
      <c r="AK1620" s="3" t="str">
        <f>IFERROR(__xludf.DUMMYFUNCTION("""COMPUTED_VALUE"""),"MMS16")</f>
        <v>MMS16</v>
      </c>
      <c r="AL1620" s="3"/>
    </row>
    <row r="1621" ht="15.75" customHeight="1">
      <c r="A1621" s="1" t="str">
        <f>IFERROR(__xludf.DUMMYFUNCTION("""COMPUTED_VALUE"""),"22307")</f>
        <v>22307</v>
      </c>
      <c r="B1621" s="2">
        <f>IFERROR(__xludf.DUMMYFUNCTION("""COMPUTED_VALUE"""),22307.0)</f>
        <v>22307</v>
      </c>
      <c r="C1621" s="3" t="str">
        <f>IFERROR(__xludf.DUMMYFUNCTION("""COMPUTED_VALUE"""),"MBC อำเภอยะหา ยะลา")</f>
        <v>MBC อำเภอยะหา ยะลา</v>
      </c>
      <c r="D1621" s="3" t="str">
        <f>IFERROR(__xludf.DUMMYFUNCTION("""COMPUTED_VALUE"""),"BCM AMPHUR YAHA")</f>
        <v>BCM AMPHUR YAHA</v>
      </c>
      <c r="E1621" s="1" t="str">
        <f>IFERROR(__xludf.DUMMYFUNCTION("""COMPUTED_VALUE"""),"บิ๊กซี MINI")</f>
        <v>บิ๊กซี MINI</v>
      </c>
      <c r="F1621" s="1" t="str">
        <f>IFERROR(__xludf.DUMMYFUNCTION("""COMPUTED_VALUE"""),"250760")</f>
        <v>250760</v>
      </c>
      <c r="G1621" s="1" t="str">
        <f>IFERROR(__xludf.DUMMYFUNCTION("""COMPUTED_VALUE"""),"นายประทวน สาราบรรณ์")</f>
        <v>นายประทวน สาราบรรณ์</v>
      </c>
      <c r="H1621" s="1" t="str">
        <f>IFERROR(__xludf.DUMMYFUNCTION("""COMPUTED_VALUE"""),"485279")</f>
        <v>485279</v>
      </c>
      <c r="I1621" s="1" t="str">
        <f>IFERROR(__xludf.DUMMYFUNCTION("""COMPUTED_VALUE"""),"นายสิริพงศ์ ชูชื่น")</f>
        <v>นายสิริพงศ์ ชูชื่น</v>
      </c>
      <c r="J1621" s="3">
        <f>IFERROR(__xludf.DUMMYFUNCTION("""COMPUTED_VALUE"""),2.0470331E7)</f>
        <v>20470331</v>
      </c>
      <c r="K1621" s="3" t="str">
        <f>IFERROR(__xludf.DUMMYFUNCTION("""COMPUTED_VALUE"""),"นายสมชาย ลักษณะสุวรรณ")</f>
        <v>นายสมชาย ลักษณะสุวรรณ</v>
      </c>
      <c r="L1621" s="1" t="str">
        <f>IFERROR(__xludf.DUMMYFUNCTION("""COMPUTED_VALUE"""),"15 K.Somchai L")</f>
        <v>15 K.Somchai L</v>
      </c>
      <c r="M1621" s="1" t="str">
        <f>IFERROR(__xludf.DUMMYFUNCTION("""COMPUTED_VALUE"""),"0655107372")</f>
        <v>0655107372</v>
      </c>
      <c r="N1621" s="3">
        <f>IFERROR(__xludf.DUMMYFUNCTION("""COMPUTED_VALUE"""),21723.0)</f>
        <v>21723</v>
      </c>
      <c r="O162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21" s="4">
        <f>IFERROR(__xludf.DUMMYFUNCTION("""COMPUTED_VALUE"""),44337.0)</f>
        <v>44337</v>
      </c>
      <c r="Q1621" s="3" t="str">
        <f>IFERROR(__xludf.DUMMYFUNCTION("""COMPUTED_VALUE"""),"A")</f>
        <v>A</v>
      </c>
      <c r="R1621" s="3" t="str">
        <f>IFERROR(__xludf.DUMMYFUNCTION("""COMPUTED_VALUE"""),"Small Format")</f>
        <v>Small Format</v>
      </c>
      <c r="S1621" s="3" t="str">
        <f>IFERROR(__xludf.DUMMYFUNCTION("""COMPUTED_VALUE"""),"BCM")</f>
        <v>BCM</v>
      </c>
      <c r="T1621" s="3" t="str">
        <f>IFERROR(__xludf.DUMMYFUNCTION("""COMPUTED_VALUE"""),"#N/A")</f>
        <v>#N/A</v>
      </c>
      <c r="U1621" s="3" t="str">
        <f>IFERROR(__xludf.DUMMYFUNCTION("""COMPUTED_VALUE"""),"#N/A")</f>
        <v>#N/A</v>
      </c>
      <c r="V1621" s="3" t="str">
        <f>IFERROR(__xludf.DUMMYFUNCTION("""COMPUTED_VALUE"""),"N")</f>
        <v>N</v>
      </c>
      <c r="W1621" s="3">
        <f>IFERROR(__xludf.DUMMYFUNCTION("""COMPUTED_VALUE"""),210355.0)</f>
        <v>210355</v>
      </c>
      <c r="X1621" s="3" t="str">
        <f>IFERROR(__xludf.DUMMYFUNCTION("""COMPUTED_VALUE"""),"102 ถนนพิทักษ์ธานี ตำบลยะหา อำเภอยะหา จังหวัดยะลา 95120")</f>
        <v>102 ถนนพิทักษ์ธานี ตำบลยะหา อำเภอยะหา จังหวัดยะลา 95120</v>
      </c>
      <c r="Y1621" s="3" t="str">
        <f>IFERROR(__xludf.DUMMYFUNCTION("""COMPUTED_VALUE"""),"พิทักษ์ธานี")</f>
        <v>พิทักษ์ธานี</v>
      </c>
      <c r="Z1621" s="3" t="str">
        <f>IFERROR(__xludf.DUMMYFUNCTION("""COMPUTED_VALUE"""),"ยะหา")</f>
        <v>ยะหา</v>
      </c>
      <c r="AA1621" s="3" t="str">
        <f>IFERROR(__xludf.DUMMYFUNCTION("""COMPUTED_VALUE"""),"ยะหา")</f>
        <v>ยะหา</v>
      </c>
      <c r="AB1621" s="3" t="str">
        <f>IFERROR(__xludf.DUMMYFUNCTION("""COMPUTED_VALUE"""),"ยะลา")</f>
        <v>ยะลา</v>
      </c>
      <c r="AC1621" s="3">
        <f>IFERROR(__xludf.DUMMYFUNCTION("""COMPUTED_VALUE"""),95120.0)</f>
        <v>95120</v>
      </c>
      <c r="AD1621" s="3">
        <f>IFERROR(__xludf.DUMMYFUNCTION("""COMPUTED_VALUE"""),6.480408)</f>
        <v>6.480408</v>
      </c>
      <c r="AE1621" s="3">
        <f>IFERROR(__xludf.DUMMYFUNCTION("""COMPUTED_VALUE"""),101.132428)</f>
        <v>101.132428</v>
      </c>
      <c r="AF1621" s="3" t="str">
        <f>IFERROR(__xludf.DUMMYFUNCTION("""COMPUTED_VALUE"""),"MBC อำเภอยะหา ยะลา-22307")</f>
        <v>MBC อำเภอยะหา ยะลา-22307</v>
      </c>
      <c r="AG1621" s="3" t="str">
        <f>IFERROR(__xludf.DUMMYFUNCTION("""COMPUTED_VALUE"""),"ใต้")</f>
        <v>ใต้</v>
      </c>
      <c r="AH1621" s="3" t="str">
        <f>IFERROR(__xludf.DUMMYFUNCTION("""COMPUTED_VALUE"""),"#N/A")</f>
        <v>#N/A</v>
      </c>
      <c r="AI1621" s="3" t="str">
        <f>IFERROR(__xludf.DUMMYFUNCTION("""COMPUTED_VALUE"""),"Out of warranty")</f>
        <v>Out of warranty</v>
      </c>
      <c r="AJ1621" s="3">
        <f>IFERROR(__xludf.DUMMYFUNCTION("""COMPUTED_VALUE"""),56.0)</f>
        <v>56</v>
      </c>
      <c r="AK1621" s="3" t="str">
        <f>IFERROR(__xludf.DUMMYFUNCTION("""COMPUTED_VALUE"""),"MMS16")</f>
        <v>MMS16</v>
      </c>
      <c r="AL1621" s="3"/>
    </row>
    <row r="1622" ht="15.75" customHeight="1">
      <c r="A1622" s="1" t="str">
        <f>IFERROR(__xludf.DUMMYFUNCTION("""COMPUTED_VALUE"""),"22308")</f>
        <v>22308</v>
      </c>
      <c r="B1622" s="2">
        <f>IFERROR(__xludf.DUMMYFUNCTION("""COMPUTED_VALUE"""),22308.0)</f>
        <v>22308</v>
      </c>
      <c r="C1622" s="3" t="str">
        <f>IFERROR(__xludf.DUMMYFUNCTION("""COMPUTED_VALUE"""),"MBC โขงเจียม อุบลราชธานี")</f>
        <v>MBC โขงเจียม อุบลราชธานี</v>
      </c>
      <c r="D1622" s="3" t="str">
        <f>IFERROR(__xludf.DUMMYFUNCTION("""COMPUTED_VALUE"""),"BCM KHONG CHIAM")</f>
        <v>BCM KHONG CHIAM</v>
      </c>
      <c r="E1622" s="1" t="str">
        <f>IFERROR(__xludf.DUMMYFUNCTION("""COMPUTED_VALUE"""),"บิ๊กซี MINI")</f>
        <v>บิ๊กซี MINI</v>
      </c>
      <c r="F1622" s="1" t="str">
        <f>IFERROR(__xludf.DUMMYFUNCTION("""COMPUTED_VALUE"""),"291105")</f>
        <v>291105</v>
      </c>
      <c r="G1622" s="1" t="str">
        <f>IFERROR(__xludf.DUMMYFUNCTION("""COMPUTED_VALUE"""),"นายสราวุฒิ พณิชยกุล")</f>
        <v>นายสราวุฒิ พณิชยกุล</v>
      </c>
      <c r="H1622" s="1" t="str">
        <f>IFERROR(__xludf.DUMMYFUNCTION("""COMPUTED_VALUE"""),"250772")</f>
        <v>250772</v>
      </c>
      <c r="I1622" s="1" t="str">
        <f>IFERROR(__xludf.DUMMYFUNCTION("""COMPUTED_VALUE"""),"น.ส.วรุณยุพา จรูญไธสง")</f>
        <v>น.ส.วรุณยุพา จรูญไธสง</v>
      </c>
      <c r="J1622" s="3">
        <f>IFERROR(__xludf.DUMMYFUNCTION("""COMPUTED_VALUE"""),2454781.0)</f>
        <v>2454781</v>
      </c>
      <c r="K1622" s="3" t="str">
        <f>IFERROR(__xludf.DUMMYFUNCTION("""COMPUTED_VALUE"""),"นายฌานกฤช นันทะโคต")</f>
        <v>นายฌานกฤช นันทะโคต</v>
      </c>
      <c r="L1622" s="1" t="str">
        <f>IFERROR(__xludf.DUMMYFUNCTION("""COMPUTED_VALUE"""),"05 K.Chanakrit N.")</f>
        <v>05 K.Chanakrit N.</v>
      </c>
      <c r="M1622" s="1" t="str">
        <f>IFERROR(__xludf.DUMMYFUNCTION("""COMPUTED_VALUE"""),"090-978-9785 ,065-929-1320")</f>
        <v>090-978-9785 ,065-929-1320</v>
      </c>
      <c r="N1622" s="3">
        <f>IFERROR(__xludf.DUMMYFUNCTION("""COMPUTED_VALUE"""),22195.0)</f>
        <v>22195</v>
      </c>
      <c r="O1622" s="3" t="str">
        <f>IFERROR(__xludf.DUMMYFUNCTION("""COMPUTED_VALUE"""),"MBC กันทรลักษ์ ศรีสะเกษ")</f>
        <v>MBC กันทรลักษ์ ศรีสะเกษ</v>
      </c>
      <c r="P1622" s="4">
        <f>IFERROR(__xludf.DUMMYFUNCTION("""COMPUTED_VALUE"""),44311.0)</f>
        <v>44311</v>
      </c>
      <c r="Q1622" s="3" t="str">
        <f>IFERROR(__xludf.DUMMYFUNCTION("""COMPUTED_VALUE"""),"A")</f>
        <v>A</v>
      </c>
      <c r="R1622" s="3" t="str">
        <f>IFERROR(__xludf.DUMMYFUNCTION("""COMPUTED_VALUE"""),"Small Format")</f>
        <v>Small Format</v>
      </c>
      <c r="S1622" s="3" t="str">
        <f>IFERROR(__xludf.DUMMYFUNCTION("""COMPUTED_VALUE"""),"BCM")</f>
        <v>BCM</v>
      </c>
      <c r="T1622" s="3" t="str">
        <f>IFERROR(__xludf.DUMMYFUNCTION("""COMPUTED_VALUE"""),"#N/A")</f>
        <v>#N/A</v>
      </c>
      <c r="U1622" s="3" t="str">
        <f>IFERROR(__xludf.DUMMYFUNCTION("""COMPUTED_VALUE"""),"#N/A")</f>
        <v>#N/A</v>
      </c>
      <c r="V1622" s="3" t="str">
        <f>IFERROR(__xludf.DUMMYFUNCTION("""COMPUTED_VALUE"""),"N")</f>
        <v>N</v>
      </c>
      <c r="W1622" s="3">
        <f>IFERROR(__xludf.DUMMYFUNCTION("""COMPUTED_VALUE"""),210352.0)</f>
        <v>210352</v>
      </c>
      <c r="X1622" s="3" t="str">
        <f>IFERROR(__xludf.DUMMYFUNCTION("""COMPUTED_VALUE"""),"605 605/1 หมู1 ตำบลโขงเจียม อำเภอโขงเจียม จังหวัดอุบลราชธานี 34220")</f>
        <v>605 605/1 หมู1 ตำบลโขงเจียม อำเภอโขงเจียม จังหวัดอุบลราชธานี 34220</v>
      </c>
      <c r="Y1622" s="3"/>
      <c r="Z1622" s="3" t="str">
        <f>IFERROR(__xludf.DUMMYFUNCTION("""COMPUTED_VALUE"""),"โขงเจียม")</f>
        <v>โขงเจียม</v>
      </c>
      <c r="AA1622" s="3" t="str">
        <f>IFERROR(__xludf.DUMMYFUNCTION("""COMPUTED_VALUE"""),"โขงเจียม")</f>
        <v>โขงเจียม</v>
      </c>
      <c r="AB1622" s="3" t="str">
        <f>IFERROR(__xludf.DUMMYFUNCTION("""COMPUTED_VALUE"""),"อุบลราชธานี")</f>
        <v>อุบลราชธานี</v>
      </c>
      <c r="AC1622" s="3">
        <f>IFERROR(__xludf.DUMMYFUNCTION("""COMPUTED_VALUE"""),34220.0)</f>
        <v>34220</v>
      </c>
      <c r="AD1622" s="3">
        <f>IFERROR(__xludf.DUMMYFUNCTION("""COMPUTED_VALUE"""),15.318014)</f>
        <v>15.318014</v>
      </c>
      <c r="AE1622" s="3">
        <f>IFERROR(__xludf.DUMMYFUNCTION("""COMPUTED_VALUE"""),105.492989)</f>
        <v>105.492989</v>
      </c>
      <c r="AF1622" s="3" t="str">
        <f>IFERROR(__xludf.DUMMYFUNCTION("""COMPUTED_VALUE"""),"MBC โขงเจียม อุบลราชธานี-22308")</f>
        <v>MBC โขงเจียม อุบลราชธานี-22308</v>
      </c>
      <c r="AG1622" s="3" t="str">
        <f>IFERROR(__xludf.DUMMYFUNCTION("""COMPUTED_VALUE"""),"ตะวันออกเฉียงเหนือ")</f>
        <v>ตะวันออกเฉียงเหนือ</v>
      </c>
      <c r="AH1622" s="3" t="str">
        <f>IFERROR(__xludf.DUMMYFUNCTION("""COMPUTED_VALUE"""),"#N/A")</f>
        <v>#N/A</v>
      </c>
      <c r="AI1622" s="3" t="str">
        <f>IFERROR(__xludf.DUMMYFUNCTION("""COMPUTED_VALUE"""),"Out of warranty")</f>
        <v>Out of warranty</v>
      </c>
      <c r="AJ1622" s="3">
        <f>IFERROR(__xludf.DUMMYFUNCTION("""COMPUTED_VALUE"""),57.0)</f>
        <v>57</v>
      </c>
      <c r="AK1622" s="3" t="str">
        <f>IFERROR(__xludf.DUMMYFUNCTION("""COMPUTED_VALUE"""),"MMS13")</f>
        <v>MMS13</v>
      </c>
      <c r="AL1622" s="3"/>
    </row>
    <row r="1623" ht="15.75" customHeight="1">
      <c r="A1623" s="1" t="str">
        <f>IFERROR(__xludf.DUMMYFUNCTION("""COMPUTED_VALUE"""),"22309")</f>
        <v>22309</v>
      </c>
      <c r="B1623" s="2">
        <f>IFERROR(__xludf.DUMMYFUNCTION("""COMPUTED_VALUE"""),22309.0)</f>
        <v>22309</v>
      </c>
      <c r="C1623" s="3" t="str">
        <f>IFERROR(__xludf.DUMMYFUNCTION("""COMPUTED_VALUE"""),"MBC ชุมชนเมาะสือแม นราธิวาส")</f>
        <v>MBC ชุมชนเมาะสือแม นราธิวาส</v>
      </c>
      <c r="D1623" s="3" t="str">
        <f>IFERROR(__xludf.DUMMYFUNCTION("""COMPUTED_VALUE"""),"BCM CHUMCHON MOSUXMEAE")</f>
        <v>BCM CHUMCHON MOSUXMEAE</v>
      </c>
      <c r="E1623" s="1" t="str">
        <f>IFERROR(__xludf.DUMMYFUNCTION("""COMPUTED_VALUE"""),"บิ๊กซี MINI")</f>
        <v>บิ๊กซี MINI</v>
      </c>
      <c r="F1623" s="1" t="str">
        <f>IFERROR(__xludf.DUMMYFUNCTION("""COMPUTED_VALUE"""),"250760")</f>
        <v>250760</v>
      </c>
      <c r="G1623" s="1" t="str">
        <f>IFERROR(__xludf.DUMMYFUNCTION("""COMPUTED_VALUE"""),"นายประทวน สาราบรรณ์")</f>
        <v>นายประทวน สาราบรรณ์</v>
      </c>
      <c r="H1623" s="1" t="str">
        <f>IFERROR(__xludf.DUMMYFUNCTION("""COMPUTED_VALUE"""),"006583")</f>
        <v>006583</v>
      </c>
      <c r="I1623" s="1" t="str">
        <f>IFERROR(__xludf.DUMMYFUNCTION("""COMPUTED_VALUE"""),"นายเด่น ยะอิง")</f>
        <v>นายเด่น ยะอิง</v>
      </c>
      <c r="J1623" s="3">
        <f>IFERROR(__xludf.DUMMYFUNCTION("""COMPUTED_VALUE"""),2.0470331E7)</f>
        <v>20470331</v>
      </c>
      <c r="K1623" s="3" t="str">
        <f>IFERROR(__xludf.DUMMYFUNCTION("""COMPUTED_VALUE"""),"นายสมชาย ลักษณะสุวรรณ")</f>
        <v>นายสมชาย ลักษณะสุวรรณ</v>
      </c>
      <c r="L1623" s="1" t="str">
        <f>IFERROR(__xludf.DUMMYFUNCTION("""COMPUTED_VALUE"""),"15 K.Somchai L")</f>
        <v>15 K.Somchai L</v>
      </c>
      <c r="M1623" s="1" t="str">
        <f>IFERROR(__xludf.DUMMYFUNCTION("""COMPUTED_VALUE"""),"0655107372")</f>
        <v>0655107372</v>
      </c>
      <c r="N1623" s="3">
        <f>IFERROR(__xludf.DUMMYFUNCTION("""COMPUTED_VALUE"""),21723.0)</f>
        <v>21723</v>
      </c>
      <c r="O1623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23" s="4">
        <f>IFERROR(__xludf.DUMMYFUNCTION("""COMPUTED_VALUE"""),44311.0)</f>
        <v>44311</v>
      </c>
      <c r="Q1623" s="3" t="str">
        <f>IFERROR(__xludf.DUMMYFUNCTION("""COMPUTED_VALUE"""),"A")</f>
        <v>A</v>
      </c>
      <c r="R1623" s="3" t="str">
        <f>IFERROR(__xludf.DUMMYFUNCTION("""COMPUTED_VALUE"""),"Small Format")</f>
        <v>Small Format</v>
      </c>
      <c r="S1623" s="3" t="str">
        <f>IFERROR(__xludf.DUMMYFUNCTION("""COMPUTED_VALUE"""),"BCM")</f>
        <v>BCM</v>
      </c>
      <c r="T1623" s="3" t="str">
        <f>IFERROR(__xludf.DUMMYFUNCTION("""COMPUTED_VALUE"""),"#N/A")</f>
        <v>#N/A</v>
      </c>
      <c r="U1623" s="3" t="str">
        <f>IFERROR(__xludf.DUMMYFUNCTION("""COMPUTED_VALUE"""),"#N/A")</f>
        <v>#N/A</v>
      </c>
      <c r="V1623" s="3" t="str">
        <f>IFERROR(__xludf.DUMMYFUNCTION("""COMPUTED_VALUE"""),"N")</f>
        <v>N</v>
      </c>
      <c r="W1623" s="3">
        <f>IFERROR(__xludf.DUMMYFUNCTION("""COMPUTED_VALUE"""),210340.0)</f>
        <v>210340</v>
      </c>
      <c r="X1623" s="3" t="str">
        <f>IFERROR(__xludf.DUMMYFUNCTION("""COMPUTED_VALUE"""),"33/16 ถนนวิจิตรไชยบูลย์ ตำบลบางนาค อำเภอเมืองนราธิวาส จังหวัดนราธิวาส 96000")</f>
        <v>33/16 ถนนวิจิตรไชยบูลย์ ตำบลบางนาค อำเภอเมืองนราธิวาส จังหวัดนราธิวาส 96000</v>
      </c>
      <c r="Y1623" s="3" t="str">
        <f>IFERROR(__xludf.DUMMYFUNCTION("""COMPUTED_VALUE"""),"วิจิตรไชยบูลย์")</f>
        <v>วิจิตรไชยบูลย์</v>
      </c>
      <c r="Z1623" s="3" t="str">
        <f>IFERROR(__xludf.DUMMYFUNCTION("""COMPUTED_VALUE"""),"บางนาค")</f>
        <v>บางนาค</v>
      </c>
      <c r="AA1623" s="3" t="str">
        <f>IFERROR(__xludf.DUMMYFUNCTION("""COMPUTED_VALUE"""),"เมือง")</f>
        <v>เมือง</v>
      </c>
      <c r="AB1623" s="3" t="str">
        <f>IFERROR(__xludf.DUMMYFUNCTION("""COMPUTED_VALUE"""),"นราธิวาส")</f>
        <v>นราธิวาส</v>
      </c>
      <c r="AC1623" s="3">
        <f>IFERROR(__xludf.DUMMYFUNCTION("""COMPUTED_VALUE"""),96000.0)</f>
        <v>96000</v>
      </c>
      <c r="AD1623" s="3">
        <f>IFERROR(__xludf.DUMMYFUNCTION("""COMPUTED_VALUE"""),6.431555)</f>
        <v>6.431555</v>
      </c>
      <c r="AE1623" s="3">
        <f>IFERROR(__xludf.DUMMYFUNCTION("""COMPUTED_VALUE"""),101.821994)</f>
        <v>101.821994</v>
      </c>
      <c r="AF1623" s="3" t="str">
        <f>IFERROR(__xludf.DUMMYFUNCTION("""COMPUTED_VALUE"""),"MBC ชุมชนเมาะสือแม นราธิวาส-22309")</f>
        <v>MBC ชุมชนเมาะสือแม นราธิวาส-22309</v>
      </c>
      <c r="AG1623" s="3" t="str">
        <f>IFERROR(__xludf.DUMMYFUNCTION("""COMPUTED_VALUE"""),"ใต้")</f>
        <v>ใต้</v>
      </c>
      <c r="AH1623" s="3" t="str">
        <f>IFERROR(__xludf.DUMMYFUNCTION("""COMPUTED_VALUE"""),"#N/A")</f>
        <v>#N/A</v>
      </c>
      <c r="AI1623" s="3" t="str">
        <f>IFERROR(__xludf.DUMMYFUNCTION("""COMPUTED_VALUE"""),"Out of warranty")</f>
        <v>Out of warranty</v>
      </c>
      <c r="AJ1623" s="3">
        <f>IFERROR(__xludf.DUMMYFUNCTION("""COMPUTED_VALUE"""),57.0)</f>
        <v>57</v>
      </c>
      <c r="AK1623" s="3" t="str">
        <f>IFERROR(__xludf.DUMMYFUNCTION("""COMPUTED_VALUE"""),"MMS16")</f>
        <v>MMS16</v>
      </c>
      <c r="AL1623" s="3"/>
    </row>
    <row r="1624" ht="15.75" customHeight="1">
      <c r="A1624" s="1" t="str">
        <f>IFERROR(__xludf.DUMMYFUNCTION("""COMPUTED_VALUE"""),"22310")</f>
        <v>22310</v>
      </c>
      <c r="B1624" s="2">
        <f>IFERROR(__xludf.DUMMYFUNCTION("""COMPUTED_VALUE"""),22310.0)</f>
        <v>22310</v>
      </c>
      <c r="C1624" s="3" t="str">
        <f>IFERROR(__xludf.DUMMYFUNCTION("""COMPUTED_VALUE"""),"MBC เชียงคาน เลย")</f>
        <v>MBC เชียงคาน เลย</v>
      </c>
      <c r="D1624" s="3" t="str">
        <f>IFERROR(__xludf.DUMMYFUNCTION("""COMPUTED_VALUE"""),"BCM CHAING KAN")</f>
        <v>BCM CHAING KAN</v>
      </c>
      <c r="E1624" s="1" t="str">
        <f>IFERROR(__xludf.DUMMYFUNCTION("""COMPUTED_VALUE"""),"บิ๊กซี MINI")</f>
        <v>บิ๊กซี MINI</v>
      </c>
      <c r="F1624" s="1" t="str">
        <f>IFERROR(__xludf.DUMMYFUNCTION("""COMPUTED_VALUE"""),"291105")</f>
        <v>291105</v>
      </c>
      <c r="G1624" s="1" t="str">
        <f>IFERROR(__xludf.DUMMYFUNCTION("""COMPUTED_VALUE"""),"นายสราวุฒิ พณิชยกุล")</f>
        <v>นายสราวุฒิ พณิชยกุล</v>
      </c>
      <c r="H1624" s="1" t="str">
        <f>IFERROR(__xludf.DUMMYFUNCTION("""COMPUTED_VALUE"""),"305119")</f>
        <v>305119</v>
      </c>
      <c r="I1624" s="1" t="str">
        <f>IFERROR(__xludf.DUMMYFUNCTION("""COMPUTED_VALUE"""),"นายไชยกร ลีพิบูลย์สวัสดิ์")</f>
        <v>นายไชยกร ลีพิบูลย์สวัสดิ์</v>
      </c>
      <c r="J1624" s="3">
        <f>IFERROR(__xludf.DUMMYFUNCTION("""COMPUTED_VALUE"""),296868.0)</f>
        <v>296868</v>
      </c>
      <c r="K1624" s="3" t="str">
        <f>IFERROR(__xludf.DUMMYFUNCTION("""COMPUTED_VALUE"""),"นายพีระพงษ์ แก้วดวงดี")</f>
        <v>นายพีระพงษ์ แก้วดวงดี</v>
      </c>
      <c r="L1624" s="1" t="str">
        <f>IFERROR(__xludf.DUMMYFUNCTION("""COMPUTED_VALUE"""),"03 K.Peerapong K.")</f>
        <v>03 K.Peerapong K.</v>
      </c>
      <c r="M1624" s="1" t="str">
        <f>IFERROR(__xludf.DUMMYFUNCTION("""COMPUTED_VALUE"""),"089-002-6599")</f>
        <v>089-002-6599</v>
      </c>
      <c r="N1624" s="3">
        <f>IFERROR(__xludf.DUMMYFUNCTION("""COMPUTED_VALUE"""),21946.0)</f>
        <v>21946</v>
      </c>
      <c r="O1624" s="3" t="str">
        <f>IFERROR(__xludf.DUMMYFUNCTION("""COMPUTED_VALUE"""),"MBC เซกา บึงกาฬ")</f>
        <v>MBC เซกา บึงกาฬ</v>
      </c>
      <c r="P1624" s="4">
        <f>IFERROR(__xludf.DUMMYFUNCTION("""COMPUTED_VALUE"""),44311.0)</f>
        <v>44311</v>
      </c>
      <c r="Q1624" s="3" t="str">
        <f>IFERROR(__xludf.DUMMYFUNCTION("""COMPUTED_VALUE"""),"A")</f>
        <v>A</v>
      </c>
      <c r="R1624" s="3" t="str">
        <f>IFERROR(__xludf.DUMMYFUNCTION("""COMPUTED_VALUE"""),"Small Format")</f>
        <v>Small Format</v>
      </c>
      <c r="S1624" s="3" t="str">
        <f>IFERROR(__xludf.DUMMYFUNCTION("""COMPUTED_VALUE"""),"BCM")</f>
        <v>BCM</v>
      </c>
      <c r="T1624" s="3" t="str">
        <f>IFERROR(__xludf.DUMMYFUNCTION("""COMPUTED_VALUE"""),"#N/A")</f>
        <v>#N/A</v>
      </c>
      <c r="U1624" s="3" t="str">
        <f>IFERROR(__xludf.DUMMYFUNCTION("""COMPUTED_VALUE"""),"#N/A")</f>
        <v>#N/A</v>
      </c>
      <c r="V1624" s="3" t="str">
        <f>IFERROR(__xludf.DUMMYFUNCTION("""COMPUTED_VALUE"""),"N")</f>
        <v>N</v>
      </c>
      <c r="W1624" s="3">
        <f>IFERROR(__xludf.DUMMYFUNCTION("""COMPUTED_VALUE"""),210351.0)</f>
        <v>210351</v>
      </c>
      <c r="X1624" s="3" t="str">
        <f>IFERROR(__xludf.DUMMYFUNCTION("""COMPUTED_VALUE"""),"68 หมู่2 ตำบลเชียงคาน อำเภอเชียงคาน จังหวัดเลย 42110")</f>
        <v>68 หมู่2 ตำบลเชียงคาน อำเภอเชียงคาน จังหวัดเลย 42110</v>
      </c>
      <c r="Y1624" s="3"/>
      <c r="Z1624" s="3" t="str">
        <f>IFERROR(__xludf.DUMMYFUNCTION("""COMPUTED_VALUE"""),"เชียงคาน")</f>
        <v>เชียงคาน</v>
      </c>
      <c r="AA1624" s="3" t="str">
        <f>IFERROR(__xludf.DUMMYFUNCTION("""COMPUTED_VALUE"""),"เชียงคาน")</f>
        <v>เชียงคาน</v>
      </c>
      <c r="AB1624" s="3" t="str">
        <f>IFERROR(__xludf.DUMMYFUNCTION("""COMPUTED_VALUE"""),"เลย")</f>
        <v>เลย</v>
      </c>
      <c r="AC1624" s="3">
        <f>IFERROR(__xludf.DUMMYFUNCTION("""COMPUTED_VALUE"""),42110.0)</f>
        <v>42110</v>
      </c>
      <c r="AD1624" s="3">
        <f>IFERROR(__xludf.DUMMYFUNCTION("""COMPUTED_VALUE"""),17.894956)</f>
        <v>17.894956</v>
      </c>
      <c r="AE1624" s="3">
        <f>IFERROR(__xludf.DUMMYFUNCTION("""COMPUTED_VALUE"""),101.65856)</f>
        <v>101.65856</v>
      </c>
      <c r="AF1624" s="3" t="str">
        <f>IFERROR(__xludf.DUMMYFUNCTION("""COMPUTED_VALUE"""),"MBC เชียงคาน เลย-22310")</f>
        <v>MBC เชียงคาน เลย-22310</v>
      </c>
      <c r="AG1624" s="3" t="str">
        <f>IFERROR(__xludf.DUMMYFUNCTION("""COMPUTED_VALUE"""),"ตะวันออกเฉียงเหนือ")</f>
        <v>ตะวันออกเฉียงเหนือ</v>
      </c>
      <c r="AH1624" s="3" t="str">
        <f>IFERROR(__xludf.DUMMYFUNCTION("""COMPUTED_VALUE"""),"#N/A")</f>
        <v>#N/A</v>
      </c>
      <c r="AI1624" s="3" t="str">
        <f>IFERROR(__xludf.DUMMYFUNCTION("""COMPUTED_VALUE"""),"Out of warranty")</f>
        <v>Out of warranty</v>
      </c>
      <c r="AJ1624" s="3">
        <f>IFERROR(__xludf.DUMMYFUNCTION("""COMPUTED_VALUE"""),57.0)</f>
        <v>57</v>
      </c>
      <c r="AK1624" s="3" t="str">
        <f>IFERROR(__xludf.DUMMYFUNCTION("""COMPUTED_VALUE"""),"MMS12")</f>
        <v>MMS12</v>
      </c>
      <c r="AL1624" s="3"/>
    </row>
    <row r="1625" ht="15.75" customHeight="1">
      <c r="A1625" s="1" t="str">
        <f>IFERROR(__xludf.DUMMYFUNCTION("""COMPUTED_VALUE"""),"22311")</f>
        <v>22311</v>
      </c>
      <c r="B1625" s="2">
        <f>IFERROR(__xludf.DUMMYFUNCTION("""COMPUTED_VALUE"""),22311.0)</f>
        <v>22311</v>
      </c>
      <c r="C1625" s="3" t="str">
        <f>IFERROR(__xludf.DUMMYFUNCTION("""COMPUTED_VALUE"""),"MBC BCP บางน้ำเปรี้ยว ฉะเชิงเทรา")</f>
        <v>MBC BCP บางน้ำเปรี้ยว ฉะเชิงเทรา</v>
      </c>
      <c r="D1625" s="3" t="str">
        <f>IFERROR(__xludf.DUMMYFUNCTION("""COMPUTED_VALUE"""),"BCM BCP BANG NAM PRIAO")</f>
        <v>BCM BCP BANG NAM PRIAO</v>
      </c>
      <c r="E1625" s="1" t="str">
        <f>IFERROR(__xludf.DUMMYFUNCTION("""COMPUTED_VALUE"""),"บิ๊กซี MINI")</f>
        <v>บิ๊กซี MINI</v>
      </c>
      <c r="F1625" s="1" t="str">
        <f>IFERROR(__xludf.DUMMYFUNCTION("""COMPUTED_VALUE"""),"2083447")</f>
        <v>2083447</v>
      </c>
      <c r="G1625" s="1" t="str">
        <f>IFERROR(__xludf.DUMMYFUNCTION("""COMPUTED_VALUE"""),"นายอนุกูล ศรีลัดดา")</f>
        <v>นายอนุกูล ศรีลัดดา</v>
      </c>
      <c r="H1625" s="1" t="str">
        <f>IFERROR(__xludf.DUMMYFUNCTION("""COMPUTED_VALUE"""),"254957")</f>
        <v>254957</v>
      </c>
      <c r="I1625" s="1" t="str">
        <f>IFERROR(__xludf.DUMMYFUNCTION("""COMPUTED_VALUE"""),"น.ส.ศิริพร รุ่งธัญญา")</f>
        <v>น.ส.ศิริพร รุ่งธัญญา</v>
      </c>
      <c r="J1625" s="3">
        <f>IFERROR(__xludf.DUMMYFUNCTION("""COMPUTED_VALUE"""),510143.0)</f>
        <v>510143</v>
      </c>
      <c r="K1625" s="3" t="str">
        <f>IFERROR(__xludf.DUMMYFUNCTION("""COMPUTED_VALUE"""),"นายธีระวัฒน์ บุญสิทธิ์")</f>
        <v>นายธีระวัฒน์ บุญสิทธิ์</v>
      </c>
      <c r="L1625" s="1" t="str">
        <f>IFERROR(__xludf.DUMMYFUNCTION("""COMPUTED_VALUE"""),"12 K.Theerawat B.")</f>
        <v>12 K.Theerawat B.</v>
      </c>
      <c r="M1625" s="1" t="str">
        <f>IFERROR(__xludf.DUMMYFUNCTION("""COMPUTED_VALUE"""),"0655107379")</f>
        <v>0655107379</v>
      </c>
      <c r="N1625" s="3">
        <f>IFERROR(__xludf.DUMMYFUNCTION("""COMPUTED_VALUE"""),21062.0)</f>
        <v>21062</v>
      </c>
      <c r="O1625" s="3" t="str">
        <f>IFERROR(__xludf.DUMMYFUNCTION("""COMPUTED_VALUE"""),"MBC นิคมนวนคร")</f>
        <v>MBC นิคมนวนคร</v>
      </c>
      <c r="P1625" s="4">
        <f>IFERROR(__xludf.DUMMYFUNCTION("""COMPUTED_VALUE"""),44441.0)</f>
        <v>44441</v>
      </c>
      <c r="Q1625" s="3" t="str">
        <f>IFERROR(__xludf.DUMMYFUNCTION("""COMPUTED_VALUE"""),"A")</f>
        <v>A</v>
      </c>
      <c r="R1625" s="3" t="str">
        <f>IFERROR(__xludf.DUMMYFUNCTION("""COMPUTED_VALUE"""),"Small Format")</f>
        <v>Small Format</v>
      </c>
      <c r="S1625" s="3" t="str">
        <f>IFERROR(__xludf.DUMMYFUNCTION("""COMPUTED_VALUE"""),"BCM")</f>
        <v>BCM</v>
      </c>
      <c r="T1625" s="3" t="str">
        <f>IFERROR(__xludf.DUMMYFUNCTION("""COMPUTED_VALUE"""),"#N/A")</f>
        <v>#N/A</v>
      </c>
      <c r="U1625" s="3" t="str">
        <f>IFERROR(__xludf.DUMMYFUNCTION("""COMPUTED_VALUE"""),"#N/A")</f>
        <v>#N/A</v>
      </c>
      <c r="V1625" s="3" t="str">
        <f>IFERROR(__xludf.DUMMYFUNCTION("""COMPUTED_VALUE"""),"N")</f>
        <v>N</v>
      </c>
      <c r="W1625" s="3">
        <f>IFERROR(__xludf.DUMMYFUNCTION("""COMPUTED_VALUE"""),361236.0)</f>
        <v>361236</v>
      </c>
      <c r="X1625" s="3" t="str">
        <f>IFERROR(__xludf.DUMMYFUNCTION("""COMPUTED_VALUE"""),"88/3 หมู่2 ตำบลหมอนทอง อำเภอบางน้ำเปรี้ยว จังหวัดฉะเชิงเทรา 24150")</f>
        <v>88/3 หมู่2 ตำบลหมอนทอง อำเภอบางน้ำเปรี้ยว จังหวัดฉะเชิงเทรา 24150</v>
      </c>
      <c r="Y1625" s="3"/>
      <c r="Z1625" s="3" t="str">
        <f>IFERROR(__xludf.DUMMYFUNCTION("""COMPUTED_VALUE"""),"หมอนทอง")</f>
        <v>หมอนทอง</v>
      </c>
      <c r="AA1625" s="3" t="str">
        <f>IFERROR(__xludf.DUMMYFUNCTION("""COMPUTED_VALUE"""),"บางน้ำเปรียว")</f>
        <v>บางน้ำเปรียว</v>
      </c>
      <c r="AB1625" s="3" t="str">
        <f>IFERROR(__xludf.DUMMYFUNCTION("""COMPUTED_VALUE"""),"ฉะเชิงเทรา")</f>
        <v>ฉะเชิงเทรา</v>
      </c>
      <c r="AC1625" s="3">
        <f>IFERROR(__xludf.DUMMYFUNCTION("""COMPUTED_VALUE"""),24150.0)</f>
        <v>24150</v>
      </c>
      <c r="AD1625" s="3">
        <f>IFERROR(__xludf.DUMMYFUNCTION("""COMPUTED_VALUE"""),13.87222)</f>
        <v>13.87222</v>
      </c>
      <c r="AE1625" s="3">
        <f>IFERROR(__xludf.DUMMYFUNCTION("""COMPUTED_VALUE"""),101.04429)</f>
        <v>101.04429</v>
      </c>
      <c r="AF1625" s="3" t="str">
        <f>IFERROR(__xludf.DUMMYFUNCTION("""COMPUTED_VALUE"""),"MBC BCP บางน้ำเปรี้ยว ฉะเชิงเทรา-22311")</f>
        <v>MBC BCP บางน้ำเปรี้ยว ฉะเชิงเทรา-22311</v>
      </c>
      <c r="AG1625" s="3" t="str">
        <f>IFERROR(__xludf.DUMMYFUNCTION("""COMPUTED_VALUE"""),"ตะวันออก")</f>
        <v>ตะวันออก</v>
      </c>
      <c r="AH1625" s="3" t="str">
        <f>IFERROR(__xludf.DUMMYFUNCTION("""COMPUTED_VALUE"""),"#N/A")</f>
        <v>#N/A</v>
      </c>
      <c r="AI1625" s="3" t="str">
        <f>IFERROR(__xludf.DUMMYFUNCTION("""COMPUTED_VALUE"""),"Out of warranty")</f>
        <v>Out of warranty</v>
      </c>
      <c r="AJ1625" s="3">
        <f>IFERROR(__xludf.DUMMYFUNCTION("""COMPUTED_VALUE"""),53.0)</f>
        <v>53</v>
      </c>
      <c r="AK1625" s="3" t="str">
        <f>IFERROR(__xludf.DUMMYFUNCTION("""COMPUTED_VALUE"""),"MMS04")</f>
        <v>MMS04</v>
      </c>
      <c r="AL1625" s="3"/>
    </row>
    <row r="1626" ht="15.75" customHeight="1">
      <c r="A1626" s="1" t="str">
        <f>IFERROR(__xludf.DUMMYFUNCTION("""COMPUTED_VALUE"""),"22312")</f>
        <v>22312</v>
      </c>
      <c r="B1626" s="2">
        <f>IFERROR(__xludf.DUMMYFUNCTION("""COMPUTED_VALUE"""),22312.0)</f>
        <v>22312</v>
      </c>
      <c r="C1626" s="3" t="str">
        <f>IFERROR(__xludf.DUMMYFUNCTION("""COMPUTED_VALUE"""),"MBC ท่าคันโท กาฬสินธุ์")</f>
        <v>MBC ท่าคันโท กาฬสินธุ์</v>
      </c>
      <c r="D1626" s="3" t="str">
        <f>IFERROR(__xludf.DUMMYFUNCTION("""COMPUTED_VALUE"""),"BCM THA KHANTHO")</f>
        <v>BCM THA KHANTHO</v>
      </c>
      <c r="E1626" s="1" t="str">
        <f>IFERROR(__xludf.DUMMYFUNCTION("""COMPUTED_VALUE"""),"บิ๊กซี MINI")</f>
        <v>บิ๊กซี MINI</v>
      </c>
      <c r="F1626" s="1" t="str">
        <f>IFERROR(__xludf.DUMMYFUNCTION("""COMPUTED_VALUE"""),"291105")</f>
        <v>291105</v>
      </c>
      <c r="G1626" s="1" t="str">
        <f>IFERROR(__xludf.DUMMYFUNCTION("""COMPUTED_VALUE"""),"นายสราวุฒิ พณิชยกุล")</f>
        <v>นายสราวุฒิ พณิชยกุล</v>
      </c>
      <c r="H1626" s="1" t="str">
        <f>IFERROR(__xludf.DUMMYFUNCTION("""COMPUTED_VALUE"""),"305119")</f>
        <v>305119</v>
      </c>
      <c r="I1626" s="1" t="str">
        <f>IFERROR(__xludf.DUMMYFUNCTION("""COMPUTED_VALUE"""),"นายไชยกร ลีพิบูลย์สวัสดิ์")</f>
        <v>นายไชยกร ลีพิบูลย์สวัสดิ์</v>
      </c>
      <c r="J1626" s="3">
        <f>IFERROR(__xludf.DUMMYFUNCTION("""COMPUTED_VALUE"""),295886.0)</f>
        <v>295886</v>
      </c>
      <c r="K1626" s="3" t="str">
        <f>IFERROR(__xludf.DUMMYFUNCTION("""COMPUTED_VALUE"""),"นายจิระพงษ์ โพธิ์นิล")</f>
        <v>นายจิระพงษ์ โพธิ์นิล</v>
      </c>
      <c r="L1626" s="1" t="str">
        <f>IFERROR(__xludf.DUMMYFUNCTION("""COMPUTED_VALUE"""),"นายจิระพงษ์ โพธิ์นิล")</f>
        <v>นายจิระพงษ์ โพธิ์นิล</v>
      </c>
      <c r="M1626" s="1" t="str">
        <f>IFERROR(__xludf.DUMMYFUNCTION("""COMPUTED_VALUE"""),"0933290754")</f>
        <v>0933290754</v>
      </c>
      <c r="N1626" s="3">
        <f>IFERROR(__xludf.DUMMYFUNCTION("""COMPUTED_VALUE"""),21622.0)</f>
        <v>21622</v>
      </c>
      <c r="O1626" s="3" t="str">
        <f>IFERROR(__xludf.DUMMYFUNCTION("""COMPUTED_VALUE"""),"MBC ตลาดบ้านดอน")</f>
        <v>MBC ตลาดบ้านดอน</v>
      </c>
      <c r="P1626" s="4">
        <f>IFERROR(__xludf.DUMMYFUNCTION("""COMPUTED_VALUE"""),44311.0)</f>
        <v>44311</v>
      </c>
      <c r="Q1626" s="3" t="str">
        <f>IFERROR(__xludf.DUMMYFUNCTION("""COMPUTED_VALUE"""),"I")</f>
        <v>I</v>
      </c>
      <c r="R1626" s="3" t="str">
        <f>IFERROR(__xludf.DUMMYFUNCTION("""COMPUTED_VALUE"""),"Small Format")</f>
        <v>Small Format</v>
      </c>
      <c r="S1626" s="3" t="str">
        <f>IFERROR(__xludf.DUMMYFUNCTION("""COMPUTED_VALUE"""),"BCM")</f>
        <v>BCM</v>
      </c>
      <c r="T1626" s="3" t="str">
        <f>IFERROR(__xludf.DUMMYFUNCTION("""COMPUTED_VALUE"""),"#N/A")</f>
        <v>#N/A</v>
      </c>
      <c r="U1626" s="3" t="str">
        <f>IFERROR(__xludf.DUMMYFUNCTION("""COMPUTED_VALUE"""),"#N/A")</f>
        <v>#N/A</v>
      </c>
      <c r="V1626" s="3" t="str">
        <f>IFERROR(__xludf.DUMMYFUNCTION("""COMPUTED_VALUE"""),"N")</f>
        <v>N</v>
      </c>
      <c r="W1626" s="3">
        <f>IFERROR(__xludf.DUMMYFUNCTION("""COMPUTED_VALUE"""),210367.0)</f>
        <v>210367</v>
      </c>
      <c r="X1626" s="3" t="str">
        <f>IFERROR(__xludf.DUMMYFUNCTION("""COMPUTED_VALUE"""),"403/1-2 หมู่1 ตำบลนาตาล อำเภอท่าคันโท จังหวัดกาฬสินธุ์ 46190")</f>
        <v>403/1-2 หมู่1 ตำบลนาตาล อำเภอท่าคันโท จังหวัดกาฬสินธุ์ 46190</v>
      </c>
      <c r="Y1626" s="3"/>
      <c r="Z1626" s="3" t="str">
        <f>IFERROR(__xludf.DUMMYFUNCTION("""COMPUTED_VALUE"""),"นาตาล")</f>
        <v>นาตาล</v>
      </c>
      <c r="AA1626" s="3" t="str">
        <f>IFERROR(__xludf.DUMMYFUNCTION("""COMPUTED_VALUE"""),"ท่าคันโท")</f>
        <v>ท่าคันโท</v>
      </c>
      <c r="AB1626" s="3" t="str">
        <f>IFERROR(__xludf.DUMMYFUNCTION("""COMPUTED_VALUE"""),"กาฬสินธุ์")</f>
        <v>กาฬสินธุ์</v>
      </c>
      <c r="AC1626" s="3">
        <f>IFERROR(__xludf.DUMMYFUNCTION("""COMPUTED_VALUE"""),46190.0)</f>
        <v>46190</v>
      </c>
      <c r="AD1626" s="3">
        <f>IFERROR(__xludf.DUMMYFUNCTION("""COMPUTED_VALUE"""),16.936899)</f>
        <v>16.936899</v>
      </c>
      <c r="AE1626" s="3">
        <f>IFERROR(__xludf.DUMMYFUNCTION("""COMPUTED_VALUE"""),103.240421)</f>
        <v>103.240421</v>
      </c>
      <c r="AF1626" s="3" t="str">
        <f>IFERROR(__xludf.DUMMYFUNCTION("""COMPUTED_VALUE"""),"MBC ท่าคันโท กาฬสินธุ์-22312")</f>
        <v>MBC ท่าคันโท กาฬสินธุ์-22312</v>
      </c>
      <c r="AG1626" s="3" t="str">
        <f>IFERROR(__xludf.DUMMYFUNCTION("""COMPUTED_VALUE"""),"ตะวันออกเฉียงเหนือ")</f>
        <v>ตะวันออกเฉียงเหนือ</v>
      </c>
      <c r="AH1626" s="3" t="str">
        <f>IFERROR(__xludf.DUMMYFUNCTION("""COMPUTED_VALUE"""),"#N/A")</f>
        <v>#N/A</v>
      </c>
      <c r="AI1626" s="3" t="str">
        <f>IFERROR(__xludf.DUMMYFUNCTION("""COMPUTED_VALUE"""),"Out of warranty")</f>
        <v>Out of warranty</v>
      </c>
      <c r="AJ1626" s="3">
        <f>IFERROR(__xludf.DUMMYFUNCTION("""COMPUTED_VALUE"""),57.0)</f>
        <v>57</v>
      </c>
      <c r="AK1626" s="3" t="str">
        <f>IFERROR(__xludf.DUMMYFUNCTION("""COMPUTED_VALUE"""),"MMS12")</f>
        <v>MMS12</v>
      </c>
      <c r="AL1626" s="3"/>
    </row>
    <row r="1627" ht="15.75" customHeight="1">
      <c r="A1627" s="1" t="str">
        <f>IFERROR(__xludf.DUMMYFUNCTION("""COMPUTED_VALUE"""),"22313")</f>
        <v>22313</v>
      </c>
      <c r="B1627" s="2">
        <f>IFERROR(__xludf.DUMMYFUNCTION("""COMPUTED_VALUE"""),22313.0)</f>
        <v>22313</v>
      </c>
      <c r="C1627" s="3" t="str">
        <f>IFERROR(__xludf.DUMMYFUNCTION("""COMPUTED_VALUE"""),"MBC บ้านปลายหริก สุราษฎร์ธานี")</f>
        <v>MBC บ้านปลายหริก สุราษฎร์ธานี</v>
      </c>
      <c r="D1627" s="3" t="str">
        <f>IFERROR(__xludf.DUMMYFUNCTION("""COMPUTED_VALUE"""),"BCM BAN PLAI RICK")</f>
        <v>BCM BAN PLAI RICK</v>
      </c>
      <c r="E1627" s="1" t="str">
        <f>IFERROR(__xludf.DUMMYFUNCTION("""COMPUTED_VALUE"""),"บิ๊กซี MINI")</f>
        <v>บิ๊กซี MINI</v>
      </c>
      <c r="F1627" s="1" t="str">
        <f>IFERROR(__xludf.DUMMYFUNCTION("""COMPUTED_VALUE"""),"250760")</f>
        <v>250760</v>
      </c>
      <c r="G1627" s="1" t="str">
        <f>IFERROR(__xludf.DUMMYFUNCTION("""COMPUTED_VALUE"""),"นายประทวน สาราบรรณ์")</f>
        <v>นายประทวน สาราบรรณ์</v>
      </c>
      <c r="H1627" s="1" t="str">
        <f>IFERROR(__xludf.DUMMYFUNCTION("""COMPUTED_VALUE"""),"228389")</f>
        <v>228389</v>
      </c>
      <c r="I1627" s="1" t="str">
        <f>IFERROR(__xludf.DUMMYFUNCTION("""COMPUTED_VALUE"""),"นายมณีรันดร์ ชัยชนะ")</f>
        <v>นายมณีรันดร์ ชัยชนะ</v>
      </c>
      <c r="J1627" s="3">
        <f>IFERROR(__xludf.DUMMYFUNCTION("""COMPUTED_VALUE"""),25324.0)</f>
        <v>25324</v>
      </c>
      <c r="K1627" s="3" t="str">
        <f>IFERROR(__xludf.DUMMYFUNCTION("""COMPUTED_VALUE"""),"นายวิเชฎฐ์ ติรัตนะประคม")</f>
        <v>นายวิเชฎฐ์ ติรัตนะประคม</v>
      </c>
      <c r="L1627" s="1" t="str">
        <f>IFERROR(__xludf.DUMMYFUNCTION("""COMPUTED_VALUE"""),"14 K.Wichet T.")</f>
        <v>14 K.Wichet T.</v>
      </c>
      <c r="M1627" s="1" t="str">
        <f>IFERROR(__xludf.DUMMYFUNCTION("""COMPUTED_VALUE"""),"061-417-6569 / 086-445-5636")</f>
        <v>061-417-6569 / 086-445-5636</v>
      </c>
      <c r="N1627" s="3">
        <f>IFERROR(__xludf.DUMMYFUNCTION("""COMPUTED_VALUE"""),22658.0)</f>
        <v>22658</v>
      </c>
      <c r="O1627" s="3" t="str">
        <f>IFERROR(__xludf.DUMMYFUNCTION("""COMPUTED_VALUE"""),"BCM ถ.วิรัชหงษ์หยก ภูเก็ต")</f>
        <v>BCM ถ.วิรัชหงษ์หยก ภูเก็ต</v>
      </c>
      <c r="P1627" s="4">
        <f>IFERROR(__xludf.DUMMYFUNCTION("""COMPUTED_VALUE"""),44325.0)</f>
        <v>44325</v>
      </c>
      <c r="Q1627" s="3" t="str">
        <f>IFERROR(__xludf.DUMMYFUNCTION("""COMPUTED_VALUE"""),"A")</f>
        <v>A</v>
      </c>
      <c r="R1627" s="3" t="str">
        <f>IFERROR(__xludf.DUMMYFUNCTION("""COMPUTED_VALUE"""),"Small Format")</f>
        <v>Small Format</v>
      </c>
      <c r="S1627" s="3" t="str">
        <f>IFERROR(__xludf.DUMMYFUNCTION("""COMPUTED_VALUE"""),"BCM")</f>
        <v>BCM</v>
      </c>
      <c r="T1627" s="3" t="str">
        <f>IFERROR(__xludf.DUMMYFUNCTION("""COMPUTED_VALUE"""),"#N/A")</f>
        <v>#N/A</v>
      </c>
      <c r="U1627" s="3" t="str">
        <f>IFERROR(__xludf.DUMMYFUNCTION("""COMPUTED_VALUE"""),"#N/A")</f>
        <v>#N/A</v>
      </c>
      <c r="V1627" s="3" t="str">
        <f>IFERROR(__xludf.DUMMYFUNCTION("""COMPUTED_VALUE"""),"N")</f>
        <v>N</v>
      </c>
      <c r="W1627" s="3">
        <f>IFERROR(__xludf.DUMMYFUNCTION("""COMPUTED_VALUE"""),210117.0)</f>
        <v>210117</v>
      </c>
      <c r="X1627" s="3" t="str">
        <f>IFERROR(__xludf.DUMMYFUNCTION("""COMPUTED_VALUE"""),"111/9 หมู่7 ตำบลเคียนซา อำเภอเคียนซา จังหวัดสุราษฎร์ธานี 84260")</f>
        <v>111/9 หมู่7 ตำบลเคียนซา อำเภอเคียนซา จังหวัดสุราษฎร์ธานี 84260</v>
      </c>
      <c r="Y1627" s="3"/>
      <c r="Z1627" s="3" t="str">
        <f>IFERROR(__xludf.DUMMYFUNCTION("""COMPUTED_VALUE"""),"เคียนซา")</f>
        <v>เคียนซา</v>
      </c>
      <c r="AA1627" s="3" t="str">
        <f>IFERROR(__xludf.DUMMYFUNCTION("""COMPUTED_VALUE"""),"เคียนซา")</f>
        <v>เคียนซา</v>
      </c>
      <c r="AB1627" s="3" t="str">
        <f>IFERROR(__xludf.DUMMYFUNCTION("""COMPUTED_VALUE"""),"สุราษฎร์ธานี")</f>
        <v>สุราษฎร์ธานี</v>
      </c>
      <c r="AC1627" s="3">
        <f>IFERROR(__xludf.DUMMYFUNCTION("""COMPUTED_VALUE"""),84260.0)</f>
        <v>84260</v>
      </c>
      <c r="AD1627" s="3">
        <f>IFERROR(__xludf.DUMMYFUNCTION("""COMPUTED_VALUE"""),8.827044)</f>
        <v>8.827044</v>
      </c>
      <c r="AE1627" s="3">
        <f>IFERROR(__xludf.DUMMYFUNCTION("""COMPUTED_VALUE"""),99.166314)</f>
        <v>99.166314</v>
      </c>
      <c r="AF1627" s="3" t="str">
        <f>IFERROR(__xludf.DUMMYFUNCTION("""COMPUTED_VALUE"""),"MBC บ้านปลายหริก สุราษฎร์ธานี-22313")</f>
        <v>MBC บ้านปลายหริก สุราษฎร์ธานี-22313</v>
      </c>
      <c r="AG1627" s="3" t="str">
        <f>IFERROR(__xludf.DUMMYFUNCTION("""COMPUTED_VALUE"""),"ใต้")</f>
        <v>ใต้</v>
      </c>
      <c r="AH1627" s="3" t="str">
        <f>IFERROR(__xludf.DUMMYFUNCTION("""COMPUTED_VALUE"""),"#N/A")</f>
        <v>#N/A</v>
      </c>
      <c r="AI1627" s="3" t="str">
        <f>IFERROR(__xludf.DUMMYFUNCTION("""COMPUTED_VALUE"""),"Out of warranty")</f>
        <v>Out of warranty</v>
      </c>
      <c r="AJ1627" s="3">
        <f>IFERROR(__xludf.DUMMYFUNCTION("""COMPUTED_VALUE"""),57.0)</f>
        <v>57</v>
      </c>
      <c r="AK1627" s="3" t="str">
        <f>IFERROR(__xludf.DUMMYFUNCTION("""COMPUTED_VALUE"""),"MMS15")</f>
        <v>MMS15</v>
      </c>
      <c r="AL1627" s="3"/>
    </row>
    <row r="1628" ht="15.75" customHeight="1">
      <c r="A1628" s="1" t="str">
        <f>IFERROR(__xludf.DUMMYFUNCTION("""COMPUTED_VALUE"""),"22314")</f>
        <v>22314</v>
      </c>
      <c r="B1628" s="2">
        <f>IFERROR(__xludf.DUMMYFUNCTION("""COMPUTED_VALUE"""),22314.0)</f>
        <v>22314</v>
      </c>
      <c r="C1628" s="3" t="str">
        <f>IFERROR(__xludf.DUMMYFUNCTION("""COMPUTED_VALUE"""),"MBC โพธิ์ชัย ร้อยเอ็ด")</f>
        <v>MBC โพธิ์ชัย ร้อยเอ็ด</v>
      </c>
      <c r="D1628" s="3" t="str">
        <f>IFERROR(__xludf.DUMMYFUNCTION("""COMPUTED_VALUE"""),"BCM PHOCHAI")</f>
        <v>BCM PHOCHAI</v>
      </c>
      <c r="E1628" s="1" t="str">
        <f>IFERROR(__xludf.DUMMYFUNCTION("""COMPUTED_VALUE"""),"บิ๊กซี MINI")</f>
        <v>บิ๊กซี MINI</v>
      </c>
      <c r="F1628" s="1" t="str">
        <f>IFERROR(__xludf.DUMMYFUNCTION("""COMPUTED_VALUE"""),"291105")</f>
        <v>291105</v>
      </c>
      <c r="G1628" s="1" t="str">
        <f>IFERROR(__xludf.DUMMYFUNCTION("""COMPUTED_VALUE"""),"นายสราวุฒิ พณิชยกุล")</f>
        <v>นายสราวุฒิ พณิชยกุล</v>
      </c>
      <c r="H1628" s="1" t="str">
        <f>IFERROR(__xludf.DUMMYFUNCTION("""COMPUTED_VALUE"""),"398136")</f>
        <v>398136</v>
      </c>
      <c r="I1628" s="1" t="str">
        <f>IFERROR(__xludf.DUMMYFUNCTION("""COMPUTED_VALUE"""),"นายประยูร ธาดาวงษา")</f>
        <v>นายประยูร ธาดาวงษา</v>
      </c>
      <c r="J1628" s="3">
        <f>IFERROR(__xludf.DUMMYFUNCTION("""COMPUTED_VALUE"""),295886.0)</f>
        <v>295886</v>
      </c>
      <c r="K1628" s="3" t="str">
        <f>IFERROR(__xludf.DUMMYFUNCTION("""COMPUTED_VALUE"""),"นายจิระพงษ์ โพธิ์นิล")</f>
        <v>นายจิระพงษ์ โพธิ์นิล</v>
      </c>
      <c r="L1628" s="1" t="str">
        <f>IFERROR(__xludf.DUMMYFUNCTION("""COMPUTED_VALUE"""),"นายจิระพงษ์ โพธิ์นิล")</f>
        <v>นายจิระพงษ์ โพธิ์นิล</v>
      </c>
      <c r="M1628" s="1" t="str">
        <f>IFERROR(__xludf.DUMMYFUNCTION("""COMPUTED_VALUE"""),"0933290754")</f>
        <v>0933290754</v>
      </c>
      <c r="N1628" s="3">
        <f>IFERROR(__xludf.DUMMYFUNCTION("""COMPUTED_VALUE"""),21622.0)</f>
        <v>21622</v>
      </c>
      <c r="O1628" s="3" t="str">
        <f>IFERROR(__xludf.DUMMYFUNCTION("""COMPUTED_VALUE"""),"MBC ตลาดบ้านดอน")</f>
        <v>MBC ตลาดบ้านดอน</v>
      </c>
      <c r="P1628" s="4">
        <f>IFERROR(__xludf.DUMMYFUNCTION("""COMPUTED_VALUE"""),44325.0)</f>
        <v>44325</v>
      </c>
      <c r="Q1628" s="3" t="str">
        <f>IFERROR(__xludf.DUMMYFUNCTION("""COMPUTED_VALUE"""),"I")</f>
        <v>I</v>
      </c>
      <c r="R1628" s="3" t="str">
        <f>IFERROR(__xludf.DUMMYFUNCTION("""COMPUTED_VALUE"""),"Small Format")</f>
        <v>Small Format</v>
      </c>
      <c r="S1628" s="3" t="str">
        <f>IFERROR(__xludf.DUMMYFUNCTION("""COMPUTED_VALUE"""),"BCM")</f>
        <v>BCM</v>
      </c>
      <c r="T1628" s="3" t="str">
        <f>IFERROR(__xludf.DUMMYFUNCTION("""COMPUTED_VALUE"""),"#N/A")</f>
        <v>#N/A</v>
      </c>
      <c r="U1628" s="3" t="str">
        <f>IFERROR(__xludf.DUMMYFUNCTION("""COMPUTED_VALUE"""),"#N/A")</f>
        <v>#N/A</v>
      </c>
      <c r="V1628" s="3" t="str">
        <f>IFERROR(__xludf.DUMMYFUNCTION("""COMPUTED_VALUE"""),"N")</f>
        <v>N</v>
      </c>
      <c r="W1628" s="3">
        <f>IFERROR(__xludf.DUMMYFUNCTION("""COMPUTED_VALUE"""),210249.0)</f>
        <v>210249</v>
      </c>
      <c r="X1628" s="3" t="str">
        <f>IFERROR(__xludf.DUMMYFUNCTION("""COMPUTED_VALUE"""),"359 360 หมู่2 ตำบลขามเปี้ย อำเภอโพธิ์ชัย จังหวัดร้อยเอ็ด 45230")</f>
        <v>359 360 หมู่2 ตำบลขามเปี้ย อำเภอโพธิ์ชัย จังหวัดร้อยเอ็ด 45230</v>
      </c>
      <c r="Y1628" s="3"/>
      <c r="Z1628" s="3" t="str">
        <f>IFERROR(__xludf.DUMMYFUNCTION("""COMPUTED_VALUE"""),"ขามเปี้ย")</f>
        <v>ขามเปี้ย</v>
      </c>
      <c r="AA1628" s="3" t="str">
        <f>IFERROR(__xludf.DUMMYFUNCTION("""COMPUTED_VALUE"""),"โพธิ์ชัย")</f>
        <v>โพธิ์ชัย</v>
      </c>
      <c r="AB1628" s="3" t="str">
        <f>IFERROR(__xludf.DUMMYFUNCTION("""COMPUTED_VALUE"""),"ร้อยเอ็ด")</f>
        <v>ร้อยเอ็ด</v>
      </c>
      <c r="AC1628" s="3">
        <f>IFERROR(__xludf.DUMMYFUNCTION("""COMPUTED_VALUE"""),45230.0)</f>
        <v>45230</v>
      </c>
      <c r="AD1628" s="3">
        <f>IFERROR(__xludf.DUMMYFUNCTION("""COMPUTED_VALUE"""),16.32661)</f>
        <v>16.32661</v>
      </c>
      <c r="AE1628" s="3">
        <f>IFERROR(__xludf.DUMMYFUNCTION("""COMPUTED_VALUE"""),103.769165)</f>
        <v>103.769165</v>
      </c>
      <c r="AF1628" s="3" t="str">
        <f>IFERROR(__xludf.DUMMYFUNCTION("""COMPUTED_VALUE"""),"MBC โพธิ์ชัย ร้อยเอ็ด-22314")</f>
        <v>MBC โพธิ์ชัย ร้อยเอ็ด-22314</v>
      </c>
      <c r="AG1628" s="3" t="str">
        <f>IFERROR(__xludf.DUMMYFUNCTION("""COMPUTED_VALUE"""),"ตะวันออกเฉียงเหนือ")</f>
        <v>ตะวันออกเฉียงเหนือ</v>
      </c>
      <c r="AH1628" s="3" t="str">
        <f>IFERROR(__xludf.DUMMYFUNCTION("""COMPUTED_VALUE"""),"#N/A")</f>
        <v>#N/A</v>
      </c>
      <c r="AI1628" s="3" t="str">
        <f>IFERROR(__xludf.DUMMYFUNCTION("""COMPUTED_VALUE"""),"Out of warranty")</f>
        <v>Out of warranty</v>
      </c>
      <c r="AJ1628" s="3">
        <f>IFERROR(__xludf.DUMMYFUNCTION("""COMPUTED_VALUE"""),57.0)</f>
        <v>57</v>
      </c>
      <c r="AK1628" s="3" t="str">
        <f>IFERROR(__xludf.DUMMYFUNCTION("""COMPUTED_VALUE"""),"MMS13")</f>
        <v>MMS13</v>
      </c>
      <c r="AL1628" s="3"/>
    </row>
    <row r="1629" ht="15.75" customHeight="1">
      <c r="A1629" s="1" t="str">
        <f>IFERROR(__xludf.DUMMYFUNCTION("""COMPUTED_VALUE"""),"22315")</f>
        <v>22315</v>
      </c>
      <c r="B1629" s="2">
        <f>IFERROR(__xludf.DUMMYFUNCTION("""COMPUTED_VALUE"""),22315.0)</f>
        <v>22315</v>
      </c>
      <c r="C1629" s="3" t="str">
        <f>IFERROR(__xludf.DUMMYFUNCTION("""COMPUTED_VALUE"""),"MBC ซอย วปอ.11 สมุทรสาคร")</f>
        <v>MBC ซอย วปอ.11 สมุทรสาคร</v>
      </c>
      <c r="D1629" s="3" t="str">
        <f>IFERROR(__xludf.DUMMYFUNCTION("""COMPUTED_VALUE"""),"BCM SOI WOR POR OR11")</f>
        <v>BCM SOI WOR POR OR11</v>
      </c>
      <c r="E1629" s="1" t="str">
        <f>IFERROR(__xludf.DUMMYFUNCTION("""COMPUTED_VALUE"""),"บิ๊กซี MINI")</f>
        <v>บิ๊กซี MINI</v>
      </c>
      <c r="F1629" s="1" t="str">
        <f>IFERROR(__xludf.DUMMYFUNCTION("""COMPUTED_VALUE"""),"2083447")</f>
        <v>2083447</v>
      </c>
      <c r="G1629" s="1" t="str">
        <f>IFERROR(__xludf.DUMMYFUNCTION("""COMPUTED_VALUE"""),"นายอนุกูล ศรีลัดดา")</f>
        <v>นายอนุกูล ศรีลัดดา</v>
      </c>
      <c r="H1629" s="1" t="str">
        <f>IFERROR(__xludf.DUMMYFUNCTION("""COMPUTED_VALUE"""),"2455053")</f>
        <v>2455053</v>
      </c>
      <c r="I1629" s="1" t="str">
        <f>IFERROR(__xludf.DUMMYFUNCTION("""COMPUTED_VALUE"""),"นายพันธมิตร โพธิ")</f>
        <v>นายพันธมิตร โพธิ</v>
      </c>
      <c r="J1629" s="3">
        <f>IFERROR(__xludf.DUMMYFUNCTION("""COMPUTED_VALUE"""),2451655.0)</f>
        <v>2451655</v>
      </c>
      <c r="K1629" s="3" t="str">
        <f>IFERROR(__xludf.DUMMYFUNCTION("""COMPUTED_VALUE"""),"นายวิษณุพงษ์ ชินบุตร")</f>
        <v>นายวิษณุพงษ์ ชินบุตร</v>
      </c>
      <c r="L1629" s="1" t="str">
        <f>IFERROR(__xludf.DUMMYFUNCTION("""COMPUTED_VALUE"""),"13 K.Wisanupong Ch")</f>
        <v>13 K.Wisanupong Ch</v>
      </c>
      <c r="M1629" s="1" t="str">
        <f>IFERROR(__xludf.DUMMYFUNCTION("""COMPUTED_VALUE"""),"0843374693")</f>
        <v>0843374693</v>
      </c>
      <c r="N1629" s="3">
        <f>IFERROR(__xludf.DUMMYFUNCTION("""COMPUTED_VALUE"""),22729.0)</f>
        <v>22729</v>
      </c>
      <c r="O1629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629" s="4">
        <f>IFERROR(__xludf.DUMMYFUNCTION("""COMPUTED_VALUE"""),44325.0)</f>
        <v>44325</v>
      </c>
      <c r="Q1629" s="3" t="str">
        <f>IFERROR(__xludf.DUMMYFUNCTION("""COMPUTED_VALUE"""),"A")</f>
        <v>A</v>
      </c>
      <c r="R1629" s="3" t="str">
        <f>IFERROR(__xludf.DUMMYFUNCTION("""COMPUTED_VALUE"""),"Small Format")</f>
        <v>Small Format</v>
      </c>
      <c r="S1629" s="3" t="str">
        <f>IFERROR(__xludf.DUMMYFUNCTION("""COMPUTED_VALUE"""),"BCM")</f>
        <v>BCM</v>
      </c>
      <c r="T1629" s="3" t="str">
        <f>IFERROR(__xludf.DUMMYFUNCTION("""COMPUTED_VALUE"""),"#N/A")</f>
        <v>#N/A</v>
      </c>
      <c r="U1629" s="3" t="str">
        <f>IFERROR(__xludf.DUMMYFUNCTION("""COMPUTED_VALUE"""),"#N/A")</f>
        <v>#N/A</v>
      </c>
      <c r="V1629" s="3" t="str">
        <f>IFERROR(__xludf.DUMMYFUNCTION("""COMPUTED_VALUE"""),"N")</f>
        <v>N</v>
      </c>
      <c r="W1629" s="3">
        <f>IFERROR(__xludf.DUMMYFUNCTION("""COMPUTED_VALUE"""),210335.0)</f>
        <v>210335</v>
      </c>
      <c r="X1629" s="3" t="str">
        <f>IFERROR(__xludf.DUMMYFUNCTION("""COMPUTED_VALUE"""),"377/2 หมู่4 ตำบลท่าไม้ อำเภอกระทุ่มแบน จังหวัดสมุทรสาคร 74110")</f>
        <v>377/2 หมู่4 ตำบลท่าไม้ อำเภอกระทุ่มแบน จังหวัดสมุทรสาคร 74110</v>
      </c>
      <c r="Y1629" s="3"/>
      <c r="Z1629" s="3" t="str">
        <f>IFERROR(__xludf.DUMMYFUNCTION("""COMPUTED_VALUE"""),"ท่าไม้")</f>
        <v>ท่าไม้</v>
      </c>
      <c r="AA1629" s="3" t="str">
        <f>IFERROR(__xludf.DUMMYFUNCTION("""COMPUTED_VALUE"""),"กระทุ่มแบน")</f>
        <v>กระทุ่มแบน</v>
      </c>
      <c r="AB1629" s="3" t="str">
        <f>IFERROR(__xludf.DUMMYFUNCTION("""COMPUTED_VALUE"""),"สมุทรสาคร")</f>
        <v>สมุทรสาคร</v>
      </c>
      <c r="AC1629" s="3">
        <f>IFERROR(__xludf.DUMMYFUNCTION("""COMPUTED_VALUE"""),74110.0)</f>
        <v>74110</v>
      </c>
      <c r="AD1629" s="3">
        <f>IFERROR(__xludf.DUMMYFUNCTION("""COMPUTED_VALUE"""),13.671374)</f>
        <v>13.671374</v>
      </c>
      <c r="AE1629" s="3">
        <f>IFERROR(__xludf.DUMMYFUNCTION("""COMPUTED_VALUE"""),100.28667)</f>
        <v>100.28667</v>
      </c>
      <c r="AF1629" s="3" t="str">
        <f>IFERROR(__xludf.DUMMYFUNCTION("""COMPUTED_VALUE"""),"MBC ซอย วปอ.11 สมุทรสาคร-22315")</f>
        <v>MBC ซอย วปอ.11 สมุทรสาคร-22315</v>
      </c>
      <c r="AG1629" s="3" t="str">
        <f>IFERROR(__xludf.DUMMYFUNCTION("""COMPUTED_VALUE"""),"กลาง")</f>
        <v>กลาง</v>
      </c>
      <c r="AH1629" s="3" t="str">
        <f>IFERROR(__xludf.DUMMYFUNCTION("""COMPUTED_VALUE"""),"#N/A")</f>
        <v>#N/A</v>
      </c>
      <c r="AI1629" s="3" t="str">
        <f>IFERROR(__xludf.DUMMYFUNCTION("""COMPUTED_VALUE"""),"Out of warranty")</f>
        <v>Out of warranty</v>
      </c>
      <c r="AJ1629" s="3">
        <f>IFERROR(__xludf.DUMMYFUNCTION("""COMPUTED_VALUE"""),57.0)</f>
        <v>57</v>
      </c>
      <c r="AK1629" s="3" t="str">
        <f>IFERROR(__xludf.DUMMYFUNCTION("""COMPUTED_VALUE"""),"MMS05")</f>
        <v>MMS05</v>
      </c>
      <c r="AL1629" s="3"/>
    </row>
    <row r="1630" ht="15.75" customHeight="1">
      <c r="A1630" s="1" t="str">
        <f>IFERROR(__xludf.DUMMYFUNCTION("""COMPUTED_VALUE"""),"22316")</f>
        <v>22316</v>
      </c>
      <c r="B1630" s="2">
        <f>IFERROR(__xludf.DUMMYFUNCTION("""COMPUTED_VALUE"""),22316.0)</f>
        <v>22316</v>
      </c>
      <c r="C1630" s="3" t="str">
        <f>IFERROR(__xludf.DUMMYFUNCTION("""COMPUTED_VALUE"""),"MBC ปากน้ำปราณ ประจวบคีรีขันธ์")</f>
        <v>MBC ปากน้ำปราณ ประจวบคีรีขันธ์</v>
      </c>
      <c r="D1630" s="3" t="str">
        <f>IFERROR(__xludf.DUMMYFUNCTION("""COMPUTED_VALUE"""),"BCM PAK NAM PRAN")</f>
        <v>BCM PAK NAM PRAN</v>
      </c>
      <c r="E1630" s="1" t="str">
        <f>IFERROR(__xludf.DUMMYFUNCTION("""COMPUTED_VALUE"""),"บิ๊กซี MINI")</f>
        <v>บิ๊กซี MINI</v>
      </c>
      <c r="F1630" s="1" t="str">
        <f>IFERROR(__xludf.DUMMYFUNCTION("""COMPUTED_VALUE"""),"250760")</f>
        <v>250760</v>
      </c>
      <c r="G1630" s="1" t="str">
        <f>IFERROR(__xludf.DUMMYFUNCTION("""COMPUTED_VALUE"""),"นายประทวน สาราบรรณ์")</f>
        <v>นายประทวน สาราบรรณ์</v>
      </c>
      <c r="H1630" s="1" t="str">
        <f>IFERROR(__xludf.DUMMYFUNCTION("""COMPUTED_VALUE"""),"311437")</f>
        <v>311437</v>
      </c>
      <c r="I1630" s="1" t="str">
        <f>IFERROR(__xludf.DUMMYFUNCTION("""COMPUTED_VALUE"""),"นายฉัตรทพร รักวิเชียร")</f>
        <v>นายฉัตรทพร รักวิเชียร</v>
      </c>
      <c r="J1630" s="3">
        <f>IFERROR(__xludf.DUMMYFUNCTION("""COMPUTED_VALUE"""),25324.0)</f>
        <v>25324</v>
      </c>
      <c r="K1630" s="3" t="str">
        <f>IFERROR(__xludf.DUMMYFUNCTION("""COMPUTED_VALUE"""),"นายวิเชฎฐ์ ติรัตนะประคม")</f>
        <v>นายวิเชฎฐ์ ติรัตนะประคม</v>
      </c>
      <c r="L1630" s="1" t="str">
        <f>IFERROR(__xludf.DUMMYFUNCTION("""COMPUTED_VALUE"""),"14 K.Wichet T.")</f>
        <v>14 K.Wichet T.</v>
      </c>
      <c r="M1630" s="1" t="str">
        <f>IFERROR(__xludf.DUMMYFUNCTION("""COMPUTED_VALUE"""),"061-417-6569 / 086-445-5636")</f>
        <v>061-417-6569 / 086-445-5636</v>
      </c>
      <c r="N1630" s="3">
        <f>IFERROR(__xludf.DUMMYFUNCTION("""COMPUTED_VALUE"""),22658.0)</f>
        <v>22658</v>
      </c>
      <c r="O1630" s="3" t="str">
        <f>IFERROR(__xludf.DUMMYFUNCTION("""COMPUTED_VALUE"""),"BCM ถ.วิรัชหงษ์หยก ภูเก็ต")</f>
        <v>BCM ถ.วิรัชหงษ์หยก ภูเก็ต</v>
      </c>
      <c r="P1630" s="4">
        <f>IFERROR(__xludf.DUMMYFUNCTION("""COMPUTED_VALUE"""),44332.0)</f>
        <v>44332</v>
      </c>
      <c r="Q1630" s="3" t="str">
        <f>IFERROR(__xludf.DUMMYFUNCTION("""COMPUTED_VALUE"""),"A")</f>
        <v>A</v>
      </c>
      <c r="R1630" s="3" t="str">
        <f>IFERROR(__xludf.DUMMYFUNCTION("""COMPUTED_VALUE"""),"Small Format")</f>
        <v>Small Format</v>
      </c>
      <c r="S1630" s="3" t="str">
        <f>IFERROR(__xludf.DUMMYFUNCTION("""COMPUTED_VALUE"""),"BCM")</f>
        <v>BCM</v>
      </c>
      <c r="T1630" s="3" t="str">
        <f>IFERROR(__xludf.DUMMYFUNCTION("""COMPUTED_VALUE"""),"#N/A")</f>
        <v>#N/A</v>
      </c>
      <c r="U1630" s="3" t="str">
        <f>IFERROR(__xludf.DUMMYFUNCTION("""COMPUTED_VALUE"""),"#N/A")</f>
        <v>#N/A</v>
      </c>
      <c r="V1630" s="3" t="str">
        <f>IFERROR(__xludf.DUMMYFUNCTION("""COMPUTED_VALUE"""),"N")</f>
        <v>N</v>
      </c>
      <c r="W1630" s="3">
        <f>IFERROR(__xludf.DUMMYFUNCTION("""COMPUTED_VALUE"""),210353.0)</f>
        <v>210353</v>
      </c>
      <c r="X1630" s="3" t="str">
        <f>IFERROR(__xludf.DUMMYFUNCTION("""COMPUTED_VALUE"""),"480/29 หมู่2 ตำบลปากน้ำปราณ อำเภอปราณบุรี จังหวัดประจวบคีรีขันธ์ 77220")</f>
        <v>480/29 หมู่2 ตำบลปากน้ำปราณ อำเภอปราณบุรี จังหวัดประจวบคีรีขันธ์ 77220</v>
      </c>
      <c r="Y1630" s="3"/>
      <c r="Z1630" s="3" t="str">
        <f>IFERROR(__xludf.DUMMYFUNCTION("""COMPUTED_VALUE"""),"ปากน้ำปราณ")</f>
        <v>ปากน้ำปราณ</v>
      </c>
      <c r="AA1630" s="3" t="str">
        <f>IFERROR(__xludf.DUMMYFUNCTION("""COMPUTED_VALUE"""),"ปราณบุรี")</f>
        <v>ปราณบุรี</v>
      </c>
      <c r="AB1630" s="3" t="str">
        <f>IFERROR(__xludf.DUMMYFUNCTION("""COMPUTED_VALUE"""),"ประจวบคีรีขันธ์")</f>
        <v>ประจวบคีรีขันธ์</v>
      </c>
      <c r="AC1630" s="3">
        <f>IFERROR(__xludf.DUMMYFUNCTION("""COMPUTED_VALUE"""),77220.0)</f>
        <v>77220</v>
      </c>
      <c r="AD1630" s="3">
        <f>IFERROR(__xludf.DUMMYFUNCTION("""COMPUTED_VALUE"""),12.3896219)</f>
        <v>12.3896219</v>
      </c>
      <c r="AE1630" s="3">
        <f>IFERROR(__xludf.DUMMYFUNCTION("""COMPUTED_VALUE"""),99.9844128)</f>
        <v>99.9844128</v>
      </c>
      <c r="AF1630" s="3" t="str">
        <f>IFERROR(__xludf.DUMMYFUNCTION("""COMPUTED_VALUE"""),"MBC ปากน้ำปราณ ประจวบคีรีขันธ์-22316")</f>
        <v>MBC ปากน้ำปราณ ประจวบคีรีขันธ์-22316</v>
      </c>
      <c r="AG1630" s="3" t="str">
        <f>IFERROR(__xludf.DUMMYFUNCTION("""COMPUTED_VALUE"""),"ตะวันตก")</f>
        <v>ตะวันตก</v>
      </c>
      <c r="AH1630" s="3" t="str">
        <f>IFERROR(__xludf.DUMMYFUNCTION("""COMPUTED_VALUE"""),"#N/A")</f>
        <v>#N/A</v>
      </c>
      <c r="AI1630" s="3" t="str">
        <f>IFERROR(__xludf.DUMMYFUNCTION("""COMPUTED_VALUE"""),"Out of warranty")</f>
        <v>Out of warranty</v>
      </c>
      <c r="AJ1630" s="3">
        <f>IFERROR(__xludf.DUMMYFUNCTION("""COMPUTED_VALUE"""),57.0)</f>
        <v>57</v>
      </c>
      <c r="AK1630" s="3" t="str">
        <f>IFERROR(__xludf.DUMMYFUNCTION("""COMPUTED_VALUE"""),"MMS14")</f>
        <v>MMS14</v>
      </c>
      <c r="AL1630" s="3"/>
    </row>
    <row r="1631" ht="15.75" customHeight="1">
      <c r="A1631" s="1" t="str">
        <f>IFERROR(__xludf.DUMMYFUNCTION("""COMPUTED_VALUE"""),"22317")</f>
        <v>22317</v>
      </c>
      <c r="B1631" s="2">
        <f>IFERROR(__xludf.DUMMYFUNCTION("""COMPUTED_VALUE"""),22317.0)</f>
        <v>22317</v>
      </c>
      <c r="C1631" s="3" t="str">
        <f>IFERROR(__xludf.DUMMYFUNCTION("""COMPUTED_VALUE"""),"MBC ตลาดวัฒนานคร สระแก้ว")</f>
        <v>MBC ตลาดวัฒนานคร สระแก้ว</v>
      </c>
      <c r="D1631" s="3" t="str">
        <f>IFERROR(__xludf.DUMMYFUNCTION("""COMPUTED_VALUE"""),"BCM TALAD WATTHANA NAKHON")</f>
        <v>BCM TALAD WATTHANA NAKHON</v>
      </c>
      <c r="E1631" s="1" t="str">
        <f>IFERROR(__xludf.DUMMYFUNCTION("""COMPUTED_VALUE"""),"บิ๊กซี MINI")</f>
        <v>บิ๊กซี MINI</v>
      </c>
      <c r="F1631" s="1" t="str">
        <f>IFERROR(__xludf.DUMMYFUNCTION("""COMPUTED_VALUE"""),"2083447")</f>
        <v>2083447</v>
      </c>
      <c r="G1631" s="1" t="str">
        <f>IFERROR(__xludf.DUMMYFUNCTION("""COMPUTED_VALUE"""),"นายอนุกูล ศรีลัดดา")</f>
        <v>นายอนุกูล ศรีลัดดา</v>
      </c>
      <c r="H1631" s="1" t="str">
        <f>IFERROR(__xludf.DUMMYFUNCTION("""COMPUTED_VALUE"""),"259808")</f>
        <v>259808</v>
      </c>
      <c r="I1631" s="1" t="str">
        <f>IFERROR(__xludf.DUMMYFUNCTION("""COMPUTED_VALUE"""),"น.ส.สกุลรัตน์ พิกุลแก้ว")</f>
        <v>น.ส.สกุลรัตน์ พิกุลแก้ว</v>
      </c>
      <c r="J1631" s="3">
        <f>IFERROR(__xludf.DUMMYFUNCTION("""COMPUTED_VALUE"""),510143.0)</f>
        <v>510143</v>
      </c>
      <c r="K1631" s="3" t="str">
        <f>IFERROR(__xludf.DUMMYFUNCTION("""COMPUTED_VALUE"""),"นายธีระวัฒน์ บุญสิทธิ์")</f>
        <v>นายธีระวัฒน์ บุญสิทธิ์</v>
      </c>
      <c r="L1631" s="3" t="str">
        <f>IFERROR(__xludf.DUMMYFUNCTION("""COMPUTED_VALUE"""),"12 K.Theerawat B.")</f>
        <v>12 K.Theerawat B.</v>
      </c>
      <c r="M1631" s="1" t="str">
        <f>IFERROR(__xludf.DUMMYFUNCTION("""COMPUTED_VALUE"""),"0655107379")</f>
        <v>0655107379</v>
      </c>
      <c r="N1631" s="3">
        <f>IFERROR(__xludf.DUMMYFUNCTION("""COMPUTED_VALUE"""),21062.0)</f>
        <v>21062</v>
      </c>
      <c r="O1631" s="3" t="str">
        <f>IFERROR(__xludf.DUMMYFUNCTION("""COMPUTED_VALUE"""),"MBC นิคมนวนคร")</f>
        <v>MBC นิคมนวนคร</v>
      </c>
      <c r="P1631" s="4">
        <f>IFERROR(__xludf.DUMMYFUNCTION("""COMPUTED_VALUE"""),44337.0)</f>
        <v>44337</v>
      </c>
      <c r="Q1631" s="3" t="str">
        <f>IFERROR(__xludf.DUMMYFUNCTION("""COMPUTED_VALUE"""),"A")</f>
        <v>A</v>
      </c>
      <c r="R1631" s="3" t="str">
        <f>IFERROR(__xludf.DUMMYFUNCTION("""COMPUTED_VALUE"""),"Small Format")</f>
        <v>Small Format</v>
      </c>
      <c r="S1631" s="3" t="str">
        <f>IFERROR(__xludf.DUMMYFUNCTION("""COMPUTED_VALUE"""),"BCM")</f>
        <v>BCM</v>
      </c>
      <c r="T1631" s="3" t="str">
        <f>IFERROR(__xludf.DUMMYFUNCTION("""COMPUTED_VALUE"""),"#N/A")</f>
        <v>#N/A</v>
      </c>
      <c r="U1631" s="3" t="str">
        <f>IFERROR(__xludf.DUMMYFUNCTION("""COMPUTED_VALUE"""),"#N/A")</f>
        <v>#N/A</v>
      </c>
      <c r="V1631" s="3" t="str">
        <f>IFERROR(__xludf.DUMMYFUNCTION("""COMPUTED_VALUE"""),"N")</f>
        <v>N</v>
      </c>
      <c r="W1631" s="3">
        <f>IFERROR(__xludf.DUMMYFUNCTION("""COMPUTED_VALUE"""),210245.0)</f>
        <v>210245</v>
      </c>
      <c r="X1631" s="3" t="str">
        <f>IFERROR(__xludf.DUMMYFUNCTION("""COMPUTED_VALUE"""),"255-256 หมู่10 ตำบลวัฒนานคร อำเภอวัฒนานคร จังหวัดสระแก้ว 27160")</f>
        <v>255-256 หมู่10 ตำบลวัฒนานคร อำเภอวัฒนานคร จังหวัดสระแก้ว 27160</v>
      </c>
      <c r="Y1631" s="3"/>
      <c r="Z1631" s="3" t="str">
        <f>IFERROR(__xludf.DUMMYFUNCTION("""COMPUTED_VALUE"""),"วัฒนานคร")</f>
        <v>วัฒนานคร</v>
      </c>
      <c r="AA1631" s="3" t="str">
        <f>IFERROR(__xludf.DUMMYFUNCTION("""COMPUTED_VALUE"""),"วัฒนานคร")</f>
        <v>วัฒนานคร</v>
      </c>
      <c r="AB1631" s="3" t="str">
        <f>IFERROR(__xludf.DUMMYFUNCTION("""COMPUTED_VALUE"""),"สระแก้ว")</f>
        <v>สระแก้ว</v>
      </c>
      <c r="AC1631" s="3">
        <f>IFERROR(__xludf.DUMMYFUNCTION("""COMPUTED_VALUE"""),27160.0)</f>
        <v>27160</v>
      </c>
      <c r="AD1631" s="3">
        <f>IFERROR(__xludf.DUMMYFUNCTION("""COMPUTED_VALUE"""),13.74257)</f>
        <v>13.74257</v>
      </c>
      <c r="AE1631" s="3">
        <f>IFERROR(__xludf.DUMMYFUNCTION("""COMPUTED_VALUE"""),102.321893)</f>
        <v>102.321893</v>
      </c>
      <c r="AF1631" s="3" t="str">
        <f>IFERROR(__xludf.DUMMYFUNCTION("""COMPUTED_VALUE"""),"MBC ตลาดวัฒนานคร สระแก้ว-22317")</f>
        <v>MBC ตลาดวัฒนานคร สระแก้ว-22317</v>
      </c>
      <c r="AG1631" s="3" t="str">
        <f>IFERROR(__xludf.DUMMYFUNCTION("""COMPUTED_VALUE"""),"ตะวันออก")</f>
        <v>ตะวันออก</v>
      </c>
      <c r="AH1631" s="3" t="str">
        <f>IFERROR(__xludf.DUMMYFUNCTION("""COMPUTED_VALUE"""),"#N/A")</f>
        <v>#N/A</v>
      </c>
      <c r="AI1631" s="3" t="str">
        <f>IFERROR(__xludf.DUMMYFUNCTION("""COMPUTED_VALUE"""),"Out of warranty")</f>
        <v>Out of warranty</v>
      </c>
      <c r="AJ1631" s="3">
        <f>IFERROR(__xludf.DUMMYFUNCTION("""COMPUTED_VALUE"""),56.0)</f>
        <v>56</v>
      </c>
      <c r="AK1631" s="3" t="str">
        <f>IFERROR(__xludf.DUMMYFUNCTION("""COMPUTED_VALUE"""),"MMS08")</f>
        <v>MMS08</v>
      </c>
      <c r="AL1631" s="3"/>
    </row>
    <row r="1632" ht="15.75" customHeight="1">
      <c r="A1632" s="1" t="str">
        <f>IFERROR(__xludf.DUMMYFUNCTION("""COMPUTED_VALUE"""),"22318")</f>
        <v>22318</v>
      </c>
      <c r="B1632" s="2">
        <f>IFERROR(__xludf.DUMMYFUNCTION("""COMPUTED_VALUE"""),22318.0)</f>
        <v>22318</v>
      </c>
      <c r="C1632" s="3" t="str">
        <f>IFERROR(__xludf.DUMMYFUNCTION("""COMPUTED_VALUE"""),"MBC อำเภอยะหริ่ง ปัตตานี")</f>
        <v>MBC อำเภอยะหริ่ง ปัตตานี</v>
      </c>
      <c r="D1632" s="3" t="str">
        <f>IFERROR(__xludf.DUMMYFUNCTION("""COMPUTED_VALUE"""),"BCM AMPHUR YARING")</f>
        <v>BCM AMPHUR YARING</v>
      </c>
      <c r="E1632" s="1" t="str">
        <f>IFERROR(__xludf.DUMMYFUNCTION("""COMPUTED_VALUE"""),"บิ๊กซี MINI")</f>
        <v>บิ๊กซี MINI</v>
      </c>
      <c r="F1632" s="1" t="str">
        <f>IFERROR(__xludf.DUMMYFUNCTION("""COMPUTED_VALUE"""),"250760")</f>
        <v>250760</v>
      </c>
      <c r="G1632" s="1" t="str">
        <f>IFERROR(__xludf.DUMMYFUNCTION("""COMPUTED_VALUE"""),"นายประทวน สาราบรรณ์")</f>
        <v>นายประทวน สาราบรรณ์</v>
      </c>
      <c r="H1632" s="1" t="str">
        <f>IFERROR(__xludf.DUMMYFUNCTION("""COMPUTED_VALUE"""),"006583")</f>
        <v>006583</v>
      </c>
      <c r="I1632" s="1" t="str">
        <f>IFERROR(__xludf.DUMMYFUNCTION("""COMPUTED_VALUE"""),"นายเด่น ยะอิง")</f>
        <v>นายเด่น ยะอิง</v>
      </c>
      <c r="J1632" s="3">
        <f>IFERROR(__xludf.DUMMYFUNCTION("""COMPUTED_VALUE"""),2.0470331E7)</f>
        <v>20470331</v>
      </c>
      <c r="K1632" s="3" t="str">
        <f>IFERROR(__xludf.DUMMYFUNCTION("""COMPUTED_VALUE"""),"นายสมชาย ลักษณะสุวรรณ")</f>
        <v>นายสมชาย ลักษณะสุวรรณ</v>
      </c>
      <c r="L1632" s="1" t="str">
        <f>IFERROR(__xludf.DUMMYFUNCTION("""COMPUTED_VALUE"""),"15 K.Somchai L")</f>
        <v>15 K.Somchai L</v>
      </c>
      <c r="M1632" s="1" t="str">
        <f>IFERROR(__xludf.DUMMYFUNCTION("""COMPUTED_VALUE"""),"0655107372")</f>
        <v>0655107372</v>
      </c>
      <c r="N1632" s="3">
        <f>IFERROR(__xludf.DUMMYFUNCTION("""COMPUTED_VALUE"""),21723.0)</f>
        <v>21723</v>
      </c>
      <c r="O1632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32" s="4">
        <f>IFERROR(__xludf.DUMMYFUNCTION("""COMPUTED_VALUE"""),44339.0)</f>
        <v>44339</v>
      </c>
      <c r="Q1632" s="3" t="str">
        <f>IFERROR(__xludf.DUMMYFUNCTION("""COMPUTED_VALUE"""),"A")</f>
        <v>A</v>
      </c>
      <c r="R1632" s="3" t="str">
        <f>IFERROR(__xludf.DUMMYFUNCTION("""COMPUTED_VALUE"""),"Small Format")</f>
        <v>Small Format</v>
      </c>
      <c r="S1632" s="3" t="str">
        <f>IFERROR(__xludf.DUMMYFUNCTION("""COMPUTED_VALUE"""),"BCM")</f>
        <v>BCM</v>
      </c>
      <c r="T1632" s="3" t="str">
        <f>IFERROR(__xludf.DUMMYFUNCTION("""COMPUTED_VALUE"""),"#N/A")</f>
        <v>#N/A</v>
      </c>
      <c r="U1632" s="3" t="str">
        <f>IFERROR(__xludf.DUMMYFUNCTION("""COMPUTED_VALUE"""),"#N/A")</f>
        <v>#N/A</v>
      </c>
      <c r="V1632" s="3" t="str">
        <f>IFERROR(__xludf.DUMMYFUNCTION("""COMPUTED_VALUE"""),"N")</f>
        <v>N</v>
      </c>
      <c r="W1632" s="3">
        <f>IFERROR(__xludf.DUMMYFUNCTION("""COMPUTED_VALUE"""),210366.0)</f>
        <v>210366</v>
      </c>
      <c r="X1632" s="3" t="str">
        <f>IFERROR(__xludf.DUMMYFUNCTION("""COMPUTED_VALUE"""),"55/1 หมู่ 2 ตำบลยามู อำเภอยะหริ่ง จังหวัดปัตตานี 94150")</f>
        <v>55/1 หมู่ 2 ตำบลยามู อำเภอยะหริ่ง จังหวัดปัตตานี 94150</v>
      </c>
      <c r="Y1632" s="3"/>
      <c r="Z1632" s="3" t="str">
        <f>IFERROR(__xludf.DUMMYFUNCTION("""COMPUTED_VALUE"""),"ยามู")</f>
        <v>ยามู</v>
      </c>
      <c r="AA1632" s="3" t="str">
        <f>IFERROR(__xludf.DUMMYFUNCTION("""COMPUTED_VALUE"""),"ยะหริ่ง")</f>
        <v>ยะหริ่ง</v>
      </c>
      <c r="AB1632" s="3" t="str">
        <f>IFERROR(__xludf.DUMMYFUNCTION("""COMPUTED_VALUE"""),"ปัตตานี")</f>
        <v>ปัตตานี</v>
      </c>
      <c r="AC1632" s="3">
        <f>IFERROR(__xludf.DUMMYFUNCTION("""COMPUTED_VALUE"""),94150.0)</f>
        <v>94150</v>
      </c>
      <c r="AD1632" s="3">
        <f>IFERROR(__xludf.DUMMYFUNCTION("""COMPUTED_VALUE"""),6.865247)</f>
        <v>6.865247</v>
      </c>
      <c r="AE1632" s="3">
        <f>IFERROR(__xludf.DUMMYFUNCTION("""COMPUTED_VALUE"""),101.37022)</f>
        <v>101.37022</v>
      </c>
      <c r="AF1632" s="3" t="str">
        <f>IFERROR(__xludf.DUMMYFUNCTION("""COMPUTED_VALUE"""),"MBC อำเภอยะหริ่ง ปัตตานี-22318")</f>
        <v>MBC อำเภอยะหริ่ง ปัตตานี-22318</v>
      </c>
      <c r="AG1632" s="3" t="str">
        <f>IFERROR(__xludf.DUMMYFUNCTION("""COMPUTED_VALUE"""),"ใต้")</f>
        <v>ใต้</v>
      </c>
      <c r="AH1632" s="3" t="str">
        <f>IFERROR(__xludf.DUMMYFUNCTION("""COMPUTED_VALUE"""),"#N/A")</f>
        <v>#N/A</v>
      </c>
      <c r="AI1632" s="3" t="str">
        <f>IFERROR(__xludf.DUMMYFUNCTION("""COMPUTED_VALUE"""),"Out of warranty")</f>
        <v>Out of warranty</v>
      </c>
      <c r="AJ1632" s="3">
        <f>IFERROR(__xludf.DUMMYFUNCTION("""COMPUTED_VALUE"""),56.0)</f>
        <v>56</v>
      </c>
      <c r="AK1632" s="3" t="str">
        <f>IFERROR(__xludf.DUMMYFUNCTION("""COMPUTED_VALUE"""),"MMS16")</f>
        <v>MMS16</v>
      </c>
      <c r="AL1632" s="3"/>
    </row>
    <row r="1633" ht="15.75" customHeight="1">
      <c r="A1633" s="1" t="str">
        <f>IFERROR(__xludf.DUMMYFUNCTION("""COMPUTED_VALUE"""),"22319")</f>
        <v>22319</v>
      </c>
      <c r="B1633" s="2">
        <f>IFERROR(__xludf.DUMMYFUNCTION("""COMPUTED_VALUE"""),22319.0)</f>
        <v>22319</v>
      </c>
      <c r="C1633" s="3" t="str">
        <f>IFERROR(__xludf.DUMMYFUNCTION("""COMPUTED_VALUE"""),"MBC บ้านโคคลาน สระแก้ว")</f>
        <v>MBC บ้านโคคลาน สระแก้ว</v>
      </c>
      <c r="D1633" s="3" t="str">
        <f>IFERROR(__xludf.DUMMYFUNCTION("""COMPUTED_VALUE"""),"BCM BAN KHO KHIAN")</f>
        <v>BCM BAN KHO KHIAN</v>
      </c>
      <c r="E1633" s="1" t="str">
        <f>IFERROR(__xludf.DUMMYFUNCTION("""COMPUTED_VALUE"""),"บิ๊กซี MINI")</f>
        <v>บิ๊กซี MINI</v>
      </c>
      <c r="F1633" s="1" t="str">
        <f>IFERROR(__xludf.DUMMYFUNCTION("""COMPUTED_VALUE"""),"2083447")</f>
        <v>2083447</v>
      </c>
      <c r="G1633" s="1" t="str">
        <f>IFERROR(__xludf.DUMMYFUNCTION("""COMPUTED_VALUE"""),"นายอนุกูล ศรีลัดดา")</f>
        <v>นายอนุกูล ศรีลัดดา</v>
      </c>
      <c r="H1633" s="1" t="str">
        <f>IFERROR(__xludf.DUMMYFUNCTION("""COMPUTED_VALUE"""),"259808")</f>
        <v>259808</v>
      </c>
      <c r="I1633" s="1" t="str">
        <f>IFERROR(__xludf.DUMMYFUNCTION("""COMPUTED_VALUE"""),"น.ส.สกุลรัตน์ พิกุลแก้ว")</f>
        <v>น.ส.สกุลรัตน์ พิกุลแก้ว</v>
      </c>
      <c r="J1633" s="3">
        <f>IFERROR(__xludf.DUMMYFUNCTION("""COMPUTED_VALUE"""),510143.0)</f>
        <v>510143</v>
      </c>
      <c r="K1633" s="3" t="str">
        <f>IFERROR(__xludf.DUMMYFUNCTION("""COMPUTED_VALUE"""),"นายธีระวัฒน์ บุญสิทธิ์")</f>
        <v>นายธีระวัฒน์ บุญสิทธิ์</v>
      </c>
      <c r="L1633" s="3" t="str">
        <f>IFERROR(__xludf.DUMMYFUNCTION("""COMPUTED_VALUE"""),"12 K.Theerawat B.")</f>
        <v>12 K.Theerawat B.</v>
      </c>
      <c r="M1633" s="1" t="str">
        <f>IFERROR(__xludf.DUMMYFUNCTION("""COMPUTED_VALUE"""),"0655107379")</f>
        <v>0655107379</v>
      </c>
      <c r="N1633" s="3">
        <f>IFERROR(__xludf.DUMMYFUNCTION("""COMPUTED_VALUE"""),21062.0)</f>
        <v>21062</v>
      </c>
      <c r="O1633" s="3" t="str">
        <f>IFERROR(__xludf.DUMMYFUNCTION("""COMPUTED_VALUE"""),"MBC นิคมนวนคร")</f>
        <v>MBC นิคมนวนคร</v>
      </c>
      <c r="P1633" s="4">
        <f>IFERROR(__xludf.DUMMYFUNCTION("""COMPUTED_VALUE"""),44338.0)</f>
        <v>44338</v>
      </c>
      <c r="Q1633" s="3" t="str">
        <f>IFERROR(__xludf.DUMMYFUNCTION("""COMPUTED_VALUE"""),"A")</f>
        <v>A</v>
      </c>
      <c r="R1633" s="3" t="str">
        <f>IFERROR(__xludf.DUMMYFUNCTION("""COMPUTED_VALUE"""),"Small Format")</f>
        <v>Small Format</v>
      </c>
      <c r="S1633" s="3" t="str">
        <f>IFERROR(__xludf.DUMMYFUNCTION("""COMPUTED_VALUE"""),"BCM")</f>
        <v>BCM</v>
      </c>
      <c r="T1633" s="3" t="str">
        <f>IFERROR(__xludf.DUMMYFUNCTION("""COMPUTED_VALUE"""),"#N/A")</f>
        <v>#N/A</v>
      </c>
      <c r="U1633" s="3" t="str">
        <f>IFERROR(__xludf.DUMMYFUNCTION("""COMPUTED_VALUE"""),"#N/A")</f>
        <v>#N/A</v>
      </c>
      <c r="V1633" s="3" t="str">
        <f>IFERROR(__xludf.DUMMYFUNCTION("""COMPUTED_VALUE"""),"N")</f>
        <v>N</v>
      </c>
      <c r="W1633" s="3">
        <f>IFERROR(__xludf.DUMMYFUNCTION("""COMPUTED_VALUE"""),210394.0)</f>
        <v>210394</v>
      </c>
      <c r="X1633" s="3" t="str">
        <f>IFERROR(__xludf.DUMMYFUNCTION("""COMPUTED_VALUE"""),"136 หมู่1 ตำบลโคคลาน อำเภอตาพระยา จังหวัดสระแก้ว 27180")</f>
        <v>136 หมู่1 ตำบลโคคลาน อำเภอตาพระยา จังหวัดสระแก้ว 27180</v>
      </c>
      <c r="Y1633" s="3"/>
      <c r="Z1633" s="3" t="str">
        <f>IFERROR(__xludf.DUMMYFUNCTION("""COMPUTED_VALUE"""),"โคคลาน")</f>
        <v>โคคลาน</v>
      </c>
      <c r="AA1633" s="3" t="str">
        <f>IFERROR(__xludf.DUMMYFUNCTION("""COMPUTED_VALUE"""),"ตาพระยา")</f>
        <v>ตาพระยา</v>
      </c>
      <c r="AB1633" s="3" t="str">
        <f>IFERROR(__xludf.DUMMYFUNCTION("""COMPUTED_VALUE"""),"สระแก้ว")</f>
        <v>สระแก้ว</v>
      </c>
      <c r="AC1633" s="3">
        <f>IFERROR(__xludf.DUMMYFUNCTION("""COMPUTED_VALUE"""),27180.0)</f>
        <v>27180</v>
      </c>
      <c r="AD1633" s="3">
        <f>IFERROR(__xludf.DUMMYFUNCTION("""COMPUTED_VALUE"""),13.991938)</f>
        <v>13.991938</v>
      </c>
      <c r="AE1633" s="3">
        <f>IFERROR(__xludf.DUMMYFUNCTION("""COMPUTED_VALUE"""),102.681299)</f>
        <v>102.681299</v>
      </c>
      <c r="AF1633" s="3" t="str">
        <f>IFERROR(__xludf.DUMMYFUNCTION("""COMPUTED_VALUE"""),"MBC บ้านโคคลาน สระแก้ว-22319")</f>
        <v>MBC บ้านโคคลาน สระแก้ว-22319</v>
      </c>
      <c r="AG1633" s="3" t="str">
        <f>IFERROR(__xludf.DUMMYFUNCTION("""COMPUTED_VALUE"""),"ตะวันออก")</f>
        <v>ตะวันออก</v>
      </c>
      <c r="AH1633" s="3" t="str">
        <f>IFERROR(__xludf.DUMMYFUNCTION("""COMPUTED_VALUE"""),"#N/A")</f>
        <v>#N/A</v>
      </c>
      <c r="AI1633" s="3" t="str">
        <f>IFERROR(__xludf.DUMMYFUNCTION("""COMPUTED_VALUE"""),"Out of warranty")</f>
        <v>Out of warranty</v>
      </c>
      <c r="AJ1633" s="3">
        <f>IFERROR(__xludf.DUMMYFUNCTION("""COMPUTED_VALUE"""),56.0)</f>
        <v>56</v>
      </c>
      <c r="AK1633" s="3" t="str">
        <f>IFERROR(__xludf.DUMMYFUNCTION("""COMPUTED_VALUE"""),"MMS08")</f>
        <v>MMS08</v>
      </c>
      <c r="AL1633" s="3"/>
    </row>
    <row r="1634" ht="15.75" customHeight="1">
      <c r="A1634" s="1" t="str">
        <f>IFERROR(__xludf.DUMMYFUNCTION("""COMPUTED_VALUE"""),"22320")</f>
        <v>22320</v>
      </c>
      <c r="B1634" s="2">
        <f>IFERROR(__xludf.DUMMYFUNCTION("""COMPUTED_VALUE"""),22320.0)</f>
        <v>22320</v>
      </c>
      <c r="C1634" s="3" t="str">
        <f>IFERROR(__xludf.DUMMYFUNCTION("""COMPUTED_VALUE"""),"MBC เรณูนคร นครพนม")</f>
        <v>MBC เรณูนคร นครพนม</v>
      </c>
      <c r="D1634" s="3" t="str">
        <f>IFERROR(__xludf.DUMMYFUNCTION("""COMPUTED_VALUE"""),"BCM RENU NAKHON")</f>
        <v>BCM RENU NAKHON</v>
      </c>
      <c r="E1634" s="1" t="str">
        <f>IFERROR(__xludf.DUMMYFUNCTION("""COMPUTED_VALUE"""),"บิ๊กซี MINI")</f>
        <v>บิ๊กซี MINI</v>
      </c>
      <c r="F1634" s="1" t="str">
        <f>IFERROR(__xludf.DUMMYFUNCTION("""COMPUTED_VALUE"""),"291105")</f>
        <v>291105</v>
      </c>
      <c r="G1634" s="1" t="str">
        <f>IFERROR(__xludf.DUMMYFUNCTION("""COMPUTED_VALUE"""),"นายสราวุฒิ พณิชยกุล")</f>
        <v>นายสราวุฒิ พณิชยกุล</v>
      </c>
      <c r="H1634" s="1" t="str">
        <f>IFERROR(__xludf.DUMMYFUNCTION("""COMPUTED_VALUE"""),"392885")</f>
        <v>392885</v>
      </c>
      <c r="I1634" s="1" t="str">
        <f>IFERROR(__xludf.DUMMYFUNCTION("""COMPUTED_VALUE"""),"น.ส.วราพร จันปลิว")</f>
        <v>น.ส.วราพร จันปลิว</v>
      </c>
      <c r="J1634" s="3">
        <f>IFERROR(__xludf.DUMMYFUNCTION("""COMPUTED_VALUE"""),296868.0)</f>
        <v>296868</v>
      </c>
      <c r="K1634" s="3" t="str">
        <f>IFERROR(__xludf.DUMMYFUNCTION("""COMPUTED_VALUE"""),"นายพีระพงษ์ แก้วดวงดี")</f>
        <v>นายพีระพงษ์ แก้วดวงดี</v>
      </c>
      <c r="L1634" s="1" t="str">
        <f>IFERROR(__xludf.DUMMYFUNCTION("""COMPUTED_VALUE"""),"03 K.Peerapong K.")</f>
        <v>03 K.Peerapong K.</v>
      </c>
      <c r="M1634" s="1" t="str">
        <f>IFERROR(__xludf.DUMMYFUNCTION("""COMPUTED_VALUE"""),"089-002-6599")</f>
        <v>089-002-6599</v>
      </c>
      <c r="N1634" s="3">
        <f>IFERROR(__xludf.DUMMYFUNCTION("""COMPUTED_VALUE"""),21946.0)</f>
        <v>21946</v>
      </c>
      <c r="O1634" s="3" t="str">
        <f>IFERROR(__xludf.DUMMYFUNCTION("""COMPUTED_VALUE"""),"MBC เซกา บึงกาฬ")</f>
        <v>MBC เซกา บึงกาฬ</v>
      </c>
      <c r="P1634" s="4">
        <f>IFERROR(__xludf.DUMMYFUNCTION("""COMPUTED_VALUE"""),44340.0)</f>
        <v>44340</v>
      </c>
      <c r="Q1634" s="3" t="str">
        <f>IFERROR(__xludf.DUMMYFUNCTION("""COMPUTED_VALUE"""),"A")</f>
        <v>A</v>
      </c>
      <c r="R1634" s="3" t="str">
        <f>IFERROR(__xludf.DUMMYFUNCTION("""COMPUTED_VALUE"""),"Small Format")</f>
        <v>Small Format</v>
      </c>
      <c r="S1634" s="3" t="str">
        <f>IFERROR(__xludf.DUMMYFUNCTION("""COMPUTED_VALUE"""),"BCM")</f>
        <v>BCM</v>
      </c>
      <c r="T1634" s="3" t="str">
        <f>IFERROR(__xludf.DUMMYFUNCTION("""COMPUTED_VALUE"""),"#N/A")</f>
        <v>#N/A</v>
      </c>
      <c r="U1634" s="3" t="str">
        <f>IFERROR(__xludf.DUMMYFUNCTION("""COMPUTED_VALUE"""),"#N/A")</f>
        <v>#N/A</v>
      </c>
      <c r="V1634" s="3" t="str">
        <f>IFERROR(__xludf.DUMMYFUNCTION("""COMPUTED_VALUE"""),"N")</f>
        <v>N</v>
      </c>
      <c r="W1634" s="3">
        <f>IFERROR(__xludf.DUMMYFUNCTION("""COMPUTED_VALUE"""),210361.0)</f>
        <v>210361</v>
      </c>
      <c r="X1634" s="3" t="str">
        <f>IFERROR(__xludf.DUMMYFUNCTION("""COMPUTED_VALUE"""),"360 หมู่9 ตำบลโพนทอง อำเภอเรณูนคร จังหวัดนครพนม 48170")</f>
        <v>360 หมู่9 ตำบลโพนทอง อำเภอเรณูนคร จังหวัดนครพนม 48170</v>
      </c>
      <c r="Y1634" s="3"/>
      <c r="Z1634" s="3" t="str">
        <f>IFERROR(__xludf.DUMMYFUNCTION("""COMPUTED_VALUE"""),"โพนทอง")</f>
        <v>โพนทอง</v>
      </c>
      <c r="AA1634" s="3" t="str">
        <f>IFERROR(__xludf.DUMMYFUNCTION("""COMPUTED_VALUE"""),"เรณูนคร")</f>
        <v>เรณูนคร</v>
      </c>
      <c r="AB1634" s="3" t="str">
        <f>IFERROR(__xludf.DUMMYFUNCTION("""COMPUTED_VALUE"""),"นครพนม")</f>
        <v>นครพนม</v>
      </c>
      <c r="AC1634" s="3">
        <f>IFERROR(__xludf.DUMMYFUNCTION("""COMPUTED_VALUE"""),48170.0)</f>
        <v>48170</v>
      </c>
      <c r="AD1634" s="3">
        <f>IFERROR(__xludf.DUMMYFUNCTION("""COMPUTED_VALUE"""),17.051948)</f>
        <v>17.051948</v>
      </c>
      <c r="AE1634" s="3">
        <f>IFERROR(__xludf.DUMMYFUNCTION("""COMPUTED_VALUE"""),104.677816)</f>
        <v>104.677816</v>
      </c>
      <c r="AF1634" s="3" t="str">
        <f>IFERROR(__xludf.DUMMYFUNCTION("""COMPUTED_VALUE"""),"MBC เรณูนคร นครพนม-22320")</f>
        <v>MBC เรณูนคร นครพนม-22320</v>
      </c>
      <c r="AG1634" s="3" t="str">
        <f>IFERROR(__xludf.DUMMYFUNCTION("""COMPUTED_VALUE"""),"ตะวันออกเฉียงเหนือ")</f>
        <v>ตะวันออกเฉียงเหนือ</v>
      </c>
      <c r="AH1634" s="3" t="str">
        <f>IFERROR(__xludf.DUMMYFUNCTION("""COMPUTED_VALUE"""),"#N/A")</f>
        <v>#N/A</v>
      </c>
      <c r="AI1634" s="3" t="str">
        <f>IFERROR(__xludf.DUMMYFUNCTION("""COMPUTED_VALUE"""),"Out of warranty")</f>
        <v>Out of warranty</v>
      </c>
      <c r="AJ1634" s="3">
        <f>IFERROR(__xludf.DUMMYFUNCTION("""COMPUTED_VALUE"""),56.0)</f>
        <v>56</v>
      </c>
      <c r="AK1634" s="3" t="str">
        <f>IFERROR(__xludf.DUMMYFUNCTION("""COMPUTED_VALUE"""),"MMS12")</f>
        <v>MMS12</v>
      </c>
      <c r="AL1634" s="3"/>
    </row>
    <row r="1635" ht="15.75" customHeight="1">
      <c r="A1635" s="1" t="str">
        <f>IFERROR(__xludf.DUMMYFUNCTION("""COMPUTED_VALUE"""),"22321")</f>
        <v>22321</v>
      </c>
      <c r="B1635" s="2">
        <f>IFERROR(__xludf.DUMMYFUNCTION("""COMPUTED_VALUE"""),22321.0)</f>
        <v>22321</v>
      </c>
      <c r="C1635" s="3" t="str">
        <f>IFERROR(__xludf.DUMMYFUNCTION("""COMPUTED_VALUE"""),"MBC ถนนคนเดินเซาะกราว บุรีรัมย์")</f>
        <v>MBC ถนนคนเดินเซาะกราว บุรีรัมย์</v>
      </c>
      <c r="D1635" s="3" t="str">
        <f>IFERROR(__xludf.DUMMYFUNCTION("""COMPUTED_VALUE"""),"BCM SROEWGROUND")</f>
        <v>BCM SROEWGROUND</v>
      </c>
      <c r="E1635" s="1" t="str">
        <f>IFERROR(__xludf.DUMMYFUNCTION("""COMPUTED_VALUE"""),"บิ๊กซี MINI")</f>
        <v>บิ๊กซี MINI</v>
      </c>
      <c r="F1635" s="1" t="str">
        <f>IFERROR(__xludf.DUMMYFUNCTION("""COMPUTED_VALUE"""),"291105")</f>
        <v>291105</v>
      </c>
      <c r="G1635" s="1" t="str">
        <f>IFERROR(__xludf.DUMMYFUNCTION("""COMPUTED_VALUE"""),"นายสราวุฒิ พณิชยกุล")</f>
        <v>นายสราวุฒิ พณิชยกุล</v>
      </c>
      <c r="H1635" s="1" t="str">
        <f>IFERROR(__xludf.DUMMYFUNCTION("""COMPUTED_VALUE"""),"398136")</f>
        <v>398136</v>
      </c>
      <c r="I1635" s="1" t="str">
        <f>IFERROR(__xludf.DUMMYFUNCTION("""COMPUTED_VALUE"""),"นายประยูร ธาดาวงษา")</f>
        <v>นายประยูร ธาดาวงษา</v>
      </c>
      <c r="J1635" s="3">
        <f>IFERROR(__xludf.DUMMYFUNCTION("""COMPUTED_VALUE"""),15361.0)</f>
        <v>15361</v>
      </c>
      <c r="K1635" s="3" t="str">
        <f>IFERROR(__xludf.DUMMYFUNCTION("""COMPUTED_VALUE"""),"นายสมบูรณ์ พรหมในเมือง")</f>
        <v>นายสมบูรณ์ พรหมในเมือง</v>
      </c>
      <c r="L1635" s="1" t="str">
        <f>IFERROR(__xludf.DUMMYFUNCTION("""COMPUTED_VALUE"""),"04 K.Somboon P.")</f>
        <v>04 K.Somboon P.</v>
      </c>
      <c r="M1635" s="1" t="str">
        <f>IFERROR(__xludf.DUMMYFUNCTION("""COMPUTED_VALUE"""),"087-965-3051")</f>
        <v>087-965-3051</v>
      </c>
      <c r="N1635" s="3">
        <f>IFERROR(__xludf.DUMMYFUNCTION("""COMPUTED_VALUE"""),21869.0)</f>
        <v>21869</v>
      </c>
      <c r="O1635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635" s="4">
        <f>IFERROR(__xludf.DUMMYFUNCTION("""COMPUTED_VALUE"""),44361.0)</f>
        <v>44361</v>
      </c>
      <c r="Q1635" s="3" t="str">
        <f>IFERROR(__xludf.DUMMYFUNCTION("""COMPUTED_VALUE"""),"A")</f>
        <v>A</v>
      </c>
      <c r="R1635" s="3" t="str">
        <f>IFERROR(__xludf.DUMMYFUNCTION("""COMPUTED_VALUE"""),"Small Format")</f>
        <v>Small Format</v>
      </c>
      <c r="S1635" s="3" t="str">
        <f>IFERROR(__xludf.DUMMYFUNCTION("""COMPUTED_VALUE"""),"BCM")</f>
        <v>BCM</v>
      </c>
      <c r="T1635" s="3" t="str">
        <f>IFERROR(__xludf.DUMMYFUNCTION("""COMPUTED_VALUE"""),"#N/A")</f>
        <v>#N/A</v>
      </c>
      <c r="U1635" s="3" t="str">
        <f>IFERROR(__xludf.DUMMYFUNCTION("""COMPUTED_VALUE"""),"#N/A")</f>
        <v>#N/A</v>
      </c>
      <c r="V1635" s="3" t="str">
        <f>IFERROR(__xludf.DUMMYFUNCTION("""COMPUTED_VALUE"""),"N")</f>
        <v>N</v>
      </c>
      <c r="W1635" s="3">
        <f>IFERROR(__xludf.DUMMYFUNCTION("""COMPUTED_VALUE"""),210007.0)</f>
        <v>210007</v>
      </c>
      <c r="X1635" s="3" t="str">
        <f>IFERROR(__xludf.DUMMYFUNCTION("""COMPUTED_VALUE"""),"7-7/1 7/2 ถนนพิทักษ์ ตำบลในเมือง อำเภอเมืองบุรีรัมย์ จังหวัดบุรีรัมย์ 31000")</f>
        <v>7-7/1 7/2 ถนนพิทักษ์ ตำบลในเมือง อำเภอเมืองบุรีรัมย์ จังหวัดบุรีรัมย์ 31000</v>
      </c>
      <c r="Y1635" s="3" t="str">
        <f>IFERROR(__xludf.DUMMYFUNCTION("""COMPUTED_VALUE"""),"พิทักษ์")</f>
        <v>พิทักษ์</v>
      </c>
      <c r="Z1635" s="3" t="str">
        <f>IFERROR(__xludf.DUMMYFUNCTION("""COMPUTED_VALUE"""),"ในเมือง")</f>
        <v>ในเมือง</v>
      </c>
      <c r="AA1635" s="3" t="str">
        <f>IFERROR(__xludf.DUMMYFUNCTION("""COMPUTED_VALUE"""),"เมือง")</f>
        <v>เมือง</v>
      </c>
      <c r="AB1635" s="3" t="str">
        <f>IFERROR(__xludf.DUMMYFUNCTION("""COMPUTED_VALUE"""),"บุรีรัมย์")</f>
        <v>บุรีรัมย์</v>
      </c>
      <c r="AC1635" s="3">
        <f>IFERROR(__xludf.DUMMYFUNCTION("""COMPUTED_VALUE"""),31000.0)</f>
        <v>31000</v>
      </c>
      <c r="AD1635" s="3">
        <f>IFERROR(__xludf.DUMMYFUNCTION("""COMPUTED_VALUE"""),14.997619)</f>
        <v>14.997619</v>
      </c>
      <c r="AE1635" s="3">
        <f>IFERROR(__xludf.DUMMYFUNCTION("""COMPUTED_VALUE"""),103.108459)</f>
        <v>103.108459</v>
      </c>
      <c r="AF1635" s="3" t="str">
        <f>IFERROR(__xludf.DUMMYFUNCTION("""COMPUTED_VALUE"""),"MBC ถนนคนเดินเซาะกราว บุรีรัมย์-22321")</f>
        <v>MBC ถนนคนเดินเซาะกราว บุรีรัมย์-22321</v>
      </c>
      <c r="AG1635" s="3" t="str">
        <f>IFERROR(__xludf.DUMMYFUNCTION("""COMPUTED_VALUE"""),"ตะวันออกเฉียงเหนือ")</f>
        <v>ตะวันออกเฉียงเหนือ</v>
      </c>
      <c r="AH1635" s="3" t="str">
        <f>IFERROR(__xludf.DUMMYFUNCTION("""COMPUTED_VALUE"""),"#N/A")</f>
        <v>#N/A</v>
      </c>
      <c r="AI1635" s="3" t="str">
        <f>IFERROR(__xludf.DUMMYFUNCTION("""COMPUTED_VALUE"""),"Out of warranty")</f>
        <v>Out of warranty</v>
      </c>
      <c r="AJ1635" s="3">
        <f>IFERROR(__xludf.DUMMYFUNCTION("""COMPUTED_VALUE"""),56.0)</f>
        <v>56</v>
      </c>
      <c r="AK1635" s="3" t="str">
        <f>IFERROR(__xludf.DUMMYFUNCTION("""COMPUTED_VALUE"""),"MMS11")</f>
        <v>MMS11</v>
      </c>
      <c r="AL1635" s="3"/>
    </row>
    <row r="1636" ht="15.75" customHeight="1">
      <c r="A1636" s="1" t="str">
        <f>IFERROR(__xludf.DUMMYFUNCTION("""COMPUTED_VALUE"""),"22322")</f>
        <v>22322</v>
      </c>
      <c r="B1636" s="2">
        <f>IFERROR(__xludf.DUMMYFUNCTION("""COMPUTED_VALUE"""),22322.0)</f>
        <v>22322</v>
      </c>
      <c r="C1636" s="3" t="str">
        <f>IFERROR(__xludf.DUMMYFUNCTION("""COMPUTED_VALUE"""),"MBC ผาขาว เลย")</f>
        <v>MBC ผาขาว เลย</v>
      </c>
      <c r="D1636" s="3" t="str">
        <f>IFERROR(__xludf.DUMMYFUNCTION("""COMPUTED_VALUE"""),"BCM PHA KAOW")</f>
        <v>BCM PHA KAOW</v>
      </c>
      <c r="E1636" s="1" t="str">
        <f>IFERROR(__xludf.DUMMYFUNCTION("""COMPUTED_VALUE"""),"บิ๊กซี MINI")</f>
        <v>บิ๊กซี MINI</v>
      </c>
      <c r="F1636" s="1" t="str">
        <f>IFERROR(__xludf.DUMMYFUNCTION("""COMPUTED_VALUE"""),"291105")</f>
        <v>291105</v>
      </c>
      <c r="G1636" s="1" t="str">
        <f>IFERROR(__xludf.DUMMYFUNCTION("""COMPUTED_VALUE"""),"นายสราวุฒิ พณิชยกุล")</f>
        <v>นายสราวุฒิ พณิชยกุล</v>
      </c>
      <c r="H1636" s="1" t="str">
        <f>IFERROR(__xludf.DUMMYFUNCTION("""COMPUTED_VALUE"""),"305119")</f>
        <v>305119</v>
      </c>
      <c r="I1636" s="1" t="str">
        <f>IFERROR(__xludf.DUMMYFUNCTION("""COMPUTED_VALUE"""),"นายไชยกร ลีพิบูลย์สวัสดิ์")</f>
        <v>นายไชยกร ลีพิบูลย์สวัสดิ์</v>
      </c>
      <c r="J1636" s="3">
        <f>IFERROR(__xludf.DUMMYFUNCTION("""COMPUTED_VALUE"""),296868.0)</f>
        <v>296868</v>
      </c>
      <c r="K1636" s="3" t="str">
        <f>IFERROR(__xludf.DUMMYFUNCTION("""COMPUTED_VALUE"""),"นายพีระพงษ์ แก้วดวงดี")</f>
        <v>นายพีระพงษ์ แก้วดวงดี</v>
      </c>
      <c r="L1636" s="1" t="str">
        <f>IFERROR(__xludf.DUMMYFUNCTION("""COMPUTED_VALUE"""),"03 K.Peerapong K.")</f>
        <v>03 K.Peerapong K.</v>
      </c>
      <c r="M1636" s="1" t="str">
        <f>IFERROR(__xludf.DUMMYFUNCTION("""COMPUTED_VALUE"""),"089-002-6599")</f>
        <v>089-002-6599</v>
      </c>
      <c r="N1636" s="3">
        <f>IFERROR(__xludf.DUMMYFUNCTION("""COMPUTED_VALUE"""),21946.0)</f>
        <v>21946</v>
      </c>
      <c r="O1636" s="3" t="str">
        <f>IFERROR(__xludf.DUMMYFUNCTION("""COMPUTED_VALUE"""),"MBC เซกา บึงกาฬ")</f>
        <v>MBC เซกา บึงกาฬ</v>
      </c>
      <c r="P1636" s="4">
        <f>IFERROR(__xludf.DUMMYFUNCTION("""COMPUTED_VALUE"""),44341.0)</f>
        <v>44341</v>
      </c>
      <c r="Q1636" s="3" t="str">
        <f>IFERROR(__xludf.DUMMYFUNCTION("""COMPUTED_VALUE"""),"A")</f>
        <v>A</v>
      </c>
      <c r="R1636" s="3" t="str">
        <f>IFERROR(__xludf.DUMMYFUNCTION("""COMPUTED_VALUE"""),"Small Format")</f>
        <v>Small Format</v>
      </c>
      <c r="S1636" s="3" t="str">
        <f>IFERROR(__xludf.DUMMYFUNCTION("""COMPUTED_VALUE"""),"BCM")</f>
        <v>BCM</v>
      </c>
      <c r="T1636" s="3" t="str">
        <f>IFERROR(__xludf.DUMMYFUNCTION("""COMPUTED_VALUE"""),"#N/A")</f>
        <v>#N/A</v>
      </c>
      <c r="U1636" s="3" t="str">
        <f>IFERROR(__xludf.DUMMYFUNCTION("""COMPUTED_VALUE"""),"#N/A")</f>
        <v>#N/A</v>
      </c>
      <c r="V1636" s="3" t="str">
        <f>IFERROR(__xludf.DUMMYFUNCTION("""COMPUTED_VALUE"""),"N")</f>
        <v>N</v>
      </c>
      <c r="W1636" s="3">
        <f>IFERROR(__xludf.DUMMYFUNCTION("""COMPUTED_VALUE"""),210370.0)</f>
        <v>210370</v>
      </c>
      <c r="X1636" s="3" t="str">
        <f>IFERROR(__xludf.DUMMYFUNCTION("""COMPUTED_VALUE"""),"347 หมู่8 ตำบลโนนปอแดง อำเภอผาขาว จังหวัดเลย 42240")</f>
        <v>347 หมู่8 ตำบลโนนปอแดง อำเภอผาขาว จังหวัดเลย 42240</v>
      </c>
      <c r="Y1636" s="3"/>
      <c r="Z1636" s="3" t="str">
        <f>IFERROR(__xludf.DUMMYFUNCTION("""COMPUTED_VALUE"""),"โนนปอแดง")</f>
        <v>โนนปอแดง</v>
      </c>
      <c r="AA1636" s="3" t="str">
        <f>IFERROR(__xludf.DUMMYFUNCTION("""COMPUTED_VALUE"""),"ผาขาว")</f>
        <v>ผาขาว</v>
      </c>
      <c r="AB1636" s="3" t="str">
        <f>IFERROR(__xludf.DUMMYFUNCTION("""COMPUTED_VALUE"""),"เลย")</f>
        <v>เลย</v>
      </c>
      <c r="AC1636" s="3">
        <f>IFERROR(__xludf.DUMMYFUNCTION("""COMPUTED_VALUE"""),42240.0)</f>
        <v>42240</v>
      </c>
      <c r="AD1636" s="3">
        <f>IFERROR(__xludf.DUMMYFUNCTION("""COMPUTED_VALUE"""),17.06470834)</f>
        <v>17.06470834</v>
      </c>
      <c r="AE1636" s="3">
        <f>IFERROR(__xludf.DUMMYFUNCTION("""COMPUTED_VALUE"""),102.0364237)</f>
        <v>102.0364237</v>
      </c>
      <c r="AF1636" s="3" t="str">
        <f>IFERROR(__xludf.DUMMYFUNCTION("""COMPUTED_VALUE"""),"MBC ผาขาว เลย-22322")</f>
        <v>MBC ผาขาว เลย-22322</v>
      </c>
      <c r="AG1636" s="3" t="str">
        <f>IFERROR(__xludf.DUMMYFUNCTION("""COMPUTED_VALUE"""),"ตะวันออกเฉียงเหนือ")</f>
        <v>ตะวันออกเฉียงเหนือ</v>
      </c>
      <c r="AH1636" s="3" t="str">
        <f>IFERROR(__xludf.DUMMYFUNCTION("""COMPUTED_VALUE"""),"#N/A")</f>
        <v>#N/A</v>
      </c>
      <c r="AI1636" s="3" t="str">
        <f>IFERROR(__xludf.DUMMYFUNCTION("""COMPUTED_VALUE"""),"Out of warranty")</f>
        <v>Out of warranty</v>
      </c>
      <c r="AJ1636" s="3">
        <f>IFERROR(__xludf.DUMMYFUNCTION("""COMPUTED_VALUE"""),56.0)</f>
        <v>56</v>
      </c>
      <c r="AK1636" s="3" t="str">
        <f>IFERROR(__xludf.DUMMYFUNCTION("""COMPUTED_VALUE"""),"MMS12")</f>
        <v>MMS12</v>
      </c>
      <c r="AL1636" s="3"/>
    </row>
    <row r="1637" ht="15.75" customHeight="1">
      <c r="A1637" s="1" t="str">
        <f>IFERROR(__xludf.DUMMYFUNCTION("""COMPUTED_VALUE"""),"22323")</f>
        <v>22323</v>
      </c>
      <c r="B1637" s="2">
        <f>IFERROR(__xludf.DUMMYFUNCTION("""COMPUTED_VALUE"""),22323.0)</f>
        <v>22323</v>
      </c>
      <c r="C1637" s="3" t="str">
        <f>IFERROR(__xludf.DUMMYFUNCTION("""COMPUTED_VALUE"""),"MBC ตลาดนัดบุญศรี(ชากกอไผ่) ระยอง")</f>
        <v>MBC ตลาดนัดบุญศรี(ชากกอไผ่) ระยอง</v>
      </c>
      <c r="D1637" s="3" t="str">
        <f>IFERROR(__xludf.DUMMYFUNCTION("""COMPUTED_VALUE"""),"BCM TALAD NUD BOONSRI")</f>
        <v>BCM TALAD NUD BOONSRI</v>
      </c>
      <c r="E1637" s="1" t="str">
        <f>IFERROR(__xludf.DUMMYFUNCTION("""COMPUTED_VALUE"""),"บิ๊กซี MINI")</f>
        <v>บิ๊กซี MINI</v>
      </c>
      <c r="F1637" s="1" t="str">
        <f>IFERROR(__xludf.DUMMYFUNCTION("""COMPUTED_VALUE"""),"221716")</f>
        <v>221716</v>
      </c>
      <c r="G1637" s="1" t="str">
        <f>IFERROR(__xludf.DUMMYFUNCTION("""COMPUTED_VALUE"""),"น.ส.เบญจพร โพธิสาร")</f>
        <v>น.ส.เบญจพร โพธิสาร</v>
      </c>
      <c r="H1637" s="1" t="str">
        <f>IFERROR(__xludf.DUMMYFUNCTION("""COMPUTED_VALUE"""),"359233")</f>
        <v>359233</v>
      </c>
      <c r="I1637" s="1" t="str">
        <f>IFERROR(__xludf.DUMMYFUNCTION("""COMPUTED_VALUE"""),"น.ส.ปยุดา คำมีอ่อน")</f>
        <v>น.ส.ปยุดา คำมีอ่อน</v>
      </c>
      <c r="J1637" s="3">
        <f>IFERROR(__xludf.DUMMYFUNCTION("""COMPUTED_VALUE"""),2452376.0)</f>
        <v>2452376</v>
      </c>
      <c r="K1637" s="3" t="str">
        <f>IFERROR(__xludf.DUMMYFUNCTION("""COMPUTED_VALUE"""),"นายภาคภูมิ ทวีกุล")</f>
        <v>นายภาคภูมิ ทวีกุล</v>
      </c>
      <c r="L1637" s="1" t="str">
        <f>IFERROR(__xludf.DUMMYFUNCTION("""COMPUTED_VALUE"""),"08 K.Parkphum T.")</f>
        <v>08 K.Parkphum T.</v>
      </c>
      <c r="M1637" s="1" t="str">
        <f>IFERROR(__xludf.DUMMYFUNCTION("""COMPUTED_VALUE"""),"097-919-5476")</f>
        <v>097-919-5476</v>
      </c>
      <c r="N1637" s="3">
        <f>IFERROR(__xludf.DUMMYFUNCTION("""COMPUTED_VALUE"""),22028.0)</f>
        <v>22028</v>
      </c>
      <c r="O1637" s="3" t="str">
        <f>IFERROR(__xludf.DUMMYFUNCTION("""COMPUTED_VALUE"""),"MBC ทํบมา ระยอง")</f>
        <v>MBC ทํบมา ระยอง</v>
      </c>
      <c r="P1637" s="4">
        <f>IFERROR(__xludf.DUMMYFUNCTION("""COMPUTED_VALUE"""),44341.0)</f>
        <v>44341</v>
      </c>
      <c r="Q1637" s="3" t="str">
        <f>IFERROR(__xludf.DUMMYFUNCTION("""COMPUTED_VALUE"""),"A")</f>
        <v>A</v>
      </c>
      <c r="R1637" s="3" t="str">
        <f>IFERROR(__xludf.DUMMYFUNCTION("""COMPUTED_VALUE"""),"Small Format")</f>
        <v>Small Format</v>
      </c>
      <c r="S1637" s="3" t="str">
        <f>IFERROR(__xludf.DUMMYFUNCTION("""COMPUTED_VALUE"""),"BCM")</f>
        <v>BCM</v>
      </c>
      <c r="T1637" s="3" t="str">
        <f>IFERROR(__xludf.DUMMYFUNCTION("""COMPUTED_VALUE"""),"#N/A")</f>
        <v>#N/A</v>
      </c>
      <c r="U1637" s="3" t="str">
        <f>IFERROR(__xludf.DUMMYFUNCTION("""COMPUTED_VALUE"""),"#N/A")</f>
        <v>#N/A</v>
      </c>
      <c r="V1637" s="3" t="str">
        <f>IFERROR(__xludf.DUMMYFUNCTION("""COMPUTED_VALUE"""),"N")</f>
        <v>N</v>
      </c>
      <c r="W1637" s="3">
        <f>IFERROR(__xludf.DUMMYFUNCTION("""COMPUTED_VALUE"""),210346.0)</f>
        <v>210346</v>
      </c>
      <c r="X1637" s="3" t="str">
        <f>IFERROR(__xludf.DUMMYFUNCTION("""COMPUTED_VALUE"""),"214/11 หมู่8 ตำบลชากบก อำเภอบ้านค่าย จังหวัดระยอง 21120")</f>
        <v>214/11 หมู่8 ตำบลชากบก อำเภอบ้านค่าย จังหวัดระยอง 21120</v>
      </c>
      <c r="Y1637" s="3"/>
      <c r="Z1637" s="3" t="str">
        <f>IFERROR(__xludf.DUMMYFUNCTION("""COMPUTED_VALUE"""),"ชากบก")</f>
        <v>ชากบก</v>
      </c>
      <c r="AA1637" s="3" t="str">
        <f>IFERROR(__xludf.DUMMYFUNCTION("""COMPUTED_VALUE"""),"บ้านค่าย")</f>
        <v>บ้านค่าย</v>
      </c>
      <c r="AB1637" s="3" t="str">
        <f>IFERROR(__xludf.DUMMYFUNCTION("""COMPUTED_VALUE"""),"ระยอง")</f>
        <v>ระยอง</v>
      </c>
      <c r="AC1637" s="3">
        <f>IFERROR(__xludf.DUMMYFUNCTION("""COMPUTED_VALUE"""),21120.0)</f>
        <v>21120</v>
      </c>
      <c r="AD1637" s="3">
        <f>IFERROR(__xludf.DUMMYFUNCTION("""COMPUTED_VALUE"""),12.7724)</f>
        <v>12.7724</v>
      </c>
      <c r="AE1637" s="3">
        <f>IFERROR(__xludf.DUMMYFUNCTION("""COMPUTED_VALUE"""),101.326171)</f>
        <v>101.326171</v>
      </c>
      <c r="AF1637" s="3" t="str">
        <f>IFERROR(__xludf.DUMMYFUNCTION("""COMPUTED_VALUE"""),"MBC ตลาดนัดบุญศรี(ชากกอไผ่) ระยอง-22323")</f>
        <v>MBC ตลาดนัดบุญศรี(ชากกอไผ่) ระยอง-22323</v>
      </c>
      <c r="AG1637" s="3" t="str">
        <f>IFERROR(__xludf.DUMMYFUNCTION("""COMPUTED_VALUE"""),"ตะวันออก")</f>
        <v>ตะวันออก</v>
      </c>
      <c r="AH1637" s="3" t="str">
        <f>IFERROR(__xludf.DUMMYFUNCTION("""COMPUTED_VALUE"""),"#N/A")</f>
        <v>#N/A</v>
      </c>
      <c r="AI1637" s="3" t="str">
        <f>IFERROR(__xludf.DUMMYFUNCTION("""COMPUTED_VALUE"""),"Out of warranty")</f>
        <v>Out of warranty</v>
      </c>
      <c r="AJ1637" s="3">
        <f>IFERROR(__xludf.DUMMYFUNCTION("""COMPUTED_VALUE"""),56.0)</f>
        <v>56</v>
      </c>
      <c r="AK1637" s="3" t="str">
        <f>IFERROR(__xludf.DUMMYFUNCTION("""COMPUTED_VALUE"""),"MMS08")</f>
        <v>MMS08</v>
      </c>
      <c r="AL1637" s="3"/>
    </row>
    <row r="1638" ht="15.75" customHeight="1">
      <c r="A1638" s="1" t="str">
        <f>IFERROR(__xludf.DUMMYFUNCTION("""COMPUTED_VALUE"""),"22324")</f>
        <v>22324</v>
      </c>
      <c r="B1638" s="2">
        <f>IFERROR(__xludf.DUMMYFUNCTION("""COMPUTED_VALUE"""),22324.0)</f>
        <v>22324</v>
      </c>
      <c r="C1638" s="3" t="str">
        <f>IFERROR(__xludf.DUMMYFUNCTION("""COMPUTED_VALUE"""),"MBC อำเภอปะนาเระ ปัตตานี")</f>
        <v>MBC อำเภอปะนาเระ ปัตตานี</v>
      </c>
      <c r="D1638" s="3" t="str">
        <f>IFERROR(__xludf.DUMMYFUNCTION("""COMPUTED_VALUE"""),"BCM AMPHUR PANARE")</f>
        <v>BCM AMPHUR PANARE</v>
      </c>
      <c r="E1638" s="1" t="str">
        <f>IFERROR(__xludf.DUMMYFUNCTION("""COMPUTED_VALUE"""),"บิ๊กซี MINI")</f>
        <v>บิ๊กซี MINI</v>
      </c>
      <c r="F1638" s="1" t="str">
        <f>IFERROR(__xludf.DUMMYFUNCTION("""COMPUTED_VALUE"""),"250760")</f>
        <v>250760</v>
      </c>
      <c r="G1638" s="1" t="str">
        <f>IFERROR(__xludf.DUMMYFUNCTION("""COMPUTED_VALUE"""),"นายประทวน สาราบรรณ์")</f>
        <v>นายประทวน สาราบรรณ์</v>
      </c>
      <c r="H1638" s="1" t="str">
        <f>IFERROR(__xludf.DUMMYFUNCTION("""COMPUTED_VALUE"""),"006583")</f>
        <v>006583</v>
      </c>
      <c r="I1638" s="1" t="str">
        <f>IFERROR(__xludf.DUMMYFUNCTION("""COMPUTED_VALUE"""),"นายเด่น ยะอิง")</f>
        <v>นายเด่น ยะอิง</v>
      </c>
      <c r="J1638" s="3">
        <f>IFERROR(__xludf.DUMMYFUNCTION("""COMPUTED_VALUE"""),2.0470331E7)</f>
        <v>20470331</v>
      </c>
      <c r="K1638" s="3" t="str">
        <f>IFERROR(__xludf.DUMMYFUNCTION("""COMPUTED_VALUE"""),"นายสมชาย ลักษณะสุวรรณ")</f>
        <v>นายสมชาย ลักษณะสุวรรณ</v>
      </c>
      <c r="L1638" s="1" t="str">
        <f>IFERROR(__xludf.DUMMYFUNCTION("""COMPUTED_VALUE"""),"15 K.Somchai L")</f>
        <v>15 K.Somchai L</v>
      </c>
      <c r="M1638" s="1" t="str">
        <f>IFERROR(__xludf.DUMMYFUNCTION("""COMPUTED_VALUE"""),"0655107372")</f>
        <v>0655107372</v>
      </c>
      <c r="N1638" s="3">
        <f>IFERROR(__xludf.DUMMYFUNCTION("""COMPUTED_VALUE"""),21723.0)</f>
        <v>21723</v>
      </c>
      <c r="O1638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38" s="4">
        <f>IFERROR(__xludf.DUMMYFUNCTION("""COMPUTED_VALUE"""),44339.0)</f>
        <v>44339</v>
      </c>
      <c r="Q1638" s="3" t="str">
        <f>IFERROR(__xludf.DUMMYFUNCTION("""COMPUTED_VALUE"""),"A")</f>
        <v>A</v>
      </c>
      <c r="R1638" s="3" t="str">
        <f>IFERROR(__xludf.DUMMYFUNCTION("""COMPUTED_VALUE"""),"Small Format")</f>
        <v>Small Format</v>
      </c>
      <c r="S1638" s="3" t="str">
        <f>IFERROR(__xludf.DUMMYFUNCTION("""COMPUTED_VALUE"""),"BCM")</f>
        <v>BCM</v>
      </c>
      <c r="T1638" s="3" t="str">
        <f>IFERROR(__xludf.DUMMYFUNCTION("""COMPUTED_VALUE"""),"#N/A")</f>
        <v>#N/A</v>
      </c>
      <c r="U1638" s="3" t="str">
        <f>IFERROR(__xludf.DUMMYFUNCTION("""COMPUTED_VALUE"""),"#N/A")</f>
        <v>#N/A</v>
      </c>
      <c r="V1638" s="3" t="str">
        <f>IFERROR(__xludf.DUMMYFUNCTION("""COMPUTED_VALUE"""),"N")</f>
        <v>N</v>
      </c>
      <c r="W1638" s="3">
        <f>IFERROR(__xludf.DUMMYFUNCTION("""COMPUTED_VALUE"""),210375.0)</f>
        <v>210375</v>
      </c>
      <c r="X1638" s="3" t="str">
        <f>IFERROR(__xludf.DUMMYFUNCTION("""COMPUTED_VALUE"""),"28/3 หมู่3 ตำบลปะนาเระ อำเภอปะนาเระ จังหวัดปัตตานี 94130")</f>
        <v>28/3 หมู่3 ตำบลปะนาเระ อำเภอปะนาเระ จังหวัดปัตตานี 94130</v>
      </c>
      <c r="Y1638" s="3"/>
      <c r="Z1638" s="3" t="str">
        <f>IFERROR(__xludf.DUMMYFUNCTION("""COMPUTED_VALUE"""),"ปะนาเระ")</f>
        <v>ปะนาเระ</v>
      </c>
      <c r="AA1638" s="3" t="str">
        <f>IFERROR(__xludf.DUMMYFUNCTION("""COMPUTED_VALUE"""),"ปะนาเระ")</f>
        <v>ปะนาเระ</v>
      </c>
      <c r="AB1638" s="3" t="str">
        <f>IFERROR(__xludf.DUMMYFUNCTION("""COMPUTED_VALUE"""),"ปัตตานี")</f>
        <v>ปัตตานี</v>
      </c>
      <c r="AC1638" s="3">
        <f>IFERROR(__xludf.DUMMYFUNCTION("""COMPUTED_VALUE"""),94130.0)</f>
        <v>94130</v>
      </c>
      <c r="AD1638" s="3">
        <f>IFERROR(__xludf.DUMMYFUNCTION("""COMPUTED_VALUE"""),6.864454)</f>
        <v>6.864454</v>
      </c>
      <c r="AE1638" s="3">
        <f>IFERROR(__xludf.DUMMYFUNCTION("""COMPUTED_VALUE"""),101.490543)</f>
        <v>101.490543</v>
      </c>
      <c r="AF1638" s="3" t="str">
        <f>IFERROR(__xludf.DUMMYFUNCTION("""COMPUTED_VALUE"""),"MBC อำเภอปะนาเระ ปัตตานี-22324")</f>
        <v>MBC อำเภอปะนาเระ ปัตตานี-22324</v>
      </c>
      <c r="AG1638" s="3" t="str">
        <f>IFERROR(__xludf.DUMMYFUNCTION("""COMPUTED_VALUE"""),"ใต้")</f>
        <v>ใต้</v>
      </c>
      <c r="AH1638" s="3" t="str">
        <f>IFERROR(__xludf.DUMMYFUNCTION("""COMPUTED_VALUE"""),"#N/A")</f>
        <v>#N/A</v>
      </c>
      <c r="AI1638" s="3" t="str">
        <f>IFERROR(__xludf.DUMMYFUNCTION("""COMPUTED_VALUE"""),"Out of warranty")</f>
        <v>Out of warranty</v>
      </c>
      <c r="AJ1638" s="3">
        <f>IFERROR(__xludf.DUMMYFUNCTION("""COMPUTED_VALUE"""),56.0)</f>
        <v>56</v>
      </c>
      <c r="AK1638" s="3" t="str">
        <f>IFERROR(__xludf.DUMMYFUNCTION("""COMPUTED_VALUE"""),"MMS16")</f>
        <v>MMS16</v>
      </c>
      <c r="AL1638" s="3"/>
    </row>
    <row r="1639" ht="15.75" customHeight="1">
      <c r="A1639" s="1" t="str">
        <f>IFERROR(__xludf.DUMMYFUNCTION("""COMPUTED_VALUE"""),"22325")</f>
        <v>22325</v>
      </c>
      <c r="B1639" s="2">
        <f>IFERROR(__xludf.DUMMYFUNCTION("""COMPUTED_VALUE"""),22325.0)</f>
        <v>22325</v>
      </c>
      <c r="C1639" s="3" t="str">
        <f>IFERROR(__xludf.DUMMYFUNCTION("""COMPUTED_VALUE"""),"MBC อ.ยิ่งอ นราธิวาส")</f>
        <v>MBC อ.ยิ่งอ นราธิวาส</v>
      </c>
      <c r="D1639" s="3" t="str">
        <f>IFERROR(__xludf.DUMMYFUNCTION("""COMPUTED_VALUE"""),"BCM AMPHUR YI-NGO")</f>
        <v>BCM AMPHUR YI-NGO</v>
      </c>
      <c r="E1639" s="1" t="str">
        <f>IFERROR(__xludf.DUMMYFUNCTION("""COMPUTED_VALUE"""),"บิ๊กซี MINI")</f>
        <v>บิ๊กซี MINI</v>
      </c>
      <c r="F1639" s="1" t="str">
        <f>IFERROR(__xludf.DUMMYFUNCTION("""COMPUTED_VALUE"""),"250760")</f>
        <v>250760</v>
      </c>
      <c r="G1639" s="1" t="str">
        <f>IFERROR(__xludf.DUMMYFUNCTION("""COMPUTED_VALUE"""),"นายประทวน สาราบรรณ์")</f>
        <v>นายประทวน สาราบรรณ์</v>
      </c>
      <c r="H1639" s="1" t="str">
        <f>IFERROR(__xludf.DUMMYFUNCTION("""COMPUTED_VALUE"""),"006583")</f>
        <v>006583</v>
      </c>
      <c r="I1639" s="1" t="str">
        <f>IFERROR(__xludf.DUMMYFUNCTION("""COMPUTED_VALUE"""),"นายเด่น ยะอิง")</f>
        <v>นายเด่น ยะอิง</v>
      </c>
      <c r="J1639" s="3">
        <f>IFERROR(__xludf.DUMMYFUNCTION("""COMPUTED_VALUE"""),2.0470331E7)</f>
        <v>20470331</v>
      </c>
      <c r="K1639" s="3" t="str">
        <f>IFERROR(__xludf.DUMMYFUNCTION("""COMPUTED_VALUE"""),"นายสมชาย ลักษณะสุวรรณ")</f>
        <v>นายสมชาย ลักษณะสุวรรณ</v>
      </c>
      <c r="L1639" s="1" t="str">
        <f>IFERROR(__xludf.DUMMYFUNCTION("""COMPUTED_VALUE"""),"15 K.Somchai L")</f>
        <v>15 K.Somchai L</v>
      </c>
      <c r="M1639" s="1" t="str">
        <f>IFERROR(__xludf.DUMMYFUNCTION("""COMPUTED_VALUE"""),"0655107372")</f>
        <v>0655107372</v>
      </c>
      <c r="N1639" s="3">
        <f>IFERROR(__xludf.DUMMYFUNCTION("""COMPUTED_VALUE"""),21723.0)</f>
        <v>21723</v>
      </c>
      <c r="O1639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39" s="4">
        <f>IFERROR(__xludf.DUMMYFUNCTION("""COMPUTED_VALUE"""),44354.0)</f>
        <v>44354</v>
      </c>
      <c r="Q1639" s="3" t="str">
        <f>IFERROR(__xludf.DUMMYFUNCTION("""COMPUTED_VALUE"""),"A")</f>
        <v>A</v>
      </c>
      <c r="R1639" s="3" t="str">
        <f>IFERROR(__xludf.DUMMYFUNCTION("""COMPUTED_VALUE"""),"Small Format")</f>
        <v>Small Format</v>
      </c>
      <c r="S1639" s="3" t="str">
        <f>IFERROR(__xludf.DUMMYFUNCTION("""COMPUTED_VALUE"""),"BCM")</f>
        <v>BCM</v>
      </c>
      <c r="T1639" s="3" t="str">
        <f>IFERROR(__xludf.DUMMYFUNCTION("""COMPUTED_VALUE"""),"#N/A")</f>
        <v>#N/A</v>
      </c>
      <c r="U1639" s="3" t="str">
        <f>IFERROR(__xludf.DUMMYFUNCTION("""COMPUTED_VALUE"""),"#N/A")</f>
        <v>#N/A</v>
      </c>
      <c r="V1639" s="3" t="str">
        <f>IFERROR(__xludf.DUMMYFUNCTION("""COMPUTED_VALUE"""),"N")</f>
        <v>N</v>
      </c>
      <c r="W1639" s="3">
        <f>IFERROR(__xludf.DUMMYFUNCTION("""COMPUTED_VALUE"""),210356.0)</f>
        <v>210356</v>
      </c>
      <c r="X1639" s="3" t="str">
        <f>IFERROR(__xludf.DUMMYFUNCTION("""COMPUTED_VALUE"""),"114/2 หมู่3 ถนนรามโกมุท ตำบลยิ่งอ อำเภอยิ่งอ จังหวัดนราธิวาส 96180")</f>
        <v>114/2 หมู่3 ถนนรามโกมุท ตำบลยิ่งอ อำเภอยิ่งอ จังหวัดนราธิวาส 96180</v>
      </c>
      <c r="Y1639" s="3" t="str">
        <f>IFERROR(__xludf.DUMMYFUNCTION("""COMPUTED_VALUE"""),"รามโกมุท")</f>
        <v>รามโกมุท</v>
      </c>
      <c r="Z1639" s="3" t="str">
        <f>IFERROR(__xludf.DUMMYFUNCTION("""COMPUTED_VALUE"""),"ยี่งอ")</f>
        <v>ยี่งอ</v>
      </c>
      <c r="AA1639" s="3" t="str">
        <f>IFERROR(__xludf.DUMMYFUNCTION("""COMPUTED_VALUE"""),"ยี่งอ")</f>
        <v>ยี่งอ</v>
      </c>
      <c r="AB1639" s="3" t="str">
        <f>IFERROR(__xludf.DUMMYFUNCTION("""COMPUTED_VALUE"""),"นราธิวาส")</f>
        <v>นราธิวาส</v>
      </c>
      <c r="AC1639" s="3">
        <f>IFERROR(__xludf.DUMMYFUNCTION("""COMPUTED_VALUE"""),96180.0)</f>
        <v>96180</v>
      </c>
      <c r="AD1639" s="3">
        <f>IFERROR(__xludf.DUMMYFUNCTION("""COMPUTED_VALUE"""),6.405986)</f>
        <v>6.405986</v>
      </c>
      <c r="AE1639" s="3">
        <f>IFERROR(__xludf.DUMMYFUNCTION("""COMPUTED_VALUE"""),101.704861)</f>
        <v>101.704861</v>
      </c>
      <c r="AF1639" s="3" t="str">
        <f>IFERROR(__xludf.DUMMYFUNCTION("""COMPUTED_VALUE"""),"MBC อ.ยิ่งอ นราธิวาส-22325")</f>
        <v>MBC อ.ยิ่งอ นราธิวาส-22325</v>
      </c>
      <c r="AG1639" s="3" t="str">
        <f>IFERROR(__xludf.DUMMYFUNCTION("""COMPUTED_VALUE"""),"ใต้")</f>
        <v>ใต้</v>
      </c>
      <c r="AH1639" s="3" t="str">
        <f>IFERROR(__xludf.DUMMYFUNCTION("""COMPUTED_VALUE"""),"#N/A")</f>
        <v>#N/A</v>
      </c>
      <c r="AI1639" s="3" t="str">
        <f>IFERROR(__xludf.DUMMYFUNCTION("""COMPUTED_VALUE"""),"Out of warranty")</f>
        <v>Out of warranty</v>
      </c>
      <c r="AJ1639" s="3">
        <f>IFERROR(__xludf.DUMMYFUNCTION("""COMPUTED_VALUE"""),56.0)</f>
        <v>56</v>
      </c>
      <c r="AK1639" s="3" t="str">
        <f>IFERROR(__xludf.DUMMYFUNCTION("""COMPUTED_VALUE"""),"MMS16")</f>
        <v>MMS16</v>
      </c>
      <c r="AL1639" s="3"/>
    </row>
    <row r="1640" ht="15.75" customHeight="1">
      <c r="A1640" s="1" t="str">
        <f>IFERROR(__xludf.DUMMYFUNCTION("""COMPUTED_VALUE"""),"22326")</f>
        <v>22326</v>
      </c>
      <c r="B1640" s="2">
        <f>IFERROR(__xludf.DUMMYFUNCTION("""COMPUTED_VALUE"""),22326.0)</f>
        <v>22326</v>
      </c>
      <c r="C1640" s="3" t="str">
        <f>IFERROR(__xludf.DUMMYFUNCTION("""COMPUTED_VALUE"""),"MBC อ.บันนังสตา ยะลา")</f>
        <v>MBC อ.บันนังสตา ยะลา</v>
      </c>
      <c r="D1640" s="3" t="str">
        <f>IFERROR(__xludf.DUMMYFUNCTION("""COMPUTED_VALUE"""),"BCM AMPHUR BANNANG SATA")</f>
        <v>BCM AMPHUR BANNANG SATA</v>
      </c>
      <c r="E1640" s="1" t="str">
        <f>IFERROR(__xludf.DUMMYFUNCTION("""COMPUTED_VALUE"""),"บิ๊กซี MINI")</f>
        <v>บิ๊กซี MINI</v>
      </c>
      <c r="F1640" s="1" t="str">
        <f>IFERROR(__xludf.DUMMYFUNCTION("""COMPUTED_VALUE"""),"250760")</f>
        <v>250760</v>
      </c>
      <c r="G1640" s="1" t="str">
        <f>IFERROR(__xludf.DUMMYFUNCTION("""COMPUTED_VALUE"""),"นายประทวน สาราบรรณ์")</f>
        <v>นายประทวน สาราบรรณ์</v>
      </c>
      <c r="H1640" s="1" t="str">
        <f>IFERROR(__xludf.DUMMYFUNCTION("""COMPUTED_VALUE"""),"485279")</f>
        <v>485279</v>
      </c>
      <c r="I1640" s="1" t="str">
        <f>IFERROR(__xludf.DUMMYFUNCTION("""COMPUTED_VALUE"""),"นายสิริพงศ์ ชูชื่น")</f>
        <v>นายสิริพงศ์ ชูชื่น</v>
      </c>
      <c r="J1640" s="3">
        <f>IFERROR(__xludf.DUMMYFUNCTION("""COMPUTED_VALUE"""),2.0470331E7)</f>
        <v>20470331</v>
      </c>
      <c r="K1640" s="3" t="str">
        <f>IFERROR(__xludf.DUMMYFUNCTION("""COMPUTED_VALUE"""),"นายสมชาย ลักษณะสุวรรณ")</f>
        <v>นายสมชาย ลักษณะสุวรรณ</v>
      </c>
      <c r="L1640" s="1" t="str">
        <f>IFERROR(__xludf.DUMMYFUNCTION("""COMPUTED_VALUE"""),"15 K.Somchai L")</f>
        <v>15 K.Somchai L</v>
      </c>
      <c r="M1640" s="1" t="str">
        <f>IFERROR(__xludf.DUMMYFUNCTION("""COMPUTED_VALUE"""),"0655107372")</f>
        <v>0655107372</v>
      </c>
      <c r="N1640" s="3">
        <f>IFERROR(__xludf.DUMMYFUNCTION("""COMPUTED_VALUE"""),21723.0)</f>
        <v>21723</v>
      </c>
      <c r="O1640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40" s="4">
        <f>IFERROR(__xludf.DUMMYFUNCTION("""COMPUTED_VALUE"""),44354.0)</f>
        <v>44354</v>
      </c>
      <c r="Q1640" s="3" t="str">
        <f>IFERROR(__xludf.DUMMYFUNCTION("""COMPUTED_VALUE"""),"A")</f>
        <v>A</v>
      </c>
      <c r="R1640" s="3" t="str">
        <f>IFERROR(__xludf.DUMMYFUNCTION("""COMPUTED_VALUE"""),"Small Format")</f>
        <v>Small Format</v>
      </c>
      <c r="S1640" s="3" t="str">
        <f>IFERROR(__xludf.DUMMYFUNCTION("""COMPUTED_VALUE"""),"BCM")</f>
        <v>BCM</v>
      </c>
      <c r="T1640" s="3" t="str">
        <f>IFERROR(__xludf.DUMMYFUNCTION("""COMPUTED_VALUE"""),"#N/A")</f>
        <v>#N/A</v>
      </c>
      <c r="U1640" s="3" t="str">
        <f>IFERROR(__xludf.DUMMYFUNCTION("""COMPUTED_VALUE"""),"#N/A")</f>
        <v>#N/A</v>
      </c>
      <c r="V1640" s="3" t="str">
        <f>IFERROR(__xludf.DUMMYFUNCTION("""COMPUTED_VALUE"""),"N")</f>
        <v>N</v>
      </c>
      <c r="W1640" s="3">
        <f>IFERROR(__xludf.DUMMYFUNCTION("""COMPUTED_VALUE"""),210364.0)</f>
        <v>210364</v>
      </c>
      <c r="X1640" s="3" t="str">
        <f>IFERROR(__xludf.DUMMYFUNCTION("""COMPUTED_VALUE"""),"168/1 หมู่2 ถนนสุขยางค์ ตำบลบันนังสตา อำเภอบันนังสตา จังหวัดยะลา 95130")</f>
        <v>168/1 หมู่2 ถนนสุขยางค์ ตำบลบันนังสตา อำเภอบันนังสตา จังหวัดยะลา 95130</v>
      </c>
      <c r="Y1640" s="3" t="str">
        <f>IFERROR(__xludf.DUMMYFUNCTION("""COMPUTED_VALUE"""),"สุขยางค์")</f>
        <v>สุขยางค์</v>
      </c>
      <c r="Z1640" s="3" t="str">
        <f>IFERROR(__xludf.DUMMYFUNCTION("""COMPUTED_VALUE"""),"บันนังสตา")</f>
        <v>บันนังสตา</v>
      </c>
      <c r="AA1640" s="3" t="str">
        <f>IFERROR(__xludf.DUMMYFUNCTION("""COMPUTED_VALUE"""),"บันนังสตา")</f>
        <v>บันนังสตา</v>
      </c>
      <c r="AB1640" s="3" t="str">
        <f>IFERROR(__xludf.DUMMYFUNCTION("""COMPUTED_VALUE"""),"ยะลา")</f>
        <v>ยะลา</v>
      </c>
      <c r="AC1640" s="3">
        <f>IFERROR(__xludf.DUMMYFUNCTION("""COMPUTED_VALUE"""),95130.0)</f>
        <v>95130</v>
      </c>
      <c r="AD1640" s="3">
        <f>IFERROR(__xludf.DUMMYFUNCTION("""COMPUTED_VALUE"""),6.264982)</f>
        <v>6.264982</v>
      </c>
      <c r="AE1640" s="3">
        <f>IFERROR(__xludf.DUMMYFUNCTION("""COMPUTED_VALUE"""),101.26101)</f>
        <v>101.26101</v>
      </c>
      <c r="AF1640" s="3" t="str">
        <f>IFERROR(__xludf.DUMMYFUNCTION("""COMPUTED_VALUE"""),"MBC อ.บันนังสตา ยะลา-22326")</f>
        <v>MBC อ.บันนังสตา ยะลา-22326</v>
      </c>
      <c r="AG1640" s="3" t="str">
        <f>IFERROR(__xludf.DUMMYFUNCTION("""COMPUTED_VALUE"""),"ใต้")</f>
        <v>ใต้</v>
      </c>
      <c r="AH1640" s="3" t="str">
        <f>IFERROR(__xludf.DUMMYFUNCTION("""COMPUTED_VALUE"""),"#N/A")</f>
        <v>#N/A</v>
      </c>
      <c r="AI1640" s="3" t="str">
        <f>IFERROR(__xludf.DUMMYFUNCTION("""COMPUTED_VALUE"""),"Out of warranty")</f>
        <v>Out of warranty</v>
      </c>
      <c r="AJ1640" s="3">
        <f>IFERROR(__xludf.DUMMYFUNCTION("""COMPUTED_VALUE"""),56.0)</f>
        <v>56</v>
      </c>
      <c r="AK1640" s="3" t="str">
        <f>IFERROR(__xludf.DUMMYFUNCTION("""COMPUTED_VALUE"""),"MMS16")</f>
        <v>MMS16</v>
      </c>
      <c r="AL1640" s="3"/>
    </row>
    <row r="1641" ht="15.75" customHeight="1">
      <c r="A1641" s="1" t="str">
        <f>IFERROR(__xludf.DUMMYFUNCTION("""COMPUTED_VALUE"""),"22327")</f>
        <v>22327</v>
      </c>
      <c r="B1641" s="2">
        <f>IFERROR(__xludf.DUMMYFUNCTION("""COMPUTED_VALUE"""),22327.0)</f>
        <v>22327</v>
      </c>
      <c r="C1641" s="3" t="str">
        <f>IFERROR(__xludf.DUMMYFUNCTION("""COMPUTED_VALUE"""),"MBC มหาชนะชัย ยโสธร")</f>
        <v>MBC มหาชนะชัย ยโสธร</v>
      </c>
      <c r="D1641" s="3" t="str">
        <f>IFERROR(__xludf.DUMMYFUNCTION("""COMPUTED_VALUE"""),"BCM MAHACHANA CHAI")</f>
        <v>BCM MAHACHANA CHAI</v>
      </c>
      <c r="E1641" s="1" t="str">
        <f>IFERROR(__xludf.DUMMYFUNCTION("""COMPUTED_VALUE"""),"บิ๊กซี MINI")</f>
        <v>บิ๊กซี MINI</v>
      </c>
      <c r="F1641" s="1" t="str">
        <f>IFERROR(__xludf.DUMMYFUNCTION("""COMPUTED_VALUE"""),"291105")</f>
        <v>291105</v>
      </c>
      <c r="G1641" s="1" t="str">
        <f>IFERROR(__xludf.DUMMYFUNCTION("""COMPUTED_VALUE"""),"นายสราวุฒิ พณิชยกุล")</f>
        <v>นายสราวุฒิ พณิชยกุล</v>
      </c>
      <c r="H1641" s="1" t="str">
        <f>IFERROR(__xludf.DUMMYFUNCTION("""COMPUTED_VALUE"""),"398285")</f>
        <v>398285</v>
      </c>
      <c r="I1641" s="1" t="str">
        <f>IFERROR(__xludf.DUMMYFUNCTION("""COMPUTED_VALUE"""),"น.ส.พชิรา บุญจูง")</f>
        <v>น.ส.พชิรา บุญจูง</v>
      </c>
      <c r="J1641" s="3">
        <f>IFERROR(__xludf.DUMMYFUNCTION("""COMPUTED_VALUE"""),2454781.0)</f>
        <v>2454781</v>
      </c>
      <c r="K1641" s="3" t="str">
        <f>IFERROR(__xludf.DUMMYFUNCTION("""COMPUTED_VALUE"""),"นายฌานกฤช นันทะโคต")</f>
        <v>นายฌานกฤช นันทะโคต</v>
      </c>
      <c r="L1641" s="1" t="str">
        <f>IFERROR(__xludf.DUMMYFUNCTION("""COMPUTED_VALUE"""),"05 K.Chanakrit N.")</f>
        <v>05 K.Chanakrit N.</v>
      </c>
      <c r="M1641" s="1" t="str">
        <f>IFERROR(__xludf.DUMMYFUNCTION("""COMPUTED_VALUE"""),"090-978-9785 ,065-929-1320")</f>
        <v>090-978-9785 ,065-929-1320</v>
      </c>
      <c r="N1641" s="3">
        <f>IFERROR(__xludf.DUMMYFUNCTION("""COMPUTED_VALUE"""),22195.0)</f>
        <v>22195</v>
      </c>
      <c r="O1641" s="3" t="str">
        <f>IFERROR(__xludf.DUMMYFUNCTION("""COMPUTED_VALUE"""),"MBC กันทรลักษ์ ศรีสะเกษ")</f>
        <v>MBC กันทรลักษ์ ศรีสะเกษ</v>
      </c>
      <c r="P1641" s="4">
        <f>IFERROR(__xludf.DUMMYFUNCTION("""COMPUTED_VALUE"""),44365.0)</f>
        <v>44365</v>
      </c>
      <c r="Q1641" s="3" t="str">
        <f>IFERROR(__xludf.DUMMYFUNCTION("""COMPUTED_VALUE"""),"A")</f>
        <v>A</v>
      </c>
      <c r="R1641" s="3" t="str">
        <f>IFERROR(__xludf.DUMMYFUNCTION("""COMPUTED_VALUE"""),"Small Format")</f>
        <v>Small Format</v>
      </c>
      <c r="S1641" s="3" t="str">
        <f>IFERROR(__xludf.DUMMYFUNCTION("""COMPUTED_VALUE"""),"BCM")</f>
        <v>BCM</v>
      </c>
      <c r="T1641" s="3" t="str">
        <f>IFERROR(__xludf.DUMMYFUNCTION("""COMPUTED_VALUE"""),"#N/A")</f>
        <v>#N/A</v>
      </c>
      <c r="U1641" s="3" t="str">
        <f>IFERROR(__xludf.DUMMYFUNCTION("""COMPUTED_VALUE"""),"#N/A")</f>
        <v>#N/A</v>
      </c>
      <c r="V1641" s="3" t="str">
        <f>IFERROR(__xludf.DUMMYFUNCTION("""COMPUTED_VALUE"""),"N")</f>
        <v>N</v>
      </c>
      <c r="W1641" s="3">
        <f>IFERROR(__xludf.DUMMYFUNCTION("""COMPUTED_VALUE"""),210354.0)</f>
        <v>210354</v>
      </c>
      <c r="X1641" s="3" t="str">
        <f>IFERROR(__xludf.DUMMYFUNCTION("""COMPUTED_VALUE"""),"102 136 หมู่2 ตำบลฟ้าหยาด อำเภอมหาชนะชัย จังหวัดยโสธร 35150")</f>
        <v>102 136 หมู่2 ตำบลฟ้าหยาด อำเภอมหาชนะชัย จังหวัดยโสธร 35150</v>
      </c>
      <c r="Y1641" s="3"/>
      <c r="Z1641" s="3" t="str">
        <f>IFERROR(__xludf.DUMMYFUNCTION("""COMPUTED_VALUE"""),"ฟ้าหยาด")</f>
        <v>ฟ้าหยาด</v>
      </c>
      <c r="AA1641" s="3" t="str">
        <f>IFERROR(__xludf.DUMMYFUNCTION("""COMPUTED_VALUE"""),"หมาชนะชัย")</f>
        <v>หมาชนะชัย</v>
      </c>
      <c r="AB1641" s="3" t="str">
        <f>IFERROR(__xludf.DUMMYFUNCTION("""COMPUTED_VALUE"""),"ยโสธร")</f>
        <v>ยโสธร</v>
      </c>
      <c r="AC1641" s="3">
        <f>IFERROR(__xludf.DUMMYFUNCTION("""COMPUTED_VALUE"""),35150.0)</f>
        <v>35150</v>
      </c>
      <c r="AD1641" s="3">
        <f>IFERROR(__xludf.DUMMYFUNCTION("""COMPUTED_VALUE"""),15.527576)</f>
        <v>15.527576</v>
      </c>
      <c r="AE1641" s="3">
        <f>IFERROR(__xludf.DUMMYFUNCTION("""COMPUTED_VALUE"""),104.241535)</f>
        <v>104.241535</v>
      </c>
      <c r="AF1641" s="3" t="str">
        <f>IFERROR(__xludf.DUMMYFUNCTION("""COMPUTED_VALUE"""),"MBC มหาชนะชัย ยโสธร-22327")</f>
        <v>MBC มหาชนะชัย ยโสธร-22327</v>
      </c>
      <c r="AG1641" s="3" t="str">
        <f>IFERROR(__xludf.DUMMYFUNCTION("""COMPUTED_VALUE"""),"ตะวันออกเฉียงเหนือ")</f>
        <v>ตะวันออกเฉียงเหนือ</v>
      </c>
      <c r="AH1641" s="3" t="str">
        <f>IFERROR(__xludf.DUMMYFUNCTION("""COMPUTED_VALUE"""),"#N/A")</f>
        <v>#N/A</v>
      </c>
      <c r="AI1641" s="3" t="str">
        <f>IFERROR(__xludf.DUMMYFUNCTION("""COMPUTED_VALUE"""),"Out of warranty")</f>
        <v>Out of warranty</v>
      </c>
      <c r="AJ1641" s="3">
        <f>IFERROR(__xludf.DUMMYFUNCTION("""COMPUTED_VALUE"""),56.0)</f>
        <v>56</v>
      </c>
      <c r="AK1641" s="3" t="str">
        <f>IFERROR(__xludf.DUMMYFUNCTION("""COMPUTED_VALUE"""),"MMS13")</f>
        <v>MMS13</v>
      </c>
      <c r="AL1641" s="3"/>
    </row>
    <row r="1642" ht="15.75" customHeight="1">
      <c r="A1642" s="1" t="str">
        <f>IFERROR(__xludf.DUMMYFUNCTION("""COMPUTED_VALUE"""),"22328")</f>
        <v>22328</v>
      </c>
      <c r="B1642" s="2">
        <f>IFERROR(__xludf.DUMMYFUNCTION("""COMPUTED_VALUE"""),22328.0)</f>
        <v>22328</v>
      </c>
      <c r="C1642" s="3" t="str">
        <f>IFERROR(__xludf.DUMMYFUNCTION("""COMPUTED_VALUE"""),"MBC เจริญศิลป์ สกลนคร")</f>
        <v>MBC เจริญศิลป์ สกลนคร</v>
      </c>
      <c r="D1642" s="3" t="str">
        <f>IFERROR(__xludf.DUMMYFUNCTION("""COMPUTED_VALUE"""),"BCM CHAROEN SIN")</f>
        <v>BCM CHAROEN SIN</v>
      </c>
      <c r="E1642" s="1" t="str">
        <f>IFERROR(__xludf.DUMMYFUNCTION("""COMPUTED_VALUE"""),"บิ๊กซี MINI")</f>
        <v>บิ๊กซี MINI</v>
      </c>
      <c r="F1642" s="1" t="str">
        <f>IFERROR(__xludf.DUMMYFUNCTION("""COMPUTED_VALUE"""),"291105")</f>
        <v>291105</v>
      </c>
      <c r="G1642" s="1" t="str">
        <f>IFERROR(__xludf.DUMMYFUNCTION("""COMPUTED_VALUE"""),"นายสราวุฒิ พณิชยกุล")</f>
        <v>นายสราวุฒิ พณิชยกุล</v>
      </c>
      <c r="H1642" s="1" t="str">
        <f>IFERROR(__xludf.DUMMYFUNCTION("""COMPUTED_VALUE"""),"392885")</f>
        <v>392885</v>
      </c>
      <c r="I1642" s="1" t="str">
        <f>IFERROR(__xludf.DUMMYFUNCTION("""COMPUTED_VALUE"""),"น.ส.วราพร จันปลิว")</f>
        <v>น.ส.วราพร จันปลิว</v>
      </c>
      <c r="J1642" s="3">
        <f>IFERROR(__xludf.DUMMYFUNCTION("""COMPUTED_VALUE"""),296868.0)</f>
        <v>296868</v>
      </c>
      <c r="K1642" s="3" t="str">
        <f>IFERROR(__xludf.DUMMYFUNCTION("""COMPUTED_VALUE"""),"นายพีระพงษ์ แก้วดวงดี")</f>
        <v>นายพีระพงษ์ แก้วดวงดี</v>
      </c>
      <c r="L1642" s="1" t="str">
        <f>IFERROR(__xludf.DUMMYFUNCTION("""COMPUTED_VALUE"""),"03 K.Peerapong K.")</f>
        <v>03 K.Peerapong K.</v>
      </c>
      <c r="M1642" s="1" t="str">
        <f>IFERROR(__xludf.DUMMYFUNCTION("""COMPUTED_VALUE"""),"089-002-6599")</f>
        <v>089-002-6599</v>
      </c>
      <c r="N1642" s="3">
        <f>IFERROR(__xludf.DUMMYFUNCTION("""COMPUTED_VALUE"""),21946.0)</f>
        <v>21946</v>
      </c>
      <c r="O1642" s="3" t="str">
        <f>IFERROR(__xludf.DUMMYFUNCTION("""COMPUTED_VALUE"""),"MBC เซกา บึงกาฬ")</f>
        <v>MBC เซกา บึงกาฬ</v>
      </c>
      <c r="P1642" s="4">
        <f>IFERROR(__xludf.DUMMYFUNCTION("""COMPUTED_VALUE"""),44371.0)</f>
        <v>44371</v>
      </c>
      <c r="Q1642" s="3" t="str">
        <f>IFERROR(__xludf.DUMMYFUNCTION("""COMPUTED_VALUE"""),"A")</f>
        <v>A</v>
      </c>
      <c r="R1642" s="3" t="str">
        <f>IFERROR(__xludf.DUMMYFUNCTION("""COMPUTED_VALUE"""),"Small Format")</f>
        <v>Small Format</v>
      </c>
      <c r="S1642" s="3" t="str">
        <f>IFERROR(__xludf.DUMMYFUNCTION("""COMPUTED_VALUE"""),"BCM")</f>
        <v>BCM</v>
      </c>
      <c r="T1642" s="3" t="str">
        <f>IFERROR(__xludf.DUMMYFUNCTION("""COMPUTED_VALUE"""),"#N/A")</f>
        <v>#N/A</v>
      </c>
      <c r="U1642" s="3" t="str">
        <f>IFERROR(__xludf.DUMMYFUNCTION("""COMPUTED_VALUE"""),"#N/A")</f>
        <v>#N/A</v>
      </c>
      <c r="V1642" s="3" t="str">
        <f>IFERROR(__xludf.DUMMYFUNCTION("""COMPUTED_VALUE"""),"N")</f>
        <v>N</v>
      </c>
      <c r="W1642" s="3">
        <f>IFERROR(__xludf.DUMMYFUNCTION("""COMPUTED_VALUE"""),210360.0)</f>
        <v>210360</v>
      </c>
      <c r="X1642" s="3" t="str">
        <f>IFERROR(__xludf.DUMMYFUNCTION("""COMPUTED_VALUE"""),"784 หมู่2 ถนนคำภูแสน ตำบลเจริญศิลป์ อำเภอเจริญศิลป์ จังหวัดสกลนคร 47290")</f>
        <v>784 หมู่2 ถนนคำภูแสน ตำบลเจริญศิลป์ อำเภอเจริญศิลป์ จังหวัดสกลนคร 47290</v>
      </c>
      <c r="Y1642" s="3" t="str">
        <f>IFERROR(__xludf.DUMMYFUNCTION("""COMPUTED_VALUE"""),"คำภูแสน")</f>
        <v>คำภูแสน</v>
      </c>
      <c r="Z1642" s="3" t="str">
        <f>IFERROR(__xludf.DUMMYFUNCTION("""COMPUTED_VALUE"""),"เจริญศิลป์")</f>
        <v>เจริญศิลป์</v>
      </c>
      <c r="AA1642" s="3" t="str">
        <f>IFERROR(__xludf.DUMMYFUNCTION("""COMPUTED_VALUE"""),"เจริญศิลป์")</f>
        <v>เจริญศิลป์</v>
      </c>
      <c r="AB1642" s="3" t="str">
        <f>IFERROR(__xludf.DUMMYFUNCTION("""COMPUTED_VALUE"""),"สกลนคร")</f>
        <v>สกลนคร</v>
      </c>
      <c r="AC1642" s="3">
        <f>IFERROR(__xludf.DUMMYFUNCTION("""COMPUTED_VALUE"""),47290.0)</f>
        <v>47290</v>
      </c>
      <c r="AD1642" s="3">
        <f>IFERROR(__xludf.DUMMYFUNCTION("""COMPUTED_VALUE"""),17.580744)</f>
        <v>17.580744</v>
      </c>
      <c r="AE1642" s="3">
        <f>IFERROR(__xludf.DUMMYFUNCTION("""COMPUTED_VALUE"""),103.541437)</f>
        <v>103.541437</v>
      </c>
      <c r="AF1642" s="3" t="str">
        <f>IFERROR(__xludf.DUMMYFUNCTION("""COMPUTED_VALUE"""),"MBC เจริญศิลป์ สกลนคร-22328")</f>
        <v>MBC เจริญศิลป์ สกลนคร-22328</v>
      </c>
      <c r="AG1642" s="3" t="str">
        <f>IFERROR(__xludf.DUMMYFUNCTION("""COMPUTED_VALUE"""),"ตะวันออกเฉียงเหนือ")</f>
        <v>ตะวันออกเฉียงเหนือ</v>
      </c>
      <c r="AH1642" s="3" t="str">
        <f>IFERROR(__xludf.DUMMYFUNCTION("""COMPUTED_VALUE"""),"#N/A")</f>
        <v>#N/A</v>
      </c>
      <c r="AI1642" s="3" t="str">
        <f>IFERROR(__xludf.DUMMYFUNCTION("""COMPUTED_VALUE"""),"Out of warranty")</f>
        <v>Out of warranty</v>
      </c>
      <c r="AJ1642" s="3">
        <f>IFERROR(__xludf.DUMMYFUNCTION("""COMPUTED_VALUE"""),55.0)</f>
        <v>55</v>
      </c>
      <c r="AK1642" s="3" t="str">
        <f>IFERROR(__xludf.DUMMYFUNCTION("""COMPUTED_VALUE"""),"MMS12")</f>
        <v>MMS12</v>
      </c>
      <c r="AL1642" s="3"/>
    </row>
    <row r="1643" ht="15.75" customHeight="1">
      <c r="A1643" s="1" t="str">
        <f>IFERROR(__xludf.DUMMYFUNCTION("""COMPUTED_VALUE"""),"22329")</f>
        <v>22329</v>
      </c>
      <c r="B1643" s="2">
        <f>IFERROR(__xludf.DUMMYFUNCTION("""COMPUTED_VALUE"""),22329.0)</f>
        <v>22329</v>
      </c>
      <c r="C1643" s="3" t="str">
        <f>IFERROR(__xludf.DUMMYFUNCTION("""COMPUTED_VALUE"""),"MBC ตลาดตันหยงมัส นราธิวาส")</f>
        <v>MBC ตลาดตันหยงมัส นราธิวาส</v>
      </c>
      <c r="D1643" s="3" t="str">
        <f>IFERROR(__xludf.DUMMYFUNCTION("""COMPUTED_VALUE"""),"BCM TALAD TANYONG MAS")</f>
        <v>BCM TALAD TANYONG MAS</v>
      </c>
      <c r="E1643" s="1" t="str">
        <f>IFERROR(__xludf.DUMMYFUNCTION("""COMPUTED_VALUE"""),"บิ๊กซี MINI")</f>
        <v>บิ๊กซี MINI</v>
      </c>
      <c r="F1643" s="1" t="str">
        <f>IFERROR(__xludf.DUMMYFUNCTION("""COMPUTED_VALUE"""),"250760")</f>
        <v>250760</v>
      </c>
      <c r="G1643" s="1" t="str">
        <f>IFERROR(__xludf.DUMMYFUNCTION("""COMPUTED_VALUE"""),"นายประทวน สาราบรรณ์")</f>
        <v>นายประทวน สาราบรรณ์</v>
      </c>
      <c r="H1643" s="1" t="str">
        <f>IFERROR(__xludf.DUMMYFUNCTION("""COMPUTED_VALUE"""),"006583")</f>
        <v>006583</v>
      </c>
      <c r="I1643" s="1" t="str">
        <f>IFERROR(__xludf.DUMMYFUNCTION("""COMPUTED_VALUE"""),"นายเด่น ยะอิง")</f>
        <v>นายเด่น ยะอิง</v>
      </c>
      <c r="J1643" s="3">
        <f>IFERROR(__xludf.DUMMYFUNCTION("""COMPUTED_VALUE"""),2.0470331E7)</f>
        <v>20470331</v>
      </c>
      <c r="K1643" s="3" t="str">
        <f>IFERROR(__xludf.DUMMYFUNCTION("""COMPUTED_VALUE"""),"นายสมชาย ลักษณะสุวรรณ")</f>
        <v>นายสมชาย ลักษณะสุวรรณ</v>
      </c>
      <c r="L1643" s="1" t="str">
        <f>IFERROR(__xludf.DUMMYFUNCTION("""COMPUTED_VALUE"""),"15 K.Somchai L")</f>
        <v>15 K.Somchai L</v>
      </c>
      <c r="M1643" s="1" t="str">
        <f>IFERROR(__xludf.DUMMYFUNCTION("""COMPUTED_VALUE"""),"0655107372")</f>
        <v>0655107372</v>
      </c>
      <c r="N1643" s="3">
        <f>IFERROR(__xludf.DUMMYFUNCTION("""COMPUTED_VALUE"""),21723.0)</f>
        <v>21723</v>
      </c>
      <c r="O1643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43" s="4">
        <f>IFERROR(__xludf.DUMMYFUNCTION("""COMPUTED_VALUE"""),44365.0)</f>
        <v>44365</v>
      </c>
      <c r="Q1643" s="3" t="str">
        <f>IFERROR(__xludf.DUMMYFUNCTION("""COMPUTED_VALUE"""),"A")</f>
        <v>A</v>
      </c>
      <c r="R1643" s="3" t="str">
        <f>IFERROR(__xludf.DUMMYFUNCTION("""COMPUTED_VALUE"""),"Small Format")</f>
        <v>Small Format</v>
      </c>
      <c r="S1643" s="3" t="str">
        <f>IFERROR(__xludf.DUMMYFUNCTION("""COMPUTED_VALUE"""),"BCM")</f>
        <v>BCM</v>
      </c>
      <c r="T1643" s="3" t="str">
        <f>IFERROR(__xludf.DUMMYFUNCTION("""COMPUTED_VALUE"""),"#N/A")</f>
        <v>#N/A</v>
      </c>
      <c r="U1643" s="3" t="str">
        <f>IFERROR(__xludf.DUMMYFUNCTION("""COMPUTED_VALUE"""),"#N/A")</f>
        <v>#N/A</v>
      </c>
      <c r="V1643" s="3" t="str">
        <f>IFERROR(__xludf.DUMMYFUNCTION("""COMPUTED_VALUE"""),"N")</f>
        <v>N</v>
      </c>
      <c r="W1643" s="3">
        <f>IFERROR(__xludf.DUMMYFUNCTION("""COMPUTED_VALUE"""),210357.0)</f>
        <v>210357</v>
      </c>
      <c r="X1643" s="3" t="str">
        <f>IFERROR(__xludf.DUMMYFUNCTION("""COMPUTED_VALUE"""),"42 หมู่7 ถนนเทศบาล2 ตำบลตันหยงมัส อำเภอระแงะ จังหวัดนราธิวาส 96130")</f>
        <v>42 หมู่7 ถนนเทศบาล2 ตำบลตันหยงมัส อำเภอระแงะ จังหวัดนราธิวาส 96130</v>
      </c>
      <c r="Y1643" s="3" t="str">
        <f>IFERROR(__xludf.DUMMYFUNCTION("""COMPUTED_VALUE"""),"เทศบาล2")</f>
        <v>เทศบาล2</v>
      </c>
      <c r="Z1643" s="3" t="str">
        <f>IFERROR(__xludf.DUMMYFUNCTION("""COMPUTED_VALUE"""),"ตันหยงมัส")</f>
        <v>ตันหยงมัส</v>
      </c>
      <c r="AA1643" s="3" t="str">
        <f>IFERROR(__xludf.DUMMYFUNCTION("""COMPUTED_VALUE"""),"ระแงะ")</f>
        <v>ระแงะ</v>
      </c>
      <c r="AB1643" s="3" t="str">
        <f>IFERROR(__xludf.DUMMYFUNCTION("""COMPUTED_VALUE"""),"นราธิวาส")</f>
        <v>นราธิวาส</v>
      </c>
      <c r="AC1643" s="3">
        <f>IFERROR(__xludf.DUMMYFUNCTION("""COMPUTED_VALUE"""),96130.0)</f>
        <v>96130</v>
      </c>
      <c r="AD1643" s="3">
        <f>IFERROR(__xludf.DUMMYFUNCTION("""COMPUTED_VALUE"""),6.290846)</f>
        <v>6.290846</v>
      </c>
      <c r="AE1643" s="3">
        <f>IFERROR(__xludf.DUMMYFUNCTION("""COMPUTED_VALUE"""),101.713085)</f>
        <v>101.713085</v>
      </c>
      <c r="AF1643" s="3" t="str">
        <f>IFERROR(__xludf.DUMMYFUNCTION("""COMPUTED_VALUE"""),"MBC ตลาดตันหยงมัส นราธิวาส-22329")</f>
        <v>MBC ตลาดตันหยงมัส นราธิวาส-22329</v>
      </c>
      <c r="AG1643" s="3" t="str">
        <f>IFERROR(__xludf.DUMMYFUNCTION("""COMPUTED_VALUE"""),"ใต้")</f>
        <v>ใต้</v>
      </c>
      <c r="AH1643" s="3" t="str">
        <f>IFERROR(__xludf.DUMMYFUNCTION("""COMPUTED_VALUE"""),"#N/A")</f>
        <v>#N/A</v>
      </c>
      <c r="AI1643" s="3" t="str">
        <f>IFERROR(__xludf.DUMMYFUNCTION("""COMPUTED_VALUE"""),"Out of warranty")</f>
        <v>Out of warranty</v>
      </c>
      <c r="AJ1643" s="3">
        <f>IFERROR(__xludf.DUMMYFUNCTION("""COMPUTED_VALUE"""),56.0)</f>
        <v>56</v>
      </c>
      <c r="AK1643" s="3" t="str">
        <f>IFERROR(__xludf.DUMMYFUNCTION("""COMPUTED_VALUE"""),"MMS16")</f>
        <v>MMS16</v>
      </c>
      <c r="AL1643" s="3"/>
    </row>
    <row r="1644" ht="15.75" customHeight="1">
      <c r="A1644" s="1" t="str">
        <f>IFERROR(__xludf.DUMMYFUNCTION("""COMPUTED_VALUE"""),"22330")</f>
        <v>22330</v>
      </c>
      <c r="B1644" s="2">
        <f>IFERROR(__xludf.DUMMYFUNCTION("""COMPUTED_VALUE"""),22330.0)</f>
        <v>22330</v>
      </c>
      <c r="C1644" s="3" t="str">
        <f>IFERROR(__xludf.DUMMYFUNCTION("""COMPUTED_VALUE"""),"MBC อำเภอบาเจาะ นราธิวาส")</f>
        <v>MBC อำเภอบาเจาะ นราธิวาส</v>
      </c>
      <c r="D1644" s="3" t="str">
        <f>IFERROR(__xludf.DUMMYFUNCTION("""COMPUTED_VALUE"""),"BCM AMPHUR BACHO")</f>
        <v>BCM AMPHUR BACHO</v>
      </c>
      <c r="E1644" s="1" t="str">
        <f>IFERROR(__xludf.DUMMYFUNCTION("""COMPUTED_VALUE"""),"บิ๊กซี MINI")</f>
        <v>บิ๊กซี MINI</v>
      </c>
      <c r="F1644" s="1" t="str">
        <f>IFERROR(__xludf.DUMMYFUNCTION("""COMPUTED_VALUE"""),"250760")</f>
        <v>250760</v>
      </c>
      <c r="G1644" s="1" t="str">
        <f>IFERROR(__xludf.DUMMYFUNCTION("""COMPUTED_VALUE"""),"นายประทวน สาราบรรณ์")</f>
        <v>นายประทวน สาราบรรณ์</v>
      </c>
      <c r="H1644" s="1" t="str">
        <f>IFERROR(__xludf.DUMMYFUNCTION("""COMPUTED_VALUE"""),"006583")</f>
        <v>006583</v>
      </c>
      <c r="I1644" s="1" t="str">
        <f>IFERROR(__xludf.DUMMYFUNCTION("""COMPUTED_VALUE"""),"นายเด่น ยะอิง")</f>
        <v>นายเด่น ยะอิง</v>
      </c>
      <c r="J1644" s="3">
        <f>IFERROR(__xludf.DUMMYFUNCTION("""COMPUTED_VALUE"""),2.0470331E7)</f>
        <v>20470331</v>
      </c>
      <c r="K1644" s="3" t="str">
        <f>IFERROR(__xludf.DUMMYFUNCTION("""COMPUTED_VALUE"""),"นายสมชาย ลักษณะสุวรรณ")</f>
        <v>นายสมชาย ลักษณะสุวรรณ</v>
      </c>
      <c r="L1644" s="1" t="str">
        <f>IFERROR(__xludf.DUMMYFUNCTION("""COMPUTED_VALUE"""),"15 K.Somchai L")</f>
        <v>15 K.Somchai L</v>
      </c>
      <c r="M1644" s="1" t="str">
        <f>IFERROR(__xludf.DUMMYFUNCTION("""COMPUTED_VALUE"""),"0655107372")</f>
        <v>0655107372</v>
      </c>
      <c r="N1644" s="3">
        <f>IFERROR(__xludf.DUMMYFUNCTION("""COMPUTED_VALUE"""),21723.0)</f>
        <v>21723</v>
      </c>
      <c r="O1644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44" s="4">
        <f>IFERROR(__xludf.DUMMYFUNCTION("""COMPUTED_VALUE"""),44365.0)</f>
        <v>44365</v>
      </c>
      <c r="Q1644" s="3" t="str">
        <f>IFERROR(__xludf.DUMMYFUNCTION("""COMPUTED_VALUE"""),"A")</f>
        <v>A</v>
      </c>
      <c r="R1644" s="3" t="str">
        <f>IFERROR(__xludf.DUMMYFUNCTION("""COMPUTED_VALUE"""),"Small Format")</f>
        <v>Small Format</v>
      </c>
      <c r="S1644" s="3" t="str">
        <f>IFERROR(__xludf.DUMMYFUNCTION("""COMPUTED_VALUE"""),"BCM")</f>
        <v>BCM</v>
      </c>
      <c r="T1644" s="3" t="str">
        <f>IFERROR(__xludf.DUMMYFUNCTION("""COMPUTED_VALUE"""),"#N/A")</f>
        <v>#N/A</v>
      </c>
      <c r="U1644" s="3" t="str">
        <f>IFERROR(__xludf.DUMMYFUNCTION("""COMPUTED_VALUE"""),"#N/A")</f>
        <v>#N/A</v>
      </c>
      <c r="V1644" s="3" t="str">
        <f>IFERROR(__xludf.DUMMYFUNCTION("""COMPUTED_VALUE"""),"N")</f>
        <v>N</v>
      </c>
      <c r="W1644" s="3">
        <f>IFERROR(__xludf.DUMMYFUNCTION("""COMPUTED_VALUE"""),210363.0)</f>
        <v>210363</v>
      </c>
      <c r="X1644" s="3" t="str">
        <f>IFERROR(__xludf.DUMMYFUNCTION("""COMPUTED_VALUE"""),"189/2 หมู่5 ถนนเพชรเกษม ตำบลบาเจาะ อำเภอบาเจาะ จังหวัดนราธิวาส 96170")</f>
        <v>189/2 หมู่5 ถนนเพชรเกษม ตำบลบาเจาะ อำเภอบาเจาะ จังหวัดนราธิวาส 96170</v>
      </c>
      <c r="Y1644" s="3" t="str">
        <f>IFERROR(__xludf.DUMMYFUNCTION("""COMPUTED_VALUE"""),"เพชรเกษม")</f>
        <v>เพชรเกษม</v>
      </c>
      <c r="Z1644" s="3" t="str">
        <f>IFERROR(__xludf.DUMMYFUNCTION("""COMPUTED_VALUE"""),"บาเจาะ")</f>
        <v>บาเจาะ</v>
      </c>
      <c r="AA1644" s="3" t="str">
        <f>IFERROR(__xludf.DUMMYFUNCTION("""COMPUTED_VALUE"""),"บาเจาะ")</f>
        <v>บาเจาะ</v>
      </c>
      <c r="AB1644" s="3" t="str">
        <f>IFERROR(__xludf.DUMMYFUNCTION("""COMPUTED_VALUE"""),"นราธิวาส")</f>
        <v>นราธิวาส</v>
      </c>
      <c r="AC1644" s="3">
        <f>IFERROR(__xludf.DUMMYFUNCTION("""COMPUTED_VALUE"""),96170.0)</f>
        <v>96170</v>
      </c>
      <c r="AD1644" s="3">
        <f>IFERROR(__xludf.DUMMYFUNCTION("""COMPUTED_VALUE"""),6.515158)</f>
        <v>6.515158</v>
      </c>
      <c r="AE1644" s="3">
        <f>IFERROR(__xludf.DUMMYFUNCTION("""COMPUTED_VALUE"""),101.653953)</f>
        <v>101.653953</v>
      </c>
      <c r="AF1644" s="3" t="str">
        <f>IFERROR(__xludf.DUMMYFUNCTION("""COMPUTED_VALUE"""),"MBC อำเภอบาเจาะ นราธิวาส-22330")</f>
        <v>MBC อำเภอบาเจาะ นราธิวาส-22330</v>
      </c>
      <c r="AG1644" s="3" t="str">
        <f>IFERROR(__xludf.DUMMYFUNCTION("""COMPUTED_VALUE"""),"ใต้")</f>
        <v>ใต้</v>
      </c>
      <c r="AH1644" s="3" t="str">
        <f>IFERROR(__xludf.DUMMYFUNCTION("""COMPUTED_VALUE"""),"#N/A")</f>
        <v>#N/A</v>
      </c>
      <c r="AI1644" s="3" t="str">
        <f>IFERROR(__xludf.DUMMYFUNCTION("""COMPUTED_VALUE"""),"Out of warranty")</f>
        <v>Out of warranty</v>
      </c>
      <c r="AJ1644" s="3">
        <f>IFERROR(__xludf.DUMMYFUNCTION("""COMPUTED_VALUE"""),56.0)</f>
        <v>56</v>
      </c>
      <c r="AK1644" s="3" t="str">
        <f>IFERROR(__xludf.DUMMYFUNCTION("""COMPUTED_VALUE"""),"MMS16")</f>
        <v>MMS16</v>
      </c>
      <c r="AL1644" s="3"/>
    </row>
    <row r="1645" ht="15.75" customHeight="1">
      <c r="A1645" s="1" t="str">
        <f>IFERROR(__xludf.DUMMYFUNCTION("""COMPUTED_VALUE"""),"22331")</f>
        <v>22331</v>
      </c>
      <c r="B1645" s="2">
        <f>IFERROR(__xludf.DUMMYFUNCTION("""COMPUTED_VALUE"""),22331.0)</f>
        <v>22331</v>
      </c>
      <c r="C1645" s="3" t="str">
        <f>IFERROR(__xludf.DUMMYFUNCTION("""COMPUTED_VALUE"""),"MBC บ้านตาก ตาก")</f>
        <v>MBC บ้านตาก ตาก</v>
      </c>
      <c r="D1645" s="3" t="str">
        <f>IFERROR(__xludf.DUMMYFUNCTION("""COMPUTED_VALUE"""),"BCM BAAN TAK")</f>
        <v>BCM BAAN TAK</v>
      </c>
      <c r="E1645" s="1" t="str">
        <f>IFERROR(__xludf.DUMMYFUNCTION("""COMPUTED_VALUE"""),"บิ๊กซี MINI")</f>
        <v>บิ๊กซี MINI</v>
      </c>
      <c r="F1645" s="1" t="str">
        <f>IFERROR(__xludf.DUMMYFUNCTION("""COMPUTED_VALUE"""),"296229")</f>
        <v>296229</v>
      </c>
      <c r="G1645" s="1" t="str">
        <f>IFERROR(__xludf.DUMMYFUNCTION("""COMPUTED_VALUE"""),"นายทนงศักดิ์ บุญมา")</f>
        <v>นายทนงศักดิ์ บุญมา</v>
      </c>
      <c r="H1645" s="1" t="str">
        <f>IFERROR(__xludf.DUMMYFUNCTION("""COMPUTED_VALUE"""),"373680")</f>
        <v>373680</v>
      </c>
      <c r="I1645" s="1" t="str">
        <f>IFERROR(__xludf.DUMMYFUNCTION("""COMPUTED_VALUE"""),"นายวสันต์ พรรณราย")</f>
        <v>นายวสันต์ พรรณราย</v>
      </c>
      <c r="J1645" s="3">
        <f>IFERROR(__xludf.DUMMYFUNCTION("""COMPUTED_VALUE"""),46214.0)</f>
        <v>46214</v>
      </c>
      <c r="K1645" s="3" t="str">
        <f>IFERROR(__xludf.DUMMYFUNCTION("""COMPUTED_VALUE"""),"นายศักดิ์ชัย เด็ดดอกฟ้า")</f>
        <v>นายศักดิ์ชัย เด็ดดอกฟ้า</v>
      </c>
      <c r="L1645" s="1" t="str">
        <f>IFERROR(__xludf.DUMMYFUNCTION("""COMPUTED_VALUE"""),"02 K.Sakchai D")</f>
        <v>02 K.Sakchai D</v>
      </c>
      <c r="M1645" s="1" t="str">
        <f>IFERROR(__xludf.DUMMYFUNCTION("""COMPUTED_VALUE"""),"065-510-7376")</f>
        <v>065-510-7376</v>
      </c>
      <c r="N1645" s="3">
        <f>IFERROR(__xludf.DUMMYFUNCTION("""COMPUTED_VALUE"""),21714.0)</f>
        <v>21714</v>
      </c>
      <c r="O1645" s="3" t="str">
        <f>IFERROR(__xludf.DUMMYFUNCTION("""COMPUTED_VALUE"""),"MBC เอสโซ่ วัดโบสถ์")</f>
        <v>MBC เอสโซ่ วัดโบสถ์</v>
      </c>
      <c r="P1645" s="4">
        <f>IFERROR(__xludf.DUMMYFUNCTION("""COMPUTED_VALUE"""),44368.0)</f>
        <v>44368</v>
      </c>
      <c r="Q1645" s="3" t="str">
        <f>IFERROR(__xludf.DUMMYFUNCTION("""COMPUTED_VALUE"""),"A")</f>
        <v>A</v>
      </c>
      <c r="R1645" s="3" t="str">
        <f>IFERROR(__xludf.DUMMYFUNCTION("""COMPUTED_VALUE"""),"Small Format")</f>
        <v>Small Format</v>
      </c>
      <c r="S1645" s="3" t="str">
        <f>IFERROR(__xludf.DUMMYFUNCTION("""COMPUTED_VALUE"""),"BCM")</f>
        <v>BCM</v>
      </c>
      <c r="T1645" s="3" t="str">
        <f>IFERROR(__xludf.DUMMYFUNCTION("""COMPUTED_VALUE"""),"#N/A")</f>
        <v>#N/A</v>
      </c>
      <c r="U1645" s="3" t="str">
        <f>IFERROR(__xludf.DUMMYFUNCTION("""COMPUTED_VALUE"""),"#N/A")</f>
        <v>#N/A</v>
      </c>
      <c r="V1645" s="3" t="str">
        <f>IFERROR(__xludf.DUMMYFUNCTION("""COMPUTED_VALUE"""),"N")</f>
        <v>N</v>
      </c>
      <c r="W1645" s="3">
        <f>IFERROR(__xludf.DUMMYFUNCTION("""COMPUTED_VALUE"""),210374.0)</f>
        <v>210374</v>
      </c>
      <c r="X1645" s="3" t="str">
        <f>IFERROR(__xludf.DUMMYFUNCTION("""COMPUTED_VALUE"""),"374 หมู่14 ตำบลตากออก อำเภอบ้านตาก จังหวัดตาก 63120")</f>
        <v>374 หมู่14 ตำบลตากออก อำเภอบ้านตาก จังหวัดตาก 63120</v>
      </c>
      <c r="Y1645" s="3"/>
      <c r="Z1645" s="3" t="str">
        <f>IFERROR(__xludf.DUMMYFUNCTION("""COMPUTED_VALUE"""),"ตากออก")</f>
        <v>ตากออก</v>
      </c>
      <c r="AA1645" s="3" t="str">
        <f>IFERROR(__xludf.DUMMYFUNCTION("""COMPUTED_VALUE"""),"บ้านตาก")</f>
        <v>บ้านตาก</v>
      </c>
      <c r="AB1645" s="3" t="str">
        <f>IFERROR(__xludf.DUMMYFUNCTION("""COMPUTED_VALUE"""),"ตาก")</f>
        <v>ตาก</v>
      </c>
      <c r="AC1645" s="3">
        <f>IFERROR(__xludf.DUMMYFUNCTION("""COMPUTED_VALUE"""),63120.0)</f>
        <v>63120</v>
      </c>
      <c r="AD1645" s="3">
        <f>IFERROR(__xludf.DUMMYFUNCTION("""COMPUTED_VALUE"""),17.043193)</f>
        <v>17.043193</v>
      </c>
      <c r="AE1645" s="3">
        <f>IFERROR(__xludf.DUMMYFUNCTION("""COMPUTED_VALUE"""),99.070405)</f>
        <v>99.070405</v>
      </c>
      <c r="AF1645" s="3" t="str">
        <f>IFERROR(__xludf.DUMMYFUNCTION("""COMPUTED_VALUE"""),"MBC บ้านตาก ตาก-22331")</f>
        <v>MBC บ้านตาก ตาก-22331</v>
      </c>
      <c r="AG1645" s="3" t="str">
        <f>IFERROR(__xludf.DUMMYFUNCTION("""COMPUTED_VALUE"""),"ตะวันตก")</f>
        <v>ตะวันตก</v>
      </c>
      <c r="AH1645" s="3" t="str">
        <f>IFERROR(__xludf.DUMMYFUNCTION("""COMPUTED_VALUE"""),"#N/A")</f>
        <v>#N/A</v>
      </c>
      <c r="AI1645" s="3" t="str">
        <f>IFERROR(__xludf.DUMMYFUNCTION("""COMPUTED_VALUE"""),"Out of warranty")</f>
        <v>Out of warranty</v>
      </c>
      <c r="AJ1645" s="3">
        <f>IFERROR(__xludf.DUMMYFUNCTION("""COMPUTED_VALUE"""),55.0)</f>
        <v>55</v>
      </c>
      <c r="AK1645" s="3" t="str">
        <f>IFERROR(__xludf.DUMMYFUNCTION("""COMPUTED_VALUE"""),"MMS10")</f>
        <v>MMS10</v>
      </c>
      <c r="AL1645" s="3"/>
    </row>
    <row r="1646" ht="15.75" customHeight="1">
      <c r="A1646" s="1" t="str">
        <f>IFERROR(__xludf.DUMMYFUNCTION("""COMPUTED_VALUE"""),"22332")</f>
        <v>22332</v>
      </c>
      <c r="B1646" s="2">
        <f>IFERROR(__xludf.DUMMYFUNCTION("""COMPUTED_VALUE"""),22332.0)</f>
        <v>22332</v>
      </c>
      <c r="C1646" s="3" t="str">
        <f>IFERROR(__xludf.DUMMYFUNCTION("""COMPUTED_VALUE"""),"MBC แม่เมาะ ลำปาง")</f>
        <v>MBC แม่เมาะ ลำปาง</v>
      </c>
      <c r="D1646" s="3" t="str">
        <f>IFERROR(__xludf.DUMMYFUNCTION("""COMPUTED_VALUE"""),"BCM MAE MO")</f>
        <v>BCM MAE MO</v>
      </c>
      <c r="E1646" s="1" t="str">
        <f>IFERROR(__xludf.DUMMYFUNCTION("""COMPUTED_VALUE"""),"บิ๊กซี MINI")</f>
        <v>บิ๊กซี MINI</v>
      </c>
      <c r="F1646" s="1" t="str">
        <f>IFERROR(__xludf.DUMMYFUNCTION("""COMPUTED_VALUE"""),"296229")</f>
        <v>296229</v>
      </c>
      <c r="G1646" s="1" t="str">
        <f>IFERROR(__xludf.DUMMYFUNCTION("""COMPUTED_VALUE"""),"นายทนงศักดิ์ บุญมา")</f>
        <v>นายทนงศักดิ์ บุญมา</v>
      </c>
      <c r="H1646" s="1" t="str">
        <f>IFERROR(__xludf.DUMMYFUNCTION("""COMPUTED_VALUE"""),"372826")</f>
        <v>372826</v>
      </c>
      <c r="I1646" s="1" t="str">
        <f>IFERROR(__xludf.DUMMYFUNCTION("""COMPUTED_VALUE"""),"นายพงศกร สุขแก้ว")</f>
        <v>นายพงศกร สุขแก้ว</v>
      </c>
      <c r="J1646" s="3">
        <f>IFERROR(__xludf.DUMMYFUNCTION("""COMPUTED_VALUE"""),2010016.0)</f>
        <v>2010016</v>
      </c>
      <c r="K1646" s="3" t="str">
        <f>IFERROR(__xludf.DUMMYFUNCTION("""COMPUTED_VALUE"""),"นายตวงธรรม ใหม่ยศ")</f>
        <v>นายตวงธรรม ใหม่ยศ</v>
      </c>
      <c r="L1646" s="1" t="str">
        <f>IFERROR(__xludf.DUMMYFUNCTION("""COMPUTED_VALUE"""),"01 K.Tuangtham M.")</f>
        <v>01 K.Tuangtham M.</v>
      </c>
      <c r="M1646" s="1" t="str">
        <f>IFERROR(__xludf.DUMMYFUNCTION("""COMPUTED_VALUE"""),"063-976-595")</f>
        <v>063-976-595</v>
      </c>
      <c r="N1646" s="3">
        <f>IFERROR(__xludf.DUMMYFUNCTION("""COMPUTED_VALUE"""),22574.0)</f>
        <v>22574</v>
      </c>
      <c r="O1646" s="3" t="str">
        <f>IFERROR(__xludf.DUMMYFUNCTION("""COMPUTED_VALUE"""),"BCM ชุมชนศรีชุม ลำปาง")</f>
        <v>BCM ชุมชนศรีชุม ลำปาง</v>
      </c>
      <c r="P1646" s="4">
        <f>IFERROR(__xludf.DUMMYFUNCTION("""COMPUTED_VALUE"""),44386.0)</f>
        <v>44386</v>
      </c>
      <c r="Q1646" s="3" t="str">
        <f>IFERROR(__xludf.DUMMYFUNCTION("""COMPUTED_VALUE"""),"A")</f>
        <v>A</v>
      </c>
      <c r="R1646" s="3" t="str">
        <f>IFERROR(__xludf.DUMMYFUNCTION("""COMPUTED_VALUE"""),"Small Format")</f>
        <v>Small Format</v>
      </c>
      <c r="S1646" s="3" t="str">
        <f>IFERROR(__xludf.DUMMYFUNCTION("""COMPUTED_VALUE"""),"BCM")</f>
        <v>BCM</v>
      </c>
      <c r="T1646" s="3" t="str">
        <f>IFERROR(__xludf.DUMMYFUNCTION("""COMPUTED_VALUE"""),"#N/A")</f>
        <v>#N/A</v>
      </c>
      <c r="U1646" s="3" t="str">
        <f>IFERROR(__xludf.DUMMYFUNCTION("""COMPUTED_VALUE"""),"#N/A")</f>
        <v>#N/A</v>
      </c>
      <c r="V1646" s="3" t="str">
        <f>IFERROR(__xludf.DUMMYFUNCTION("""COMPUTED_VALUE"""),"N")</f>
        <v>N</v>
      </c>
      <c r="W1646" s="3">
        <f>IFERROR(__xludf.DUMMYFUNCTION("""COMPUTED_VALUE"""),210376.0)</f>
        <v>210376</v>
      </c>
      <c r="X1646" s="3" t="str">
        <f>IFERROR(__xludf.DUMMYFUNCTION("""COMPUTED_VALUE"""),"286/1 หมู่7 ตำบลแม่เมาะ อำเภอแม่เมาะ จังหวัดลำปาง 52220")</f>
        <v>286/1 หมู่7 ตำบลแม่เมาะ อำเภอแม่เมาะ จังหวัดลำปาง 52220</v>
      </c>
      <c r="Y1646" s="3"/>
      <c r="Z1646" s="3" t="str">
        <f>IFERROR(__xludf.DUMMYFUNCTION("""COMPUTED_VALUE"""),"แม่เมาะ")</f>
        <v>แม่เมาะ</v>
      </c>
      <c r="AA1646" s="3" t="str">
        <f>IFERROR(__xludf.DUMMYFUNCTION("""COMPUTED_VALUE"""),"แม่เมาะ")</f>
        <v>แม่เมาะ</v>
      </c>
      <c r="AB1646" s="3" t="str">
        <f>IFERROR(__xludf.DUMMYFUNCTION("""COMPUTED_VALUE"""),"ลำปาง")</f>
        <v>ลำปาง</v>
      </c>
      <c r="AC1646" s="3">
        <f>IFERROR(__xludf.DUMMYFUNCTION("""COMPUTED_VALUE"""),52220.0)</f>
        <v>52220</v>
      </c>
      <c r="AD1646" s="3">
        <f>IFERROR(__xludf.DUMMYFUNCTION("""COMPUTED_VALUE"""),18.275757)</f>
        <v>18.275757</v>
      </c>
      <c r="AE1646" s="3">
        <f>IFERROR(__xludf.DUMMYFUNCTION("""COMPUTED_VALUE"""),99.656788)</f>
        <v>99.656788</v>
      </c>
      <c r="AF1646" s="3" t="str">
        <f>IFERROR(__xludf.DUMMYFUNCTION("""COMPUTED_VALUE"""),"MBC แม่เมาะ ลำปาง-22332")</f>
        <v>MBC แม่เมาะ ลำปาง-22332</v>
      </c>
      <c r="AG1646" s="3" t="str">
        <f>IFERROR(__xludf.DUMMYFUNCTION("""COMPUTED_VALUE"""),"เหนือ")</f>
        <v>เหนือ</v>
      </c>
      <c r="AH1646" s="3" t="str">
        <f>IFERROR(__xludf.DUMMYFUNCTION("""COMPUTED_VALUE"""),"#N/A")</f>
        <v>#N/A</v>
      </c>
      <c r="AI1646" s="3" t="str">
        <f>IFERROR(__xludf.DUMMYFUNCTION("""COMPUTED_VALUE"""),"Out of warranty")</f>
        <v>Out of warranty</v>
      </c>
      <c r="AJ1646" s="3">
        <f>IFERROR(__xludf.DUMMYFUNCTION("""COMPUTED_VALUE"""),55.0)</f>
        <v>55</v>
      </c>
      <c r="AK1646" s="3" t="str">
        <f>IFERROR(__xludf.DUMMYFUNCTION("""COMPUTED_VALUE"""),"MMS10")</f>
        <v>MMS10</v>
      </c>
      <c r="AL1646" s="3"/>
    </row>
    <row r="1647" ht="15.75" customHeight="1">
      <c r="A1647" s="1" t="str">
        <f>IFERROR(__xludf.DUMMYFUNCTION("""COMPUTED_VALUE"""),"22333")</f>
        <v>22333</v>
      </c>
      <c r="B1647" s="2">
        <f>IFERROR(__xludf.DUMMYFUNCTION("""COMPUTED_VALUE"""),22333.0)</f>
        <v>22333</v>
      </c>
      <c r="C1647" s="3" t="str">
        <f>IFERROR(__xludf.DUMMYFUNCTION("""COMPUTED_VALUE"""),"MBC กุดดินจี่ หนองบัวลำภู")</f>
        <v>MBC กุดดินจี่ หนองบัวลำภู</v>
      </c>
      <c r="D1647" s="3" t="str">
        <f>IFERROR(__xludf.DUMMYFUNCTION("""COMPUTED_VALUE"""),"BCM GUD DINJEE")</f>
        <v>BCM GUD DINJEE</v>
      </c>
      <c r="E1647" s="1" t="str">
        <f>IFERROR(__xludf.DUMMYFUNCTION("""COMPUTED_VALUE"""),"บิ๊กซี MINI")</f>
        <v>บิ๊กซี MINI</v>
      </c>
      <c r="F1647" s="1" t="str">
        <f>IFERROR(__xludf.DUMMYFUNCTION("""COMPUTED_VALUE"""),"291105")</f>
        <v>291105</v>
      </c>
      <c r="G1647" s="1" t="str">
        <f>IFERROR(__xludf.DUMMYFUNCTION("""COMPUTED_VALUE"""),"นายสราวุฒิ พณิชยกุล")</f>
        <v>นายสราวุฒิ พณิชยกุล</v>
      </c>
      <c r="H1647" s="1" t="str">
        <f>IFERROR(__xludf.DUMMYFUNCTION("""COMPUTED_VALUE"""),"305119")</f>
        <v>305119</v>
      </c>
      <c r="I1647" s="1" t="str">
        <f>IFERROR(__xludf.DUMMYFUNCTION("""COMPUTED_VALUE"""),"นายไชยกร ลีพิบูลย์สวัสดิ์")</f>
        <v>นายไชยกร ลีพิบูลย์สวัสดิ์</v>
      </c>
      <c r="J1647" s="3">
        <f>IFERROR(__xludf.DUMMYFUNCTION("""COMPUTED_VALUE"""),296868.0)</f>
        <v>296868</v>
      </c>
      <c r="K1647" s="3" t="str">
        <f>IFERROR(__xludf.DUMMYFUNCTION("""COMPUTED_VALUE"""),"นายพีระพงษ์ แก้วดวงดี")</f>
        <v>นายพีระพงษ์ แก้วดวงดี</v>
      </c>
      <c r="L1647" s="1" t="str">
        <f>IFERROR(__xludf.DUMMYFUNCTION("""COMPUTED_VALUE"""),"03 K.Peerapong K.")</f>
        <v>03 K.Peerapong K.</v>
      </c>
      <c r="M1647" s="1" t="str">
        <f>IFERROR(__xludf.DUMMYFUNCTION("""COMPUTED_VALUE"""),"089-002-6599")</f>
        <v>089-002-6599</v>
      </c>
      <c r="N1647" s="3">
        <f>IFERROR(__xludf.DUMMYFUNCTION("""COMPUTED_VALUE"""),21946.0)</f>
        <v>21946</v>
      </c>
      <c r="O1647" s="3" t="str">
        <f>IFERROR(__xludf.DUMMYFUNCTION("""COMPUTED_VALUE"""),"MBC เซกา บึงกาฬ")</f>
        <v>MBC เซกา บึงกาฬ</v>
      </c>
      <c r="P1647" s="4">
        <f>IFERROR(__xludf.DUMMYFUNCTION("""COMPUTED_VALUE"""),44386.0)</f>
        <v>44386</v>
      </c>
      <c r="Q1647" s="3" t="str">
        <f>IFERROR(__xludf.DUMMYFUNCTION("""COMPUTED_VALUE"""),"A")</f>
        <v>A</v>
      </c>
      <c r="R1647" s="3" t="str">
        <f>IFERROR(__xludf.DUMMYFUNCTION("""COMPUTED_VALUE"""),"Small Format")</f>
        <v>Small Format</v>
      </c>
      <c r="S1647" s="3" t="str">
        <f>IFERROR(__xludf.DUMMYFUNCTION("""COMPUTED_VALUE"""),"BCM")</f>
        <v>BCM</v>
      </c>
      <c r="T1647" s="3" t="str">
        <f>IFERROR(__xludf.DUMMYFUNCTION("""COMPUTED_VALUE"""),"#N/A")</f>
        <v>#N/A</v>
      </c>
      <c r="U1647" s="3" t="str">
        <f>IFERROR(__xludf.DUMMYFUNCTION("""COMPUTED_VALUE"""),"#N/A")</f>
        <v>#N/A</v>
      </c>
      <c r="V1647" s="3" t="str">
        <f>IFERROR(__xludf.DUMMYFUNCTION("""COMPUTED_VALUE"""),"N")</f>
        <v>N</v>
      </c>
      <c r="W1647" s="3">
        <f>IFERROR(__xludf.DUMMYFUNCTION("""COMPUTED_VALUE"""),210395.0)</f>
        <v>210395</v>
      </c>
      <c r="X1647" s="3" t="str">
        <f>IFERROR(__xludf.DUMMYFUNCTION("""COMPUTED_VALUE"""),"32 หมู่21 ตำบลกุดดินจี่ อำเภอนากลาง จังหวัดหนองบัวลำภู 39350")</f>
        <v>32 หมู่21 ตำบลกุดดินจี่ อำเภอนากลาง จังหวัดหนองบัวลำภู 39350</v>
      </c>
      <c r="Y1647" s="3"/>
      <c r="Z1647" s="3" t="str">
        <f>IFERROR(__xludf.DUMMYFUNCTION("""COMPUTED_VALUE"""),"กุดดินจี")</f>
        <v>กุดดินจี</v>
      </c>
      <c r="AA1647" s="3" t="str">
        <f>IFERROR(__xludf.DUMMYFUNCTION("""COMPUTED_VALUE"""),"นากลาง")</f>
        <v>นากลาง</v>
      </c>
      <c r="AB1647" s="3" t="str">
        <f>IFERROR(__xludf.DUMMYFUNCTION("""COMPUTED_VALUE"""),"หนองบัวลำภู")</f>
        <v>หนองบัวลำภู</v>
      </c>
      <c r="AC1647" s="3">
        <f>IFERROR(__xludf.DUMMYFUNCTION("""COMPUTED_VALUE"""),39350.0)</f>
        <v>39350</v>
      </c>
      <c r="AD1647" s="3">
        <f>IFERROR(__xludf.DUMMYFUNCTION("""COMPUTED_VALUE"""),17.36607134)</f>
        <v>17.36607134</v>
      </c>
      <c r="AE1647" s="3">
        <f>IFERROR(__xludf.DUMMYFUNCTION("""COMPUTED_VALUE"""),102.2592208)</f>
        <v>102.2592208</v>
      </c>
      <c r="AF1647" s="3" t="str">
        <f>IFERROR(__xludf.DUMMYFUNCTION("""COMPUTED_VALUE"""),"MBC กุดดินจี่ หนองบัวลำภู-22333")</f>
        <v>MBC กุดดินจี่ หนองบัวลำภู-22333</v>
      </c>
      <c r="AG1647" s="3" t="str">
        <f>IFERROR(__xludf.DUMMYFUNCTION("""COMPUTED_VALUE"""),"ตะวันออกเฉียงเหนือ")</f>
        <v>ตะวันออกเฉียงเหนือ</v>
      </c>
      <c r="AH1647" s="3" t="str">
        <f>IFERROR(__xludf.DUMMYFUNCTION("""COMPUTED_VALUE"""),"#N/A")</f>
        <v>#N/A</v>
      </c>
      <c r="AI1647" s="3" t="str">
        <f>IFERROR(__xludf.DUMMYFUNCTION("""COMPUTED_VALUE"""),"Out of warranty")</f>
        <v>Out of warranty</v>
      </c>
      <c r="AJ1647" s="3">
        <f>IFERROR(__xludf.DUMMYFUNCTION("""COMPUTED_VALUE"""),55.0)</f>
        <v>55</v>
      </c>
      <c r="AK1647" s="3" t="str">
        <f>IFERROR(__xludf.DUMMYFUNCTION("""COMPUTED_VALUE"""),"MMS12")</f>
        <v>MMS12</v>
      </c>
      <c r="AL1647" s="3"/>
    </row>
    <row r="1648" ht="15.75" customHeight="1">
      <c r="A1648" s="1" t="str">
        <f>IFERROR(__xludf.DUMMYFUNCTION("""COMPUTED_VALUE"""),"22334")</f>
        <v>22334</v>
      </c>
      <c r="B1648" s="2">
        <f>IFERROR(__xludf.DUMMYFUNCTION("""COMPUTED_VALUE"""),22334.0)</f>
        <v>22334</v>
      </c>
      <c r="C1648" s="3" t="str">
        <f>IFERROR(__xludf.DUMMYFUNCTION("""COMPUTED_VALUE"""),"MBC ตลาด ส.นงนุช อุดรธานี")</f>
        <v>MBC ตลาด ส.นงนุช อุดรธานี</v>
      </c>
      <c r="D1648" s="3" t="str">
        <f>IFERROR(__xludf.DUMMYFUNCTION("""COMPUTED_VALUE"""),"BCM TALAD SOR NONG NUCH")</f>
        <v>BCM TALAD SOR NONG NUCH</v>
      </c>
      <c r="E1648" s="1" t="str">
        <f>IFERROR(__xludf.DUMMYFUNCTION("""COMPUTED_VALUE"""),"บิ๊กซี MINI")</f>
        <v>บิ๊กซี MINI</v>
      </c>
      <c r="F1648" s="1" t="str">
        <f>IFERROR(__xludf.DUMMYFUNCTION("""COMPUTED_VALUE"""),"291105")</f>
        <v>291105</v>
      </c>
      <c r="G1648" s="1" t="str">
        <f>IFERROR(__xludf.DUMMYFUNCTION("""COMPUTED_VALUE"""),"นายสราวุฒิ พณิชยกุล")</f>
        <v>นายสราวุฒิ พณิชยกุล</v>
      </c>
      <c r="H1648" s="1" t="str">
        <f>IFERROR(__xludf.DUMMYFUNCTION("""COMPUTED_VALUE"""),"392005")</f>
        <v>392005</v>
      </c>
      <c r="I1648" s="1" t="str">
        <f>IFERROR(__xludf.DUMMYFUNCTION("""COMPUTED_VALUE"""),"นายรัฐพล หาญลำยวง")</f>
        <v>นายรัฐพล หาญลำยวง</v>
      </c>
      <c r="J1648" s="3">
        <f>IFERROR(__xludf.DUMMYFUNCTION("""COMPUTED_VALUE"""),296868.0)</f>
        <v>296868</v>
      </c>
      <c r="K1648" s="3" t="str">
        <f>IFERROR(__xludf.DUMMYFUNCTION("""COMPUTED_VALUE"""),"นายพีระพงษ์ แก้วดวงดี")</f>
        <v>นายพีระพงษ์ แก้วดวงดี</v>
      </c>
      <c r="L1648" s="1" t="str">
        <f>IFERROR(__xludf.DUMMYFUNCTION("""COMPUTED_VALUE"""),"03 K.Peerapong K.")</f>
        <v>03 K.Peerapong K.</v>
      </c>
      <c r="M1648" s="1" t="str">
        <f>IFERROR(__xludf.DUMMYFUNCTION("""COMPUTED_VALUE"""),"089-002-6599")</f>
        <v>089-002-6599</v>
      </c>
      <c r="N1648" s="3">
        <f>IFERROR(__xludf.DUMMYFUNCTION("""COMPUTED_VALUE"""),21946.0)</f>
        <v>21946</v>
      </c>
      <c r="O1648" s="3" t="str">
        <f>IFERROR(__xludf.DUMMYFUNCTION("""COMPUTED_VALUE"""),"MBC เซกา บึงกาฬ")</f>
        <v>MBC เซกา บึงกาฬ</v>
      </c>
      <c r="P1648" s="4">
        <f>IFERROR(__xludf.DUMMYFUNCTION("""COMPUTED_VALUE"""),44403.0)</f>
        <v>44403</v>
      </c>
      <c r="Q1648" s="3" t="str">
        <f>IFERROR(__xludf.DUMMYFUNCTION("""COMPUTED_VALUE"""),"A")</f>
        <v>A</v>
      </c>
      <c r="R1648" s="3" t="str">
        <f>IFERROR(__xludf.DUMMYFUNCTION("""COMPUTED_VALUE"""),"Small Format")</f>
        <v>Small Format</v>
      </c>
      <c r="S1648" s="3" t="str">
        <f>IFERROR(__xludf.DUMMYFUNCTION("""COMPUTED_VALUE"""),"BCM")</f>
        <v>BCM</v>
      </c>
      <c r="T1648" s="3" t="str">
        <f>IFERROR(__xludf.DUMMYFUNCTION("""COMPUTED_VALUE"""),"#N/A")</f>
        <v>#N/A</v>
      </c>
      <c r="U1648" s="3" t="str">
        <f>IFERROR(__xludf.DUMMYFUNCTION("""COMPUTED_VALUE"""),"#N/A")</f>
        <v>#N/A</v>
      </c>
      <c r="V1648" s="3" t="str">
        <f>IFERROR(__xludf.DUMMYFUNCTION("""COMPUTED_VALUE"""),"N")</f>
        <v>N</v>
      </c>
      <c r="W1648" s="3">
        <f>IFERROR(__xludf.DUMMYFUNCTION("""COMPUTED_VALUE"""),210358.0)</f>
        <v>210358</v>
      </c>
      <c r="X1648" s="3" t="str">
        <f>IFERROR(__xludf.DUMMYFUNCTION("""COMPUTED_VALUE"""),"540 หมู่2 ตำบลบ้านจั่น อำเภอเมืองอุดรธานี จังหวัดอุดรธานี 41000")</f>
        <v>540 หมู่2 ตำบลบ้านจั่น อำเภอเมืองอุดรธานี จังหวัดอุดรธานี 41000</v>
      </c>
      <c r="Y1648" s="3"/>
      <c r="Z1648" s="3" t="str">
        <f>IFERROR(__xludf.DUMMYFUNCTION("""COMPUTED_VALUE"""),"บ้านจั่น")</f>
        <v>บ้านจั่น</v>
      </c>
      <c r="AA1648" s="3" t="str">
        <f>IFERROR(__xludf.DUMMYFUNCTION("""COMPUTED_VALUE"""),"เมือง")</f>
        <v>เมือง</v>
      </c>
      <c r="AB1648" s="3" t="str">
        <f>IFERROR(__xludf.DUMMYFUNCTION("""COMPUTED_VALUE"""),"อุดรธานี")</f>
        <v>อุดรธานี</v>
      </c>
      <c r="AC1648" s="3">
        <f>IFERROR(__xludf.DUMMYFUNCTION("""COMPUTED_VALUE"""),41000.0)</f>
        <v>41000</v>
      </c>
      <c r="AD1648" s="3">
        <f>IFERROR(__xludf.DUMMYFUNCTION("""COMPUTED_VALUE"""),17.35457241)</f>
        <v>17.35457241</v>
      </c>
      <c r="AE1648" s="3">
        <f>IFERROR(__xludf.DUMMYFUNCTION("""COMPUTED_VALUE"""),102.7860647)</f>
        <v>102.7860647</v>
      </c>
      <c r="AF1648" s="3" t="str">
        <f>IFERROR(__xludf.DUMMYFUNCTION("""COMPUTED_VALUE"""),"MBC ตลาด ส.นงนุช อุดรธานี-22334")</f>
        <v>MBC ตลาด ส.นงนุช อุดรธานี-22334</v>
      </c>
      <c r="AG1648" s="3" t="str">
        <f>IFERROR(__xludf.DUMMYFUNCTION("""COMPUTED_VALUE"""),"ตะวันออกเฉียงเหนือ")</f>
        <v>ตะวันออกเฉียงเหนือ</v>
      </c>
      <c r="AH1648" s="3" t="str">
        <f>IFERROR(__xludf.DUMMYFUNCTION("""COMPUTED_VALUE"""),"#N/A")</f>
        <v>#N/A</v>
      </c>
      <c r="AI1648" s="3" t="str">
        <f>IFERROR(__xludf.DUMMYFUNCTION("""COMPUTED_VALUE"""),"Out of warranty")</f>
        <v>Out of warranty</v>
      </c>
      <c r="AJ1648" s="3">
        <f>IFERROR(__xludf.DUMMYFUNCTION("""COMPUTED_VALUE"""),54.0)</f>
        <v>54</v>
      </c>
      <c r="AK1648" s="3" t="str">
        <f>IFERROR(__xludf.DUMMYFUNCTION("""COMPUTED_VALUE"""),"MMS12")</f>
        <v>MMS12</v>
      </c>
      <c r="AL1648" s="3"/>
    </row>
    <row r="1649" ht="15.75" customHeight="1">
      <c r="A1649" s="1" t="str">
        <f>IFERROR(__xludf.DUMMYFUNCTION("""COMPUTED_VALUE"""),"22335")</f>
        <v>22335</v>
      </c>
      <c r="B1649" s="2">
        <f>IFERROR(__xludf.DUMMYFUNCTION("""COMPUTED_VALUE"""),22335.0)</f>
        <v>22335</v>
      </c>
      <c r="C1649" s="3" t="str">
        <f>IFERROR(__xludf.DUMMYFUNCTION("""COMPUTED_VALUE"""),"MBC ตลาดเฮงทวี(แก่งหางแมว) จันทบุรี")</f>
        <v>MBC ตลาดเฮงทวี(แก่งหางแมว) จันทบุรี</v>
      </c>
      <c r="D1649" s="3" t="str">
        <f>IFERROR(__xludf.DUMMYFUNCTION("""COMPUTED_VALUE"""),"BCM TALAD HENGTHAVEE")</f>
        <v>BCM TALAD HENGTHAVEE</v>
      </c>
      <c r="E1649" s="1" t="str">
        <f>IFERROR(__xludf.DUMMYFUNCTION("""COMPUTED_VALUE"""),"บิ๊กซี MINI")</f>
        <v>บิ๊กซี MINI</v>
      </c>
      <c r="F1649" s="1" t="str">
        <f>IFERROR(__xludf.DUMMYFUNCTION("""COMPUTED_VALUE"""),"221716")</f>
        <v>221716</v>
      </c>
      <c r="G1649" s="1" t="str">
        <f>IFERROR(__xludf.DUMMYFUNCTION("""COMPUTED_VALUE"""),"น.ส.เบญจพร โพธิสาร")</f>
        <v>น.ส.เบญจพร โพธิสาร</v>
      </c>
      <c r="H1649" s="1" t="str">
        <f>IFERROR(__xludf.DUMMYFUNCTION("""COMPUTED_VALUE"""),"318151")</f>
        <v>318151</v>
      </c>
      <c r="I1649" s="1" t="str">
        <f>IFERROR(__xludf.DUMMYFUNCTION("""COMPUTED_VALUE"""),"นายพลฬกฤตต์ เนตมณี")</f>
        <v>นายพลฬกฤตต์ เนตมณี</v>
      </c>
      <c r="J1649" s="3">
        <f>IFERROR(__xludf.DUMMYFUNCTION("""COMPUTED_VALUE"""),2452376.0)</f>
        <v>2452376</v>
      </c>
      <c r="K1649" s="3" t="str">
        <f>IFERROR(__xludf.DUMMYFUNCTION("""COMPUTED_VALUE"""),"นายภาคภูมิ ทวีกุล")</f>
        <v>นายภาคภูมิ ทวีกุล</v>
      </c>
      <c r="L1649" s="1" t="str">
        <f>IFERROR(__xludf.DUMMYFUNCTION("""COMPUTED_VALUE"""),"08 K.Parkphum T.")</f>
        <v>08 K.Parkphum T.</v>
      </c>
      <c r="M1649" s="1" t="str">
        <f>IFERROR(__xludf.DUMMYFUNCTION("""COMPUTED_VALUE"""),"097-919-5476")</f>
        <v>097-919-5476</v>
      </c>
      <c r="N1649" s="3">
        <f>IFERROR(__xludf.DUMMYFUNCTION("""COMPUTED_VALUE"""),22028.0)</f>
        <v>22028</v>
      </c>
      <c r="O1649" s="3" t="str">
        <f>IFERROR(__xludf.DUMMYFUNCTION("""COMPUTED_VALUE"""),"MBC ทํบมา ระยอง")</f>
        <v>MBC ทํบมา ระยอง</v>
      </c>
      <c r="P1649" s="4">
        <f>IFERROR(__xludf.DUMMYFUNCTION("""COMPUTED_VALUE"""),44371.0)</f>
        <v>44371</v>
      </c>
      <c r="Q1649" s="3" t="str">
        <f>IFERROR(__xludf.DUMMYFUNCTION("""COMPUTED_VALUE"""),"A")</f>
        <v>A</v>
      </c>
      <c r="R1649" s="3" t="str">
        <f>IFERROR(__xludf.DUMMYFUNCTION("""COMPUTED_VALUE"""),"Small Format")</f>
        <v>Small Format</v>
      </c>
      <c r="S1649" s="3" t="str">
        <f>IFERROR(__xludf.DUMMYFUNCTION("""COMPUTED_VALUE"""),"BCM")</f>
        <v>BCM</v>
      </c>
      <c r="T1649" s="3" t="str">
        <f>IFERROR(__xludf.DUMMYFUNCTION("""COMPUTED_VALUE"""),"#N/A")</f>
        <v>#N/A</v>
      </c>
      <c r="U1649" s="3" t="str">
        <f>IFERROR(__xludf.DUMMYFUNCTION("""COMPUTED_VALUE"""),"#N/A")</f>
        <v>#N/A</v>
      </c>
      <c r="V1649" s="3" t="str">
        <f>IFERROR(__xludf.DUMMYFUNCTION("""COMPUTED_VALUE"""),"N")</f>
        <v>N</v>
      </c>
      <c r="W1649" s="3">
        <f>IFERROR(__xludf.DUMMYFUNCTION("""COMPUTED_VALUE"""),210362.0)</f>
        <v>210362</v>
      </c>
      <c r="X1649" s="3" t="str">
        <f>IFERROR(__xludf.DUMMYFUNCTION("""COMPUTED_VALUE"""),"25/10 หมู่4 ตำบลแก่งหางแมว อำเภอเก่งหางแมว จังหวัดจันทบุรี 22160")</f>
        <v>25/10 หมู่4 ตำบลแก่งหางแมว อำเภอเก่งหางแมว จังหวัดจันทบุรี 22160</v>
      </c>
      <c r="Y1649" s="3"/>
      <c r="Z1649" s="3" t="str">
        <f>IFERROR(__xludf.DUMMYFUNCTION("""COMPUTED_VALUE"""),"แก่งหางแมว")</f>
        <v>แก่งหางแมว</v>
      </c>
      <c r="AA1649" s="3" t="str">
        <f>IFERROR(__xludf.DUMMYFUNCTION("""COMPUTED_VALUE"""),"แก่งหางแมว")</f>
        <v>แก่งหางแมว</v>
      </c>
      <c r="AB1649" s="3" t="str">
        <f>IFERROR(__xludf.DUMMYFUNCTION("""COMPUTED_VALUE"""),"จันทบุรี")</f>
        <v>จันทบุรี</v>
      </c>
      <c r="AC1649" s="3">
        <f>IFERROR(__xludf.DUMMYFUNCTION("""COMPUTED_VALUE"""),22160.0)</f>
        <v>22160</v>
      </c>
      <c r="AD1649" s="3">
        <f>IFERROR(__xludf.DUMMYFUNCTION("""COMPUTED_VALUE"""),12.996054)</f>
        <v>12.996054</v>
      </c>
      <c r="AE1649" s="3">
        <f>IFERROR(__xludf.DUMMYFUNCTION("""COMPUTED_VALUE"""),101.894713)</f>
        <v>101.894713</v>
      </c>
      <c r="AF1649" s="3" t="str">
        <f>IFERROR(__xludf.DUMMYFUNCTION("""COMPUTED_VALUE"""),"MBC ตลาดเฮงทวี(แก่งหางแมว) จันทบุรี-22335")</f>
        <v>MBC ตลาดเฮงทวี(แก่งหางแมว) จันทบุรี-22335</v>
      </c>
      <c r="AG1649" s="3" t="str">
        <f>IFERROR(__xludf.DUMMYFUNCTION("""COMPUTED_VALUE"""),"ตะวันออก")</f>
        <v>ตะวันออก</v>
      </c>
      <c r="AH1649" s="3" t="str">
        <f>IFERROR(__xludf.DUMMYFUNCTION("""COMPUTED_VALUE"""),"#N/A")</f>
        <v>#N/A</v>
      </c>
      <c r="AI1649" s="3" t="str">
        <f>IFERROR(__xludf.DUMMYFUNCTION("""COMPUTED_VALUE"""),"Out of warranty")</f>
        <v>Out of warranty</v>
      </c>
      <c r="AJ1649" s="3">
        <f>IFERROR(__xludf.DUMMYFUNCTION("""COMPUTED_VALUE"""),55.0)</f>
        <v>55</v>
      </c>
      <c r="AK1649" s="3" t="str">
        <f>IFERROR(__xludf.DUMMYFUNCTION("""COMPUTED_VALUE"""),"MMS08")</f>
        <v>MMS08</v>
      </c>
      <c r="AL1649" s="3"/>
    </row>
    <row r="1650" ht="15.75" customHeight="1">
      <c r="A1650" s="1" t="str">
        <f>IFERROR(__xludf.DUMMYFUNCTION("""COMPUTED_VALUE"""),"22336")</f>
        <v>22336</v>
      </c>
      <c r="B1650" s="2">
        <f>IFERROR(__xludf.DUMMYFUNCTION("""COMPUTED_VALUE"""),22336.0)</f>
        <v>22336</v>
      </c>
      <c r="C1650" s="3" t="str">
        <f>IFERROR(__xludf.DUMMYFUNCTION("""COMPUTED_VALUE"""),"MBC ปางล้อนิคม แม่ฮ่องสอน")</f>
        <v>MBC ปางล้อนิคม แม่ฮ่องสอน</v>
      </c>
      <c r="D1650" s="3" t="str">
        <f>IFERROR(__xludf.DUMMYFUNCTION("""COMPUTED_VALUE"""),"BCM PANGLOR NIKHOM")</f>
        <v>BCM PANGLOR NIKHOM</v>
      </c>
      <c r="E1650" s="1" t="str">
        <f>IFERROR(__xludf.DUMMYFUNCTION("""COMPUTED_VALUE"""),"บิ๊กซี MINI")</f>
        <v>บิ๊กซี MINI</v>
      </c>
      <c r="F1650" s="1" t="str">
        <f>IFERROR(__xludf.DUMMYFUNCTION("""COMPUTED_VALUE"""),"296229")</f>
        <v>296229</v>
      </c>
      <c r="G1650" s="1" t="str">
        <f>IFERROR(__xludf.DUMMYFUNCTION("""COMPUTED_VALUE"""),"นายทนงศักดิ์ บุญมา")</f>
        <v>นายทนงศักดิ์ บุญมา</v>
      </c>
      <c r="H1650" s="1" t="str">
        <f>IFERROR(__xludf.DUMMYFUNCTION("""COMPUTED_VALUE"""),"392003")</f>
        <v>392003</v>
      </c>
      <c r="I1650" s="1" t="str">
        <f>IFERROR(__xludf.DUMMYFUNCTION("""COMPUTED_VALUE"""),"นายวรภพ เศษสูงเนิน")</f>
        <v>นายวรภพ เศษสูงเนิน</v>
      </c>
      <c r="J1650" s="3">
        <f>IFERROR(__xludf.DUMMYFUNCTION("""COMPUTED_VALUE"""),2010016.0)</f>
        <v>2010016</v>
      </c>
      <c r="K1650" s="3" t="str">
        <f>IFERROR(__xludf.DUMMYFUNCTION("""COMPUTED_VALUE"""),"นายตวงธรรม ใหม่ยศ")</f>
        <v>นายตวงธรรม ใหม่ยศ</v>
      </c>
      <c r="L1650" s="1" t="str">
        <f>IFERROR(__xludf.DUMMYFUNCTION("""COMPUTED_VALUE"""),"01 K.Tuangtham M.")</f>
        <v>01 K.Tuangtham M.</v>
      </c>
      <c r="M1650" s="1" t="str">
        <f>IFERROR(__xludf.DUMMYFUNCTION("""COMPUTED_VALUE"""),"063-976-595")</f>
        <v>063-976-595</v>
      </c>
      <c r="N1650" s="3">
        <f>IFERROR(__xludf.DUMMYFUNCTION("""COMPUTED_VALUE"""),22574.0)</f>
        <v>22574</v>
      </c>
      <c r="O1650" s="3" t="str">
        <f>IFERROR(__xludf.DUMMYFUNCTION("""COMPUTED_VALUE"""),"BCM ชุมชนศรีชุม ลำปาง")</f>
        <v>BCM ชุมชนศรีชุม ลำปาง</v>
      </c>
      <c r="P1650" s="4">
        <f>IFERROR(__xludf.DUMMYFUNCTION("""COMPUTED_VALUE"""),44395.0)</f>
        <v>44395</v>
      </c>
      <c r="Q1650" s="3" t="str">
        <f>IFERROR(__xludf.DUMMYFUNCTION("""COMPUTED_VALUE"""),"A")</f>
        <v>A</v>
      </c>
      <c r="R1650" s="3" t="str">
        <f>IFERROR(__xludf.DUMMYFUNCTION("""COMPUTED_VALUE"""),"Small Format")</f>
        <v>Small Format</v>
      </c>
      <c r="S1650" s="3" t="str">
        <f>IFERROR(__xludf.DUMMYFUNCTION("""COMPUTED_VALUE"""),"BCM")</f>
        <v>BCM</v>
      </c>
      <c r="T1650" s="3" t="str">
        <f>IFERROR(__xludf.DUMMYFUNCTION("""COMPUTED_VALUE"""),"#N/A")</f>
        <v>#N/A</v>
      </c>
      <c r="U1650" s="3" t="str">
        <f>IFERROR(__xludf.DUMMYFUNCTION("""COMPUTED_VALUE"""),"#N/A")</f>
        <v>#N/A</v>
      </c>
      <c r="V1650" s="3" t="str">
        <f>IFERROR(__xludf.DUMMYFUNCTION("""COMPUTED_VALUE"""),"N")</f>
        <v>N</v>
      </c>
      <c r="W1650" s="3">
        <f>IFERROR(__xludf.DUMMYFUNCTION("""COMPUTED_VALUE"""),210388.0)</f>
        <v>210388</v>
      </c>
      <c r="X1650" s="3" t="str">
        <f>IFERROR(__xludf.DUMMYFUNCTION("""COMPUTED_VALUE"""),"3 3/1 3/2 ถนนปางล้อนิคม ตำบลจองคำ อำเภอเมืองแม่ฮ่องสอน จังหวัดแม่ฮ่องสอน 58000")</f>
        <v>3 3/1 3/2 ถนนปางล้อนิคม ตำบลจองคำ อำเภอเมืองแม่ฮ่องสอน จังหวัดแม่ฮ่องสอน 58000</v>
      </c>
      <c r="Y1650" s="3" t="str">
        <f>IFERROR(__xludf.DUMMYFUNCTION("""COMPUTED_VALUE"""),"ปางล้อนิคม")</f>
        <v>ปางล้อนิคม</v>
      </c>
      <c r="Z1650" s="3" t="str">
        <f>IFERROR(__xludf.DUMMYFUNCTION("""COMPUTED_VALUE"""),"จองคำ")</f>
        <v>จองคำ</v>
      </c>
      <c r="AA1650" s="3" t="str">
        <f>IFERROR(__xludf.DUMMYFUNCTION("""COMPUTED_VALUE"""),"เมือง")</f>
        <v>เมือง</v>
      </c>
      <c r="AB1650" s="3" t="str">
        <f>IFERROR(__xludf.DUMMYFUNCTION("""COMPUTED_VALUE"""),"แม่ฮ่องสอน")</f>
        <v>แม่ฮ่องสอน</v>
      </c>
      <c r="AC1650" s="3">
        <f>IFERROR(__xludf.DUMMYFUNCTION("""COMPUTED_VALUE"""),58000.0)</f>
        <v>58000</v>
      </c>
      <c r="AD1650" s="3">
        <f>IFERROR(__xludf.DUMMYFUNCTION("""COMPUTED_VALUE"""),19.306259)</f>
        <v>19.306259</v>
      </c>
      <c r="AE1650" s="3">
        <f>IFERROR(__xludf.DUMMYFUNCTION("""COMPUTED_VALUE"""),97.965708)</f>
        <v>97.965708</v>
      </c>
      <c r="AF1650" s="3" t="str">
        <f>IFERROR(__xludf.DUMMYFUNCTION("""COMPUTED_VALUE"""),"MBC ปางล้อนิคม แม่ฮ่องสอน-22336")</f>
        <v>MBC ปางล้อนิคม แม่ฮ่องสอน-22336</v>
      </c>
      <c r="AG1650" s="3" t="str">
        <f>IFERROR(__xludf.DUMMYFUNCTION("""COMPUTED_VALUE"""),"เหนือ")</f>
        <v>เหนือ</v>
      </c>
      <c r="AH1650" s="3" t="str">
        <f>IFERROR(__xludf.DUMMYFUNCTION("""COMPUTED_VALUE"""),"#N/A")</f>
        <v>#N/A</v>
      </c>
      <c r="AI1650" s="3" t="str">
        <f>IFERROR(__xludf.DUMMYFUNCTION("""COMPUTED_VALUE"""),"Out of warranty")</f>
        <v>Out of warranty</v>
      </c>
      <c r="AJ1650" s="3">
        <f>IFERROR(__xludf.DUMMYFUNCTION("""COMPUTED_VALUE"""),55.0)</f>
        <v>55</v>
      </c>
      <c r="AK1650" s="3" t="str">
        <f>IFERROR(__xludf.DUMMYFUNCTION("""COMPUTED_VALUE"""),"MMS10")</f>
        <v>MMS10</v>
      </c>
      <c r="AL1650" s="3"/>
    </row>
    <row r="1651" ht="15.75" customHeight="1">
      <c r="A1651" s="1" t="str">
        <f>IFERROR(__xludf.DUMMYFUNCTION("""COMPUTED_VALUE"""),"22337")</f>
        <v>22337</v>
      </c>
      <c r="B1651" s="2">
        <f>IFERROR(__xludf.DUMMYFUNCTION("""COMPUTED_VALUE"""),22337.0)</f>
        <v>22337</v>
      </c>
      <c r="C1651" s="3" t="str">
        <f>IFERROR(__xludf.DUMMYFUNCTION("""COMPUTED_VALUE"""),"MBC เลียบคลองมะเดื่อ สมุทรสาคร")</f>
        <v>MBC เลียบคลองมะเดื่อ สมุทรสาคร</v>
      </c>
      <c r="D1651" s="3" t="str">
        <f>IFERROR(__xludf.DUMMYFUNCTION("""COMPUTED_VALUE"""),"BCM LIEB KHLONG MADUER")</f>
        <v>BCM LIEB KHLONG MADUER</v>
      </c>
      <c r="E1651" s="1" t="str">
        <f>IFERROR(__xludf.DUMMYFUNCTION("""COMPUTED_VALUE"""),"บิ๊กซี MINI")</f>
        <v>บิ๊กซี MINI</v>
      </c>
      <c r="F1651" s="1" t="str">
        <f>IFERROR(__xludf.DUMMYFUNCTION("""COMPUTED_VALUE"""),"2083447")</f>
        <v>2083447</v>
      </c>
      <c r="G1651" s="1" t="str">
        <f>IFERROR(__xludf.DUMMYFUNCTION("""COMPUTED_VALUE"""),"นายอนุกูล ศรีลัดดา")</f>
        <v>นายอนุกูล ศรีลัดดา</v>
      </c>
      <c r="H1651" s="1" t="str">
        <f>IFERROR(__xludf.DUMMYFUNCTION("""COMPUTED_VALUE"""),"2455053")</f>
        <v>2455053</v>
      </c>
      <c r="I1651" s="1" t="str">
        <f>IFERROR(__xludf.DUMMYFUNCTION("""COMPUTED_VALUE"""),"นายพันธมิตร โพธิ")</f>
        <v>นายพันธมิตร โพธิ</v>
      </c>
      <c r="J1651" s="3">
        <f>IFERROR(__xludf.DUMMYFUNCTION("""COMPUTED_VALUE"""),2451655.0)</f>
        <v>2451655</v>
      </c>
      <c r="K1651" s="3" t="str">
        <f>IFERROR(__xludf.DUMMYFUNCTION("""COMPUTED_VALUE"""),"นายวิษณุพงษ์ ชินบุตร")</f>
        <v>นายวิษณุพงษ์ ชินบุตร</v>
      </c>
      <c r="L1651" s="1" t="str">
        <f>IFERROR(__xludf.DUMMYFUNCTION("""COMPUTED_VALUE"""),"13 K.Wisanupong Ch")</f>
        <v>13 K.Wisanupong Ch</v>
      </c>
      <c r="M1651" s="1" t="str">
        <f>IFERROR(__xludf.DUMMYFUNCTION("""COMPUTED_VALUE"""),"0843374693")</f>
        <v>0843374693</v>
      </c>
      <c r="N1651" s="3">
        <f>IFERROR(__xludf.DUMMYFUNCTION("""COMPUTED_VALUE"""),22729.0)</f>
        <v>22729</v>
      </c>
      <c r="O1651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651" s="4">
        <f>IFERROR(__xludf.DUMMYFUNCTION("""COMPUTED_VALUE"""),44374.0)</f>
        <v>44374</v>
      </c>
      <c r="Q1651" s="3" t="str">
        <f>IFERROR(__xludf.DUMMYFUNCTION("""COMPUTED_VALUE"""),"A")</f>
        <v>A</v>
      </c>
      <c r="R1651" s="3" t="str">
        <f>IFERROR(__xludf.DUMMYFUNCTION("""COMPUTED_VALUE"""),"Small Format")</f>
        <v>Small Format</v>
      </c>
      <c r="S1651" s="3" t="str">
        <f>IFERROR(__xludf.DUMMYFUNCTION("""COMPUTED_VALUE"""),"BCM")</f>
        <v>BCM</v>
      </c>
      <c r="T1651" s="3" t="str">
        <f>IFERROR(__xludf.DUMMYFUNCTION("""COMPUTED_VALUE"""),"#N/A")</f>
        <v>#N/A</v>
      </c>
      <c r="U1651" s="3" t="str">
        <f>IFERROR(__xludf.DUMMYFUNCTION("""COMPUTED_VALUE"""),"#N/A")</f>
        <v>#N/A</v>
      </c>
      <c r="V1651" s="3" t="str">
        <f>IFERROR(__xludf.DUMMYFUNCTION("""COMPUTED_VALUE"""),"N")</f>
        <v>N</v>
      </c>
      <c r="W1651" s="3">
        <f>IFERROR(__xludf.DUMMYFUNCTION("""COMPUTED_VALUE"""),210371.0)</f>
        <v>210371</v>
      </c>
      <c r="X1651" s="3" t="str">
        <f>IFERROR(__xludf.DUMMYFUNCTION("""COMPUTED_VALUE"""),"76 หมู่6 ตำบลดอนไก่ดี อำเภอกระทุ่มแบน จังหวัดสมุทรสาคร 74110")</f>
        <v>76 หมู่6 ตำบลดอนไก่ดี อำเภอกระทุ่มแบน จังหวัดสมุทรสาคร 74110</v>
      </c>
      <c r="Y1651" s="3"/>
      <c r="Z1651" s="3" t="str">
        <f>IFERROR(__xludf.DUMMYFUNCTION("""COMPUTED_VALUE"""),"ดอนไก่ดี")</f>
        <v>ดอนไก่ดี</v>
      </c>
      <c r="AA1651" s="3" t="str">
        <f>IFERROR(__xludf.DUMMYFUNCTION("""COMPUTED_VALUE"""),"กระทุมแบน")</f>
        <v>กระทุมแบน</v>
      </c>
      <c r="AB1651" s="3" t="str">
        <f>IFERROR(__xludf.DUMMYFUNCTION("""COMPUTED_VALUE"""),"สมุทรสาคร")</f>
        <v>สมุทรสาคร</v>
      </c>
      <c r="AC1651" s="3">
        <f>IFERROR(__xludf.DUMMYFUNCTION("""COMPUTED_VALUE"""),74110.0)</f>
        <v>74110</v>
      </c>
      <c r="AD1651" s="3">
        <f>IFERROR(__xludf.DUMMYFUNCTION("""COMPUTED_VALUE"""),13.605119)</f>
        <v>13.605119</v>
      </c>
      <c r="AE1651" s="3">
        <f>IFERROR(__xludf.DUMMYFUNCTION("""COMPUTED_VALUE"""),100.270872)</f>
        <v>100.270872</v>
      </c>
      <c r="AF1651" s="3" t="str">
        <f>IFERROR(__xludf.DUMMYFUNCTION("""COMPUTED_VALUE"""),"MBC เลียบคลองมะเดื่อ สมุทรสาคร-22337")</f>
        <v>MBC เลียบคลองมะเดื่อ สมุทรสาคร-22337</v>
      </c>
      <c r="AG1651" s="3" t="str">
        <f>IFERROR(__xludf.DUMMYFUNCTION("""COMPUTED_VALUE"""),"กลาง")</f>
        <v>กลาง</v>
      </c>
      <c r="AH1651" s="3" t="str">
        <f>IFERROR(__xludf.DUMMYFUNCTION("""COMPUTED_VALUE"""),"#N/A")</f>
        <v>#N/A</v>
      </c>
      <c r="AI1651" s="3" t="str">
        <f>IFERROR(__xludf.DUMMYFUNCTION("""COMPUTED_VALUE"""),"Out of warranty")</f>
        <v>Out of warranty</v>
      </c>
      <c r="AJ1651" s="3">
        <f>IFERROR(__xludf.DUMMYFUNCTION("""COMPUTED_VALUE"""),55.0)</f>
        <v>55</v>
      </c>
      <c r="AK1651" s="3" t="str">
        <f>IFERROR(__xludf.DUMMYFUNCTION("""COMPUTED_VALUE"""),"MMS05")</f>
        <v>MMS05</v>
      </c>
      <c r="AL1651" s="3"/>
    </row>
    <row r="1652" ht="15.75" customHeight="1">
      <c r="A1652" s="1" t="str">
        <f>IFERROR(__xludf.DUMMYFUNCTION("""COMPUTED_VALUE"""),"22338")</f>
        <v>22338</v>
      </c>
      <c r="B1652" s="2">
        <f>IFERROR(__xludf.DUMMYFUNCTION("""COMPUTED_VALUE"""),22338.0)</f>
        <v>22338</v>
      </c>
      <c r="C1652" s="3" t="str">
        <f>IFERROR(__xludf.DUMMYFUNCTION("""COMPUTED_VALUE"""),"MBC คลองแม่ลาย กำแพงเพชร")</f>
        <v>MBC คลองแม่ลาย กำแพงเพชร</v>
      </c>
      <c r="D1652" s="3" t="str">
        <f>IFERROR(__xludf.DUMMYFUNCTION("""COMPUTED_VALUE"""),"BCM KLONGMAELAI")</f>
        <v>BCM KLONGMAELAI</v>
      </c>
      <c r="E1652" s="1" t="str">
        <f>IFERROR(__xludf.DUMMYFUNCTION("""COMPUTED_VALUE"""),"บิ๊กซี MINI")</f>
        <v>บิ๊กซี MINI</v>
      </c>
      <c r="F1652" s="1" t="str">
        <f>IFERROR(__xludf.DUMMYFUNCTION("""COMPUTED_VALUE"""),"296229")</f>
        <v>296229</v>
      </c>
      <c r="G1652" s="1" t="str">
        <f>IFERROR(__xludf.DUMMYFUNCTION("""COMPUTED_VALUE"""),"นายทนงศักดิ์ บุญมา")</f>
        <v>นายทนงศักดิ์ บุญมา</v>
      </c>
      <c r="H1652" s="1" t="str">
        <f>IFERROR(__xludf.DUMMYFUNCTION("""COMPUTED_VALUE"""),"373680")</f>
        <v>373680</v>
      </c>
      <c r="I1652" s="1" t="str">
        <f>IFERROR(__xludf.DUMMYFUNCTION("""COMPUTED_VALUE"""),"นายวสันต์ พรรณราย")</f>
        <v>นายวสันต์ พรรณราย</v>
      </c>
      <c r="J1652" s="3">
        <f>IFERROR(__xludf.DUMMYFUNCTION("""COMPUTED_VALUE"""),46214.0)</f>
        <v>46214</v>
      </c>
      <c r="K1652" s="3" t="str">
        <f>IFERROR(__xludf.DUMMYFUNCTION("""COMPUTED_VALUE"""),"นายศักดิ์ชัย เด็ดดอกฟ้า")</f>
        <v>นายศักดิ์ชัย เด็ดดอกฟ้า</v>
      </c>
      <c r="L1652" s="1" t="str">
        <f>IFERROR(__xludf.DUMMYFUNCTION("""COMPUTED_VALUE"""),"02 K.Sakchai D")</f>
        <v>02 K.Sakchai D</v>
      </c>
      <c r="M1652" s="1" t="str">
        <f>IFERROR(__xludf.DUMMYFUNCTION("""COMPUTED_VALUE"""),"065-510-7376")</f>
        <v>065-510-7376</v>
      </c>
      <c r="N1652" s="3">
        <f>IFERROR(__xludf.DUMMYFUNCTION("""COMPUTED_VALUE"""),21714.0)</f>
        <v>21714</v>
      </c>
      <c r="O1652" s="3" t="str">
        <f>IFERROR(__xludf.DUMMYFUNCTION("""COMPUTED_VALUE"""),"MBC เอสโซ่ วัดโบสถ์")</f>
        <v>MBC เอสโซ่ วัดโบสถ์</v>
      </c>
      <c r="P1652" s="4">
        <f>IFERROR(__xludf.DUMMYFUNCTION("""COMPUTED_VALUE"""),44381.0)</f>
        <v>44381</v>
      </c>
      <c r="Q1652" s="3" t="str">
        <f>IFERROR(__xludf.DUMMYFUNCTION("""COMPUTED_VALUE"""),"A")</f>
        <v>A</v>
      </c>
      <c r="R1652" s="3" t="str">
        <f>IFERROR(__xludf.DUMMYFUNCTION("""COMPUTED_VALUE"""),"Small Format")</f>
        <v>Small Format</v>
      </c>
      <c r="S1652" s="3" t="str">
        <f>IFERROR(__xludf.DUMMYFUNCTION("""COMPUTED_VALUE"""),"BCM")</f>
        <v>BCM</v>
      </c>
      <c r="T1652" s="3" t="str">
        <f>IFERROR(__xludf.DUMMYFUNCTION("""COMPUTED_VALUE"""),"#N/A")</f>
        <v>#N/A</v>
      </c>
      <c r="U1652" s="3" t="str">
        <f>IFERROR(__xludf.DUMMYFUNCTION("""COMPUTED_VALUE"""),"#N/A")</f>
        <v>#N/A</v>
      </c>
      <c r="V1652" s="3" t="str">
        <f>IFERROR(__xludf.DUMMYFUNCTION("""COMPUTED_VALUE"""),"N")</f>
        <v>N</v>
      </c>
      <c r="W1652" s="3">
        <f>IFERROR(__xludf.DUMMYFUNCTION("""COMPUTED_VALUE"""),210380.0)</f>
        <v>210380</v>
      </c>
      <c r="X1652" s="3" t="str">
        <f>IFERROR(__xludf.DUMMYFUNCTION("""COMPUTED_VALUE"""),"107/4-5 หมู่3 ตำบลคลองแม่ลาย อำเภอเมืองกำแพงเพชร จังหวัดกำแพงเพชร 62000")</f>
        <v>107/4-5 หมู่3 ตำบลคลองแม่ลาย อำเภอเมืองกำแพงเพชร จังหวัดกำแพงเพชร 62000</v>
      </c>
      <c r="Y1652" s="3"/>
      <c r="Z1652" s="3" t="str">
        <f>IFERROR(__xludf.DUMMYFUNCTION("""COMPUTED_VALUE"""),"คลองแม่ลาย")</f>
        <v>คลองแม่ลาย</v>
      </c>
      <c r="AA1652" s="3" t="str">
        <f>IFERROR(__xludf.DUMMYFUNCTION("""COMPUTED_VALUE"""),"เมือง")</f>
        <v>เมือง</v>
      </c>
      <c r="AB1652" s="3" t="str">
        <f>IFERROR(__xludf.DUMMYFUNCTION("""COMPUTED_VALUE"""),"กำแพงเพชร")</f>
        <v>กำแพงเพชร</v>
      </c>
      <c r="AC1652" s="3">
        <f>IFERROR(__xludf.DUMMYFUNCTION("""COMPUTED_VALUE"""),62000.0)</f>
        <v>62000</v>
      </c>
      <c r="AD1652" s="3">
        <f>IFERROR(__xludf.DUMMYFUNCTION("""COMPUTED_VALUE"""),16.410057)</f>
        <v>16.410057</v>
      </c>
      <c r="AE1652" s="3">
        <f>IFERROR(__xludf.DUMMYFUNCTION("""COMPUTED_VALUE"""),99.521065)</f>
        <v>99.521065</v>
      </c>
      <c r="AF1652" s="3" t="str">
        <f>IFERROR(__xludf.DUMMYFUNCTION("""COMPUTED_VALUE"""),"MBC คลองแม่ลาย กำแพงเพชร-22338")</f>
        <v>MBC คลองแม่ลาย กำแพงเพชร-22338</v>
      </c>
      <c r="AG1652" s="3" t="str">
        <f>IFERROR(__xludf.DUMMYFUNCTION("""COMPUTED_VALUE"""),"กลาง")</f>
        <v>กลาง</v>
      </c>
      <c r="AH1652" s="3" t="str">
        <f>IFERROR(__xludf.DUMMYFUNCTION("""COMPUTED_VALUE"""),"#N/A")</f>
        <v>#N/A</v>
      </c>
      <c r="AI1652" s="3" t="str">
        <f>IFERROR(__xludf.DUMMYFUNCTION("""COMPUTED_VALUE"""),"Out of warranty")</f>
        <v>Out of warranty</v>
      </c>
      <c r="AJ1652" s="3">
        <f>IFERROR(__xludf.DUMMYFUNCTION("""COMPUTED_VALUE"""),55.0)</f>
        <v>55</v>
      </c>
      <c r="AK1652" s="3" t="str">
        <f>IFERROR(__xludf.DUMMYFUNCTION("""COMPUTED_VALUE"""),"MMS09")</f>
        <v>MMS09</v>
      </c>
      <c r="AL1652" s="3"/>
    </row>
    <row r="1653" ht="15.75" customHeight="1">
      <c r="A1653" s="1" t="str">
        <f>IFERROR(__xludf.DUMMYFUNCTION("""COMPUTED_VALUE"""),"22339")</f>
        <v>22339</v>
      </c>
      <c r="B1653" s="2">
        <f>IFERROR(__xludf.DUMMYFUNCTION("""COMPUTED_VALUE"""),22339.0)</f>
        <v>22339</v>
      </c>
      <c r="C1653" s="3" t="str">
        <f>IFERROR(__xludf.DUMMYFUNCTION("""COMPUTED_VALUE"""),"MBC อำเภอตากใบ นราธิวาส")</f>
        <v>MBC อำเภอตากใบ นราธิวาส</v>
      </c>
      <c r="D1653" s="3" t="str">
        <f>IFERROR(__xludf.DUMMYFUNCTION("""COMPUTED_VALUE"""),"BCM AMPHUR TAK BAI")</f>
        <v>BCM AMPHUR TAK BAI</v>
      </c>
      <c r="E1653" s="1" t="str">
        <f>IFERROR(__xludf.DUMMYFUNCTION("""COMPUTED_VALUE"""),"บิ๊กซี MINI")</f>
        <v>บิ๊กซี MINI</v>
      </c>
      <c r="F1653" s="1" t="str">
        <f>IFERROR(__xludf.DUMMYFUNCTION("""COMPUTED_VALUE"""),"250760")</f>
        <v>250760</v>
      </c>
      <c r="G1653" s="1" t="str">
        <f>IFERROR(__xludf.DUMMYFUNCTION("""COMPUTED_VALUE"""),"นายประทวน สาราบรรณ์")</f>
        <v>นายประทวน สาราบรรณ์</v>
      </c>
      <c r="H1653" s="1" t="str">
        <f>IFERROR(__xludf.DUMMYFUNCTION("""COMPUTED_VALUE"""),"006583")</f>
        <v>006583</v>
      </c>
      <c r="I1653" s="1" t="str">
        <f>IFERROR(__xludf.DUMMYFUNCTION("""COMPUTED_VALUE"""),"นายเด่น ยะอิง")</f>
        <v>นายเด่น ยะอิง</v>
      </c>
      <c r="J1653" s="3">
        <f>IFERROR(__xludf.DUMMYFUNCTION("""COMPUTED_VALUE"""),2.0470331E7)</f>
        <v>20470331</v>
      </c>
      <c r="K1653" s="3" t="str">
        <f>IFERROR(__xludf.DUMMYFUNCTION("""COMPUTED_VALUE"""),"นายสมชาย ลักษณะสุวรรณ")</f>
        <v>นายสมชาย ลักษณะสุวรรณ</v>
      </c>
      <c r="L1653" s="1" t="str">
        <f>IFERROR(__xludf.DUMMYFUNCTION("""COMPUTED_VALUE"""),"15 K.Somchai L")</f>
        <v>15 K.Somchai L</v>
      </c>
      <c r="M1653" s="1" t="str">
        <f>IFERROR(__xludf.DUMMYFUNCTION("""COMPUTED_VALUE"""),"0655107372")</f>
        <v>0655107372</v>
      </c>
      <c r="N1653" s="3">
        <f>IFERROR(__xludf.DUMMYFUNCTION("""COMPUTED_VALUE"""),21723.0)</f>
        <v>21723</v>
      </c>
      <c r="O1653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53" s="4">
        <f>IFERROR(__xludf.DUMMYFUNCTION("""COMPUTED_VALUE"""),44382.0)</f>
        <v>44382</v>
      </c>
      <c r="Q1653" s="3" t="str">
        <f>IFERROR(__xludf.DUMMYFUNCTION("""COMPUTED_VALUE"""),"A")</f>
        <v>A</v>
      </c>
      <c r="R1653" s="3" t="str">
        <f>IFERROR(__xludf.DUMMYFUNCTION("""COMPUTED_VALUE"""),"Small Format")</f>
        <v>Small Format</v>
      </c>
      <c r="S1653" s="3" t="str">
        <f>IFERROR(__xludf.DUMMYFUNCTION("""COMPUTED_VALUE"""),"BCM")</f>
        <v>BCM</v>
      </c>
      <c r="T1653" s="3" t="str">
        <f>IFERROR(__xludf.DUMMYFUNCTION("""COMPUTED_VALUE"""),"#N/A")</f>
        <v>#N/A</v>
      </c>
      <c r="U1653" s="3" t="str">
        <f>IFERROR(__xludf.DUMMYFUNCTION("""COMPUTED_VALUE"""),"#N/A")</f>
        <v>#N/A</v>
      </c>
      <c r="V1653" s="3" t="str">
        <f>IFERROR(__xludf.DUMMYFUNCTION("""COMPUTED_VALUE"""),"N")</f>
        <v>N</v>
      </c>
      <c r="W1653" s="3">
        <f>IFERROR(__xludf.DUMMYFUNCTION("""COMPUTED_VALUE"""),210385.0)</f>
        <v>210385</v>
      </c>
      <c r="X1653" s="3" t="str">
        <f>IFERROR(__xludf.DUMMYFUNCTION("""COMPUTED_VALUE"""),"85/8 หมู่4 ตำบลเจ๊ะเห อำเภอตากใบ จังหวัดนราธิวาส 96110")</f>
        <v>85/8 หมู่4 ตำบลเจ๊ะเห อำเภอตากใบ จังหวัดนราธิวาส 96110</v>
      </c>
      <c r="Y1653" s="3"/>
      <c r="Z1653" s="3" t="str">
        <f>IFERROR(__xludf.DUMMYFUNCTION("""COMPUTED_VALUE"""),"เจ๊ะเห")</f>
        <v>เจ๊ะเห</v>
      </c>
      <c r="AA1653" s="3" t="str">
        <f>IFERROR(__xludf.DUMMYFUNCTION("""COMPUTED_VALUE"""),"ตากใบ")</f>
        <v>ตากใบ</v>
      </c>
      <c r="AB1653" s="3" t="str">
        <f>IFERROR(__xludf.DUMMYFUNCTION("""COMPUTED_VALUE"""),"นราธิวาส")</f>
        <v>นราธิวาส</v>
      </c>
      <c r="AC1653" s="3">
        <f>IFERROR(__xludf.DUMMYFUNCTION("""COMPUTED_VALUE"""),96110.0)</f>
        <v>96110</v>
      </c>
      <c r="AD1653" s="3">
        <f>IFERROR(__xludf.DUMMYFUNCTION("""COMPUTED_VALUE"""),6.25576)</f>
        <v>6.25576</v>
      </c>
      <c r="AE1653" s="3">
        <f>IFERROR(__xludf.DUMMYFUNCTION("""COMPUTED_VALUE"""),102.049572)</f>
        <v>102.049572</v>
      </c>
      <c r="AF1653" s="3" t="str">
        <f>IFERROR(__xludf.DUMMYFUNCTION("""COMPUTED_VALUE"""),"MBC อำเภอตากใบ นราธิวาส-22339")</f>
        <v>MBC อำเภอตากใบ นราธิวาส-22339</v>
      </c>
      <c r="AG1653" s="3" t="str">
        <f>IFERROR(__xludf.DUMMYFUNCTION("""COMPUTED_VALUE"""),"ใต้")</f>
        <v>ใต้</v>
      </c>
      <c r="AH1653" s="3" t="str">
        <f>IFERROR(__xludf.DUMMYFUNCTION("""COMPUTED_VALUE"""),"#N/A")</f>
        <v>#N/A</v>
      </c>
      <c r="AI1653" s="3" t="str">
        <f>IFERROR(__xludf.DUMMYFUNCTION("""COMPUTED_VALUE"""),"Out of warranty")</f>
        <v>Out of warranty</v>
      </c>
      <c r="AJ1653" s="3">
        <f>IFERROR(__xludf.DUMMYFUNCTION("""COMPUTED_VALUE"""),55.0)</f>
        <v>55</v>
      </c>
      <c r="AK1653" s="3" t="str">
        <f>IFERROR(__xludf.DUMMYFUNCTION("""COMPUTED_VALUE"""),"MMS16")</f>
        <v>MMS16</v>
      </c>
      <c r="AL1653" s="3"/>
    </row>
    <row r="1654" ht="15.75" customHeight="1">
      <c r="A1654" s="1" t="str">
        <f>IFERROR(__xludf.DUMMYFUNCTION("""COMPUTED_VALUE"""),"22340")</f>
        <v>22340</v>
      </c>
      <c r="B1654" s="2">
        <f>IFERROR(__xludf.DUMMYFUNCTION("""COMPUTED_VALUE"""),22340.0)</f>
        <v>22340</v>
      </c>
      <c r="C1654" s="3" t="str">
        <f>IFERROR(__xludf.DUMMYFUNCTION("""COMPUTED_VALUE"""),"MBC เสริมงาม ลำปาง")</f>
        <v>MBC เสริมงาม ลำปาง</v>
      </c>
      <c r="D1654" s="3" t="str">
        <f>IFERROR(__xludf.DUMMYFUNCTION("""COMPUTED_VALUE"""),"BCM SOEM NGAM")</f>
        <v>BCM SOEM NGAM</v>
      </c>
      <c r="E1654" s="1" t="str">
        <f>IFERROR(__xludf.DUMMYFUNCTION("""COMPUTED_VALUE"""),"บิ๊กซี MINI")</f>
        <v>บิ๊กซี MINI</v>
      </c>
      <c r="F1654" s="1" t="str">
        <f>IFERROR(__xludf.DUMMYFUNCTION("""COMPUTED_VALUE"""),"296229")</f>
        <v>296229</v>
      </c>
      <c r="G1654" s="1" t="str">
        <f>IFERROR(__xludf.DUMMYFUNCTION("""COMPUTED_VALUE"""),"นายทนงศักดิ์ บุญมา")</f>
        <v>นายทนงศักดิ์ บุญมา</v>
      </c>
      <c r="H1654" s="1" t="str">
        <f>IFERROR(__xludf.DUMMYFUNCTION("""COMPUTED_VALUE"""),"372826")</f>
        <v>372826</v>
      </c>
      <c r="I1654" s="1" t="str">
        <f>IFERROR(__xludf.DUMMYFUNCTION("""COMPUTED_VALUE"""),"นายพงศกร สุขแก้ว")</f>
        <v>นายพงศกร สุขแก้ว</v>
      </c>
      <c r="J1654" s="3">
        <f>IFERROR(__xludf.DUMMYFUNCTION("""COMPUTED_VALUE"""),2010016.0)</f>
        <v>2010016</v>
      </c>
      <c r="K1654" s="3" t="str">
        <f>IFERROR(__xludf.DUMMYFUNCTION("""COMPUTED_VALUE"""),"นายตวงธรรม ใหม่ยศ")</f>
        <v>นายตวงธรรม ใหม่ยศ</v>
      </c>
      <c r="L1654" s="1" t="str">
        <f>IFERROR(__xludf.DUMMYFUNCTION("""COMPUTED_VALUE"""),"01 K.Tuangtham M.")</f>
        <v>01 K.Tuangtham M.</v>
      </c>
      <c r="M1654" s="1" t="str">
        <f>IFERROR(__xludf.DUMMYFUNCTION("""COMPUTED_VALUE"""),"063-976-595")</f>
        <v>063-976-595</v>
      </c>
      <c r="N1654" s="3">
        <f>IFERROR(__xludf.DUMMYFUNCTION("""COMPUTED_VALUE"""),22574.0)</f>
        <v>22574</v>
      </c>
      <c r="O1654" s="3" t="str">
        <f>IFERROR(__xludf.DUMMYFUNCTION("""COMPUTED_VALUE"""),"BCM ชุมชนศรีชุม ลำปาง")</f>
        <v>BCM ชุมชนศรีชุม ลำปาง</v>
      </c>
      <c r="P1654" s="4">
        <f>IFERROR(__xludf.DUMMYFUNCTION("""COMPUTED_VALUE"""),44388.0)</f>
        <v>44388</v>
      </c>
      <c r="Q1654" s="3" t="str">
        <f>IFERROR(__xludf.DUMMYFUNCTION("""COMPUTED_VALUE"""),"A")</f>
        <v>A</v>
      </c>
      <c r="R1654" s="3" t="str">
        <f>IFERROR(__xludf.DUMMYFUNCTION("""COMPUTED_VALUE"""),"Small Format")</f>
        <v>Small Format</v>
      </c>
      <c r="S1654" s="3" t="str">
        <f>IFERROR(__xludf.DUMMYFUNCTION("""COMPUTED_VALUE"""),"BCM")</f>
        <v>BCM</v>
      </c>
      <c r="T1654" s="3" t="str">
        <f>IFERROR(__xludf.DUMMYFUNCTION("""COMPUTED_VALUE"""),"#N/A")</f>
        <v>#N/A</v>
      </c>
      <c r="U1654" s="3" t="str">
        <f>IFERROR(__xludf.DUMMYFUNCTION("""COMPUTED_VALUE"""),"#N/A")</f>
        <v>#N/A</v>
      </c>
      <c r="V1654" s="3" t="str">
        <f>IFERROR(__xludf.DUMMYFUNCTION("""COMPUTED_VALUE"""),"N")</f>
        <v>N</v>
      </c>
      <c r="W1654" s="3">
        <f>IFERROR(__xludf.DUMMYFUNCTION("""COMPUTED_VALUE"""),210389.0)</f>
        <v>210389</v>
      </c>
      <c r="X1654" s="3" t="str">
        <f>IFERROR(__xludf.DUMMYFUNCTION("""COMPUTED_VALUE"""),"75 หมู่11 ตำบลทุ่งงาม อำเภอเสริมงาม จังหวัดลำปาง 52210")</f>
        <v>75 หมู่11 ตำบลทุ่งงาม อำเภอเสริมงาม จังหวัดลำปาง 52210</v>
      </c>
      <c r="Y1654" s="3"/>
      <c r="Z1654" s="3" t="str">
        <f>IFERROR(__xludf.DUMMYFUNCTION("""COMPUTED_VALUE"""),"ทุ่งงาม")</f>
        <v>ทุ่งงาม</v>
      </c>
      <c r="AA1654" s="3" t="str">
        <f>IFERROR(__xludf.DUMMYFUNCTION("""COMPUTED_VALUE"""),"เสริมงาม")</f>
        <v>เสริมงาม</v>
      </c>
      <c r="AB1654" s="3" t="str">
        <f>IFERROR(__xludf.DUMMYFUNCTION("""COMPUTED_VALUE"""),"ลำปาง")</f>
        <v>ลำปาง</v>
      </c>
      <c r="AC1654" s="3">
        <f>IFERROR(__xludf.DUMMYFUNCTION("""COMPUTED_VALUE"""),52210.0)</f>
        <v>52210</v>
      </c>
      <c r="AD1654" s="3">
        <f>IFERROR(__xludf.DUMMYFUNCTION("""COMPUTED_VALUE"""),18.064414)</f>
        <v>18.064414</v>
      </c>
      <c r="AE1654" s="3">
        <f>IFERROR(__xludf.DUMMYFUNCTION("""COMPUTED_VALUE"""),99.247428)</f>
        <v>99.247428</v>
      </c>
      <c r="AF1654" s="3" t="str">
        <f>IFERROR(__xludf.DUMMYFUNCTION("""COMPUTED_VALUE"""),"MBC เสริมงาม ลำปาง-22340")</f>
        <v>MBC เสริมงาม ลำปาง-22340</v>
      </c>
      <c r="AG1654" s="3" t="str">
        <f>IFERROR(__xludf.DUMMYFUNCTION("""COMPUTED_VALUE"""),"เหนือ")</f>
        <v>เหนือ</v>
      </c>
      <c r="AH1654" s="3" t="str">
        <f>IFERROR(__xludf.DUMMYFUNCTION("""COMPUTED_VALUE"""),"#N/A")</f>
        <v>#N/A</v>
      </c>
      <c r="AI1654" s="3" t="str">
        <f>IFERROR(__xludf.DUMMYFUNCTION("""COMPUTED_VALUE"""),"Out of warranty")</f>
        <v>Out of warranty</v>
      </c>
      <c r="AJ1654" s="3">
        <f>IFERROR(__xludf.DUMMYFUNCTION("""COMPUTED_VALUE"""),55.0)</f>
        <v>55</v>
      </c>
      <c r="AK1654" s="3" t="str">
        <f>IFERROR(__xludf.DUMMYFUNCTION("""COMPUTED_VALUE"""),"MMS10")</f>
        <v>MMS10</v>
      </c>
      <c r="AL1654" s="3"/>
    </row>
    <row r="1655" ht="15.75" customHeight="1">
      <c r="A1655" s="1" t="str">
        <f>IFERROR(__xludf.DUMMYFUNCTION("""COMPUTED_VALUE"""),"22341")</f>
        <v>22341</v>
      </c>
      <c r="B1655" s="2">
        <f>IFERROR(__xludf.DUMMYFUNCTION("""COMPUTED_VALUE"""),22341.0)</f>
        <v>22341</v>
      </c>
      <c r="C1655" s="3" t="str">
        <f>IFERROR(__xludf.DUMMYFUNCTION("""COMPUTED_VALUE"""),"MBC บางบอน5 กรุงเทพฯ")</f>
        <v>MBC บางบอน5 กรุงเทพฯ</v>
      </c>
      <c r="D1655" s="3" t="str">
        <f>IFERROR(__xludf.DUMMYFUNCTION("""COMPUTED_VALUE"""),"MBC BANG BON 5")</f>
        <v>MBC BANG BON 5</v>
      </c>
      <c r="E1655" s="1" t="str">
        <f>IFERROR(__xludf.DUMMYFUNCTION("""COMPUTED_VALUE"""),"บิ๊กซี MINI")</f>
        <v>บิ๊กซี MINI</v>
      </c>
      <c r="F1655" s="1" t="str">
        <f>IFERROR(__xludf.DUMMYFUNCTION("""COMPUTED_VALUE"""),"291008")</f>
        <v>291008</v>
      </c>
      <c r="G1655" s="1" t="str">
        <f>IFERROR(__xludf.DUMMYFUNCTION("""COMPUTED_VALUE"""),"น.ส.รัชดาพร อีศรัตน์")</f>
        <v>น.ส.รัชดาพร อีศรัตน์</v>
      </c>
      <c r="H1655" s="1" t="str">
        <f>IFERROR(__xludf.DUMMYFUNCTION("""COMPUTED_VALUE"""),"250921")</f>
        <v>250921</v>
      </c>
      <c r="I1655" s="1" t="str">
        <f>IFERROR(__xludf.DUMMYFUNCTION("""COMPUTED_VALUE"""),"นายปรัชญาวัต ถิระสังวร")</f>
        <v>นายปรัชญาวัต ถิระสังวร</v>
      </c>
      <c r="J1655" s="3">
        <f>IFERROR(__xludf.DUMMYFUNCTION("""COMPUTED_VALUE"""),2452378.0)</f>
        <v>2452378</v>
      </c>
      <c r="K1655" s="3" t="str">
        <f>IFERROR(__xludf.DUMMYFUNCTION("""COMPUTED_VALUE"""),"นายศักดิ์ดา พวงประดับ")</f>
        <v>นายศักดิ์ดา พวงประดับ</v>
      </c>
      <c r="L1655" s="1" t="str">
        <f>IFERROR(__xludf.DUMMYFUNCTION("""COMPUTED_VALUE"""),"11 K.Sakda P.")</f>
        <v>11 K.Sakda P.</v>
      </c>
      <c r="M1655" s="1" t="str">
        <f>IFERROR(__xludf.DUMMYFUNCTION("""COMPUTED_VALUE"""),"065-929-1279")</f>
        <v>065-929-1279</v>
      </c>
      <c r="N1655" s="3">
        <f>IFERROR(__xludf.DUMMYFUNCTION("""COMPUTED_VALUE"""),21002.0)</f>
        <v>21002</v>
      </c>
      <c r="O1655" s="3" t="str">
        <f>IFERROR(__xludf.DUMMYFUNCTION("""COMPUTED_VALUE"""),"MBC อุดมสุข")</f>
        <v>MBC อุดมสุข</v>
      </c>
      <c r="P1655" s="4">
        <f>IFERROR(__xludf.DUMMYFUNCTION("""COMPUTED_VALUE"""),44388.0)</f>
        <v>44388</v>
      </c>
      <c r="Q1655" s="3" t="str">
        <f>IFERROR(__xludf.DUMMYFUNCTION("""COMPUTED_VALUE"""),"A")</f>
        <v>A</v>
      </c>
      <c r="R1655" s="3" t="str">
        <f>IFERROR(__xludf.DUMMYFUNCTION("""COMPUTED_VALUE"""),"Small Format")</f>
        <v>Small Format</v>
      </c>
      <c r="S1655" s="3" t="str">
        <f>IFERROR(__xludf.DUMMYFUNCTION("""COMPUTED_VALUE"""),"BCM")</f>
        <v>BCM</v>
      </c>
      <c r="T1655" s="3" t="str">
        <f>IFERROR(__xludf.DUMMYFUNCTION("""COMPUTED_VALUE"""),"#N/A")</f>
        <v>#N/A</v>
      </c>
      <c r="U1655" s="3" t="str">
        <f>IFERROR(__xludf.DUMMYFUNCTION("""COMPUTED_VALUE"""),"#N/A")</f>
        <v>#N/A</v>
      </c>
      <c r="V1655" s="3" t="str">
        <f>IFERROR(__xludf.DUMMYFUNCTION("""COMPUTED_VALUE"""),"N")</f>
        <v>N</v>
      </c>
      <c r="W1655" s="3">
        <f>IFERROR(__xludf.DUMMYFUNCTION("""COMPUTED_VALUE"""),210378.0)</f>
        <v>210378</v>
      </c>
      <c r="X1655" s="3" t="str">
        <f>IFERROR(__xludf.DUMMYFUNCTION("""COMPUTED_VALUE"""),"767/1 ถนนมาเจริญ แขวงหนองแขม เขตหนองแขม จังหวัดกรุงเทพมหานคร 10160")</f>
        <v>767/1 ถนนมาเจริญ แขวงหนองแขม เขตหนองแขม จังหวัดกรุงเทพมหานคร 10160</v>
      </c>
      <c r="Y1655" s="3" t="str">
        <f>IFERROR(__xludf.DUMMYFUNCTION("""COMPUTED_VALUE"""),"มาเจริญ")</f>
        <v>มาเจริญ</v>
      </c>
      <c r="Z1655" s="3" t="str">
        <f>IFERROR(__xludf.DUMMYFUNCTION("""COMPUTED_VALUE"""),"หนองแขม")</f>
        <v>หนองแขม</v>
      </c>
      <c r="AA1655" s="3" t="str">
        <f>IFERROR(__xludf.DUMMYFUNCTION("""COMPUTED_VALUE"""),"หนองแขม")</f>
        <v>หนองแขม</v>
      </c>
      <c r="AB1655" s="3" t="str">
        <f>IFERROR(__xludf.DUMMYFUNCTION("""COMPUTED_VALUE"""),"กรุงเทพมหานคร")</f>
        <v>กรุงเทพมหานคร</v>
      </c>
      <c r="AC1655" s="3">
        <f>IFERROR(__xludf.DUMMYFUNCTION("""COMPUTED_VALUE"""),10160.0)</f>
        <v>10160</v>
      </c>
      <c r="AD1655" s="3">
        <f>IFERROR(__xludf.DUMMYFUNCTION("""COMPUTED_VALUE"""),13.66106)</f>
        <v>13.66106</v>
      </c>
      <c r="AE1655" s="3">
        <f>IFERROR(__xludf.DUMMYFUNCTION("""COMPUTED_VALUE"""),100.352597)</f>
        <v>100.352597</v>
      </c>
      <c r="AF1655" s="3" t="str">
        <f>IFERROR(__xludf.DUMMYFUNCTION("""COMPUTED_VALUE"""),"MBC บางบอน5 กรุงเทพฯ-22341")</f>
        <v>MBC บางบอน5 กรุงเทพฯ-22341</v>
      </c>
      <c r="AG1655" s="3" t="str">
        <f>IFERROR(__xludf.DUMMYFUNCTION("""COMPUTED_VALUE"""),"กลาง")</f>
        <v>กลาง</v>
      </c>
      <c r="AH1655" s="3" t="str">
        <f>IFERROR(__xludf.DUMMYFUNCTION("""COMPUTED_VALUE"""),"#N/A")</f>
        <v>#N/A</v>
      </c>
      <c r="AI1655" s="3" t="str">
        <f>IFERROR(__xludf.DUMMYFUNCTION("""COMPUTED_VALUE"""),"Out of warranty")</f>
        <v>Out of warranty</v>
      </c>
      <c r="AJ1655" s="3">
        <f>IFERROR(__xludf.DUMMYFUNCTION("""COMPUTED_VALUE"""),55.0)</f>
        <v>55</v>
      </c>
      <c r="AK1655" s="3" t="str">
        <f>IFERROR(__xludf.DUMMYFUNCTION("""COMPUTED_VALUE"""),"MMS05")</f>
        <v>MMS05</v>
      </c>
      <c r="AL1655" s="3"/>
    </row>
    <row r="1656" ht="15.75" customHeight="1">
      <c r="A1656" s="1" t="str">
        <f>IFERROR(__xludf.DUMMYFUNCTION("""COMPUTED_VALUE"""),"22342")</f>
        <v>22342</v>
      </c>
      <c r="B1656" s="2">
        <f>IFERROR(__xludf.DUMMYFUNCTION("""COMPUTED_VALUE"""),22342.0)</f>
        <v>22342</v>
      </c>
      <c r="C1656" s="3" t="str">
        <f>IFERROR(__xludf.DUMMYFUNCTION("""COMPUTED_VALUE"""),"MBC BCP พุทธมณฑล สาย 5 นครปฐม")</f>
        <v>MBC BCP พุทธมณฑล สาย 5 นครปฐม</v>
      </c>
      <c r="D1656" s="3" t="str">
        <f>IFERROR(__xludf.DUMMYFUNCTION("""COMPUTED_VALUE"""),"BCM BCP PHUTTAMONTHON SAI 5")</f>
        <v>BCM BCP PHUTTAMONTHON SAI 5</v>
      </c>
      <c r="E1656" s="1" t="str">
        <f>IFERROR(__xludf.DUMMYFUNCTION("""COMPUTED_VALUE"""),"บิ๊กซี MINI")</f>
        <v>บิ๊กซี MINI</v>
      </c>
      <c r="F1656" s="1" t="str">
        <f>IFERROR(__xludf.DUMMYFUNCTION("""COMPUTED_VALUE"""),"296229")</f>
        <v>296229</v>
      </c>
      <c r="G1656" s="1" t="str">
        <f>IFERROR(__xludf.DUMMYFUNCTION("""COMPUTED_VALUE"""),"นายทนงศักดิ์ บุญมา")</f>
        <v>นายทนงศักดิ์ บุญมา</v>
      </c>
      <c r="H1656" s="1" t="str">
        <f>IFERROR(__xludf.DUMMYFUNCTION("""COMPUTED_VALUE"""),"295245")</f>
        <v>295245</v>
      </c>
      <c r="I1656" s="1" t="str">
        <f>IFERROR(__xludf.DUMMYFUNCTION("""COMPUTED_VALUE"""),"นายมานะ วงศ์สุโชโต")</f>
        <v>นายมานะ วงศ์สุโชโต</v>
      </c>
      <c r="J1656" s="3">
        <f>IFERROR(__xludf.DUMMYFUNCTION("""COMPUTED_VALUE"""),46214.0)</f>
        <v>46214</v>
      </c>
      <c r="K1656" s="3" t="str">
        <f>IFERROR(__xludf.DUMMYFUNCTION("""COMPUTED_VALUE"""),"นายศักดิ์ชัย เด็ดดอกฟ้า")</f>
        <v>นายศักดิ์ชัย เด็ดดอกฟ้า</v>
      </c>
      <c r="L1656" s="1" t="str">
        <f>IFERROR(__xludf.DUMMYFUNCTION("""COMPUTED_VALUE"""),"02 K.Sakchai D")</f>
        <v>02 K.Sakchai D</v>
      </c>
      <c r="M1656" s="1" t="str">
        <f>IFERROR(__xludf.DUMMYFUNCTION("""COMPUTED_VALUE"""),"065-510-7376")</f>
        <v>065-510-7376</v>
      </c>
      <c r="N1656" s="3">
        <f>IFERROR(__xludf.DUMMYFUNCTION("""COMPUTED_VALUE"""),21714.0)</f>
        <v>21714</v>
      </c>
      <c r="O1656" s="3" t="str">
        <f>IFERROR(__xludf.DUMMYFUNCTION("""COMPUTED_VALUE"""),"MBC เอสโซ่ วัดโบสถ์")</f>
        <v>MBC เอสโซ่ วัดโบสถ์</v>
      </c>
      <c r="P1656" s="4">
        <f>IFERROR(__xludf.DUMMYFUNCTION("""COMPUTED_VALUE"""),44444.0)</f>
        <v>44444</v>
      </c>
      <c r="Q1656" s="3" t="str">
        <f>IFERROR(__xludf.DUMMYFUNCTION("""COMPUTED_VALUE"""),"A")</f>
        <v>A</v>
      </c>
      <c r="R1656" s="3" t="str">
        <f>IFERROR(__xludf.DUMMYFUNCTION("""COMPUTED_VALUE"""),"Small Format")</f>
        <v>Small Format</v>
      </c>
      <c r="S1656" s="3" t="str">
        <f>IFERROR(__xludf.DUMMYFUNCTION("""COMPUTED_VALUE"""),"BCM")</f>
        <v>BCM</v>
      </c>
      <c r="T1656" s="3" t="str">
        <f>IFERROR(__xludf.DUMMYFUNCTION("""COMPUTED_VALUE"""),"#N/A")</f>
        <v>#N/A</v>
      </c>
      <c r="U1656" s="3" t="str">
        <f>IFERROR(__xludf.DUMMYFUNCTION("""COMPUTED_VALUE"""),"#N/A")</f>
        <v>#N/A</v>
      </c>
      <c r="V1656" s="3" t="str">
        <f>IFERROR(__xludf.DUMMYFUNCTION("""COMPUTED_VALUE"""),"N")</f>
        <v>N</v>
      </c>
      <c r="W1656" s="3">
        <f>IFERROR(__xludf.DUMMYFUNCTION("""COMPUTED_VALUE"""),361237.0)</f>
        <v>361237</v>
      </c>
      <c r="X1656" s="3" t="str">
        <f>IFERROR(__xludf.DUMMYFUNCTION("""COMPUTED_VALUE"""),"170/16 หมู่2 ตำบลบางกระทึก อำเภอสามพราน จังหวัดนครปฐม 73210")</f>
        <v>170/16 หมู่2 ตำบลบางกระทึก อำเภอสามพราน จังหวัดนครปฐม 73210</v>
      </c>
      <c r="Y1656" s="3"/>
      <c r="Z1656" s="3" t="str">
        <f>IFERROR(__xludf.DUMMYFUNCTION("""COMPUTED_VALUE"""),"บางกระทึก")</f>
        <v>บางกระทึก</v>
      </c>
      <c r="AA1656" s="3" t="str">
        <f>IFERROR(__xludf.DUMMYFUNCTION("""COMPUTED_VALUE"""),"สามพราน")</f>
        <v>สามพราน</v>
      </c>
      <c r="AB1656" s="3" t="str">
        <f>IFERROR(__xludf.DUMMYFUNCTION("""COMPUTED_VALUE"""),"นครปฐม")</f>
        <v>นครปฐม</v>
      </c>
      <c r="AC1656" s="3">
        <f>IFERROR(__xludf.DUMMYFUNCTION("""COMPUTED_VALUE"""),73210.0)</f>
        <v>73210</v>
      </c>
      <c r="AD1656" s="3">
        <f>IFERROR(__xludf.DUMMYFUNCTION("""COMPUTED_VALUE"""),13.759277)</f>
        <v>13.759277</v>
      </c>
      <c r="AE1656" s="3">
        <f>IFERROR(__xludf.DUMMYFUNCTION("""COMPUTED_VALUE"""),100.301448)</f>
        <v>100.301448</v>
      </c>
      <c r="AF1656" s="3" t="str">
        <f>IFERROR(__xludf.DUMMYFUNCTION("""COMPUTED_VALUE"""),"MBC BCP พุทธมณฑล สาย 5 นครปฐม-22342")</f>
        <v>MBC BCP พุทธมณฑล สาย 5 นครปฐม-22342</v>
      </c>
      <c r="AG1656" s="3" t="str">
        <f>IFERROR(__xludf.DUMMYFUNCTION("""COMPUTED_VALUE"""),"กลาง")</f>
        <v>กลาง</v>
      </c>
      <c r="AH1656" s="3" t="str">
        <f>IFERROR(__xludf.DUMMYFUNCTION("""COMPUTED_VALUE"""),"#N/A")</f>
        <v>#N/A</v>
      </c>
      <c r="AI1656" s="3" t="str">
        <f>IFERROR(__xludf.DUMMYFUNCTION("""COMPUTED_VALUE"""),"Out of warranty")</f>
        <v>Out of warranty</v>
      </c>
      <c r="AJ1656" s="3">
        <f>IFERROR(__xludf.DUMMYFUNCTION("""COMPUTED_VALUE"""),53.0)</f>
        <v>53</v>
      </c>
      <c r="AK1656" s="3" t="str">
        <f>IFERROR(__xludf.DUMMYFUNCTION("""COMPUTED_VALUE"""),"MMS05")</f>
        <v>MMS05</v>
      </c>
      <c r="AL1656" s="3"/>
    </row>
    <row r="1657" ht="15.75" customHeight="1">
      <c r="A1657" s="1" t="str">
        <f>IFERROR(__xludf.DUMMYFUNCTION("""COMPUTED_VALUE"""),"22343")</f>
        <v>22343</v>
      </c>
      <c r="B1657" s="2">
        <f>IFERROR(__xludf.DUMMYFUNCTION("""COMPUTED_VALUE"""),22343.0)</f>
        <v>22343</v>
      </c>
      <c r="C1657" s="3" t="str">
        <f>IFERROR(__xludf.DUMMYFUNCTION("""COMPUTED_VALUE"""),"MBC ซ.แอล เอ ไบซีเคิ้ล นครปฐม")</f>
        <v>MBC ซ.แอล เอ ไบซีเคิ้ล นครปฐม</v>
      </c>
      <c r="D1657" s="3" t="str">
        <f>IFERROR(__xludf.DUMMYFUNCTION("""COMPUTED_VALUE"""),"BCM SOI L.A. BICYCLE")</f>
        <v>BCM SOI L.A. BICYCLE</v>
      </c>
      <c r="E1657" s="1" t="str">
        <f>IFERROR(__xludf.DUMMYFUNCTION("""COMPUTED_VALUE"""),"บิ๊กซี MINI")</f>
        <v>บิ๊กซี MINI</v>
      </c>
      <c r="F1657" s="1" t="str">
        <f>IFERROR(__xludf.DUMMYFUNCTION("""COMPUTED_VALUE"""),"296229")</f>
        <v>296229</v>
      </c>
      <c r="G1657" s="1" t="str">
        <f>IFERROR(__xludf.DUMMYFUNCTION("""COMPUTED_VALUE"""),"นายทนงศักดิ์ บุญมา")</f>
        <v>นายทนงศักดิ์ บุญมา</v>
      </c>
      <c r="H1657" s="1" t="str">
        <f>IFERROR(__xludf.DUMMYFUNCTION("""COMPUTED_VALUE"""),"295245")</f>
        <v>295245</v>
      </c>
      <c r="I1657" s="1" t="str">
        <f>IFERROR(__xludf.DUMMYFUNCTION("""COMPUTED_VALUE"""),"นายมานะ วงศ์สุโชโต")</f>
        <v>นายมานะ วงศ์สุโชโต</v>
      </c>
      <c r="J1657" s="3">
        <f>IFERROR(__xludf.DUMMYFUNCTION("""COMPUTED_VALUE"""),46214.0)</f>
        <v>46214</v>
      </c>
      <c r="K1657" s="3" t="str">
        <f>IFERROR(__xludf.DUMMYFUNCTION("""COMPUTED_VALUE"""),"นายศักดิ์ชัย เด็ดดอกฟ้า")</f>
        <v>นายศักดิ์ชัย เด็ดดอกฟ้า</v>
      </c>
      <c r="L1657" s="1" t="str">
        <f>IFERROR(__xludf.DUMMYFUNCTION("""COMPUTED_VALUE"""),"02 K.Sakchai D")</f>
        <v>02 K.Sakchai D</v>
      </c>
      <c r="M1657" s="1" t="str">
        <f>IFERROR(__xludf.DUMMYFUNCTION("""COMPUTED_VALUE"""),"065-510-7376")</f>
        <v>065-510-7376</v>
      </c>
      <c r="N1657" s="3">
        <f>IFERROR(__xludf.DUMMYFUNCTION("""COMPUTED_VALUE"""),21714.0)</f>
        <v>21714</v>
      </c>
      <c r="O1657" s="3" t="str">
        <f>IFERROR(__xludf.DUMMYFUNCTION("""COMPUTED_VALUE"""),"MBC เอสโซ่ วัดโบสถ์")</f>
        <v>MBC เอสโซ่ วัดโบสถ์</v>
      </c>
      <c r="P1657" s="4">
        <f>IFERROR(__xludf.DUMMYFUNCTION("""COMPUTED_VALUE"""),44395.0)</f>
        <v>44395</v>
      </c>
      <c r="Q1657" s="3" t="str">
        <f>IFERROR(__xludf.DUMMYFUNCTION("""COMPUTED_VALUE"""),"A")</f>
        <v>A</v>
      </c>
      <c r="R1657" s="3" t="str">
        <f>IFERROR(__xludf.DUMMYFUNCTION("""COMPUTED_VALUE"""),"Small Format")</f>
        <v>Small Format</v>
      </c>
      <c r="S1657" s="3" t="str">
        <f>IFERROR(__xludf.DUMMYFUNCTION("""COMPUTED_VALUE"""),"BCM")</f>
        <v>BCM</v>
      </c>
      <c r="T1657" s="3" t="str">
        <f>IFERROR(__xludf.DUMMYFUNCTION("""COMPUTED_VALUE"""),"#N/A")</f>
        <v>#N/A</v>
      </c>
      <c r="U1657" s="3" t="str">
        <f>IFERROR(__xludf.DUMMYFUNCTION("""COMPUTED_VALUE"""),"#N/A")</f>
        <v>#N/A</v>
      </c>
      <c r="V1657" s="3" t="str">
        <f>IFERROR(__xludf.DUMMYFUNCTION("""COMPUTED_VALUE"""),"N")</f>
        <v>N</v>
      </c>
      <c r="W1657" s="3">
        <f>IFERROR(__xludf.DUMMYFUNCTION("""COMPUTED_VALUE"""),210383.0)</f>
        <v>210383</v>
      </c>
      <c r="X1657" s="3" t="str">
        <f>IFERROR(__xludf.DUMMYFUNCTION("""COMPUTED_VALUE"""),"14/273 หมู่4 ตำบลอ้อมใหญ่ อำเภอสามพราน จังหวัดนครปฐม 73160")</f>
        <v>14/273 หมู่4 ตำบลอ้อมใหญ่ อำเภอสามพราน จังหวัดนครปฐม 73160</v>
      </c>
      <c r="Y1657" s="3"/>
      <c r="Z1657" s="3" t="str">
        <f>IFERROR(__xludf.DUMMYFUNCTION("""COMPUTED_VALUE"""),"อ้อมใหญ่")</f>
        <v>อ้อมใหญ่</v>
      </c>
      <c r="AA1657" s="3" t="str">
        <f>IFERROR(__xludf.DUMMYFUNCTION("""COMPUTED_VALUE"""),"สามพราน")</f>
        <v>สามพราน</v>
      </c>
      <c r="AB1657" s="3" t="str">
        <f>IFERROR(__xludf.DUMMYFUNCTION("""COMPUTED_VALUE"""),"นครปฐม")</f>
        <v>นครปฐม</v>
      </c>
      <c r="AC1657" s="3">
        <f>IFERROR(__xludf.DUMMYFUNCTION("""COMPUTED_VALUE"""),73160.0)</f>
        <v>73160</v>
      </c>
      <c r="AD1657" s="3">
        <f>IFERROR(__xludf.DUMMYFUNCTION("""COMPUTED_VALUE"""),13.702417)</f>
        <v>13.702417</v>
      </c>
      <c r="AE1657" s="3">
        <f>IFERROR(__xludf.DUMMYFUNCTION("""COMPUTED_VALUE"""),100.267542)</f>
        <v>100.267542</v>
      </c>
      <c r="AF1657" s="3" t="str">
        <f>IFERROR(__xludf.DUMMYFUNCTION("""COMPUTED_VALUE"""),"MBC ซ.แอล เอ ไบซีเคิ้ล นครปฐม-22343")</f>
        <v>MBC ซ.แอล เอ ไบซีเคิ้ล นครปฐม-22343</v>
      </c>
      <c r="AG1657" s="3" t="str">
        <f>IFERROR(__xludf.DUMMYFUNCTION("""COMPUTED_VALUE"""),"กลาง")</f>
        <v>กลาง</v>
      </c>
      <c r="AH1657" s="3" t="str">
        <f>IFERROR(__xludf.DUMMYFUNCTION("""COMPUTED_VALUE"""),"#N/A")</f>
        <v>#N/A</v>
      </c>
      <c r="AI1657" s="3" t="str">
        <f>IFERROR(__xludf.DUMMYFUNCTION("""COMPUTED_VALUE"""),"Out of warranty")</f>
        <v>Out of warranty</v>
      </c>
      <c r="AJ1657" s="3">
        <f>IFERROR(__xludf.DUMMYFUNCTION("""COMPUTED_VALUE"""),55.0)</f>
        <v>55</v>
      </c>
      <c r="AK1657" s="3" t="str">
        <f>IFERROR(__xludf.DUMMYFUNCTION("""COMPUTED_VALUE"""),"MMS05")</f>
        <v>MMS05</v>
      </c>
      <c r="AL1657" s="3"/>
    </row>
    <row r="1658" ht="15.75" customHeight="1">
      <c r="A1658" s="1" t="str">
        <f>IFERROR(__xludf.DUMMYFUNCTION("""COMPUTED_VALUE"""),"22344")</f>
        <v>22344</v>
      </c>
      <c r="B1658" s="2">
        <f>IFERROR(__xludf.DUMMYFUNCTION("""COMPUTED_VALUE"""),22344.0)</f>
        <v>22344</v>
      </c>
      <c r="C1658" s="3" t="str">
        <f>IFERROR(__xludf.DUMMYFUNCTION("""COMPUTED_VALUE"""),"MBC แยกห้วยไผ่ ราชบุรี")</f>
        <v>MBC แยกห้วยไผ่ ราชบุรี</v>
      </c>
      <c r="D1658" s="3" t="str">
        <f>IFERROR(__xludf.DUMMYFUNCTION("""COMPUTED_VALUE"""),"BCM YEAK HUAI PHAI")</f>
        <v>BCM YEAK HUAI PHAI</v>
      </c>
      <c r="E1658" s="1" t="str">
        <f>IFERROR(__xludf.DUMMYFUNCTION("""COMPUTED_VALUE"""),"บิ๊กซี MINI")</f>
        <v>บิ๊กซี MINI</v>
      </c>
      <c r="F1658" s="1" t="str">
        <f>IFERROR(__xludf.DUMMYFUNCTION("""COMPUTED_VALUE"""),"2083447")</f>
        <v>2083447</v>
      </c>
      <c r="G1658" s="1" t="str">
        <f>IFERROR(__xludf.DUMMYFUNCTION("""COMPUTED_VALUE"""),"นายอนุกูล ศรีลัดดา")</f>
        <v>นายอนุกูล ศรีลัดดา</v>
      </c>
      <c r="H1658" s="1" t="str">
        <f>IFERROR(__xludf.DUMMYFUNCTION("""COMPUTED_VALUE"""),"391191")</f>
        <v>391191</v>
      </c>
      <c r="I1658" s="1" t="str">
        <f>IFERROR(__xludf.DUMMYFUNCTION("""COMPUTED_VALUE"""),"นายวสันต์ สรงพรมทิพย์")</f>
        <v>นายวสันต์ สรงพรมทิพย์</v>
      </c>
      <c r="J1658" s="3">
        <f>IFERROR(__xludf.DUMMYFUNCTION("""COMPUTED_VALUE"""),2451655.0)</f>
        <v>2451655</v>
      </c>
      <c r="K1658" s="3" t="str">
        <f>IFERROR(__xludf.DUMMYFUNCTION("""COMPUTED_VALUE"""),"นายวิษณุพงษ์ ชินบุตร")</f>
        <v>นายวิษณุพงษ์ ชินบุตร</v>
      </c>
      <c r="L1658" s="1" t="str">
        <f>IFERROR(__xludf.DUMMYFUNCTION("""COMPUTED_VALUE"""),"13 K.Wisanupong Ch")</f>
        <v>13 K.Wisanupong Ch</v>
      </c>
      <c r="M1658" s="1" t="str">
        <f>IFERROR(__xludf.DUMMYFUNCTION("""COMPUTED_VALUE"""),"0843374693")</f>
        <v>0843374693</v>
      </c>
      <c r="N1658" s="3">
        <f>IFERROR(__xludf.DUMMYFUNCTION("""COMPUTED_VALUE"""),22729.0)</f>
        <v>22729</v>
      </c>
      <c r="O1658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658" s="4">
        <f>IFERROR(__xludf.DUMMYFUNCTION("""COMPUTED_VALUE"""),44397.0)</f>
        <v>44397</v>
      </c>
      <c r="Q1658" s="3" t="str">
        <f>IFERROR(__xludf.DUMMYFUNCTION("""COMPUTED_VALUE"""),"A")</f>
        <v>A</v>
      </c>
      <c r="R1658" s="3" t="str">
        <f>IFERROR(__xludf.DUMMYFUNCTION("""COMPUTED_VALUE"""),"Small Format")</f>
        <v>Small Format</v>
      </c>
      <c r="S1658" s="3" t="str">
        <f>IFERROR(__xludf.DUMMYFUNCTION("""COMPUTED_VALUE"""),"BCM")</f>
        <v>BCM</v>
      </c>
      <c r="T1658" s="3" t="str">
        <f>IFERROR(__xludf.DUMMYFUNCTION("""COMPUTED_VALUE"""),"#N/A")</f>
        <v>#N/A</v>
      </c>
      <c r="U1658" s="3" t="str">
        <f>IFERROR(__xludf.DUMMYFUNCTION("""COMPUTED_VALUE"""),"#N/A")</f>
        <v>#N/A</v>
      </c>
      <c r="V1658" s="3" t="str">
        <f>IFERROR(__xludf.DUMMYFUNCTION("""COMPUTED_VALUE"""),"N")</f>
        <v>N</v>
      </c>
      <c r="W1658" s="3">
        <f>IFERROR(__xludf.DUMMYFUNCTION("""COMPUTED_VALUE"""),210407.0)</f>
        <v>210407</v>
      </c>
      <c r="X1658" s="3" t="str">
        <f>IFERROR(__xludf.DUMMYFUNCTION("""COMPUTED_VALUE"""),"176 หมู่10 ตำบลเจดีย์หัก อำเภอเมืองราชบุรี จังหวัดราชบุรี 70000")</f>
        <v>176 หมู่10 ตำบลเจดีย์หัก อำเภอเมืองราชบุรี จังหวัดราชบุรี 70000</v>
      </c>
      <c r="Y1658" s="3"/>
      <c r="Z1658" s="3" t="str">
        <f>IFERROR(__xludf.DUMMYFUNCTION("""COMPUTED_VALUE"""),"เจดีย์หัก")</f>
        <v>เจดีย์หัก</v>
      </c>
      <c r="AA1658" s="3" t="str">
        <f>IFERROR(__xludf.DUMMYFUNCTION("""COMPUTED_VALUE"""),"เมือง")</f>
        <v>เมือง</v>
      </c>
      <c r="AB1658" s="3" t="str">
        <f>IFERROR(__xludf.DUMMYFUNCTION("""COMPUTED_VALUE"""),"ราชบุรี")</f>
        <v>ราชบุรี</v>
      </c>
      <c r="AC1658" s="3">
        <f>IFERROR(__xludf.DUMMYFUNCTION("""COMPUTED_VALUE"""),70000.0)</f>
        <v>70000</v>
      </c>
      <c r="AD1658" s="3">
        <f>IFERROR(__xludf.DUMMYFUNCTION("""COMPUTED_VALUE"""),13.526818)</f>
        <v>13.526818</v>
      </c>
      <c r="AE1658" s="3">
        <f>IFERROR(__xludf.DUMMYFUNCTION("""COMPUTED_VALUE"""),99.790627)</f>
        <v>99.790627</v>
      </c>
      <c r="AF1658" s="3" t="str">
        <f>IFERROR(__xludf.DUMMYFUNCTION("""COMPUTED_VALUE"""),"MBC แยกห้วยไผ่ ราชบุรี-22344")</f>
        <v>MBC แยกห้วยไผ่ ราชบุรี-22344</v>
      </c>
      <c r="AG1658" s="3" t="str">
        <f>IFERROR(__xludf.DUMMYFUNCTION("""COMPUTED_VALUE"""),"ตะวันตก")</f>
        <v>ตะวันตก</v>
      </c>
      <c r="AH1658" s="3" t="str">
        <f>IFERROR(__xludf.DUMMYFUNCTION("""COMPUTED_VALUE"""),"#N/A")</f>
        <v>#N/A</v>
      </c>
      <c r="AI1658" s="3" t="str">
        <f>IFERROR(__xludf.DUMMYFUNCTION("""COMPUTED_VALUE"""),"Out of warranty")</f>
        <v>Out of warranty</v>
      </c>
      <c r="AJ1658" s="3">
        <f>IFERROR(__xludf.DUMMYFUNCTION("""COMPUTED_VALUE"""),55.0)</f>
        <v>55</v>
      </c>
      <c r="AK1658" s="3" t="str">
        <f>IFERROR(__xludf.DUMMYFUNCTION("""COMPUTED_VALUE"""),"MMS05")</f>
        <v>MMS05</v>
      </c>
      <c r="AL1658" s="3"/>
    </row>
    <row r="1659" ht="15.75" customHeight="1">
      <c r="A1659" s="1" t="str">
        <f>IFERROR(__xludf.DUMMYFUNCTION("""COMPUTED_VALUE"""),"22345")</f>
        <v>22345</v>
      </c>
      <c r="B1659" s="2">
        <f>IFERROR(__xludf.DUMMYFUNCTION("""COMPUTED_VALUE"""),22345.0)</f>
        <v>22345</v>
      </c>
      <c r="C1659" s="3" t="str">
        <f>IFERROR(__xludf.DUMMYFUNCTION("""COMPUTED_VALUE"""),"MBC สันตินคร(บางนา ตราด สมุทรปราการ")</f>
        <v>MBC สันตินคร(บางนา ตราด สมุทรปราการ</v>
      </c>
      <c r="D1659" s="3" t="str">
        <f>IFERROR(__xludf.DUMMYFUNCTION("""COMPUTED_VALUE"""),"BCM SANTINAKORN")</f>
        <v>BCM SANTINAKORN</v>
      </c>
      <c r="E1659" s="1" t="str">
        <f>IFERROR(__xludf.DUMMYFUNCTION("""COMPUTED_VALUE"""),"บิ๊กซี MINI")</f>
        <v>บิ๊กซี MINI</v>
      </c>
      <c r="F1659" s="1" t="str">
        <f>IFERROR(__xludf.DUMMYFUNCTION("""COMPUTED_VALUE"""),"2083447")</f>
        <v>2083447</v>
      </c>
      <c r="G1659" s="1" t="str">
        <f>IFERROR(__xludf.DUMMYFUNCTION("""COMPUTED_VALUE"""),"นายอนุกูล ศรีลัดดา")</f>
        <v>นายอนุกูล ศรีลัดดา</v>
      </c>
      <c r="H1659" s="1" t="str">
        <f>IFERROR(__xludf.DUMMYFUNCTION("""COMPUTED_VALUE"""),"399107")</f>
        <v>399107</v>
      </c>
      <c r="I1659" s="1" t="str">
        <f>IFERROR(__xludf.DUMMYFUNCTION("""COMPUTED_VALUE"""),"นายรัชระวี กลมแป้น")</f>
        <v>นายรัชระวี กลมแป้น</v>
      </c>
      <c r="J1659" s="3">
        <f>IFERROR(__xludf.DUMMYFUNCTION("""COMPUTED_VALUE"""),510143.0)</f>
        <v>510143</v>
      </c>
      <c r="K1659" s="3" t="str">
        <f>IFERROR(__xludf.DUMMYFUNCTION("""COMPUTED_VALUE"""),"นายธีระวัฒน์ บุญสิทธิ์")</f>
        <v>นายธีระวัฒน์ บุญสิทธิ์</v>
      </c>
      <c r="L1659" s="1" t="str">
        <f>IFERROR(__xludf.DUMMYFUNCTION("""COMPUTED_VALUE"""),"12 K.Theerawat B.")</f>
        <v>12 K.Theerawat B.</v>
      </c>
      <c r="M1659" s="1" t="str">
        <f>IFERROR(__xludf.DUMMYFUNCTION("""COMPUTED_VALUE"""),"0655107379")</f>
        <v>0655107379</v>
      </c>
      <c r="N1659" s="3">
        <f>IFERROR(__xludf.DUMMYFUNCTION("""COMPUTED_VALUE"""),21062.0)</f>
        <v>21062</v>
      </c>
      <c r="O1659" s="3" t="str">
        <f>IFERROR(__xludf.DUMMYFUNCTION("""COMPUTED_VALUE"""),"MBC นิคมนวนคร")</f>
        <v>MBC นิคมนวนคร</v>
      </c>
      <c r="P1659" s="4">
        <f>IFERROR(__xludf.DUMMYFUNCTION("""COMPUTED_VALUE"""),44397.0)</f>
        <v>44397</v>
      </c>
      <c r="Q1659" s="3" t="str">
        <f>IFERROR(__xludf.DUMMYFUNCTION("""COMPUTED_VALUE"""),"A")</f>
        <v>A</v>
      </c>
      <c r="R1659" s="3" t="str">
        <f>IFERROR(__xludf.DUMMYFUNCTION("""COMPUTED_VALUE"""),"Small Format")</f>
        <v>Small Format</v>
      </c>
      <c r="S1659" s="3" t="str">
        <f>IFERROR(__xludf.DUMMYFUNCTION("""COMPUTED_VALUE"""),"BCM")</f>
        <v>BCM</v>
      </c>
      <c r="T1659" s="3" t="str">
        <f>IFERROR(__xludf.DUMMYFUNCTION("""COMPUTED_VALUE"""),"#N/A")</f>
        <v>#N/A</v>
      </c>
      <c r="U1659" s="3" t="str">
        <f>IFERROR(__xludf.DUMMYFUNCTION("""COMPUTED_VALUE"""),"#N/A")</f>
        <v>#N/A</v>
      </c>
      <c r="V1659" s="3" t="str">
        <f>IFERROR(__xludf.DUMMYFUNCTION("""COMPUTED_VALUE"""),"N")</f>
        <v>N</v>
      </c>
      <c r="W1659" s="3">
        <f>IFERROR(__xludf.DUMMYFUNCTION("""COMPUTED_VALUE"""),210393.0)</f>
        <v>210393</v>
      </c>
      <c r="X1659" s="3" t="str">
        <f>IFERROR(__xludf.DUMMYFUNCTION("""COMPUTED_VALUE"""),"11/111 หมู่13 ตำบลบางแก้ว อำเภอบางพลี จังหวัดสมุทรปราการ 10540")</f>
        <v>11/111 หมู่13 ตำบลบางแก้ว อำเภอบางพลี จังหวัดสมุทรปราการ 10540</v>
      </c>
      <c r="Y1659" s="3"/>
      <c r="Z1659" s="3" t="str">
        <f>IFERROR(__xludf.DUMMYFUNCTION("""COMPUTED_VALUE"""),"บางแก้ว")</f>
        <v>บางแก้ว</v>
      </c>
      <c r="AA1659" s="3" t="str">
        <f>IFERROR(__xludf.DUMMYFUNCTION("""COMPUTED_VALUE"""),"บางพลี")</f>
        <v>บางพลี</v>
      </c>
      <c r="AB1659" s="3" t="str">
        <f>IFERROR(__xludf.DUMMYFUNCTION("""COMPUTED_VALUE"""),"สมุทรปราการ")</f>
        <v>สมุทรปราการ</v>
      </c>
      <c r="AC1659" s="3">
        <f>IFERROR(__xludf.DUMMYFUNCTION("""COMPUTED_VALUE"""),10540.0)</f>
        <v>10540</v>
      </c>
      <c r="AD1659" s="3">
        <f>IFERROR(__xludf.DUMMYFUNCTION("""COMPUTED_VALUE"""),13.658585)</f>
        <v>13.658585</v>
      </c>
      <c r="AE1659" s="3">
        <f>IFERROR(__xludf.DUMMYFUNCTION("""COMPUTED_VALUE"""),100.672244)</f>
        <v>100.672244</v>
      </c>
      <c r="AF1659" s="3" t="str">
        <f>IFERROR(__xludf.DUMMYFUNCTION("""COMPUTED_VALUE"""),"MBC สันตินคร(บางนา ตราด สมุทรปราการ-22345")</f>
        <v>MBC สันตินคร(บางนา ตราด สมุทรปราการ-22345</v>
      </c>
      <c r="AG1659" s="3" t="str">
        <f>IFERROR(__xludf.DUMMYFUNCTION("""COMPUTED_VALUE"""),"กลาง")</f>
        <v>กลาง</v>
      </c>
      <c r="AH1659" s="3" t="str">
        <f>IFERROR(__xludf.DUMMYFUNCTION("""COMPUTED_VALUE"""),"#N/A")</f>
        <v>#N/A</v>
      </c>
      <c r="AI1659" s="3" t="str">
        <f>IFERROR(__xludf.DUMMYFUNCTION("""COMPUTED_VALUE"""),"Out of warranty")</f>
        <v>Out of warranty</v>
      </c>
      <c r="AJ1659" s="3">
        <f>IFERROR(__xludf.DUMMYFUNCTION("""COMPUTED_VALUE"""),55.0)</f>
        <v>55</v>
      </c>
      <c r="AK1659" s="3" t="str">
        <f>IFERROR(__xludf.DUMMYFUNCTION("""COMPUTED_VALUE"""),"MMS03")</f>
        <v>MMS03</v>
      </c>
      <c r="AL1659" s="3"/>
    </row>
    <row r="1660" ht="15.75" customHeight="1">
      <c r="A1660" s="1" t="str">
        <f>IFERROR(__xludf.DUMMYFUNCTION("""COMPUTED_VALUE"""),"22346")</f>
        <v>22346</v>
      </c>
      <c r="B1660" s="2">
        <f>IFERROR(__xludf.DUMMYFUNCTION("""COMPUTED_VALUE"""),22346.0)</f>
        <v>22346</v>
      </c>
      <c r="C1660" s="3" t="str">
        <f>IFERROR(__xludf.DUMMYFUNCTION("""COMPUTED_VALUE"""),"MBC ถ.โพธิสาร ขอนแก่น")</f>
        <v>MBC ถ.โพธิสาร ขอนแก่น</v>
      </c>
      <c r="D1660" s="3" t="str">
        <f>IFERROR(__xludf.DUMMYFUNCTION("""COMPUTED_VALUE"""),"BCM THANON PHOTHISARN")</f>
        <v>BCM THANON PHOTHISARN</v>
      </c>
      <c r="E1660" s="1" t="str">
        <f>IFERROR(__xludf.DUMMYFUNCTION("""COMPUTED_VALUE"""),"บิ๊กซี MINI")</f>
        <v>บิ๊กซี MINI</v>
      </c>
      <c r="F1660" s="1" t="str">
        <f>IFERROR(__xludf.DUMMYFUNCTION("""COMPUTED_VALUE"""),"291105")</f>
        <v>291105</v>
      </c>
      <c r="G1660" s="1" t="str">
        <f>IFERROR(__xludf.DUMMYFUNCTION("""COMPUTED_VALUE"""),"นายสราวุฒิ พณิชยกุล")</f>
        <v>นายสราวุฒิ พณิชยกุล</v>
      </c>
      <c r="H1660" s="1" t="str">
        <f>IFERROR(__xludf.DUMMYFUNCTION("""COMPUTED_VALUE"""),"305119")</f>
        <v>305119</v>
      </c>
      <c r="I1660" s="1" t="str">
        <f>IFERROR(__xludf.DUMMYFUNCTION("""COMPUTED_VALUE"""),"นายไชยกร ลีพิบูลย์สวัสดิ์")</f>
        <v>นายไชยกร ลีพิบูลย์สวัสดิ์</v>
      </c>
      <c r="J1660" s="3">
        <f>IFERROR(__xludf.DUMMYFUNCTION("""COMPUTED_VALUE"""),296868.0)</f>
        <v>296868</v>
      </c>
      <c r="K1660" s="3" t="str">
        <f>IFERROR(__xludf.DUMMYFUNCTION("""COMPUTED_VALUE"""),"นายพีระพงษ์ แก้วดวงดี")</f>
        <v>นายพีระพงษ์ แก้วดวงดี</v>
      </c>
      <c r="L1660" s="1" t="str">
        <f>IFERROR(__xludf.DUMMYFUNCTION("""COMPUTED_VALUE"""),"03 K.Peerapong K.")</f>
        <v>03 K.Peerapong K.</v>
      </c>
      <c r="M1660" s="1" t="str">
        <f>IFERROR(__xludf.DUMMYFUNCTION("""COMPUTED_VALUE"""),"089-002-6599")</f>
        <v>089-002-6599</v>
      </c>
      <c r="N1660" s="3">
        <f>IFERROR(__xludf.DUMMYFUNCTION("""COMPUTED_VALUE"""),21946.0)</f>
        <v>21946</v>
      </c>
      <c r="O1660" s="3" t="str">
        <f>IFERROR(__xludf.DUMMYFUNCTION("""COMPUTED_VALUE"""),"MBC เซกา บึงกาฬ")</f>
        <v>MBC เซกา บึงกาฬ</v>
      </c>
      <c r="P1660" s="4">
        <f>IFERROR(__xludf.DUMMYFUNCTION("""COMPUTED_VALUE"""),44399.0)</f>
        <v>44399</v>
      </c>
      <c r="Q1660" s="3" t="str">
        <f>IFERROR(__xludf.DUMMYFUNCTION("""COMPUTED_VALUE"""),"A")</f>
        <v>A</v>
      </c>
      <c r="R1660" s="3" t="str">
        <f>IFERROR(__xludf.DUMMYFUNCTION("""COMPUTED_VALUE"""),"Small Format")</f>
        <v>Small Format</v>
      </c>
      <c r="S1660" s="3" t="str">
        <f>IFERROR(__xludf.DUMMYFUNCTION("""COMPUTED_VALUE"""),"BCM")</f>
        <v>BCM</v>
      </c>
      <c r="T1660" s="3" t="str">
        <f>IFERROR(__xludf.DUMMYFUNCTION("""COMPUTED_VALUE"""),"#N/A")</f>
        <v>#N/A</v>
      </c>
      <c r="U1660" s="3" t="str">
        <f>IFERROR(__xludf.DUMMYFUNCTION("""COMPUTED_VALUE"""),"#N/A")</f>
        <v>#N/A</v>
      </c>
      <c r="V1660" s="3" t="str">
        <f>IFERROR(__xludf.DUMMYFUNCTION("""COMPUTED_VALUE"""),"N")</f>
        <v>N</v>
      </c>
      <c r="W1660" s="3">
        <f>IFERROR(__xludf.DUMMYFUNCTION("""COMPUTED_VALUE"""),210381.0)</f>
        <v>210381</v>
      </c>
      <c r="X1660" s="3" t="str">
        <f>IFERROR(__xludf.DUMMYFUNCTION("""COMPUTED_VALUE"""),"5/15 หมู่2 ตำบลในเมือง อำเภอเมืองขอนแก่น จังหวัดขอนแก่น 40000")</f>
        <v>5/15 หมู่2 ตำบลในเมือง อำเภอเมืองขอนแก่น จังหวัดขอนแก่น 40000</v>
      </c>
      <c r="Y1660" s="3"/>
      <c r="Z1660" s="3" t="str">
        <f>IFERROR(__xludf.DUMMYFUNCTION("""COMPUTED_VALUE"""),"ในเมือง")</f>
        <v>ในเมือง</v>
      </c>
      <c r="AA1660" s="3" t="str">
        <f>IFERROR(__xludf.DUMMYFUNCTION("""COMPUTED_VALUE"""),"เมือง")</f>
        <v>เมือง</v>
      </c>
      <c r="AB1660" s="3" t="str">
        <f>IFERROR(__xludf.DUMMYFUNCTION("""COMPUTED_VALUE"""),"ขอนแก่น")</f>
        <v>ขอนแก่น</v>
      </c>
      <c r="AC1660" s="3">
        <f>IFERROR(__xludf.DUMMYFUNCTION("""COMPUTED_VALUE"""),40000.0)</f>
        <v>40000</v>
      </c>
      <c r="AD1660" s="3">
        <f>IFERROR(__xludf.DUMMYFUNCTION("""COMPUTED_VALUE"""),16.418759)</f>
        <v>16.418759</v>
      </c>
      <c r="AE1660" s="3">
        <f>IFERROR(__xludf.DUMMYFUNCTION("""COMPUTED_VALUE"""),102.840975)</f>
        <v>102.840975</v>
      </c>
      <c r="AF1660" s="3" t="str">
        <f>IFERROR(__xludf.DUMMYFUNCTION("""COMPUTED_VALUE"""),"MBC ถ.โพธิสาร ขอนแก่น-22346")</f>
        <v>MBC ถ.โพธิสาร ขอนแก่น-22346</v>
      </c>
      <c r="AG1660" s="3" t="str">
        <f>IFERROR(__xludf.DUMMYFUNCTION("""COMPUTED_VALUE"""),"ตะวันออกเฉียงเหนือ")</f>
        <v>ตะวันออกเฉียงเหนือ</v>
      </c>
      <c r="AH1660" s="3" t="str">
        <f>IFERROR(__xludf.DUMMYFUNCTION("""COMPUTED_VALUE"""),"#N/A")</f>
        <v>#N/A</v>
      </c>
      <c r="AI1660" s="3" t="str">
        <f>IFERROR(__xludf.DUMMYFUNCTION("""COMPUTED_VALUE"""),"Out of warranty")</f>
        <v>Out of warranty</v>
      </c>
      <c r="AJ1660" s="3">
        <f>IFERROR(__xludf.DUMMYFUNCTION("""COMPUTED_VALUE"""),54.0)</f>
        <v>54</v>
      </c>
      <c r="AK1660" s="3" t="str">
        <f>IFERROR(__xludf.DUMMYFUNCTION("""COMPUTED_VALUE"""),"MMS12")</f>
        <v>MMS12</v>
      </c>
      <c r="AL1660" s="3"/>
    </row>
    <row r="1661" ht="15.75" customHeight="1">
      <c r="A1661" s="1" t="str">
        <f>IFERROR(__xludf.DUMMYFUNCTION("""COMPUTED_VALUE"""),"22347")</f>
        <v>22347</v>
      </c>
      <c r="B1661" s="2">
        <f>IFERROR(__xludf.DUMMYFUNCTION("""COMPUTED_VALUE"""),22347.0)</f>
        <v>22347</v>
      </c>
      <c r="C1661" s="3" t="str">
        <f>IFERROR(__xludf.DUMMYFUNCTION("""COMPUTED_VALUE"""),"MBC อ.สุไหงปาดี นราธิวาส")</f>
        <v>MBC อ.สุไหงปาดี นราธิวาส</v>
      </c>
      <c r="D1661" s="3" t="str">
        <f>IFERROR(__xludf.DUMMYFUNCTION("""COMPUTED_VALUE"""),"BCM AMPHUR SU-NGAI PADI")</f>
        <v>BCM AMPHUR SU-NGAI PADI</v>
      </c>
      <c r="E1661" s="1" t="str">
        <f>IFERROR(__xludf.DUMMYFUNCTION("""COMPUTED_VALUE"""),"บิ๊กซี MINI")</f>
        <v>บิ๊กซี MINI</v>
      </c>
      <c r="F1661" s="1" t="str">
        <f>IFERROR(__xludf.DUMMYFUNCTION("""COMPUTED_VALUE"""),"250760")</f>
        <v>250760</v>
      </c>
      <c r="G1661" s="1" t="str">
        <f>IFERROR(__xludf.DUMMYFUNCTION("""COMPUTED_VALUE"""),"นายประทวน สาราบรรณ์")</f>
        <v>นายประทวน สาราบรรณ์</v>
      </c>
      <c r="H1661" s="1" t="str">
        <f>IFERROR(__xludf.DUMMYFUNCTION("""COMPUTED_VALUE"""),"006583")</f>
        <v>006583</v>
      </c>
      <c r="I1661" s="1" t="str">
        <f>IFERROR(__xludf.DUMMYFUNCTION("""COMPUTED_VALUE"""),"นายเด่น ยะอิง")</f>
        <v>นายเด่น ยะอิง</v>
      </c>
      <c r="J1661" s="3">
        <f>IFERROR(__xludf.DUMMYFUNCTION("""COMPUTED_VALUE"""),2.0470331E7)</f>
        <v>20470331</v>
      </c>
      <c r="K1661" s="3" t="str">
        <f>IFERROR(__xludf.DUMMYFUNCTION("""COMPUTED_VALUE"""),"นายสมชาย ลักษณะสุวรรณ")</f>
        <v>นายสมชาย ลักษณะสุวรรณ</v>
      </c>
      <c r="L1661" s="1" t="str">
        <f>IFERROR(__xludf.DUMMYFUNCTION("""COMPUTED_VALUE"""),"15 K.Somchai L")</f>
        <v>15 K.Somchai L</v>
      </c>
      <c r="M1661" s="1" t="str">
        <f>IFERROR(__xludf.DUMMYFUNCTION("""COMPUTED_VALUE"""),"0655107372")</f>
        <v>0655107372</v>
      </c>
      <c r="N1661" s="3">
        <f>IFERROR(__xludf.DUMMYFUNCTION("""COMPUTED_VALUE"""),21723.0)</f>
        <v>21723</v>
      </c>
      <c r="O166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61" s="4">
        <f>IFERROR(__xludf.DUMMYFUNCTION("""COMPUTED_VALUE"""),44400.0)</f>
        <v>44400</v>
      </c>
      <c r="Q1661" s="3" t="str">
        <f>IFERROR(__xludf.DUMMYFUNCTION("""COMPUTED_VALUE"""),"A")</f>
        <v>A</v>
      </c>
      <c r="R1661" s="3" t="str">
        <f>IFERROR(__xludf.DUMMYFUNCTION("""COMPUTED_VALUE"""),"Small Format")</f>
        <v>Small Format</v>
      </c>
      <c r="S1661" s="3" t="str">
        <f>IFERROR(__xludf.DUMMYFUNCTION("""COMPUTED_VALUE"""),"BCM")</f>
        <v>BCM</v>
      </c>
      <c r="T1661" s="3" t="str">
        <f>IFERROR(__xludf.DUMMYFUNCTION("""COMPUTED_VALUE"""),"#N/A")</f>
        <v>#N/A</v>
      </c>
      <c r="U1661" s="3" t="str">
        <f>IFERROR(__xludf.DUMMYFUNCTION("""COMPUTED_VALUE"""),"#N/A")</f>
        <v>#N/A</v>
      </c>
      <c r="V1661" s="3" t="str">
        <f>IFERROR(__xludf.DUMMYFUNCTION("""COMPUTED_VALUE"""),"N")</f>
        <v>N</v>
      </c>
      <c r="W1661" s="3">
        <f>IFERROR(__xludf.DUMMYFUNCTION("""COMPUTED_VALUE"""),210398.0)</f>
        <v>210398</v>
      </c>
      <c r="X1661" s="3" t="str">
        <f>IFERROR(__xludf.DUMMYFUNCTION("""COMPUTED_VALUE"""),"248 ถนนจารุเสถียร ตำบลปะลุรู อำเภอสุไหงปาดี จังหวัดนราธิวาส 96140")</f>
        <v>248 ถนนจารุเสถียร ตำบลปะลุรู อำเภอสุไหงปาดี จังหวัดนราธิวาส 96140</v>
      </c>
      <c r="Y1661" s="3" t="str">
        <f>IFERROR(__xludf.DUMMYFUNCTION("""COMPUTED_VALUE"""),"จารุเสถียร")</f>
        <v>จารุเสถียร</v>
      </c>
      <c r="Z1661" s="3" t="str">
        <f>IFERROR(__xludf.DUMMYFUNCTION("""COMPUTED_VALUE"""),"ปะลุรู")</f>
        <v>ปะลุรู</v>
      </c>
      <c r="AA1661" s="3" t="str">
        <f>IFERROR(__xludf.DUMMYFUNCTION("""COMPUTED_VALUE"""),"สุไหงปาดี")</f>
        <v>สุไหงปาดี</v>
      </c>
      <c r="AB1661" s="3" t="str">
        <f>IFERROR(__xludf.DUMMYFUNCTION("""COMPUTED_VALUE"""),"นราธิวาส")</f>
        <v>นราธิวาส</v>
      </c>
      <c r="AC1661" s="3">
        <f>IFERROR(__xludf.DUMMYFUNCTION("""COMPUTED_VALUE"""),96140.0)</f>
        <v>96140</v>
      </c>
      <c r="AD1661" s="3">
        <f>IFERROR(__xludf.DUMMYFUNCTION("""COMPUTED_VALUE"""),6.085454)</f>
        <v>6.085454</v>
      </c>
      <c r="AE1661" s="3">
        <f>IFERROR(__xludf.DUMMYFUNCTION("""COMPUTED_VALUE"""),101.878984)</f>
        <v>101.878984</v>
      </c>
      <c r="AF1661" s="3" t="str">
        <f>IFERROR(__xludf.DUMMYFUNCTION("""COMPUTED_VALUE"""),"MBC อ.สุไหงปาดี นราธิวาส-22347")</f>
        <v>MBC อ.สุไหงปาดี นราธิวาส-22347</v>
      </c>
      <c r="AG1661" s="3" t="str">
        <f>IFERROR(__xludf.DUMMYFUNCTION("""COMPUTED_VALUE"""),"ใต้")</f>
        <v>ใต้</v>
      </c>
      <c r="AH1661" s="3" t="str">
        <f>IFERROR(__xludf.DUMMYFUNCTION("""COMPUTED_VALUE"""),"#N/A")</f>
        <v>#N/A</v>
      </c>
      <c r="AI1661" s="3" t="str">
        <f>IFERROR(__xludf.DUMMYFUNCTION("""COMPUTED_VALUE"""),"Out of warranty")</f>
        <v>Out of warranty</v>
      </c>
      <c r="AJ1661" s="3">
        <f>IFERROR(__xludf.DUMMYFUNCTION("""COMPUTED_VALUE"""),54.0)</f>
        <v>54</v>
      </c>
      <c r="AK1661" s="3" t="str">
        <f>IFERROR(__xludf.DUMMYFUNCTION("""COMPUTED_VALUE"""),"MMS16")</f>
        <v>MMS16</v>
      </c>
      <c r="AL1661" s="3"/>
    </row>
    <row r="1662" ht="15.75" customHeight="1">
      <c r="A1662" s="1" t="str">
        <f>IFERROR(__xludf.DUMMYFUNCTION("""COMPUTED_VALUE"""),"22348")</f>
        <v>22348</v>
      </c>
      <c r="B1662" s="2">
        <f>IFERROR(__xludf.DUMMYFUNCTION("""COMPUTED_VALUE"""),22348.0)</f>
        <v>22348</v>
      </c>
      <c r="C1662" s="3" t="str">
        <f>IFERROR(__xludf.DUMMYFUNCTION("""COMPUTED_VALUE"""),"MBC เพชรเกษม 28 กรุงเทพฯ")</f>
        <v>MBC เพชรเกษม 28 กรุงเทพฯ</v>
      </c>
      <c r="D1662" s="3" t="str">
        <f>IFERROR(__xludf.DUMMYFUNCTION("""COMPUTED_VALUE"""),"BCM PHET KASEM 28")</f>
        <v>BCM PHET KASEM 28</v>
      </c>
      <c r="E1662" s="1" t="str">
        <f>IFERROR(__xludf.DUMMYFUNCTION("""COMPUTED_VALUE"""),"บิ๊กซี MINI")</f>
        <v>บิ๊กซี MINI</v>
      </c>
      <c r="F1662" s="1" t="str">
        <f>IFERROR(__xludf.DUMMYFUNCTION("""COMPUTED_VALUE"""),"291008")</f>
        <v>291008</v>
      </c>
      <c r="G1662" s="1" t="str">
        <f>IFERROR(__xludf.DUMMYFUNCTION("""COMPUTED_VALUE"""),"น.ส.รัชดาพร อีศรัตน์")</f>
        <v>น.ส.รัชดาพร อีศรัตน์</v>
      </c>
      <c r="H1662" s="1" t="str">
        <f>IFERROR(__xludf.DUMMYFUNCTION("""COMPUTED_VALUE"""),"291101")</f>
        <v>291101</v>
      </c>
      <c r="I1662" s="1" t="str">
        <f>IFERROR(__xludf.DUMMYFUNCTION("""COMPUTED_VALUE"""),"นายจักรพงศ์ โพธิ์ศรี")</f>
        <v>นายจักรพงศ์ โพธิ์ศรี</v>
      </c>
      <c r="J1662" s="3">
        <f>IFERROR(__xludf.DUMMYFUNCTION("""COMPUTED_VALUE"""),296608.0)</f>
        <v>296608</v>
      </c>
      <c r="K1662" s="3" t="str">
        <f>IFERROR(__xludf.DUMMYFUNCTION("""COMPUTED_VALUE"""),"นายภาคภูมิ เพ็ชรนิล")</f>
        <v>นายภาคภูมิ เพ็ชรนิล</v>
      </c>
      <c r="L1662" s="1" t="str">
        <f>IFERROR(__xludf.DUMMYFUNCTION("""COMPUTED_VALUE"""),"10 K.Phakphoom P.")</f>
        <v>10 K.Phakphoom P.</v>
      </c>
      <c r="M1662" s="1" t="str">
        <f>IFERROR(__xludf.DUMMYFUNCTION("""COMPUTED_VALUE"""),"063-8955329")</f>
        <v>063-8955329</v>
      </c>
      <c r="N1662" s="3">
        <f>IFERROR(__xludf.DUMMYFUNCTION("""COMPUTED_VALUE"""),22584.0)</f>
        <v>22584</v>
      </c>
      <c r="O1662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662" s="4">
        <f>IFERROR(__xludf.DUMMYFUNCTION("""COMPUTED_VALUE"""),44439.0)</f>
        <v>44439</v>
      </c>
      <c r="Q1662" s="3" t="str">
        <f>IFERROR(__xludf.DUMMYFUNCTION("""COMPUTED_VALUE"""),"A")</f>
        <v>A</v>
      </c>
      <c r="R1662" s="3" t="str">
        <f>IFERROR(__xludf.DUMMYFUNCTION("""COMPUTED_VALUE"""),"Small Format")</f>
        <v>Small Format</v>
      </c>
      <c r="S1662" s="3" t="str">
        <f>IFERROR(__xludf.DUMMYFUNCTION("""COMPUTED_VALUE"""),"BCM")</f>
        <v>BCM</v>
      </c>
      <c r="T1662" s="3" t="str">
        <f>IFERROR(__xludf.DUMMYFUNCTION("""COMPUTED_VALUE"""),"#N/A")</f>
        <v>#N/A</v>
      </c>
      <c r="U1662" s="3" t="str">
        <f>IFERROR(__xludf.DUMMYFUNCTION("""COMPUTED_VALUE"""),"#N/A")</f>
        <v>#N/A</v>
      </c>
      <c r="V1662" s="3" t="str">
        <f>IFERROR(__xludf.DUMMYFUNCTION("""COMPUTED_VALUE"""),"N")</f>
        <v>N</v>
      </c>
      <c r="W1662" s="3">
        <f>IFERROR(__xludf.DUMMYFUNCTION("""COMPUTED_VALUE"""),210379.0)</f>
        <v>210379</v>
      </c>
      <c r="X1662" s="3" t="str">
        <f>IFERROR(__xludf.DUMMYFUNCTION("""COMPUTED_VALUE"""),"192 ถนนเพชรเกษม แขวงปากคลองภาษีเจริญ เขตภาษีเจริญ จังหวัดกรุงเทพมหานคร 10160")</f>
        <v>192 ถนนเพชรเกษม แขวงปากคลองภาษีเจริญ เขตภาษีเจริญ จังหวัดกรุงเทพมหานคร 10160</v>
      </c>
      <c r="Y1662" s="3"/>
      <c r="Z1662" s="3" t="str">
        <f>IFERROR(__xludf.DUMMYFUNCTION("""COMPUTED_VALUE"""),"ปากคลองภาษีเจริญ")</f>
        <v>ปากคลองภาษีเจริญ</v>
      </c>
      <c r="AA1662" s="3" t="str">
        <f>IFERROR(__xludf.DUMMYFUNCTION("""COMPUTED_VALUE"""),"ภาษีเจริญ")</f>
        <v>ภาษีเจริญ</v>
      </c>
      <c r="AB1662" s="3" t="str">
        <f>IFERROR(__xludf.DUMMYFUNCTION("""COMPUTED_VALUE"""),"กรุงเทพมหานคร")</f>
        <v>กรุงเทพมหานคร</v>
      </c>
      <c r="AC1662" s="3">
        <f>IFERROR(__xludf.DUMMYFUNCTION("""COMPUTED_VALUE"""),10160.0)</f>
        <v>10160</v>
      </c>
      <c r="AD1662" s="3">
        <f>IFERROR(__xludf.DUMMYFUNCTION("""COMPUTED_VALUE"""),13.722911)</f>
        <v>13.722911</v>
      </c>
      <c r="AE1662" s="3">
        <f>IFERROR(__xludf.DUMMYFUNCTION("""COMPUTED_VALUE"""),100.461791)</f>
        <v>100.461791</v>
      </c>
      <c r="AF1662" s="3" t="str">
        <f>IFERROR(__xludf.DUMMYFUNCTION("""COMPUTED_VALUE"""),"MBC เพชรเกษม 28 กรุงเทพฯ-22348")</f>
        <v>MBC เพชรเกษม 28 กรุงเทพฯ-22348</v>
      </c>
      <c r="AG1662" s="3" t="str">
        <f>IFERROR(__xludf.DUMMYFUNCTION("""COMPUTED_VALUE"""),"กลาง")</f>
        <v>กลาง</v>
      </c>
      <c r="AH1662" s="3" t="str">
        <f>IFERROR(__xludf.DUMMYFUNCTION("""COMPUTED_VALUE"""),"#N/A")</f>
        <v>#N/A</v>
      </c>
      <c r="AI1662" s="3" t="str">
        <f>IFERROR(__xludf.DUMMYFUNCTION("""COMPUTED_VALUE"""),"Out of warranty")</f>
        <v>Out of warranty</v>
      </c>
      <c r="AJ1662" s="3">
        <f>IFERROR(__xludf.DUMMYFUNCTION("""COMPUTED_VALUE"""),53.0)</f>
        <v>53</v>
      </c>
      <c r="AK1662" s="3" t="str">
        <f>IFERROR(__xludf.DUMMYFUNCTION("""COMPUTED_VALUE"""),"MMS02")</f>
        <v>MMS02</v>
      </c>
      <c r="AL1662" s="3"/>
    </row>
    <row r="1663" ht="15.75" customHeight="1">
      <c r="A1663" s="1" t="str">
        <f>IFERROR(__xludf.DUMMYFUNCTION("""COMPUTED_VALUE"""),"22349")</f>
        <v>22349</v>
      </c>
      <c r="B1663" s="2">
        <f>IFERROR(__xludf.DUMMYFUNCTION("""COMPUTED_VALUE"""),22349.0)</f>
        <v>22349</v>
      </c>
      <c r="C1663" s="3" t="str">
        <f>IFERROR(__xludf.DUMMYFUNCTION("""COMPUTED_VALUE"""),"MBC ต้นเหรียง นครศรีธรรมราช")</f>
        <v>MBC ต้นเหรียง นครศรีธรรมราช</v>
      </c>
      <c r="D1663" s="3" t="str">
        <f>IFERROR(__xludf.DUMMYFUNCTION("""COMPUTED_VALUE"""),"BCM TON RIANG")</f>
        <v>BCM TON RIANG</v>
      </c>
      <c r="E1663" s="1" t="str">
        <f>IFERROR(__xludf.DUMMYFUNCTION("""COMPUTED_VALUE"""),"บิ๊กซี MINI")</f>
        <v>บิ๊กซี MINI</v>
      </c>
      <c r="F1663" s="1" t="str">
        <f>IFERROR(__xludf.DUMMYFUNCTION("""COMPUTED_VALUE"""),"250760")</f>
        <v>250760</v>
      </c>
      <c r="G1663" s="1" t="str">
        <f>IFERROR(__xludf.DUMMYFUNCTION("""COMPUTED_VALUE"""),"นายประทวน สาราบรรณ์")</f>
        <v>นายประทวน สาราบรรณ์</v>
      </c>
      <c r="H1663" s="1" t="str">
        <f>IFERROR(__xludf.DUMMYFUNCTION("""COMPUTED_VALUE"""),"356760")</f>
        <v>356760</v>
      </c>
      <c r="I1663" s="1" t="str">
        <f>IFERROR(__xludf.DUMMYFUNCTION("""COMPUTED_VALUE"""),"นายภูมิภัทร แก้วพรรณราย")</f>
        <v>นายภูมิภัทร แก้วพรรณราย</v>
      </c>
      <c r="J1663" s="3">
        <f>IFERROR(__xludf.DUMMYFUNCTION("""COMPUTED_VALUE"""),25324.0)</f>
        <v>25324</v>
      </c>
      <c r="K1663" s="3" t="str">
        <f>IFERROR(__xludf.DUMMYFUNCTION("""COMPUTED_VALUE"""),"นายวิเชฎฐ์ ติรัตนะประคม")</f>
        <v>นายวิเชฎฐ์ ติรัตนะประคม</v>
      </c>
      <c r="L1663" s="1" t="str">
        <f>IFERROR(__xludf.DUMMYFUNCTION("""COMPUTED_VALUE"""),"14 K.Wichet T.")</f>
        <v>14 K.Wichet T.</v>
      </c>
      <c r="M1663" s="1" t="str">
        <f>IFERROR(__xludf.DUMMYFUNCTION("""COMPUTED_VALUE"""),"061-417-6569 / 086-445-5636")</f>
        <v>061-417-6569 / 086-445-5636</v>
      </c>
      <c r="N1663" s="3">
        <f>IFERROR(__xludf.DUMMYFUNCTION("""COMPUTED_VALUE"""),22658.0)</f>
        <v>22658</v>
      </c>
      <c r="O1663" s="3" t="str">
        <f>IFERROR(__xludf.DUMMYFUNCTION("""COMPUTED_VALUE"""),"BCM ถ.วิรัชหงษ์หยก ภูเก็ต")</f>
        <v>BCM ถ.วิรัชหงษ์หยก ภูเก็ต</v>
      </c>
      <c r="P1663" s="4">
        <f>IFERROR(__xludf.DUMMYFUNCTION("""COMPUTED_VALUE"""),44403.0)</f>
        <v>44403</v>
      </c>
      <c r="Q1663" s="3" t="str">
        <f>IFERROR(__xludf.DUMMYFUNCTION("""COMPUTED_VALUE"""),"A")</f>
        <v>A</v>
      </c>
      <c r="R1663" s="3" t="str">
        <f>IFERROR(__xludf.DUMMYFUNCTION("""COMPUTED_VALUE"""),"Small Format")</f>
        <v>Small Format</v>
      </c>
      <c r="S1663" s="3" t="str">
        <f>IFERROR(__xludf.DUMMYFUNCTION("""COMPUTED_VALUE"""),"BCM")</f>
        <v>BCM</v>
      </c>
      <c r="T1663" s="3" t="str">
        <f>IFERROR(__xludf.DUMMYFUNCTION("""COMPUTED_VALUE"""),"#N/A")</f>
        <v>#N/A</v>
      </c>
      <c r="U1663" s="3" t="str">
        <f>IFERROR(__xludf.DUMMYFUNCTION("""COMPUTED_VALUE"""),"#N/A")</f>
        <v>#N/A</v>
      </c>
      <c r="V1663" s="3" t="str">
        <f>IFERROR(__xludf.DUMMYFUNCTION("""COMPUTED_VALUE"""),"N")</f>
        <v>N</v>
      </c>
      <c r="W1663" s="3">
        <f>IFERROR(__xludf.DUMMYFUNCTION("""COMPUTED_VALUE"""),210397.0)</f>
        <v>210397</v>
      </c>
      <c r="X1663" s="3" t="str">
        <f>IFERROR(__xludf.DUMMYFUNCTION("""COMPUTED_VALUE"""),"424 หมู่10 ตำบลเสาเภา อำเภอสีชล จังหวัดนครศรีธรรมราช 80340")</f>
        <v>424 หมู่10 ตำบลเสาเภา อำเภอสีชล จังหวัดนครศรีธรรมราช 80340</v>
      </c>
      <c r="Y1663" s="3"/>
      <c r="Z1663" s="3" t="str">
        <f>IFERROR(__xludf.DUMMYFUNCTION("""COMPUTED_VALUE"""),"เสาเภา")</f>
        <v>เสาเภา</v>
      </c>
      <c r="AA1663" s="3" t="str">
        <f>IFERROR(__xludf.DUMMYFUNCTION("""COMPUTED_VALUE"""),"สิชล")</f>
        <v>สิชล</v>
      </c>
      <c r="AB1663" s="3" t="str">
        <f>IFERROR(__xludf.DUMMYFUNCTION("""COMPUTED_VALUE"""),"นครศรีธรรมราช")</f>
        <v>นครศรีธรรมราช</v>
      </c>
      <c r="AC1663" s="3">
        <f>IFERROR(__xludf.DUMMYFUNCTION("""COMPUTED_VALUE"""),80340.0)</f>
        <v>80340</v>
      </c>
      <c r="AD1663" s="3">
        <f>IFERROR(__xludf.DUMMYFUNCTION("""COMPUTED_VALUE"""),8.903257)</f>
        <v>8.903257</v>
      </c>
      <c r="AE1663" s="3">
        <f>IFERROR(__xludf.DUMMYFUNCTION("""COMPUTED_VALUE"""),99.900206)</f>
        <v>99.900206</v>
      </c>
      <c r="AF1663" s="3" t="str">
        <f>IFERROR(__xludf.DUMMYFUNCTION("""COMPUTED_VALUE"""),"MBC ต้นเหรียง นครศรีธรรมราช-22349")</f>
        <v>MBC ต้นเหรียง นครศรีธรรมราช-22349</v>
      </c>
      <c r="AG1663" s="3" t="str">
        <f>IFERROR(__xludf.DUMMYFUNCTION("""COMPUTED_VALUE"""),"ใต้")</f>
        <v>ใต้</v>
      </c>
      <c r="AH1663" s="3" t="str">
        <f>IFERROR(__xludf.DUMMYFUNCTION("""COMPUTED_VALUE"""),"#N/A")</f>
        <v>#N/A</v>
      </c>
      <c r="AI1663" s="3" t="str">
        <f>IFERROR(__xludf.DUMMYFUNCTION("""COMPUTED_VALUE"""),"Out of warranty")</f>
        <v>Out of warranty</v>
      </c>
      <c r="AJ1663" s="3">
        <f>IFERROR(__xludf.DUMMYFUNCTION("""COMPUTED_VALUE"""),54.0)</f>
        <v>54</v>
      </c>
      <c r="AK1663" s="3" t="str">
        <f>IFERROR(__xludf.DUMMYFUNCTION("""COMPUTED_VALUE"""),"MMS15")</f>
        <v>MMS15</v>
      </c>
      <c r="AL1663" s="3"/>
    </row>
    <row r="1664" ht="15.75" customHeight="1">
      <c r="A1664" s="1" t="str">
        <f>IFERROR(__xludf.DUMMYFUNCTION("""COMPUTED_VALUE"""),"22350")</f>
        <v>22350</v>
      </c>
      <c r="B1664" s="2">
        <f>IFERROR(__xludf.DUMMYFUNCTION("""COMPUTED_VALUE"""),22350.0)</f>
        <v>22350</v>
      </c>
      <c r="C1664" s="3" t="str">
        <f>IFERROR(__xludf.DUMMYFUNCTION("""COMPUTED_VALUE"""),"MBC หนองน้ำเย็น ระยอง")</f>
        <v>MBC หนองน้ำเย็น ระยอง</v>
      </c>
      <c r="D1664" s="3" t="str">
        <f>IFERROR(__xludf.DUMMYFUNCTION("""COMPUTED_VALUE"""),"BCM NONGNAMYEN")</f>
        <v>BCM NONGNAMYEN</v>
      </c>
      <c r="E1664" s="1" t="str">
        <f>IFERROR(__xludf.DUMMYFUNCTION("""COMPUTED_VALUE"""),"บิ๊กซี MINI")</f>
        <v>บิ๊กซี MINI</v>
      </c>
      <c r="F1664" s="1" t="str">
        <f>IFERROR(__xludf.DUMMYFUNCTION("""COMPUTED_VALUE"""),"221716")</f>
        <v>221716</v>
      </c>
      <c r="G1664" s="1" t="str">
        <f>IFERROR(__xludf.DUMMYFUNCTION("""COMPUTED_VALUE"""),"น.ส.เบญจพร โพธิสาร")</f>
        <v>น.ส.เบญจพร โพธิสาร</v>
      </c>
      <c r="H1664" s="1" t="str">
        <f>IFERROR(__xludf.DUMMYFUNCTION("""COMPUTED_VALUE"""),"359233")</f>
        <v>359233</v>
      </c>
      <c r="I1664" s="1" t="str">
        <f>IFERROR(__xludf.DUMMYFUNCTION("""COMPUTED_VALUE"""),"น.ส.ปยุดา คำมีอ่อน")</f>
        <v>น.ส.ปยุดา คำมีอ่อน</v>
      </c>
      <c r="J1664" s="3">
        <f>IFERROR(__xludf.DUMMYFUNCTION("""COMPUTED_VALUE"""),2452376.0)</f>
        <v>2452376</v>
      </c>
      <c r="K1664" s="3" t="str">
        <f>IFERROR(__xludf.DUMMYFUNCTION("""COMPUTED_VALUE"""),"นายภาคภูมิ ทวีกุล")</f>
        <v>นายภาคภูมิ ทวีกุล</v>
      </c>
      <c r="L1664" s="1" t="str">
        <f>IFERROR(__xludf.DUMMYFUNCTION("""COMPUTED_VALUE"""),"08 K.Parkphum T.")</f>
        <v>08 K.Parkphum T.</v>
      </c>
      <c r="M1664" s="1" t="str">
        <f>IFERROR(__xludf.DUMMYFUNCTION("""COMPUTED_VALUE"""),"097-919-5476")</f>
        <v>097-919-5476</v>
      </c>
      <c r="N1664" s="3">
        <f>IFERROR(__xludf.DUMMYFUNCTION("""COMPUTED_VALUE"""),22028.0)</f>
        <v>22028</v>
      </c>
      <c r="O1664" s="3" t="str">
        <f>IFERROR(__xludf.DUMMYFUNCTION("""COMPUTED_VALUE"""),"MBC ทํบมา ระยอง")</f>
        <v>MBC ทํบมา ระยอง</v>
      </c>
      <c r="P1664" s="4">
        <f>IFERROR(__xludf.DUMMYFUNCTION("""COMPUTED_VALUE"""),44404.0)</f>
        <v>44404</v>
      </c>
      <c r="Q1664" s="3" t="str">
        <f>IFERROR(__xludf.DUMMYFUNCTION("""COMPUTED_VALUE"""),"A")</f>
        <v>A</v>
      </c>
      <c r="R1664" s="3" t="str">
        <f>IFERROR(__xludf.DUMMYFUNCTION("""COMPUTED_VALUE"""),"Small Format")</f>
        <v>Small Format</v>
      </c>
      <c r="S1664" s="3" t="str">
        <f>IFERROR(__xludf.DUMMYFUNCTION("""COMPUTED_VALUE"""),"BCM")</f>
        <v>BCM</v>
      </c>
      <c r="T1664" s="3" t="str">
        <f>IFERROR(__xludf.DUMMYFUNCTION("""COMPUTED_VALUE"""),"#N/A")</f>
        <v>#N/A</v>
      </c>
      <c r="U1664" s="3" t="str">
        <f>IFERROR(__xludf.DUMMYFUNCTION("""COMPUTED_VALUE"""),"#N/A")</f>
        <v>#N/A</v>
      </c>
      <c r="V1664" s="3" t="str">
        <f>IFERROR(__xludf.DUMMYFUNCTION("""COMPUTED_VALUE"""),"N")</f>
        <v>N</v>
      </c>
      <c r="W1664" s="3">
        <f>IFERROR(__xludf.DUMMYFUNCTION("""COMPUTED_VALUE"""),210411.0)</f>
        <v>210411</v>
      </c>
      <c r="X1664" s="3" t="str">
        <f>IFERROR(__xludf.DUMMYFUNCTION("""COMPUTED_VALUE"""),"46/88 ถนนคลองน้ำหู ตำบลเนินพระ อำเภอเมืองระยอง จังหวัดระยอง 21150")</f>
        <v>46/88 ถนนคลองน้ำหู ตำบลเนินพระ อำเภอเมืองระยอง จังหวัดระยอง 21150</v>
      </c>
      <c r="Y1664" s="3" t="str">
        <f>IFERROR(__xludf.DUMMYFUNCTION("""COMPUTED_VALUE"""),"คลองน้ำหู")</f>
        <v>คลองน้ำหู</v>
      </c>
      <c r="Z1664" s="3" t="str">
        <f>IFERROR(__xludf.DUMMYFUNCTION("""COMPUTED_VALUE"""),"เนินพระ")</f>
        <v>เนินพระ</v>
      </c>
      <c r="AA1664" s="3" t="str">
        <f>IFERROR(__xludf.DUMMYFUNCTION("""COMPUTED_VALUE"""),"เมือง")</f>
        <v>เมือง</v>
      </c>
      <c r="AB1664" s="3" t="str">
        <f>IFERROR(__xludf.DUMMYFUNCTION("""COMPUTED_VALUE"""),"ระยอง")</f>
        <v>ระยอง</v>
      </c>
      <c r="AC1664" s="3">
        <f>IFERROR(__xludf.DUMMYFUNCTION("""COMPUTED_VALUE"""),21150.0)</f>
        <v>21150</v>
      </c>
      <c r="AD1664" s="3">
        <f>IFERROR(__xludf.DUMMYFUNCTION("""COMPUTED_VALUE"""),12.685123)</f>
        <v>12.685123</v>
      </c>
      <c r="AE1664" s="3">
        <f>IFERROR(__xludf.DUMMYFUNCTION("""COMPUTED_VALUE"""),101.18656)</f>
        <v>101.18656</v>
      </c>
      <c r="AF1664" s="3" t="str">
        <f>IFERROR(__xludf.DUMMYFUNCTION("""COMPUTED_VALUE"""),"MBC หนองน้ำเย็น ระยอง-22350")</f>
        <v>MBC หนองน้ำเย็น ระยอง-22350</v>
      </c>
      <c r="AG1664" s="3" t="str">
        <f>IFERROR(__xludf.DUMMYFUNCTION("""COMPUTED_VALUE"""),"ตะวันออก")</f>
        <v>ตะวันออก</v>
      </c>
      <c r="AH1664" s="3" t="str">
        <f>IFERROR(__xludf.DUMMYFUNCTION("""COMPUTED_VALUE"""),"#N/A")</f>
        <v>#N/A</v>
      </c>
      <c r="AI1664" s="3" t="str">
        <f>IFERROR(__xludf.DUMMYFUNCTION("""COMPUTED_VALUE"""),"Out of warranty")</f>
        <v>Out of warranty</v>
      </c>
      <c r="AJ1664" s="3">
        <f>IFERROR(__xludf.DUMMYFUNCTION("""COMPUTED_VALUE"""),54.0)</f>
        <v>54</v>
      </c>
      <c r="AK1664" s="3" t="str">
        <f>IFERROR(__xludf.DUMMYFUNCTION("""COMPUTED_VALUE"""),"MMS08")</f>
        <v>MMS08</v>
      </c>
      <c r="AL1664" s="3"/>
    </row>
    <row r="1665" ht="15.75" customHeight="1">
      <c r="A1665" s="1" t="str">
        <f>IFERROR(__xludf.DUMMYFUNCTION("""COMPUTED_VALUE"""),"22351")</f>
        <v>22351</v>
      </c>
      <c r="B1665" s="2">
        <f>IFERROR(__xludf.DUMMYFUNCTION("""COMPUTED_VALUE"""),22351.0)</f>
        <v>22351</v>
      </c>
      <c r="C1665" s="3" t="str">
        <f>IFERROR(__xludf.DUMMYFUNCTION("""COMPUTED_VALUE"""),"MBC สุไหงโก-ลก นราธิวาส")</f>
        <v>MBC สุไหงโก-ลก นราธิวาส</v>
      </c>
      <c r="D1665" s="3" t="str">
        <f>IFERROR(__xludf.DUMMYFUNCTION("""COMPUTED_VALUE"""),"BCM SU-NGAIKOLOK")</f>
        <v>BCM SU-NGAIKOLOK</v>
      </c>
      <c r="E1665" s="1" t="str">
        <f>IFERROR(__xludf.DUMMYFUNCTION("""COMPUTED_VALUE"""),"บิ๊กซี MINI")</f>
        <v>บิ๊กซี MINI</v>
      </c>
      <c r="F1665" s="1" t="str">
        <f>IFERROR(__xludf.DUMMYFUNCTION("""COMPUTED_VALUE"""),"250760")</f>
        <v>250760</v>
      </c>
      <c r="G1665" s="1" t="str">
        <f>IFERROR(__xludf.DUMMYFUNCTION("""COMPUTED_VALUE"""),"นายประทวน สาราบรรณ์")</f>
        <v>นายประทวน สาราบรรณ์</v>
      </c>
      <c r="H1665" s="1" t="str">
        <f>IFERROR(__xludf.DUMMYFUNCTION("""COMPUTED_VALUE"""),"006583")</f>
        <v>006583</v>
      </c>
      <c r="I1665" s="1" t="str">
        <f>IFERROR(__xludf.DUMMYFUNCTION("""COMPUTED_VALUE"""),"นายเด่น ยะอิง")</f>
        <v>นายเด่น ยะอิง</v>
      </c>
      <c r="J1665" s="3">
        <f>IFERROR(__xludf.DUMMYFUNCTION("""COMPUTED_VALUE"""),2.0470331E7)</f>
        <v>20470331</v>
      </c>
      <c r="K1665" s="3" t="str">
        <f>IFERROR(__xludf.DUMMYFUNCTION("""COMPUTED_VALUE"""),"นายสมชาย ลักษณะสุวรรณ")</f>
        <v>นายสมชาย ลักษณะสุวรรณ</v>
      </c>
      <c r="L1665" s="1" t="str">
        <f>IFERROR(__xludf.DUMMYFUNCTION("""COMPUTED_VALUE"""),"15 K.Somchai L")</f>
        <v>15 K.Somchai L</v>
      </c>
      <c r="M1665" s="1" t="str">
        <f>IFERROR(__xludf.DUMMYFUNCTION("""COMPUTED_VALUE"""),"0655107372")</f>
        <v>0655107372</v>
      </c>
      <c r="N1665" s="3">
        <f>IFERROR(__xludf.DUMMYFUNCTION("""COMPUTED_VALUE"""),21723.0)</f>
        <v>21723</v>
      </c>
      <c r="O1665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65" s="4">
        <f>IFERROR(__xludf.DUMMYFUNCTION("""COMPUTED_VALUE"""),44397.0)</f>
        <v>44397</v>
      </c>
      <c r="Q1665" s="3" t="str">
        <f>IFERROR(__xludf.DUMMYFUNCTION("""COMPUTED_VALUE"""),"A")</f>
        <v>A</v>
      </c>
      <c r="R1665" s="3" t="str">
        <f>IFERROR(__xludf.DUMMYFUNCTION("""COMPUTED_VALUE"""),"Small Format")</f>
        <v>Small Format</v>
      </c>
      <c r="S1665" s="3" t="str">
        <f>IFERROR(__xludf.DUMMYFUNCTION("""COMPUTED_VALUE"""),"BCM")</f>
        <v>BCM</v>
      </c>
      <c r="T1665" s="3" t="str">
        <f>IFERROR(__xludf.DUMMYFUNCTION("""COMPUTED_VALUE"""),"#N/A")</f>
        <v>#N/A</v>
      </c>
      <c r="U1665" s="3" t="str">
        <f>IFERROR(__xludf.DUMMYFUNCTION("""COMPUTED_VALUE"""),"#N/A")</f>
        <v>#N/A</v>
      </c>
      <c r="V1665" s="3" t="str">
        <f>IFERROR(__xludf.DUMMYFUNCTION("""COMPUTED_VALUE"""),"N")</f>
        <v>N</v>
      </c>
      <c r="W1665" s="3">
        <f>IFERROR(__xludf.DUMMYFUNCTION("""COMPUTED_VALUE"""),210422.0)</f>
        <v>210422</v>
      </c>
      <c r="X1665" s="3" t="str">
        <f>IFERROR(__xludf.DUMMYFUNCTION("""COMPUTED_VALUE"""),"281 283 285 ถนนเจริญเขต ตำบลสุไหงโก-ลก อำเภอสุไหงโก-ลก จ้งหวัดนราธิวาส 96120")</f>
        <v>281 283 285 ถนนเจริญเขต ตำบลสุไหงโก-ลก อำเภอสุไหงโก-ลก จ้งหวัดนราธิวาส 96120</v>
      </c>
      <c r="Y1665" s="3" t="str">
        <f>IFERROR(__xludf.DUMMYFUNCTION("""COMPUTED_VALUE"""),"เจริญเขต")</f>
        <v>เจริญเขต</v>
      </c>
      <c r="Z1665" s="3" t="str">
        <f>IFERROR(__xludf.DUMMYFUNCTION("""COMPUTED_VALUE"""),"สุไหงโก-ลก")</f>
        <v>สุไหงโก-ลก</v>
      </c>
      <c r="AA1665" s="3" t="str">
        <f>IFERROR(__xludf.DUMMYFUNCTION("""COMPUTED_VALUE"""),"สุไหงโก-ลก")</f>
        <v>สุไหงโก-ลก</v>
      </c>
      <c r="AB1665" s="3" t="str">
        <f>IFERROR(__xludf.DUMMYFUNCTION("""COMPUTED_VALUE"""),"นราธิวาส")</f>
        <v>นราธิวาส</v>
      </c>
      <c r="AC1665" s="3">
        <f>IFERROR(__xludf.DUMMYFUNCTION("""COMPUTED_VALUE"""),96120.0)</f>
        <v>96120</v>
      </c>
      <c r="AD1665" s="3">
        <f>IFERROR(__xludf.DUMMYFUNCTION("""COMPUTED_VALUE"""),6.015366)</f>
        <v>6.015366</v>
      </c>
      <c r="AE1665" s="3">
        <f>IFERROR(__xludf.DUMMYFUNCTION("""COMPUTED_VALUE"""),101.966123)</f>
        <v>101.966123</v>
      </c>
      <c r="AF1665" s="3" t="str">
        <f>IFERROR(__xludf.DUMMYFUNCTION("""COMPUTED_VALUE"""),"MBC สุไหงโก-ลก นราธิวาส-22351")</f>
        <v>MBC สุไหงโก-ลก นราธิวาส-22351</v>
      </c>
      <c r="AG1665" s="3" t="str">
        <f>IFERROR(__xludf.DUMMYFUNCTION("""COMPUTED_VALUE"""),"ใต้")</f>
        <v>ใต้</v>
      </c>
      <c r="AH1665" s="3" t="str">
        <f>IFERROR(__xludf.DUMMYFUNCTION("""COMPUTED_VALUE"""),"#N/A")</f>
        <v>#N/A</v>
      </c>
      <c r="AI1665" s="3" t="str">
        <f>IFERROR(__xludf.DUMMYFUNCTION("""COMPUTED_VALUE"""),"Out of warranty")</f>
        <v>Out of warranty</v>
      </c>
      <c r="AJ1665" s="3">
        <f>IFERROR(__xludf.DUMMYFUNCTION("""COMPUTED_VALUE"""),55.0)</f>
        <v>55</v>
      </c>
      <c r="AK1665" s="3" t="str">
        <f>IFERROR(__xludf.DUMMYFUNCTION("""COMPUTED_VALUE"""),"MMS16")</f>
        <v>MMS16</v>
      </c>
      <c r="AL1665" s="3"/>
    </row>
    <row r="1666" ht="15.75" customHeight="1">
      <c r="A1666" s="1" t="str">
        <f>IFERROR(__xludf.DUMMYFUNCTION("""COMPUTED_VALUE"""),"22352")</f>
        <v>22352</v>
      </c>
      <c r="B1666" s="2">
        <f>IFERROR(__xludf.DUMMYFUNCTION("""COMPUTED_VALUE"""),22352.0)</f>
        <v>22352</v>
      </c>
      <c r="C1666" s="3" t="str">
        <f>IFERROR(__xludf.DUMMYFUNCTION("""COMPUTED_VALUE"""),"MBC โนนสัง หนองบัวลำภู")</f>
        <v>MBC โนนสัง หนองบัวลำภู</v>
      </c>
      <c r="D1666" s="3" t="str">
        <f>IFERROR(__xludf.DUMMYFUNCTION("""COMPUTED_VALUE"""),"BCM NON SANG")</f>
        <v>BCM NON SANG</v>
      </c>
      <c r="E1666" s="1" t="str">
        <f>IFERROR(__xludf.DUMMYFUNCTION("""COMPUTED_VALUE"""),"บิ๊กซี MINI")</f>
        <v>บิ๊กซี MINI</v>
      </c>
      <c r="F1666" s="1" t="str">
        <f>IFERROR(__xludf.DUMMYFUNCTION("""COMPUTED_VALUE"""),"291105")</f>
        <v>291105</v>
      </c>
      <c r="G1666" s="1" t="str">
        <f>IFERROR(__xludf.DUMMYFUNCTION("""COMPUTED_VALUE"""),"นายสราวุฒิ พณิชยกุล")</f>
        <v>นายสราวุฒิ พณิชยกุล</v>
      </c>
      <c r="H1666" s="1" t="str">
        <f>IFERROR(__xludf.DUMMYFUNCTION("""COMPUTED_VALUE"""),"305119")</f>
        <v>305119</v>
      </c>
      <c r="I1666" s="1" t="str">
        <f>IFERROR(__xludf.DUMMYFUNCTION("""COMPUTED_VALUE"""),"นายไชยกร ลีพิบูลย์สวัสดิ์")</f>
        <v>นายไชยกร ลีพิบูลย์สวัสดิ์</v>
      </c>
      <c r="J1666" s="3">
        <f>IFERROR(__xludf.DUMMYFUNCTION("""COMPUTED_VALUE"""),296868.0)</f>
        <v>296868</v>
      </c>
      <c r="K1666" s="3" t="str">
        <f>IFERROR(__xludf.DUMMYFUNCTION("""COMPUTED_VALUE"""),"นายพีระพงษ์ แก้วดวงดี")</f>
        <v>นายพีระพงษ์ แก้วดวงดี</v>
      </c>
      <c r="L1666" s="1" t="str">
        <f>IFERROR(__xludf.DUMMYFUNCTION("""COMPUTED_VALUE"""),"03 K.Peerapong K.")</f>
        <v>03 K.Peerapong K.</v>
      </c>
      <c r="M1666" s="1" t="str">
        <f>IFERROR(__xludf.DUMMYFUNCTION("""COMPUTED_VALUE"""),"089-002-6599")</f>
        <v>089-002-6599</v>
      </c>
      <c r="N1666" s="3">
        <f>IFERROR(__xludf.DUMMYFUNCTION("""COMPUTED_VALUE"""),21946.0)</f>
        <v>21946</v>
      </c>
      <c r="O1666" s="3" t="str">
        <f>IFERROR(__xludf.DUMMYFUNCTION("""COMPUTED_VALUE"""),"MBC เซกา บึงกาฬ")</f>
        <v>MBC เซกา บึงกาฬ</v>
      </c>
      <c r="P1666" s="4">
        <f>IFERROR(__xludf.DUMMYFUNCTION("""COMPUTED_VALUE"""),44400.0)</f>
        <v>44400</v>
      </c>
      <c r="Q1666" s="3" t="str">
        <f>IFERROR(__xludf.DUMMYFUNCTION("""COMPUTED_VALUE"""),"A")</f>
        <v>A</v>
      </c>
      <c r="R1666" s="3" t="str">
        <f>IFERROR(__xludf.DUMMYFUNCTION("""COMPUTED_VALUE"""),"Small Format")</f>
        <v>Small Format</v>
      </c>
      <c r="S1666" s="3" t="str">
        <f>IFERROR(__xludf.DUMMYFUNCTION("""COMPUTED_VALUE"""),"BCM")</f>
        <v>BCM</v>
      </c>
      <c r="T1666" s="3" t="str">
        <f>IFERROR(__xludf.DUMMYFUNCTION("""COMPUTED_VALUE"""),"#N/A")</f>
        <v>#N/A</v>
      </c>
      <c r="U1666" s="3" t="str">
        <f>IFERROR(__xludf.DUMMYFUNCTION("""COMPUTED_VALUE"""),"#N/A")</f>
        <v>#N/A</v>
      </c>
      <c r="V1666" s="3" t="str">
        <f>IFERROR(__xludf.DUMMYFUNCTION("""COMPUTED_VALUE"""),"N")</f>
        <v>N</v>
      </c>
      <c r="W1666" s="3">
        <f>IFERROR(__xludf.DUMMYFUNCTION("""COMPUTED_VALUE"""),210433.0)</f>
        <v>210433</v>
      </c>
      <c r="X1666" s="3" t="str">
        <f>IFERROR(__xludf.DUMMYFUNCTION("""COMPUTED_VALUE"""),"335 - 337 หมู่3 ตำบลโนนสัง อำเภอโนนสัง จังหวัดหนองบัวลำภู 39140")</f>
        <v>335 - 337 หมู่3 ตำบลโนนสัง อำเภอโนนสัง จังหวัดหนองบัวลำภู 39140</v>
      </c>
      <c r="Y1666" s="3"/>
      <c r="Z1666" s="3" t="str">
        <f>IFERROR(__xludf.DUMMYFUNCTION("""COMPUTED_VALUE"""),"โนนสัง")</f>
        <v>โนนสัง</v>
      </c>
      <c r="AA1666" s="3" t="str">
        <f>IFERROR(__xludf.DUMMYFUNCTION("""COMPUTED_VALUE"""),"โนนสัง")</f>
        <v>โนนสัง</v>
      </c>
      <c r="AB1666" s="3" t="str">
        <f>IFERROR(__xludf.DUMMYFUNCTION("""COMPUTED_VALUE"""),"หนองบัวลำภู")</f>
        <v>หนองบัวลำภู</v>
      </c>
      <c r="AC1666" s="3">
        <f>IFERROR(__xludf.DUMMYFUNCTION("""COMPUTED_VALUE"""),39140.0)</f>
        <v>39140</v>
      </c>
      <c r="AD1666" s="3">
        <f>IFERROR(__xludf.DUMMYFUNCTION("""COMPUTED_VALUE"""),16.87049304)</f>
        <v>16.87049304</v>
      </c>
      <c r="AE1666" s="3">
        <f>IFERROR(__xludf.DUMMYFUNCTION("""COMPUTED_VALUE"""),102.5690431)</f>
        <v>102.5690431</v>
      </c>
      <c r="AF1666" s="3" t="str">
        <f>IFERROR(__xludf.DUMMYFUNCTION("""COMPUTED_VALUE"""),"MBC โนนสัง หนองบัวลำภู-22352")</f>
        <v>MBC โนนสัง หนองบัวลำภู-22352</v>
      </c>
      <c r="AG1666" s="3" t="str">
        <f>IFERROR(__xludf.DUMMYFUNCTION("""COMPUTED_VALUE"""),"ตะวันออกเฉียงเหนือ")</f>
        <v>ตะวันออกเฉียงเหนือ</v>
      </c>
      <c r="AH1666" s="3" t="str">
        <f>IFERROR(__xludf.DUMMYFUNCTION("""COMPUTED_VALUE"""),"#N/A")</f>
        <v>#N/A</v>
      </c>
      <c r="AI1666" s="3" t="str">
        <f>IFERROR(__xludf.DUMMYFUNCTION("""COMPUTED_VALUE"""),"Out of warranty")</f>
        <v>Out of warranty</v>
      </c>
      <c r="AJ1666" s="3">
        <f>IFERROR(__xludf.DUMMYFUNCTION("""COMPUTED_VALUE"""),54.0)</f>
        <v>54</v>
      </c>
      <c r="AK1666" s="3" t="str">
        <f>IFERROR(__xludf.DUMMYFUNCTION("""COMPUTED_VALUE"""),"MMS12")</f>
        <v>MMS12</v>
      </c>
      <c r="AL1666" s="3"/>
    </row>
    <row r="1667" ht="15.75" customHeight="1">
      <c r="A1667" s="1" t="str">
        <f>IFERROR(__xludf.DUMMYFUNCTION("""COMPUTED_VALUE"""),"22353")</f>
        <v>22353</v>
      </c>
      <c r="B1667" s="2">
        <f>IFERROR(__xludf.DUMMYFUNCTION("""COMPUTED_VALUE"""),22353.0)</f>
        <v>22353</v>
      </c>
      <c r="C1667" s="3" t="str">
        <f>IFERROR(__xludf.DUMMYFUNCTION("""COMPUTED_VALUE"""),"MBC อำเภอมายอ ปัตตานี")</f>
        <v>MBC อำเภอมายอ ปัตตานี</v>
      </c>
      <c r="D1667" s="3" t="str">
        <f>IFERROR(__xludf.DUMMYFUNCTION("""COMPUTED_VALUE"""),"BCM AMPHUR MAYO")</f>
        <v>BCM AMPHUR MAYO</v>
      </c>
      <c r="E1667" s="1" t="str">
        <f>IFERROR(__xludf.DUMMYFUNCTION("""COMPUTED_VALUE"""),"บิ๊กซี MINI")</f>
        <v>บิ๊กซี MINI</v>
      </c>
      <c r="F1667" s="1" t="str">
        <f>IFERROR(__xludf.DUMMYFUNCTION("""COMPUTED_VALUE"""),"250760")</f>
        <v>250760</v>
      </c>
      <c r="G1667" s="1" t="str">
        <f>IFERROR(__xludf.DUMMYFUNCTION("""COMPUTED_VALUE"""),"นายประทวน สาราบรรณ์")</f>
        <v>นายประทวน สาราบรรณ์</v>
      </c>
      <c r="H1667" s="1" t="str">
        <f>IFERROR(__xludf.DUMMYFUNCTION("""COMPUTED_VALUE"""),"006583")</f>
        <v>006583</v>
      </c>
      <c r="I1667" s="1" t="str">
        <f>IFERROR(__xludf.DUMMYFUNCTION("""COMPUTED_VALUE"""),"นายเด่น ยะอิง")</f>
        <v>นายเด่น ยะอิง</v>
      </c>
      <c r="J1667" s="3">
        <f>IFERROR(__xludf.DUMMYFUNCTION("""COMPUTED_VALUE"""),2.0470331E7)</f>
        <v>20470331</v>
      </c>
      <c r="K1667" s="3" t="str">
        <f>IFERROR(__xludf.DUMMYFUNCTION("""COMPUTED_VALUE"""),"นายสมชาย ลักษณะสุวรรณ")</f>
        <v>นายสมชาย ลักษณะสุวรรณ</v>
      </c>
      <c r="L1667" s="1" t="str">
        <f>IFERROR(__xludf.DUMMYFUNCTION("""COMPUTED_VALUE"""),"15 K.Somchai L")</f>
        <v>15 K.Somchai L</v>
      </c>
      <c r="M1667" s="1" t="str">
        <f>IFERROR(__xludf.DUMMYFUNCTION("""COMPUTED_VALUE"""),"0655107372")</f>
        <v>0655107372</v>
      </c>
      <c r="N1667" s="3">
        <f>IFERROR(__xludf.DUMMYFUNCTION("""COMPUTED_VALUE"""),21723.0)</f>
        <v>21723</v>
      </c>
      <c r="O1667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67" s="4">
        <f>IFERROR(__xludf.DUMMYFUNCTION("""COMPUTED_VALUE"""),44404.0)</f>
        <v>44404</v>
      </c>
      <c r="Q1667" s="3" t="str">
        <f>IFERROR(__xludf.DUMMYFUNCTION("""COMPUTED_VALUE"""),"A")</f>
        <v>A</v>
      </c>
      <c r="R1667" s="3" t="str">
        <f>IFERROR(__xludf.DUMMYFUNCTION("""COMPUTED_VALUE"""),"Small Format")</f>
        <v>Small Format</v>
      </c>
      <c r="S1667" s="3" t="str">
        <f>IFERROR(__xludf.DUMMYFUNCTION("""COMPUTED_VALUE"""),"BCM")</f>
        <v>BCM</v>
      </c>
      <c r="T1667" s="3" t="str">
        <f>IFERROR(__xludf.DUMMYFUNCTION("""COMPUTED_VALUE"""),"#N/A")</f>
        <v>#N/A</v>
      </c>
      <c r="U1667" s="3" t="str">
        <f>IFERROR(__xludf.DUMMYFUNCTION("""COMPUTED_VALUE"""),"#N/A")</f>
        <v>#N/A</v>
      </c>
      <c r="V1667" s="3" t="str">
        <f>IFERROR(__xludf.DUMMYFUNCTION("""COMPUTED_VALUE"""),"N")</f>
        <v>N</v>
      </c>
      <c r="W1667" s="3">
        <f>IFERROR(__xludf.DUMMYFUNCTION("""COMPUTED_VALUE"""),210424.0)</f>
        <v>210424</v>
      </c>
      <c r="X1667" s="3" t="str">
        <f>IFERROR(__xludf.DUMMYFUNCTION("""COMPUTED_VALUE"""),"110/2 หมู่1 ตำบลมายอ อำเภอมายอ จังหวัดปัตตานี 94140")</f>
        <v>110/2 หมู่1 ตำบลมายอ อำเภอมายอ จังหวัดปัตตานี 94140</v>
      </c>
      <c r="Y1667" s="3"/>
      <c r="Z1667" s="3" t="str">
        <f>IFERROR(__xludf.DUMMYFUNCTION("""COMPUTED_VALUE"""),"มายอ")</f>
        <v>มายอ</v>
      </c>
      <c r="AA1667" s="3" t="str">
        <f>IFERROR(__xludf.DUMMYFUNCTION("""COMPUTED_VALUE"""),"มายอ")</f>
        <v>มายอ</v>
      </c>
      <c r="AB1667" s="3" t="str">
        <f>IFERROR(__xludf.DUMMYFUNCTION("""COMPUTED_VALUE"""),"ปัตตานี")</f>
        <v>ปัตตานี</v>
      </c>
      <c r="AC1667" s="3">
        <f>IFERROR(__xludf.DUMMYFUNCTION("""COMPUTED_VALUE"""),94140.0)</f>
        <v>94140</v>
      </c>
      <c r="AD1667" s="3">
        <f>IFERROR(__xludf.DUMMYFUNCTION("""COMPUTED_VALUE"""),6.719656)</f>
        <v>6.719656</v>
      </c>
      <c r="AE1667" s="3">
        <f>IFERROR(__xludf.DUMMYFUNCTION("""COMPUTED_VALUE"""),101.413044)</f>
        <v>101.413044</v>
      </c>
      <c r="AF1667" s="3" t="str">
        <f>IFERROR(__xludf.DUMMYFUNCTION("""COMPUTED_VALUE"""),"MBC อำเภอมายอ ปัตตานี-22353")</f>
        <v>MBC อำเภอมายอ ปัตตานี-22353</v>
      </c>
      <c r="AG1667" s="3" t="str">
        <f>IFERROR(__xludf.DUMMYFUNCTION("""COMPUTED_VALUE"""),"ใต้")</f>
        <v>ใต้</v>
      </c>
      <c r="AH1667" s="3" t="str">
        <f>IFERROR(__xludf.DUMMYFUNCTION("""COMPUTED_VALUE"""),"#N/A")</f>
        <v>#N/A</v>
      </c>
      <c r="AI1667" s="3" t="str">
        <f>IFERROR(__xludf.DUMMYFUNCTION("""COMPUTED_VALUE"""),"Out of warranty")</f>
        <v>Out of warranty</v>
      </c>
      <c r="AJ1667" s="3">
        <f>IFERROR(__xludf.DUMMYFUNCTION("""COMPUTED_VALUE"""),54.0)</f>
        <v>54</v>
      </c>
      <c r="AK1667" s="3" t="str">
        <f>IFERROR(__xludf.DUMMYFUNCTION("""COMPUTED_VALUE"""),"MMS16")</f>
        <v>MMS16</v>
      </c>
      <c r="AL1667" s="3"/>
    </row>
    <row r="1668" ht="15.75" customHeight="1">
      <c r="A1668" s="1" t="str">
        <f>IFERROR(__xludf.DUMMYFUNCTION("""COMPUTED_VALUE"""),"22354")</f>
        <v>22354</v>
      </c>
      <c r="B1668" s="2">
        <f>IFERROR(__xludf.DUMMYFUNCTION("""COMPUTED_VALUE"""),22354.0)</f>
        <v>22354</v>
      </c>
      <c r="C1668" s="3" t="str">
        <f>IFERROR(__xludf.DUMMYFUNCTION("""COMPUTED_VALUE"""),"MBC ซ.โรมัน-เปรโต นครปฐม")</f>
        <v>MBC ซ.โรมัน-เปรโต นครปฐม</v>
      </c>
      <c r="D1668" s="3" t="str">
        <f>IFERROR(__xludf.DUMMYFUNCTION("""COMPUTED_VALUE"""),"BCM SOI ROMAN-PETRO")</f>
        <v>BCM SOI ROMAN-PETRO</v>
      </c>
      <c r="E1668" s="1" t="str">
        <f>IFERROR(__xludf.DUMMYFUNCTION("""COMPUTED_VALUE"""),"บิ๊กซี MINI")</f>
        <v>บิ๊กซี MINI</v>
      </c>
      <c r="F1668" s="1" t="str">
        <f>IFERROR(__xludf.DUMMYFUNCTION("""COMPUTED_VALUE"""),"296229")</f>
        <v>296229</v>
      </c>
      <c r="G1668" s="1" t="str">
        <f>IFERROR(__xludf.DUMMYFUNCTION("""COMPUTED_VALUE"""),"นายทนงศักดิ์ บุญมา")</f>
        <v>นายทนงศักดิ์ บุญมา</v>
      </c>
      <c r="H1668" s="1" t="str">
        <f>IFERROR(__xludf.DUMMYFUNCTION("""COMPUTED_VALUE"""),"295245")</f>
        <v>295245</v>
      </c>
      <c r="I1668" s="1" t="str">
        <f>IFERROR(__xludf.DUMMYFUNCTION("""COMPUTED_VALUE"""),"นายมานะ วงศ์สุโชโต")</f>
        <v>นายมานะ วงศ์สุโชโต</v>
      </c>
      <c r="J1668" s="3">
        <f>IFERROR(__xludf.DUMMYFUNCTION("""COMPUTED_VALUE"""),46214.0)</f>
        <v>46214</v>
      </c>
      <c r="K1668" s="3" t="str">
        <f>IFERROR(__xludf.DUMMYFUNCTION("""COMPUTED_VALUE"""),"นายศักดิ์ชัย เด็ดดอกฟ้า")</f>
        <v>นายศักดิ์ชัย เด็ดดอกฟ้า</v>
      </c>
      <c r="L1668" s="1" t="str">
        <f>IFERROR(__xludf.DUMMYFUNCTION("""COMPUTED_VALUE"""),"02 K.Sakchai D")</f>
        <v>02 K.Sakchai D</v>
      </c>
      <c r="M1668" s="1" t="str">
        <f>IFERROR(__xludf.DUMMYFUNCTION("""COMPUTED_VALUE"""),"065-510-7376")</f>
        <v>065-510-7376</v>
      </c>
      <c r="N1668" s="3">
        <f>IFERROR(__xludf.DUMMYFUNCTION("""COMPUTED_VALUE"""),21714.0)</f>
        <v>21714</v>
      </c>
      <c r="O1668" s="3" t="str">
        <f>IFERROR(__xludf.DUMMYFUNCTION("""COMPUTED_VALUE"""),"MBC เอสโซ่ วัดโบสถ์")</f>
        <v>MBC เอสโซ่ วัดโบสถ์</v>
      </c>
      <c r="P1668" s="4">
        <f>IFERROR(__xludf.DUMMYFUNCTION("""COMPUTED_VALUE"""),44404.0)</f>
        <v>44404</v>
      </c>
      <c r="Q1668" s="3" t="str">
        <f>IFERROR(__xludf.DUMMYFUNCTION("""COMPUTED_VALUE"""),"I")</f>
        <v>I</v>
      </c>
      <c r="R1668" s="3" t="str">
        <f>IFERROR(__xludf.DUMMYFUNCTION("""COMPUTED_VALUE"""),"Small Format")</f>
        <v>Small Format</v>
      </c>
      <c r="S1668" s="3" t="str">
        <f>IFERROR(__xludf.DUMMYFUNCTION("""COMPUTED_VALUE"""),"BCM")</f>
        <v>BCM</v>
      </c>
      <c r="T1668" s="3" t="str">
        <f>IFERROR(__xludf.DUMMYFUNCTION("""COMPUTED_VALUE"""),"#N/A")</f>
        <v>#N/A</v>
      </c>
      <c r="U1668" s="3" t="str">
        <f>IFERROR(__xludf.DUMMYFUNCTION("""COMPUTED_VALUE"""),"#N/A")</f>
        <v>#N/A</v>
      </c>
      <c r="V1668" s="3" t="str">
        <f>IFERROR(__xludf.DUMMYFUNCTION("""COMPUTED_VALUE"""),"N")</f>
        <v>N</v>
      </c>
      <c r="W1668" s="3">
        <f>IFERROR(__xludf.DUMMYFUNCTION("""COMPUTED_VALUE"""),210384.0)</f>
        <v>210384</v>
      </c>
      <c r="X1668" s="3" t="str">
        <f>IFERROR(__xludf.DUMMYFUNCTION("""COMPUTED_VALUE"""),"116 หมู่4 ตำบลท่าข้าม อำเภอสามพราน จังหวัดนครปฐม 73110")</f>
        <v>116 หมู่4 ตำบลท่าข้าม อำเภอสามพราน จังหวัดนครปฐม 73110</v>
      </c>
      <c r="Y1668" s="3"/>
      <c r="Z1668" s="3" t="str">
        <f>IFERROR(__xludf.DUMMYFUNCTION("""COMPUTED_VALUE"""),"ท่าข้าม")</f>
        <v>ท่าข้าม</v>
      </c>
      <c r="AA1668" s="3" t="str">
        <f>IFERROR(__xludf.DUMMYFUNCTION("""COMPUTED_VALUE"""),"สามพราน")</f>
        <v>สามพราน</v>
      </c>
      <c r="AB1668" s="3" t="str">
        <f>IFERROR(__xludf.DUMMYFUNCTION("""COMPUTED_VALUE"""),"นครปฐม")</f>
        <v>นครปฐม</v>
      </c>
      <c r="AC1668" s="3">
        <f>IFERROR(__xludf.DUMMYFUNCTION("""COMPUTED_VALUE"""),73110.0)</f>
        <v>73110</v>
      </c>
      <c r="AD1668" s="3">
        <f>IFERROR(__xludf.DUMMYFUNCTION("""COMPUTED_VALUE"""),13.719476)</f>
        <v>13.719476</v>
      </c>
      <c r="AE1668" s="3">
        <f>IFERROR(__xludf.DUMMYFUNCTION("""COMPUTED_VALUE"""),13.719476)</f>
        <v>13.719476</v>
      </c>
      <c r="AF1668" s="3" t="str">
        <f>IFERROR(__xludf.DUMMYFUNCTION("""COMPUTED_VALUE"""),"MBC ซ.โรมัน-เปรโต นครปฐม-22354")</f>
        <v>MBC ซ.โรมัน-เปรโต นครปฐม-22354</v>
      </c>
      <c r="AG1668" s="3" t="str">
        <f>IFERROR(__xludf.DUMMYFUNCTION("""COMPUTED_VALUE"""),"กลาง")</f>
        <v>กลาง</v>
      </c>
      <c r="AH1668" s="3" t="str">
        <f>IFERROR(__xludf.DUMMYFUNCTION("""COMPUTED_VALUE"""),"#N/A")</f>
        <v>#N/A</v>
      </c>
      <c r="AI1668" s="3" t="str">
        <f>IFERROR(__xludf.DUMMYFUNCTION("""COMPUTED_VALUE"""),"Out of warranty")</f>
        <v>Out of warranty</v>
      </c>
      <c r="AJ1668" s="3">
        <f>IFERROR(__xludf.DUMMYFUNCTION("""COMPUTED_VALUE"""),54.0)</f>
        <v>54</v>
      </c>
      <c r="AK1668" s="3" t="str">
        <f>IFERROR(__xludf.DUMMYFUNCTION("""COMPUTED_VALUE"""),"MMS05")</f>
        <v>MMS05</v>
      </c>
      <c r="AL1668" s="3"/>
    </row>
    <row r="1669" ht="15.75" customHeight="1">
      <c r="A1669" s="1" t="str">
        <f>IFERROR(__xludf.DUMMYFUNCTION("""COMPUTED_VALUE"""),"22355")</f>
        <v>22355</v>
      </c>
      <c r="B1669" s="2">
        <f>IFERROR(__xludf.DUMMYFUNCTION("""COMPUTED_VALUE"""),22355.0)</f>
        <v>22355</v>
      </c>
      <c r="C1669" s="3" t="str">
        <f>IFERROR(__xludf.DUMMYFUNCTION("""COMPUTED_VALUE"""),"MBC ลี้ ลำพูน")</f>
        <v>MBC ลี้ ลำพูน</v>
      </c>
      <c r="D1669" s="3" t="str">
        <f>IFERROR(__xludf.DUMMYFUNCTION("""COMPUTED_VALUE"""),"BCM LEE LAMPHUN")</f>
        <v>BCM LEE LAMPHUN</v>
      </c>
      <c r="E1669" s="1" t="str">
        <f>IFERROR(__xludf.DUMMYFUNCTION("""COMPUTED_VALUE"""),"บิ๊กซี MINI")</f>
        <v>บิ๊กซี MINI</v>
      </c>
      <c r="F1669" s="1" t="str">
        <f>IFERROR(__xludf.DUMMYFUNCTION("""COMPUTED_VALUE"""),"296229")</f>
        <v>296229</v>
      </c>
      <c r="G1669" s="1" t="str">
        <f>IFERROR(__xludf.DUMMYFUNCTION("""COMPUTED_VALUE"""),"นายทนงศักดิ์ บุญมา")</f>
        <v>นายทนงศักดิ์ บุญมา</v>
      </c>
      <c r="H1669" s="1" t="str">
        <f>IFERROR(__xludf.DUMMYFUNCTION("""COMPUTED_VALUE"""),"372826")</f>
        <v>372826</v>
      </c>
      <c r="I1669" s="1" t="str">
        <f>IFERROR(__xludf.DUMMYFUNCTION("""COMPUTED_VALUE"""),"นายพงศกร สุขแก้ว")</f>
        <v>นายพงศกร สุขแก้ว</v>
      </c>
      <c r="J1669" s="3">
        <f>IFERROR(__xludf.DUMMYFUNCTION("""COMPUTED_VALUE"""),2010016.0)</f>
        <v>2010016</v>
      </c>
      <c r="K1669" s="3" t="str">
        <f>IFERROR(__xludf.DUMMYFUNCTION("""COMPUTED_VALUE"""),"นายตวงธรรม ใหม่ยศ")</f>
        <v>นายตวงธรรม ใหม่ยศ</v>
      </c>
      <c r="L1669" s="1" t="str">
        <f>IFERROR(__xludf.DUMMYFUNCTION("""COMPUTED_VALUE"""),"01 K.Tuangtham M.")</f>
        <v>01 K.Tuangtham M.</v>
      </c>
      <c r="M1669" s="1" t="str">
        <f>IFERROR(__xludf.DUMMYFUNCTION("""COMPUTED_VALUE"""),"063-976-595")</f>
        <v>063-976-595</v>
      </c>
      <c r="N1669" s="3">
        <f>IFERROR(__xludf.DUMMYFUNCTION("""COMPUTED_VALUE"""),22574.0)</f>
        <v>22574</v>
      </c>
      <c r="O1669" s="3" t="str">
        <f>IFERROR(__xludf.DUMMYFUNCTION("""COMPUTED_VALUE"""),"BCM ชุมชนศรีชุม ลำปาง")</f>
        <v>BCM ชุมชนศรีชุม ลำปาง</v>
      </c>
      <c r="P1669" s="4">
        <f>IFERROR(__xludf.DUMMYFUNCTION("""COMPUTED_VALUE"""),44410.0)</f>
        <v>44410</v>
      </c>
      <c r="Q1669" s="3" t="str">
        <f>IFERROR(__xludf.DUMMYFUNCTION("""COMPUTED_VALUE"""),"A")</f>
        <v>A</v>
      </c>
      <c r="R1669" s="3" t="str">
        <f>IFERROR(__xludf.DUMMYFUNCTION("""COMPUTED_VALUE"""),"Small Format")</f>
        <v>Small Format</v>
      </c>
      <c r="S1669" s="3" t="str">
        <f>IFERROR(__xludf.DUMMYFUNCTION("""COMPUTED_VALUE"""),"BCM")</f>
        <v>BCM</v>
      </c>
      <c r="T1669" s="3" t="str">
        <f>IFERROR(__xludf.DUMMYFUNCTION("""COMPUTED_VALUE"""),"#N/A")</f>
        <v>#N/A</v>
      </c>
      <c r="U1669" s="3" t="str">
        <f>IFERROR(__xludf.DUMMYFUNCTION("""COMPUTED_VALUE"""),"#N/A")</f>
        <v>#N/A</v>
      </c>
      <c r="V1669" s="3" t="str">
        <f>IFERROR(__xludf.DUMMYFUNCTION("""COMPUTED_VALUE"""),"N")</f>
        <v>N</v>
      </c>
      <c r="W1669" s="3">
        <f>IFERROR(__xludf.DUMMYFUNCTION("""COMPUTED_VALUE"""),210412.0)</f>
        <v>210412</v>
      </c>
      <c r="X1669" s="3" t="str">
        <f>IFERROR(__xludf.DUMMYFUNCTION("""COMPUTED_VALUE"""),"52/68 หมู่14 ตำบลลี้ อำเภอลี้ จังหวัดลำพูน 51110")</f>
        <v>52/68 หมู่14 ตำบลลี้ อำเภอลี้ จังหวัดลำพูน 51110</v>
      </c>
      <c r="Y1669" s="3"/>
      <c r="Z1669" s="3" t="str">
        <f>IFERROR(__xludf.DUMMYFUNCTION("""COMPUTED_VALUE"""),"ลี้")</f>
        <v>ลี้</v>
      </c>
      <c r="AA1669" s="3" t="str">
        <f>IFERROR(__xludf.DUMMYFUNCTION("""COMPUTED_VALUE"""),"ลี้")</f>
        <v>ลี้</v>
      </c>
      <c r="AB1669" s="3" t="str">
        <f>IFERROR(__xludf.DUMMYFUNCTION("""COMPUTED_VALUE"""),"ลำพูน")</f>
        <v>ลำพูน</v>
      </c>
      <c r="AC1669" s="3">
        <f>IFERROR(__xludf.DUMMYFUNCTION("""COMPUTED_VALUE"""),51110.0)</f>
        <v>51110</v>
      </c>
      <c r="AD1669" s="3">
        <f>IFERROR(__xludf.DUMMYFUNCTION("""COMPUTED_VALUE"""),17.804802)</f>
        <v>17.804802</v>
      </c>
      <c r="AE1669" s="3">
        <f>IFERROR(__xludf.DUMMYFUNCTION("""COMPUTED_VALUE"""),17.804802)</f>
        <v>17.804802</v>
      </c>
      <c r="AF1669" s="3" t="str">
        <f>IFERROR(__xludf.DUMMYFUNCTION("""COMPUTED_VALUE"""),"MBC ลี้ ลำพูน-22355")</f>
        <v>MBC ลี้ ลำพูน-22355</v>
      </c>
      <c r="AG1669" s="3" t="str">
        <f>IFERROR(__xludf.DUMMYFUNCTION("""COMPUTED_VALUE"""),"เหนือ")</f>
        <v>เหนือ</v>
      </c>
      <c r="AH1669" s="3" t="str">
        <f>IFERROR(__xludf.DUMMYFUNCTION("""COMPUTED_VALUE"""),"#N/A")</f>
        <v>#N/A</v>
      </c>
      <c r="AI1669" s="3" t="str">
        <f>IFERROR(__xludf.DUMMYFUNCTION("""COMPUTED_VALUE"""),"Out of warranty")</f>
        <v>Out of warranty</v>
      </c>
      <c r="AJ1669" s="3">
        <f>IFERROR(__xludf.DUMMYFUNCTION("""COMPUTED_VALUE"""),54.0)</f>
        <v>54</v>
      </c>
      <c r="AK1669" s="3" t="str">
        <f>IFERROR(__xludf.DUMMYFUNCTION("""COMPUTED_VALUE"""),"MMS10")</f>
        <v>MMS10</v>
      </c>
      <c r="AL1669" s="3"/>
    </row>
    <row r="1670" ht="15.75" customHeight="1">
      <c r="A1670" s="1" t="str">
        <f>IFERROR(__xludf.DUMMYFUNCTION("""COMPUTED_VALUE"""),"22356")</f>
        <v>22356</v>
      </c>
      <c r="B1670" s="2">
        <f>IFERROR(__xludf.DUMMYFUNCTION("""COMPUTED_VALUE"""),22356.0)</f>
        <v>22356</v>
      </c>
      <c r="C1670" s="3" t="str">
        <f>IFERROR(__xludf.DUMMYFUNCTION("""COMPUTED_VALUE"""),"MBC BCP กัลปพฤกษ์ กรุงเทพฯ")</f>
        <v>MBC BCP กัลปพฤกษ์ กรุงเทพฯ</v>
      </c>
      <c r="D1670" s="3" t="str">
        <f>IFERROR(__xludf.DUMMYFUNCTION("""COMPUTED_VALUE"""),"BCM BCP KANLAPAPHRUEK")</f>
        <v>BCM BCP KANLAPAPHRUEK</v>
      </c>
      <c r="E1670" s="1" t="str">
        <f>IFERROR(__xludf.DUMMYFUNCTION("""COMPUTED_VALUE"""),"บิ๊กซี MINI")</f>
        <v>บิ๊กซี MINI</v>
      </c>
      <c r="F1670" s="1" t="str">
        <f>IFERROR(__xludf.DUMMYFUNCTION("""COMPUTED_VALUE"""),"291008")</f>
        <v>291008</v>
      </c>
      <c r="G1670" s="1" t="str">
        <f>IFERROR(__xludf.DUMMYFUNCTION("""COMPUTED_VALUE"""),"น.ส.รัชดาพร อีศรัตน์")</f>
        <v>น.ส.รัชดาพร อีศรัตน์</v>
      </c>
      <c r="H1670" s="1" t="str">
        <f>IFERROR(__xludf.DUMMYFUNCTION("""COMPUTED_VALUE"""),"250921")</f>
        <v>250921</v>
      </c>
      <c r="I1670" s="1" t="str">
        <f>IFERROR(__xludf.DUMMYFUNCTION("""COMPUTED_VALUE"""),"นายปรัชญาวัต ถิระสังวร")</f>
        <v>นายปรัชญาวัต ถิระสังวร</v>
      </c>
      <c r="J1670" s="3">
        <f>IFERROR(__xludf.DUMMYFUNCTION("""COMPUTED_VALUE"""),2452378.0)</f>
        <v>2452378</v>
      </c>
      <c r="K1670" s="3" t="str">
        <f>IFERROR(__xludf.DUMMYFUNCTION("""COMPUTED_VALUE"""),"นายศักดิ์ดา พวงประดับ")</f>
        <v>นายศักดิ์ดา พวงประดับ</v>
      </c>
      <c r="L1670" s="1" t="str">
        <f>IFERROR(__xludf.DUMMYFUNCTION("""COMPUTED_VALUE"""),"11 K.Sakda P.")</f>
        <v>11 K.Sakda P.</v>
      </c>
      <c r="M1670" s="1" t="str">
        <f>IFERROR(__xludf.DUMMYFUNCTION("""COMPUTED_VALUE"""),"065-929-1279")</f>
        <v>065-929-1279</v>
      </c>
      <c r="N1670" s="3">
        <f>IFERROR(__xludf.DUMMYFUNCTION("""COMPUTED_VALUE"""),21002.0)</f>
        <v>21002</v>
      </c>
      <c r="O1670" s="3" t="str">
        <f>IFERROR(__xludf.DUMMYFUNCTION("""COMPUTED_VALUE"""),"MBC อุดมสุข")</f>
        <v>MBC อุดมสุข</v>
      </c>
      <c r="P1670" s="4">
        <f>IFERROR(__xludf.DUMMYFUNCTION("""COMPUTED_VALUE"""),44470.0)</f>
        <v>44470</v>
      </c>
      <c r="Q1670" s="3" t="str">
        <f>IFERROR(__xludf.DUMMYFUNCTION("""COMPUTED_VALUE"""),"A")</f>
        <v>A</v>
      </c>
      <c r="R1670" s="3" t="str">
        <f>IFERROR(__xludf.DUMMYFUNCTION("""COMPUTED_VALUE"""),"Small Format")</f>
        <v>Small Format</v>
      </c>
      <c r="S1670" s="3" t="str">
        <f>IFERROR(__xludf.DUMMYFUNCTION("""COMPUTED_VALUE"""),"BCM")</f>
        <v>BCM</v>
      </c>
      <c r="T1670" s="3" t="str">
        <f>IFERROR(__xludf.DUMMYFUNCTION("""COMPUTED_VALUE"""),"#N/A")</f>
        <v>#N/A</v>
      </c>
      <c r="U1670" s="3" t="str">
        <f>IFERROR(__xludf.DUMMYFUNCTION("""COMPUTED_VALUE"""),"#N/A")</f>
        <v>#N/A</v>
      </c>
      <c r="V1670" s="3" t="str">
        <f>IFERROR(__xludf.DUMMYFUNCTION("""COMPUTED_VALUE"""),"N")</f>
        <v>N</v>
      </c>
      <c r="W1670" s="3">
        <f>IFERROR(__xludf.DUMMYFUNCTION("""COMPUTED_VALUE"""),361238.0)</f>
        <v>361238</v>
      </c>
      <c r="X1670" s="3" t="str">
        <f>IFERROR(__xludf.DUMMYFUNCTION("""COMPUTED_VALUE"""),"16/16 หมู่8 ตำบลบางขุนเทียน อำเภอจอมทอง จังหวัดกรุงเทพมหานคร 10150")</f>
        <v>16/16 หมู่8 ตำบลบางขุนเทียน อำเภอจอมทอง จังหวัดกรุงเทพมหานคร 10150</v>
      </c>
      <c r="Y1670" s="3"/>
      <c r="Z1670" s="3" t="str">
        <f>IFERROR(__xludf.DUMMYFUNCTION("""COMPUTED_VALUE"""),"บางขุนเทียน")</f>
        <v>บางขุนเทียน</v>
      </c>
      <c r="AA1670" s="3" t="str">
        <f>IFERROR(__xludf.DUMMYFUNCTION("""COMPUTED_VALUE"""),"จอมทอง")</f>
        <v>จอมทอง</v>
      </c>
      <c r="AB1670" s="3" t="str">
        <f>IFERROR(__xludf.DUMMYFUNCTION("""COMPUTED_VALUE"""),"กรุงเทพมหานคร")</f>
        <v>กรุงเทพมหานคร</v>
      </c>
      <c r="AC1670" s="3">
        <f>IFERROR(__xludf.DUMMYFUNCTION("""COMPUTED_VALUE"""),10150.0)</f>
        <v>10150</v>
      </c>
      <c r="AD1670" s="3">
        <f>IFERROR(__xludf.DUMMYFUNCTION("""COMPUTED_VALUE"""),13.703775)</f>
        <v>13.703775</v>
      </c>
      <c r="AE1670" s="3">
        <f>IFERROR(__xludf.DUMMYFUNCTION("""COMPUTED_VALUE"""),100.446843)</f>
        <v>100.446843</v>
      </c>
      <c r="AF1670" s="3" t="str">
        <f>IFERROR(__xludf.DUMMYFUNCTION("""COMPUTED_VALUE"""),"MBC BCP กัลปพฤกษ์ กรุงเทพฯ-22356")</f>
        <v>MBC BCP กัลปพฤกษ์ กรุงเทพฯ-22356</v>
      </c>
      <c r="AG1670" s="3" t="str">
        <f>IFERROR(__xludf.DUMMYFUNCTION("""COMPUTED_VALUE"""),"กลาง")</f>
        <v>กลาง</v>
      </c>
      <c r="AH1670" s="3" t="str">
        <f>IFERROR(__xludf.DUMMYFUNCTION("""COMPUTED_VALUE"""),"#N/A")</f>
        <v>#N/A</v>
      </c>
      <c r="AI1670" s="3" t="str">
        <f>IFERROR(__xludf.DUMMYFUNCTION("""COMPUTED_VALUE"""),"Out of warranty")</f>
        <v>Out of warranty</v>
      </c>
      <c r="AJ1670" s="3">
        <f>IFERROR(__xludf.DUMMYFUNCTION("""COMPUTED_VALUE"""),52.0)</f>
        <v>52</v>
      </c>
      <c r="AK1670" s="3" t="str">
        <f>IFERROR(__xludf.DUMMYFUNCTION("""COMPUTED_VALUE"""),"MMS02")</f>
        <v>MMS02</v>
      </c>
      <c r="AL1670" s="3"/>
    </row>
    <row r="1671" ht="15.75" customHeight="1">
      <c r="A1671" s="1" t="str">
        <f>IFERROR(__xludf.DUMMYFUNCTION("""COMPUTED_VALUE"""),"22357")</f>
        <v>22357</v>
      </c>
      <c r="B1671" s="2">
        <f>IFERROR(__xludf.DUMMYFUNCTION("""COMPUTED_VALUE"""),22357.0)</f>
        <v>22357</v>
      </c>
      <c r="C1671" s="3" t="str">
        <f>IFERROR(__xludf.DUMMYFUNCTION("""COMPUTED_VALUE"""),"MBC ประชาอุทิศ 69 กรุงเทพฯ")</f>
        <v>MBC ประชาอุทิศ 69 กรุงเทพฯ</v>
      </c>
      <c r="D1671" s="3" t="str">
        <f>IFERROR(__xludf.DUMMYFUNCTION("""COMPUTED_VALUE"""),"BCM PRACHAUTHIT 69")</f>
        <v>BCM PRACHAUTHIT 69</v>
      </c>
      <c r="E1671" s="1" t="str">
        <f>IFERROR(__xludf.DUMMYFUNCTION("""COMPUTED_VALUE"""),"บิ๊กซี MINI")</f>
        <v>บิ๊กซี MINI</v>
      </c>
      <c r="F1671" s="1" t="str">
        <f>IFERROR(__xludf.DUMMYFUNCTION("""COMPUTED_VALUE"""),"291008")</f>
        <v>291008</v>
      </c>
      <c r="G1671" s="1" t="str">
        <f>IFERROR(__xludf.DUMMYFUNCTION("""COMPUTED_VALUE"""),"น.ส.รัชดาพร อีศรัตน์")</f>
        <v>น.ส.รัชดาพร อีศรัตน์</v>
      </c>
      <c r="H1671" s="1" t="str">
        <f>IFERROR(__xludf.DUMMYFUNCTION("""COMPUTED_VALUE"""),"254800")</f>
        <v>254800</v>
      </c>
      <c r="I1671" s="1" t="str">
        <f>IFERROR(__xludf.DUMMYFUNCTION("""COMPUTED_VALUE"""),"น.ส.นัชมล กางกรณ์")</f>
        <v>น.ส.นัชมล กางกรณ์</v>
      </c>
      <c r="J1671" s="3">
        <f>IFERROR(__xludf.DUMMYFUNCTION("""COMPUTED_VALUE"""),296728.0)</f>
        <v>296728</v>
      </c>
      <c r="K1671" s="3" t="str">
        <f>IFERROR(__xludf.DUMMYFUNCTION("""COMPUTED_VALUE"""),"นายธิติ บัวทองรังสิมา")</f>
        <v>นายธิติ บัวทองรังสิมา</v>
      </c>
      <c r="L1671" s="1" t="str">
        <f>IFERROR(__xludf.DUMMYFUNCTION("""COMPUTED_VALUE"""),"นายธิติ บัวทองรังสิมา")</f>
        <v>นายธิติ บัวทองรังสิมา</v>
      </c>
      <c r="M1671" s="1" t="str">
        <f>IFERROR(__xludf.DUMMYFUNCTION("""COMPUTED_VALUE"""),"0920849994")</f>
        <v>0920849994</v>
      </c>
      <c r="N1671" s="3">
        <f>IFERROR(__xludf.DUMMYFUNCTION("""COMPUTED_VALUE"""),21012.0)</f>
        <v>21012</v>
      </c>
      <c r="O1671" s="3" t="str">
        <f>IFERROR(__xludf.DUMMYFUNCTION("""COMPUTED_VALUE"""),"MBC ท่าอิฐ")</f>
        <v>MBC ท่าอิฐ</v>
      </c>
      <c r="P1671" s="4">
        <f>IFERROR(__xludf.DUMMYFUNCTION("""COMPUTED_VALUE"""),44444.0)</f>
        <v>44444</v>
      </c>
      <c r="Q1671" s="3" t="str">
        <f>IFERROR(__xludf.DUMMYFUNCTION("""COMPUTED_VALUE"""),"I")</f>
        <v>I</v>
      </c>
      <c r="R1671" s="3" t="str">
        <f>IFERROR(__xludf.DUMMYFUNCTION("""COMPUTED_VALUE"""),"Small Format")</f>
        <v>Small Format</v>
      </c>
      <c r="S1671" s="3" t="str">
        <f>IFERROR(__xludf.DUMMYFUNCTION("""COMPUTED_VALUE"""),"BCM")</f>
        <v>BCM</v>
      </c>
      <c r="T1671" s="3" t="str">
        <f>IFERROR(__xludf.DUMMYFUNCTION("""COMPUTED_VALUE"""),"#N/A")</f>
        <v>#N/A</v>
      </c>
      <c r="U1671" s="3" t="str">
        <f>IFERROR(__xludf.DUMMYFUNCTION("""COMPUTED_VALUE"""),"#N/A")</f>
        <v>#N/A</v>
      </c>
      <c r="V1671" s="3" t="str">
        <f>IFERROR(__xludf.DUMMYFUNCTION("""COMPUTED_VALUE"""),"N")</f>
        <v>N</v>
      </c>
      <c r="W1671" s="3">
        <f>IFERROR(__xludf.DUMMYFUNCTION("""COMPUTED_VALUE"""),210401.0)</f>
        <v>210401</v>
      </c>
      <c r="X1671" s="3" t="str">
        <f>IFERROR(__xludf.DUMMYFUNCTION("""COMPUTED_VALUE"""),"60/1 ซอยประชาอุทิศ 69 แขวงทุ่งครุ เขตทุ่งครุ จังหวัดกรุงเทพมหานคร 10140")</f>
        <v>60/1 ซอยประชาอุทิศ 69 แขวงทุ่งครุ เขตทุ่งครุ จังหวัดกรุงเทพมหานคร 10140</v>
      </c>
      <c r="Y1671" s="3"/>
      <c r="Z1671" s="3" t="str">
        <f>IFERROR(__xludf.DUMMYFUNCTION("""COMPUTED_VALUE"""),"ทุ่งครุ")</f>
        <v>ทุ่งครุ</v>
      </c>
      <c r="AA1671" s="3" t="str">
        <f>IFERROR(__xludf.DUMMYFUNCTION("""COMPUTED_VALUE"""),"ทุ่งครุ")</f>
        <v>ทุ่งครุ</v>
      </c>
      <c r="AB1671" s="3" t="str">
        <f>IFERROR(__xludf.DUMMYFUNCTION("""COMPUTED_VALUE"""),"กรุงเทพมหานคร")</f>
        <v>กรุงเทพมหานคร</v>
      </c>
      <c r="AC1671" s="3">
        <f>IFERROR(__xludf.DUMMYFUNCTION("""COMPUTED_VALUE"""),10140.0)</f>
        <v>10140</v>
      </c>
      <c r="AD1671" s="3">
        <f>IFERROR(__xludf.DUMMYFUNCTION("""COMPUTED_VALUE"""),13.64278)</f>
        <v>13.64278</v>
      </c>
      <c r="AE1671" s="3">
        <f>IFERROR(__xludf.DUMMYFUNCTION("""COMPUTED_VALUE"""),13.64278)</f>
        <v>13.64278</v>
      </c>
      <c r="AF1671" s="3" t="str">
        <f>IFERROR(__xludf.DUMMYFUNCTION("""COMPUTED_VALUE"""),"MBC ประชาอุทิศ 69 กรุงเทพฯ-22357")</f>
        <v>MBC ประชาอุทิศ 69 กรุงเทพฯ-22357</v>
      </c>
      <c r="AG1671" s="3" t="str">
        <f>IFERROR(__xludf.DUMMYFUNCTION("""COMPUTED_VALUE"""),"กลาง")</f>
        <v>กลาง</v>
      </c>
      <c r="AH1671" s="3" t="str">
        <f>IFERROR(__xludf.DUMMYFUNCTION("""COMPUTED_VALUE"""),"#N/A")</f>
        <v>#N/A</v>
      </c>
      <c r="AI1671" s="3" t="str">
        <f>IFERROR(__xludf.DUMMYFUNCTION("""COMPUTED_VALUE"""),"Out of warranty")</f>
        <v>Out of warranty</v>
      </c>
      <c r="AJ1671" s="3">
        <f>IFERROR(__xludf.DUMMYFUNCTION("""COMPUTED_VALUE"""),53.0)</f>
        <v>53</v>
      </c>
      <c r="AK1671" s="3" t="str">
        <f>IFERROR(__xludf.DUMMYFUNCTION("""COMPUTED_VALUE"""),"MMS02")</f>
        <v>MMS02</v>
      </c>
      <c r="AL1671" s="3"/>
    </row>
    <row r="1672" ht="15.75" customHeight="1">
      <c r="A1672" s="1" t="str">
        <f>IFERROR(__xludf.DUMMYFUNCTION("""COMPUTED_VALUE"""),"22358")</f>
        <v>22358</v>
      </c>
      <c r="B1672" s="2">
        <f>IFERROR(__xludf.DUMMYFUNCTION("""COMPUTED_VALUE"""),22358.0)</f>
        <v>22358</v>
      </c>
      <c r="C1672" s="3" t="str">
        <f>IFERROR(__xludf.DUMMYFUNCTION("""COMPUTED_VALUE"""),"MBC ประชาอุทิศ 72 กรุงเทพฯ")</f>
        <v>MBC ประชาอุทิศ 72 กรุงเทพฯ</v>
      </c>
      <c r="D1672" s="3" t="str">
        <f>IFERROR(__xludf.DUMMYFUNCTION("""COMPUTED_VALUE"""),"BCM PRACHAUTHIT 72")</f>
        <v>BCM PRACHAUTHIT 72</v>
      </c>
      <c r="E1672" s="1" t="str">
        <f>IFERROR(__xludf.DUMMYFUNCTION("""COMPUTED_VALUE"""),"บิ๊กซี MINI")</f>
        <v>บิ๊กซี MINI</v>
      </c>
      <c r="F1672" s="1" t="str">
        <f>IFERROR(__xludf.DUMMYFUNCTION("""COMPUTED_VALUE"""),"291008")</f>
        <v>291008</v>
      </c>
      <c r="G1672" s="1" t="str">
        <f>IFERROR(__xludf.DUMMYFUNCTION("""COMPUTED_VALUE"""),"น.ส.รัชดาพร อีศรัตน์")</f>
        <v>น.ส.รัชดาพร อีศรัตน์</v>
      </c>
      <c r="H1672" s="1" t="str">
        <f>IFERROR(__xludf.DUMMYFUNCTION("""COMPUTED_VALUE"""),"254800")</f>
        <v>254800</v>
      </c>
      <c r="I1672" s="1" t="str">
        <f>IFERROR(__xludf.DUMMYFUNCTION("""COMPUTED_VALUE"""),"น.ส.นัชมล กางกรณ์")</f>
        <v>น.ส.นัชมล กางกรณ์</v>
      </c>
      <c r="J1672" s="3">
        <f>IFERROR(__xludf.DUMMYFUNCTION("""COMPUTED_VALUE"""),296728.0)</f>
        <v>296728</v>
      </c>
      <c r="K1672" s="3" t="str">
        <f>IFERROR(__xludf.DUMMYFUNCTION("""COMPUTED_VALUE"""),"นายธิติ บัวทองรังสิมา")</f>
        <v>นายธิติ บัวทองรังสิมา</v>
      </c>
      <c r="L1672" s="1" t="str">
        <f>IFERROR(__xludf.DUMMYFUNCTION("""COMPUTED_VALUE"""),"นายธิติ บัวทองรังสิมา")</f>
        <v>นายธิติ บัวทองรังสิมา</v>
      </c>
      <c r="M1672" s="1" t="str">
        <f>IFERROR(__xludf.DUMMYFUNCTION("""COMPUTED_VALUE"""),"0920849994")</f>
        <v>0920849994</v>
      </c>
      <c r="N1672" s="3">
        <f>IFERROR(__xludf.DUMMYFUNCTION("""COMPUTED_VALUE"""),21012.0)</f>
        <v>21012</v>
      </c>
      <c r="O1672" s="3" t="str">
        <f>IFERROR(__xludf.DUMMYFUNCTION("""COMPUTED_VALUE"""),"MBC ท่าอิฐ")</f>
        <v>MBC ท่าอิฐ</v>
      </c>
      <c r="P1672" s="4">
        <f>IFERROR(__xludf.DUMMYFUNCTION("""COMPUTED_VALUE"""),44449.0)</f>
        <v>44449</v>
      </c>
      <c r="Q1672" s="3" t="str">
        <f>IFERROR(__xludf.DUMMYFUNCTION("""COMPUTED_VALUE"""),"I")</f>
        <v>I</v>
      </c>
      <c r="R1672" s="3" t="str">
        <f>IFERROR(__xludf.DUMMYFUNCTION("""COMPUTED_VALUE"""),"Small Format")</f>
        <v>Small Format</v>
      </c>
      <c r="S1672" s="3" t="str">
        <f>IFERROR(__xludf.DUMMYFUNCTION("""COMPUTED_VALUE"""),"BCM")</f>
        <v>BCM</v>
      </c>
      <c r="T1672" s="3" t="str">
        <f>IFERROR(__xludf.DUMMYFUNCTION("""COMPUTED_VALUE"""),"#N/A")</f>
        <v>#N/A</v>
      </c>
      <c r="U1672" s="3" t="str">
        <f>IFERROR(__xludf.DUMMYFUNCTION("""COMPUTED_VALUE"""),"#N/A")</f>
        <v>#N/A</v>
      </c>
      <c r="V1672" s="3" t="str">
        <f>IFERROR(__xludf.DUMMYFUNCTION("""COMPUTED_VALUE"""),"N")</f>
        <v>N</v>
      </c>
      <c r="W1672" s="3">
        <f>IFERROR(__xludf.DUMMYFUNCTION("""COMPUTED_VALUE"""),210403.0)</f>
        <v>210403</v>
      </c>
      <c r="X1672" s="3" t="str">
        <f>IFERROR(__xludf.DUMMYFUNCTION("""COMPUTED_VALUE"""),"42/1 ซอยประชาอุทิศ 72 แขวงทุ่งครุ เขตทุ่งครุ จังหวัดกรุงเทพมหานคร 10140")</f>
        <v>42/1 ซอยประชาอุทิศ 72 แขวงทุ่งครุ เขตทุ่งครุ จังหวัดกรุงเทพมหานคร 10140</v>
      </c>
      <c r="Y1672" s="3"/>
      <c r="Z1672" s="3" t="str">
        <f>IFERROR(__xludf.DUMMYFUNCTION("""COMPUTED_VALUE"""),"ทุ่งครุ")</f>
        <v>ทุ่งครุ</v>
      </c>
      <c r="AA1672" s="3" t="str">
        <f>IFERROR(__xludf.DUMMYFUNCTION("""COMPUTED_VALUE"""),"ทุ่งครุ")</f>
        <v>ทุ่งครุ</v>
      </c>
      <c r="AB1672" s="3" t="str">
        <f>IFERROR(__xludf.DUMMYFUNCTION("""COMPUTED_VALUE"""),"กรุงเทพมหานคร")</f>
        <v>กรุงเทพมหานคร</v>
      </c>
      <c r="AC1672" s="3">
        <f>IFERROR(__xludf.DUMMYFUNCTION("""COMPUTED_VALUE"""),10140.0)</f>
        <v>10140</v>
      </c>
      <c r="AD1672" s="3">
        <f>IFERROR(__xludf.DUMMYFUNCTION("""COMPUTED_VALUE"""),13.629165)</f>
        <v>13.629165</v>
      </c>
      <c r="AE1672" s="3">
        <f>IFERROR(__xludf.DUMMYFUNCTION("""COMPUTED_VALUE"""),13.629165)</f>
        <v>13.629165</v>
      </c>
      <c r="AF1672" s="3" t="str">
        <f>IFERROR(__xludf.DUMMYFUNCTION("""COMPUTED_VALUE"""),"MBC ประชาอุทิศ 72 กรุงเทพฯ-22358")</f>
        <v>MBC ประชาอุทิศ 72 กรุงเทพฯ-22358</v>
      </c>
      <c r="AG1672" s="3" t="str">
        <f>IFERROR(__xludf.DUMMYFUNCTION("""COMPUTED_VALUE"""),"กลาง")</f>
        <v>กลาง</v>
      </c>
      <c r="AH1672" s="3" t="str">
        <f>IFERROR(__xludf.DUMMYFUNCTION("""COMPUTED_VALUE"""),"#N/A")</f>
        <v>#N/A</v>
      </c>
      <c r="AI1672" s="3" t="str">
        <f>IFERROR(__xludf.DUMMYFUNCTION("""COMPUTED_VALUE"""),"Out of warranty")</f>
        <v>Out of warranty</v>
      </c>
      <c r="AJ1672" s="3">
        <f>IFERROR(__xludf.DUMMYFUNCTION("""COMPUTED_VALUE"""),53.0)</f>
        <v>53</v>
      </c>
      <c r="AK1672" s="3" t="str">
        <f>IFERROR(__xludf.DUMMYFUNCTION("""COMPUTED_VALUE"""),"MMS02")</f>
        <v>MMS02</v>
      </c>
      <c r="AL1672" s="3"/>
    </row>
    <row r="1673" ht="15.75" customHeight="1">
      <c r="A1673" s="1" t="str">
        <f>IFERROR(__xludf.DUMMYFUNCTION("""COMPUTED_VALUE"""),"22359")</f>
        <v>22359</v>
      </c>
      <c r="B1673" s="2">
        <f>IFERROR(__xludf.DUMMYFUNCTION("""COMPUTED_VALUE"""),22359.0)</f>
        <v>22359</v>
      </c>
      <c r="C1673" s="3" t="str">
        <f>IFERROR(__xludf.DUMMYFUNCTION("""COMPUTED_VALUE"""),"MBC ชุมชนวัดใหญ่ชัยมงคล อยุธยา")</f>
        <v>MBC ชุมชนวัดใหญ่ชัยมงคล อยุธยา</v>
      </c>
      <c r="D1673" s="3" t="str">
        <f>IFERROR(__xludf.DUMMYFUNCTION("""COMPUTED_VALUE"""),"BCM CHUMCHON WAT YAI")</f>
        <v>BCM CHUMCHON WAT YAI</v>
      </c>
      <c r="E1673" s="1" t="str">
        <f>IFERROR(__xludf.DUMMYFUNCTION("""COMPUTED_VALUE"""),"บิ๊กซี MINI")</f>
        <v>บิ๊กซี MINI</v>
      </c>
      <c r="F1673" s="1" t="str">
        <f>IFERROR(__xludf.DUMMYFUNCTION("""COMPUTED_VALUE"""),"296229")</f>
        <v>296229</v>
      </c>
      <c r="G1673" s="1" t="str">
        <f>IFERROR(__xludf.DUMMYFUNCTION("""COMPUTED_VALUE"""),"นายทนงศักดิ์ บุญมา")</f>
        <v>นายทนงศักดิ์ บุญมา</v>
      </c>
      <c r="H1673" s="1" t="str">
        <f>IFERROR(__xludf.DUMMYFUNCTION("""COMPUTED_VALUE"""),"318233")</f>
        <v>318233</v>
      </c>
      <c r="I1673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1673" s="3">
        <f>IFERROR(__xludf.DUMMYFUNCTION("""COMPUTED_VALUE"""),46214.0)</f>
        <v>46214</v>
      </c>
      <c r="K1673" s="3" t="str">
        <f>IFERROR(__xludf.DUMMYFUNCTION("""COMPUTED_VALUE"""),"นายศักดิ์ชัย เด็ดดอกฟ้า")</f>
        <v>นายศักดิ์ชัย เด็ดดอกฟ้า</v>
      </c>
      <c r="L1673" s="1" t="str">
        <f>IFERROR(__xludf.DUMMYFUNCTION("""COMPUTED_VALUE"""),"02 K.Sakchai D")</f>
        <v>02 K.Sakchai D</v>
      </c>
      <c r="M1673" s="1" t="str">
        <f>IFERROR(__xludf.DUMMYFUNCTION("""COMPUTED_VALUE"""),"065-510-7376")</f>
        <v>065-510-7376</v>
      </c>
      <c r="N1673" s="3">
        <f>IFERROR(__xludf.DUMMYFUNCTION("""COMPUTED_VALUE"""),21714.0)</f>
        <v>21714</v>
      </c>
      <c r="O1673" s="3" t="str">
        <f>IFERROR(__xludf.DUMMYFUNCTION("""COMPUTED_VALUE"""),"MBC เอสโซ่ วัดโบสถ์")</f>
        <v>MBC เอสโซ่ วัดโบสถ์</v>
      </c>
      <c r="P1673" s="4">
        <f>IFERROR(__xludf.DUMMYFUNCTION("""COMPUTED_VALUE"""),44420.0)</f>
        <v>44420</v>
      </c>
      <c r="Q1673" s="3" t="str">
        <f>IFERROR(__xludf.DUMMYFUNCTION("""COMPUTED_VALUE"""),"A")</f>
        <v>A</v>
      </c>
      <c r="R1673" s="3" t="str">
        <f>IFERROR(__xludf.DUMMYFUNCTION("""COMPUTED_VALUE"""),"Small Format")</f>
        <v>Small Format</v>
      </c>
      <c r="S1673" s="3" t="str">
        <f>IFERROR(__xludf.DUMMYFUNCTION("""COMPUTED_VALUE"""),"BCM")</f>
        <v>BCM</v>
      </c>
      <c r="T1673" s="3" t="str">
        <f>IFERROR(__xludf.DUMMYFUNCTION("""COMPUTED_VALUE"""),"#N/A")</f>
        <v>#N/A</v>
      </c>
      <c r="U1673" s="3" t="str">
        <f>IFERROR(__xludf.DUMMYFUNCTION("""COMPUTED_VALUE"""),"#N/A")</f>
        <v>#N/A</v>
      </c>
      <c r="V1673" s="3" t="str">
        <f>IFERROR(__xludf.DUMMYFUNCTION("""COMPUTED_VALUE"""),"N")</f>
        <v>N</v>
      </c>
      <c r="W1673" s="3">
        <f>IFERROR(__xludf.DUMMYFUNCTION("""COMPUTED_VALUE"""),210396.0)</f>
        <v>210396</v>
      </c>
      <c r="X1673" s="3" t="str">
        <f>IFERROR(__xludf.DUMMYFUNCTION("""COMPUTED_VALUE"""),"120/56 หมู่3 ตำบลคลองสวนพลู อำเภอพระนครศรีอยุธยา จังหวัดพระนครศรีอยุธยา 13000")</f>
        <v>120/56 หมู่3 ตำบลคลองสวนพลู อำเภอพระนครศรีอยุธยา จังหวัดพระนครศรีอยุธยา 13000</v>
      </c>
      <c r="Y1673" s="3"/>
      <c r="Z1673" s="3" t="str">
        <f>IFERROR(__xludf.DUMMYFUNCTION("""COMPUTED_VALUE"""),"คลองสวนพลู")</f>
        <v>คลองสวนพลู</v>
      </c>
      <c r="AA1673" s="3" t="str">
        <f>IFERROR(__xludf.DUMMYFUNCTION("""COMPUTED_VALUE"""),"เมืองพระนครศรีอยุธยา")</f>
        <v>เมืองพระนครศรีอยุธยา</v>
      </c>
      <c r="AB1673" s="3" t="str">
        <f>IFERROR(__xludf.DUMMYFUNCTION("""COMPUTED_VALUE"""),"พระนครศรีอยุธยา")</f>
        <v>พระนครศรีอยุธยา</v>
      </c>
      <c r="AC1673" s="3">
        <f>IFERROR(__xludf.DUMMYFUNCTION("""COMPUTED_VALUE"""),13000.0)</f>
        <v>13000</v>
      </c>
      <c r="AD1673" s="3">
        <f>IFERROR(__xludf.DUMMYFUNCTION("""COMPUTED_VALUE"""),14.34374619)</f>
        <v>14.34374619</v>
      </c>
      <c r="AE1673" s="3">
        <f>IFERROR(__xludf.DUMMYFUNCTION("""COMPUTED_VALUE"""),14.34374619)</f>
        <v>14.34374619</v>
      </c>
      <c r="AF1673" s="3" t="str">
        <f>IFERROR(__xludf.DUMMYFUNCTION("""COMPUTED_VALUE"""),"MBC ชุมชนวัดใหญ่ชัยมงคล อยุธยา-22359")</f>
        <v>MBC ชุมชนวัดใหญ่ชัยมงคล อยุธยา-22359</v>
      </c>
      <c r="AG1673" s="3" t="str">
        <f>IFERROR(__xludf.DUMMYFUNCTION("""COMPUTED_VALUE"""),"กลาง")</f>
        <v>กลาง</v>
      </c>
      <c r="AH1673" s="3" t="str">
        <f>IFERROR(__xludf.DUMMYFUNCTION("""COMPUTED_VALUE"""),"#N/A")</f>
        <v>#N/A</v>
      </c>
      <c r="AI1673" s="3" t="str">
        <f>IFERROR(__xludf.DUMMYFUNCTION("""COMPUTED_VALUE"""),"Out of warranty")</f>
        <v>Out of warranty</v>
      </c>
      <c r="AJ1673" s="3">
        <f>IFERROR(__xludf.DUMMYFUNCTION("""COMPUTED_VALUE"""),54.0)</f>
        <v>54</v>
      </c>
      <c r="AK1673" s="3" t="str">
        <f>IFERROR(__xludf.DUMMYFUNCTION("""COMPUTED_VALUE"""),"MMS04")</f>
        <v>MMS04</v>
      </c>
      <c r="AL1673" s="3"/>
    </row>
    <row r="1674" ht="15.75" customHeight="1">
      <c r="A1674" s="1" t="str">
        <f>IFERROR(__xludf.DUMMYFUNCTION("""COMPUTED_VALUE"""),"22360")</f>
        <v>22360</v>
      </c>
      <c r="B1674" s="2">
        <f>IFERROR(__xludf.DUMMYFUNCTION("""COMPUTED_VALUE"""),22360.0)</f>
        <v>22360</v>
      </c>
      <c r="C1674" s="3" t="str">
        <f>IFERROR(__xludf.DUMMYFUNCTION("""COMPUTED_VALUE"""),"MBC เทศบาลบางปลา ซ.7 สมุทรสาคร")</f>
        <v>MBC เทศบาลบางปลา ซ.7 สมุทรสาคร</v>
      </c>
      <c r="D1674" s="3" t="str">
        <f>IFERROR(__xludf.DUMMYFUNCTION("""COMPUTED_VALUE"""),"BCM TESSABAN BANG PLA SOI 7")</f>
        <v>BCM TESSABAN BANG PLA SOI 7</v>
      </c>
      <c r="E1674" s="1" t="str">
        <f>IFERROR(__xludf.DUMMYFUNCTION("""COMPUTED_VALUE"""),"บิ๊กซี MINI")</f>
        <v>บิ๊กซี MINI</v>
      </c>
      <c r="F1674" s="1" t="str">
        <f>IFERROR(__xludf.DUMMYFUNCTION("""COMPUTED_VALUE"""),"2083447")</f>
        <v>2083447</v>
      </c>
      <c r="G1674" s="1" t="str">
        <f>IFERROR(__xludf.DUMMYFUNCTION("""COMPUTED_VALUE"""),"นายอนุกูล ศรีลัดดา")</f>
        <v>นายอนุกูล ศรีลัดดา</v>
      </c>
      <c r="H1674" s="1" t="str">
        <f>IFERROR(__xludf.DUMMYFUNCTION("""COMPUTED_VALUE"""),"2455053")</f>
        <v>2455053</v>
      </c>
      <c r="I1674" s="1" t="str">
        <f>IFERROR(__xludf.DUMMYFUNCTION("""COMPUTED_VALUE"""),"นายพันธมิตร โพธิ")</f>
        <v>นายพันธมิตร โพธิ</v>
      </c>
      <c r="J1674" s="3">
        <f>IFERROR(__xludf.DUMMYFUNCTION("""COMPUTED_VALUE"""),2451655.0)</f>
        <v>2451655</v>
      </c>
      <c r="K1674" s="3" t="str">
        <f>IFERROR(__xludf.DUMMYFUNCTION("""COMPUTED_VALUE"""),"นายวิษณุพงษ์ ชินบุตร")</f>
        <v>นายวิษณุพงษ์ ชินบุตร</v>
      </c>
      <c r="L1674" s="1" t="str">
        <f>IFERROR(__xludf.DUMMYFUNCTION("""COMPUTED_VALUE"""),"13 K.Wisanupong Ch")</f>
        <v>13 K.Wisanupong Ch</v>
      </c>
      <c r="M1674" s="1" t="str">
        <f>IFERROR(__xludf.DUMMYFUNCTION("""COMPUTED_VALUE"""),"0843374693")</f>
        <v>0843374693</v>
      </c>
      <c r="N1674" s="3">
        <f>IFERROR(__xludf.DUMMYFUNCTION("""COMPUTED_VALUE"""),22729.0)</f>
        <v>22729</v>
      </c>
      <c r="O1674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674" s="4">
        <f>IFERROR(__xludf.DUMMYFUNCTION("""COMPUTED_VALUE"""),44420.0)</f>
        <v>44420</v>
      </c>
      <c r="Q1674" s="3" t="str">
        <f>IFERROR(__xludf.DUMMYFUNCTION("""COMPUTED_VALUE"""),"A")</f>
        <v>A</v>
      </c>
      <c r="R1674" s="3" t="str">
        <f>IFERROR(__xludf.DUMMYFUNCTION("""COMPUTED_VALUE"""),"Small Format")</f>
        <v>Small Format</v>
      </c>
      <c r="S1674" s="3" t="str">
        <f>IFERROR(__xludf.DUMMYFUNCTION("""COMPUTED_VALUE"""),"BCM")</f>
        <v>BCM</v>
      </c>
      <c r="T1674" s="3" t="str">
        <f>IFERROR(__xludf.DUMMYFUNCTION("""COMPUTED_VALUE"""),"#N/A")</f>
        <v>#N/A</v>
      </c>
      <c r="U1674" s="3" t="str">
        <f>IFERROR(__xludf.DUMMYFUNCTION("""COMPUTED_VALUE"""),"#N/A")</f>
        <v>#N/A</v>
      </c>
      <c r="V1674" s="3" t="str">
        <f>IFERROR(__xludf.DUMMYFUNCTION("""COMPUTED_VALUE"""),"N")</f>
        <v>N</v>
      </c>
      <c r="W1674" s="3">
        <f>IFERROR(__xludf.DUMMYFUNCTION("""COMPUTED_VALUE"""),210405.0)</f>
        <v>210405</v>
      </c>
      <c r="X1674" s="3" t="str">
        <f>IFERROR(__xludf.DUMMYFUNCTION("""COMPUTED_VALUE"""),"42/104 หมู่ที่ 4 ตำบลบ้านเกาะ อำเภอเมืองสมุทรสาคร จังหวัดสมุทรสาคร 74000")</f>
        <v>42/104 หมู่ที่ 4 ตำบลบ้านเกาะ อำเภอเมืองสมุทรสาคร จังหวัดสมุทรสาคร 74000</v>
      </c>
      <c r="Y1674" s="3"/>
      <c r="Z1674" s="3" t="str">
        <f>IFERROR(__xludf.DUMMYFUNCTION("""COMPUTED_VALUE"""),"บ้านเกาะ")</f>
        <v>บ้านเกาะ</v>
      </c>
      <c r="AA1674" s="3" t="str">
        <f>IFERROR(__xludf.DUMMYFUNCTION("""COMPUTED_VALUE"""),"เมือง")</f>
        <v>เมือง</v>
      </c>
      <c r="AB1674" s="3" t="str">
        <f>IFERROR(__xludf.DUMMYFUNCTION("""COMPUTED_VALUE"""),"สมุทรสาคร")</f>
        <v>สมุทรสาคร</v>
      </c>
      <c r="AC1674" s="3">
        <f>IFERROR(__xludf.DUMMYFUNCTION("""COMPUTED_VALUE"""),74000.0)</f>
        <v>74000</v>
      </c>
      <c r="AD1674" s="3">
        <f>IFERROR(__xludf.DUMMYFUNCTION("""COMPUTED_VALUE"""),13.586168)</f>
        <v>13.586168</v>
      </c>
      <c r="AE1674" s="3">
        <f>IFERROR(__xludf.DUMMYFUNCTION("""COMPUTED_VALUE"""),100.242371)</f>
        <v>100.242371</v>
      </c>
      <c r="AF1674" s="3" t="str">
        <f>IFERROR(__xludf.DUMMYFUNCTION("""COMPUTED_VALUE"""),"MBC เทศบาลบางปลา ซ.7 สมุทรสาคร-22360")</f>
        <v>MBC เทศบาลบางปลา ซ.7 สมุทรสาคร-22360</v>
      </c>
      <c r="AG1674" s="3" t="str">
        <f>IFERROR(__xludf.DUMMYFUNCTION("""COMPUTED_VALUE"""),"กลาง")</f>
        <v>กลาง</v>
      </c>
      <c r="AH1674" s="3" t="str">
        <f>IFERROR(__xludf.DUMMYFUNCTION("""COMPUTED_VALUE"""),"#N/A")</f>
        <v>#N/A</v>
      </c>
      <c r="AI1674" s="3" t="str">
        <f>IFERROR(__xludf.DUMMYFUNCTION("""COMPUTED_VALUE"""),"Out of warranty")</f>
        <v>Out of warranty</v>
      </c>
      <c r="AJ1674" s="3">
        <f>IFERROR(__xludf.DUMMYFUNCTION("""COMPUTED_VALUE"""),54.0)</f>
        <v>54</v>
      </c>
      <c r="AK1674" s="3" t="str">
        <f>IFERROR(__xludf.DUMMYFUNCTION("""COMPUTED_VALUE"""),"MMS05")</f>
        <v>MMS05</v>
      </c>
      <c r="AL1674" s="3"/>
    </row>
    <row r="1675" ht="15.75" customHeight="1">
      <c r="A1675" s="1" t="str">
        <f>IFERROR(__xludf.DUMMYFUNCTION("""COMPUTED_VALUE"""),"22361")</f>
        <v>22361</v>
      </c>
      <c r="B1675" s="2">
        <f>IFERROR(__xludf.DUMMYFUNCTION("""COMPUTED_VALUE"""),22361.0)</f>
        <v>22361</v>
      </c>
      <c r="C1675" s="3" t="str">
        <f>IFERROR(__xludf.DUMMYFUNCTION("""COMPUTED_VALUE"""),"MBC แม่สะเรียง แม่ฮ่องสอน")</f>
        <v>MBC แม่สะเรียง แม่ฮ่องสอน</v>
      </c>
      <c r="D1675" s="3" t="str">
        <f>IFERROR(__xludf.DUMMYFUNCTION("""COMPUTED_VALUE"""),"BCM MAE SARIANG")</f>
        <v>BCM MAE SARIANG</v>
      </c>
      <c r="E1675" s="1" t="str">
        <f>IFERROR(__xludf.DUMMYFUNCTION("""COMPUTED_VALUE"""),"บิ๊กซี MINI")</f>
        <v>บิ๊กซี MINI</v>
      </c>
      <c r="F1675" s="1" t="str">
        <f>IFERROR(__xludf.DUMMYFUNCTION("""COMPUTED_VALUE"""),"296229")</f>
        <v>296229</v>
      </c>
      <c r="G1675" s="1" t="str">
        <f>IFERROR(__xludf.DUMMYFUNCTION("""COMPUTED_VALUE"""),"นายทนงศักดิ์ บุญมา")</f>
        <v>นายทนงศักดิ์ บุญมา</v>
      </c>
      <c r="H1675" s="1" t="str">
        <f>IFERROR(__xludf.DUMMYFUNCTION("""COMPUTED_VALUE"""),"392003")</f>
        <v>392003</v>
      </c>
      <c r="I1675" s="1" t="str">
        <f>IFERROR(__xludf.DUMMYFUNCTION("""COMPUTED_VALUE"""),"นายวรภพ เศษสูงเนิน")</f>
        <v>นายวรภพ เศษสูงเนิน</v>
      </c>
      <c r="J1675" s="3">
        <f>IFERROR(__xludf.DUMMYFUNCTION("""COMPUTED_VALUE"""),2010016.0)</f>
        <v>2010016</v>
      </c>
      <c r="K1675" s="3" t="str">
        <f>IFERROR(__xludf.DUMMYFUNCTION("""COMPUTED_VALUE"""),"นายตวงธรรม ใหม่ยศ")</f>
        <v>นายตวงธรรม ใหม่ยศ</v>
      </c>
      <c r="L1675" s="1" t="str">
        <f>IFERROR(__xludf.DUMMYFUNCTION("""COMPUTED_VALUE"""),"01 K.Tuangtham M.")</f>
        <v>01 K.Tuangtham M.</v>
      </c>
      <c r="M1675" s="1" t="str">
        <f>IFERROR(__xludf.DUMMYFUNCTION("""COMPUTED_VALUE"""),"063-976-595")</f>
        <v>063-976-595</v>
      </c>
      <c r="N1675" s="3">
        <f>IFERROR(__xludf.DUMMYFUNCTION("""COMPUTED_VALUE"""),22574.0)</f>
        <v>22574</v>
      </c>
      <c r="O1675" s="3" t="str">
        <f>IFERROR(__xludf.DUMMYFUNCTION("""COMPUTED_VALUE"""),"BCM ชุมชนศรีชุม ลำปาง")</f>
        <v>BCM ชุมชนศรีชุม ลำปาง</v>
      </c>
      <c r="P1675" s="4">
        <f>IFERROR(__xludf.DUMMYFUNCTION("""COMPUTED_VALUE"""),44423.0)</f>
        <v>44423</v>
      </c>
      <c r="Q1675" s="3" t="str">
        <f>IFERROR(__xludf.DUMMYFUNCTION("""COMPUTED_VALUE"""),"A")</f>
        <v>A</v>
      </c>
      <c r="R1675" s="3" t="str">
        <f>IFERROR(__xludf.DUMMYFUNCTION("""COMPUTED_VALUE"""),"Small Format")</f>
        <v>Small Format</v>
      </c>
      <c r="S1675" s="3" t="str">
        <f>IFERROR(__xludf.DUMMYFUNCTION("""COMPUTED_VALUE"""),"BCM")</f>
        <v>BCM</v>
      </c>
      <c r="T1675" s="3" t="str">
        <f>IFERROR(__xludf.DUMMYFUNCTION("""COMPUTED_VALUE"""),"#N/A")</f>
        <v>#N/A</v>
      </c>
      <c r="U1675" s="3" t="str">
        <f>IFERROR(__xludf.DUMMYFUNCTION("""COMPUTED_VALUE"""),"#N/A")</f>
        <v>#N/A</v>
      </c>
      <c r="V1675" s="3" t="str">
        <f>IFERROR(__xludf.DUMMYFUNCTION("""COMPUTED_VALUE"""),"N")</f>
        <v>N</v>
      </c>
      <c r="W1675" s="3">
        <f>IFERROR(__xludf.DUMMYFUNCTION("""COMPUTED_VALUE"""),210387.0)</f>
        <v>210387</v>
      </c>
      <c r="X1675" s="3" t="str">
        <f>IFERROR(__xludf.DUMMYFUNCTION("""COMPUTED_VALUE"""),"179/8 หมู่2 ตำบลแม่สะเรียง อำเภอแม่สะเรียง จังหวัดแม่ฮ่องสอน 58110")</f>
        <v>179/8 หมู่2 ตำบลแม่สะเรียง อำเภอแม่สะเรียง จังหวัดแม่ฮ่องสอน 58110</v>
      </c>
      <c r="Y1675" s="3"/>
      <c r="Z1675" s="3" t="str">
        <f>IFERROR(__xludf.DUMMYFUNCTION("""COMPUTED_VALUE"""),"แม่สะเรียง")</f>
        <v>แม่สะเรียง</v>
      </c>
      <c r="AA1675" s="3" t="str">
        <f>IFERROR(__xludf.DUMMYFUNCTION("""COMPUTED_VALUE"""),"แม่สะเรียง")</f>
        <v>แม่สะเรียง</v>
      </c>
      <c r="AB1675" s="3" t="str">
        <f>IFERROR(__xludf.DUMMYFUNCTION("""COMPUTED_VALUE"""),"แม่ฮ่องสอน")</f>
        <v>แม่ฮ่องสอน</v>
      </c>
      <c r="AC1675" s="3">
        <f>IFERROR(__xludf.DUMMYFUNCTION("""COMPUTED_VALUE"""),58110.0)</f>
        <v>58110</v>
      </c>
      <c r="AD1675" s="3">
        <f>IFERROR(__xludf.DUMMYFUNCTION("""COMPUTED_VALUE"""),18.159728)</f>
        <v>18.159728</v>
      </c>
      <c r="AE1675" s="3">
        <f>IFERROR(__xludf.DUMMYFUNCTION("""COMPUTED_VALUE"""),18.159728)</f>
        <v>18.159728</v>
      </c>
      <c r="AF1675" s="3" t="str">
        <f>IFERROR(__xludf.DUMMYFUNCTION("""COMPUTED_VALUE"""),"MBC แม่สะเรียง แม่ฮ่องสอน-22361")</f>
        <v>MBC แม่สะเรียง แม่ฮ่องสอน-22361</v>
      </c>
      <c r="AG1675" s="3" t="str">
        <f>IFERROR(__xludf.DUMMYFUNCTION("""COMPUTED_VALUE"""),"เหนือ")</f>
        <v>เหนือ</v>
      </c>
      <c r="AH1675" s="3" t="str">
        <f>IFERROR(__xludf.DUMMYFUNCTION("""COMPUTED_VALUE"""),"#N/A")</f>
        <v>#N/A</v>
      </c>
      <c r="AI1675" s="3" t="str">
        <f>IFERROR(__xludf.DUMMYFUNCTION("""COMPUTED_VALUE"""),"Out of warranty")</f>
        <v>Out of warranty</v>
      </c>
      <c r="AJ1675" s="3">
        <f>IFERROR(__xludf.DUMMYFUNCTION("""COMPUTED_VALUE"""),54.0)</f>
        <v>54</v>
      </c>
      <c r="AK1675" s="3" t="str">
        <f>IFERROR(__xludf.DUMMYFUNCTION("""COMPUTED_VALUE"""),"MMS10")</f>
        <v>MMS10</v>
      </c>
      <c r="AL1675" s="3"/>
    </row>
    <row r="1676" ht="15.75" customHeight="1">
      <c r="A1676" s="1" t="str">
        <f>IFERROR(__xludf.DUMMYFUNCTION("""COMPUTED_VALUE"""),"22362")</f>
        <v>22362</v>
      </c>
      <c r="B1676" s="2">
        <f>IFERROR(__xludf.DUMMYFUNCTION("""COMPUTED_VALUE"""),22362.0)</f>
        <v>22362</v>
      </c>
      <c r="C1676" s="3" t="str">
        <f>IFERROR(__xludf.DUMMYFUNCTION("""COMPUTED_VALUE"""),"MBC บ้านม่วง สกลนคร")</f>
        <v>MBC บ้านม่วง สกลนคร</v>
      </c>
      <c r="D1676" s="3" t="str">
        <f>IFERROR(__xludf.DUMMYFUNCTION("""COMPUTED_VALUE"""),"BCM BAN MUANG")</f>
        <v>BCM BAN MUANG</v>
      </c>
      <c r="E1676" s="1" t="str">
        <f>IFERROR(__xludf.DUMMYFUNCTION("""COMPUTED_VALUE"""),"บิ๊กซี MINI")</f>
        <v>บิ๊กซี MINI</v>
      </c>
      <c r="F1676" s="1" t="str">
        <f>IFERROR(__xludf.DUMMYFUNCTION("""COMPUTED_VALUE"""),"291105")</f>
        <v>291105</v>
      </c>
      <c r="G1676" s="1" t="str">
        <f>IFERROR(__xludf.DUMMYFUNCTION("""COMPUTED_VALUE"""),"นายสราวุฒิ พณิชยกุล")</f>
        <v>นายสราวุฒิ พณิชยกุล</v>
      </c>
      <c r="H1676" s="1" t="str">
        <f>IFERROR(__xludf.DUMMYFUNCTION("""COMPUTED_VALUE"""),"392885")</f>
        <v>392885</v>
      </c>
      <c r="I1676" s="1" t="str">
        <f>IFERROR(__xludf.DUMMYFUNCTION("""COMPUTED_VALUE"""),"น.ส.วราพร จันปลิว")</f>
        <v>น.ส.วราพร จันปลิว</v>
      </c>
      <c r="J1676" s="3">
        <f>IFERROR(__xludf.DUMMYFUNCTION("""COMPUTED_VALUE"""),296868.0)</f>
        <v>296868</v>
      </c>
      <c r="K1676" s="3" t="str">
        <f>IFERROR(__xludf.DUMMYFUNCTION("""COMPUTED_VALUE"""),"นายพีระพงษ์ แก้วดวงดี")</f>
        <v>นายพีระพงษ์ แก้วดวงดี</v>
      </c>
      <c r="L1676" s="3" t="str">
        <f>IFERROR(__xludf.DUMMYFUNCTION("""COMPUTED_VALUE"""),"03 K.Peerapong K.")</f>
        <v>03 K.Peerapong K.</v>
      </c>
      <c r="M1676" s="1" t="str">
        <f>IFERROR(__xludf.DUMMYFUNCTION("""COMPUTED_VALUE"""),"089-002-6599")</f>
        <v>089-002-6599</v>
      </c>
      <c r="N1676" s="3">
        <f>IFERROR(__xludf.DUMMYFUNCTION("""COMPUTED_VALUE"""),21946.0)</f>
        <v>21946</v>
      </c>
      <c r="O1676" s="3" t="str">
        <f>IFERROR(__xludf.DUMMYFUNCTION("""COMPUTED_VALUE"""),"MBC เซกา บึงกาฬ")</f>
        <v>MBC เซกา บึงกาฬ</v>
      </c>
      <c r="P1676" s="4">
        <f>IFERROR(__xludf.DUMMYFUNCTION("""COMPUTED_VALUE"""),44439.0)</f>
        <v>44439</v>
      </c>
      <c r="Q1676" s="3" t="str">
        <f>IFERROR(__xludf.DUMMYFUNCTION("""COMPUTED_VALUE"""),"A")</f>
        <v>A</v>
      </c>
      <c r="R1676" s="3" t="str">
        <f>IFERROR(__xludf.DUMMYFUNCTION("""COMPUTED_VALUE"""),"Small Format")</f>
        <v>Small Format</v>
      </c>
      <c r="S1676" s="3" t="str">
        <f>IFERROR(__xludf.DUMMYFUNCTION("""COMPUTED_VALUE"""),"BCM")</f>
        <v>BCM</v>
      </c>
      <c r="T1676" s="3" t="str">
        <f>IFERROR(__xludf.DUMMYFUNCTION("""COMPUTED_VALUE"""),"#N/A")</f>
        <v>#N/A</v>
      </c>
      <c r="U1676" s="3" t="str">
        <f>IFERROR(__xludf.DUMMYFUNCTION("""COMPUTED_VALUE"""),"#N/A")</f>
        <v>#N/A</v>
      </c>
      <c r="V1676" s="3" t="str">
        <f>IFERROR(__xludf.DUMMYFUNCTION("""COMPUTED_VALUE"""),"N")</f>
        <v>N</v>
      </c>
      <c r="W1676" s="3">
        <f>IFERROR(__xludf.DUMMYFUNCTION("""COMPUTED_VALUE"""),210377.0)</f>
        <v>210377</v>
      </c>
      <c r="X1676" s="3" t="str">
        <f>IFERROR(__xludf.DUMMYFUNCTION("""COMPUTED_VALUE"""),"39 หมู่ที่ 2 ตำบลม่วง อำเภอบ้านม่วง จังหวัดสกลนคร 47140")</f>
        <v>39 หมู่ที่ 2 ตำบลม่วง อำเภอบ้านม่วง จังหวัดสกลนคร 47140</v>
      </c>
      <c r="Y1676" s="3"/>
      <c r="Z1676" s="3" t="str">
        <f>IFERROR(__xludf.DUMMYFUNCTION("""COMPUTED_VALUE"""),"ม่วง")</f>
        <v>ม่วง</v>
      </c>
      <c r="AA1676" s="3" t="str">
        <f>IFERROR(__xludf.DUMMYFUNCTION("""COMPUTED_VALUE"""),"บ้านม่วง")</f>
        <v>บ้านม่วง</v>
      </c>
      <c r="AB1676" s="3" t="str">
        <f>IFERROR(__xludf.DUMMYFUNCTION("""COMPUTED_VALUE"""),"สกลนคร")</f>
        <v>สกลนคร</v>
      </c>
      <c r="AC1676" s="3">
        <f>IFERROR(__xludf.DUMMYFUNCTION("""COMPUTED_VALUE"""),47140.0)</f>
        <v>47140</v>
      </c>
      <c r="AD1676" s="3">
        <f>IFERROR(__xludf.DUMMYFUNCTION("""COMPUTED_VALUE"""),17.85186)</f>
        <v>17.85186</v>
      </c>
      <c r="AE1676" s="3">
        <f>IFERROR(__xludf.DUMMYFUNCTION("""COMPUTED_VALUE"""),103.574902)</f>
        <v>103.574902</v>
      </c>
      <c r="AF1676" s="3" t="str">
        <f>IFERROR(__xludf.DUMMYFUNCTION("""COMPUTED_VALUE"""),"MBC บ้านม่วง สกลนคร-22362")</f>
        <v>MBC บ้านม่วง สกลนคร-22362</v>
      </c>
      <c r="AG1676" s="3" t="str">
        <f>IFERROR(__xludf.DUMMYFUNCTION("""COMPUTED_VALUE"""),"ตะวันออกเฉียงเหนือ")</f>
        <v>ตะวันออกเฉียงเหนือ</v>
      </c>
      <c r="AH1676" s="3" t="str">
        <f>IFERROR(__xludf.DUMMYFUNCTION("""COMPUTED_VALUE"""),"#N/A")</f>
        <v>#N/A</v>
      </c>
      <c r="AI1676" s="3" t="str">
        <f>IFERROR(__xludf.DUMMYFUNCTION("""COMPUTED_VALUE"""),"Out of warranty")</f>
        <v>Out of warranty</v>
      </c>
      <c r="AJ1676" s="3">
        <f>IFERROR(__xludf.DUMMYFUNCTION("""COMPUTED_VALUE"""),53.0)</f>
        <v>53</v>
      </c>
      <c r="AK1676" s="3" t="str">
        <f>IFERROR(__xludf.DUMMYFUNCTION("""COMPUTED_VALUE"""),"MMS12")</f>
        <v>MMS12</v>
      </c>
      <c r="AL1676" s="3"/>
    </row>
    <row r="1677" ht="15.75" customHeight="1">
      <c r="A1677" s="1" t="str">
        <f>IFERROR(__xludf.DUMMYFUNCTION("""COMPUTED_VALUE"""),"22363")</f>
        <v>22363</v>
      </c>
      <c r="B1677" s="2">
        <f>IFERROR(__xludf.DUMMYFUNCTION("""COMPUTED_VALUE"""),22363.0)</f>
        <v>22363</v>
      </c>
      <c r="C1677" s="3" t="str">
        <f>IFERROR(__xludf.DUMMYFUNCTION("""COMPUTED_VALUE"""),"MBC ศาลเจ้าพ่อเสือ(รามอินทรา 5)")</f>
        <v>MBC ศาลเจ้าพ่อเสือ(รามอินทรา 5)</v>
      </c>
      <c r="D1677" s="3" t="str">
        <f>IFERROR(__xludf.DUMMYFUNCTION("""COMPUTED_VALUE"""),"BCM CHAO POR SUEA SHRINE")</f>
        <v>BCM CHAO POR SUEA SHRINE</v>
      </c>
      <c r="E1677" s="1" t="str">
        <f>IFERROR(__xludf.DUMMYFUNCTION("""COMPUTED_VALUE"""),"บิ๊กซี MINI")</f>
        <v>บิ๊กซี MINI</v>
      </c>
      <c r="F1677" s="1" t="str">
        <f>IFERROR(__xludf.DUMMYFUNCTION("""COMPUTED_VALUE"""),"291008")</f>
        <v>291008</v>
      </c>
      <c r="G1677" s="1" t="str">
        <f>IFERROR(__xludf.DUMMYFUNCTION("""COMPUTED_VALUE"""),"น.ส.รัชดาพร อีศรัตน์")</f>
        <v>น.ส.รัชดาพร อีศรัตน์</v>
      </c>
      <c r="H1677" s="1" t="str">
        <f>IFERROR(__xludf.DUMMYFUNCTION("""COMPUTED_VALUE"""),"288639")</f>
        <v>288639</v>
      </c>
      <c r="I1677" s="1" t="str">
        <f>IFERROR(__xludf.DUMMYFUNCTION("""COMPUTED_VALUE"""),"น.ส.สมหญิง สีชมภู")</f>
        <v>น.ส.สมหญิง สีชมภู</v>
      </c>
      <c r="J1677" s="3">
        <f>IFERROR(__xludf.DUMMYFUNCTION("""COMPUTED_VALUE"""),3510104.0)</f>
        <v>3510104</v>
      </c>
      <c r="K1677" s="3" t="str">
        <f>IFERROR(__xludf.DUMMYFUNCTION("""COMPUTED_VALUE"""),"นายวิโรจน์ อับดุลสมัด")</f>
        <v>นายวิโรจน์ อับดุลสมัด</v>
      </c>
      <c r="L1677" s="3" t="str">
        <f>IFERROR(__xludf.DUMMYFUNCTION("""COMPUTED_VALUE"""),"09 K.Wirode A")</f>
        <v>09 K.Wirode A</v>
      </c>
      <c r="M1677" s="1" t="str">
        <f>IFERROR(__xludf.DUMMYFUNCTION("""COMPUTED_VALUE"""),"080-235-4465")</f>
        <v>080-235-4465</v>
      </c>
      <c r="N1677" s="3">
        <f>IFERROR(__xludf.DUMMYFUNCTION("""COMPUTED_VALUE"""),21324.0)</f>
        <v>21324</v>
      </c>
      <c r="O1677" s="3" t="str">
        <f>IFERROR(__xludf.DUMMYFUNCTION("""COMPUTED_VALUE"""),"MBC BCP สุวินทวงศ์")</f>
        <v>MBC BCP สุวินทวงศ์</v>
      </c>
      <c r="P1677" s="4">
        <f>IFERROR(__xludf.DUMMYFUNCTION("""COMPUTED_VALUE"""),44435.0)</f>
        <v>44435</v>
      </c>
      <c r="Q1677" s="3" t="str">
        <f>IFERROR(__xludf.DUMMYFUNCTION("""COMPUTED_VALUE"""),"A")</f>
        <v>A</v>
      </c>
      <c r="R1677" s="3" t="str">
        <f>IFERROR(__xludf.DUMMYFUNCTION("""COMPUTED_VALUE"""),"Small Format")</f>
        <v>Small Format</v>
      </c>
      <c r="S1677" s="3" t="str">
        <f>IFERROR(__xludf.DUMMYFUNCTION("""COMPUTED_VALUE"""),"BCM")</f>
        <v>BCM</v>
      </c>
      <c r="T1677" s="3" t="str">
        <f>IFERROR(__xludf.DUMMYFUNCTION("""COMPUTED_VALUE"""),"#N/A")</f>
        <v>#N/A</v>
      </c>
      <c r="U1677" s="3" t="str">
        <f>IFERROR(__xludf.DUMMYFUNCTION("""COMPUTED_VALUE"""),"#N/A")</f>
        <v>#N/A</v>
      </c>
      <c r="V1677" s="3" t="str">
        <f>IFERROR(__xludf.DUMMYFUNCTION("""COMPUTED_VALUE"""),"N")</f>
        <v>N</v>
      </c>
      <c r="W1677" s="3">
        <f>IFERROR(__xludf.DUMMYFUNCTION("""COMPUTED_VALUE"""),210372.0)</f>
        <v>210372</v>
      </c>
      <c r="X1677" s="3" t="str">
        <f>IFERROR(__xludf.DUMMYFUNCTION("""COMPUTED_VALUE"""),"156 ซอยรามอินทรา 5 แขวงอนุสาวรีย์ เขตบางเขน จังหวัดกรุงเทพมหานคร 10220")</f>
        <v>156 ซอยรามอินทรา 5 แขวงอนุสาวรีย์ เขตบางเขน จังหวัดกรุงเทพมหานคร 10220</v>
      </c>
      <c r="Y1677" s="3"/>
      <c r="Z1677" s="3" t="str">
        <f>IFERROR(__xludf.DUMMYFUNCTION("""COMPUTED_VALUE"""),"อนุสาวรีย์")</f>
        <v>อนุสาวรีย์</v>
      </c>
      <c r="AA1677" s="3" t="str">
        <f>IFERROR(__xludf.DUMMYFUNCTION("""COMPUTED_VALUE"""),"บางเขน")</f>
        <v>บางเขน</v>
      </c>
      <c r="AB1677" s="3" t="str">
        <f>IFERROR(__xludf.DUMMYFUNCTION("""COMPUTED_VALUE"""),"กรุงเทพมหานคร")</f>
        <v>กรุงเทพมหานคร</v>
      </c>
      <c r="AC1677" s="3">
        <f>IFERROR(__xludf.DUMMYFUNCTION("""COMPUTED_VALUE"""),10220.0)</f>
        <v>10220</v>
      </c>
      <c r="AD1677" s="3">
        <f>IFERROR(__xludf.DUMMYFUNCTION("""COMPUTED_VALUE"""),13.875611)</f>
        <v>13.875611</v>
      </c>
      <c r="AE1677" s="3">
        <f>IFERROR(__xludf.DUMMYFUNCTION("""COMPUTED_VALUE"""),100.619332)</f>
        <v>100.619332</v>
      </c>
      <c r="AF1677" s="3" t="str">
        <f>IFERROR(__xludf.DUMMYFUNCTION("""COMPUTED_VALUE"""),"MBC ศาลเจ้าพ่อเสือ(รามอินทรา 5)-22363")</f>
        <v>MBC ศาลเจ้าพ่อเสือ(รามอินทรา 5)-22363</v>
      </c>
      <c r="AG1677" s="3" t="str">
        <f>IFERROR(__xludf.DUMMYFUNCTION("""COMPUTED_VALUE"""),"กลาง")</f>
        <v>กลาง</v>
      </c>
      <c r="AH1677" s="3" t="str">
        <f>IFERROR(__xludf.DUMMYFUNCTION("""COMPUTED_VALUE"""),"#N/A")</f>
        <v>#N/A</v>
      </c>
      <c r="AI1677" s="3" t="str">
        <f>IFERROR(__xludf.DUMMYFUNCTION("""COMPUTED_VALUE"""),"Out of warranty")</f>
        <v>Out of warranty</v>
      </c>
      <c r="AJ1677" s="3">
        <f>IFERROR(__xludf.DUMMYFUNCTION("""COMPUTED_VALUE"""),53.0)</f>
        <v>53</v>
      </c>
      <c r="AK1677" s="3" t="str">
        <f>IFERROR(__xludf.DUMMYFUNCTION("""COMPUTED_VALUE"""),"MMS01")</f>
        <v>MMS01</v>
      </c>
      <c r="AL1677" s="3"/>
    </row>
    <row r="1678" ht="15.75" customHeight="1">
      <c r="A1678" s="1" t="str">
        <f>IFERROR(__xludf.DUMMYFUNCTION("""COMPUTED_VALUE"""),"22364")</f>
        <v>22364</v>
      </c>
      <c r="B1678" s="2">
        <f>IFERROR(__xludf.DUMMYFUNCTION("""COMPUTED_VALUE"""),22364.0)</f>
        <v>22364</v>
      </c>
      <c r="C1678" s="3" t="str">
        <f>IFERROR(__xludf.DUMMYFUNCTION("""COMPUTED_VALUE"""),"MBC บ้านโคกสี ขอนแก่น")</f>
        <v>MBC บ้านโคกสี ขอนแก่น</v>
      </c>
      <c r="D1678" s="3" t="str">
        <f>IFERROR(__xludf.DUMMYFUNCTION("""COMPUTED_VALUE"""),"BCM BAN KHOK SRI")</f>
        <v>BCM BAN KHOK SRI</v>
      </c>
      <c r="E1678" s="1" t="str">
        <f>IFERROR(__xludf.DUMMYFUNCTION("""COMPUTED_VALUE"""),"บิ๊กซี MINI")</f>
        <v>บิ๊กซี MINI</v>
      </c>
      <c r="F1678" s="1" t="str">
        <f>IFERROR(__xludf.DUMMYFUNCTION("""COMPUTED_VALUE"""),"291105")</f>
        <v>291105</v>
      </c>
      <c r="G1678" s="1" t="str">
        <f>IFERROR(__xludf.DUMMYFUNCTION("""COMPUTED_VALUE"""),"นายสราวุฒิ พณิชยกุล")</f>
        <v>นายสราวุฒิ พณิชยกุล</v>
      </c>
      <c r="H1678" s="1" t="str">
        <f>IFERROR(__xludf.DUMMYFUNCTION("""COMPUTED_VALUE"""),"371396")</f>
        <v>371396</v>
      </c>
      <c r="I1678" s="1" t="str">
        <f>IFERROR(__xludf.DUMMYFUNCTION("""COMPUTED_VALUE"""),"น.ส.สุภาวดี วิลัยพร")</f>
        <v>น.ส.สุภาวดี วิลัยพร</v>
      </c>
      <c r="J1678" s="3">
        <f>IFERROR(__xludf.DUMMYFUNCTION("""COMPUTED_VALUE"""),295886.0)</f>
        <v>295886</v>
      </c>
      <c r="K1678" s="3" t="str">
        <f>IFERROR(__xludf.DUMMYFUNCTION("""COMPUTED_VALUE"""),"นายจิระพงษ์ โพธิ์นิล")</f>
        <v>นายจิระพงษ์ โพธิ์นิล</v>
      </c>
      <c r="L1678" s="1" t="str">
        <f>IFERROR(__xludf.DUMMYFUNCTION("""COMPUTED_VALUE"""),"นายจิระพงษ์ โพธิ์นิล")</f>
        <v>นายจิระพงษ์ โพธิ์นิล</v>
      </c>
      <c r="M1678" s="1" t="str">
        <f>IFERROR(__xludf.DUMMYFUNCTION("""COMPUTED_VALUE"""),"0933290754")</f>
        <v>0933290754</v>
      </c>
      <c r="N1678" s="3">
        <f>IFERROR(__xludf.DUMMYFUNCTION("""COMPUTED_VALUE"""),21622.0)</f>
        <v>21622</v>
      </c>
      <c r="O1678" s="3" t="str">
        <f>IFERROR(__xludf.DUMMYFUNCTION("""COMPUTED_VALUE"""),"MBC ตลาดบ้านดอน")</f>
        <v>MBC ตลาดบ้านดอน</v>
      </c>
      <c r="P1678" s="4">
        <f>IFERROR(__xludf.DUMMYFUNCTION("""COMPUTED_VALUE"""),44410.0)</f>
        <v>44410</v>
      </c>
      <c r="Q1678" s="3" t="str">
        <f>IFERROR(__xludf.DUMMYFUNCTION("""COMPUTED_VALUE"""),"I")</f>
        <v>I</v>
      </c>
      <c r="R1678" s="3" t="str">
        <f>IFERROR(__xludf.DUMMYFUNCTION("""COMPUTED_VALUE"""),"Small Format")</f>
        <v>Small Format</v>
      </c>
      <c r="S1678" s="3" t="str">
        <f>IFERROR(__xludf.DUMMYFUNCTION("""COMPUTED_VALUE"""),"BCM")</f>
        <v>BCM</v>
      </c>
      <c r="T1678" s="3" t="str">
        <f>IFERROR(__xludf.DUMMYFUNCTION("""COMPUTED_VALUE"""),"#N/A")</f>
        <v>#N/A</v>
      </c>
      <c r="U1678" s="3" t="str">
        <f>IFERROR(__xludf.DUMMYFUNCTION("""COMPUTED_VALUE"""),"#N/A")</f>
        <v>#N/A</v>
      </c>
      <c r="V1678" s="3" t="str">
        <f>IFERROR(__xludf.DUMMYFUNCTION("""COMPUTED_VALUE"""),"N")</f>
        <v>N</v>
      </c>
      <c r="W1678" s="3">
        <f>IFERROR(__xludf.DUMMYFUNCTION("""COMPUTED_VALUE"""),211945.0)</f>
        <v>211945</v>
      </c>
      <c r="X1678" s="3" t="str">
        <f>IFERROR(__xludf.DUMMYFUNCTION("""COMPUTED_VALUE"""),"89 89/1-2 หมู่14 ตำบลโคกสี อำเภอเมืองขอนแก่น จังหวัดขอนแก่น 40000")</f>
        <v>89 89/1-2 หมู่14 ตำบลโคกสี อำเภอเมืองขอนแก่น จังหวัดขอนแก่น 40000</v>
      </c>
      <c r="Y1678" s="3"/>
      <c r="Z1678" s="3" t="str">
        <f>IFERROR(__xludf.DUMMYFUNCTION("""COMPUTED_VALUE"""),"โคกสี")</f>
        <v>โคกสี</v>
      </c>
      <c r="AA1678" s="3" t="str">
        <f>IFERROR(__xludf.DUMMYFUNCTION("""COMPUTED_VALUE"""),"เมือง")</f>
        <v>เมือง</v>
      </c>
      <c r="AB1678" s="3" t="str">
        <f>IFERROR(__xludf.DUMMYFUNCTION("""COMPUTED_VALUE"""),"ขอนแก่น")</f>
        <v>ขอนแก่น</v>
      </c>
      <c r="AC1678" s="3">
        <f>IFERROR(__xludf.DUMMYFUNCTION("""COMPUTED_VALUE"""),40000.0)</f>
        <v>40000</v>
      </c>
      <c r="AD1678" s="3">
        <f>IFERROR(__xludf.DUMMYFUNCTION("""COMPUTED_VALUE"""),16.48448497)</f>
        <v>16.48448497</v>
      </c>
      <c r="AE1678" s="3">
        <f>IFERROR(__xludf.DUMMYFUNCTION("""COMPUTED_VALUE"""),16.48448497)</f>
        <v>16.48448497</v>
      </c>
      <c r="AF1678" s="3" t="str">
        <f>IFERROR(__xludf.DUMMYFUNCTION("""COMPUTED_VALUE"""),"MBC บ้านโคกสี ขอนแก่น-22364")</f>
        <v>MBC บ้านโคกสี ขอนแก่น-22364</v>
      </c>
      <c r="AG1678" s="3" t="str">
        <f>IFERROR(__xludf.DUMMYFUNCTION("""COMPUTED_VALUE"""),"ตะวันออกเฉียงเหนือ")</f>
        <v>ตะวันออกเฉียงเหนือ</v>
      </c>
      <c r="AH1678" s="3" t="str">
        <f>IFERROR(__xludf.DUMMYFUNCTION("""COMPUTED_VALUE"""),"#N/A")</f>
        <v>#N/A</v>
      </c>
      <c r="AI1678" s="3" t="str">
        <f>IFERROR(__xludf.DUMMYFUNCTION("""COMPUTED_VALUE"""),"Out of warranty")</f>
        <v>Out of warranty</v>
      </c>
      <c r="AJ1678" s="3">
        <f>IFERROR(__xludf.DUMMYFUNCTION("""COMPUTED_VALUE"""),54.0)</f>
        <v>54</v>
      </c>
      <c r="AK1678" s="3" t="str">
        <f>IFERROR(__xludf.DUMMYFUNCTION("""COMPUTED_VALUE"""),"MMS12")</f>
        <v>MMS12</v>
      </c>
      <c r="AL1678" s="3"/>
    </row>
    <row r="1679" ht="15.75" customHeight="1">
      <c r="A1679" s="1" t="str">
        <f>IFERROR(__xludf.DUMMYFUNCTION("""COMPUTED_VALUE"""),"22365")</f>
        <v>22365</v>
      </c>
      <c r="B1679" s="2">
        <f>IFERROR(__xludf.DUMMYFUNCTION("""COMPUTED_VALUE"""),22365.0)</f>
        <v>22365</v>
      </c>
      <c r="C1679" s="3" t="str">
        <f>IFERROR(__xludf.DUMMYFUNCTION("""COMPUTED_VALUE"""),"MBC สหัสขันธ์ กาฬสินธุ์")</f>
        <v>MBC สหัสขันธ์ กาฬสินธุ์</v>
      </c>
      <c r="D1679" s="3" t="str">
        <f>IFERROR(__xludf.DUMMYFUNCTION("""COMPUTED_VALUE"""),"BCM SAHATSAKHAN")</f>
        <v>BCM SAHATSAKHAN</v>
      </c>
      <c r="E1679" s="1" t="str">
        <f>IFERROR(__xludf.DUMMYFUNCTION("""COMPUTED_VALUE"""),"บิ๊กซี MINI")</f>
        <v>บิ๊กซี MINI</v>
      </c>
      <c r="F1679" s="1" t="str">
        <f>IFERROR(__xludf.DUMMYFUNCTION("""COMPUTED_VALUE"""),"291105")</f>
        <v>291105</v>
      </c>
      <c r="G1679" s="1" t="str">
        <f>IFERROR(__xludf.DUMMYFUNCTION("""COMPUTED_VALUE"""),"นายสราวุฒิ พณิชยกุล")</f>
        <v>นายสราวุฒิ พณิชยกุล</v>
      </c>
      <c r="H1679" s="1" t="str">
        <f>IFERROR(__xludf.DUMMYFUNCTION("""COMPUTED_VALUE"""),"392433")</f>
        <v>392433</v>
      </c>
      <c r="I1679" s="1" t="str">
        <f>IFERROR(__xludf.DUMMYFUNCTION("""COMPUTED_VALUE"""),"นายพรธิวา ใจอ่อน")</f>
        <v>นายพรธิวา ใจอ่อน</v>
      </c>
      <c r="J1679" s="3">
        <f>IFERROR(__xludf.DUMMYFUNCTION("""COMPUTED_VALUE"""),2454781.0)</f>
        <v>2454781</v>
      </c>
      <c r="K1679" s="3" t="str">
        <f>IFERROR(__xludf.DUMMYFUNCTION("""COMPUTED_VALUE"""),"นายฌานกฤช นันทะโคต")</f>
        <v>นายฌานกฤช นันทะโคต</v>
      </c>
      <c r="L1679" s="1" t="str">
        <f>IFERROR(__xludf.DUMMYFUNCTION("""COMPUTED_VALUE"""),"05 K.Chanakrit N.")</f>
        <v>05 K.Chanakrit N.</v>
      </c>
      <c r="M1679" s="1" t="str">
        <f>IFERROR(__xludf.DUMMYFUNCTION("""COMPUTED_VALUE"""),"090-978-9785 ,065-929-1320")</f>
        <v>090-978-9785 ,065-929-1320</v>
      </c>
      <c r="N1679" s="3">
        <f>IFERROR(__xludf.DUMMYFUNCTION("""COMPUTED_VALUE"""),22195.0)</f>
        <v>22195</v>
      </c>
      <c r="O1679" s="3" t="str">
        <f>IFERROR(__xludf.DUMMYFUNCTION("""COMPUTED_VALUE"""),"MBC กันทรลักษ์ ศรีสะเกษ")</f>
        <v>MBC กันทรลักษ์ ศรีสะเกษ</v>
      </c>
      <c r="P1679" s="4">
        <f>IFERROR(__xludf.DUMMYFUNCTION("""COMPUTED_VALUE"""),44423.0)</f>
        <v>44423</v>
      </c>
      <c r="Q1679" s="3" t="str">
        <f>IFERROR(__xludf.DUMMYFUNCTION("""COMPUTED_VALUE"""),"A")</f>
        <v>A</v>
      </c>
      <c r="R1679" s="3" t="str">
        <f>IFERROR(__xludf.DUMMYFUNCTION("""COMPUTED_VALUE"""),"Small Format")</f>
        <v>Small Format</v>
      </c>
      <c r="S1679" s="3" t="str">
        <f>IFERROR(__xludf.DUMMYFUNCTION("""COMPUTED_VALUE"""),"BCM")</f>
        <v>BCM</v>
      </c>
      <c r="T1679" s="3" t="str">
        <f>IFERROR(__xludf.DUMMYFUNCTION("""COMPUTED_VALUE"""),"#N/A")</f>
        <v>#N/A</v>
      </c>
      <c r="U1679" s="3" t="str">
        <f>IFERROR(__xludf.DUMMYFUNCTION("""COMPUTED_VALUE"""),"#N/A")</f>
        <v>#N/A</v>
      </c>
      <c r="V1679" s="3" t="str">
        <f>IFERROR(__xludf.DUMMYFUNCTION("""COMPUTED_VALUE"""),"N")</f>
        <v>N</v>
      </c>
      <c r="W1679" s="3">
        <f>IFERROR(__xludf.DUMMYFUNCTION("""COMPUTED_VALUE"""),210404.0)</f>
        <v>210404</v>
      </c>
      <c r="X1679" s="3" t="str">
        <f>IFERROR(__xludf.DUMMYFUNCTION("""COMPUTED_VALUE"""),"232 หมู่1 ตำบลโนนบุรี อำเภอสหัสขันธ์ จังหวัดกาฬสินธุ์ 46140")</f>
        <v>232 หมู่1 ตำบลโนนบุรี อำเภอสหัสขันธ์ จังหวัดกาฬสินธุ์ 46140</v>
      </c>
      <c r="Y1679" s="3"/>
      <c r="Z1679" s="3" t="str">
        <f>IFERROR(__xludf.DUMMYFUNCTION("""COMPUTED_VALUE"""),"โนนบุรี")</f>
        <v>โนนบุรี</v>
      </c>
      <c r="AA1679" s="3" t="str">
        <f>IFERROR(__xludf.DUMMYFUNCTION("""COMPUTED_VALUE"""),"สหัสขันธ์")</f>
        <v>สหัสขันธ์</v>
      </c>
      <c r="AB1679" s="3" t="str">
        <f>IFERROR(__xludf.DUMMYFUNCTION("""COMPUTED_VALUE"""),"กาฬสินธุ์")</f>
        <v>กาฬสินธุ์</v>
      </c>
      <c r="AC1679" s="3">
        <f>IFERROR(__xludf.DUMMYFUNCTION("""COMPUTED_VALUE"""),46140.0)</f>
        <v>46140</v>
      </c>
      <c r="AD1679" s="3">
        <f>IFERROR(__xludf.DUMMYFUNCTION("""COMPUTED_VALUE"""),16.707394)</f>
        <v>16.707394</v>
      </c>
      <c r="AE1679" s="3">
        <f>IFERROR(__xludf.DUMMYFUNCTION("""COMPUTED_VALUE"""),16.707394)</f>
        <v>16.707394</v>
      </c>
      <c r="AF1679" s="3" t="str">
        <f>IFERROR(__xludf.DUMMYFUNCTION("""COMPUTED_VALUE"""),"MBC สหัสขันธ์ กาฬสินธุ์-22365")</f>
        <v>MBC สหัสขันธ์ กาฬสินธุ์-22365</v>
      </c>
      <c r="AG1679" s="3" t="str">
        <f>IFERROR(__xludf.DUMMYFUNCTION("""COMPUTED_VALUE"""),"ตะวันออกเฉียงเหนือ")</f>
        <v>ตะวันออกเฉียงเหนือ</v>
      </c>
      <c r="AH1679" s="3" t="str">
        <f>IFERROR(__xludf.DUMMYFUNCTION("""COMPUTED_VALUE"""),"#N/A")</f>
        <v>#N/A</v>
      </c>
      <c r="AI1679" s="3" t="str">
        <f>IFERROR(__xludf.DUMMYFUNCTION("""COMPUTED_VALUE"""),"Out of warranty")</f>
        <v>Out of warranty</v>
      </c>
      <c r="AJ1679" s="3">
        <f>IFERROR(__xludf.DUMMYFUNCTION("""COMPUTED_VALUE"""),54.0)</f>
        <v>54</v>
      </c>
      <c r="AK1679" s="3" t="str">
        <f>IFERROR(__xludf.DUMMYFUNCTION("""COMPUTED_VALUE"""),"MMS12")</f>
        <v>MMS12</v>
      </c>
      <c r="AL1679" s="3"/>
    </row>
    <row r="1680" ht="15.75" customHeight="1">
      <c r="A1680" s="1" t="str">
        <f>IFERROR(__xludf.DUMMYFUNCTION("""COMPUTED_VALUE"""),"22366")</f>
        <v>22366</v>
      </c>
      <c r="B1680" s="2">
        <f>IFERROR(__xludf.DUMMYFUNCTION("""COMPUTED_VALUE"""),22366.0)</f>
        <v>22366</v>
      </c>
      <c r="C1680" s="3" t="str">
        <f>IFERROR(__xludf.DUMMYFUNCTION("""COMPUTED_VALUE"""),"MBC ภูเขียว ชัยภูมิ")</f>
        <v>MBC ภูเขียว ชัยภูมิ</v>
      </c>
      <c r="D1680" s="3" t="str">
        <f>IFERROR(__xludf.DUMMYFUNCTION("""COMPUTED_VALUE"""),"BCM PHU KHIAO")</f>
        <v>BCM PHU KHIAO</v>
      </c>
      <c r="E1680" s="1" t="str">
        <f>IFERROR(__xludf.DUMMYFUNCTION("""COMPUTED_VALUE"""),"บิ๊กซี MINI")</f>
        <v>บิ๊กซี MINI</v>
      </c>
      <c r="F1680" s="1" t="str">
        <f>IFERROR(__xludf.DUMMYFUNCTION("""COMPUTED_VALUE"""),"291105")</f>
        <v>291105</v>
      </c>
      <c r="G1680" s="1" t="str">
        <f>IFERROR(__xludf.DUMMYFUNCTION("""COMPUTED_VALUE"""),"นายสราวุฒิ พณิชยกุล")</f>
        <v>นายสราวุฒิ พณิชยกุล</v>
      </c>
      <c r="H1680" s="1" t="str">
        <f>IFERROR(__xludf.DUMMYFUNCTION("""COMPUTED_VALUE"""),"371396")</f>
        <v>371396</v>
      </c>
      <c r="I1680" s="1" t="str">
        <f>IFERROR(__xludf.DUMMYFUNCTION("""COMPUTED_VALUE"""),"น.ส.สุภาวดี วิลัยพร")</f>
        <v>น.ส.สุภาวดี วิลัยพร</v>
      </c>
      <c r="J1680" s="3">
        <f>IFERROR(__xludf.DUMMYFUNCTION("""COMPUTED_VALUE"""),15361.0)</f>
        <v>15361</v>
      </c>
      <c r="K1680" s="3" t="str">
        <f>IFERROR(__xludf.DUMMYFUNCTION("""COMPUTED_VALUE"""),"นายสมบูรณ์ พรหมในเมือง")</f>
        <v>นายสมบูรณ์ พรหมในเมือง</v>
      </c>
      <c r="L1680" s="1" t="str">
        <f>IFERROR(__xludf.DUMMYFUNCTION("""COMPUTED_VALUE"""),"04 K.Somboon P.")</f>
        <v>04 K.Somboon P.</v>
      </c>
      <c r="M1680" s="1" t="str">
        <f>IFERROR(__xludf.DUMMYFUNCTION("""COMPUTED_VALUE"""),"087-965-3051")</f>
        <v>087-965-3051</v>
      </c>
      <c r="N1680" s="3">
        <f>IFERROR(__xludf.DUMMYFUNCTION("""COMPUTED_VALUE"""),21869.0)</f>
        <v>21869</v>
      </c>
      <c r="O1680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680" s="4">
        <f>IFERROR(__xludf.DUMMYFUNCTION("""COMPUTED_VALUE"""),44470.0)</f>
        <v>44470</v>
      </c>
      <c r="Q1680" s="3" t="str">
        <f>IFERROR(__xludf.DUMMYFUNCTION("""COMPUTED_VALUE"""),"A")</f>
        <v>A</v>
      </c>
      <c r="R1680" s="3" t="str">
        <f>IFERROR(__xludf.DUMMYFUNCTION("""COMPUTED_VALUE"""),"Small Format")</f>
        <v>Small Format</v>
      </c>
      <c r="S1680" s="3" t="str">
        <f>IFERROR(__xludf.DUMMYFUNCTION("""COMPUTED_VALUE"""),"BCM")</f>
        <v>BCM</v>
      </c>
      <c r="T1680" s="3" t="str">
        <f>IFERROR(__xludf.DUMMYFUNCTION("""COMPUTED_VALUE"""),"#N/A")</f>
        <v>#N/A</v>
      </c>
      <c r="U1680" s="3" t="str">
        <f>IFERROR(__xludf.DUMMYFUNCTION("""COMPUTED_VALUE"""),"#N/A")</f>
        <v>#N/A</v>
      </c>
      <c r="V1680" s="3" t="str">
        <f>IFERROR(__xludf.DUMMYFUNCTION("""COMPUTED_VALUE"""),"N")</f>
        <v>N</v>
      </c>
      <c r="W1680" s="3">
        <f>IFERROR(__xludf.DUMMYFUNCTION("""COMPUTED_VALUE"""),210419.0)</f>
        <v>210419</v>
      </c>
      <c r="X1680" s="3" t="str">
        <f>IFERROR(__xludf.DUMMYFUNCTION("""COMPUTED_VALUE"""),"1063-1065 หมู่1 ตำบลผักปัง อำเภอภูเขียว จังหวัดชัยภูมิ 36110")</f>
        <v>1063-1065 หมู่1 ตำบลผักปัง อำเภอภูเขียว จังหวัดชัยภูมิ 36110</v>
      </c>
      <c r="Y1680" s="3"/>
      <c r="Z1680" s="3" t="str">
        <f>IFERROR(__xludf.DUMMYFUNCTION("""COMPUTED_VALUE"""),"ผักปัง")</f>
        <v>ผักปัง</v>
      </c>
      <c r="AA1680" s="3" t="str">
        <f>IFERROR(__xludf.DUMMYFUNCTION("""COMPUTED_VALUE"""),"ภูเขียว")</f>
        <v>ภูเขียว</v>
      </c>
      <c r="AB1680" s="3" t="str">
        <f>IFERROR(__xludf.DUMMYFUNCTION("""COMPUTED_VALUE"""),"ชัยภูมิ")</f>
        <v>ชัยภูมิ</v>
      </c>
      <c r="AC1680" s="3">
        <f>IFERROR(__xludf.DUMMYFUNCTION("""COMPUTED_VALUE"""),36110.0)</f>
        <v>36110</v>
      </c>
      <c r="AD1680" s="3">
        <f>IFERROR(__xludf.DUMMYFUNCTION("""COMPUTED_VALUE"""),16.36625466)</f>
        <v>16.36625466</v>
      </c>
      <c r="AE1680" s="3">
        <f>IFERROR(__xludf.DUMMYFUNCTION("""COMPUTED_VALUE"""),102.1335205)</f>
        <v>102.1335205</v>
      </c>
      <c r="AF1680" s="3" t="str">
        <f>IFERROR(__xludf.DUMMYFUNCTION("""COMPUTED_VALUE"""),"MBC ภูเขียว ชัยภูมิ-22366")</f>
        <v>MBC ภูเขียว ชัยภูมิ-22366</v>
      </c>
      <c r="AG1680" s="3" t="str">
        <f>IFERROR(__xludf.DUMMYFUNCTION("""COMPUTED_VALUE"""),"ตะวันออกเฉียงเหนือ")</f>
        <v>ตะวันออกเฉียงเหนือ</v>
      </c>
      <c r="AH1680" s="3" t="str">
        <f>IFERROR(__xludf.DUMMYFUNCTION("""COMPUTED_VALUE"""),"#N/A")</f>
        <v>#N/A</v>
      </c>
      <c r="AI1680" s="3" t="str">
        <f>IFERROR(__xludf.DUMMYFUNCTION("""COMPUTED_VALUE"""),"Out of warranty")</f>
        <v>Out of warranty</v>
      </c>
      <c r="AJ1680" s="3">
        <f>IFERROR(__xludf.DUMMYFUNCTION("""COMPUTED_VALUE"""),52.0)</f>
        <v>52</v>
      </c>
      <c r="AK1680" s="3" t="str">
        <f>IFERROR(__xludf.DUMMYFUNCTION("""COMPUTED_VALUE"""),"MMS11")</f>
        <v>MMS11</v>
      </c>
      <c r="AL1680" s="3"/>
    </row>
    <row r="1681" ht="15.75" customHeight="1">
      <c r="A1681" s="1" t="str">
        <f>IFERROR(__xludf.DUMMYFUNCTION("""COMPUTED_VALUE"""),"22367")</f>
        <v>22367</v>
      </c>
      <c r="B1681" s="2">
        <f>IFERROR(__xludf.DUMMYFUNCTION("""COMPUTED_VALUE"""),22367.0)</f>
        <v>22367</v>
      </c>
      <c r="C1681" s="3" t="str">
        <f>IFERROR(__xludf.DUMMYFUNCTION("""COMPUTED_VALUE"""),"MBC ตรอกข้าวหลาม ฉะเชิงเทรา")</f>
        <v>MBC ตรอกข้าวหลาม ฉะเชิงเทรา</v>
      </c>
      <c r="D1681" s="3" t="str">
        <f>IFERROR(__xludf.DUMMYFUNCTION("""COMPUTED_VALUE"""),"BCM TROK KHAOWLAM")</f>
        <v>BCM TROK KHAOWLAM</v>
      </c>
      <c r="E1681" s="1" t="str">
        <f>IFERROR(__xludf.DUMMYFUNCTION("""COMPUTED_VALUE"""),"บิ๊กซี MINI")</f>
        <v>บิ๊กซี MINI</v>
      </c>
      <c r="F1681" s="1" t="str">
        <f>IFERROR(__xludf.DUMMYFUNCTION("""COMPUTED_VALUE"""),"2083447")</f>
        <v>2083447</v>
      </c>
      <c r="G1681" s="1" t="str">
        <f>IFERROR(__xludf.DUMMYFUNCTION("""COMPUTED_VALUE"""),"นายอนุกูล ศรีลัดดา")</f>
        <v>นายอนุกูล ศรีลัดดา</v>
      </c>
      <c r="H1681" s="1" t="str">
        <f>IFERROR(__xludf.DUMMYFUNCTION("""COMPUTED_VALUE"""),"254957")</f>
        <v>254957</v>
      </c>
      <c r="I1681" s="1" t="str">
        <f>IFERROR(__xludf.DUMMYFUNCTION("""COMPUTED_VALUE"""),"น.ส.ศิริพร รุ่งธัญญา")</f>
        <v>น.ส.ศิริพร รุ่งธัญญา</v>
      </c>
      <c r="J1681" s="3">
        <f>IFERROR(__xludf.DUMMYFUNCTION("""COMPUTED_VALUE"""),510143.0)</f>
        <v>510143</v>
      </c>
      <c r="K1681" s="3" t="str">
        <f>IFERROR(__xludf.DUMMYFUNCTION("""COMPUTED_VALUE"""),"นายธีระวัฒน์ บุญสิทธิ์")</f>
        <v>นายธีระวัฒน์ บุญสิทธิ์</v>
      </c>
      <c r="L1681" s="1" t="str">
        <f>IFERROR(__xludf.DUMMYFUNCTION("""COMPUTED_VALUE"""),"12 K.Theerawat B.")</f>
        <v>12 K.Theerawat B.</v>
      </c>
      <c r="M1681" s="1" t="str">
        <f>IFERROR(__xludf.DUMMYFUNCTION("""COMPUTED_VALUE"""),"0655107379")</f>
        <v>0655107379</v>
      </c>
      <c r="N1681" s="3">
        <f>IFERROR(__xludf.DUMMYFUNCTION("""COMPUTED_VALUE"""),21062.0)</f>
        <v>21062</v>
      </c>
      <c r="O1681" s="3" t="str">
        <f>IFERROR(__xludf.DUMMYFUNCTION("""COMPUTED_VALUE"""),"MBC นิคมนวนคร")</f>
        <v>MBC นิคมนวนคร</v>
      </c>
      <c r="P1681" s="4">
        <f>IFERROR(__xludf.DUMMYFUNCTION("""COMPUTED_VALUE"""),44439.0)</f>
        <v>44439</v>
      </c>
      <c r="Q1681" s="3" t="str">
        <f>IFERROR(__xludf.DUMMYFUNCTION("""COMPUTED_VALUE"""),"A")</f>
        <v>A</v>
      </c>
      <c r="R1681" s="3" t="str">
        <f>IFERROR(__xludf.DUMMYFUNCTION("""COMPUTED_VALUE"""),"Small Format")</f>
        <v>Small Format</v>
      </c>
      <c r="S1681" s="3" t="str">
        <f>IFERROR(__xludf.DUMMYFUNCTION("""COMPUTED_VALUE"""),"BCM")</f>
        <v>BCM</v>
      </c>
      <c r="T1681" s="3" t="str">
        <f>IFERROR(__xludf.DUMMYFUNCTION("""COMPUTED_VALUE"""),"#N/A")</f>
        <v>#N/A</v>
      </c>
      <c r="U1681" s="3" t="str">
        <f>IFERROR(__xludf.DUMMYFUNCTION("""COMPUTED_VALUE"""),"#N/A")</f>
        <v>#N/A</v>
      </c>
      <c r="V1681" s="3" t="str">
        <f>IFERROR(__xludf.DUMMYFUNCTION("""COMPUTED_VALUE"""),"N")</f>
        <v>N</v>
      </c>
      <c r="W1681" s="3">
        <f>IFERROR(__xludf.DUMMYFUNCTION("""COMPUTED_VALUE"""),210332.0)</f>
        <v>210332</v>
      </c>
      <c r="X1681" s="3" t="str">
        <f>IFERROR(__xludf.DUMMYFUNCTION("""COMPUTED_VALUE"""),"152/374 ถนนริมคลองท่าไข่ ตำบลหน้าเมือง อำเภอเมืองฉะเชิงเทรา จังหวัดฉะเชิงเทรา 24000")</f>
        <v>152/374 ถนนริมคลองท่าไข่ ตำบลหน้าเมือง อำเภอเมืองฉะเชิงเทรา จังหวัดฉะเชิงเทรา 24000</v>
      </c>
      <c r="Y1681" s="3" t="str">
        <f>IFERROR(__xludf.DUMMYFUNCTION("""COMPUTED_VALUE"""),"ริมคลองท่าไข่")</f>
        <v>ริมคลองท่าไข่</v>
      </c>
      <c r="Z1681" s="3" t="str">
        <f>IFERROR(__xludf.DUMMYFUNCTION("""COMPUTED_VALUE"""),"หน้าเมือง")</f>
        <v>หน้าเมือง</v>
      </c>
      <c r="AA1681" s="3" t="str">
        <f>IFERROR(__xludf.DUMMYFUNCTION("""COMPUTED_VALUE"""),"เมือง")</f>
        <v>เมือง</v>
      </c>
      <c r="AB1681" s="3" t="str">
        <f>IFERROR(__xludf.DUMMYFUNCTION("""COMPUTED_VALUE"""),"ฉะเชิงเทรา")</f>
        <v>ฉะเชิงเทรา</v>
      </c>
      <c r="AC1681" s="3">
        <f>IFERROR(__xludf.DUMMYFUNCTION("""COMPUTED_VALUE"""),24000.0)</f>
        <v>24000</v>
      </c>
      <c r="AD1681" s="3">
        <f>IFERROR(__xludf.DUMMYFUNCTION("""COMPUTED_VALUE"""),13.696503)</f>
        <v>13.696503</v>
      </c>
      <c r="AE1681" s="3">
        <f>IFERROR(__xludf.DUMMYFUNCTION("""COMPUTED_VALUE"""),101.083225)</f>
        <v>101.083225</v>
      </c>
      <c r="AF1681" s="3" t="str">
        <f>IFERROR(__xludf.DUMMYFUNCTION("""COMPUTED_VALUE"""),"MBC ตรอกข้าวหลาม ฉะเชิงเทรา-22367")</f>
        <v>MBC ตรอกข้าวหลาม ฉะเชิงเทรา-22367</v>
      </c>
      <c r="AG1681" s="3" t="str">
        <f>IFERROR(__xludf.DUMMYFUNCTION("""COMPUTED_VALUE"""),"ตะวันออก")</f>
        <v>ตะวันออก</v>
      </c>
      <c r="AH1681" s="3" t="str">
        <f>IFERROR(__xludf.DUMMYFUNCTION("""COMPUTED_VALUE"""),"#N/A")</f>
        <v>#N/A</v>
      </c>
      <c r="AI1681" s="3" t="str">
        <f>IFERROR(__xludf.DUMMYFUNCTION("""COMPUTED_VALUE"""),"Out of warranty")</f>
        <v>Out of warranty</v>
      </c>
      <c r="AJ1681" s="3">
        <f>IFERROR(__xludf.DUMMYFUNCTION("""COMPUTED_VALUE"""),53.0)</f>
        <v>53</v>
      </c>
      <c r="AK1681" s="3" t="str">
        <f>IFERROR(__xludf.DUMMYFUNCTION("""COMPUTED_VALUE"""),"MMS07")</f>
        <v>MMS07</v>
      </c>
      <c r="AL1681" s="3"/>
    </row>
    <row r="1682" ht="15.75" customHeight="1">
      <c r="A1682" s="1" t="str">
        <f>IFERROR(__xludf.DUMMYFUNCTION("""COMPUTED_VALUE"""),"22368")</f>
        <v>22368</v>
      </c>
      <c r="B1682" s="2">
        <f>IFERROR(__xludf.DUMMYFUNCTION("""COMPUTED_VALUE"""),22368.0)</f>
        <v>22368</v>
      </c>
      <c r="C1682" s="3" t="str">
        <f>IFERROR(__xludf.DUMMYFUNCTION("""COMPUTED_VALUE"""),"MBC เขื่อนป่าสักชลสิทธิ์ ลพบุรี")</f>
        <v>MBC เขื่อนป่าสักชลสิทธิ์ ลพบุรี</v>
      </c>
      <c r="D1682" s="3" t="str">
        <f>IFERROR(__xludf.DUMMYFUNCTION("""COMPUTED_VALUE"""),"BCM PA SAK CHONIASIT DAM")</f>
        <v>BCM PA SAK CHONIASIT DAM</v>
      </c>
      <c r="E1682" s="1" t="str">
        <f>IFERROR(__xludf.DUMMYFUNCTION("""COMPUTED_VALUE"""),"บิ๊กซี MINI")</f>
        <v>บิ๊กซี MINI</v>
      </c>
      <c r="F1682" s="1" t="str">
        <f>IFERROR(__xludf.DUMMYFUNCTION("""COMPUTED_VALUE"""),"296229")</f>
        <v>296229</v>
      </c>
      <c r="G1682" s="1" t="str">
        <f>IFERROR(__xludf.DUMMYFUNCTION("""COMPUTED_VALUE"""),"นายทนงศักดิ์ บุญมา")</f>
        <v>นายทนงศักดิ์ บุญมา</v>
      </c>
      <c r="H1682" s="1" t="str">
        <f>IFERROR(__xludf.DUMMYFUNCTION("""COMPUTED_VALUE"""),"291082")</f>
        <v>291082</v>
      </c>
      <c r="I1682" s="1" t="str">
        <f>IFERROR(__xludf.DUMMYFUNCTION("""COMPUTED_VALUE"""),"น.ส.วจี กันเกตุ")</f>
        <v>น.ส.วจี กันเกตุ</v>
      </c>
      <c r="J1682" s="3">
        <f>IFERROR(__xludf.DUMMYFUNCTION("""COMPUTED_VALUE"""),46214.0)</f>
        <v>46214</v>
      </c>
      <c r="K1682" s="3" t="str">
        <f>IFERROR(__xludf.DUMMYFUNCTION("""COMPUTED_VALUE"""),"นายศักดิ์ชัย เด็ดดอกฟ้า")</f>
        <v>นายศักดิ์ชัย เด็ดดอกฟ้า</v>
      </c>
      <c r="L1682" s="1" t="str">
        <f>IFERROR(__xludf.DUMMYFUNCTION("""COMPUTED_VALUE"""),"02 K.Sakchai D")</f>
        <v>02 K.Sakchai D</v>
      </c>
      <c r="M1682" s="1" t="str">
        <f>IFERROR(__xludf.DUMMYFUNCTION("""COMPUTED_VALUE"""),"065-510-7376")</f>
        <v>065-510-7376</v>
      </c>
      <c r="N1682" s="3">
        <f>IFERROR(__xludf.DUMMYFUNCTION("""COMPUTED_VALUE"""),21714.0)</f>
        <v>21714</v>
      </c>
      <c r="O1682" s="3" t="str">
        <f>IFERROR(__xludf.DUMMYFUNCTION("""COMPUTED_VALUE"""),"MBC เอสโซ่ วัดโบสถ์")</f>
        <v>MBC เอสโซ่ วัดโบสถ์</v>
      </c>
      <c r="P1682" s="4">
        <f>IFERROR(__xludf.DUMMYFUNCTION("""COMPUTED_VALUE"""),44439.0)</f>
        <v>44439</v>
      </c>
      <c r="Q1682" s="3" t="str">
        <f>IFERROR(__xludf.DUMMYFUNCTION("""COMPUTED_VALUE"""),"A")</f>
        <v>A</v>
      </c>
      <c r="R1682" s="3" t="str">
        <f>IFERROR(__xludf.DUMMYFUNCTION("""COMPUTED_VALUE"""),"Small Format")</f>
        <v>Small Format</v>
      </c>
      <c r="S1682" s="3" t="str">
        <f>IFERROR(__xludf.DUMMYFUNCTION("""COMPUTED_VALUE"""),"BCM")</f>
        <v>BCM</v>
      </c>
      <c r="T1682" s="3" t="str">
        <f>IFERROR(__xludf.DUMMYFUNCTION("""COMPUTED_VALUE"""),"#N/A")</f>
        <v>#N/A</v>
      </c>
      <c r="U1682" s="3" t="str">
        <f>IFERROR(__xludf.DUMMYFUNCTION("""COMPUTED_VALUE"""),"#N/A")</f>
        <v>#N/A</v>
      </c>
      <c r="V1682" s="3" t="str">
        <f>IFERROR(__xludf.DUMMYFUNCTION("""COMPUTED_VALUE"""),"N")</f>
        <v>N</v>
      </c>
      <c r="W1682" s="3">
        <f>IFERROR(__xludf.DUMMYFUNCTION("""COMPUTED_VALUE"""),210406.0)</f>
        <v>210406</v>
      </c>
      <c r="X1682" s="3" t="str">
        <f>IFERROR(__xludf.DUMMYFUNCTION("""COMPUTED_VALUE"""),"41 หมู่1 ตำบลหนองบัว อำเภอพัฒนานิคม จังหวัดลพบุรี 15140")</f>
        <v>41 หมู่1 ตำบลหนองบัว อำเภอพัฒนานิคม จังหวัดลพบุรี 15140</v>
      </c>
      <c r="Y1682" s="3"/>
      <c r="Z1682" s="3" t="str">
        <f>IFERROR(__xludf.DUMMYFUNCTION("""COMPUTED_VALUE"""),"หนองบัว")</f>
        <v>หนองบัว</v>
      </c>
      <c r="AA1682" s="3" t="str">
        <f>IFERROR(__xludf.DUMMYFUNCTION("""COMPUTED_VALUE"""),"พัฒนานิคม")</f>
        <v>พัฒนานิคม</v>
      </c>
      <c r="AB1682" s="3" t="str">
        <f>IFERROR(__xludf.DUMMYFUNCTION("""COMPUTED_VALUE"""),"ลพบุรี")</f>
        <v>ลพบุรี</v>
      </c>
      <c r="AC1682" s="3">
        <f>IFERROR(__xludf.DUMMYFUNCTION("""COMPUTED_VALUE"""),15140.0)</f>
        <v>15140</v>
      </c>
      <c r="AD1682" s="3">
        <f>IFERROR(__xludf.DUMMYFUNCTION("""COMPUTED_VALUE"""),14.862645)</f>
        <v>14.862645</v>
      </c>
      <c r="AE1682" s="3">
        <f>IFERROR(__xludf.DUMMYFUNCTION("""COMPUTED_VALUE"""),101.057332)</f>
        <v>101.057332</v>
      </c>
      <c r="AF1682" s="3" t="str">
        <f>IFERROR(__xludf.DUMMYFUNCTION("""COMPUTED_VALUE"""),"MBC เขื่อนป่าสักชลสิทธิ์ ลพบุรี-22368")</f>
        <v>MBC เขื่อนป่าสักชลสิทธิ์ ลพบุรี-22368</v>
      </c>
      <c r="AG1682" s="3" t="str">
        <f>IFERROR(__xludf.DUMMYFUNCTION("""COMPUTED_VALUE"""),"กลาง")</f>
        <v>กลาง</v>
      </c>
      <c r="AH1682" s="3" t="str">
        <f>IFERROR(__xludf.DUMMYFUNCTION("""COMPUTED_VALUE"""),"#N/A")</f>
        <v>#N/A</v>
      </c>
      <c r="AI1682" s="3" t="str">
        <f>IFERROR(__xludf.DUMMYFUNCTION("""COMPUTED_VALUE"""),"Out of warranty")</f>
        <v>Out of warranty</v>
      </c>
      <c r="AJ1682" s="3">
        <f>IFERROR(__xludf.DUMMYFUNCTION("""COMPUTED_VALUE"""),53.0)</f>
        <v>53</v>
      </c>
      <c r="AK1682" s="3" t="str">
        <f>IFERROR(__xludf.DUMMYFUNCTION("""COMPUTED_VALUE"""),"MMS09")</f>
        <v>MMS09</v>
      </c>
      <c r="AL1682" s="3"/>
    </row>
    <row r="1683" ht="15.75" customHeight="1">
      <c r="A1683" s="1" t="str">
        <f>IFERROR(__xludf.DUMMYFUNCTION("""COMPUTED_VALUE"""),"22369")</f>
        <v>22369</v>
      </c>
      <c r="B1683" s="2">
        <f>IFERROR(__xludf.DUMMYFUNCTION("""COMPUTED_VALUE"""),22369.0)</f>
        <v>22369</v>
      </c>
      <c r="C1683" s="3" t="str">
        <f>IFERROR(__xludf.DUMMYFUNCTION("""COMPUTED_VALUE"""),"MBC ตลาดเทศบาลพรรณานิคม สกลนคร")</f>
        <v>MBC ตลาดเทศบาลพรรณานิคม สกลนคร</v>
      </c>
      <c r="D1683" s="3" t="str">
        <f>IFERROR(__xludf.DUMMYFUNCTION("""COMPUTED_VALUE"""),"BCM TALAD TESSABAN PHANNA")</f>
        <v>BCM TALAD TESSABAN PHANNA</v>
      </c>
      <c r="E1683" s="1" t="str">
        <f>IFERROR(__xludf.DUMMYFUNCTION("""COMPUTED_VALUE"""),"บิ๊กซี MINI")</f>
        <v>บิ๊กซี MINI</v>
      </c>
      <c r="F1683" s="1" t="str">
        <f>IFERROR(__xludf.DUMMYFUNCTION("""COMPUTED_VALUE"""),"291105")</f>
        <v>291105</v>
      </c>
      <c r="G1683" s="1" t="str">
        <f>IFERROR(__xludf.DUMMYFUNCTION("""COMPUTED_VALUE"""),"นายสราวุฒิ พณิชยกุล")</f>
        <v>นายสราวุฒิ พณิชยกุล</v>
      </c>
      <c r="H1683" s="1" t="str">
        <f>IFERROR(__xludf.DUMMYFUNCTION("""COMPUTED_VALUE"""),"392005")</f>
        <v>392005</v>
      </c>
      <c r="I1683" s="1" t="str">
        <f>IFERROR(__xludf.DUMMYFUNCTION("""COMPUTED_VALUE"""),"นายรัฐพล หาญลำยวง")</f>
        <v>นายรัฐพล หาญลำยวง</v>
      </c>
      <c r="J1683" s="3">
        <f>IFERROR(__xludf.DUMMYFUNCTION("""COMPUTED_VALUE"""),295886.0)</f>
        <v>295886</v>
      </c>
      <c r="K1683" s="3" t="str">
        <f>IFERROR(__xludf.DUMMYFUNCTION("""COMPUTED_VALUE"""),"นายจิระพงษ์ โพธิ์นิล")</f>
        <v>นายจิระพงษ์ โพธิ์นิล</v>
      </c>
      <c r="L1683" s="3" t="str">
        <f>IFERROR(__xludf.DUMMYFUNCTION("""COMPUTED_VALUE"""),"นายจิระพงษ์ โพธิ์นิล")</f>
        <v>นายจิระพงษ์ โพธิ์นิล</v>
      </c>
      <c r="M1683" s="1" t="str">
        <f>IFERROR(__xludf.DUMMYFUNCTION("""COMPUTED_VALUE"""),"0933290754")</f>
        <v>0933290754</v>
      </c>
      <c r="N1683" s="3">
        <f>IFERROR(__xludf.DUMMYFUNCTION("""COMPUTED_VALUE"""),21622.0)</f>
        <v>21622</v>
      </c>
      <c r="O1683" s="3" t="str">
        <f>IFERROR(__xludf.DUMMYFUNCTION("""COMPUTED_VALUE"""),"MBC ตลาดบ้านดอน")</f>
        <v>MBC ตลาดบ้านดอน</v>
      </c>
      <c r="P1683" s="4">
        <f>IFERROR(__xludf.DUMMYFUNCTION("""COMPUTED_VALUE"""),44435.0)</f>
        <v>44435</v>
      </c>
      <c r="Q1683" s="3" t="str">
        <f>IFERROR(__xludf.DUMMYFUNCTION("""COMPUTED_VALUE"""),"I")</f>
        <v>I</v>
      </c>
      <c r="R1683" s="3" t="str">
        <f>IFERROR(__xludf.DUMMYFUNCTION("""COMPUTED_VALUE"""),"Small Format")</f>
        <v>Small Format</v>
      </c>
      <c r="S1683" s="3" t="str">
        <f>IFERROR(__xludf.DUMMYFUNCTION("""COMPUTED_VALUE"""),"BCM")</f>
        <v>BCM</v>
      </c>
      <c r="T1683" s="3" t="str">
        <f>IFERROR(__xludf.DUMMYFUNCTION("""COMPUTED_VALUE"""),"#N/A")</f>
        <v>#N/A</v>
      </c>
      <c r="U1683" s="3" t="str">
        <f>IFERROR(__xludf.DUMMYFUNCTION("""COMPUTED_VALUE"""),"#N/A")</f>
        <v>#N/A</v>
      </c>
      <c r="V1683" s="3" t="str">
        <f>IFERROR(__xludf.DUMMYFUNCTION("""COMPUTED_VALUE"""),"N")</f>
        <v>N</v>
      </c>
      <c r="W1683" s="3">
        <f>IFERROR(__xludf.DUMMYFUNCTION("""COMPUTED_VALUE"""),210392.0)</f>
        <v>210392</v>
      </c>
      <c r="X1683" s="3" t="str">
        <f>IFERROR(__xludf.DUMMYFUNCTION("""COMPUTED_VALUE"""),"206 หมู่2 ตำบลพรรณา อำเภอพรรณานิคม จังหวัดสกลนคร 47130")</f>
        <v>206 หมู่2 ตำบลพรรณา อำเภอพรรณานิคม จังหวัดสกลนคร 47130</v>
      </c>
      <c r="Y1683" s="3"/>
      <c r="Z1683" s="3" t="str">
        <f>IFERROR(__xludf.DUMMYFUNCTION("""COMPUTED_VALUE"""),"พรรณนา")</f>
        <v>พรรณนา</v>
      </c>
      <c r="AA1683" s="3" t="str">
        <f>IFERROR(__xludf.DUMMYFUNCTION("""COMPUTED_VALUE"""),"พรรณานิคม")</f>
        <v>พรรณานิคม</v>
      </c>
      <c r="AB1683" s="3" t="str">
        <f>IFERROR(__xludf.DUMMYFUNCTION("""COMPUTED_VALUE"""),"สกลนคร")</f>
        <v>สกลนคร</v>
      </c>
      <c r="AC1683" s="3">
        <f>IFERROR(__xludf.DUMMYFUNCTION("""COMPUTED_VALUE"""),47130.0)</f>
        <v>47130</v>
      </c>
      <c r="AD1683" s="3">
        <f>IFERROR(__xludf.DUMMYFUNCTION("""COMPUTED_VALUE"""),17.349855)</f>
        <v>17.349855</v>
      </c>
      <c r="AE1683" s="3">
        <f>IFERROR(__xludf.DUMMYFUNCTION("""COMPUTED_VALUE"""),103.849505)</f>
        <v>103.849505</v>
      </c>
      <c r="AF1683" s="3" t="str">
        <f>IFERROR(__xludf.DUMMYFUNCTION("""COMPUTED_VALUE"""),"MBC ตลาดเทศบาลพรรณานิคม สกลนคร-22369")</f>
        <v>MBC ตลาดเทศบาลพรรณานิคม สกลนคร-22369</v>
      </c>
      <c r="AG1683" s="3" t="str">
        <f>IFERROR(__xludf.DUMMYFUNCTION("""COMPUTED_VALUE"""),"ตะวันออกเฉียงเหนือ")</f>
        <v>ตะวันออกเฉียงเหนือ</v>
      </c>
      <c r="AH1683" s="3" t="str">
        <f>IFERROR(__xludf.DUMMYFUNCTION("""COMPUTED_VALUE"""),"#N/A")</f>
        <v>#N/A</v>
      </c>
      <c r="AI1683" s="3" t="str">
        <f>IFERROR(__xludf.DUMMYFUNCTION("""COMPUTED_VALUE"""),"Out of warranty")</f>
        <v>Out of warranty</v>
      </c>
      <c r="AJ1683" s="3">
        <f>IFERROR(__xludf.DUMMYFUNCTION("""COMPUTED_VALUE"""),53.0)</f>
        <v>53</v>
      </c>
      <c r="AK1683" s="3" t="str">
        <f>IFERROR(__xludf.DUMMYFUNCTION("""COMPUTED_VALUE"""),"MMS12")</f>
        <v>MMS12</v>
      </c>
      <c r="AL1683" s="3"/>
    </row>
    <row r="1684" ht="15.75" customHeight="1">
      <c r="A1684" s="1" t="str">
        <f>IFERROR(__xludf.DUMMYFUNCTION("""COMPUTED_VALUE"""),"22370")</f>
        <v>22370</v>
      </c>
      <c r="B1684" s="2">
        <f>IFERROR(__xludf.DUMMYFUNCTION("""COMPUTED_VALUE"""),22370.0)</f>
        <v>22370</v>
      </c>
      <c r="C1684" s="3" t="str">
        <f>IFERROR(__xludf.DUMMYFUNCTION("""COMPUTED_VALUE"""),"MBC ราชรถ พิจิตร")</f>
        <v>MBC ราชรถ พิจิตร</v>
      </c>
      <c r="D1684" s="3" t="str">
        <f>IFERROR(__xludf.DUMMYFUNCTION("""COMPUTED_VALUE"""),"BCM RATCHAROT PICHIT")</f>
        <v>BCM RATCHAROT PICHIT</v>
      </c>
      <c r="E1684" s="1" t="str">
        <f>IFERROR(__xludf.DUMMYFUNCTION("""COMPUTED_VALUE"""),"บิ๊กซี MINI")</f>
        <v>บิ๊กซี MINI</v>
      </c>
      <c r="F1684" s="1" t="str">
        <f>IFERROR(__xludf.DUMMYFUNCTION("""COMPUTED_VALUE"""),"296229")</f>
        <v>296229</v>
      </c>
      <c r="G1684" s="1" t="str">
        <f>IFERROR(__xludf.DUMMYFUNCTION("""COMPUTED_VALUE"""),"นายทนงศักดิ์ บุญมา")</f>
        <v>นายทนงศักดิ์ บุญมา</v>
      </c>
      <c r="H1684" s="1" t="str">
        <f>IFERROR(__xludf.DUMMYFUNCTION("""COMPUTED_VALUE"""),"291082")</f>
        <v>291082</v>
      </c>
      <c r="I1684" s="1" t="str">
        <f>IFERROR(__xludf.DUMMYFUNCTION("""COMPUTED_VALUE"""),"น.ส.วจี กันเกตุ")</f>
        <v>น.ส.วจี กันเกตุ</v>
      </c>
      <c r="J1684" s="3">
        <f>IFERROR(__xludf.DUMMYFUNCTION("""COMPUTED_VALUE"""),46214.0)</f>
        <v>46214</v>
      </c>
      <c r="K1684" s="3" t="str">
        <f>IFERROR(__xludf.DUMMYFUNCTION("""COMPUTED_VALUE"""),"นายศักดิ์ชัย เด็ดดอกฟ้า")</f>
        <v>นายศักดิ์ชัย เด็ดดอกฟ้า</v>
      </c>
      <c r="L1684" s="1" t="str">
        <f>IFERROR(__xludf.DUMMYFUNCTION("""COMPUTED_VALUE"""),"02 K.Sakchai D")</f>
        <v>02 K.Sakchai D</v>
      </c>
      <c r="M1684" s="1" t="str">
        <f>IFERROR(__xludf.DUMMYFUNCTION("""COMPUTED_VALUE"""),"065-510-7376")</f>
        <v>065-510-7376</v>
      </c>
      <c r="N1684" s="3">
        <f>IFERROR(__xludf.DUMMYFUNCTION("""COMPUTED_VALUE"""),21714.0)</f>
        <v>21714</v>
      </c>
      <c r="O1684" s="3" t="str">
        <f>IFERROR(__xludf.DUMMYFUNCTION("""COMPUTED_VALUE"""),"MBC เอสโซ่ วัดโบสถ์")</f>
        <v>MBC เอสโซ่ วัดโบสถ์</v>
      </c>
      <c r="P1684" s="4">
        <f>IFERROR(__xludf.DUMMYFUNCTION("""COMPUTED_VALUE"""),44449.0)</f>
        <v>44449</v>
      </c>
      <c r="Q1684" s="3" t="str">
        <f>IFERROR(__xludf.DUMMYFUNCTION("""COMPUTED_VALUE"""),"A")</f>
        <v>A</v>
      </c>
      <c r="R1684" s="3" t="str">
        <f>IFERROR(__xludf.DUMMYFUNCTION("""COMPUTED_VALUE"""),"Small Format")</f>
        <v>Small Format</v>
      </c>
      <c r="S1684" s="3" t="str">
        <f>IFERROR(__xludf.DUMMYFUNCTION("""COMPUTED_VALUE"""),"BCM")</f>
        <v>BCM</v>
      </c>
      <c r="T1684" s="3" t="str">
        <f>IFERROR(__xludf.DUMMYFUNCTION("""COMPUTED_VALUE"""),"#N/A")</f>
        <v>#N/A</v>
      </c>
      <c r="U1684" s="3" t="str">
        <f>IFERROR(__xludf.DUMMYFUNCTION("""COMPUTED_VALUE"""),"#N/A")</f>
        <v>#N/A</v>
      </c>
      <c r="V1684" s="3" t="str">
        <f>IFERROR(__xludf.DUMMYFUNCTION("""COMPUTED_VALUE"""),"N")</f>
        <v>N</v>
      </c>
      <c r="W1684" s="3">
        <f>IFERROR(__xludf.DUMMYFUNCTION("""COMPUTED_VALUE"""),210425.0)</f>
        <v>210425</v>
      </c>
      <c r="X1684" s="3" t="str">
        <f>IFERROR(__xludf.DUMMYFUNCTION("""COMPUTED_VALUE"""),"9/2 ถนนคลองคะเชนทร์ ตำบลในเมือง อำเภอเมืองพิจิตร จังหวัดพิจิตร 66000")</f>
        <v>9/2 ถนนคลองคะเชนทร์ ตำบลในเมือง อำเภอเมืองพิจิตร จังหวัดพิจิตร 66000</v>
      </c>
      <c r="Y1684" s="3" t="str">
        <f>IFERROR(__xludf.DUMMYFUNCTION("""COMPUTED_VALUE"""),"คลองคะเชนทร์")</f>
        <v>คลองคะเชนทร์</v>
      </c>
      <c r="Z1684" s="3" t="str">
        <f>IFERROR(__xludf.DUMMYFUNCTION("""COMPUTED_VALUE"""),"ในเมือง")</f>
        <v>ในเมือง</v>
      </c>
      <c r="AA1684" s="3" t="str">
        <f>IFERROR(__xludf.DUMMYFUNCTION("""COMPUTED_VALUE"""),"เมือง")</f>
        <v>เมือง</v>
      </c>
      <c r="AB1684" s="3" t="str">
        <f>IFERROR(__xludf.DUMMYFUNCTION("""COMPUTED_VALUE"""),"พิจิตร")</f>
        <v>พิจิตร</v>
      </c>
      <c r="AC1684" s="3">
        <f>IFERROR(__xludf.DUMMYFUNCTION("""COMPUTED_VALUE"""),66000.0)</f>
        <v>66000</v>
      </c>
      <c r="AD1684" s="3">
        <f>IFERROR(__xludf.DUMMYFUNCTION("""COMPUTED_VALUE"""),16.4530758)</f>
        <v>16.4530758</v>
      </c>
      <c r="AE1684" s="3">
        <f>IFERROR(__xludf.DUMMYFUNCTION("""COMPUTED_VALUE"""),100.3371346)</f>
        <v>100.3371346</v>
      </c>
      <c r="AF1684" s="3" t="str">
        <f>IFERROR(__xludf.DUMMYFUNCTION("""COMPUTED_VALUE"""),"MBC ราชรถ พิจิตร-22370")</f>
        <v>MBC ราชรถ พิจิตร-22370</v>
      </c>
      <c r="AG1684" s="3" t="str">
        <f>IFERROR(__xludf.DUMMYFUNCTION("""COMPUTED_VALUE"""),"กลาง")</f>
        <v>กลาง</v>
      </c>
      <c r="AH1684" s="3" t="str">
        <f>IFERROR(__xludf.DUMMYFUNCTION("""COMPUTED_VALUE"""),"#N/A")</f>
        <v>#N/A</v>
      </c>
      <c r="AI1684" s="3" t="str">
        <f>IFERROR(__xludf.DUMMYFUNCTION("""COMPUTED_VALUE"""),"Out of warranty")</f>
        <v>Out of warranty</v>
      </c>
      <c r="AJ1684" s="3">
        <f>IFERROR(__xludf.DUMMYFUNCTION("""COMPUTED_VALUE"""),53.0)</f>
        <v>53</v>
      </c>
      <c r="AK1684" s="3" t="str">
        <f>IFERROR(__xludf.DUMMYFUNCTION("""COMPUTED_VALUE"""),"MMS09")</f>
        <v>MMS09</v>
      </c>
      <c r="AL1684" s="3"/>
    </row>
    <row r="1685" ht="15.75" customHeight="1">
      <c r="A1685" s="1" t="str">
        <f>IFERROR(__xludf.DUMMYFUNCTION("""COMPUTED_VALUE"""),"22371")</f>
        <v>22371</v>
      </c>
      <c r="B1685" s="2">
        <f>IFERROR(__xludf.DUMMYFUNCTION("""COMPUTED_VALUE"""),22371.0)</f>
        <v>22371</v>
      </c>
      <c r="C1685" s="3" t="str">
        <f>IFERROR(__xludf.DUMMYFUNCTION("""COMPUTED_VALUE"""),"MBC ฮอด เชียงใหม่")</f>
        <v>MBC ฮอด เชียงใหม่</v>
      </c>
      <c r="D1685" s="3" t="str">
        <f>IFERROR(__xludf.DUMMYFUNCTION("""COMPUTED_VALUE"""),"BCM HOD CHIANGMAI")</f>
        <v>BCM HOD CHIANGMAI</v>
      </c>
      <c r="E1685" s="1" t="str">
        <f>IFERROR(__xludf.DUMMYFUNCTION("""COMPUTED_VALUE"""),"บิ๊กซี MINI")</f>
        <v>บิ๊กซี MINI</v>
      </c>
      <c r="F1685" s="1" t="str">
        <f>IFERROR(__xludf.DUMMYFUNCTION("""COMPUTED_VALUE"""),"296229")</f>
        <v>296229</v>
      </c>
      <c r="G1685" s="1" t="str">
        <f>IFERROR(__xludf.DUMMYFUNCTION("""COMPUTED_VALUE"""),"นายทนงศักดิ์ บุญมา")</f>
        <v>นายทนงศักดิ์ บุญมา</v>
      </c>
      <c r="H1685" s="1" t="str">
        <f>IFERROR(__xludf.DUMMYFUNCTION("""COMPUTED_VALUE"""),"392003")</f>
        <v>392003</v>
      </c>
      <c r="I1685" s="1" t="str">
        <f>IFERROR(__xludf.DUMMYFUNCTION("""COMPUTED_VALUE"""),"นายวรภพ เศษสูงเนิน")</f>
        <v>นายวรภพ เศษสูงเนิน</v>
      </c>
      <c r="J1685" s="3">
        <f>IFERROR(__xludf.DUMMYFUNCTION("""COMPUTED_VALUE"""),2010016.0)</f>
        <v>2010016</v>
      </c>
      <c r="K1685" s="3" t="str">
        <f>IFERROR(__xludf.DUMMYFUNCTION("""COMPUTED_VALUE"""),"นายตวงธรรม ใหม่ยศ")</f>
        <v>นายตวงธรรม ใหม่ยศ</v>
      </c>
      <c r="L1685" s="1" t="str">
        <f>IFERROR(__xludf.DUMMYFUNCTION("""COMPUTED_VALUE"""),"01 K.Tuangtham M.")</f>
        <v>01 K.Tuangtham M.</v>
      </c>
      <c r="M1685" s="1" t="str">
        <f>IFERROR(__xludf.DUMMYFUNCTION("""COMPUTED_VALUE"""),"063-976-595")</f>
        <v>063-976-595</v>
      </c>
      <c r="N1685" s="3">
        <f>IFERROR(__xludf.DUMMYFUNCTION("""COMPUTED_VALUE"""),22574.0)</f>
        <v>22574</v>
      </c>
      <c r="O1685" s="3" t="str">
        <f>IFERROR(__xludf.DUMMYFUNCTION("""COMPUTED_VALUE"""),"BCM ชุมชนศรีชุม ลำปาง")</f>
        <v>BCM ชุมชนศรีชุม ลำปาง</v>
      </c>
      <c r="P1685" s="4">
        <f>IFERROR(__xludf.DUMMYFUNCTION("""COMPUTED_VALUE"""),44516.0)</f>
        <v>44516</v>
      </c>
      <c r="Q1685" s="3" t="str">
        <f>IFERROR(__xludf.DUMMYFUNCTION("""COMPUTED_VALUE"""),"A")</f>
        <v>A</v>
      </c>
      <c r="R1685" s="3" t="str">
        <f>IFERROR(__xludf.DUMMYFUNCTION("""COMPUTED_VALUE"""),"Small Format")</f>
        <v>Small Format</v>
      </c>
      <c r="S1685" s="3" t="str">
        <f>IFERROR(__xludf.DUMMYFUNCTION("""COMPUTED_VALUE"""),"BCM")</f>
        <v>BCM</v>
      </c>
      <c r="T1685" s="3" t="str">
        <f>IFERROR(__xludf.DUMMYFUNCTION("""COMPUTED_VALUE"""),"#N/A")</f>
        <v>#N/A</v>
      </c>
      <c r="U1685" s="3" t="str">
        <f>IFERROR(__xludf.DUMMYFUNCTION("""COMPUTED_VALUE"""),"#N/A")</f>
        <v>#N/A</v>
      </c>
      <c r="V1685" s="3" t="str">
        <f>IFERROR(__xludf.DUMMYFUNCTION("""COMPUTED_VALUE"""),"N")</f>
        <v>N</v>
      </c>
      <c r="W1685" s="3">
        <f>IFERROR(__xludf.DUMMYFUNCTION("""COMPUTED_VALUE"""),210440.0)</f>
        <v>210440</v>
      </c>
      <c r="X1685" s="3" t="str">
        <f>IFERROR(__xludf.DUMMYFUNCTION("""COMPUTED_VALUE"""),"393 394 หมู่2 ตำบลหางดง อำเภอฮอด จังหวัดเชียงใหม่ 50240")</f>
        <v>393 394 หมู่2 ตำบลหางดง อำเภอฮอด จังหวัดเชียงใหม่ 50240</v>
      </c>
      <c r="Y1685" s="3"/>
      <c r="Z1685" s="3" t="str">
        <f>IFERROR(__xludf.DUMMYFUNCTION("""COMPUTED_VALUE"""),"หางดง")</f>
        <v>หางดง</v>
      </c>
      <c r="AA1685" s="3" t="str">
        <f>IFERROR(__xludf.DUMMYFUNCTION("""COMPUTED_VALUE"""),"ฮอด")</f>
        <v>ฮอด</v>
      </c>
      <c r="AB1685" s="3" t="str">
        <f>IFERROR(__xludf.DUMMYFUNCTION("""COMPUTED_VALUE"""),"เชียงใหม่")</f>
        <v>เชียงใหม่</v>
      </c>
      <c r="AC1685" s="3">
        <f>IFERROR(__xludf.DUMMYFUNCTION("""COMPUTED_VALUE"""),50240.0)</f>
        <v>50240</v>
      </c>
      <c r="AD1685" s="3">
        <f>IFERROR(__xludf.DUMMYFUNCTION("""COMPUTED_VALUE"""),18.194193)</f>
        <v>18.194193</v>
      </c>
      <c r="AE1685" s="3">
        <f>IFERROR(__xludf.DUMMYFUNCTION("""COMPUTED_VALUE"""),98.611921)</f>
        <v>98.611921</v>
      </c>
      <c r="AF1685" s="3" t="str">
        <f>IFERROR(__xludf.DUMMYFUNCTION("""COMPUTED_VALUE"""),"MBC ฮอด เชียงใหม่-22371")</f>
        <v>MBC ฮอด เชียงใหม่-22371</v>
      </c>
      <c r="AG1685" s="3" t="str">
        <f>IFERROR(__xludf.DUMMYFUNCTION("""COMPUTED_VALUE"""),"เหนือ")</f>
        <v>เหนือ</v>
      </c>
      <c r="AH1685" s="3" t="str">
        <f>IFERROR(__xludf.DUMMYFUNCTION("""COMPUTED_VALUE"""),"#N/A")</f>
        <v>#N/A</v>
      </c>
      <c r="AI1685" s="3" t="str">
        <f>IFERROR(__xludf.DUMMYFUNCTION("""COMPUTED_VALUE"""),"Out of warranty")</f>
        <v>Out of warranty</v>
      </c>
      <c r="AJ1685" s="3">
        <f>IFERROR(__xludf.DUMMYFUNCTION("""COMPUTED_VALUE"""),51.0)</f>
        <v>51</v>
      </c>
      <c r="AK1685" s="3" t="str">
        <f>IFERROR(__xludf.DUMMYFUNCTION("""COMPUTED_VALUE"""),"MMS10")</f>
        <v>MMS10</v>
      </c>
      <c r="AL1685" s="3"/>
    </row>
    <row r="1686" ht="15.75" customHeight="1">
      <c r="A1686" s="1" t="str">
        <f>IFERROR(__xludf.DUMMYFUNCTION("""COMPUTED_VALUE"""),"22372")</f>
        <v>22372</v>
      </c>
      <c r="B1686" s="2">
        <f>IFERROR(__xludf.DUMMYFUNCTION("""COMPUTED_VALUE"""),22372.0)</f>
        <v>22372</v>
      </c>
      <c r="C1686" s="3" t="str">
        <f>IFERROR(__xludf.DUMMYFUNCTION("""COMPUTED_VALUE"""),"MBC อ.ศรีสาคร นราธิวาส")</f>
        <v>MBC อ.ศรีสาคร นราธิวาส</v>
      </c>
      <c r="D1686" s="3" t="str">
        <f>IFERROR(__xludf.DUMMYFUNCTION("""COMPUTED_VALUE"""),"BCM AMPHUR SI SAKHON")</f>
        <v>BCM AMPHUR SI SAKHON</v>
      </c>
      <c r="E1686" s="1" t="str">
        <f>IFERROR(__xludf.DUMMYFUNCTION("""COMPUTED_VALUE"""),"บิ๊กซี MINI")</f>
        <v>บิ๊กซี MINI</v>
      </c>
      <c r="F1686" s="1" t="str">
        <f>IFERROR(__xludf.DUMMYFUNCTION("""COMPUTED_VALUE"""),"250760")</f>
        <v>250760</v>
      </c>
      <c r="G1686" s="1" t="str">
        <f>IFERROR(__xludf.DUMMYFUNCTION("""COMPUTED_VALUE"""),"นายประทวน สาราบรรณ์")</f>
        <v>นายประทวน สาราบรรณ์</v>
      </c>
      <c r="H1686" s="1" t="str">
        <f>IFERROR(__xludf.DUMMYFUNCTION("""COMPUTED_VALUE"""),"006583")</f>
        <v>006583</v>
      </c>
      <c r="I1686" s="1" t="str">
        <f>IFERROR(__xludf.DUMMYFUNCTION("""COMPUTED_VALUE"""),"นายเด่น ยะอิง")</f>
        <v>นายเด่น ยะอิง</v>
      </c>
      <c r="J1686" s="3">
        <f>IFERROR(__xludf.DUMMYFUNCTION("""COMPUTED_VALUE"""),2.0470331E7)</f>
        <v>20470331</v>
      </c>
      <c r="K1686" s="3" t="str">
        <f>IFERROR(__xludf.DUMMYFUNCTION("""COMPUTED_VALUE"""),"นายสมชาย ลักษณะสุวรรณ")</f>
        <v>นายสมชาย ลักษณะสุวรรณ</v>
      </c>
      <c r="L1686" s="1" t="str">
        <f>IFERROR(__xludf.DUMMYFUNCTION("""COMPUTED_VALUE"""),"15 K.Somchai L")</f>
        <v>15 K.Somchai L</v>
      </c>
      <c r="M1686" s="1" t="str">
        <f>IFERROR(__xludf.DUMMYFUNCTION("""COMPUTED_VALUE"""),"0655107372")</f>
        <v>0655107372</v>
      </c>
      <c r="N1686" s="3">
        <f>IFERROR(__xludf.DUMMYFUNCTION("""COMPUTED_VALUE"""),21723.0)</f>
        <v>21723</v>
      </c>
      <c r="O1686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86" s="4">
        <f>IFERROR(__xludf.DUMMYFUNCTION("""COMPUTED_VALUE"""),44457.0)</f>
        <v>44457</v>
      </c>
      <c r="Q1686" s="3" t="str">
        <f>IFERROR(__xludf.DUMMYFUNCTION("""COMPUTED_VALUE"""),"A")</f>
        <v>A</v>
      </c>
      <c r="R1686" s="3" t="str">
        <f>IFERROR(__xludf.DUMMYFUNCTION("""COMPUTED_VALUE"""),"Small Format")</f>
        <v>Small Format</v>
      </c>
      <c r="S1686" s="3" t="str">
        <f>IFERROR(__xludf.DUMMYFUNCTION("""COMPUTED_VALUE"""),"BCM")</f>
        <v>BCM</v>
      </c>
      <c r="T1686" s="3" t="str">
        <f>IFERROR(__xludf.DUMMYFUNCTION("""COMPUTED_VALUE"""),"#N/A")</f>
        <v>#N/A</v>
      </c>
      <c r="U1686" s="3" t="str">
        <f>IFERROR(__xludf.DUMMYFUNCTION("""COMPUTED_VALUE"""),"#N/A")</f>
        <v>#N/A</v>
      </c>
      <c r="V1686" s="3" t="str">
        <f>IFERROR(__xludf.DUMMYFUNCTION("""COMPUTED_VALUE"""),"N")</f>
        <v>N</v>
      </c>
      <c r="W1686" s="3">
        <f>IFERROR(__xludf.DUMMYFUNCTION("""COMPUTED_VALUE"""),210402.0)</f>
        <v>210402</v>
      </c>
      <c r="X1686" s="3" t="str">
        <f>IFERROR(__xludf.DUMMYFUNCTION("""COMPUTED_VALUE"""),"90/11-13 หมู่1 ตำบลซากอ อำเภอศรีสาคร จังหวัดนราธิวาส 96210")</f>
        <v>90/11-13 หมู่1 ตำบลซากอ อำเภอศรีสาคร จังหวัดนราธิวาส 96210</v>
      </c>
      <c r="Y1686" s="3"/>
      <c r="Z1686" s="3" t="str">
        <f>IFERROR(__xludf.DUMMYFUNCTION("""COMPUTED_VALUE"""),"ซากอ")</f>
        <v>ซากอ</v>
      </c>
      <c r="AA1686" s="3" t="str">
        <f>IFERROR(__xludf.DUMMYFUNCTION("""COMPUTED_VALUE"""),"ศรีสาคร")</f>
        <v>ศรีสาคร</v>
      </c>
      <c r="AB1686" s="3" t="str">
        <f>IFERROR(__xludf.DUMMYFUNCTION("""COMPUTED_VALUE"""),"นราธิวาส")</f>
        <v>นราธิวาส</v>
      </c>
      <c r="AC1686" s="3">
        <f>IFERROR(__xludf.DUMMYFUNCTION("""COMPUTED_VALUE"""),96210.0)</f>
        <v>96210</v>
      </c>
      <c r="AD1686" s="3">
        <f>IFERROR(__xludf.DUMMYFUNCTION("""COMPUTED_VALUE"""),6.230316)</f>
        <v>6.230316</v>
      </c>
      <c r="AE1686" s="3">
        <f>IFERROR(__xludf.DUMMYFUNCTION("""COMPUTED_VALUE"""),101.500562)</f>
        <v>101.500562</v>
      </c>
      <c r="AF1686" s="3" t="str">
        <f>IFERROR(__xludf.DUMMYFUNCTION("""COMPUTED_VALUE"""),"MBC อ.ศรีสาคร นราธิวาส-22372")</f>
        <v>MBC อ.ศรีสาคร นราธิวาส-22372</v>
      </c>
      <c r="AG1686" s="3" t="str">
        <f>IFERROR(__xludf.DUMMYFUNCTION("""COMPUTED_VALUE"""),"ใต้")</f>
        <v>ใต้</v>
      </c>
      <c r="AH1686" s="3" t="str">
        <f>IFERROR(__xludf.DUMMYFUNCTION("""COMPUTED_VALUE"""),"#N/A")</f>
        <v>#N/A</v>
      </c>
      <c r="AI1686" s="3" t="str">
        <f>IFERROR(__xludf.DUMMYFUNCTION("""COMPUTED_VALUE"""),"Out of warranty")</f>
        <v>Out of warranty</v>
      </c>
      <c r="AJ1686" s="3">
        <f>IFERROR(__xludf.DUMMYFUNCTION("""COMPUTED_VALUE"""),53.0)</f>
        <v>53</v>
      </c>
      <c r="AK1686" s="3" t="str">
        <f>IFERROR(__xludf.DUMMYFUNCTION("""COMPUTED_VALUE"""),"MMS16")</f>
        <v>MMS16</v>
      </c>
      <c r="AL1686" s="3"/>
    </row>
    <row r="1687" ht="15.75" customHeight="1">
      <c r="A1687" s="1" t="str">
        <f>IFERROR(__xludf.DUMMYFUNCTION("""COMPUTED_VALUE"""),"22373")</f>
        <v>22373</v>
      </c>
      <c r="B1687" s="2">
        <f>IFERROR(__xludf.DUMMYFUNCTION("""COMPUTED_VALUE"""),22373.0)</f>
        <v>22373</v>
      </c>
      <c r="C1687" s="3" t="str">
        <f>IFERROR(__xludf.DUMMYFUNCTION("""COMPUTED_VALUE"""),"MBC อ.รือเสาะ นราธิวาส")</f>
        <v>MBC อ.รือเสาะ นราธิวาส</v>
      </c>
      <c r="D1687" s="3" t="str">
        <f>IFERROR(__xludf.DUMMYFUNCTION("""COMPUTED_VALUE"""),"BCM AMPHUR RUESO")</f>
        <v>BCM AMPHUR RUESO</v>
      </c>
      <c r="E1687" s="1" t="str">
        <f>IFERROR(__xludf.DUMMYFUNCTION("""COMPUTED_VALUE"""),"บิ๊กซี MINI")</f>
        <v>บิ๊กซี MINI</v>
      </c>
      <c r="F1687" s="1" t="str">
        <f>IFERROR(__xludf.DUMMYFUNCTION("""COMPUTED_VALUE"""),"250760")</f>
        <v>250760</v>
      </c>
      <c r="G1687" s="1" t="str">
        <f>IFERROR(__xludf.DUMMYFUNCTION("""COMPUTED_VALUE"""),"นายประทวน สาราบรรณ์")</f>
        <v>นายประทวน สาราบรรณ์</v>
      </c>
      <c r="H1687" s="1" t="str">
        <f>IFERROR(__xludf.DUMMYFUNCTION("""COMPUTED_VALUE"""),"006583")</f>
        <v>006583</v>
      </c>
      <c r="I1687" s="1" t="str">
        <f>IFERROR(__xludf.DUMMYFUNCTION("""COMPUTED_VALUE"""),"นายเด่น ยะอิง")</f>
        <v>นายเด่น ยะอิง</v>
      </c>
      <c r="J1687" s="3">
        <f>IFERROR(__xludf.DUMMYFUNCTION("""COMPUTED_VALUE"""),2.0470331E7)</f>
        <v>20470331</v>
      </c>
      <c r="K1687" s="3" t="str">
        <f>IFERROR(__xludf.DUMMYFUNCTION("""COMPUTED_VALUE"""),"นายสมชาย ลักษณะสุวรรณ")</f>
        <v>นายสมชาย ลักษณะสุวรรณ</v>
      </c>
      <c r="L1687" s="1" t="str">
        <f>IFERROR(__xludf.DUMMYFUNCTION("""COMPUTED_VALUE"""),"15 K.Somchai L")</f>
        <v>15 K.Somchai L</v>
      </c>
      <c r="M1687" s="1" t="str">
        <f>IFERROR(__xludf.DUMMYFUNCTION("""COMPUTED_VALUE"""),"0655107372")</f>
        <v>0655107372</v>
      </c>
      <c r="N1687" s="3">
        <f>IFERROR(__xludf.DUMMYFUNCTION("""COMPUTED_VALUE"""),21723.0)</f>
        <v>21723</v>
      </c>
      <c r="O1687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87" s="4">
        <f>IFERROR(__xludf.DUMMYFUNCTION("""COMPUTED_VALUE"""),44459.0)</f>
        <v>44459</v>
      </c>
      <c r="Q1687" s="3" t="str">
        <f>IFERROR(__xludf.DUMMYFUNCTION("""COMPUTED_VALUE"""),"A")</f>
        <v>A</v>
      </c>
      <c r="R1687" s="3" t="str">
        <f>IFERROR(__xludf.DUMMYFUNCTION("""COMPUTED_VALUE"""),"Small Format")</f>
        <v>Small Format</v>
      </c>
      <c r="S1687" s="3" t="str">
        <f>IFERROR(__xludf.DUMMYFUNCTION("""COMPUTED_VALUE"""),"BCM")</f>
        <v>BCM</v>
      </c>
      <c r="T1687" s="3" t="str">
        <f>IFERROR(__xludf.DUMMYFUNCTION("""COMPUTED_VALUE"""),"#N/A")</f>
        <v>#N/A</v>
      </c>
      <c r="U1687" s="3" t="str">
        <f>IFERROR(__xludf.DUMMYFUNCTION("""COMPUTED_VALUE"""),"#N/A")</f>
        <v>#N/A</v>
      </c>
      <c r="V1687" s="3" t="str">
        <f>IFERROR(__xludf.DUMMYFUNCTION("""COMPUTED_VALUE"""),"N")</f>
        <v>N</v>
      </c>
      <c r="W1687" s="3">
        <f>IFERROR(__xludf.DUMMYFUNCTION("""COMPUTED_VALUE"""),210423.0)</f>
        <v>210423</v>
      </c>
      <c r="X1687" s="3" t="str">
        <f>IFERROR(__xludf.DUMMYFUNCTION("""COMPUTED_VALUE"""),"376/1 หมู่1 ตำบลรือเสาะออก อำเภอรือเสาะ จังหวัดนราธิวาส 96150")</f>
        <v>376/1 หมู่1 ตำบลรือเสาะออก อำเภอรือเสาะ จังหวัดนราธิวาส 96150</v>
      </c>
      <c r="Y1687" s="3"/>
      <c r="Z1687" s="3" t="str">
        <f>IFERROR(__xludf.DUMMYFUNCTION("""COMPUTED_VALUE"""),"รือเสาะออก")</f>
        <v>รือเสาะออก</v>
      </c>
      <c r="AA1687" s="3" t="str">
        <f>IFERROR(__xludf.DUMMYFUNCTION("""COMPUTED_VALUE"""),"รือเสาะ")</f>
        <v>รือเสาะ</v>
      </c>
      <c r="AB1687" s="3" t="str">
        <f>IFERROR(__xludf.DUMMYFUNCTION("""COMPUTED_VALUE"""),"นราธิวาส")</f>
        <v>นราธิวาส</v>
      </c>
      <c r="AC1687" s="3">
        <f>IFERROR(__xludf.DUMMYFUNCTION("""COMPUTED_VALUE"""),96150.0)</f>
        <v>96150</v>
      </c>
      <c r="AD1687" s="3">
        <f>IFERROR(__xludf.DUMMYFUNCTION("""COMPUTED_VALUE"""),6.396013)</f>
        <v>6.396013</v>
      </c>
      <c r="AE1687" s="3">
        <f>IFERROR(__xludf.DUMMYFUNCTION("""COMPUTED_VALUE"""),101.518643)</f>
        <v>101.518643</v>
      </c>
      <c r="AF1687" s="3" t="str">
        <f>IFERROR(__xludf.DUMMYFUNCTION("""COMPUTED_VALUE"""),"MBC อ.รือเสาะ นราธิวาส-22373")</f>
        <v>MBC อ.รือเสาะ นราธิวาส-22373</v>
      </c>
      <c r="AG1687" s="3" t="str">
        <f>IFERROR(__xludf.DUMMYFUNCTION("""COMPUTED_VALUE"""),"ใต้")</f>
        <v>ใต้</v>
      </c>
      <c r="AH1687" s="3" t="str">
        <f>IFERROR(__xludf.DUMMYFUNCTION("""COMPUTED_VALUE"""),"#N/A")</f>
        <v>#N/A</v>
      </c>
      <c r="AI1687" s="3" t="str">
        <f>IFERROR(__xludf.DUMMYFUNCTION("""COMPUTED_VALUE"""),"Out of warranty")</f>
        <v>Out of warranty</v>
      </c>
      <c r="AJ1687" s="3">
        <f>IFERROR(__xludf.DUMMYFUNCTION("""COMPUTED_VALUE"""),53.0)</f>
        <v>53</v>
      </c>
      <c r="AK1687" s="3" t="str">
        <f>IFERROR(__xludf.DUMMYFUNCTION("""COMPUTED_VALUE"""),"MMS16")</f>
        <v>MMS16</v>
      </c>
      <c r="AL1687" s="3"/>
    </row>
    <row r="1688" ht="15.75" customHeight="1">
      <c r="A1688" s="1" t="str">
        <f>IFERROR(__xludf.DUMMYFUNCTION("""COMPUTED_VALUE"""),"22374")</f>
        <v>22374</v>
      </c>
      <c r="B1688" s="2">
        <f>IFERROR(__xludf.DUMMYFUNCTION("""COMPUTED_VALUE"""),22374.0)</f>
        <v>22374</v>
      </c>
      <c r="C1688" s="3" t="str">
        <f>IFERROR(__xludf.DUMMYFUNCTION("""COMPUTED_VALUE"""),"MBC กาดสันปูเลย ลำพูน")</f>
        <v>MBC กาดสันปูเลย ลำพูน</v>
      </c>
      <c r="D1688" s="3" t="str">
        <f>IFERROR(__xludf.DUMMYFUNCTION("""COMPUTED_VALUE"""),"BCM KAD SAN PU LOEI")</f>
        <v>BCM KAD SAN PU LOEI</v>
      </c>
      <c r="E1688" s="1" t="str">
        <f>IFERROR(__xludf.DUMMYFUNCTION("""COMPUTED_VALUE"""),"บิ๊กซี MINI")</f>
        <v>บิ๊กซี MINI</v>
      </c>
      <c r="F1688" s="1" t="str">
        <f>IFERROR(__xludf.DUMMYFUNCTION("""COMPUTED_VALUE"""),"296229")</f>
        <v>296229</v>
      </c>
      <c r="G1688" s="1" t="str">
        <f>IFERROR(__xludf.DUMMYFUNCTION("""COMPUTED_VALUE"""),"นายทนงศักดิ์ บุญมา")</f>
        <v>นายทนงศักดิ์ บุญมา</v>
      </c>
      <c r="H1688" s="1" t="str">
        <f>IFERROR(__xludf.DUMMYFUNCTION("""COMPUTED_VALUE"""),"392003")</f>
        <v>392003</v>
      </c>
      <c r="I1688" s="1" t="str">
        <f>IFERROR(__xludf.DUMMYFUNCTION("""COMPUTED_VALUE"""),"นายวรภพ เศษสูงเนิน")</f>
        <v>นายวรภพ เศษสูงเนิน</v>
      </c>
      <c r="J1688" s="3">
        <f>IFERROR(__xludf.DUMMYFUNCTION("""COMPUTED_VALUE"""),2010016.0)</f>
        <v>2010016</v>
      </c>
      <c r="K1688" s="3" t="str">
        <f>IFERROR(__xludf.DUMMYFUNCTION("""COMPUTED_VALUE"""),"นายตวงธรรม ใหม่ยศ")</f>
        <v>นายตวงธรรม ใหม่ยศ</v>
      </c>
      <c r="L1688" s="3" t="str">
        <f>IFERROR(__xludf.DUMMYFUNCTION("""COMPUTED_VALUE"""),"01 K.Tuangtham M.")</f>
        <v>01 K.Tuangtham M.</v>
      </c>
      <c r="M1688" s="1" t="str">
        <f>IFERROR(__xludf.DUMMYFUNCTION("""COMPUTED_VALUE"""),"063-976-595")</f>
        <v>063-976-595</v>
      </c>
      <c r="N1688" s="3">
        <f>IFERROR(__xludf.DUMMYFUNCTION("""COMPUTED_VALUE"""),22574.0)</f>
        <v>22574</v>
      </c>
      <c r="O1688" s="3" t="str">
        <f>IFERROR(__xludf.DUMMYFUNCTION("""COMPUTED_VALUE"""),"BCM ชุมชนศรีชุม ลำปาง")</f>
        <v>BCM ชุมชนศรีชุม ลำปาง</v>
      </c>
      <c r="P1688" s="4">
        <f>IFERROR(__xludf.DUMMYFUNCTION("""COMPUTED_VALUE"""),44459.0)</f>
        <v>44459</v>
      </c>
      <c r="Q1688" s="3" t="str">
        <f>IFERROR(__xludf.DUMMYFUNCTION("""COMPUTED_VALUE"""),"A")</f>
        <v>A</v>
      </c>
      <c r="R1688" s="3" t="str">
        <f>IFERROR(__xludf.DUMMYFUNCTION("""COMPUTED_VALUE"""),"Small Format")</f>
        <v>Small Format</v>
      </c>
      <c r="S1688" s="3" t="str">
        <f>IFERROR(__xludf.DUMMYFUNCTION("""COMPUTED_VALUE"""),"BCM")</f>
        <v>BCM</v>
      </c>
      <c r="T1688" s="3" t="str">
        <f>IFERROR(__xludf.DUMMYFUNCTION("""COMPUTED_VALUE"""),"#N/A")</f>
        <v>#N/A</v>
      </c>
      <c r="U1688" s="3" t="str">
        <f>IFERROR(__xludf.DUMMYFUNCTION("""COMPUTED_VALUE"""),"#N/A")</f>
        <v>#N/A</v>
      </c>
      <c r="V1688" s="3" t="str">
        <f>IFERROR(__xludf.DUMMYFUNCTION("""COMPUTED_VALUE"""),"N")</f>
        <v>N</v>
      </c>
      <c r="W1688" s="3">
        <f>IFERROR(__xludf.DUMMYFUNCTION("""COMPUTED_VALUE"""),210428.0)</f>
        <v>210428</v>
      </c>
      <c r="X1688" s="3" t="str">
        <f>IFERROR(__xludf.DUMMYFUNCTION("""COMPUTED_VALUE"""),"47 หมู่13 ตำบลมะเขือแจ้ อำเภอเมืองลำพูน จังหวัดลำพูน 51000")</f>
        <v>47 หมู่13 ตำบลมะเขือแจ้ อำเภอเมืองลำพูน จังหวัดลำพูน 51000</v>
      </c>
      <c r="Y1688" s="3"/>
      <c r="Z1688" s="3" t="str">
        <f>IFERROR(__xludf.DUMMYFUNCTION("""COMPUTED_VALUE"""),"มะเขีอแจ้")</f>
        <v>มะเขีอแจ้</v>
      </c>
      <c r="AA1688" s="3" t="str">
        <f>IFERROR(__xludf.DUMMYFUNCTION("""COMPUTED_VALUE"""),"เมือง")</f>
        <v>เมือง</v>
      </c>
      <c r="AB1688" s="3" t="str">
        <f>IFERROR(__xludf.DUMMYFUNCTION("""COMPUTED_VALUE"""),"ลำพูน")</f>
        <v>ลำพูน</v>
      </c>
      <c r="AC1688" s="3">
        <f>IFERROR(__xludf.DUMMYFUNCTION("""COMPUTED_VALUE"""),51000.0)</f>
        <v>51000</v>
      </c>
      <c r="AD1688" s="3">
        <f>IFERROR(__xludf.DUMMYFUNCTION("""COMPUTED_VALUE"""),18.600409)</f>
        <v>18.600409</v>
      </c>
      <c r="AE1688" s="3">
        <f>IFERROR(__xludf.DUMMYFUNCTION("""COMPUTED_VALUE"""),99.050872)</f>
        <v>99.050872</v>
      </c>
      <c r="AF1688" s="3" t="str">
        <f>IFERROR(__xludf.DUMMYFUNCTION("""COMPUTED_VALUE"""),"MBC กาดสันปูเลย ลำพูน-22374")</f>
        <v>MBC กาดสันปูเลย ลำพูน-22374</v>
      </c>
      <c r="AG1688" s="3" t="str">
        <f>IFERROR(__xludf.DUMMYFUNCTION("""COMPUTED_VALUE"""),"เหนือ")</f>
        <v>เหนือ</v>
      </c>
      <c r="AH1688" s="3" t="str">
        <f>IFERROR(__xludf.DUMMYFUNCTION("""COMPUTED_VALUE"""),"#N/A")</f>
        <v>#N/A</v>
      </c>
      <c r="AI1688" s="3" t="str">
        <f>IFERROR(__xludf.DUMMYFUNCTION("""COMPUTED_VALUE"""),"Out of warranty")</f>
        <v>Out of warranty</v>
      </c>
      <c r="AJ1688" s="3">
        <f>IFERROR(__xludf.DUMMYFUNCTION("""COMPUTED_VALUE"""),53.0)</f>
        <v>53</v>
      </c>
      <c r="AK1688" s="3" t="str">
        <f>IFERROR(__xludf.DUMMYFUNCTION("""COMPUTED_VALUE"""),"MMS10")</f>
        <v>MMS10</v>
      </c>
      <c r="AL1688" s="3"/>
    </row>
    <row r="1689" ht="15.75" customHeight="1">
      <c r="A1689" s="1" t="str">
        <f>IFERROR(__xludf.DUMMYFUNCTION("""COMPUTED_VALUE"""),"22375")</f>
        <v>22375</v>
      </c>
      <c r="B1689" s="2">
        <f>IFERROR(__xludf.DUMMYFUNCTION("""COMPUTED_VALUE"""),22375.0)</f>
        <v>22375</v>
      </c>
      <c r="C1689" s="3" t="str">
        <f>IFERROR(__xludf.DUMMYFUNCTION("""COMPUTED_VALUE"""),"MBC นาด้วง เลย")</f>
        <v>MBC นาด้วง เลย</v>
      </c>
      <c r="D1689" s="3" t="str">
        <f>IFERROR(__xludf.DUMMYFUNCTION("""COMPUTED_VALUE"""),"BCM NA DUANG LOEI")</f>
        <v>BCM NA DUANG LOEI</v>
      </c>
      <c r="E1689" s="1" t="str">
        <f>IFERROR(__xludf.DUMMYFUNCTION("""COMPUTED_VALUE"""),"บิ๊กซี MINI")</f>
        <v>บิ๊กซี MINI</v>
      </c>
      <c r="F1689" s="1" t="str">
        <f>IFERROR(__xludf.DUMMYFUNCTION("""COMPUTED_VALUE"""),"291105")</f>
        <v>291105</v>
      </c>
      <c r="G1689" s="1" t="str">
        <f>IFERROR(__xludf.DUMMYFUNCTION("""COMPUTED_VALUE"""),"นายสราวุฒิ พณิชยกุล")</f>
        <v>นายสราวุฒิ พณิชยกุล</v>
      </c>
      <c r="H1689" s="1" t="str">
        <f>IFERROR(__xludf.DUMMYFUNCTION("""COMPUTED_VALUE"""),"305119")</f>
        <v>305119</v>
      </c>
      <c r="I1689" s="1" t="str">
        <f>IFERROR(__xludf.DUMMYFUNCTION("""COMPUTED_VALUE"""),"นายไชยกร ลีพิบูลย์สวัสดิ์")</f>
        <v>นายไชยกร ลีพิบูลย์สวัสดิ์</v>
      </c>
      <c r="J1689" s="3">
        <f>IFERROR(__xludf.DUMMYFUNCTION("""COMPUTED_VALUE"""),296868.0)</f>
        <v>296868</v>
      </c>
      <c r="K1689" s="3" t="str">
        <f>IFERROR(__xludf.DUMMYFUNCTION("""COMPUTED_VALUE"""),"นายพีระพงษ์ แก้วดวงดี")</f>
        <v>นายพีระพงษ์ แก้วดวงดี</v>
      </c>
      <c r="L1689" s="1" t="str">
        <f>IFERROR(__xludf.DUMMYFUNCTION("""COMPUTED_VALUE"""),"03 K.Peerapong K.")</f>
        <v>03 K.Peerapong K.</v>
      </c>
      <c r="M1689" s="1" t="str">
        <f>IFERROR(__xludf.DUMMYFUNCTION("""COMPUTED_VALUE"""),"089-002-6599")</f>
        <v>089-002-6599</v>
      </c>
      <c r="N1689" s="3">
        <f>IFERROR(__xludf.DUMMYFUNCTION("""COMPUTED_VALUE"""),21946.0)</f>
        <v>21946</v>
      </c>
      <c r="O1689" s="3" t="str">
        <f>IFERROR(__xludf.DUMMYFUNCTION("""COMPUTED_VALUE"""),"MBC เซกา บึงกาฬ")</f>
        <v>MBC เซกา บึงกาฬ</v>
      </c>
      <c r="P1689" s="4">
        <f>IFERROR(__xludf.DUMMYFUNCTION("""COMPUTED_VALUE"""),44700.0)</f>
        <v>44700</v>
      </c>
      <c r="Q1689" s="3" t="str">
        <f>IFERROR(__xludf.DUMMYFUNCTION("""COMPUTED_VALUE"""),"A")</f>
        <v>A</v>
      </c>
      <c r="R1689" s="3" t="str">
        <f>IFERROR(__xludf.DUMMYFUNCTION("""COMPUTED_VALUE"""),"Small Format")</f>
        <v>Small Format</v>
      </c>
      <c r="S1689" s="3" t="str">
        <f>IFERROR(__xludf.DUMMYFUNCTION("""COMPUTED_VALUE"""),"BCM")</f>
        <v>BCM</v>
      </c>
      <c r="T1689" s="3" t="str">
        <f>IFERROR(__xludf.DUMMYFUNCTION("""COMPUTED_VALUE"""),"#N/A")</f>
        <v>#N/A</v>
      </c>
      <c r="U1689" s="3" t="str">
        <f>IFERROR(__xludf.DUMMYFUNCTION("""COMPUTED_VALUE"""),"#N/A")</f>
        <v>#N/A</v>
      </c>
      <c r="V1689" s="3" t="str">
        <f>IFERROR(__xludf.DUMMYFUNCTION("""COMPUTED_VALUE"""),"N")</f>
        <v>N</v>
      </c>
      <c r="W1689" s="3">
        <f>IFERROR(__xludf.DUMMYFUNCTION("""COMPUTED_VALUE"""),210429.0)</f>
        <v>210429</v>
      </c>
      <c r="X1689" s="3" t="str">
        <f>IFERROR(__xludf.DUMMYFUNCTION("""COMPUTED_VALUE"""),"61/1 หมู่ที่12 ตำบลนาด้วง อำเภอนาด้วง จังหวัดเลย 42210")</f>
        <v>61/1 หมู่ที่12 ตำบลนาด้วง อำเภอนาด้วง จังหวัดเลย 42210</v>
      </c>
      <c r="Y1689" s="3"/>
      <c r="Z1689" s="3" t="str">
        <f>IFERROR(__xludf.DUMMYFUNCTION("""COMPUTED_VALUE"""),"นาด้วง")</f>
        <v>นาด้วง</v>
      </c>
      <c r="AA1689" s="3" t="str">
        <f>IFERROR(__xludf.DUMMYFUNCTION("""COMPUTED_VALUE"""),"นาด้วง")</f>
        <v>นาด้วง</v>
      </c>
      <c r="AB1689" s="3" t="str">
        <f>IFERROR(__xludf.DUMMYFUNCTION("""COMPUTED_VALUE"""),"เลย")</f>
        <v>เลย</v>
      </c>
      <c r="AC1689" s="3">
        <f>IFERROR(__xludf.DUMMYFUNCTION("""COMPUTED_VALUE"""),42210.0)</f>
        <v>42210</v>
      </c>
      <c r="AD1689" s="3">
        <f>IFERROR(__xludf.DUMMYFUNCTION("""COMPUTED_VALUE"""),17.47879544)</f>
        <v>17.47879544</v>
      </c>
      <c r="AE1689" s="3">
        <f>IFERROR(__xludf.DUMMYFUNCTION("""COMPUTED_VALUE"""),101.983136)</f>
        <v>101.983136</v>
      </c>
      <c r="AF1689" s="3" t="str">
        <f>IFERROR(__xludf.DUMMYFUNCTION("""COMPUTED_VALUE"""),"MBC นาด้วง เลย-22375")</f>
        <v>MBC นาด้วง เลย-22375</v>
      </c>
      <c r="AG1689" s="3" t="str">
        <f>IFERROR(__xludf.DUMMYFUNCTION("""COMPUTED_VALUE"""),"ตะวันออกเฉียงเหนือ")</f>
        <v>ตะวันออกเฉียงเหนือ</v>
      </c>
      <c r="AH1689" s="3" t="str">
        <f>IFERROR(__xludf.DUMMYFUNCTION("""COMPUTED_VALUE"""),"#N/A")</f>
        <v>#N/A</v>
      </c>
      <c r="AI1689" s="3" t="str">
        <f>IFERROR(__xludf.DUMMYFUNCTION("""COMPUTED_VALUE"""),"Out of warranty")</f>
        <v>Out of warranty</v>
      </c>
      <c r="AJ1689" s="3">
        <f>IFERROR(__xludf.DUMMYFUNCTION("""COMPUTED_VALUE"""),45.0)</f>
        <v>45</v>
      </c>
      <c r="AK1689" s="3" t="str">
        <f>IFERROR(__xludf.DUMMYFUNCTION("""COMPUTED_VALUE"""),"MMS12")</f>
        <v>MMS12</v>
      </c>
      <c r="AL1689" s="3"/>
    </row>
    <row r="1690" ht="15.75" customHeight="1">
      <c r="A1690" s="1" t="str">
        <f>IFERROR(__xludf.DUMMYFUNCTION("""COMPUTED_VALUE"""),"22376")</f>
        <v>22376</v>
      </c>
      <c r="B1690" s="2">
        <f>IFERROR(__xludf.DUMMYFUNCTION("""COMPUTED_VALUE"""),22376.0)</f>
        <v>22376</v>
      </c>
      <c r="C1690" s="3" t="str">
        <f>IFERROR(__xludf.DUMMYFUNCTION("""COMPUTED_VALUE"""),"MBC ถนนสาย 15 ยะลา")</f>
        <v>MBC ถนนสาย 15 ยะลา</v>
      </c>
      <c r="D1690" s="3" t="str">
        <f>IFERROR(__xludf.DUMMYFUNCTION("""COMPUTED_VALUE"""),"BCM THANON SAI 15")</f>
        <v>BCM THANON SAI 15</v>
      </c>
      <c r="E1690" s="1" t="str">
        <f>IFERROR(__xludf.DUMMYFUNCTION("""COMPUTED_VALUE"""),"บิ๊กซี MINI")</f>
        <v>บิ๊กซี MINI</v>
      </c>
      <c r="F1690" s="1" t="str">
        <f>IFERROR(__xludf.DUMMYFUNCTION("""COMPUTED_VALUE"""),"250760")</f>
        <v>250760</v>
      </c>
      <c r="G1690" s="1" t="str">
        <f>IFERROR(__xludf.DUMMYFUNCTION("""COMPUTED_VALUE"""),"นายประทวน สาราบรรณ์")</f>
        <v>นายประทวน สาราบรรณ์</v>
      </c>
      <c r="H1690" s="1" t="str">
        <f>IFERROR(__xludf.DUMMYFUNCTION("""COMPUTED_VALUE"""),"485279")</f>
        <v>485279</v>
      </c>
      <c r="I1690" s="1" t="str">
        <f>IFERROR(__xludf.DUMMYFUNCTION("""COMPUTED_VALUE"""),"นายสิริพงศ์ ชูชื่น")</f>
        <v>นายสิริพงศ์ ชูชื่น</v>
      </c>
      <c r="J1690" s="3">
        <f>IFERROR(__xludf.DUMMYFUNCTION("""COMPUTED_VALUE"""),2.0470331E7)</f>
        <v>20470331</v>
      </c>
      <c r="K1690" s="3" t="str">
        <f>IFERROR(__xludf.DUMMYFUNCTION("""COMPUTED_VALUE"""),"นายสมชาย ลักษณะสุวรรณ")</f>
        <v>นายสมชาย ลักษณะสุวรรณ</v>
      </c>
      <c r="L1690" s="1" t="str">
        <f>IFERROR(__xludf.DUMMYFUNCTION("""COMPUTED_VALUE"""),"15 K.Somchai L")</f>
        <v>15 K.Somchai L</v>
      </c>
      <c r="M1690" s="1" t="str">
        <f>IFERROR(__xludf.DUMMYFUNCTION("""COMPUTED_VALUE"""),"0655107372")</f>
        <v>0655107372</v>
      </c>
      <c r="N1690" s="3">
        <f>IFERROR(__xludf.DUMMYFUNCTION("""COMPUTED_VALUE"""),21723.0)</f>
        <v>21723</v>
      </c>
      <c r="O1690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690" s="4">
        <f>IFERROR(__xludf.DUMMYFUNCTION("""COMPUTED_VALUE"""),44464.0)</f>
        <v>44464</v>
      </c>
      <c r="Q1690" s="3" t="str">
        <f>IFERROR(__xludf.DUMMYFUNCTION("""COMPUTED_VALUE"""),"A")</f>
        <v>A</v>
      </c>
      <c r="R1690" s="3" t="str">
        <f>IFERROR(__xludf.DUMMYFUNCTION("""COMPUTED_VALUE"""),"Small Format")</f>
        <v>Small Format</v>
      </c>
      <c r="S1690" s="3" t="str">
        <f>IFERROR(__xludf.DUMMYFUNCTION("""COMPUTED_VALUE"""),"BCM")</f>
        <v>BCM</v>
      </c>
      <c r="T1690" s="3" t="str">
        <f>IFERROR(__xludf.DUMMYFUNCTION("""COMPUTED_VALUE"""),"#N/A")</f>
        <v>#N/A</v>
      </c>
      <c r="U1690" s="3" t="str">
        <f>IFERROR(__xludf.DUMMYFUNCTION("""COMPUTED_VALUE"""),"#N/A")</f>
        <v>#N/A</v>
      </c>
      <c r="V1690" s="3" t="str">
        <f>IFERROR(__xludf.DUMMYFUNCTION("""COMPUTED_VALUE"""),"N")</f>
        <v>N</v>
      </c>
      <c r="W1690" s="3">
        <f>IFERROR(__xludf.DUMMYFUNCTION("""COMPUTED_VALUE"""),210437.0)</f>
        <v>210437</v>
      </c>
      <c r="X1690" s="3" t="str">
        <f>IFERROR(__xludf.DUMMYFUNCTION("""COMPUTED_VALUE"""),"122/19 ถนนสาย 15 ตำบลสะเตง อำเภอเมืองยะลา จังหวัดยะลา 95000")</f>
        <v>122/19 ถนนสาย 15 ตำบลสะเตง อำเภอเมืองยะลา จังหวัดยะลา 95000</v>
      </c>
      <c r="Y1690" s="3" t="str">
        <f>IFERROR(__xludf.DUMMYFUNCTION("""COMPUTED_VALUE"""),"สาย15")</f>
        <v>สาย15</v>
      </c>
      <c r="Z1690" s="3" t="str">
        <f>IFERROR(__xludf.DUMMYFUNCTION("""COMPUTED_VALUE"""),"สะเตง")</f>
        <v>สะเตง</v>
      </c>
      <c r="AA1690" s="3" t="str">
        <f>IFERROR(__xludf.DUMMYFUNCTION("""COMPUTED_VALUE"""),"เมือง")</f>
        <v>เมือง</v>
      </c>
      <c r="AB1690" s="3" t="str">
        <f>IFERROR(__xludf.DUMMYFUNCTION("""COMPUTED_VALUE"""),"ยะลา")</f>
        <v>ยะลา</v>
      </c>
      <c r="AC1690" s="3">
        <f>IFERROR(__xludf.DUMMYFUNCTION("""COMPUTED_VALUE"""),95000.0)</f>
        <v>95000</v>
      </c>
      <c r="AD1690" s="3">
        <f>IFERROR(__xludf.DUMMYFUNCTION("""COMPUTED_VALUE"""),6.522597)</f>
        <v>6.522597</v>
      </c>
      <c r="AE1690" s="3">
        <f>IFERROR(__xludf.DUMMYFUNCTION("""COMPUTED_VALUE"""),101.266059)</f>
        <v>101.266059</v>
      </c>
      <c r="AF1690" s="3" t="str">
        <f>IFERROR(__xludf.DUMMYFUNCTION("""COMPUTED_VALUE"""),"MBC ถนนสาย 15 ยะลา-22376")</f>
        <v>MBC ถนนสาย 15 ยะลา-22376</v>
      </c>
      <c r="AG1690" s="3" t="str">
        <f>IFERROR(__xludf.DUMMYFUNCTION("""COMPUTED_VALUE"""),"ใต้")</f>
        <v>ใต้</v>
      </c>
      <c r="AH1690" s="3" t="str">
        <f>IFERROR(__xludf.DUMMYFUNCTION("""COMPUTED_VALUE"""),"#N/A")</f>
        <v>#N/A</v>
      </c>
      <c r="AI1690" s="3" t="str">
        <f>IFERROR(__xludf.DUMMYFUNCTION("""COMPUTED_VALUE"""),"Out of warranty")</f>
        <v>Out of warranty</v>
      </c>
      <c r="AJ1690" s="3">
        <f>IFERROR(__xludf.DUMMYFUNCTION("""COMPUTED_VALUE"""),52.0)</f>
        <v>52</v>
      </c>
      <c r="AK1690" s="3" t="str">
        <f>IFERROR(__xludf.DUMMYFUNCTION("""COMPUTED_VALUE"""),"MMS16")</f>
        <v>MMS16</v>
      </c>
      <c r="AL1690" s="3"/>
    </row>
    <row r="1691" ht="15.75" customHeight="1">
      <c r="A1691" s="1" t="str">
        <f>IFERROR(__xludf.DUMMYFUNCTION("""COMPUTED_VALUE"""),"22377")</f>
        <v>22377</v>
      </c>
      <c r="B1691" s="2">
        <f>IFERROR(__xludf.DUMMYFUNCTION("""COMPUTED_VALUE"""),22377.0)</f>
        <v>22377</v>
      </c>
      <c r="C1691" s="3" t="str">
        <f>IFERROR(__xludf.DUMMYFUNCTION("""COMPUTED_VALUE"""),"MBC ภูเรือ เลย")</f>
        <v>MBC ภูเรือ เลย</v>
      </c>
      <c r="D1691" s="3" t="str">
        <f>IFERROR(__xludf.DUMMYFUNCTION("""COMPUTED_VALUE"""),"BCM PHU RUEA LOEI")</f>
        <v>BCM PHU RUEA LOEI</v>
      </c>
      <c r="E1691" s="1" t="str">
        <f>IFERROR(__xludf.DUMMYFUNCTION("""COMPUTED_VALUE"""),"บิ๊กซี MINI")</f>
        <v>บิ๊กซี MINI</v>
      </c>
      <c r="F1691" s="1" t="str">
        <f>IFERROR(__xludf.DUMMYFUNCTION("""COMPUTED_VALUE"""),"291105")</f>
        <v>291105</v>
      </c>
      <c r="G1691" s="1" t="str">
        <f>IFERROR(__xludf.DUMMYFUNCTION("""COMPUTED_VALUE"""),"นายสราวุฒิ พณิชยกุล")</f>
        <v>นายสราวุฒิ พณิชยกุล</v>
      </c>
      <c r="H1691" s="1" t="str">
        <f>IFERROR(__xludf.DUMMYFUNCTION("""COMPUTED_VALUE"""),"305119")</f>
        <v>305119</v>
      </c>
      <c r="I1691" s="1" t="str">
        <f>IFERROR(__xludf.DUMMYFUNCTION("""COMPUTED_VALUE"""),"นายไชยกร ลีพิบูลย์สวัสดิ์")</f>
        <v>นายไชยกร ลีพิบูลย์สวัสดิ์</v>
      </c>
      <c r="J1691" s="3">
        <f>IFERROR(__xludf.DUMMYFUNCTION("""COMPUTED_VALUE"""),296868.0)</f>
        <v>296868</v>
      </c>
      <c r="K1691" s="3" t="str">
        <f>IFERROR(__xludf.DUMMYFUNCTION("""COMPUTED_VALUE"""),"นายพีระพงษ์ แก้วดวงดี")</f>
        <v>นายพีระพงษ์ แก้วดวงดี</v>
      </c>
      <c r="L1691" s="1" t="str">
        <f>IFERROR(__xludf.DUMMYFUNCTION("""COMPUTED_VALUE"""),"03 K.Peerapong K.")</f>
        <v>03 K.Peerapong K.</v>
      </c>
      <c r="M1691" s="1" t="str">
        <f>IFERROR(__xludf.DUMMYFUNCTION("""COMPUTED_VALUE"""),"089-002-6599")</f>
        <v>089-002-6599</v>
      </c>
      <c r="N1691" s="3">
        <f>IFERROR(__xludf.DUMMYFUNCTION("""COMPUTED_VALUE"""),21946.0)</f>
        <v>21946</v>
      </c>
      <c r="O1691" s="3" t="str">
        <f>IFERROR(__xludf.DUMMYFUNCTION("""COMPUTED_VALUE"""),"MBC เซกา บึงกาฬ")</f>
        <v>MBC เซกา บึงกาฬ</v>
      </c>
      <c r="P1691" s="4">
        <f>IFERROR(__xludf.DUMMYFUNCTION("""COMPUTED_VALUE"""),44470.0)</f>
        <v>44470</v>
      </c>
      <c r="Q1691" s="3" t="str">
        <f>IFERROR(__xludf.DUMMYFUNCTION("""COMPUTED_VALUE"""),"A")</f>
        <v>A</v>
      </c>
      <c r="R1691" s="3" t="str">
        <f>IFERROR(__xludf.DUMMYFUNCTION("""COMPUTED_VALUE"""),"Small Format")</f>
        <v>Small Format</v>
      </c>
      <c r="S1691" s="3" t="str">
        <f>IFERROR(__xludf.DUMMYFUNCTION("""COMPUTED_VALUE"""),"BCM")</f>
        <v>BCM</v>
      </c>
      <c r="T1691" s="3" t="str">
        <f>IFERROR(__xludf.DUMMYFUNCTION("""COMPUTED_VALUE"""),"#N/A")</f>
        <v>#N/A</v>
      </c>
      <c r="U1691" s="3" t="str">
        <f>IFERROR(__xludf.DUMMYFUNCTION("""COMPUTED_VALUE"""),"#N/A")</f>
        <v>#N/A</v>
      </c>
      <c r="V1691" s="3" t="str">
        <f>IFERROR(__xludf.DUMMYFUNCTION("""COMPUTED_VALUE"""),"N")</f>
        <v>N</v>
      </c>
      <c r="W1691" s="3">
        <f>IFERROR(__xludf.DUMMYFUNCTION("""COMPUTED_VALUE"""),210430.0)</f>
        <v>210430</v>
      </c>
      <c r="X1691" s="3" t="str">
        <f>IFERROR(__xludf.DUMMYFUNCTION("""COMPUTED_VALUE"""),"531/5-7 หมู่7 ตำบลหนองบัว อำเภอภูเรือ จังหวัดเลย 42160")</f>
        <v>531/5-7 หมู่7 ตำบลหนองบัว อำเภอภูเรือ จังหวัดเลย 42160</v>
      </c>
      <c r="Y1691" s="3"/>
      <c r="Z1691" s="3" t="str">
        <f>IFERROR(__xludf.DUMMYFUNCTION("""COMPUTED_VALUE"""),"หนองบัว")</f>
        <v>หนองบัว</v>
      </c>
      <c r="AA1691" s="3" t="str">
        <f>IFERROR(__xludf.DUMMYFUNCTION("""COMPUTED_VALUE"""),"ภูเรีอ")</f>
        <v>ภูเรีอ</v>
      </c>
      <c r="AB1691" s="3" t="str">
        <f>IFERROR(__xludf.DUMMYFUNCTION("""COMPUTED_VALUE"""),"เลย")</f>
        <v>เลย</v>
      </c>
      <c r="AC1691" s="3">
        <f>IFERROR(__xludf.DUMMYFUNCTION("""COMPUTED_VALUE"""),42160.0)</f>
        <v>42160</v>
      </c>
      <c r="AD1691" s="3">
        <f>IFERROR(__xludf.DUMMYFUNCTION("""COMPUTED_VALUE"""),17.45299303)</f>
        <v>17.45299303</v>
      </c>
      <c r="AE1691" s="3">
        <f>IFERROR(__xludf.DUMMYFUNCTION("""COMPUTED_VALUE"""),101.3615595)</f>
        <v>101.3615595</v>
      </c>
      <c r="AF1691" s="3" t="str">
        <f>IFERROR(__xludf.DUMMYFUNCTION("""COMPUTED_VALUE"""),"MBC ภูเรือ เลย-22377")</f>
        <v>MBC ภูเรือ เลย-22377</v>
      </c>
      <c r="AG1691" s="3" t="str">
        <f>IFERROR(__xludf.DUMMYFUNCTION("""COMPUTED_VALUE"""),"ตะวันออกเฉียงเหนือ")</f>
        <v>ตะวันออกเฉียงเหนือ</v>
      </c>
      <c r="AH1691" s="3" t="str">
        <f>IFERROR(__xludf.DUMMYFUNCTION("""COMPUTED_VALUE"""),"#N/A")</f>
        <v>#N/A</v>
      </c>
      <c r="AI1691" s="3" t="str">
        <f>IFERROR(__xludf.DUMMYFUNCTION("""COMPUTED_VALUE"""),"Out of warranty")</f>
        <v>Out of warranty</v>
      </c>
      <c r="AJ1691" s="3">
        <f>IFERROR(__xludf.DUMMYFUNCTION("""COMPUTED_VALUE"""),52.0)</f>
        <v>52</v>
      </c>
      <c r="AK1691" s="3" t="str">
        <f>IFERROR(__xludf.DUMMYFUNCTION("""COMPUTED_VALUE"""),"MMS12")</f>
        <v>MMS12</v>
      </c>
      <c r="AL1691" s="3"/>
    </row>
    <row r="1692" ht="15.75" customHeight="1">
      <c r="A1692" s="1" t="str">
        <f>IFERROR(__xludf.DUMMYFUNCTION("""COMPUTED_VALUE"""),"22378")</f>
        <v>22378</v>
      </c>
      <c r="B1692" s="2">
        <f>IFERROR(__xludf.DUMMYFUNCTION("""COMPUTED_VALUE"""),22378.0)</f>
        <v>22378</v>
      </c>
      <c r="C1692" s="3" t="str">
        <f>IFERROR(__xludf.DUMMYFUNCTION("""COMPUTED_VALUE"""),"MBC เนินกระบก ชลบุรี")</f>
        <v>MBC เนินกระบก ชลบุรี</v>
      </c>
      <c r="D1692" s="3" t="str">
        <f>IFERROR(__xludf.DUMMYFUNCTION("""COMPUTED_VALUE"""),"BCM NOENKRABOK")</f>
        <v>BCM NOENKRABOK</v>
      </c>
      <c r="E1692" s="1" t="str">
        <f>IFERROR(__xludf.DUMMYFUNCTION("""COMPUTED_VALUE"""),"บิ๊กซี MINI")</f>
        <v>บิ๊กซี MINI</v>
      </c>
      <c r="F1692" s="1" t="str">
        <f>IFERROR(__xludf.DUMMYFUNCTION("""COMPUTED_VALUE"""),"221716")</f>
        <v>221716</v>
      </c>
      <c r="G1692" s="1" t="str">
        <f>IFERROR(__xludf.DUMMYFUNCTION("""COMPUTED_VALUE"""),"น.ส.เบญจพร โพธิสาร")</f>
        <v>น.ส.เบญจพร โพธิสาร</v>
      </c>
      <c r="H1692" s="1" t="str">
        <f>IFERROR(__xludf.DUMMYFUNCTION("""COMPUTED_VALUE"""),"376139")</f>
        <v>376139</v>
      </c>
      <c r="I1692" s="1" t="str">
        <f>IFERROR(__xludf.DUMMYFUNCTION("""COMPUTED_VALUE"""),"นายอนุชา อำไพ")</f>
        <v>นายอนุชา อำไพ</v>
      </c>
      <c r="J1692" s="3">
        <f>IFERROR(__xludf.DUMMYFUNCTION("""COMPUTED_VALUE"""),296942.0)</f>
        <v>296942</v>
      </c>
      <c r="K1692" s="3" t="str">
        <f>IFERROR(__xludf.DUMMYFUNCTION("""COMPUTED_VALUE"""),"นายปิยะ รักษากิจ")</f>
        <v>นายปิยะ รักษากิจ</v>
      </c>
      <c r="L1692" s="1" t="str">
        <f>IFERROR(__xludf.DUMMYFUNCTION("""COMPUTED_VALUE"""),"07 K.Piya R.")</f>
        <v>07 K.Piya R.</v>
      </c>
      <c r="M1692" s="1" t="str">
        <f>IFERROR(__xludf.DUMMYFUNCTION("""COMPUTED_VALUE"""),"097-919-5476")</f>
        <v>097-919-5476</v>
      </c>
      <c r="N1692" s="3">
        <f>IFERROR(__xludf.DUMMYFUNCTION("""COMPUTED_VALUE"""),21332.0)</f>
        <v>21332</v>
      </c>
      <c r="O1692" s="3" t="str">
        <f>IFERROR(__xludf.DUMMYFUNCTION("""COMPUTED_VALUE"""),"MBC BCP อ่อนนุช 17/1")</f>
        <v>MBC BCP อ่อนนุช 17/1</v>
      </c>
      <c r="P1692" s="4">
        <f>IFERROR(__xludf.DUMMYFUNCTION("""COMPUTED_VALUE"""),44470.0)</f>
        <v>44470</v>
      </c>
      <c r="Q1692" s="3" t="str">
        <f>IFERROR(__xludf.DUMMYFUNCTION("""COMPUTED_VALUE"""),"A")</f>
        <v>A</v>
      </c>
      <c r="R1692" s="3" t="str">
        <f>IFERROR(__xludf.DUMMYFUNCTION("""COMPUTED_VALUE"""),"Small Format")</f>
        <v>Small Format</v>
      </c>
      <c r="S1692" s="3" t="str">
        <f>IFERROR(__xludf.DUMMYFUNCTION("""COMPUTED_VALUE"""),"BCM")</f>
        <v>BCM</v>
      </c>
      <c r="T1692" s="3" t="str">
        <f>IFERROR(__xludf.DUMMYFUNCTION("""COMPUTED_VALUE"""),"#N/A")</f>
        <v>#N/A</v>
      </c>
      <c r="U1692" s="3" t="str">
        <f>IFERROR(__xludf.DUMMYFUNCTION("""COMPUTED_VALUE"""),"#N/A")</f>
        <v>#N/A</v>
      </c>
      <c r="V1692" s="3" t="str">
        <f>IFERROR(__xludf.DUMMYFUNCTION("""COMPUTED_VALUE"""),"N")</f>
        <v>N</v>
      </c>
      <c r="W1692" s="3">
        <f>IFERROR(__xludf.DUMMYFUNCTION("""COMPUTED_VALUE"""),210438.0)</f>
        <v>210438</v>
      </c>
      <c r="X1692" s="3" t="str">
        <f>IFERROR(__xludf.DUMMYFUNCTION("""COMPUTED_VALUE"""),"188/89 หมู่5 ตำบลบ่อวิน อำเภอศรีราชา จังหวัดชลบุรี 20230")</f>
        <v>188/89 หมู่5 ตำบลบ่อวิน อำเภอศรีราชา จังหวัดชลบุรี 20230</v>
      </c>
      <c r="Y1692" s="3"/>
      <c r="Z1692" s="3" t="str">
        <f>IFERROR(__xludf.DUMMYFUNCTION("""COMPUTED_VALUE"""),"บ่อวิน")</f>
        <v>บ่อวิน</v>
      </c>
      <c r="AA1692" s="3" t="str">
        <f>IFERROR(__xludf.DUMMYFUNCTION("""COMPUTED_VALUE"""),"ศรีราชา")</f>
        <v>ศรีราชา</v>
      </c>
      <c r="AB1692" s="3" t="str">
        <f>IFERROR(__xludf.DUMMYFUNCTION("""COMPUTED_VALUE"""),"ชลบุรี")</f>
        <v>ชลบุรี</v>
      </c>
      <c r="AC1692" s="3">
        <f>IFERROR(__xludf.DUMMYFUNCTION("""COMPUTED_VALUE"""),20230.0)</f>
        <v>20230</v>
      </c>
      <c r="AD1692" s="3">
        <f>IFERROR(__xludf.DUMMYFUNCTION("""COMPUTED_VALUE"""),13.066923)</f>
        <v>13.066923</v>
      </c>
      <c r="AE1692" s="3">
        <f>IFERROR(__xludf.DUMMYFUNCTION("""COMPUTED_VALUE"""),101.032704)</f>
        <v>101.032704</v>
      </c>
      <c r="AF1692" s="3" t="str">
        <f>IFERROR(__xludf.DUMMYFUNCTION("""COMPUTED_VALUE"""),"MBC เนินกระบก ชลบุรี-22378")</f>
        <v>MBC เนินกระบก ชลบุรี-22378</v>
      </c>
      <c r="AG1692" s="3" t="str">
        <f>IFERROR(__xludf.DUMMYFUNCTION("""COMPUTED_VALUE"""),"ตะวันออก")</f>
        <v>ตะวันออก</v>
      </c>
      <c r="AH1692" s="3" t="str">
        <f>IFERROR(__xludf.DUMMYFUNCTION("""COMPUTED_VALUE"""),"#N/A")</f>
        <v>#N/A</v>
      </c>
      <c r="AI1692" s="3" t="str">
        <f>IFERROR(__xludf.DUMMYFUNCTION("""COMPUTED_VALUE"""),"Out of warranty")</f>
        <v>Out of warranty</v>
      </c>
      <c r="AJ1692" s="3">
        <f>IFERROR(__xludf.DUMMYFUNCTION("""COMPUTED_VALUE"""),52.0)</f>
        <v>52</v>
      </c>
      <c r="AK1692" s="3" t="str">
        <f>IFERROR(__xludf.DUMMYFUNCTION("""COMPUTED_VALUE"""),"MMS07")</f>
        <v>MMS07</v>
      </c>
      <c r="AL1692" s="3"/>
    </row>
    <row r="1693" ht="15.75" customHeight="1">
      <c r="A1693" s="1" t="str">
        <f>IFERROR(__xludf.DUMMYFUNCTION("""COMPUTED_VALUE"""),"22379")</f>
        <v>22379</v>
      </c>
      <c r="B1693" s="2">
        <f>IFERROR(__xludf.DUMMYFUNCTION("""COMPUTED_VALUE"""),22379.0)</f>
        <v>22379</v>
      </c>
      <c r="C1693" s="3" t="str">
        <f>IFERROR(__xludf.DUMMYFUNCTION("""COMPUTED_VALUE"""),"MBC ประชาร่วมใจ 17 กรุงเทพฯ")</f>
        <v>MBC ประชาร่วมใจ 17 กรุงเทพฯ</v>
      </c>
      <c r="D1693" s="3" t="str">
        <f>IFERROR(__xludf.DUMMYFUNCTION("""COMPUTED_VALUE"""),"BCM PRACHA RUAM CHAI 17")</f>
        <v>BCM PRACHA RUAM CHAI 17</v>
      </c>
      <c r="E1693" s="1" t="str">
        <f>IFERROR(__xludf.DUMMYFUNCTION("""COMPUTED_VALUE"""),"บิ๊กซี MINI")</f>
        <v>บิ๊กซี MINI</v>
      </c>
      <c r="F1693" s="1" t="str">
        <f>IFERROR(__xludf.DUMMYFUNCTION("""COMPUTED_VALUE"""),"291008")</f>
        <v>291008</v>
      </c>
      <c r="G1693" s="1" t="str">
        <f>IFERROR(__xludf.DUMMYFUNCTION("""COMPUTED_VALUE"""),"น.ส.รัชดาพร อีศรัตน์")</f>
        <v>น.ส.รัชดาพร อีศรัตน์</v>
      </c>
      <c r="H1693" s="1" t="str">
        <f>IFERROR(__xludf.DUMMYFUNCTION("""COMPUTED_VALUE"""),"228242")</f>
        <v>228242</v>
      </c>
      <c r="I1693" s="1" t="str">
        <f>IFERROR(__xludf.DUMMYFUNCTION("""COMPUTED_VALUE"""),"นายสมชาย เยมรัมย์")</f>
        <v>นายสมชาย เยมรัมย์</v>
      </c>
      <c r="J1693" s="3">
        <f>IFERROR(__xludf.DUMMYFUNCTION("""COMPUTED_VALUE"""),3510104.0)</f>
        <v>3510104</v>
      </c>
      <c r="K1693" s="3" t="str">
        <f>IFERROR(__xludf.DUMMYFUNCTION("""COMPUTED_VALUE"""),"นายวิโรจน์ อับดุลสมัด")</f>
        <v>นายวิโรจน์ อับดุลสมัด</v>
      </c>
      <c r="L1693" s="1" t="str">
        <f>IFERROR(__xludf.DUMMYFUNCTION("""COMPUTED_VALUE"""),"09 K.Wirode A")</f>
        <v>09 K.Wirode A</v>
      </c>
      <c r="M1693" s="1" t="str">
        <f>IFERROR(__xludf.DUMMYFUNCTION("""COMPUTED_VALUE"""),"080-235-4465")</f>
        <v>080-235-4465</v>
      </c>
      <c r="N1693" s="3">
        <f>IFERROR(__xludf.DUMMYFUNCTION("""COMPUTED_VALUE"""),21324.0)</f>
        <v>21324</v>
      </c>
      <c r="O1693" s="3" t="str">
        <f>IFERROR(__xludf.DUMMYFUNCTION("""COMPUTED_VALUE"""),"MBC BCP สุวินทวงศ์")</f>
        <v>MBC BCP สุวินทวงศ์</v>
      </c>
      <c r="P1693" s="4">
        <f>IFERROR(__xludf.DUMMYFUNCTION("""COMPUTED_VALUE"""),44464.0)</f>
        <v>44464</v>
      </c>
      <c r="Q1693" s="3" t="str">
        <f>IFERROR(__xludf.DUMMYFUNCTION("""COMPUTED_VALUE"""),"A")</f>
        <v>A</v>
      </c>
      <c r="R1693" s="3" t="str">
        <f>IFERROR(__xludf.DUMMYFUNCTION("""COMPUTED_VALUE"""),"Small Format")</f>
        <v>Small Format</v>
      </c>
      <c r="S1693" s="3" t="str">
        <f>IFERROR(__xludf.DUMMYFUNCTION("""COMPUTED_VALUE"""),"BCM")</f>
        <v>BCM</v>
      </c>
      <c r="T1693" s="3" t="str">
        <f>IFERROR(__xludf.DUMMYFUNCTION("""COMPUTED_VALUE"""),"#N/A")</f>
        <v>#N/A</v>
      </c>
      <c r="U1693" s="3" t="str">
        <f>IFERROR(__xludf.DUMMYFUNCTION("""COMPUTED_VALUE"""),"#N/A")</f>
        <v>#N/A</v>
      </c>
      <c r="V1693" s="3" t="str">
        <f>IFERROR(__xludf.DUMMYFUNCTION("""COMPUTED_VALUE"""),"N")</f>
        <v>N</v>
      </c>
      <c r="W1693" s="3">
        <f>IFERROR(__xludf.DUMMYFUNCTION("""COMPUTED_VALUE"""),210413.0)</f>
        <v>210413</v>
      </c>
      <c r="X1693" s="3" t="str">
        <f>IFERROR(__xludf.DUMMYFUNCTION("""COMPUTED_VALUE"""),"171 ถนนประชาร่วมใจ แขวงทรายกองดินใต้ เขตคลองสามวา จังหวัดกรุงเทพมหานคร 10510")</f>
        <v>171 ถนนประชาร่วมใจ แขวงทรายกองดินใต้ เขตคลองสามวา จังหวัดกรุงเทพมหานคร 10510</v>
      </c>
      <c r="Y1693" s="3" t="str">
        <f>IFERROR(__xludf.DUMMYFUNCTION("""COMPUTED_VALUE"""),"ประชาร่วมใจ")</f>
        <v>ประชาร่วมใจ</v>
      </c>
      <c r="Z1693" s="3" t="str">
        <f>IFERROR(__xludf.DUMMYFUNCTION("""COMPUTED_VALUE"""),"ทรายกองดินใต้")</f>
        <v>ทรายกองดินใต้</v>
      </c>
      <c r="AA1693" s="3" t="str">
        <f>IFERROR(__xludf.DUMMYFUNCTION("""COMPUTED_VALUE"""),"คลองสามวา")</f>
        <v>คลองสามวา</v>
      </c>
      <c r="AB1693" s="3" t="str">
        <f>IFERROR(__xludf.DUMMYFUNCTION("""COMPUTED_VALUE"""),"กรุงเทพมหานคร")</f>
        <v>กรุงเทพมหานคร</v>
      </c>
      <c r="AC1693" s="3">
        <f>IFERROR(__xludf.DUMMYFUNCTION("""COMPUTED_VALUE"""),10510.0)</f>
        <v>10510</v>
      </c>
      <c r="AD1693" s="3">
        <f>IFERROR(__xludf.DUMMYFUNCTION("""COMPUTED_VALUE"""),13.829191)</f>
        <v>13.829191</v>
      </c>
      <c r="AE1693" s="3">
        <f>IFERROR(__xludf.DUMMYFUNCTION("""COMPUTED_VALUE"""),100.757996)</f>
        <v>100.757996</v>
      </c>
      <c r="AF1693" s="3" t="str">
        <f>IFERROR(__xludf.DUMMYFUNCTION("""COMPUTED_VALUE"""),"MBC ประชาร่วมใจ 17 กรุงเทพฯ-22379")</f>
        <v>MBC ประชาร่วมใจ 17 กรุงเทพฯ-22379</v>
      </c>
      <c r="AG1693" s="3" t="str">
        <f>IFERROR(__xludf.DUMMYFUNCTION("""COMPUTED_VALUE"""),"กลาง")</f>
        <v>กลาง</v>
      </c>
      <c r="AH1693" s="3" t="str">
        <f>IFERROR(__xludf.DUMMYFUNCTION("""COMPUTED_VALUE"""),"#N/A")</f>
        <v>#N/A</v>
      </c>
      <c r="AI1693" s="3" t="str">
        <f>IFERROR(__xludf.DUMMYFUNCTION("""COMPUTED_VALUE"""),"Out of warranty")</f>
        <v>Out of warranty</v>
      </c>
      <c r="AJ1693" s="3">
        <f>IFERROR(__xludf.DUMMYFUNCTION("""COMPUTED_VALUE"""),52.0)</f>
        <v>52</v>
      </c>
      <c r="AK1693" s="3" t="str">
        <f>IFERROR(__xludf.DUMMYFUNCTION("""COMPUTED_VALUE"""),"MMS03")</f>
        <v>MMS03</v>
      </c>
      <c r="AL1693" s="3"/>
    </row>
    <row r="1694" ht="15.75" customHeight="1">
      <c r="A1694" s="1" t="str">
        <f>IFERROR(__xludf.DUMMYFUNCTION("""COMPUTED_VALUE"""),"22380")</f>
        <v>22380</v>
      </c>
      <c r="B1694" s="2">
        <f>IFERROR(__xludf.DUMMYFUNCTION("""COMPUTED_VALUE"""),22380.0)</f>
        <v>22380</v>
      </c>
      <c r="C1694" s="3" t="str">
        <f>IFERROR(__xludf.DUMMYFUNCTION("""COMPUTED_VALUE"""),"MBC ตลาดนัดหมู่บ้านสานฝัน ฉะเชิงเทรา")</f>
        <v>MBC ตลาดนัดหมู่บ้านสานฝัน ฉะเชิงเทรา</v>
      </c>
      <c r="D1694" s="3" t="str">
        <f>IFERROR(__xludf.DUMMYFUNCTION("""COMPUTED_VALUE"""),"BCM TALAD NUD MOO BAN SANFAN")</f>
        <v>BCM TALAD NUD MOO BAN SANFAN</v>
      </c>
      <c r="E1694" s="1" t="str">
        <f>IFERROR(__xludf.DUMMYFUNCTION("""COMPUTED_VALUE"""),"บิ๊กซี MINI")</f>
        <v>บิ๊กซี MINI</v>
      </c>
      <c r="F1694" s="1" t="str">
        <f>IFERROR(__xludf.DUMMYFUNCTION("""COMPUTED_VALUE"""),"2083447")</f>
        <v>2083447</v>
      </c>
      <c r="G1694" s="1" t="str">
        <f>IFERROR(__xludf.DUMMYFUNCTION("""COMPUTED_VALUE"""),"นายอนุกูล ศรีลัดดา")</f>
        <v>นายอนุกูล ศรีลัดดา</v>
      </c>
      <c r="H1694" s="1" t="str">
        <f>IFERROR(__xludf.DUMMYFUNCTION("""COMPUTED_VALUE"""),"254957")</f>
        <v>254957</v>
      </c>
      <c r="I1694" s="1" t="str">
        <f>IFERROR(__xludf.DUMMYFUNCTION("""COMPUTED_VALUE"""),"น.ส.ศิริพร รุ่งธัญญา")</f>
        <v>น.ส.ศิริพร รุ่งธัญญา</v>
      </c>
      <c r="J1694" s="3">
        <f>IFERROR(__xludf.DUMMYFUNCTION("""COMPUTED_VALUE"""),510143.0)</f>
        <v>510143</v>
      </c>
      <c r="K1694" s="3" t="str">
        <f>IFERROR(__xludf.DUMMYFUNCTION("""COMPUTED_VALUE"""),"นายธีระวัฒน์ บุญสิทธิ์")</f>
        <v>นายธีระวัฒน์ บุญสิทธิ์</v>
      </c>
      <c r="L1694" s="1" t="str">
        <f>IFERROR(__xludf.DUMMYFUNCTION("""COMPUTED_VALUE"""),"12 K.Theerawat B.")</f>
        <v>12 K.Theerawat B.</v>
      </c>
      <c r="M1694" s="1" t="str">
        <f>IFERROR(__xludf.DUMMYFUNCTION("""COMPUTED_VALUE"""),"0655107379")</f>
        <v>0655107379</v>
      </c>
      <c r="N1694" s="3">
        <f>IFERROR(__xludf.DUMMYFUNCTION("""COMPUTED_VALUE"""),21062.0)</f>
        <v>21062</v>
      </c>
      <c r="O1694" s="3" t="str">
        <f>IFERROR(__xludf.DUMMYFUNCTION("""COMPUTED_VALUE"""),"MBC นิคมนวนคร")</f>
        <v>MBC นิคมนวนคร</v>
      </c>
      <c r="P1694" s="4">
        <f>IFERROR(__xludf.DUMMYFUNCTION("""COMPUTED_VALUE"""),44467.0)</f>
        <v>44467</v>
      </c>
      <c r="Q1694" s="3" t="str">
        <f>IFERROR(__xludf.DUMMYFUNCTION("""COMPUTED_VALUE"""),"A")</f>
        <v>A</v>
      </c>
      <c r="R1694" s="3" t="str">
        <f>IFERROR(__xludf.DUMMYFUNCTION("""COMPUTED_VALUE"""),"Small Format")</f>
        <v>Small Format</v>
      </c>
      <c r="S1694" s="3" t="str">
        <f>IFERROR(__xludf.DUMMYFUNCTION("""COMPUTED_VALUE"""),"BCM")</f>
        <v>BCM</v>
      </c>
      <c r="T1694" s="3" t="str">
        <f>IFERROR(__xludf.DUMMYFUNCTION("""COMPUTED_VALUE"""),"#N/A")</f>
        <v>#N/A</v>
      </c>
      <c r="U1694" s="3" t="str">
        <f>IFERROR(__xludf.DUMMYFUNCTION("""COMPUTED_VALUE"""),"#N/A")</f>
        <v>#N/A</v>
      </c>
      <c r="V1694" s="3" t="str">
        <f>IFERROR(__xludf.DUMMYFUNCTION("""COMPUTED_VALUE"""),"N")</f>
        <v>N</v>
      </c>
      <c r="W1694" s="3">
        <f>IFERROR(__xludf.DUMMYFUNCTION("""COMPUTED_VALUE"""),210373.0)</f>
        <v>210373</v>
      </c>
      <c r="X1694" s="3" t="str">
        <f>IFERROR(__xludf.DUMMYFUNCTION("""COMPUTED_VALUE"""),"43/13 หมู่14 ตำบลศาลาแดง อำเภอบางน้ำเปรี้ยว จังหวัดฉะเชิงเทรา 24000")</f>
        <v>43/13 หมู่14 ตำบลศาลาแดง อำเภอบางน้ำเปรี้ยว จังหวัดฉะเชิงเทรา 24000</v>
      </c>
      <c r="Y1694" s="3"/>
      <c r="Z1694" s="3" t="str">
        <f>IFERROR(__xludf.DUMMYFUNCTION("""COMPUTED_VALUE"""),"ศาลาแดง")</f>
        <v>ศาลาแดง</v>
      </c>
      <c r="AA1694" s="3" t="str">
        <f>IFERROR(__xludf.DUMMYFUNCTION("""COMPUTED_VALUE"""),"บางน้ำเปรียว")</f>
        <v>บางน้ำเปรียว</v>
      </c>
      <c r="AB1694" s="3" t="str">
        <f>IFERROR(__xludf.DUMMYFUNCTION("""COMPUTED_VALUE"""),"ฉะเชิงเทรา")</f>
        <v>ฉะเชิงเทรา</v>
      </c>
      <c r="AC1694" s="3">
        <f>IFERROR(__xludf.DUMMYFUNCTION("""COMPUTED_VALUE"""),24000.0)</f>
        <v>24000</v>
      </c>
      <c r="AD1694" s="3">
        <f>IFERROR(__xludf.DUMMYFUNCTION("""COMPUTED_VALUE"""),13.796002)</f>
        <v>13.796002</v>
      </c>
      <c r="AE1694" s="3">
        <f>IFERROR(__xludf.DUMMYFUNCTION("""COMPUTED_VALUE"""),100.942368)</f>
        <v>100.942368</v>
      </c>
      <c r="AF1694" s="3" t="str">
        <f>IFERROR(__xludf.DUMMYFUNCTION("""COMPUTED_VALUE"""),"MBC ตลาดนัดหมู่บ้านสานฝัน ฉะเชิงเทรา-22380")</f>
        <v>MBC ตลาดนัดหมู่บ้านสานฝัน ฉะเชิงเทรา-22380</v>
      </c>
      <c r="AG1694" s="3" t="str">
        <f>IFERROR(__xludf.DUMMYFUNCTION("""COMPUTED_VALUE"""),"ตะวันออก")</f>
        <v>ตะวันออก</v>
      </c>
      <c r="AH1694" s="3" t="str">
        <f>IFERROR(__xludf.DUMMYFUNCTION("""COMPUTED_VALUE"""),"#N/A")</f>
        <v>#N/A</v>
      </c>
      <c r="AI1694" s="3" t="str">
        <f>IFERROR(__xludf.DUMMYFUNCTION("""COMPUTED_VALUE"""),"Out of warranty")</f>
        <v>Out of warranty</v>
      </c>
      <c r="AJ1694" s="3">
        <f>IFERROR(__xludf.DUMMYFUNCTION("""COMPUTED_VALUE"""),52.0)</f>
        <v>52</v>
      </c>
      <c r="AK1694" s="3" t="str">
        <f>IFERROR(__xludf.DUMMYFUNCTION("""COMPUTED_VALUE"""),"MMS04")</f>
        <v>MMS04</v>
      </c>
      <c r="AL1694" s="3"/>
    </row>
    <row r="1695" ht="15.75" customHeight="1">
      <c r="A1695" s="1" t="str">
        <f>IFERROR(__xludf.DUMMYFUNCTION("""COMPUTED_VALUE"""),"22381")</f>
        <v>22381</v>
      </c>
      <c r="B1695" s="2">
        <f>IFERROR(__xludf.DUMMYFUNCTION("""COMPUTED_VALUE"""),22381.0)</f>
        <v>22381</v>
      </c>
      <c r="C1695" s="3" t="str">
        <f>IFERROR(__xludf.DUMMYFUNCTION("""COMPUTED_VALUE"""),"MBC แม่ปะ ตาก")</f>
        <v>MBC แม่ปะ ตาก</v>
      </c>
      <c r="D1695" s="3" t="str">
        <f>IFERROR(__xludf.DUMMYFUNCTION("""COMPUTED_VALUE"""),"BCM MAEPA TAK")</f>
        <v>BCM MAEPA TAK</v>
      </c>
      <c r="E1695" s="1" t="str">
        <f>IFERROR(__xludf.DUMMYFUNCTION("""COMPUTED_VALUE"""),"บิ๊กซี MINI")</f>
        <v>บิ๊กซี MINI</v>
      </c>
      <c r="F1695" s="1" t="str">
        <f>IFERROR(__xludf.DUMMYFUNCTION("""COMPUTED_VALUE"""),"296229")</f>
        <v>296229</v>
      </c>
      <c r="G1695" s="1" t="str">
        <f>IFERROR(__xludf.DUMMYFUNCTION("""COMPUTED_VALUE"""),"นายทนงศักดิ์ บุญมา")</f>
        <v>นายทนงศักดิ์ บุญมา</v>
      </c>
      <c r="H1695" s="1" t="str">
        <f>IFERROR(__xludf.DUMMYFUNCTION("""COMPUTED_VALUE"""),"373680")</f>
        <v>373680</v>
      </c>
      <c r="I1695" s="1" t="str">
        <f>IFERROR(__xludf.DUMMYFUNCTION("""COMPUTED_VALUE"""),"นายวสันต์ พรรณราย")</f>
        <v>นายวสันต์ พรรณราย</v>
      </c>
      <c r="J1695" s="3">
        <f>IFERROR(__xludf.DUMMYFUNCTION("""COMPUTED_VALUE"""),46214.0)</f>
        <v>46214</v>
      </c>
      <c r="K1695" s="3" t="str">
        <f>IFERROR(__xludf.DUMMYFUNCTION("""COMPUTED_VALUE"""),"นายศักดิ์ชัย เด็ดดอกฟ้า")</f>
        <v>นายศักดิ์ชัย เด็ดดอกฟ้า</v>
      </c>
      <c r="L1695" s="1" t="str">
        <f>IFERROR(__xludf.DUMMYFUNCTION("""COMPUTED_VALUE"""),"02 K.Sakchai D")</f>
        <v>02 K.Sakchai D</v>
      </c>
      <c r="M1695" s="1" t="str">
        <f>IFERROR(__xludf.DUMMYFUNCTION("""COMPUTED_VALUE"""),"065-510-7376")</f>
        <v>065-510-7376</v>
      </c>
      <c r="N1695" s="3">
        <f>IFERROR(__xludf.DUMMYFUNCTION("""COMPUTED_VALUE"""),21714.0)</f>
        <v>21714</v>
      </c>
      <c r="O1695" s="3" t="str">
        <f>IFERROR(__xludf.DUMMYFUNCTION("""COMPUTED_VALUE"""),"MBC เอสโซ่ วัดโบสถ์")</f>
        <v>MBC เอสโซ่ วัดโบสถ์</v>
      </c>
      <c r="P1695" s="4">
        <f>IFERROR(__xludf.DUMMYFUNCTION("""COMPUTED_VALUE"""),44484.0)</f>
        <v>44484</v>
      </c>
      <c r="Q1695" s="3" t="str">
        <f>IFERROR(__xludf.DUMMYFUNCTION("""COMPUTED_VALUE"""),"A")</f>
        <v>A</v>
      </c>
      <c r="R1695" s="3" t="str">
        <f>IFERROR(__xludf.DUMMYFUNCTION("""COMPUTED_VALUE"""),"Small Format")</f>
        <v>Small Format</v>
      </c>
      <c r="S1695" s="3" t="str">
        <f>IFERROR(__xludf.DUMMYFUNCTION("""COMPUTED_VALUE"""),"BCM")</f>
        <v>BCM</v>
      </c>
      <c r="T1695" s="3" t="str">
        <f>IFERROR(__xludf.DUMMYFUNCTION("""COMPUTED_VALUE"""),"#N/A")</f>
        <v>#N/A</v>
      </c>
      <c r="U1695" s="3" t="str">
        <f>IFERROR(__xludf.DUMMYFUNCTION("""COMPUTED_VALUE"""),"#N/A")</f>
        <v>#N/A</v>
      </c>
      <c r="V1695" s="3" t="str">
        <f>IFERROR(__xludf.DUMMYFUNCTION("""COMPUTED_VALUE"""),"N")</f>
        <v>N</v>
      </c>
      <c r="W1695" s="3">
        <f>IFERROR(__xludf.DUMMYFUNCTION("""COMPUTED_VALUE"""),210442.0)</f>
        <v>210442</v>
      </c>
      <c r="X1695" s="3" t="str">
        <f>IFERROR(__xludf.DUMMYFUNCTION("""COMPUTED_VALUE"""),"626 หมู่1 ตำบลแม่ปะ อำเภอแม่สอด จังหวัดตาก 63110")</f>
        <v>626 หมู่1 ตำบลแม่ปะ อำเภอแม่สอด จังหวัดตาก 63110</v>
      </c>
      <c r="Y1695" s="3"/>
      <c r="Z1695" s="3" t="str">
        <f>IFERROR(__xludf.DUMMYFUNCTION("""COMPUTED_VALUE"""),"แม่ปะ")</f>
        <v>แม่ปะ</v>
      </c>
      <c r="AA1695" s="3" t="str">
        <f>IFERROR(__xludf.DUMMYFUNCTION("""COMPUTED_VALUE"""),"แม่สอด")</f>
        <v>แม่สอด</v>
      </c>
      <c r="AB1695" s="3" t="str">
        <f>IFERROR(__xludf.DUMMYFUNCTION("""COMPUTED_VALUE"""),"ตาก")</f>
        <v>ตาก</v>
      </c>
      <c r="AC1695" s="3">
        <f>IFERROR(__xludf.DUMMYFUNCTION("""COMPUTED_VALUE"""),63110.0)</f>
        <v>63110</v>
      </c>
      <c r="AD1695" s="3">
        <f>IFERROR(__xludf.DUMMYFUNCTION("""COMPUTED_VALUE"""),16.729468)</f>
        <v>16.729468</v>
      </c>
      <c r="AE1695" s="3">
        <f>IFERROR(__xludf.DUMMYFUNCTION("""COMPUTED_VALUE"""),98.571207)</f>
        <v>98.571207</v>
      </c>
      <c r="AF1695" s="3" t="str">
        <f>IFERROR(__xludf.DUMMYFUNCTION("""COMPUTED_VALUE"""),"MBC แม่ปะ ตาก-22381")</f>
        <v>MBC แม่ปะ ตาก-22381</v>
      </c>
      <c r="AG1695" s="3" t="str">
        <f>IFERROR(__xludf.DUMMYFUNCTION("""COMPUTED_VALUE"""),"ตะวันตก")</f>
        <v>ตะวันตก</v>
      </c>
      <c r="AH1695" s="3" t="str">
        <f>IFERROR(__xludf.DUMMYFUNCTION("""COMPUTED_VALUE"""),"#N/A")</f>
        <v>#N/A</v>
      </c>
      <c r="AI1695" s="3" t="str">
        <f>IFERROR(__xludf.DUMMYFUNCTION("""COMPUTED_VALUE"""),"Out of warranty")</f>
        <v>Out of warranty</v>
      </c>
      <c r="AJ1695" s="3">
        <f>IFERROR(__xludf.DUMMYFUNCTION("""COMPUTED_VALUE"""),52.0)</f>
        <v>52</v>
      </c>
      <c r="AK1695" s="3" t="str">
        <f>IFERROR(__xludf.DUMMYFUNCTION("""COMPUTED_VALUE"""),"MMS10")</f>
        <v>MMS10</v>
      </c>
      <c r="AL1695" s="3"/>
    </row>
    <row r="1696" ht="15.75" customHeight="1">
      <c r="A1696" s="1" t="str">
        <f>IFERROR(__xludf.DUMMYFUNCTION("""COMPUTED_VALUE"""),"22382")</f>
        <v>22382</v>
      </c>
      <c r="B1696" s="2">
        <f>IFERROR(__xludf.DUMMYFUNCTION("""COMPUTED_VALUE"""),22382.0)</f>
        <v>22382</v>
      </c>
      <c r="C1696" s="3" t="str">
        <f>IFERROR(__xludf.DUMMYFUNCTION("""COMPUTED_VALUE"""),"MBC ถ.นเรศวร ลพบุรี")</f>
        <v>MBC ถ.นเรศวร ลพบุรี</v>
      </c>
      <c r="D1696" s="3" t="str">
        <f>IFERROR(__xludf.DUMMYFUNCTION("""COMPUTED_VALUE"""),"BCM THANON NARESUAN")</f>
        <v>BCM THANON NARESUAN</v>
      </c>
      <c r="E1696" s="1" t="str">
        <f>IFERROR(__xludf.DUMMYFUNCTION("""COMPUTED_VALUE"""),"บิ๊กซี MINI")</f>
        <v>บิ๊กซี MINI</v>
      </c>
      <c r="F1696" s="1" t="str">
        <f>IFERROR(__xludf.DUMMYFUNCTION("""COMPUTED_VALUE"""),"296229")</f>
        <v>296229</v>
      </c>
      <c r="G1696" s="1" t="str">
        <f>IFERROR(__xludf.DUMMYFUNCTION("""COMPUTED_VALUE"""),"นายทนงศักดิ์ บุญมา")</f>
        <v>นายทนงศักดิ์ บุญมา</v>
      </c>
      <c r="H1696" s="1" t="str">
        <f>IFERROR(__xludf.DUMMYFUNCTION("""COMPUTED_VALUE"""),"291082")</f>
        <v>291082</v>
      </c>
      <c r="I1696" s="1" t="str">
        <f>IFERROR(__xludf.DUMMYFUNCTION("""COMPUTED_VALUE"""),"น.ส.วจี กันเกตุ")</f>
        <v>น.ส.วจี กันเกตุ</v>
      </c>
      <c r="J1696" s="3">
        <f>IFERROR(__xludf.DUMMYFUNCTION("""COMPUTED_VALUE"""),46214.0)</f>
        <v>46214</v>
      </c>
      <c r="K1696" s="3" t="str">
        <f>IFERROR(__xludf.DUMMYFUNCTION("""COMPUTED_VALUE"""),"นายศักดิ์ชัย เด็ดดอกฟ้า")</f>
        <v>นายศักดิ์ชัย เด็ดดอกฟ้า</v>
      </c>
      <c r="L1696" s="1" t="str">
        <f>IFERROR(__xludf.DUMMYFUNCTION("""COMPUTED_VALUE"""),"02 K.Sakchai D")</f>
        <v>02 K.Sakchai D</v>
      </c>
      <c r="M1696" s="1" t="str">
        <f>IFERROR(__xludf.DUMMYFUNCTION("""COMPUTED_VALUE"""),"065-510-7376")</f>
        <v>065-510-7376</v>
      </c>
      <c r="N1696" s="3">
        <f>IFERROR(__xludf.DUMMYFUNCTION("""COMPUTED_VALUE"""),21714.0)</f>
        <v>21714</v>
      </c>
      <c r="O1696" s="3" t="str">
        <f>IFERROR(__xludf.DUMMYFUNCTION("""COMPUTED_VALUE"""),"MBC เอสโซ่ วัดโบสถ์")</f>
        <v>MBC เอสโซ่ วัดโบสถ์</v>
      </c>
      <c r="P1696" s="4">
        <f>IFERROR(__xludf.DUMMYFUNCTION("""COMPUTED_VALUE"""),44470.0)</f>
        <v>44470</v>
      </c>
      <c r="Q1696" s="3" t="str">
        <f>IFERROR(__xludf.DUMMYFUNCTION("""COMPUTED_VALUE"""),"A")</f>
        <v>A</v>
      </c>
      <c r="R1696" s="3" t="str">
        <f>IFERROR(__xludf.DUMMYFUNCTION("""COMPUTED_VALUE"""),"Small Format")</f>
        <v>Small Format</v>
      </c>
      <c r="S1696" s="3" t="str">
        <f>IFERROR(__xludf.DUMMYFUNCTION("""COMPUTED_VALUE"""),"BCM")</f>
        <v>BCM</v>
      </c>
      <c r="T1696" s="3" t="str">
        <f>IFERROR(__xludf.DUMMYFUNCTION("""COMPUTED_VALUE"""),"#N/A")</f>
        <v>#N/A</v>
      </c>
      <c r="U1696" s="3" t="str">
        <f>IFERROR(__xludf.DUMMYFUNCTION("""COMPUTED_VALUE"""),"#N/A")</f>
        <v>#N/A</v>
      </c>
      <c r="V1696" s="3" t="str">
        <f>IFERROR(__xludf.DUMMYFUNCTION("""COMPUTED_VALUE"""),"N")</f>
        <v>N</v>
      </c>
      <c r="W1696" s="3">
        <f>IFERROR(__xludf.DUMMYFUNCTION("""COMPUTED_VALUE"""),210426.0)</f>
        <v>210426</v>
      </c>
      <c r="X1696" s="3" t="str">
        <f>IFERROR(__xludf.DUMMYFUNCTION("""COMPUTED_VALUE"""),"84 ถนนนเรศวร(ช.6) ตำบลเขาสามยอด อำเภอเมืองลพบุรี จังหวัดลพบุรี 15000")</f>
        <v>84 ถนนนเรศวร(ช.6) ตำบลเขาสามยอด อำเภอเมืองลพบุรี จังหวัดลพบุรี 15000</v>
      </c>
      <c r="Y1696" s="3" t="str">
        <f>IFERROR(__xludf.DUMMYFUNCTION("""COMPUTED_VALUE"""),"นเรศวร(ซ.6)")</f>
        <v>นเรศวร(ซ.6)</v>
      </c>
      <c r="Z1696" s="3" t="str">
        <f>IFERROR(__xludf.DUMMYFUNCTION("""COMPUTED_VALUE"""),"เขาสามยอด")</f>
        <v>เขาสามยอด</v>
      </c>
      <c r="AA1696" s="3" t="str">
        <f>IFERROR(__xludf.DUMMYFUNCTION("""COMPUTED_VALUE"""),"เมืองลพบุรี")</f>
        <v>เมืองลพบุรี</v>
      </c>
      <c r="AB1696" s="3" t="str">
        <f>IFERROR(__xludf.DUMMYFUNCTION("""COMPUTED_VALUE"""),"ลพบุรี")</f>
        <v>ลพบุรี</v>
      </c>
      <c r="AC1696" s="3">
        <f>IFERROR(__xludf.DUMMYFUNCTION("""COMPUTED_VALUE"""),15000.0)</f>
        <v>15000</v>
      </c>
      <c r="AD1696" s="3">
        <f>IFERROR(__xludf.DUMMYFUNCTION("""COMPUTED_VALUE"""),14.808929)</f>
        <v>14.808929</v>
      </c>
      <c r="AE1696" s="3">
        <f>IFERROR(__xludf.DUMMYFUNCTION("""COMPUTED_VALUE"""),100.663297)</f>
        <v>100.663297</v>
      </c>
      <c r="AF1696" s="3" t="str">
        <f>IFERROR(__xludf.DUMMYFUNCTION("""COMPUTED_VALUE"""),"MBC ถ.นเรศวร ลพบุรี-22382")</f>
        <v>MBC ถ.นเรศวร ลพบุรี-22382</v>
      </c>
      <c r="AG1696" s="3" t="str">
        <f>IFERROR(__xludf.DUMMYFUNCTION("""COMPUTED_VALUE"""),"กลาง")</f>
        <v>กลาง</v>
      </c>
      <c r="AH1696" s="3" t="str">
        <f>IFERROR(__xludf.DUMMYFUNCTION("""COMPUTED_VALUE"""),"#N/A")</f>
        <v>#N/A</v>
      </c>
      <c r="AI1696" s="3" t="str">
        <f>IFERROR(__xludf.DUMMYFUNCTION("""COMPUTED_VALUE"""),"Out of warranty")</f>
        <v>Out of warranty</v>
      </c>
      <c r="AJ1696" s="3">
        <f>IFERROR(__xludf.DUMMYFUNCTION("""COMPUTED_VALUE"""),52.0)</f>
        <v>52</v>
      </c>
      <c r="AK1696" s="3" t="str">
        <f>IFERROR(__xludf.DUMMYFUNCTION("""COMPUTED_VALUE"""),"MMS09")</f>
        <v>MMS09</v>
      </c>
      <c r="AL1696" s="3"/>
    </row>
    <row r="1697" ht="15.75" customHeight="1">
      <c r="A1697" s="1" t="str">
        <f>IFERROR(__xludf.DUMMYFUNCTION("""COMPUTED_VALUE"""),"22383")</f>
        <v>22383</v>
      </c>
      <c r="B1697" s="2">
        <f>IFERROR(__xludf.DUMMYFUNCTION("""COMPUTED_VALUE"""),22383.0)</f>
        <v>22383</v>
      </c>
      <c r="C1697" s="3" t="str">
        <f>IFERROR(__xludf.DUMMYFUNCTION("""COMPUTED_VALUE"""),"MBC บ้านเบิก ลพบุรี")</f>
        <v>MBC บ้านเบิก ลพบุรี</v>
      </c>
      <c r="D1697" s="3" t="str">
        <f>IFERROR(__xludf.DUMMYFUNCTION("""COMPUTED_VALUE"""),"BCM BAN BOEK")</f>
        <v>BCM BAN BOEK</v>
      </c>
      <c r="E1697" s="1" t="str">
        <f>IFERROR(__xludf.DUMMYFUNCTION("""COMPUTED_VALUE"""),"บิ๊กซี MINI")</f>
        <v>บิ๊กซี MINI</v>
      </c>
      <c r="F1697" s="1" t="str">
        <f>IFERROR(__xludf.DUMMYFUNCTION("""COMPUTED_VALUE"""),"296229")</f>
        <v>296229</v>
      </c>
      <c r="G1697" s="1" t="str">
        <f>IFERROR(__xludf.DUMMYFUNCTION("""COMPUTED_VALUE"""),"นายทนงศักดิ์ บุญมา")</f>
        <v>นายทนงศักดิ์ บุญมา</v>
      </c>
      <c r="H1697" s="1" t="str">
        <f>IFERROR(__xludf.DUMMYFUNCTION("""COMPUTED_VALUE"""),"318186")</f>
        <v>318186</v>
      </c>
      <c r="I1697" s="1" t="str">
        <f>IFERROR(__xludf.DUMMYFUNCTION("""COMPUTED_VALUE"""),"น.ส.พนมวัลย์ เรืองรัตน์")</f>
        <v>น.ส.พนมวัลย์ เรืองรัตน์</v>
      </c>
      <c r="J1697" s="3">
        <f>IFERROR(__xludf.DUMMYFUNCTION("""COMPUTED_VALUE"""),46214.0)</f>
        <v>46214</v>
      </c>
      <c r="K1697" s="3" t="str">
        <f>IFERROR(__xludf.DUMMYFUNCTION("""COMPUTED_VALUE"""),"นายศักดิ์ชัย เด็ดดอกฟ้า")</f>
        <v>นายศักดิ์ชัย เด็ดดอกฟ้า</v>
      </c>
      <c r="L1697" s="1" t="str">
        <f>IFERROR(__xludf.DUMMYFUNCTION("""COMPUTED_VALUE"""),"02 K.Sakchai D")</f>
        <v>02 K.Sakchai D</v>
      </c>
      <c r="M1697" s="1" t="str">
        <f>IFERROR(__xludf.DUMMYFUNCTION("""COMPUTED_VALUE"""),"065-510-7376")</f>
        <v>065-510-7376</v>
      </c>
      <c r="N1697" s="3">
        <f>IFERROR(__xludf.DUMMYFUNCTION("""COMPUTED_VALUE"""),21714.0)</f>
        <v>21714</v>
      </c>
      <c r="O1697" s="3" t="str">
        <f>IFERROR(__xludf.DUMMYFUNCTION("""COMPUTED_VALUE"""),"MBC เอสโซ่ วัดโบสถ์")</f>
        <v>MBC เอสโซ่ วัดโบสถ์</v>
      </c>
      <c r="P1697" s="4">
        <f>IFERROR(__xludf.DUMMYFUNCTION("""COMPUTED_VALUE"""),44470.0)</f>
        <v>44470</v>
      </c>
      <c r="Q1697" s="3" t="str">
        <f>IFERROR(__xludf.DUMMYFUNCTION("""COMPUTED_VALUE"""),"I")</f>
        <v>I</v>
      </c>
      <c r="R1697" s="3" t="str">
        <f>IFERROR(__xludf.DUMMYFUNCTION("""COMPUTED_VALUE"""),"Small Format")</f>
        <v>Small Format</v>
      </c>
      <c r="S1697" s="3" t="str">
        <f>IFERROR(__xludf.DUMMYFUNCTION("""COMPUTED_VALUE"""),"BCM")</f>
        <v>BCM</v>
      </c>
      <c r="T1697" s="3" t="str">
        <f>IFERROR(__xludf.DUMMYFUNCTION("""COMPUTED_VALUE"""),"#N/A")</f>
        <v>#N/A</v>
      </c>
      <c r="U1697" s="3" t="str">
        <f>IFERROR(__xludf.DUMMYFUNCTION("""COMPUTED_VALUE"""),"#N/A")</f>
        <v>#N/A</v>
      </c>
      <c r="V1697" s="3" t="str">
        <f>IFERROR(__xludf.DUMMYFUNCTION("""COMPUTED_VALUE"""),"N")</f>
        <v>N</v>
      </c>
      <c r="W1697" s="3">
        <f>IFERROR(__xludf.DUMMYFUNCTION("""COMPUTED_VALUE"""),210436.0)</f>
        <v>210436</v>
      </c>
      <c r="X1697" s="3" t="str">
        <f>IFERROR(__xludf.DUMMYFUNCTION("""COMPUTED_VALUE"""),"137 หมู่8 ตำบลบ้านเบิก อำเภอท่าวุ้ง จังหวัดลพบุรี 15150")</f>
        <v>137 หมู่8 ตำบลบ้านเบิก อำเภอท่าวุ้ง จังหวัดลพบุรี 15150</v>
      </c>
      <c r="Y1697" s="3"/>
      <c r="Z1697" s="3" t="str">
        <f>IFERROR(__xludf.DUMMYFUNCTION("""COMPUTED_VALUE"""),"บ้านเบิก")</f>
        <v>บ้านเบิก</v>
      </c>
      <c r="AA1697" s="3" t="str">
        <f>IFERROR(__xludf.DUMMYFUNCTION("""COMPUTED_VALUE"""),"ท่าวุ้ง")</f>
        <v>ท่าวุ้ง</v>
      </c>
      <c r="AB1697" s="3" t="str">
        <f>IFERROR(__xludf.DUMMYFUNCTION("""COMPUTED_VALUE"""),"ลพบุรี")</f>
        <v>ลพบุรี</v>
      </c>
      <c r="AC1697" s="3">
        <f>IFERROR(__xludf.DUMMYFUNCTION("""COMPUTED_VALUE"""),15150.0)</f>
        <v>15150</v>
      </c>
      <c r="AD1697" s="3">
        <f>IFERROR(__xludf.DUMMYFUNCTION("""COMPUTED_VALUE"""),14.731981)</f>
        <v>14.731981</v>
      </c>
      <c r="AE1697" s="3">
        <f>IFERROR(__xludf.DUMMYFUNCTION("""COMPUTED_VALUE"""),100.507009)</f>
        <v>100.507009</v>
      </c>
      <c r="AF1697" s="3" t="str">
        <f>IFERROR(__xludf.DUMMYFUNCTION("""COMPUTED_VALUE"""),"MBC บ้านเบิก ลพบุรี-22383")</f>
        <v>MBC บ้านเบิก ลพบุรี-22383</v>
      </c>
      <c r="AG1697" s="3" t="str">
        <f>IFERROR(__xludf.DUMMYFUNCTION("""COMPUTED_VALUE"""),"กลาง")</f>
        <v>กลาง</v>
      </c>
      <c r="AH1697" s="3" t="str">
        <f>IFERROR(__xludf.DUMMYFUNCTION("""COMPUTED_VALUE"""),"#N/A")</f>
        <v>#N/A</v>
      </c>
      <c r="AI1697" s="3" t="str">
        <f>IFERROR(__xludf.DUMMYFUNCTION("""COMPUTED_VALUE"""),"Out of warranty")</f>
        <v>Out of warranty</v>
      </c>
      <c r="AJ1697" s="3">
        <f>IFERROR(__xludf.DUMMYFUNCTION("""COMPUTED_VALUE"""),52.0)</f>
        <v>52</v>
      </c>
      <c r="AK1697" s="3" t="str">
        <f>IFERROR(__xludf.DUMMYFUNCTION("""COMPUTED_VALUE"""),"MMS09")</f>
        <v>MMS09</v>
      </c>
      <c r="AL1697" s="3"/>
    </row>
    <row r="1698" ht="15.75" customHeight="1">
      <c r="A1698" s="1" t="str">
        <f>IFERROR(__xludf.DUMMYFUNCTION("""COMPUTED_VALUE"""),"22384")</f>
        <v>22384</v>
      </c>
      <c r="B1698" s="2">
        <f>IFERROR(__xludf.DUMMYFUNCTION("""COMPUTED_VALUE"""),22384.0)</f>
        <v>22384</v>
      </c>
      <c r="C1698" s="3" t="str">
        <f>IFERROR(__xludf.DUMMYFUNCTION("""COMPUTED_VALUE"""),"MBC เลียบคลองภาษีเจริญฝั่งใต้ กรุงเทพฯ")</f>
        <v>MBC เลียบคลองภาษีเจริญฝั่งใต้ กรุงเทพฯ</v>
      </c>
      <c r="D1698" s="3" t="str">
        <f>IFERROR(__xludf.DUMMYFUNCTION("""COMPUTED_VALUE"""),"BCM LIAPKHLONG PHASICHAROENTAI")</f>
        <v>BCM LIAPKHLONG PHASICHAROENTAI</v>
      </c>
      <c r="E1698" s="1" t="str">
        <f>IFERROR(__xludf.DUMMYFUNCTION("""COMPUTED_VALUE"""),"บิ๊กซี MINI")</f>
        <v>บิ๊กซี MINI</v>
      </c>
      <c r="F1698" s="1" t="str">
        <f>IFERROR(__xludf.DUMMYFUNCTION("""COMPUTED_VALUE"""),"291008")</f>
        <v>291008</v>
      </c>
      <c r="G1698" s="1" t="str">
        <f>IFERROR(__xludf.DUMMYFUNCTION("""COMPUTED_VALUE"""),"น.ส.รัชดาพร อีศรัตน์")</f>
        <v>น.ส.รัชดาพร อีศรัตน์</v>
      </c>
      <c r="H1698" s="1" t="str">
        <f>IFERROR(__xludf.DUMMYFUNCTION("""COMPUTED_VALUE"""),"250921")</f>
        <v>250921</v>
      </c>
      <c r="I1698" s="1" t="str">
        <f>IFERROR(__xludf.DUMMYFUNCTION("""COMPUTED_VALUE"""),"นายปรัชญาวัต ถิระสังวร")</f>
        <v>นายปรัชญาวัต ถิระสังวร</v>
      </c>
      <c r="J1698" s="3">
        <f>IFERROR(__xludf.DUMMYFUNCTION("""COMPUTED_VALUE"""),2452378.0)</f>
        <v>2452378</v>
      </c>
      <c r="K1698" s="3" t="str">
        <f>IFERROR(__xludf.DUMMYFUNCTION("""COMPUTED_VALUE"""),"นายศักดิ์ดา พวงประดับ")</f>
        <v>นายศักดิ์ดา พวงประดับ</v>
      </c>
      <c r="L1698" s="1" t="str">
        <f>IFERROR(__xludf.DUMMYFUNCTION("""COMPUTED_VALUE"""),"11 K.Sakda P.")</f>
        <v>11 K.Sakda P.</v>
      </c>
      <c r="M1698" s="1" t="str">
        <f>IFERROR(__xludf.DUMMYFUNCTION("""COMPUTED_VALUE"""),"065-929-1279")</f>
        <v>065-929-1279</v>
      </c>
      <c r="N1698" s="3">
        <f>IFERROR(__xludf.DUMMYFUNCTION("""COMPUTED_VALUE"""),21002.0)</f>
        <v>21002</v>
      </c>
      <c r="O1698" s="3" t="str">
        <f>IFERROR(__xludf.DUMMYFUNCTION("""COMPUTED_VALUE"""),"MBC อุดมสุข")</f>
        <v>MBC อุดมสุข</v>
      </c>
      <c r="P1698" s="4">
        <f>IFERROR(__xludf.DUMMYFUNCTION("""COMPUTED_VALUE"""),44479.0)</f>
        <v>44479</v>
      </c>
      <c r="Q1698" s="3" t="str">
        <f>IFERROR(__xludf.DUMMYFUNCTION("""COMPUTED_VALUE"""),"A")</f>
        <v>A</v>
      </c>
      <c r="R1698" s="3" t="str">
        <f>IFERROR(__xludf.DUMMYFUNCTION("""COMPUTED_VALUE"""),"Small Format")</f>
        <v>Small Format</v>
      </c>
      <c r="S1698" s="3" t="str">
        <f>IFERROR(__xludf.DUMMYFUNCTION("""COMPUTED_VALUE"""),"BCM")</f>
        <v>BCM</v>
      </c>
      <c r="T1698" s="3" t="str">
        <f>IFERROR(__xludf.DUMMYFUNCTION("""COMPUTED_VALUE"""),"#N/A")</f>
        <v>#N/A</v>
      </c>
      <c r="U1698" s="3" t="str">
        <f>IFERROR(__xludf.DUMMYFUNCTION("""COMPUTED_VALUE"""),"#N/A")</f>
        <v>#N/A</v>
      </c>
      <c r="V1698" s="3" t="str">
        <f>IFERROR(__xludf.DUMMYFUNCTION("""COMPUTED_VALUE"""),"N")</f>
        <v>N</v>
      </c>
      <c r="W1698" s="3">
        <f>IFERROR(__xludf.DUMMYFUNCTION("""COMPUTED_VALUE"""),210414.0)</f>
        <v>210414</v>
      </c>
      <c r="X1698" s="3" t="str">
        <f>IFERROR(__xludf.DUMMYFUNCTION("""COMPUTED_VALUE"""),"751/1 ถนนเลียบคลองภาษีเจริญฝั่งใต้ แขวงหนองแขม เขตหนองแขม จังหวัดกรุงเทพมหานคร 10160")</f>
        <v>751/1 ถนนเลียบคลองภาษีเจริญฝั่งใต้ แขวงหนองแขม เขตหนองแขม จังหวัดกรุงเทพมหานคร 10160</v>
      </c>
      <c r="Y1698" s="3" t="str">
        <f>IFERROR(__xludf.DUMMYFUNCTION("""COMPUTED_VALUE"""),"เลียบคลองภาษีเจริญฝั่งใต้")</f>
        <v>เลียบคลองภาษีเจริญฝั่งใต้</v>
      </c>
      <c r="Z1698" s="3" t="str">
        <f>IFERROR(__xludf.DUMMYFUNCTION("""COMPUTED_VALUE"""),"หนองแขม")</f>
        <v>หนองแขม</v>
      </c>
      <c r="AA1698" s="3" t="str">
        <f>IFERROR(__xludf.DUMMYFUNCTION("""COMPUTED_VALUE"""),"หนองแขม")</f>
        <v>หนองแขม</v>
      </c>
      <c r="AB1698" s="3" t="str">
        <f>IFERROR(__xludf.DUMMYFUNCTION("""COMPUTED_VALUE"""),"กรุงเทพมหานคร")</f>
        <v>กรุงเทพมหานคร</v>
      </c>
      <c r="AC1698" s="3">
        <f>IFERROR(__xludf.DUMMYFUNCTION("""COMPUTED_VALUE"""),10160.0)</f>
        <v>10160</v>
      </c>
      <c r="AD1698" s="3">
        <f>IFERROR(__xludf.DUMMYFUNCTION("""COMPUTED_VALUE"""),13.687145)</f>
        <v>13.687145</v>
      </c>
      <c r="AE1698" s="3">
        <f>IFERROR(__xludf.DUMMYFUNCTION("""COMPUTED_VALUE"""),100.376804)</f>
        <v>100.376804</v>
      </c>
      <c r="AF1698" s="3" t="str">
        <f>IFERROR(__xludf.DUMMYFUNCTION("""COMPUTED_VALUE"""),"MBC เลียบคลองภาษีเจริญฝั่งใต้ กรุงเทพฯ-22384")</f>
        <v>MBC เลียบคลองภาษีเจริญฝั่งใต้ กรุงเทพฯ-22384</v>
      </c>
      <c r="AG1698" s="3" t="str">
        <f>IFERROR(__xludf.DUMMYFUNCTION("""COMPUTED_VALUE"""),"กลาง")</f>
        <v>กลาง</v>
      </c>
      <c r="AH1698" s="3" t="str">
        <f>IFERROR(__xludf.DUMMYFUNCTION("""COMPUTED_VALUE"""),"#N/A")</f>
        <v>#N/A</v>
      </c>
      <c r="AI1698" s="3" t="str">
        <f>IFERROR(__xludf.DUMMYFUNCTION("""COMPUTED_VALUE"""),"Out of warranty")</f>
        <v>Out of warranty</v>
      </c>
      <c r="AJ1698" s="3">
        <f>IFERROR(__xludf.DUMMYFUNCTION("""COMPUTED_VALUE"""),52.0)</f>
        <v>52</v>
      </c>
      <c r="AK1698" s="3" t="str">
        <f>IFERROR(__xludf.DUMMYFUNCTION("""COMPUTED_VALUE"""),"MMS02")</f>
        <v>MMS02</v>
      </c>
      <c r="AL1698" s="3"/>
    </row>
    <row r="1699" ht="15.75" customHeight="1">
      <c r="A1699" s="1" t="str">
        <f>IFERROR(__xludf.DUMMYFUNCTION("""COMPUTED_VALUE"""),"22385")</f>
        <v>22385</v>
      </c>
      <c r="B1699" s="2">
        <f>IFERROR(__xludf.DUMMYFUNCTION("""COMPUTED_VALUE"""),22385.0)</f>
        <v>22385</v>
      </c>
      <c r="C1699" s="3" t="str">
        <f>IFERROR(__xludf.DUMMYFUNCTION("""COMPUTED_VALUE"""),"MBC หนองบัวกาญจน์ กาญจนบุรี")</f>
        <v>MBC หนองบัวกาญจน์ กาญจนบุรี</v>
      </c>
      <c r="D1699" s="3" t="str">
        <f>IFERROR(__xludf.DUMMYFUNCTION("""COMPUTED_VALUE"""),"BCM NONG BUA KAN")</f>
        <v>BCM NONG BUA KAN</v>
      </c>
      <c r="E1699" s="1" t="str">
        <f>IFERROR(__xludf.DUMMYFUNCTION("""COMPUTED_VALUE"""),"บิ๊กซี MINI")</f>
        <v>บิ๊กซี MINI</v>
      </c>
      <c r="F1699" s="1" t="str">
        <f>IFERROR(__xludf.DUMMYFUNCTION("""COMPUTED_VALUE"""),"2083447")</f>
        <v>2083447</v>
      </c>
      <c r="G1699" s="1" t="str">
        <f>IFERROR(__xludf.DUMMYFUNCTION("""COMPUTED_VALUE"""),"นายอนุกูล ศรีลัดดา")</f>
        <v>นายอนุกูล ศรีลัดดา</v>
      </c>
      <c r="H1699" s="1" t="str">
        <f>IFERROR(__xludf.DUMMYFUNCTION("""COMPUTED_VALUE"""),"391191")</f>
        <v>391191</v>
      </c>
      <c r="I1699" s="1" t="str">
        <f>IFERROR(__xludf.DUMMYFUNCTION("""COMPUTED_VALUE"""),"นายวสันต์ สรงพรมทิพย์")</f>
        <v>นายวสันต์ สรงพรมทิพย์</v>
      </c>
      <c r="J1699" s="3">
        <f>IFERROR(__xludf.DUMMYFUNCTION("""COMPUTED_VALUE"""),2451655.0)</f>
        <v>2451655</v>
      </c>
      <c r="K1699" s="3" t="str">
        <f>IFERROR(__xludf.DUMMYFUNCTION("""COMPUTED_VALUE"""),"นายวิษณุพงษ์ ชินบุตร")</f>
        <v>นายวิษณุพงษ์ ชินบุตร</v>
      </c>
      <c r="L1699" s="1" t="str">
        <f>IFERROR(__xludf.DUMMYFUNCTION("""COMPUTED_VALUE"""),"13 K.Wisanupong Ch")</f>
        <v>13 K.Wisanupong Ch</v>
      </c>
      <c r="M1699" s="1" t="str">
        <f>IFERROR(__xludf.DUMMYFUNCTION("""COMPUTED_VALUE"""),"0843374693")</f>
        <v>0843374693</v>
      </c>
      <c r="N1699" s="3">
        <f>IFERROR(__xludf.DUMMYFUNCTION("""COMPUTED_VALUE"""),22729.0)</f>
        <v>22729</v>
      </c>
      <c r="O1699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699" s="4">
        <f>IFERROR(__xludf.DUMMYFUNCTION("""COMPUTED_VALUE"""),44482.0)</f>
        <v>44482</v>
      </c>
      <c r="Q1699" s="3" t="str">
        <f>IFERROR(__xludf.DUMMYFUNCTION("""COMPUTED_VALUE"""),"A")</f>
        <v>A</v>
      </c>
      <c r="R1699" s="3" t="str">
        <f>IFERROR(__xludf.DUMMYFUNCTION("""COMPUTED_VALUE"""),"Small Format")</f>
        <v>Small Format</v>
      </c>
      <c r="S1699" s="3" t="str">
        <f>IFERROR(__xludf.DUMMYFUNCTION("""COMPUTED_VALUE"""),"BCM")</f>
        <v>BCM</v>
      </c>
      <c r="T1699" s="3" t="str">
        <f>IFERROR(__xludf.DUMMYFUNCTION("""COMPUTED_VALUE"""),"#N/A")</f>
        <v>#N/A</v>
      </c>
      <c r="U1699" s="3" t="str">
        <f>IFERROR(__xludf.DUMMYFUNCTION("""COMPUTED_VALUE"""),"#N/A")</f>
        <v>#N/A</v>
      </c>
      <c r="V1699" s="3" t="str">
        <f>IFERROR(__xludf.DUMMYFUNCTION("""COMPUTED_VALUE"""),"N")</f>
        <v>N</v>
      </c>
      <c r="W1699" s="3">
        <f>IFERROR(__xludf.DUMMYFUNCTION("""COMPUTED_VALUE"""),210443.0)</f>
        <v>210443</v>
      </c>
      <c r="X1699" s="3" t="str">
        <f>IFERROR(__xludf.DUMMYFUNCTION("""COMPUTED_VALUE"""),"19/2 หมู่8 ตำบลหนองบัว อำเภอเมืองกาญจนบุรี จังหวัดกาญจนบุรี 71190")</f>
        <v>19/2 หมู่8 ตำบลหนองบัว อำเภอเมืองกาญจนบุรี จังหวัดกาญจนบุรี 71190</v>
      </c>
      <c r="Y1699" s="3"/>
      <c r="Z1699" s="3" t="str">
        <f>IFERROR(__xludf.DUMMYFUNCTION("""COMPUTED_VALUE"""),"หนองบัว")</f>
        <v>หนองบัว</v>
      </c>
      <c r="AA1699" s="3" t="str">
        <f>IFERROR(__xludf.DUMMYFUNCTION("""COMPUTED_VALUE"""),"เมือง")</f>
        <v>เมือง</v>
      </c>
      <c r="AB1699" s="3" t="str">
        <f>IFERROR(__xludf.DUMMYFUNCTION("""COMPUTED_VALUE"""),"กาญจนบุรี")</f>
        <v>กาญจนบุรี</v>
      </c>
      <c r="AC1699" s="3">
        <f>IFERROR(__xludf.DUMMYFUNCTION("""COMPUTED_VALUE"""),71190.0)</f>
        <v>71190</v>
      </c>
      <c r="AD1699" s="3">
        <f>IFERROR(__xludf.DUMMYFUNCTION("""COMPUTED_VALUE"""),14.073886)</f>
        <v>14.073886</v>
      </c>
      <c r="AE1699" s="3">
        <f>IFERROR(__xludf.DUMMYFUNCTION("""COMPUTED_VALUE"""),99.446417)</f>
        <v>99.446417</v>
      </c>
      <c r="AF1699" s="3" t="str">
        <f>IFERROR(__xludf.DUMMYFUNCTION("""COMPUTED_VALUE"""),"MBC หนองบัวกาญจน์ กาญจนบุรี-22385")</f>
        <v>MBC หนองบัวกาญจน์ กาญจนบุรี-22385</v>
      </c>
      <c r="AG1699" s="3" t="str">
        <f>IFERROR(__xludf.DUMMYFUNCTION("""COMPUTED_VALUE"""),"ตะวันตก")</f>
        <v>ตะวันตก</v>
      </c>
      <c r="AH1699" s="3" t="str">
        <f>IFERROR(__xludf.DUMMYFUNCTION("""COMPUTED_VALUE"""),"#N/A")</f>
        <v>#N/A</v>
      </c>
      <c r="AI1699" s="3" t="str">
        <f>IFERROR(__xludf.DUMMYFUNCTION("""COMPUTED_VALUE"""),"Out of warranty")</f>
        <v>Out of warranty</v>
      </c>
      <c r="AJ1699" s="3">
        <f>IFERROR(__xludf.DUMMYFUNCTION("""COMPUTED_VALUE"""),52.0)</f>
        <v>52</v>
      </c>
      <c r="AK1699" s="3" t="str">
        <f>IFERROR(__xludf.DUMMYFUNCTION("""COMPUTED_VALUE"""),"MMS05")</f>
        <v>MMS05</v>
      </c>
      <c r="AL1699" s="3"/>
    </row>
    <row r="1700" ht="15.75" customHeight="1">
      <c r="A1700" s="1" t="str">
        <f>IFERROR(__xludf.DUMMYFUNCTION("""COMPUTED_VALUE"""),"22386")</f>
        <v>22386</v>
      </c>
      <c r="B1700" s="2">
        <f>IFERROR(__xludf.DUMMYFUNCTION("""COMPUTED_VALUE"""),22386.0)</f>
        <v>22386</v>
      </c>
      <c r="C1700" s="3" t="str">
        <f>IFERROR(__xludf.DUMMYFUNCTION("""COMPUTED_VALUE"""),"MBC อ.ส่องดาว สกลนคร")</f>
        <v>MBC อ.ส่องดาว สกลนคร</v>
      </c>
      <c r="D1700" s="3" t="str">
        <f>IFERROR(__xludf.DUMMYFUNCTION("""COMPUTED_VALUE"""),"BCM AMPHOE SONG DAO")</f>
        <v>BCM AMPHOE SONG DAO</v>
      </c>
      <c r="E1700" s="1" t="str">
        <f>IFERROR(__xludf.DUMMYFUNCTION("""COMPUTED_VALUE"""),"บิ๊กซี MINI")</f>
        <v>บิ๊กซี MINI</v>
      </c>
      <c r="F1700" s="1" t="str">
        <f>IFERROR(__xludf.DUMMYFUNCTION("""COMPUTED_VALUE"""),"291105")</f>
        <v>291105</v>
      </c>
      <c r="G1700" s="1" t="str">
        <f>IFERROR(__xludf.DUMMYFUNCTION("""COMPUTED_VALUE"""),"นายสราวุฒิ พณิชยกุล")</f>
        <v>นายสราวุฒิ พณิชยกุล</v>
      </c>
      <c r="H1700" s="1" t="str">
        <f>IFERROR(__xludf.DUMMYFUNCTION("""COMPUTED_VALUE"""),"392885")</f>
        <v>392885</v>
      </c>
      <c r="I1700" s="1" t="str">
        <f>IFERROR(__xludf.DUMMYFUNCTION("""COMPUTED_VALUE"""),"น.ส.วราพร จันปลิว")</f>
        <v>น.ส.วราพร จันปลิว</v>
      </c>
      <c r="J1700" s="3">
        <f>IFERROR(__xludf.DUMMYFUNCTION("""COMPUTED_VALUE"""),296868.0)</f>
        <v>296868</v>
      </c>
      <c r="K1700" s="3" t="str">
        <f>IFERROR(__xludf.DUMMYFUNCTION("""COMPUTED_VALUE"""),"นายพีระพงษ์ แก้วดวงดี")</f>
        <v>นายพีระพงษ์ แก้วดวงดี</v>
      </c>
      <c r="L1700" s="1" t="str">
        <f>IFERROR(__xludf.DUMMYFUNCTION("""COMPUTED_VALUE"""),"03 K.Peerapong K.")</f>
        <v>03 K.Peerapong K.</v>
      </c>
      <c r="M1700" s="1" t="str">
        <f>IFERROR(__xludf.DUMMYFUNCTION("""COMPUTED_VALUE"""),"089-002-6599")</f>
        <v>089-002-6599</v>
      </c>
      <c r="N1700" s="3">
        <f>IFERROR(__xludf.DUMMYFUNCTION("""COMPUTED_VALUE"""),21946.0)</f>
        <v>21946</v>
      </c>
      <c r="O1700" s="3" t="str">
        <f>IFERROR(__xludf.DUMMYFUNCTION("""COMPUTED_VALUE"""),"MBC เซกา บึงกาฬ")</f>
        <v>MBC เซกา บึงกาฬ</v>
      </c>
      <c r="P1700" s="4">
        <f>IFERROR(__xludf.DUMMYFUNCTION("""COMPUTED_VALUE"""),44485.0)</f>
        <v>44485</v>
      </c>
      <c r="Q1700" s="3" t="str">
        <f>IFERROR(__xludf.DUMMYFUNCTION("""COMPUTED_VALUE"""),"A")</f>
        <v>A</v>
      </c>
      <c r="R1700" s="3" t="str">
        <f>IFERROR(__xludf.DUMMYFUNCTION("""COMPUTED_VALUE"""),"Small Format")</f>
        <v>Small Format</v>
      </c>
      <c r="S1700" s="3" t="str">
        <f>IFERROR(__xludf.DUMMYFUNCTION("""COMPUTED_VALUE"""),"BCM")</f>
        <v>BCM</v>
      </c>
      <c r="T1700" s="3" t="str">
        <f>IFERROR(__xludf.DUMMYFUNCTION("""COMPUTED_VALUE"""),"#N/A")</f>
        <v>#N/A</v>
      </c>
      <c r="U1700" s="3" t="str">
        <f>IFERROR(__xludf.DUMMYFUNCTION("""COMPUTED_VALUE"""),"#N/A")</f>
        <v>#N/A</v>
      </c>
      <c r="V1700" s="3" t="str">
        <f>IFERROR(__xludf.DUMMYFUNCTION("""COMPUTED_VALUE"""),"N")</f>
        <v>N</v>
      </c>
      <c r="W1700" s="3">
        <f>IFERROR(__xludf.DUMMYFUNCTION("""COMPUTED_VALUE"""),210431.0)</f>
        <v>210431</v>
      </c>
      <c r="X1700" s="3" t="str">
        <f>IFERROR(__xludf.DUMMYFUNCTION("""COMPUTED_VALUE"""),"78 หมู่1 ตำบลส่องดาว อำเภอส่องดาว จังหวัดสกลนคร 47190")</f>
        <v>78 หมู่1 ตำบลส่องดาว อำเภอส่องดาว จังหวัดสกลนคร 47190</v>
      </c>
      <c r="Y1700" s="3"/>
      <c r="Z1700" s="3" t="str">
        <f>IFERROR(__xludf.DUMMYFUNCTION("""COMPUTED_VALUE"""),"ส่องดาว")</f>
        <v>ส่องดาว</v>
      </c>
      <c r="AA1700" s="3" t="str">
        <f>IFERROR(__xludf.DUMMYFUNCTION("""COMPUTED_VALUE"""),"ส่องดาว")</f>
        <v>ส่องดาว</v>
      </c>
      <c r="AB1700" s="3" t="str">
        <f>IFERROR(__xludf.DUMMYFUNCTION("""COMPUTED_VALUE"""),"สกลนคร")</f>
        <v>สกลนคร</v>
      </c>
      <c r="AC1700" s="3">
        <f>IFERROR(__xludf.DUMMYFUNCTION("""COMPUTED_VALUE"""),47190.0)</f>
        <v>47190</v>
      </c>
      <c r="AD1700" s="3">
        <f>IFERROR(__xludf.DUMMYFUNCTION("""COMPUTED_VALUE"""),17.336194)</f>
        <v>17.336194</v>
      </c>
      <c r="AE1700" s="3">
        <f>IFERROR(__xludf.DUMMYFUNCTION("""COMPUTED_VALUE"""),103.46487)</f>
        <v>103.46487</v>
      </c>
      <c r="AF1700" s="3" t="str">
        <f>IFERROR(__xludf.DUMMYFUNCTION("""COMPUTED_VALUE"""),"MBC อ.ส่องดาว สกลนคร-22386")</f>
        <v>MBC อ.ส่องดาว สกลนคร-22386</v>
      </c>
      <c r="AG1700" s="3" t="str">
        <f>IFERROR(__xludf.DUMMYFUNCTION("""COMPUTED_VALUE"""),"ตะวันออกเฉียงเหนือ")</f>
        <v>ตะวันออกเฉียงเหนือ</v>
      </c>
      <c r="AH1700" s="3" t="str">
        <f>IFERROR(__xludf.DUMMYFUNCTION("""COMPUTED_VALUE"""),"#N/A")</f>
        <v>#N/A</v>
      </c>
      <c r="AI1700" s="3" t="str">
        <f>IFERROR(__xludf.DUMMYFUNCTION("""COMPUTED_VALUE"""),"Out of warranty")</f>
        <v>Out of warranty</v>
      </c>
      <c r="AJ1700" s="3">
        <f>IFERROR(__xludf.DUMMYFUNCTION("""COMPUTED_VALUE"""),52.0)</f>
        <v>52</v>
      </c>
      <c r="AK1700" s="3" t="str">
        <f>IFERROR(__xludf.DUMMYFUNCTION("""COMPUTED_VALUE"""),"MMS12")</f>
        <v>MMS12</v>
      </c>
      <c r="AL1700" s="3"/>
    </row>
    <row r="1701" ht="15.75" customHeight="1">
      <c r="A1701" s="1" t="str">
        <f>IFERROR(__xludf.DUMMYFUNCTION("""COMPUTED_VALUE"""),"22387")</f>
        <v>22387</v>
      </c>
      <c r="B1701" s="2">
        <f>IFERROR(__xludf.DUMMYFUNCTION("""COMPUTED_VALUE"""),22387.0)</f>
        <v>22387</v>
      </c>
      <c r="C1701" s="3" t="str">
        <f>IFERROR(__xludf.DUMMYFUNCTION("""COMPUTED_VALUE"""),"MBC บ้านเลื่อม อุดรธานี")</f>
        <v>MBC บ้านเลื่อม อุดรธานี</v>
      </c>
      <c r="D1701" s="3" t="str">
        <f>IFERROR(__xludf.DUMMYFUNCTION("""COMPUTED_VALUE"""),"BCM BAN LUEAM")</f>
        <v>BCM BAN LUEAM</v>
      </c>
      <c r="E1701" s="1" t="str">
        <f>IFERROR(__xludf.DUMMYFUNCTION("""COMPUTED_VALUE"""),"บิ๊กซี MINI")</f>
        <v>บิ๊กซี MINI</v>
      </c>
      <c r="F1701" s="1" t="str">
        <f>IFERROR(__xludf.DUMMYFUNCTION("""COMPUTED_VALUE"""),"291105")</f>
        <v>291105</v>
      </c>
      <c r="G1701" s="1" t="str">
        <f>IFERROR(__xludf.DUMMYFUNCTION("""COMPUTED_VALUE"""),"นายสราวุฒิ พณิชยกุล")</f>
        <v>นายสราวุฒิ พณิชยกุล</v>
      </c>
      <c r="H1701" s="1" t="str">
        <f>IFERROR(__xludf.DUMMYFUNCTION("""COMPUTED_VALUE"""),"392005")</f>
        <v>392005</v>
      </c>
      <c r="I1701" s="1" t="str">
        <f>IFERROR(__xludf.DUMMYFUNCTION("""COMPUTED_VALUE"""),"นายรัฐพล หาญลำยวง")</f>
        <v>นายรัฐพล หาญลำยวง</v>
      </c>
      <c r="J1701" s="3">
        <f>IFERROR(__xludf.DUMMYFUNCTION("""COMPUTED_VALUE"""),296868.0)</f>
        <v>296868</v>
      </c>
      <c r="K1701" s="3" t="str">
        <f>IFERROR(__xludf.DUMMYFUNCTION("""COMPUTED_VALUE"""),"นายพีระพงษ์ แก้วดวงดี")</f>
        <v>นายพีระพงษ์ แก้วดวงดี</v>
      </c>
      <c r="L1701" s="1" t="str">
        <f>IFERROR(__xludf.DUMMYFUNCTION("""COMPUTED_VALUE"""),"03 K.Peerapong K.")</f>
        <v>03 K.Peerapong K.</v>
      </c>
      <c r="M1701" s="1" t="str">
        <f>IFERROR(__xludf.DUMMYFUNCTION("""COMPUTED_VALUE"""),"089-002-6599")</f>
        <v>089-002-6599</v>
      </c>
      <c r="N1701" s="3">
        <f>IFERROR(__xludf.DUMMYFUNCTION("""COMPUTED_VALUE"""),21946.0)</f>
        <v>21946</v>
      </c>
      <c r="O1701" s="3" t="str">
        <f>IFERROR(__xludf.DUMMYFUNCTION("""COMPUTED_VALUE"""),"MBC เซกา บึงกาฬ")</f>
        <v>MBC เซกา บึงกาฬ</v>
      </c>
      <c r="P1701" s="4">
        <f>IFERROR(__xludf.DUMMYFUNCTION("""COMPUTED_VALUE"""),44485.0)</f>
        <v>44485</v>
      </c>
      <c r="Q1701" s="3" t="str">
        <f>IFERROR(__xludf.DUMMYFUNCTION("""COMPUTED_VALUE"""),"A")</f>
        <v>A</v>
      </c>
      <c r="R1701" s="3" t="str">
        <f>IFERROR(__xludf.DUMMYFUNCTION("""COMPUTED_VALUE"""),"Small Format")</f>
        <v>Small Format</v>
      </c>
      <c r="S1701" s="3" t="str">
        <f>IFERROR(__xludf.DUMMYFUNCTION("""COMPUTED_VALUE"""),"BCM")</f>
        <v>BCM</v>
      </c>
      <c r="T1701" s="3" t="str">
        <f>IFERROR(__xludf.DUMMYFUNCTION("""COMPUTED_VALUE"""),"#N/A")</f>
        <v>#N/A</v>
      </c>
      <c r="U1701" s="3" t="str">
        <f>IFERROR(__xludf.DUMMYFUNCTION("""COMPUTED_VALUE"""),"#N/A")</f>
        <v>#N/A</v>
      </c>
      <c r="V1701" s="3" t="str">
        <f>IFERROR(__xludf.DUMMYFUNCTION("""COMPUTED_VALUE"""),"N")</f>
        <v>N</v>
      </c>
      <c r="W1701" s="3">
        <f>IFERROR(__xludf.DUMMYFUNCTION("""COMPUTED_VALUE"""),211984.0)</f>
        <v>211984</v>
      </c>
      <c r="X1701" s="3" t="str">
        <f>IFERROR(__xludf.DUMMYFUNCTION("""COMPUTED_VALUE"""),"672 หมู่1 ตำบลบ้านเลื่อม อำเภอเมืองอุดรธานี จังหวัดอุดรธานี 41000")</f>
        <v>672 หมู่1 ตำบลบ้านเลื่อม อำเภอเมืองอุดรธานี จังหวัดอุดรธานี 41000</v>
      </c>
      <c r="Y1701" s="3"/>
      <c r="Z1701" s="3" t="str">
        <f>IFERROR(__xludf.DUMMYFUNCTION("""COMPUTED_VALUE"""),"บ้านเลื่อม")</f>
        <v>บ้านเลื่อม</v>
      </c>
      <c r="AA1701" s="3" t="str">
        <f>IFERROR(__xludf.DUMMYFUNCTION("""COMPUTED_VALUE"""),"เมือง")</f>
        <v>เมือง</v>
      </c>
      <c r="AB1701" s="3" t="str">
        <f>IFERROR(__xludf.DUMMYFUNCTION("""COMPUTED_VALUE"""),"อุดรธานี")</f>
        <v>อุดรธานี</v>
      </c>
      <c r="AC1701" s="3">
        <f>IFERROR(__xludf.DUMMYFUNCTION("""COMPUTED_VALUE"""),41000.0)</f>
        <v>41000</v>
      </c>
      <c r="AD1701" s="3">
        <f>IFERROR(__xludf.DUMMYFUNCTION("""COMPUTED_VALUE"""),17.42584039)</f>
        <v>17.42584039</v>
      </c>
      <c r="AE1701" s="3">
        <f>IFERROR(__xludf.DUMMYFUNCTION("""COMPUTED_VALUE"""),102.7657126)</f>
        <v>102.7657126</v>
      </c>
      <c r="AF1701" s="3" t="str">
        <f>IFERROR(__xludf.DUMMYFUNCTION("""COMPUTED_VALUE"""),"MBC บ้านเลื่อม อุดรธานี-22387")</f>
        <v>MBC บ้านเลื่อม อุดรธานี-22387</v>
      </c>
      <c r="AG1701" s="3" t="str">
        <f>IFERROR(__xludf.DUMMYFUNCTION("""COMPUTED_VALUE"""),"ตะวันออกเฉียงเหนือ")</f>
        <v>ตะวันออกเฉียงเหนือ</v>
      </c>
      <c r="AH1701" s="3" t="str">
        <f>IFERROR(__xludf.DUMMYFUNCTION("""COMPUTED_VALUE"""),"#N/A")</f>
        <v>#N/A</v>
      </c>
      <c r="AI1701" s="3" t="str">
        <f>IFERROR(__xludf.DUMMYFUNCTION("""COMPUTED_VALUE"""),"Out of warranty")</f>
        <v>Out of warranty</v>
      </c>
      <c r="AJ1701" s="3">
        <f>IFERROR(__xludf.DUMMYFUNCTION("""COMPUTED_VALUE"""),52.0)</f>
        <v>52</v>
      </c>
      <c r="AK1701" s="3" t="str">
        <f>IFERROR(__xludf.DUMMYFUNCTION("""COMPUTED_VALUE"""),"MMS12")</f>
        <v>MMS12</v>
      </c>
      <c r="AL1701" s="3"/>
    </row>
    <row r="1702" ht="15.75" customHeight="1">
      <c r="A1702" s="1" t="str">
        <f>IFERROR(__xludf.DUMMYFUNCTION("""COMPUTED_VALUE"""),"22388")</f>
        <v>22388</v>
      </c>
      <c r="B1702" s="2">
        <f>IFERROR(__xludf.DUMMYFUNCTION("""COMPUTED_VALUE"""),22388.0)</f>
        <v>22388</v>
      </c>
      <c r="C1702" s="3" t="str">
        <f>IFERROR(__xludf.DUMMYFUNCTION("""COMPUTED_VALUE"""),"MBC ซ.หมอย้อย-ศรีราชา ชลบุรี")</f>
        <v>MBC ซ.หมอย้อย-ศรีราชา ชลบุรี</v>
      </c>
      <c r="D1702" s="3" t="str">
        <f>IFERROR(__xludf.DUMMYFUNCTION("""COMPUTED_VALUE"""),"BCM SOI MOR YOI - SIRACHA")</f>
        <v>BCM SOI MOR YOI - SIRACHA</v>
      </c>
      <c r="E1702" s="1" t="str">
        <f>IFERROR(__xludf.DUMMYFUNCTION("""COMPUTED_VALUE"""),"บิ๊กซี MINI")</f>
        <v>บิ๊กซี MINI</v>
      </c>
      <c r="F1702" s="1" t="str">
        <f>IFERROR(__xludf.DUMMYFUNCTION("""COMPUTED_VALUE"""),"221716")</f>
        <v>221716</v>
      </c>
      <c r="G1702" s="1" t="str">
        <f>IFERROR(__xludf.DUMMYFUNCTION("""COMPUTED_VALUE"""),"น.ส.เบญจพร โพธิสาร")</f>
        <v>น.ส.เบญจพร โพธิสาร</v>
      </c>
      <c r="H1702" s="1" t="str">
        <f>IFERROR(__xludf.DUMMYFUNCTION("""COMPUTED_VALUE"""),"476018")</f>
        <v>476018</v>
      </c>
      <c r="I1702" s="1" t="str">
        <f>IFERROR(__xludf.DUMMYFUNCTION("""COMPUTED_VALUE"""),"นายศราวุฒิ ชูพันดุง")</f>
        <v>นายศราวุฒิ ชูพันดุง</v>
      </c>
      <c r="J1702" s="3">
        <f>IFERROR(__xludf.DUMMYFUNCTION("""COMPUTED_VALUE"""),1.3461215E7)</f>
        <v>13461215</v>
      </c>
      <c r="K1702" s="3" t="str">
        <f>IFERROR(__xludf.DUMMYFUNCTION("""COMPUTED_VALUE"""),"นายธีรภัทร สังข์เงิน")</f>
        <v>นายธีรภัทร สังข์เงิน</v>
      </c>
      <c r="L1702" s="1" t="str">
        <f>IFERROR(__xludf.DUMMYFUNCTION("""COMPUTED_VALUE"""),"06 K.Teerapat")</f>
        <v>06 K.Teerapat</v>
      </c>
      <c r="M1702" s="1" t="str">
        <f>IFERROR(__xludf.DUMMYFUNCTION("""COMPUTED_VALUE"""),"063-601-6803")</f>
        <v>063-601-6803</v>
      </c>
      <c r="N1702" s="3">
        <f>IFERROR(__xludf.DUMMYFUNCTION("""COMPUTED_VALUE"""),22115.0)</f>
        <v>22115</v>
      </c>
      <c r="O1702" s="3" t="str">
        <f>IFERROR(__xludf.DUMMYFUNCTION("""COMPUTED_VALUE"""),"MBC เลี่ยงหนองมน ชลบุรี")</f>
        <v>MBC เลี่ยงหนองมน ชลบุรี</v>
      </c>
      <c r="P1702" s="4">
        <f>IFERROR(__xludf.DUMMYFUNCTION("""COMPUTED_VALUE"""),44498.0)</f>
        <v>44498</v>
      </c>
      <c r="Q1702" s="3" t="str">
        <f>IFERROR(__xludf.DUMMYFUNCTION("""COMPUTED_VALUE"""),"A")</f>
        <v>A</v>
      </c>
      <c r="R1702" s="3" t="str">
        <f>IFERROR(__xludf.DUMMYFUNCTION("""COMPUTED_VALUE"""),"Small Format")</f>
        <v>Small Format</v>
      </c>
      <c r="S1702" s="3" t="str">
        <f>IFERROR(__xludf.DUMMYFUNCTION("""COMPUTED_VALUE"""),"BCM")</f>
        <v>BCM</v>
      </c>
      <c r="T1702" s="3" t="str">
        <f>IFERROR(__xludf.DUMMYFUNCTION("""COMPUTED_VALUE"""),"#N/A")</f>
        <v>#N/A</v>
      </c>
      <c r="U1702" s="3" t="str">
        <f>IFERROR(__xludf.DUMMYFUNCTION("""COMPUTED_VALUE"""),"#N/A")</f>
        <v>#N/A</v>
      </c>
      <c r="V1702" s="3" t="str">
        <f>IFERROR(__xludf.DUMMYFUNCTION("""COMPUTED_VALUE"""),"N")</f>
        <v>N</v>
      </c>
      <c r="W1702" s="3">
        <f>IFERROR(__xludf.DUMMYFUNCTION("""COMPUTED_VALUE"""),210446.0)</f>
        <v>210446</v>
      </c>
      <c r="X1702" s="3" t="str">
        <f>IFERROR(__xludf.DUMMYFUNCTION("""COMPUTED_VALUE"""),"323/70 หมู่8 ตำบลสุรศักดิ์ อำเภอศรีราชา จังหวัดชลบุรี 20110")</f>
        <v>323/70 หมู่8 ตำบลสุรศักดิ์ อำเภอศรีราชา จังหวัดชลบุรี 20110</v>
      </c>
      <c r="Y1702" s="3"/>
      <c r="Z1702" s="3" t="str">
        <f>IFERROR(__xludf.DUMMYFUNCTION("""COMPUTED_VALUE"""),"สุรศักดิ์")</f>
        <v>สุรศักดิ์</v>
      </c>
      <c r="AA1702" s="3" t="str">
        <f>IFERROR(__xludf.DUMMYFUNCTION("""COMPUTED_VALUE"""),"ศรีราชา")</f>
        <v>ศรีราชา</v>
      </c>
      <c r="AB1702" s="3" t="str">
        <f>IFERROR(__xludf.DUMMYFUNCTION("""COMPUTED_VALUE"""),"ชลบุรี")</f>
        <v>ชลบุรี</v>
      </c>
      <c r="AC1702" s="3">
        <f>IFERROR(__xludf.DUMMYFUNCTION("""COMPUTED_VALUE"""),20110.0)</f>
        <v>20110</v>
      </c>
      <c r="AD1702" s="3">
        <f>IFERROR(__xludf.DUMMYFUNCTION("""COMPUTED_VALUE"""),13.146208)</f>
        <v>13.146208</v>
      </c>
      <c r="AE1702" s="3">
        <f>IFERROR(__xludf.DUMMYFUNCTION("""COMPUTED_VALUE"""),100.950367)</f>
        <v>100.950367</v>
      </c>
      <c r="AF1702" s="3" t="str">
        <f>IFERROR(__xludf.DUMMYFUNCTION("""COMPUTED_VALUE"""),"MBC ซ.หมอย้อย-ศรีราชา ชลบุรี-22388")</f>
        <v>MBC ซ.หมอย้อย-ศรีราชา ชลบุรี-22388</v>
      </c>
      <c r="AG1702" s="3" t="str">
        <f>IFERROR(__xludf.DUMMYFUNCTION("""COMPUTED_VALUE"""),"ตะวันออก")</f>
        <v>ตะวันออก</v>
      </c>
      <c r="AH1702" s="3" t="str">
        <f>IFERROR(__xludf.DUMMYFUNCTION("""COMPUTED_VALUE"""),"#N/A")</f>
        <v>#N/A</v>
      </c>
      <c r="AI1702" s="3" t="str">
        <f>IFERROR(__xludf.DUMMYFUNCTION("""COMPUTED_VALUE"""),"Out of warranty")</f>
        <v>Out of warranty</v>
      </c>
      <c r="AJ1702" s="3">
        <f>IFERROR(__xludf.DUMMYFUNCTION("""COMPUTED_VALUE"""),51.0)</f>
        <v>51</v>
      </c>
      <c r="AK1702" s="3" t="str">
        <f>IFERROR(__xludf.DUMMYFUNCTION("""COMPUTED_VALUE"""),"MMS06")</f>
        <v>MMS06</v>
      </c>
      <c r="AL1702" s="3"/>
    </row>
    <row r="1703" ht="15.75" customHeight="1">
      <c r="A1703" s="1" t="str">
        <f>IFERROR(__xludf.DUMMYFUNCTION("""COMPUTED_VALUE"""),"22389")</f>
        <v>22389</v>
      </c>
      <c r="B1703" s="2">
        <f>IFERROR(__xludf.DUMMYFUNCTION("""COMPUTED_VALUE"""),22389.0)</f>
        <v>22389</v>
      </c>
      <c r="C1703" s="3" t="str">
        <f>IFERROR(__xludf.DUMMYFUNCTION("""COMPUTED_VALUE"""),"MBC เชียงดาว เชียงใหม่")</f>
        <v>MBC เชียงดาว เชียงใหม่</v>
      </c>
      <c r="D1703" s="3" t="str">
        <f>IFERROR(__xludf.DUMMYFUNCTION("""COMPUTED_VALUE"""),"BCM CHIANG DAO")</f>
        <v>BCM CHIANG DAO</v>
      </c>
      <c r="E1703" s="1" t="str">
        <f>IFERROR(__xludf.DUMMYFUNCTION("""COMPUTED_VALUE"""),"บิ๊กซี MINI")</f>
        <v>บิ๊กซี MINI</v>
      </c>
      <c r="F1703" s="1" t="str">
        <f>IFERROR(__xludf.DUMMYFUNCTION("""COMPUTED_VALUE"""),"296229")</f>
        <v>296229</v>
      </c>
      <c r="G1703" s="1" t="str">
        <f>IFERROR(__xludf.DUMMYFUNCTION("""COMPUTED_VALUE"""),"นายทนงศักดิ์ บุญมา")</f>
        <v>นายทนงศักดิ์ บุญมา</v>
      </c>
      <c r="H1703" s="1" t="str">
        <f>IFERROR(__xludf.DUMMYFUNCTION("""COMPUTED_VALUE"""),"393402")</f>
        <v>393402</v>
      </c>
      <c r="I1703" s="1" t="str">
        <f>IFERROR(__xludf.DUMMYFUNCTION("""COMPUTED_VALUE"""),"น.ส.ปารมิตา ใจตรง")</f>
        <v>น.ส.ปารมิตา ใจตรง</v>
      </c>
      <c r="J1703" s="3">
        <f>IFERROR(__xludf.DUMMYFUNCTION("""COMPUTED_VALUE"""),2010016.0)</f>
        <v>2010016</v>
      </c>
      <c r="K1703" s="3" t="str">
        <f>IFERROR(__xludf.DUMMYFUNCTION("""COMPUTED_VALUE"""),"นายตวงธรรม ใหม่ยศ")</f>
        <v>นายตวงธรรม ใหม่ยศ</v>
      </c>
      <c r="L1703" s="1" t="str">
        <f>IFERROR(__xludf.DUMMYFUNCTION("""COMPUTED_VALUE"""),"01 K.Tuangtham M.")</f>
        <v>01 K.Tuangtham M.</v>
      </c>
      <c r="M1703" s="1" t="str">
        <f>IFERROR(__xludf.DUMMYFUNCTION("""COMPUTED_VALUE"""),"063-976-595")</f>
        <v>063-976-595</v>
      </c>
      <c r="N1703" s="3">
        <f>IFERROR(__xludf.DUMMYFUNCTION("""COMPUTED_VALUE"""),22574.0)</f>
        <v>22574</v>
      </c>
      <c r="O1703" s="3" t="str">
        <f>IFERROR(__xludf.DUMMYFUNCTION("""COMPUTED_VALUE"""),"BCM ชุมชนศรีชุม ลำปาง")</f>
        <v>BCM ชุมชนศรีชุม ลำปาง</v>
      </c>
      <c r="P1703" s="4">
        <f>IFERROR(__xludf.DUMMYFUNCTION("""COMPUTED_VALUE"""),44518.0)</f>
        <v>44518</v>
      </c>
      <c r="Q1703" s="3" t="str">
        <f>IFERROR(__xludf.DUMMYFUNCTION("""COMPUTED_VALUE"""),"A")</f>
        <v>A</v>
      </c>
      <c r="R1703" s="3" t="str">
        <f>IFERROR(__xludf.DUMMYFUNCTION("""COMPUTED_VALUE"""),"Small Format")</f>
        <v>Small Format</v>
      </c>
      <c r="S1703" s="3" t="str">
        <f>IFERROR(__xludf.DUMMYFUNCTION("""COMPUTED_VALUE"""),"BCM")</f>
        <v>BCM</v>
      </c>
      <c r="T1703" s="3" t="str">
        <f>IFERROR(__xludf.DUMMYFUNCTION("""COMPUTED_VALUE"""),"#N/A")</f>
        <v>#N/A</v>
      </c>
      <c r="U1703" s="3" t="str">
        <f>IFERROR(__xludf.DUMMYFUNCTION("""COMPUTED_VALUE"""),"#N/A")</f>
        <v>#N/A</v>
      </c>
      <c r="V1703" s="3" t="str">
        <f>IFERROR(__xludf.DUMMYFUNCTION("""COMPUTED_VALUE"""),"N")</f>
        <v>N</v>
      </c>
      <c r="W1703" s="3">
        <f>IFERROR(__xludf.DUMMYFUNCTION("""COMPUTED_VALUE"""),210409.0)</f>
        <v>210409</v>
      </c>
      <c r="X1703" s="3" t="str">
        <f>IFERROR(__xludf.DUMMYFUNCTION("""COMPUTED_VALUE"""),"613 หมู่6 ตำบลเชียงดาว อำเภอเชียงดาว จังหวัดเชียงใหม่ 50170")</f>
        <v>613 หมู่6 ตำบลเชียงดาว อำเภอเชียงดาว จังหวัดเชียงใหม่ 50170</v>
      </c>
      <c r="Y1703" s="3"/>
      <c r="Z1703" s="3" t="str">
        <f>IFERROR(__xludf.DUMMYFUNCTION("""COMPUTED_VALUE"""),"เชียงดาว")</f>
        <v>เชียงดาว</v>
      </c>
      <c r="AA1703" s="3" t="str">
        <f>IFERROR(__xludf.DUMMYFUNCTION("""COMPUTED_VALUE"""),"เชียงดาว")</f>
        <v>เชียงดาว</v>
      </c>
      <c r="AB1703" s="3" t="str">
        <f>IFERROR(__xludf.DUMMYFUNCTION("""COMPUTED_VALUE"""),"เชียงใหม่")</f>
        <v>เชียงใหม่</v>
      </c>
      <c r="AC1703" s="3">
        <f>IFERROR(__xludf.DUMMYFUNCTION("""COMPUTED_VALUE"""),50170.0)</f>
        <v>50170</v>
      </c>
      <c r="AD1703" s="3">
        <f>IFERROR(__xludf.DUMMYFUNCTION("""COMPUTED_VALUE"""),19.373798)</f>
        <v>19.373798</v>
      </c>
      <c r="AE1703" s="3">
        <f>IFERROR(__xludf.DUMMYFUNCTION("""COMPUTED_VALUE"""),98.966061)</f>
        <v>98.966061</v>
      </c>
      <c r="AF1703" s="3" t="str">
        <f>IFERROR(__xludf.DUMMYFUNCTION("""COMPUTED_VALUE"""),"MBC เชียงดาว เชียงใหม่-22389")</f>
        <v>MBC เชียงดาว เชียงใหม่-22389</v>
      </c>
      <c r="AG1703" s="3" t="str">
        <f>IFERROR(__xludf.DUMMYFUNCTION("""COMPUTED_VALUE"""),"เหนือ")</f>
        <v>เหนือ</v>
      </c>
      <c r="AH1703" s="3" t="str">
        <f>IFERROR(__xludf.DUMMYFUNCTION("""COMPUTED_VALUE"""),"#N/A")</f>
        <v>#N/A</v>
      </c>
      <c r="AI1703" s="3" t="str">
        <f>IFERROR(__xludf.DUMMYFUNCTION("""COMPUTED_VALUE"""),"Out of warranty")</f>
        <v>Out of warranty</v>
      </c>
      <c r="AJ1703" s="3">
        <f>IFERROR(__xludf.DUMMYFUNCTION("""COMPUTED_VALUE"""),51.0)</f>
        <v>51</v>
      </c>
      <c r="AK1703" s="3" t="str">
        <f>IFERROR(__xludf.DUMMYFUNCTION("""COMPUTED_VALUE"""),"MMS10")</f>
        <v>MMS10</v>
      </c>
      <c r="AL1703" s="3"/>
    </row>
    <row r="1704" ht="15.75" customHeight="1">
      <c r="A1704" s="1" t="str">
        <f>IFERROR(__xludf.DUMMYFUNCTION("""COMPUTED_VALUE"""),"22390")</f>
        <v>22390</v>
      </c>
      <c r="B1704" s="2">
        <f>IFERROR(__xludf.DUMMYFUNCTION("""COMPUTED_VALUE"""),22390.0)</f>
        <v>22390</v>
      </c>
      <c r="C1704" s="3" t="str">
        <f>IFERROR(__xludf.DUMMYFUNCTION("""COMPUTED_VALUE"""),"MBC อ.สองพี่น้อง สุพรรณบุรี")</f>
        <v>MBC อ.สองพี่น้อง สุพรรณบุรี</v>
      </c>
      <c r="D1704" s="3" t="str">
        <f>IFERROR(__xludf.DUMMYFUNCTION("""COMPUTED_VALUE"""),"BCM AMPHUR SONG PHI NONG")</f>
        <v>BCM AMPHUR SONG PHI NONG</v>
      </c>
      <c r="E1704" s="1" t="str">
        <f>IFERROR(__xludf.DUMMYFUNCTION("""COMPUTED_VALUE"""),"บิ๊กซี MINI")</f>
        <v>บิ๊กซี MINI</v>
      </c>
      <c r="F1704" s="1" t="str">
        <f>IFERROR(__xludf.DUMMYFUNCTION("""COMPUTED_VALUE"""),"296229")</f>
        <v>296229</v>
      </c>
      <c r="G1704" s="1" t="str">
        <f>IFERROR(__xludf.DUMMYFUNCTION("""COMPUTED_VALUE"""),"นายทนงศักดิ์ บุญมา")</f>
        <v>นายทนงศักดิ์ บุญมา</v>
      </c>
      <c r="H1704" s="1" t="str">
        <f>IFERROR(__xludf.DUMMYFUNCTION("""COMPUTED_VALUE"""),"318186")</f>
        <v>318186</v>
      </c>
      <c r="I1704" s="1" t="str">
        <f>IFERROR(__xludf.DUMMYFUNCTION("""COMPUTED_VALUE"""),"น.ส.พนมวัลย์ เรืองรัตน์")</f>
        <v>น.ส.พนมวัลย์ เรืองรัตน์</v>
      </c>
      <c r="J1704" s="3">
        <f>IFERROR(__xludf.DUMMYFUNCTION("""COMPUTED_VALUE"""),46214.0)</f>
        <v>46214</v>
      </c>
      <c r="K1704" s="3" t="str">
        <f>IFERROR(__xludf.DUMMYFUNCTION("""COMPUTED_VALUE"""),"นายศักดิ์ชัย เด็ดดอกฟ้า")</f>
        <v>นายศักดิ์ชัย เด็ดดอกฟ้า</v>
      </c>
      <c r="L1704" s="1" t="str">
        <f>IFERROR(__xludf.DUMMYFUNCTION("""COMPUTED_VALUE"""),"02 K.Sakchai D")</f>
        <v>02 K.Sakchai D</v>
      </c>
      <c r="M1704" s="1" t="str">
        <f>IFERROR(__xludf.DUMMYFUNCTION("""COMPUTED_VALUE"""),"065-510-7376")</f>
        <v>065-510-7376</v>
      </c>
      <c r="N1704" s="3">
        <f>IFERROR(__xludf.DUMMYFUNCTION("""COMPUTED_VALUE"""),21714.0)</f>
        <v>21714</v>
      </c>
      <c r="O1704" s="3" t="str">
        <f>IFERROR(__xludf.DUMMYFUNCTION("""COMPUTED_VALUE"""),"MBC เอสโซ่ วัดโบสถ์")</f>
        <v>MBC เอสโซ่ วัดโบสถ์</v>
      </c>
      <c r="P1704" s="4">
        <f>IFERROR(__xludf.DUMMYFUNCTION("""COMPUTED_VALUE"""),44495.0)</f>
        <v>44495</v>
      </c>
      <c r="Q1704" s="3" t="str">
        <f>IFERROR(__xludf.DUMMYFUNCTION("""COMPUTED_VALUE"""),"I")</f>
        <v>I</v>
      </c>
      <c r="R1704" s="3" t="str">
        <f>IFERROR(__xludf.DUMMYFUNCTION("""COMPUTED_VALUE"""),"Small Format")</f>
        <v>Small Format</v>
      </c>
      <c r="S1704" s="3" t="str">
        <f>IFERROR(__xludf.DUMMYFUNCTION("""COMPUTED_VALUE"""),"BCM")</f>
        <v>BCM</v>
      </c>
      <c r="T1704" s="3" t="str">
        <f>IFERROR(__xludf.DUMMYFUNCTION("""COMPUTED_VALUE"""),"#N/A")</f>
        <v>#N/A</v>
      </c>
      <c r="U1704" s="3" t="str">
        <f>IFERROR(__xludf.DUMMYFUNCTION("""COMPUTED_VALUE"""),"#N/A")</f>
        <v>#N/A</v>
      </c>
      <c r="V1704" s="3" t="str">
        <f>IFERROR(__xludf.DUMMYFUNCTION("""COMPUTED_VALUE"""),"N")</f>
        <v>N</v>
      </c>
      <c r="W1704" s="3">
        <f>IFERROR(__xludf.DUMMYFUNCTION("""COMPUTED_VALUE"""),210439.0)</f>
        <v>210439</v>
      </c>
      <c r="X1704" s="3" t="str">
        <f>IFERROR(__xludf.DUMMYFUNCTION("""COMPUTED_VALUE"""),"9 ถนนบางลี่-หนองวัลย์เปรียง ตำบลสองพี่น้อง อำเภอสองพี่น้อง จังหวัดสุพรรณบุรี 72110")</f>
        <v>9 ถนนบางลี่-หนองวัลย์เปรียง ตำบลสองพี่น้อง อำเภอสองพี่น้อง จังหวัดสุพรรณบุรี 72110</v>
      </c>
      <c r="Y1704" s="3" t="str">
        <f>IFERROR(__xludf.DUMMYFUNCTION("""COMPUTED_VALUE"""),"บางลี่-หนองวัลย์เปรียง")</f>
        <v>บางลี่-หนองวัลย์เปรียง</v>
      </c>
      <c r="Z1704" s="3" t="str">
        <f>IFERROR(__xludf.DUMMYFUNCTION("""COMPUTED_VALUE"""),"สองพี่น้อง")</f>
        <v>สองพี่น้อง</v>
      </c>
      <c r="AA1704" s="3" t="str">
        <f>IFERROR(__xludf.DUMMYFUNCTION("""COMPUTED_VALUE"""),"สองพี่น้อง")</f>
        <v>สองพี่น้อง</v>
      </c>
      <c r="AB1704" s="3" t="str">
        <f>IFERROR(__xludf.DUMMYFUNCTION("""COMPUTED_VALUE"""),"สุพรรณบุรี")</f>
        <v>สุพรรณบุรี</v>
      </c>
      <c r="AC1704" s="3">
        <f>IFERROR(__xludf.DUMMYFUNCTION("""COMPUTED_VALUE"""),72110.0)</f>
        <v>72110</v>
      </c>
      <c r="AD1704" s="3">
        <f>IFERROR(__xludf.DUMMYFUNCTION("""COMPUTED_VALUE"""),14.230658)</f>
        <v>14.230658</v>
      </c>
      <c r="AE1704" s="3">
        <f>IFERROR(__xludf.DUMMYFUNCTION("""COMPUTED_VALUE"""),100.035149)</f>
        <v>100.035149</v>
      </c>
      <c r="AF1704" s="3" t="str">
        <f>IFERROR(__xludf.DUMMYFUNCTION("""COMPUTED_VALUE"""),"MBC อ.สองพี่น้อง สุพรรณบุรี-22390")</f>
        <v>MBC อ.สองพี่น้อง สุพรรณบุรี-22390</v>
      </c>
      <c r="AG1704" s="3" t="str">
        <f>IFERROR(__xludf.DUMMYFUNCTION("""COMPUTED_VALUE"""),"กลาง")</f>
        <v>กลาง</v>
      </c>
      <c r="AH1704" s="3" t="str">
        <f>IFERROR(__xludf.DUMMYFUNCTION("""COMPUTED_VALUE"""),"#N/A")</f>
        <v>#N/A</v>
      </c>
      <c r="AI1704" s="3" t="str">
        <f>IFERROR(__xludf.DUMMYFUNCTION("""COMPUTED_VALUE"""),"Out of warranty")</f>
        <v>Out of warranty</v>
      </c>
      <c r="AJ1704" s="3">
        <f>IFERROR(__xludf.DUMMYFUNCTION("""COMPUTED_VALUE"""),51.0)</f>
        <v>51</v>
      </c>
      <c r="AK1704" s="3" t="str">
        <f>IFERROR(__xludf.DUMMYFUNCTION("""COMPUTED_VALUE"""),"MMS09")</f>
        <v>MMS09</v>
      </c>
      <c r="AL1704" s="3"/>
    </row>
    <row r="1705" ht="15.75" customHeight="1">
      <c r="A1705" s="1" t="str">
        <f>IFERROR(__xludf.DUMMYFUNCTION("""COMPUTED_VALUE"""),"22391")</f>
        <v>22391</v>
      </c>
      <c r="B1705" s="2">
        <f>IFERROR(__xludf.DUMMYFUNCTION("""COMPUTED_VALUE"""),22391.0)</f>
        <v>22391</v>
      </c>
      <c r="C1705" s="3" t="str">
        <f>IFERROR(__xludf.DUMMYFUNCTION("""COMPUTED_VALUE"""),"MBC โขดหิน-เขาไผ่ ระยอง")</f>
        <v>MBC โขดหิน-เขาไผ่ ระยอง</v>
      </c>
      <c r="D1705" s="3" t="str">
        <f>IFERROR(__xludf.DUMMYFUNCTION("""COMPUTED_VALUE"""),"BCM KHODHIN-KHAOPHAI")</f>
        <v>BCM KHODHIN-KHAOPHAI</v>
      </c>
      <c r="E1705" s="1" t="str">
        <f>IFERROR(__xludf.DUMMYFUNCTION("""COMPUTED_VALUE"""),"บิ๊กซี MINI")</f>
        <v>บิ๊กซี MINI</v>
      </c>
      <c r="F1705" s="1" t="str">
        <f>IFERROR(__xludf.DUMMYFUNCTION("""COMPUTED_VALUE"""),"221716")</f>
        <v>221716</v>
      </c>
      <c r="G1705" s="1" t="str">
        <f>IFERROR(__xludf.DUMMYFUNCTION("""COMPUTED_VALUE"""),"น.ส.เบญจพร โพธิสาร")</f>
        <v>น.ส.เบญจพร โพธิสาร</v>
      </c>
      <c r="H1705" s="1" t="str">
        <f>IFERROR(__xludf.DUMMYFUNCTION("""COMPUTED_VALUE"""),"359233")</f>
        <v>359233</v>
      </c>
      <c r="I1705" s="1" t="str">
        <f>IFERROR(__xludf.DUMMYFUNCTION("""COMPUTED_VALUE"""),"น.ส.ปยุดา คำมีอ่อน")</f>
        <v>น.ส.ปยุดา คำมีอ่อน</v>
      </c>
      <c r="J1705" s="3">
        <f>IFERROR(__xludf.DUMMYFUNCTION("""COMPUTED_VALUE"""),2452376.0)</f>
        <v>2452376</v>
      </c>
      <c r="K1705" s="3" t="str">
        <f>IFERROR(__xludf.DUMMYFUNCTION("""COMPUTED_VALUE"""),"นายภาคภูมิ ทวีกุล")</f>
        <v>นายภาคภูมิ ทวีกุล</v>
      </c>
      <c r="L1705" s="1" t="str">
        <f>IFERROR(__xludf.DUMMYFUNCTION("""COMPUTED_VALUE"""),"08 K.Parkphum T.")</f>
        <v>08 K.Parkphum T.</v>
      </c>
      <c r="M1705" s="1" t="str">
        <f>IFERROR(__xludf.DUMMYFUNCTION("""COMPUTED_VALUE"""),"097-919-5476")</f>
        <v>097-919-5476</v>
      </c>
      <c r="N1705" s="3">
        <f>IFERROR(__xludf.DUMMYFUNCTION("""COMPUTED_VALUE"""),22028.0)</f>
        <v>22028</v>
      </c>
      <c r="O1705" s="3" t="str">
        <f>IFERROR(__xludf.DUMMYFUNCTION("""COMPUTED_VALUE"""),"MBC ทํบมา ระยอง")</f>
        <v>MBC ทํบมา ระยอง</v>
      </c>
      <c r="P1705" s="4">
        <f>IFERROR(__xludf.DUMMYFUNCTION("""COMPUTED_VALUE"""),44495.0)</f>
        <v>44495</v>
      </c>
      <c r="Q1705" s="3" t="str">
        <f>IFERROR(__xludf.DUMMYFUNCTION("""COMPUTED_VALUE"""),"A")</f>
        <v>A</v>
      </c>
      <c r="R1705" s="3" t="str">
        <f>IFERROR(__xludf.DUMMYFUNCTION("""COMPUTED_VALUE"""),"Small Format")</f>
        <v>Small Format</v>
      </c>
      <c r="S1705" s="3" t="str">
        <f>IFERROR(__xludf.DUMMYFUNCTION("""COMPUTED_VALUE"""),"BCM")</f>
        <v>BCM</v>
      </c>
      <c r="T1705" s="3" t="str">
        <f>IFERROR(__xludf.DUMMYFUNCTION("""COMPUTED_VALUE"""),"#N/A")</f>
        <v>#N/A</v>
      </c>
      <c r="U1705" s="3" t="str">
        <f>IFERROR(__xludf.DUMMYFUNCTION("""COMPUTED_VALUE"""),"#N/A")</f>
        <v>#N/A</v>
      </c>
      <c r="V1705" s="3" t="str">
        <f>IFERROR(__xludf.DUMMYFUNCTION("""COMPUTED_VALUE"""),"N")</f>
        <v>N</v>
      </c>
      <c r="W1705" s="3">
        <f>IFERROR(__xludf.DUMMYFUNCTION("""COMPUTED_VALUE"""),210410.0)</f>
        <v>210410</v>
      </c>
      <c r="X1705" s="3" t="str">
        <f>IFERROR(__xludf.DUMMYFUNCTION("""COMPUTED_VALUE"""),"98/40 ถนนวัดโขนหิน-เขาไผ่ ตำบลทับมา อำเภอเมืองระยอง จังหวัดระยอง 21000")</f>
        <v>98/40 ถนนวัดโขนหิน-เขาไผ่ ตำบลทับมา อำเภอเมืองระยอง จังหวัดระยอง 21000</v>
      </c>
      <c r="Y1705" s="3" t="str">
        <f>IFERROR(__xludf.DUMMYFUNCTION("""COMPUTED_VALUE"""),"วัดโขนหิน-เขาไผ่")</f>
        <v>วัดโขนหิน-เขาไผ่</v>
      </c>
      <c r="Z1705" s="3" t="str">
        <f>IFERROR(__xludf.DUMMYFUNCTION("""COMPUTED_VALUE"""),"ทับมา")</f>
        <v>ทับมา</v>
      </c>
      <c r="AA1705" s="3" t="str">
        <f>IFERROR(__xludf.DUMMYFUNCTION("""COMPUTED_VALUE"""),"เมือง")</f>
        <v>เมือง</v>
      </c>
      <c r="AB1705" s="3" t="str">
        <f>IFERROR(__xludf.DUMMYFUNCTION("""COMPUTED_VALUE"""),"ระยอง")</f>
        <v>ระยอง</v>
      </c>
      <c r="AC1705" s="3">
        <f>IFERROR(__xludf.DUMMYFUNCTION("""COMPUTED_VALUE"""),21000.0)</f>
        <v>21000</v>
      </c>
      <c r="AD1705" s="3">
        <f>IFERROR(__xludf.DUMMYFUNCTION("""COMPUTED_VALUE"""),12.711621)</f>
        <v>12.711621</v>
      </c>
      <c r="AE1705" s="3">
        <f>IFERROR(__xludf.DUMMYFUNCTION("""COMPUTED_VALUE"""),101.205852)</f>
        <v>101.205852</v>
      </c>
      <c r="AF1705" s="3" t="str">
        <f>IFERROR(__xludf.DUMMYFUNCTION("""COMPUTED_VALUE"""),"MBC โขดหิน-เขาไผ่ ระยอง-22391")</f>
        <v>MBC โขดหิน-เขาไผ่ ระยอง-22391</v>
      </c>
      <c r="AG1705" s="3" t="str">
        <f>IFERROR(__xludf.DUMMYFUNCTION("""COMPUTED_VALUE"""),"ตะวันออก")</f>
        <v>ตะวันออก</v>
      </c>
      <c r="AH1705" s="3" t="str">
        <f>IFERROR(__xludf.DUMMYFUNCTION("""COMPUTED_VALUE"""),"#N/A")</f>
        <v>#N/A</v>
      </c>
      <c r="AI1705" s="3" t="str">
        <f>IFERROR(__xludf.DUMMYFUNCTION("""COMPUTED_VALUE"""),"Out of warranty")</f>
        <v>Out of warranty</v>
      </c>
      <c r="AJ1705" s="3">
        <f>IFERROR(__xludf.DUMMYFUNCTION("""COMPUTED_VALUE"""),51.0)</f>
        <v>51</v>
      </c>
      <c r="AK1705" s="3" t="str">
        <f>IFERROR(__xludf.DUMMYFUNCTION("""COMPUTED_VALUE"""),"MMS08")</f>
        <v>MMS08</v>
      </c>
      <c r="AL1705" s="3"/>
    </row>
    <row r="1706" ht="15.75" customHeight="1">
      <c r="A1706" s="1" t="str">
        <f>IFERROR(__xludf.DUMMYFUNCTION("""COMPUTED_VALUE"""),"22392")</f>
        <v>22392</v>
      </c>
      <c r="B1706" s="2">
        <f>IFERROR(__xludf.DUMMYFUNCTION("""COMPUTED_VALUE"""),22392.0)</f>
        <v>22392</v>
      </c>
      <c r="C1706" s="3" t="str">
        <f>IFERROR(__xludf.DUMMYFUNCTION("""COMPUTED_VALUE"""),"MBC ตันหยงมัส 2 นราธิวาส")</f>
        <v>MBC ตันหยงมัส 2 นราธิวาส</v>
      </c>
      <c r="D1706" s="3" t="str">
        <f>IFERROR(__xludf.DUMMYFUNCTION("""COMPUTED_VALUE"""),"BCM TAN YONG MAS 2")</f>
        <v>BCM TAN YONG MAS 2</v>
      </c>
      <c r="E1706" s="1" t="str">
        <f>IFERROR(__xludf.DUMMYFUNCTION("""COMPUTED_VALUE"""),"บิ๊กซี MINI")</f>
        <v>บิ๊กซี MINI</v>
      </c>
      <c r="F1706" s="1" t="str">
        <f>IFERROR(__xludf.DUMMYFUNCTION("""COMPUTED_VALUE"""),"250760")</f>
        <v>250760</v>
      </c>
      <c r="G1706" s="1" t="str">
        <f>IFERROR(__xludf.DUMMYFUNCTION("""COMPUTED_VALUE"""),"นายประทวน สาราบรรณ์")</f>
        <v>นายประทวน สาราบรรณ์</v>
      </c>
      <c r="H1706" s="1" t="str">
        <f>IFERROR(__xludf.DUMMYFUNCTION("""COMPUTED_VALUE"""),"006583")</f>
        <v>006583</v>
      </c>
      <c r="I1706" s="1" t="str">
        <f>IFERROR(__xludf.DUMMYFUNCTION("""COMPUTED_VALUE"""),"นายเด่น ยะอิง")</f>
        <v>นายเด่น ยะอิง</v>
      </c>
      <c r="J1706" s="3">
        <f>IFERROR(__xludf.DUMMYFUNCTION("""COMPUTED_VALUE"""),2.0470331E7)</f>
        <v>20470331</v>
      </c>
      <c r="K1706" s="3" t="str">
        <f>IFERROR(__xludf.DUMMYFUNCTION("""COMPUTED_VALUE"""),"นายสมชาย ลักษณะสุวรรณ")</f>
        <v>นายสมชาย ลักษณะสุวรรณ</v>
      </c>
      <c r="L1706" s="1" t="str">
        <f>IFERROR(__xludf.DUMMYFUNCTION("""COMPUTED_VALUE"""),"15 K.Somchai L")</f>
        <v>15 K.Somchai L</v>
      </c>
      <c r="M1706" s="1" t="str">
        <f>IFERROR(__xludf.DUMMYFUNCTION("""COMPUTED_VALUE"""),"0655107372")</f>
        <v>0655107372</v>
      </c>
      <c r="N1706" s="3">
        <f>IFERROR(__xludf.DUMMYFUNCTION("""COMPUTED_VALUE"""),21723.0)</f>
        <v>21723</v>
      </c>
      <c r="O1706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06" s="4">
        <f>IFERROR(__xludf.DUMMYFUNCTION("""COMPUTED_VALUE"""),44498.0)</f>
        <v>44498</v>
      </c>
      <c r="Q1706" s="3" t="str">
        <f>IFERROR(__xludf.DUMMYFUNCTION("""COMPUTED_VALUE"""),"A")</f>
        <v>A</v>
      </c>
      <c r="R1706" s="3" t="str">
        <f>IFERROR(__xludf.DUMMYFUNCTION("""COMPUTED_VALUE"""),"Small Format")</f>
        <v>Small Format</v>
      </c>
      <c r="S1706" s="3" t="str">
        <f>IFERROR(__xludf.DUMMYFUNCTION("""COMPUTED_VALUE"""),"BCM")</f>
        <v>BCM</v>
      </c>
      <c r="T1706" s="3" t="str">
        <f>IFERROR(__xludf.DUMMYFUNCTION("""COMPUTED_VALUE"""),"#N/A")</f>
        <v>#N/A</v>
      </c>
      <c r="U1706" s="3" t="str">
        <f>IFERROR(__xludf.DUMMYFUNCTION("""COMPUTED_VALUE"""),"#N/A")</f>
        <v>#N/A</v>
      </c>
      <c r="V1706" s="3" t="str">
        <f>IFERROR(__xludf.DUMMYFUNCTION("""COMPUTED_VALUE"""),"N")</f>
        <v>N</v>
      </c>
      <c r="W1706" s="3">
        <f>IFERROR(__xludf.DUMMYFUNCTION("""COMPUTED_VALUE"""),210460.0)</f>
        <v>210460</v>
      </c>
      <c r="X1706" s="3" t="str">
        <f>IFERROR(__xludf.DUMMYFUNCTION("""COMPUTED_VALUE"""),"104 หมู่1 ถนนระแงะมรรคา ตำบลตันหยงมัส อำเภอระแงะ จังหวัดนราธิวาส 96130")</f>
        <v>104 หมู่1 ถนนระแงะมรรคา ตำบลตันหยงมัส อำเภอระแงะ จังหวัดนราธิวาส 96130</v>
      </c>
      <c r="Y1706" s="3" t="str">
        <f>IFERROR(__xludf.DUMMYFUNCTION("""COMPUTED_VALUE"""),"ระแงะมรรคา")</f>
        <v>ระแงะมรรคา</v>
      </c>
      <c r="Z1706" s="3" t="str">
        <f>IFERROR(__xludf.DUMMYFUNCTION("""COMPUTED_VALUE"""),"ตันหยงมัส")</f>
        <v>ตันหยงมัส</v>
      </c>
      <c r="AA1706" s="3" t="str">
        <f>IFERROR(__xludf.DUMMYFUNCTION("""COMPUTED_VALUE"""),"ระแงะ")</f>
        <v>ระแงะ</v>
      </c>
      <c r="AB1706" s="3" t="str">
        <f>IFERROR(__xludf.DUMMYFUNCTION("""COMPUTED_VALUE"""),"นราธิวาส")</f>
        <v>นราธิวาส</v>
      </c>
      <c r="AC1706" s="3">
        <f>IFERROR(__xludf.DUMMYFUNCTION("""COMPUTED_VALUE"""),96130.0)</f>
        <v>96130</v>
      </c>
      <c r="AD1706" s="3">
        <f>IFERROR(__xludf.DUMMYFUNCTION("""COMPUTED_VALUE"""),6.296433)</f>
        <v>6.296433</v>
      </c>
      <c r="AE1706" s="3">
        <f>IFERROR(__xludf.DUMMYFUNCTION("""COMPUTED_VALUE"""),101.723717)</f>
        <v>101.723717</v>
      </c>
      <c r="AF1706" s="3" t="str">
        <f>IFERROR(__xludf.DUMMYFUNCTION("""COMPUTED_VALUE"""),"MBC ตันหยงมัส 2 นราธิวาส-22392")</f>
        <v>MBC ตันหยงมัส 2 นราธิวาส-22392</v>
      </c>
      <c r="AG1706" s="3" t="str">
        <f>IFERROR(__xludf.DUMMYFUNCTION("""COMPUTED_VALUE"""),"ใต้")</f>
        <v>ใต้</v>
      </c>
      <c r="AH1706" s="3" t="str">
        <f>IFERROR(__xludf.DUMMYFUNCTION("""COMPUTED_VALUE"""),"#N/A")</f>
        <v>#N/A</v>
      </c>
      <c r="AI1706" s="3" t="str">
        <f>IFERROR(__xludf.DUMMYFUNCTION("""COMPUTED_VALUE"""),"Out of warranty")</f>
        <v>Out of warranty</v>
      </c>
      <c r="AJ1706" s="3">
        <f>IFERROR(__xludf.DUMMYFUNCTION("""COMPUTED_VALUE"""),51.0)</f>
        <v>51</v>
      </c>
      <c r="AK1706" s="3" t="str">
        <f>IFERROR(__xludf.DUMMYFUNCTION("""COMPUTED_VALUE"""),"MMS16")</f>
        <v>MMS16</v>
      </c>
      <c r="AL1706" s="3"/>
    </row>
    <row r="1707" ht="15.75" customHeight="1">
      <c r="A1707" s="1" t="str">
        <f>IFERROR(__xludf.DUMMYFUNCTION("""COMPUTED_VALUE"""),"22393")</f>
        <v>22393</v>
      </c>
      <c r="B1707" s="2">
        <f>IFERROR(__xludf.DUMMYFUNCTION("""COMPUTED_VALUE"""),22393.0)</f>
        <v>22393</v>
      </c>
      <c r="C1707" s="3" t="str">
        <f>IFERROR(__xludf.DUMMYFUNCTION("""COMPUTED_VALUE"""),"MBC ตาบา นราธิวาส")</f>
        <v>MBC ตาบา นราธิวาส</v>
      </c>
      <c r="D1707" s="3" t="str">
        <f>IFERROR(__xludf.DUMMYFUNCTION("""COMPUTED_VALUE"""),"BCM TABA NARATHIWAT")</f>
        <v>BCM TABA NARATHIWAT</v>
      </c>
      <c r="E1707" s="1" t="str">
        <f>IFERROR(__xludf.DUMMYFUNCTION("""COMPUTED_VALUE"""),"บิ๊กซี MINI")</f>
        <v>บิ๊กซี MINI</v>
      </c>
      <c r="F1707" s="1" t="str">
        <f>IFERROR(__xludf.DUMMYFUNCTION("""COMPUTED_VALUE"""),"250760")</f>
        <v>250760</v>
      </c>
      <c r="G1707" s="1" t="str">
        <f>IFERROR(__xludf.DUMMYFUNCTION("""COMPUTED_VALUE"""),"นายประทวน สาราบรรณ์")</f>
        <v>นายประทวน สาราบรรณ์</v>
      </c>
      <c r="H1707" s="1" t="str">
        <f>IFERROR(__xludf.DUMMYFUNCTION("""COMPUTED_VALUE"""),"006583")</f>
        <v>006583</v>
      </c>
      <c r="I1707" s="1" t="str">
        <f>IFERROR(__xludf.DUMMYFUNCTION("""COMPUTED_VALUE"""),"นายเด่น ยะอิง")</f>
        <v>นายเด่น ยะอิง</v>
      </c>
      <c r="J1707" s="3">
        <f>IFERROR(__xludf.DUMMYFUNCTION("""COMPUTED_VALUE"""),2.0470331E7)</f>
        <v>20470331</v>
      </c>
      <c r="K1707" s="3" t="str">
        <f>IFERROR(__xludf.DUMMYFUNCTION("""COMPUTED_VALUE"""),"นายสมชาย ลักษณะสุวรรณ")</f>
        <v>นายสมชาย ลักษณะสุวรรณ</v>
      </c>
      <c r="L1707" s="1" t="str">
        <f>IFERROR(__xludf.DUMMYFUNCTION("""COMPUTED_VALUE"""),"15 K.Somchai L")</f>
        <v>15 K.Somchai L</v>
      </c>
      <c r="M1707" s="1" t="str">
        <f>IFERROR(__xludf.DUMMYFUNCTION("""COMPUTED_VALUE"""),"0655107372")</f>
        <v>0655107372</v>
      </c>
      <c r="N1707" s="3">
        <f>IFERROR(__xludf.DUMMYFUNCTION("""COMPUTED_VALUE"""),21723.0)</f>
        <v>21723</v>
      </c>
      <c r="O1707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07" s="4">
        <f>IFERROR(__xludf.DUMMYFUNCTION("""COMPUTED_VALUE"""),44508.0)</f>
        <v>44508</v>
      </c>
      <c r="Q1707" s="3" t="str">
        <f>IFERROR(__xludf.DUMMYFUNCTION("""COMPUTED_VALUE"""),"A")</f>
        <v>A</v>
      </c>
      <c r="R1707" s="3" t="str">
        <f>IFERROR(__xludf.DUMMYFUNCTION("""COMPUTED_VALUE"""),"Small Format")</f>
        <v>Small Format</v>
      </c>
      <c r="S1707" s="3" t="str">
        <f>IFERROR(__xludf.DUMMYFUNCTION("""COMPUTED_VALUE"""),"BCM")</f>
        <v>BCM</v>
      </c>
      <c r="T1707" s="3" t="str">
        <f>IFERROR(__xludf.DUMMYFUNCTION("""COMPUTED_VALUE"""),"#N/A")</f>
        <v>#N/A</v>
      </c>
      <c r="U1707" s="3" t="str">
        <f>IFERROR(__xludf.DUMMYFUNCTION("""COMPUTED_VALUE"""),"#N/A")</f>
        <v>#N/A</v>
      </c>
      <c r="V1707" s="3" t="str">
        <f>IFERROR(__xludf.DUMMYFUNCTION("""COMPUTED_VALUE"""),"N")</f>
        <v>N</v>
      </c>
      <c r="W1707" s="3">
        <f>IFERROR(__xludf.DUMMYFUNCTION("""COMPUTED_VALUE"""),210461.0)</f>
        <v>210461</v>
      </c>
      <c r="X1707" s="3" t="str">
        <f>IFERROR(__xludf.DUMMYFUNCTION("""COMPUTED_VALUE"""),"502/12 หมู่1 ตำบลเจ๊ะเห อำเภอตากใบ จังหวัดนราธิวาส 96110")</f>
        <v>502/12 หมู่1 ตำบลเจ๊ะเห อำเภอตากใบ จังหวัดนราธิวาส 96110</v>
      </c>
      <c r="Y1707" s="3"/>
      <c r="Z1707" s="3" t="str">
        <f>IFERROR(__xludf.DUMMYFUNCTION("""COMPUTED_VALUE"""),"เจ๊ะเห")</f>
        <v>เจ๊ะเห</v>
      </c>
      <c r="AA1707" s="3" t="str">
        <f>IFERROR(__xludf.DUMMYFUNCTION("""COMPUTED_VALUE"""),"ตากใบ")</f>
        <v>ตากใบ</v>
      </c>
      <c r="AB1707" s="3" t="str">
        <f>IFERROR(__xludf.DUMMYFUNCTION("""COMPUTED_VALUE"""),"นราธิวาส")</f>
        <v>นราธิวาส</v>
      </c>
      <c r="AC1707" s="3">
        <f>IFERROR(__xludf.DUMMYFUNCTION("""COMPUTED_VALUE"""),96110.0)</f>
        <v>96110</v>
      </c>
      <c r="AD1707" s="3">
        <f>IFERROR(__xludf.DUMMYFUNCTION("""COMPUTED_VALUE"""),6.237869)</f>
        <v>6.237869</v>
      </c>
      <c r="AE1707" s="3">
        <f>IFERROR(__xludf.DUMMYFUNCTION("""COMPUTED_VALUE"""),102.084291)</f>
        <v>102.084291</v>
      </c>
      <c r="AF1707" s="3" t="str">
        <f>IFERROR(__xludf.DUMMYFUNCTION("""COMPUTED_VALUE"""),"MBC ตาบา นราธิวาส-22393")</f>
        <v>MBC ตาบา นราธิวาส-22393</v>
      </c>
      <c r="AG1707" s="3" t="str">
        <f>IFERROR(__xludf.DUMMYFUNCTION("""COMPUTED_VALUE"""),"ใต้")</f>
        <v>ใต้</v>
      </c>
      <c r="AH1707" s="3" t="str">
        <f>IFERROR(__xludf.DUMMYFUNCTION("""COMPUTED_VALUE"""),"#N/A")</f>
        <v>#N/A</v>
      </c>
      <c r="AI1707" s="3" t="str">
        <f>IFERROR(__xludf.DUMMYFUNCTION("""COMPUTED_VALUE"""),"Out of warranty")</f>
        <v>Out of warranty</v>
      </c>
      <c r="AJ1707" s="3">
        <f>IFERROR(__xludf.DUMMYFUNCTION("""COMPUTED_VALUE"""),51.0)</f>
        <v>51</v>
      </c>
      <c r="AK1707" s="3" t="str">
        <f>IFERROR(__xludf.DUMMYFUNCTION("""COMPUTED_VALUE"""),"MMS16")</f>
        <v>MMS16</v>
      </c>
      <c r="AL1707" s="3"/>
    </row>
    <row r="1708" ht="15.75" customHeight="1">
      <c r="A1708" s="1" t="str">
        <f>IFERROR(__xludf.DUMMYFUNCTION("""COMPUTED_VALUE"""),"22394")</f>
        <v>22394</v>
      </c>
      <c r="B1708" s="2">
        <f>IFERROR(__xludf.DUMMYFUNCTION("""COMPUTED_VALUE"""),22394.0)</f>
        <v>22394</v>
      </c>
      <c r="C1708" s="3" t="str">
        <f>IFERROR(__xludf.DUMMYFUNCTION("""COMPUTED_VALUE"""),"MBC แม่แจ่ม เชียงใหม่")</f>
        <v>MBC แม่แจ่ม เชียงใหม่</v>
      </c>
      <c r="D1708" s="3" t="str">
        <f>IFERROR(__xludf.DUMMYFUNCTION("""COMPUTED_VALUE"""),"BCM MEA CHAEM (OPT.2)")</f>
        <v>BCM MEA CHAEM (OPT.2)</v>
      </c>
      <c r="E1708" s="1" t="str">
        <f>IFERROR(__xludf.DUMMYFUNCTION("""COMPUTED_VALUE"""),"บิ๊กซี MINI")</f>
        <v>บิ๊กซี MINI</v>
      </c>
      <c r="F1708" s="1" t="str">
        <f>IFERROR(__xludf.DUMMYFUNCTION("""COMPUTED_VALUE"""),"296229")</f>
        <v>296229</v>
      </c>
      <c r="G1708" s="1" t="str">
        <f>IFERROR(__xludf.DUMMYFUNCTION("""COMPUTED_VALUE"""),"นายทนงศักดิ์ บุญมา")</f>
        <v>นายทนงศักดิ์ บุญมา</v>
      </c>
      <c r="H1708" s="1" t="str">
        <f>IFERROR(__xludf.DUMMYFUNCTION("""COMPUTED_VALUE"""),"392003")</f>
        <v>392003</v>
      </c>
      <c r="I1708" s="1" t="str">
        <f>IFERROR(__xludf.DUMMYFUNCTION("""COMPUTED_VALUE"""),"นายวรภพ เศษสูงเนิน")</f>
        <v>นายวรภพ เศษสูงเนิน</v>
      </c>
      <c r="J1708" s="3">
        <f>IFERROR(__xludf.DUMMYFUNCTION("""COMPUTED_VALUE"""),2010016.0)</f>
        <v>2010016</v>
      </c>
      <c r="K1708" s="3" t="str">
        <f>IFERROR(__xludf.DUMMYFUNCTION("""COMPUTED_VALUE"""),"นายตวงธรรม ใหม่ยศ")</f>
        <v>นายตวงธรรม ใหม่ยศ</v>
      </c>
      <c r="L1708" s="1" t="str">
        <f>IFERROR(__xludf.DUMMYFUNCTION("""COMPUTED_VALUE"""),"01 K.Tuangtham M.")</f>
        <v>01 K.Tuangtham M.</v>
      </c>
      <c r="M1708" s="1" t="str">
        <f>IFERROR(__xludf.DUMMYFUNCTION("""COMPUTED_VALUE"""),"063-976-595")</f>
        <v>063-976-595</v>
      </c>
      <c r="N1708" s="3">
        <f>IFERROR(__xludf.DUMMYFUNCTION("""COMPUTED_VALUE"""),22574.0)</f>
        <v>22574</v>
      </c>
      <c r="O1708" s="3" t="str">
        <f>IFERROR(__xludf.DUMMYFUNCTION("""COMPUTED_VALUE"""),"BCM ชุมชนศรีชุม ลำปาง")</f>
        <v>BCM ชุมชนศรีชุม ลำปาง</v>
      </c>
      <c r="P1708" s="4">
        <f>IFERROR(__xludf.DUMMYFUNCTION("""COMPUTED_VALUE"""),44500.0)</f>
        <v>44500</v>
      </c>
      <c r="Q1708" s="3" t="str">
        <f>IFERROR(__xludf.DUMMYFUNCTION("""COMPUTED_VALUE"""),"A")</f>
        <v>A</v>
      </c>
      <c r="R1708" s="3" t="str">
        <f>IFERROR(__xludf.DUMMYFUNCTION("""COMPUTED_VALUE"""),"Small Format")</f>
        <v>Small Format</v>
      </c>
      <c r="S1708" s="3" t="str">
        <f>IFERROR(__xludf.DUMMYFUNCTION("""COMPUTED_VALUE"""),"BCM")</f>
        <v>BCM</v>
      </c>
      <c r="T1708" s="3" t="str">
        <f>IFERROR(__xludf.DUMMYFUNCTION("""COMPUTED_VALUE"""),"#N/A")</f>
        <v>#N/A</v>
      </c>
      <c r="U1708" s="3" t="str">
        <f>IFERROR(__xludf.DUMMYFUNCTION("""COMPUTED_VALUE"""),"#N/A")</f>
        <v>#N/A</v>
      </c>
      <c r="V1708" s="3" t="str">
        <f>IFERROR(__xludf.DUMMYFUNCTION("""COMPUTED_VALUE"""),"N")</f>
        <v>N</v>
      </c>
      <c r="W1708" s="3">
        <f>IFERROR(__xludf.DUMMYFUNCTION("""COMPUTED_VALUE"""),210421.0)</f>
        <v>210421</v>
      </c>
      <c r="X1708" s="3" t="str">
        <f>IFERROR(__xludf.DUMMYFUNCTION("""COMPUTED_VALUE"""),"127 หมู่3 ตำบลช่างเคิ่ง อำเภอแม่แจ่ม จังหวัดเชียงใหม่ 50270")</f>
        <v>127 หมู่3 ตำบลช่างเคิ่ง อำเภอแม่แจ่ม จังหวัดเชียงใหม่ 50270</v>
      </c>
      <c r="Y1708" s="3"/>
      <c r="Z1708" s="3" t="str">
        <f>IFERROR(__xludf.DUMMYFUNCTION("""COMPUTED_VALUE"""),"ช่างเคิ่ง")</f>
        <v>ช่างเคิ่ง</v>
      </c>
      <c r="AA1708" s="3" t="str">
        <f>IFERROR(__xludf.DUMMYFUNCTION("""COMPUTED_VALUE"""),"แม่แจ่ม")</f>
        <v>แม่แจ่ม</v>
      </c>
      <c r="AB1708" s="3" t="str">
        <f>IFERROR(__xludf.DUMMYFUNCTION("""COMPUTED_VALUE"""),"เชียงใหม่")</f>
        <v>เชียงใหม่</v>
      </c>
      <c r="AC1708" s="3">
        <f>IFERROR(__xludf.DUMMYFUNCTION("""COMPUTED_VALUE"""),50270.0)</f>
        <v>50270</v>
      </c>
      <c r="AD1708" s="3">
        <f>IFERROR(__xludf.DUMMYFUNCTION("""COMPUTED_VALUE"""),18.501408)</f>
        <v>18.501408</v>
      </c>
      <c r="AE1708" s="3">
        <f>IFERROR(__xludf.DUMMYFUNCTION("""COMPUTED_VALUE"""),98.361921)</f>
        <v>98.361921</v>
      </c>
      <c r="AF1708" s="3" t="str">
        <f>IFERROR(__xludf.DUMMYFUNCTION("""COMPUTED_VALUE"""),"MBC แม่แจ่ม เชียงใหม่-22394")</f>
        <v>MBC แม่แจ่ม เชียงใหม่-22394</v>
      </c>
      <c r="AG1708" s="3" t="str">
        <f>IFERROR(__xludf.DUMMYFUNCTION("""COMPUTED_VALUE"""),"เหนือ")</f>
        <v>เหนือ</v>
      </c>
      <c r="AH1708" s="3" t="str">
        <f>IFERROR(__xludf.DUMMYFUNCTION("""COMPUTED_VALUE"""),"#N/A")</f>
        <v>#N/A</v>
      </c>
      <c r="AI1708" s="3" t="str">
        <f>IFERROR(__xludf.DUMMYFUNCTION("""COMPUTED_VALUE"""),"Out of warranty")</f>
        <v>Out of warranty</v>
      </c>
      <c r="AJ1708" s="3">
        <f>IFERROR(__xludf.DUMMYFUNCTION("""COMPUTED_VALUE"""),51.0)</f>
        <v>51</v>
      </c>
      <c r="AK1708" s="3" t="str">
        <f>IFERROR(__xludf.DUMMYFUNCTION("""COMPUTED_VALUE"""),"MMS10")</f>
        <v>MMS10</v>
      </c>
      <c r="AL1708" s="3"/>
    </row>
    <row r="1709" ht="15.75" customHeight="1">
      <c r="A1709" s="1" t="str">
        <f>IFERROR(__xludf.DUMMYFUNCTION("""COMPUTED_VALUE"""),"22395")</f>
        <v>22395</v>
      </c>
      <c r="B1709" s="2">
        <f>IFERROR(__xludf.DUMMYFUNCTION("""COMPUTED_VALUE"""),22395.0)</f>
        <v>22395</v>
      </c>
      <c r="C1709" s="3" t="str">
        <f>IFERROR(__xludf.DUMMYFUNCTION("""COMPUTED_VALUE"""),"MBC บ้านโกตามารู ยะลา")</f>
        <v>MBC บ้านโกตามารู ยะลา</v>
      </c>
      <c r="D1709" s="3" t="str">
        <f>IFERROR(__xludf.DUMMYFUNCTION("""COMPUTED_VALUE"""),"BCM BAN KOTA BHARU")</f>
        <v>BCM BAN KOTA BHARU</v>
      </c>
      <c r="E1709" s="1" t="str">
        <f>IFERROR(__xludf.DUMMYFUNCTION("""COMPUTED_VALUE"""),"บิ๊กซี MINI")</f>
        <v>บิ๊กซี MINI</v>
      </c>
      <c r="F1709" s="1" t="str">
        <f>IFERROR(__xludf.DUMMYFUNCTION("""COMPUTED_VALUE"""),"250760")</f>
        <v>250760</v>
      </c>
      <c r="G1709" s="1" t="str">
        <f>IFERROR(__xludf.DUMMYFUNCTION("""COMPUTED_VALUE"""),"นายประทวน สาราบรรณ์")</f>
        <v>นายประทวน สาราบรรณ์</v>
      </c>
      <c r="H1709" s="1" t="str">
        <f>IFERROR(__xludf.DUMMYFUNCTION("""COMPUTED_VALUE"""),"485279")</f>
        <v>485279</v>
      </c>
      <c r="I1709" s="1" t="str">
        <f>IFERROR(__xludf.DUMMYFUNCTION("""COMPUTED_VALUE"""),"นายสิริพงศ์ ชูชื่น")</f>
        <v>นายสิริพงศ์ ชูชื่น</v>
      </c>
      <c r="J1709" s="3">
        <f>IFERROR(__xludf.DUMMYFUNCTION("""COMPUTED_VALUE"""),2.0470331E7)</f>
        <v>20470331</v>
      </c>
      <c r="K1709" s="3" t="str">
        <f>IFERROR(__xludf.DUMMYFUNCTION("""COMPUTED_VALUE"""),"นายสมชาย ลักษณะสุวรรณ")</f>
        <v>นายสมชาย ลักษณะสุวรรณ</v>
      </c>
      <c r="L1709" s="1" t="str">
        <f>IFERROR(__xludf.DUMMYFUNCTION("""COMPUTED_VALUE"""),"15 K.Somchai L")</f>
        <v>15 K.Somchai L</v>
      </c>
      <c r="M1709" s="1" t="str">
        <f>IFERROR(__xludf.DUMMYFUNCTION("""COMPUTED_VALUE"""),"0655107372")</f>
        <v>0655107372</v>
      </c>
      <c r="N1709" s="3">
        <f>IFERROR(__xludf.DUMMYFUNCTION("""COMPUTED_VALUE"""),21723.0)</f>
        <v>21723</v>
      </c>
      <c r="O1709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09" s="4">
        <f>IFERROR(__xludf.DUMMYFUNCTION("""COMPUTED_VALUE"""),44511.0)</f>
        <v>44511</v>
      </c>
      <c r="Q1709" s="3" t="str">
        <f>IFERROR(__xludf.DUMMYFUNCTION("""COMPUTED_VALUE"""),"A")</f>
        <v>A</v>
      </c>
      <c r="R1709" s="3" t="str">
        <f>IFERROR(__xludf.DUMMYFUNCTION("""COMPUTED_VALUE"""),"Small Format")</f>
        <v>Small Format</v>
      </c>
      <c r="S1709" s="3" t="str">
        <f>IFERROR(__xludf.DUMMYFUNCTION("""COMPUTED_VALUE"""),"BCM")</f>
        <v>BCM</v>
      </c>
      <c r="T1709" s="3" t="str">
        <f>IFERROR(__xludf.DUMMYFUNCTION("""COMPUTED_VALUE"""),"#N/A")</f>
        <v>#N/A</v>
      </c>
      <c r="U1709" s="3" t="str">
        <f>IFERROR(__xludf.DUMMYFUNCTION("""COMPUTED_VALUE"""),"#N/A")</f>
        <v>#N/A</v>
      </c>
      <c r="V1709" s="3" t="str">
        <f>IFERROR(__xludf.DUMMYFUNCTION("""COMPUTED_VALUE"""),"N")</f>
        <v>N</v>
      </c>
      <c r="W1709" s="3">
        <f>IFERROR(__xludf.DUMMYFUNCTION("""COMPUTED_VALUE"""),210453.0)</f>
        <v>210453</v>
      </c>
      <c r="X1709" s="3" t="str">
        <f>IFERROR(__xludf.DUMMYFUNCTION("""COMPUTED_VALUE"""),"243 หมู่1 ถนนยะลา - โกตา ตำบลโกตาบารู อำเภอรามัน จังหวัดยะลา 95140")</f>
        <v>243 หมู่1 ถนนยะลา - โกตา ตำบลโกตาบารู อำเภอรามัน จังหวัดยะลา 95140</v>
      </c>
      <c r="Y1709" s="3" t="str">
        <f>IFERROR(__xludf.DUMMYFUNCTION("""COMPUTED_VALUE"""),"ยะลา-โกตา")</f>
        <v>ยะลา-โกตา</v>
      </c>
      <c r="Z1709" s="3" t="str">
        <f>IFERROR(__xludf.DUMMYFUNCTION("""COMPUTED_VALUE"""),"โกตาบารู")</f>
        <v>โกตาบารู</v>
      </c>
      <c r="AA1709" s="3" t="str">
        <f>IFERROR(__xludf.DUMMYFUNCTION("""COMPUTED_VALUE"""),"รามัน")</f>
        <v>รามัน</v>
      </c>
      <c r="AB1709" s="3" t="str">
        <f>IFERROR(__xludf.DUMMYFUNCTION("""COMPUTED_VALUE"""),"ยะลา")</f>
        <v>ยะลา</v>
      </c>
      <c r="AC1709" s="3">
        <f>IFERROR(__xludf.DUMMYFUNCTION("""COMPUTED_VALUE"""),95140.0)</f>
        <v>95140</v>
      </c>
      <c r="AD1709" s="3">
        <f>IFERROR(__xludf.DUMMYFUNCTION("""COMPUTED_VALUE"""),6.458025)</f>
        <v>6.458025</v>
      </c>
      <c r="AE1709" s="3">
        <f>IFERROR(__xludf.DUMMYFUNCTION("""COMPUTED_VALUE"""),101.344965)</f>
        <v>101.344965</v>
      </c>
      <c r="AF1709" s="3" t="str">
        <f>IFERROR(__xludf.DUMMYFUNCTION("""COMPUTED_VALUE"""),"MBC บ้านโกตามารู ยะลา-22395")</f>
        <v>MBC บ้านโกตามารู ยะลา-22395</v>
      </c>
      <c r="AG1709" s="3" t="str">
        <f>IFERROR(__xludf.DUMMYFUNCTION("""COMPUTED_VALUE"""),"ใต้")</f>
        <v>ใต้</v>
      </c>
      <c r="AH1709" s="3" t="str">
        <f>IFERROR(__xludf.DUMMYFUNCTION("""COMPUTED_VALUE"""),"#N/A")</f>
        <v>#N/A</v>
      </c>
      <c r="AI1709" s="3" t="str">
        <f>IFERROR(__xludf.DUMMYFUNCTION("""COMPUTED_VALUE"""),"Out of warranty")</f>
        <v>Out of warranty</v>
      </c>
      <c r="AJ1709" s="3">
        <f>IFERROR(__xludf.DUMMYFUNCTION("""COMPUTED_VALUE"""),51.0)</f>
        <v>51</v>
      </c>
      <c r="AK1709" s="3" t="str">
        <f>IFERROR(__xludf.DUMMYFUNCTION("""COMPUTED_VALUE"""),"MMS16")</f>
        <v>MMS16</v>
      </c>
      <c r="AL1709" s="3"/>
    </row>
    <row r="1710" ht="15.75" customHeight="1">
      <c r="A1710" s="1" t="str">
        <f>IFERROR(__xludf.DUMMYFUNCTION("""COMPUTED_VALUE"""),"22396")</f>
        <v>22396</v>
      </c>
      <c r="B1710" s="2">
        <f>IFERROR(__xludf.DUMMYFUNCTION("""COMPUTED_VALUE"""),22396.0)</f>
        <v>22396</v>
      </c>
      <c r="C1710" s="3" t="str">
        <f>IFERROR(__xludf.DUMMYFUNCTION("""COMPUTED_VALUE"""),"MBC บ้านหินเพิง ชลบุรี")</f>
        <v>MBC บ้านหินเพิง ชลบุรี</v>
      </c>
      <c r="D1710" s="3" t="str">
        <f>IFERROR(__xludf.DUMMYFUNCTION("""COMPUTED_VALUE"""),"BCM BAN HIN PHOENG")</f>
        <v>BCM BAN HIN PHOENG</v>
      </c>
      <c r="E1710" s="1" t="str">
        <f>IFERROR(__xludf.DUMMYFUNCTION("""COMPUTED_VALUE"""),"บิ๊กซี MINI")</f>
        <v>บิ๊กซี MINI</v>
      </c>
      <c r="F1710" s="1" t="str">
        <f>IFERROR(__xludf.DUMMYFUNCTION("""COMPUTED_VALUE"""),"221716")</f>
        <v>221716</v>
      </c>
      <c r="G1710" s="1" t="str">
        <f>IFERROR(__xludf.DUMMYFUNCTION("""COMPUTED_VALUE"""),"น.ส.เบญจพร โพธิสาร")</f>
        <v>น.ส.เบญจพร โพธิสาร</v>
      </c>
      <c r="H1710" s="1" t="str">
        <f>IFERROR(__xludf.DUMMYFUNCTION("""COMPUTED_VALUE"""),"476018")</f>
        <v>476018</v>
      </c>
      <c r="I1710" s="1" t="str">
        <f>IFERROR(__xludf.DUMMYFUNCTION("""COMPUTED_VALUE"""),"นายศราวุฒิ ชูพันดุง")</f>
        <v>นายศราวุฒิ ชูพันดุง</v>
      </c>
      <c r="J1710" s="3">
        <f>IFERROR(__xludf.DUMMYFUNCTION("""COMPUTED_VALUE"""),1.3461215E7)</f>
        <v>13461215</v>
      </c>
      <c r="K1710" s="3" t="str">
        <f>IFERROR(__xludf.DUMMYFUNCTION("""COMPUTED_VALUE"""),"นายธีรภัทร สังข์เงิน")</f>
        <v>นายธีรภัทร สังข์เงิน</v>
      </c>
      <c r="L1710" s="1" t="str">
        <f>IFERROR(__xludf.DUMMYFUNCTION("""COMPUTED_VALUE"""),"06 K.Teerapat")</f>
        <v>06 K.Teerapat</v>
      </c>
      <c r="M1710" s="1" t="str">
        <f>IFERROR(__xludf.DUMMYFUNCTION("""COMPUTED_VALUE"""),"063-601-6803")</f>
        <v>063-601-6803</v>
      </c>
      <c r="N1710" s="3">
        <f>IFERROR(__xludf.DUMMYFUNCTION("""COMPUTED_VALUE"""),22115.0)</f>
        <v>22115</v>
      </c>
      <c r="O1710" s="3" t="str">
        <f>IFERROR(__xludf.DUMMYFUNCTION("""COMPUTED_VALUE"""),"MBC เลี่ยงหนองมน ชลบุรี")</f>
        <v>MBC เลี่ยงหนองมน ชลบุรี</v>
      </c>
      <c r="P1710" s="4">
        <f>IFERROR(__xludf.DUMMYFUNCTION("""COMPUTED_VALUE"""),44514.0)</f>
        <v>44514</v>
      </c>
      <c r="Q1710" s="3" t="str">
        <f>IFERROR(__xludf.DUMMYFUNCTION("""COMPUTED_VALUE"""),"A")</f>
        <v>A</v>
      </c>
      <c r="R1710" s="3" t="str">
        <f>IFERROR(__xludf.DUMMYFUNCTION("""COMPUTED_VALUE"""),"Small Format")</f>
        <v>Small Format</v>
      </c>
      <c r="S1710" s="3" t="str">
        <f>IFERROR(__xludf.DUMMYFUNCTION("""COMPUTED_VALUE"""),"BCM")</f>
        <v>BCM</v>
      </c>
      <c r="T1710" s="3" t="str">
        <f>IFERROR(__xludf.DUMMYFUNCTION("""COMPUTED_VALUE"""),"#N/A")</f>
        <v>#N/A</v>
      </c>
      <c r="U1710" s="3" t="str">
        <f>IFERROR(__xludf.DUMMYFUNCTION("""COMPUTED_VALUE"""),"#N/A")</f>
        <v>#N/A</v>
      </c>
      <c r="V1710" s="3" t="str">
        <f>IFERROR(__xludf.DUMMYFUNCTION("""COMPUTED_VALUE"""),"N")</f>
        <v>N</v>
      </c>
      <c r="W1710" s="3">
        <f>IFERROR(__xludf.DUMMYFUNCTION("""COMPUTED_VALUE"""),210447.0)</f>
        <v>210447</v>
      </c>
      <c r="X1710" s="3" t="str">
        <f>IFERROR(__xludf.DUMMYFUNCTION("""COMPUTED_VALUE"""),"242/164 หมู่10 ตำบลบางพระ อำเภอศรีราชา จังหวัดชลบุรี 20110")</f>
        <v>242/164 หมู่10 ตำบลบางพระ อำเภอศรีราชา จังหวัดชลบุรี 20110</v>
      </c>
      <c r="Y1710" s="3"/>
      <c r="Z1710" s="3" t="str">
        <f>IFERROR(__xludf.DUMMYFUNCTION("""COMPUTED_VALUE"""),"บางพระ")</f>
        <v>บางพระ</v>
      </c>
      <c r="AA1710" s="3" t="str">
        <f>IFERROR(__xludf.DUMMYFUNCTION("""COMPUTED_VALUE"""),"ศรีราชา")</f>
        <v>ศรีราชา</v>
      </c>
      <c r="AB1710" s="3" t="str">
        <f>IFERROR(__xludf.DUMMYFUNCTION("""COMPUTED_VALUE"""),"ชลบุรี")</f>
        <v>ชลบุรี</v>
      </c>
      <c r="AC1710" s="3">
        <f>IFERROR(__xludf.DUMMYFUNCTION("""COMPUTED_VALUE"""),20110.0)</f>
        <v>20110</v>
      </c>
      <c r="AD1710" s="3">
        <f>IFERROR(__xludf.DUMMYFUNCTION("""COMPUTED_VALUE"""),13.227914)</f>
        <v>13.227914</v>
      </c>
      <c r="AE1710" s="3">
        <f>IFERROR(__xludf.DUMMYFUNCTION("""COMPUTED_VALUE"""),100.941978)</f>
        <v>100.941978</v>
      </c>
      <c r="AF1710" s="3" t="str">
        <f>IFERROR(__xludf.DUMMYFUNCTION("""COMPUTED_VALUE"""),"MBC บ้านหินเพิง ชลบุรี-22396")</f>
        <v>MBC บ้านหินเพิง ชลบุรี-22396</v>
      </c>
      <c r="AG1710" s="3" t="str">
        <f>IFERROR(__xludf.DUMMYFUNCTION("""COMPUTED_VALUE"""),"ตะวันออก")</f>
        <v>ตะวันออก</v>
      </c>
      <c r="AH1710" s="3" t="str">
        <f>IFERROR(__xludf.DUMMYFUNCTION("""COMPUTED_VALUE"""),"#N/A")</f>
        <v>#N/A</v>
      </c>
      <c r="AI1710" s="3" t="str">
        <f>IFERROR(__xludf.DUMMYFUNCTION("""COMPUTED_VALUE"""),"Out of warranty")</f>
        <v>Out of warranty</v>
      </c>
      <c r="AJ1710" s="3">
        <f>IFERROR(__xludf.DUMMYFUNCTION("""COMPUTED_VALUE"""),51.0)</f>
        <v>51</v>
      </c>
      <c r="AK1710" s="3" t="str">
        <f>IFERROR(__xludf.DUMMYFUNCTION("""COMPUTED_VALUE"""),"MMS06")</f>
        <v>MMS06</v>
      </c>
      <c r="AL1710" s="3"/>
    </row>
    <row r="1711" ht="15.75" customHeight="1">
      <c r="A1711" s="1" t="str">
        <f>IFERROR(__xludf.DUMMYFUNCTION("""COMPUTED_VALUE"""),"22397")</f>
        <v>22397</v>
      </c>
      <c r="B1711" s="2">
        <f>IFERROR(__xludf.DUMMYFUNCTION("""COMPUTED_VALUE"""),22397.0)</f>
        <v>22397</v>
      </c>
      <c r="C1711" s="3" t="str">
        <f>IFERROR(__xludf.DUMMYFUNCTION("""COMPUTED_VALUE"""),"MBC รามัน ยะลา")</f>
        <v>MBC รามัน ยะลา</v>
      </c>
      <c r="D1711" s="3" t="str">
        <f>IFERROR(__xludf.DUMMYFUNCTION("""COMPUTED_VALUE"""),"BCM RAMUN YALA")</f>
        <v>BCM RAMUN YALA</v>
      </c>
      <c r="E1711" s="1" t="str">
        <f>IFERROR(__xludf.DUMMYFUNCTION("""COMPUTED_VALUE"""),"บิ๊กซี MINI")</f>
        <v>บิ๊กซี MINI</v>
      </c>
      <c r="F1711" s="1" t="str">
        <f>IFERROR(__xludf.DUMMYFUNCTION("""COMPUTED_VALUE"""),"250760")</f>
        <v>250760</v>
      </c>
      <c r="G1711" s="1" t="str">
        <f>IFERROR(__xludf.DUMMYFUNCTION("""COMPUTED_VALUE"""),"นายประทวน สาราบรรณ์")</f>
        <v>นายประทวน สาราบรรณ์</v>
      </c>
      <c r="H1711" s="1" t="str">
        <f>IFERROR(__xludf.DUMMYFUNCTION("""COMPUTED_VALUE"""),"485279")</f>
        <v>485279</v>
      </c>
      <c r="I1711" s="1" t="str">
        <f>IFERROR(__xludf.DUMMYFUNCTION("""COMPUTED_VALUE"""),"นายสิริพงศ์ ชูชื่น")</f>
        <v>นายสิริพงศ์ ชูชื่น</v>
      </c>
      <c r="J1711" s="3">
        <f>IFERROR(__xludf.DUMMYFUNCTION("""COMPUTED_VALUE"""),2.0470331E7)</f>
        <v>20470331</v>
      </c>
      <c r="K1711" s="3" t="str">
        <f>IFERROR(__xludf.DUMMYFUNCTION("""COMPUTED_VALUE"""),"นายสมชาย ลักษณะสุวรรณ")</f>
        <v>นายสมชาย ลักษณะสุวรรณ</v>
      </c>
      <c r="L1711" s="1" t="str">
        <f>IFERROR(__xludf.DUMMYFUNCTION("""COMPUTED_VALUE"""),"15 K.Somchai L")</f>
        <v>15 K.Somchai L</v>
      </c>
      <c r="M1711" s="1" t="str">
        <f>IFERROR(__xludf.DUMMYFUNCTION("""COMPUTED_VALUE"""),"0655107372")</f>
        <v>0655107372</v>
      </c>
      <c r="N1711" s="3">
        <f>IFERROR(__xludf.DUMMYFUNCTION("""COMPUTED_VALUE"""),21723.0)</f>
        <v>21723</v>
      </c>
      <c r="O171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11" s="4">
        <f>IFERROR(__xludf.DUMMYFUNCTION("""COMPUTED_VALUE"""),44514.0)</f>
        <v>44514</v>
      </c>
      <c r="Q1711" s="3" t="str">
        <f>IFERROR(__xludf.DUMMYFUNCTION("""COMPUTED_VALUE"""),"A")</f>
        <v>A</v>
      </c>
      <c r="R1711" s="3" t="str">
        <f>IFERROR(__xludf.DUMMYFUNCTION("""COMPUTED_VALUE"""),"Small Format")</f>
        <v>Small Format</v>
      </c>
      <c r="S1711" s="3" t="str">
        <f>IFERROR(__xludf.DUMMYFUNCTION("""COMPUTED_VALUE"""),"BCM")</f>
        <v>BCM</v>
      </c>
      <c r="T1711" s="3" t="str">
        <f>IFERROR(__xludf.DUMMYFUNCTION("""COMPUTED_VALUE"""),"#N/A")</f>
        <v>#N/A</v>
      </c>
      <c r="U1711" s="3" t="str">
        <f>IFERROR(__xludf.DUMMYFUNCTION("""COMPUTED_VALUE"""),"#N/A")</f>
        <v>#N/A</v>
      </c>
      <c r="V1711" s="3" t="str">
        <f>IFERROR(__xludf.DUMMYFUNCTION("""COMPUTED_VALUE"""),"N")</f>
        <v>N</v>
      </c>
      <c r="W1711" s="3">
        <f>IFERROR(__xludf.DUMMYFUNCTION("""COMPUTED_VALUE"""),210476.0)</f>
        <v>210476</v>
      </c>
      <c r="X1711" s="3" t="str">
        <f>IFERROR(__xludf.DUMMYFUNCTION("""COMPUTED_VALUE"""),"128/3 หมู่1 ถนนเมืองรามัน ตำบลกายูบอเกาะ อำเภอรามัน จังหวัดยะลา 95140")</f>
        <v>128/3 หมู่1 ถนนเมืองรามัน ตำบลกายูบอเกาะ อำเภอรามัน จังหวัดยะลา 95140</v>
      </c>
      <c r="Y1711" s="3" t="str">
        <f>IFERROR(__xludf.DUMMYFUNCTION("""COMPUTED_VALUE"""),"เมืองรามัน")</f>
        <v>เมืองรามัน</v>
      </c>
      <c r="Z1711" s="3" t="str">
        <f>IFERROR(__xludf.DUMMYFUNCTION("""COMPUTED_VALUE"""),"กายูบอเกาะ")</f>
        <v>กายูบอเกาะ</v>
      </c>
      <c r="AA1711" s="3" t="str">
        <f>IFERROR(__xludf.DUMMYFUNCTION("""COMPUTED_VALUE"""),"รามัน")</f>
        <v>รามัน</v>
      </c>
      <c r="AB1711" s="3" t="str">
        <f>IFERROR(__xludf.DUMMYFUNCTION("""COMPUTED_VALUE"""),"ยะลา")</f>
        <v>ยะลา</v>
      </c>
      <c r="AC1711" s="3">
        <f>IFERROR(__xludf.DUMMYFUNCTION("""COMPUTED_VALUE"""),95140.0)</f>
        <v>95140</v>
      </c>
      <c r="AD1711" s="3">
        <f>IFERROR(__xludf.DUMMYFUNCTION("""COMPUTED_VALUE"""),6.476428)</f>
        <v>6.476428</v>
      </c>
      <c r="AE1711" s="3">
        <f>IFERROR(__xludf.DUMMYFUNCTION("""COMPUTED_VALUE"""),101.428813)</f>
        <v>101.428813</v>
      </c>
      <c r="AF1711" s="3" t="str">
        <f>IFERROR(__xludf.DUMMYFUNCTION("""COMPUTED_VALUE"""),"MBC รามัน ยะลา-22397")</f>
        <v>MBC รามัน ยะลา-22397</v>
      </c>
      <c r="AG1711" s="3" t="str">
        <f>IFERROR(__xludf.DUMMYFUNCTION("""COMPUTED_VALUE"""),"ใต้")</f>
        <v>ใต้</v>
      </c>
      <c r="AH1711" s="3" t="str">
        <f>IFERROR(__xludf.DUMMYFUNCTION("""COMPUTED_VALUE"""),"#N/A")</f>
        <v>#N/A</v>
      </c>
      <c r="AI1711" s="3" t="str">
        <f>IFERROR(__xludf.DUMMYFUNCTION("""COMPUTED_VALUE"""),"Out of warranty")</f>
        <v>Out of warranty</v>
      </c>
      <c r="AJ1711" s="3">
        <f>IFERROR(__xludf.DUMMYFUNCTION("""COMPUTED_VALUE"""),51.0)</f>
        <v>51</v>
      </c>
      <c r="AK1711" s="3" t="str">
        <f>IFERROR(__xludf.DUMMYFUNCTION("""COMPUTED_VALUE"""),"MMS16")</f>
        <v>MMS16</v>
      </c>
      <c r="AL1711" s="3"/>
    </row>
    <row r="1712" ht="15.75" customHeight="1">
      <c r="A1712" s="1" t="str">
        <f>IFERROR(__xludf.DUMMYFUNCTION("""COMPUTED_VALUE"""),"22398")</f>
        <v>22398</v>
      </c>
      <c r="B1712" s="2">
        <f>IFERROR(__xludf.DUMMYFUNCTION("""COMPUTED_VALUE"""),22398.0)</f>
        <v>22398</v>
      </c>
      <c r="C1712" s="3" t="str">
        <f>IFERROR(__xludf.DUMMYFUNCTION("""COMPUTED_VALUE"""),"MBC ปลาปาก นครพนม")</f>
        <v>MBC ปลาปาก นครพนม</v>
      </c>
      <c r="D1712" s="3" t="str">
        <f>IFERROR(__xludf.DUMMYFUNCTION("""COMPUTED_VALUE"""),"BCM PLA PAK (OPT.2)")</f>
        <v>BCM PLA PAK (OPT.2)</v>
      </c>
      <c r="E1712" s="1" t="str">
        <f>IFERROR(__xludf.DUMMYFUNCTION("""COMPUTED_VALUE"""),"บิ๊กซี MINI")</f>
        <v>บิ๊กซี MINI</v>
      </c>
      <c r="F1712" s="1" t="str">
        <f>IFERROR(__xludf.DUMMYFUNCTION("""COMPUTED_VALUE"""),"291105")</f>
        <v>291105</v>
      </c>
      <c r="G1712" s="1" t="str">
        <f>IFERROR(__xludf.DUMMYFUNCTION("""COMPUTED_VALUE"""),"นายสราวุฒิ พณิชยกุล")</f>
        <v>นายสราวุฒิ พณิชยกุล</v>
      </c>
      <c r="H1712" s="1" t="str">
        <f>IFERROR(__xludf.DUMMYFUNCTION("""COMPUTED_VALUE"""),"392885")</f>
        <v>392885</v>
      </c>
      <c r="I1712" s="1" t="str">
        <f>IFERROR(__xludf.DUMMYFUNCTION("""COMPUTED_VALUE"""),"น.ส.วราพร จันปลิว")</f>
        <v>น.ส.วราพร จันปลิว</v>
      </c>
      <c r="J1712" s="3">
        <f>IFERROR(__xludf.DUMMYFUNCTION("""COMPUTED_VALUE"""),296868.0)</f>
        <v>296868</v>
      </c>
      <c r="K1712" s="3" t="str">
        <f>IFERROR(__xludf.DUMMYFUNCTION("""COMPUTED_VALUE"""),"นายพีระพงษ์ แก้วดวงดี")</f>
        <v>นายพีระพงษ์ แก้วดวงดี</v>
      </c>
      <c r="L1712" s="1" t="str">
        <f>IFERROR(__xludf.DUMMYFUNCTION("""COMPUTED_VALUE"""),"03 K.Peerapong K.")</f>
        <v>03 K.Peerapong K.</v>
      </c>
      <c r="M1712" s="1" t="str">
        <f>IFERROR(__xludf.DUMMYFUNCTION("""COMPUTED_VALUE"""),"089-002-6599")</f>
        <v>089-002-6599</v>
      </c>
      <c r="N1712" s="3">
        <f>IFERROR(__xludf.DUMMYFUNCTION("""COMPUTED_VALUE"""),21946.0)</f>
        <v>21946</v>
      </c>
      <c r="O1712" s="3" t="str">
        <f>IFERROR(__xludf.DUMMYFUNCTION("""COMPUTED_VALUE"""),"MBC เซกา บึงกาฬ")</f>
        <v>MBC เซกา บึงกาฬ</v>
      </c>
      <c r="P1712" s="4">
        <f>IFERROR(__xludf.DUMMYFUNCTION("""COMPUTED_VALUE"""),44525.0)</f>
        <v>44525</v>
      </c>
      <c r="Q1712" s="3" t="str">
        <f>IFERROR(__xludf.DUMMYFUNCTION("""COMPUTED_VALUE"""),"A")</f>
        <v>A</v>
      </c>
      <c r="R1712" s="3" t="str">
        <f>IFERROR(__xludf.DUMMYFUNCTION("""COMPUTED_VALUE"""),"Small Format")</f>
        <v>Small Format</v>
      </c>
      <c r="S1712" s="3" t="str">
        <f>IFERROR(__xludf.DUMMYFUNCTION("""COMPUTED_VALUE"""),"BCM")</f>
        <v>BCM</v>
      </c>
      <c r="T1712" s="3" t="str">
        <f>IFERROR(__xludf.DUMMYFUNCTION("""COMPUTED_VALUE"""),"#N/A")</f>
        <v>#N/A</v>
      </c>
      <c r="U1712" s="3" t="str">
        <f>IFERROR(__xludf.DUMMYFUNCTION("""COMPUTED_VALUE"""),"#N/A")</f>
        <v>#N/A</v>
      </c>
      <c r="V1712" s="3" t="str">
        <f>IFERROR(__xludf.DUMMYFUNCTION("""COMPUTED_VALUE"""),"N")</f>
        <v>N</v>
      </c>
      <c r="W1712" s="3">
        <f>IFERROR(__xludf.DUMMYFUNCTION("""COMPUTED_VALUE"""),210449.0)</f>
        <v>210449</v>
      </c>
      <c r="X1712" s="3" t="str">
        <f>IFERROR(__xludf.DUMMYFUNCTION("""COMPUTED_VALUE"""),"80 หมู่1 ตำบลปลาปาก อำเภอปลาปาก จังหวัดนครพนม 48160")</f>
        <v>80 หมู่1 ตำบลปลาปาก อำเภอปลาปาก จังหวัดนครพนม 48160</v>
      </c>
      <c r="Y1712" s="3"/>
      <c r="Z1712" s="3" t="str">
        <f>IFERROR(__xludf.DUMMYFUNCTION("""COMPUTED_VALUE"""),"ปลาปาก")</f>
        <v>ปลาปาก</v>
      </c>
      <c r="AA1712" s="3" t="str">
        <f>IFERROR(__xludf.DUMMYFUNCTION("""COMPUTED_VALUE"""),"ปลาปาก")</f>
        <v>ปลาปาก</v>
      </c>
      <c r="AB1712" s="3" t="str">
        <f>IFERROR(__xludf.DUMMYFUNCTION("""COMPUTED_VALUE"""),"นครพนม")</f>
        <v>นครพนม</v>
      </c>
      <c r="AC1712" s="3">
        <f>IFERROR(__xludf.DUMMYFUNCTION("""COMPUTED_VALUE"""),48160.0)</f>
        <v>48160</v>
      </c>
      <c r="AD1712" s="3">
        <f>IFERROR(__xludf.DUMMYFUNCTION("""COMPUTED_VALUE"""),17.178483)</f>
        <v>17.178483</v>
      </c>
      <c r="AE1712" s="3">
        <f>IFERROR(__xludf.DUMMYFUNCTION("""COMPUTED_VALUE"""),104.528409)</f>
        <v>104.528409</v>
      </c>
      <c r="AF1712" s="3" t="str">
        <f>IFERROR(__xludf.DUMMYFUNCTION("""COMPUTED_VALUE"""),"MBC ปลาปาก นครพนม-22398")</f>
        <v>MBC ปลาปาก นครพนม-22398</v>
      </c>
      <c r="AG1712" s="3" t="str">
        <f>IFERROR(__xludf.DUMMYFUNCTION("""COMPUTED_VALUE"""),"ตะวันออกเฉียงเหนือ")</f>
        <v>ตะวันออกเฉียงเหนือ</v>
      </c>
      <c r="AH1712" s="3" t="str">
        <f>IFERROR(__xludf.DUMMYFUNCTION("""COMPUTED_VALUE"""),"#N/A")</f>
        <v>#N/A</v>
      </c>
      <c r="AI1712" s="3" t="str">
        <f>IFERROR(__xludf.DUMMYFUNCTION("""COMPUTED_VALUE"""),"Out of warranty")</f>
        <v>Out of warranty</v>
      </c>
      <c r="AJ1712" s="3">
        <f>IFERROR(__xludf.DUMMYFUNCTION("""COMPUTED_VALUE"""),50.0)</f>
        <v>50</v>
      </c>
      <c r="AK1712" s="3" t="str">
        <f>IFERROR(__xludf.DUMMYFUNCTION("""COMPUTED_VALUE"""),"MMS12")</f>
        <v>MMS12</v>
      </c>
      <c r="AL1712" s="3"/>
    </row>
    <row r="1713" ht="15.75" customHeight="1">
      <c r="A1713" s="1" t="str">
        <f>IFERROR(__xludf.DUMMYFUNCTION("""COMPUTED_VALUE"""),"22399")</f>
        <v>22399</v>
      </c>
      <c r="B1713" s="2">
        <f>IFERROR(__xludf.DUMMYFUNCTION("""COMPUTED_VALUE"""),22399.0)</f>
        <v>22399</v>
      </c>
      <c r="C1713" s="3" t="str">
        <f>IFERROR(__xludf.DUMMYFUNCTION("""COMPUTED_VALUE"""),"MBC ทุ่งยางแดง ปัตตานี")</f>
        <v>MBC ทุ่งยางแดง ปัตตานี</v>
      </c>
      <c r="D1713" s="3" t="str">
        <f>IFERROR(__xludf.DUMMYFUNCTION("""COMPUTED_VALUE"""),"MBC THUNG YANG DAENG")</f>
        <v>MBC THUNG YANG DAENG</v>
      </c>
      <c r="E1713" s="1" t="str">
        <f>IFERROR(__xludf.DUMMYFUNCTION("""COMPUTED_VALUE"""),"บิ๊กซี MINI")</f>
        <v>บิ๊กซี MINI</v>
      </c>
      <c r="F1713" s="1" t="str">
        <f>IFERROR(__xludf.DUMMYFUNCTION("""COMPUTED_VALUE"""),"250760")</f>
        <v>250760</v>
      </c>
      <c r="G1713" s="1" t="str">
        <f>IFERROR(__xludf.DUMMYFUNCTION("""COMPUTED_VALUE"""),"นายประทวน สาราบรรณ์")</f>
        <v>นายประทวน สาราบรรณ์</v>
      </c>
      <c r="H1713" s="1" t="str">
        <f>IFERROR(__xludf.DUMMYFUNCTION("""COMPUTED_VALUE"""),"006583")</f>
        <v>006583</v>
      </c>
      <c r="I1713" s="1" t="str">
        <f>IFERROR(__xludf.DUMMYFUNCTION("""COMPUTED_VALUE"""),"นายเด่น ยะอิง")</f>
        <v>นายเด่น ยะอิง</v>
      </c>
      <c r="J1713" s="3">
        <f>IFERROR(__xludf.DUMMYFUNCTION("""COMPUTED_VALUE"""),2.0470331E7)</f>
        <v>20470331</v>
      </c>
      <c r="K1713" s="3" t="str">
        <f>IFERROR(__xludf.DUMMYFUNCTION("""COMPUTED_VALUE"""),"นายสมชาย ลักษณะสุวรรณ")</f>
        <v>นายสมชาย ลักษณะสุวรรณ</v>
      </c>
      <c r="L1713" s="1" t="str">
        <f>IFERROR(__xludf.DUMMYFUNCTION("""COMPUTED_VALUE"""),"15 K.Somchai L")</f>
        <v>15 K.Somchai L</v>
      </c>
      <c r="M1713" s="1" t="str">
        <f>IFERROR(__xludf.DUMMYFUNCTION("""COMPUTED_VALUE"""),"0655107372")</f>
        <v>0655107372</v>
      </c>
      <c r="N1713" s="3">
        <f>IFERROR(__xludf.DUMMYFUNCTION("""COMPUTED_VALUE"""),21723.0)</f>
        <v>21723</v>
      </c>
      <c r="O1713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13" s="4">
        <f>IFERROR(__xludf.DUMMYFUNCTION("""COMPUTED_VALUE"""),44859.0)</f>
        <v>44859</v>
      </c>
      <c r="Q1713" s="3" t="str">
        <f>IFERROR(__xludf.DUMMYFUNCTION("""COMPUTED_VALUE"""),"A")</f>
        <v>A</v>
      </c>
      <c r="R1713" s="3" t="str">
        <f>IFERROR(__xludf.DUMMYFUNCTION("""COMPUTED_VALUE"""),"Small Format")</f>
        <v>Small Format</v>
      </c>
      <c r="S1713" s="3" t="str">
        <f>IFERROR(__xludf.DUMMYFUNCTION("""COMPUTED_VALUE"""),"BCM")</f>
        <v>BCM</v>
      </c>
      <c r="T1713" s="3" t="str">
        <f>IFERROR(__xludf.DUMMYFUNCTION("""COMPUTED_VALUE"""),"#N/A")</f>
        <v>#N/A</v>
      </c>
      <c r="U1713" s="3" t="str">
        <f>IFERROR(__xludf.DUMMYFUNCTION("""COMPUTED_VALUE"""),"#N/A")</f>
        <v>#N/A</v>
      </c>
      <c r="V1713" s="3" t="str">
        <f>IFERROR(__xludf.DUMMYFUNCTION("""COMPUTED_VALUE"""),"N")</f>
        <v>N</v>
      </c>
      <c r="W1713" s="3">
        <f>IFERROR(__xludf.DUMMYFUNCTION("""COMPUTED_VALUE"""),210467.0)</f>
        <v>210467</v>
      </c>
      <c r="X1713" s="3" t="str">
        <f>IFERROR(__xludf.DUMMYFUNCTION("""COMPUTED_VALUE"""),"153 หมู่4 ตำบลน้ำดำ อำเภอทุ่งยางแดง จังหวัดปัตตานี 94140")</f>
        <v>153 หมู่4 ตำบลน้ำดำ อำเภอทุ่งยางแดง จังหวัดปัตตานี 94140</v>
      </c>
      <c r="Y1713" s="3"/>
      <c r="Z1713" s="3" t="str">
        <f>IFERROR(__xludf.DUMMYFUNCTION("""COMPUTED_VALUE"""),"น้ำดำ")</f>
        <v>น้ำดำ</v>
      </c>
      <c r="AA1713" s="3" t="str">
        <f>IFERROR(__xludf.DUMMYFUNCTION("""COMPUTED_VALUE"""),"ทุ่งยางแดง")</f>
        <v>ทุ่งยางแดง</v>
      </c>
      <c r="AB1713" s="3" t="str">
        <f>IFERROR(__xludf.DUMMYFUNCTION("""COMPUTED_VALUE"""),"ปัตตานี")</f>
        <v>ปัตตานี</v>
      </c>
      <c r="AC1713" s="3">
        <f>IFERROR(__xludf.DUMMYFUNCTION("""COMPUTED_VALUE"""),94140.0)</f>
        <v>94140</v>
      </c>
      <c r="AD1713" s="3">
        <f>IFERROR(__xludf.DUMMYFUNCTION("""COMPUTED_VALUE"""),6.63452)</f>
        <v>6.63452</v>
      </c>
      <c r="AE1713" s="3">
        <f>IFERROR(__xludf.DUMMYFUNCTION("""COMPUTED_VALUE"""),101.446648)</f>
        <v>101.446648</v>
      </c>
      <c r="AF1713" s="3" t="str">
        <f>IFERROR(__xludf.DUMMYFUNCTION("""COMPUTED_VALUE"""),"MBC ทุ่งยางแดง ปัตตานี-22399")</f>
        <v>MBC ทุ่งยางแดง ปัตตานี-22399</v>
      </c>
      <c r="AG1713" s="3" t="str">
        <f>IFERROR(__xludf.DUMMYFUNCTION("""COMPUTED_VALUE"""),"ใต้")</f>
        <v>ใต้</v>
      </c>
      <c r="AH1713" s="3" t="str">
        <f>IFERROR(__xludf.DUMMYFUNCTION("""COMPUTED_VALUE"""),"#N/A")</f>
        <v>#N/A</v>
      </c>
      <c r="AI1713" s="3" t="str">
        <f>IFERROR(__xludf.DUMMYFUNCTION("""COMPUTED_VALUE"""),"Out of warranty")</f>
        <v>Out of warranty</v>
      </c>
      <c r="AJ1713" s="3">
        <f>IFERROR(__xludf.DUMMYFUNCTION("""COMPUTED_VALUE"""),39.0)</f>
        <v>39</v>
      </c>
      <c r="AK1713" s="3" t="str">
        <f>IFERROR(__xludf.DUMMYFUNCTION("""COMPUTED_VALUE"""),"MMS16")</f>
        <v>MMS16</v>
      </c>
      <c r="AL1713" s="3"/>
    </row>
    <row r="1714" ht="15.75" customHeight="1">
      <c r="A1714" s="1" t="str">
        <f>IFERROR(__xludf.DUMMYFUNCTION("""COMPUTED_VALUE"""),"22400")</f>
        <v>22400</v>
      </c>
      <c r="B1714" s="2">
        <f>IFERROR(__xludf.DUMMYFUNCTION("""COMPUTED_VALUE"""),22400.0)</f>
        <v>22400</v>
      </c>
      <c r="C1714" s="3" t="str">
        <f>IFERROR(__xludf.DUMMYFUNCTION("""COMPUTED_VALUE"""),"MBC กะพ้อ ปัตตานี")</f>
        <v>MBC กะพ้อ ปัตตานี</v>
      </c>
      <c r="D1714" s="3" t="str">
        <f>IFERROR(__xludf.DUMMYFUNCTION("""COMPUTED_VALUE"""),"BCM KA PHO PATTANI")</f>
        <v>BCM KA PHO PATTANI</v>
      </c>
      <c r="E1714" s="1" t="str">
        <f>IFERROR(__xludf.DUMMYFUNCTION("""COMPUTED_VALUE"""),"บิ๊กซี MINI")</f>
        <v>บิ๊กซี MINI</v>
      </c>
      <c r="F1714" s="1" t="str">
        <f>IFERROR(__xludf.DUMMYFUNCTION("""COMPUTED_VALUE"""),"250760")</f>
        <v>250760</v>
      </c>
      <c r="G1714" s="1" t="str">
        <f>IFERROR(__xludf.DUMMYFUNCTION("""COMPUTED_VALUE"""),"นายประทวน สาราบรรณ์")</f>
        <v>นายประทวน สาราบรรณ์</v>
      </c>
      <c r="H1714" s="1" t="str">
        <f>IFERROR(__xludf.DUMMYFUNCTION("""COMPUTED_VALUE"""),"006583")</f>
        <v>006583</v>
      </c>
      <c r="I1714" s="1" t="str">
        <f>IFERROR(__xludf.DUMMYFUNCTION("""COMPUTED_VALUE"""),"นายเด่น ยะอิง")</f>
        <v>นายเด่น ยะอิง</v>
      </c>
      <c r="J1714" s="3">
        <f>IFERROR(__xludf.DUMMYFUNCTION("""COMPUTED_VALUE"""),2.0470331E7)</f>
        <v>20470331</v>
      </c>
      <c r="K1714" s="3" t="str">
        <f>IFERROR(__xludf.DUMMYFUNCTION("""COMPUTED_VALUE"""),"นายสมชาย ลักษณะสุวรรณ")</f>
        <v>นายสมชาย ลักษณะสุวรรณ</v>
      </c>
      <c r="L1714" s="1" t="str">
        <f>IFERROR(__xludf.DUMMYFUNCTION("""COMPUTED_VALUE"""),"15 K.Somchai L")</f>
        <v>15 K.Somchai L</v>
      </c>
      <c r="M1714" s="1" t="str">
        <f>IFERROR(__xludf.DUMMYFUNCTION("""COMPUTED_VALUE"""),"0655107372")</f>
        <v>0655107372</v>
      </c>
      <c r="N1714" s="3">
        <f>IFERROR(__xludf.DUMMYFUNCTION("""COMPUTED_VALUE"""),21723.0)</f>
        <v>21723</v>
      </c>
      <c r="O1714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14" s="4">
        <f>IFERROR(__xludf.DUMMYFUNCTION("""COMPUTED_VALUE"""),44518.0)</f>
        <v>44518</v>
      </c>
      <c r="Q1714" s="3" t="str">
        <f>IFERROR(__xludf.DUMMYFUNCTION("""COMPUTED_VALUE"""),"I")</f>
        <v>I</v>
      </c>
      <c r="R1714" s="3" t="str">
        <f>IFERROR(__xludf.DUMMYFUNCTION("""COMPUTED_VALUE"""),"Small Format")</f>
        <v>Small Format</v>
      </c>
      <c r="S1714" s="3" t="str">
        <f>IFERROR(__xludf.DUMMYFUNCTION("""COMPUTED_VALUE"""),"BCM")</f>
        <v>BCM</v>
      </c>
      <c r="T1714" s="3" t="str">
        <f>IFERROR(__xludf.DUMMYFUNCTION("""COMPUTED_VALUE"""),"#N/A")</f>
        <v>#N/A</v>
      </c>
      <c r="U1714" s="3" t="str">
        <f>IFERROR(__xludf.DUMMYFUNCTION("""COMPUTED_VALUE"""),"#N/A")</f>
        <v>#N/A</v>
      </c>
      <c r="V1714" s="3" t="str">
        <f>IFERROR(__xludf.DUMMYFUNCTION("""COMPUTED_VALUE"""),"N")</f>
        <v>N</v>
      </c>
      <c r="W1714" s="3">
        <f>IFERROR(__xludf.DUMMYFUNCTION("""COMPUTED_VALUE"""),210468.0)</f>
        <v>210468</v>
      </c>
      <c r="X1714" s="3" t="str">
        <f>IFERROR(__xludf.DUMMYFUNCTION("""COMPUTED_VALUE"""),"83/7 หมู่7 ตำบลกะรุบี อำเภอกะพ้อ จังหวัดปัตตานี 94230")</f>
        <v>83/7 หมู่7 ตำบลกะรุบี อำเภอกะพ้อ จังหวัดปัตตานี 94230</v>
      </c>
      <c r="Y1714" s="3"/>
      <c r="Z1714" s="3" t="str">
        <f>IFERROR(__xludf.DUMMYFUNCTION("""COMPUTED_VALUE"""),"กะรุบี")</f>
        <v>กะรุบี</v>
      </c>
      <c r="AA1714" s="3" t="str">
        <f>IFERROR(__xludf.DUMMYFUNCTION("""COMPUTED_VALUE"""),"กะพ้อ")</f>
        <v>กะพ้อ</v>
      </c>
      <c r="AB1714" s="3" t="str">
        <f>IFERROR(__xludf.DUMMYFUNCTION("""COMPUTED_VALUE"""),"ปัตตานี")</f>
        <v>ปัตตานี</v>
      </c>
      <c r="AC1714" s="3">
        <f>IFERROR(__xludf.DUMMYFUNCTION("""COMPUTED_VALUE"""),94230.0)</f>
        <v>94230</v>
      </c>
      <c r="AD1714" s="3">
        <f>IFERROR(__xludf.DUMMYFUNCTION("""COMPUTED_VALUE"""),6.568851)</f>
        <v>6.568851</v>
      </c>
      <c r="AE1714" s="3">
        <f>IFERROR(__xludf.DUMMYFUNCTION("""COMPUTED_VALUE"""),101.539729)</f>
        <v>101.539729</v>
      </c>
      <c r="AF1714" s="3" t="str">
        <f>IFERROR(__xludf.DUMMYFUNCTION("""COMPUTED_VALUE"""),"MBC กะพ้อ ปัตตานี-22400")</f>
        <v>MBC กะพ้อ ปัตตานี-22400</v>
      </c>
      <c r="AG1714" s="3" t="str">
        <f>IFERROR(__xludf.DUMMYFUNCTION("""COMPUTED_VALUE"""),"ใต้")</f>
        <v>ใต้</v>
      </c>
      <c r="AH1714" s="3" t="str">
        <f>IFERROR(__xludf.DUMMYFUNCTION("""COMPUTED_VALUE"""),"#N/A")</f>
        <v>#N/A</v>
      </c>
      <c r="AI1714" s="3" t="str">
        <f>IFERROR(__xludf.DUMMYFUNCTION("""COMPUTED_VALUE"""),"Out of warranty")</f>
        <v>Out of warranty</v>
      </c>
      <c r="AJ1714" s="3">
        <f>IFERROR(__xludf.DUMMYFUNCTION("""COMPUTED_VALUE"""),51.0)</f>
        <v>51</v>
      </c>
      <c r="AK1714" s="3" t="str">
        <f>IFERROR(__xludf.DUMMYFUNCTION("""COMPUTED_VALUE"""),"MMS16")</f>
        <v>MMS16</v>
      </c>
      <c r="AL1714" s="3"/>
    </row>
    <row r="1715" ht="15.75" customHeight="1">
      <c r="A1715" s="1" t="str">
        <f>IFERROR(__xludf.DUMMYFUNCTION("""COMPUTED_VALUE"""),"22401")</f>
        <v>22401</v>
      </c>
      <c r="B1715" s="2">
        <f>IFERROR(__xludf.DUMMYFUNCTION("""COMPUTED_VALUE"""),22401.0)</f>
        <v>22401</v>
      </c>
      <c r="C1715" s="3" t="str">
        <f>IFERROR(__xludf.DUMMYFUNCTION("""COMPUTED_VALUE"""),"MBC ศรีเชียงใหม่ หนองคาย")</f>
        <v>MBC ศรีเชียงใหม่ หนองคาย</v>
      </c>
      <c r="D1715" s="3" t="str">
        <f>IFERROR(__xludf.DUMMYFUNCTION("""COMPUTED_VALUE"""),"BCM SRI CHAING MAI")</f>
        <v>BCM SRI CHAING MAI</v>
      </c>
      <c r="E1715" s="1" t="str">
        <f>IFERROR(__xludf.DUMMYFUNCTION("""COMPUTED_VALUE"""),"บิ๊กซี MINI")</f>
        <v>บิ๊กซี MINI</v>
      </c>
      <c r="F1715" s="1" t="str">
        <f>IFERROR(__xludf.DUMMYFUNCTION("""COMPUTED_VALUE"""),"291105")</f>
        <v>291105</v>
      </c>
      <c r="G1715" s="1" t="str">
        <f>IFERROR(__xludf.DUMMYFUNCTION("""COMPUTED_VALUE"""),"นายสราวุฒิ พณิชยกุล")</f>
        <v>นายสราวุฒิ พณิชยกุล</v>
      </c>
      <c r="H1715" s="1" t="str">
        <f>IFERROR(__xludf.DUMMYFUNCTION("""COMPUTED_VALUE"""),"392005")</f>
        <v>392005</v>
      </c>
      <c r="I1715" s="1" t="str">
        <f>IFERROR(__xludf.DUMMYFUNCTION("""COMPUTED_VALUE"""),"นายรัฐพล หาญลำยวง")</f>
        <v>นายรัฐพล หาญลำยวง</v>
      </c>
      <c r="J1715" s="3">
        <f>IFERROR(__xludf.DUMMYFUNCTION("""COMPUTED_VALUE"""),296868.0)</f>
        <v>296868</v>
      </c>
      <c r="K1715" s="3" t="str">
        <f>IFERROR(__xludf.DUMMYFUNCTION("""COMPUTED_VALUE"""),"นายพีระพงษ์ แก้วดวงดี")</f>
        <v>นายพีระพงษ์ แก้วดวงดี</v>
      </c>
      <c r="L1715" s="1" t="str">
        <f>IFERROR(__xludf.DUMMYFUNCTION("""COMPUTED_VALUE"""),"03 K.Peerapong K.")</f>
        <v>03 K.Peerapong K.</v>
      </c>
      <c r="M1715" s="1" t="str">
        <f>IFERROR(__xludf.DUMMYFUNCTION("""COMPUTED_VALUE"""),"089-002-6599")</f>
        <v>089-002-6599</v>
      </c>
      <c r="N1715" s="3">
        <f>IFERROR(__xludf.DUMMYFUNCTION("""COMPUTED_VALUE"""),21946.0)</f>
        <v>21946</v>
      </c>
      <c r="O1715" s="3" t="str">
        <f>IFERROR(__xludf.DUMMYFUNCTION("""COMPUTED_VALUE"""),"MBC เซกา บึงกาฬ")</f>
        <v>MBC เซกา บึงกาฬ</v>
      </c>
      <c r="P1715" s="4">
        <f>IFERROR(__xludf.DUMMYFUNCTION("""COMPUTED_VALUE"""),44518.0)</f>
        <v>44518</v>
      </c>
      <c r="Q1715" s="3" t="str">
        <f>IFERROR(__xludf.DUMMYFUNCTION("""COMPUTED_VALUE"""),"A")</f>
        <v>A</v>
      </c>
      <c r="R1715" s="3" t="str">
        <f>IFERROR(__xludf.DUMMYFUNCTION("""COMPUTED_VALUE"""),"Small Format")</f>
        <v>Small Format</v>
      </c>
      <c r="S1715" s="3" t="str">
        <f>IFERROR(__xludf.DUMMYFUNCTION("""COMPUTED_VALUE"""),"BCM")</f>
        <v>BCM</v>
      </c>
      <c r="T1715" s="3" t="str">
        <f>IFERROR(__xludf.DUMMYFUNCTION("""COMPUTED_VALUE"""),"#N/A")</f>
        <v>#N/A</v>
      </c>
      <c r="U1715" s="3" t="str">
        <f>IFERROR(__xludf.DUMMYFUNCTION("""COMPUTED_VALUE"""),"#N/A")</f>
        <v>#N/A</v>
      </c>
      <c r="V1715" s="3" t="str">
        <f>IFERROR(__xludf.DUMMYFUNCTION("""COMPUTED_VALUE"""),"N")</f>
        <v>N</v>
      </c>
      <c r="W1715" s="3">
        <f>IFERROR(__xludf.DUMMYFUNCTION("""COMPUTED_VALUE"""),210454.0)</f>
        <v>210454</v>
      </c>
      <c r="X1715" s="3" t="str">
        <f>IFERROR(__xludf.DUMMYFUNCTION("""COMPUTED_VALUE"""),"127 หมู่14 ตำบลพรานพร้าว อำเภอศรีเชียงใหม่ จังหวัดหนองคาย 43130")</f>
        <v>127 หมู่14 ตำบลพรานพร้าว อำเภอศรีเชียงใหม่ จังหวัดหนองคาย 43130</v>
      </c>
      <c r="Y1715" s="3"/>
      <c r="Z1715" s="3" t="str">
        <f>IFERROR(__xludf.DUMMYFUNCTION("""COMPUTED_VALUE"""),"พรานพร้าว")</f>
        <v>พรานพร้าว</v>
      </c>
      <c r="AA1715" s="3" t="str">
        <f>IFERROR(__xludf.DUMMYFUNCTION("""COMPUTED_VALUE"""),"ศรีเชียงใหม่")</f>
        <v>ศรีเชียงใหม่</v>
      </c>
      <c r="AB1715" s="3" t="str">
        <f>IFERROR(__xludf.DUMMYFUNCTION("""COMPUTED_VALUE"""),"หนองคาย")</f>
        <v>หนองคาย</v>
      </c>
      <c r="AC1715" s="3">
        <f>IFERROR(__xludf.DUMMYFUNCTION("""COMPUTED_VALUE"""),43130.0)</f>
        <v>43130</v>
      </c>
      <c r="AD1715" s="3">
        <f>IFERROR(__xludf.DUMMYFUNCTION("""COMPUTED_VALUE"""),17.95669202)</f>
        <v>17.95669202</v>
      </c>
      <c r="AE1715" s="3">
        <f>IFERROR(__xludf.DUMMYFUNCTION("""COMPUTED_VALUE"""),102.5845908)</f>
        <v>102.5845908</v>
      </c>
      <c r="AF1715" s="3" t="str">
        <f>IFERROR(__xludf.DUMMYFUNCTION("""COMPUTED_VALUE"""),"MBC ศรีเชียงใหม่ หนองคาย-22401")</f>
        <v>MBC ศรีเชียงใหม่ หนองคาย-22401</v>
      </c>
      <c r="AG1715" s="3" t="str">
        <f>IFERROR(__xludf.DUMMYFUNCTION("""COMPUTED_VALUE"""),"ตะวันออกเฉียงเหนือ")</f>
        <v>ตะวันออกเฉียงเหนือ</v>
      </c>
      <c r="AH1715" s="3" t="str">
        <f>IFERROR(__xludf.DUMMYFUNCTION("""COMPUTED_VALUE"""),"#N/A")</f>
        <v>#N/A</v>
      </c>
      <c r="AI1715" s="3" t="str">
        <f>IFERROR(__xludf.DUMMYFUNCTION("""COMPUTED_VALUE"""),"Out of warranty")</f>
        <v>Out of warranty</v>
      </c>
      <c r="AJ1715" s="3">
        <f>IFERROR(__xludf.DUMMYFUNCTION("""COMPUTED_VALUE"""),51.0)</f>
        <v>51</v>
      </c>
      <c r="AK1715" s="3" t="str">
        <f>IFERROR(__xludf.DUMMYFUNCTION("""COMPUTED_VALUE"""),"MMS12")</f>
        <v>MMS12</v>
      </c>
      <c r="AL1715" s="3"/>
    </row>
    <row r="1716" ht="15.75" customHeight="1">
      <c r="A1716" s="1" t="str">
        <f>IFERROR(__xludf.DUMMYFUNCTION("""COMPUTED_VALUE"""),"22402")</f>
        <v>22402</v>
      </c>
      <c r="B1716" s="2">
        <f>IFERROR(__xludf.DUMMYFUNCTION("""COMPUTED_VALUE"""),22402.0)</f>
        <v>22402</v>
      </c>
      <c r="C1716" s="3" t="str">
        <f>IFERROR(__xludf.DUMMYFUNCTION("""COMPUTED_VALUE"""),"MBC บ้านนาสาร สุราษฎร์ธานี")</f>
        <v>MBC บ้านนาสาร สุราษฎร์ธานี</v>
      </c>
      <c r="D1716" s="3" t="str">
        <f>IFERROR(__xludf.DUMMYFUNCTION("""COMPUTED_VALUE"""),"BCM BAN NASAN")</f>
        <v>BCM BAN NASAN</v>
      </c>
      <c r="E1716" s="1" t="str">
        <f>IFERROR(__xludf.DUMMYFUNCTION("""COMPUTED_VALUE"""),"บิ๊กซี MINI")</f>
        <v>บิ๊กซี MINI</v>
      </c>
      <c r="F1716" s="1" t="str">
        <f>IFERROR(__xludf.DUMMYFUNCTION("""COMPUTED_VALUE"""),"250760")</f>
        <v>250760</v>
      </c>
      <c r="G1716" s="1" t="str">
        <f>IFERROR(__xludf.DUMMYFUNCTION("""COMPUTED_VALUE"""),"นายประทวน สาราบรรณ์")</f>
        <v>นายประทวน สาราบรรณ์</v>
      </c>
      <c r="H1716" s="1" t="str">
        <f>IFERROR(__xludf.DUMMYFUNCTION("""COMPUTED_VALUE"""),"228389")</f>
        <v>228389</v>
      </c>
      <c r="I1716" s="1" t="str">
        <f>IFERROR(__xludf.DUMMYFUNCTION("""COMPUTED_VALUE"""),"นายมณีรันดร์ ชัยชนะ")</f>
        <v>นายมณีรันดร์ ชัยชนะ</v>
      </c>
      <c r="J1716" s="3">
        <f>IFERROR(__xludf.DUMMYFUNCTION("""COMPUTED_VALUE"""),25324.0)</f>
        <v>25324</v>
      </c>
      <c r="K1716" s="3" t="str">
        <f>IFERROR(__xludf.DUMMYFUNCTION("""COMPUTED_VALUE"""),"นายวิเชฎฐ์ ติรัตนะประคม")</f>
        <v>นายวิเชฎฐ์ ติรัตนะประคม</v>
      </c>
      <c r="L1716" s="1" t="str">
        <f>IFERROR(__xludf.DUMMYFUNCTION("""COMPUTED_VALUE"""),"14 K.Wichet T.")</f>
        <v>14 K.Wichet T.</v>
      </c>
      <c r="M1716" s="1" t="str">
        <f>IFERROR(__xludf.DUMMYFUNCTION("""COMPUTED_VALUE"""),"061-417-6569 / 086-445-5636")</f>
        <v>061-417-6569 / 086-445-5636</v>
      </c>
      <c r="N1716" s="3">
        <f>IFERROR(__xludf.DUMMYFUNCTION("""COMPUTED_VALUE"""),22658.0)</f>
        <v>22658</v>
      </c>
      <c r="O1716" s="3" t="str">
        <f>IFERROR(__xludf.DUMMYFUNCTION("""COMPUTED_VALUE"""),"BCM ถ.วิรัชหงษ์หยก ภูเก็ต")</f>
        <v>BCM ถ.วิรัชหงษ์หยก ภูเก็ต</v>
      </c>
      <c r="P1716" s="4">
        <f>IFERROR(__xludf.DUMMYFUNCTION("""COMPUTED_VALUE"""),44521.0)</f>
        <v>44521</v>
      </c>
      <c r="Q1716" s="3" t="str">
        <f>IFERROR(__xludf.DUMMYFUNCTION("""COMPUTED_VALUE"""),"A")</f>
        <v>A</v>
      </c>
      <c r="R1716" s="3" t="str">
        <f>IFERROR(__xludf.DUMMYFUNCTION("""COMPUTED_VALUE"""),"Small Format")</f>
        <v>Small Format</v>
      </c>
      <c r="S1716" s="3" t="str">
        <f>IFERROR(__xludf.DUMMYFUNCTION("""COMPUTED_VALUE"""),"BCM")</f>
        <v>BCM</v>
      </c>
      <c r="T1716" s="3" t="str">
        <f>IFERROR(__xludf.DUMMYFUNCTION("""COMPUTED_VALUE"""),"#N/A")</f>
        <v>#N/A</v>
      </c>
      <c r="U1716" s="3" t="str">
        <f>IFERROR(__xludf.DUMMYFUNCTION("""COMPUTED_VALUE"""),"#N/A")</f>
        <v>#N/A</v>
      </c>
      <c r="V1716" s="3" t="str">
        <f>IFERROR(__xludf.DUMMYFUNCTION("""COMPUTED_VALUE"""),"N")</f>
        <v>N</v>
      </c>
      <c r="W1716" s="3">
        <f>IFERROR(__xludf.DUMMYFUNCTION("""COMPUTED_VALUE"""),210475.0)</f>
        <v>210475</v>
      </c>
      <c r="X1716" s="3" t="str">
        <f>IFERROR(__xludf.DUMMYFUNCTION("""COMPUTED_VALUE"""),"33/1 ถนนพูลศิริ ตำบลนาสาร อำเภอบ้านนาสาร จังหวัดสุราษฎร์ธานี 84120")</f>
        <v>33/1 ถนนพูลศิริ ตำบลนาสาร อำเภอบ้านนาสาร จังหวัดสุราษฎร์ธานี 84120</v>
      </c>
      <c r="Y1716" s="3" t="str">
        <f>IFERROR(__xludf.DUMMYFUNCTION("""COMPUTED_VALUE"""),"พลูศิริ")</f>
        <v>พลูศิริ</v>
      </c>
      <c r="Z1716" s="3" t="str">
        <f>IFERROR(__xludf.DUMMYFUNCTION("""COMPUTED_VALUE"""),"นาสาร")</f>
        <v>นาสาร</v>
      </c>
      <c r="AA1716" s="3" t="str">
        <f>IFERROR(__xludf.DUMMYFUNCTION("""COMPUTED_VALUE"""),"บ้านนาสาร")</f>
        <v>บ้านนาสาร</v>
      </c>
      <c r="AB1716" s="3" t="str">
        <f>IFERROR(__xludf.DUMMYFUNCTION("""COMPUTED_VALUE"""),"สุราษฎร์ธานี")</f>
        <v>สุราษฎร์ธานี</v>
      </c>
      <c r="AC1716" s="3">
        <f>IFERROR(__xludf.DUMMYFUNCTION("""COMPUTED_VALUE"""),84120.0)</f>
        <v>84120</v>
      </c>
      <c r="AD1716" s="3">
        <f>IFERROR(__xludf.DUMMYFUNCTION("""COMPUTED_VALUE"""),8.798488)</f>
        <v>8.798488</v>
      </c>
      <c r="AE1716" s="3">
        <f>IFERROR(__xludf.DUMMYFUNCTION("""COMPUTED_VALUE"""),99.362743)</f>
        <v>99.362743</v>
      </c>
      <c r="AF1716" s="3" t="str">
        <f>IFERROR(__xludf.DUMMYFUNCTION("""COMPUTED_VALUE"""),"MBC บ้านนาสาร สุราษฎร์ธานี-22402")</f>
        <v>MBC บ้านนาสาร สุราษฎร์ธานี-22402</v>
      </c>
      <c r="AG1716" s="3" t="str">
        <f>IFERROR(__xludf.DUMMYFUNCTION("""COMPUTED_VALUE"""),"ใต้")</f>
        <v>ใต้</v>
      </c>
      <c r="AH1716" s="3" t="str">
        <f>IFERROR(__xludf.DUMMYFUNCTION("""COMPUTED_VALUE"""),"#N/A")</f>
        <v>#N/A</v>
      </c>
      <c r="AI1716" s="3" t="str">
        <f>IFERROR(__xludf.DUMMYFUNCTION("""COMPUTED_VALUE"""),"Out of warranty")</f>
        <v>Out of warranty</v>
      </c>
      <c r="AJ1716" s="3">
        <f>IFERROR(__xludf.DUMMYFUNCTION("""COMPUTED_VALUE"""),50.0)</f>
        <v>50</v>
      </c>
      <c r="AK1716" s="3" t="str">
        <f>IFERROR(__xludf.DUMMYFUNCTION("""COMPUTED_VALUE"""),"MMS15")</f>
        <v>MMS15</v>
      </c>
      <c r="AL1716" s="3"/>
    </row>
    <row r="1717" ht="15.75" customHeight="1">
      <c r="A1717" s="1" t="str">
        <f>IFERROR(__xludf.DUMMYFUNCTION("""COMPUTED_VALUE"""),"22403")</f>
        <v>22403</v>
      </c>
      <c r="B1717" s="2">
        <f>IFERROR(__xludf.DUMMYFUNCTION("""COMPUTED_VALUE"""),22403.0)</f>
        <v>22403</v>
      </c>
      <c r="C1717" s="3" t="str">
        <f>IFERROR(__xludf.DUMMYFUNCTION("""COMPUTED_VALUE"""),"MBC ต้นไทร นราธิวาส")</f>
        <v>MBC ต้นไทร นราธิวาส</v>
      </c>
      <c r="D1717" s="3" t="str">
        <f>IFERROR(__xludf.DUMMYFUNCTION("""COMPUTED_VALUE"""),"BCM TON SAI NARATHIWAT")</f>
        <v>BCM TON SAI NARATHIWAT</v>
      </c>
      <c r="E1717" s="1" t="str">
        <f>IFERROR(__xludf.DUMMYFUNCTION("""COMPUTED_VALUE"""),"บิ๊กซี MINI")</f>
        <v>บิ๊กซี MINI</v>
      </c>
      <c r="F1717" s="1" t="str">
        <f>IFERROR(__xludf.DUMMYFUNCTION("""COMPUTED_VALUE"""),"250760")</f>
        <v>250760</v>
      </c>
      <c r="G1717" s="1" t="str">
        <f>IFERROR(__xludf.DUMMYFUNCTION("""COMPUTED_VALUE"""),"นายประทวน สาราบรรณ์")</f>
        <v>นายประทวน สาราบรรณ์</v>
      </c>
      <c r="H1717" s="1" t="str">
        <f>IFERROR(__xludf.DUMMYFUNCTION("""COMPUTED_VALUE"""),"006583")</f>
        <v>006583</v>
      </c>
      <c r="I1717" s="1" t="str">
        <f>IFERROR(__xludf.DUMMYFUNCTION("""COMPUTED_VALUE"""),"นายเด่น ยะอิง")</f>
        <v>นายเด่น ยะอิง</v>
      </c>
      <c r="J1717" s="3">
        <f>IFERROR(__xludf.DUMMYFUNCTION("""COMPUTED_VALUE"""),2.0470331E7)</f>
        <v>20470331</v>
      </c>
      <c r="K1717" s="3" t="str">
        <f>IFERROR(__xludf.DUMMYFUNCTION("""COMPUTED_VALUE"""),"นายสมชาย ลักษณะสุวรรณ")</f>
        <v>นายสมชาย ลักษณะสุวรรณ</v>
      </c>
      <c r="L1717" s="1" t="str">
        <f>IFERROR(__xludf.DUMMYFUNCTION("""COMPUTED_VALUE"""),"15 K.Somchai L")</f>
        <v>15 K.Somchai L</v>
      </c>
      <c r="M1717" s="1" t="str">
        <f>IFERROR(__xludf.DUMMYFUNCTION("""COMPUTED_VALUE"""),"0655107372")</f>
        <v>0655107372</v>
      </c>
      <c r="N1717" s="3">
        <f>IFERROR(__xludf.DUMMYFUNCTION("""COMPUTED_VALUE"""),21723.0)</f>
        <v>21723</v>
      </c>
      <c r="O1717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17" s="4">
        <f>IFERROR(__xludf.DUMMYFUNCTION("""COMPUTED_VALUE"""),44508.0)</f>
        <v>44508</v>
      </c>
      <c r="Q1717" s="3" t="str">
        <f>IFERROR(__xludf.DUMMYFUNCTION("""COMPUTED_VALUE"""),"A")</f>
        <v>A</v>
      </c>
      <c r="R1717" s="3" t="str">
        <f>IFERROR(__xludf.DUMMYFUNCTION("""COMPUTED_VALUE"""),"Small Format")</f>
        <v>Small Format</v>
      </c>
      <c r="S1717" s="3" t="str">
        <f>IFERROR(__xludf.DUMMYFUNCTION("""COMPUTED_VALUE"""),"BCM")</f>
        <v>BCM</v>
      </c>
      <c r="T1717" s="3" t="str">
        <f>IFERROR(__xludf.DUMMYFUNCTION("""COMPUTED_VALUE"""),"#N/A")</f>
        <v>#N/A</v>
      </c>
      <c r="U1717" s="3" t="str">
        <f>IFERROR(__xludf.DUMMYFUNCTION("""COMPUTED_VALUE"""),"#N/A")</f>
        <v>#N/A</v>
      </c>
      <c r="V1717" s="3" t="str">
        <f>IFERROR(__xludf.DUMMYFUNCTION("""COMPUTED_VALUE"""),"N")</f>
        <v>N</v>
      </c>
      <c r="W1717" s="3">
        <f>IFERROR(__xludf.DUMMYFUNCTION("""COMPUTED_VALUE"""),210474.0)</f>
        <v>210474</v>
      </c>
      <c r="X1717" s="3" t="str">
        <f>IFERROR(__xludf.DUMMYFUNCTION("""COMPUTED_VALUE"""),"2/1-3 หมู่6 ตำบลปะลุกาสาเมาะ อำเภอบาเจาะ จังหวัดนราธิวาส 96170")</f>
        <v>2/1-3 หมู่6 ตำบลปะลุกาสาเมาะ อำเภอบาเจาะ จังหวัดนราธิวาส 96170</v>
      </c>
      <c r="Y1717" s="3"/>
      <c r="Z1717" s="3" t="str">
        <f>IFERROR(__xludf.DUMMYFUNCTION("""COMPUTED_VALUE"""),"ปะลุกาสาเมาะ")</f>
        <v>ปะลุกาสาเมาะ</v>
      </c>
      <c r="AA1717" s="3" t="str">
        <f>IFERROR(__xludf.DUMMYFUNCTION("""COMPUTED_VALUE"""),"บาเจาะ")</f>
        <v>บาเจาะ</v>
      </c>
      <c r="AB1717" s="3" t="str">
        <f>IFERROR(__xludf.DUMMYFUNCTION("""COMPUTED_VALUE"""),"นราธิวาส")</f>
        <v>นราธิวาส</v>
      </c>
      <c r="AC1717" s="3">
        <f>IFERROR(__xludf.DUMMYFUNCTION("""COMPUTED_VALUE"""),96170.0)</f>
        <v>96170</v>
      </c>
      <c r="AD1717" s="3">
        <f>IFERROR(__xludf.DUMMYFUNCTION("""COMPUTED_VALUE"""),6.612341)</f>
        <v>6.612341</v>
      </c>
      <c r="AE1717" s="3">
        <f>IFERROR(__xludf.DUMMYFUNCTION("""COMPUTED_VALUE"""),101.629715)</f>
        <v>101.629715</v>
      </c>
      <c r="AF1717" s="3" t="str">
        <f>IFERROR(__xludf.DUMMYFUNCTION("""COMPUTED_VALUE"""),"MBC ต้นไทร นราธิวาส-22403")</f>
        <v>MBC ต้นไทร นราธิวาส-22403</v>
      </c>
      <c r="AG1717" s="3" t="str">
        <f>IFERROR(__xludf.DUMMYFUNCTION("""COMPUTED_VALUE"""),"ใต้")</f>
        <v>ใต้</v>
      </c>
      <c r="AH1717" s="3" t="str">
        <f>IFERROR(__xludf.DUMMYFUNCTION("""COMPUTED_VALUE"""),"#N/A")</f>
        <v>#N/A</v>
      </c>
      <c r="AI1717" s="3" t="str">
        <f>IFERROR(__xludf.DUMMYFUNCTION("""COMPUTED_VALUE"""),"Out of warranty")</f>
        <v>Out of warranty</v>
      </c>
      <c r="AJ1717" s="3">
        <f>IFERROR(__xludf.DUMMYFUNCTION("""COMPUTED_VALUE"""),51.0)</f>
        <v>51</v>
      </c>
      <c r="AK1717" s="3" t="str">
        <f>IFERROR(__xludf.DUMMYFUNCTION("""COMPUTED_VALUE"""),"MMS16")</f>
        <v>MMS16</v>
      </c>
      <c r="AL1717" s="3"/>
    </row>
    <row r="1718" ht="15.75" customHeight="1">
      <c r="A1718" s="1" t="str">
        <f>IFERROR(__xludf.DUMMYFUNCTION("""COMPUTED_VALUE"""),"22404")</f>
        <v>22404</v>
      </c>
      <c r="B1718" s="2">
        <f>IFERROR(__xludf.DUMMYFUNCTION("""COMPUTED_VALUE"""),22404.0)</f>
        <v>22404</v>
      </c>
      <c r="C1718" s="3" t="str">
        <f>IFERROR(__xludf.DUMMYFUNCTION("""COMPUTED_VALUE"""),"MBC คลองปาง ตรัง")</f>
        <v>MBC คลองปาง ตรัง</v>
      </c>
      <c r="D1718" s="3" t="str">
        <f>IFERROR(__xludf.DUMMYFUNCTION("""COMPUTED_VALUE"""),"BCM KHONG PANG TRANG")</f>
        <v>BCM KHONG PANG TRANG</v>
      </c>
      <c r="E1718" s="1" t="str">
        <f>IFERROR(__xludf.DUMMYFUNCTION("""COMPUTED_VALUE"""),"บิ๊กซี MINI")</f>
        <v>บิ๊กซี MINI</v>
      </c>
      <c r="F1718" s="1" t="str">
        <f>IFERROR(__xludf.DUMMYFUNCTION("""COMPUTED_VALUE"""),"250760")</f>
        <v>250760</v>
      </c>
      <c r="G1718" s="1" t="str">
        <f>IFERROR(__xludf.DUMMYFUNCTION("""COMPUTED_VALUE"""),"นายประทวน สาราบรรณ์")</f>
        <v>นายประทวน สาราบรรณ์</v>
      </c>
      <c r="H1718" s="1" t="str">
        <f>IFERROR(__xludf.DUMMYFUNCTION("""COMPUTED_VALUE"""),"394143")</f>
        <v>394143</v>
      </c>
      <c r="I1718" s="1" t="str">
        <f>IFERROR(__xludf.DUMMYFUNCTION("""COMPUTED_VALUE"""),"นายวิษณุ เพชรหัตถ์")</f>
        <v>นายวิษณุ เพชรหัตถ์</v>
      </c>
      <c r="J1718" s="3">
        <f>IFERROR(__xludf.DUMMYFUNCTION("""COMPUTED_VALUE"""),2.0470331E7)</f>
        <v>20470331</v>
      </c>
      <c r="K1718" s="3" t="str">
        <f>IFERROR(__xludf.DUMMYFUNCTION("""COMPUTED_VALUE"""),"นายสมชาย ลักษณะสุวรรณ")</f>
        <v>นายสมชาย ลักษณะสุวรรณ</v>
      </c>
      <c r="L1718" s="1" t="str">
        <f>IFERROR(__xludf.DUMMYFUNCTION("""COMPUTED_VALUE"""),"15 K.Somchai L")</f>
        <v>15 K.Somchai L</v>
      </c>
      <c r="M1718" s="1" t="str">
        <f>IFERROR(__xludf.DUMMYFUNCTION("""COMPUTED_VALUE"""),"0655107372")</f>
        <v>0655107372</v>
      </c>
      <c r="N1718" s="3">
        <f>IFERROR(__xludf.DUMMYFUNCTION("""COMPUTED_VALUE"""),21723.0)</f>
        <v>21723</v>
      </c>
      <c r="O1718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18" s="4">
        <f>IFERROR(__xludf.DUMMYFUNCTION("""COMPUTED_VALUE"""),44521.0)</f>
        <v>44521</v>
      </c>
      <c r="Q1718" s="3" t="str">
        <f>IFERROR(__xludf.DUMMYFUNCTION("""COMPUTED_VALUE"""),"A")</f>
        <v>A</v>
      </c>
      <c r="R1718" s="3" t="str">
        <f>IFERROR(__xludf.DUMMYFUNCTION("""COMPUTED_VALUE"""),"Small Format")</f>
        <v>Small Format</v>
      </c>
      <c r="S1718" s="3" t="str">
        <f>IFERROR(__xludf.DUMMYFUNCTION("""COMPUTED_VALUE"""),"BCM")</f>
        <v>BCM</v>
      </c>
      <c r="T1718" s="3" t="str">
        <f>IFERROR(__xludf.DUMMYFUNCTION("""COMPUTED_VALUE"""),"#N/A")</f>
        <v>#N/A</v>
      </c>
      <c r="U1718" s="3" t="str">
        <f>IFERROR(__xludf.DUMMYFUNCTION("""COMPUTED_VALUE"""),"#N/A")</f>
        <v>#N/A</v>
      </c>
      <c r="V1718" s="3" t="str">
        <f>IFERROR(__xludf.DUMMYFUNCTION("""COMPUTED_VALUE"""),"N")</f>
        <v>N</v>
      </c>
      <c r="W1718" s="3">
        <f>IFERROR(__xludf.DUMMYFUNCTION("""COMPUTED_VALUE"""),210473.0)</f>
        <v>210473</v>
      </c>
      <c r="X1718" s="3" t="str">
        <f>IFERROR(__xludf.DUMMYFUNCTION("""COMPUTED_VALUE"""),"318 หมู่2 ถนนเพชรเกษม ตำบลคลองปาง อำเภอรัษฎา จังหวัดตรัง 92160")</f>
        <v>318 หมู่2 ถนนเพชรเกษม ตำบลคลองปาง อำเภอรัษฎา จังหวัดตรัง 92160</v>
      </c>
      <c r="Y1718" s="3" t="str">
        <f>IFERROR(__xludf.DUMMYFUNCTION("""COMPUTED_VALUE"""),"เพชรเกษม")</f>
        <v>เพชรเกษม</v>
      </c>
      <c r="Z1718" s="3" t="str">
        <f>IFERROR(__xludf.DUMMYFUNCTION("""COMPUTED_VALUE"""),"คลองปาง")</f>
        <v>คลองปาง</v>
      </c>
      <c r="AA1718" s="3" t="str">
        <f>IFERROR(__xludf.DUMMYFUNCTION("""COMPUTED_VALUE"""),"รัษฎา")</f>
        <v>รัษฎา</v>
      </c>
      <c r="AB1718" s="3" t="str">
        <f>IFERROR(__xludf.DUMMYFUNCTION("""COMPUTED_VALUE"""),"ตรัง")</f>
        <v>ตรัง</v>
      </c>
      <c r="AC1718" s="3">
        <f>IFERROR(__xludf.DUMMYFUNCTION("""COMPUTED_VALUE"""),92160.0)</f>
        <v>92160</v>
      </c>
      <c r="AD1718" s="3">
        <f>IFERROR(__xludf.DUMMYFUNCTION("""COMPUTED_VALUE"""),8.009844)</f>
        <v>8.009844</v>
      </c>
      <c r="AE1718" s="3">
        <f>IFERROR(__xludf.DUMMYFUNCTION("""COMPUTED_VALUE"""),99.641936)</f>
        <v>99.641936</v>
      </c>
      <c r="AF1718" s="3" t="str">
        <f>IFERROR(__xludf.DUMMYFUNCTION("""COMPUTED_VALUE"""),"MBC คลองปาง ตรัง-22404")</f>
        <v>MBC คลองปาง ตรัง-22404</v>
      </c>
      <c r="AG1718" s="3" t="str">
        <f>IFERROR(__xludf.DUMMYFUNCTION("""COMPUTED_VALUE"""),"ใต้")</f>
        <v>ใต้</v>
      </c>
      <c r="AH1718" s="3" t="str">
        <f>IFERROR(__xludf.DUMMYFUNCTION("""COMPUTED_VALUE"""),"#N/A")</f>
        <v>#N/A</v>
      </c>
      <c r="AI1718" s="3" t="str">
        <f>IFERROR(__xludf.DUMMYFUNCTION("""COMPUTED_VALUE"""),"Out of warranty")</f>
        <v>Out of warranty</v>
      </c>
      <c r="AJ1718" s="3">
        <f>IFERROR(__xludf.DUMMYFUNCTION("""COMPUTED_VALUE"""),50.0)</f>
        <v>50</v>
      </c>
      <c r="AK1718" s="3" t="str">
        <f>IFERROR(__xludf.DUMMYFUNCTION("""COMPUTED_VALUE"""),"MMS15")</f>
        <v>MMS15</v>
      </c>
      <c r="AL1718" s="3"/>
    </row>
    <row r="1719" ht="15.75" customHeight="1">
      <c r="A1719" s="1" t="str">
        <f>IFERROR(__xludf.DUMMYFUNCTION("""COMPUTED_VALUE"""),"22405")</f>
        <v>22405</v>
      </c>
      <c r="B1719" s="2">
        <f>IFERROR(__xludf.DUMMYFUNCTION("""COMPUTED_VALUE"""),22405.0)</f>
        <v>22405</v>
      </c>
      <c r="C1719" s="3" t="str">
        <f>IFERROR(__xludf.DUMMYFUNCTION("""COMPUTED_VALUE"""),"MBC ป่าพะยอม พัทลุง")</f>
        <v>MBC ป่าพะยอม พัทลุง</v>
      </c>
      <c r="D1719" s="3" t="str">
        <f>IFERROR(__xludf.DUMMYFUNCTION("""COMPUTED_VALUE"""),"BCM PA PHA YOM")</f>
        <v>BCM PA PHA YOM</v>
      </c>
      <c r="E1719" s="1" t="str">
        <f>IFERROR(__xludf.DUMMYFUNCTION("""COMPUTED_VALUE"""),"บิ๊กซี MINI")</f>
        <v>บิ๊กซี MINI</v>
      </c>
      <c r="F1719" s="1" t="str">
        <f>IFERROR(__xludf.DUMMYFUNCTION("""COMPUTED_VALUE"""),"250760")</f>
        <v>250760</v>
      </c>
      <c r="G1719" s="1" t="str">
        <f>IFERROR(__xludf.DUMMYFUNCTION("""COMPUTED_VALUE"""),"นายประทวน สาราบรรณ์")</f>
        <v>นายประทวน สาราบรรณ์</v>
      </c>
      <c r="H1719" s="1" t="str">
        <f>IFERROR(__xludf.DUMMYFUNCTION("""COMPUTED_VALUE"""),"394100")</f>
        <v>394100</v>
      </c>
      <c r="I1719" s="1" t="str">
        <f>IFERROR(__xludf.DUMMYFUNCTION("""COMPUTED_VALUE"""),"นายไพโรจน์ ถิระผะลิกะ")</f>
        <v>นายไพโรจน์ ถิระผะลิกะ</v>
      </c>
      <c r="J1719" s="3">
        <f>IFERROR(__xludf.DUMMYFUNCTION("""COMPUTED_VALUE"""),2.0470331E7)</f>
        <v>20470331</v>
      </c>
      <c r="K1719" s="3" t="str">
        <f>IFERROR(__xludf.DUMMYFUNCTION("""COMPUTED_VALUE"""),"นายสมชาย ลักษณะสุวรรณ")</f>
        <v>นายสมชาย ลักษณะสุวรรณ</v>
      </c>
      <c r="L1719" s="1" t="str">
        <f>IFERROR(__xludf.DUMMYFUNCTION("""COMPUTED_VALUE"""),"15 K.Somchai L")</f>
        <v>15 K.Somchai L</v>
      </c>
      <c r="M1719" s="1" t="str">
        <f>IFERROR(__xludf.DUMMYFUNCTION("""COMPUTED_VALUE"""),"0655107372")</f>
        <v>0655107372</v>
      </c>
      <c r="N1719" s="3">
        <f>IFERROR(__xludf.DUMMYFUNCTION("""COMPUTED_VALUE"""),21723.0)</f>
        <v>21723</v>
      </c>
      <c r="O1719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19" s="4">
        <f>IFERROR(__xludf.DUMMYFUNCTION("""COMPUTED_VALUE"""),44516.0)</f>
        <v>44516</v>
      </c>
      <c r="Q1719" s="3" t="str">
        <f>IFERROR(__xludf.DUMMYFUNCTION("""COMPUTED_VALUE"""),"A")</f>
        <v>A</v>
      </c>
      <c r="R1719" s="3" t="str">
        <f>IFERROR(__xludf.DUMMYFUNCTION("""COMPUTED_VALUE"""),"Small Format")</f>
        <v>Small Format</v>
      </c>
      <c r="S1719" s="3" t="str">
        <f>IFERROR(__xludf.DUMMYFUNCTION("""COMPUTED_VALUE"""),"BCM")</f>
        <v>BCM</v>
      </c>
      <c r="T1719" s="3" t="str">
        <f>IFERROR(__xludf.DUMMYFUNCTION("""COMPUTED_VALUE"""),"#N/A")</f>
        <v>#N/A</v>
      </c>
      <c r="U1719" s="3" t="str">
        <f>IFERROR(__xludf.DUMMYFUNCTION("""COMPUTED_VALUE"""),"#N/A")</f>
        <v>#N/A</v>
      </c>
      <c r="V1719" s="3" t="str">
        <f>IFERROR(__xludf.DUMMYFUNCTION("""COMPUTED_VALUE"""),"N")</f>
        <v>N</v>
      </c>
      <c r="W1719" s="3">
        <f>IFERROR(__xludf.DUMMYFUNCTION("""COMPUTED_VALUE"""),210455.0)</f>
        <v>210455</v>
      </c>
      <c r="X1719" s="3" t="str">
        <f>IFERROR(__xludf.DUMMYFUNCTION("""COMPUTED_VALUE"""),"34/8-10 หมู่1 ตำบลบ้านพร้าว อำเภอป่าพะยอม จังหวัดพัทลุง 93110")</f>
        <v>34/8-10 หมู่1 ตำบลบ้านพร้าว อำเภอป่าพะยอม จังหวัดพัทลุง 93110</v>
      </c>
      <c r="Y1719" s="3"/>
      <c r="Z1719" s="3" t="str">
        <f>IFERROR(__xludf.DUMMYFUNCTION("""COMPUTED_VALUE"""),"บ้านพร้าว")</f>
        <v>บ้านพร้าว</v>
      </c>
      <c r="AA1719" s="3" t="str">
        <f>IFERROR(__xludf.DUMMYFUNCTION("""COMPUTED_VALUE"""),"ป่าพะยอม")</f>
        <v>ป่าพะยอม</v>
      </c>
      <c r="AB1719" s="3" t="str">
        <f>IFERROR(__xludf.DUMMYFUNCTION("""COMPUTED_VALUE"""),"พัทลุง")</f>
        <v>พัทลุง</v>
      </c>
      <c r="AC1719" s="3">
        <f>IFERROR(__xludf.DUMMYFUNCTION("""COMPUTED_VALUE"""),93110.0)</f>
        <v>93110</v>
      </c>
      <c r="AD1719" s="3">
        <f>IFERROR(__xludf.DUMMYFUNCTION("""COMPUTED_VALUE"""),7.834396)</f>
        <v>7.834396</v>
      </c>
      <c r="AE1719" s="3">
        <f>IFERROR(__xludf.DUMMYFUNCTION("""COMPUTED_VALUE"""),99.937392)</f>
        <v>99.937392</v>
      </c>
      <c r="AF1719" s="3" t="str">
        <f>IFERROR(__xludf.DUMMYFUNCTION("""COMPUTED_VALUE"""),"MBC ป่าพะยอม พัทลุง-22405")</f>
        <v>MBC ป่าพะยอม พัทลุง-22405</v>
      </c>
      <c r="AG1719" s="3" t="str">
        <f>IFERROR(__xludf.DUMMYFUNCTION("""COMPUTED_VALUE"""),"ใต้")</f>
        <v>ใต้</v>
      </c>
      <c r="AH1719" s="3" t="str">
        <f>IFERROR(__xludf.DUMMYFUNCTION("""COMPUTED_VALUE"""),"#N/A")</f>
        <v>#N/A</v>
      </c>
      <c r="AI1719" s="3" t="str">
        <f>IFERROR(__xludf.DUMMYFUNCTION("""COMPUTED_VALUE"""),"Out of warranty")</f>
        <v>Out of warranty</v>
      </c>
      <c r="AJ1719" s="3">
        <f>IFERROR(__xludf.DUMMYFUNCTION("""COMPUTED_VALUE"""),51.0)</f>
        <v>51</v>
      </c>
      <c r="AK1719" s="3" t="str">
        <f>IFERROR(__xludf.DUMMYFUNCTION("""COMPUTED_VALUE"""),"MMS15")</f>
        <v>MMS15</v>
      </c>
      <c r="AL1719" s="3"/>
    </row>
    <row r="1720" ht="15.75" customHeight="1">
      <c r="A1720" s="1" t="str">
        <f>IFERROR(__xludf.DUMMYFUNCTION("""COMPUTED_VALUE"""),"22406")</f>
        <v>22406</v>
      </c>
      <c r="B1720" s="2">
        <f>IFERROR(__xludf.DUMMYFUNCTION("""COMPUTED_VALUE"""),22406.0)</f>
        <v>22406</v>
      </c>
      <c r="C1720" s="3" t="str">
        <f>IFERROR(__xludf.DUMMYFUNCTION("""COMPUTED_VALUE"""),"MBC บิ๊กซีสำนักงานใหญ่ กรุงเทพฯ")</f>
        <v>MBC บิ๊กซีสำนักงานใหญ่ กรุงเทพฯ</v>
      </c>
      <c r="D1720" s="3" t="str">
        <f>IFERROR(__xludf.DUMMYFUNCTION("""COMPUTED_VALUE"""),"BCM HEAD OFFICE (BJC)")</f>
        <v>BCM HEAD OFFICE (BJC)</v>
      </c>
      <c r="E1720" s="1" t="str">
        <f>IFERROR(__xludf.DUMMYFUNCTION("""COMPUTED_VALUE"""),"บิ๊กซี MINI")</f>
        <v>บิ๊กซี MINI</v>
      </c>
      <c r="F1720" s="1" t="str">
        <f>IFERROR(__xludf.DUMMYFUNCTION("""COMPUTED_VALUE"""),"291008")</f>
        <v>291008</v>
      </c>
      <c r="G1720" s="1" t="str">
        <f>IFERROR(__xludf.DUMMYFUNCTION("""COMPUTED_VALUE"""),"น.ส.รัชดาพร อีศรัตน์")</f>
        <v>น.ส.รัชดาพร อีศรัตน์</v>
      </c>
      <c r="H1720" s="1" t="str">
        <f>IFERROR(__xludf.DUMMYFUNCTION("""COMPUTED_VALUE"""),"359002")</f>
        <v>359002</v>
      </c>
      <c r="I1720" s="1" t="str">
        <f>IFERROR(__xludf.DUMMYFUNCTION("""COMPUTED_VALUE"""),"น.ส.นิตยา สมจิตร")</f>
        <v>น.ส.นิตยา สมจิตร</v>
      </c>
      <c r="J1720" s="3">
        <f>IFERROR(__xludf.DUMMYFUNCTION("""COMPUTED_VALUE"""),3510104.0)</f>
        <v>3510104</v>
      </c>
      <c r="K1720" s="3" t="str">
        <f>IFERROR(__xludf.DUMMYFUNCTION("""COMPUTED_VALUE"""),"นายวิโรจน์ อับดุลสมัด")</f>
        <v>นายวิโรจน์ อับดุลสมัด</v>
      </c>
      <c r="L1720" s="1" t="str">
        <f>IFERROR(__xludf.DUMMYFUNCTION("""COMPUTED_VALUE"""),"09 K.Wirode A")</f>
        <v>09 K.Wirode A</v>
      </c>
      <c r="M1720" s="1" t="str">
        <f>IFERROR(__xludf.DUMMYFUNCTION("""COMPUTED_VALUE"""),"080-235-4465")</f>
        <v>080-235-4465</v>
      </c>
      <c r="N1720" s="3">
        <f>IFERROR(__xludf.DUMMYFUNCTION("""COMPUTED_VALUE"""),21324.0)</f>
        <v>21324</v>
      </c>
      <c r="O1720" s="3" t="str">
        <f>IFERROR(__xludf.DUMMYFUNCTION("""COMPUTED_VALUE"""),"MBC BCP สุวินทวงศ์")</f>
        <v>MBC BCP สุวินทวงศ์</v>
      </c>
      <c r="P1720" s="4">
        <f>IFERROR(__xludf.DUMMYFUNCTION("""COMPUTED_VALUE"""),44516.0)</f>
        <v>44516</v>
      </c>
      <c r="Q1720" s="3" t="str">
        <f>IFERROR(__xludf.DUMMYFUNCTION("""COMPUTED_VALUE"""),"A")</f>
        <v>A</v>
      </c>
      <c r="R1720" s="3" t="str">
        <f>IFERROR(__xludf.DUMMYFUNCTION("""COMPUTED_VALUE"""),"Small Format")</f>
        <v>Small Format</v>
      </c>
      <c r="S1720" s="3" t="str">
        <f>IFERROR(__xludf.DUMMYFUNCTION("""COMPUTED_VALUE"""),"BCM")</f>
        <v>BCM</v>
      </c>
      <c r="T1720" s="3" t="str">
        <f>IFERROR(__xludf.DUMMYFUNCTION("""COMPUTED_VALUE"""),"#N/A")</f>
        <v>#N/A</v>
      </c>
      <c r="U1720" s="3" t="str">
        <f>IFERROR(__xludf.DUMMYFUNCTION("""COMPUTED_VALUE"""),"#N/A")</f>
        <v>#N/A</v>
      </c>
      <c r="V1720" s="3" t="str">
        <f>IFERROR(__xludf.DUMMYFUNCTION("""COMPUTED_VALUE"""),"N")</f>
        <v>N</v>
      </c>
      <c r="W1720" s="3">
        <f>IFERROR(__xludf.DUMMYFUNCTION("""COMPUTED_VALUE"""),210494.0)</f>
        <v>210494</v>
      </c>
      <c r="X1720" s="3" t="str">
        <f>IFERROR(__xludf.DUMMYFUNCTION("""COMPUTED_VALUE"""),"88/8 ซอย สมานฉันท์-บาร์โบส แขวงพระโขนง เขตคลองเตย กรุงเทพมหานคร 10110")</f>
        <v>88/8 ซอย สมานฉันท์-บาร์โบส แขวงพระโขนง เขตคลองเตย กรุงเทพมหานคร 10110</v>
      </c>
      <c r="Y1720" s="3"/>
      <c r="Z1720" s="3" t="str">
        <f>IFERROR(__xludf.DUMMYFUNCTION("""COMPUTED_VALUE"""),"พระโขนง")</f>
        <v>พระโขนง</v>
      </c>
      <c r="AA1720" s="3" t="str">
        <f>IFERROR(__xludf.DUMMYFUNCTION("""COMPUTED_VALUE"""),"คลองเตย")</f>
        <v>คลองเตย</v>
      </c>
      <c r="AB1720" s="3" t="str">
        <f>IFERROR(__xludf.DUMMYFUNCTION("""COMPUTED_VALUE"""),"กรุงเทพมหานคร")</f>
        <v>กรุงเทพมหานคร</v>
      </c>
      <c r="AC1720" s="3">
        <f>IFERROR(__xludf.DUMMYFUNCTION("""COMPUTED_VALUE"""),10110.0)</f>
        <v>10110</v>
      </c>
      <c r="AD1720" s="3">
        <f>IFERROR(__xludf.DUMMYFUNCTION("""COMPUTED_VALUE"""),13.715826)</f>
        <v>13.715826</v>
      </c>
      <c r="AE1720" s="3" t="str">
        <f>IFERROR(__xludf.DUMMYFUNCTION("""COMPUTED_VALUE"""),"100.58553 88")</f>
        <v>100.58553 88</v>
      </c>
      <c r="AF1720" s="3" t="str">
        <f>IFERROR(__xludf.DUMMYFUNCTION("""COMPUTED_VALUE"""),"MBC บิ๊กซีสำนักงานใหญ่ กรุงเทพฯ-22406")</f>
        <v>MBC บิ๊กซีสำนักงานใหญ่ กรุงเทพฯ-22406</v>
      </c>
      <c r="AG1720" s="3" t="str">
        <f>IFERROR(__xludf.DUMMYFUNCTION("""COMPUTED_VALUE"""),"กลาง")</f>
        <v>กลาง</v>
      </c>
      <c r="AH1720" s="3" t="str">
        <f>IFERROR(__xludf.DUMMYFUNCTION("""COMPUTED_VALUE"""),"#N/A")</f>
        <v>#N/A</v>
      </c>
      <c r="AI1720" s="3" t="str">
        <f>IFERROR(__xludf.DUMMYFUNCTION("""COMPUTED_VALUE"""),"Out of warranty")</f>
        <v>Out of warranty</v>
      </c>
      <c r="AJ1720" s="3">
        <f>IFERROR(__xludf.DUMMYFUNCTION("""COMPUTED_VALUE"""),51.0)</f>
        <v>51</v>
      </c>
      <c r="AK1720" s="3" t="str">
        <f>IFERROR(__xludf.DUMMYFUNCTION("""COMPUTED_VALUE"""),"MMS03")</f>
        <v>MMS03</v>
      </c>
      <c r="AL1720" s="3"/>
    </row>
    <row r="1721" ht="15.75" customHeight="1">
      <c r="A1721" s="1" t="str">
        <f>IFERROR(__xludf.DUMMYFUNCTION("""COMPUTED_VALUE"""),"22407")</f>
        <v>22407</v>
      </c>
      <c r="B1721" s="2">
        <f>IFERROR(__xludf.DUMMYFUNCTION("""COMPUTED_VALUE"""),22407.0)</f>
        <v>22407</v>
      </c>
      <c r="C1721" s="3" t="str">
        <f>IFERROR(__xludf.DUMMYFUNCTION("""COMPUTED_VALUE"""),"MBC ชานุมาน อำนาจเจริญ")</f>
        <v>MBC ชานุมาน อำนาจเจริญ</v>
      </c>
      <c r="D1721" s="3" t="str">
        <f>IFERROR(__xludf.DUMMYFUNCTION("""COMPUTED_VALUE"""),"BCM CHANUMAN")</f>
        <v>BCM CHANUMAN</v>
      </c>
      <c r="E1721" s="1" t="str">
        <f>IFERROR(__xludf.DUMMYFUNCTION("""COMPUTED_VALUE"""),"บิ๊กซี MINI")</f>
        <v>บิ๊กซี MINI</v>
      </c>
      <c r="F1721" s="1" t="str">
        <f>IFERROR(__xludf.DUMMYFUNCTION("""COMPUTED_VALUE"""),"291105")</f>
        <v>291105</v>
      </c>
      <c r="G1721" s="1" t="str">
        <f>IFERROR(__xludf.DUMMYFUNCTION("""COMPUTED_VALUE"""),"นายสราวุฒิ พณิชยกุล")</f>
        <v>นายสราวุฒิ พณิชยกุล</v>
      </c>
      <c r="H1721" s="1" t="str">
        <f>IFERROR(__xludf.DUMMYFUNCTION("""COMPUTED_VALUE"""),"398285")</f>
        <v>398285</v>
      </c>
      <c r="I1721" s="1" t="str">
        <f>IFERROR(__xludf.DUMMYFUNCTION("""COMPUTED_VALUE"""),"น.ส.พชิรา บุญจูง")</f>
        <v>น.ส.พชิรา บุญจูง</v>
      </c>
      <c r="J1721" s="3">
        <f>IFERROR(__xludf.DUMMYFUNCTION("""COMPUTED_VALUE"""),2454781.0)</f>
        <v>2454781</v>
      </c>
      <c r="K1721" s="3" t="str">
        <f>IFERROR(__xludf.DUMMYFUNCTION("""COMPUTED_VALUE"""),"นายฌานกฤช นันทะโคต")</f>
        <v>นายฌานกฤช นันทะโคต</v>
      </c>
      <c r="L1721" s="1" t="str">
        <f>IFERROR(__xludf.DUMMYFUNCTION("""COMPUTED_VALUE"""),"05 K.Chanakrit N.")</f>
        <v>05 K.Chanakrit N.</v>
      </c>
      <c r="M1721" s="1" t="str">
        <f>IFERROR(__xludf.DUMMYFUNCTION("""COMPUTED_VALUE"""),"090-978-9785 ,065-929-1320")</f>
        <v>090-978-9785 ,065-929-1320</v>
      </c>
      <c r="N1721" s="3">
        <f>IFERROR(__xludf.DUMMYFUNCTION("""COMPUTED_VALUE"""),22195.0)</f>
        <v>22195</v>
      </c>
      <c r="O1721" s="3" t="str">
        <f>IFERROR(__xludf.DUMMYFUNCTION("""COMPUTED_VALUE"""),"MBC กันทรลักษ์ ศรีสะเกษ")</f>
        <v>MBC กันทรลักษ์ ศรีสะเกษ</v>
      </c>
      <c r="P1721" s="4">
        <f>IFERROR(__xludf.DUMMYFUNCTION("""COMPUTED_VALUE"""),44518.0)</f>
        <v>44518</v>
      </c>
      <c r="Q1721" s="3" t="str">
        <f>IFERROR(__xludf.DUMMYFUNCTION("""COMPUTED_VALUE"""),"A")</f>
        <v>A</v>
      </c>
      <c r="R1721" s="3" t="str">
        <f>IFERROR(__xludf.DUMMYFUNCTION("""COMPUTED_VALUE"""),"Small Format")</f>
        <v>Small Format</v>
      </c>
      <c r="S1721" s="3" t="str">
        <f>IFERROR(__xludf.DUMMYFUNCTION("""COMPUTED_VALUE"""),"BCM")</f>
        <v>BCM</v>
      </c>
      <c r="T1721" s="3" t="str">
        <f>IFERROR(__xludf.DUMMYFUNCTION("""COMPUTED_VALUE"""),"#N/A")</f>
        <v>#N/A</v>
      </c>
      <c r="U1721" s="3" t="str">
        <f>IFERROR(__xludf.DUMMYFUNCTION("""COMPUTED_VALUE"""),"#N/A")</f>
        <v>#N/A</v>
      </c>
      <c r="V1721" s="3" t="str">
        <f>IFERROR(__xludf.DUMMYFUNCTION("""COMPUTED_VALUE"""),"N")</f>
        <v>N</v>
      </c>
      <c r="W1721" s="3">
        <f>IFERROR(__xludf.DUMMYFUNCTION("""COMPUTED_VALUE"""),210479.0)</f>
        <v>210479</v>
      </c>
      <c r="X1721" s="3" t="str">
        <f>IFERROR(__xludf.DUMMYFUNCTION("""COMPUTED_VALUE"""),"222/1 หมู่5 ตำบลชานุมาน อำเภอชานุมาน จังหวัดอำนาจเจริญ 37210")</f>
        <v>222/1 หมู่5 ตำบลชานุมาน อำเภอชานุมาน จังหวัดอำนาจเจริญ 37210</v>
      </c>
      <c r="Y1721" s="3"/>
      <c r="Z1721" s="3" t="str">
        <f>IFERROR(__xludf.DUMMYFUNCTION("""COMPUTED_VALUE"""),"ชานุมาน")</f>
        <v>ชานุมาน</v>
      </c>
      <c r="AA1721" s="3" t="str">
        <f>IFERROR(__xludf.DUMMYFUNCTION("""COMPUTED_VALUE"""),"ชานุมาน")</f>
        <v>ชานุมาน</v>
      </c>
      <c r="AB1721" s="3" t="str">
        <f>IFERROR(__xludf.DUMMYFUNCTION("""COMPUTED_VALUE"""),"อำนาจเจริญ")</f>
        <v>อำนาจเจริญ</v>
      </c>
      <c r="AC1721" s="3">
        <f>IFERROR(__xludf.DUMMYFUNCTION("""COMPUTED_VALUE"""),37210.0)</f>
        <v>37210</v>
      </c>
      <c r="AD1721" s="3">
        <f>IFERROR(__xludf.DUMMYFUNCTION("""COMPUTED_VALUE"""),16.22848)</f>
        <v>16.22848</v>
      </c>
      <c r="AE1721" s="3">
        <f>IFERROR(__xludf.DUMMYFUNCTION("""COMPUTED_VALUE"""),105.003743)</f>
        <v>105.003743</v>
      </c>
      <c r="AF1721" s="3" t="str">
        <f>IFERROR(__xludf.DUMMYFUNCTION("""COMPUTED_VALUE"""),"MBC ชานุมาน อำนาจเจริญ-22407")</f>
        <v>MBC ชานุมาน อำนาจเจริญ-22407</v>
      </c>
      <c r="AG1721" s="3" t="str">
        <f>IFERROR(__xludf.DUMMYFUNCTION("""COMPUTED_VALUE"""),"ตะวันออกเฉียงเหนือ")</f>
        <v>ตะวันออกเฉียงเหนือ</v>
      </c>
      <c r="AH1721" s="3" t="str">
        <f>IFERROR(__xludf.DUMMYFUNCTION("""COMPUTED_VALUE"""),"#N/A")</f>
        <v>#N/A</v>
      </c>
      <c r="AI1721" s="3" t="str">
        <f>IFERROR(__xludf.DUMMYFUNCTION("""COMPUTED_VALUE"""),"Out of warranty")</f>
        <v>Out of warranty</v>
      </c>
      <c r="AJ1721" s="3">
        <f>IFERROR(__xludf.DUMMYFUNCTION("""COMPUTED_VALUE"""),51.0)</f>
        <v>51</v>
      </c>
      <c r="AK1721" s="3" t="str">
        <f>IFERROR(__xludf.DUMMYFUNCTION("""COMPUTED_VALUE"""),"MMS13")</f>
        <v>MMS13</v>
      </c>
      <c r="AL1721" s="3"/>
    </row>
    <row r="1722" ht="15.75" customHeight="1">
      <c r="A1722" s="1" t="str">
        <f>IFERROR(__xludf.DUMMYFUNCTION("""COMPUTED_VALUE"""),"22408")</f>
        <v>22408</v>
      </c>
      <c r="B1722" s="2">
        <f>IFERROR(__xludf.DUMMYFUNCTION("""COMPUTED_VALUE"""),22408.0)</f>
        <v>22408</v>
      </c>
      <c r="C1722" s="3" t="str">
        <f>IFERROR(__xludf.DUMMYFUNCTION("""COMPUTED_VALUE"""),"MBC อ.เจาะไอร้อง นราธิวาส")</f>
        <v>MBC อ.เจาะไอร้อง นราธิวาส</v>
      </c>
      <c r="D1722" s="3" t="str">
        <f>IFERROR(__xludf.DUMMYFUNCTION("""COMPUTED_VALUE"""),"MBC AMPHOE CHO AIRONG")</f>
        <v>MBC AMPHOE CHO AIRONG</v>
      </c>
      <c r="E1722" s="1" t="str">
        <f>IFERROR(__xludf.DUMMYFUNCTION("""COMPUTED_VALUE"""),"บิ๊กซี MINI")</f>
        <v>บิ๊กซี MINI</v>
      </c>
      <c r="F1722" s="1" t="str">
        <f>IFERROR(__xludf.DUMMYFUNCTION("""COMPUTED_VALUE"""),"250760")</f>
        <v>250760</v>
      </c>
      <c r="G1722" s="1" t="str">
        <f>IFERROR(__xludf.DUMMYFUNCTION("""COMPUTED_VALUE"""),"นายประทวน สาราบรรณ์")</f>
        <v>นายประทวน สาราบรรณ์</v>
      </c>
      <c r="H1722" s="1" t="str">
        <f>IFERROR(__xludf.DUMMYFUNCTION("""COMPUTED_VALUE"""),"006583")</f>
        <v>006583</v>
      </c>
      <c r="I1722" s="1" t="str">
        <f>IFERROR(__xludf.DUMMYFUNCTION("""COMPUTED_VALUE"""),"นายเด่น ยะอิง")</f>
        <v>นายเด่น ยะอิง</v>
      </c>
      <c r="J1722" s="3">
        <f>IFERROR(__xludf.DUMMYFUNCTION("""COMPUTED_VALUE"""),2.0470331E7)</f>
        <v>20470331</v>
      </c>
      <c r="K1722" s="3" t="str">
        <f>IFERROR(__xludf.DUMMYFUNCTION("""COMPUTED_VALUE"""),"นายสมชาย ลักษณะสุวรรณ")</f>
        <v>นายสมชาย ลักษณะสุวรรณ</v>
      </c>
      <c r="L1722" s="1" t="str">
        <f>IFERROR(__xludf.DUMMYFUNCTION("""COMPUTED_VALUE"""),"15 K.Somchai L")</f>
        <v>15 K.Somchai L</v>
      </c>
      <c r="M1722" s="1" t="str">
        <f>IFERROR(__xludf.DUMMYFUNCTION("""COMPUTED_VALUE"""),"0655107372")</f>
        <v>0655107372</v>
      </c>
      <c r="N1722" s="3">
        <f>IFERROR(__xludf.DUMMYFUNCTION("""COMPUTED_VALUE"""),21723.0)</f>
        <v>21723</v>
      </c>
      <c r="O1722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22" s="4">
        <f>IFERROR(__xludf.DUMMYFUNCTION("""COMPUTED_VALUE"""),44897.0)</f>
        <v>44897</v>
      </c>
      <c r="Q1722" s="3" t="str">
        <f>IFERROR(__xludf.DUMMYFUNCTION("""COMPUTED_VALUE"""),"A")</f>
        <v>A</v>
      </c>
      <c r="R1722" s="3" t="str">
        <f>IFERROR(__xludf.DUMMYFUNCTION("""COMPUTED_VALUE"""),"Small Format")</f>
        <v>Small Format</v>
      </c>
      <c r="S1722" s="3" t="str">
        <f>IFERROR(__xludf.DUMMYFUNCTION("""COMPUTED_VALUE"""),"BCM")</f>
        <v>BCM</v>
      </c>
      <c r="T1722" s="3" t="str">
        <f>IFERROR(__xludf.DUMMYFUNCTION("""COMPUTED_VALUE"""),"#N/A")</f>
        <v>#N/A</v>
      </c>
      <c r="U1722" s="3" t="str">
        <f>IFERROR(__xludf.DUMMYFUNCTION("""COMPUTED_VALUE"""),"#N/A")</f>
        <v>#N/A</v>
      </c>
      <c r="V1722" s="3" t="str">
        <f>IFERROR(__xludf.DUMMYFUNCTION("""COMPUTED_VALUE"""),"N")</f>
        <v>N</v>
      </c>
      <c r="W1722" s="3">
        <f>IFERROR(__xludf.DUMMYFUNCTION("""COMPUTED_VALUE"""),210462.0)</f>
        <v>210462</v>
      </c>
      <c r="X1722" s="3" t="str">
        <f>IFERROR(__xludf.DUMMYFUNCTION("""COMPUTED_VALUE"""),"8/3 หมู่1 ตำบลจวบ อำเภอเจาะไอร้อง จังหวัดนราธิวาส 96130")</f>
        <v>8/3 หมู่1 ตำบลจวบ อำเภอเจาะไอร้อง จังหวัดนราธิวาส 96130</v>
      </c>
      <c r="Y1722" s="3"/>
      <c r="Z1722" s="3" t="str">
        <f>IFERROR(__xludf.DUMMYFUNCTION("""COMPUTED_VALUE"""),"จวบ")</f>
        <v>จวบ</v>
      </c>
      <c r="AA1722" s="3" t="str">
        <f>IFERROR(__xludf.DUMMYFUNCTION("""COMPUTED_VALUE"""),"เจาะไอร้อง")</f>
        <v>เจาะไอร้อง</v>
      </c>
      <c r="AB1722" s="3" t="str">
        <f>IFERROR(__xludf.DUMMYFUNCTION("""COMPUTED_VALUE"""),"นราธิวาส")</f>
        <v>นราธิวาส</v>
      </c>
      <c r="AC1722" s="3">
        <f>IFERROR(__xludf.DUMMYFUNCTION("""COMPUTED_VALUE"""),96130.0)</f>
        <v>96130</v>
      </c>
      <c r="AD1722" s="3">
        <f>IFERROR(__xludf.DUMMYFUNCTION("""COMPUTED_VALUE"""),6.232722)</f>
        <v>6.232722</v>
      </c>
      <c r="AE1722" s="3">
        <f>IFERROR(__xludf.DUMMYFUNCTION("""COMPUTED_VALUE"""),101.804578)</f>
        <v>101.804578</v>
      </c>
      <c r="AF1722" s="3" t="str">
        <f>IFERROR(__xludf.DUMMYFUNCTION("""COMPUTED_VALUE"""),"MBC อ.เจาะไอร้อง นราธิวาส-22408")</f>
        <v>MBC อ.เจาะไอร้อง นราธิวาส-22408</v>
      </c>
      <c r="AG1722" s="3" t="str">
        <f>IFERROR(__xludf.DUMMYFUNCTION("""COMPUTED_VALUE"""),"ใต้")</f>
        <v>ใต้</v>
      </c>
      <c r="AH1722" s="3" t="str">
        <f>IFERROR(__xludf.DUMMYFUNCTION("""COMPUTED_VALUE"""),"#N/A")</f>
        <v>#N/A</v>
      </c>
      <c r="AI1722" s="3" t="str">
        <f>IFERROR(__xludf.DUMMYFUNCTION("""COMPUTED_VALUE"""),"Out of warranty")</f>
        <v>Out of warranty</v>
      </c>
      <c r="AJ1722" s="3">
        <f>IFERROR(__xludf.DUMMYFUNCTION("""COMPUTED_VALUE"""),38.0)</f>
        <v>38</v>
      </c>
      <c r="AK1722" s="3" t="str">
        <f>IFERROR(__xludf.DUMMYFUNCTION("""COMPUTED_VALUE"""),"MMS16")</f>
        <v>MMS16</v>
      </c>
      <c r="AL1722" s="3"/>
    </row>
    <row r="1723" ht="15.75" customHeight="1">
      <c r="A1723" s="1" t="str">
        <f>IFERROR(__xludf.DUMMYFUNCTION("""COMPUTED_VALUE"""),"22409")</f>
        <v>22409</v>
      </c>
      <c r="B1723" s="2">
        <f>IFERROR(__xludf.DUMMYFUNCTION("""COMPUTED_VALUE"""),22409.0)</f>
        <v>22409</v>
      </c>
      <c r="C1723" s="3" t="str">
        <f>IFERROR(__xludf.DUMMYFUNCTION("""COMPUTED_VALUE"""),"MBC สุไหงโก-ลก 2 นราธิวาส")</f>
        <v>MBC สุไหงโก-ลก 2 นราธิวาส</v>
      </c>
      <c r="D1723" s="3" t="str">
        <f>IFERROR(__xludf.DUMMYFUNCTION("""COMPUTED_VALUE"""),"BCM SU-NGAIKOLOK 2")</f>
        <v>BCM SU-NGAIKOLOK 2</v>
      </c>
      <c r="E1723" s="1" t="str">
        <f>IFERROR(__xludf.DUMMYFUNCTION("""COMPUTED_VALUE"""),"บิ๊กซี MINI")</f>
        <v>บิ๊กซี MINI</v>
      </c>
      <c r="F1723" s="1" t="str">
        <f>IFERROR(__xludf.DUMMYFUNCTION("""COMPUTED_VALUE"""),"250760")</f>
        <v>250760</v>
      </c>
      <c r="G1723" s="1" t="str">
        <f>IFERROR(__xludf.DUMMYFUNCTION("""COMPUTED_VALUE"""),"นายประทวน สาราบรรณ์")</f>
        <v>นายประทวน สาราบรรณ์</v>
      </c>
      <c r="H1723" s="1" t="str">
        <f>IFERROR(__xludf.DUMMYFUNCTION("""COMPUTED_VALUE"""),"006583")</f>
        <v>006583</v>
      </c>
      <c r="I1723" s="1" t="str">
        <f>IFERROR(__xludf.DUMMYFUNCTION("""COMPUTED_VALUE"""),"นายเด่น ยะอิง")</f>
        <v>นายเด่น ยะอิง</v>
      </c>
      <c r="J1723" s="3">
        <f>IFERROR(__xludf.DUMMYFUNCTION("""COMPUTED_VALUE"""),2.0470331E7)</f>
        <v>20470331</v>
      </c>
      <c r="K1723" s="3" t="str">
        <f>IFERROR(__xludf.DUMMYFUNCTION("""COMPUTED_VALUE"""),"นายสมชาย ลักษณะสุวรรณ")</f>
        <v>นายสมชาย ลักษณะสุวรรณ</v>
      </c>
      <c r="L1723" s="1" t="str">
        <f>IFERROR(__xludf.DUMMYFUNCTION("""COMPUTED_VALUE"""),"15 K.Somchai L")</f>
        <v>15 K.Somchai L</v>
      </c>
      <c r="M1723" s="1" t="str">
        <f>IFERROR(__xludf.DUMMYFUNCTION("""COMPUTED_VALUE"""),"0655107372")</f>
        <v>0655107372</v>
      </c>
      <c r="N1723" s="3">
        <f>IFERROR(__xludf.DUMMYFUNCTION("""COMPUTED_VALUE"""),21723.0)</f>
        <v>21723</v>
      </c>
      <c r="O1723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23" s="4">
        <f>IFERROR(__xludf.DUMMYFUNCTION("""COMPUTED_VALUE"""),44528.0)</f>
        <v>44528</v>
      </c>
      <c r="Q1723" s="3" t="str">
        <f>IFERROR(__xludf.DUMMYFUNCTION("""COMPUTED_VALUE"""),"A")</f>
        <v>A</v>
      </c>
      <c r="R1723" s="3" t="str">
        <f>IFERROR(__xludf.DUMMYFUNCTION("""COMPUTED_VALUE"""),"Small Format")</f>
        <v>Small Format</v>
      </c>
      <c r="S1723" s="3" t="str">
        <f>IFERROR(__xludf.DUMMYFUNCTION("""COMPUTED_VALUE"""),"BCM")</f>
        <v>BCM</v>
      </c>
      <c r="T1723" s="3" t="str">
        <f>IFERROR(__xludf.DUMMYFUNCTION("""COMPUTED_VALUE"""),"#N/A")</f>
        <v>#N/A</v>
      </c>
      <c r="U1723" s="3" t="str">
        <f>IFERROR(__xludf.DUMMYFUNCTION("""COMPUTED_VALUE"""),"#N/A")</f>
        <v>#N/A</v>
      </c>
      <c r="V1723" s="3" t="str">
        <f>IFERROR(__xludf.DUMMYFUNCTION("""COMPUTED_VALUE"""),"N")</f>
        <v>N</v>
      </c>
      <c r="W1723" s="3">
        <f>IFERROR(__xludf.DUMMYFUNCTION("""COMPUTED_VALUE"""),210457.0)</f>
        <v>210457</v>
      </c>
      <c r="X1723" s="3" t="str">
        <f>IFERROR(__xludf.DUMMYFUNCTION("""COMPUTED_VALUE"""),"705 ถนนประชาวิวัฒน์ ตำบลสุไหงโก-ลก อำเภอสุไหงโก-ลก จังหวัดนราธิวาส 96120")</f>
        <v>705 ถนนประชาวิวัฒน์ ตำบลสุไหงโก-ลก อำเภอสุไหงโก-ลก จังหวัดนราธิวาส 96120</v>
      </c>
      <c r="Y1723" s="3" t="str">
        <f>IFERROR(__xludf.DUMMYFUNCTION("""COMPUTED_VALUE"""),"ประชาวิวัฒน์")</f>
        <v>ประชาวิวัฒน์</v>
      </c>
      <c r="Z1723" s="3" t="str">
        <f>IFERROR(__xludf.DUMMYFUNCTION("""COMPUTED_VALUE"""),"สุไหงโก-ลก")</f>
        <v>สุไหงโก-ลก</v>
      </c>
      <c r="AA1723" s="3" t="str">
        <f>IFERROR(__xludf.DUMMYFUNCTION("""COMPUTED_VALUE"""),"สุไหงโก-ลก")</f>
        <v>สุไหงโก-ลก</v>
      </c>
      <c r="AB1723" s="3" t="str">
        <f>IFERROR(__xludf.DUMMYFUNCTION("""COMPUTED_VALUE"""),"นราธิวาส")</f>
        <v>นราธิวาส</v>
      </c>
      <c r="AC1723" s="3">
        <f>IFERROR(__xludf.DUMMYFUNCTION("""COMPUTED_VALUE"""),96120.0)</f>
        <v>96120</v>
      </c>
      <c r="AD1723" s="3">
        <f>IFERROR(__xludf.DUMMYFUNCTION("""COMPUTED_VALUE"""),6.020723)</f>
        <v>6.020723</v>
      </c>
      <c r="AE1723" s="3">
        <f>IFERROR(__xludf.DUMMYFUNCTION("""COMPUTED_VALUE"""),101.949299)</f>
        <v>101.949299</v>
      </c>
      <c r="AF1723" s="3" t="str">
        <f>IFERROR(__xludf.DUMMYFUNCTION("""COMPUTED_VALUE"""),"MBC สุไหงโก-ลก 2 นราธิวาส-22409")</f>
        <v>MBC สุไหงโก-ลก 2 นราธิวาส-22409</v>
      </c>
      <c r="AG1723" s="3" t="str">
        <f>IFERROR(__xludf.DUMMYFUNCTION("""COMPUTED_VALUE"""),"ใต้")</f>
        <v>ใต้</v>
      </c>
      <c r="AH1723" s="3" t="str">
        <f>IFERROR(__xludf.DUMMYFUNCTION("""COMPUTED_VALUE"""),"#N/A")</f>
        <v>#N/A</v>
      </c>
      <c r="AI1723" s="3" t="str">
        <f>IFERROR(__xludf.DUMMYFUNCTION("""COMPUTED_VALUE"""),"Out of warranty")</f>
        <v>Out of warranty</v>
      </c>
      <c r="AJ1723" s="3">
        <f>IFERROR(__xludf.DUMMYFUNCTION("""COMPUTED_VALUE"""),50.0)</f>
        <v>50</v>
      </c>
      <c r="AK1723" s="3" t="str">
        <f>IFERROR(__xludf.DUMMYFUNCTION("""COMPUTED_VALUE"""),"MMS16")</f>
        <v>MMS16</v>
      </c>
      <c r="AL1723" s="3"/>
    </row>
    <row r="1724" ht="15.75" customHeight="1">
      <c r="A1724" s="1" t="str">
        <f>IFERROR(__xludf.DUMMYFUNCTION("""COMPUTED_VALUE"""),"22410")</f>
        <v>22410</v>
      </c>
      <c r="B1724" s="2">
        <f>IFERROR(__xludf.DUMMYFUNCTION("""COMPUTED_VALUE"""),22410.0)</f>
        <v>22410</v>
      </c>
      <c r="C1724" s="3" t="str">
        <f>IFERROR(__xludf.DUMMYFUNCTION("""COMPUTED_VALUE"""),"MBC พุทธบูชา กรุงเทพฯ")</f>
        <v>MBC พุทธบูชา กรุงเทพฯ</v>
      </c>
      <c r="D1724" s="3" t="str">
        <f>IFERROR(__xludf.DUMMYFUNCTION("""COMPUTED_VALUE"""),"BCM PHUTHABUCHA")</f>
        <v>BCM PHUTHABUCHA</v>
      </c>
      <c r="E1724" s="1" t="str">
        <f>IFERROR(__xludf.DUMMYFUNCTION("""COMPUTED_VALUE"""),"บิ๊กซี MINI")</f>
        <v>บิ๊กซี MINI</v>
      </c>
      <c r="F1724" s="1" t="str">
        <f>IFERROR(__xludf.DUMMYFUNCTION("""COMPUTED_VALUE"""),"291008")</f>
        <v>291008</v>
      </c>
      <c r="G1724" s="1" t="str">
        <f>IFERROR(__xludf.DUMMYFUNCTION("""COMPUTED_VALUE"""),"น.ส.รัชดาพร อีศรัตน์")</f>
        <v>น.ส.รัชดาพร อีศรัตน์</v>
      </c>
      <c r="H1724" s="1" t="str">
        <f>IFERROR(__xludf.DUMMYFUNCTION("""COMPUTED_VALUE"""),"254800")</f>
        <v>254800</v>
      </c>
      <c r="I1724" s="1" t="str">
        <f>IFERROR(__xludf.DUMMYFUNCTION("""COMPUTED_VALUE"""),"น.ส.นัชมล กางกรณ์")</f>
        <v>น.ส.นัชมล กางกรณ์</v>
      </c>
      <c r="J1724" s="3">
        <f>IFERROR(__xludf.DUMMYFUNCTION("""COMPUTED_VALUE"""),296728.0)</f>
        <v>296728</v>
      </c>
      <c r="K1724" s="3" t="str">
        <f>IFERROR(__xludf.DUMMYFUNCTION("""COMPUTED_VALUE"""),"นายธิติ บัวทองรังสิมา")</f>
        <v>นายธิติ บัวทองรังสิมา</v>
      </c>
      <c r="L1724" s="1" t="str">
        <f>IFERROR(__xludf.DUMMYFUNCTION("""COMPUTED_VALUE"""),"นายธิติ บัวทองรังสิมา")</f>
        <v>นายธิติ บัวทองรังสิมา</v>
      </c>
      <c r="M1724" s="1" t="str">
        <f>IFERROR(__xludf.DUMMYFUNCTION("""COMPUTED_VALUE"""),"0920849994")</f>
        <v>0920849994</v>
      </c>
      <c r="N1724" s="3">
        <f>IFERROR(__xludf.DUMMYFUNCTION("""COMPUTED_VALUE"""),21012.0)</f>
        <v>21012</v>
      </c>
      <c r="O1724" s="3" t="str">
        <f>IFERROR(__xludf.DUMMYFUNCTION("""COMPUTED_VALUE"""),"MBC ท่าอิฐ")</f>
        <v>MBC ท่าอิฐ</v>
      </c>
      <c r="P1724" s="4">
        <f>IFERROR(__xludf.DUMMYFUNCTION("""COMPUTED_VALUE"""),44528.0)</f>
        <v>44528</v>
      </c>
      <c r="Q1724" s="3" t="str">
        <f>IFERROR(__xludf.DUMMYFUNCTION("""COMPUTED_VALUE"""),"I")</f>
        <v>I</v>
      </c>
      <c r="R1724" s="3" t="str">
        <f>IFERROR(__xludf.DUMMYFUNCTION("""COMPUTED_VALUE"""),"Small Format")</f>
        <v>Small Format</v>
      </c>
      <c r="S1724" s="3" t="str">
        <f>IFERROR(__xludf.DUMMYFUNCTION("""COMPUTED_VALUE"""),"BCM")</f>
        <v>BCM</v>
      </c>
      <c r="T1724" s="3" t="str">
        <f>IFERROR(__xludf.DUMMYFUNCTION("""COMPUTED_VALUE"""),"#N/A")</f>
        <v>#N/A</v>
      </c>
      <c r="U1724" s="3" t="str">
        <f>IFERROR(__xludf.DUMMYFUNCTION("""COMPUTED_VALUE"""),"#N/A")</f>
        <v>#N/A</v>
      </c>
      <c r="V1724" s="3" t="str">
        <f>IFERROR(__xludf.DUMMYFUNCTION("""COMPUTED_VALUE"""),"N")</f>
        <v>N</v>
      </c>
      <c r="W1724" s="3">
        <f>IFERROR(__xludf.DUMMYFUNCTION("""COMPUTED_VALUE"""),210416.0)</f>
        <v>210416</v>
      </c>
      <c r="X1724" s="3" t="str">
        <f>IFERROR(__xludf.DUMMYFUNCTION("""COMPUTED_VALUE"""),"67/11 ถนนพุทธบูชา แขวงบางมด เขตจอมทอง จังหวัดกรุงเทพมหานคร 10150")</f>
        <v>67/11 ถนนพุทธบูชา แขวงบางมด เขตจอมทอง จังหวัดกรุงเทพมหานคร 10150</v>
      </c>
      <c r="Y1724" s="3" t="str">
        <f>IFERROR(__xludf.DUMMYFUNCTION("""COMPUTED_VALUE"""),"พุทธบูชา")</f>
        <v>พุทธบูชา</v>
      </c>
      <c r="Z1724" s="3" t="str">
        <f>IFERROR(__xludf.DUMMYFUNCTION("""COMPUTED_VALUE"""),"บางมด")</f>
        <v>บางมด</v>
      </c>
      <c r="AA1724" s="3" t="str">
        <f>IFERROR(__xludf.DUMMYFUNCTION("""COMPUTED_VALUE"""),"จอมทอง")</f>
        <v>จอมทอง</v>
      </c>
      <c r="AB1724" s="3" t="str">
        <f>IFERROR(__xludf.DUMMYFUNCTION("""COMPUTED_VALUE"""),"กรุงเทพมหานคร")</f>
        <v>กรุงเทพมหานคร</v>
      </c>
      <c r="AC1724" s="3">
        <f>IFERROR(__xludf.DUMMYFUNCTION("""COMPUTED_VALUE"""),10150.0)</f>
        <v>10150</v>
      </c>
      <c r="AD1724" s="3">
        <f>IFERROR(__xludf.DUMMYFUNCTION("""COMPUTED_VALUE"""),13.677681)</f>
        <v>13.677681</v>
      </c>
      <c r="AE1724" s="3">
        <f>IFERROR(__xludf.DUMMYFUNCTION("""COMPUTED_VALUE"""),100.471526)</f>
        <v>100.471526</v>
      </c>
      <c r="AF1724" s="3" t="str">
        <f>IFERROR(__xludf.DUMMYFUNCTION("""COMPUTED_VALUE"""),"MBC พุทธบูชา กรุงเทพฯ-22410")</f>
        <v>MBC พุทธบูชา กรุงเทพฯ-22410</v>
      </c>
      <c r="AG1724" s="3" t="str">
        <f>IFERROR(__xludf.DUMMYFUNCTION("""COMPUTED_VALUE"""),"กลาง")</f>
        <v>กลาง</v>
      </c>
      <c r="AH1724" s="3" t="str">
        <f>IFERROR(__xludf.DUMMYFUNCTION("""COMPUTED_VALUE"""),"#N/A")</f>
        <v>#N/A</v>
      </c>
      <c r="AI1724" s="3" t="str">
        <f>IFERROR(__xludf.DUMMYFUNCTION("""COMPUTED_VALUE"""),"Out of warranty")</f>
        <v>Out of warranty</v>
      </c>
      <c r="AJ1724" s="3">
        <f>IFERROR(__xludf.DUMMYFUNCTION("""COMPUTED_VALUE"""),50.0)</f>
        <v>50</v>
      </c>
      <c r="AK1724" s="3" t="str">
        <f>IFERROR(__xludf.DUMMYFUNCTION("""COMPUTED_VALUE"""),"MMS02")</f>
        <v>MMS02</v>
      </c>
      <c r="AL1724" s="3"/>
    </row>
    <row r="1725" ht="15.75" customHeight="1">
      <c r="A1725" s="1" t="str">
        <f>IFERROR(__xludf.DUMMYFUNCTION("""COMPUTED_VALUE"""),"22411")</f>
        <v>22411</v>
      </c>
      <c r="B1725" s="2">
        <f>IFERROR(__xludf.DUMMYFUNCTION("""COMPUTED_VALUE"""),22411.0)</f>
        <v>22411</v>
      </c>
      <c r="C1725" s="3" t="str">
        <f>IFERROR(__xludf.DUMMYFUNCTION("""COMPUTED_VALUE"""),"MBC เอกชัย 66 กรุงเทพฯ")</f>
        <v>MBC เอกชัย 66 กรุงเทพฯ</v>
      </c>
      <c r="D1725" s="3" t="str">
        <f>IFERROR(__xludf.DUMMYFUNCTION("""COMPUTED_VALUE"""),"BCM EKKACHAI 66")</f>
        <v>BCM EKKACHAI 66</v>
      </c>
      <c r="E1725" s="1" t="str">
        <f>IFERROR(__xludf.DUMMYFUNCTION("""COMPUTED_VALUE"""),"บิ๊กซี MINI")</f>
        <v>บิ๊กซี MINI</v>
      </c>
      <c r="F1725" s="1" t="str">
        <f>IFERROR(__xludf.DUMMYFUNCTION("""COMPUTED_VALUE"""),"291008")</f>
        <v>291008</v>
      </c>
      <c r="G1725" s="1" t="str">
        <f>IFERROR(__xludf.DUMMYFUNCTION("""COMPUTED_VALUE"""),"น.ส.รัชดาพร อีศรัตน์")</f>
        <v>น.ส.รัชดาพร อีศรัตน์</v>
      </c>
      <c r="H1725" s="1" t="str">
        <f>IFERROR(__xludf.DUMMYFUNCTION("""COMPUTED_VALUE"""),"254800")</f>
        <v>254800</v>
      </c>
      <c r="I1725" s="1" t="str">
        <f>IFERROR(__xludf.DUMMYFUNCTION("""COMPUTED_VALUE"""),"น.ส.นัชมล กางกรณ์")</f>
        <v>น.ส.นัชมล กางกรณ์</v>
      </c>
      <c r="J1725" s="3">
        <f>IFERROR(__xludf.DUMMYFUNCTION("""COMPUTED_VALUE"""),296608.0)</f>
        <v>296608</v>
      </c>
      <c r="K1725" s="3" t="str">
        <f>IFERROR(__xludf.DUMMYFUNCTION("""COMPUTED_VALUE"""),"นายภาคภูมิ เพ็ชรนิล")</f>
        <v>นายภาคภูมิ เพ็ชรนิล</v>
      </c>
      <c r="L1725" s="1" t="str">
        <f>IFERROR(__xludf.DUMMYFUNCTION("""COMPUTED_VALUE"""),"10 K.Phakphoom P.")</f>
        <v>10 K.Phakphoom P.</v>
      </c>
      <c r="M1725" s="1" t="str">
        <f>IFERROR(__xludf.DUMMYFUNCTION("""COMPUTED_VALUE"""),"063-8955329")</f>
        <v>063-8955329</v>
      </c>
      <c r="N1725" s="3">
        <f>IFERROR(__xludf.DUMMYFUNCTION("""COMPUTED_VALUE"""),22584.0)</f>
        <v>22584</v>
      </c>
      <c r="O1725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725" s="4">
        <f>IFERROR(__xludf.DUMMYFUNCTION("""COMPUTED_VALUE"""),44528.0)</f>
        <v>44528</v>
      </c>
      <c r="Q1725" s="3" t="str">
        <f>IFERROR(__xludf.DUMMYFUNCTION("""COMPUTED_VALUE"""),"A")</f>
        <v>A</v>
      </c>
      <c r="R1725" s="3" t="str">
        <f>IFERROR(__xludf.DUMMYFUNCTION("""COMPUTED_VALUE"""),"Small Format")</f>
        <v>Small Format</v>
      </c>
      <c r="S1725" s="3" t="str">
        <f>IFERROR(__xludf.DUMMYFUNCTION("""COMPUTED_VALUE"""),"BCM")</f>
        <v>BCM</v>
      </c>
      <c r="T1725" s="3" t="str">
        <f>IFERROR(__xludf.DUMMYFUNCTION("""COMPUTED_VALUE"""),"#N/A")</f>
        <v>#N/A</v>
      </c>
      <c r="U1725" s="3" t="str">
        <f>IFERROR(__xludf.DUMMYFUNCTION("""COMPUTED_VALUE"""),"#N/A")</f>
        <v>#N/A</v>
      </c>
      <c r="V1725" s="3" t="str">
        <f>IFERROR(__xludf.DUMMYFUNCTION("""COMPUTED_VALUE"""),"N")</f>
        <v>N</v>
      </c>
      <c r="W1725" s="3">
        <f>IFERROR(__xludf.DUMMYFUNCTION("""COMPUTED_VALUE"""),210444.0)</f>
        <v>210444</v>
      </c>
      <c r="X1725" s="3" t="str">
        <f>IFERROR(__xludf.DUMMYFUNCTION("""COMPUTED_VALUE"""),"15/5 ซอยเอกชัย 66 แยก 1 แขวงคลองบางพราน เขตบางบอน จังหวัดกรุงเทพมหานคร 10150")</f>
        <v>15/5 ซอยเอกชัย 66 แยก 1 แขวงคลองบางพราน เขตบางบอน จังหวัดกรุงเทพมหานคร 10150</v>
      </c>
      <c r="Y1725" s="3"/>
      <c r="Z1725" s="3" t="str">
        <f>IFERROR(__xludf.DUMMYFUNCTION("""COMPUTED_VALUE"""),"คลองบางพราน")</f>
        <v>คลองบางพราน</v>
      </c>
      <c r="AA1725" s="3" t="str">
        <f>IFERROR(__xludf.DUMMYFUNCTION("""COMPUTED_VALUE"""),"บางบอน")</f>
        <v>บางบอน</v>
      </c>
      <c r="AB1725" s="3" t="str">
        <f>IFERROR(__xludf.DUMMYFUNCTION("""COMPUTED_VALUE"""),"กรุงเทพมหานคร")</f>
        <v>กรุงเทพมหานคร</v>
      </c>
      <c r="AC1725" s="3">
        <f>IFERROR(__xludf.DUMMYFUNCTION("""COMPUTED_VALUE"""),10150.0)</f>
        <v>10150</v>
      </c>
      <c r="AD1725" s="3">
        <f>IFERROR(__xludf.DUMMYFUNCTION("""COMPUTED_VALUE"""),13.675436)</f>
        <v>13.675436</v>
      </c>
      <c r="AE1725" s="3">
        <f>IFERROR(__xludf.DUMMYFUNCTION("""COMPUTED_VALUE"""),100.417899)</f>
        <v>100.417899</v>
      </c>
      <c r="AF1725" s="3" t="str">
        <f>IFERROR(__xludf.DUMMYFUNCTION("""COMPUTED_VALUE"""),"MBC เอกชัย 66 กรุงเทพฯ-22411")</f>
        <v>MBC เอกชัย 66 กรุงเทพฯ-22411</v>
      </c>
      <c r="AG1725" s="3" t="str">
        <f>IFERROR(__xludf.DUMMYFUNCTION("""COMPUTED_VALUE"""),"กลาง")</f>
        <v>กลาง</v>
      </c>
      <c r="AH1725" s="3" t="str">
        <f>IFERROR(__xludf.DUMMYFUNCTION("""COMPUTED_VALUE"""),"#N/A")</f>
        <v>#N/A</v>
      </c>
      <c r="AI1725" s="3" t="str">
        <f>IFERROR(__xludf.DUMMYFUNCTION("""COMPUTED_VALUE"""),"Out of warranty")</f>
        <v>Out of warranty</v>
      </c>
      <c r="AJ1725" s="3">
        <f>IFERROR(__xludf.DUMMYFUNCTION("""COMPUTED_VALUE"""),50.0)</f>
        <v>50</v>
      </c>
      <c r="AK1725" s="3" t="str">
        <f>IFERROR(__xludf.DUMMYFUNCTION("""COMPUTED_VALUE"""),"MMS02")</f>
        <v>MMS02</v>
      </c>
      <c r="AL1725" s="3"/>
    </row>
    <row r="1726" ht="15.75" customHeight="1">
      <c r="A1726" s="1" t="str">
        <f>IFERROR(__xludf.DUMMYFUNCTION("""COMPUTED_VALUE"""),"22412")</f>
        <v>22412</v>
      </c>
      <c r="B1726" s="2">
        <f>IFERROR(__xludf.DUMMYFUNCTION("""COMPUTED_VALUE"""),22412.0)</f>
        <v>22412</v>
      </c>
      <c r="C1726" s="3" t="str">
        <f>IFERROR(__xludf.DUMMYFUNCTION("""COMPUTED_VALUE"""),"MBC โคกโพธิ์ ปัตตานี")</f>
        <v>MBC โคกโพธิ์ ปัตตานี</v>
      </c>
      <c r="D1726" s="3" t="str">
        <f>IFERROR(__xludf.DUMMYFUNCTION("""COMPUTED_VALUE"""),"BCM KHOK PHO")</f>
        <v>BCM KHOK PHO</v>
      </c>
      <c r="E1726" s="1" t="str">
        <f>IFERROR(__xludf.DUMMYFUNCTION("""COMPUTED_VALUE"""),"บิ๊กซี MINI")</f>
        <v>บิ๊กซี MINI</v>
      </c>
      <c r="F1726" s="1" t="str">
        <f>IFERROR(__xludf.DUMMYFUNCTION("""COMPUTED_VALUE"""),"250760")</f>
        <v>250760</v>
      </c>
      <c r="G1726" s="1" t="str">
        <f>IFERROR(__xludf.DUMMYFUNCTION("""COMPUTED_VALUE"""),"นายประทวน สาราบรรณ์")</f>
        <v>นายประทวน สาราบรรณ์</v>
      </c>
      <c r="H1726" s="1" t="str">
        <f>IFERROR(__xludf.DUMMYFUNCTION("""COMPUTED_VALUE"""),"485279")</f>
        <v>485279</v>
      </c>
      <c r="I1726" s="1" t="str">
        <f>IFERROR(__xludf.DUMMYFUNCTION("""COMPUTED_VALUE"""),"นายสิริพงศ์ ชูชื่น")</f>
        <v>นายสิริพงศ์ ชูชื่น</v>
      </c>
      <c r="J1726" s="3">
        <f>IFERROR(__xludf.DUMMYFUNCTION("""COMPUTED_VALUE"""),2.0470331E7)</f>
        <v>20470331</v>
      </c>
      <c r="K1726" s="3" t="str">
        <f>IFERROR(__xludf.DUMMYFUNCTION("""COMPUTED_VALUE"""),"นายสมชาย ลักษณะสุวรรณ")</f>
        <v>นายสมชาย ลักษณะสุวรรณ</v>
      </c>
      <c r="L1726" s="1" t="str">
        <f>IFERROR(__xludf.DUMMYFUNCTION("""COMPUTED_VALUE"""),"15 K.Somchai L")</f>
        <v>15 K.Somchai L</v>
      </c>
      <c r="M1726" s="1" t="str">
        <f>IFERROR(__xludf.DUMMYFUNCTION("""COMPUTED_VALUE"""),"0655107372")</f>
        <v>0655107372</v>
      </c>
      <c r="N1726" s="3">
        <f>IFERROR(__xludf.DUMMYFUNCTION("""COMPUTED_VALUE"""),21723.0)</f>
        <v>21723</v>
      </c>
      <c r="O1726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26" s="4">
        <f>IFERROR(__xludf.DUMMYFUNCTION("""COMPUTED_VALUE"""),44528.0)</f>
        <v>44528</v>
      </c>
      <c r="Q1726" s="3" t="str">
        <f>IFERROR(__xludf.DUMMYFUNCTION("""COMPUTED_VALUE"""),"A")</f>
        <v>A</v>
      </c>
      <c r="R1726" s="3" t="str">
        <f>IFERROR(__xludf.DUMMYFUNCTION("""COMPUTED_VALUE"""),"Small Format")</f>
        <v>Small Format</v>
      </c>
      <c r="S1726" s="3" t="str">
        <f>IFERROR(__xludf.DUMMYFUNCTION("""COMPUTED_VALUE"""),"BCM")</f>
        <v>BCM</v>
      </c>
      <c r="T1726" s="3" t="str">
        <f>IFERROR(__xludf.DUMMYFUNCTION("""COMPUTED_VALUE"""),"#N/A")</f>
        <v>#N/A</v>
      </c>
      <c r="U1726" s="3" t="str">
        <f>IFERROR(__xludf.DUMMYFUNCTION("""COMPUTED_VALUE"""),"#N/A")</f>
        <v>#N/A</v>
      </c>
      <c r="V1726" s="3" t="str">
        <f>IFERROR(__xludf.DUMMYFUNCTION("""COMPUTED_VALUE"""),"N")</f>
        <v>N</v>
      </c>
      <c r="W1726" s="3">
        <f>IFERROR(__xludf.DUMMYFUNCTION("""COMPUTED_VALUE"""),210466.0)</f>
        <v>210466</v>
      </c>
      <c r="X1726" s="3" t="str">
        <f>IFERROR(__xludf.DUMMYFUNCTION("""COMPUTED_VALUE"""),"46/8 หมู่7 ตำบลโคกโพธิ์ อำเภอโคกโพธิ์ จังหวัดปัตตานี 94120")</f>
        <v>46/8 หมู่7 ตำบลโคกโพธิ์ อำเภอโคกโพธิ์ จังหวัดปัตตานี 94120</v>
      </c>
      <c r="Y1726" s="3"/>
      <c r="Z1726" s="3" t="str">
        <f>IFERROR(__xludf.DUMMYFUNCTION("""COMPUTED_VALUE"""),"โคกโพธิ์")</f>
        <v>โคกโพธิ์</v>
      </c>
      <c r="AA1726" s="3" t="str">
        <f>IFERROR(__xludf.DUMMYFUNCTION("""COMPUTED_VALUE"""),"โคกโพธิ์")</f>
        <v>โคกโพธิ์</v>
      </c>
      <c r="AB1726" s="3" t="str">
        <f>IFERROR(__xludf.DUMMYFUNCTION("""COMPUTED_VALUE"""),"ปัตตานี")</f>
        <v>ปัตตานี</v>
      </c>
      <c r="AC1726" s="3">
        <f>IFERROR(__xludf.DUMMYFUNCTION("""COMPUTED_VALUE"""),94120.0)</f>
        <v>94120</v>
      </c>
      <c r="AD1726" s="3">
        <f>IFERROR(__xludf.DUMMYFUNCTION("""COMPUTED_VALUE"""),6.728783)</f>
        <v>6.728783</v>
      </c>
      <c r="AE1726" s="3">
        <f>IFERROR(__xludf.DUMMYFUNCTION("""COMPUTED_VALUE"""),101.09681)</f>
        <v>101.09681</v>
      </c>
      <c r="AF1726" s="3" t="str">
        <f>IFERROR(__xludf.DUMMYFUNCTION("""COMPUTED_VALUE"""),"MBC โคกโพธิ์ ปัตตานี-22412")</f>
        <v>MBC โคกโพธิ์ ปัตตานี-22412</v>
      </c>
      <c r="AG1726" s="3" t="str">
        <f>IFERROR(__xludf.DUMMYFUNCTION("""COMPUTED_VALUE"""),"ใต้")</f>
        <v>ใต้</v>
      </c>
      <c r="AH1726" s="3" t="str">
        <f>IFERROR(__xludf.DUMMYFUNCTION("""COMPUTED_VALUE"""),"#N/A")</f>
        <v>#N/A</v>
      </c>
      <c r="AI1726" s="3" t="str">
        <f>IFERROR(__xludf.DUMMYFUNCTION("""COMPUTED_VALUE"""),"Out of warranty")</f>
        <v>Out of warranty</v>
      </c>
      <c r="AJ1726" s="3">
        <f>IFERROR(__xludf.DUMMYFUNCTION("""COMPUTED_VALUE"""),50.0)</f>
        <v>50</v>
      </c>
      <c r="AK1726" s="3" t="str">
        <f>IFERROR(__xludf.DUMMYFUNCTION("""COMPUTED_VALUE"""),"MMS16")</f>
        <v>MMS16</v>
      </c>
      <c r="AL1726" s="3"/>
    </row>
    <row r="1727" ht="15.75" customHeight="1">
      <c r="A1727" s="1" t="str">
        <f>IFERROR(__xludf.DUMMYFUNCTION("""COMPUTED_VALUE"""),"22413")</f>
        <v>22413</v>
      </c>
      <c r="B1727" s="2">
        <f>IFERROR(__xludf.DUMMYFUNCTION("""COMPUTED_VALUE"""),22413.0)</f>
        <v>22413</v>
      </c>
      <c r="C1727" s="3" t="str">
        <f>IFERROR(__xludf.DUMMYFUNCTION("""COMPUTED_VALUE"""),"MBC ตลาดพิกุลทอง ราชบุรี")</f>
        <v>MBC ตลาดพิกุลทอง ราชบุรี</v>
      </c>
      <c r="D1727" s="3" t="str">
        <f>IFERROR(__xludf.DUMMYFUNCTION("""COMPUTED_VALUE"""),"BCM TALAD PHIKUN THONG")</f>
        <v>BCM TALAD PHIKUN THONG</v>
      </c>
      <c r="E1727" s="1" t="str">
        <f>IFERROR(__xludf.DUMMYFUNCTION("""COMPUTED_VALUE"""),"บิ๊กซี MINI")</f>
        <v>บิ๊กซี MINI</v>
      </c>
      <c r="F1727" s="1" t="str">
        <f>IFERROR(__xludf.DUMMYFUNCTION("""COMPUTED_VALUE"""),"2083447")</f>
        <v>2083447</v>
      </c>
      <c r="G1727" s="1" t="str">
        <f>IFERROR(__xludf.DUMMYFUNCTION("""COMPUTED_VALUE"""),"นายอนุกูล ศรีลัดดา")</f>
        <v>นายอนุกูล ศรีลัดดา</v>
      </c>
      <c r="H1727" s="1" t="str">
        <f>IFERROR(__xludf.DUMMYFUNCTION("""COMPUTED_VALUE"""),"391191")</f>
        <v>391191</v>
      </c>
      <c r="I1727" s="1" t="str">
        <f>IFERROR(__xludf.DUMMYFUNCTION("""COMPUTED_VALUE"""),"นายวสันต์ สรงพรมทิพย์")</f>
        <v>นายวสันต์ สรงพรมทิพย์</v>
      </c>
      <c r="J1727" s="3">
        <f>IFERROR(__xludf.DUMMYFUNCTION("""COMPUTED_VALUE"""),2451655.0)</f>
        <v>2451655</v>
      </c>
      <c r="K1727" s="3" t="str">
        <f>IFERROR(__xludf.DUMMYFUNCTION("""COMPUTED_VALUE"""),"นายวิษณุพงษ์ ชินบุตร")</f>
        <v>นายวิษณุพงษ์ ชินบุตร</v>
      </c>
      <c r="L1727" s="1" t="str">
        <f>IFERROR(__xludf.DUMMYFUNCTION("""COMPUTED_VALUE"""),"13 K.Wisanupong Ch")</f>
        <v>13 K.Wisanupong Ch</v>
      </c>
      <c r="M1727" s="1" t="str">
        <f>IFERROR(__xludf.DUMMYFUNCTION("""COMPUTED_VALUE"""),"0843374693")</f>
        <v>0843374693</v>
      </c>
      <c r="N1727" s="3">
        <f>IFERROR(__xludf.DUMMYFUNCTION("""COMPUTED_VALUE"""),21494.0)</f>
        <v>21494</v>
      </c>
      <c r="O1727" s="3" t="str">
        <f>IFERROR(__xludf.DUMMYFUNCTION("""COMPUTED_VALUE"""),"MBC บ้านกรด")</f>
        <v>MBC บ้านกรด</v>
      </c>
      <c r="P1727" s="4">
        <f>IFERROR(__xludf.DUMMYFUNCTION("""COMPUTED_VALUE"""),44532.0)</f>
        <v>44532</v>
      </c>
      <c r="Q1727" s="3" t="str">
        <f>IFERROR(__xludf.DUMMYFUNCTION("""COMPUTED_VALUE"""),"I")</f>
        <v>I</v>
      </c>
      <c r="R1727" s="3" t="str">
        <f>IFERROR(__xludf.DUMMYFUNCTION("""COMPUTED_VALUE"""),"Small Format")</f>
        <v>Small Format</v>
      </c>
      <c r="S1727" s="3" t="str">
        <f>IFERROR(__xludf.DUMMYFUNCTION("""COMPUTED_VALUE"""),"BCM")</f>
        <v>BCM</v>
      </c>
      <c r="T1727" s="3" t="str">
        <f>IFERROR(__xludf.DUMMYFUNCTION("""COMPUTED_VALUE"""),"#N/A")</f>
        <v>#N/A</v>
      </c>
      <c r="U1727" s="3" t="str">
        <f>IFERROR(__xludf.DUMMYFUNCTION("""COMPUTED_VALUE"""),"#N/A")</f>
        <v>#N/A</v>
      </c>
      <c r="V1727" s="3" t="str">
        <f>IFERROR(__xludf.DUMMYFUNCTION("""COMPUTED_VALUE"""),"N")</f>
        <v>N</v>
      </c>
      <c r="W1727" s="3">
        <f>IFERROR(__xludf.DUMMYFUNCTION("""COMPUTED_VALUE"""),210472.0)</f>
        <v>210472</v>
      </c>
      <c r="X1727" s="3" t="str">
        <f>IFERROR(__xludf.DUMMYFUNCTION("""COMPUTED_VALUE"""),"157 หมู่6 ตำบลพิกุลทอง อำเภอเมืองราชบุรี จังหวัดราชบุรี 70000")</f>
        <v>157 หมู่6 ตำบลพิกุลทอง อำเภอเมืองราชบุรี จังหวัดราชบุรี 70000</v>
      </c>
      <c r="Y1727" s="3"/>
      <c r="Z1727" s="3" t="str">
        <f>IFERROR(__xludf.DUMMYFUNCTION("""COMPUTED_VALUE"""),"พิกุลทอง")</f>
        <v>พิกุลทอง</v>
      </c>
      <c r="AA1727" s="3" t="str">
        <f>IFERROR(__xludf.DUMMYFUNCTION("""COMPUTED_VALUE"""),"เมือง")</f>
        <v>เมือง</v>
      </c>
      <c r="AB1727" s="3" t="str">
        <f>IFERROR(__xludf.DUMMYFUNCTION("""COMPUTED_VALUE"""),"ราชบุรี")</f>
        <v>ราชบุรี</v>
      </c>
      <c r="AC1727" s="3">
        <f>IFERROR(__xludf.DUMMYFUNCTION("""COMPUTED_VALUE"""),70000.0)</f>
        <v>70000</v>
      </c>
      <c r="AD1727" s="3">
        <f>IFERROR(__xludf.DUMMYFUNCTION("""COMPUTED_VALUE"""),13.578317)</f>
        <v>13.578317</v>
      </c>
      <c r="AE1727" s="3">
        <f>IFERROR(__xludf.DUMMYFUNCTION("""COMPUTED_VALUE"""),99.867016)</f>
        <v>99.867016</v>
      </c>
      <c r="AF1727" s="3" t="str">
        <f>IFERROR(__xludf.DUMMYFUNCTION("""COMPUTED_VALUE"""),"MBC ตลาดพิกุลทอง ราชบุรี-22413")</f>
        <v>MBC ตลาดพิกุลทอง ราชบุรี-22413</v>
      </c>
      <c r="AG1727" s="3" t="str">
        <f>IFERROR(__xludf.DUMMYFUNCTION("""COMPUTED_VALUE"""),"ตะวันตก")</f>
        <v>ตะวันตก</v>
      </c>
      <c r="AH1727" s="3" t="str">
        <f>IFERROR(__xludf.DUMMYFUNCTION("""COMPUTED_VALUE"""),"#N/A")</f>
        <v>#N/A</v>
      </c>
      <c r="AI1727" s="3" t="str">
        <f>IFERROR(__xludf.DUMMYFUNCTION("""COMPUTED_VALUE"""),"Out of warranty")</f>
        <v>Out of warranty</v>
      </c>
      <c r="AJ1727" s="3">
        <f>IFERROR(__xludf.DUMMYFUNCTION("""COMPUTED_VALUE"""),50.0)</f>
        <v>50</v>
      </c>
      <c r="AK1727" s="3" t="str">
        <f>IFERROR(__xludf.DUMMYFUNCTION("""COMPUTED_VALUE"""),"MMS05")</f>
        <v>MMS05</v>
      </c>
      <c r="AL1727" s="3"/>
    </row>
    <row r="1728" ht="15.75" customHeight="1">
      <c r="A1728" s="1" t="str">
        <f>IFERROR(__xludf.DUMMYFUNCTION("""COMPUTED_VALUE"""),"22414")</f>
        <v>22414</v>
      </c>
      <c r="B1728" s="2">
        <f>IFERROR(__xludf.DUMMYFUNCTION("""COMPUTED_VALUE"""),22414.0)</f>
        <v>22414</v>
      </c>
      <c r="C1728" s="3" t="str">
        <f>IFERROR(__xludf.DUMMYFUNCTION("""COMPUTED_VALUE"""),"MBC หนองพังพวย ชลบุรี")</f>
        <v>MBC หนองพังพวย ชลบุรี</v>
      </c>
      <c r="D1728" s="3" t="str">
        <f>IFERROR(__xludf.DUMMYFUNCTION("""COMPUTED_VALUE"""),"BCM NONG PHANG PHUAI")</f>
        <v>BCM NONG PHANG PHUAI</v>
      </c>
      <c r="E1728" s="1" t="str">
        <f>IFERROR(__xludf.DUMMYFUNCTION("""COMPUTED_VALUE"""),"บิ๊กซี MINI")</f>
        <v>บิ๊กซี MINI</v>
      </c>
      <c r="F1728" s="1" t="str">
        <f>IFERROR(__xludf.DUMMYFUNCTION("""COMPUTED_VALUE"""),"221716")</f>
        <v>221716</v>
      </c>
      <c r="G1728" s="1" t="str">
        <f>IFERROR(__xludf.DUMMYFUNCTION("""COMPUTED_VALUE"""),"น.ส.เบญจพร โพธิสาร")</f>
        <v>น.ส.เบญจพร โพธิสาร</v>
      </c>
      <c r="H1728" s="1" t="str">
        <f>IFERROR(__xludf.DUMMYFUNCTION("""COMPUTED_VALUE"""),"291061")</f>
        <v>291061</v>
      </c>
      <c r="I1728" s="1" t="str">
        <f>IFERROR(__xludf.DUMMYFUNCTION("""COMPUTED_VALUE"""),"นายสมศักดิ์ เสียงก้อง")</f>
        <v>นายสมศักดิ์ เสียงก้อง</v>
      </c>
      <c r="J1728" s="3">
        <f>IFERROR(__xludf.DUMMYFUNCTION("""COMPUTED_VALUE"""),296942.0)</f>
        <v>296942</v>
      </c>
      <c r="K1728" s="3" t="str">
        <f>IFERROR(__xludf.DUMMYFUNCTION("""COMPUTED_VALUE"""),"นายปิยะ รักษากิจ")</f>
        <v>นายปิยะ รักษากิจ</v>
      </c>
      <c r="L1728" s="1" t="str">
        <f>IFERROR(__xludf.DUMMYFUNCTION("""COMPUTED_VALUE"""),"07 K.Piya R.")</f>
        <v>07 K.Piya R.</v>
      </c>
      <c r="M1728" s="1" t="str">
        <f>IFERROR(__xludf.DUMMYFUNCTION("""COMPUTED_VALUE"""),"097-919-5476")</f>
        <v>097-919-5476</v>
      </c>
      <c r="N1728" s="3">
        <f>IFERROR(__xludf.DUMMYFUNCTION("""COMPUTED_VALUE"""),21332.0)</f>
        <v>21332</v>
      </c>
      <c r="O1728" s="3" t="str">
        <f>IFERROR(__xludf.DUMMYFUNCTION("""COMPUTED_VALUE"""),"MBC BCP อ่อนนุช 17/1")</f>
        <v>MBC BCP อ่อนนุช 17/1</v>
      </c>
      <c r="P1728" s="4">
        <f>IFERROR(__xludf.DUMMYFUNCTION("""COMPUTED_VALUE"""),44533.0)</f>
        <v>44533</v>
      </c>
      <c r="Q1728" s="3" t="str">
        <f>IFERROR(__xludf.DUMMYFUNCTION("""COMPUTED_VALUE"""),"A")</f>
        <v>A</v>
      </c>
      <c r="R1728" s="3" t="str">
        <f>IFERROR(__xludf.DUMMYFUNCTION("""COMPUTED_VALUE"""),"Small Format")</f>
        <v>Small Format</v>
      </c>
      <c r="S1728" s="3" t="str">
        <f>IFERROR(__xludf.DUMMYFUNCTION("""COMPUTED_VALUE"""),"BCM")</f>
        <v>BCM</v>
      </c>
      <c r="T1728" s="3" t="str">
        <f>IFERROR(__xludf.DUMMYFUNCTION("""COMPUTED_VALUE"""),"#N/A")</f>
        <v>#N/A</v>
      </c>
      <c r="U1728" s="3" t="str">
        <f>IFERROR(__xludf.DUMMYFUNCTION("""COMPUTED_VALUE"""),"#N/A")</f>
        <v>#N/A</v>
      </c>
      <c r="V1728" s="3" t="str">
        <f>IFERROR(__xludf.DUMMYFUNCTION("""COMPUTED_VALUE"""),"N")</f>
        <v>N</v>
      </c>
      <c r="W1728" s="3">
        <f>IFERROR(__xludf.DUMMYFUNCTION("""COMPUTED_VALUE"""),210448.0)</f>
        <v>210448</v>
      </c>
      <c r="X1728" s="3" t="str">
        <f>IFERROR(__xludf.DUMMYFUNCTION("""COMPUTED_VALUE"""),"81/27 หมู่10 ตำบลบึง อำเภอศรีราชา จังหวัดชลบุรี 20230")</f>
        <v>81/27 หมู่10 ตำบลบึง อำเภอศรีราชา จังหวัดชลบุรี 20230</v>
      </c>
      <c r="Y1728" s="3"/>
      <c r="Z1728" s="3" t="str">
        <f>IFERROR(__xludf.DUMMYFUNCTION("""COMPUTED_VALUE"""),"บึง")</f>
        <v>บึง</v>
      </c>
      <c r="AA1728" s="3" t="str">
        <f>IFERROR(__xludf.DUMMYFUNCTION("""COMPUTED_VALUE"""),"ศรีราชา")</f>
        <v>ศรีราชา</v>
      </c>
      <c r="AB1728" s="3" t="str">
        <f>IFERROR(__xludf.DUMMYFUNCTION("""COMPUTED_VALUE"""),"ชลบุรี")</f>
        <v>ชลบุรี</v>
      </c>
      <c r="AC1728" s="3">
        <f>IFERROR(__xludf.DUMMYFUNCTION("""COMPUTED_VALUE"""),20230.0)</f>
        <v>20230</v>
      </c>
      <c r="AD1728" s="3">
        <f>IFERROR(__xludf.DUMMYFUNCTION("""COMPUTED_VALUE"""),13.077737)</f>
        <v>13.077737</v>
      </c>
      <c r="AE1728" s="3">
        <f>IFERROR(__xludf.DUMMYFUNCTION("""COMPUTED_VALUE"""),100.948073)</f>
        <v>100.948073</v>
      </c>
      <c r="AF1728" s="3" t="str">
        <f>IFERROR(__xludf.DUMMYFUNCTION("""COMPUTED_VALUE"""),"MBC หนองพังพวย ชลบุรี-22414")</f>
        <v>MBC หนองพังพวย ชลบุรี-22414</v>
      </c>
      <c r="AG1728" s="3" t="str">
        <f>IFERROR(__xludf.DUMMYFUNCTION("""COMPUTED_VALUE"""),"ตะวันออก")</f>
        <v>ตะวันออก</v>
      </c>
      <c r="AH1728" s="3" t="str">
        <f>IFERROR(__xludf.DUMMYFUNCTION("""COMPUTED_VALUE"""),"#N/A")</f>
        <v>#N/A</v>
      </c>
      <c r="AI1728" s="3" t="str">
        <f>IFERROR(__xludf.DUMMYFUNCTION("""COMPUTED_VALUE"""),"Out of warranty")</f>
        <v>Out of warranty</v>
      </c>
      <c r="AJ1728" s="3">
        <f>IFERROR(__xludf.DUMMYFUNCTION("""COMPUTED_VALUE"""),50.0)</f>
        <v>50</v>
      </c>
      <c r="AK1728" s="3" t="str">
        <f>IFERROR(__xludf.DUMMYFUNCTION("""COMPUTED_VALUE"""),"MMS06")</f>
        <v>MMS06</v>
      </c>
      <c r="AL1728" s="3"/>
    </row>
    <row r="1729" ht="15.75" customHeight="1">
      <c r="A1729" s="1" t="str">
        <f>IFERROR(__xludf.DUMMYFUNCTION("""COMPUTED_VALUE"""),"22415")</f>
        <v>22415</v>
      </c>
      <c r="B1729" s="2">
        <f>IFERROR(__xludf.DUMMYFUNCTION("""COMPUTED_VALUE"""),22415.0)</f>
        <v>22415</v>
      </c>
      <c r="C1729" s="3" t="str">
        <f>IFERROR(__xludf.DUMMYFUNCTION("""COMPUTED_VALUE"""),"MBC บ้านเนียง ยะลา")</f>
        <v>MBC บ้านเนียง ยะลา</v>
      </c>
      <c r="D1729" s="3" t="str">
        <f>IFERROR(__xludf.DUMMYFUNCTION("""COMPUTED_VALUE"""),"BCM BAN NIANG")</f>
        <v>BCM BAN NIANG</v>
      </c>
      <c r="E1729" s="1" t="str">
        <f>IFERROR(__xludf.DUMMYFUNCTION("""COMPUTED_VALUE"""),"บิ๊กซี MINI")</f>
        <v>บิ๊กซี MINI</v>
      </c>
      <c r="F1729" s="1" t="str">
        <f>IFERROR(__xludf.DUMMYFUNCTION("""COMPUTED_VALUE"""),"250760")</f>
        <v>250760</v>
      </c>
      <c r="G1729" s="1" t="str">
        <f>IFERROR(__xludf.DUMMYFUNCTION("""COMPUTED_VALUE"""),"นายประทวน สาราบรรณ์")</f>
        <v>นายประทวน สาราบรรณ์</v>
      </c>
      <c r="H1729" s="1" t="str">
        <f>IFERROR(__xludf.DUMMYFUNCTION("""COMPUTED_VALUE"""),"485279")</f>
        <v>485279</v>
      </c>
      <c r="I1729" s="1" t="str">
        <f>IFERROR(__xludf.DUMMYFUNCTION("""COMPUTED_VALUE"""),"นายสิริพงศ์ ชูชื่น")</f>
        <v>นายสิริพงศ์ ชูชื่น</v>
      </c>
      <c r="J1729" s="3">
        <f>IFERROR(__xludf.DUMMYFUNCTION("""COMPUTED_VALUE"""),2.0470331E7)</f>
        <v>20470331</v>
      </c>
      <c r="K1729" s="3" t="str">
        <f>IFERROR(__xludf.DUMMYFUNCTION("""COMPUTED_VALUE"""),"นายสมชาย ลักษณะสุวรรณ")</f>
        <v>นายสมชาย ลักษณะสุวรรณ</v>
      </c>
      <c r="L1729" s="3" t="str">
        <f>IFERROR(__xludf.DUMMYFUNCTION("""COMPUTED_VALUE"""),"15 K.Somchai L")</f>
        <v>15 K.Somchai L</v>
      </c>
      <c r="M1729" s="1" t="str">
        <f>IFERROR(__xludf.DUMMYFUNCTION("""COMPUTED_VALUE"""),"0655107372")</f>
        <v>0655107372</v>
      </c>
      <c r="N1729" s="3">
        <f>IFERROR(__xludf.DUMMYFUNCTION("""COMPUTED_VALUE"""),21723.0)</f>
        <v>21723</v>
      </c>
      <c r="O1729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29" s="4">
        <f>IFERROR(__xludf.DUMMYFUNCTION("""COMPUTED_VALUE"""),44540.0)</f>
        <v>44540</v>
      </c>
      <c r="Q1729" s="3" t="str">
        <f>IFERROR(__xludf.DUMMYFUNCTION("""COMPUTED_VALUE"""),"A")</f>
        <v>A</v>
      </c>
      <c r="R1729" s="3" t="str">
        <f>IFERROR(__xludf.DUMMYFUNCTION("""COMPUTED_VALUE"""),"Small Format")</f>
        <v>Small Format</v>
      </c>
      <c r="S1729" s="3" t="str">
        <f>IFERROR(__xludf.DUMMYFUNCTION("""COMPUTED_VALUE"""),"BCM")</f>
        <v>BCM</v>
      </c>
      <c r="T1729" s="3" t="str">
        <f>IFERROR(__xludf.DUMMYFUNCTION("""COMPUTED_VALUE"""),"#N/A")</f>
        <v>#N/A</v>
      </c>
      <c r="U1729" s="3" t="str">
        <f>IFERROR(__xludf.DUMMYFUNCTION("""COMPUTED_VALUE"""),"#N/A")</f>
        <v>#N/A</v>
      </c>
      <c r="V1729" s="3" t="str">
        <f>IFERROR(__xludf.DUMMYFUNCTION("""COMPUTED_VALUE"""),"N")</f>
        <v>N</v>
      </c>
      <c r="W1729" s="3">
        <f>IFERROR(__xludf.DUMMYFUNCTION("""COMPUTED_VALUE"""),210469.0)</f>
        <v>210469</v>
      </c>
      <c r="X1729" s="3" t="str">
        <f>IFERROR(__xludf.DUMMYFUNCTION("""COMPUTED_VALUE"""),"2/1 หมู่4 ตำบลเปาะเส้ง อำเภอเมืองยะลา จังหวัดยะลา 95000")</f>
        <v>2/1 หมู่4 ตำบลเปาะเส้ง อำเภอเมืองยะลา จังหวัดยะลา 95000</v>
      </c>
      <c r="Y1729" s="3"/>
      <c r="Z1729" s="3" t="str">
        <f>IFERROR(__xludf.DUMMYFUNCTION("""COMPUTED_VALUE"""),"เปาะเส้ง")</f>
        <v>เปาะเส้ง</v>
      </c>
      <c r="AA1729" s="3" t="str">
        <f>IFERROR(__xludf.DUMMYFUNCTION("""COMPUTED_VALUE"""),"เมือง")</f>
        <v>เมือง</v>
      </c>
      <c r="AB1729" s="3" t="str">
        <f>IFERROR(__xludf.DUMMYFUNCTION("""COMPUTED_VALUE"""),"ยะลา")</f>
        <v>ยะลา</v>
      </c>
      <c r="AC1729" s="3">
        <f>IFERROR(__xludf.DUMMYFUNCTION("""COMPUTED_VALUE"""),95000.0)</f>
        <v>95000</v>
      </c>
      <c r="AD1729" s="3">
        <f>IFERROR(__xludf.DUMMYFUNCTION("""COMPUTED_VALUE"""),6.526765)</f>
        <v>6.526765</v>
      </c>
      <c r="AE1729" s="3">
        <f>IFERROR(__xludf.DUMMYFUNCTION("""COMPUTED_VALUE"""),101.198803)</f>
        <v>101.198803</v>
      </c>
      <c r="AF1729" s="3" t="str">
        <f>IFERROR(__xludf.DUMMYFUNCTION("""COMPUTED_VALUE"""),"MBC บ้านเนียง ยะลา-22415")</f>
        <v>MBC บ้านเนียง ยะลา-22415</v>
      </c>
      <c r="AG1729" s="3" t="str">
        <f>IFERROR(__xludf.DUMMYFUNCTION("""COMPUTED_VALUE"""),"ใต้")</f>
        <v>ใต้</v>
      </c>
      <c r="AH1729" s="3" t="str">
        <f>IFERROR(__xludf.DUMMYFUNCTION("""COMPUTED_VALUE"""),"#N/A")</f>
        <v>#N/A</v>
      </c>
      <c r="AI1729" s="3" t="str">
        <f>IFERROR(__xludf.DUMMYFUNCTION("""COMPUTED_VALUE"""),"Out of warranty")</f>
        <v>Out of warranty</v>
      </c>
      <c r="AJ1729" s="3">
        <f>IFERROR(__xludf.DUMMYFUNCTION("""COMPUTED_VALUE"""),50.0)</f>
        <v>50</v>
      </c>
      <c r="AK1729" s="3" t="str">
        <f>IFERROR(__xludf.DUMMYFUNCTION("""COMPUTED_VALUE"""),"MMS16")</f>
        <v>MMS16</v>
      </c>
      <c r="AL1729" s="3"/>
    </row>
    <row r="1730" ht="15.75" customHeight="1">
      <c r="A1730" s="1" t="str">
        <f>IFERROR(__xludf.DUMMYFUNCTION("""COMPUTED_VALUE"""),"22416")</f>
        <v>22416</v>
      </c>
      <c r="B1730" s="2">
        <f>IFERROR(__xludf.DUMMYFUNCTION("""COMPUTED_VALUE"""),22416.0)</f>
        <v>22416</v>
      </c>
      <c r="C1730" s="3" t="str">
        <f>IFERROR(__xludf.DUMMYFUNCTION("""COMPUTED_VALUE"""),"MBC แม่ริม เชียงใหม่")</f>
        <v>MBC แม่ริม เชียงใหม่</v>
      </c>
      <c r="D1730" s="3" t="str">
        <f>IFERROR(__xludf.DUMMYFUNCTION("""COMPUTED_VALUE"""),"BCM MAE RIM")</f>
        <v>BCM MAE RIM</v>
      </c>
      <c r="E1730" s="1" t="str">
        <f>IFERROR(__xludf.DUMMYFUNCTION("""COMPUTED_VALUE"""),"บิ๊กซี MINI")</f>
        <v>บิ๊กซี MINI</v>
      </c>
      <c r="F1730" s="1" t="str">
        <f>IFERROR(__xludf.DUMMYFUNCTION("""COMPUTED_VALUE"""),"296229")</f>
        <v>296229</v>
      </c>
      <c r="G1730" s="1" t="str">
        <f>IFERROR(__xludf.DUMMYFUNCTION("""COMPUTED_VALUE"""),"นายทนงศักดิ์ บุญมา")</f>
        <v>นายทนงศักดิ์ บุญมา</v>
      </c>
      <c r="H1730" s="1" t="str">
        <f>IFERROR(__xludf.DUMMYFUNCTION("""COMPUTED_VALUE"""),"393402")</f>
        <v>393402</v>
      </c>
      <c r="I1730" s="1" t="str">
        <f>IFERROR(__xludf.DUMMYFUNCTION("""COMPUTED_VALUE"""),"น.ส.ปารมิตา ใจตรง")</f>
        <v>น.ส.ปารมิตา ใจตรง</v>
      </c>
      <c r="J1730" s="3">
        <f>IFERROR(__xludf.DUMMYFUNCTION("""COMPUTED_VALUE"""),2010016.0)</f>
        <v>2010016</v>
      </c>
      <c r="K1730" s="3" t="str">
        <f>IFERROR(__xludf.DUMMYFUNCTION("""COMPUTED_VALUE"""),"นายตวงธรรม ใหม่ยศ")</f>
        <v>นายตวงธรรม ใหม่ยศ</v>
      </c>
      <c r="L1730" s="1" t="str">
        <f>IFERROR(__xludf.DUMMYFUNCTION("""COMPUTED_VALUE"""),"01 K.Tuangtham M.")</f>
        <v>01 K.Tuangtham M.</v>
      </c>
      <c r="M1730" s="1" t="str">
        <f>IFERROR(__xludf.DUMMYFUNCTION("""COMPUTED_VALUE"""),"063-976-595")</f>
        <v>063-976-595</v>
      </c>
      <c r="N1730" s="3">
        <f>IFERROR(__xludf.DUMMYFUNCTION("""COMPUTED_VALUE"""),22574.0)</f>
        <v>22574</v>
      </c>
      <c r="O1730" s="3" t="str">
        <f>IFERROR(__xludf.DUMMYFUNCTION("""COMPUTED_VALUE"""),"BCM ชุมชนศรีชุม ลำปาง")</f>
        <v>BCM ชุมชนศรีชุม ลำปาง</v>
      </c>
      <c r="P1730" s="4">
        <f>IFERROR(__xludf.DUMMYFUNCTION("""COMPUTED_VALUE"""),44542.0)</f>
        <v>44542</v>
      </c>
      <c r="Q1730" s="3" t="str">
        <f>IFERROR(__xludf.DUMMYFUNCTION("""COMPUTED_VALUE"""),"A")</f>
        <v>A</v>
      </c>
      <c r="R1730" s="3" t="str">
        <f>IFERROR(__xludf.DUMMYFUNCTION("""COMPUTED_VALUE"""),"Small Format")</f>
        <v>Small Format</v>
      </c>
      <c r="S1730" s="3" t="str">
        <f>IFERROR(__xludf.DUMMYFUNCTION("""COMPUTED_VALUE"""),"BCM")</f>
        <v>BCM</v>
      </c>
      <c r="T1730" s="3" t="str">
        <f>IFERROR(__xludf.DUMMYFUNCTION("""COMPUTED_VALUE"""),"#N/A")</f>
        <v>#N/A</v>
      </c>
      <c r="U1730" s="3" t="str">
        <f>IFERROR(__xludf.DUMMYFUNCTION("""COMPUTED_VALUE"""),"#N/A")</f>
        <v>#N/A</v>
      </c>
      <c r="V1730" s="3" t="str">
        <f>IFERROR(__xludf.DUMMYFUNCTION("""COMPUTED_VALUE"""),"N")</f>
        <v>N</v>
      </c>
      <c r="W1730" s="3">
        <f>IFERROR(__xludf.DUMMYFUNCTION("""COMPUTED_VALUE"""),210481.0)</f>
        <v>210481</v>
      </c>
      <c r="X1730" s="3" t="str">
        <f>IFERROR(__xludf.DUMMYFUNCTION("""COMPUTED_VALUE"""),"163/18 หมู่1 ตำบลแม่สา อำเภอแม่ริม จังหวัดเชียงใหม่ 50180")</f>
        <v>163/18 หมู่1 ตำบลแม่สา อำเภอแม่ริม จังหวัดเชียงใหม่ 50180</v>
      </c>
      <c r="Y1730" s="3"/>
      <c r="Z1730" s="3" t="str">
        <f>IFERROR(__xludf.DUMMYFUNCTION("""COMPUTED_VALUE"""),"แม่สา")</f>
        <v>แม่สา</v>
      </c>
      <c r="AA1730" s="3" t="str">
        <f>IFERROR(__xludf.DUMMYFUNCTION("""COMPUTED_VALUE"""),"แม่ริม")</f>
        <v>แม่ริม</v>
      </c>
      <c r="AB1730" s="3" t="str">
        <f>IFERROR(__xludf.DUMMYFUNCTION("""COMPUTED_VALUE"""),"เชียงใหม่")</f>
        <v>เชียงใหม่</v>
      </c>
      <c r="AC1730" s="3">
        <f>IFERROR(__xludf.DUMMYFUNCTION("""COMPUTED_VALUE"""),50180.0)</f>
        <v>50180</v>
      </c>
      <c r="AD1730" s="3">
        <f>IFERROR(__xludf.DUMMYFUNCTION("""COMPUTED_VALUE"""),18.908879)</f>
        <v>18.908879</v>
      </c>
      <c r="AE1730" s="3">
        <f>IFERROR(__xludf.DUMMYFUNCTION("""COMPUTED_VALUE"""),98.947291)</f>
        <v>98.947291</v>
      </c>
      <c r="AF1730" s="3" t="str">
        <f>IFERROR(__xludf.DUMMYFUNCTION("""COMPUTED_VALUE"""),"MBC แม่ริม เชียงใหม่-22416")</f>
        <v>MBC แม่ริม เชียงใหม่-22416</v>
      </c>
      <c r="AG1730" s="3" t="str">
        <f>IFERROR(__xludf.DUMMYFUNCTION("""COMPUTED_VALUE"""),"เหนือ")</f>
        <v>เหนือ</v>
      </c>
      <c r="AH1730" s="3" t="str">
        <f>IFERROR(__xludf.DUMMYFUNCTION("""COMPUTED_VALUE"""),"#N/A")</f>
        <v>#N/A</v>
      </c>
      <c r="AI1730" s="3" t="str">
        <f>IFERROR(__xludf.DUMMYFUNCTION("""COMPUTED_VALUE"""),"Out of warranty")</f>
        <v>Out of warranty</v>
      </c>
      <c r="AJ1730" s="3">
        <f>IFERROR(__xludf.DUMMYFUNCTION("""COMPUTED_VALUE"""),50.0)</f>
        <v>50</v>
      </c>
      <c r="AK1730" s="3" t="str">
        <f>IFERROR(__xludf.DUMMYFUNCTION("""COMPUTED_VALUE"""),"MMS10")</f>
        <v>MMS10</v>
      </c>
      <c r="AL1730" s="3"/>
    </row>
    <row r="1731" ht="15.75" customHeight="1">
      <c r="A1731" s="1" t="str">
        <f>IFERROR(__xludf.DUMMYFUNCTION("""COMPUTED_VALUE"""),"22417")</f>
        <v>22417</v>
      </c>
      <c r="B1731" s="2">
        <f>IFERROR(__xludf.DUMMYFUNCTION("""COMPUTED_VALUE"""),22417.0)</f>
        <v>22417</v>
      </c>
      <c r="C1731" s="3" t="str">
        <f>IFERROR(__xludf.DUMMYFUNCTION("""COMPUTED_VALUE"""),"MBC จะแนะ นราธิวาส")</f>
        <v>MBC จะแนะ นราธิวาส</v>
      </c>
      <c r="D1731" s="3" t="str">
        <f>IFERROR(__xludf.DUMMYFUNCTION("""COMPUTED_VALUE"""),"MBC CHANAE")</f>
        <v>MBC CHANAE</v>
      </c>
      <c r="E1731" s="1" t="str">
        <f>IFERROR(__xludf.DUMMYFUNCTION("""COMPUTED_VALUE"""),"บิ๊กซี MINI")</f>
        <v>บิ๊กซี MINI</v>
      </c>
      <c r="F1731" s="1" t="str">
        <f>IFERROR(__xludf.DUMMYFUNCTION("""COMPUTED_VALUE"""),"250760")</f>
        <v>250760</v>
      </c>
      <c r="G1731" s="1" t="str">
        <f>IFERROR(__xludf.DUMMYFUNCTION("""COMPUTED_VALUE"""),"นายประทวน สาราบรรณ์")</f>
        <v>นายประทวน สาราบรรณ์</v>
      </c>
      <c r="H1731" s="1" t="str">
        <f>IFERROR(__xludf.DUMMYFUNCTION("""COMPUTED_VALUE"""),"006583")</f>
        <v>006583</v>
      </c>
      <c r="I1731" s="1" t="str">
        <f>IFERROR(__xludf.DUMMYFUNCTION("""COMPUTED_VALUE"""),"นายเด่น ยะอิง")</f>
        <v>นายเด่น ยะอิง</v>
      </c>
      <c r="J1731" s="3">
        <f>IFERROR(__xludf.DUMMYFUNCTION("""COMPUTED_VALUE"""),2.0470331E7)</f>
        <v>20470331</v>
      </c>
      <c r="K1731" s="3" t="str">
        <f>IFERROR(__xludf.DUMMYFUNCTION("""COMPUTED_VALUE"""),"นายสมชาย ลักษณะสุวรรณ")</f>
        <v>นายสมชาย ลักษณะสุวรรณ</v>
      </c>
      <c r="L1731" s="1" t="str">
        <f>IFERROR(__xludf.DUMMYFUNCTION("""COMPUTED_VALUE"""),"15 K.Somchai L")</f>
        <v>15 K.Somchai L</v>
      </c>
      <c r="M1731" s="1" t="str">
        <f>IFERROR(__xludf.DUMMYFUNCTION("""COMPUTED_VALUE"""),"0655107372")</f>
        <v>0655107372</v>
      </c>
      <c r="N1731" s="3">
        <f>IFERROR(__xludf.DUMMYFUNCTION("""COMPUTED_VALUE"""),21723.0)</f>
        <v>21723</v>
      </c>
      <c r="O173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31" s="4">
        <f>IFERROR(__xludf.DUMMYFUNCTION("""COMPUTED_VALUE"""),44847.0)</f>
        <v>44847</v>
      </c>
      <c r="Q1731" s="3" t="str">
        <f>IFERROR(__xludf.DUMMYFUNCTION("""COMPUTED_VALUE"""),"A")</f>
        <v>A</v>
      </c>
      <c r="R1731" s="3" t="str">
        <f>IFERROR(__xludf.DUMMYFUNCTION("""COMPUTED_VALUE"""),"Small Format")</f>
        <v>Small Format</v>
      </c>
      <c r="S1731" s="3" t="str">
        <f>IFERROR(__xludf.DUMMYFUNCTION("""COMPUTED_VALUE"""),"BCM")</f>
        <v>BCM</v>
      </c>
      <c r="T1731" s="3" t="str">
        <f>IFERROR(__xludf.DUMMYFUNCTION("""COMPUTED_VALUE"""),"#N/A")</f>
        <v>#N/A</v>
      </c>
      <c r="U1731" s="3" t="str">
        <f>IFERROR(__xludf.DUMMYFUNCTION("""COMPUTED_VALUE"""),"#N/A")</f>
        <v>#N/A</v>
      </c>
      <c r="V1731" s="3" t="str">
        <f>IFERROR(__xludf.DUMMYFUNCTION("""COMPUTED_VALUE"""),"N")</f>
        <v>N</v>
      </c>
      <c r="W1731" s="3">
        <f>IFERROR(__xludf.DUMMYFUNCTION("""COMPUTED_VALUE"""),210464.0)</f>
        <v>210464</v>
      </c>
      <c r="X1731" s="3" t="str">
        <f>IFERROR(__xludf.DUMMYFUNCTION("""COMPUTED_VALUE"""),"115/3 หมู่2 ตำบลจะแนะ อำเภอจะแนะ จังหวัดนราธิวาส 96220")</f>
        <v>115/3 หมู่2 ตำบลจะแนะ อำเภอจะแนะ จังหวัดนราธิวาส 96220</v>
      </c>
      <c r="Y1731" s="3"/>
      <c r="Z1731" s="3" t="str">
        <f>IFERROR(__xludf.DUMMYFUNCTION("""COMPUTED_VALUE"""),"จะแนะ")</f>
        <v>จะแนะ</v>
      </c>
      <c r="AA1731" s="3" t="str">
        <f>IFERROR(__xludf.DUMMYFUNCTION("""COMPUTED_VALUE"""),"จะแนะ")</f>
        <v>จะแนะ</v>
      </c>
      <c r="AB1731" s="3" t="str">
        <f>IFERROR(__xludf.DUMMYFUNCTION("""COMPUTED_VALUE"""),"นราธิวาส")</f>
        <v>นราธิวาส</v>
      </c>
      <c r="AC1731" s="3">
        <f>IFERROR(__xludf.DUMMYFUNCTION("""COMPUTED_VALUE"""),96220.0)</f>
        <v>96220</v>
      </c>
      <c r="AD1731" s="3">
        <f>IFERROR(__xludf.DUMMYFUNCTION("""COMPUTED_VALUE"""),6.129728)</f>
        <v>6.129728</v>
      </c>
      <c r="AE1731" s="3">
        <f>IFERROR(__xludf.DUMMYFUNCTION("""COMPUTED_VALUE"""),101.697621)</f>
        <v>101.697621</v>
      </c>
      <c r="AF1731" s="3" t="str">
        <f>IFERROR(__xludf.DUMMYFUNCTION("""COMPUTED_VALUE"""),"MBC จะแนะ นราธิวาส-22417")</f>
        <v>MBC จะแนะ นราธิวาส-22417</v>
      </c>
      <c r="AG1731" s="3" t="str">
        <f>IFERROR(__xludf.DUMMYFUNCTION("""COMPUTED_VALUE"""),"ใต้")</f>
        <v>ใต้</v>
      </c>
      <c r="AH1731" s="3" t="str">
        <f>IFERROR(__xludf.DUMMYFUNCTION("""COMPUTED_VALUE"""),"#N/A")</f>
        <v>#N/A</v>
      </c>
      <c r="AI1731" s="3" t="str">
        <f>IFERROR(__xludf.DUMMYFUNCTION("""COMPUTED_VALUE"""),"Out of warranty")</f>
        <v>Out of warranty</v>
      </c>
      <c r="AJ1731" s="3">
        <f>IFERROR(__xludf.DUMMYFUNCTION("""COMPUTED_VALUE"""),40.0)</f>
        <v>40</v>
      </c>
      <c r="AK1731" s="3" t="str">
        <f>IFERROR(__xludf.DUMMYFUNCTION("""COMPUTED_VALUE"""),"MMS16")</f>
        <v>MMS16</v>
      </c>
      <c r="AL1731" s="3"/>
    </row>
    <row r="1732" ht="15.75" customHeight="1">
      <c r="A1732" s="1" t="str">
        <f>IFERROR(__xludf.DUMMYFUNCTION("""COMPUTED_VALUE"""),"22418")</f>
        <v>22418</v>
      </c>
      <c r="B1732" s="2">
        <f>IFERROR(__xludf.DUMMYFUNCTION("""COMPUTED_VALUE"""),22418.0)</f>
        <v>22418</v>
      </c>
      <c r="C1732" s="3" t="str">
        <f>IFERROR(__xludf.DUMMYFUNCTION("""COMPUTED_VALUE"""),"MBC ชุมชนยะกัง นราธิวาส")</f>
        <v>MBC ชุมชนยะกัง นราธิวาส</v>
      </c>
      <c r="D1732" s="3" t="str">
        <f>IFERROR(__xludf.DUMMYFUNCTION("""COMPUTED_VALUE"""),"BCM CHUMCHON YAKANG")</f>
        <v>BCM CHUMCHON YAKANG</v>
      </c>
      <c r="E1732" s="1" t="str">
        <f>IFERROR(__xludf.DUMMYFUNCTION("""COMPUTED_VALUE"""),"บิ๊กซี MINI")</f>
        <v>บิ๊กซี MINI</v>
      </c>
      <c r="F1732" s="1" t="str">
        <f>IFERROR(__xludf.DUMMYFUNCTION("""COMPUTED_VALUE"""),"250760")</f>
        <v>250760</v>
      </c>
      <c r="G1732" s="1" t="str">
        <f>IFERROR(__xludf.DUMMYFUNCTION("""COMPUTED_VALUE"""),"นายประทวน สาราบรรณ์")</f>
        <v>นายประทวน สาราบรรณ์</v>
      </c>
      <c r="H1732" s="1" t="str">
        <f>IFERROR(__xludf.DUMMYFUNCTION("""COMPUTED_VALUE"""),"006583")</f>
        <v>006583</v>
      </c>
      <c r="I1732" s="1" t="str">
        <f>IFERROR(__xludf.DUMMYFUNCTION("""COMPUTED_VALUE"""),"นายเด่น ยะอิง")</f>
        <v>นายเด่น ยะอิง</v>
      </c>
      <c r="J1732" s="3">
        <f>IFERROR(__xludf.DUMMYFUNCTION("""COMPUTED_VALUE"""),2.0470331E7)</f>
        <v>20470331</v>
      </c>
      <c r="K1732" s="3" t="str">
        <f>IFERROR(__xludf.DUMMYFUNCTION("""COMPUTED_VALUE"""),"นายสมชาย ลักษณะสุวรรณ")</f>
        <v>นายสมชาย ลักษณะสุวรรณ</v>
      </c>
      <c r="L1732" s="1" t="str">
        <f>IFERROR(__xludf.DUMMYFUNCTION("""COMPUTED_VALUE"""),"15 K.Somchai L")</f>
        <v>15 K.Somchai L</v>
      </c>
      <c r="M1732" s="1" t="str">
        <f>IFERROR(__xludf.DUMMYFUNCTION("""COMPUTED_VALUE"""),"0655107372")</f>
        <v>0655107372</v>
      </c>
      <c r="N1732" s="3">
        <f>IFERROR(__xludf.DUMMYFUNCTION("""COMPUTED_VALUE"""),21723.0)</f>
        <v>21723</v>
      </c>
      <c r="O1732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32" s="4">
        <f>IFERROR(__xludf.DUMMYFUNCTION("""COMPUTED_VALUE"""),44543.0)</f>
        <v>44543</v>
      </c>
      <c r="Q1732" s="3" t="str">
        <f>IFERROR(__xludf.DUMMYFUNCTION("""COMPUTED_VALUE"""),"A")</f>
        <v>A</v>
      </c>
      <c r="R1732" s="3" t="str">
        <f>IFERROR(__xludf.DUMMYFUNCTION("""COMPUTED_VALUE"""),"Small Format")</f>
        <v>Small Format</v>
      </c>
      <c r="S1732" s="3" t="str">
        <f>IFERROR(__xludf.DUMMYFUNCTION("""COMPUTED_VALUE"""),"BCM")</f>
        <v>BCM</v>
      </c>
      <c r="T1732" s="3" t="str">
        <f>IFERROR(__xludf.DUMMYFUNCTION("""COMPUTED_VALUE"""),"#N/A")</f>
        <v>#N/A</v>
      </c>
      <c r="U1732" s="3" t="str">
        <f>IFERROR(__xludf.DUMMYFUNCTION("""COMPUTED_VALUE"""),"#N/A")</f>
        <v>#N/A</v>
      </c>
      <c r="V1732" s="3" t="str">
        <f>IFERROR(__xludf.DUMMYFUNCTION("""COMPUTED_VALUE"""),"N")</f>
        <v>N</v>
      </c>
      <c r="W1732" s="3">
        <f>IFERROR(__xludf.DUMMYFUNCTION("""COMPUTED_VALUE"""),210456.0)</f>
        <v>210456</v>
      </c>
      <c r="X1732" s="3" t="str">
        <f>IFERROR(__xludf.DUMMYFUNCTION("""COMPUTED_VALUE"""),"491 ถนนระแงะมรรคา ตำบลบางนาค อำเภอเมืองนราธิวาส จังหวัดนราธิวาส 96000")</f>
        <v>491 ถนนระแงะมรรคา ตำบลบางนาค อำเภอเมืองนราธิวาส จังหวัดนราธิวาส 96000</v>
      </c>
      <c r="Y1732" s="3" t="str">
        <f>IFERROR(__xludf.DUMMYFUNCTION("""COMPUTED_VALUE"""),"ระแงะมรรคา")</f>
        <v>ระแงะมรรคา</v>
      </c>
      <c r="Z1732" s="3" t="str">
        <f>IFERROR(__xludf.DUMMYFUNCTION("""COMPUTED_VALUE"""),"บางนาค")</f>
        <v>บางนาค</v>
      </c>
      <c r="AA1732" s="3" t="str">
        <f>IFERROR(__xludf.DUMMYFUNCTION("""COMPUTED_VALUE"""),"เมือง")</f>
        <v>เมือง</v>
      </c>
      <c r="AB1732" s="3" t="str">
        <f>IFERROR(__xludf.DUMMYFUNCTION("""COMPUTED_VALUE"""),"นราธิวาส")</f>
        <v>นราธิวาส</v>
      </c>
      <c r="AC1732" s="3">
        <f>IFERROR(__xludf.DUMMYFUNCTION("""COMPUTED_VALUE"""),96000.0)</f>
        <v>96000</v>
      </c>
      <c r="AD1732" s="3">
        <f>IFERROR(__xludf.DUMMYFUNCTION("""COMPUTED_VALUE"""),6.406923)</f>
        <v>6.406923</v>
      </c>
      <c r="AE1732" s="3">
        <f>IFERROR(__xludf.DUMMYFUNCTION("""COMPUTED_VALUE"""),101.823191)</f>
        <v>101.823191</v>
      </c>
      <c r="AF1732" s="3" t="str">
        <f>IFERROR(__xludf.DUMMYFUNCTION("""COMPUTED_VALUE"""),"MBC ชุมชนยะกัง นราธิวาส-22418")</f>
        <v>MBC ชุมชนยะกัง นราธิวาส-22418</v>
      </c>
      <c r="AG1732" s="3" t="str">
        <f>IFERROR(__xludf.DUMMYFUNCTION("""COMPUTED_VALUE"""),"ใต้")</f>
        <v>ใต้</v>
      </c>
      <c r="AH1732" s="3" t="str">
        <f>IFERROR(__xludf.DUMMYFUNCTION("""COMPUTED_VALUE"""),"#N/A")</f>
        <v>#N/A</v>
      </c>
      <c r="AI1732" s="3" t="str">
        <f>IFERROR(__xludf.DUMMYFUNCTION("""COMPUTED_VALUE"""),"Out of warranty")</f>
        <v>Out of warranty</v>
      </c>
      <c r="AJ1732" s="3">
        <f>IFERROR(__xludf.DUMMYFUNCTION("""COMPUTED_VALUE"""),50.0)</f>
        <v>50</v>
      </c>
      <c r="AK1732" s="3" t="str">
        <f>IFERROR(__xludf.DUMMYFUNCTION("""COMPUTED_VALUE"""),"MMS16")</f>
        <v>MMS16</v>
      </c>
      <c r="AL1732" s="3"/>
    </row>
    <row r="1733" ht="15.75" customHeight="1">
      <c r="A1733" s="1" t="str">
        <f>IFERROR(__xludf.DUMMYFUNCTION("""COMPUTED_VALUE"""),"22419")</f>
        <v>22419</v>
      </c>
      <c r="B1733" s="2">
        <f>IFERROR(__xludf.DUMMYFUNCTION("""COMPUTED_VALUE"""),22419.0)</f>
        <v>22419</v>
      </c>
      <c r="C1733" s="3" t="str">
        <f>IFERROR(__xludf.DUMMYFUNCTION("""COMPUTED_VALUE"""),"MBC ถ.มาบยางพร48 ชลบุรี")</f>
        <v>MBC ถ.มาบยางพร48 ชลบุรี</v>
      </c>
      <c r="D1733" s="3" t="str">
        <f>IFERROR(__xludf.DUMMYFUNCTION("""COMPUTED_VALUE"""),"BCM THANON MABYANGPORN 48")</f>
        <v>BCM THANON MABYANGPORN 48</v>
      </c>
      <c r="E1733" s="1" t="str">
        <f>IFERROR(__xludf.DUMMYFUNCTION("""COMPUTED_VALUE"""),"บิ๊กซี MINI")</f>
        <v>บิ๊กซี MINI</v>
      </c>
      <c r="F1733" s="1" t="str">
        <f>IFERROR(__xludf.DUMMYFUNCTION("""COMPUTED_VALUE"""),"221716")</f>
        <v>221716</v>
      </c>
      <c r="G1733" s="1" t="str">
        <f>IFERROR(__xludf.DUMMYFUNCTION("""COMPUTED_VALUE"""),"น.ส.เบญจพร โพธิสาร")</f>
        <v>น.ส.เบญจพร โพธิสาร</v>
      </c>
      <c r="H1733" s="1" t="str">
        <f>IFERROR(__xludf.DUMMYFUNCTION("""COMPUTED_VALUE"""),"376139")</f>
        <v>376139</v>
      </c>
      <c r="I1733" s="1" t="str">
        <f>IFERROR(__xludf.DUMMYFUNCTION("""COMPUTED_VALUE"""),"นายอนุชา อำไพ")</f>
        <v>นายอนุชา อำไพ</v>
      </c>
      <c r="J1733" s="3">
        <f>IFERROR(__xludf.DUMMYFUNCTION("""COMPUTED_VALUE"""),296942.0)</f>
        <v>296942</v>
      </c>
      <c r="K1733" s="3" t="str">
        <f>IFERROR(__xludf.DUMMYFUNCTION("""COMPUTED_VALUE"""),"นายปิยะ รักษากิจ")</f>
        <v>นายปิยะ รักษากิจ</v>
      </c>
      <c r="L1733" s="1" t="str">
        <f>IFERROR(__xludf.DUMMYFUNCTION("""COMPUTED_VALUE"""),"07 K.Piya R.")</f>
        <v>07 K.Piya R.</v>
      </c>
      <c r="M1733" s="1" t="str">
        <f>IFERROR(__xludf.DUMMYFUNCTION("""COMPUTED_VALUE"""),"097-919-5476")</f>
        <v>097-919-5476</v>
      </c>
      <c r="N1733" s="3">
        <f>IFERROR(__xludf.DUMMYFUNCTION("""COMPUTED_VALUE"""),21332.0)</f>
        <v>21332</v>
      </c>
      <c r="O1733" s="3" t="str">
        <f>IFERROR(__xludf.DUMMYFUNCTION("""COMPUTED_VALUE"""),"MBC BCP อ่อนนุช 17/1")</f>
        <v>MBC BCP อ่อนนุช 17/1</v>
      </c>
      <c r="P1733" s="4">
        <f>IFERROR(__xludf.DUMMYFUNCTION("""COMPUTED_VALUE"""),44544.0)</f>
        <v>44544</v>
      </c>
      <c r="Q1733" s="3" t="str">
        <f>IFERROR(__xludf.DUMMYFUNCTION("""COMPUTED_VALUE"""),"A")</f>
        <v>A</v>
      </c>
      <c r="R1733" s="3" t="str">
        <f>IFERROR(__xludf.DUMMYFUNCTION("""COMPUTED_VALUE"""),"Small Format")</f>
        <v>Small Format</v>
      </c>
      <c r="S1733" s="3" t="str">
        <f>IFERROR(__xludf.DUMMYFUNCTION("""COMPUTED_VALUE"""),"BCM")</f>
        <v>BCM</v>
      </c>
      <c r="T1733" s="3" t="str">
        <f>IFERROR(__xludf.DUMMYFUNCTION("""COMPUTED_VALUE"""),"#N/A")</f>
        <v>#N/A</v>
      </c>
      <c r="U1733" s="3" t="str">
        <f>IFERROR(__xludf.DUMMYFUNCTION("""COMPUTED_VALUE"""),"#N/A")</f>
        <v>#N/A</v>
      </c>
      <c r="V1733" s="3" t="str">
        <f>IFERROR(__xludf.DUMMYFUNCTION("""COMPUTED_VALUE"""),"N")</f>
        <v>N</v>
      </c>
      <c r="W1733" s="3">
        <f>IFERROR(__xludf.DUMMYFUNCTION("""COMPUTED_VALUE"""),210418.0)</f>
        <v>210418</v>
      </c>
      <c r="X1733" s="3" t="str">
        <f>IFERROR(__xludf.DUMMYFUNCTION("""COMPUTED_VALUE"""),"277/6 หมู่3 ตำบลบ่อวิน อำเภอศรีราชา จังหวัดชลบุรี 20230")</f>
        <v>277/6 หมู่3 ตำบลบ่อวิน อำเภอศรีราชา จังหวัดชลบุรี 20230</v>
      </c>
      <c r="Y1733" s="3"/>
      <c r="Z1733" s="3" t="str">
        <f>IFERROR(__xludf.DUMMYFUNCTION("""COMPUTED_VALUE"""),"บ่อวิน")</f>
        <v>บ่อวิน</v>
      </c>
      <c r="AA1733" s="3" t="str">
        <f>IFERROR(__xludf.DUMMYFUNCTION("""COMPUTED_VALUE"""),"ศรีราชา")</f>
        <v>ศรีราชา</v>
      </c>
      <c r="AB1733" s="3" t="str">
        <f>IFERROR(__xludf.DUMMYFUNCTION("""COMPUTED_VALUE"""),"ชลบุรี")</f>
        <v>ชลบุรี</v>
      </c>
      <c r="AC1733" s="3">
        <f>IFERROR(__xludf.DUMMYFUNCTION("""COMPUTED_VALUE"""),20230.0)</f>
        <v>20230</v>
      </c>
      <c r="AD1733" s="3">
        <f>IFERROR(__xludf.DUMMYFUNCTION("""COMPUTED_VALUE"""),13.033913)</f>
        <v>13.033913</v>
      </c>
      <c r="AE1733" s="3">
        <f>IFERROR(__xludf.DUMMYFUNCTION("""COMPUTED_VALUE"""),101.115316)</f>
        <v>101.115316</v>
      </c>
      <c r="AF1733" s="3" t="str">
        <f>IFERROR(__xludf.DUMMYFUNCTION("""COMPUTED_VALUE"""),"MBC ถ.มาบยางพร48 ชลบุรี-22419")</f>
        <v>MBC ถ.มาบยางพร48 ชลบุรี-22419</v>
      </c>
      <c r="AG1733" s="3" t="str">
        <f>IFERROR(__xludf.DUMMYFUNCTION("""COMPUTED_VALUE"""),"ตะวันออก")</f>
        <v>ตะวันออก</v>
      </c>
      <c r="AH1733" s="3" t="str">
        <f>IFERROR(__xludf.DUMMYFUNCTION("""COMPUTED_VALUE"""),"#N/A")</f>
        <v>#N/A</v>
      </c>
      <c r="AI1733" s="3" t="str">
        <f>IFERROR(__xludf.DUMMYFUNCTION("""COMPUTED_VALUE"""),"Out of warranty")</f>
        <v>Out of warranty</v>
      </c>
      <c r="AJ1733" s="3">
        <f>IFERROR(__xludf.DUMMYFUNCTION("""COMPUTED_VALUE"""),50.0)</f>
        <v>50</v>
      </c>
      <c r="AK1733" s="3" t="str">
        <f>IFERROR(__xludf.DUMMYFUNCTION("""COMPUTED_VALUE"""),"MMS07")</f>
        <v>MMS07</v>
      </c>
      <c r="AL1733" s="3"/>
    </row>
    <row r="1734" ht="15.75" customHeight="1">
      <c r="A1734" s="1" t="str">
        <f>IFERROR(__xludf.DUMMYFUNCTION("""COMPUTED_VALUE"""),"22420")</f>
        <v>22420</v>
      </c>
      <c r="B1734" s="2">
        <f>IFERROR(__xludf.DUMMYFUNCTION("""COMPUTED_VALUE"""),22420.0)</f>
        <v>22420</v>
      </c>
      <c r="C1734" s="3" t="str">
        <f>IFERROR(__xludf.DUMMYFUNCTION("""COMPUTED_VALUE"""),"MBC กรือเซะ ปัตตานี")</f>
        <v>MBC กรือเซะ ปัตตานี</v>
      </c>
      <c r="D1734" s="3" t="str">
        <f>IFERROR(__xludf.DUMMYFUNCTION("""COMPUTED_VALUE"""),"BCM KRU SE")</f>
        <v>BCM KRU SE</v>
      </c>
      <c r="E1734" s="1" t="str">
        <f>IFERROR(__xludf.DUMMYFUNCTION("""COMPUTED_VALUE"""),"บิ๊กซี MINI")</f>
        <v>บิ๊กซี MINI</v>
      </c>
      <c r="F1734" s="1" t="str">
        <f>IFERROR(__xludf.DUMMYFUNCTION("""COMPUTED_VALUE"""),"250760")</f>
        <v>250760</v>
      </c>
      <c r="G1734" s="1" t="str">
        <f>IFERROR(__xludf.DUMMYFUNCTION("""COMPUTED_VALUE"""),"นายประทวน สาราบรรณ์")</f>
        <v>นายประทวน สาราบรรณ์</v>
      </c>
      <c r="H1734" s="1" t="str">
        <f>IFERROR(__xludf.DUMMYFUNCTION("""COMPUTED_VALUE"""),"485279")</f>
        <v>485279</v>
      </c>
      <c r="I1734" s="1" t="str">
        <f>IFERROR(__xludf.DUMMYFUNCTION("""COMPUTED_VALUE"""),"นายสิริพงศ์ ชูชื่น")</f>
        <v>นายสิริพงศ์ ชูชื่น</v>
      </c>
      <c r="J1734" s="3">
        <f>IFERROR(__xludf.DUMMYFUNCTION("""COMPUTED_VALUE"""),2.0470331E7)</f>
        <v>20470331</v>
      </c>
      <c r="K1734" s="3" t="str">
        <f>IFERROR(__xludf.DUMMYFUNCTION("""COMPUTED_VALUE"""),"นายสมชาย ลักษณะสุวรรณ")</f>
        <v>นายสมชาย ลักษณะสุวรรณ</v>
      </c>
      <c r="L1734" s="1" t="str">
        <f>IFERROR(__xludf.DUMMYFUNCTION("""COMPUTED_VALUE"""),"15 K.Somchai L")</f>
        <v>15 K.Somchai L</v>
      </c>
      <c r="M1734" s="1" t="str">
        <f>IFERROR(__xludf.DUMMYFUNCTION("""COMPUTED_VALUE"""),"0655107372")</f>
        <v>0655107372</v>
      </c>
      <c r="N1734" s="3">
        <f>IFERROR(__xludf.DUMMYFUNCTION("""COMPUTED_VALUE"""),21723.0)</f>
        <v>21723</v>
      </c>
      <c r="O1734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34" s="4">
        <f>IFERROR(__xludf.DUMMYFUNCTION("""COMPUTED_VALUE"""),44574.0)</f>
        <v>44574</v>
      </c>
      <c r="Q1734" s="3" t="str">
        <f>IFERROR(__xludf.DUMMYFUNCTION("""COMPUTED_VALUE"""),"A")</f>
        <v>A</v>
      </c>
      <c r="R1734" s="3" t="str">
        <f>IFERROR(__xludf.DUMMYFUNCTION("""COMPUTED_VALUE"""),"Small Format")</f>
        <v>Small Format</v>
      </c>
      <c r="S1734" s="3" t="str">
        <f>IFERROR(__xludf.DUMMYFUNCTION("""COMPUTED_VALUE"""),"BCM")</f>
        <v>BCM</v>
      </c>
      <c r="T1734" s="3" t="str">
        <f>IFERROR(__xludf.DUMMYFUNCTION("""COMPUTED_VALUE"""),"#N/A")</f>
        <v>#N/A</v>
      </c>
      <c r="U1734" s="3" t="str">
        <f>IFERROR(__xludf.DUMMYFUNCTION("""COMPUTED_VALUE"""),"#N/A")</f>
        <v>#N/A</v>
      </c>
      <c r="V1734" s="3" t="str">
        <f>IFERROR(__xludf.DUMMYFUNCTION("""COMPUTED_VALUE"""),"N")</f>
        <v>N</v>
      </c>
      <c r="W1734" s="3">
        <f>IFERROR(__xludf.DUMMYFUNCTION("""COMPUTED_VALUE"""),210465.0)</f>
        <v>210465</v>
      </c>
      <c r="X1734" s="3" t="str">
        <f>IFERROR(__xludf.DUMMYFUNCTION("""COMPUTED_VALUE"""),"81/5 หมู่2 ตำบลบานา อำเภอเมืองปัตตานี จัดหวัดปัตตานี 94000")</f>
        <v>81/5 หมู่2 ตำบลบานา อำเภอเมืองปัตตานี จัดหวัดปัตตานี 94000</v>
      </c>
      <c r="Y1734" s="3"/>
      <c r="Z1734" s="3" t="str">
        <f>IFERROR(__xludf.DUMMYFUNCTION("""COMPUTED_VALUE"""),"บานา")</f>
        <v>บานา</v>
      </c>
      <c r="AA1734" s="3" t="str">
        <f>IFERROR(__xludf.DUMMYFUNCTION("""COMPUTED_VALUE"""),"เมืองปัตตานี")</f>
        <v>เมืองปัตตานี</v>
      </c>
      <c r="AB1734" s="3" t="str">
        <f>IFERROR(__xludf.DUMMYFUNCTION("""COMPUTED_VALUE"""),"ปัตตานี")</f>
        <v>ปัตตานี</v>
      </c>
      <c r="AC1734" s="3">
        <f>IFERROR(__xludf.DUMMYFUNCTION("""COMPUTED_VALUE"""),94000.0)</f>
        <v>94000</v>
      </c>
      <c r="AD1734" s="3">
        <f>IFERROR(__xludf.DUMMYFUNCTION("""COMPUTED_VALUE"""),6.872354)</f>
        <v>6.872354</v>
      </c>
      <c r="AE1734" s="3">
        <f>IFERROR(__xludf.DUMMYFUNCTION("""COMPUTED_VALUE"""),101.291501)</f>
        <v>101.291501</v>
      </c>
      <c r="AF1734" s="3" t="str">
        <f>IFERROR(__xludf.DUMMYFUNCTION("""COMPUTED_VALUE"""),"MBC กรือเซะ ปัตตานี-22420")</f>
        <v>MBC กรือเซะ ปัตตานี-22420</v>
      </c>
      <c r="AG1734" s="3" t="str">
        <f>IFERROR(__xludf.DUMMYFUNCTION("""COMPUTED_VALUE"""),"ใต้")</f>
        <v>ใต้</v>
      </c>
      <c r="AH1734" s="3" t="str">
        <f>IFERROR(__xludf.DUMMYFUNCTION("""COMPUTED_VALUE"""),"#N/A")</f>
        <v>#N/A</v>
      </c>
      <c r="AI1734" s="3" t="str">
        <f>IFERROR(__xludf.DUMMYFUNCTION("""COMPUTED_VALUE"""),"Out of warranty")</f>
        <v>Out of warranty</v>
      </c>
      <c r="AJ1734" s="3">
        <f>IFERROR(__xludf.DUMMYFUNCTION("""COMPUTED_VALUE"""),49.0)</f>
        <v>49</v>
      </c>
      <c r="AK1734" s="3" t="str">
        <f>IFERROR(__xludf.DUMMYFUNCTION("""COMPUTED_VALUE"""),"MMS16")</f>
        <v>MMS16</v>
      </c>
      <c r="AL1734" s="3"/>
    </row>
    <row r="1735" ht="15.75" customHeight="1">
      <c r="A1735" s="1" t="str">
        <f>IFERROR(__xludf.DUMMYFUNCTION("""COMPUTED_VALUE"""),"22421")</f>
        <v>22421</v>
      </c>
      <c r="B1735" s="2">
        <f>IFERROR(__xludf.DUMMYFUNCTION("""COMPUTED_VALUE"""),22421.0)</f>
        <v>22421</v>
      </c>
      <c r="C1735" s="3" t="str">
        <f>IFERROR(__xludf.DUMMYFUNCTION("""COMPUTED_VALUE"""),"MBC ห้วยเม็ก กาฬสินธุ์")</f>
        <v>MBC ห้วยเม็ก กาฬสินธุ์</v>
      </c>
      <c r="D1735" s="3" t="str">
        <f>IFERROR(__xludf.DUMMYFUNCTION("""COMPUTED_VALUE"""),"BCM HUAY MAEK")</f>
        <v>BCM HUAY MAEK</v>
      </c>
      <c r="E1735" s="1" t="str">
        <f>IFERROR(__xludf.DUMMYFUNCTION("""COMPUTED_VALUE"""),"บิ๊กซี MINI")</f>
        <v>บิ๊กซี MINI</v>
      </c>
      <c r="F1735" s="1" t="str">
        <f>IFERROR(__xludf.DUMMYFUNCTION("""COMPUTED_VALUE"""),"291105")</f>
        <v>291105</v>
      </c>
      <c r="G1735" s="1" t="str">
        <f>IFERROR(__xludf.DUMMYFUNCTION("""COMPUTED_VALUE"""),"นายสราวุฒิ พณิชยกุล")</f>
        <v>นายสราวุฒิ พณิชยกุล</v>
      </c>
      <c r="H1735" s="1" t="str">
        <f>IFERROR(__xludf.DUMMYFUNCTION("""COMPUTED_VALUE"""),"305119")</f>
        <v>305119</v>
      </c>
      <c r="I1735" s="1" t="str">
        <f>IFERROR(__xludf.DUMMYFUNCTION("""COMPUTED_VALUE"""),"นายไชยกร ลีพิบูลย์สวัสดิ์")</f>
        <v>นายไชยกร ลีพิบูลย์สวัสดิ์</v>
      </c>
      <c r="J1735" s="3">
        <f>IFERROR(__xludf.DUMMYFUNCTION("""COMPUTED_VALUE"""),295886.0)</f>
        <v>295886</v>
      </c>
      <c r="K1735" s="3" t="str">
        <f>IFERROR(__xludf.DUMMYFUNCTION("""COMPUTED_VALUE"""),"นายจิระพงษ์ โพธิ์นิล")</f>
        <v>นายจิระพงษ์ โพธิ์นิล</v>
      </c>
      <c r="L1735" s="1" t="str">
        <f>IFERROR(__xludf.DUMMYFUNCTION("""COMPUTED_VALUE"""),"นายจิระพงษ์ โพธิ์นิล")</f>
        <v>นายจิระพงษ์ โพธิ์นิล</v>
      </c>
      <c r="M1735" s="1" t="str">
        <f>IFERROR(__xludf.DUMMYFUNCTION("""COMPUTED_VALUE"""),"0933290754")</f>
        <v>0933290754</v>
      </c>
      <c r="N1735" s="3">
        <f>IFERROR(__xludf.DUMMYFUNCTION("""COMPUTED_VALUE"""),21622.0)</f>
        <v>21622</v>
      </c>
      <c r="O1735" s="3" t="str">
        <f>IFERROR(__xludf.DUMMYFUNCTION("""COMPUTED_VALUE"""),"MBC ตลาดบ้านดอน")</f>
        <v>MBC ตลาดบ้านดอน</v>
      </c>
      <c r="P1735" s="4">
        <f>IFERROR(__xludf.DUMMYFUNCTION("""COMPUTED_VALUE"""),44541.0)</f>
        <v>44541</v>
      </c>
      <c r="Q1735" s="3" t="str">
        <f>IFERROR(__xludf.DUMMYFUNCTION("""COMPUTED_VALUE"""),"I")</f>
        <v>I</v>
      </c>
      <c r="R1735" s="3" t="str">
        <f>IFERROR(__xludf.DUMMYFUNCTION("""COMPUTED_VALUE"""),"Small Format")</f>
        <v>Small Format</v>
      </c>
      <c r="S1735" s="3" t="str">
        <f>IFERROR(__xludf.DUMMYFUNCTION("""COMPUTED_VALUE"""),"BCM")</f>
        <v>BCM</v>
      </c>
      <c r="T1735" s="3" t="str">
        <f>IFERROR(__xludf.DUMMYFUNCTION("""COMPUTED_VALUE"""),"#N/A")</f>
        <v>#N/A</v>
      </c>
      <c r="U1735" s="3" t="str">
        <f>IFERROR(__xludf.DUMMYFUNCTION("""COMPUTED_VALUE"""),"#N/A")</f>
        <v>#N/A</v>
      </c>
      <c r="V1735" s="3" t="str">
        <f>IFERROR(__xludf.DUMMYFUNCTION("""COMPUTED_VALUE"""),"N")</f>
        <v>N</v>
      </c>
      <c r="W1735" s="3">
        <f>IFERROR(__xludf.DUMMYFUNCTION("""COMPUTED_VALUE"""),210480.0)</f>
        <v>210480</v>
      </c>
      <c r="X1735" s="3" t="str">
        <f>IFERROR(__xludf.DUMMYFUNCTION("""COMPUTED_VALUE"""),"25 หมู่15 ตำบลห้วยเม็ก อำเภอห้วยเม็ก จังหวัดกาฬสินธุ์ 46170")</f>
        <v>25 หมู่15 ตำบลห้วยเม็ก อำเภอห้วยเม็ก จังหวัดกาฬสินธุ์ 46170</v>
      </c>
      <c r="Y1735" s="3"/>
      <c r="Z1735" s="3" t="str">
        <f>IFERROR(__xludf.DUMMYFUNCTION("""COMPUTED_VALUE"""),"ห้วยเม็ก")</f>
        <v>ห้วยเม็ก</v>
      </c>
      <c r="AA1735" s="3" t="str">
        <f>IFERROR(__xludf.DUMMYFUNCTION("""COMPUTED_VALUE"""),"ห้วยเม็ก")</f>
        <v>ห้วยเม็ก</v>
      </c>
      <c r="AB1735" s="3" t="str">
        <f>IFERROR(__xludf.DUMMYFUNCTION("""COMPUTED_VALUE"""),"กาฬสินธุ์")</f>
        <v>กาฬสินธุ์</v>
      </c>
      <c r="AC1735" s="3">
        <f>IFERROR(__xludf.DUMMYFUNCTION("""COMPUTED_VALUE"""),46170.0)</f>
        <v>46170</v>
      </c>
      <c r="AD1735" s="3">
        <f>IFERROR(__xludf.DUMMYFUNCTION("""COMPUTED_VALUE"""),16.588282)</f>
        <v>16.588282</v>
      </c>
      <c r="AE1735" s="3">
        <f>IFERROR(__xludf.DUMMYFUNCTION("""COMPUTED_VALUE"""),103.236356)</f>
        <v>103.236356</v>
      </c>
      <c r="AF1735" s="3" t="str">
        <f>IFERROR(__xludf.DUMMYFUNCTION("""COMPUTED_VALUE"""),"MBC ห้วยเม็ก กาฬสินธุ์-22421")</f>
        <v>MBC ห้วยเม็ก กาฬสินธุ์-22421</v>
      </c>
      <c r="AG1735" s="3" t="str">
        <f>IFERROR(__xludf.DUMMYFUNCTION("""COMPUTED_VALUE"""),"ตะวันออกเฉียงเหนือ")</f>
        <v>ตะวันออกเฉียงเหนือ</v>
      </c>
      <c r="AH1735" s="3" t="str">
        <f>IFERROR(__xludf.DUMMYFUNCTION("""COMPUTED_VALUE"""),"#N/A")</f>
        <v>#N/A</v>
      </c>
      <c r="AI1735" s="3" t="str">
        <f>IFERROR(__xludf.DUMMYFUNCTION("""COMPUTED_VALUE"""),"Out of warranty")</f>
        <v>Out of warranty</v>
      </c>
      <c r="AJ1735" s="3">
        <f>IFERROR(__xludf.DUMMYFUNCTION("""COMPUTED_VALUE"""),50.0)</f>
        <v>50</v>
      </c>
      <c r="AK1735" s="3" t="str">
        <f>IFERROR(__xludf.DUMMYFUNCTION("""COMPUTED_VALUE"""),"MMS12")</f>
        <v>MMS12</v>
      </c>
      <c r="AL1735" s="3"/>
    </row>
    <row r="1736" ht="15.75" customHeight="1">
      <c r="A1736" s="1" t="str">
        <f>IFERROR(__xludf.DUMMYFUNCTION("""COMPUTED_VALUE"""),"22422")</f>
        <v>22422</v>
      </c>
      <c r="B1736" s="2">
        <f>IFERROR(__xludf.DUMMYFUNCTION("""COMPUTED_VALUE"""),22422.0)</f>
        <v>22422</v>
      </c>
      <c r="C1736" s="3" t="str">
        <f>IFERROR(__xludf.DUMMYFUNCTION("""COMPUTED_VALUE"""),"MBC ศรีสงคราม นครพนม")</f>
        <v>MBC ศรีสงคราม นครพนม</v>
      </c>
      <c r="D1736" s="3" t="str">
        <f>IFERROR(__xludf.DUMMYFUNCTION("""COMPUTED_VALUE"""),"BCM SRI SONGKHRAM")</f>
        <v>BCM SRI SONGKHRAM</v>
      </c>
      <c r="E1736" s="1" t="str">
        <f>IFERROR(__xludf.DUMMYFUNCTION("""COMPUTED_VALUE"""),"บิ๊กซี MINI")</f>
        <v>บิ๊กซี MINI</v>
      </c>
      <c r="F1736" s="1" t="str">
        <f>IFERROR(__xludf.DUMMYFUNCTION("""COMPUTED_VALUE"""),"291105")</f>
        <v>291105</v>
      </c>
      <c r="G1736" s="1" t="str">
        <f>IFERROR(__xludf.DUMMYFUNCTION("""COMPUTED_VALUE"""),"นายสราวุฒิ พณิชยกุล")</f>
        <v>นายสราวุฒิ พณิชยกุล</v>
      </c>
      <c r="H1736" s="1" t="str">
        <f>IFERROR(__xludf.DUMMYFUNCTION("""COMPUTED_VALUE"""),"392885")</f>
        <v>392885</v>
      </c>
      <c r="I1736" s="1" t="str">
        <f>IFERROR(__xludf.DUMMYFUNCTION("""COMPUTED_VALUE"""),"น.ส.วราพร จันปลิว")</f>
        <v>น.ส.วราพร จันปลิว</v>
      </c>
      <c r="J1736" s="3">
        <f>IFERROR(__xludf.DUMMYFUNCTION("""COMPUTED_VALUE"""),296868.0)</f>
        <v>296868</v>
      </c>
      <c r="K1736" s="3" t="str">
        <f>IFERROR(__xludf.DUMMYFUNCTION("""COMPUTED_VALUE"""),"นายพีระพงษ์ แก้วดวงดี")</f>
        <v>นายพีระพงษ์ แก้วดวงดี</v>
      </c>
      <c r="L1736" s="1" t="str">
        <f>IFERROR(__xludf.DUMMYFUNCTION("""COMPUTED_VALUE"""),"03 K.Peerapong K.")</f>
        <v>03 K.Peerapong K.</v>
      </c>
      <c r="M1736" s="1" t="str">
        <f>IFERROR(__xludf.DUMMYFUNCTION("""COMPUTED_VALUE"""),"089-002-6599")</f>
        <v>089-002-6599</v>
      </c>
      <c r="N1736" s="3">
        <f>IFERROR(__xludf.DUMMYFUNCTION("""COMPUTED_VALUE"""),21946.0)</f>
        <v>21946</v>
      </c>
      <c r="O1736" s="3" t="str">
        <f>IFERROR(__xludf.DUMMYFUNCTION("""COMPUTED_VALUE"""),"MBC เซกา บึงกาฬ")</f>
        <v>MBC เซกา บึงกาฬ</v>
      </c>
      <c r="P1736" s="4">
        <f>IFERROR(__xludf.DUMMYFUNCTION("""COMPUTED_VALUE"""),44547.0)</f>
        <v>44547</v>
      </c>
      <c r="Q1736" s="3" t="str">
        <f>IFERROR(__xludf.DUMMYFUNCTION("""COMPUTED_VALUE"""),"A")</f>
        <v>A</v>
      </c>
      <c r="R1736" s="3" t="str">
        <f>IFERROR(__xludf.DUMMYFUNCTION("""COMPUTED_VALUE"""),"Small Format")</f>
        <v>Small Format</v>
      </c>
      <c r="S1736" s="3" t="str">
        <f>IFERROR(__xludf.DUMMYFUNCTION("""COMPUTED_VALUE"""),"BCM")</f>
        <v>BCM</v>
      </c>
      <c r="T1736" s="3" t="str">
        <f>IFERROR(__xludf.DUMMYFUNCTION("""COMPUTED_VALUE"""),"#N/A")</f>
        <v>#N/A</v>
      </c>
      <c r="U1736" s="3" t="str">
        <f>IFERROR(__xludf.DUMMYFUNCTION("""COMPUTED_VALUE"""),"#N/A")</f>
        <v>#N/A</v>
      </c>
      <c r="V1736" s="3" t="str">
        <f>IFERROR(__xludf.DUMMYFUNCTION("""COMPUTED_VALUE"""),"N")</f>
        <v>N</v>
      </c>
      <c r="W1736" s="3">
        <f>IFERROR(__xludf.DUMMYFUNCTION("""COMPUTED_VALUE"""),210459.0)</f>
        <v>210459</v>
      </c>
      <c r="X1736" s="3" t="str">
        <f>IFERROR(__xludf.DUMMYFUNCTION("""COMPUTED_VALUE"""),"83 หมู่1 ตำบลศรีสงคราม อำเภอศรีสงคราม จังหวัดนครพนม 48150")</f>
        <v>83 หมู่1 ตำบลศรีสงคราม อำเภอศรีสงคราม จังหวัดนครพนม 48150</v>
      </c>
      <c r="Y1736" s="3"/>
      <c r="Z1736" s="3" t="str">
        <f>IFERROR(__xludf.DUMMYFUNCTION("""COMPUTED_VALUE"""),"ศรีสงคราม")</f>
        <v>ศรีสงคราม</v>
      </c>
      <c r="AA1736" s="3" t="str">
        <f>IFERROR(__xludf.DUMMYFUNCTION("""COMPUTED_VALUE"""),"ศรีสงคราม")</f>
        <v>ศรีสงคราม</v>
      </c>
      <c r="AB1736" s="3" t="str">
        <f>IFERROR(__xludf.DUMMYFUNCTION("""COMPUTED_VALUE"""),"นครพนม")</f>
        <v>นครพนม</v>
      </c>
      <c r="AC1736" s="3">
        <f>IFERROR(__xludf.DUMMYFUNCTION("""COMPUTED_VALUE"""),48150.0)</f>
        <v>48150</v>
      </c>
      <c r="AD1736" s="3">
        <f>IFERROR(__xludf.DUMMYFUNCTION("""COMPUTED_VALUE"""),17.629479)</f>
        <v>17.629479</v>
      </c>
      <c r="AE1736" s="3">
        <f>IFERROR(__xludf.DUMMYFUNCTION("""COMPUTED_VALUE"""),104.24866)</f>
        <v>104.24866</v>
      </c>
      <c r="AF1736" s="3" t="str">
        <f>IFERROR(__xludf.DUMMYFUNCTION("""COMPUTED_VALUE"""),"MBC ศรีสงคราม นครพนม-22422")</f>
        <v>MBC ศรีสงคราม นครพนม-22422</v>
      </c>
      <c r="AG1736" s="3" t="str">
        <f>IFERROR(__xludf.DUMMYFUNCTION("""COMPUTED_VALUE"""),"ตะวันออกเฉียงเหนือ")</f>
        <v>ตะวันออกเฉียงเหนือ</v>
      </c>
      <c r="AH1736" s="3" t="str">
        <f>IFERROR(__xludf.DUMMYFUNCTION("""COMPUTED_VALUE"""),"#N/A")</f>
        <v>#N/A</v>
      </c>
      <c r="AI1736" s="3" t="str">
        <f>IFERROR(__xludf.DUMMYFUNCTION("""COMPUTED_VALUE"""),"Out of warranty")</f>
        <v>Out of warranty</v>
      </c>
      <c r="AJ1736" s="3">
        <f>IFERROR(__xludf.DUMMYFUNCTION("""COMPUTED_VALUE"""),50.0)</f>
        <v>50</v>
      </c>
      <c r="AK1736" s="3" t="str">
        <f>IFERROR(__xludf.DUMMYFUNCTION("""COMPUTED_VALUE"""),"MMS12")</f>
        <v>MMS12</v>
      </c>
      <c r="AL1736" s="3"/>
    </row>
    <row r="1737" ht="15.75" customHeight="1">
      <c r="A1737" s="1" t="str">
        <f>IFERROR(__xludf.DUMMYFUNCTION("""COMPUTED_VALUE"""),"22423")</f>
        <v>22423</v>
      </c>
      <c r="B1737" s="2">
        <f>IFERROR(__xludf.DUMMYFUNCTION("""COMPUTED_VALUE"""),22423.0)</f>
        <v>22423</v>
      </c>
      <c r="C1737" s="3" t="str">
        <f>IFERROR(__xludf.DUMMYFUNCTION("""COMPUTED_VALUE"""),"MBC กรีนมาร์เก็ต (มอ.ปัตตานี) ปัตตานี")</f>
        <v>MBC กรีนมาร์เก็ต (มอ.ปัตตานี) ปัตตานี</v>
      </c>
      <c r="D1737" s="3" t="str">
        <f>IFERROR(__xludf.DUMMYFUNCTION("""COMPUTED_VALUE"""),"BCM GREEN MARKET")</f>
        <v>BCM GREEN MARKET</v>
      </c>
      <c r="E1737" s="1" t="str">
        <f>IFERROR(__xludf.DUMMYFUNCTION("""COMPUTED_VALUE"""),"บิ๊กซี MINI")</f>
        <v>บิ๊กซี MINI</v>
      </c>
      <c r="F1737" s="1" t="str">
        <f>IFERROR(__xludf.DUMMYFUNCTION("""COMPUTED_VALUE"""),"250760")</f>
        <v>250760</v>
      </c>
      <c r="G1737" s="1" t="str">
        <f>IFERROR(__xludf.DUMMYFUNCTION("""COMPUTED_VALUE"""),"นายประทวน สาราบรรณ์")</f>
        <v>นายประทวน สาราบรรณ์</v>
      </c>
      <c r="H1737" s="1" t="str">
        <f>IFERROR(__xludf.DUMMYFUNCTION("""COMPUTED_VALUE"""),"394185")</f>
        <v>394185</v>
      </c>
      <c r="I1737" s="1" t="str">
        <f>IFERROR(__xludf.DUMMYFUNCTION("""COMPUTED_VALUE"""),"น.ส.ฐาปนี สุวรรณรัตน์")</f>
        <v>น.ส.ฐาปนี สุวรรณรัตน์</v>
      </c>
      <c r="J1737" s="3">
        <f>IFERROR(__xludf.DUMMYFUNCTION("""COMPUTED_VALUE"""),2.0470331E7)</f>
        <v>20470331</v>
      </c>
      <c r="K1737" s="3" t="str">
        <f>IFERROR(__xludf.DUMMYFUNCTION("""COMPUTED_VALUE"""),"นายสมชาย ลักษณะสุวรรณ")</f>
        <v>นายสมชาย ลักษณะสุวรรณ</v>
      </c>
      <c r="L1737" s="1" t="str">
        <f>IFERROR(__xludf.DUMMYFUNCTION("""COMPUTED_VALUE"""),"15 K.Somchai L")</f>
        <v>15 K.Somchai L</v>
      </c>
      <c r="M1737" s="1" t="str">
        <f>IFERROR(__xludf.DUMMYFUNCTION("""COMPUTED_VALUE"""),"0655107372")</f>
        <v>0655107372</v>
      </c>
      <c r="N1737" s="3">
        <f>IFERROR(__xludf.DUMMYFUNCTION("""COMPUTED_VALUE"""),21723.0)</f>
        <v>21723</v>
      </c>
      <c r="O1737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37" s="4">
        <f>IFERROR(__xludf.DUMMYFUNCTION("""COMPUTED_VALUE"""),44551.0)</f>
        <v>44551</v>
      </c>
      <c r="Q1737" s="3" t="str">
        <f>IFERROR(__xludf.DUMMYFUNCTION("""COMPUTED_VALUE"""),"A")</f>
        <v>A</v>
      </c>
      <c r="R1737" s="3" t="str">
        <f>IFERROR(__xludf.DUMMYFUNCTION("""COMPUTED_VALUE"""),"Small Format")</f>
        <v>Small Format</v>
      </c>
      <c r="S1737" s="3" t="str">
        <f>IFERROR(__xludf.DUMMYFUNCTION("""COMPUTED_VALUE"""),"BCM")</f>
        <v>BCM</v>
      </c>
      <c r="T1737" s="3" t="str">
        <f>IFERROR(__xludf.DUMMYFUNCTION("""COMPUTED_VALUE"""),"#N/A")</f>
        <v>#N/A</v>
      </c>
      <c r="U1737" s="3" t="str">
        <f>IFERROR(__xludf.DUMMYFUNCTION("""COMPUTED_VALUE"""),"#N/A")</f>
        <v>#N/A</v>
      </c>
      <c r="V1737" s="3" t="str">
        <f>IFERROR(__xludf.DUMMYFUNCTION("""COMPUTED_VALUE"""),"N")</f>
        <v>N</v>
      </c>
      <c r="W1737" s="3">
        <f>IFERROR(__xludf.DUMMYFUNCTION("""COMPUTED_VALUE"""),210477.0)</f>
        <v>210477</v>
      </c>
      <c r="X1737" s="3" t="str">
        <f>IFERROR(__xludf.DUMMYFUNCTION("""COMPUTED_VALUE"""),"17/37 หมู่1 ตำบลรูสะมิแล อำเภอเมืองปัตตานี จังหวัดปัตตานี 94000")</f>
        <v>17/37 หมู่1 ตำบลรูสะมิแล อำเภอเมืองปัตตานี จังหวัดปัตตานี 94000</v>
      </c>
      <c r="Y1737" s="3"/>
      <c r="Z1737" s="3" t="str">
        <f>IFERROR(__xludf.DUMMYFUNCTION("""COMPUTED_VALUE"""),"รูสะมิแล")</f>
        <v>รูสะมิแล</v>
      </c>
      <c r="AA1737" s="3" t="str">
        <f>IFERROR(__xludf.DUMMYFUNCTION("""COMPUTED_VALUE"""),"เมืองปัตตานี")</f>
        <v>เมืองปัตตานี</v>
      </c>
      <c r="AB1737" s="3" t="str">
        <f>IFERROR(__xludf.DUMMYFUNCTION("""COMPUTED_VALUE"""),"ปัตตานี")</f>
        <v>ปัตตานี</v>
      </c>
      <c r="AC1737" s="3">
        <f>IFERROR(__xludf.DUMMYFUNCTION("""COMPUTED_VALUE"""),94000.0)</f>
        <v>94000</v>
      </c>
      <c r="AD1737" s="3">
        <f>IFERROR(__xludf.DUMMYFUNCTION("""COMPUTED_VALUE"""),6.876634)</f>
        <v>6.876634</v>
      </c>
      <c r="AE1737" s="3">
        <f>IFERROR(__xludf.DUMMYFUNCTION("""COMPUTED_VALUE"""),101.234658)</f>
        <v>101.234658</v>
      </c>
      <c r="AF1737" s="3" t="str">
        <f>IFERROR(__xludf.DUMMYFUNCTION("""COMPUTED_VALUE"""),"MBC กรีนมาร์เก็ต (มอ.ปัตตานี) ปัตตานี-22423")</f>
        <v>MBC กรีนมาร์เก็ต (มอ.ปัตตานี) ปัตตานี-22423</v>
      </c>
      <c r="AG1737" s="3" t="str">
        <f>IFERROR(__xludf.DUMMYFUNCTION("""COMPUTED_VALUE"""),"ใต้")</f>
        <v>ใต้</v>
      </c>
      <c r="AH1737" s="3" t="str">
        <f>IFERROR(__xludf.DUMMYFUNCTION("""COMPUTED_VALUE"""),"#N/A")</f>
        <v>#N/A</v>
      </c>
      <c r="AI1737" s="3" t="str">
        <f>IFERROR(__xludf.DUMMYFUNCTION("""COMPUTED_VALUE"""),"Out of warranty")</f>
        <v>Out of warranty</v>
      </c>
      <c r="AJ1737" s="3">
        <f>IFERROR(__xludf.DUMMYFUNCTION("""COMPUTED_VALUE"""),49.0)</f>
        <v>49</v>
      </c>
      <c r="AK1737" s="3" t="str">
        <f>IFERROR(__xludf.DUMMYFUNCTION("""COMPUTED_VALUE"""),"MMS16")</f>
        <v>MMS16</v>
      </c>
      <c r="AL1737" s="3"/>
    </row>
    <row r="1738" ht="15.75" customHeight="1">
      <c r="A1738" s="1" t="str">
        <f>IFERROR(__xludf.DUMMYFUNCTION("""COMPUTED_VALUE"""),"22424")</f>
        <v>22424</v>
      </c>
      <c r="B1738" s="2">
        <f>IFERROR(__xludf.DUMMYFUNCTION("""COMPUTED_VALUE"""),22424.0)</f>
        <v>22424</v>
      </c>
      <c r="C1738" s="3" t="str">
        <f>IFERROR(__xludf.DUMMYFUNCTION("""COMPUTED_VALUE"""),"MBC ชุมชนหนองจอก ระยอง")</f>
        <v>MBC ชุมชนหนองจอก ระยอง</v>
      </c>
      <c r="D1738" s="3" t="str">
        <f>IFERROR(__xludf.DUMMYFUNCTION("""COMPUTED_VALUE"""),"BCM CHUMCHON NONG CHOK")</f>
        <v>BCM CHUMCHON NONG CHOK</v>
      </c>
      <c r="E1738" s="1" t="str">
        <f>IFERROR(__xludf.DUMMYFUNCTION("""COMPUTED_VALUE"""),"บิ๊กซี MINI")</f>
        <v>บิ๊กซี MINI</v>
      </c>
      <c r="F1738" s="1" t="str">
        <f>IFERROR(__xludf.DUMMYFUNCTION("""COMPUTED_VALUE"""),"221716")</f>
        <v>221716</v>
      </c>
      <c r="G1738" s="1" t="str">
        <f>IFERROR(__xludf.DUMMYFUNCTION("""COMPUTED_VALUE"""),"น.ส.เบญจพร โพธิสาร")</f>
        <v>น.ส.เบญจพร โพธิสาร</v>
      </c>
      <c r="H1738" s="1" t="str">
        <f>IFERROR(__xludf.DUMMYFUNCTION("""COMPUTED_VALUE"""),"359233")</f>
        <v>359233</v>
      </c>
      <c r="I1738" s="1" t="str">
        <f>IFERROR(__xludf.DUMMYFUNCTION("""COMPUTED_VALUE"""),"น.ส.ปยุดา คำมีอ่อน")</f>
        <v>น.ส.ปยุดา คำมีอ่อน</v>
      </c>
      <c r="J1738" s="3">
        <f>IFERROR(__xludf.DUMMYFUNCTION("""COMPUTED_VALUE"""),2452376.0)</f>
        <v>2452376</v>
      </c>
      <c r="K1738" s="3" t="str">
        <f>IFERROR(__xludf.DUMMYFUNCTION("""COMPUTED_VALUE"""),"นายภาคภูมิ ทวีกุล")</f>
        <v>นายภาคภูมิ ทวีกุล</v>
      </c>
      <c r="L1738" s="1" t="str">
        <f>IFERROR(__xludf.DUMMYFUNCTION("""COMPUTED_VALUE"""),"08 K.Parkphum T.")</f>
        <v>08 K.Parkphum T.</v>
      </c>
      <c r="M1738" s="1" t="str">
        <f>IFERROR(__xludf.DUMMYFUNCTION("""COMPUTED_VALUE"""),"097-919-5476")</f>
        <v>097-919-5476</v>
      </c>
      <c r="N1738" s="3">
        <f>IFERROR(__xludf.DUMMYFUNCTION("""COMPUTED_VALUE"""),22028.0)</f>
        <v>22028</v>
      </c>
      <c r="O1738" s="3" t="str">
        <f>IFERROR(__xludf.DUMMYFUNCTION("""COMPUTED_VALUE"""),"MBC ทํบมา ระยอง")</f>
        <v>MBC ทํบมา ระยอง</v>
      </c>
      <c r="P1738" s="4">
        <f>IFERROR(__xludf.DUMMYFUNCTION("""COMPUTED_VALUE"""),44553.0)</f>
        <v>44553</v>
      </c>
      <c r="Q1738" s="3" t="str">
        <f>IFERROR(__xludf.DUMMYFUNCTION("""COMPUTED_VALUE"""),"A")</f>
        <v>A</v>
      </c>
      <c r="R1738" s="3" t="str">
        <f>IFERROR(__xludf.DUMMYFUNCTION("""COMPUTED_VALUE"""),"Small Format")</f>
        <v>Small Format</v>
      </c>
      <c r="S1738" s="3" t="str">
        <f>IFERROR(__xludf.DUMMYFUNCTION("""COMPUTED_VALUE"""),"BCM")</f>
        <v>BCM</v>
      </c>
      <c r="T1738" s="3" t="str">
        <f>IFERROR(__xludf.DUMMYFUNCTION("""COMPUTED_VALUE"""),"#N/A")</f>
        <v>#N/A</v>
      </c>
      <c r="U1738" s="3" t="str">
        <f>IFERROR(__xludf.DUMMYFUNCTION("""COMPUTED_VALUE"""),"#N/A")</f>
        <v>#N/A</v>
      </c>
      <c r="V1738" s="3" t="str">
        <f>IFERROR(__xludf.DUMMYFUNCTION("""COMPUTED_VALUE"""),"N")</f>
        <v>N</v>
      </c>
      <c r="W1738" s="3">
        <f>IFERROR(__xludf.DUMMYFUNCTION("""COMPUTED_VALUE"""),210493.0)</f>
        <v>210493</v>
      </c>
      <c r="X1738" s="3" t="str">
        <f>IFERROR(__xludf.DUMMYFUNCTION("""COMPUTED_VALUE"""),"187/339 หมู่ 5 ตำบลเชิงเนิน อำเภอเมืองระยอง จังหวัดระยอง 21000")</f>
        <v>187/339 หมู่ 5 ตำบลเชิงเนิน อำเภอเมืองระยอง จังหวัดระยอง 21000</v>
      </c>
      <c r="Y1738" s="3"/>
      <c r="Z1738" s="3" t="str">
        <f>IFERROR(__xludf.DUMMYFUNCTION("""COMPUTED_VALUE"""),"เชิงเนิน")</f>
        <v>เชิงเนิน</v>
      </c>
      <c r="AA1738" s="3" t="str">
        <f>IFERROR(__xludf.DUMMYFUNCTION("""COMPUTED_VALUE"""),"เมืองระยอง")</f>
        <v>เมืองระยอง</v>
      </c>
      <c r="AB1738" s="3" t="str">
        <f>IFERROR(__xludf.DUMMYFUNCTION("""COMPUTED_VALUE"""),"ระยอง")</f>
        <v>ระยอง</v>
      </c>
      <c r="AC1738" s="3">
        <f>IFERROR(__xludf.DUMMYFUNCTION("""COMPUTED_VALUE"""),21000.0)</f>
        <v>21000</v>
      </c>
      <c r="AD1738" s="3">
        <f>IFERROR(__xludf.DUMMYFUNCTION("""COMPUTED_VALUE"""),12.668332)</f>
        <v>12.668332</v>
      </c>
      <c r="AE1738" s="3">
        <f>IFERROR(__xludf.DUMMYFUNCTION("""COMPUTED_VALUE"""),101.298931)</f>
        <v>101.298931</v>
      </c>
      <c r="AF1738" s="3" t="str">
        <f>IFERROR(__xludf.DUMMYFUNCTION("""COMPUTED_VALUE"""),"MBC ชุมชนหนองจอก ระยอง-22424")</f>
        <v>MBC ชุมชนหนองจอก ระยอง-22424</v>
      </c>
      <c r="AG1738" s="3" t="str">
        <f>IFERROR(__xludf.DUMMYFUNCTION("""COMPUTED_VALUE"""),"ตะวันออก")</f>
        <v>ตะวันออก</v>
      </c>
      <c r="AH1738" s="3" t="str">
        <f>IFERROR(__xludf.DUMMYFUNCTION("""COMPUTED_VALUE"""),"#N/A")</f>
        <v>#N/A</v>
      </c>
      <c r="AI1738" s="3" t="str">
        <f>IFERROR(__xludf.DUMMYFUNCTION("""COMPUTED_VALUE"""),"Out of warranty")</f>
        <v>Out of warranty</v>
      </c>
      <c r="AJ1738" s="3">
        <f>IFERROR(__xludf.DUMMYFUNCTION("""COMPUTED_VALUE"""),49.0)</f>
        <v>49</v>
      </c>
      <c r="AK1738" s="3" t="str">
        <f>IFERROR(__xludf.DUMMYFUNCTION("""COMPUTED_VALUE"""),"MMS08")</f>
        <v>MMS08</v>
      </c>
      <c r="AL1738" s="3"/>
    </row>
    <row r="1739" ht="15.75" customHeight="1">
      <c r="A1739" s="1" t="str">
        <f>IFERROR(__xludf.DUMMYFUNCTION("""COMPUTED_VALUE"""),"22425")</f>
        <v>22425</v>
      </c>
      <c r="B1739" s="2">
        <f>IFERROR(__xludf.DUMMYFUNCTION("""COMPUTED_VALUE"""),22425.0)</f>
        <v>22425</v>
      </c>
      <c r="C1739" s="3" t="str">
        <f>IFERROR(__xludf.DUMMYFUNCTION("""COMPUTED_VALUE"""),"MBC เอื้ออาทรคลองแห สงขลา")</f>
        <v>MBC เอื้ออาทรคลองแห สงขลา</v>
      </c>
      <c r="D1739" s="3" t="str">
        <f>IFERROR(__xludf.DUMMYFUNCTION("""COMPUTED_VALUE"""),"BCM UEA ARTHORN KHLONG HAE")</f>
        <v>BCM UEA ARTHORN KHLONG HAE</v>
      </c>
      <c r="E1739" s="1" t="str">
        <f>IFERROR(__xludf.DUMMYFUNCTION("""COMPUTED_VALUE"""),"บิ๊กซี MINI")</f>
        <v>บิ๊กซี MINI</v>
      </c>
      <c r="F1739" s="1" t="str">
        <f>IFERROR(__xludf.DUMMYFUNCTION("""COMPUTED_VALUE"""),"250760")</f>
        <v>250760</v>
      </c>
      <c r="G1739" s="1" t="str">
        <f>IFERROR(__xludf.DUMMYFUNCTION("""COMPUTED_VALUE"""),"นายประทวน สาราบรรณ์")</f>
        <v>นายประทวน สาราบรรณ์</v>
      </c>
      <c r="H1739" s="1" t="str">
        <f>IFERROR(__xludf.DUMMYFUNCTION("""COMPUTED_VALUE"""),"394100")</f>
        <v>394100</v>
      </c>
      <c r="I1739" s="1" t="str">
        <f>IFERROR(__xludf.DUMMYFUNCTION("""COMPUTED_VALUE"""),"นายไพโรจน์ ถิระผะลิกะ")</f>
        <v>นายไพโรจน์ ถิระผะลิกะ</v>
      </c>
      <c r="J1739" s="3">
        <f>IFERROR(__xludf.DUMMYFUNCTION("""COMPUTED_VALUE"""),2.0470331E7)</f>
        <v>20470331</v>
      </c>
      <c r="K1739" s="3" t="str">
        <f>IFERROR(__xludf.DUMMYFUNCTION("""COMPUTED_VALUE"""),"นายสมชาย ลักษณะสุวรรณ")</f>
        <v>นายสมชาย ลักษณะสุวรรณ</v>
      </c>
      <c r="L1739" s="1" t="str">
        <f>IFERROR(__xludf.DUMMYFUNCTION("""COMPUTED_VALUE"""),"15 K.Somchai L")</f>
        <v>15 K.Somchai L</v>
      </c>
      <c r="M1739" s="1" t="str">
        <f>IFERROR(__xludf.DUMMYFUNCTION("""COMPUTED_VALUE"""),"0655107372")</f>
        <v>0655107372</v>
      </c>
      <c r="N1739" s="3">
        <f>IFERROR(__xludf.DUMMYFUNCTION("""COMPUTED_VALUE"""),21723.0)</f>
        <v>21723</v>
      </c>
      <c r="O1739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39" s="4">
        <f>IFERROR(__xludf.DUMMYFUNCTION("""COMPUTED_VALUE"""),44553.0)</f>
        <v>44553</v>
      </c>
      <c r="Q1739" s="3" t="str">
        <f>IFERROR(__xludf.DUMMYFUNCTION("""COMPUTED_VALUE"""),"A")</f>
        <v>A</v>
      </c>
      <c r="R1739" s="3" t="str">
        <f>IFERROR(__xludf.DUMMYFUNCTION("""COMPUTED_VALUE"""),"Small Format")</f>
        <v>Small Format</v>
      </c>
      <c r="S1739" s="3" t="str">
        <f>IFERROR(__xludf.DUMMYFUNCTION("""COMPUTED_VALUE"""),"BCM")</f>
        <v>BCM</v>
      </c>
      <c r="T1739" s="3" t="str">
        <f>IFERROR(__xludf.DUMMYFUNCTION("""COMPUTED_VALUE"""),"#N/A")</f>
        <v>#N/A</v>
      </c>
      <c r="U1739" s="3" t="str">
        <f>IFERROR(__xludf.DUMMYFUNCTION("""COMPUTED_VALUE"""),"#N/A")</f>
        <v>#N/A</v>
      </c>
      <c r="V1739" s="3" t="str">
        <f>IFERROR(__xludf.DUMMYFUNCTION("""COMPUTED_VALUE"""),"N")</f>
        <v>N</v>
      </c>
      <c r="W1739" s="3">
        <f>IFERROR(__xludf.DUMMYFUNCTION("""COMPUTED_VALUE"""),210484.0)</f>
        <v>210484</v>
      </c>
      <c r="X1739" s="3" t="str">
        <f>IFERROR(__xludf.DUMMYFUNCTION("""COMPUTED_VALUE"""),"62/136 หมู่ 4 ตำบลคลองแห อำเภอหาดใหญ่ จังหวัดสงขลา 90110")</f>
        <v>62/136 หมู่ 4 ตำบลคลองแห อำเภอหาดใหญ่ จังหวัดสงขลา 90110</v>
      </c>
      <c r="Y1739" s="3"/>
      <c r="Z1739" s="3" t="str">
        <f>IFERROR(__xludf.DUMMYFUNCTION("""COMPUTED_VALUE"""),"คลองแห")</f>
        <v>คลองแห</v>
      </c>
      <c r="AA1739" s="3" t="str">
        <f>IFERROR(__xludf.DUMMYFUNCTION("""COMPUTED_VALUE"""),"หาดใหญ่")</f>
        <v>หาดใหญ่</v>
      </c>
      <c r="AB1739" s="3" t="str">
        <f>IFERROR(__xludf.DUMMYFUNCTION("""COMPUTED_VALUE"""),"สงขลา")</f>
        <v>สงขลา</v>
      </c>
      <c r="AC1739" s="3">
        <f>IFERROR(__xludf.DUMMYFUNCTION("""COMPUTED_VALUE"""),90110.0)</f>
        <v>90110</v>
      </c>
      <c r="AD1739" s="3">
        <f>IFERROR(__xludf.DUMMYFUNCTION("""COMPUTED_VALUE"""),7.050846)</f>
        <v>7.050846</v>
      </c>
      <c r="AE1739" s="3">
        <f>IFERROR(__xludf.DUMMYFUNCTION("""COMPUTED_VALUE"""),100.476989)</f>
        <v>100.476989</v>
      </c>
      <c r="AF1739" s="3" t="str">
        <f>IFERROR(__xludf.DUMMYFUNCTION("""COMPUTED_VALUE"""),"MBC เอื้ออาทรคลองแห สงขลา-22425")</f>
        <v>MBC เอื้ออาทรคลองแห สงขลา-22425</v>
      </c>
      <c r="AG1739" s="3" t="str">
        <f>IFERROR(__xludf.DUMMYFUNCTION("""COMPUTED_VALUE"""),"ใต้")</f>
        <v>ใต้</v>
      </c>
      <c r="AH1739" s="3" t="str">
        <f>IFERROR(__xludf.DUMMYFUNCTION("""COMPUTED_VALUE"""),"#N/A")</f>
        <v>#N/A</v>
      </c>
      <c r="AI1739" s="3" t="str">
        <f>IFERROR(__xludf.DUMMYFUNCTION("""COMPUTED_VALUE"""),"Out of warranty")</f>
        <v>Out of warranty</v>
      </c>
      <c r="AJ1739" s="3">
        <f>IFERROR(__xludf.DUMMYFUNCTION("""COMPUTED_VALUE"""),49.0)</f>
        <v>49</v>
      </c>
      <c r="AK1739" s="3" t="str">
        <f>IFERROR(__xludf.DUMMYFUNCTION("""COMPUTED_VALUE"""),"MMS16")</f>
        <v>MMS16</v>
      </c>
      <c r="AL1739" s="3"/>
    </row>
    <row r="1740" ht="15.75" customHeight="1">
      <c r="A1740" s="1" t="str">
        <f>IFERROR(__xludf.DUMMYFUNCTION("""COMPUTED_VALUE"""),"22426")</f>
        <v>22426</v>
      </c>
      <c r="B1740" s="2">
        <f>IFERROR(__xludf.DUMMYFUNCTION("""COMPUTED_VALUE"""),22426.0)</f>
        <v>22426</v>
      </c>
      <c r="C1740" s="3" t="str">
        <f>IFERROR(__xludf.DUMMYFUNCTION("""COMPUTED_VALUE"""),"MBC มลายูบางกอก ยะลา")</f>
        <v>MBC มลายูบางกอก ยะลา</v>
      </c>
      <c r="D1740" s="3" t="str">
        <f>IFERROR(__xludf.DUMMYFUNCTION("""COMPUTED_VALUE"""),"BCM MALAYU BANGKOK")</f>
        <v>BCM MALAYU BANGKOK</v>
      </c>
      <c r="E1740" s="1" t="str">
        <f>IFERROR(__xludf.DUMMYFUNCTION("""COMPUTED_VALUE"""),"บิ๊กซี MINI")</f>
        <v>บิ๊กซี MINI</v>
      </c>
      <c r="F1740" s="1" t="str">
        <f>IFERROR(__xludf.DUMMYFUNCTION("""COMPUTED_VALUE"""),"250760")</f>
        <v>250760</v>
      </c>
      <c r="G1740" s="1" t="str">
        <f>IFERROR(__xludf.DUMMYFUNCTION("""COMPUTED_VALUE"""),"นายประทวน สาราบรรณ์")</f>
        <v>นายประทวน สาราบรรณ์</v>
      </c>
      <c r="H1740" s="1" t="str">
        <f>IFERROR(__xludf.DUMMYFUNCTION("""COMPUTED_VALUE"""),"485279")</f>
        <v>485279</v>
      </c>
      <c r="I1740" s="1" t="str">
        <f>IFERROR(__xludf.DUMMYFUNCTION("""COMPUTED_VALUE"""),"นายสิริพงศ์ ชูชื่น")</f>
        <v>นายสิริพงศ์ ชูชื่น</v>
      </c>
      <c r="J1740" s="3">
        <f>IFERROR(__xludf.DUMMYFUNCTION("""COMPUTED_VALUE"""),2.0470331E7)</f>
        <v>20470331</v>
      </c>
      <c r="K1740" s="3" t="str">
        <f>IFERROR(__xludf.DUMMYFUNCTION("""COMPUTED_VALUE"""),"นายสมชาย ลักษณะสุวรรณ")</f>
        <v>นายสมชาย ลักษณะสุวรรณ</v>
      </c>
      <c r="L1740" s="3" t="str">
        <f>IFERROR(__xludf.DUMMYFUNCTION("""COMPUTED_VALUE"""),"15 K.Somchai L")</f>
        <v>15 K.Somchai L</v>
      </c>
      <c r="M1740" s="1" t="str">
        <f>IFERROR(__xludf.DUMMYFUNCTION("""COMPUTED_VALUE"""),"0655107372")</f>
        <v>0655107372</v>
      </c>
      <c r="N1740" s="3">
        <f>IFERROR(__xludf.DUMMYFUNCTION("""COMPUTED_VALUE"""),21723.0)</f>
        <v>21723</v>
      </c>
      <c r="O1740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40" s="4">
        <f>IFERROR(__xludf.DUMMYFUNCTION("""COMPUTED_VALUE"""),44558.0)</f>
        <v>44558</v>
      </c>
      <c r="Q1740" s="3" t="str">
        <f>IFERROR(__xludf.DUMMYFUNCTION("""COMPUTED_VALUE"""),"A")</f>
        <v>A</v>
      </c>
      <c r="R1740" s="3" t="str">
        <f>IFERROR(__xludf.DUMMYFUNCTION("""COMPUTED_VALUE"""),"Small Format")</f>
        <v>Small Format</v>
      </c>
      <c r="S1740" s="3" t="str">
        <f>IFERROR(__xludf.DUMMYFUNCTION("""COMPUTED_VALUE"""),"BCM")</f>
        <v>BCM</v>
      </c>
      <c r="T1740" s="3" t="str">
        <f>IFERROR(__xludf.DUMMYFUNCTION("""COMPUTED_VALUE"""),"#N/A")</f>
        <v>#N/A</v>
      </c>
      <c r="U1740" s="3" t="str">
        <f>IFERROR(__xludf.DUMMYFUNCTION("""COMPUTED_VALUE"""),"#N/A")</f>
        <v>#N/A</v>
      </c>
      <c r="V1740" s="3" t="str">
        <f>IFERROR(__xludf.DUMMYFUNCTION("""COMPUTED_VALUE"""),"N")</f>
        <v>N</v>
      </c>
      <c r="W1740" s="3">
        <f>IFERROR(__xludf.DUMMYFUNCTION("""COMPUTED_VALUE"""),210483.0)</f>
        <v>210483</v>
      </c>
      <c r="X1740" s="3" t="str">
        <f>IFERROR(__xludf.DUMMYFUNCTION("""COMPUTED_VALUE"""),"23/68 หมู่ 2 ตำบลสะเตงนอก อำเภอเมืองยะลา จังหวัดยะลา 95000")</f>
        <v>23/68 หมู่ 2 ตำบลสะเตงนอก อำเภอเมืองยะลา จังหวัดยะลา 95000</v>
      </c>
      <c r="Y1740" s="3"/>
      <c r="Z1740" s="3" t="str">
        <f>IFERROR(__xludf.DUMMYFUNCTION("""COMPUTED_VALUE"""),"สะเตงนอก")</f>
        <v>สะเตงนอก</v>
      </c>
      <c r="AA1740" s="3" t="str">
        <f>IFERROR(__xludf.DUMMYFUNCTION("""COMPUTED_VALUE"""),"เมืองยะลา")</f>
        <v>เมืองยะลา</v>
      </c>
      <c r="AB1740" s="3" t="str">
        <f>IFERROR(__xludf.DUMMYFUNCTION("""COMPUTED_VALUE"""),"ยะลา")</f>
        <v>ยะลา</v>
      </c>
      <c r="AC1740" s="3">
        <f>IFERROR(__xludf.DUMMYFUNCTION("""COMPUTED_VALUE"""),95000.0)</f>
        <v>95000</v>
      </c>
      <c r="AD1740" s="3">
        <f>IFERROR(__xludf.DUMMYFUNCTION("""COMPUTED_VALUE"""),6.503784)</f>
        <v>6.503784</v>
      </c>
      <c r="AE1740" s="3">
        <f>IFERROR(__xludf.DUMMYFUNCTION("""COMPUTED_VALUE"""),101.269083)</f>
        <v>101.269083</v>
      </c>
      <c r="AF1740" s="3" t="str">
        <f>IFERROR(__xludf.DUMMYFUNCTION("""COMPUTED_VALUE"""),"MBC มลายูบางกอก ยะลา-22426")</f>
        <v>MBC มลายูบางกอก ยะลา-22426</v>
      </c>
      <c r="AG1740" s="3" t="str">
        <f>IFERROR(__xludf.DUMMYFUNCTION("""COMPUTED_VALUE"""),"ใต้")</f>
        <v>ใต้</v>
      </c>
      <c r="AH1740" s="3" t="str">
        <f>IFERROR(__xludf.DUMMYFUNCTION("""COMPUTED_VALUE"""),"#N/A")</f>
        <v>#N/A</v>
      </c>
      <c r="AI1740" s="3" t="str">
        <f>IFERROR(__xludf.DUMMYFUNCTION("""COMPUTED_VALUE"""),"Out of warranty")</f>
        <v>Out of warranty</v>
      </c>
      <c r="AJ1740" s="3">
        <f>IFERROR(__xludf.DUMMYFUNCTION("""COMPUTED_VALUE"""),49.0)</f>
        <v>49</v>
      </c>
      <c r="AK1740" s="3" t="str">
        <f>IFERROR(__xludf.DUMMYFUNCTION("""COMPUTED_VALUE"""),"MMS16")</f>
        <v>MMS16</v>
      </c>
      <c r="AL1740" s="3"/>
    </row>
    <row r="1741" ht="15.75" customHeight="1">
      <c r="A1741" s="1" t="str">
        <f>IFERROR(__xludf.DUMMYFUNCTION("""COMPUTED_VALUE"""),"22427")</f>
        <v>22427</v>
      </c>
      <c r="B1741" s="2">
        <f>IFERROR(__xludf.DUMMYFUNCTION("""COMPUTED_VALUE"""),22427.0)</f>
        <v>22427</v>
      </c>
      <c r="C1741" s="3" t="str">
        <f>IFERROR(__xludf.DUMMYFUNCTION("""COMPUTED_VALUE"""),"MBC กรงปินัง ยะลา")</f>
        <v>MBC กรงปินัง ยะลา</v>
      </c>
      <c r="D1741" s="3" t="str">
        <f>IFERROR(__xludf.DUMMYFUNCTION("""COMPUTED_VALUE"""),"BCM KRONG PINANG")</f>
        <v>BCM KRONG PINANG</v>
      </c>
      <c r="E1741" s="1" t="str">
        <f>IFERROR(__xludf.DUMMYFUNCTION("""COMPUTED_VALUE"""),"บิ๊กซี MINI")</f>
        <v>บิ๊กซี MINI</v>
      </c>
      <c r="F1741" s="1" t="str">
        <f>IFERROR(__xludf.DUMMYFUNCTION("""COMPUTED_VALUE"""),"250760")</f>
        <v>250760</v>
      </c>
      <c r="G1741" s="1" t="str">
        <f>IFERROR(__xludf.DUMMYFUNCTION("""COMPUTED_VALUE"""),"นายประทวน สาราบรรณ์")</f>
        <v>นายประทวน สาราบรรณ์</v>
      </c>
      <c r="H1741" s="1" t="str">
        <f>IFERROR(__xludf.DUMMYFUNCTION("""COMPUTED_VALUE"""),"485279")</f>
        <v>485279</v>
      </c>
      <c r="I1741" s="1" t="str">
        <f>IFERROR(__xludf.DUMMYFUNCTION("""COMPUTED_VALUE"""),"นายสิริพงศ์ ชูชื่น")</f>
        <v>นายสิริพงศ์ ชูชื่น</v>
      </c>
      <c r="J1741" s="3">
        <f>IFERROR(__xludf.DUMMYFUNCTION("""COMPUTED_VALUE"""),2.0470331E7)</f>
        <v>20470331</v>
      </c>
      <c r="K1741" s="3" t="str">
        <f>IFERROR(__xludf.DUMMYFUNCTION("""COMPUTED_VALUE"""),"นายสมชาย ลักษณะสุวรรณ")</f>
        <v>นายสมชาย ลักษณะสุวรรณ</v>
      </c>
      <c r="L1741" s="1" t="str">
        <f>IFERROR(__xludf.DUMMYFUNCTION("""COMPUTED_VALUE"""),"15 K.Somchai L")</f>
        <v>15 K.Somchai L</v>
      </c>
      <c r="M1741" s="1" t="str">
        <f>IFERROR(__xludf.DUMMYFUNCTION("""COMPUTED_VALUE"""),"0655107372")</f>
        <v>0655107372</v>
      </c>
      <c r="N1741" s="3">
        <f>IFERROR(__xludf.DUMMYFUNCTION("""COMPUTED_VALUE"""),21723.0)</f>
        <v>21723</v>
      </c>
      <c r="O174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41" s="4">
        <f>IFERROR(__xludf.DUMMYFUNCTION("""COMPUTED_VALUE"""),44558.0)</f>
        <v>44558</v>
      </c>
      <c r="Q1741" s="3" t="str">
        <f>IFERROR(__xludf.DUMMYFUNCTION("""COMPUTED_VALUE"""),"A")</f>
        <v>A</v>
      </c>
      <c r="R1741" s="3" t="str">
        <f>IFERROR(__xludf.DUMMYFUNCTION("""COMPUTED_VALUE"""),"Small Format")</f>
        <v>Small Format</v>
      </c>
      <c r="S1741" s="3" t="str">
        <f>IFERROR(__xludf.DUMMYFUNCTION("""COMPUTED_VALUE"""),"BCM")</f>
        <v>BCM</v>
      </c>
      <c r="T1741" s="3" t="str">
        <f>IFERROR(__xludf.DUMMYFUNCTION("""COMPUTED_VALUE"""),"#N/A")</f>
        <v>#N/A</v>
      </c>
      <c r="U1741" s="3" t="str">
        <f>IFERROR(__xludf.DUMMYFUNCTION("""COMPUTED_VALUE"""),"#N/A")</f>
        <v>#N/A</v>
      </c>
      <c r="V1741" s="3" t="str">
        <f>IFERROR(__xludf.DUMMYFUNCTION("""COMPUTED_VALUE"""),"N")</f>
        <v>N</v>
      </c>
      <c r="W1741" s="3">
        <f>IFERROR(__xludf.DUMMYFUNCTION("""COMPUTED_VALUE"""),210470.0)</f>
        <v>210470</v>
      </c>
      <c r="X1741" s="3" t="str">
        <f>IFERROR(__xludf.DUMMYFUNCTION("""COMPUTED_VALUE"""),"150 หมู่ 7 ตำบลกรงปินัง อำเภอกรงปินัง จังหวัดยะลา 95000")</f>
        <v>150 หมู่ 7 ตำบลกรงปินัง อำเภอกรงปินัง จังหวัดยะลา 95000</v>
      </c>
      <c r="Y1741" s="3"/>
      <c r="Z1741" s="3" t="str">
        <f>IFERROR(__xludf.DUMMYFUNCTION("""COMPUTED_VALUE"""),"กรงปีนัง")</f>
        <v>กรงปีนัง</v>
      </c>
      <c r="AA1741" s="3" t="str">
        <f>IFERROR(__xludf.DUMMYFUNCTION("""COMPUTED_VALUE"""),"กรงปีนัง")</f>
        <v>กรงปีนัง</v>
      </c>
      <c r="AB1741" s="3" t="str">
        <f>IFERROR(__xludf.DUMMYFUNCTION("""COMPUTED_VALUE"""),"ยะลา")</f>
        <v>ยะลา</v>
      </c>
      <c r="AC1741" s="3">
        <f>IFERROR(__xludf.DUMMYFUNCTION("""COMPUTED_VALUE"""),95000.0)</f>
        <v>95000</v>
      </c>
      <c r="AD1741" s="3">
        <f>IFERROR(__xludf.DUMMYFUNCTION("""COMPUTED_VALUE"""),6.419883)</f>
        <v>6.419883</v>
      </c>
      <c r="AE1741" s="3">
        <f>IFERROR(__xludf.DUMMYFUNCTION("""COMPUTED_VALUE"""),101.279033)</f>
        <v>101.279033</v>
      </c>
      <c r="AF1741" s="3" t="str">
        <f>IFERROR(__xludf.DUMMYFUNCTION("""COMPUTED_VALUE"""),"MBC กรงปินัง ยะลา-22427")</f>
        <v>MBC กรงปินัง ยะลา-22427</v>
      </c>
      <c r="AG1741" s="3" t="str">
        <f>IFERROR(__xludf.DUMMYFUNCTION("""COMPUTED_VALUE"""),"ใต้")</f>
        <v>ใต้</v>
      </c>
      <c r="AH1741" s="3" t="str">
        <f>IFERROR(__xludf.DUMMYFUNCTION("""COMPUTED_VALUE"""),"#N/A")</f>
        <v>#N/A</v>
      </c>
      <c r="AI1741" s="3" t="str">
        <f>IFERROR(__xludf.DUMMYFUNCTION("""COMPUTED_VALUE"""),"Out of warranty")</f>
        <v>Out of warranty</v>
      </c>
      <c r="AJ1741" s="3">
        <f>IFERROR(__xludf.DUMMYFUNCTION("""COMPUTED_VALUE"""),49.0)</f>
        <v>49</v>
      </c>
      <c r="AK1741" s="3" t="str">
        <f>IFERROR(__xludf.DUMMYFUNCTION("""COMPUTED_VALUE"""),"MMS16")</f>
        <v>MMS16</v>
      </c>
      <c r="AL1741" s="3"/>
    </row>
    <row r="1742" ht="15.75" customHeight="1">
      <c r="A1742" s="1" t="str">
        <f>IFERROR(__xludf.DUMMYFUNCTION("""COMPUTED_VALUE"""),"22428")</f>
        <v>22428</v>
      </c>
      <c r="B1742" s="2">
        <f>IFERROR(__xludf.DUMMYFUNCTION("""COMPUTED_VALUE"""),22428.0)</f>
        <v>22428</v>
      </c>
      <c r="C1742" s="3" t="str">
        <f>IFERROR(__xludf.DUMMYFUNCTION("""COMPUTED_VALUE"""),"MBC ถ.ทรายทอง4(สุไหงโก-ลก) นราธิวาส")</f>
        <v>MBC ถ.ทรายทอง4(สุไหงโก-ลก) นราธิวาส</v>
      </c>
      <c r="D1742" s="3" t="str">
        <f>IFERROR(__xludf.DUMMYFUNCTION("""COMPUTED_VALUE"""),"BCM THANON SAI THONG 4")</f>
        <v>BCM THANON SAI THONG 4</v>
      </c>
      <c r="E1742" s="1" t="str">
        <f>IFERROR(__xludf.DUMMYFUNCTION("""COMPUTED_VALUE"""),"บิ๊กซี MINI")</f>
        <v>บิ๊กซี MINI</v>
      </c>
      <c r="F1742" s="1" t="str">
        <f>IFERROR(__xludf.DUMMYFUNCTION("""COMPUTED_VALUE"""),"250760")</f>
        <v>250760</v>
      </c>
      <c r="G1742" s="1" t="str">
        <f>IFERROR(__xludf.DUMMYFUNCTION("""COMPUTED_VALUE"""),"นายประทวน สาราบรรณ์")</f>
        <v>นายประทวน สาราบรรณ์</v>
      </c>
      <c r="H1742" s="1" t="str">
        <f>IFERROR(__xludf.DUMMYFUNCTION("""COMPUTED_VALUE"""),"006583")</f>
        <v>006583</v>
      </c>
      <c r="I1742" s="1" t="str">
        <f>IFERROR(__xludf.DUMMYFUNCTION("""COMPUTED_VALUE"""),"นายเด่น ยะอิง")</f>
        <v>นายเด่น ยะอิง</v>
      </c>
      <c r="J1742" s="3">
        <f>IFERROR(__xludf.DUMMYFUNCTION("""COMPUTED_VALUE"""),2.0470331E7)</f>
        <v>20470331</v>
      </c>
      <c r="K1742" s="3" t="str">
        <f>IFERROR(__xludf.DUMMYFUNCTION("""COMPUTED_VALUE"""),"นายสมชาย ลักษณะสุวรรณ")</f>
        <v>นายสมชาย ลักษณะสุวรรณ</v>
      </c>
      <c r="L1742" s="1" t="str">
        <f>IFERROR(__xludf.DUMMYFUNCTION("""COMPUTED_VALUE"""),"15 K.Somchai L")</f>
        <v>15 K.Somchai L</v>
      </c>
      <c r="M1742" s="1" t="str">
        <f>IFERROR(__xludf.DUMMYFUNCTION("""COMPUTED_VALUE"""),"0655107372")</f>
        <v>0655107372</v>
      </c>
      <c r="N1742" s="3">
        <f>IFERROR(__xludf.DUMMYFUNCTION("""COMPUTED_VALUE"""),21723.0)</f>
        <v>21723</v>
      </c>
      <c r="O1742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42" s="4">
        <f>IFERROR(__xludf.DUMMYFUNCTION("""COMPUTED_VALUE"""),44558.0)</f>
        <v>44558</v>
      </c>
      <c r="Q1742" s="3" t="str">
        <f>IFERROR(__xludf.DUMMYFUNCTION("""COMPUTED_VALUE"""),"A")</f>
        <v>A</v>
      </c>
      <c r="R1742" s="3" t="str">
        <f>IFERROR(__xludf.DUMMYFUNCTION("""COMPUTED_VALUE"""),"Small Format")</f>
        <v>Small Format</v>
      </c>
      <c r="S1742" s="3" t="str">
        <f>IFERROR(__xludf.DUMMYFUNCTION("""COMPUTED_VALUE"""),"BCM")</f>
        <v>BCM</v>
      </c>
      <c r="T1742" s="3" t="str">
        <f>IFERROR(__xludf.DUMMYFUNCTION("""COMPUTED_VALUE"""),"#N/A")</f>
        <v>#N/A</v>
      </c>
      <c r="U1742" s="3" t="str">
        <f>IFERROR(__xludf.DUMMYFUNCTION("""COMPUTED_VALUE"""),"#N/A")</f>
        <v>#N/A</v>
      </c>
      <c r="V1742" s="3" t="str">
        <f>IFERROR(__xludf.DUMMYFUNCTION("""COMPUTED_VALUE"""),"N")</f>
        <v>N</v>
      </c>
      <c r="W1742" s="3">
        <f>IFERROR(__xludf.DUMMYFUNCTION("""COMPUTED_VALUE"""),210452.0)</f>
        <v>210452</v>
      </c>
      <c r="X1742" s="3" t="str">
        <f>IFERROR(__xludf.DUMMYFUNCTION("""COMPUTED_VALUE"""),"164 ถนน ทรายทอง 4 ตำบลสุไหงโก-ลก อำเภอสุไหงโก-ลก จังหวัดนราธิวาส 96120")</f>
        <v>164 ถนน ทรายทอง 4 ตำบลสุไหงโก-ลก อำเภอสุไหงโก-ลก จังหวัดนราธิวาส 96120</v>
      </c>
      <c r="Y1742" s="3" t="str">
        <f>IFERROR(__xludf.DUMMYFUNCTION("""COMPUTED_VALUE"""),"ทรายทอง4")</f>
        <v>ทรายทอง4</v>
      </c>
      <c r="Z1742" s="3" t="str">
        <f>IFERROR(__xludf.DUMMYFUNCTION("""COMPUTED_VALUE"""),"สุไหงโก-ลก")</f>
        <v>สุไหงโก-ลก</v>
      </c>
      <c r="AA1742" s="3" t="str">
        <f>IFERROR(__xludf.DUMMYFUNCTION("""COMPUTED_VALUE"""),"สุไหงโก-ลก")</f>
        <v>สุไหงโก-ลก</v>
      </c>
      <c r="AB1742" s="3" t="str">
        <f>IFERROR(__xludf.DUMMYFUNCTION("""COMPUTED_VALUE"""),"นราธิวาส")</f>
        <v>นราธิวาส</v>
      </c>
      <c r="AC1742" s="3">
        <f>IFERROR(__xludf.DUMMYFUNCTION("""COMPUTED_VALUE"""),96120.0)</f>
        <v>96120</v>
      </c>
      <c r="AD1742" s="3">
        <f>IFERROR(__xludf.DUMMYFUNCTION("""COMPUTED_VALUE"""),6.030964)</f>
        <v>6.030964</v>
      </c>
      <c r="AE1742" s="3">
        <f>IFERROR(__xludf.DUMMYFUNCTION("""COMPUTED_VALUE"""),101.968816)</f>
        <v>101.968816</v>
      </c>
      <c r="AF1742" s="3" t="str">
        <f>IFERROR(__xludf.DUMMYFUNCTION("""COMPUTED_VALUE"""),"MBC ถ.ทรายทอง4(สุไหงโก-ลก) นราธิวาส-22428")</f>
        <v>MBC ถ.ทรายทอง4(สุไหงโก-ลก) นราธิวาส-22428</v>
      </c>
      <c r="AG1742" s="3" t="str">
        <f>IFERROR(__xludf.DUMMYFUNCTION("""COMPUTED_VALUE"""),"ใต้")</f>
        <v>ใต้</v>
      </c>
      <c r="AH1742" s="3" t="str">
        <f>IFERROR(__xludf.DUMMYFUNCTION("""COMPUTED_VALUE"""),"#N/A")</f>
        <v>#N/A</v>
      </c>
      <c r="AI1742" s="3" t="str">
        <f>IFERROR(__xludf.DUMMYFUNCTION("""COMPUTED_VALUE"""),"Out of warranty")</f>
        <v>Out of warranty</v>
      </c>
      <c r="AJ1742" s="3">
        <f>IFERROR(__xludf.DUMMYFUNCTION("""COMPUTED_VALUE"""),49.0)</f>
        <v>49</v>
      </c>
      <c r="AK1742" s="3" t="str">
        <f>IFERROR(__xludf.DUMMYFUNCTION("""COMPUTED_VALUE"""),"MMS16")</f>
        <v>MMS16</v>
      </c>
      <c r="AL1742" s="3"/>
    </row>
    <row r="1743" ht="15.75" customHeight="1">
      <c r="A1743" s="1" t="str">
        <f>IFERROR(__xludf.DUMMYFUNCTION("""COMPUTED_VALUE"""),"22429")</f>
        <v>22429</v>
      </c>
      <c r="B1743" s="2">
        <f>IFERROR(__xludf.DUMMYFUNCTION("""COMPUTED_VALUE"""),22429.0)</f>
        <v>22429</v>
      </c>
      <c r="C1743" s="3" t="str">
        <f>IFERROR(__xludf.DUMMYFUNCTION("""COMPUTED_VALUE"""),"MBC ดอยสะเก็ด เชียงใหม่")</f>
        <v>MBC ดอยสะเก็ด เชียงใหม่</v>
      </c>
      <c r="D1743" s="3" t="str">
        <f>IFERROR(__xludf.DUMMYFUNCTION("""COMPUTED_VALUE"""),"BCM DOI SAKET")</f>
        <v>BCM DOI SAKET</v>
      </c>
      <c r="E1743" s="1" t="str">
        <f>IFERROR(__xludf.DUMMYFUNCTION("""COMPUTED_VALUE"""),"บิ๊กซี MINI")</f>
        <v>บิ๊กซี MINI</v>
      </c>
      <c r="F1743" s="1" t="str">
        <f>IFERROR(__xludf.DUMMYFUNCTION("""COMPUTED_VALUE"""),"296229")</f>
        <v>296229</v>
      </c>
      <c r="G1743" s="1" t="str">
        <f>IFERROR(__xludf.DUMMYFUNCTION("""COMPUTED_VALUE"""),"นายทนงศักดิ์ บุญมา")</f>
        <v>นายทนงศักดิ์ บุญมา</v>
      </c>
      <c r="H1743" s="1" t="str">
        <f>IFERROR(__xludf.DUMMYFUNCTION("""COMPUTED_VALUE"""),"392003")</f>
        <v>392003</v>
      </c>
      <c r="I1743" s="1" t="str">
        <f>IFERROR(__xludf.DUMMYFUNCTION("""COMPUTED_VALUE"""),"นายวรภพ เศษสูงเนิน")</f>
        <v>นายวรภพ เศษสูงเนิน</v>
      </c>
      <c r="J1743" s="3">
        <f>IFERROR(__xludf.DUMMYFUNCTION("""COMPUTED_VALUE"""),2010016.0)</f>
        <v>2010016</v>
      </c>
      <c r="K1743" s="3" t="str">
        <f>IFERROR(__xludf.DUMMYFUNCTION("""COMPUTED_VALUE"""),"นายตวงธรรม ใหม่ยศ")</f>
        <v>นายตวงธรรม ใหม่ยศ</v>
      </c>
      <c r="L1743" s="1" t="str">
        <f>IFERROR(__xludf.DUMMYFUNCTION("""COMPUTED_VALUE"""),"01 K.Tuangtham M.")</f>
        <v>01 K.Tuangtham M.</v>
      </c>
      <c r="M1743" s="1" t="str">
        <f>IFERROR(__xludf.DUMMYFUNCTION("""COMPUTED_VALUE"""),"063-976-595")</f>
        <v>063-976-595</v>
      </c>
      <c r="N1743" s="3">
        <f>IFERROR(__xludf.DUMMYFUNCTION("""COMPUTED_VALUE"""),22574.0)</f>
        <v>22574</v>
      </c>
      <c r="O1743" s="3" t="str">
        <f>IFERROR(__xludf.DUMMYFUNCTION("""COMPUTED_VALUE"""),"BCM ชุมชนศรีชุม ลำปาง")</f>
        <v>BCM ชุมชนศรีชุม ลำปาง</v>
      </c>
      <c r="P1743" s="4">
        <f>IFERROR(__xludf.DUMMYFUNCTION("""COMPUTED_VALUE"""),44558.0)</f>
        <v>44558</v>
      </c>
      <c r="Q1743" s="3" t="str">
        <f>IFERROR(__xludf.DUMMYFUNCTION("""COMPUTED_VALUE"""),"A")</f>
        <v>A</v>
      </c>
      <c r="R1743" s="3" t="str">
        <f>IFERROR(__xludf.DUMMYFUNCTION("""COMPUTED_VALUE"""),"Small Format")</f>
        <v>Small Format</v>
      </c>
      <c r="S1743" s="3" t="str">
        <f>IFERROR(__xludf.DUMMYFUNCTION("""COMPUTED_VALUE"""),"BCM")</f>
        <v>BCM</v>
      </c>
      <c r="T1743" s="3" t="str">
        <f>IFERROR(__xludf.DUMMYFUNCTION("""COMPUTED_VALUE"""),"#N/A")</f>
        <v>#N/A</v>
      </c>
      <c r="U1743" s="3" t="str">
        <f>IFERROR(__xludf.DUMMYFUNCTION("""COMPUTED_VALUE"""),"#N/A")</f>
        <v>#N/A</v>
      </c>
      <c r="V1743" s="3" t="str">
        <f>IFERROR(__xludf.DUMMYFUNCTION("""COMPUTED_VALUE"""),"N")</f>
        <v>N</v>
      </c>
      <c r="W1743" s="3">
        <f>IFERROR(__xludf.DUMMYFUNCTION("""COMPUTED_VALUE"""),210490.0)</f>
        <v>210490</v>
      </c>
      <c r="X1743" s="3" t="str">
        <f>IFERROR(__xludf.DUMMYFUNCTION("""COMPUTED_VALUE"""),"485/1 หมู่ 3 ตำบลเชิงดอย อำเภอดอกสะเก็ด จังหวัดเชียงใหม่ 50220")</f>
        <v>485/1 หมู่ 3 ตำบลเชิงดอย อำเภอดอกสะเก็ด จังหวัดเชียงใหม่ 50220</v>
      </c>
      <c r="Y1743" s="3"/>
      <c r="Z1743" s="3" t="str">
        <f>IFERROR(__xludf.DUMMYFUNCTION("""COMPUTED_VALUE"""),"เชิงดอย")</f>
        <v>เชิงดอย</v>
      </c>
      <c r="AA1743" s="3" t="str">
        <f>IFERROR(__xludf.DUMMYFUNCTION("""COMPUTED_VALUE"""),"ดอกสะเก็ด")</f>
        <v>ดอกสะเก็ด</v>
      </c>
      <c r="AB1743" s="3" t="str">
        <f>IFERROR(__xludf.DUMMYFUNCTION("""COMPUTED_VALUE"""),"เชียงใหม่")</f>
        <v>เชียงใหม่</v>
      </c>
      <c r="AC1743" s="3">
        <f>IFERROR(__xludf.DUMMYFUNCTION("""COMPUTED_VALUE"""),50220.0)</f>
        <v>50220</v>
      </c>
      <c r="AD1743" s="3">
        <f>IFERROR(__xludf.DUMMYFUNCTION("""COMPUTED_VALUE"""),18.871999)</f>
        <v>18.871999</v>
      </c>
      <c r="AE1743" s="3">
        <f>IFERROR(__xludf.DUMMYFUNCTION("""COMPUTED_VALUE"""),99.133374)</f>
        <v>99.133374</v>
      </c>
      <c r="AF1743" s="3" t="str">
        <f>IFERROR(__xludf.DUMMYFUNCTION("""COMPUTED_VALUE"""),"MBC ดอยสะเก็ด เชียงใหม่-22429")</f>
        <v>MBC ดอยสะเก็ด เชียงใหม่-22429</v>
      </c>
      <c r="AG1743" s="3" t="str">
        <f>IFERROR(__xludf.DUMMYFUNCTION("""COMPUTED_VALUE"""),"เหนือ")</f>
        <v>เหนือ</v>
      </c>
      <c r="AH1743" s="3" t="str">
        <f>IFERROR(__xludf.DUMMYFUNCTION("""COMPUTED_VALUE"""),"#N/A")</f>
        <v>#N/A</v>
      </c>
      <c r="AI1743" s="3" t="str">
        <f>IFERROR(__xludf.DUMMYFUNCTION("""COMPUTED_VALUE"""),"Out of warranty")</f>
        <v>Out of warranty</v>
      </c>
      <c r="AJ1743" s="3">
        <f>IFERROR(__xludf.DUMMYFUNCTION("""COMPUTED_VALUE"""),49.0)</f>
        <v>49</v>
      </c>
      <c r="AK1743" s="3" t="str">
        <f>IFERROR(__xludf.DUMMYFUNCTION("""COMPUTED_VALUE"""),"MMS10")</f>
        <v>MMS10</v>
      </c>
      <c r="AL1743" s="3"/>
    </row>
    <row r="1744" ht="15.75" customHeight="1">
      <c r="A1744" s="1" t="str">
        <f>IFERROR(__xludf.DUMMYFUNCTION("""COMPUTED_VALUE"""),"22430")</f>
        <v>22430</v>
      </c>
      <c r="B1744" s="2">
        <f>IFERROR(__xludf.DUMMYFUNCTION("""COMPUTED_VALUE"""),22430.0)</f>
        <v>22430</v>
      </c>
      <c r="C1744" s="3" t="str">
        <f>IFERROR(__xludf.DUMMYFUNCTION("""COMPUTED_VALUE"""),"MBC เอื้ออาทรศาลายา 3 นครปฐม")</f>
        <v>MBC เอื้ออาทรศาลายา 3 นครปฐม</v>
      </c>
      <c r="D1744" s="3" t="str">
        <f>IFERROR(__xludf.DUMMYFUNCTION("""COMPUTED_VALUE"""),"BCM AUE ARTHORN SALAYA 3")</f>
        <v>BCM AUE ARTHORN SALAYA 3</v>
      </c>
      <c r="E1744" s="1" t="str">
        <f>IFERROR(__xludf.DUMMYFUNCTION("""COMPUTED_VALUE"""),"บิ๊กซี MINI")</f>
        <v>บิ๊กซี MINI</v>
      </c>
      <c r="F1744" s="1" t="str">
        <f>IFERROR(__xludf.DUMMYFUNCTION("""COMPUTED_VALUE"""),"296229")</f>
        <v>296229</v>
      </c>
      <c r="G1744" s="1" t="str">
        <f>IFERROR(__xludf.DUMMYFUNCTION("""COMPUTED_VALUE"""),"นายทนงศักดิ์ บุญมา")</f>
        <v>นายทนงศักดิ์ บุญมา</v>
      </c>
      <c r="H1744" s="1" t="str">
        <f>IFERROR(__xludf.DUMMYFUNCTION("""COMPUTED_VALUE"""),"295245")</f>
        <v>295245</v>
      </c>
      <c r="I1744" s="1" t="str">
        <f>IFERROR(__xludf.DUMMYFUNCTION("""COMPUTED_VALUE"""),"นายมานะ วงศ์สุโชโต")</f>
        <v>นายมานะ วงศ์สุโชโต</v>
      </c>
      <c r="J1744" s="3">
        <f>IFERROR(__xludf.DUMMYFUNCTION("""COMPUTED_VALUE"""),46214.0)</f>
        <v>46214</v>
      </c>
      <c r="K1744" s="3" t="str">
        <f>IFERROR(__xludf.DUMMYFUNCTION("""COMPUTED_VALUE"""),"นายศักดิ์ชัย เด็ดดอกฟ้า")</f>
        <v>นายศักดิ์ชัย เด็ดดอกฟ้า</v>
      </c>
      <c r="L1744" s="1" t="str">
        <f>IFERROR(__xludf.DUMMYFUNCTION("""COMPUTED_VALUE"""),"02 K.Sakchai D")</f>
        <v>02 K.Sakchai D</v>
      </c>
      <c r="M1744" s="1" t="str">
        <f>IFERROR(__xludf.DUMMYFUNCTION("""COMPUTED_VALUE"""),"065-510-7376")</f>
        <v>065-510-7376</v>
      </c>
      <c r="N1744" s="3">
        <f>IFERROR(__xludf.DUMMYFUNCTION("""COMPUTED_VALUE"""),21714.0)</f>
        <v>21714</v>
      </c>
      <c r="O1744" s="3" t="str">
        <f>IFERROR(__xludf.DUMMYFUNCTION("""COMPUTED_VALUE"""),"MBC เอสโซ่ วัดโบสถ์")</f>
        <v>MBC เอสโซ่ วัดโบสถ์</v>
      </c>
      <c r="P1744" s="4">
        <f>IFERROR(__xludf.DUMMYFUNCTION("""COMPUTED_VALUE"""),44558.0)</f>
        <v>44558</v>
      </c>
      <c r="Q1744" s="3" t="str">
        <f>IFERROR(__xludf.DUMMYFUNCTION("""COMPUTED_VALUE"""),"A")</f>
        <v>A</v>
      </c>
      <c r="R1744" s="3" t="str">
        <f>IFERROR(__xludf.DUMMYFUNCTION("""COMPUTED_VALUE"""),"Small Format")</f>
        <v>Small Format</v>
      </c>
      <c r="S1744" s="3" t="str">
        <f>IFERROR(__xludf.DUMMYFUNCTION("""COMPUTED_VALUE"""),"BCM")</f>
        <v>BCM</v>
      </c>
      <c r="T1744" s="3" t="str">
        <f>IFERROR(__xludf.DUMMYFUNCTION("""COMPUTED_VALUE"""),"#N/A")</f>
        <v>#N/A</v>
      </c>
      <c r="U1744" s="3" t="str">
        <f>IFERROR(__xludf.DUMMYFUNCTION("""COMPUTED_VALUE"""),"#N/A")</f>
        <v>#N/A</v>
      </c>
      <c r="V1744" s="3" t="str">
        <f>IFERROR(__xludf.DUMMYFUNCTION("""COMPUTED_VALUE"""),"N")</f>
        <v>N</v>
      </c>
      <c r="W1744" s="3">
        <f>IFERROR(__xludf.DUMMYFUNCTION("""COMPUTED_VALUE"""),210491.0)</f>
        <v>210491</v>
      </c>
      <c r="X1744" s="3" t="str">
        <f>IFERROR(__xludf.DUMMYFUNCTION("""COMPUTED_VALUE"""),"153 หมู่ 1 ตำบลทรงคนอง อำเภอสามพราน จังหวัดนครปฐม 73210")</f>
        <v>153 หมู่ 1 ตำบลทรงคนอง อำเภอสามพราน จังหวัดนครปฐม 73210</v>
      </c>
      <c r="Y1744" s="3"/>
      <c r="Z1744" s="3" t="str">
        <f>IFERROR(__xludf.DUMMYFUNCTION("""COMPUTED_VALUE"""),"ทรงคนอง")</f>
        <v>ทรงคนอง</v>
      </c>
      <c r="AA1744" s="3" t="str">
        <f>IFERROR(__xludf.DUMMYFUNCTION("""COMPUTED_VALUE"""),"สามพราน")</f>
        <v>สามพราน</v>
      </c>
      <c r="AB1744" s="3" t="str">
        <f>IFERROR(__xludf.DUMMYFUNCTION("""COMPUTED_VALUE"""),"นครปฐม")</f>
        <v>นครปฐม</v>
      </c>
      <c r="AC1744" s="3">
        <f>IFERROR(__xludf.DUMMYFUNCTION("""COMPUTED_VALUE"""),73210.0)</f>
        <v>73210</v>
      </c>
      <c r="AD1744" s="3">
        <f>IFERROR(__xludf.DUMMYFUNCTION("""COMPUTED_VALUE"""),13.801889)</f>
        <v>13.801889</v>
      </c>
      <c r="AE1744" s="3">
        <f>IFERROR(__xludf.DUMMYFUNCTION("""COMPUTED_VALUE"""),100.272106)</f>
        <v>100.272106</v>
      </c>
      <c r="AF1744" s="3" t="str">
        <f>IFERROR(__xludf.DUMMYFUNCTION("""COMPUTED_VALUE"""),"MBC เอื้ออาทรศาลายา 3 นครปฐม-22430")</f>
        <v>MBC เอื้ออาทรศาลายา 3 นครปฐม-22430</v>
      </c>
      <c r="AG1744" s="3" t="str">
        <f>IFERROR(__xludf.DUMMYFUNCTION("""COMPUTED_VALUE"""),"กลาง")</f>
        <v>กลาง</v>
      </c>
      <c r="AH1744" s="3" t="str">
        <f>IFERROR(__xludf.DUMMYFUNCTION("""COMPUTED_VALUE"""),"#N/A")</f>
        <v>#N/A</v>
      </c>
      <c r="AI1744" s="3" t="str">
        <f>IFERROR(__xludf.DUMMYFUNCTION("""COMPUTED_VALUE"""),"Out of warranty")</f>
        <v>Out of warranty</v>
      </c>
      <c r="AJ1744" s="3">
        <f>IFERROR(__xludf.DUMMYFUNCTION("""COMPUTED_VALUE"""),49.0)</f>
        <v>49</v>
      </c>
      <c r="AK1744" s="3" t="str">
        <f>IFERROR(__xludf.DUMMYFUNCTION("""COMPUTED_VALUE"""),"MMS05")</f>
        <v>MMS05</v>
      </c>
      <c r="AL1744" s="3"/>
    </row>
    <row r="1745" ht="15.75" customHeight="1">
      <c r="A1745" s="1" t="str">
        <f>IFERROR(__xludf.DUMMYFUNCTION("""COMPUTED_VALUE"""),"22431")</f>
        <v>22431</v>
      </c>
      <c r="B1745" s="2">
        <f>IFERROR(__xludf.DUMMYFUNCTION("""COMPUTED_VALUE"""),22431.0)</f>
        <v>22431</v>
      </c>
      <c r="C1745" s="3" t="str">
        <f>IFERROR(__xludf.DUMMYFUNCTION("""COMPUTED_VALUE"""),"MBC บ้านไผ่แจ้งสนิท ขอนแก่น")</f>
        <v>MBC บ้านไผ่แจ้งสนิท ขอนแก่น</v>
      </c>
      <c r="D1745" s="3" t="str">
        <f>IFERROR(__xludf.DUMMYFUNCTION("""COMPUTED_VALUE"""),"BCM BAN PHAI CHAENG SANIT")</f>
        <v>BCM BAN PHAI CHAENG SANIT</v>
      </c>
      <c r="E1745" s="1" t="str">
        <f>IFERROR(__xludf.DUMMYFUNCTION("""COMPUTED_VALUE"""),"บิ๊กซี MINI")</f>
        <v>บิ๊กซี MINI</v>
      </c>
      <c r="F1745" s="1" t="str">
        <f>IFERROR(__xludf.DUMMYFUNCTION("""COMPUTED_VALUE"""),"291105")</f>
        <v>291105</v>
      </c>
      <c r="G1745" s="1" t="str">
        <f>IFERROR(__xludf.DUMMYFUNCTION("""COMPUTED_VALUE"""),"นายสราวุฒิ พณิชยกุล")</f>
        <v>นายสราวุฒิ พณิชยกุล</v>
      </c>
      <c r="H1745" s="1" t="str">
        <f>IFERROR(__xludf.DUMMYFUNCTION("""COMPUTED_VALUE"""),"371396")</f>
        <v>371396</v>
      </c>
      <c r="I1745" s="1" t="str">
        <f>IFERROR(__xludf.DUMMYFUNCTION("""COMPUTED_VALUE"""),"น.ส.สุภาวดี วิลัยพร")</f>
        <v>น.ส.สุภาวดี วิลัยพร</v>
      </c>
      <c r="J1745" s="3">
        <f>IFERROR(__xludf.DUMMYFUNCTION("""COMPUTED_VALUE"""),15361.0)</f>
        <v>15361</v>
      </c>
      <c r="K1745" s="3" t="str">
        <f>IFERROR(__xludf.DUMMYFUNCTION("""COMPUTED_VALUE"""),"นายสมบูรณ์ พรหมในเมือง")</f>
        <v>นายสมบูรณ์ พรหมในเมือง</v>
      </c>
      <c r="L1745" s="1" t="str">
        <f>IFERROR(__xludf.DUMMYFUNCTION("""COMPUTED_VALUE"""),"04 K.Somboon P.")</f>
        <v>04 K.Somboon P.</v>
      </c>
      <c r="M1745" s="1" t="str">
        <f>IFERROR(__xludf.DUMMYFUNCTION("""COMPUTED_VALUE"""),"087-965-3051")</f>
        <v>087-965-3051</v>
      </c>
      <c r="N1745" s="3">
        <f>IFERROR(__xludf.DUMMYFUNCTION("""COMPUTED_VALUE"""),21869.0)</f>
        <v>21869</v>
      </c>
      <c r="O1745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745" s="4">
        <f>IFERROR(__xludf.DUMMYFUNCTION("""COMPUTED_VALUE"""),44558.0)</f>
        <v>44558</v>
      </c>
      <c r="Q1745" s="3" t="str">
        <f>IFERROR(__xludf.DUMMYFUNCTION("""COMPUTED_VALUE"""),"A")</f>
        <v>A</v>
      </c>
      <c r="R1745" s="3" t="str">
        <f>IFERROR(__xludf.DUMMYFUNCTION("""COMPUTED_VALUE"""),"Small Format")</f>
        <v>Small Format</v>
      </c>
      <c r="S1745" s="3" t="str">
        <f>IFERROR(__xludf.DUMMYFUNCTION("""COMPUTED_VALUE"""),"BCM")</f>
        <v>BCM</v>
      </c>
      <c r="T1745" s="3" t="str">
        <f>IFERROR(__xludf.DUMMYFUNCTION("""COMPUTED_VALUE"""),"#N/A")</f>
        <v>#N/A</v>
      </c>
      <c r="U1745" s="3" t="str">
        <f>IFERROR(__xludf.DUMMYFUNCTION("""COMPUTED_VALUE"""),"#N/A")</f>
        <v>#N/A</v>
      </c>
      <c r="V1745" s="3" t="str">
        <f>IFERROR(__xludf.DUMMYFUNCTION("""COMPUTED_VALUE"""),"N")</f>
        <v>N</v>
      </c>
      <c r="W1745" s="3">
        <f>IFERROR(__xludf.DUMMYFUNCTION("""COMPUTED_VALUE"""),210486.0)</f>
        <v>210486</v>
      </c>
      <c r="X1745" s="3" t="str">
        <f>IFERROR(__xludf.DUMMYFUNCTION("""COMPUTED_VALUE"""),"772/32 หมู่3 ถนนแจ้งสนิท(บ้านไผ่-บรบือ) ตำบลในเมือง อำเภอบ้านไผ่ จังหวัดขอนแก่น 40110")</f>
        <v>772/32 หมู่3 ถนนแจ้งสนิท(บ้านไผ่-บรบือ) ตำบลในเมือง อำเภอบ้านไผ่ จังหวัดขอนแก่น 40110</v>
      </c>
      <c r="Y1745" s="3" t="str">
        <f>IFERROR(__xludf.DUMMYFUNCTION("""COMPUTED_VALUE"""),"แจ้งสนิท(บ้านไผ่-บรบือ)")</f>
        <v>แจ้งสนิท(บ้านไผ่-บรบือ)</v>
      </c>
      <c r="Z1745" s="3" t="str">
        <f>IFERROR(__xludf.DUMMYFUNCTION("""COMPUTED_VALUE"""),"ในเมือง")</f>
        <v>ในเมือง</v>
      </c>
      <c r="AA1745" s="3" t="str">
        <f>IFERROR(__xludf.DUMMYFUNCTION("""COMPUTED_VALUE"""),"บ้านไผ่")</f>
        <v>บ้านไผ่</v>
      </c>
      <c r="AB1745" s="3" t="str">
        <f>IFERROR(__xludf.DUMMYFUNCTION("""COMPUTED_VALUE"""),"ขอนแก่น")</f>
        <v>ขอนแก่น</v>
      </c>
      <c r="AC1745" s="3">
        <f>IFERROR(__xludf.DUMMYFUNCTION("""COMPUTED_VALUE"""),40110.0)</f>
        <v>40110</v>
      </c>
      <c r="AD1745" s="3">
        <f>IFERROR(__xludf.DUMMYFUNCTION("""COMPUTED_VALUE"""),16.05847142)</f>
        <v>16.05847142</v>
      </c>
      <c r="AE1745" s="3">
        <f>IFERROR(__xludf.DUMMYFUNCTION("""COMPUTED_VALUE"""),102.7366409)</f>
        <v>102.7366409</v>
      </c>
      <c r="AF1745" s="3" t="str">
        <f>IFERROR(__xludf.DUMMYFUNCTION("""COMPUTED_VALUE"""),"MBC บ้านไผ่แจ้งสนิท ขอนแก่น-22431")</f>
        <v>MBC บ้านไผ่แจ้งสนิท ขอนแก่น-22431</v>
      </c>
      <c r="AG1745" s="3" t="str">
        <f>IFERROR(__xludf.DUMMYFUNCTION("""COMPUTED_VALUE"""),"ตะวันออกเฉียงเหนือ")</f>
        <v>ตะวันออกเฉียงเหนือ</v>
      </c>
      <c r="AH1745" s="3" t="str">
        <f>IFERROR(__xludf.DUMMYFUNCTION("""COMPUTED_VALUE"""),"#N/A")</f>
        <v>#N/A</v>
      </c>
      <c r="AI1745" s="3" t="str">
        <f>IFERROR(__xludf.DUMMYFUNCTION("""COMPUTED_VALUE"""),"Out of warranty")</f>
        <v>Out of warranty</v>
      </c>
      <c r="AJ1745" s="3">
        <f>IFERROR(__xludf.DUMMYFUNCTION("""COMPUTED_VALUE"""),49.0)</f>
        <v>49</v>
      </c>
      <c r="AK1745" s="3" t="str">
        <f>IFERROR(__xludf.DUMMYFUNCTION("""COMPUTED_VALUE"""),"MMS11")</f>
        <v>MMS11</v>
      </c>
      <c r="AL1745" s="3"/>
    </row>
    <row r="1746" ht="15.75" customHeight="1">
      <c r="A1746" s="1" t="str">
        <f>IFERROR(__xludf.DUMMYFUNCTION("""COMPUTED_VALUE"""),"22432")</f>
        <v>22432</v>
      </c>
      <c r="B1746" s="2">
        <f>IFERROR(__xludf.DUMMYFUNCTION("""COMPUTED_VALUE"""),22432.0)</f>
        <v>22432</v>
      </c>
      <c r="C1746" s="3" t="str">
        <f>IFERROR(__xludf.DUMMYFUNCTION("""COMPUTED_VALUE"""),"MBC ดุซงญอ นราธิวาส")</f>
        <v>MBC ดุซงญอ นราธิวาส</v>
      </c>
      <c r="D1746" s="3" t="str">
        <f>IFERROR(__xludf.DUMMYFUNCTION("""COMPUTED_VALUE"""),"BCM DUSONGYO")</f>
        <v>BCM DUSONGYO</v>
      </c>
      <c r="E1746" s="1" t="str">
        <f>IFERROR(__xludf.DUMMYFUNCTION("""COMPUTED_VALUE"""),"บิ๊กซี MINI")</f>
        <v>บิ๊กซี MINI</v>
      </c>
      <c r="F1746" s="1" t="str">
        <f>IFERROR(__xludf.DUMMYFUNCTION("""COMPUTED_VALUE"""),"250760")</f>
        <v>250760</v>
      </c>
      <c r="G1746" s="1" t="str">
        <f>IFERROR(__xludf.DUMMYFUNCTION("""COMPUTED_VALUE"""),"นายประทวน สาราบรรณ์")</f>
        <v>นายประทวน สาราบรรณ์</v>
      </c>
      <c r="H1746" s="1" t="str">
        <f>IFERROR(__xludf.DUMMYFUNCTION("""COMPUTED_VALUE"""),"006583")</f>
        <v>006583</v>
      </c>
      <c r="I1746" s="1" t="str">
        <f>IFERROR(__xludf.DUMMYFUNCTION("""COMPUTED_VALUE"""),"นายเด่น ยะอิง")</f>
        <v>นายเด่น ยะอิง</v>
      </c>
      <c r="J1746" s="3">
        <f>IFERROR(__xludf.DUMMYFUNCTION("""COMPUTED_VALUE"""),2.0470331E7)</f>
        <v>20470331</v>
      </c>
      <c r="K1746" s="3" t="str">
        <f>IFERROR(__xludf.DUMMYFUNCTION("""COMPUTED_VALUE"""),"นายสมชาย ลักษณะสุวรรณ")</f>
        <v>นายสมชาย ลักษณะสุวรรณ</v>
      </c>
      <c r="L1746" s="1" t="str">
        <f>IFERROR(__xludf.DUMMYFUNCTION("""COMPUTED_VALUE"""),"15 K.Somchai L")</f>
        <v>15 K.Somchai L</v>
      </c>
      <c r="M1746" s="1" t="str">
        <f>IFERROR(__xludf.DUMMYFUNCTION("""COMPUTED_VALUE"""),"0655107372")</f>
        <v>0655107372</v>
      </c>
      <c r="N1746" s="3">
        <f>IFERROR(__xludf.DUMMYFUNCTION("""COMPUTED_VALUE"""),21723.0)</f>
        <v>21723</v>
      </c>
      <c r="O1746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46" s="4">
        <f>IFERROR(__xludf.DUMMYFUNCTION("""COMPUTED_VALUE"""),44558.0)</f>
        <v>44558</v>
      </c>
      <c r="Q1746" s="3" t="str">
        <f>IFERROR(__xludf.DUMMYFUNCTION("""COMPUTED_VALUE"""),"A")</f>
        <v>A</v>
      </c>
      <c r="R1746" s="3" t="str">
        <f>IFERROR(__xludf.DUMMYFUNCTION("""COMPUTED_VALUE"""),"Small Format")</f>
        <v>Small Format</v>
      </c>
      <c r="S1746" s="3" t="str">
        <f>IFERROR(__xludf.DUMMYFUNCTION("""COMPUTED_VALUE"""),"BCM")</f>
        <v>BCM</v>
      </c>
      <c r="T1746" s="3" t="str">
        <f>IFERROR(__xludf.DUMMYFUNCTION("""COMPUTED_VALUE"""),"#N/A")</f>
        <v>#N/A</v>
      </c>
      <c r="U1746" s="3" t="str">
        <f>IFERROR(__xludf.DUMMYFUNCTION("""COMPUTED_VALUE"""),"#N/A")</f>
        <v>#N/A</v>
      </c>
      <c r="V1746" s="3" t="str">
        <f>IFERROR(__xludf.DUMMYFUNCTION("""COMPUTED_VALUE"""),"N")</f>
        <v>N</v>
      </c>
      <c r="W1746" s="3">
        <f>IFERROR(__xludf.DUMMYFUNCTION("""COMPUTED_VALUE"""),210463.0)</f>
        <v>210463</v>
      </c>
      <c r="X1746" s="3" t="str">
        <f>IFERROR(__xludf.DUMMYFUNCTION("""COMPUTED_VALUE"""),"24/11 หมู่ 1 ตำบลดุชงญอ อำเภอจะเนะ จังหวัดนราธิวาส 96220")</f>
        <v>24/11 หมู่ 1 ตำบลดุชงญอ อำเภอจะเนะ จังหวัดนราธิวาส 96220</v>
      </c>
      <c r="Y1746" s="3"/>
      <c r="Z1746" s="3" t="str">
        <f>IFERROR(__xludf.DUMMYFUNCTION("""COMPUTED_VALUE"""),"ชงญอ")</f>
        <v>ชงญอ</v>
      </c>
      <c r="AA1746" s="3" t="str">
        <f>IFERROR(__xludf.DUMMYFUNCTION("""COMPUTED_VALUE"""),"จะเนะ")</f>
        <v>จะเนะ</v>
      </c>
      <c r="AB1746" s="3" t="str">
        <f>IFERROR(__xludf.DUMMYFUNCTION("""COMPUTED_VALUE"""),"นราธิวาส")</f>
        <v>นราธิวาส</v>
      </c>
      <c r="AC1746" s="3">
        <f>IFERROR(__xludf.DUMMYFUNCTION("""COMPUTED_VALUE"""),96220.0)</f>
        <v>96220</v>
      </c>
      <c r="AD1746" s="3">
        <f>IFERROR(__xludf.DUMMYFUNCTION("""COMPUTED_VALUE"""),6.173982)</f>
        <v>6.173982</v>
      </c>
      <c r="AE1746" s="3">
        <f>IFERROR(__xludf.DUMMYFUNCTION("""COMPUTED_VALUE"""),101.701509)</f>
        <v>101.701509</v>
      </c>
      <c r="AF1746" s="3" t="str">
        <f>IFERROR(__xludf.DUMMYFUNCTION("""COMPUTED_VALUE"""),"MBC ดุซงญอ นราธิวาส-22432")</f>
        <v>MBC ดุซงญอ นราธิวาส-22432</v>
      </c>
      <c r="AG1746" s="3" t="str">
        <f>IFERROR(__xludf.DUMMYFUNCTION("""COMPUTED_VALUE"""),"ใต้")</f>
        <v>ใต้</v>
      </c>
      <c r="AH1746" s="3" t="str">
        <f>IFERROR(__xludf.DUMMYFUNCTION("""COMPUTED_VALUE"""),"#N/A")</f>
        <v>#N/A</v>
      </c>
      <c r="AI1746" s="3" t="str">
        <f>IFERROR(__xludf.DUMMYFUNCTION("""COMPUTED_VALUE"""),"Out of warranty")</f>
        <v>Out of warranty</v>
      </c>
      <c r="AJ1746" s="3">
        <f>IFERROR(__xludf.DUMMYFUNCTION("""COMPUTED_VALUE"""),49.0)</f>
        <v>49</v>
      </c>
      <c r="AK1746" s="3" t="str">
        <f>IFERROR(__xludf.DUMMYFUNCTION("""COMPUTED_VALUE"""),"MMS16")</f>
        <v>MMS16</v>
      </c>
      <c r="AL1746" s="3"/>
    </row>
    <row r="1747" ht="15.75" customHeight="1">
      <c r="A1747" s="1" t="str">
        <f>IFERROR(__xludf.DUMMYFUNCTION("""COMPUTED_VALUE"""),"22433")</f>
        <v>22433</v>
      </c>
      <c r="B1747" s="2">
        <f>IFERROR(__xludf.DUMMYFUNCTION("""COMPUTED_VALUE"""),22433.0)</f>
        <v>22433</v>
      </c>
      <c r="C1747" s="3" t="str">
        <f>IFERROR(__xludf.DUMMYFUNCTION("""COMPUTED_VALUE"""),"MBC ช.ประชาทร กรุงเทพฯ")</f>
        <v>MBC ช.ประชาทร กรุงเทพฯ</v>
      </c>
      <c r="D1747" s="3" t="str">
        <f>IFERROR(__xludf.DUMMYFUNCTION("""COMPUTED_VALUE"""),"BCM SOI PRACHATORN")</f>
        <v>BCM SOI PRACHATORN</v>
      </c>
      <c r="E1747" s="1" t="str">
        <f>IFERROR(__xludf.DUMMYFUNCTION("""COMPUTED_VALUE"""),"บิ๊กซี MINI")</f>
        <v>บิ๊กซี MINI</v>
      </c>
      <c r="F1747" s="1" t="str">
        <f>IFERROR(__xludf.DUMMYFUNCTION("""COMPUTED_VALUE"""),"291008")</f>
        <v>291008</v>
      </c>
      <c r="G1747" s="1" t="str">
        <f>IFERROR(__xludf.DUMMYFUNCTION("""COMPUTED_VALUE"""),"น.ส.รัชดาพร อีศรัตน์")</f>
        <v>น.ส.รัชดาพร อีศรัตน์</v>
      </c>
      <c r="H1747" s="1" t="str">
        <f>IFERROR(__xludf.DUMMYFUNCTION("""COMPUTED_VALUE"""),"359054")</f>
        <v>359054</v>
      </c>
      <c r="I1747" s="1" t="str">
        <f>IFERROR(__xludf.DUMMYFUNCTION("""COMPUTED_VALUE"""),"น.ส.กรรณิการ์ พุทธวงค์")</f>
        <v>น.ส.กรรณิการ์ พุทธวงค์</v>
      </c>
      <c r="J1747" s="3">
        <f>IFERROR(__xludf.DUMMYFUNCTION("""COMPUTED_VALUE"""),2452378.0)</f>
        <v>2452378</v>
      </c>
      <c r="K1747" s="3" t="str">
        <f>IFERROR(__xludf.DUMMYFUNCTION("""COMPUTED_VALUE"""),"นายศักดิ์ดา พวงประดับ")</f>
        <v>นายศักดิ์ดา พวงประดับ</v>
      </c>
      <c r="L1747" s="1" t="str">
        <f>IFERROR(__xludf.DUMMYFUNCTION("""COMPUTED_VALUE"""),"11 K.Sakda P.")</f>
        <v>11 K.Sakda P.</v>
      </c>
      <c r="M1747" s="1" t="str">
        <f>IFERROR(__xludf.DUMMYFUNCTION("""COMPUTED_VALUE"""),"065-929-1279")</f>
        <v>065-929-1279</v>
      </c>
      <c r="N1747" s="3">
        <f>IFERROR(__xludf.DUMMYFUNCTION("""COMPUTED_VALUE"""),21002.0)</f>
        <v>21002</v>
      </c>
      <c r="O1747" s="3" t="str">
        <f>IFERROR(__xludf.DUMMYFUNCTION("""COMPUTED_VALUE"""),"MBC อุดมสุข")</f>
        <v>MBC อุดมสุข</v>
      </c>
      <c r="P1747" s="4">
        <f>IFERROR(__xludf.DUMMYFUNCTION("""COMPUTED_VALUE"""),44560.0)</f>
        <v>44560</v>
      </c>
      <c r="Q1747" s="3" t="str">
        <f>IFERROR(__xludf.DUMMYFUNCTION("""COMPUTED_VALUE"""),"A")</f>
        <v>A</v>
      </c>
      <c r="R1747" s="3" t="str">
        <f>IFERROR(__xludf.DUMMYFUNCTION("""COMPUTED_VALUE"""),"Small Format")</f>
        <v>Small Format</v>
      </c>
      <c r="S1747" s="3" t="str">
        <f>IFERROR(__xludf.DUMMYFUNCTION("""COMPUTED_VALUE"""),"BCM")</f>
        <v>BCM</v>
      </c>
      <c r="T1747" s="3" t="str">
        <f>IFERROR(__xludf.DUMMYFUNCTION("""COMPUTED_VALUE"""),"#N/A")</f>
        <v>#N/A</v>
      </c>
      <c r="U1747" s="3" t="str">
        <f>IFERROR(__xludf.DUMMYFUNCTION("""COMPUTED_VALUE"""),"#N/A")</f>
        <v>#N/A</v>
      </c>
      <c r="V1747" s="3" t="str">
        <f>IFERROR(__xludf.DUMMYFUNCTION("""COMPUTED_VALUE"""),"N")</f>
        <v>N</v>
      </c>
      <c r="W1747" s="3">
        <f>IFERROR(__xludf.DUMMYFUNCTION("""COMPUTED_VALUE"""),210445.0)</f>
        <v>210445</v>
      </c>
      <c r="X1747" s="3" t="str">
        <f>IFERROR(__xludf.DUMMYFUNCTION("""COMPUTED_VALUE"""),"807 ถนนประชาทร แขวงลาดกระบัง เขตลาดกระบัง จังหวัดกรุงเทพมหานคร 10520")</f>
        <v>807 ถนนประชาทร แขวงลาดกระบัง เขตลาดกระบัง จังหวัดกรุงเทพมหานคร 10520</v>
      </c>
      <c r="Y1747" s="3" t="str">
        <f>IFERROR(__xludf.DUMMYFUNCTION("""COMPUTED_VALUE"""),"ประชาทร")</f>
        <v>ประชาทร</v>
      </c>
      <c r="Z1747" s="3" t="str">
        <f>IFERROR(__xludf.DUMMYFUNCTION("""COMPUTED_VALUE"""),"ลาดกระบัง")</f>
        <v>ลาดกระบัง</v>
      </c>
      <c r="AA1747" s="3" t="str">
        <f>IFERROR(__xludf.DUMMYFUNCTION("""COMPUTED_VALUE"""),"ลาดกระบัง")</f>
        <v>ลาดกระบัง</v>
      </c>
      <c r="AB1747" s="3" t="str">
        <f>IFERROR(__xludf.DUMMYFUNCTION("""COMPUTED_VALUE"""),"กรุงเทพมหานคร")</f>
        <v>กรุงเทพมหานคร</v>
      </c>
      <c r="AC1747" s="3">
        <f>IFERROR(__xludf.DUMMYFUNCTION("""COMPUTED_VALUE"""),10520.0)</f>
        <v>10520</v>
      </c>
      <c r="AD1747" s="3">
        <f>IFERROR(__xludf.DUMMYFUNCTION("""COMPUTED_VALUE"""),13.726993)</f>
        <v>13.726993</v>
      </c>
      <c r="AE1747" s="3">
        <f>IFERROR(__xludf.DUMMYFUNCTION("""COMPUTED_VALUE"""),100.722492)</f>
        <v>100.722492</v>
      </c>
      <c r="AF1747" s="3" t="str">
        <f>IFERROR(__xludf.DUMMYFUNCTION("""COMPUTED_VALUE"""),"MBC ช.ประชาทร กรุงเทพฯ-22433")</f>
        <v>MBC ช.ประชาทร กรุงเทพฯ-22433</v>
      </c>
      <c r="AG1747" s="3" t="str">
        <f>IFERROR(__xludf.DUMMYFUNCTION("""COMPUTED_VALUE"""),"กลาง")</f>
        <v>กลาง</v>
      </c>
      <c r="AH1747" s="3" t="str">
        <f>IFERROR(__xludf.DUMMYFUNCTION("""COMPUTED_VALUE"""),"#N/A")</f>
        <v>#N/A</v>
      </c>
      <c r="AI1747" s="3" t="str">
        <f>IFERROR(__xludf.DUMMYFUNCTION("""COMPUTED_VALUE"""),"Out of warranty")</f>
        <v>Out of warranty</v>
      </c>
      <c r="AJ1747" s="3">
        <f>IFERROR(__xludf.DUMMYFUNCTION("""COMPUTED_VALUE"""),49.0)</f>
        <v>49</v>
      </c>
      <c r="AK1747" s="3" t="str">
        <f>IFERROR(__xludf.DUMMYFUNCTION("""COMPUTED_VALUE"""),"MMS03")</f>
        <v>MMS03</v>
      </c>
      <c r="AL1747" s="3"/>
    </row>
    <row r="1748" ht="15.75" customHeight="1">
      <c r="A1748" s="1" t="str">
        <f>IFERROR(__xludf.DUMMYFUNCTION("""COMPUTED_VALUE"""),"22434")</f>
        <v>22434</v>
      </c>
      <c r="B1748" s="2">
        <f>IFERROR(__xludf.DUMMYFUNCTION("""COMPUTED_VALUE"""),22434.0)</f>
        <v>22434</v>
      </c>
      <c r="C1748" s="3" t="str">
        <f>IFERROR(__xludf.DUMMYFUNCTION("""COMPUTED_VALUE"""),"MBC กาบัง ยะลา")</f>
        <v>MBC กาบัง ยะลา</v>
      </c>
      <c r="D1748" s="3" t="str">
        <f>IFERROR(__xludf.DUMMYFUNCTION("""COMPUTED_VALUE"""),"BCM KABANG YALA")</f>
        <v>BCM KABANG YALA</v>
      </c>
      <c r="E1748" s="1" t="str">
        <f>IFERROR(__xludf.DUMMYFUNCTION("""COMPUTED_VALUE"""),"บิ๊กซี MINI")</f>
        <v>บิ๊กซี MINI</v>
      </c>
      <c r="F1748" s="1" t="str">
        <f>IFERROR(__xludf.DUMMYFUNCTION("""COMPUTED_VALUE"""),"250760")</f>
        <v>250760</v>
      </c>
      <c r="G1748" s="1" t="str">
        <f>IFERROR(__xludf.DUMMYFUNCTION("""COMPUTED_VALUE"""),"นายประทวน สาราบรรณ์")</f>
        <v>นายประทวน สาราบรรณ์</v>
      </c>
      <c r="H1748" s="1" t="str">
        <f>IFERROR(__xludf.DUMMYFUNCTION("""COMPUTED_VALUE"""),"485279")</f>
        <v>485279</v>
      </c>
      <c r="I1748" s="1" t="str">
        <f>IFERROR(__xludf.DUMMYFUNCTION("""COMPUTED_VALUE"""),"นายสิริพงศ์ ชูชื่น")</f>
        <v>นายสิริพงศ์ ชูชื่น</v>
      </c>
      <c r="J1748" s="3">
        <f>IFERROR(__xludf.DUMMYFUNCTION("""COMPUTED_VALUE"""),2.0470331E7)</f>
        <v>20470331</v>
      </c>
      <c r="K1748" s="3" t="str">
        <f>IFERROR(__xludf.DUMMYFUNCTION("""COMPUTED_VALUE"""),"นายสมชาย ลักษณะสุวรรณ")</f>
        <v>นายสมชาย ลักษณะสุวรรณ</v>
      </c>
      <c r="L1748" s="1" t="str">
        <f>IFERROR(__xludf.DUMMYFUNCTION("""COMPUTED_VALUE"""),"15 K.Somchai L")</f>
        <v>15 K.Somchai L</v>
      </c>
      <c r="M1748" s="1" t="str">
        <f>IFERROR(__xludf.DUMMYFUNCTION("""COMPUTED_VALUE"""),"0655107372")</f>
        <v>0655107372</v>
      </c>
      <c r="N1748" s="3">
        <f>IFERROR(__xludf.DUMMYFUNCTION("""COMPUTED_VALUE"""),21723.0)</f>
        <v>21723</v>
      </c>
      <c r="O1748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48" s="4">
        <f>IFERROR(__xludf.DUMMYFUNCTION("""COMPUTED_VALUE"""),44574.0)</f>
        <v>44574</v>
      </c>
      <c r="Q1748" s="3" t="str">
        <f>IFERROR(__xludf.DUMMYFUNCTION("""COMPUTED_VALUE"""),"A")</f>
        <v>A</v>
      </c>
      <c r="R1748" s="3" t="str">
        <f>IFERROR(__xludf.DUMMYFUNCTION("""COMPUTED_VALUE"""),"Small Format")</f>
        <v>Small Format</v>
      </c>
      <c r="S1748" s="3" t="str">
        <f>IFERROR(__xludf.DUMMYFUNCTION("""COMPUTED_VALUE"""),"BCM")</f>
        <v>BCM</v>
      </c>
      <c r="T1748" s="3" t="str">
        <f>IFERROR(__xludf.DUMMYFUNCTION("""COMPUTED_VALUE"""),"#N/A")</f>
        <v>#N/A</v>
      </c>
      <c r="U1748" s="3" t="str">
        <f>IFERROR(__xludf.DUMMYFUNCTION("""COMPUTED_VALUE"""),"#N/A")</f>
        <v>#N/A</v>
      </c>
      <c r="V1748" s="3" t="str">
        <f>IFERROR(__xludf.DUMMYFUNCTION("""COMPUTED_VALUE"""),"N")</f>
        <v>N</v>
      </c>
      <c r="W1748" s="3">
        <f>IFERROR(__xludf.DUMMYFUNCTION("""COMPUTED_VALUE"""),210482.0)</f>
        <v>210482</v>
      </c>
      <c r="X1748" s="3" t="str">
        <f>IFERROR(__xludf.DUMMYFUNCTION("""COMPUTED_VALUE"""),"28/11 หมู่ 1 ตำบลกาบัง อำเภอกาบัง จังหวัดยะลา 95120")</f>
        <v>28/11 หมู่ 1 ตำบลกาบัง อำเภอกาบัง จังหวัดยะลา 95120</v>
      </c>
      <c r="Y1748" s="3"/>
      <c r="Z1748" s="3" t="str">
        <f>IFERROR(__xludf.DUMMYFUNCTION("""COMPUTED_VALUE"""),"กาบัง")</f>
        <v>กาบัง</v>
      </c>
      <c r="AA1748" s="3" t="str">
        <f>IFERROR(__xludf.DUMMYFUNCTION("""COMPUTED_VALUE"""),"กาบัง")</f>
        <v>กาบัง</v>
      </c>
      <c r="AB1748" s="3" t="str">
        <f>IFERROR(__xludf.DUMMYFUNCTION("""COMPUTED_VALUE"""),"ยะลา")</f>
        <v>ยะลา</v>
      </c>
      <c r="AC1748" s="3">
        <f>IFERROR(__xludf.DUMMYFUNCTION("""COMPUTED_VALUE"""),95120.0)</f>
        <v>95120</v>
      </c>
      <c r="AD1748" s="3">
        <f>IFERROR(__xludf.DUMMYFUNCTION("""COMPUTED_VALUE"""),6.478794)</f>
        <v>6.478794</v>
      </c>
      <c r="AE1748" s="3">
        <f>IFERROR(__xludf.DUMMYFUNCTION("""COMPUTED_VALUE"""),101.020513)</f>
        <v>101.020513</v>
      </c>
      <c r="AF1748" s="3" t="str">
        <f>IFERROR(__xludf.DUMMYFUNCTION("""COMPUTED_VALUE"""),"MBC กาบัง ยะลา-22434")</f>
        <v>MBC กาบัง ยะลา-22434</v>
      </c>
      <c r="AG1748" s="3" t="str">
        <f>IFERROR(__xludf.DUMMYFUNCTION("""COMPUTED_VALUE"""),"ใต้")</f>
        <v>ใต้</v>
      </c>
      <c r="AH1748" s="3" t="str">
        <f>IFERROR(__xludf.DUMMYFUNCTION("""COMPUTED_VALUE"""),"#N/A")</f>
        <v>#N/A</v>
      </c>
      <c r="AI1748" s="3" t="str">
        <f>IFERROR(__xludf.DUMMYFUNCTION("""COMPUTED_VALUE"""),"Out of warranty")</f>
        <v>Out of warranty</v>
      </c>
      <c r="AJ1748" s="3">
        <f>IFERROR(__xludf.DUMMYFUNCTION("""COMPUTED_VALUE"""),49.0)</f>
        <v>49</v>
      </c>
      <c r="AK1748" s="3" t="str">
        <f>IFERROR(__xludf.DUMMYFUNCTION("""COMPUTED_VALUE"""),"MMS16")</f>
        <v>MMS16</v>
      </c>
      <c r="AL1748" s="3"/>
    </row>
    <row r="1749" ht="15.75" customHeight="1">
      <c r="A1749" s="1" t="str">
        <f>IFERROR(__xludf.DUMMYFUNCTION("""COMPUTED_VALUE"""),"22435")</f>
        <v>22435</v>
      </c>
      <c r="B1749" s="2">
        <f>IFERROR(__xludf.DUMMYFUNCTION("""COMPUTED_VALUE"""),22435.0)</f>
        <v>22435</v>
      </c>
      <c r="C1749" s="3" t="str">
        <f>IFERROR(__xludf.DUMMYFUNCTION("""COMPUTED_VALUE"""),"MBC ตลาดทับช้าง จันทบุรี")</f>
        <v>MBC ตลาดทับช้าง จันทบุรี</v>
      </c>
      <c r="D1749" s="3" t="str">
        <f>IFERROR(__xludf.DUMMYFUNCTION("""COMPUTED_VALUE"""),"BCM TALAD THAB CHANG")</f>
        <v>BCM TALAD THAB CHANG</v>
      </c>
      <c r="E1749" s="1" t="str">
        <f>IFERROR(__xludf.DUMMYFUNCTION("""COMPUTED_VALUE"""),"บิ๊กซี MINI")</f>
        <v>บิ๊กซี MINI</v>
      </c>
      <c r="F1749" s="1" t="str">
        <f>IFERROR(__xludf.DUMMYFUNCTION("""COMPUTED_VALUE"""),"221716")</f>
        <v>221716</v>
      </c>
      <c r="G1749" s="1" t="str">
        <f>IFERROR(__xludf.DUMMYFUNCTION("""COMPUTED_VALUE"""),"น.ส.เบญจพร โพธิสาร")</f>
        <v>น.ส.เบญจพร โพธิสาร</v>
      </c>
      <c r="H1749" s="1" t="str">
        <f>IFERROR(__xludf.DUMMYFUNCTION("""COMPUTED_VALUE"""),"318151")</f>
        <v>318151</v>
      </c>
      <c r="I1749" s="1" t="str">
        <f>IFERROR(__xludf.DUMMYFUNCTION("""COMPUTED_VALUE"""),"นายพลฬกฤตต์ เนตมณี")</f>
        <v>นายพลฬกฤตต์ เนตมณี</v>
      </c>
      <c r="J1749" s="3">
        <f>IFERROR(__xludf.DUMMYFUNCTION("""COMPUTED_VALUE"""),3510104.0)</f>
        <v>3510104</v>
      </c>
      <c r="K1749" s="3" t="str">
        <f>IFERROR(__xludf.DUMMYFUNCTION("""COMPUTED_VALUE"""),"นายวิโรจน์ อับดุลสมัด")</f>
        <v>นายวิโรจน์ อับดุลสมัด</v>
      </c>
      <c r="L1749" s="1" t="str">
        <f>IFERROR(__xludf.DUMMYFUNCTION("""COMPUTED_VALUE"""),"09 K.Wirode A")</f>
        <v>09 K.Wirode A</v>
      </c>
      <c r="M1749" s="1" t="str">
        <f>IFERROR(__xludf.DUMMYFUNCTION("""COMPUTED_VALUE"""),"080-235-4465")</f>
        <v>080-235-4465</v>
      </c>
      <c r="N1749" s="3">
        <f>IFERROR(__xludf.DUMMYFUNCTION("""COMPUTED_VALUE"""),21324.0)</f>
        <v>21324</v>
      </c>
      <c r="O1749" s="3" t="str">
        <f>IFERROR(__xludf.DUMMYFUNCTION("""COMPUTED_VALUE"""),"MBC BCP สุวินทวงศ์")</f>
        <v>MBC BCP สุวินทวงศ์</v>
      </c>
      <c r="P1749" s="4">
        <f>IFERROR(__xludf.DUMMYFUNCTION("""COMPUTED_VALUE"""),44558.0)</f>
        <v>44558</v>
      </c>
      <c r="Q1749" s="3" t="str">
        <f>IFERROR(__xludf.DUMMYFUNCTION("""COMPUTED_VALUE"""),"I")</f>
        <v>I</v>
      </c>
      <c r="R1749" s="3" t="str">
        <f>IFERROR(__xludf.DUMMYFUNCTION("""COMPUTED_VALUE"""),"Small Format")</f>
        <v>Small Format</v>
      </c>
      <c r="S1749" s="3" t="str">
        <f>IFERROR(__xludf.DUMMYFUNCTION("""COMPUTED_VALUE"""),"BCM")</f>
        <v>BCM</v>
      </c>
      <c r="T1749" s="3" t="str">
        <f>IFERROR(__xludf.DUMMYFUNCTION("""COMPUTED_VALUE"""),"#N/A")</f>
        <v>#N/A</v>
      </c>
      <c r="U1749" s="3" t="str">
        <f>IFERROR(__xludf.DUMMYFUNCTION("""COMPUTED_VALUE"""),"#N/A")</f>
        <v>#N/A</v>
      </c>
      <c r="V1749" s="3" t="str">
        <f>IFERROR(__xludf.DUMMYFUNCTION("""COMPUTED_VALUE"""),"N")</f>
        <v>N</v>
      </c>
      <c r="W1749" s="3">
        <f>IFERROR(__xludf.DUMMYFUNCTION("""COMPUTED_VALUE"""),210489.0)</f>
        <v>210489</v>
      </c>
      <c r="X1749" s="3" t="str">
        <f>IFERROR(__xludf.DUMMYFUNCTION("""COMPUTED_VALUE"""),"88/1-4 หมู่ 1 ตำบลทับช้าง อำเภอสอยดาว จังหวัดจันทบุรี 22180")</f>
        <v>88/1-4 หมู่ 1 ตำบลทับช้าง อำเภอสอยดาว จังหวัดจันทบุรี 22180</v>
      </c>
      <c r="Y1749" s="3"/>
      <c r="Z1749" s="3" t="str">
        <f>IFERROR(__xludf.DUMMYFUNCTION("""COMPUTED_VALUE"""),"ทับช้าง")</f>
        <v>ทับช้าง</v>
      </c>
      <c r="AA1749" s="3" t="str">
        <f>IFERROR(__xludf.DUMMYFUNCTION("""COMPUTED_VALUE"""),"สอยดาว")</f>
        <v>สอยดาว</v>
      </c>
      <c r="AB1749" s="3" t="str">
        <f>IFERROR(__xludf.DUMMYFUNCTION("""COMPUTED_VALUE"""),"จันทบุรี")</f>
        <v>จันทบุรี</v>
      </c>
      <c r="AC1749" s="3">
        <f>IFERROR(__xludf.DUMMYFUNCTION("""COMPUTED_VALUE"""),22180.0)</f>
        <v>22180</v>
      </c>
      <c r="AD1749" s="3">
        <f>IFERROR(__xludf.DUMMYFUNCTION("""COMPUTED_VALUE"""),13.232186)</f>
        <v>13.232186</v>
      </c>
      <c r="AE1749" s="3">
        <f>IFERROR(__xludf.DUMMYFUNCTION("""COMPUTED_VALUE"""),102.18309)</f>
        <v>102.18309</v>
      </c>
      <c r="AF1749" s="3" t="str">
        <f>IFERROR(__xludf.DUMMYFUNCTION("""COMPUTED_VALUE"""),"MBC ตลาดทับช้าง จันทบุรี-22435")</f>
        <v>MBC ตลาดทับช้าง จันทบุรี-22435</v>
      </c>
      <c r="AG1749" s="3" t="str">
        <f>IFERROR(__xludf.DUMMYFUNCTION("""COMPUTED_VALUE"""),"ตะวันออก")</f>
        <v>ตะวันออก</v>
      </c>
      <c r="AH1749" s="3" t="str">
        <f>IFERROR(__xludf.DUMMYFUNCTION("""COMPUTED_VALUE"""),"#N/A")</f>
        <v>#N/A</v>
      </c>
      <c r="AI1749" s="3" t="str">
        <f>IFERROR(__xludf.DUMMYFUNCTION("""COMPUTED_VALUE"""),"Out of warranty")</f>
        <v>Out of warranty</v>
      </c>
      <c r="AJ1749" s="3">
        <f>IFERROR(__xludf.DUMMYFUNCTION("""COMPUTED_VALUE"""),49.0)</f>
        <v>49</v>
      </c>
      <c r="AK1749" s="3" t="str">
        <f>IFERROR(__xludf.DUMMYFUNCTION("""COMPUTED_VALUE"""),"MMS08")</f>
        <v>MMS08</v>
      </c>
      <c r="AL1749" s="3"/>
    </row>
    <row r="1750" ht="15.75" customHeight="1">
      <c r="A1750" s="1" t="str">
        <f>IFERROR(__xludf.DUMMYFUNCTION("""COMPUTED_VALUE"""),"22436")</f>
        <v>22436</v>
      </c>
      <c r="B1750" s="2">
        <f>IFERROR(__xludf.DUMMYFUNCTION("""COMPUTED_VALUE"""),22436.0)</f>
        <v>22436</v>
      </c>
      <c r="C1750" s="3" t="str">
        <f>IFERROR(__xludf.DUMMYFUNCTION("""COMPUTED_VALUE"""),"MBC ชุมชนหนองพอก ร้อยเอ็ด")</f>
        <v>MBC ชุมชนหนองพอก ร้อยเอ็ด</v>
      </c>
      <c r="D1750" s="3" t="str">
        <f>IFERROR(__xludf.DUMMYFUNCTION("""COMPUTED_VALUE"""),"BCM CHUMCHON NONG PHOK ROI ET")</f>
        <v>BCM CHUMCHON NONG PHOK ROI ET</v>
      </c>
      <c r="E1750" s="1" t="str">
        <f>IFERROR(__xludf.DUMMYFUNCTION("""COMPUTED_VALUE"""),"บิ๊กซี MINI")</f>
        <v>บิ๊กซี MINI</v>
      </c>
      <c r="F1750" s="1" t="str">
        <f>IFERROR(__xludf.DUMMYFUNCTION("""COMPUTED_VALUE"""),"291105")</f>
        <v>291105</v>
      </c>
      <c r="G1750" s="1" t="str">
        <f>IFERROR(__xludf.DUMMYFUNCTION("""COMPUTED_VALUE"""),"นายสราวุฒิ พณิชยกุล")</f>
        <v>นายสราวุฒิ พณิชยกุล</v>
      </c>
      <c r="H1750" s="1" t="str">
        <f>IFERROR(__xludf.DUMMYFUNCTION("""COMPUTED_VALUE"""),"398136")</f>
        <v>398136</v>
      </c>
      <c r="I1750" s="1" t="str">
        <f>IFERROR(__xludf.DUMMYFUNCTION("""COMPUTED_VALUE"""),"นายประยูร ธาดาวงษา")</f>
        <v>นายประยูร ธาดาวงษา</v>
      </c>
      <c r="J1750" s="3">
        <f>IFERROR(__xludf.DUMMYFUNCTION("""COMPUTED_VALUE"""),15361.0)</f>
        <v>15361</v>
      </c>
      <c r="K1750" s="3" t="str">
        <f>IFERROR(__xludf.DUMMYFUNCTION("""COMPUTED_VALUE"""),"นายสมบูรณ์ พรหมในเมือง")</f>
        <v>นายสมบูรณ์ พรหมในเมือง</v>
      </c>
      <c r="L1750" s="1" t="str">
        <f>IFERROR(__xludf.DUMMYFUNCTION("""COMPUTED_VALUE"""),"04 K.Somboon P.")</f>
        <v>04 K.Somboon P.</v>
      </c>
      <c r="M1750" s="1" t="str">
        <f>IFERROR(__xludf.DUMMYFUNCTION("""COMPUTED_VALUE"""),"087-965-3051")</f>
        <v>087-965-3051</v>
      </c>
      <c r="N1750" s="3">
        <f>IFERROR(__xludf.DUMMYFUNCTION("""COMPUTED_VALUE"""),21869.0)</f>
        <v>21869</v>
      </c>
      <c r="O1750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750" s="4">
        <f>IFERROR(__xludf.DUMMYFUNCTION("""COMPUTED_VALUE"""),44574.0)</f>
        <v>44574</v>
      </c>
      <c r="Q1750" s="3" t="str">
        <f>IFERROR(__xludf.DUMMYFUNCTION("""COMPUTED_VALUE"""),"A")</f>
        <v>A</v>
      </c>
      <c r="R1750" s="3" t="str">
        <f>IFERROR(__xludf.DUMMYFUNCTION("""COMPUTED_VALUE"""),"Small Format")</f>
        <v>Small Format</v>
      </c>
      <c r="S1750" s="3" t="str">
        <f>IFERROR(__xludf.DUMMYFUNCTION("""COMPUTED_VALUE"""),"BCM")</f>
        <v>BCM</v>
      </c>
      <c r="T1750" s="3" t="str">
        <f>IFERROR(__xludf.DUMMYFUNCTION("""COMPUTED_VALUE"""),"#N/A")</f>
        <v>#N/A</v>
      </c>
      <c r="U1750" s="3" t="str">
        <f>IFERROR(__xludf.DUMMYFUNCTION("""COMPUTED_VALUE"""),"#N/A")</f>
        <v>#N/A</v>
      </c>
      <c r="V1750" s="3" t="str">
        <f>IFERROR(__xludf.DUMMYFUNCTION("""COMPUTED_VALUE"""),"N")</f>
        <v>N</v>
      </c>
      <c r="W1750" s="3">
        <f>IFERROR(__xludf.DUMMYFUNCTION("""COMPUTED_VALUE"""),210502.0)</f>
        <v>210502</v>
      </c>
      <c r="X1750" s="3" t="str">
        <f>IFERROR(__xludf.DUMMYFUNCTION("""COMPUTED_VALUE"""),"195 หมู่ 9 ตำบลรอบเมือง อำเภอหนองพอก จังหวัดร้อยเอ็ด 45210")</f>
        <v>195 หมู่ 9 ตำบลรอบเมือง อำเภอหนองพอก จังหวัดร้อยเอ็ด 45210</v>
      </c>
      <c r="Y1750" s="3"/>
      <c r="Z1750" s="3" t="str">
        <f>IFERROR(__xludf.DUMMYFUNCTION("""COMPUTED_VALUE"""),"รอบเมือง")</f>
        <v>รอบเมือง</v>
      </c>
      <c r="AA1750" s="3" t="str">
        <f>IFERROR(__xludf.DUMMYFUNCTION("""COMPUTED_VALUE"""),"หนองพอก")</f>
        <v>หนองพอก</v>
      </c>
      <c r="AB1750" s="3" t="str">
        <f>IFERROR(__xludf.DUMMYFUNCTION("""COMPUTED_VALUE"""),"ร้อยเอ็ด")</f>
        <v>ร้อยเอ็ด</v>
      </c>
      <c r="AC1750" s="3">
        <f>IFERROR(__xludf.DUMMYFUNCTION("""COMPUTED_VALUE"""),45210.0)</f>
        <v>45210</v>
      </c>
      <c r="AD1750" s="3">
        <f>IFERROR(__xludf.DUMMYFUNCTION("""COMPUTED_VALUE"""),16.31028)</f>
        <v>16.31028</v>
      </c>
      <c r="AE1750" s="3">
        <f>IFERROR(__xludf.DUMMYFUNCTION("""COMPUTED_VALUE"""),104.20614)</f>
        <v>104.20614</v>
      </c>
      <c r="AF1750" s="3" t="str">
        <f>IFERROR(__xludf.DUMMYFUNCTION("""COMPUTED_VALUE"""),"MBC ชุมชนหนองพอก ร้อยเอ็ด-22436")</f>
        <v>MBC ชุมชนหนองพอก ร้อยเอ็ด-22436</v>
      </c>
      <c r="AG1750" s="3" t="str">
        <f>IFERROR(__xludf.DUMMYFUNCTION("""COMPUTED_VALUE"""),"ตะวันออกเฉียงเหนือ")</f>
        <v>ตะวันออกเฉียงเหนือ</v>
      </c>
      <c r="AH1750" s="3" t="str">
        <f>IFERROR(__xludf.DUMMYFUNCTION("""COMPUTED_VALUE"""),"#N/A")</f>
        <v>#N/A</v>
      </c>
      <c r="AI1750" s="3" t="str">
        <f>IFERROR(__xludf.DUMMYFUNCTION("""COMPUTED_VALUE"""),"Out of warranty")</f>
        <v>Out of warranty</v>
      </c>
      <c r="AJ1750" s="3">
        <f>IFERROR(__xludf.DUMMYFUNCTION("""COMPUTED_VALUE"""),49.0)</f>
        <v>49</v>
      </c>
      <c r="AK1750" s="3" t="str">
        <f>IFERROR(__xludf.DUMMYFUNCTION("""COMPUTED_VALUE"""),"MMS13")</f>
        <v>MMS13</v>
      </c>
      <c r="AL1750" s="3"/>
    </row>
    <row r="1751" ht="15.75" customHeight="1">
      <c r="A1751" s="1" t="str">
        <f>IFERROR(__xludf.DUMMYFUNCTION("""COMPUTED_VALUE"""),"22437")</f>
        <v>22437</v>
      </c>
      <c r="B1751" s="2">
        <f>IFERROR(__xludf.DUMMYFUNCTION("""COMPUTED_VALUE"""),22437.0)</f>
        <v>22437</v>
      </c>
      <c r="C1751" s="3" t="str">
        <f>IFERROR(__xludf.DUMMYFUNCTION("""COMPUTED_VALUE"""),"MBC ลานกระบือ กำแพงเพชร")</f>
        <v>MBC ลานกระบือ กำแพงเพชร</v>
      </c>
      <c r="D1751" s="3" t="str">
        <f>IFERROR(__xludf.DUMMYFUNCTION("""COMPUTED_VALUE"""),"BCM LANKRABUE KAMPANGPHET")</f>
        <v>BCM LANKRABUE KAMPANGPHET</v>
      </c>
      <c r="E1751" s="1" t="str">
        <f>IFERROR(__xludf.DUMMYFUNCTION("""COMPUTED_VALUE"""),"บิ๊กซี MINI")</f>
        <v>บิ๊กซี MINI</v>
      </c>
      <c r="F1751" s="1" t="str">
        <f>IFERROR(__xludf.DUMMYFUNCTION("""COMPUTED_VALUE"""),"296229")</f>
        <v>296229</v>
      </c>
      <c r="G1751" s="1" t="str">
        <f>IFERROR(__xludf.DUMMYFUNCTION("""COMPUTED_VALUE"""),"นายทนงศักดิ์ บุญมา")</f>
        <v>นายทนงศักดิ์ บุญมา</v>
      </c>
      <c r="H1751" s="1" t="str">
        <f>IFERROR(__xludf.DUMMYFUNCTION("""COMPUTED_VALUE"""),"373680")</f>
        <v>373680</v>
      </c>
      <c r="I1751" s="1" t="str">
        <f>IFERROR(__xludf.DUMMYFUNCTION("""COMPUTED_VALUE"""),"นายวสันต์ พรรณราย")</f>
        <v>นายวสันต์ พรรณราย</v>
      </c>
      <c r="J1751" s="3">
        <f>IFERROR(__xludf.DUMMYFUNCTION("""COMPUTED_VALUE"""),46214.0)</f>
        <v>46214</v>
      </c>
      <c r="K1751" s="3" t="str">
        <f>IFERROR(__xludf.DUMMYFUNCTION("""COMPUTED_VALUE"""),"นายศักดิ์ชัย เด็ดดอกฟ้า")</f>
        <v>นายศักดิ์ชัย เด็ดดอกฟ้า</v>
      </c>
      <c r="L1751" s="1" t="str">
        <f>IFERROR(__xludf.DUMMYFUNCTION("""COMPUTED_VALUE"""),"02 K.Sakchai D")</f>
        <v>02 K.Sakchai D</v>
      </c>
      <c r="M1751" s="1" t="str">
        <f>IFERROR(__xludf.DUMMYFUNCTION("""COMPUTED_VALUE"""),"065-510-7376")</f>
        <v>065-510-7376</v>
      </c>
      <c r="N1751" s="3">
        <f>IFERROR(__xludf.DUMMYFUNCTION("""COMPUTED_VALUE"""),21714.0)</f>
        <v>21714</v>
      </c>
      <c r="O1751" s="3" t="str">
        <f>IFERROR(__xludf.DUMMYFUNCTION("""COMPUTED_VALUE"""),"MBC เอสโซ่ วัดโบสถ์")</f>
        <v>MBC เอสโซ่ วัดโบสถ์</v>
      </c>
      <c r="P1751" s="4">
        <f>IFERROR(__xludf.DUMMYFUNCTION("""COMPUTED_VALUE"""),44578.0)</f>
        <v>44578</v>
      </c>
      <c r="Q1751" s="3" t="str">
        <f>IFERROR(__xludf.DUMMYFUNCTION("""COMPUTED_VALUE"""),"A")</f>
        <v>A</v>
      </c>
      <c r="R1751" s="3" t="str">
        <f>IFERROR(__xludf.DUMMYFUNCTION("""COMPUTED_VALUE"""),"Small Format")</f>
        <v>Small Format</v>
      </c>
      <c r="S1751" s="3" t="str">
        <f>IFERROR(__xludf.DUMMYFUNCTION("""COMPUTED_VALUE"""),"BCM")</f>
        <v>BCM</v>
      </c>
      <c r="T1751" s="3" t="str">
        <f>IFERROR(__xludf.DUMMYFUNCTION("""COMPUTED_VALUE"""),"#N/A")</f>
        <v>#N/A</v>
      </c>
      <c r="U1751" s="3" t="str">
        <f>IFERROR(__xludf.DUMMYFUNCTION("""COMPUTED_VALUE"""),"#N/A")</f>
        <v>#N/A</v>
      </c>
      <c r="V1751" s="3" t="str">
        <f>IFERROR(__xludf.DUMMYFUNCTION("""COMPUTED_VALUE"""),"N")</f>
        <v>N</v>
      </c>
      <c r="W1751" s="3">
        <f>IFERROR(__xludf.DUMMYFUNCTION("""COMPUTED_VALUE"""),210435.0)</f>
        <v>210435</v>
      </c>
      <c r="X1751" s="3" t="str">
        <f>IFERROR(__xludf.DUMMYFUNCTION("""COMPUTED_VALUE"""),"299/6-7 หมู่ 6 ตำบลลานกระบือ อำเภอลานกระบือ จังหวัดกำแพงเพชร 62170")</f>
        <v>299/6-7 หมู่ 6 ตำบลลานกระบือ อำเภอลานกระบือ จังหวัดกำแพงเพชร 62170</v>
      </c>
      <c r="Y1751" s="3"/>
      <c r="Z1751" s="3" t="str">
        <f>IFERROR(__xludf.DUMMYFUNCTION("""COMPUTED_VALUE"""),"ลานกระบือ")</f>
        <v>ลานกระบือ</v>
      </c>
      <c r="AA1751" s="3" t="str">
        <f>IFERROR(__xludf.DUMMYFUNCTION("""COMPUTED_VALUE"""),"ลานกระบือ")</f>
        <v>ลานกระบือ</v>
      </c>
      <c r="AB1751" s="3" t="str">
        <f>IFERROR(__xludf.DUMMYFUNCTION("""COMPUTED_VALUE"""),"กำแพงเพชร")</f>
        <v>กำแพงเพชร</v>
      </c>
      <c r="AC1751" s="3">
        <f>IFERROR(__xludf.DUMMYFUNCTION("""COMPUTED_VALUE"""),62170.0)</f>
        <v>62170</v>
      </c>
      <c r="AD1751" s="3">
        <f>IFERROR(__xludf.DUMMYFUNCTION("""COMPUTED_VALUE"""),16.600328)</f>
        <v>16.600328</v>
      </c>
      <c r="AE1751" s="3">
        <f>IFERROR(__xludf.DUMMYFUNCTION("""COMPUTED_VALUE"""),99.846977)</f>
        <v>99.846977</v>
      </c>
      <c r="AF1751" s="3" t="str">
        <f>IFERROR(__xludf.DUMMYFUNCTION("""COMPUTED_VALUE"""),"MBC ลานกระบือ กำแพงเพชร -22437")</f>
        <v>MBC ลานกระบือ กำแพงเพชร -22437</v>
      </c>
      <c r="AG1751" s="3" t="str">
        <f>IFERROR(__xludf.DUMMYFUNCTION("""COMPUTED_VALUE"""),"กลาง")</f>
        <v>กลาง</v>
      </c>
      <c r="AH1751" s="3" t="str">
        <f>IFERROR(__xludf.DUMMYFUNCTION("""COMPUTED_VALUE"""),"#N/A")</f>
        <v>#N/A</v>
      </c>
      <c r="AI1751" s="3" t="str">
        <f>IFERROR(__xludf.DUMMYFUNCTION("""COMPUTED_VALUE"""),"Out of warranty")</f>
        <v>Out of warranty</v>
      </c>
      <c r="AJ1751" s="3">
        <f>IFERROR(__xludf.DUMMYFUNCTION("""COMPUTED_VALUE"""),49.0)</f>
        <v>49</v>
      </c>
      <c r="AK1751" s="3" t="str">
        <f>IFERROR(__xludf.DUMMYFUNCTION("""COMPUTED_VALUE"""),"MMS09")</f>
        <v>MMS09</v>
      </c>
      <c r="AL1751" s="3"/>
    </row>
    <row r="1752" ht="15.75" customHeight="1">
      <c r="A1752" s="1" t="str">
        <f>IFERROR(__xludf.DUMMYFUNCTION("""COMPUTED_VALUE"""),"22438")</f>
        <v>22438</v>
      </c>
      <c r="B1752" s="2">
        <f>IFERROR(__xludf.DUMMYFUNCTION("""COMPUTED_VALUE"""),22438.0)</f>
        <v>22438</v>
      </c>
      <c r="C1752" s="3" t="str">
        <f>IFERROR(__xludf.DUMMYFUNCTION("""COMPUTED_VALUE"""),"MBC น้ำยืน อุบลราชธานี")</f>
        <v>MBC น้ำยืน อุบลราชธานี</v>
      </c>
      <c r="D1752" s="3" t="str">
        <f>IFERROR(__xludf.DUMMYFUNCTION("""COMPUTED_VALUE"""),"BCM NAM YUEN")</f>
        <v>BCM NAM YUEN</v>
      </c>
      <c r="E1752" s="1" t="str">
        <f>IFERROR(__xludf.DUMMYFUNCTION("""COMPUTED_VALUE"""),"บิ๊กซี MINI")</f>
        <v>บิ๊กซี MINI</v>
      </c>
      <c r="F1752" s="1" t="str">
        <f>IFERROR(__xludf.DUMMYFUNCTION("""COMPUTED_VALUE"""),"291105")</f>
        <v>291105</v>
      </c>
      <c r="G1752" s="1" t="str">
        <f>IFERROR(__xludf.DUMMYFUNCTION("""COMPUTED_VALUE"""),"นายสราวุฒิ พณิชยกุล")</f>
        <v>นายสราวุฒิ พณิชยกุล</v>
      </c>
      <c r="H1752" s="1" t="str">
        <f>IFERROR(__xludf.DUMMYFUNCTION("""COMPUTED_VALUE"""),"250772")</f>
        <v>250772</v>
      </c>
      <c r="I1752" s="1" t="str">
        <f>IFERROR(__xludf.DUMMYFUNCTION("""COMPUTED_VALUE"""),"น.ส.วรุณยุพา จรูญไธสง")</f>
        <v>น.ส.วรุณยุพา จรูญไธสง</v>
      </c>
      <c r="J1752" s="3">
        <f>IFERROR(__xludf.DUMMYFUNCTION("""COMPUTED_VALUE"""),2454781.0)</f>
        <v>2454781</v>
      </c>
      <c r="K1752" s="3" t="str">
        <f>IFERROR(__xludf.DUMMYFUNCTION("""COMPUTED_VALUE"""),"นายฌานกฤช นันทะโคต")</f>
        <v>นายฌานกฤช นันทะโคต</v>
      </c>
      <c r="L1752" s="1" t="str">
        <f>IFERROR(__xludf.DUMMYFUNCTION("""COMPUTED_VALUE"""),"05 K.Chanakrit N.")</f>
        <v>05 K.Chanakrit N.</v>
      </c>
      <c r="M1752" s="1" t="str">
        <f>IFERROR(__xludf.DUMMYFUNCTION("""COMPUTED_VALUE"""),"090-978-9785 ,065-929-1320")</f>
        <v>090-978-9785 ,065-929-1320</v>
      </c>
      <c r="N1752" s="3">
        <f>IFERROR(__xludf.DUMMYFUNCTION("""COMPUTED_VALUE"""),22195.0)</f>
        <v>22195</v>
      </c>
      <c r="O1752" s="3" t="str">
        <f>IFERROR(__xludf.DUMMYFUNCTION("""COMPUTED_VALUE"""),"MBC กันทรลักษ์ ศรีสะเกษ")</f>
        <v>MBC กันทรลักษ์ ศรีสะเกษ</v>
      </c>
      <c r="P1752" s="4">
        <f>IFERROR(__xludf.DUMMYFUNCTION("""COMPUTED_VALUE"""),44588.0)</f>
        <v>44588</v>
      </c>
      <c r="Q1752" s="3" t="str">
        <f>IFERROR(__xludf.DUMMYFUNCTION("""COMPUTED_VALUE"""),"A")</f>
        <v>A</v>
      </c>
      <c r="R1752" s="3" t="str">
        <f>IFERROR(__xludf.DUMMYFUNCTION("""COMPUTED_VALUE"""),"Small Format")</f>
        <v>Small Format</v>
      </c>
      <c r="S1752" s="3" t="str">
        <f>IFERROR(__xludf.DUMMYFUNCTION("""COMPUTED_VALUE"""),"BCM")</f>
        <v>BCM</v>
      </c>
      <c r="T1752" s="3" t="str">
        <f>IFERROR(__xludf.DUMMYFUNCTION("""COMPUTED_VALUE"""),"#N/A")</f>
        <v>#N/A</v>
      </c>
      <c r="U1752" s="3" t="str">
        <f>IFERROR(__xludf.DUMMYFUNCTION("""COMPUTED_VALUE"""),"#N/A")</f>
        <v>#N/A</v>
      </c>
      <c r="V1752" s="3" t="str">
        <f>IFERROR(__xludf.DUMMYFUNCTION("""COMPUTED_VALUE"""),"N")</f>
        <v>N</v>
      </c>
      <c r="W1752" s="3">
        <f>IFERROR(__xludf.DUMMYFUNCTION("""COMPUTED_VALUE"""),210368.0)</f>
        <v>210368</v>
      </c>
      <c r="X1752" s="3" t="str">
        <f>IFERROR(__xludf.DUMMYFUNCTION("""COMPUTED_VALUE"""),"555 หมู่ที่1 ตำบลสีวิเชียร อำเภอน้ำยืน จังหวัดอุบลราชธานี 34260")</f>
        <v>555 หมู่ที่1 ตำบลสีวิเชียร อำเภอน้ำยืน จังหวัดอุบลราชธานี 34260</v>
      </c>
      <c r="Y1752" s="3"/>
      <c r="Z1752" s="3" t="str">
        <f>IFERROR(__xludf.DUMMYFUNCTION("""COMPUTED_VALUE"""),"สีวิเชียร")</f>
        <v>สีวิเชียร</v>
      </c>
      <c r="AA1752" s="3" t="str">
        <f>IFERROR(__xludf.DUMMYFUNCTION("""COMPUTED_VALUE"""),"น้ำยืน")</f>
        <v>น้ำยืน</v>
      </c>
      <c r="AB1752" s="3" t="str">
        <f>IFERROR(__xludf.DUMMYFUNCTION("""COMPUTED_VALUE"""),"อุบลราชธานี")</f>
        <v>อุบลราชธานี</v>
      </c>
      <c r="AC1752" s="3">
        <f>IFERROR(__xludf.DUMMYFUNCTION("""COMPUTED_VALUE"""),34260.0)</f>
        <v>34260</v>
      </c>
      <c r="AD1752" s="3">
        <f>IFERROR(__xludf.DUMMYFUNCTION("""COMPUTED_VALUE"""),14.488891)</f>
        <v>14.488891</v>
      </c>
      <c r="AE1752" s="3">
        <f>IFERROR(__xludf.DUMMYFUNCTION("""COMPUTED_VALUE"""),104.999625)</f>
        <v>104.999625</v>
      </c>
      <c r="AF1752" s="3" t="str">
        <f>IFERROR(__xludf.DUMMYFUNCTION("""COMPUTED_VALUE"""),"MBC น้ำยืน อุบลราชธานี-22438")</f>
        <v>MBC น้ำยืน อุบลราชธานี-22438</v>
      </c>
      <c r="AG1752" s="3" t="str">
        <f>IFERROR(__xludf.DUMMYFUNCTION("""COMPUTED_VALUE"""),"ตะวันออกเฉียงเหนือ")</f>
        <v>ตะวันออกเฉียงเหนือ</v>
      </c>
      <c r="AH1752" s="3" t="str">
        <f>IFERROR(__xludf.DUMMYFUNCTION("""COMPUTED_VALUE"""),"#N/A")</f>
        <v>#N/A</v>
      </c>
      <c r="AI1752" s="3" t="str">
        <f>IFERROR(__xludf.DUMMYFUNCTION("""COMPUTED_VALUE"""),"Out of warranty")</f>
        <v>Out of warranty</v>
      </c>
      <c r="AJ1752" s="3">
        <f>IFERROR(__xludf.DUMMYFUNCTION("""COMPUTED_VALUE"""),48.0)</f>
        <v>48</v>
      </c>
      <c r="AK1752" s="3" t="str">
        <f>IFERROR(__xludf.DUMMYFUNCTION("""COMPUTED_VALUE"""),"MMS13")</f>
        <v>MMS13</v>
      </c>
      <c r="AL1752" s="3"/>
    </row>
    <row r="1753" ht="15.75" customHeight="1">
      <c r="A1753" s="1" t="str">
        <f>IFERROR(__xludf.DUMMYFUNCTION("""COMPUTED_VALUE"""),"22439")</f>
        <v>22439</v>
      </c>
      <c r="B1753" s="2">
        <f>IFERROR(__xludf.DUMMYFUNCTION("""COMPUTED_VALUE"""),22439.0)</f>
        <v>22439</v>
      </c>
      <c r="C1753" s="3" t="str">
        <f>IFERROR(__xludf.DUMMYFUNCTION("""COMPUTED_VALUE"""),"MBC คาล์เท็กซ์บางใหญ่ นนทบุรี")</f>
        <v>MBC คาล์เท็กซ์บางใหญ่ นนทบุรี</v>
      </c>
      <c r="D1753" s="3" t="str">
        <f>IFERROR(__xludf.DUMMYFUNCTION("""COMPUTED_VALUE"""),"BCM CTX BANG YAI NONTHABURI")</f>
        <v>BCM CTX BANG YAI NONTHABURI</v>
      </c>
      <c r="E1753" s="1" t="str">
        <f>IFERROR(__xludf.DUMMYFUNCTION("""COMPUTED_VALUE"""),"บิ๊กซี MINI")</f>
        <v>บิ๊กซี MINI</v>
      </c>
      <c r="F1753" s="1" t="str">
        <f>IFERROR(__xludf.DUMMYFUNCTION("""COMPUTED_VALUE"""),"291008")</f>
        <v>291008</v>
      </c>
      <c r="G1753" s="1" t="str">
        <f>IFERROR(__xludf.DUMMYFUNCTION("""COMPUTED_VALUE"""),"น.ส.รัชดาพร อีศรัตน์")</f>
        <v>น.ส.รัชดาพร อีศรัตน์</v>
      </c>
      <c r="H1753" s="1" t="str">
        <f>IFERROR(__xludf.DUMMYFUNCTION("""COMPUTED_VALUE"""),"180055")</f>
        <v>180055</v>
      </c>
      <c r="I1753" s="1" t="str">
        <f>IFERROR(__xludf.DUMMYFUNCTION("""COMPUTED_VALUE"""),"น.ส.สุดารัตน์ บุญล้ำ")</f>
        <v>น.ส.สุดารัตน์ บุญล้ำ</v>
      </c>
      <c r="J1753" s="3">
        <f>IFERROR(__xludf.DUMMYFUNCTION("""COMPUTED_VALUE"""),296608.0)</f>
        <v>296608</v>
      </c>
      <c r="K1753" s="3" t="str">
        <f>IFERROR(__xludf.DUMMYFUNCTION("""COMPUTED_VALUE"""),"นายภาคภูมิ เพ็ชรนิล")</f>
        <v>นายภาคภูมิ เพ็ชรนิล</v>
      </c>
      <c r="L1753" s="1" t="str">
        <f>IFERROR(__xludf.DUMMYFUNCTION("""COMPUTED_VALUE"""),"10 K.Phakphoom P.")</f>
        <v>10 K.Phakphoom P.</v>
      </c>
      <c r="M1753" s="1" t="str">
        <f>IFERROR(__xludf.DUMMYFUNCTION("""COMPUTED_VALUE"""),"063-8955329")</f>
        <v>063-8955329</v>
      </c>
      <c r="N1753" s="3">
        <f>IFERROR(__xludf.DUMMYFUNCTION("""COMPUTED_VALUE"""),22584.0)</f>
        <v>22584</v>
      </c>
      <c r="O1753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753" s="4">
        <f>IFERROR(__xludf.DUMMYFUNCTION("""COMPUTED_VALUE"""),44578.0)</f>
        <v>44578</v>
      </c>
      <c r="Q1753" s="3" t="str">
        <f>IFERROR(__xludf.DUMMYFUNCTION("""COMPUTED_VALUE"""),"A")</f>
        <v>A</v>
      </c>
      <c r="R1753" s="3" t="str">
        <f>IFERROR(__xludf.DUMMYFUNCTION("""COMPUTED_VALUE"""),"Small Format")</f>
        <v>Small Format</v>
      </c>
      <c r="S1753" s="3" t="str">
        <f>IFERROR(__xludf.DUMMYFUNCTION("""COMPUTED_VALUE"""),"BCM")</f>
        <v>BCM</v>
      </c>
      <c r="T1753" s="3" t="str">
        <f>IFERROR(__xludf.DUMMYFUNCTION("""COMPUTED_VALUE"""),"#N/A")</f>
        <v>#N/A</v>
      </c>
      <c r="U1753" s="3" t="str">
        <f>IFERROR(__xludf.DUMMYFUNCTION("""COMPUTED_VALUE"""),"#N/A")</f>
        <v>#N/A</v>
      </c>
      <c r="V1753" s="3" t="str">
        <f>IFERROR(__xludf.DUMMYFUNCTION("""COMPUTED_VALUE"""),"N")</f>
        <v>N</v>
      </c>
      <c r="W1753" s="3">
        <f>IFERROR(__xludf.DUMMYFUNCTION("""COMPUTED_VALUE"""),210507.0)</f>
        <v>210507</v>
      </c>
      <c r="X1753" s="3" t="str">
        <f>IFERROR(__xludf.DUMMYFUNCTION("""COMPUTED_VALUE"""),"35/18 หมู่ที่6 ตำบลเสาธงหิน อำเภอบางใหญ่ จังหวัดนนทบุรี 11140")</f>
        <v>35/18 หมู่ที่6 ตำบลเสาธงหิน อำเภอบางใหญ่ จังหวัดนนทบุรี 11140</v>
      </c>
      <c r="Y1753" s="3"/>
      <c r="Z1753" s="3" t="str">
        <f>IFERROR(__xludf.DUMMYFUNCTION("""COMPUTED_VALUE"""),"เสาธงหิน")</f>
        <v>เสาธงหิน</v>
      </c>
      <c r="AA1753" s="3" t="str">
        <f>IFERROR(__xludf.DUMMYFUNCTION("""COMPUTED_VALUE"""),"บางใหญ่")</f>
        <v>บางใหญ่</v>
      </c>
      <c r="AB1753" s="3" t="str">
        <f>IFERROR(__xludf.DUMMYFUNCTION("""COMPUTED_VALUE"""),"นนทบุรี")</f>
        <v>นนทบุรี</v>
      </c>
      <c r="AC1753" s="3">
        <f>IFERROR(__xludf.DUMMYFUNCTION("""COMPUTED_VALUE"""),11140.0)</f>
        <v>11140</v>
      </c>
      <c r="AD1753" s="3">
        <f>IFERROR(__xludf.DUMMYFUNCTION("""COMPUTED_VALUE"""),16.53019166)</f>
        <v>16.53019166</v>
      </c>
      <c r="AE1753" s="3">
        <f>IFERROR(__xludf.DUMMYFUNCTION("""COMPUTED_VALUE"""),103.0641756)</f>
        <v>103.0641756</v>
      </c>
      <c r="AF1753" s="3" t="str">
        <f>IFERROR(__xludf.DUMMYFUNCTION("""COMPUTED_VALUE"""),"MBC คาล์เท็กซ์บางใหญ่ นนทบุรี-22439")</f>
        <v>MBC คาล์เท็กซ์บางใหญ่ นนทบุรี-22439</v>
      </c>
      <c r="AG1753" s="3" t="str">
        <f>IFERROR(__xludf.DUMMYFUNCTION("""COMPUTED_VALUE"""),"กลาง")</f>
        <v>กลาง</v>
      </c>
      <c r="AH1753" s="3" t="str">
        <f>IFERROR(__xludf.DUMMYFUNCTION("""COMPUTED_VALUE"""),"#N/A")</f>
        <v>#N/A</v>
      </c>
      <c r="AI1753" s="3" t="str">
        <f>IFERROR(__xludf.DUMMYFUNCTION("""COMPUTED_VALUE"""),"Out of warranty")</f>
        <v>Out of warranty</v>
      </c>
      <c r="AJ1753" s="3">
        <f>IFERROR(__xludf.DUMMYFUNCTION("""COMPUTED_VALUE"""),49.0)</f>
        <v>49</v>
      </c>
      <c r="AK1753" s="3" t="str">
        <f>IFERROR(__xludf.DUMMYFUNCTION("""COMPUTED_VALUE"""),"MMS04")</f>
        <v>MMS04</v>
      </c>
      <c r="AL1753" s="3"/>
    </row>
    <row r="1754" ht="15.75" customHeight="1">
      <c r="A1754" s="1" t="str">
        <f>IFERROR(__xludf.DUMMYFUNCTION("""COMPUTED_VALUE"""),"22440")</f>
        <v>22440</v>
      </c>
      <c r="B1754" s="2">
        <f>IFERROR(__xludf.DUMMYFUNCTION("""COMPUTED_VALUE"""),22440.0)</f>
        <v>22440</v>
      </c>
      <c r="C1754" s="3" t="str">
        <f>IFERROR(__xludf.DUMMYFUNCTION("""COMPUTED_VALUE"""),"MBC ซอยเพชรเกษม110 แยก7 กรุงเทพมหานคร")</f>
        <v>MBC ซอยเพชรเกษม110 แยก7 กรุงเทพมหานคร</v>
      </c>
      <c r="D1754" s="3" t="str">
        <f>IFERROR(__xludf.DUMMYFUNCTION("""COMPUTED_VALUE"""),"BCM SOI PHETKASEM 110 YAEK 7")</f>
        <v>BCM SOI PHETKASEM 110 YAEK 7</v>
      </c>
      <c r="E1754" s="1" t="str">
        <f>IFERROR(__xludf.DUMMYFUNCTION("""COMPUTED_VALUE"""),"บิ๊กซี MINI")</f>
        <v>บิ๊กซี MINI</v>
      </c>
      <c r="F1754" s="1" t="str">
        <f>IFERROR(__xludf.DUMMYFUNCTION("""COMPUTED_VALUE"""),"291008")</f>
        <v>291008</v>
      </c>
      <c r="G1754" s="1" t="str">
        <f>IFERROR(__xludf.DUMMYFUNCTION("""COMPUTED_VALUE"""),"น.ส.รัชดาพร อีศรัตน์")</f>
        <v>น.ส.รัชดาพร อีศรัตน์</v>
      </c>
      <c r="H1754" s="1" t="str">
        <f>IFERROR(__xludf.DUMMYFUNCTION("""COMPUTED_VALUE"""),"250921")</f>
        <v>250921</v>
      </c>
      <c r="I1754" s="1" t="str">
        <f>IFERROR(__xludf.DUMMYFUNCTION("""COMPUTED_VALUE"""),"นายปรัชญาวัต ถิระสังวร")</f>
        <v>นายปรัชญาวัต ถิระสังวร</v>
      </c>
      <c r="J1754" s="3">
        <f>IFERROR(__xludf.DUMMYFUNCTION("""COMPUTED_VALUE"""),2452378.0)</f>
        <v>2452378</v>
      </c>
      <c r="K1754" s="3" t="str">
        <f>IFERROR(__xludf.DUMMYFUNCTION("""COMPUTED_VALUE"""),"นายศักดิ์ดา พวงประดับ")</f>
        <v>นายศักดิ์ดา พวงประดับ</v>
      </c>
      <c r="L1754" s="1" t="str">
        <f>IFERROR(__xludf.DUMMYFUNCTION("""COMPUTED_VALUE"""),"11 K.Sakda P.")</f>
        <v>11 K.Sakda P.</v>
      </c>
      <c r="M1754" s="1" t="str">
        <f>IFERROR(__xludf.DUMMYFUNCTION("""COMPUTED_VALUE"""),"065-929-1279")</f>
        <v>065-929-1279</v>
      </c>
      <c r="N1754" s="3">
        <f>IFERROR(__xludf.DUMMYFUNCTION("""COMPUTED_VALUE"""),21002.0)</f>
        <v>21002</v>
      </c>
      <c r="O1754" s="3" t="str">
        <f>IFERROR(__xludf.DUMMYFUNCTION("""COMPUTED_VALUE"""),"MBC อุดมสุข")</f>
        <v>MBC อุดมสุข</v>
      </c>
      <c r="P1754" s="4">
        <f>IFERROR(__xludf.DUMMYFUNCTION("""COMPUTED_VALUE"""),44592.0)</f>
        <v>44592</v>
      </c>
      <c r="Q1754" s="3" t="str">
        <f>IFERROR(__xludf.DUMMYFUNCTION("""COMPUTED_VALUE"""),"A")</f>
        <v>A</v>
      </c>
      <c r="R1754" s="3" t="str">
        <f>IFERROR(__xludf.DUMMYFUNCTION("""COMPUTED_VALUE"""),"Small Format")</f>
        <v>Small Format</v>
      </c>
      <c r="S1754" s="3" t="str">
        <f>IFERROR(__xludf.DUMMYFUNCTION("""COMPUTED_VALUE"""),"BCM")</f>
        <v>BCM</v>
      </c>
      <c r="T1754" s="3" t="str">
        <f>IFERROR(__xludf.DUMMYFUNCTION("""COMPUTED_VALUE"""),"#N/A")</f>
        <v>#N/A</v>
      </c>
      <c r="U1754" s="3" t="str">
        <f>IFERROR(__xludf.DUMMYFUNCTION("""COMPUTED_VALUE"""),"#N/A")</f>
        <v>#N/A</v>
      </c>
      <c r="V1754" s="3" t="str">
        <f>IFERROR(__xludf.DUMMYFUNCTION("""COMPUTED_VALUE"""),"N")</f>
        <v>N</v>
      </c>
      <c r="W1754" s="3">
        <f>IFERROR(__xludf.DUMMYFUNCTION("""COMPUTED_VALUE"""),210495.0)</f>
        <v>210495</v>
      </c>
      <c r="X1754" s="3" t="str">
        <f>IFERROR(__xludf.DUMMYFUNCTION("""COMPUTED_VALUE"""),"250 ซอยเพรชเกษม110 แขวงหนองค้างพลู เขตหนองแขม จังหวัดกรุงเทพมหานคร 10160")</f>
        <v>250 ซอยเพรชเกษม110 แขวงหนองค้างพลู เขตหนองแขม จังหวัดกรุงเทพมหานคร 10160</v>
      </c>
      <c r="Y1754" s="3"/>
      <c r="Z1754" s="3" t="str">
        <f>IFERROR(__xludf.DUMMYFUNCTION("""COMPUTED_VALUE"""),"หนองค้างพลู")</f>
        <v>หนองค้างพลู</v>
      </c>
      <c r="AA1754" s="3" t="str">
        <f>IFERROR(__xludf.DUMMYFUNCTION("""COMPUTED_VALUE"""),"หนองแขม")</f>
        <v>หนองแขม</v>
      </c>
      <c r="AB1754" s="3" t="str">
        <f>IFERROR(__xludf.DUMMYFUNCTION("""COMPUTED_VALUE"""),"กรุงเทพมหานคร")</f>
        <v>กรุงเทพมหานคร</v>
      </c>
      <c r="AC1754" s="3">
        <f>IFERROR(__xludf.DUMMYFUNCTION("""COMPUTED_VALUE"""),10160.0)</f>
        <v>10160</v>
      </c>
      <c r="AD1754" s="3">
        <f>IFERROR(__xludf.DUMMYFUNCTION("""COMPUTED_VALUE"""),13.7166738)</f>
        <v>13.7166738</v>
      </c>
      <c r="AE1754" s="3">
        <f>IFERROR(__xludf.DUMMYFUNCTION("""COMPUTED_VALUE"""),100.3456309)</f>
        <v>100.3456309</v>
      </c>
      <c r="AF1754" s="3" t="str">
        <f>IFERROR(__xludf.DUMMYFUNCTION("""COMPUTED_VALUE"""),"MBC ซอยเพชรเกษม110 แยก7 กรุงเทพมหานคร-22440")</f>
        <v>MBC ซอยเพชรเกษม110 แยก7 กรุงเทพมหานคร-22440</v>
      </c>
      <c r="AG1754" s="3" t="str">
        <f>IFERROR(__xludf.DUMMYFUNCTION("""COMPUTED_VALUE"""),"กลาง")</f>
        <v>กลาง</v>
      </c>
      <c r="AH1754" s="3" t="str">
        <f>IFERROR(__xludf.DUMMYFUNCTION("""COMPUTED_VALUE"""),"#N/A")</f>
        <v>#N/A</v>
      </c>
      <c r="AI1754" s="3" t="str">
        <f>IFERROR(__xludf.DUMMYFUNCTION("""COMPUTED_VALUE"""),"Out of warranty")</f>
        <v>Out of warranty</v>
      </c>
      <c r="AJ1754" s="3">
        <f>IFERROR(__xludf.DUMMYFUNCTION("""COMPUTED_VALUE"""),48.0)</f>
        <v>48</v>
      </c>
      <c r="AK1754" s="3" t="str">
        <f>IFERROR(__xludf.DUMMYFUNCTION("""COMPUTED_VALUE"""),"MMS05")</f>
        <v>MMS05</v>
      </c>
      <c r="AL1754" s="3"/>
    </row>
    <row r="1755" ht="15.75" customHeight="1">
      <c r="A1755" s="1" t="str">
        <f>IFERROR(__xludf.DUMMYFUNCTION("""COMPUTED_VALUE"""),"22441")</f>
        <v>22441</v>
      </c>
      <c r="B1755" s="2">
        <f>IFERROR(__xludf.DUMMYFUNCTION("""COMPUTED_VALUE"""),22441.0)</f>
        <v>22441</v>
      </c>
      <c r="C1755" s="3" t="str">
        <f>IFERROR(__xludf.DUMMYFUNCTION("""COMPUTED_VALUE"""),"MBC จะบังติกอ ปัตตานี")</f>
        <v>MBC จะบังติกอ ปัตตานี</v>
      </c>
      <c r="D1755" s="3" t="str">
        <f>IFERROR(__xludf.DUMMYFUNCTION("""COMPUTED_VALUE"""),"BCM CHUMCHON CHABANG TIKO")</f>
        <v>BCM CHUMCHON CHABANG TIKO</v>
      </c>
      <c r="E1755" s="1" t="str">
        <f>IFERROR(__xludf.DUMMYFUNCTION("""COMPUTED_VALUE"""),"บิ๊กซี MINI")</f>
        <v>บิ๊กซี MINI</v>
      </c>
      <c r="F1755" s="1" t="str">
        <f>IFERROR(__xludf.DUMMYFUNCTION("""COMPUTED_VALUE"""),"250760")</f>
        <v>250760</v>
      </c>
      <c r="G1755" s="1" t="str">
        <f>IFERROR(__xludf.DUMMYFUNCTION("""COMPUTED_VALUE"""),"นายประทวน สาราบรรณ์")</f>
        <v>นายประทวน สาราบรรณ์</v>
      </c>
      <c r="H1755" s="1" t="str">
        <f>IFERROR(__xludf.DUMMYFUNCTION("""COMPUTED_VALUE"""),"394185")</f>
        <v>394185</v>
      </c>
      <c r="I1755" s="1" t="str">
        <f>IFERROR(__xludf.DUMMYFUNCTION("""COMPUTED_VALUE"""),"น.ส.ฐาปนี สุวรรณรัตน์")</f>
        <v>น.ส.ฐาปนี สุวรรณรัตน์</v>
      </c>
      <c r="J1755" s="3">
        <f>IFERROR(__xludf.DUMMYFUNCTION("""COMPUTED_VALUE"""),2.0470331E7)</f>
        <v>20470331</v>
      </c>
      <c r="K1755" s="3" t="str">
        <f>IFERROR(__xludf.DUMMYFUNCTION("""COMPUTED_VALUE"""),"นายสมชาย ลักษณะสุวรรณ")</f>
        <v>นายสมชาย ลักษณะสุวรรณ</v>
      </c>
      <c r="L1755" s="1" t="str">
        <f>IFERROR(__xludf.DUMMYFUNCTION("""COMPUTED_VALUE"""),"15 K.Somchai L")</f>
        <v>15 K.Somchai L</v>
      </c>
      <c r="M1755" s="1" t="str">
        <f>IFERROR(__xludf.DUMMYFUNCTION("""COMPUTED_VALUE"""),"0655107372")</f>
        <v>0655107372</v>
      </c>
      <c r="N1755" s="3">
        <f>IFERROR(__xludf.DUMMYFUNCTION("""COMPUTED_VALUE"""),21723.0)</f>
        <v>21723</v>
      </c>
      <c r="O1755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55" s="4">
        <f>IFERROR(__xludf.DUMMYFUNCTION("""COMPUTED_VALUE"""),44620.0)</f>
        <v>44620</v>
      </c>
      <c r="Q1755" s="3" t="str">
        <f>IFERROR(__xludf.DUMMYFUNCTION("""COMPUTED_VALUE"""),"A")</f>
        <v>A</v>
      </c>
      <c r="R1755" s="3" t="str">
        <f>IFERROR(__xludf.DUMMYFUNCTION("""COMPUTED_VALUE"""),"Small Format")</f>
        <v>Small Format</v>
      </c>
      <c r="S1755" s="3" t="str">
        <f>IFERROR(__xludf.DUMMYFUNCTION("""COMPUTED_VALUE"""),"BCM")</f>
        <v>BCM</v>
      </c>
      <c r="T1755" s="3" t="str">
        <f>IFERROR(__xludf.DUMMYFUNCTION("""COMPUTED_VALUE"""),"#N/A")</f>
        <v>#N/A</v>
      </c>
      <c r="U1755" s="3" t="str">
        <f>IFERROR(__xludf.DUMMYFUNCTION("""COMPUTED_VALUE"""),"#N/A")</f>
        <v>#N/A</v>
      </c>
      <c r="V1755" s="3" t="str">
        <f>IFERROR(__xludf.DUMMYFUNCTION("""COMPUTED_VALUE"""),"N")</f>
        <v>N</v>
      </c>
      <c r="W1755" s="3">
        <f>IFERROR(__xludf.DUMMYFUNCTION("""COMPUTED_VALUE"""),210500.0)</f>
        <v>210500</v>
      </c>
      <c r="X1755" s="3" t="str">
        <f>IFERROR(__xludf.DUMMYFUNCTION("""COMPUTED_VALUE"""),"134/1 ถนนยะรัง ตำบลจะบังติกอ อำเภอเมืองปัตตานี จังหวัดปัตตานี 94000")</f>
        <v>134/1 ถนนยะรัง ตำบลจะบังติกอ อำเภอเมืองปัตตานี จังหวัดปัตตานี 94000</v>
      </c>
      <c r="Y1755" s="3" t="str">
        <f>IFERROR(__xludf.DUMMYFUNCTION("""COMPUTED_VALUE"""),"ยะรัง")</f>
        <v>ยะรัง</v>
      </c>
      <c r="Z1755" s="3" t="str">
        <f>IFERROR(__xludf.DUMMYFUNCTION("""COMPUTED_VALUE"""),"จะบังติกอ")</f>
        <v>จะบังติกอ</v>
      </c>
      <c r="AA1755" s="3" t="str">
        <f>IFERROR(__xludf.DUMMYFUNCTION("""COMPUTED_VALUE"""),"เมืองปัตตานี")</f>
        <v>เมืองปัตตานี</v>
      </c>
      <c r="AB1755" s="3" t="str">
        <f>IFERROR(__xludf.DUMMYFUNCTION("""COMPUTED_VALUE"""),"ปัตตานี")</f>
        <v>ปัตตานี</v>
      </c>
      <c r="AC1755" s="3">
        <f>IFERROR(__xludf.DUMMYFUNCTION("""COMPUTED_VALUE"""),94000.0)</f>
        <v>94000</v>
      </c>
      <c r="AD1755" s="3">
        <f>IFERROR(__xludf.DUMMYFUNCTION("""COMPUTED_VALUE"""),6.856275)</f>
        <v>6.856275</v>
      </c>
      <c r="AE1755" s="3">
        <f>IFERROR(__xludf.DUMMYFUNCTION("""COMPUTED_VALUE"""),101.253161)</f>
        <v>101.253161</v>
      </c>
      <c r="AF1755" s="3" t="str">
        <f>IFERROR(__xludf.DUMMYFUNCTION("""COMPUTED_VALUE"""),"MBC จะบังติกอ ปัตตานี-22441")</f>
        <v>MBC จะบังติกอ ปัตตานี-22441</v>
      </c>
      <c r="AG1755" s="3" t="str">
        <f>IFERROR(__xludf.DUMMYFUNCTION("""COMPUTED_VALUE"""),"ใต้")</f>
        <v>ใต้</v>
      </c>
      <c r="AH1755" s="3" t="str">
        <f>IFERROR(__xludf.DUMMYFUNCTION("""COMPUTED_VALUE"""),"#N/A")</f>
        <v>#N/A</v>
      </c>
      <c r="AI1755" s="3" t="str">
        <f>IFERROR(__xludf.DUMMYFUNCTION("""COMPUTED_VALUE"""),"Out of warranty")</f>
        <v>Out of warranty</v>
      </c>
      <c r="AJ1755" s="3">
        <f>IFERROR(__xludf.DUMMYFUNCTION("""COMPUTED_VALUE"""),47.0)</f>
        <v>47</v>
      </c>
      <c r="AK1755" s="3" t="str">
        <f>IFERROR(__xludf.DUMMYFUNCTION("""COMPUTED_VALUE"""),"MMS16")</f>
        <v>MMS16</v>
      </c>
      <c r="AL1755" s="3"/>
    </row>
    <row r="1756" ht="15.75" customHeight="1">
      <c r="A1756" s="1" t="str">
        <f>IFERROR(__xludf.DUMMYFUNCTION("""COMPUTED_VALUE"""),"22442")</f>
        <v>22442</v>
      </c>
      <c r="B1756" s="2">
        <f>IFERROR(__xludf.DUMMYFUNCTION("""COMPUTED_VALUE"""),22442.0)</f>
        <v>22442</v>
      </c>
      <c r="C1756" s="3" t="str">
        <f>IFERROR(__xludf.DUMMYFUNCTION("""COMPUTED_VALUE"""),"MBC ถนนบ้านกล้วย ไทรน้อย นนทบุรี")</f>
        <v>MBC ถนนบ้านกล้วย ไทรน้อย นนทบุรี</v>
      </c>
      <c r="D1756" s="3" t="str">
        <f>IFERROR(__xludf.DUMMYFUNCTION("""COMPUTED_VALUE"""),"BCM THANON BAN KLUAI (OPT.2)")</f>
        <v>BCM THANON BAN KLUAI (OPT.2)</v>
      </c>
      <c r="E1756" s="1" t="str">
        <f>IFERROR(__xludf.DUMMYFUNCTION("""COMPUTED_VALUE"""),"บิ๊กซี MINI")</f>
        <v>บิ๊กซี MINI</v>
      </c>
      <c r="F1756" s="1" t="str">
        <f>IFERROR(__xludf.DUMMYFUNCTION("""COMPUTED_VALUE"""),"291008")</f>
        <v>291008</v>
      </c>
      <c r="G1756" s="1" t="str">
        <f>IFERROR(__xludf.DUMMYFUNCTION("""COMPUTED_VALUE"""),"น.ส.รัชดาพร อีศรัตน์")</f>
        <v>น.ส.รัชดาพร อีศรัตน์</v>
      </c>
      <c r="H1756" s="1" t="str">
        <f>IFERROR(__xludf.DUMMYFUNCTION("""COMPUTED_VALUE"""),"180055")</f>
        <v>180055</v>
      </c>
      <c r="I1756" s="1" t="str">
        <f>IFERROR(__xludf.DUMMYFUNCTION("""COMPUTED_VALUE"""),"น.ส.สุดารัตน์ บุญล้ำ")</f>
        <v>น.ส.สุดารัตน์ บุญล้ำ</v>
      </c>
      <c r="J1756" s="3">
        <f>IFERROR(__xludf.DUMMYFUNCTION("""COMPUTED_VALUE"""),296608.0)</f>
        <v>296608</v>
      </c>
      <c r="K1756" s="3" t="str">
        <f>IFERROR(__xludf.DUMMYFUNCTION("""COMPUTED_VALUE"""),"นายภาคภูมิ เพ็ชรนิล")</f>
        <v>นายภาคภูมิ เพ็ชรนิล</v>
      </c>
      <c r="L1756" s="1" t="str">
        <f>IFERROR(__xludf.DUMMYFUNCTION("""COMPUTED_VALUE"""),"10 K.Phakphoom P.")</f>
        <v>10 K.Phakphoom P.</v>
      </c>
      <c r="M1756" s="1" t="str">
        <f>IFERROR(__xludf.DUMMYFUNCTION("""COMPUTED_VALUE"""),"063-8955329")</f>
        <v>063-8955329</v>
      </c>
      <c r="N1756" s="3">
        <f>IFERROR(__xludf.DUMMYFUNCTION("""COMPUTED_VALUE"""),22584.0)</f>
        <v>22584</v>
      </c>
      <c r="O1756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756" s="4">
        <f>IFERROR(__xludf.DUMMYFUNCTION("""COMPUTED_VALUE"""),44605.0)</f>
        <v>44605</v>
      </c>
      <c r="Q1756" s="3" t="str">
        <f>IFERROR(__xludf.DUMMYFUNCTION("""COMPUTED_VALUE"""),"A")</f>
        <v>A</v>
      </c>
      <c r="R1756" s="3" t="str">
        <f>IFERROR(__xludf.DUMMYFUNCTION("""COMPUTED_VALUE"""),"Small Format")</f>
        <v>Small Format</v>
      </c>
      <c r="S1756" s="3" t="str">
        <f>IFERROR(__xludf.DUMMYFUNCTION("""COMPUTED_VALUE"""),"BCM")</f>
        <v>BCM</v>
      </c>
      <c r="T1756" s="3" t="str">
        <f>IFERROR(__xludf.DUMMYFUNCTION("""COMPUTED_VALUE"""),"#N/A")</f>
        <v>#N/A</v>
      </c>
      <c r="U1756" s="3" t="str">
        <f>IFERROR(__xludf.DUMMYFUNCTION("""COMPUTED_VALUE"""),"#N/A")</f>
        <v>#N/A</v>
      </c>
      <c r="V1756" s="3" t="str">
        <f>IFERROR(__xludf.DUMMYFUNCTION("""COMPUTED_VALUE"""),"N")</f>
        <v>N</v>
      </c>
      <c r="W1756" s="3">
        <f>IFERROR(__xludf.DUMMYFUNCTION("""COMPUTED_VALUE"""),210496.0)</f>
        <v>210496</v>
      </c>
      <c r="X1756" s="3" t="str">
        <f>IFERROR(__xludf.DUMMYFUNCTION("""COMPUTED_VALUE"""),"97 หมู่ที่4 ตำบลพิมลราช อำเภอบางบัวทอง จังหวัดนนทบุรี 11110")</f>
        <v>97 หมู่ที่4 ตำบลพิมลราช อำเภอบางบัวทอง จังหวัดนนทบุรี 11110</v>
      </c>
      <c r="Y1756" s="3"/>
      <c r="Z1756" s="3" t="str">
        <f>IFERROR(__xludf.DUMMYFUNCTION("""COMPUTED_VALUE"""),"พิมลราช")</f>
        <v>พิมลราช</v>
      </c>
      <c r="AA1756" s="3" t="str">
        <f>IFERROR(__xludf.DUMMYFUNCTION("""COMPUTED_VALUE"""),"บางบัวทอง")</f>
        <v>บางบัวทอง</v>
      </c>
      <c r="AB1756" s="3" t="str">
        <f>IFERROR(__xludf.DUMMYFUNCTION("""COMPUTED_VALUE"""),"นนทบุรี")</f>
        <v>นนทบุรี</v>
      </c>
      <c r="AC1756" s="3">
        <f>IFERROR(__xludf.DUMMYFUNCTION("""COMPUTED_VALUE"""),11110.0)</f>
        <v>11110</v>
      </c>
      <c r="AD1756" s="3">
        <f>IFERROR(__xludf.DUMMYFUNCTION("""COMPUTED_VALUE"""),16.64327418)</f>
        <v>16.64327418</v>
      </c>
      <c r="AE1756" s="3">
        <f>IFERROR(__xludf.DUMMYFUNCTION("""COMPUTED_VALUE"""),101.9042002)</f>
        <v>101.9042002</v>
      </c>
      <c r="AF1756" s="3" t="str">
        <f>IFERROR(__xludf.DUMMYFUNCTION("""COMPUTED_VALUE"""),"MBC ถนนบ้านกล้วย ไทรน้อย นนทบุรี-22442")</f>
        <v>MBC ถนนบ้านกล้วย ไทรน้อย นนทบุรี-22442</v>
      </c>
      <c r="AG1756" s="3" t="str">
        <f>IFERROR(__xludf.DUMMYFUNCTION("""COMPUTED_VALUE"""),"กลาง")</f>
        <v>กลาง</v>
      </c>
      <c r="AH1756" s="3" t="str">
        <f>IFERROR(__xludf.DUMMYFUNCTION("""COMPUTED_VALUE"""),"#N/A")</f>
        <v>#N/A</v>
      </c>
      <c r="AI1756" s="3" t="str">
        <f>IFERROR(__xludf.DUMMYFUNCTION("""COMPUTED_VALUE"""),"Out of warranty")</f>
        <v>Out of warranty</v>
      </c>
      <c r="AJ1756" s="3">
        <f>IFERROR(__xludf.DUMMYFUNCTION("""COMPUTED_VALUE"""),48.0)</f>
        <v>48</v>
      </c>
      <c r="AK1756" s="3" t="str">
        <f>IFERROR(__xludf.DUMMYFUNCTION("""COMPUTED_VALUE"""),"MMS04")</f>
        <v>MMS04</v>
      </c>
      <c r="AL1756" s="3"/>
    </row>
    <row r="1757" ht="15.75" customHeight="1">
      <c r="A1757" s="1" t="str">
        <f>IFERROR(__xludf.DUMMYFUNCTION("""COMPUTED_VALUE"""),"22443")</f>
        <v>22443</v>
      </c>
      <c r="B1757" s="2">
        <f>IFERROR(__xludf.DUMMYFUNCTION("""COMPUTED_VALUE"""),22443.0)</f>
        <v>22443</v>
      </c>
      <c r="C1757" s="3" t="str">
        <f>IFERROR(__xludf.DUMMYFUNCTION("""COMPUTED_VALUE"""),"MBC หน้าโรงพยาบาลเบตง ยะลา")</f>
        <v>MBC หน้าโรงพยาบาลเบตง ยะลา</v>
      </c>
      <c r="D1757" s="3" t="str">
        <f>IFERROR(__xludf.DUMMYFUNCTION("""COMPUTED_VALUE"""),"BCM NA BETONG HOSPITAL")</f>
        <v>BCM NA BETONG HOSPITAL</v>
      </c>
      <c r="E1757" s="1" t="str">
        <f>IFERROR(__xludf.DUMMYFUNCTION("""COMPUTED_VALUE"""),"บิ๊กซี MINI")</f>
        <v>บิ๊กซี MINI</v>
      </c>
      <c r="F1757" s="1" t="str">
        <f>IFERROR(__xludf.DUMMYFUNCTION("""COMPUTED_VALUE"""),"250760")</f>
        <v>250760</v>
      </c>
      <c r="G1757" s="1" t="str">
        <f>IFERROR(__xludf.DUMMYFUNCTION("""COMPUTED_VALUE"""),"นายประทวน สาราบรรณ์")</f>
        <v>นายประทวน สาราบรรณ์</v>
      </c>
      <c r="H1757" s="1" t="str">
        <f>IFERROR(__xludf.DUMMYFUNCTION("""COMPUTED_VALUE"""),"485279")</f>
        <v>485279</v>
      </c>
      <c r="I1757" s="1" t="str">
        <f>IFERROR(__xludf.DUMMYFUNCTION("""COMPUTED_VALUE"""),"นายสิริพงศ์ ชูชื่น")</f>
        <v>นายสิริพงศ์ ชูชื่น</v>
      </c>
      <c r="J1757" s="3">
        <f>IFERROR(__xludf.DUMMYFUNCTION("""COMPUTED_VALUE"""),2.0470331E7)</f>
        <v>20470331</v>
      </c>
      <c r="K1757" s="3" t="str">
        <f>IFERROR(__xludf.DUMMYFUNCTION("""COMPUTED_VALUE"""),"นายสมชาย ลักษณะสุวรรณ")</f>
        <v>นายสมชาย ลักษณะสุวรรณ</v>
      </c>
      <c r="L1757" s="1" t="str">
        <f>IFERROR(__xludf.DUMMYFUNCTION("""COMPUTED_VALUE"""),"15 K.Somchai L")</f>
        <v>15 K.Somchai L</v>
      </c>
      <c r="M1757" s="1" t="str">
        <f>IFERROR(__xludf.DUMMYFUNCTION("""COMPUTED_VALUE"""),"0655107372")</f>
        <v>0655107372</v>
      </c>
      <c r="N1757" s="3">
        <f>IFERROR(__xludf.DUMMYFUNCTION("""COMPUTED_VALUE"""),21723.0)</f>
        <v>21723</v>
      </c>
      <c r="O1757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57" s="4">
        <f>IFERROR(__xludf.DUMMYFUNCTION("""COMPUTED_VALUE"""),44608.0)</f>
        <v>44608</v>
      </c>
      <c r="Q1757" s="3" t="str">
        <f>IFERROR(__xludf.DUMMYFUNCTION("""COMPUTED_VALUE"""),"A")</f>
        <v>A</v>
      </c>
      <c r="R1757" s="3" t="str">
        <f>IFERROR(__xludf.DUMMYFUNCTION("""COMPUTED_VALUE"""),"Small Format")</f>
        <v>Small Format</v>
      </c>
      <c r="S1757" s="3" t="str">
        <f>IFERROR(__xludf.DUMMYFUNCTION("""COMPUTED_VALUE"""),"BCM")</f>
        <v>BCM</v>
      </c>
      <c r="T1757" s="3" t="str">
        <f>IFERROR(__xludf.DUMMYFUNCTION("""COMPUTED_VALUE"""),"#N/A")</f>
        <v>#N/A</v>
      </c>
      <c r="U1757" s="3" t="str">
        <f>IFERROR(__xludf.DUMMYFUNCTION("""COMPUTED_VALUE"""),"#N/A")</f>
        <v>#N/A</v>
      </c>
      <c r="V1757" s="3" t="str">
        <f>IFERROR(__xludf.DUMMYFUNCTION("""COMPUTED_VALUE"""),"N")</f>
        <v>N</v>
      </c>
      <c r="W1757" s="3">
        <f>IFERROR(__xludf.DUMMYFUNCTION("""COMPUTED_VALUE"""),210497.0)</f>
        <v>210497</v>
      </c>
      <c r="X1757" s="3" t="str">
        <f>IFERROR(__xludf.DUMMYFUNCTION("""COMPUTED_VALUE"""),"259 ถนนรัตนกิจ ตำบลเบตง อำเภอเบตง จังหวัดยะลา 95110")</f>
        <v>259 ถนนรัตนกิจ ตำบลเบตง อำเภอเบตง จังหวัดยะลา 95110</v>
      </c>
      <c r="Y1757" s="3" t="str">
        <f>IFERROR(__xludf.DUMMYFUNCTION("""COMPUTED_VALUE"""),"รัตนกิจ")</f>
        <v>รัตนกิจ</v>
      </c>
      <c r="Z1757" s="3" t="str">
        <f>IFERROR(__xludf.DUMMYFUNCTION("""COMPUTED_VALUE"""),"เบตง")</f>
        <v>เบตง</v>
      </c>
      <c r="AA1757" s="3" t="str">
        <f>IFERROR(__xludf.DUMMYFUNCTION("""COMPUTED_VALUE"""),"เบตง")</f>
        <v>เบตง</v>
      </c>
      <c r="AB1757" s="3" t="str">
        <f>IFERROR(__xludf.DUMMYFUNCTION("""COMPUTED_VALUE"""),"ยะลา")</f>
        <v>ยะลา</v>
      </c>
      <c r="AC1757" s="3">
        <f>IFERROR(__xludf.DUMMYFUNCTION("""COMPUTED_VALUE"""),95110.0)</f>
        <v>95110</v>
      </c>
      <c r="AD1757" s="3">
        <f>IFERROR(__xludf.DUMMYFUNCTION("""COMPUTED_VALUE"""),5.774503)</f>
        <v>5.774503</v>
      </c>
      <c r="AE1757" s="3">
        <f>IFERROR(__xludf.DUMMYFUNCTION("""COMPUTED_VALUE"""),101.08145)</f>
        <v>101.08145</v>
      </c>
      <c r="AF1757" s="3" t="str">
        <f>IFERROR(__xludf.DUMMYFUNCTION("""COMPUTED_VALUE"""),"MBC หน้าโรงพยาบาลเบตง ยะลา-22443")</f>
        <v>MBC หน้าโรงพยาบาลเบตง ยะลา-22443</v>
      </c>
      <c r="AG1757" s="3" t="str">
        <f>IFERROR(__xludf.DUMMYFUNCTION("""COMPUTED_VALUE"""),"ใต้")</f>
        <v>ใต้</v>
      </c>
      <c r="AH1757" s="3" t="str">
        <f>IFERROR(__xludf.DUMMYFUNCTION("""COMPUTED_VALUE"""),"#N/A")</f>
        <v>#N/A</v>
      </c>
      <c r="AI1757" s="3" t="str">
        <f>IFERROR(__xludf.DUMMYFUNCTION("""COMPUTED_VALUE"""),"Out of warranty")</f>
        <v>Out of warranty</v>
      </c>
      <c r="AJ1757" s="3">
        <f>IFERROR(__xludf.DUMMYFUNCTION("""COMPUTED_VALUE"""),48.0)</f>
        <v>48</v>
      </c>
      <c r="AK1757" s="3" t="str">
        <f>IFERROR(__xludf.DUMMYFUNCTION("""COMPUTED_VALUE"""),"MMS16")</f>
        <v>MMS16</v>
      </c>
      <c r="AL1757" s="3"/>
    </row>
    <row r="1758" ht="15.75" customHeight="1">
      <c r="A1758" s="1" t="str">
        <f>IFERROR(__xludf.DUMMYFUNCTION("""COMPUTED_VALUE"""),"22444")</f>
        <v>22444</v>
      </c>
      <c r="B1758" s="2">
        <f>IFERROR(__xludf.DUMMYFUNCTION("""COMPUTED_VALUE"""),22444.0)</f>
        <v>22444</v>
      </c>
      <c r="C1758" s="3" t="str">
        <f>IFERROR(__xludf.DUMMYFUNCTION("""COMPUTED_VALUE"""),"MBC แยกศาลาประชาคม(เบตง) ยะลา")</f>
        <v>MBC แยกศาลาประชาคม(เบตง) ยะลา</v>
      </c>
      <c r="D1758" s="3" t="str">
        <f>IFERROR(__xludf.DUMMYFUNCTION("""COMPUTED_VALUE"""),"BCM YAEK SALA PRACHAKHOM")</f>
        <v>BCM YAEK SALA PRACHAKHOM</v>
      </c>
      <c r="E1758" s="1" t="str">
        <f>IFERROR(__xludf.DUMMYFUNCTION("""COMPUTED_VALUE"""),"บิ๊กซี MINI")</f>
        <v>บิ๊กซี MINI</v>
      </c>
      <c r="F1758" s="1" t="str">
        <f>IFERROR(__xludf.DUMMYFUNCTION("""COMPUTED_VALUE"""),"250760")</f>
        <v>250760</v>
      </c>
      <c r="G1758" s="1" t="str">
        <f>IFERROR(__xludf.DUMMYFUNCTION("""COMPUTED_VALUE"""),"นายประทวน สาราบรรณ์")</f>
        <v>นายประทวน สาราบรรณ์</v>
      </c>
      <c r="H1758" s="1" t="str">
        <f>IFERROR(__xludf.DUMMYFUNCTION("""COMPUTED_VALUE"""),"485279")</f>
        <v>485279</v>
      </c>
      <c r="I1758" s="1" t="str">
        <f>IFERROR(__xludf.DUMMYFUNCTION("""COMPUTED_VALUE"""),"นายสิริพงศ์ ชูชื่น")</f>
        <v>นายสิริพงศ์ ชูชื่น</v>
      </c>
      <c r="J1758" s="3">
        <f>IFERROR(__xludf.DUMMYFUNCTION("""COMPUTED_VALUE"""),2.0470331E7)</f>
        <v>20470331</v>
      </c>
      <c r="K1758" s="3" t="str">
        <f>IFERROR(__xludf.DUMMYFUNCTION("""COMPUTED_VALUE"""),"นายสมชาย ลักษณะสุวรรณ")</f>
        <v>นายสมชาย ลักษณะสุวรรณ</v>
      </c>
      <c r="L1758" s="1" t="str">
        <f>IFERROR(__xludf.DUMMYFUNCTION("""COMPUTED_VALUE"""),"15 K.Somchai L")</f>
        <v>15 K.Somchai L</v>
      </c>
      <c r="M1758" s="1" t="str">
        <f>IFERROR(__xludf.DUMMYFUNCTION("""COMPUTED_VALUE"""),"0655107372")</f>
        <v>0655107372</v>
      </c>
      <c r="N1758" s="3">
        <f>IFERROR(__xludf.DUMMYFUNCTION("""COMPUTED_VALUE"""),21723.0)</f>
        <v>21723</v>
      </c>
      <c r="O1758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58" s="4">
        <f>IFERROR(__xludf.DUMMYFUNCTION("""COMPUTED_VALUE"""),44603.0)</f>
        <v>44603</v>
      </c>
      <c r="Q1758" s="3" t="str">
        <f>IFERROR(__xludf.DUMMYFUNCTION("""COMPUTED_VALUE"""),"A")</f>
        <v>A</v>
      </c>
      <c r="R1758" s="3" t="str">
        <f>IFERROR(__xludf.DUMMYFUNCTION("""COMPUTED_VALUE"""),"Small Format")</f>
        <v>Small Format</v>
      </c>
      <c r="S1758" s="3" t="str">
        <f>IFERROR(__xludf.DUMMYFUNCTION("""COMPUTED_VALUE"""),"BCM")</f>
        <v>BCM</v>
      </c>
      <c r="T1758" s="3" t="str">
        <f>IFERROR(__xludf.DUMMYFUNCTION("""COMPUTED_VALUE"""),"#N/A")</f>
        <v>#N/A</v>
      </c>
      <c r="U1758" s="3" t="str">
        <f>IFERROR(__xludf.DUMMYFUNCTION("""COMPUTED_VALUE"""),"#N/A")</f>
        <v>#N/A</v>
      </c>
      <c r="V1758" s="3" t="str">
        <f>IFERROR(__xludf.DUMMYFUNCTION("""COMPUTED_VALUE"""),"N")</f>
        <v>N</v>
      </c>
      <c r="W1758" s="3">
        <f>IFERROR(__xludf.DUMMYFUNCTION("""COMPUTED_VALUE"""),210509.0)</f>
        <v>210509</v>
      </c>
      <c r="X1758" s="3" t="str">
        <f>IFERROR(__xludf.DUMMYFUNCTION("""COMPUTED_VALUE"""),"89/3 ถนนสุขยางค์ ตำบลเบตง อำเภอเบตง จังหวัดยะลา 95110")</f>
        <v>89/3 ถนนสุขยางค์ ตำบลเบตง อำเภอเบตง จังหวัดยะลา 95110</v>
      </c>
      <c r="Y1758" s="3" t="str">
        <f>IFERROR(__xludf.DUMMYFUNCTION("""COMPUTED_VALUE"""),"สุขยางค์")</f>
        <v>สุขยางค์</v>
      </c>
      <c r="Z1758" s="3" t="str">
        <f>IFERROR(__xludf.DUMMYFUNCTION("""COMPUTED_VALUE"""),"เบตง")</f>
        <v>เบตง</v>
      </c>
      <c r="AA1758" s="3" t="str">
        <f>IFERROR(__xludf.DUMMYFUNCTION("""COMPUTED_VALUE"""),"เบตง")</f>
        <v>เบตง</v>
      </c>
      <c r="AB1758" s="3" t="str">
        <f>IFERROR(__xludf.DUMMYFUNCTION("""COMPUTED_VALUE"""),"ยะลา")</f>
        <v>ยะลา</v>
      </c>
      <c r="AC1758" s="3">
        <f>IFERROR(__xludf.DUMMYFUNCTION("""COMPUTED_VALUE"""),95110.0)</f>
        <v>95110</v>
      </c>
      <c r="AD1758" s="3">
        <f>IFERROR(__xludf.DUMMYFUNCTION("""COMPUTED_VALUE"""),5.776003)</f>
        <v>5.776003</v>
      </c>
      <c r="AE1758" s="3">
        <f>IFERROR(__xludf.DUMMYFUNCTION("""COMPUTED_VALUE"""),101.073125)</f>
        <v>101.073125</v>
      </c>
      <c r="AF1758" s="3" t="str">
        <f>IFERROR(__xludf.DUMMYFUNCTION("""COMPUTED_VALUE"""),"MBC แยกศาลาประชาคม(เบตง) ยะลา-22444")</f>
        <v>MBC แยกศาลาประชาคม(เบตง) ยะลา-22444</v>
      </c>
      <c r="AG1758" s="3" t="str">
        <f>IFERROR(__xludf.DUMMYFUNCTION("""COMPUTED_VALUE"""),"ใต้")</f>
        <v>ใต้</v>
      </c>
      <c r="AH1758" s="3" t="str">
        <f>IFERROR(__xludf.DUMMYFUNCTION("""COMPUTED_VALUE"""),"#N/A")</f>
        <v>#N/A</v>
      </c>
      <c r="AI1758" s="3" t="str">
        <f>IFERROR(__xludf.DUMMYFUNCTION("""COMPUTED_VALUE"""),"Out of warranty")</f>
        <v>Out of warranty</v>
      </c>
      <c r="AJ1758" s="3">
        <f>IFERROR(__xludf.DUMMYFUNCTION("""COMPUTED_VALUE"""),48.0)</f>
        <v>48</v>
      </c>
      <c r="AK1758" s="3" t="str">
        <f>IFERROR(__xludf.DUMMYFUNCTION("""COMPUTED_VALUE"""),"MMS16")</f>
        <v>MMS16</v>
      </c>
      <c r="AL1758" s="3"/>
    </row>
    <row r="1759" ht="15.75" customHeight="1">
      <c r="A1759" s="1" t="str">
        <f>IFERROR(__xludf.DUMMYFUNCTION("""COMPUTED_VALUE"""),"22445")</f>
        <v>22445</v>
      </c>
      <c r="B1759" s="2">
        <f>IFERROR(__xludf.DUMMYFUNCTION("""COMPUTED_VALUE"""),22445.0)</f>
        <v>22445</v>
      </c>
      <c r="C1759" s="3" t="str">
        <f>IFERROR(__xludf.DUMMYFUNCTION("""COMPUTED_VALUE"""),"MBC กรุงเทพนนท์ ซอย12 นนทบุรี")</f>
        <v>MBC กรุงเทพนนท์ ซอย12 นนทบุรี</v>
      </c>
      <c r="D1759" s="3" t="str">
        <f>IFERROR(__xludf.DUMMYFUNCTION("""COMPUTED_VALUE"""),"BCM KRUNGTHAPNON SOI 12")</f>
        <v>BCM KRUNGTHAPNON SOI 12</v>
      </c>
      <c r="E1759" s="1" t="str">
        <f>IFERROR(__xludf.DUMMYFUNCTION("""COMPUTED_VALUE"""),"บิ๊กซี MINI")</f>
        <v>บิ๊กซี MINI</v>
      </c>
      <c r="F1759" s="1" t="str">
        <f>IFERROR(__xludf.DUMMYFUNCTION("""COMPUTED_VALUE"""),"291008")</f>
        <v>291008</v>
      </c>
      <c r="G1759" s="1" t="str">
        <f>IFERROR(__xludf.DUMMYFUNCTION("""COMPUTED_VALUE"""),"น.ส.รัชดาพร อีศรัตน์")</f>
        <v>น.ส.รัชดาพร อีศรัตน์</v>
      </c>
      <c r="H1759" s="1" t="str">
        <f>IFERROR(__xludf.DUMMYFUNCTION("""COMPUTED_VALUE"""),"034068")</f>
        <v>034068</v>
      </c>
      <c r="I1759" s="1" t="str">
        <f>IFERROR(__xludf.DUMMYFUNCTION("""COMPUTED_VALUE"""),"นายสมศักดิ์ ฐานทองดี")</f>
        <v>นายสมศักดิ์ ฐานทองดี</v>
      </c>
      <c r="J1759" s="3">
        <f>IFERROR(__xludf.DUMMYFUNCTION("""COMPUTED_VALUE"""),296608.0)</f>
        <v>296608</v>
      </c>
      <c r="K1759" s="3" t="str">
        <f>IFERROR(__xludf.DUMMYFUNCTION("""COMPUTED_VALUE"""),"นายภาคภูมิ เพ็ชรนิล")</f>
        <v>นายภาคภูมิ เพ็ชรนิล</v>
      </c>
      <c r="L1759" s="1" t="str">
        <f>IFERROR(__xludf.DUMMYFUNCTION("""COMPUTED_VALUE"""),"10 K.Phakphoom P.")</f>
        <v>10 K.Phakphoom P.</v>
      </c>
      <c r="M1759" s="1" t="str">
        <f>IFERROR(__xludf.DUMMYFUNCTION("""COMPUTED_VALUE"""),"063-8955329")</f>
        <v>063-8955329</v>
      </c>
      <c r="N1759" s="3">
        <f>IFERROR(__xludf.DUMMYFUNCTION("""COMPUTED_VALUE"""),22584.0)</f>
        <v>22584</v>
      </c>
      <c r="O1759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759" s="4">
        <f>IFERROR(__xludf.DUMMYFUNCTION("""COMPUTED_VALUE"""),44592.0)</f>
        <v>44592</v>
      </c>
      <c r="Q1759" s="3" t="str">
        <f>IFERROR(__xludf.DUMMYFUNCTION("""COMPUTED_VALUE"""),"A")</f>
        <v>A</v>
      </c>
      <c r="R1759" s="3" t="str">
        <f>IFERROR(__xludf.DUMMYFUNCTION("""COMPUTED_VALUE"""),"Small Format")</f>
        <v>Small Format</v>
      </c>
      <c r="S1759" s="3" t="str">
        <f>IFERROR(__xludf.DUMMYFUNCTION("""COMPUTED_VALUE"""),"BCM")</f>
        <v>BCM</v>
      </c>
      <c r="T1759" s="3" t="str">
        <f>IFERROR(__xludf.DUMMYFUNCTION("""COMPUTED_VALUE"""),"#N/A")</f>
        <v>#N/A</v>
      </c>
      <c r="U1759" s="3" t="str">
        <f>IFERROR(__xludf.DUMMYFUNCTION("""COMPUTED_VALUE"""),"#N/A")</f>
        <v>#N/A</v>
      </c>
      <c r="V1759" s="3" t="str">
        <f>IFERROR(__xludf.DUMMYFUNCTION("""COMPUTED_VALUE"""),"N")</f>
        <v>N</v>
      </c>
      <c r="W1759" s="3">
        <f>IFERROR(__xludf.DUMMYFUNCTION("""COMPUTED_VALUE"""),210485.0)</f>
        <v>210485</v>
      </c>
      <c r="X1759" s="3" t="str">
        <f>IFERROR(__xludf.DUMMYFUNCTION("""COMPUTED_VALUE"""),"34/1 ซอยกรุงเทพนนท์12 ตำบลบางเขน อำเภอเมืองนนทบุรี จังหวัดนนทบุรี 11000")</f>
        <v>34/1 ซอยกรุงเทพนนท์12 ตำบลบางเขน อำเภอเมืองนนทบุรี จังหวัดนนทบุรี 11000</v>
      </c>
      <c r="Y1759" s="3"/>
      <c r="Z1759" s="3"/>
      <c r="AA1759" s="3"/>
      <c r="AB1759" s="3"/>
      <c r="AC1759" s="3">
        <f>IFERROR(__xludf.DUMMYFUNCTION("""COMPUTED_VALUE"""),11000.0)</f>
        <v>11000</v>
      </c>
      <c r="AD1759" s="3">
        <f>IFERROR(__xludf.DUMMYFUNCTION("""COMPUTED_VALUE"""),13.839248)</f>
        <v>13.839248</v>
      </c>
      <c r="AE1759" s="3">
        <f>IFERROR(__xludf.DUMMYFUNCTION("""COMPUTED_VALUE"""),100.516931)</f>
        <v>100.516931</v>
      </c>
      <c r="AF1759" s="3" t="str">
        <f>IFERROR(__xludf.DUMMYFUNCTION("""COMPUTED_VALUE"""),"MBC กรุงเทพนนท์ ซอย12 นนทบุรี-22445")</f>
        <v>MBC กรุงเทพนนท์ ซอย12 นนทบุรี-22445</v>
      </c>
      <c r="AG1759" s="3">
        <f>IFERROR(__xludf.DUMMYFUNCTION("""COMPUTED_VALUE"""),0.0)</f>
        <v>0</v>
      </c>
      <c r="AH1759" s="3" t="str">
        <f>IFERROR(__xludf.DUMMYFUNCTION("""COMPUTED_VALUE"""),"#N/A")</f>
        <v>#N/A</v>
      </c>
      <c r="AI1759" s="3" t="str">
        <f>IFERROR(__xludf.DUMMYFUNCTION("""COMPUTED_VALUE"""),"Out of warranty")</f>
        <v>Out of warranty</v>
      </c>
      <c r="AJ1759" s="3">
        <f>IFERROR(__xludf.DUMMYFUNCTION("""COMPUTED_VALUE"""),48.0)</f>
        <v>48</v>
      </c>
      <c r="AK1759" s="3" t="str">
        <f>IFERROR(__xludf.DUMMYFUNCTION("""COMPUTED_VALUE"""),"MMS01")</f>
        <v>MMS01</v>
      </c>
      <c r="AL1759" s="3"/>
    </row>
    <row r="1760" ht="15.75" customHeight="1">
      <c r="A1760" s="1" t="str">
        <f>IFERROR(__xludf.DUMMYFUNCTION("""COMPUTED_VALUE"""),"22446")</f>
        <v>22446</v>
      </c>
      <c r="B1760" s="2">
        <f>IFERROR(__xludf.DUMMYFUNCTION("""COMPUTED_VALUE"""),22446.0)</f>
        <v>22446</v>
      </c>
      <c r="C1760" s="3" t="str">
        <f>IFERROR(__xludf.DUMMYFUNCTION("""COMPUTED_VALUE"""),"MBC ริมเมย ตาก")</f>
        <v>MBC ริมเมย ตาก</v>
      </c>
      <c r="D1760" s="3" t="str">
        <f>IFERROR(__xludf.DUMMYFUNCTION("""COMPUTED_VALUE"""),"BCM RIMMOEI")</f>
        <v>BCM RIMMOEI</v>
      </c>
      <c r="E1760" s="1" t="str">
        <f>IFERROR(__xludf.DUMMYFUNCTION("""COMPUTED_VALUE"""),"บิ๊กซี MINI")</f>
        <v>บิ๊กซี MINI</v>
      </c>
      <c r="F1760" s="1" t="str">
        <f>IFERROR(__xludf.DUMMYFUNCTION("""COMPUTED_VALUE"""),"296229")</f>
        <v>296229</v>
      </c>
      <c r="G1760" s="1" t="str">
        <f>IFERROR(__xludf.DUMMYFUNCTION("""COMPUTED_VALUE"""),"นายทนงศักดิ์ บุญมา")</f>
        <v>นายทนงศักดิ์ บุญมา</v>
      </c>
      <c r="H1760" s="1" t="str">
        <f>IFERROR(__xludf.DUMMYFUNCTION("""COMPUTED_VALUE"""),"373680")</f>
        <v>373680</v>
      </c>
      <c r="I1760" s="1" t="str">
        <f>IFERROR(__xludf.DUMMYFUNCTION("""COMPUTED_VALUE"""),"นายวสันต์ พรรณราย")</f>
        <v>นายวสันต์ พรรณราย</v>
      </c>
      <c r="J1760" s="3">
        <f>IFERROR(__xludf.DUMMYFUNCTION("""COMPUTED_VALUE"""),46214.0)</f>
        <v>46214</v>
      </c>
      <c r="K1760" s="3" t="str">
        <f>IFERROR(__xludf.DUMMYFUNCTION("""COMPUTED_VALUE"""),"นายศักดิ์ชัย เด็ดดอกฟ้า")</f>
        <v>นายศักดิ์ชัย เด็ดดอกฟ้า</v>
      </c>
      <c r="L1760" s="1" t="str">
        <f>IFERROR(__xludf.DUMMYFUNCTION("""COMPUTED_VALUE"""),"02 K.Sakchai D")</f>
        <v>02 K.Sakchai D</v>
      </c>
      <c r="M1760" s="1" t="str">
        <f>IFERROR(__xludf.DUMMYFUNCTION("""COMPUTED_VALUE"""),"065-510-7376")</f>
        <v>065-510-7376</v>
      </c>
      <c r="N1760" s="3">
        <f>IFERROR(__xludf.DUMMYFUNCTION("""COMPUTED_VALUE"""),21714.0)</f>
        <v>21714</v>
      </c>
      <c r="O1760" s="3" t="str">
        <f>IFERROR(__xludf.DUMMYFUNCTION("""COMPUTED_VALUE"""),"MBC เอสโซ่ วัดโบสถ์")</f>
        <v>MBC เอสโซ่ วัดโบสถ์</v>
      </c>
      <c r="P1760" s="4">
        <f>IFERROR(__xludf.DUMMYFUNCTION("""COMPUTED_VALUE"""),44614.0)</f>
        <v>44614</v>
      </c>
      <c r="Q1760" s="3" t="str">
        <f>IFERROR(__xludf.DUMMYFUNCTION("""COMPUTED_VALUE"""),"A")</f>
        <v>A</v>
      </c>
      <c r="R1760" s="3" t="str">
        <f>IFERROR(__xludf.DUMMYFUNCTION("""COMPUTED_VALUE"""),"Small Format")</f>
        <v>Small Format</v>
      </c>
      <c r="S1760" s="3" t="str">
        <f>IFERROR(__xludf.DUMMYFUNCTION("""COMPUTED_VALUE"""),"BCM")</f>
        <v>BCM</v>
      </c>
      <c r="T1760" s="3" t="str">
        <f>IFERROR(__xludf.DUMMYFUNCTION("""COMPUTED_VALUE"""),"#N/A")</f>
        <v>#N/A</v>
      </c>
      <c r="U1760" s="3" t="str">
        <f>IFERROR(__xludf.DUMMYFUNCTION("""COMPUTED_VALUE"""),"#N/A")</f>
        <v>#N/A</v>
      </c>
      <c r="V1760" s="3" t="str">
        <f>IFERROR(__xludf.DUMMYFUNCTION("""COMPUTED_VALUE"""),"N")</f>
        <v>N</v>
      </c>
      <c r="W1760" s="3">
        <f>IFERROR(__xludf.DUMMYFUNCTION("""COMPUTED_VALUE"""),210503.0)</f>
        <v>210503</v>
      </c>
      <c r="X1760" s="3" t="str">
        <f>IFERROR(__xludf.DUMMYFUNCTION("""COMPUTED_VALUE"""),"700/13-15 หมู่ที่1 ตำบลท่าสายลวด อำเภอแม่สอด จังหวัดตาก 63110")</f>
        <v>700/13-15 หมู่ที่1 ตำบลท่าสายลวด อำเภอแม่สอด จังหวัดตาก 63110</v>
      </c>
      <c r="Y1760" s="3"/>
      <c r="Z1760" s="3" t="str">
        <f>IFERROR(__xludf.DUMMYFUNCTION("""COMPUTED_VALUE"""),"ท่าสายลวด")</f>
        <v>ท่าสายลวด</v>
      </c>
      <c r="AA1760" s="3" t="str">
        <f>IFERROR(__xludf.DUMMYFUNCTION("""COMPUTED_VALUE"""),"แม่สอด")</f>
        <v>แม่สอด</v>
      </c>
      <c r="AB1760" s="3" t="str">
        <f>IFERROR(__xludf.DUMMYFUNCTION("""COMPUTED_VALUE"""),"ตาก")</f>
        <v>ตาก</v>
      </c>
      <c r="AC1760" s="3">
        <f>IFERROR(__xludf.DUMMYFUNCTION("""COMPUTED_VALUE"""),63110.0)</f>
        <v>63110</v>
      </c>
      <c r="AD1760" s="3">
        <f>IFERROR(__xludf.DUMMYFUNCTION("""COMPUTED_VALUE"""),16.69436)</f>
        <v>16.69436</v>
      </c>
      <c r="AE1760" s="3">
        <f>IFERROR(__xludf.DUMMYFUNCTION("""COMPUTED_VALUE"""),98.52428)</f>
        <v>98.52428</v>
      </c>
      <c r="AF1760" s="3" t="str">
        <f>IFERROR(__xludf.DUMMYFUNCTION("""COMPUTED_VALUE"""),"MBC ริมเมย ตาก-22446")</f>
        <v>MBC ริมเมย ตาก-22446</v>
      </c>
      <c r="AG1760" s="3" t="str">
        <f>IFERROR(__xludf.DUMMYFUNCTION("""COMPUTED_VALUE"""),"ตะวันตก")</f>
        <v>ตะวันตก</v>
      </c>
      <c r="AH1760" s="3" t="str">
        <f>IFERROR(__xludf.DUMMYFUNCTION("""COMPUTED_VALUE"""),"#N/A")</f>
        <v>#N/A</v>
      </c>
      <c r="AI1760" s="3" t="str">
        <f>IFERROR(__xludf.DUMMYFUNCTION("""COMPUTED_VALUE"""),"Out of warranty")</f>
        <v>Out of warranty</v>
      </c>
      <c r="AJ1760" s="3">
        <f>IFERROR(__xludf.DUMMYFUNCTION("""COMPUTED_VALUE"""),47.0)</f>
        <v>47</v>
      </c>
      <c r="AK1760" s="3" t="str">
        <f>IFERROR(__xludf.DUMMYFUNCTION("""COMPUTED_VALUE"""),"MMS10")</f>
        <v>MMS10</v>
      </c>
      <c r="AL1760" s="3"/>
    </row>
    <row r="1761" ht="15.75" customHeight="1">
      <c r="A1761" s="1" t="str">
        <f>IFERROR(__xludf.DUMMYFUNCTION("""COMPUTED_VALUE"""),"22447")</f>
        <v>22447</v>
      </c>
      <c r="B1761" s="2">
        <f>IFERROR(__xludf.DUMMYFUNCTION("""COMPUTED_VALUE"""),22447.0)</f>
        <v>22447</v>
      </c>
      <c r="C1761" s="3" t="str">
        <f>IFERROR(__xludf.DUMMYFUNCTION("""COMPUTED_VALUE"""),"MBC ปางมะผ้า แม่ฮ่องสอน")</f>
        <v>MBC ปางมะผ้า แม่ฮ่องสอน</v>
      </c>
      <c r="D1761" s="3" t="str">
        <f>IFERROR(__xludf.DUMMYFUNCTION("""COMPUTED_VALUE"""),"BCM PANG MAPHA")</f>
        <v>BCM PANG MAPHA</v>
      </c>
      <c r="E1761" s="1" t="str">
        <f>IFERROR(__xludf.DUMMYFUNCTION("""COMPUTED_VALUE"""),"บิ๊กซี MINI")</f>
        <v>บิ๊กซี MINI</v>
      </c>
      <c r="F1761" s="1" t="str">
        <f>IFERROR(__xludf.DUMMYFUNCTION("""COMPUTED_VALUE"""),"296229")</f>
        <v>296229</v>
      </c>
      <c r="G1761" s="1" t="str">
        <f>IFERROR(__xludf.DUMMYFUNCTION("""COMPUTED_VALUE"""),"นายทนงศักดิ์ บุญมา")</f>
        <v>นายทนงศักดิ์ บุญมา</v>
      </c>
      <c r="H1761" s="1" t="str">
        <f>IFERROR(__xludf.DUMMYFUNCTION("""COMPUTED_VALUE"""),"392003")</f>
        <v>392003</v>
      </c>
      <c r="I1761" s="1" t="str">
        <f>IFERROR(__xludf.DUMMYFUNCTION("""COMPUTED_VALUE"""),"นายวรภพ เศษสูงเนิน")</f>
        <v>นายวรภพ เศษสูงเนิน</v>
      </c>
      <c r="J1761" s="3">
        <f>IFERROR(__xludf.DUMMYFUNCTION("""COMPUTED_VALUE"""),2010016.0)</f>
        <v>2010016</v>
      </c>
      <c r="K1761" s="3" t="str">
        <f>IFERROR(__xludf.DUMMYFUNCTION("""COMPUTED_VALUE"""),"นายตวงธรรม ใหม่ยศ")</f>
        <v>นายตวงธรรม ใหม่ยศ</v>
      </c>
      <c r="L1761" s="1" t="str">
        <f>IFERROR(__xludf.DUMMYFUNCTION("""COMPUTED_VALUE"""),"01 K.Tuangtham M.")</f>
        <v>01 K.Tuangtham M.</v>
      </c>
      <c r="M1761" s="1" t="str">
        <f>IFERROR(__xludf.DUMMYFUNCTION("""COMPUTED_VALUE"""),"063-976-595")</f>
        <v>063-976-595</v>
      </c>
      <c r="N1761" s="3">
        <f>IFERROR(__xludf.DUMMYFUNCTION("""COMPUTED_VALUE"""),22574.0)</f>
        <v>22574</v>
      </c>
      <c r="O1761" s="3" t="str">
        <f>IFERROR(__xludf.DUMMYFUNCTION("""COMPUTED_VALUE"""),"BCM ชุมชนศรีชุม ลำปาง")</f>
        <v>BCM ชุมชนศรีชุม ลำปาง</v>
      </c>
      <c r="P1761" s="4">
        <f>IFERROR(__xludf.DUMMYFUNCTION("""COMPUTED_VALUE"""),44619.0)</f>
        <v>44619</v>
      </c>
      <c r="Q1761" s="3" t="str">
        <f>IFERROR(__xludf.DUMMYFUNCTION("""COMPUTED_VALUE"""),"A")</f>
        <v>A</v>
      </c>
      <c r="R1761" s="3" t="str">
        <f>IFERROR(__xludf.DUMMYFUNCTION("""COMPUTED_VALUE"""),"Small Format")</f>
        <v>Small Format</v>
      </c>
      <c r="S1761" s="3" t="str">
        <f>IFERROR(__xludf.DUMMYFUNCTION("""COMPUTED_VALUE"""),"BCM")</f>
        <v>BCM</v>
      </c>
      <c r="T1761" s="3" t="str">
        <f>IFERROR(__xludf.DUMMYFUNCTION("""COMPUTED_VALUE"""),"#N/A")</f>
        <v>#N/A</v>
      </c>
      <c r="U1761" s="3" t="str">
        <f>IFERROR(__xludf.DUMMYFUNCTION("""COMPUTED_VALUE"""),"#N/A")</f>
        <v>#N/A</v>
      </c>
      <c r="V1761" s="3" t="str">
        <f>IFERROR(__xludf.DUMMYFUNCTION("""COMPUTED_VALUE"""),"N")</f>
        <v>N</v>
      </c>
      <c r="W1761" s="3">
        <f>IFERROR(__xludf.DUMMYFUNCTION("""COMPUTED_VALUE"""),210441.0)</f>
        <v>210441</v>
      </c>
      <c r="X1761" s="3" t="str">
        <f>IFERROR(__xludf.DUMMYFUNCTION("""COMPUTED_VALUE"""),"327 หมู่ที่1 ตำบลสมป่อง อำเภอปางมะผ้า จังหวัดแม่ฮ่องสอน 58150")</f>
        <v>327 หมู่ที่1 ตำบลสมป่อง อำเภอปางมะผ้า จังหวัดแม่ฮ่องสอน 58150</v>
      </c>
      <c r="Y1761" s="3"/>
      <c r="Z1761" s="3" t="str">
        <f>IFERROR(__xludf.DUMMYFUNCTION("""COMPUTED_VALUE"""),"สมป่อง")</f>
        <v>สมป่อง</v>
      </c>
      <c r="AA1761" s="3" t="str">
        <f>IFERROR(__xludf.DUMMYFUNCTION("""COMPUTED_VALUE"""),"ปางมะผ้า")</f>
        <v>ปางมะผ้า</v>
      </c>
      <c r="AB1761" s="3" t="str">
        <f>IFERROR(__xludf.DUMMYFUNCTION("""COMPUTED_VALUE"""),"แม่ฮ่องสอน")</f>
        <v>แม่ฮ่องสอน</v>
      </c>
      <c r="AC1761" s="3">
        <f>IFERROR(__xludf.DUMMYFUNCTION("""COMPUTED_VALUE"""),58150.0)</f>
        <v>58150</v>
      </c>
      <c r="AD1761" s="3">
        <f>IFERROR(__xludf.DUMMYFUNCTION("""COMPUTED_VALUE"""),19.515508)</f>
        <v>19.515508</v>
      </c>
      <c r="AE1761" s="3">
        <f>IFERROR(__xludf.DUMMYFUNCTION("""COMPUTED_VALUE"""),98.254752)</f>
        <v>98.254752</v>
      </c>
      <c r="AF1761" s="3" t="str">
        <f>IFERROR(__xludf.DUMMYFUNCTION("""COMPUTED_VALUE"""),"MBC ปางมะผ้า แม่ฮ่องสอน-22447")</f>
        <v>MBC ปางมะผ้า แม่ฮ่องสอน-22447</v>
      </c>
      <c r="AG1761" s="3" t="str">
        <f>IFERROR(__xludf.DUMMYFUNCTION("""COMPUTED_VALUE"""),"เหนือ")</f>
        <v>เหนือ</v>
      </c>
      <c r="AH1761" s="3" t="str">
        <f>IFERROR(__xludf.DUMMYFUNCTION("""COMPUTED_VALUE"""),"#N/A")</f>
        <v>#N/A</v>
      </c>
      <c r="AI1761" s="3" t="str">
        <f>IFERROR(__xludf.DUMMYFUNCTION("""COMPUTED_VALUE"""),"Out of warranty")</f>
        <v>Out of warranty</v>
      </c>
      <c r="AJ1761" s="3">
        <f>IFERROR(__xludf.DUMMYFUNCTION("""COMPUTED_VALUE"""),47.0)</f>
        <v>47</v>
      </c>
      <c r="AK1761" s="3" t="str">
        <f>IFERROR(__xludf.DUMMYFUNCTION("""COMPUTED_VALUE"""),"MMS10")</f>
        <v>MMS10</v>
      </c>
      <c r="AL1761" s="3"/>
    </row>
    <row r="1762" ht="15.75" customHeight="1">
      <c r="A1762" s="1" t="str">
        <f>IFERROR(__xludf.DUMMYFUNCTION("""COMPUTED_VALUE"""),"22448")</f>
        <v>22448</v>
      </c>
      <c r="B1762" s="2">
        <f>IFERROR(__xludf.DUMMYFUNCTION("""COMPUTED_VALUE"""),22448.0)</f>
        <v>22448</v>
      </c>
      <c r="C1762" s="3" t="str">
        <f>IFERROR(__xludf.DUMMYFUNCTION("""COMPUTED_VALUE"""),"MBC หมู่บ้านกรุงศรีธานี พระนครศรีอยุธยา")</f>
        <v>MBC หมู่บ้านกรุงศรีธานี พระนครศรีอยุธยา</v>
      </c>
      <c r="D1762" s="3" t="str">
        <f>IFERROR(__xludf.DUMMYFUNCTION("""COMPUTED_VALUE"""),"BCM MOOBAN KRUNGSRI THANI")</f>
        <v>BCM MOOBAN KRUNGSRI THANI</v>
      </c>
      <c r="E1762" s="1" t="str">
        <f>IFERROR(__xludf.DUMMYFUNCTION("""COMPUTED_VALUE"""),"บิ๊กซี MINI")</f>
        <v>บิ๊กซี MINI</v>
      </c>
      <c r="F1762" s="1" t="str">
        <f>IFERROR(__xludf.DUMMYFUNCTION("""COMPUTED_VALUE"""),"296229")</f>
        <v>296229</v>
      </c>
      <c r="G1762" s="1" t="str">
        <f>IFERROR(__xludf.DUMMYFUNCTION("""COMPUTED_VALUE"""),"นายทนงศักดิ์ บุญมา")</f>
        <v>นายทนงศักดิ์ บุญมา</v>
      </c>
      <c r="H1762" s="1" t="str">
        <f>IFERROR(__xludf.DUMMYFUNCTION("""COMPUTED_VALUE"""),"318233")</f>
        <v>318233</v>
      </c>
      <c r="I1762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1762" s="3">
        <f>IFERROR(__xludf.DUMMYFUNCTION("""COMPUTED_VALUE"""),46214.0)</f>
        <v>46214</v>
      </c>
      <c r="K1762" s="3" t="str">
        <f>IFERROR(__xludf.DUMMYFUNCTION("""COMPUTED_VALUE"""),"นายศักดิ์ชัย เด็ดดอกฟ้า")</f>
        <v>นายศักดิ์ชัย เด็ดดอกฟ้า</v>
      </c>
      <c r="L1762" s="1" t="str">
        <f>IFERROR(__xludf.DUMMYFUNCTION("""COMPUTED_VALUE"""),"02 K.Sakchai D")</f>
        <v>02 K.Sakchai D</v>
      </c>
      <c r="M1762" s="1" t="str">
        <f>IFERROR(__xludf.DUMMYFUNCTION("""COMPUTED_VALUE"""),"065-510-7376")</f>
        <v>065-510-7376</v>
      </c>
      <c r="N1762" s="3">
        <f>IFERROR(__xludf.DUMMYFUNCTION("""COMPUTED_VALUE"""),21714.0)</f>
        <v>21714</v>
      </c>
      <c r="O1762" s="3" t="str">
        <f>IFERROR(__xludf.DUMMYFUNCTION("""COMPUTED_VALUE"""),"MBC เอสโซ่ วัดโบสถ์")</f>
        <v>MBC เอสโซ่ วัดโบสถ์</v>
      </c>
      <c r="P1762" s="4">
        <f>IFERROR(__xludf.DUMMYFUNCTION("""COMPUTED_VALUE"""),44603.0)</f>
        <v>44603</v>
      </c>
      <c r="Q1762" s="3" t="str">
        <f>IFERROR(__xludf.DUMMYFUNCTION("""COMPUTED_VALUE"""),"A")</f>
        <v>A</v>
      </c>
      <c r="R1762" s="3" t="str">
        <f>IFERROR(__xludf.DUMMYFUNCTION("""COMPUTED_VALUE"""),"Small Format")</f>
        <v>Small Format</v>
      </c>
      <c r="S1762" s="3" t="str">
        <f>IFERROR(__xludf.DUMMYFUNCTION("""COMPUTED_VALUE"""),"BCM")</f>
        <v>BCM</v>
      </c>
      <c r="T1762" s="3" t="str">
        <f>IFERROR(__xludf.DUMMYFUNCTION("""COMPUTED_VALUE"""),"#N/A")</f>
        <v>#N/A</v>
      </c>
      <c r="U1762" s="3" t="str">
        <f>IFERROR(__xludf.DUMMYFUNCTION("""COMPUTED_VALUE"""),"#N/A")</f>
        <v>#N/A</v>
      </c>
      <c r="V1762" s="3" t="str">
        <f>IFERROR(__xludf.DUMMYFUNCTION("""COMPUTED_VALUE"""),"N")</f>
        <v>N</v>
      </c>
      <c r="W1762" s="3">
        <f>IFERROR(__xludf.DUMMYFUNCTION("""COMPUTED_VALUE"""),210508.0)</f>
        <v>210508</v>
      </c>
      <c r="X1762" s="3" t="str">
        <f>IFERROR(__xludf.DUMMYFUNCTION("""COMPUTED_VALUE"""),"98/20-22 หมู่ที่5 ตำบลวัดตูม อำเภอพระนครศรีอยุธยา จังหวัดพระนครศรีอยุธยา 13000")</f>
        <v>98/20-22 หมู่ที่5 ตำบลวัดตูม อำเภอพระนครศรีอยุธยา จังหวัดพระนครศรีอยุธยา 13000</v>
      </c>
      <c r="Y1762" s="3"/>
      <c r="Z1762" s="3" t="str">
        <f>IFERROR(__xludf.DUMMYFUNCTION("""COMPUTED_VALUE"""),"วัดตูม")</f>
        <v>วัดตูม</v>
      </c>
      <c r="AA1762" s="3" t="str">
        <f>IFERROR(__xludf.DUMMYFUNCTION("""COMPUTED_VALUE"""),"เมืองพระนครศรีอยุธยา")</f>
        <v>เมืองพระนครศรีอยุธยา</v>
      </c>
      <c r="AB1762" s="3" t="str">
        <f>IFERROR(__xludf.DUMMYFUNCTION("""COMPUTED_VALUE"""),"พระนครศรีอยุธยา")</f>
        <v>พระนครศรีอยุธยา</v>
      </c>
      <c r="AC1762" s="3">
        <f>IFERROR(__xludf.DUMMYFUNCTION("""COMPUTED_VALUE"""),13000.0)</f>
        <v>13000</v>
      </c>
      <c r="AD1762" s="3">
        <f>IFERROR(__xludf.DUMMYFUNCTION("""COMPUTED_VALUE"""),16.31028)</f>
        <v>16.31028</v>
      </c>
      <c r="AE1762" s="3" t="str">
        <f>IFERROR(__xludf.DUMMYFUNCTION("""COMPUTED_VALUE"""),"104.20614 0")</f>
        <v>104.20614 0</v>
      </c>
      <c r="AF1762" s="3" t="str">
        <f>IFERROR(__xludf.DUMMYFUNCTION("""COMPUTED_VALUE"""),"MBC หมู่บ้านกรุงศรีธานี พระนครศรีอยุธยา-22448")</f>
        <v>MBC หมู่บ้านกรุงศรีธานี พระนครศรีอยุธยา-22448</v>
      </c>
      <c r="AG1762" s="3" t="str">
        <f>IFERROR(__xludf.DUMMYFUNCTION("""COMPUTED_VALUE"""),"กลาง")</f>
        <v>กลาง</v>
      </c>
      <c r="AH1762" s="3" t="str">
        <f>IFERROR(__xludf.DUMMYFUNCTION("""COMPUTED_VALUE"""),"#N/A")</f>
        <v>#N/A</v>
      </c>
      <c r="AI1762" s="3" t="str">
        <f>IFERROR(__xludf.DUMMYFUNCTION("""COMPUTED_VALUE"""),"Out of warranty")</f>
        <v>Out of warranty</v>
      </c>
      <c r="AJ1762" s="3">
        <f>IFERROR(__xludf.DUMMYFUNCTION("""COMPUTED_VALUE"""),48.0)</f>
        <v>48</v>
      </c>
      <c r="AK1762" s="3" t="str">
        <f>IFERROR(__xludf.DUMMYFUNCTION("""COMPUTED_VALUE"""),"MMS09")</f>
        <v>MMS09</v>
      </c>
      <c r="AL1762" s="3"/>
    </row>
    <row r="1763" ht="15.75" customHeight="1">
      <c r="A1763" s="1" t="str">
        <f>IFERROR(__xludf.DUMMYFUNCTION("""COMPUTED_VALUE"""),"22449")</f>
        <v>22449</v>
      </c>
      <c r="B1763" s="2">
        <f>IFERROR(__xludf.DUMMYFUNCTION("""COMPUTED_VALUE"""),22449.0)</f>
        <v>22449</v>
      </c>
      <c r="C1763" s="3" t="str">
        <f>IFERROR(__xludf.DUMMYFUNCTION("""COMPUTED_VALUE"""),"MBC สถาบันบัณฑิตพัฒนาศิลป์(ศาลายา) นครปฐม")</f>
        <v>MBC สถาบันบัณฑิตพัฒนาศิลป์(ศาลายา) นครปฐม</v>
      </c>
      <c r="D1763" s="3" t="str">
        <f>IFERROR(__xludf.DUMMYFUNCTION("""COMPUTED_VALUE"""),"BCM BANDITPATANASLIPA SALAYA")</f>
        <v>BCM BANDITPATANASLIPA SALAYA</v>
      </c>
      <c r="E1763" s="1" t="str">
        <f>IFERROR(__xludf.DUMMYFUNCTION("""COMPUTED_VALUE"""),"บิ๊กซี MINI")</f>
        <v>บิ๊กซี MINI</v>
      </c>
      <c r="F1763" s="1" t="str">
        <f>IFERROR(__xludf.DUMMYFUNCTION("""COMPUTED_VALUE"""),"296229")</f>
        <v>296229</v>
      </c>
      <c r="G1763" s="1" t="str">
        <f>IFERROR(__xludf.DUMMYFUNCTION("""COMPUTED_VALUE"""),"นายทนงศักดิ์ บุญมา")</f>
        <v>นายทนงศักดิ์ บุญมา</v>
      </c>
      <c r="H1763" s="1" t="str">
        <f>IFERROR(__xludf.DUMMYFUNCTION("""COMPUTED_VALUE"""),"295245")</f>
        <v>295245</v>
      </c>
      <c r="I1763" s="1" t="str">
        <f>IFERROR(__xludf.DUMMYFUNCTION("""COMPUTED_VALUE"""),"นายมานะ วงศ์สุโชโต")</f>
        <v>นายมานะ วงศ์สุโชโต</v>
      </c>
      <c r="J1763" s="3">
        <f>IFERROR(__xludf.DUMMYFUNCTION("""COMPUTED_VALUE"""),46214.0)</f>
        <v>46214</v>
      </c>
      <c r="K1763" s="3" t="str">
        <f>IFERROR(__xludf.DUMMYFUNCTION("""COMPUTED_VALUE"""),"นายศักดิ์ชัย เด็ดดอกฟ้า")</f>
        <v>นายศักดิ์ชัย เด็ดดอกฟ้า</v>
      </c>
      <c r="L1763" s="1" t="str">
        <f>IFERROR(__xludf.DUMMYFUNCTION("""COMPUTED_VALUE"""),"02 K.Sakchai D")</f>
        <v>02 K.Sakchai D</v>
      </c>
      <c r="M1763" s="1" t="str">
        <f>IFERROR(__xludf.DUMMYFUNCTION("""COMPUTED_VALUE"""),"065-510-7376")</f>
        <v>065-510-7376</v>
      </c>
      <c r="N1763" s="3">
        <f>IFERROR(__xludf.DUMMYFUNCTION("""COMPUTED_VALUE"""),21714.0)</f>
        <v>21714</v>
      </c>
      <c r="O1763" s="3" t="str">
        <f>IFERROR(__xludf.DUMMYFUNCTION("""COMPUTED_VALUE"""),"MBC เอสโซ่ วัดโบสถ์")</f>
        <v>MBC เอสโซ่ วัดโบสถ์</v>
      </c>
      <c r="P1763" s="4">
        <f>IFERROR(__xludf.DUMMYFUNCTION("""COMPUTED_VALUE"""),44582.0)</f>
        <v>44582</v>
      </c>
      <c r="Q1763" s="3" t="str">
        <f>IFERROR(__xludf.DUMMYFUNCTION("""COMPUTED_VALUE"""),"A")</f>
        <v>A</v>
      </c>
      <c r="R1763" s="3" t="str">
        <f>IFERROR(__xludf.DUMMYFUNCTION("""COMPUTED_VALUE"""),"Small Format")</f>
        <v>Small Format</v>
      </c>
      <c r="S1763" s="3" t="str">
        <f>IFERROR(__xludf.DUMMYFUNCTION("""COMPUTED_VALUE"""),"BCM")</f>
        <v>BCM</v>
      </c>
      <c r="T1763" s="3" t="str">
        <f>IFERROR(__xludf.DUMMYFUNCTION("""COMPUTED_VALUE"""),"#N/A")</f>
        <v>#N/A</v>
      </c>
      <c r="U1763" s="3" t="str">
        <f>IFERROR(__xludf.DUMMYFUNCTION("""COMPUTED_VALUE"""),"#N/A")</f>
        <v>#N/A</v>
      </c>
      <c r="V1763" s="3" t="str">
        <f>IFERROR(__xludf.DUMMYFUNCTION("""COMPUTED_VALUE"""),"N")</f>
        <v>N</v>
      </c>
      <c r="W1763" s="3">
        <f>IFERROR(__xludf.DUMMYFUNCTION("""COMPUTED_VALUE"""),210515.0)</f>
        <v>210515</v>
      </c>
      <c r="X1763" s="3" t="str">
        <f>IFERROR(__xludf.DUMMYFUNCTION("""COMPUTED_VALUE"""),"119/12 หมู่ที่3 ตำบลศาลายา อำเภอพุทธมณฑล จังหวัดนครปฐม 73170")</f>
        <v>119/12 หมู่ที่3 ตำบลศาลายา อำเภอพุทธมณฑล จังหวัดนครปฐม 73170</v>
      </c>
      <c r="Y1763" s="3"/>
      <c r="Z1763" s="3" t="str">
        <f>IFERROR(__xludf.DUMMYFUNCTION("""COMPUTED_VALUE"""),"ศาลายา")</f>
        <v>ศาลายา</v>
      </c>
      <c r="AA1763" s="3" t="str">
        <f>IFERROR(__xludf.DUMMYFUNCTION("""COMPUTED_VALUE"""),"พุทธมณฑล")</f>
        <v>พุทธมณฑล</v>
      </c>
      <c r="AB1763" s="3" t="str">
        <f>IFERROR(__xludf.DUMMYFUNCTION("""COMPUTED_VALUE"""),"นครปฐม")</f>
        <v>นครปฐม</v>
      </c>
      <c r="AC1763" s="3">
        <f>IFERROR(__xludf.DUMMYFUNCTION("""COMPUTED_VALUE"""),73170.0)</f>
        <v>73170</v>
      </c>
      <c r="AD1763" s="3">
        <f>IFERROR(__xludf.DUMMYFUNCTION("""COMPUTED_VALUE"""),13.799581)</f>
        <v>13.799581</v>
      </c>
      <c r="AE1763" s="3">
        <f>IFERROR(__xludf.DUMMYFUNCTION("""COMPUTED_VALUE"""),100.300545)</f>
        <v>100.300545</v>
      </c>
      <c r="AF1763" s="3" t="str">
        <f>IFERROR(__xludf.DUMMYFUNCTION("""COMPUTED_VALUE"""),"MBC สถาบันบัณฑิตพัฒนาศิลป์(ศาลายา) นครปฐม-22449")</f>
        <v>MBC สถาบันบัณฑิตพัฒนาศิลป์(ศาลายา) นครปฐม-22449</v>
      </c>
      <c r="AG1763" s="3" t="str">
        <f>IFERROR(__xludf.DUMMYFUNCTION("""COMPUTED_VALUE"""),"กลาง")</f>
        <v>กลาง</v>
      </c>
      <c r="AH1763" s="3" t="str">
        <f>IFERROR(__xludf.DUMMYFUNCTION("""COMPUTED_VALUE"""),"#N/A")</f>
        <v>#N/A</v>
      </c>
      <c r="AI1763" s="3" t="str">
        <f>IFERROR(__xludf.DUMMYFUNCTION("""COMPUTED_VALUE"""),"Out of warranty")</f>
        <v>Out of warranty</v>
      </c>
      <c r="AJ1763" s="3">
        <f>IFERROR(__xludf.DUMMYFUNCTION("""COMPUTED_VALUE"""),48.0)</f>
        <v>48</v>
      </c>
      <c r="AK1763" s="3" t="str">
        <f>IFERROR(__xludf.DUMMYFUNCTION("""COMPUTED_VALUE"""),"MMS05")</f>
        <v>MMS05</v>
      </c>
      <c r="AL1763" s="3"/>
    </row>
    <row r="1764" ht="15.75" customHeight="1">
      <c r="A1764" s="1" t="str">
        <f>IFERROR(__xludf.DUMMYFUNCTION("""COMPUTED_VALUE"""),"22450")</f>
        <v>22450</v>
      </c>
      <c r="B1764" s="2">
        <f>IFERROR(__xludf.DUMMYFUNCTION("""COMPUTED_VALUE"""),22450.0)</f>
        <v>22450</v>
      </c>
      <c r="C1764" s="3" t="str">
        <f>IFERROR(__xludf.DUMMYFUNCTION("""COMPUTED_VALUE"""),"MBC วังศาลา กาญจนบุรี")</f>
        <v>MBC วังศาลา กาญจนบุรี</v>
      </c>
      <c r="D1764" s="3" t="str">
        <f>IFERROR(__xludf.DUMMYFUNCTION("""COMPUTED_VALUE"""),"BCM WANG SALA")</f>
        <v>BCM WANG SALA</v>
      </c>
      <c r="E1764" s="1" t="str">
        <f>IFERROR(__xludf.DUMMYFUNCTION("""COMPUTED_VALUE"""),"บิ๊กซี MINI")</f>
        <v>บิ๊กซี MINI</v>
      </c>
      <c r="F1764" s="1" t="str">
        <f>IFERROR(__xludf.DUMMYFUNCTION("""COMPUTED_VALUE"""),"2083447")</f>
        <v>2083447</v>
      </c>
      <c r="G1764" s="1" t="str">
        <f>IFERROR(__xludf.DUMMYFUNCTION("""COMPUTED_VALUE"""),"นายอนุกูล ศรีลัดดา")</f>
        <v>นายอนุกูล ศรีลัดดา</v>
      </c>
      <c r="H1764" s="1" t="str">
        <f>IFERROR(__xludf.DUMMYFUNCTION("""COMPUTED_VALUE"""),"391191")</f>
        <v>391191</v>
      </c>
      <c r="I1764" s="1" t="str">
        <f>IFERROR(__xludf.DUMMYFUNCTION("""COMPUTED_VALUE"""),"นายวสันต์ สรงพรมทิพย์")</f>
        <v>นายวสันต์ สรงพรมทิพย์</v>
      </c>
      <c r="J1764" s="3">
        <f>IFERROR(__xludf.DUMMYFUNCTION("""COMPUTED_VALUE"""),2451655.0)</f>
        <v>2451655</v>
      </c>
      <c r="K1764" s="3" t="str">
        <f>IFERROR(__xludf.DUMMYFUNCTION("""COMPUTED_VALUE"""),"นายวิษณุพงษ์ ชินบุตร")</f>
        <v>นายวิษณุพงษ์ ชินบุตร</v>
      </c>
      <c r="L1764" s="1" t="str">
        <f>IFERROR(__xludf.DUMMYFUNCTION("""COMPUTED_VALUE"""),"13 K.Wisanupong Ch")</f>
        <v>13 K.Wisanupong Ch</v>
      </c>
      <c r="M1764" s="1" t="str">
        <f>IFERROR(__xludf.DUMMYFUNCTION("""COMPUTED_VALUE"""),"0843374693")</f>
        <v>0843374693</v>
      </c>
      <c r="N1764" s="3">
        <f>IFERROR(__xludf.DUMMYFUNCTION("""COMPUTED_VALUE"""),22729.0)</f>
        <v>22729</v>
      </c>
      <c r="O1764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764" s="4">
        <f>IFERROR(__xludf.DUMMYFUNCTION("""COMPUTED_VALUE"""),44612.0)</f>
        <v>44612</v>
      </c>
      <c r="Q1764" s="3" t="str">
        <f>IFERROR(__xludf.DUMMYFUNCTION("""COMPUTED_VALUE"""),"A")</f>
        <v>A</v>
      </c>
      <c r="R1764" s="3" t="str">
        <f>IFERROR(__xludf.DUMMYFUNCTION("""COMPUTED_VALUE"""),"Small Format")</f>
        <v>Small Format</v>
      </c>
      <c r="S1764" s="3" t="str">
        <f>IFERROR(__xludf.DUMMYFUNCTION("""COMPUTED_VALUE"""),"BCM")</f>
        <v>BCM</v>
      </c>
      <c r="T1764" s="3" t="str">
        <f>IFERROR(__xludf.DUMMYFUNCTION("""COMPUTED_VALUE"""),"#N/A")</f>
        <v>#N/A</v>
      </c>
      <c r="U1764" s="3" t="str">
        <f>IFERROR(__xludf.DUMMYFUNCTION("""COMPUTED_VALUE"""),"#N/A")</f>
        <v>#N/A</v>
      </c>
      <c r="V1764" s="3" t="str">
        <f>IFERROR(__xludf.DUMMYFUNCTION("""COMPUTED_VALUE"""),"N")</f>
        <v>N</v>
      </c>
      <c r="W1764" s="3">
        <f>IFERROR(__xludf.DUMMYFUNCTION("""COMPUTED_VALUE"""),210504.0)</f>
        <v>210504</v>
      </c>
      <c r="X1764" s="3" t="str">
        <f>IFERROR(__xludf.DUMMYFUNCTION("""COMPUTED_VALUE"""),"92/5-7 หมู่ที่9 ตำบลวังศาลา อำเภอท่าม่วง จังหวัดกาญจนบุรี 71110")</f>
        <v>92/5-7 หมู่ที่9 ตำบลวังศาลา อำเภอท่าม่วง จังหวัดกาญจนบุรี 71110</v>
      </c>
      <c r="Y1764" s="3"/>
      <c r="Z1764" s="3" t="str">
        <f>IFERROR(__xludf.DUMMYFUNCTION("""COMPUTED_VALUE"""),"วังศาลา")</f>
        <v>วังศาลา</v>
      </c>
      <c r="AA1764" s="3" t="str">
        <f>IFERROR(__xludf.DUMMYFUNCTION("""COMPUTED_VALUE"""),"ท่าม่วง")</f>
        <v>ท่าม่วง</v>
      </c>
      <c r="AB1764" s="3" t="str">
        <f>IFERROR(__xludf.DUMMYFUNCTION("""COMPUTED_VALUE"""),"กาญจนบุรี")</f>
        <v>กาญจนบุรี</v>
      </c>
      <c r="AC1764" s="3">
        <f>IFERROR(__xludf.DUMMYFUNCTION("""COMPUTED_VALUE"""),71110.0)</f>
        <v>71110</v>
      </c>
      <c r="AD1764" s="3">
        <f>IFERROR(__xludf.DUMMYFUNCTION("""COMPUTED_VALUE"""),16.69436)</f>
        <v>16.69436</v>
      </c>
      <c r="AE1764" s="3">
        <f>IFERROR(__xludf.DUMMYFUNCTION("""COMPUTED_VALUE"""),98.52428)</f>
        <v>98.52428</v>
      </c>
      <c r="AF1764" s="3" t="str">
        <f>IFERROR(__xludf.DUMMYFUNCTION("""COMPUTED_VALUE"""),"MBC วังศาลา กาญจนบุรี-22450")</f>
        <v>MBC วังศาลา กาญจนบุรี-22450</v>
      </c>
      <c r="AG1764" s="3" t="str">
        <f>IFERROR(__xludf.DUMMYFUNCTION("""COMPUTED_VALUE"""),"ตะวันตก")</f>
        <v>ตะวันตก</v>
      </c>
      <c r="AH1764" s="3" t="str">
        <f>IFERROR(__xludf.DUMMYFUNCTION("""COMPUTED_VALUE"""),"#N/A")</f>
        <v>#N/A</v>
      </c>
      <c r="AI1764" s="3" t="str">
        <f>IFERROR(__xludf.DUMMYFUNCTION("""COMPUTED_VALUE"""),"Out of warranty")</f>
        <v>Out of warranty</v>
      </c>
      <c r="AJ1764" s="3">
        <f>IFERROR(__xludf.DUMMYFUNCTION("""COMPUTED_VALUE"""),48.0)</f>
        <v>48</v>
      </c>
      <c r="AK1764" s="3" t="str">
        <f>IFERROR(__xludf.DUMMYFUNCTION("""COMPUTED_VALUE"""),"MMS05")</f>
        <v>MMS05</v>
      </c>
      <c r="AL1764" s="3"/>
    </row>
    <row r="1765" ht="15.75" customHeight="1">
      <c r="A1765" s="1" t="str">
        <f>IFERROR(__xludf.DUMMYFUNCTION("""COMPUTED_VALUE"""),"22451")</f>
        <v>22451</v>
      </c>
      <c r="B1765" s="2">
        <f>IFERROR(__xludf.DUMMYFUNCTION("""COMPUTED_VALUE"""),22451.0)</f>
        <v>22451</v>
      </c>
      <c r="C1765" s="3" t="str">
        <f>IFERROR(__xludf.DUMMYFUNCTION("""COMPUTED_VALUE"""),"MBC ตลาดต้นมะเกลือ ศรีสะเกษ")</f>
        <v>MBC ตลาดต้นมะเกลือ ศรีสะเกษ</v>
      </c>
      <c r="D1765" s="3" t="str">
        <f>IFERROR(__xludf.DUMMYFUNCTION("""COMPUTED_VALUE"""),"BCM TALAD TONMAKLUEA")</f>
        <v>BCM TALAD TONMAKLUEA</v>
      </c>
      <c r="E1765" s="1" t="str">
        <f>IFERROR(__xludf.DUMMYFUNCTION("""COMPUTED_VALUE"""),"บิ๊กซี MINI")</f>
        <v>บิ๊กซี MINI</v>
      </c>
      <c r="F1765" s="1" t="str">
        <f>IFERROR(__xludf.DUMMYFUNCTION("""COMPUTED_VALUE"""),"291105")</f>
        <v>291105</v>
      </c>
      <c r="G1765" s="1" t="str">
        <f>IFERROR(__xludf.DUMMYFUNCTION("""COMPUTED_VALUE"""),"นายสราวุฒิ พณิชยกุล")</f>
        <v>นายสราวุฒิ พณิชยกุล</v>
      </c>
      <c r="H1765" s="1" t="str">
        <f>IFERROR(__xludf.DUMMYFUNCTION("""COMPUTED_VALUE"""),"398146")</f>
        <v>398146</v>
      </c>
      <c r="I1765" s="1" t="str">
        <f>IFERROR(__xludf.DUMMYFUNCTION("""COMPUTED_VALUE"""),"น.ส.กนกสิริ สุขหอม")</f>
        <v>น.ส.กนกสิริ สุขหอม</v>
      </c>
      <c r="J1765" s="3">
        <f>IFERROR(__xludf.DUMMYFUNCTION("""COMPUTED_VALUE"""),2454781.0)</f>
        <v>2454781</v>
      </c>
      <c r="K1765" s="3" t="str">
        <f>IFERROR(__xludf.DUMMYFUNCTION("""COMPUTED_VALUE"""),"นายฌานกฤช นันทะโคต")</f>
        <v>นายฌานกฤช นันทะโคต</v>
      </c>
      <c r="L1765" s="1" t="str">
        <f>IFERROR(__xludf.DUMMYFUNCTION("""COMPUTED_VALUE"""),"05 K.Chanakrit N.")</f>
        <v>05 K.Chanakrit N.</v>
      </c>
      <c r="M1765" s="1" t="str">
        <f>IFERROR(__xludf.DUMMYFUNCTION("""COMPUTED_VALUE"""),"090-978-9785 ,065-929-1320")</f>
        <v>090-978-9785 ,065-929-1320</v>
      </c>
      <c r="N1765" s="3">
        <f>IFERROR(__xludf.DUMMYFUNCTION("""COMPUTED_VALUE"""),22195.0)</f>
        <v>22195</v>
      </c>
      <c r="O1765" s="3" t="str">
        <f>IFERROR(__xludf.DUMMYFUNCTION("""COMPUTED_VALUE"""),"MBC กันทรลักษ์ ศรีสะเกษ")</f>
        <v>MBC กันทรลักษ์ ศรีสะเกษ</v>
      </c>
      <c r="P1765" s="4">
        <f>IFERROR(__xludf.DUMMYFUNCTION("""COMPUTED_VALUE"""),44615.0)</f>
        <v>44615</v>
      </c>
      <c r="Q1765" s="3" t="str">
        <f>IFERROR(__xludf.DUMMYFUNCTION("""COMPUTED_VALUE"""),"A")</f>
        <v>A</v>
      </c>
      <c r="R1765" s="3" t="str">
        <f>IFERROR(__xludf.DUMMYFUNCTION("""COMPUTED_VALUE"""),"Small Format")</f>
        <v>Small Format</v>
      </c>
      <c r="S1765" s="3" t="str">
        <f>IFERROR(__xludf.DUMMYFUNCTION("""COMPUTED_VALUE"""),"BCM")</f>
        <v>BCM</v>
      </c>
      <c r="T1765" s="3" t="str">
        <f>IFERROR(__xludf.DUMMYFUNCTION("""COMPUTED_VALUE"""),"#N/A")</f>
        <v>#N/A</v>
      </c>
      <c r="U1765" s="3" t="str">
        <f>IFERROR(__xludf.DUMMYFUNCTION("""COMPUTED_VALUE"""),"#N/A")</f>
        <v>#N/A</v>
      </c>
      <c r="V1765" s="3" t="str">
        <f>IFERROR(__xludf.DUMMYFUNCTION("""COMPUTED_VALUE"""),"N")</f>
        <v>N</v>
      </c>
      <c r="W1765" s="3">
        <f>IFERROR(__xludf.DUMMYFUNCTION("""COMPUTED_VALUE"""),210514.0)</f>
        <v>210514</v>
      </c>
      <c r="X1765" s="3" t="str">
        <f>IFERROR(__xludf.DUMMYFUNCTION("""COMPUTED_VALUE"""),"1202-1203-1204 ถนนราชการรถไฟ ตำบลเมืองใต้ อำเภอศรีสะเกษ จังหวัดศรีสะเกษ 33000")</f>
        <v>1202-1203-1204 ถนนราชการรถไฟ ตำบลเมืองใต้ อำเภอศรีสะเกษ จังหวัดศรีสะเกษ 33000</v>
      </c>
      <c r="Y1765" s="3" t="str">
        <f>IFERROR(__xludf.DUMMYFUNCTION("""COMPUTED_VALUE"""),"ราชการรถไฟ")</f>
        <v>ราชการรถไฟ</v>
      </c>
      <c r="Z1765" s="3" t="str">
        <f>IFERROR(__xludf.DUMMYFUNCTION("""COMPUTED_VALUE"""),"เมืองใต้")</f>
        <v>เมืองใต้</v>
      </c>
      <c r="AA1765" s="3" t="str">
        <f>IFERROR(__xludf.DUMMYFUNCTION("""COMPUTED_VALUE"""),"ศรีสะเกษ")</f>
        <v>ศรีสะเกษ</v>
      </c>
      <c r="AB1765" s="3" t="str">
        <f>IFERROR(__xludf.DUMMYFUNCTION("""COMPUTED_VALUE"""),"ศรีสะเกษ")</f>
        <v>ศรีสะเกษ</v>
      </c>
      <c r="AC1765" s="3">
        <f>IFERROR(__xludf.DUMMYFUNCTION("""COMPUTED_VALUE"""),33000.0)</f>
        <v>33000</v>
      </c>
      <c r="AD1765" s="3">
        <f>IFERROR(__xludf.DUMMYFUNCTION("""COMPUTED_VALUE"""),15.115555)</f>
        <v>15.115555</v>
      </c>
      <c r="AE1765" s="3">
        <f>IFERROR(__xludf.DUMMYFUNCTION("""COMPUTED_VALUE"""),104.333066)</f>
        <v>104.333066</v>
      </c>
      <c r="AF1765" s="3" t="str">
        <f>IFERROR(__xludf.DUMMYFUNCTION("""COMPUTED_VALUE"""),"MBC ตลาดต้นมะเกลือ ศรีสะเกษ-22451")</f>
        <v>MBC ตลาดต้นมะเกลือ ศรีสะเกษ-22451</v>
      </c>
      <c r="AG1765" s="3" t="str">
        <f>IFERROR(__xludf.DUMMYFUNCTION("""COMPUTED_VALUE"""),"ตะวันออกเฉียงเหนือ")</f>
        <v>ตะวันออกเฉียงเหนือ</v>
      </c>
      <c r="AH1765" s="3" t="str">
        <f>IFERROR(__xludf.DUMMYFUNCTION("""COMPUTED_VALUE"""),"#N/A")</f>
        <v>#N/A</v>
      </c>
      <c r="AI1765" s="3" t="str">
        <f>IFERROR(__xludf.DUMMYFUNCTION("""COMPUTED_VALUE"""),"Out of warranty")</f>
        <v>Out of warranty</v>
      </c>
      <c r="AJ1765" s="3">
        <f>IFERROR(__xludf.DUMMYFUNCTION("""COMPUTED_VALUE"""),47.0)</f>
        <v>47</v>
      </c>
      <c r="AK1765" s="3" t="str">
        <f>IFERROR(__xludf.DUMMYFUNCTION("""COMPUTED_VALUE"""),"MMS13")</f>
        <v>MMS13</v>
      </c>
      <c r="AL1765" s="3"/>
    </row>
    <row r="1766" ht="15.75" customHeight="1">
      <c r="A1766" s="1" t="str">
        <f>IFERROR(__xludf.DUMMYFUNCTION("""COMPUTED_VALUE"""),"22452")</f>
        <v>22452</v>
      </c>
      <c r="B1766" s="2">
        <f>IFERROR(__xludf.DUMMYFUNCTION("""COMPUTED_VALUE"""),22452.0)</f>
        <v>22452</v>
      </c>
      <c r="C1766" s="3" t="str">
        <f>IFERROR(__xludf.DUMMYFUNCTION("""COMPUTED_VALUE"""),"MBC ถนนร่วมมิตร ยะลา")</f>
        <v>MBC ถนนร่วมมิตร ยะลา</v>
      </c>
      <c r="D1766" s="3" t="str">
        <f>IFERROR(__xludf.DUMMYFUNCTION("""COMPUTED_VALUE"""),"BCM THANON RUAM MIT")</f>
        <v>BCM THANON RUAM MIT</v>
      </c>
      <c r="E1766" s="1" t="str">
        <f>IFERROR(__xludf.DUMMYFUNCTION("""COMPUTED_VALUE"""),"บิ๊กซี MINI")</f>
        <v>บิ๊กซี MINI</v>
      </c>
      <c r="F1766" s="1" t="str">
        <f>IFERROR(__xludf.DUMMYFUNCTION("""COMPUTED_VALUE"""),"250760")</f>
        <v>250760</v>
      </c>
      <c r="G1766" s="1" t="str">
        <f>IFERROR(__xludf.DUMMYFUNCTION("""COMPUTED_VALUE"""),"นายประทวน สาราบรรณ์")</f>
        <v>นายประทวน สาราบรรณ์</v>
      </c>
      <c r="H1766" s="1" t="str">
        <f>IFERROR(__xludf.DUMMYFUNCTION("""COMPUTED_VALUE"""),"485279")</f>
        <v>485279</v>
      </c>
      <c r="I1766" s="1" t="str">
        <f>IFERROR(__xludf.DUMMYFUNCTION("""COMPUTED_VALUE"""),"นายสิริพงศ์ ชูชื่น")</f>
        <v>นายสิริพงศ์ ชูชื่น</v>
      </c>
      <c r="J1766" s="3">
        <f>IFERROR(__xludf.DUMMYFUNCTION("""COMPUTED_VALUE"""),2.0470331E7)</f>
        <v>20470331</v>
      </c>
      <c r="K1766" s="3" t="str">
        <f>IFERROR(__xludf.DUMMYFUNCTION("""COMPUTED_VALUE"""),"นายสมชาย ลักษณะสุวรรณ")</f>
        <v>นายสมชาย ลักษณะสุวรรณ</v>
      </c>
      <c r="L1766" s="1" t="str">
        <f>IFERROR(__xludf.DUMMYFUNCTION("""COMPUTED_VALUE"""),"15 K.Somchai L")</f>
        <v>15 K.Somchai L</v>
      </c>
      <c r="M1766" s="1" t="str">
        <f>IFERROR(__xludf.DUMMYFUNCTION("""COMPUTED_VALUE"""),"0655107372")</f>
        <v>0655107372</v>
      </c>
      <c r="N1766" s="3">
        <f>IFERROR(__xludf.DUMMYFUNCTION("""COMPUTED_VALUE"""),21723.0)</f>
        <v>21723</v>
      </c>
      <c r="O1766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66" s="4">
        <f>IFERROR(__xludf.DUMMYFUNCTION("""COMPUTED_VALUE"""),44864.0)</f>
        <v>44864</v>
      </c>
      <c r="Q1766" s="3" t="str">
        <f>IFERROR(__xludf.DUMMYFUNCTION("""COMPUTED_VALUE"""),"A")</f>
        <v>A</v>
      </c>
      <c r="R1766" s="3" t="str">
        <f>IFERROR(__xludf.DUMMYFUNCTION("""COMPUTED_VALUE"""),"Small Format")</f>
        <v>Small Format</v>
      </c>
      <c r="S1766" s="3" t="str">
        <f>IFERROR(__xludf.DUMMYFUNCTION("""COMPUTED_VALUE"""),"BCM")</f>
        <v>BCM</v>
      </c>
      <c r="T1766" s="3" t="str">
        <f>IFERROR(__xludf.DUMMYFUNCTION("""COMPUTED_VALUE"""),"#N/A")</f>
        <v>#N/A</v>
      </c>
      <c r="U1766" s="3" t="str">
        <f>IFERROR(__xludf.DUMMYFUNCTION("""COMPUTED_VALUE"""),"#N/A")</f>
        <v>#N/A</v>
      </c>
      <c r="V1766" s="3" t="str">
        <f>IFERROR(__xludf.DUMMYFUNCTION("""COMPUTED_VALUE"""),"N")</f>
        <v>N</v>
      </c>
      <c r="W1766" s="3">
        <f>IFERROR(__xludf.DUMMYFUNCTION("""COMPUTED_VALUE"""),210511.0)</f>
        <v>210511</v>
      </c>
      <c r="X1766" s="3" t="str">
        <f>IFERROR(__xludf.DUMMYFUNCTION("""COMPUTED_VALUE"""),"51-53 ถนนรวมมิตร ตำบลสะเตง อำเภอเมืองยะลา จังหวัดยะลา 95000")</f>
        <v>51-53 ถนนรวมมิตร ตำบลสะเตง อำเภอเมืองยะลา จังหวัดยะลา 95000</v>
      </c>
      <c r="Y1766" s="3" t="str">
        <f>IFERROR(__xludf.DUMMYFUNCTION("""COMPUTED_VALUE"""),"รวมมิตร")</f>
        <v>รวมมิตร</v>
      </c>
      <c r="Z1766" s="3" t="str">
        <f>IFERROR(__xludf.DUMMYFUNCTION("""COMPUTED_VALUE"""),"สะเตง")</f>
        <v>สะเตง</v>
      </c>
      <c r="AA1766" s="3" t="str">
        <f>IFERROR(__xludf.DUMMYFUNCTION("""COMPUTED_VALUE"""),"เมืองยะลา")</f>
        <v>เมืองยะลา</v>
      </c>
      <c r="AB1766" s="3" t="str">
        <f>IFERROR(__xludf.DUMMYFUNCTION("""COMPUTED_VALUE"""),"ยะลา")</f>
        <v>ยะลา</v>
      </c>
      <c r="AC1766" s="3">
        <f>IFERROR(__xludf.DUMMYFUNCTION("""COMPUTED_VALUE"""),95000.0)</f>
        <v>95000</v>
      </c>
      <c r="AD1766" s="3">
        <f>IFERROR(__xludf.DUMMYFUNCTION("""COMPUTED_VALUE"""),6.554601)</f>
        <v>6.554601</v>
      </c>
      <c r="AE1766" s="3">
        <f>IFERROR(__xludf.DUMMYFUNCTION("""COMPUTED_VALUE"""),101.287138)</f>
        <v>101.287138</v>
      </c>
      <c r="AF1766" s="3" t="str">
        <f>IFERROR(__xludf.DUMMYFUNCTION("""COMPUTED_VALUE"""),"MBC ถนนร่วมมิตร ยะลา-22452")</f>
        <v>MBC ถนนร่วมมิตร ยะลา-22452</v>
      </c>
      <c r="AG1766" s="3" t="str">
        <f>IFERROR(__xludf.DUMMYFUNCTION("""COMPUTED_VALUE"""),"ใต้")</f>
        <v>ใต้</v>
      </c>
      <c r="AH1766" s="3" t="str">
        <f>IFERROR(__xludf.DUMMYFUNCTION("""COMPUTED_VALUE"""),"#N/A")</f>
        <v>#N/A</v>
      </c>
      <c r="AI1766" s="3" t="str">
        <f>IFERROR(__xludf.DUMMYFUNCTION("""COMPUTED_VALUE"""),"Out of warranty")</f>
        <v>Out of warranty</v>
      </c>
      <c r="AJ1766" s="3">
        <f>IFERROR(__xludf.DUMMYFUNCTION("""COMPUTED_VALUE"""),39.0)</f>
        <v>39</v>
      </c>
      <c r="AK1766" s="3" t="str">
        <f>IFERROR(__xludf.DUMMYFUNCTION("""COMPUTED_VALUE"""),"MMS16")</f>
        <v>MMS16</v>
      </c>
      <c r="AL1766" s="3"/>
    </row>
    <row r="1767" ht="15.75" customHeight="1">
      <c r="A1767" s="1" t="str">
        <f>IFERROR(__xludf.DUMMYFUNCTION("""COMPUTED_VALUE"""),"22453")</f>
        <v>22453</v>
      </c>
      <c r="B1767" s="2">
        <f>IFERROR(__xludf.DUMMYFUNCTION("""COMPUTED_VALUE"""),22453.0)</f>
        <v>22453</v>
      </c>
      <c r="C1767" s="3" t="str">
        <f>IFERROR(__xludf.DUMMYFUNCTION("""COMPUTED_VALUE"""),"MBC พญาเม็งราย เชียงราย")</f>
        <v>MBC พญาเม็งราย เชียงราย</v>
      </c>
      <c r="D1767" s="3" t="str">
        <f>IFERROR(__xludf.DUMMYFUNCTION("""COMPUTED_VALUE"""),"BCM PHAYA MENGRAI")</f>
        <v>BCM PHAYA MENGRAI</v>
      </c>
      <c r="E1767" s="1" t="str">
        <f>IFERROR(__xludf.DUMMYFUNCTION("""COMPUTED_VALUE"""),"บิ๊กซี MINI")</f>
        <v>บิ๊กซี MINI</v>
      </c>
      <c r="F1767" s="1" t="str">
        <f>IFERROR(__xludf.DUMMYFUNCTION("""COMPUTED_VALUE"""),"296229")</f>
        <v>296229</v>
      </c>
      <c r="G1767" s="1" t="str">
        <f>IFERROR(__xludf.DUMMYFUNCTION("""COMPUTED_VALUE"""),"นายทนงศักดิ์ บุญมา")</f>
        <v>นายทนงศักดิ์ บุญมา</v>
      </c>
      <c r="H1767" s="1" t="str">
        <f>IFERROR(__xludf.DUMMYFUNCTION("""COMPUTED_VALUE"""),"392585")</f>
        <v>392585</v>
      </c>
      <c r="I1767" s="1" t="str">
        <f>IFERROR(__xludf.DUMMYFUNCTION("""COMPUTED_VALUE"""),"นายไชยัณต์ ผิวขัวเรียง")</f>
        <v>นายไชยัณต์ ผิวขัวเรียง</v>
      </c>
      <c r="J1767" s="3">
        <f>IFERROR(__xludf.DUMMYFUNCTION("""COMPUTED_VALUE"""),2010016.0)</f>
        <v>2010016</v>
      </c>
      <c r="K1767" s="3" t="str">
        <f>IFERROR(__xludf.DUMMYFUNCTION("""COMPUTED_VALUE"""),"นายตวงธรรม ใหม่ยศ")</f>
        <v>นายตวงธรรม ใหม่ยศ</v>
      </c>
      <c r="L1767" s="1" t="str">
        <f>IFERROR(__xludf.DUMMYFUNCTION("""COMPUTED_VALUE"""),"01 K.Tuangtham M.")</f>
        <v>01 K.Tuangtham M.</v>
      </c>
      <c r="M1767" s="1" t="str">
        <f>IFERROR(__xludf.DUMMYFUNCTION("""COMPUTED_VALUE"""),"063-976-595")</f>
        <v>063-976-595</v>
      </c>
      <c r="N1767" s="3">
        <f>IFERROR(__xludf.DUMMYFUNCTION("""COMPUTED_VALUE"""),22574.0)</f>
        <v>22574</v>
      </c>
      <c r="O1767" s="3" t="str">
        <f>IFERROR(__xludf.DUMMYFUNCTION("""COMPUTED_VALUE"""),"BCM ชุมชนศรีชุม ลำปาง")</f>
        <v>BCM ชุมชนศรีชุม ลำปาง</v>
      </c>
      <c r="P1767" s="4">
        <f>IFERROR(__xludf.DUMMYFUNCTION("""COMPUTED_VALUE"""),44616.0)</f>
        <v>44616</v>
      </c>
      <c r="Q1767" s="3" t="str">
        <f>IFERROR(__xludf.DUMMYFUNCTION("""COMPUTED_VALUE"""),"A")</f>
        <v>A</v>
      </c>
      <c r="R1767" s="3" t="str">
        <f>IFERROR(__xludf.DUMMYFUNCTION("""COMPUTED_VALUE"""),"Small Format")</f>
        <v>Small Format</v>
      </c>
      <c r="S1767" s="3" t="str">
        <f>IFERROR(__xludf.DUMMYFUNCTION("""COMPUTED_VALUE"""),"BCM")</f>
        <v>BCM</v>
      </c>
      <c r="T1767" s="3" t="str">
        <f>IFERROR(__xludf.DUMMYFUNCTION("""COMPUTED_VALUE"""),"#N/A")</f>
        <v>#N/A</v>
      </c>
      <c r="U1767" s="3" t="str">
        <f>IFERROR(__xludf.DUMMYFUNCTION("""COMPUTED_VALUE"""),"#N/A")</f>
        <v>#N/A</v>
      </c>
      <c r="V1767" s="3" t="str">
        <f>IFERROR(__xludf.DUMMYFUNCTION("""COMPUTED_VALUE"""),"N")</f>
        <v>N</v>
      </c>
      <c r="W1767" s="3">
        <f>IFERROR(__xludf.DUMMYFUNCTION("""COMPUTED_VALUE"""),210524.0)</f>
        <v>210524</v>
      </c>
      <c r="X1767" s="3" t="str">
        <f>IFERROR(__xludf.DUMMYFUNCTION("""COMPUTED_VALUE"""),"453 หมู่ที่10 ตำบลเม็งราย อำเภอพญาเม็งราย จังหวัดเชียงราย 57290")</f>
        <v>453 หมู่ที่10 ตำบลเม็งราย อำเภอพญาเม็งราย จังหวัดเชียงราย 57290</v>
      </c>
      <c r="Y1767" s="3"/>
      <c r="Z1767" s="3" t="str">
        <f>IFERROR(__xludf.DUMMYFUNCTION("""COMPUTED_VALUE"""),"เม็งราย")</f>
        <v>เม็งราย</v>
      </c>
      <c r="AA1767" s="3" t="str">
        <f>IFERROR(__xludf.DUMMYFUNCTION("""COMPUTED_VALUE"""),"พญาเม็งราย")</f>
        <v>พญาเม็งราย</v>
      </c>
      <c r="AB1767" s="3" t="str">
        <f>IFERROR(__xludf.DUMMYFUNCTION("""COMPUTED_VALUE"""),"เชียงราย")</f>
        <v>เชียงราย</v>
      </c>
      <c r="AC1767" s="3">
        <f>IFERROR(__xludf.DUMMYFUNCTION("""COMPUTED_VALUE"""),57290.0)</f>
        <v>57290</v>
      </c>
      <c r="AD1767" s="3">
        <f>IFERROR(__xludf.DUMMYFUNCTION("""COMPUTED_VALUE"""),19.846279)</f>
        <v>19.846279</v>
      </c>
      <c r="AE1767" s="3">
        <f>IFERROR(__xludf.DUMMYFUNCTION("""COMPUTED_VALUE"""),100.156059)</f>
        <v>100.156059</v>
      </c>
      <c r="AF1767" s="3" t="str">
        <f>IFERROR(__xludf.DUMMYFUNCTION("""COMPUTED_VALUE"""),"MBC พญาเม็งราย เชียงราย-22453")</f>
        <v>MBC พญาเม็งราย เชียงราย-22453</v>
      </c>
      <c r="AG1767" s="3" t="str">
        <f>IFERROR(__xludf.DUMMYFUNCTION("""COMPUTED_VALUE"""),"เหนือ")</f>
        <v>เหนือ</v>
      </c>
      <c r="AH1767" s="3" t="str">
        <f>IFERROR(__xludf.DUMMYFUNCTION("""COMPUTED_VALUE"""),"#N/A")</f>
        <v>#N/A</v>
      </c>
      <c r="AI1767" s="3" t="str">
        <f>IFERROR(__xludf.DUMMYFUNCTION("""COMPUTED_VALUE"""),"Out of warranty")</f>
        <v>Out of warranty</v>
      </c>
      <c r="AJ1767" s="3">
        <f>IFERROR(__xludf.DUMMYFUNCTION("""COMPUTED_VALUE"""),47.0)</f>
        <v>47</v>
      </c>
      <c r="AK1767" s="3" t="str">
        <f>IFERROR(__xludf.DUMMYFUNCTION("""COMPUTED_VALUE"""),"MMS10")</f>
        <v>MMS10</v>
      </c>
      <c r="AL1767" s="3"/>
    </row>
    <row r="1768" ht="15.75" customHeight="1">
      <c r="A1768" s="1" t="str">
        <f>IFERROR(__xludf.DUMMYFUNCTION("""COMPUTED_VALUE"""),"22454")</f>
        <v>22454</v>
      </c>
      <c r="B1768" s="2">
        <f>IFERROR(__xludf.DUMMYFUNCTION("""COMPUTED_VALUE"""),22454.0)</f>
        <v>22454</v>
      </c>
      <c r="C1768" s="3" t="str">
        <f>IFERROR(__xludf.DUMMYFUNCTION("""COMPUTED_VALUE"""),"MBC ค่ายบกหวาน หนองคาย")</f>
        <v>MBC ค่ายบกหวาน หนองคาย</v>
      </c>
      <c r="D1768" s="3" t="str">
        <f>IFERROR(__xludf.DUMMYFUNCTION("""COMPUTED_VALUE"""),"BCM KHAI BOK WAN OPT.2")</f>
        <v>BCM KHAI BOK WAN OPT.2</v>
      </c>
      <c r="E1768" s="1" t="str">
        <f>IFERROR(__xludf.DUMMYFUNCTION("""COMPUTED_VALUE"""),"บิ๊กซี MINI")</f>
        <v>บิ๊กซี MINI</v>
      </c>
      <c r="F1768" s="1" t="str">
        <f>IFERROR(__xludf.DUMMYFUNCTION("""COMPUTED_VALUE"""),"291105")</f>
        <v>291105</v>
      </c>
      <c r="G1768" s="1" t="str">
        <f>IFERROR(__xludf.DUMMYFUNCTION("""COMPUTED_VALUE"""),"นายสราวุฒิ พณิชยกุล")</f>
        <v>นายสราวุฒิ พณิชยกุล</v>
      </c>
      <c r="H1768" s="1" t="str">
        <f>IFERROR(__xludf.DUMMYFUNCTION("""COMPUTED_VALUE"""),"392005")</f>
        <v>392005</v>
      </c>
      <c r="I1768" s="1" t="str">
        <f>IFERROR(__xludf.DUMMYFUNCTION("""COMPUTED_VALUE"""),"นายรัฐพล หาญลำยวง")</f>
        <v>นายรัฐพล หาญลำยวง</v>
      </c>
      <c r="J1768" s="3">
        <f>IFERROR(__xludf.DUMMYFUNCTION("""COMPUTED_VALUE"""),296868.0)</f>
        <v>296868</v>
      </c>
      <c r="K1768" s="3" t="str">
        <f>IFERROR(__xludf.DUMMYFUNCTION("""COMPUTED_VALUE"""),"นายพีระพงษ์ แก้วดวงดี")</f>
        <v>นายพีระพงษ์ แก้วดวงดี</v>
      </c>
      <c r="L1768" s="1" t="str">
        <f>IFERROR(__xludf.DUMMYFUNCTION("""COMPUTED_VALUE"""),"03 K.Peerapong K.")</f>
        <v>03 K.Peerapong K.</v>
      </c>
      <c r="M1768" s="1" t="str">
        <f>IFERROR(__xludf.DUMMYFUNCTION("""COMPUTED_VALUE"""),"089-002-6599")</f>
        <v>089-002-6599</v>
      </c>
      <c r="N1768" s="3">
        <f>IFERROR(__xludf.DUMMYFUNCTION("""COMPUTED_VALUE"""),21946.0)</f>
        <v>21946</v>
      </c>
      <c r="O1768" s="3" t="str">
        <f>IFERROR(__xludf.DUMMYFUNCTION("""COMPUTED_VALUE"""),"MBC เซกา บึงกาฬ")</f>
        <v>MBC เซกา บึงกาฬ</v>
      </c>
      <c r="P1768" s="4">
        <f>IFERROR(__xludf.DUMMYFUNCTION("""COMPUTED_VALUE"""),44618.0)</f>
        <v>44618</v>
      </c>
      <c r="Q1768" s="3" t="str">
        <f>IFERROR(__xludf.DUMMYFUNCTION("""COMPUTED_VALUE"""),"A")</f>
        <v>A</v>
      </c>
      <c r="R1768" s="3" t="str">
        <f>IFERROR(__xludf.DUMMYFUNCTION("""COMPUTED_VALUE"""),"Small Format")</f>
        <v>Small Format</v>
      </c>
      <c r="S1768" s="3" t="str">
        <f>IFERROR(__xludf.DUMMYFUNCTION("""COMPUTED_VALUE"""),"BCM")</f>
        <v>BCM</v>
      </c>
      <c r="T1768" s="3" t="str">
        <f>IFERROR(__xludf.DUMMYFUNCTION("""COMPUTED_VALUE"""),"#N/A")</f>
        <v>#N/A</v>
      </c>
      <c r="U1768" s="3" t="str">
        <f>IFERROR(__xludf.DUMMYFUNCTION("""COMPUTED_VALUE"""),"#N/A")</f>
        <v>#N/A</v>
      </c>
      <c r="V1768" s="3" t="str">
        <f>IFERROR(__xludf.DUMMYFUNCTION("""COMPUTED_VALUE"""),"N")</f>
        <v>N</v>
      </c>
      <c r="W1768" s="3">
        <f>IFERROR(__xludf.DUMMYFUNCTION("""COMPUTED_VALUE"""),210536.0)</f>
        <v>210536</v>
      </c>
      <c r="X1768" s="3" t="str">
        <f>IFERROR(__xludf.DUMMYFUNCTION("""COMPUTED_VALUE"""),"289/3-5 หมู่ที่11 ตำบลค่ายบกหวาน อำเภอเมืองหนองคาย จังหวัดหนองคาย 43100")</f>
        <v>289/3-5 หมู่ที่11 ตำบลค่ายบกหวาน อำเภอเมืองหนองคาย จังหวัดหนองคาย 43100</v>
      </c>
      <c r="Y1768" s="3"/>
      <c r="Z1768" s="3" t="str">
        <f>IFERROR(__xludf.DUMMYFUNCTION("""COMPUTED_VALUE"""),"ค่ายบกหวาน")</f>
        <v>ค่ายบกหวาน</v>
      </c>
      <c r="AA1768" s="3" t="str">
        <f>IFERROR(__xludf.DUMMYFUNCTION("""COMPUTED_VALUE"""),"เมืองหนองคาย")</f>
        <v>เมืองหนองคาย</v>
      </c>
      <c r="AB1768" s="3" t="str">
        <f>IFERROR(__xludf.DUMMYFUNCTION("""COMPUTED_VALUE"""),"หนองคาย")</f>
        <v>หนองคาย</v>
      </c>
      <c r="AC1768" s="3">
        <f>IFERROR(__xludf.DUMMYFUNCTION("""COMPUTED_VALUE"""),43100.0)</f>
        <v>43100</v>
      </c>
      <c r="AD1768" s="3">
        <f>IFERROR(__xludf.DUMMYFUNCTION("""COMPUTED_VALUE"""),17.77377592)</f>
        <v>17.77377592</v>
      </c>
      <c r="AE1768" s="3">
        <f>IFERROR(__xludf.DUMMYFUNCTION("""COMPUTED_VALUE"""),102.7718569)</f>
        <v>102.7718569</v>
      </c>
      <c r="AF1768" s="3" t="str">
        <f>IFERROR(__xludf.DUMMYFUNCTION("""COMPUTED_VALUE"""),"MBC ค่ายบกหวาน หนองคาย-22454")</f>
        <v>MBC ค่ายบกหวาน หนองคาย-22454</v>
      </c>
      <c r="AG1768" s="3" t="str">
        <f>IFERROR(__xludf.DUMMYFUNCTION("""COMPUTED_VALUE"""),"ตะวันออกเฉียงเหนือ")</f>
        <v>ตะวันออกเฉียงเหนือ</v>
      </c>
      <c r="AH1768" s="3" t="str">
        <f>IFERROR(__xludf.DUMMYFUNCTION("""COMPUTED_VALUE"""),"#N/A")</f>
        <v>#N/A</v>
      </c>
      <c r="AI1768" s="3" t="str">
        <f>IFERROR(__xludf.DUMMYFUNCTION("""COMPUTED_VALUE"""),"Out of warranty")</f>
        <v>Out of warranty</v>
      </c>
      <c r="AJ1768" s="3">
        <f>IFERROR(__xludf.DUMMYFUNCTION("""COMPUTED_VALUE"""),47.0)</f>
        <v>47</v>
      </c>
      <c r="AK1768" s="3" t="str">
        <f>IFERROR(__xludf.DUMMYFUNCTION("""COMPUTED_VALUE"""),"MMS12")</f>
        <v>MMS12</v>
      </c>
      <c r="AL1768" s="3"/>
    </row>
    <row r="1769" ht="15.75" customHeight="1">
      <c r="A1769" s="1" t="str">
        <f>IFERROR(__xludf.DUMMYFUNCTION("""COMPUTED_VALUE"""),"22455")</f>
        <v>22455</v>
      </c>
      <c r="B1769" s="2">
        <f>IFERROR(__xludf.DUMMYFUNCTION("""COMPUTED_VALUE"""),22455.0)</f>
        <v>22455</v>
      </c>
      <c r="C1769" s="3" t="str">
        <f>IFERROR(__xludf.DUMMYFUNCTION("""COMPUTED_VALUE"""),"MBC บ้านโคกฟันโปง ขอนแก่น")</f>
        <v>MBC บ้านโคกฟันโปง ขอนแก่น</v>
      </c>
      <c r="D1769" s="3" t="str">
        <f>IFERROR(__xludf.DUMMYFUNCTION("""COMPUTED_VALUE"""),"BCM BAN KHOK FUN PONG")</f>
        <v>BCM BAN KHOK FUN PONG</v>
      </c>
      <c r="E1769" s="1" t="str">
        <f>IFERROR(__xludf.DUMMYFUNCTION("""COMPUTED_VALUE"""),"บิ๊กซี MINI")</f>
        <v>บิ๊กซี MINI</v>
      </c>
      <c r="F1769" s="1" t="str">
        <f>IFERROR(__xludf.DUMMYFUNCTION("""COMPUTED_VALUE"""),"291105")</f>
        <v>291105</v>
      </c>
      <c r="G1769" s="1" t="str">
        <f>IFERROR(__xludf.DUMMYFUNCTION("""COMPUTED_VALUE"""),"นายสราวุฒิ พณิชยกุล")</f>
        <v>นายสราวุฒิ พณิชยกุล</v>
      </c>
      <c r="H1769" s="1" t="str">
        <f>IFERROR(__xludf.DUMMYFUNCTION("""COMPUTED_VALUE"""),"305119")</f>
        <v>305119</v>
      </c>
      <c r="I1769" s="1" t="str">
        <f>IFERROR(__xludf.DUMMYFUNCTION("""COMPUTED_VALUE"""),"นายไชยกร ลีพิบูลย์สวัสดิ์")</f>
        <v>นายไชยกร ลีพิบูลย์สวัสดิ์</v>
      </c>
      <c r="J1769" s="3">
        <f>IFERROR(__xludf.DUMMYFUNCTION("""COMPUTED_VALUE"""),296868.0)</f>
        <v>296868</v>
      </c>
      <c r="K1769" s="3" t="str">
        <f>IFERROR(__xludf.DUMMYFUNCTION("""COMPUTED_VALUE"""),"นายพีระพงษ์ แก้วดวงดี")</f>
        <v>นายพีระพงษ์ แก้วดวงดี</v>
      </c>
      <c r="L1769" s="1" t="str">
        <f>IFERROR(__xludf.DUMMYFUNCTION("""COMPUTED_VALUE"""),"03 K.Peerapong K.")</f>
        <v>03 K.Peerapong K.</v>
      </c>
      <c r="M1769" s="1" t="str">
        <f>IFERROR(__xludf.DUMMYFUNCTION("""COMPUTED_VALUE"""),"089-002-6599")</f>
        <v>089-002-6599</v>
      </c>
      <c r="N1769" s="3">
        <f>IFERROR(__xludf.DUMMYFUNCTION("""COMPUTED_VALUE"""),21946.0)</f>
        <v>21946</v>
      </c>
      <c r="O1769" s="3" t="str">
        <f>IFERROR(__xludf.DUMMYFUNCTION("""COMPUTED_VALUE"""),"MBC เซกา บึงกาฬ")</f>
        <v>MBC เซกา บึงกาฬ</v>
      </c>
      <c r="P1769" s="4">
        <f>IFERROR(__xludf.DUMMYFUNCTION("""COMPUTED_VALUE"""),44619.0)</f>
        <v>44619</v>
      </c>
      <c r="Q1769" s="3" t="str">
        <f>IFERROR(__xludf.DUMMYFUNCTION("""COMPUTED_VALUE"""),"A")</f>
        <v>A</v>
      </c>
      <c r="R1769" s="3" t="str">
        <f>IFERROR(__xludf.DUMMYFUNCTION("""COMPUTED_VALUE"""),"Small Format")</f>
        <v>Small Format</v>
      </c>
      <c r="S1769" s="3" t="str">
        <f>IFERROR(__xludf.DUMMYFUNCTION("""COMPUTED_VALUE"""),"BCM")</f>
        <v>BCM</v>
      </c>
      <c r="T1769" s="3" t="str">
        <f>IFERROR(__xludf.DUMMYFUNCTION("""COMPUTED_VALUE"""),"#N/A")</f>
        <v>#N/A</v>
      </c>
      <c r="U1769" s="3" t="str">
        <f>IFERROR(__xludf.DUMMYFUNCTION("""COMPUTED_VALUE"""),"#N/A")</f>
        <v>#N/A</v>
      </c>
      <c r="V1769" s="3" t="str">
        <f>IFERROR(__xludf.DUMMYFUNCTION("""COMPUTED_VALUE"""),"N")</f>
        <v>N</v>
      </c>
      <c r="W1769" s="3">
        <f>IFERROR(__xludf.DUMMYFUNCTION("""COMPUTED_VALUE"""),210521.0)</f>
        <v>210521</v>
      </c>
      <c r="X1769" s="3" t="str">
        <f>IFERROR(__xludf.DUMMYFUNCTION("""COMPUTED_VALUE"""),"292/2-4 หมู่ที่21 ตำบลบ้านเป็ด อำเภอเมืองขอนแก่น จังหวัดขอนแก่น 40000")</f>
        <v>292/2-4 หมู่ที่21 ตำบลบ้านเป็ด อำเภอเมืองขอนแก่น จังหวัดขอนแก่น 40000</v>
      </c>
      <c r="Y1769" s="3"/>
      <c r="Z1769" s="3" t="str">
        <f>IFERROR(__xludf.DUMMYFUNCTION("""COMPUTED_VALUE"""),"บ้านเป็ด")</f>
        <v>บ้านเป็ด</v>
      </c>
      <c r="AA1769" s="3" t="str">
        <f>IFERROR(__xludf.DUMMYFUNCTION("""COMPUTED_VALUE"""),"เมืองขอนแก่น")</f>
        <v>เมืองขอนแก่น</v>
      </c>
      <c r="AB1769" s="3" t="str">
        <f>IFERROR(__xludf.DUMMYFUNCTION("""COMPUTED_VALUE"""),"ขอนแก่น")</f>
        <v>ขอนแก่น</v>
      </c>
      <c r="AC1769" s="3">
        <f>IFERROR(__xludf.DUMMYFUNCTION("""COMPUTED_VALUE"""),40000.0)</f>
        <v>40000</v>
      </c>
      <c r="AD1769" s="3">
        <f>IFERROR(__xludf.DUMMYFUNCTION("""COMPUTED_VALUE"""),16.43802138)</f>
        <v>16.43802138</v>
      </c>
      <c r="AE1769" s="3">
        <f>IFERROR(__xludf.DUMMYFUNCTION("""COMPUTED_VALUE"""),102.7812851)</f>
        <v>102.7812851</v>
      </c>
      <c r="AF1769" s="3" t="str">
        <f>IFERROR(__xludf.DUMMYFUNCTION("""COMPUTED_VALUE"""),"MBC บ้านโคกฟันโปง ขอนแก่น-22455")</f>
        <v>MBC บ้านโคกฟันโปง ขอนแก่น-22455</v>
      </c>
      <c r="AG1769" s="3" t="str">
        <f>IFERROR(__xludf.DUMMYFUNCTION("""COMPUTED_VALUE"""),"ตะวันออกเฉียงเหนือ")</f>
        <v>ตะวันออกเฉียงเหนือ</v>
      </c>
      <c r="AH1769" s="3" t="str">
        <f>IFERROR(__xludf.DUMMYFUNCTION("""COMPUTED_VALUE"""),"#N/A")</f>
        <v>#N/A</v>
      </c>
      <c r="AI1769" s="3" t="str">
        <f>IFERROR(__xludf.DUMMYFUNCTION("""COMPUTED_VALUE"""),"Out of warranty")</f>
        <v>Out of warranty</v>
      </c>
      <c r="AJ1769" s="3">
        <f>IFERROR(__xludf.DUMMYFUNCTION("""COMPUTED_VALUE"""),47.0)</f>
        <v>47</v>
      </c>
      <c r="AK1769" s="3" t="str">
        <f>IFERROR(__xludf.DUMMYFUNCTION("""COMPUTED_VALUE"""),"MMS12")</f>
        <v>MMS12</v>
      </c>
      <c r="AL1769" s="3"/>
    </row>
    <row r="1770" ht="15.75" customHeight="1">
      <c r="A1770" s="1" t="str">
        <f>IFERROR(__xludf.DUMMYFUNCTION("""COMPUTED_VALUE"""),"22456")</f>
        <v>22456</v>
      </c>
      <c r="B1770" s="2">
        <f>IFERROR(__xludf.DUMMYFUNCTION("""COMPUTED_VALUE"""),22456.0)</f>
        <v>22456</v>
      </c>
      <c r="C1770" s="3" t="str">
        <f>IFERROR(__xludf.DUMMYFUNCTION("""COMPUTED_VALUE"""),"MBC อ.วัดเพลง ราชบุรี")</f>
        <v>MBC อ.วัดเพลง ราชบุรี</v>
      </c>
      <c r="D1770" s="3" t="str">
        <f>IFERROR(__xludf.DUMMYFUNCTION("""COMPUTED_VALUE"""),"BCM WAT PHLENG RATCHABURI")</f>
        <v>BCM WAT PHLENG RATCHABURI</v>
      </c>
      <c r="E1770" s="1" t="str">
        <f>IFERROR(__xludf.DUMMYFUNCTION("""COMPUTED_VALUE"""),"บิ๊กซี MINI")</f>
        <v>บิ๊กซี MINI</v>
      </c>
      <c r="F1770" s="1" t="str">
        <f>IFERROR(__xludf.DUMMYFUNCTION("""COMPUTED_VALUE"""),"2083447")</f>
        <v>2083447</v>
      </c>
      <c r="G1770" s="1" t="str">
        <f>IFERROR(__xludf.DUMMYFUNCTION("""COMPUTED_VALUE"""),"นายอนุกูล ศรีลัดดา")</f>
        <v>นายอนุกูล ศรีลัดดา</v>
      </c>
      <c r="H1770" s="1" t="str">
        <f>IFERROR(__xludf.DUMMYFUNCTION("""COMPUTED_VALUE"""),"391191")</f>
        <v>391191</v>
      </c>
      <c r="I1770" s="1" t="str">
        <f>IFERROR(__xludf.DUMMYFUNCTION("""COMPUTED_VALUE"""),"นายวสันต์ สรงพรมทิพย์")</f>
        <v>นายวสันต์ สรงพรมทิพย์</v>
      </c>
      <c r="J1770" s="3">
        <f>IFERROR(__xludf.DUMMYFUNCTION("""COMPUTED_VALUE"""),2451655.0)</f>
        <v>2451655</v>
      </c>
      <c r="K1770" s="3" t="str">
        <f>IFERROR(__xludf.DUMMYFUNCTION("""COMPUTED_VALUE"""),"นายวิษณุพงษ์ ชินบุตร")</f>
        <v>นายวิษณุพงษ์ ชินบุตร</v>
      </c>
      <c r="L1770" s="1" t="str">
        <f>IFERROR(__xludf.DUMMYFUNCTION("""COMPUTED_VALUE"""),"13 K.Wisanupong Ch")</f>
        <v>13 K.Wisanupong Ch</v>
      </c>
      <c r="M1770" s="1" t="str">
        <f>IFERROR(__xludf.DUMMYFUNCTION("""COMPUTED_VALUE"""),"0843374693")</f>
        <v>0843374693</v>
      </c>
      <c r="N1770" s="3">
        <f>IFERROR(__xludf.DUMMYFUNCTION("""COMPUTED_VALUE"""),22729.0)</f>
        <v>22729</v>
      </c>
      <c r="O1770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770" s="4">
        <f>IFERROR(__xludf.DUMMYFUNCTION("""COMPUTED_VALUE"""),44627.0)</f>
        <v>44627</v>
      </c>
      <c r="Q1770" s="3" t="str">
        <f>IFERROR(__xludf.DUMMYFUNCTION("""COMPUTED_VALUE"""),"A")</f>
        <v>A</v>
      </c>
      <c r="R1770" s="3" t="str">
        <f>IFERROR(__xludf.DUMMYFUNCTION("""COMPUTED_VALUE"""),"Small Format")</f>
        <v>Small Format</v>
      </c>
      <c r="S1770" s="3" t="str">
        <f>IFERROR(__xludf.DUMMYFUNCTION("""COMPUTED_VALUE"""),"BCM")</f>
        <v>BCM</v>
      </c>
      <c r="T1770" s="3" t="str">
        <f>IFERROR(__xludf.DUMMYFUNCTION("""COMPUTED_VALUE"""),"#N/A")</f>
        <v>#N/A</v>
      </c>
      <c r="U1770" s="3" t="str">
        <f>IFERROR(__xludf.DUMMYFUNCTION("""COMPUTED_VALUE"""),"#N/A")</f>
        <v>#N/A</v>
      </c>
      <c r="V1770" s="3" t="str">
        <f>IFERROR(__xludf.DUMMYFUNCTION("""COMPUTED_VALUE"""),"N")</f>
        <v>N</v>
      </c>
      <c r="W1770" s="3">
        <f>IFERROR(__xludf.DUMMYFUNCTION("""COMPUTED_VALUE"""),210516.0)</f>
        <v>210516</v>
      </c>
      <c r="X1770" s="3" t="str">
        <f>IFERROR(__xludf.DUMMYFUNCTION("""COMPUTED_VALUE"""),"168 หมู่ที่6 ตำบลวัดเพลง อำเภอวัดเพลง จังหวัดราชบุรี 70170")</f>
        <v>168 หมู่ที่6 ตำบลวัดเพลง อำเภอวัดเพลง จังหวัดราชบุรี 70170</v>
      </c>
      <c r="Y1770" s="3"/>
      <c r="Z1770" s="3" t="str">
        <f>IFERROR(__xludf.DUMMYFUNCTION("""COMPUTED_VALUE"""),"วัดเพลง")</f>
        <v>วัดเพลง</v>
      </c>
      <c r="AA1770" s="3" t="str">
        <f>IFERROR(__xludf.DUMMYFUNCTION("""COMPUTED_VALUE"""),"วัดเพลง")</f>
        <v>วัดเพลง</v>
      </c>
      <c r="AB1770" s="3" t="str">
        <f>IFERROR(__xludf.DUMMYFUNCTION("""COMPUTED_VALUE"""),"ราชบุรี")</f>
        <v>ราชบุรี</v>
      </c>
      <c r="AC1770" s="3">
        <f>IFERROR(__xludf.DUMMYFUNCTION("""COMPUTED_VALUE"""),70170.0)</f>
        <v>70170</v>
      </c>
      <c r="AD1770" s="3">
        <f>IFERROR(__xludf.DUMMYFUNCTION("""COMPUTED_VALUE"""),12.718788)</f>
        <v>12.718788</v>
      </c>
      <c r="AE1770" s="3">
        <f>IFERROR(__xludf.DUMMYFUNCTION("""COMPUTED_VALUE"""),101.085605)</f>
        <v>101.085605</v>
      </c>
      <c r="AF1770" s="3" t="str">
        <f>IFERROR(__xludf.DUMMYFUNCTION("""COMPUTED_VALUE"""),"MBC อ.วัดเพลง ราชบุรี-22456")</f>
        <v>MBC อ.วัดเพลง ราชบุรี-22456</v>
      </c>
      <c r="AG1770" s="3" t="str">
        <f>IFERROR(__xludf.DUMMYFUNCTION("""COMPUTED_VALUE"""),"ตะวันตก")</f>
        <v>ตะวันตก</v>
      </c>
      <c r="AH1770" s="3" t="str">
        <f>IFERROR(__xludf.DUMMYFUNCTION("""COMPUTED_VALUE"""),"#N/A")</f>
        <v>#N/A</v>
      </c>
      <c r="AI1770" s="3" t="str">
        <f>IFERROR(__xludf.DUMMYFUNCTION("""COMPUTED_VALUE"""),"Out of warranty")</f>
        <v>Out of warranty</v>
      </c>
      <c r="AJ1770" s="3">
        <f>IFERROR(__xludf.DUMMYFUNCTION("""COMPUTED_VALUE"""),47.0)</f>
        <v>47</v>
      </c>
      <c r="AK1770" s="3" t="str">
        <f>IFERROR(__xludf.DUMMYFUNCTION("""COMPUTED_VALUE"""),"MMS05")</f>
        <v>MMS05</v>
      </c>
      <c r="AL1770" s="3"/>
    </row>
    <row r="1771" ht="15.75" customHeight="1">
      <c r="A1771" s="1" t="str">
        <f>IFERROR(__xludf.DUMMYFUNCTION("""COMPUTED_VALUE"""),"22457")</f>
        <v>22457</v>
      </c>
      <c r="B1771" s="2">
        <f>IFERROR(__xludf.DUMMYFUNCTION("""COMPUTED_VALUE"""),22457.0)</f>
        <v>22457</v>
      </c>
      <c r="C1771" s="3" t="str">
        <f>IFERROR(__xludf.DUMMYFUNCTION("""COMPUTED_VALUE"""),"MBC กาดอินทร ลำพูน")</f>
        <v>MBC กาดอินทร ลำพูน</v>
      </c>
      <c r="D1771" s="3" t="str">
        <f>IFERROR(__xludf.DUMMYFUNCTION("""COMPUTED_VALUE"""),"BCM KAD IN THON LAMPHUN")</f>
        <v>BCM KAD IN THON LAMPHUN</v>
      </c>
      <c r="E1771" s="1" t="str">
        <f>IFERROR(__xludf.DUMMYFUNCTION("""COMPUTED_VALUE"""),"บิ๊กซี MINI")</f>
        <v>บิ๊กซี MINI</v>
      </c>
      <c r="F1771" s="1" t="str">
        <f>IFERROR(__xludf.DUMMYFUNCTION("""COMPUTED_VALUE"""),"296229")</f>
        <v>296229</v>
      </c>
      <c r="G1771" s="1" t="str">
        <f>IFERROR(__xludf.DUMMYFUNCTION("""COMPUTED_VALUE"""),"นายทนงศักดิ์ บุญมา")</f>
        <v>นายทนงศักดิ์ บุญมา</v>
      </c>
      <c r="H1771" s="1" t="str">
        <f>IFERROR(__xludf.DUMMYFUNCTION("""COMPUTED_VALUE"""),"392003")</f>
        <v>392003</v>
      </c>
      <c r="I1771" s="1" t="str">
        <f>IFERROR(__xludf.DUMMYFUNCTION("""COMPUTED_VALUE"""),"นายวรภพ เศษสูงเนิน")</f>
        <v>นายวรภพ เศษสูงเนิน</v>
      </c>
      <c r="J1771" s="3">
        <f>IFERROR(__xludf.DUMMYFUNCTION("""COMPUTED_VALUE"""),2010016.0)</f>
        <v>2010016</v>
      </c>
      <c r="K1771" s="3" t="str">
        <f>IFERROR(__xludf.DUMMYFUNCTION("""COMPUTED_VALUE"""),"นายตวงธรรม ใหม่ยศ")</f>
        <v>นายตวงธรรม ใหม่ยศ</v>
      </c>
      <c r="L1771" s="1" t="str">
        <f>IFERROR(__xludf.DUMMYFUNCTION("""COMPUTED_VALUE"""),"01 K.Tuangtham M.")</f>
        <v>01 K.Tuangtham M.</v>
      </c>
      <c r="M1771" s="1" t="str">
        <f>IFERROR(__xludf.DUMMYFUNCTION("""COMPUTED_VALUE"""),"063-976-595")</f>
        <v>063-976-595</v>
      </c>
      <c r="N1771" s="3">
        <f>IFERROR(__xludf.DUMMYFUNCTION("""COMPUTED_VALUE"""),22574.0)</f>
        <v>22574</v>
      </c>
      <c r="O1771" s="3" t="str">
        <f>IFERROR(__xludf.DUMMYFUNCTION("""COMPUTED_VALUE"""),"BCM ชุมชนศรีชุม ลำปาง")</f>
        <v>BCM ชุมชนศรีชุม ลำปาง</v>
      </c>
      <c r="P1771" s="4">
        <f>IFERROR(__xludf.DUMMYFUNCTION("""COMPUTED_VALUE"""),44646.0)</f>
        <v>44646</v>
      </c>
      <c r="Q1771" s="3" t="str">
        <f>IFERROR(__xludf.DUMMYFUNCTION("""COMPUTED_VALUE"""),"A")</f>
        <v>A</v>
      </c>
      <c r="R1771" s="3" t="str">
        <f>IFERROR(__xludf.DUMMYFUNCTION("""COMPUTED_VALUE"""),"Small Format")</f>
        <v>Small Format</v>
      </c>
      <c r="S1771" s="3" t="str">
        <f>IFERROR(__xludf.DUMMYFUNCTION("""COMPUTED_VALUE"""),"BCM")</f>
        <v>BCM</v>
      </c>
      <c r="T1771" s="3" t="str">
        <f>IFERROR(__xludf.DUMMYFUNCTION("""COMPUTED_VALUE"""),"#N/A")</f>
        <v>#N/A</v>
      </c>
      <c r="U1771" s="3" t="str">
        <f>IFERROR(__xludf.DUMMYFUNCTION("""COMPUTED_VALUE"""),"#N/A")</f>
        <v>#N/A</v>
      </c>
      <c r="V1771" s="3" t="str">
        <f>IFERROR(__xludf.DUMMYFUNCTION("""COMPUTED_VALUE"""),"N")</f>
        <v>N</v>
      </c>
      <c r="W1771" s="3">
        <f>IFERROR(__xludf.DUMMYFUNCTION("""COMPUTED_VALUE"""),210513.0)</f>
        <v>210513</v>
      </c>
      <c r="X1771" s="3" t="str">
        <f>IFERROR(__xludf.DUMMYFUNCTION("""COMPUTED_VALUE"""),"204/16-19 หมู่ที่1 ตำบลบ้านกลาง อำเภอเมืองลำพูน จังหวัดลำพูน 51000")</f>
        <v>204/16-19 หมู่ที่1 ตำบลบ้านกลาง อำเภอเมืองลำพูน จังหวัดลำพูน 51000</v>
      </c>
      <c r="Y1771" s="3"/>
      <c r="Z1771" s="3" t="str">
        <f>IFERROR(__xludf.DUMMYFUNCTION("""COMPUTED_VALUE"""),"บ้านกลาง")</f>
        <v>บ้านกลาง</v>
      </c>
      <c r="AA1771" s="3" t="str">
        <f>IFERROR(__xludf.DUMMYFUNCTION("""COMPUTED_VALUE"""),"เมืองลำพูน")</f>
        <v>เมืองลำพูน</v>
      </c>
      <c r="AB1771" s="3" t="str">
        <f>IFERROR(__xludf.DUMMYFUNCTION("""COMPUTED_VALUE"""),"ลำพูน")</f>
        <v>ลำพูน</v>
      </c>
      <c r="AC1771" s="3">
        <f>IFERROR(__xludf.DUMMYFUNCTION("""COMPUTED_VALUE"""),51000.0)</f>
        <v>51000</v>
      </c>
      <c r="AD1771" s="3">
        <f>IFERROR(__xludf.DUMMYFUNCTION("""COMPUTED_VALUE"""),18.58049)</f>
        <v>18.58049</v>
      </c>
      <c r="AE1771" s="3">
        <f>IFERROR(__xludf.DUMMYFUNCTION("""COMPUTED_VALUE"""),99.071495)</f>
        <v>99.071495</v>
      </c>
      <c r="AF1771" s="3" t="str">
        <f>IFERROR(__xludf.DUMMYFUNCTION("""COMPUTED_VALUE"""),"MBC กาดอินทร ลำพูน-22457")</f>
        <v>MBC กาดอินทร ลำพูน-22457</v>
      </c>
      <c r="AG1771" s="3" t="str">
        <f>IFERROR(__xludf.DUMMYFUNCTION("""COMPUTED_VALUE"""),"เหนือ")</f>
        <v>เหนือ</v>
      </c>
      <c r="AH1771" s="3" t="str">
        <f>IFERROR(__xludf.DUMMYFUNCTION("""COMPUTED_VALUE"""),"#N/A")</f>
        <v>#N/A</v>
      </c>
      <c r="AI1771" s="3" t="str">
        <f>IFERROR(__xludf.DUMMYFUNCTION("""COMPUTED_VALUE"""),"Out of warranty")</f>
        <v>Out of warranty</v>
      </c>
      <c r="AJ1771" s="3">
        <f>IFERROR(__xludf.DUMMYFUNCTION("""COMPUTED_VALUE"""),46.0)</f>
        <v>46</v>
      </c>
      <c r="AK1771" s="3" t="str">
        <f>IFERROR(__xludf.DUMMYFUNCTION("""COMPUTED_VALUE"""),"MMS10")</f>
        <v>MMS10</v>
      </c>
      <c r="AL1771" s="3"/>
    </row>
    <row r="1772" ht="15.75" customHeight="1">
      <c r="A1772" s="1" t="str">
        <f>IFERROR(__xludf.DUMMYFUNCTION("""COMPUTED_VALUE"""),"22458")</f>
        <v>22458</v>
      </c>
      <c r="B1772" s="2">
        <f>IFERROR(__xludf.DUMMYFUNCTION("""COMPUTED_VALUE"""),22458.0)</f>
        <v>22458</v>
      </c>
      <c r="C1772" s="3" t="str">
        <f>IFERROR(__xludf.DUMMYFUNCTION("""COMPUTED_VALUE"""),"MBC บ้านซับม่วง นครราชสีมา")</f>
        <v>MBC บ้านซับม่วง นครราชสีมา</v>
      </c>
      <c r="D1772" s="3" t="str">
        <f>IFERROR(__xludf.DUMMYFUNCTION("""COMPUTED_VALUE"""),"BCM BAN SUB MUANG")</f>
        <v>BCM BAN SUB MUANG</v>
      </c>
      <c r="E1772" s="1" t="str">
        <f>IFERROR(__xludf.DUMMYFUNCTION("""COMPUTED_VALUE"""),"บิ๊กซี MINI")</f>
        <v>บิ๊กซี MINI</v>
      </c>
      <c r="F1772" s="1" t="str">
        <f>IFERROR(__xludf.DUMMYFUNCTION("""COMPUTED_VALUE"""),"291105")</f>
        <v>291105</v>
      </c>
      <c r="G1772" s="1" t="str">
        <f>IFERROR(__xludf.DUMMYFUNCTION("""COMPUTED_VALUE"""),"นายสราวุฒิ พณิชยกุล")</f>
        <v>นายสราวุฒิ พณิชยกุล</v>
      </c>
      <c r="H1772" s="1" t="str">
        <f>IFERROR(__xludf.DUMMYFUNCTION("""COMPUTED_VALUE"""),"281315")</f>
        <v>281315</v>
      </c>
      <c r="I1772" s="1" t="str">
        <f>IFERROR(__xludf.DUMMYFUNCTION("""COMPUTED_VALUE"""),"นายกิตติพงษ์ มั่นคง")</f>
        <v>นายกิตติพงษ์ มั่นคง</v>
      </c>
      <c r="J1772" s="3">
        <f>IFERROR(__xludf.DUMMYFUNCTION("""COMPUTED_VALUE"""),15361.0)</f>
        <v>15361</v>
      </c>
      <c r="K1772" s="3" t="str">
        <f>IFERROR(__xludf.DUMMYFUNCTION("""COMPUTED_VALUE"""),"นายสมบูรณ์ พรหมในเมือง")</f>
        <v>นายสมบูรณ์ พรหมในเมือง</v>
      </c>
      <c r="L1772" s="1" t="str">
        <f>IFERROR(__xludf.DUMMYFUNCTION("""COMPUTED_VALUE"""),"04 K.Somboon P.")</f>
        <v>04 K.Somboon P.</v>
      </c>
      <c r="M1772" s="1" t="str">
        <f>IFERROR(__xludf.DUMMYFUNCTION("""COMPUTED_VALUE"""),"087-965-3051")</f>
        <v>087-965-3051</v>
      </c>
      <c r="N1772" s="3">
        <f>IFERROR(__xludf.DUMMYFUNCTION("""COMPUTED_VALUE"""),21869.0)</f>
        <v>21869</v>
      </c>
      <c r="O1772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772" s="4">
        <f>IFERROR(__xludf.DUMMYFUNCTION("""COMPUTED_VALUE"""),44634.0)</f>
        <v>44634</v>
      </c>
      <c r="Q1772" s="3" t="str">
        <f>IFERROR(__xludf.DUMMYFUNCTION("""COMPUTED_VALUE"""),"A")</f>
        <v>A</v>
      </c>
      <c r="R1772" s="3" t="str">
        <f>IFERROR(__xludf.DUMMYFUNCTION("""COMPUTED_VALUE"""),"Small Format")</f>
        <v>Small Format</v>
      </c>
      <c r="S1772" s="3" t="str">
        <f>IFERROR(__xludf.DUMMYFUNCTION("""COMPUTED_VALUE"""),"BCM")</f>
        <v>BCM</v>
      </c>
      <c r="T1772" s="3" t="str">
        <f>IFERROR(__xludf.DUMMYFUNCTION("""COMPUTED_VALUE"""),"#N/A")</f>
        <v>#N/A</v>
      </c>
      <c r="U1772" s="3" t="str">
        <f>IFERROR(__xludf.DUMMYFUNCTION("""COMPUTED_VALUE"""),"#N/A")</f>
        <v>#N/A</v>
      </c>
      <c r="V1772" s="3" t="str">
        <f>IFERROR(__xludf.DUMMYFUNCTION("""COMPUTED_VALUE"""),"N")</f>
        <v>N</v>
      </c>
      <c r="W1772" s="3">
        <f>IFERROR(__xludf.DUMMYFUNCTION("""COMPUTED_VALUE"""),210506.0)</f>
        <v>210506</v>
      </c>
      <c r="X1772" s="3" t="str">
        <f>IFERROR(__xludf.DUMMYFUNCTION("""COMPUTED_VALUE"""),"357 หมู่18 ตำบลจันทึก อำเภอปากช่อง จังหวัดนครราชสีมา 30130")</f>
        <v>357 หมู่18 ตำบลจันทึก อำเภอปากช่อง จังหวัดนครราชสีมา 30130</v>
      </c>
      <c r="Y1772" s="3"/>
      <c r="Z1772" s="3" t="str">
        <f>IFERROR(__xludf.DUMMYFUNCTION("""COMPUTED_VALUE"""),"จันทึก")</f>
        <v>จันทึก</v>
      </c>
      <c r="AA1772" s="3" t="str">
        <f>IFERROR(__xludf.DUMMYFUNCTION("""COMPUTED_VALUE"""),"ปากช่อง")</f>
        <v>ปากช่อง</v>
      </c>
      <c r="AB1772" s="3" t="str">
        <f>IFERROR(__xludf.DUMMYFUNCTION("""COMPUTED_VALUE"""),"นครราชสีมา")</f>
        <v>นครราชสีมา</v>
      </c>
      <c r="AC1772" s="3">
        <f>IFERROR(__xludf.DUMMYFUNCTION("""COMPUTED_VALUE"""),30130.0)</f>
        <v>30130</v>
      </c>
      <c r="AD1772" s="3">
        <f>IFERROR(__xludf.DUMMYFUNCTION("""COMPUTED_VALUE"""),14.757652)</f>
        <v>14.757652</v>
      </c>
      <c r="AE1772" s="3">
        <f>IFERROR(__xludf.DUMMYFUNCTION("""COMPUTED_VALUE"""),101.447313)</f>
        <v>101.447313</v>
      </c>
      <c r="AF1772" s="3" t="str">
        <f>IFERROR(__xludf.DUMMYFUNCTION("""COMPUTED_VALUE"""),"MBC บ้านซับม่วง นครราชสีมา-22458")</f>
        <v>MBC บ้านซับม่วง นครราชสีมา-22458</v>
      </c>
      <c r="AG1772" s="3" t="str">
        <f>IFERROR(__xludf.DUMMYFUNCTION("""COMPUTED_VALUE"""),"ตะวันออกเฉียงเหนือ")</f>
        <v>ตะวันออกเฉียงเหนือ</v>
      </c>
      <c r="AH1772" s="3" t="str">
        <f>IFERROR(__xludf.DUMMYFUNCTION("""COMPUTED_VALUE"""),"#N/A")</f>
        <v>#N/A</v>
      </c>
      <c r="AI1772" s="3" t="str">
        <f>IFERROR(__xludf.DUMMYFUNCTION("""COMPUTED_VALUE"""),"Out of warranty")</f>
        <v>Out of warranty</v>
      </c>
      <c r="AJ1772" s="3">
        <f>IFERROR(__xludf.DUMMYFUNCTION("""COMPUTED_VALUE"""),47.0)</f>
        <v>47</v>
      </c>
      <c r="AK1772" s="3" t="str">
        <f>IFERROR(__xludf.DUMMYFUNCTION("""COMPUTED_VALUE"""),"MMS11")</f>
        <v>MMS11</v>
      </c>
      <c r="AL1772" s="3"/>
    </row>
    <row r="1773" ht="15.75" customHeight="1">
      <c r="A1773" s="1" t="str">
        <f>IFERROR(__xludf.DUMMYFUNCTION("""COMPUTED_VALUE"""),"22459")</f>
        <v>22459</v>
      </c>
      <c r="B1773" s="2">
        <f>IFERROR(__xludf.DUMMYFUNCTION("""COMPUTED_VALUE"""),22459.0)</f>
        <v>22459</v>
      </c>
      <c r="C1773" s="3" t="str">
        <f>IFERROR(__xludf.DUMMYFUNCTION("""COMPUTED_VALUE"""),"MBC ขนงพระ เขาใหญ่ นครราชสีมา")</f>
        <v>MBC ขนงพระ เขาใหญ่ นครราชสีมา</v>
      </c>
      <c r="D1773" s="3" t="str">
        <f>IFERROR(__xludf.DUMMYFUNCTION("""COMPUTED_VALUE"""),"BCM KHANONG PHRA-KHAO YAI")</f>
        <v>BCM KHANONG PHRA-KHAO YAI</v>
      </c>
      <c r="E1773" s="1" t="str">
        <f>IFERROR(__xludf.DUMMYFUNCTION("""COMPUTED_VALUE"""),"บิ๊กซี MINI")</f>
        <v>บิ๊กซี MINI</v>
      </c>
      <c r="F1773" s="1" t="str">
        <f>IFERROR(__xludf.DUMMYFUNCTION("""COMPUTED_VALUE"""),"291105")</f>
        <v>291105</v>
      </c>
      <c r="G1773" s="1" t="str">
        <f>IFERROR(__xludf.DUMMYFUNCTION("""COMPUTED_VALUE"""),"นายสราวุฒิ พณิชยกุล")</f>
        <v>นายสราวุฒิ พณิชยกุล</v>
      </c>
      <c r="H1773" s="1" t="str">
        <f>IFERROR(__xludf.DUMMYFUNCTION("""COMPUTED_VALUE"""),"281315")</f>
        <v>281315</v>
      </c>
      <c r="I1773" s="1" t="str">
        <f>IFERROR(__xludf.DUMMYFUNCTION("""COMPUTED_VALUE"""),"นายกิตติพงษ์ มั่นคง")</f>
        <v>นายกิตติพงษ์ มั่นคง</v>
      </c>
      <c r="J1773" s="3">
        <f>IFERROR(__xludf.DUMMYFUNCTION("""COMPUTED_VALUE"""),15361.0)</f>
        <v>15361</v>
      </c>
      <c r="K1773" s="3" t="str">
        <f>IFERROR(__xludf.DUMMYFUNCTION("""COMPUTED_VALUE"""),"นายสมบูรณ์ พรหมในเมือง")</f>
        <v>นายสมบูรณ์ พรหมในเมือง</v>
      </c>
      <c r="L1773" s="1" t="str">
        <f>IFERROR(__xludf.DUMMYFUNCTION("""COMPUTED_VALUE"""),"04 K.Somboon P.")</f>
        <v>04 K.Somboon P.</v>
      </c>
      <c r="M1773" s="1" t="str">
        <f>IFERROR(__xludf.DUMMYFUNCTION("""COMPUTED_VALUE"""),"087-965-3051")</f>
        <v>087-965-3051</v>
      </c>
      <c r="N1773" s="3">
        <f>IFERROR(__xludf.DUMMYFUNCTION("""COMPUTED_VALUE"""),21869.0)</f>
        <v>21869</v>
      </c>
      <c r="O1773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773" s="4">
        <f>IFERROR(__xludf.DUMMYFUNCTION("""COMPUTED_VALUE"""),44635.0)</f>
        <v>44635</v>
      </c>
      <c r="Q1773" s="3" t="str">
        <f>IFERROR(__xludf.DUMMYFUNCTION("""COMPUTED_VALUE"""),"A")</f>
        <v>A</v>
      </c>
      <c r="R1773" s="3" t="str">
        <f>IFERROR(__xludf.DUMMYFUNCTION("""COMPUTED_VALUE"""),"Small Format")</f>
        <v>Small Format</v>
      </c>
      <c r="S1773" s="3" t="str">
        <f>IFERROR(__xludf.DUMMYFUNCTION("""COMPUTED_VALUE"""),"BCM")</f>
        <v>BCM</v>
      </c>
      <c r="T1773" s="3" t="str">
        <f>IFERROR(__xludf.DUMMYFUNCTION("""COMPUTED_VALUE"""),"#N/A")</f>
        <v>#N/A</v>
      </c>
      <c r="U1773" s="3" t="str">
        <f>IFERROR(__xludf.DUMMYFUNCTION("""COMPUTED_VALUE"""),"#N/A")</f>
        <v>#N/A</v>
      </c>
      <c r="V1773" s="3" t="str">
        <f>IFERROR(__xludf.DUMMYFUNCTION("""COMPUTED_VALUE"""),"N")</f>
        <v>N</v>
      </c>
      <c r="W1773" s="3">
        <f>IFERROR(__xludf.DUMMYFUNCTION("""COMPUTED_VALUE"""),210527.0)</f>
        <v>210527</v>
      </c>
      <c r="X1773" s="3" t="str">
        <f>IFERROR(__xludf.DUMMYFUNCTION("""COMPUTED_VALUE"""),"130/4 หมู่ที่5 ตำบลขนงพระ อำเภอปากช่อง จังหวัดนครราชสีมา 30130")</f>
        <v>130/4 หมู่ที่5 ตำบลขนงพระ อำเภอปากช่อง จังหวัดนครราชสีมา 30130</v>
      </c>
      <c r="Y1773" s="3"/>
      <c r="Z1773" s="3" t="str">
        <f>IFERROR(__xludf.DUMMYFUNCTION("""COMPUTED_VALUE"""),"ขนงพระ")</f>
        <v>ขนงพระ</v>
      </c>
      <c r="AA1773" s="3" t="str">
        <f>IFERROR(__xludf.DUMMYFUNCTION("""COMPUTED_VALUE"""),"ปากช่อง")</f>
        <v>ปากช่อง</v>
      </c>
      <c r="AB1773" s="3" t="str">
        <f>IFERROR(__xludf.DUMMYFUNCTION("""COMPUTED_VALUE"""),"นครราชสีมา")</f>
        <v>นครราชสีมา</v>
      </c>
      <c r="AC1773" s="3">
        <f>IFERROR(__xludf.DUMMYFUNCTION("""COMPUTED_VALUE"""),30130.0)</f>
        <v>30130</v>
      </c>
      <c r="AD1773" s="3">
        <f>IFERROR(__xludf.DUMMYFUNCTION("""COMPUTED_VALUE"""),14.612343)</f>
        <v>14.612343</v>
      </c>
      <c r="AE1773" s="3">
        <f>IFERROR(__xludf.DUMMYFUNCTION("""COMPUTED_VALUE"""),101.445466)</f>
        <v>101.445466</v>
      </c>
      <c r="AF1773" s="3" t="str">
        <f>IFERROR(__xludf.DUMMYFUNCTION("""COMPUTED_VALUE"""),"MBC ขนงพระ เขาใหญ่ นครราชสีมา-22459")</f>
        <v>MBC ขนงพระ เขาใหญ่ นครราชสีมา-22459</v>
      </c>
      <c r="AG1773" s="3" t="str">
        <f>IFERROR(__xludf.DUMMYFUNCTION("""COMPUTED_VALUE"""),"ตะวันออกเฉียงเหนือ")</f>
        <v>ตะวันออกเฉียงเหนือ</v>
      </c>
      <c r="AH1773" s="3" t="str">
        <f>IFERROR(__xludf.DUMMYFUNCTION("""COMPUTED_VALUE"""),"#N/A")</f>
        <v>#N/A</v>
      </c>
      <c r="AI1773" s="3" t="str">
        <f>IFERROR(__xludf.DUMMYFUNCTION("""COMPUTED_VALUE"""),"Out of warranty")</f>
        <v>Out of warranty</v>
      </c>
      <c r="AJ1773" s="3">
        <f>IFERROR(__xludf.DUMMYFUNCTION("""COMPUTED_VALUE"""),47.0)</f>
        <v>47</v>
      </c>
      <c r="AK1773" s="3" t="str">
        <f>IFERROR(__xludf.DUMMYFUNCTION("""COMPUTED_VALUE"""),"MMS11")</f>
        <v>MMS11</v>
      </c>
      <c r="AL1773" s="3"/>
    </row>
    <row r="1774" ht="15.75" customHeight="1">
      <c r="A1774" s="1" t="str">
        <f>IFERROR(__xludf.DUMMYFUNCTION("""COMPUTED_VALUE"""),"22460")</f>
        <v>22460</v>
      </c>
      <c r="B1774" s="2">
        <f>IFERROR(__xludf.DUMMYFUNCTION("""COMPUTED_VALUE"""),22460.0)</f>
        <v>22460</v>
      </c>
      <c r="C1774" s="3" t="str">
        <f>IFERROR(__xludf.DUMMYFUNCTION("""COMPUTED_VALUE"""),"MBC ชุมชนพัฒนะ ยะลา")</f>
        <v>MBC ชุมชนพัฒนะ ยะลา</v>
      </c>
      <c r="D1774" s="3" t="str">
        <f>IFERROR(__xludf.DUMMYFUNCTION("""COMPUTED_VALUE"""),"BCM CHUMCHON PATTHANAN")</f>
        <v>BCM CHUMCHON PATTHANAN</v>
      </c>
      <c r="E1774" s="1" t="str">
        <f>IFERROR(__xludf.DUMMYFUNCTION("""COMPUTED_VALUE"""),"บิ๊กซี MINI")</f>
        <v>บิ๊กซี MINI</v>
      </c>
      <c r="F1774" s="1" t="str">
        <f>IFERROR(__xludf.DUMMYFUNCTION("""COMPUTED_VALUE"""),"250760")</f>
        <v>250760</v>
      </c>
      <c r="G1774" s="1" t="str">
        <f>IFERROR(__xludf.DUMMYFUNCTION("""COMPUTED_VALUE"""),"นายประทวน สาราบรรณ์")</f>
        <v>นายประทวน สาราบรรณ์</v>
      </c>
      <c r="H1774" s="1" t="str">
        <f>IFERROR(__xludf.DUMMYFUNCTION("""COMPUTED_VALUE"""),"485279")</f>
        <v>485279</v>
      </c>
      <c r="I1774" s="1" t="str">
        <f>IFERROR(__xludf.DUMMYFUNCTION("""COMPUTED_VALUE"""),"นายสิริพงศ์ ชูชื่น")</f>
        <v>นายสิริพงศ์ ชูชื่น</v>
      </c>
      <c r="J1774" s="3">
        <f>IFERROR(__xludf.DUMMYFUNCTION("""COMPUTED_VALUE"""),2.0470331E7)</f>
        <v>20470331</v>
      </c>
      <c r="K1774" s="3" t="str">
        <f>IFERROR(__xludf.DUMMYFUNCTION("""COMPUTED_VALUE"""),"นายสมชาย ลักษณะสุวรรณ")</f>
        <v>นายสมชาย ลักษณะสุวรรณ</v>
      </c>
      <c r="L1774" s="1" t="str">
        <f>IFERROR(__xludf.DUMMYFUNCTION("""COMPUTED_VALUE"""),"15 K.Somchai L")</f>
        <v>15 K.Somchai L</v>
      </c>
      <c r="M1774" s="1" t="str">
        <f>IFERROR(__xludf.DUMMYFUNCTION("""COMPUTED_VALUE"""),"0655107372")</f>
        <v>0655107372</v>
      </c>
      <c r="N1774" s="3">
        <f>IFERROR(__xludf.DUMMYFUNCTION("""COMPUTED_VALUE"""),21723.0)</f>
        <v>21723</v>
      </c>
      <c r="O1774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74" s="4">
        <f>IFERROR(__xludf.DUMMYFUNCTION("""COMPUTED_VALUE"""),44640.0)</f>
        <v>44640</v>
      </c>
      <c r="Q1774" s="3" t="str">
        <f>IFERROR(__xludf.DUMMYFUNCTION("""COMPUTED_VALUE"""),"A")</f>
        <v>A</v>
      </c>
      <c r="R1774" s="3" t="str">
        <f>IFERROR(__xludf.DUMMYFUNCTION("""COMPUTED_VALUE"""),"Small Format")</f>
        <v>Small Format</v>
      </c>
      <c r="S1774" s="3" t="str">
        <f>IFERROR(__xludf.DUMMYFUNCTION("""COMPUTED_VALUE"""),"BCM")</f>
        <v>BCM</v>
      </c>
      <c r="T1774" s="3" t="str">
        <f>IFERROR(__xludf.DUMMYFUNCTION("""COMPUTED_VALUE"""),"#N/A")</f>
        <v>#N/A</v>
      </c>
      <c r="U1774" s="3" t="str">
        <f>IFERROR(__xludf.DUMMYFUNCTION("""COMPUTED_VALUE"""),"#N/A")</f>
        <v>#N/A</v>
      </c>
      <c r="V1774" s="3" t="str">
        <f>IFERROR(__xludf.DUMMYFUNCTION("""COMPUTED_VALUE"""),"N")</f>
        <v>N</v>
      </c>
      <c r="W1774" s="3">
        <f>IFERROR(__xludf.DUMMYFUNCTION("""COMPUTED_VALUE"""),210510.0)</f>
        <v>210510</v>
      </c>
      <c r="X1774" s="3" t="str">
        <f>IFERROR(__xludf.DUMMYFUNCTION("""COMPUTED_VALUE"""),"135/11 ถนนประชาธิปัตย์ ตำบลเบตง อำเภอเบตง จังหวัดยะลา 95110")</f>
        <v>135/11 ถนนประชาธิปัตย์ ตำบลเบตง อำเภอเบตง จังหวัดยะลา 95110</v>
      </c>
      <c r="Y1774" s="3" t="str">
        <f>IFERROR(__xludf.DUMMYFUNCTION("""COMPUTED_VALUE"""),"ประชาธิปัตย์")</f>
        <v>ประชาธิปัตย์</v>
      </c>
      <c r="Z1774" s="3" t="str">
        <f>IFERROR(__xludf.DUMMYFUNCTION("""COMPUTED_VALUE"""),"เบตง")</f>
        <v>เบตง</v>
      </c>
      <c r="AA1774" s="3" t="str">
        <f>IFERROR(__xludf.DUMMYFUNCTION("""COMPUTED_VALUE"""),"เบตง")</f>
        <v>เบตง</v>
      </c>
      <c r="AB1774" s="3" t="str">
        <f>IFERROR(__xludf.DUMMYFUNCTION("""COMPUTED_VALUE"""),"ยะลา")</f>
        <v>ยะลา</v>
      </c>
      <c r="AC1774" s="3">
        <f>IFERROR(__xludf.DUMMYFUNCTION("""COMPUTED_VALUE"""),95110.0)</f>
        <v>95110</v>
      </c>
      <c r="AD1774" s="3">
        <f>IFERROR(__xludf.DUMMYFUNCTION("""COMPUTED_VALUE"""),5.776038)</f>
        <v>5.776038</v>
      </c>
      <c r="AE1774" s="3">
        <f>IFERROR(__xludf.DUMMYFUNCTION("""COMPUTED_VALUE"""),101.065548)</f>
        <v>101.065548</v>
      </c>
      <c r="AF1774" s="3" t="str">
        <f>IFERROR(__xludf.DUMMYFUNCTION("""COMPUTED_VALUE"""),"MBC ชุมชนพัฒนะ ยะลา-22460")</f>
        <v>MBC ชุมชนพัฒนะ ยะลา-22460</v>
      </c>
      <c r="AG1774" s="3" t="str">
        <f>IFERROR(__xludf.DUMMYFUNCTION("""COMPUTED_VALUE"""),"ใต้")</f>
        <v>ใต้</v>
      </c>
      <c r="AH1774" s="3" t="str">
        <f>IFERROR(__xludf.DUMMYFUNCTION("""COMPUTED_VALUE"""),"#N/A")</f>
        <v>#N/A</v>
      </c>
      <c r="AI1774" s="3" t="str">
        <f>IFERROR(__xludf.DUMMYFUNCTION("""COMPUTED_VALUE"""),"Out of warranty")</f>
        <v>Out of warranty</v>
      </c>
      <c r="AJ1774" s="3">
        <f>IFERROR(__xludf.DUMMYFUNCTION("""COMPUTED_VALUE"""),47.0)</f>
        <v>47</v>
      </c>
      <c r="AK1774" s="3" t="str">
        <f>IFERROR(__xludf.DUMMYFUNCTION("""COMPUTED_VALUE"""),"MMS16")</f>
        <v>MMS16</v>
      </c>
      <c r="AL1774" s="3"/>
    </row>
    <row r="1775" ht="15.75" customHeight="1">
      <c r="A1775" s="1" t="str">
        <f>IFERROR(__xludf.DUMMYFUNCTION("""COMPUTED_VALUE"""),"22461")</f>
        <v>22461</v>
      </c>
      <c r="B1775" s="2">
        <f>IFERROR(__xludf.DUMMYFUNCTION("""COMPUTED_VALUE"""),22461.0)</f>
        <v>22461</v>
      </c>
      <c r="C1775" s="3" t="str">
        <f>IFERROR(__xludf.DUMMYFUNCTION("""COMPUTED_VALUE"""),"MBC เกษตรวิสัย ร้อยเอ็ด")</f>
        <v>MBC เกษตรวิสัย ร้อยเอ็ด</v>
      </c>
      <c r="D1775" s="3" t="str">
        <f>IFERROR(__xludf.DUMMYFUNCTION("""COMPUTED_VALUE"""),"BCM KASET WISAI ROI ET")</f>
        <v>BCM KASET WISAI ROI ET</v>
      </c>
      <c r="E1775" s="1" t="str">
        <f>IFERROR(__xludf.DUMMYFUNCTION("""COMPUTED_VALUE"""),"บิ๊กซี MINI")</f>
        <v>บิ๊กซี MINI</v>
      </c>
      <c r="F1775" s="1" t="str">
        <f>IFERROR(__xludf.DUMMYFUNCTION("""COMPUTED_VALUE"""),"291105")</f>
        <v>291105</v>
      </c>
      <c r="G1775" s="1" t="str">
        <f>IFERROR(__xludf.DUMMYFUNCTION("""COMPUTED_VALUE"""),"นายสราวุฒิ พณิชยกุล")</f>
        <v>นายสราวุฒิ พณิชยกุล</v>
      </c>
      <c r="H1775" s="1" t="str">
        <f>IFERROR(__xludf.DUMMYFUNCTION("""COMPUTED_VALUE"""),"398136")</f>
        <v>398136</v>
      </c>
      <c r="I1775" s="1" t="str">
        <f>IFERROR(__xludf.DUMMYFUNCTION("""COMPUTED_VALUE"""),"นายประยูร ธาดาวงษา")</f>
        <v>นายประยูร ธาดาวงษา</v>
      </c>
      <c r="J1775" s="3">
        <f>IFERROR(__xludf.DUMMYFUNCTION("""COMPUTED_VALUE"""),15361.0)</f>
        <v>15361</v>
      </c>
      <c r="K1775" s="3" t="str">
        <f>IFERROR(__xludf.DUMMYFUNCTION("""COMPUTED_VALUE"""),"นายสมบูรณ์ พรหมในเมือง")</f>
        <v>นายสมบูรณ์ พรหมในเมือง</v>
      </c>
      <c r="L1775" s="1" t="str">
        <f>IFERROR(__xludf.DUMMYFUNCTION("""COMPUTED_VALUE"""),"04 K.Somboon P.")</f>
        <v>04 K.Somboon P.</v>
      </c>
      <c r="M1775" s="1" t="str">
        <f>IFERROR(__xludf.DUMMYFUNCTION("""COMPUTED_VALUE"""),"087-965-3051")</f>
        <v>087-965-3051</v>
      </c>
      <c r="N1775" s="3">
        <f>IFERROR(__xludf.DUMMYFUNCTION("""COMPUTED_VALUE"""),21869.0)</f>
        <v>21869</v>
      </c>
      <c r="O1775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775" s="4">
        <f>IFERROR(__xludf.DUMMYFUNCTION("""COMPUTED_VALUE"""),44641.0)</f>
        <v>44641</v>
      </c>
      <c r="Q1775" s="3" t="str">
        <f>IFERROR(__xludf.DUMMYFUNCTION("""COMPUTED_VALUE"""),"A")</f>
        <v>A</v>
      </c>
      <c r="R1775" s="3" t="str">
        <f>IFERROR(__xludf.DUMMYFUNCTION("""COMPUTED_VALUE"""),"Small Format")</f>
        <v>Small Format</v>
      </c>
      <c r="S1775" s="3" t="str">
        <f>IFERROR(__xludf.DUMMYFUNCTION("""COMPUTED_VALUE"""),"BCM")</f>
        <v>BCM</v>
      </c>
      <c r="T1775" s="3" t="str">
        <f>IFERROR(__xludf.DUMMYFUNCTION("""COMPUTED_VALUE"""),"#N/A")</f>
        <v>#N/A</v>
      </c>
      <c r="U1775" s="3" t="str">
        <f>IFERROR(__xludf.DUMMYFUNCTION("""COMPUTED_VALUE"""),"#N/A")</f>
        <v>#N/A</v>
      </c>
      <c r="V1775" s="3" t="str">
        <f>IFERROR(__xludf.DUMMYFUNCTION("""COMPUTED_VALUE"""),"N")</f>
        <v>N</v>
      </c>
      <c r="W1775" s="3">
        <f>IFERROR(__xludf.DUMMYFUNCTION("""COMPUTED_VALUE"""),210533.0)</f>
        <v>210533</v>
      </c>
      <c r="X1775" s="3" t="str">
        <f>IFERROR(__xludf.DUMMYFUNCTION("""COMPUTED_VALUE"""),"189 189/1-4 189/7 หมู่ที่13 ตำบลเกษตรวิสัย อำเภอเกษตรวิสัย จังหวัดร้อยเอ็ด 45150")</f>
        <v>189 189/1-4 189/7 หมู่ที่13 ตำบลเกษตรวิสัย อำเภอเกษตรวิสัย จังหวัดร้อยเอ็ด 45150</v>
      </c>
      <c r="Y1775" s="3"/>
      <c r="Z1775" s="3" t="str">
        <f>IFERROR(__xludf.DUMMYFUNCTION("""COMPUTED_VALUE"""),"เกษตรวิสัย")</f>
        <v>เกษตรวิสัย</v>
      </c>
      <c r="AA1775" s="3" t="str">
        <f>IFERROR(__xludf.DUMMYFUNCTION("""COMPUTED_VALUE"""),"เกษตรวิสัย")</f>
        <v>เกษตรวิสัย</v>
      </c>
      <c r="AB1775" s="3" t="str">
        <f>IFERROR(__xludf.DUMMYFUNCTION("""COMPUTED_VALUE"""),"ร้อยเอ็ด")</f>
        <v>ร้อยเอ็ด</v>
      </c>
      <c r="AC1775" s="3">
        <f>IFERROR(__xludf.DUMMYFUNCTION("""COMPUTED_VALUE"""),45150.0)</f>
        <v>45150</v>
      </c>
      <c r="AD1775" s="3">
        <f>IFERROR(__xludf.DUMMYFUNCTION("""COMPUTED_VALUE"""),15.65759)</f>
        <v>15.65759</v>
      </c>
      <c r="AE1775" s="3">
        <f>IFERROR(__xludf.DUMMYFUNCTION("""COMPUTED_VALUE"""),103.578324)</f>
        <v>103.578324</v>
      </c>
      <c r="AF1775" s="3" t="str">
        <f>IFERROR(__xludf.DUMMYFUNCTION("""COMPUTED_VALUE"""),"MBC เกษตรวิสัย ร้อยเอ็ด-22461")</f>
        <v>MBC เกษตรวิสัย ร้อยเอ็ด-22461</v>
      </c>
      <c r="AG1775" s="3" t="str">
        <f>IFERROR(__xludf.DUMMYFUNCTION("""COMPUTED_VALUE"""),"ตะวันออกเฉียงเหนือ")</f>
        <v>ตะวันออกเฉียงเหนือ</v>
      </c>
      <c r="AH1775" s="3" t="str">
        <f>IFERROR(__xludf.DUMMYFUNCTION("""COMPUTED_VALUE"""),"#N/A")</f>
        <v>#N/A</v>
      </c>
      <c r="AI1775" s="3" t="str">
        <f>IFERROR(__xludf.DUMMYFUNCTION("""COMPUTED_VALUE"""),"Out of warranty")</f>
        <v>Out of warranty</v>
      </c>
      <c r="AJ1775" s="3">
        <f>IFERROR(__xludf.DUMMYFUNCTION("""COMPUTED_VALUE"""),46.0)</f>
        <v>46</v>
      </c>
      <c r="AK1775" s="3" t="str">
        <f>IFERROR(__xludf.DUMMYFUNCTION("""COMPUTED_VALUE"""),"MMS13")</f>
        <v>MMS13</v>
      </c>
      <c r="AL1775" s="3"/>
    </row>
    <row r="1776" ht="15.75" customHeight="1">
      <c r="A1776" s="1" t="str">
        <f>IFERROR(__xludf.DUMMYFUNCTION("""COMPUTED_VALUE"""),"22462")</f>
        <v>22462</v>
      </c>
      <c r="B1776" s="2">
        <f>IFERROR(__xludf.DUMMYFUNCTION("""COMPUTED_VALUE"""),22462.0)</f>
        <v>22462</v>
      </c>
      <c r="C1776" s="3" t="str">
        <f>IFERROR(__xludf.DUMMYFUNCTION("""COMPUTED_VALUE"""),"MBC วังสมบูรณ์ สระแก้ว")</f>
        <v>MBC วังสมบูรณ์ สระแก้ว</v>
      </c>
      <c r="D1776" s="3" t="str">
        <f>IFERROR(__xludf.DUMMYFUNCTION("""COMPUTED_VALUE"""),"BCM WANGSOMBOON SA KAEO")</f>
        <v>BCM WANGSOMBOON SA KAEO</v>
      </c>
      <c r="E1776" s="1" t="str">
        <f>IFERROR(__xludf.DUMMYFUNCTION("""COMPUTED_VALUE"""),"บิ๊กซี MINI")</f>
        <v>บิ๊กซี MINI</v>
      </c>
      <c r="F1776" s="1" t="str">
        <f>IFERROR(__xludf.DUMMYFUNCTION("""COMPUTED_VALUE"""),"2083447")</f>
        <v>2083447</v>
      </c>
      <c r="G1776" s="1" t="str">
        <f>IFERROR(__xludf.DUMMYFUNCTION("""COMPUTED_VALUE"""),"นายอนุกูล ศรีลัดดา")</f>
        <v>นายอนุกูล ศรีลัดดา</v>
      </c>
      <c r="H1776" s="1" t="str">
        <f>IFERROR(__xludf.DUMMYFUNCTION("""COMPUTED_VALUE"""),"259808")</f>
        <v>259808</v>
      </c>
      <c r="I1776" s="1" t="str">
        <f>IFERROR(__xludf.DUMMYFUNCTION("""COMPUTED_VALUE"""),"น.ส.สกุลรัตน์ พิกุลแก้ว")</f>
        <v>น.ส.สกุลรัตน์ พิกุลแก้ว</v>
      </c>
      <c r="J1776" s="3">
        <f>IFERROR(__xludf.DUMMYFUNCTION("""COMPUTED_VALUE"""),510143.0)</f>
        <v>510143</v>
      </c>
      <c r="K1776" s="3" t="str">
        <f>IFERROR(__xludf.DUMMYFUNCTION("""COMPUTED_VALUE"""),"นายธีระวัฒน์ บุญสิทธิ์")</f>
        <v>นายธีระวัฒน์ บุญสิทธิ์</v>
      </c>
      <c r="L1776" s="1" t="str">
        <f>IFERROR(__xludf.DUMMYFUNCTION("""COMPUTED_VALUE"""),"12 K.Theerawat B.")</f>
        <v>12 K.Theerawat B.</v>
      </c>
      <c r="M1776" s="1" t="str">
        <f>IFERROR(__xludf.DUMMYFUNCTION("""COMPUTED_VALUE"""),"0655107379")</f>
        <v>0655107379</v>
      </c>
      <c r="N1776" s="3">
        <f>IFERROR(__xludf.DUMMYFUNCTION("""COMPUTED_VALUE"""),21062.0)</f>
        <v>21062</v>
      </c>
      <c r="O1776" s="3" t="str">
        <f>IFERROR(__xludf.DUMMYFUNCTION("""COMPUTED_VALUE"""),"MBC นิคมนวนคร")</f>
        <v>MBC นิคมนวนคร</v>
      </c>
      <c r="P1776" s="4">
        <f>IFERROR(__xludf.DUMMYFUNCTION("""COMPUTED_VALUE"""),44636.0)</f>
        <v>44636</v>
      </c>
      <c r="Q1776" s="3" t="str">
        <f>IFERROR(__xludf.DUMMYFUNCTION("""COMPUTED_VALUE"""),"A")</f>
        <v>A</v>
      </c>
      <c r="R1776" s="3" t="str">
        <f>IFERROR(__xludf.DUMMYFUNCTION("""COMPUTED_VALUE"""),"Small Format")</f>
        <v>Small Format</v>
      </c>
      <c r="S1776" s="3" t="str">
        <f>IFERROR(__xludf.DUMMYFUNCTION("""COMPUTED_VALUE"""),"BCM")</f>
        <v>BCM</v>
      </c>
      <c r="T1776" s="3" t="str">
        <f>IFERROR(__xludf.DUMMYFUNCTION("""COMPUTED_VALUE"""),"#N/A")</f>
        <v>#N/A</v>
      </c>
      <c r="U1776" s="3" t="str">
        <f>IFERROR(__xludf.DUMMYFUNCTION("""COMPUTED_VALUE"""),"#N/A")</f>
        <v>#N/A</v>
      </c>
      <c r="V1776" s="3" t="str">
        <f>IFERROR(__xludf.DUMMYFUNCTION("""COMPUTED_VALUE"""),"N")</f>
        <v>N</v>
      </c>
      <c r="W1776" s="3">
        <f>IFERROR(__xludf.DUMMYFUNCTION("""COMPUTED_VALUE"""),210535.0)</f>
        <v>210535</v>
      </c>
      <c r="X1776" s="3" t="str">
        <f>IFERROR(__xludf.DUMMYFUNCTION("""COMPUTED_VALUE"""),"649 หมู่ที่17 ตำบลวังสมบูรณ์ อำเภอวังสมบูรณ์ จังหวัดสระแก้ว 27250")</f>
        <v>649 หมู่ที่17 ตำบลวังสมบูรณ์ อำเภอวังสมบูรณ์ จังหวัดสระแก้ว 27250</v>
      </c>
      <c r="Y1776" s="3"/>
      <c r="Z1776" s="3" t="str">
        <f>IFERROR(__xludf.DUMMYFUNCTION("""COMPUTED_VALUE"""),"วังสมบูรณ์")</f>
        <v>วังสมบูรณ์</v>
      </c>
      <c r="AA1776" s="3" t="str">
        <f>IFERROR(__xludf.DUMMYFUNCTION("""COMPUTED_VALUE"""),"วังสมบูรณ์")</f>
        <v>วังสมบูรณ์</v>
      </c>
      <c r="AB1776" s="3" t="str">
        <f>IFERROR(__xludf.DUMMYFUNCTION("""COMPUTED_VALUE"""),"สระแก้ว")</f>
        <v>สระแก้ว</v>
      </c>
      <c r="AC1776" s="3">
        <f>IFERROR(__xludf.DUMMYFUNCTION("""COMPUTED_VALUE"""),27250.0)</f>
        <v>27250</v>
      </c>
      <c r="AD1776" s="3">
        <f>IFERROR(__xludf.DUMMYFUNCTION("""COMPUTED_VALUE"""),13.3625877)</f>
        <v>13.3625877</v>
      </c>
      <c r="AE1776" s="3">
        <f>IFERROR(__xludf.DUMMYFUNCTION("""COMPUTED_VALUE"""),102.1921829)</f>
        <v>102.1921829</v>
      </c>
      <c r="AF1776" s="3" t="str">
        <f>IFERROR(__xludf.DUMMYFUNCTION("""COMPUTED_VALUE"""),"MBC วังสมบูรณ์ สระแก้ว-22462")</f>
        <v>MBC วังสมบูรณ์ สระแก้ว-22462</v>
      </c>
      <c r="AG1776" s="3" t="str">
        <f>IFERROR(__xludf.DUMMYFUNCTION("""COMPUTED_VALUE"""),"ตะวันออก")</f>
        <v>ตะวันออก</v>
      </c>
      <c r="AH1776" s="3" t="str">
        <f>IFERROR(__xludf.DUMMYFUNCTION("""COMPUTED_VALUE"""),"#N/A")</f>
        <v>#N/A</v>
      </c>
      <c r="AI1776" s="3" t="str">
        <f>IFERROR(__xludf.DUMMYFUNCTION("""COMPUTED_VALUE"""),"Out of warranty")</f>
        <v>Out of warranty</v>
      </c>
      <c r="AJ1776" s="3">
        <f>IFERROR(__xludf.DUMMYFUNCTION("""COMPUTED_VALUE"""),47.0)</f>
        <v>47</v>
      </c>
      <c r="AK1776" s="3" t="str">
        <f>IFERROR(__xludf.DUMMYFUNCTION("""COMPUTED_VALUE"""),"MMS08")</f>
        <v>MMS08</v>
      </c>
      <c r="AL1776" s="3"/>
    </row>
    <row r="1777" ht="15.75" customHeight="1">
      <c r="A1777" s="1" t="str">
        <f>IFERROR(__xludf.DUMMYFUNCTION("""COMPUTED_VALUE"""),"22463")</f>
        <v>22463</v>
      </c>
      <c r="B1777" s="2">
        <f>IFERROR(__xludf.DUMMYFUNCTION("""COMPUTED_VALUE"""),22463.0)</f>
        <v>22463</v>
      </c>
      <c r="C1777" s="3" t="str">
        <f>IFERROR(__xludf.DUMMYFUNCTION("""COMPUTED_VALUE"""),"MBC บ้านหนองบัวแดง เชียงราย")</f>
        <v>MBC บ้านหนองบัวแดง เชียงราย</v>
      </c>
      <c r="D1777" s="3" t="str">
        <f>IFERROR(__xludf.DUMMYFUNCTION("""COMPUTED_VALUE"""),"BCM BAN NONGBUADANG CHIANGRAI")</f>
        <v>BCM BAN NONGBUADANG CHIANGRAI</v>
      </c>
      <c r="E1777" s="1" t="str">
        <f>IFERROR(__xludf.DUMMYFUNCTION("""COMPUTED_VALUE"""),"บิ๊กซี MINI")</f>
        <v>บิ๊กซี MINI</v>
      </c>
      <c r="F1777" s="1" t="str">
        <f>IFERROR(__xludf.DUMMYFUNCTION("""COMPUTED_VALUE"""),"296229")</f>
        <v>296229</v>
      </c>
      <c r="G1777" s="1" t="str">
        <f>IFERROR(__xludf.DUMMYFUNCTION("""COMPUTED_VALUE"""),"นายทนงศักดิ์ บุญมา")</f>
        <v>นายทนงศักดิ์ บุญมา</v>
      </c>
      <c r="H1777" s="1" t="str">
        <f>IFERROR(__xludf.DUMMYFUNCTION("""COMPUTED_VALUE"""),"392585")</f>
        <v>392585</v>
      </c>
      <c r="I1777" s="1" t="str">
        <f>IFERROR(__xludf.DUMMYFUNCTION("""COMPUTED_VALUE"""),"นายไชยัณต์ ผิวขัวเรียง")</f>
        <v>นายไชยัณต์ ผิวขัวเรียง</v>
      </c>
      <c r="J1777" s="3">
        <f>IFERROR(__xludf.DUMMYFUNCTION("""COMPUTED_VALUE"""),2010016.0)</f>
        <v>2010016</v>
      </c>
      <c r="K1777" s="3" t="str">
        <f>IFERROR(__xludf.DUMMYFUNCTION("""COMPUTED_VALUE"""),"นายตวงธรรม ใหม่ยศ")</f>
        <v>นายตวงธรรม ใหม่ยศ</v>
      </c>
      <c r="L1777" s="1" t="str">
        <f>IFERROR(__xludf.DUMMYFUNCTION("""COMPUTED_VALUE"""),"01 K.Tuangtham M.")</f>
        <v>01 K.Tuangtham M.</v>
      </c>
      <c r="M1777" s="1" t="str">
        <f>IFERROR(__xludf.DUMMYFUNCTION("""COMPUTED_VALUE"""),"063-976-595")</f>
        <v>063-976-595</v>
      </c>
      <c r="N1777" s="3">
        <f>IFERROR(__xludf.DUMMYFUNCTION("""COMPUTED_VALUE"""),22574.0)</f>
        <v>22574</v>
      </c>
      <c r="O1777" s="3" t="str">
        <f>IFERROR(__xludf.DUMMYFUNCTION("""COMPUTED_VALUE"""),"BCM ชุมชนศรีชุม ลำปาง")</f>
        <v>BCM ชุมชนศรีชุม ลำปาง</v>
      </c>
      <c r="P1777" s="4">
        <f>IFERROR(__xludf.DUMMYFUNCTION("""COMPUTED_VALUE"""),44663.0)</f>
        <v>44663</v>
      </c>
      <c r="Q1777" s="3" t="str">
        <f>IFERROR(__xludf.DUMMYFUNCTION("""COMPUTED_VALUE"""),"A")</f>
        <v>A</v>
      </c>
      <c r="R1777" s="3" t="str">
        <f>IFERROR(__xludf.DUMMYFUNCTION("""COMPUTED_VALUE"""),"Small Format")</f>
        <v>Small Format</v>
      </c>
      <c r="S1777" s="3" t="str">
        <f>IFERROR(__xludf.DUMMYFUNCTION("""COMPUTED_VALUE"""),"BCM")</f>
        <v>BCM</v>
      </c>
      <c r="T1777" s="3" t="str">
        <f>IFERROR(__xludf.DUMMYFUNCTION("""COMPUTED_VALUE"""),"#N/A")</f>
        <v>#N/A</v>
      </c>
      <c r="U1777" s="3" t="str">
        <f>IFERROR(__xludf.DUMMYFUNCTION("""COMPUTED_VALUE"""),"#N/A")</f>
        <v>#N/A</v>
      </c>
      <c r="V1777" s="3" t="str">
        <f>IFERROR(__xludf.DUMMYFUNCTION("""COMPUTED_VALUE"""),"N")</f>
        <v>N</v>
      </c>
      <c r="W1777" s="3">
        <f>IFERROR(__xludf.DUMMYFUNCTION("""COMPUTED_VALUE"""),210523.0)</f>
        <v>210523</v>
      </c>
      <c r="X1777" s="3" t="str">
        <f>IFERROR(__xludf.DUMMYFUNCTION("""COMPUTED_VALUE"""),"151 หมู่ที่15 ตำบลแม่ข้าวต้ม อำเภอเมืองเชียงราย จังหวัดเชียงราย 57100")</f>
        <v>151 หมู่ที่15 ตำบลแม่ข้าวต้ม อำเภอเมืองเชียงราย จังหวัดเชียงราย 57100</v>
      </c>
      <c r="Y1777" s="3"/>
      <c r="Z1777" s="3" t="str">
        <f>IFERROR(__xludf.DUMMYFUNCTION("""COMPUTED_VALUE"""),"แม่ข้าวต้ม")</f>
        <v>แม่ข้าวต้ม</v>
      </c>
      <c r="AA1777" s="3" t="str">
        <f>IFERROR(__xludf.DUMMYFUNCTION("""COMPUTED_VALUE"""),"เมืองเชียงราย")</f>
        <v>เมืองเชียงราย</v>
      </c>
      <c r="AB1777" s="3" t="str">
        <f>IFERROR(__xludf.DUMMYFUNCTION("""COMPUTED_VALUE"""),"เชียงราย")</f>
        <v>เชียงราย</v>
      </c>
      <c r="AC1777" s="3">
        <f>IFERROR(__xludf.DUMMYFUNCTION("""COMPUTED_VALUE"""),57100.0)</f>
        <v>57100</v>
      </c>
      <c r="AD1777" s="3">
        <f>IFERROR(__xludf.DUMMYFUNCTION("""COMPUTED_VALUE"""),20.023043)</f>
        <v>20.023043</v>
      </c>
      <c r="AE1777" s="3">
        <f>IFERROR(__xludf.DUMMYFUNCTION("""COMPUTED_VALUE"""),99.935751)</f>
        <v>99.935751</v>
      </c>
      <c r="AF1777" s="3" t="str">
        <f>IFERROR(__xludf.DUMMYFUNCTION("""COMPUTED_VALUE"""),"MBC บ้านหนองบัวแดง เชียงราย-22463")</f>
        <v>MBC บ้านหนองบัวแดง เชียงราย-22463</v>
      </c>
      <c r="AG1777" s="3" t="str">
        <f>IFERROR(__xludf.DUMMYFUNCTION("""COMPUTED_VALUE"""),"เหนือ")</f>
        <v>เหนือ</v>
      </c>
      <c r="AH1777" s="3" t="str">
        <f>IFERROR(__xludf.DUMMYFUNCTION("""COMPUTED_VALUE"""),"#N/A")</f>
        <v>#N/A</v>
      </c>
      <c r="AI1777" s="3" t="str">
        <f>IFERROR(__xludf.DUMMYFUNCTION("""COMPUTED_VALUE"""),"Out of warranty")</f>
        <v>Out of warranty</v>
      </c>
      <c r="AJ1777" s="3">
        <f>IFERROR(__xludf.DUMMYFUNCTION("""COMPUTED_VALUE"""),46.0)</f>
        <v>46</v>
      </c>
      <c r="AK1777" s="3" t="str">
        <f>IFERROR(__xludf.DUMMYFUNCTION("""COMPUTED_VALUE"""),"MMS10")</f>
        <v>MMS10</v>
      </c>
      <c r="AL1777" s="3"/>
    </row>
    <row r="1778" ht="15.75" customHeight="1">
      <c r="A1778" s="1" t="str">
        <f>IFERROR(__xludf.DUMMYFUNCTION("""COMPUTED_VALUE"""),"22464")</f>
        <v>22464</v>
      </c>
      <c r="B1778" s="2">
        <f>IFERROR(__xludf.DUMMYFUNCTION("""COMPUTED_VALUE"""),22464.0)</f>
        <v>22464</v>
      </c>
      <c r="C1778" s="3" t="str">
        <f>IFERROR(__xludf.DUMMYFUNCTION("""COMPUTED_VALUE"""),"MBC หนองมะนาว(ทุ่งกราด)ชลบุรี")</f>
        <v>MBC หนองมะนาว(ทุ่งกราด)ชลบุรี</v>
      </c>
      <c r="D1778" s="3" t="str">
        <f>IFERROR(__xludf.DUMMYFUNCTION("""COMPUTED_VALUE"""),"BCM NONG MANAO THUNG KRAT")</f>
        <v>BCM NONG MANAO THUNG KRAT</v>
      </c>
      <c r="E1778" s="1" t="str">
        <f>IFERROR(__xludf.DUMMYFUNCTION("""COMPUTED_VALUE"""),"บิ๊กซี MINI")</f>
        <v>บิ๊กซี MINI</v>
      </c>
      <c r="F1778" s="1" t="str">
        <f>IFERROR(__xludf.DUMMYFUNCTION("""COMPUTED_VALUE"""),"221716")</f>
        <v>221716</v>
      </c>
      <c r="G1778" s="1" t="str">
        <f>IFERROR(__xludf.DUMMYFUNCTION("""COMPUTED_VALUE"""),"น.ส.เบญจพร โพธิสาร")</f>
        <v>น.ส.เบญจพร โพธิสาร</v>
      </c>
      <c r="H1778" s="1" t="str">
        <f>IFERROR(__xludf.DUMMYFUNCTION("""COMPUTED_VALUE"""),"291061")</f>
        <v>291061</v>
      </c>
      <c r="I1778" s="1" t="str">
        <f>IFERROR(__xludf.DUMMYFUNCTION("""COMPUTED_VALUE"""),"นายสมศักดิ์ เสียงก้อง")</f>
        <v>นายสมศักดิ์ เสียงก้อง</v>
      </c>
      <c r="J1778" s="3">
        <f>IFERROR(__xludf.DUMMYFUNCTION("""COMPUTED_VALUE"""),296942.0)</f>
        <v>296942</v>
      </c>
      <c r="K1778" s="3" t="str">
        <f>IFERROR(__xludf.DUMMYFUNCTION("""COMPUTED_VALUE"""),"นายปิยะ รักษากิจ")</f>
        <v>นายปิยะ รักษากิจ</v>
      </c>
      <c r="L1778" s="1" t="str">
        <f>IFERROR(__xludf.DUMMYFUNCTION("""COMPUTED_VALUE"""),"07 K.Piya R.")</f>
        <v>07 K.Piya R.</v>
      </c>
      <c r="M1778" s="1" t="str">
        <f>IFERROR(__xludf.DUMMYFUNCTION("""COMPUTED_VALUE"""),"097-919-5476")</f>
        <v>097-919-5476</v>
      </c>
      <c r="N1778" s="3">
        <f>IFERROR(__xludf.DUMMYFUNCTION("""COMPUTED_VALUE"""),21332.0)</f>
        <v>21332</v>
      </c>
      <c r="O1778" s="3" t="str">
        <f>IFERROR(__xludf.DUMMYFUNCTION("""COMPUTED_VALUE"""),"MBC BCP อ่อนนุช 17/1")</f>
        <v>MBC BCP อ่อนนุช 17/1</v>
      </c>
      <c r="P1778" s="4">
        <f>IFERROR(__xludf.DUMMYFUNCTION("""COMPUTED_VALUE"""),44647.0)</f>
        <v>44647</v>
      </c>
      <c r="Q1778" s="3" t="str">
        <f>IFERROR(__xludf.DUMMYFUNCTION("""COMPUTED_VALUE"""),"A")</f>
        <v>A</v>
      </c>
      <c r="R1778" s="3" t="str">
        <f>IFERROR(__xludf.DUMMYFUNCTION("""COMPUTED_VALUE"""),"Small Format")</f>
        <v>Small Format</v>
      </c>
      <c r="S1778" s="3" t="str">
        <f>IFERROR(__xludf.DUMMYFUNCTION("""COMPUTED_VALUE"""),"BCM")</f>
        <v>BCM</v>
      </c>
      <c r="T1778" s="3" t="str">
        <f>IFERROR(__xludf.DUMMYFUNCTION("""COMPUTED_VALUE"""),"#N/A")</f>
        <v>#N/A</v>
      </c>
      <c r="U1778" s="3" t="str">
        <f>IFERROR(__xludf.DUMMYFUNCTION("""COMPUTED_VALUE"""),"#N/A")</f>
        <v>#N/A</v>
      </c>
      <c r="V1778" s="3" t="str">
        <f>IFERROR(__xludf.DUMMYFUNCTION("""COMPUTED_VALUE"""),"N")</f>
        <v>N</v>
      </c>
      <c r="W1778" s="3">
        <f>IFERROR(__xludf.DUMMYFUNCTION("""COMPUTED_VALUE"""),210408.0)</f>
        <v>210408</v>
      </c>
      <c r="X1778" s="3" t="str">
        <f>IFERROR(__xludf.DUMMYFUNCTION("""COMPUTED_VALUE"""),"190/66 หมู่ที่8 ตำบลบางละมุง อำเภอบางละมุง จังหวัดชลบุรี 20150")</f>
        <v>190/66 หมู่ที่8 ตำบลบางละมุง อำเภอบางละมุง จังหวัดชลบุรี 20150</v>
      </c>
      <c r="Y1778" s="3"/>
      <c r="Z1778" s="3" t="str">
        <f>IFERROR(__xludf.DUMMYFUNCTION("""COMPUTED_VALUE"""),"บางละมุง")</f>
        <v>บางละมุง</v>
      </c>
      <c r="AA1778" s="3" t="str">
        <f>IFERROR(__xludf.DUMMYFUNCTION("""COMPUTED_VALUE"""),"บางละมุง")</f>
        <v>บางละมุง</v>
      </c>
      <c r="AB1778" s="3" t="str">
        <f>IFERROR(__xludf.DUMMYFUNCTION("""COMPUTED_VALUE"""),"ชลบุรี")</f>
        <v>ชลบุรี</v>
      </c>
      <c r="AC1778" s="3">
        <f>IFERROR(__xludf.DUMMYFUNCTION("""COMPUTED_VALUE"""),20150.0)</f>
        <v>20150</v>
      </c>
      <c r="AD1778" s="3">
        <f>IFERROR(__xludf.DUMMYFUNCTION("""COMPUTED_VALUE"""),13.0559)</f>
        <v>13.0559</v>
      </c>
      <c r="AE1778" s="3">
        <f>IFERROR(__xludf.DUMMYFUNCTION("""COMPUTED_VALUE"""),100.942449)</f>
        <v>100.942449</v>
      </c>
      <c r="AF1778" s="3" t="str">
        <f>IFERROR(__xludf.DUMMYFUNCTION("""COMPUTED_VALUE"""),"MBC หนองมะนาว(ทุ่งกราด)ชลบุรี-22464")</f>
        <v>MBC หนองมะนาว(ทุ่งกราด)ชลบุรี-22464</v>
      </c>
      <c r="AG1778" s="3" t="str">
        <f>IFERROR(__xludf.DUMMYFUNCTION("""COMPUTED_VALUE"""),"ตะวันออก")</f>
        <v>ตะวันออก</v>
      </c>
      <c r="AH1778" s="3" t="str">
        <f>IFERROR(__xludf.DUMMYFUNCTION("""COMPUTED_VALUE"""),"#N/A")</f>
        <v>#N/A</v>
      </c>
      <c r="AI1778" s="3" t="str">
        <f>IFERROR(__xludf.DUMMYFUNCTION("""COMPUTED_VALUE"""),"Out of warranty")</f>
        <v>Out of warranty</v>
      </c>
      <c r="AJ1778" s="3">
        <f>IFERROR(__xludf.DUMMYFUNCTION("""COMPUTED_VALUE"""),46.0)</f>
        <v>46</v>
      </c>
      <c r="AK1778" s="3" t="str">
        <f>IFERROR(__xludf.DUMMYFUNCTION("""COMPUTED_VALUE"""),"MMS06")</f>
        <v>MMS06</v>
      </c>
      <c r="AL1778" s="3"/>
    </row>
    <row r="1779" ht="15.75" customHeight="1">
      <c r="A1779" s="1" t="str">
        <f>IFERROR(__xludf.DUMMYFUNCTION("""COMPUTED_VALUE"""),"22465")</f>
        <v>22465</v>
      </c>
      <c r="B1779" s="2">
        <f>IFERROR(__xludf.DUMMYFUNCTION("""COMPUTED_VALUE"""),22465.0)</f>
        <v>22465</v>
      </c>
      <c r="C1779" s="3" t="str">
        <f>IFERROR(__xludf.DUMMYFUNCTION("""COMPUTED_VALUE"""),"MBC ประชุมมิตรบ้านฉาง ระยอง")</f>
        <v>MBC ประชุมมิตรบ้านฉาง ระยอง</v>
      </c>
      <c r="D1779" s="3" t="str">
        <f>IFERROR(__xludf.DUMMYFUNCTION("""COMPUTED_VALUE"""),"BCM PRACHUMMITBANCHANG RAYONG")</f>
        <v>BCM PRACHUMMITBANCHANG RAYONG</v>
      </c>
      <c r="E1779" s="1" t="str">
        <f>IFERROR(__xludf.DUMMYFUNCTION("""COMPUTED_VALUE"""),"บิ๊กซี MINI")</f>
        <v>บิ๊กซี MINI</v>
      </c>
      <c r="F1779" s="1" t="str">
        <f>IFERROR(__xludf.DUMMYFUNCTION("""COMPUTED_VALUE"""),"221716")</f>
        <v>221716</v>
      </c>
      <c r="G1779" s="1" t="str">
        <f>IFERROR(__xludf.DUMMYFUNCTION("""COMPUTED_VALUE"""),"น.ส.เบญจพร โพธิสาร")</f>
        <v>น.ส.เบญจพร โพธิสาร</v>
      </c>
      <c r="H1779" s="1" t="str">
        <f>IFERROR(__xludf.DUMMYFUNCTION("""COMPUTED_VALUE"""),"359233")</f>
        <v>359233</v>
      </c>
      <c r="I1779" s="1" t="str">
        <f>IFERROR(__xludf.DUMMYFUNCTION("""COMPUTED_VALUE"""),"น.ส.ปยุดา คำมีอ่อน")</f>
        <v>น.ส.ปยุดา คำมีอ่อน</v>
      </c>
      <c r="J1779" s="3">
        <f>IFERROR(__xludf.DUMMYFUNCTION("""COMPUTED_VALUE"""),2452376.0)</f>
        <v>2452376</v>
      </c>
      <c r="K1779" s="3" t="str">
        <f>IFERROR(__xludf.DUMMYFUNCTION("""COMPUTED_VALUE"""),"นายภาคภูมิ ทวีกุล")</f>
        <v>นายภาคภูมิ ทวีกุล</v>
      </c>
      <c r="L1779" s="1" t="str">
        <f>IFERROR(__xludf.DUMMYFUNCTION("""COMPUTED_VALUE"""),"08 K.Parkphum T.")</f>
        <v>08 K.Parkphum T.</v>
      </c>
      <c r="M1779" s="1" t="str">
        <f>IFERROR(__xludf.DUMMYFUNCTION("""COMPUTED_VALUE"""),"097-919-5476")</f>
        <v>097-919-5476</v>
      </c>
      <c r="N1779" s="3">
        <f>IFERROR(__xludf.DUMMYFUNCTION("""COMPUTED_VALUE"""),22028.0)</f>
        <v>22028</v>
      </c>
      <c r="O1779" s="3" t="str">
        <f>IFERROR(__xludf.DUMMYFUNCTION("""COMPUTED_VALUE"""),"MBC ทํบมา ระยอง")</f>
        <v>MBC ทํบมา ระยอง</v>
      </c>
      <c r="P1779" s="4">
        <f>IFERROR(__xludf.DUMMYFUNCTION("""COMPUTED_VALUE"""),44648.0)</f>
        <v>44648</v>
      </c>
      <c r="Q1779" s="3" t="str">
        <f>IFERROR(__xludf.DUMMYFUNCTION("""COMPUTED_VALUE"""),"A")</f>
        <v>A</v>
      </c>
      <c r="R1779" s="3" t="str">
        <f>IFERROR(__xludf.DUMMYFUNCTION("""COMPUTED_VALUE"""),"Small Format")</f>
        <v>Small Format</v>
      </c>
      <c r="S1779" s="3" t="str">
        <f>IFERROR(__xludf.DUMMYFUNCTION("""COMPUTED_VALUE"""),"BCM")</f>
        <v>BCM</v>
      </c>
      <c r="T1779" s="3" t="str">
        <f>IFERROR(__xludf.DUMMYFUNCTION("""COMPUTED_VALUE"""),"#N/A")</f>
        <v>#N/A</v>
      </c>
      <c r="U1779" s="3" t="str">
        <f>IFERROR(__xludf.DUMMYFUNCTION("""COMPUTED_VALUE"""),"#N/A")</f>
        <v>#N/A</v>
      </c>
      <c r="V1779" s="3" t="str">
        <f>IFERROR(__xludf.DUMMYFUNCTION("""COMPUTED_VALUE"""),"N")</f>
        <v>N</v>
      </c>
      <c r="W1779" s="3">
        <f>IFERROR(__xludf.DUMMYFUNCTION("""COMPUTED_VALUE"""),210512.0)</f>
        <v>210512</v>
      </c>
      <c r="X1779" s="3" t="str">
        <f>IFERROR(__xludf.DUMMYFUNCTION("""COMPUTED_VALUE"""),"174/55 หมู่ที่2 ตำบลบ้านฉาง อำเภอบ้านฉาง จังหวัดระยอง 21130")</f>
        <v>174/55 หมู่ที่2 ตำบลบ้านฉาง อำเภอบ้านฉาง จังหวัดระยอง 21130</v>
      </c>
      <c r="Y1779" s="3"/>
      <c r="Z1779" s="3" t="str">
        <f>IFERROR(__xludf.DUMMYFUNCTION("""COMPUTED_VALUE"""),"บ้านฉาง")</f>
        <v>บ้านฉาง</v>
      </c>
      <c r="AA1779" s="3" t="str">
        <f>IFERROR(__xludf.DUMMYFUNCTION("""COMPUTED_VALUE"""),"บ้านฉาง")</f>
        <v>บ้านฉาง</v>
      </c>
      <c r="AB1779" s="3" t="str">
        <f>IFERROR(__xludf.DUMMYFUNCTION("""COMPUTED_VALUE"""),"ระยอง")</f>
        <v>ระยอง</v>
      </c>
      <c r="AC1779" s="3">
        <f>IFERROR(__xludf.DUMMYFUNCTION("""COMPUTED_VALUE"""),21130.0)</f>
        <v>21130</v>
      </c>
      <c r="AD1779" s="3">
        <f>IFERROR(__xludf.DUMMYFUNCTION("""COMPUTED_VALUE"""),12.718788)</f>
        <v>12.718788</v>
      </c>
      <c r="AE1779" s="3">
        <f>IFERROR(__xludf.DUMMYFUNCTION("""COMPUTED_VALUE"""),101.085605)</f>
        <v>101.085605</v>
      </c>
      <c r="AF1779" s="3" t="str">
        <f>IFERROR(__xludf.DUMMYFUNCTION("""COMPUTED_VALUE"""),"MBC ประชุมมิตรบ้านฉาง ระยอง-22465")</f>
        <v>MBC ประชุมมิตรบ้านฉาง ระยอง-22465</v>
      </c>
      <c r="AG1779" s="3" t="str">
        <f>IFERROR(__xludf.DUMMYFUNCTION("""COMPUTED_VALUE"""),"ตะวันออก")</f>
        <v>ตะวันออก</v>
      </c>
      <c r="AH1779" s="3" t="str">
        <f>IFERROR(__xludf.DUMMYFUNCTION("""COMPUTED_VALUE"""),"#N/A")</f>
        <v>#N/A</v>
      </c>
      <c r="AI1779" s="3" t="str">
        <f>IFERROR(__xludf.DUMMYFUNCTION("""COMPUTED_VALUE"""),"Out of warranty")</f>
        <v>Out of warranty</v>
      </c>
      <c r="AJ1779" s="3">
        <f>IFERROR(__xludf.DUMMYFUNCTION("""COMPUTED_VALUE"""),46.0)</f>
        <v>46</v>
      </c>
      <c r="AK1779" s="3" t="str">
        <f>IFERROR(__xludf.DUMMYFUNCTION("""COMPUTED_VALUE"""),"MMS07")</f>
        <v>MMS07</v>
      </c>
      <c r="AL1779" s="3"/>
    </row>
    <row r="1780" ht="15.75" customHeight="1">
      <c r="A1780" s="1" t="str">
        <f>IFERROR(__xludf.DUMMYFUNCTION("""COMPUTED_VALUE"""),"22466")</f>
        <v>22466</v>
      </c>
      <c r="B1780" s="2">
        <f>IFERROR(__xludf.DUMMYFUNCTION("""COMPUTED_VALUE"""),22466.0)</f>
        <v>22466</v>
      </c>
      <c r="C1780" s="3" t="str">
        <f>IFERROR(__xludf.DUMMYFUNCTION("""COMPUTED_VALUE"""),"BCM เชลล์หลังสวน ชุมพร")</f>
        <v>BCM เชลล์หลังสวน ชุมพร</v>
      </c>
      <c r="D1780" s="3" t="str">
        <f>IFERROR(__xludf.DUMMYFUNCTION("""COMPUTED_VALUE"""),"BCM SHELL LANG SUAN")</f>
        <v>BCM SHELL LANG SUAN</v>
      </c>
      <c r="E1780" s="1" t="str">
        <f>IFERROR(__xludf.DUMMYFUNCTION("""COMPUTED_VALUE"""),"บิ๊กซี MINI")</f>
        <v>บิ๊กซี MINI</v>
      </c>
      <c r="F1780" s="1" t="str">
        <f>IFERROR(__xludf.DUMMYFUNCTION("""COMPUTED_VALUE"""),"250760")</f>
        <v>250760</v>
      </c>
      <c r="G1780" s="1" t="str">
        <f>IFERROR(__xludf.DUMMYFUNCTION("""COMPUTED_VALUE"""),"นายประทวน สาราบรรณ์")</f>
        <v>นายประทวน สาราบรรณ์</v>
      </c>
      <c r="H1780" s="1" t="str">
        <f>IFERROR(__xludf.DUMMYFUNCTION("""COMPUTED_VALUE"""),"228389")</f>
        <v>228389</v>
      </c>
      <c r="I1780" s="1" t="str">
        <f>IFERROR(__xludf.DUMMYFUNCTION("""COMPUTED_VALUE"""),"นายมณีรันดร์ ชัยชนะ")</f>
        <v>นายมณีรันดร์ ชัยชนะ</v>
      </c>
      <c r="J1780" s="3">
        <f>IFERROR(__xludf.DUMMYFUNCTION("""COMPUTED_VALUE"""),25324.0)</f>
        <v>25324</v>
      </c>
      <c r="K1780" s="3" t="str">
        <f>IFERROR(__xludf.DUMMYFUNCTION("""COMPUTED_VALUE"""),"นายวิเชฎฐ์ ติรัตนะประคม")</f>
        <v>นายวิเชฎฐ์ ติรัตนะประคม</v>
      </c>
      <c r="L1780" s="1" t="str">
        <f>IFERROR(__xludf.DUMMYFUNCTION("""COMPUTED_VALUE"""),"14 K.Wichet T.")</f>
        <v>14 K.Wichet T.</v>
      </c>
      <c r="M1780" s="1" t="str">
        <f>IFERROR(__xludf.DUMMYFUNCTION("""COMPUTED_VALUE"""),"061-417-6569 / 086-445-5636")</f>
        <v>061-417-6569 / 086-445-5636</v>
      </c>
      <c r="N1780" s="3">
        <f>IFERROR(__xludf.DUMMYFUNCTION("""COMPUTED_VALUE"""),22658.0)</f>
        <v>22658</v>
      </c>
      <c r="O1780" s="3" t="str">
        <f>IFERROR(__xludf.DUMMYFUNCTION("""COMPUTED_VALUE"""),"BCM ถ.วิรัชหงษ์หยก ภูเก็ต")</f>
        <v>BCM ถ.วิรัชหงษ์หยก ภูเก็ต</v>
      </c>
      <c r="P1780" s="4">
        <f>IFERROR(__xludf.DUMMYFUNCTION("""COMPUTED_VALUE"""),44616.0)</f>
        <v>44616</v>
      </c>
      <c r="Q1780" s="3" t="str">
        <f>IFERROR(__xludf.DUMMYFUNCTION("""COMPUTED_VALUE"""),"A")</f>
        <v>A</v>
      </c>
      <c r="R1780" s="3" t="str">
        <f>IFERROR(__xludf.DUMMYFUNCTION("""COMPUTED_VALUE"""),"Small Format")</f>
        <v>Small Format</v>
      </c>
      <c r="S1780" s="3" t="str">
        <f>IFERROR(__xludf.DUMMYFUNCTION("""COMPUTED_VALUE"""),"BCM")</f>
        <v>BCM</v>
      </c>
      <c r="T1780" s="3" t="str">
        <f>IFERROR(__xludf.DUMMYFUNCTION("""COMPUTED_VALUE"""),"#N/A")</f>
        <v>#N/A</v>
      </c>
      <c r="U1780" s="3" t="str">
        <f>IFERROR(__xludf.DUMMYFUNCTION("""COMPUTED_VALUE"""),"#N/A")</f>
        <v>#N/A</v>
      </c>
      <c r="V1780" s="3" t="str">
        <f>IFERROR(__xludf.DUMMYFUNCTION("""COMPUTED_VALUE"""),"N")</f>
        <v>N</v>
      </c>
      <c r="W1780" s="3">
        <f>IFERROR(__xludf.DUMMYFUNCTION("""COMPUTED_VALUE"""),210545.0)</f>
        <v>210545</v>
      </c>
      <c r="X1780" s="3" t="str">
        <f>IFERROR(__xludf.DUMMYFUNCTION("""COMPUTED_VALUE"""),"69/21 หมู่ที่7 ตำบลนาขา อำเภอหลังสวน จังหวัดชุมพร 86110")</f>
        <v>69/21 หมู่ที่7 ตำบลนาขา อำเภอหลังสวน จังหวัดชุมพร 86110</v>
      </c>
      <c r="Y1780" s="3"/>
      <c r="Z1780" s="3" t="str">
        <f>IFERROR(__xludf.DUMMYFUNCTION("""COMPUTED_VALUE"""),"นาขา")</f>
        <v>นาขา</v>
      </c>
      <c r="AA1780" s="3" t="str">
        <f>IFERROR(__xludf.DUMMYFUNCTION("""COMPUTED_VALUE"""),"หลังสวน")</f>
        <v>หลังสวน</v>
      </c>
      <c r="AB1780" s="3" t="str">
        <f>IFERROR(__xludf.DUMMYFUNCTION("""COMPUTED_VALUE"""),"ชุมพร")</f>
        <v>ชุมพร</v>
      </c>
      <c r="AC1780" s="3">
        <f>IFERROR(__xludf.DUMMYFUNCTION("""COMPUTED_VALUE"""),86110.0)</f>
        <v>86110</v>
      </c>
      <c r="AD1780" s="3">
        <f>IFERROR(__xludf.DUMMYFUNCTION("""COMPUTED_VALUE"""),10.0086317)</f>
        <v>10.0086317</v>
      </c>
      <c r="AE1780" s="3">
        <f>IFERROR(__xludf.DUMMYFUNCTION("""COMPUTED_VALUE"""),99.066418)</f>
        <v>99.066418</v>
      </c>
      <c r="AF1780" s="3" t="str">
        <f>IFERROR(__xludf.DUMMYFUNCTION("""COMPUTED_VALUE"""),"BCM เชลล์หลังสวน ชุมพร-22466")</f>
        <v>BCM เชลล์หลังสวน ชุมพร-22466</v>
      </c>
      <c r="AG1780" s="3" t="str">
        <f>IFERROR(__xludf.DUMMYFUNCTION("""COMPUTED_VALUE"""),"ใต้")</f>
        <v>ใต้</v>
      </c>
      <c r="AH1780" s="3" t="str">
        <f>IFERROR(__xludf.DUMMYFUNCTION("""COMPUTED_VALUE"""),"#N/A")</f>
        <v>#N/A</v>
      </c>
      <c r="AI1780" s="3" t="str">
        <f>IFERROR(__xludf.DUMMYFUNCTION("""COMPUTED_VALUE"""),"Out of warranty")</f>
        <v>Out of warranty</v>
      </c>
      <c r="AJ1780" s="3">
        <f>IFERROR(__xludf.DUMMYFUNCTION("""COMPUTED_VALUE"""),47.0)</f>
        <v>47</v>
      </c>
      <c r="AK1780" s="3" t="str">
        <f>IFERROR(__xludf.DUMMYFUNCTION("""COMPUTED_VALUE"""),"MMS14")</f>
        <v>MMS14</v>
      </c>
      <c r="AL1780" s="3"/>
    </row>
    <row r="1781" ht="15.75" customHeight="1">
      <c r="A1781" s="1" t="str">
        <f>IFERROR(__xludf.DUMMYFUNCTION("""COMPUTED_VALUE"""),"22467")</f>
        <v>22467</v>
      </c>
      <c r="B1781" s="2">
        <f>IFERROR(__xludf.DUMMYFUNCTION("""COMPUTED_VALUE"""),22467.0)</f>
        <v>22467</v>
      </c>
      <c r="C1781" s="3" t="str">
        <f>IFERROR(__xludf.DUMMYFUNCTION("""COMPUTED_VALUE"""),"MBC บ้านหัวฝาย เชียงราย")</f>
        <v>MBC บ้านหัวฝาย เชียงราย</v>
      </c>
      <c r="D1781" s="3" t="str">
        <f>IFERROR(__xludf.DUMMYFUNCTION("""COMPUTED_VALUE"""),"BCM BAN HUAFAI CHIANGRAI")</f>
        <v>BCM BAN HUAFAI CHIANGRAI</v>
      </c>
      <c r="E1781" s="1" t="str">
        <f>IFERROR(__xludf.DUMMYFUNCTION("""COMPUTED_VALUE"""),"บิ๊กซี MINI")</f>
        <v>บิ๊กซี MINI</v>
      </c>
      <c r="F1781" s="1" t="str">
        <f>IFERROR(__xludf.DUMMYFUNCTION("""COMPUTED_VALUE"""),"296229")</f>
        <v>296229</v>
      </c>
      <c r="G1781" s="1" t="str">
        <f>IFERROR(__xludf.DUMMYFUNCTION("""COMPUTED_VALUE"""),"นายทนงศักดิ์ บุญมา")</f>
        <v>นายทนงศักดิ์ บุญมา</v>
      </c>
      <c r="H1781" s="1" t="str">
        <f>IFERROR(__xludf.DUMMYFUNCTION("""COMPUTED_VALUE"""),"392585")</f>
        <v>392585</v>
      </c>
      <c r="I1781" s="1" t="str">
        <f>IFERROR(__xludf.DUMMYFUNCTION("""COMPUTED_VALUE"""),"นายไชยัณต์ ผิวขัวเรียง")</f>
        <v>นายไชยัณต์ ผิวขัวเรียง</v>
      </c>
      <c r="J1781" s="3">
        <f>IFERROR(__xludf.DUMMYFUNCTION("""COMPUTED_VALUE"""),2010016.0)</f>
        <v>2010016</v>
      </c>
      <c r="K1781" s="3" t="str">
        <f>IFERROR(__xludf.DUMMYFUNCTION("""COMPUTED_VALUE"""),"นายตวงธรรม ใหม่ยศ")</f>
        <v>นายตวงธรรม ใหม่ยศ</v>
      </c>
      <c r="L1781" s="1" t="str">
        <f>IFERROR(__xludf.DUMMYFUNCTION("""COMPUTED_VALUE"""),"01 K.Tuangtham M.")</f>
        <v>01 K.Tuangtham M.</v>
      </c>
      <c r="M1781" s="1" t="str">
        <f>IFERROR(__xludf.DUMMYFUNCTION("""COMPUTED_VALUE"""),"063-976-595")</f>
        <v>063-976-595</v>
      </c>
      <c r="N1781" s="3">
        <f>IFERROR(__xludf.DUMMYFUNCTION("""COMPUTED_VALUE"""),22574.0)</f>
        <v>22574</v>
      </c>
      <c r="O1781" s="3" t="str">
        <f>IFERROR(__xludf.DUMMYFUNCTION("""COMPUTED_VALUE"""),"BCM ชุมชนศรีชุม ลำปาง")</f>
        <v>BCM ชุมชนศรีชุม ลำปาง</v>
      </c>
      <c r="P1781" s="4">
        <f>IFERROR(__xludf.DUMMYFUNCTION("""COMPUTED_VALUE"""),44618.0)</f>
        <v>44618</v>
      </c>
      <c r="Q1781" s="3" t="str">
        <f>IFERROR(__xludf.DUMMYFUNCTION("""COMPUTED_VALUE"""),"A")</f>
        <v>A</v>
      </c>
      <c r="R1781" s="3" t="str">
        <f>IFERROR(__xludf.DUMMYFUNCTION("""COMPUTED_VALUE"""),"Small Format")</f>
        <v>Small Format</v>
      </c>
      <c r="S1781" s="3" t="str">
        <f>IFERROR(__xludf.DUMMYFUNCTION("""COMPUTED_VALUE"""),"BCM")</f>
        <v>BCM</v>
      </c>
      <c r="T1781" s="3" t="str">
        <f>IFERROR(__xludf.DUMMYFUNCTION("""COMPUTED_VALUE"""),"#N/A")</f>
        <v>#N/A</v>
      </c>
      <c r="U1781" s="3" t="str">
        <f>IFERROR(__xludf.DUMMYFUNCTION("""COMPUTED_VALUE"""),"#N/A")</f>
        <v>#N/A</v>
      </c>
      <c r="V1781" s="3" t="str">
        <f>IFERROR(__xludf.DUMMYFUNCTION("""COMPUTED_VALUE"""),"N")</f>
        <v>N</v>
      </c>
      <c r="W1781" s="3">
        <f>IFERROR(__xludf.DUMMYFUNCTION("""COMPUTED_VALUE"""),210542.0)</f>
        <v>210542</v>
      </c>
      <c r="X1781" s="3" t="str">
        <f>IFERROR(__xludf.DUMMYFUNCTION("""COMPUTED_VALUE"""),"106/3-6 หมู่ที่1 ตำบลรอบเวียง อำเภอเมืองเชียงราย จังหวัดเชียงราย 57000")</f>
        <v>106/3-6 หมู่ที่1 ตำบลรอบเวียง อำเภอเมืองเชียงราย จังหวัดเชียงราย 57000</v>
      </c>
      <c r="Y1781" s="3"/>
      <c r="Z1781" s="3" t="str">
        <f>IFERROR(__xludf.DUMMYFUNCTION("""COMPUTED_VALUE"""),"รอบเวียง")</f>
        <v>รอบเวียง</v>
      </c>
      <c r="AA1781" s="3" t="str">
        <f>IFERROR(__xludf.DUMMYFUNCTION("""COMPUTED_VALUE"""),"เมืองเชียงราย")</f>
        <v>เมืองเชียงราย</v>
      </c>
      <c r="AB1781" s="3" t="str">
        <f>IFERROR(__xludf.DUMMYFUNCTION("""COMPUTED_VALUE"""),"เชียงราย")</f>
        <v>เชียงราย</v>
      </c>
      <c r="AC1781" s="3">
        <f>IFERROR(__xludf.DUMMYFUNCTION("""COMPUTED_VALUE"""),57000.0)</f>
        <v>57000</v>
      </c>
      <c r="AD1781" s="3">
        <f>IFERROR(__xludf.DUMMYFUNCTION("""COMPUTED_VALUE"""),19.881436)</f>
        <v>19.881436</v>
      </c>
      <c r="AE1781" s="3">
        <f>IFERROR(__xludf.DUMMYFUNCTION("""COMPUTED_VALUE"""),99.797265)</f>
        <v>99.797265</v>
      </c>
      <c r="AF1781" s="3" t="str">
        <f>IFERROR(__xludf.DUMMYFUNCTION("""COMPUTED_VALUE"""),"MBC บ้านหัวฝาย เชียงราย-22467")</f>
        <v>MBC บ้านหัวฝาย เชียงราย-22467</v>
      </c>
      <c r="AG1781" s="3" t="str">
        <f>IFERROR(__xludf.DUMMYFUNCTION("""COMPUTED_VALUE"""),"เหนือ")</f>
        <v>เหนือ</v>
      </c>
      <c r="AH1781" s="3" t="str">
        <f>IFERROR(__xludf.DUMMYFUNCTION("""COMPUTED_VALUE"""),"#N/A")</f>
        <v>#N/A</v>
      </c>
      <c r="AI1781" s="3" t="str">
        <f>IFERROR(__xludf.DUMMYFUNCTION("""COMPUTED_VALUE"""),"Out of warranty")</f>
        <v>Out of warranty</v>
      </c>
      <c r="AJ1781" s="3">
        <f>IFERROR(__xludf.DUMMYFUNCTION("""COMPUTED_VALUE"""),47.0)</f>
        <v>47</v>
      </c>
      <c r="AK1781" s="3" t="str">
        <f>IFERROR(__xludf.DUMMYFUNCTION("""COMPUTED_VALUE"""),"MMS10")</f>
        <v>MMS10</v>
      </c>
      <c r="AL1781" s="3"/>
    </row>
    <row r="1782" ht="15.75" customHeight="1">
      <c r="A1782" s="1" t="str">
        <f>IFERROR(__xludf.DUMMYFUNCTION("""COMPUTED_VALUE"""),"22468")</f>
        <v>22468</v>
      </c>
      <c r="B1782" s="2">
        <f>IFERROR(__xludf.DUMMYFUNCTION("""COMPUTED_VALUE"""),22468.0)</f>
        <v>22468</v>
      </c>
      <c r="C1782" s="3" t="str">
        <f>IFERROR(__xludf.DUMMYFUNCTION("""COMPUTED_VALUE"""),"BCM CTX พานทอง ชลบุรี")</f>
        <v>BCM CTX พานทอง ชลบุรี</v>
      </c>
      <c r="D1782" s="3" t="str">
        <f>IFERROR(__xludf.DUMMYFUNCTION("""COMPUTED_VALUE"""),"BCM CALTEX PHANTHONG")</f>
        <v>BCM CALTEX PHANTHONG</v>
      </c>
      <c r="E1782" s="1" t="str">
        <f>IFERROR(__xludf.DUMMYFUNCTION("""COMPUTED_VALUE"""),"บิ๊กซี MINI")</f>
        <v>บิ๊กซี MINI</v>
      </c>
      <c r="F1782" s="1" t="str">
        <f>IFERROR(__xludf.DUMMYFUNCTION("""COMPUTED_VALUE"""),"221716")</f>
        <v>221716</v>
      </c>
      <c r="G1782" s="1" t="str">
        <f>IFERROR(__xludf.DUMMYFUNCTION("""COMPUTED_VALUE"""),"น.ส.เบญจพร โพธิสาร")</f>
        <v>น.ส.เบญจพร โพธิสาร</v>
      </c>
      <c r="H1782" s="1" t="str">
        <f>IFERROR(__xludf.DUMMYFUNCTION("""COMPUTED_VALUE"""),"2452265")</f>
        <v>2452265</v>
      </c>
      <c r="I1782" s="1" t="str">
        <f>IFERROR(__xludf.DUMMYFUNCTION("""COMPUTED_VALUE"""),"นายพิทยา จันทร์ประเทศ")</f>
        <v>นายพิทยา จันทร์ประเทศ</v>
      </c>
      <c r="J1782" s="3">
        <f>IFERROR(__xludf.DUMMYFUNCTION("""COMPUTED_VALUE"""),296942.0)</f>
        <v>296942</v>
      </c>
      <c r="K1782" s="3" t="str">
        <f>IFERROR(__xludf.DUMMYFUNCTION("""COMPUTED_VALUE"""),"นายปิยะ รักษากิจ")</f>
        <v>นายปิยะ รักษากิจ</v>
      </c>
      <c r="L1782" s="1" t="str">
        <f>IFERROR(__xludf.DUMMYFUNCTION("""COMPUTED_VALUE"""),"07 K.Piya R.")</f>
        <v>07 K.Piya R.</v>
      </c>
      <c r="M1782" s="1" t="str">
        <f>IFERROR(__xludf.DUMMYFUNCTION("""COMPUTED_VALUE"""),"097-919-5476")</f>
        <v>097-919-5476</v>
      </c>
      <c r="N1782" s="3">
        <f>IFERROR(__xludf.DUMMYFUNCTION("""COMPUTED_VALUE"""),21332.0)</f>
        <v>21332</v>
      </c>
      <c r="O1782" s="3" t="str">
        <f>IFERROR(__xludf.DUMMYFUNCTION("""COMPUTED_VALUE"""),"MBC BCP อ่อนนุช 17/1")</f>
        <v>MBC BCP อ่อนนุช 17/1</v>
      </c>
      <c r="P1782" s="4">
        <f>IFERROR(__xludf.DUMMYFUNCTION("""COMPUTED_VALUE"""),44618.0)</f>
        <v>44618</v>
      </c>
      <c r="Q1782" s="3" t="str">
        <f>IFERROR(__xludf.DUMMYFUNCTION("""COMPUTED_VALUE"""),"A")</f>
        <v>A</v>
      </c>
      <c r="R1782" s="3" t="str">
        <f>IFERROR(__xludf.DUMMYFUNCTION("""COMPUTED_VALUE"""),"Small Format")</f>
        <v>Small Format</v>
      </c>
      <c r="S1782" s="3" t="str">
        <f>IFERROR(__xludf.DUMMYFUNCTION("""COMPUTED_VALUE"""),"BCM")</f>
        <v>BCM</v>
      </c>
      <c r="T1782" s="3" t="str">
        <f>IFERROR(__xludf.DUMMYFUNCTION("""COMPUTED_VALUE"""),"#N/A")</f>
        <v>#N/A</v>
      </c>
      <c r="U1782" s="3" t="str">
        <f>IFERROR(__xludf.DUMMYFUNCTION("""COMPUTED_VALUE"""),"#N/A")</f>
        <v>#N/A</v>
      </c>
      <c r="V1782" s="3" t="str">
        <f>IFERROR(__xludf.DUMMYFUNCTION("""COMPUTED_VALUE"""),"N")</f>
        <v>N</v>
      </c>
      <c r="W1782" s="3">
        <f>IFERROR(__xludf.DUMMYFUNCTION("""COMPUTED_VALUE"""),210544.0)</f>
        <v>210544</v>
      </c>
      <c r="X1782" s="3" t="str">
        <f>IFERROR(__xludf.DUMMYFUNCTION("""COMPUTED_VALUE"""),"181/1 หมู่ที่3 ตำบลบ้านเก่า อำเภอพานทอง จังหวัดชลบุรี 20160")</f>
        <v>181/1 หมู่ที่3 ตำบลบ้านเก่า อำเภอพานทอง จังหวัดชลบุรี 20160</v>
      </c>
      <c r="Y1782" s="3"/>
      <c r="Z1782" s="3" t="str">
        <f>IFERROR(__xludf.DUMMYFUNCTION("""COMPUTED_VALUE"""),"บ้านเก่า")</f>
        <v>บ้านเก่า</v>
      </c>
      <c r="AA1782" s="3" t="str">
        <f>IFERROR(__xludf.DUMMYFUNCTION("""COMPUTED_VALUE"""),"พานทอง")</f>
        <v>พานทอง</v>
      </c>
      <c r="AB1782" s="3" t="str">
        <f>IFERROR(__xludf.DUMMYFUNCTION("""COMPUTED_VALUE"""),"ชลบุรี")</f>
        <v>ชลบุรี</v>
      </c>
      <c r="AC1782" s="3">
        <f>IFERROR(__xludf.DUMMYFUNCTION("""COMPUTED_VALUE"""),20160.0)</f>
        <v>20160</v>
      </c>
      <c r="AD1782" s="3">
        <f>IFERROR(__xludf.DUMMYFUNCTION("""COMPUTED_VALUE"""),13.459228)</f>
        <v>13.459228</v>
      </c>
      <c r="AE1782" s="3">
        <f>IFERROR(__xludf.DUMMYFUNCTION("""COMPUTED_VALUE"""),101.068256)</f>
        <v>101.068256</v>
      </c>
      <c r="AF1782" s="3" t="str">
        <f>IFERROR(__xludf.DUMMYFUNCTION("""COMPUTED_VALUE"""),"BCM CTX พานทอง ชลบุรี-22468")</f>
        <v>BCM CTX พานทอง ชลบุรี-22468</v>
      </c>
      <c r="AG1782" s="3" t="str">
        <f>IFERROR(__xludf.DUMMYFUNCTION("""COMPUTED_VALUE"""),"ตะวันออก")</f>
        <v>ตะวันออก</v>
      </c>
      <c r="AH1782" s="3" t="str">
        <f>IFERROR(__xludf.DUMMYFUNCTION("""COMPUTED_VALUE"""),"#N/A")</f>
        <v>#N/A</v>
      </c>
      <c r="AI1782" s="3" t="str">
        <f>IFERROR(__xludf.DUMMYFUNCTION("""COMPUTED_VALUE"""),"Out of warranty")</f>
        <v>Out of warranty</v>
      </c>
      <c r="AJ1782" s="3">
        <f>IFERROR(__xludf.DUMMYFUNCTION("""COMPUTED_VALUE"""),47.0)</f>
        <v>47</v>
      </c>
      <c r="AK1782" s="3" t="str">
        <f>IFERROR(__xludf.DUMMYFUNCTION("""COMPUTED_VALUE"""),"MMS07")</f>
        <v>MMS07</v>
      </c>
      <c r="AL1782" s="3"/>
    </row>
    <row r="1783" ht="15.75" customHeight="1">
      <c r="A1783" s="1" t="str">
        <f>IFERROR(__xludf.DUMMYFUNCTION("""COMPUTED_VALUE"""),"22469")</f>
        <v>22469</v>
      </c>
      <c r="B1783" s="2">
        <f>IFERROR(__xludf.DUMMYFUNCTION("""COMPUTED_VALUE"""),22469.0)</f>
        <v>22469</v>
      </c>
      <c r="C1783" s="3" t="str">
        <f>IFERROR(__xludf.DUMMYFUNCTION("""COMPUTED_VALUE"""),"MBC เอกทวีคูณ สมุทรสาคร")</f>
        <v>MBC เอกทวีคูณ สมุทรสาคร</v>
      </c>
      <c r="D1783" s="3" t="str">
        <f>IFERROR(__xludf.DUMMYFUNCTION("""COMPUTED_VALUE"""),"BCM EK THAWI KHUN SAMUTSAKHON")</f>
        <v>BCM EK THAWI KHUN SAMUTSAKHON</v>
      </c>
      <c r="E1783" s="1" t="str">
        <f>IFERROR(__xludf.DUMMYFUNCTION("""COMPUTED_VALUE"""),"บิ๊กซี MINI")</f>
        <v>บิ๊กซี MINI</v>
      </c>
      <c r="F1783" s="1" t="str">
        <f>IFERROR(__xludf.DUMMYFUNCTION("""COMPUTED_VALUE"""),"2083447")</f>
        <v>2083447</v>
      </c>
      <c r="G1783" s="1" t="str">
        <f>IFERROR(__xludf.DUMMYFUNCTION("""COMPUTED_VALUE"""),"นายอนุกูล ศรีลัดดา")</f>
        <v>นายอนุกูล ศรีลัดดา</v>
      </c>
      <c r="H1783" s="1" t="str">
        <f>IFERROR(__xludf.DUMMYFUNCTION("""COMPUTED_VALUE"""),"379022")</f>
        <v>379022</v>
      </c>
      <c r="I1783" s="1" t="str">
        <f>IFERROR(__xludf.DUMMYFUNCTION("""COMPUTED_VALUE"""),"นายพันธ์เทพ นุชเนตร")</f>
        <v>นายพันธ์เทพ นุชเนตร</v>
      </c>
      <c r="J1783" s="3">
        <f>IFERROR(__xludf.DUMMYFUNCTION("""COMPUTED_VALUE"""),2451655.0)</f>
        <v>2451655</v>
      </c>
      <c r="K1783" s="3" t="str">
        <f>IFERROR(__xludf.DUMMYFUNCTION("""COMPUTED_VALUE"""),"นายวิษณุพงษ์ ชินบุตร")</f>
        <v>นายวิษณุพงษ์ ชินบุตร</v>
      </c>
      <c r="L1783" s="1" t="str">
        <f>IFERROR(__xludf.DUMMYFUNCTION("""COMPUTED_VALUE"""),"13 K.Wisanupong Ch")</f>
        <v>13 K.Wisanupong Ch</v>
      </c>
      <c r="M1783" s="1" t="str">
        <f>IFERROR(__xludf.DUMMYFUNCTION("""COMPUTED_VALUE"""),"0843374693")</f>
        <v>0843374693</v>
      </c>
      <c r="N1783" s="3">
        <f>IFERROR(__xludf.DUMMYFUNCTION("""COMPUTED_VALUE"""),21013.0)</f>
        <v>21013</v>
      </c>
      <c r="O1783" s="3" t="str">
        <f>IFERROR(__xludf.DUMMYFUNCTION("""COMPUTED_VALUE"""),"MBC รังสิตคลอง2")</f>
        <v>MBC รังสิตคลอง2</v>
      </c>
      <c r="P1783" s="4">
        <f>IFERROR(__xludf.DUMMYFUNCTION("""COMPUTED_VALUE"""),44640.0)</f>
        <v>44640</v>
      </c>
      <c r="Q1783" s="3" t="str">
        <f>IFERROR(__xludf.DUMMYFUNCTION("""COMPUTED_VALUE"""),"I")</f>
        <v>I</v>
      </c>
      <c r="R1783" s="3" t="str">
        <f>IFERROR(__xludf.DUMMYFUNCTION("""COMPUTED_VALUE"""),"Small Format")</f>
        <v>Small Format</v>
      </c>
      <c r="S1783" s="3" t="str">
        <f>IFERROR(__xludf.DUMMYFUNCTION("""COMPUTED_VALUE"""),"BCM")</f>
        <v>BCM</v>
      </c>
      <c r="T1783" s="3" t="str">
        <f>IFERROR(__xludf.DUMMYFUNCTION("""COMPUTED_VALUE"""),"#N/A")</f>
        <v>#N/A</v>
      </c>
      <c r="U1783" s="3" t="str">
        <f>IFERROR(__xludf.DUMMYFUNCTION("""COMPUTED_VALUE"""),"#N/A")</f>
        <v>#N/A</v>
      </c>
      <c r="V1783" s="3" t="str">
        <f>IFERROR(__xludf.DUMMYFUNCTION("""COMPUTED_VALUE"""),"N")</f>
        <v>N</v>
      </c>
      <c r="W1783" s="3">
        <f>IFERROR(__xludf.DUMMYFUNCTION("""COMPUTED_VALUE"""),210534.0)</f>
        <v>210534</v>
      </c>
      <c r="X1783" s="3" t="str">
        <f>IFERROR(__xludf.DUMMYFUNCTION("""COMPUTED_VALUE"""),"99/497 หมู่ที่6 ตำบลท่าทราย อำเภอเมืองสมุทรสาคร จังหวัดสมุทรสาคร 74000")</f>
        <v>99/497 หมู่ที่6 ตำบลท่าทราย อำเภอเมืองสมุทรสาคร จังหวัดสมุทรสาคร 74000</v>
      </c>
      <c r="Y1783" s="3"/>
      <c r="Z1783" s="3" t="str">
        <f>IFERROR(__xludf.DUMMYFUNCTION("""COMPUTED_VALUE"""),"ท่าทราย")</f>
        <v>ท่าทราย</v>
      </c>
      <c r="AA1783" s="3" t="str">
        <f>IFERROR(__xludf.DUMMYFUNCTION("""COMPUTED_VALUE"""),"เมืองสมุทรสาคร")</f>
        <v>เมืองสมุทรสาคร</v>
      </c>
      <c r="AB1783" s="3" t="str">
        <f>IFERROR(__xludf.DUMMYFUNCTION("""COMPUTED_VALUE"""),"สมุทรสาคร")</f>
        <v>สมุทรสาคร</v>
      </c>
      <c r="AC1783" s="3">
        <f>IFERROR(__xludf.DUMMYFUNCTION("""COMPUTED_VALUE"""),74000.0)</f>
        <v>74000</v>
      </c>
      <c r="AD1783" s="3">
        <f>IFERROR(__xludf.DUMMYFUNCTION("""COMPUTED_VALUE"""),13.571013)</f>
        <v>13.571013</v>
      </c>
      <c r="AE1783" s="3">
        <f>IFERROR(__xludf.DUMMYFUNCTION("""COMPUTED_VALUE"""),100.250192)</f>
        <v>100.250192</v>
      </c>
      <c r="AF1783" s="3" t="str">
        <f>IFERROR(__xludf.DUMMYFUNCTION("""COMPUTED_VALUE"""),"MBC เอกทวีคูณ สมุทรสาคร-22469")</f>
        <v>MBC เอกทวีคูณ สมุทรสาคร-22469</v>
      </c>
      <c r="AG1783" s="3" t="str">
        <f>IFERROR(__xludf.DUMMYFUNCTION("""COMPUTED_VALUE"""),"กลาง")</f>
        <v>กลาง</v>
      </c>
      <c r="AH1783" s="3" t="str">
        <f>IFERROR(__xludf.DUMMYFUNCTION("""COMPUTED_VALUE"""),"#N/A")</f>
        <v>#N/A</v>
      </c>
      <c r="AI1783" s="3" t="str">
        <f>IFERROR(__xludf.DUMMYFUNCTION("""COMPUTED_VALUE"""),"Out of warranty")</f>
        <v>Out of warranty</v>
      </c>
      <c r="AJ1783" s="3">
        <f>IFERROR(__xludf.DUMMYFUNCTION("""COMPUTED_VALUE"""),47.0)</f>
        <v>47</v>
      </c>
      <c r="AK1783" s="3" t="str">
        <f>IFERROR(__xludf.DUMMYFUNCTION("""COMPUTED_VALUE"""),"MMS05")</f>
        <v>MMS05</v>
      </c>
      <c r="AL1783" s="3"/>
    </row>
    <row r="1784" ht="15.75" customHeight="1">
      <c r="A1784" s="1" t="str">
        <f>IFERROR(__xludf.DUMMYFUNCTION("""COMPUTED_VALUE"""),"22470")</f>
        <v>22470</v>
      </c>
      <c r="B1784" s="2">
        <f>IFERROR(__xludf.DUMMYFUNCTION("""COMPUTED_VALUE"""),22470.0)</f>
        <v>22470</v>
      </c>
      <c r="C1784" s="3" t="str">
        <f>IFERROR(__xludf.DUMMYFUNCTION("""COMPUTED_VALUE"""),"MBC หนองผึ้ง เชียงใหม่")</f>
        <v>MBC หนองผึ้ง เชียงใหม่</v>
      </c>
      <c r="D1784" s="3" t="str">
        <f>IFERROR(__xludf.DUMMYFUNCTION("""COMPUTED_VALUE"""),"BCM NONG PHUENG CHAINGMAI")</f>
        <v>BCM NONG PHUENG CHAINGMAI</v>
      </c>
      <c r="E1784" s="1" t="str">
        <f>IFERROR(__xludf.DUMMYFUNCTION("""COMPUTED_VALUE"""),"บิ๊กซี MINI")</f>
        <v>บิ๊กซี MINI</v>
      </c>
      <c r="F1784" s="1" t="str">
        <f>IFERROR(__xludf.DUMMYFUNCTION("""COMPUTED_VALUE"""),"296229")</f>
        <v>296229</v>
      </c>
      <c r="G1784" s="1" t="str">
        <f>IFERROR(__xludf.DUMMYFUNCTION("""COMPUTED_VALUE"""),"นายทนงศักดิ์ บุญมา")</f>
        <v>นายทนงศักดิ์ บุญมา</v>
      </c>
      <c r="H1784" s="1" t="str">
        <f>IFERROR(__xludf.DUMMYFUNCTION("""COMPUTED_VALUE"""),"393402")</f>
        <v>393402</v>
      </c>
      <c r="I1784" s="1" t="str">
        <f>IFERROR(__xludf.DUMMYFUNCTION("""COMPUTED_VALUE"""),"น.ส.ปารมิตา ใจตรง")</f>
        <v>น.ส.ปารมิตา ใจตรง</v>
      </c>
      <c r="J1784" s="3">
        <f>IFERROR(__xludf.DUMMYFUNCTION("""COMPUTED_VALUE"""),2010016.0)</f>
        <v>2010016</v>
      </c>
      <c r="K1784" s="3" t="str">
        <f>IFERROR(__xludf.DUMMYFUNCTION("""COMPUTED_VALUE"""),"นายตวงธรรม ใหม่ยศ")</f>
        <v>นายตวงธรรม ใหม่ยศ</v>
      </c>
      <c r="L1784" s="1" t="str">
        <f>IFERROR(__xludf.DUMMYFUNCTION("""COMPUTED_VALUE"""),"01 K.Tuangtham M.")</f>
        <v>01 K.Tuangtham M.</v>
      </c>
      <c r="M1784" s="1" t="str">
        <f>IFERROR(__xludf.DUMMYFUNCTION("""COMPUTED_VALUE"""),"063-976-595")</f>
        <v>063-976-595</v>
      </c>
      <c r="N1784" s="3">
        <f>IFERROR(__xludf.DUMMYFUNCTION("""COMPUTED_VALUE"""),22574.0)</f>
        <v>22574</v>
      </c>
      <c r="O1784" s="3" t="str">
        <f>IFERROR(__xludf.DUMMYFUNCTION("""COMPUTED_VALUE"""),"BCM ชุมชนศรีชุม ลำปาง")</f>
        <v>BCM ชุมชนศรีชุม ลำปาง</v>
      </c>
      <c r="P1784" s="4">
        <f>IFERROR(__xludf.DUMMYFUNCTION("""COMPUTED_VALUE"""),44648.0)</f>
        <v>44648</v>
      </c>
      <c r="Q1784" s="3" t="str">
        <f>IFERROR(__xludf.DUMMYFUNCTION("""COMPUTED_VALUE"""),"A")</f>
        <v>A</v>
      </c>
      <c r="R1784" s="3" t="str">
        <f>IFERROR(__xludf.DUMMYFUNCTION("""COMPUTED_VALUE"""),"Small Format")</f>
        <v>Small Format</v>
      </c>
      <c r="S1784" s="3" t="str">
        <f>IFERROR(__xludf.DUMMYFUNCTION("""COMPUTED_VALUE"""),"BCM")</f>
        <v>BCM</v>
      </c>
      <c r="T1784" s="3" t="str">
        <f>IFERROR(__xludf.DUMMYFUNCTION("""COMPUTED_VALUE"""),"#N/A")</f>
        <v>#N/A</v>
      </c>
      <c r="U1784" s="3" t="str">
        <f>IFERROR(__xludf.DUMMYFUNCTION("""COMPUTED_VALUE"""),"#N/A")</f>
        <v>#N/A</v>
      </c>
      <c r="V1784" s="3" t="str">
        <f>IFERROR(__xludf.DUMMYFUNCTION("""COMPUTED_VALUE"""),"N")</f>
        <v>N</v>
      </c>
      <c r="W1784" s="3">
        <f>IFERROR(__xludf.DUMMYFUNCTION("""COMPUTED_VALUE"""),210420.0)</f>
        <v>210420</v>
      </c>
      <c r="X1784" s="3" t="str">
        <f>IFERROR(__xludf.DUMMYFUNCTION("""COMPUTED_VALUE"""),"45 หมู่ที่1 ตำบลหนองผึ้ง อำเภอสารภี จังหวัดเชียงใหม่ 50140")</f>
        <v>45 หมู่ที่1 ตำบลหนองผึ้ง อำเภอสารภี จังหวัดเชียงใหม่ 50140</v>
      </c>
      <c r="Y1784" s="3"/>
      <c r="Z1784" s="3" t="str">
        <f>IFERROR(__xludf.DUMMYFUNCTION("""COMPUTED_VALUE"""),"หนองผึ่ง")</f>
        <v>หนองผึ่ง</v>
      </c>
      <c r="AA1784" s="3" t="str">
        <f>IFERROR(__xludf.DUMMYFUNCTION("""COMPUTED_VALUE"""),"สารภี")</f>
        <v>สารภี</v>
      </c>
      <c r="AB1784" s="3" t="str">
        <f>IFERROR(__xludf.DUMMYFUNCTION("""COMPUTED_VALUE"""),"เชียงใหม่")</f>
        <v>เชียงใหม่</v>
      </c>
      <c r="AC1784" s="3">
        <f>IFERROR(__xludf.DUMMYFUNCTION("""COMPUTED_VALUE"""),50140.0)</f>
        <v>50140</v>
      </c>
      <c r="AD1784" s="3">
        <f>IFERROR(__xludf.DUMMYFUNCTION("""COMPUTED_VALUE"""),18.746994)</f>
        <v>18.746994</v>
      </c>
      <c r="AE1784" s="3">
        <f>IFERROR(__xludf.DUMMYFUNCTION("""COMPUTED_VALUE"""),99.01221)</f>
        <v>99.01221</v>
      </c>
      <c r="AF1784" s="3" t="str">
        <f>IFERROR(__xludf.DUMMYFUNCTION("""COMPUTED_VALUE"""),"MBC หนองผึ้ง เชียงใหม่-22470")</f>
        <v>MBC หนองผึ้ง เชียงใหม่-22470</v>
      </c>
      <c r="AG1784" s="3" t="str">
        <f>IFERROR(__xludf.DUMMYFUNCTION("""COMPUTED_VALUE"""),"เหนือ")</f>
        <v>เหนือ</v>
      </c>
      <c r="AH1784" s="3" t="str">
        <f>IFERROR(__xludf.DUMMYFUNCTION("""COMPUTED_VALUE"""),"#N/A")</f>
        <v>#N/A</v>
      </c>
      <c r="AI1784" s="3" t="str">
        <f>IFERROR(__xludf.DUMMYFUNCTION("""COMPUTED_VALUE"""),"Out of warranty")</f>
        <v>Out of warranty</v>
      </c>
      <c r="AJ1784" s="3">
        <f>IFERROR(__xludf.DUMMYFUNCTION("""COMPUTED_VALUE"""),46.0)</f>
        <v>46</v>
      </c>
      <c r="AK1784" s="3" t="str">
        <f>IFERROR(__xludf.DUMMYFUNCTION("""COMPUTED_VALUE"""),"MMS10")</f>
        <v>MMS10</v>
      </c>
      <c r="AL1784" s="3"/>
    </row>
    <row r="1785" ht="15.75" customHeight="1">
      <c r="A1785" s="1" t="str">
        <f>IFERROR(__xludf.DUMMYFUNCTION("""COMPUTED_VALUE"""),"22471")</f>
        <v>22471</v>
      </c>
      <c r="B1785" s="2">
        <f>IFERROR(__xludf.DUMMYFUNCTION("""COMPUTED_VALUE"""),22471.0)</f>
        <v>22471</v>
      </c>
      <c r="C1785" s="3" t="str">
        <f>IFERROR(__xludf.DUMMYFUNCTION("""COMPUTED_VALUE"""),"MBC ตลาดนัดนาวง นครศรีธรรมราช")</f>
        <v>MBC ตลาดนัดนาวง นครศรีธรรมราช</v>
      </c>
      <c r="D1785" s="3" t="str">
        <f>IFERROR(__xludf.DUMMYFUNCTION("""COMPUTED_VALUE"""),"BCM TALAD NUD NAWONG")</f>
        <v>BCM TALAD NUD NAWONG</v>
      </c>
      <c r="E1785" s="1" t="str">
        <f>IFERROR(__xludf.DUMMYFUNCTION("""COMPUTED_VALUE"""),"บิ๊กซี MINI")</f>
        <v>บิ๊กซี MINI</v>
      </c>
      <c r="F1785" s="1" t="str">
        <f>IFERROR(__xludf.DUMMYFUNCTION("""COMPUTED_VALUE"""),"250760")</f>
        <v>250760</v>
      </c>
      <c r="G1785" s="1" t="str">
        <f>IFERROR(__xludf.DUMMYFUNCTION("""COMPUTED_VALUE"""),"นายประทวน สาราบรรณ์")</f>
        <v>นายประทวน สาราบรรณ์</v>
      </c>
      <c r="H1785" s="1" t="str">
        <f>IFERROR(__xludf.DUMMYFUNCTION("""COMPUTED_VALUE"""),"394143")</f>
        <v>394143</v>
      </c>
      <c r="I1785" s="1" t="str">
        <f>IFERROR(__xludf.DUMMYFUNCTION("""COMPUTED_VALUE"""),"นายวิษณุ เพชรหัตถ์")</f>
        <v>นายวิษณุ เพชรหัตถ์</v>
      </c>
      <c r="J1785" s="3">
        <f>IFERROR(__xludf.DUMMYFUNCTION("""COMPUTED_VALUE"""),2.0470331E7)</f>
        <v>20470331</v>
      </c>
      <c r="K1785" s="3" t="str">
        <f>IFERROR(__xludf.DUMMYFUNCTION("""COMPUTED_VALUE"""),"นายสมชาย ลักษณะสุวรรณ")</f>
        <v>นายสมชาย ลักษณะสุวรรณ</v>
      </c>
      <c r="L1785" s="1" t="str">
        <f>IFERROR(__xludf.DUMMYFUNCTION("""COMPUTED_VALUE"""),"15 K.Somchai L")</f>
        <v>15 K.Somchai L</v>
      </c>
      <c r="M1785" s="1" t="str">
        <f>IFERROR(__xludf.DUMMYFUNCTION("""COMPUTED_VALUE"""),"0655107372")</f>
        <v>0655107372</v>
      </c>
      <c r="N1785" s="3">
        <f>IFERROR(__xludf.DUMMYFUNCTION("""COMPUTED_VALUE"""),21723.0)</f>
        <v>21723</v>
      </c>
      <c r="O1785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85" s="4">
        <f>IFERROR(__xludf.DUMMYFUNCTION("""COMPUTED_VALUE"""),44651.0)</f>
        <v>44651</v>
      </c>
      <c r="Q1785" s="3" t="str">
        <f>IFERROR(__xludf.DUMMYFUNCTION("""COMPUTED_VALUE"""),"A")</f>
        <v>A</v>
      </c>
      <c r="R1785" s="3" t="str">
        <f>IFERROR(__xludf.DUMMYFUNCTION("""COMPUTED_VALUE"""),"Small Format")</f>
        <v>Small Format</v>
      </c>
      <c r="S1785" s="3" t="str">
        <f>IFERROR(__xludf.DUMMYFUNCTION("""COMPUTED_VALUE"""),"BCM")</f>
        <v>BCM</v>
      </c>
      <c r="T1785" s="3" t="str">
        <f>IFERROR(__xludf.DUMMYFUNCTION("""COMPUTED_VALUE"""),"#N/A")</f>
        <v>#N/A</v>
      </c>
      <c r="U1785" s="3" t="str">
        <f>IFERROR(__xludf.DUMMYFUNCTION("""COMPUTED_VALUE"""),"#N/A")</f>
        <v>#N/A</v>
      </c>
      <c r="V1785" s="3" t="str">
        <f>IFERROR(__xludf.DUMMYFUNCTION("""COMPUTED_VALUE"""),"N")</f>
        <v>N</v>
      </c>
      <c r="W1785" s="3">
        <f>IFERROR(__xludf.DUMMYFUNCTION("""COMPUTED_VALUE"""),210528.0)</f>
        <v>210528</v>
      </c>
      <c r="X1785" s="3" t="str">
        <f>IFERROR(__xludf.DUMMYFUNCTION("""COMPUTED_VALUE"""),"74/2 หมู่ที่2 ตำบลท่าซัก อำเภอเมืองนครศรีธรรมราช จังหวัดนครศรีธรรมราช 80000")</f>
        <v>74/2 หมู่ที่2 ตำบลท่าซัก อำเภอเมืองนครศรีธรรมราช จังหวัดนครศรีธรรมราช 80000</v>
      </c>
      <c r="Y1785" s="3"/>
      <c r="Z1785" s="3" t="str">
        <f>IFERROR(__xludf.DUMMYFUNCTION("""COMPUTED_VALUE"""),"ท่าซัก")</f>
        <v>ท่าซัก</v>
      </c>
      <c r="AA1785" s="3" t="str">
        <f>IFERROR(__xludf.DUMMYFUNCTION("""COMPUTED_VALUE"""),"เมืองนครศรีธรรมราช")</f>
        <v>เมืองนครศรีธรรมราช</v>
      </c>
      <c r="AB1785" s="3" t="str">
        <f>IFERROR(__xludf.DUMMYFUNCTION("""COMPUTED_VALUE"""),"นครศรีธรรมราช")</f>
        <v>นครศรีธรรมราช</v>
      </c>
      <c r="AC1785" s="3">
        <f>IFERROR(__xludf.DUMMYFUNCTION("""COMPUTED_VALUE"""),80000.0)</f>
        <v>80000</v>
      </c>
      <c r="AD1785" s="3">
        <f>IFERROR(__xludf.DUMMYFUNCTION("""COMPUTED_VALUE"""),8.458388)</f>
        <v>8.458388</v>
      </c>
      <c r="AE1785" s="3">
        <f>IFERROR(__xludf.DUMMYFUNCTION("""COMPUTED_VALUE"""),99.993779)</f>
        <v>99.993779</v>
      </c>
      <c r="AF1785" s="3" t="str">
        <f>IFERROR(__xludf.DUMMYFUNCTION("""COMPUTED_VALUE"""),"MBC ตลาดนัดนาวง นครศรีธรรมราช-22471")</f>
        <v>MBC ตลาดนัดนาวง นครศรีธรรมราช-22471</v>
      </c>
      <c r="AG1785" s="3" t="str">
        <f>IFERROR(__xludf.DUMMYFUNCTION("""COMPUTED_VALUE"""),"ใต้")</f>
        <v>ใต้</v>
      </c>
      <c r="AH1785" s="3" t="str">
        <f>IFERROR(__xludf.DUMMYFUNCTION("""COMPUTED_VALUE"""),"#N/A")</f>
        <v>#N/A</v>
      </c>
      <c r="AI1785" s="3" t="str">
        <f>IFERROR(__xludf.DUMMYFUNCTION("""COMPUTED_VALUE"""),"Out of warranty")</f>
        <v>Out of warranty</v>
      </c>
      <c r="AJ1785" s="3">
        <f>IFERROR(__xludf.DUMMYFUNCTION("""COMPUTED_VALUE"""),46.0)</f>
        <v>46</v>
      </c>
      <c r="AK1785" s="3" t="str">
        <f>IFERROR(__xludf.DUMMYFUNCTION("""COMPUTED_VALUE"""),"MMS15")</f>
        <v>MMS15</v>
      </c>
      <c r="AL1785" s="3"/>
    </row>
    <row r="1786" ht="15.75" customHeight="1">
      <c r="A1786" s="1" t="str">
        <f>IFERROR(__xludf.DUMMYFUNCTION("""COMPUTED_VALUE"""),"22472")</f>
        <v>22472</v>
      </c>
      <c r="B1786" s="2">
        <f>IFERROR(__xludf.DUMMYFUNCTION("""COMPUTED_VALUE"""),22472.0)</f>
        <v>22472</v>
      </c>
      <c r="C1786" s="3" t="str">
        <f>IFERROR(__xludf.DUMMYFUNCTION("""COMPUTED_VALUE"""),"MBC ศูนย์ราชการ พะเยา")</f>
        <v>MBC ศูนย์ราชการ พะเยา</v>
      </c>
      <c r="D1786" s="3" t="str">
        <f>IFERROR(__xludf.DUMMYFUNCTION("""COMPUTED_VALUE"""),"BCM GOVERNMENT CENTER PHA YAO")</f>
        <v>BCM GOVERNMENT CENTER PHA YAO</v>
      </c>
      <c r="E1786" s="1" t="str">
        <f>IFERROR(__xludf.DUMMYFUNCTION("""COMPUTED_VALUE"""),"บิ๊กซี MINI")</f>
        <v>บิ๊กซี MINI</v>
      </c>
      <c r="F1786" s="1" t="str">
        <f>IFERROR(__xludf.DUMMYFUNCTION("""COMPUTED_VALUE"""),"296229")</f>
        <v>296229</v>
      </c>
      <c r="G1786" s="1" t="str">
        <f>IFERROR(__xludf.DUMMYFUNCTION("""COMPUTED_VALUE"""),"นายทนงศักดิ์ บุญมา")</f>
        <v>นายทนงศักดิ์ บุญมา</v>
      </c>
      <c r="H1786" s="1" t="str">
        <f>IFERROR(__xludf.DUMMYFUNCTION("""COMPUTED_VALUE"""),"392585")</f>
        <v>392585</v>
      </c>
      <c r="I1786" s="1" t="str">
        <f>IFERROR(__xludf.DUMMYFUNCTION("""COMPUTED_VALUE"""),"นายไชยัณต์ ผิวขัวเรียง")</f>
        <v>นายไชยัณต์ ผิวขัวเรียง</v>
      </c>
      <c r="J1786" s="3">
        <f>IFERROR(__xludf.DUMMYFUNCTION("""COMPUTED_VALUE"""),2010016.0)</f>
        <v>2010016</v>
      </c>
      <c r="K1786" s="3" t="str">
        <f>IFERROR(__xludf.DUMMYFUNCTION("""COMPUTED_VALUE"""),"นายตวงธรรม ใหม่ยศ")</f>
        <v>นายตวงธรรม ใหม่ยศ</v>
      </c>
      <c r="L1786" s="1" t="str">
        <f>IFERROR(__xludf.DUMMYFUNCTION("""COMPUTED_VALUE"""),"01 K.Tuangtham M.")</f>
        <v>01 K.Tuangtham M.</v>
      </c>
      <c r="M1786" s="1" t="str">
        <f>IFERROR(__xludf.DUMMYFUNCTION("""COMPUTED_VALUE"""),"063-976-595")</f>
        <v>063-976-595</v>
      </c>
      <c r="N1786" s="3">
        <f>IFERROR(__xludf.DUMMYFUNCTION("""COMPUTED_VALUE"""),22574.0)</f>
        <v>22574</v>
      </c>
      <c r="O1786" s="3" t="str">
        <f>IFERROR(__xludf.DUMMYFUNCTION("""COMPUTED_VALUE"""),"BCM ชุมชนศรีชุม ลำปาง")</f>
        <v>BCM ชุมชนศรีชุม ลำปาง</v>
      </c>
      <c r="P1786" s="4">
        <f>IFERROR(__xludf.DUMMYFUNCTION("""COMPUTED_VALUE"""),44637.0)</f>
        <v>44637</v>
      </c>
      <c r="Q1786" s="3" t="str">
        <f>IFERROR(__xludf.DUMMYFUNCTION("""COMPUTED_VALUE"""),"A")</f>
        <v>A</v>
      </c>
      <c r="R1786" s="3" t="str">
        <f>IFERROR(__xludf.DUMMYFUNCTION("""COMPUTED_VALUE"""),"Small Format")</f>
        <v>Small Format</v>
      </c>
      <c r="S1786" s="3" t="str">
        <f>IFERROR(__xludf.DUMMYFUNCTION("""COMPUTED_VALUE"""),"BCM")</f>
        <v>BCM</v>
      </c>
      <c r="T1786" s="3" t="str">
        <f>IFERROR(__xludf.DUMMYFUNCTION("""COMPUTED_VALUE"""),"#N/A")</f>
        <v>#N/A</v>
      </c>
      <c r="U1786" s="3" t="str">
        <f>IFERROR(__xludf.DUMMYFUNCTION("""COMPUTED_VALUE"""),"#N/A")</f>
        <v>#N/A</v>
      </c>
      <c r="V1786" s="3" t="str">
        <f>IFERROR(__xludf.DUMMYFUNCTION("""COMPUTED_VALUE"""),"N")</f>
        <v>N</v>
      </c>
      <c r="W1786" s="3">
        <f>IFERROR(__xludf.DUMMYFUNCTION("""COMPUTED_VALUE"""),210549.0)</f>
        <v>210549</v>
      </c>
      <c r="X1786" s="3" t="str">
        <f>IFERROR(__xludf.DUMMYFUNCTION("""COMPUTED_VALUE"""),"650/2-6 หมู่ที่11 ตำบลบ้านต๋อม อำเภอเมืองพะเยา จังหวัดพะเยา 56000")</f>
        <v>650/2-6 หมู่ที่11 ตำบลบ้านต๋อม อำเภอเมืองพะเยา จังหวัดพะเยา 56000</v>
      </c>
      <c r="Y1786" s="3"/>
      <c r="Z1786" s="3" t="str">
        <f>IFERROR(__xludf.DUMMYFUNCTION("""COMPUTED_VALUE"""),"บ้านต๋อม")</f>
        <v>บ้านต๋อม</v>
      </c>
      <c r="AA1786" s="3" t="str">
        <f>IFERROR(__xludf.DUMMYFUNCTION("""COMPUTED_VALUE"""),"เมืองพระเยา")</f>
        <v>เมืองพระเยา</v>
      </c>
      <c r="AB1786" s="3" t="str">
        <f>IFERROR(__xludf.DUMMYFUNCTION("""COMPUTED_VALUE"""),"พะเยา")</f>
        <v>พะเยา</v>
      </c>
      <c r="AC1786" s="3">
        <f>IFERROR(__xludf.DUMMYFUNCTION("""COMPUTED_VALUE"""),56000.0)</f>
        <v>56000</v>
      </c>
      <c r="AD1786" s="3">
        <f>IFERROR(__xludf.DUMMYFUNCTION("""COMPUTED_VALUE"""),19.192086)</f>
        <v>19.192086</v>
      </c>
      <c r="AE1786" s="3" t="str">
        <f>IFERROR(__xludf.DUMMYFUNCTION("""COMPUTED_VALUE"""),"99.8821 43")</f>
        <v>99.8821 43</v>
      </c>
      <c r="AF1786" s="3" t="str">
        <f>IFERROR(__xludf.DUMMYFUNCTION("""COMPUTED_VALUE"""),"MBC ศูนย์ราชการ พะเยา-22472")</f>
        <v>MBC ศูนย์ราชการ พะเยา-22472</v>
      </c>
      <c r="AG1786" s="3" t="str">
        <f>IFERROR(__xludf.DUMMYFUNCTION("""COMPUTED_VALUE"""),"เหนือ")</f>
        <v>เหนือ</v>
      </c>
      <c r="AH1786" s="3" t="str">
        <f>IFERROR(__xludf.DUMMYFUNCTION("""COMPUTED_VALUE"""),"#N/A")</f>
        <v>#N/A</v>
      </c>
      <c r="AI1786" s="3" t="str">
        <f>IFERROR(__xludf.DUMMYFUNCTION("""COMPUTED_VALUE"""),"Out of warranty")</f>
        <v>Out of warranty</v>
      </c>
      <c r="AJ1786" s="3">
        <f>IFERROR(__xludf.DUMMYFUNCTION("""COMPUTED_VALUE"""),47.0)</f>
        <v>47</v>
      </c>
      <c r="AK1786" s="3" t="str">
        <f>IFERROR(__xludf.DUMMYFUNCTION("""COMPUTED_VALUE"""),"MMS10")</f>
        <v>MMS10</v>
      </c>
      <c r="AL1786" s="3"/>
    </row>
    <row r="1787" ht="15.75" customHeight="1">
      <c r="A1787" s="1" t="str">
        <f>IFERROR(__xludf.DUMMYFUNCTION("""COMPUTED_VALUE"""),"22473")</f>
        <v>22473</v>
      </c>
      <c r="B1787" s="2">
        <f>IFERROR(__xludf.DUMMYFUNCTION("""COMPUTED_VALUE"""),22473.0)</f>
        <v>22473</v>
      </c>
      <c r="C1787" s="3" t="str">
        <f>IFERROR(__xludf.DUMMYFUNCTION("""COMPUTED_VALUE"""),"MBC ซ่าสูง ขอนแก่น")</f>
        <v>MBC ซ่าสูง ขอนแก่น</v>
      </c>
      <c r="D1787" s="3" t="str">
        <f>IFERROR(__xludf.DUMMYFUNCTION("""COMPUTED_VALUE"""),"BCM SUM SUNG KHON KEAN")</f>
        <v>BCM SUM SUNG KHON KEAN</v>
      </c>
      <c r="E1787" s="1" t="str">
        <f>IFERROR(__xludf.DUMMYFUNCTION("""COMPUTED_VALUE"""),"บิ๊กซี MINI")</f>
        <v>บิ๊กซี MINI</v>
      </c>
      <c r="F1787" s="1" t="str">
        <f>IFERROR(__xludf.DUMMYFUNCTION("""COMPUTED_VALUE"""),"291105")</f>
        <v>291105</v>
      </c>
      <c r="G1787" s="1" t="str">
        <f>IFERROR(__xludf.DUMMYFUNCTION("""COMPUTED_VALUE"""),"นายสราวุฒิ พณิชยกุล")</f>
        <v>นายสราวุฒิ พณิชยกุล</v>
      </c>
      <c r="H1787" s="1" t="str">
        <f>IFERROR(__xludf.DUMMYFUNCTION("""COMPUTED_VALUE"""),"371396")</f>
        <v>371396</v>
      </c>
      <c r="I1787" s="1" t="str">
        <f>IFERROR(__xludf.DUMMYFUNCTION("""COMPUTED_VALUE"""),"น.ส.สุภาวดี วิลัยพร")</f>
        <v>น.ส.สุภาวดี วิลัยพร</v>
      </c>
      <c r="J1787" s="3">
        <f>IFERROR(__xludf.DUMMYFUNCTION("""COMPUTED_VALUE"""),15361.0)</f>
        <v>15361</v>
      </c>
      <c r="K1787" s="3" t="str">
        <f>IFERROR(__xludf.DUMMYFUNCTION("""COMPUTED_VALUE"""),"นายสมบูรณ์ พรหมในเมือง")</f>
        <v>นายสมบูรณ์ พรหมในเมือง</v>
      </c>
      <c r="L1787" s="1" t="str">
        <f>IFERROR(__xludf.DUMMYFUNCTION("""COMPUTED_VALUE"""),"04 K.Somboon P.")</f>
        <v>04 K.Somboon P.</v>
      </c>
      <c r="M1787" s="1" t="str">
        <f>IFERROR(__xludf.DUMMYFUNCTION("""COMPUTED_VALUE"""),"087-965-3051")</f>
        <v>087-965-3051</v>
      </c>
      <c r="N1787" s="3">
        <f>IFERROR(__xludf.DUMMYFUNCTION("""COMPUTED_VALUE"""),21869.0)</f>
        <v>21869</v>
      </c>
      <c r="O1787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787" s="4">
        <f>IFERROR(__xludf.DUMMYFUNCTION("""COMPUTED_VALUE"""),44643.0)</f>
        <v>44643</v>
      </c>
      <c r="Q1787" s="3" t="str">
        <f>IFERROR(__xludf.DUMMYFUNCTION("""COMPUTED_VALUE"""),"A")</f>
        <v>A</v>
      </c>
      <c r="R1787" s="3" t="str">
        <f>IFERROR(__xludf.DUMMYFUNCTION("""COMPUTED_VALUE"""),"Small Format")</f>
        <v>Small Format</v>
      </c>
      <c r="S1787" s="3" t="str">
        <f>IFERROR(__xludf.DUMMYFUNCTION("""COMPUTED_VALUE"""),"BCM")</f>
        <v>BCM</v>
      </c>
      <c r="T1787" s="3" t="str">
        <f>IFERROR(__xludf.DUMMYFUNCTION("""COMPUTED_VALUE"""),"#N/A")</f>
        <v>#N/A</v>
      </c>
      <c r="U1787" s="3" t="str">
        <f>IFERROR(__xludf.DUMMYFUNCTION("""COMPUTED_VALUE"""),"#N/A")</f>
        <v>#N/A</v>
      </c>
      <c r="V1787" s="3" t="str">
        <f>IFERROR(__xludf.DUMMYFUNCTION("""COMPUTED_VALUE"""),"N")</f>
        <v>N</v>
      </c>
      <c r="W1787" s="3">
        <f>IFERROR(__xludf.DUMMYFUNCTION("""COMPUTED_VALUE"""),210434.0)</f>
        <v>210434</v>
      </c>
      <c r="X1787" s="3" t="str">
        <f>IFERROR(__xludf.DUMMYFUNCTION("""COMPUTED_VALUE"""),"เลขที่116 หมู่ที่1 ตำบลกระนวน อำเภอซำสูง จังหวัดขอนแก่น 40170")</f>
        <v>เลขที่116 หมู่ที่1 ตำบลกระนวน อำเภอซำสูง จังหวัดขอนแก่น 40170</v>
      </c>
      <c r="Y1787" s="3"/>
      <c r="Z1787" s="3" t="str">
        <f>IFERROR(__xludf.DUMMYFUNCTION("""COMPUTED_VALUE"""),"กระนวน")</f>
        <v>กระนวน</v>
      </c>
      <c r="AA1787" s="3" t="str">
        <f>IFERROR(__xludf.DUMMYFUNCTION("""COMPUTED_VALUE"""),"ซำสูง")</f>
        <v>ซำสูง</v>
      </c>
      <c r="AB1787" s="3" t="str">
        <f>IFERROR(__xludf.DUMMYFUNCTION("""COMPUTED_VALUE"""),"ขอนแก่น")</f>
        <v>ขอนแก่น</v>
      </c>
      <c r="AC1787" s="3">
        <f>IFERROR(__xludf.DUMMYFUNCTION("""COMPUTED_VALUE"""),40170.0)</f>
        <v>40170</v>
      </c>
      <c r="AD1787" s="3">
        <f>IFERROR(__xludf.DUMMYFUNCTION("""COMPUTED_VALUE"""),16.53019166)</f>
        <v>16.53019166</v>
      </c>
      <c r="AE1787" s="3">
        <f>IFERROR(__xludf.DUMMYFUNCTION("""COMPUTED_VALUE"""),103.0641756)</f>
        <v>103.0641756</v>
      </c>
      <c r="AF1787" s="3" t="str">
        <f>IFERROR(__xludf.DUMMYFUNCTION("""COMPUTED_VALUE"""),"MBC ซ่าสูง ขอนแก่น-22473")</f>
        <v>MBC ซ่าสูง ขอนแก่น-22473</v>
      </c>
      <c r="AG1787" s="3" t="str">
        <f>IFERROR(__xludf.DUMMYFUNCTION("""COMPUTED_VALUE"""),"ตะวันออกเฉียงเหนือ")</f>
        <v>ตะวันออกเฉียงเหนือ</v>
      </c>
      <c r="AH1787" s="3" t="str">
        <f>IFERROR(__xludf.DUMMYFUNCTION("""COMPUTED_VALUE"""),"#N/A")</f>
        <v>#N/A</v>
      </c>
      <c r="AI1787" s="3" t="str">
        <f>IFERROR(__xludf.DUMMYFUNCTION("""COMPUTED_VALUE"""),"Out of warranty")</f>
        <v>Out of warranty</v>
      </c>
      <c r="AJ1787" s="3">
        <f>IFERROR(__xludf.DUMMYFUNCTION("""COMPUTED_VALUE"""),46.0)</f>
        <v>46</v>
      </c>
      <c r="AK1787" s="3" t="str">
        <f>IFERROR(__xludf.DUMMYFUNCTION("""COMPUTED_VALUE"""),"MMS12")</f>
        <v>MMS12</v>
      </c>
      <c r="AL1787" s="3"/>
    </row>
    <row r="1788" ht="15.75" customHeight="1">
      <c r="A1788" s="1" t="str">
        <f>IFERROR(__xludf.DUMMYFUNCTION("""COMPUTED_VALUE"""),"22474")</f>
        <v>22474</v>
      </c>
      <c r="B1788" s="2">
        <f>IFERROR(__xludf.DUMMYFUNCTION("""COMPUTED_VALUE"""),22474.0)</f>
        <v>22474</v>
      </c>
      <c r="C1788" s="3" t="str">
        <f>IFERROR(__xludf.DUMMYFUNCTION("""COMPUTED_VALUE"""),"MBC มัญจาคีรี ขอนแก่น")</f>
        <v>MBC มัญจาคีรี ขอนแก่น</v>
      </c>
      <c r="D1788" s="3" t="str">
        <f>IFERROR(__xludf.DUMMYFUNCTION("""COMPUTED_VALUE"""),"BCM MUNJA KIRI KHONKEAN")</f>
        <v>BCM MUNJA KIRI KHONKEAN</v>
      </c>
      <c r="E1788" s="1" t="str">
        <f>IFERROR(__xludf.DUMMYFUNCTION("""COMPUTED_VALUE"""),"บิ๊กซี MINI")</f>
        <v>บิ๊กซี MINI</v>
      </c>
      <c r="F1788" s="1" t="str">
        <f>IFERROR(__xludf.DUMMYFUNCTION("""COMPUTED_VALUE"""),"291105")</f>
        <v>291105</v>
      </c>
      <c r="G1788" s="1" t="str">
        <f>IFERROR(__xludf.DUMMYFUNCTION("""COMPUTED_VALUE"""),"นายสราวุฒิ พณิชยกุล")</f>
        <v>นายสราวุฒิ พณิชยกุล</v>
      </c>
      <c r="H1788" s="1" t="str">
        <f>IFERROR(__xludf.DUMMYFUNCTION("""COMPUTED_VALUE"""),"371396")</f>
        <v>371396</v>
      </c>
      <c r="I1788" s="1" t="str">
        <f>IFERROR(__xludf.DUMMYFUNCTION("""COMPUTED_VALUE"""),"น.ส.สุภาวดี วิลัยพร")</f>
        <v>น.ส.สุภาวดี วิลัยพร</v>
      </c>
      <c r="J1788" s="3">
        <f>IFERROR(__xludf.DUMMYFUNCTION("""COMPUTED_VALUE"""),15361.0)</f>
        <v>15361</v>
      </c>
      <c r="K1788" s="3" t="str">
        <f>IFERROR(__xludf.DUMMYFUNCTION("""COMPUTED_VALUE"""),"นายสมบูรณ์ พรหมในเมือง")</f>
        <v>นายสมบูรณ์ พรหมในเมือง</v>
      </c>
      <c r="L1788" s="1" t="str">
        <f>IFERROR(__xludf.DUMMYFUNCTION("""COMPUTED_VALUE"""),"04 K.Somboon P.")</f>
        <v>04 K.Somboon P.</v>
      </c>
      <c r="M1788" s="1" t="str">
        <f>IFERROR(__xludf.DUMMYFUNCTION("""COMPUTED_VALUE"""),"087-965-3051")</f>
        <v>087-965-3051</v>
      </c>
      <c r="N1788" s="3">
        <f>IFERROR(__xludf.DUMMYFUNCTION("""COMPUTED_VALUE"""),21869.0)</f>
        <v>21869</v>
      </c>
      <c r="O1788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788" s="4">
        <f>IFERROR(__xludf.DUMMYFUNCTION("""COMPUTED_VALUE"""),44647.0)</f>
        <v>44647</v>
      </c>
      <c r="Q1788" s="3" t="str">
        <f>IFERROR(__xludf.DUMMYFUNCTION("""COMPUTED_VALUE"""),"A")</f>
        <v>A</v>
      </c>
      <c r="R1788" s="3" t="str">
        <f>IFERROR(__xludf.DUMMYFUNCTION("""COMPUTED_VALUE"""),"Small Format")</f>
        <v>Small Format</v>
      </c>
      <c r="S1788" s="3" t="str">
        <f>IFERROR(__xludf.DUMMYFUNCTION("""COMPUTED_VALUE"""),"BCM")</f>
        <v>BCM</v>
      </c>
      <c r="T1788" s="3" t="str">
        <f>IFERROR(__xludf.DUMMYFUNCTION("""COMPUTED_VALUE"""),"#N/A")</f>
        <v>#N/A</v>
      </c>
      <c r="U1788" s="3" t="str">
        <f>IFERROR(__xludf.DUMMYFUNCTION("""COMPUTED_VALUE"""),"#N/A")</f>
        <v>#N/A</v>
      </c>
      <c r="V1788" s="3" t="str">
        <f>IFERROR(__xludf.DUMMYFUNCTION("""COMPUTED_VALUE"""),"N")</f>
        <v>N</v>
      </c>
      <c r="W1788" s="3">
        <f>IFERROR(__xludf.DUMMYFUNCTION("""COMPUTED_VALUE"""),210487.0)</f>
        <v>210487</v>
      </c>
      <c r="X1788" s="3" t="str">
        <f>IFERROR(__xludf.DUMMYFUNCTION("""COMPUTED_VALUE"""),"465 หมู่ที่13 ตำบลกุดเค้า อำเภอมัญจาคีรี จังหวัดขอนแก่น 40160")</f>
        <v>465 หมู่ที่13 ตำบลกุดเค้า อำเภอมัญจาคีรี จังหวัดขอนแก่น 40160</v>
      </c>
      <c r="Y1788" s="3"/>
      <c r="Z1788" s="3" t="str">
        <f>IFERROR(__xludf.DUMMYFUNCTION("""COMPUTED_VALUE"""),"กุดเค้า")</f>
        <v>กุดเค้า</v>
      </c>
      <c r="AA1788" s="3" t="str">
        <f>IFERROR(__xludf.DUMMYFUNCTION("""COMPUTED_VALUE"""),"ฮาเภอมัญจาคีรี")</f>
        <v>ฮาเภอมัญจาคีรี</v>
      </c>
      <c r="AB1788" s="3" t="str">
        <f>IFERROR(__xludf.DUMMYFUNCTION("""COMPUTED_VALUE"""),"ขอนแก่น")</f>
        <v>ขอนแก่น</v>
      </c>
      <c r="AC1788" s="3">
        <f>IFERROR(__xludf.DUMMYFUNCTION("""COMPUTED_VALUE"""),40160.0)</f>
        <v>40160</v>
      </c>
      <c r="AD1788" s="3">
        <f>IFERROR(__xludf.DUMMYFUNCTION("""COMPUTED_VALUE"""),16.12680796)</f>
        <v>16.12680796</v>
      </c>
      <c r="AE1788" s="3">
        <f>IFERROR(__xludf.DUMMYFUNCTION("""COMPUTED_VALUE"""),102.5399651)</f>
        <v>102.5399651</v>
      </c>
      <c r="AF1788" s="3" t="str">
        <f>IFERROR(__xludf.DUMMYFUNCTION("""COMPUTED_VALUE"""),"MBC มัญจาคีรี ขอนแก่น-22474")</f>
        <v>MBC มัญจาคีรี ขอนแก่น-22474</v>
      </c>
      <c r="AG1788" s="3" t="str">
        <f>IFERROR(__xludf.DUMMYFUNCTION("""COMPUTED_VALUE"""),"ตะวันออกเฉียงเหนือ")</f>
        <v>ตะวันออกเฉียงเหนือ</v>
      </c>
      <c r="AH1788" s="3" t="str">
        <f>IFERROR(__xludf.DUMMYFUNCTION("""COMPUTED_VALUE"""),"#N/A")</f>
        <v>#N/A</v>
      </c>
      <c r="AI1788" s="3" t="str">
        <f>IFERROR(__xludf.DUMMYFUNCTION("""COMPUTED_VALUE"""),"Out of warranty")</f>
        <v>Out of warranty</v>
      </c>
      <c r="AJ1788" s="3">
        <f>IFERROR(__xludf.DUMMYFUNCTION("""COMPUTED_VALUE"""),46.0)</f>
        <v>46</v>
      </c>
      <c r="AK1788" s="3" t="str">
        <f>IFERROR(__xludf.DUMMYFUNCTION("""COMPUTED_VALUE"""),"MMS11")</f>
        <v>MMS11</v>
      </c>
      <c r="AL1788" s="3"/>
    </row>
    <row r="1789" ht="15.75" customHeight="1">
      <c r="A1789" s="1" t="str">
        <f>IFERROR(__xludf.DUMMYFUNCTION("""COMPUTED_VALUE"""),"22475")</f>
        <v>22475</v>
      </c>
      <c r="B1789" s="2">
        <f>IFERROR(__xludf.DUMMYFUNCTION("""COMPUTED_VALUE"""),22475.0)</f>
        <v>22475</v>
      </c>
      <c r="C1789" s="3" t="str">
        <f>IFERROR(__xludf.DUMMYFUNCTION("""COMPUTED_VALUE"""),"MBC ตลาดจำเริญยนต์ ลำปาง")</f>
        <v>MBC ตลาดจำเริญยนต์ ลำปาง</v>
      </c>
      <c r="D1789" s="3" t="str">
        <f>IFERROR(__xludf.DUMMYFUNCTION("""COMPUTED_VALUE"""),"BCM TALAD JAMRERNYON")</f>
        <v>BCM TALAD JAMRERNYON</v>
      </c>
      <c r="E1789" s="1" t="str">
        <f>IFERROR(__xludf.DUMMYFUNCTION("""COMPUTED_VALUE"""),"บิ๊กซี MINI")</f>
        <v>บิ๊กซี MINI</v>
      </c>
      <c r="F1789" s="1" t="str">
        <f>IFERROR(__xludf.DUMMYFUNCTION("""COMPUTED_VALUE"""),"296229")</f>
        <v>296229</v>
      </c>
      <c r="G1789" s="1" t="str">
        <f>IFERROR(__xludf.DUMMYFUNCTION("""COMPUTED_VALUE"""),"นายทนงศักดิ์ บุญมา")</f>
        <v>นายทนงศักดิ์ บุญมา</v>
      </c>
      <c r="H1789" s="1" t="str">
        <f>IFERROR(__xludf.DUMMYFUNCTION("""COMPUTED_VALUE"""),"372826")</f>
        <v>372826</v>
      </c>
      <c r="I1789" s="1" t="str">
        <f>IFERROR(__xludf.DUMMYFUNCTION("""COMPUTED_VALUE"""),"นายพงศกร สุขแก้ว")</f>
        <v>นายพงศกร สุขแก้ว</v>
      </c>
      <c r="J1789" s="3">
        <f>IFERROR(__xludf.DUMMYFUNCTION("""COMPUTED_VALUE"""),2010016.0)</f>
        <v>2010016</v>
      </c>
      <c r="K1789" s="3" t="str">
        <f>IFERROR(__xludf.DUMMYFUNCTION("""COMPUTED_VALUE"""),"นายตวงธรรม ใหม่ยศ")</f>
        <v>นายตวงธรรม ใหม่ยศ</v>
      </c>
      <c r="L1789" s="1" t="str">
        <f>IFERROR(__xludf.DUMMYFUNCTION("""COMPUTED_VALUE"""),"01 K.Tuangtham M.")</f>
        <v>01 K.Tuangtham M.</v>
      </c>
      <c r="M1789" s="1" t="str">
        <f>IFERROR(__xludf.DUMMYFUNCTION("""COMPUTED_VALUE"""),"063-976-595")</f>
        <v>063-976-595</v>
      </c>
      <c r="N1789" s="3">
        <f>IFERROR(__xludf.DUMMYFUNCTION("""COMPUTED_VALUE"""),22574.0)</f>
        <v>22574</v>
      </c>
      <c r="O1789" s="3" t="str">
        <f>IFERROR(__xludf.DUMMYFUNCTION("""COMPUTED_VALUE"""),"BCM ชุมชนศรีชุม ลำปาง")</f>
        <v>BCM ชุมชนศรีชุม ลำปาง</v>
      </c>
      <c r="P1789" s="4">
        <f>IFERROR(__xludf.DUMMYFUNCTION("""COMPUTED_VALUE"""),44812.0)</f>
        <v>44812</v>
      </c>
      <c r="Q1789" s="3" t="str">
        <f>IFERROR(__xludf.DUMMYFUNCTION("""COMPUTED_VALUE"""),"A")</f>
        <v>A</v>
      </c>
      <c r="R1789" s="3" t="str">
        <f>IFERROR(__xludf.DUMMYFUNCTION("""COMPUTED_VALUE"""),"Small Format")</f>
        <v>Small Format</v>
      </c>
      <c r="S1789" s="3" t="str">
        <f>IFERROR(__xludf.DUMMYFUNCTION("""COMPUTED_VALUE"""),"BCM")</f>
        <v>BCM</v>
      </c>
      <c r="T1789" s="3" t="str">
        <f>IFERROR(__xludf.DUMMYFUNCTION("""COMPUTED_VALUE"""),"#N/A")</f>
        <v>#N/A</v>
      </c>
      <c r="U1789" s="3" t="str">
        <f>IFERROR(__xludf.DUMMYFUNCTION("""COMPUTED_VALUE"""),"#N/A")</f>
        <v>#N/A</v>
      </c>
      <c r="V1789" s="3" t="str">
        <f>IFERROR(__xludf.DUMMYFUNCTION("""COMPUTED_VALUE"""),"N")</f>
        <v>N</v>
      </c>
      <c r="W1789" s="3">
        <f>IFERROR(__xludf.DUMMYFUNCTION("""COMPUTED_VALUE"""),210478.0)</f>
        <v>210478</v>
      </c>
      <c r="X1789" s="3" t="str">
        <f>IFERROR(__xludf.DUMMYFUNCTION("""COMPUTED_VALUE"""),"104/8 หมู่11 ตำบลล้อมแรด อำเภอเถิน จังหวัดลำปาง 52160")</f>
        <v>104/8 หมู่11 ตำบลล้อมแรด อำเภอเถิน จังหวัดลำปาง 52160</v>
      </c>
      <c r="Y1789" s="3"/>
      <c r="Z1789" s="3" t="str">
        <f>IFERROR(__xludf.DUMMYFUNCTION("""COMPUTED_VALUE"""),"ล้อมแรด")</f>
        <v>ล้อมแรด</v>
      </c>
      <c r="AA1789" s="3" t="str">
        <f>IFERROR(__xludf.DUMMYFUNCTION("""COMPUTED_VALUE"""),"เถิน")</f>
        <v>เถิน</v>
      </c>
      <c r="AB1789" s="3" t="str">
        <f>IFERROR(__xludf.DUMMYFUNCTION("""COMPUTED_VALUE"""),"พะเยา")</f>
        <v>พะเยา</v>
      </c>
      <c r="AC1789" s="3">
        <f>IFERROR(__xludf.DUMMYFUNCTION("""COMPUTED_VALUE"""),52160.0)</f>
        <v>52160</v>
      </c>
      <c r="AD1789" s="3">
        <f>IFERROR(__xludf.DUMMYFUNCTION("""COMPUTED_VALUE"""),17.606713)</f>
        <v>17.606713</v>
      </c>
      <c r="AE1789" s="3">
        <f>IFERROR(__xludf.DUMMYFUNCTION("""COMPUTED_VALUE"""),99.210879)</f>
        <v>99.210879</v>
      </c>
      <c r="AF1789" s="3" t="str">
        <f>IFERROR(__xludf.DUMMYFUNCTION("""COMPUTED_VALUE"""),"MBC ตลาดจำเริญยนต์ ลำปาง-22475")</f>
        <v>MBC ตลาดจำเริญยนต์ ลำปาง-22475</v>
      </c>
      <c r="AG1789" s="3" t="str">
        <f>IFERROR(__xludf.DUMMYFUNCTION("""COMPUTED_VALUE"""),"เหนือ")</f>
        <v>เหนือ</v>
      </c>
      <c r="AH1789" s="3" t="str">
        <f>IFERROR(__xludf.DUMMYFUNCTION("""COMPUTED_VALUE"""),"#N/A")</f>
        <v>#N/A</v>
      </c>
      <c r="AI1789" s="3" t="str">
        <f>IFERROR(__xludf.DUMMYFUNCTION("""COMPUTED_VALUE"""),"Out of warranty")</f>
        <v>Out of warranty</v>
      </c>
      <c r="AJ1789" s="3">
        <f>IFERROR(__xludf.DUMMYFUNCTION("""COMPUTED_VALUE"""),41.0)</f>
        <v>41</v>
      </c>
      <c r="AK1789" s="3" t="str">
        <f>IFERROR(__xludf.DUMMYFUNCTION("""COMPUTED_VALUE"""),"MMS10")</f>
        <v>MMS10</v>
      </c>
      <c r="AL1789" s="3"/>
    </row>
    <row r="1790" ht="15.75" customHeight="1">
      <c r="A1790" s="1" t="str">
        <f>IFERROR(__xludf.DUMMYFUNCTION("""COMPUTED_VALUE"""),"22476")</f>
        <v>22476</v>
      </c>
      <c r="B1790" s="2">
        <f>IFERROR(__xludf.DUMMYFUNCTION("""COMPUTED_VALUE"""),22476.0)</f>
        <v>22476</v>
      </c>
      <c r="C1790" s="3" t="str">
        <f>IFERROR(__xludf.DUMMYFUNCTION("""COMPUTED_VALUE"""),"MBC กำปงตาโก๊ะ นราธิวาส")</f>
        <v>MBC กำปงตาโก๊ะ นราธิวาส</v>
      </c>
      <c r="D1790" s="3" t="str">
        <f>IFERROR(__xludf.DUMMYFUNCTION("""COMPUTED_VALUE"""),"BCM KAM PONG TA KO NARATHIWAT")</f>
        <v>BCM KAM PONG TA KO NARATHIWAT</v>
      </c>
      <c r="E1790" s="1" t="str">
        <f>IFERROR(__xludf.DUMMYFUNCTION("""COMPUTED_VALUE"""),"บิ๊กซี MINI")</f>
        <v>บิ๊กซี MINI</v>
      </c>
      <c r="F1790" s="1" t="str">
        <f>IFERROR(__xludf.DUMMYFUNCTION("""COMPUTED_VALUE"""),"250760")</f>
        <v>250760</v>
      </c>
      <c r="G1790" s="1" t="str">
        <f>IFERROR(__xludf.DUMMYFUNCTION("""COMPUTED_VALUE"""),"นายประทวน สาราบรรณ์")</f>
        <v>นายประทวน สาราบรรณ์</v>
      </c>
      <c r="H1790" s="1" t="str">
        <f>IFERROR(__xludf.DUMMYFUNCTION("""COMPUTED_VALUE"""),"006583")</f>
        <v>006583</v>
      </c>
      <c r="I1790" s="1" t="str">
        <f>IFERROR(__xludf.DUMMYFUNCTION("""COMPUTED_VALUE"""),"นายเด่น ยะอิง")</f>
        <v>นายเด่น ยะอิง</v>
      </c>
      <c r="J1790" s="3">
        <f>IFERROR(__xludf.DUMMYFUNCTION("""COMPUTED_VALUE"""),2.0470331E7)</f>
        <v>20470331</v>
      </c>
      <c r="K1790" s="3" t="str">
        <f>IFERROR(__xludf.DUMMYFUNCTION("""COMPUTED_VALUE"""),"นายสมชาย ลักษณะสุวรรณ")</f>
        <v>นายสมชาย ลักษณะสุวรรณ</v>
      </c>
      <c r="L1790" s="1" t="str">
        <f>IFERROR(__xludf.DUMMYFUNCTION("""COMPUTED_VALUE"""),"15 K.Somchai L")</f>
        <v>15 K.Somchai L</v>
      </c>
      <c r="M1790" s="1" t="str">
        <f>IFERROR(__xludf.DUMMYFUNCTION("""COMPUTED_VALUE"""),"0655107372")</f>
        <v>0655107372</v>
      </c>
      <c r="N1790" s="3">
        <f>IFERROR(__xludf.DUMMYFUNCTION("""COMPUTED_VALUE"""),21723.0)</f>
        <v>21723</v>
      </c>
      <c r="O1790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90" s="4">
        <f>IFERROR(__xludf.DUMMYFUNCTION("""COMPUTED_VALUE"""),44659.0)</f>
        <v>44659</v>
      </c>
      <c r="Q1790" s="3" t="str">
        <f>IFERROR(__xludf.DUMMYFUNCTION("""COMPUTED_VALUE"""),"A")</f>
        <v>A</v>
      </c>
      <c r="R1790" s="3" t="str">
        <f>IFERROR(__xludf.DUMMYFUNCTION("""COMPUTED_VALUE"""),"Small Format")</f>
        <v>Small Format</v>
      </c>
      <c r="S1790" s="3" t="str">
        <f>IFERROR(__xludf.DUMMYFUNCTION("""COMPUTED_VALUE"""),"BCM")</f>
        <v>BCM</v>
      </c>
      <c r="T1790" s="3" t="str">
        <f>IFERROR(__xludf.DUMMYFUNCTION("""COMPUTED_VALUE"""),"#N/A")</f>
        <v>#N/A</v>
      </c>
      <c r="U1790" s="3" t="str">
        <f>IFERROR(__xludf.DUMMYFUNCTION("""COMPUTED_VALUE"""),"#N/A")</f>
        <v>#N/A</v>
      </c>
      <c r="V1790" s="3" t="str">
        <f>IFERROR(__xludf.DUMMYFUNCTION("""COMPUTED_VALUE"""),"N")</f>
        <v>N</v>
      </c>
      <c r="W1790" s="3">
        <f>IFERROR(__xludf.DUMMYFUNCTION("""COMPUTED_VALUE"""),210529.0)</f>
        <v>210529</v>
      </c>
      <c r="X1790" s="3" t="str">
        <f>IFERROR(__xludf.DUMMYFUNCTION("""COMPUTED_VALUE"""),"105/1 ถนนจาตุรงค์รัศมี ตำบลบางนาค อำเภอเมืองนราธิวาส จังหวัดนราธิวาส 96000")</f>
        <v>105/1 ถนนจาตุรงค์รัศมี ตำบลบางนาค อำเภอเมืองนราธิวาส จังหวัดนราธิวาส 96000</v>
      </c>
      <c r="Y1790" s="3" t="str">
        <f>IFERROR(__xludf.DUMMYFUNCTION("""COMPUTED_VALUE"""),"จาตุรงค์รัศมี")</f>
        <v>จาตุรงค์รัศมี</v>
      </c>
      <c r="Z1790" s="3" t="str">
        <f>IFERROR(__xludf.DUMMYFUNCTION("""COMPUTED_VALUE"""),"บางนาค")</f>
        <v>บางนาค</v>
      </c>
      <c r="AA1790" s="3" t="str">
        <f>IFERROR(__xludf.DUMMYFUNCTION("""COMPUTED_VALUE"""),"เมืองนราธิวาส")</f>
        <v>เมืองนราธิวาส</v>
      </c>
      <c r="AB1790" s="3" t="str">
        <f>IFERROR(__xludf.DUMMYFUNCTION("""COMPUTED_VALUE"""),"นราธิวาส")</f>
        <v>นราธิวาส</v>
      </c>
      <c r="AC1790" s="3">
        <f>IFERROR(__xludf.DUMMYFUNCTION("""COMPUTED_VALUE"""),96000.0)</f>
        <v>96000</v>
      </c>
      <c r="AD1790" s="3">
        <f>IFERROR(__xludf.DUMMYFUNCTION("""COMPUTED_VALUE"""),6.423072)</f>
        <v>6.423072</v>
      </c>
      <c r="AE1790" s="3" t="str">
        <f>IFERROR(__xludf.DUMMYFUNCTION("""COMPUTED_VALUE"""),"101.82 9231")</f>
        <v>101.82 9231</v>
      </c>
      <c r="AF1790" s="3" t="str">
        <f>IFERROR(__xludf.DUMMYFUNCTION("""COMPUTED_VALUE"""),"MBC กำปงตาโก๊ะ นราธิวาส-22476")</f>
        <v>MBC กำปงตาโก๊ะ นราธิวาส-22476</v>
      </c>
      <c r="AG1790" s="3" t="str">
        <f>IFERROR(__xludf.DUMMYFUNCTION("""COMPUTED_VALUE"""),"ใต้")</f>
        <v>ใต้</v>
      </c>
      <c r="AH1790" s="3" t="str">
        <f>IFERROR(__xludf.DUMMYFUNCTION("""COMPUTED_VALUE"""),"#N/A")</f>
        <v>#N/A</v>
      </c>
      <c r="AI1790" s="3" t="str">
        <f>IFERROR(__xludf.DUMMYFUNCTION("""COMPUTED_VALUE"""),"Out of warranty")</f>
        <v>Out of warranty</v>
      </c>
      <c r="AJ1790" s="3">
        <f>IFERROR(__xludf.DUMMYFUNCTION("""COMPUTED_VALUE"""),46.0)</f>
        <v>46</v>
      </c>
      <c r="AK1790" s="3" t="str">
        <f>IFERROR(__xludf.DUMMYFUNCTION("""COMPUTED_VALUE"""),"MMS16")</f>
        <v>MMS16</v>
      </c>
      <c r="AL1790" s="3"/>
    </row>
    <row r="1791" ht="15.75" customHeight="1">
      <c r="A1791" s="1" t="str">
        <f>IFERROR(__xludf.DUMMYFUNCTION("""COMPUTED_VALUE"""),"22477")</f>
        <v>22477</v>
      </c>
      <c r="B1791" s="2">
        <f>IFERROR(__xludf.DUMMYFUNCTION("""COMPUTED_VALUE"""),22477.0)</f>
        <v>22477</v>
      </c>
      <c r="C1791" s="3" t="str">
        <f>IFERROR(__xludf.DUMMYFUNCTION("""COMPUTED_VALUE"""),"MBC ชุมชนตาดแคน มุกดาหาร")</f>
        <v>MBC ชุมชนตาดแคน มุกดาหาร</v>
      </c>
      <c r="D1791" s="3" t="str">
        <f>IFERROR(__xludf.DUMMYFUNCTION("""COMPUTED_VALUE"""),"BCM CHUMCHON TADCAN MUKDAHAN")</f>
        <v>BCM CHUMCHON TADCAN MUKDAHAN</v>
      </c>
      <c r="E1791" s="1" t="str">
        <f>IFERROR(__xludf.DUMMYFUNCTION("""COMPUTED_VALUE"""),"บิ๊กซี MINI")</f>
        <v>บิ๊กซี MINI</v>
      </c>
      <c r="F1791" s="1" t="str">
        <f>IFERROR(__xludf.DUMMYFUNCTION("""COMPUTED_VALUE"""),"291105")</f>
        <v>291105</v>
      </c>
      <c r="G1791" s="1" t="str">
        <f>IFERROR(__xludf.DUMMYFUNCTION("""COMPUTED_VALUE"""),"นายสราวุฒิ พณิชยกุล")</f>
        <v>นายสราวุฒิ พณิชยกุล</v>
      </c>
      <c r="H1791" s="1" t="str">
        <f>IFERROR(__xludf.DUMMYFUNCTION("""COMPUTED_VALUE"""),"398285")</f>
        <v>398285</v>
      </c>
      <c r="I1791" s="1" t="str">
        <f>IFERROR(__xludf.DUMMYFUNCTION("""COMPUTED_VALUE"""),"น.ส.พชิรา บุญจูง")</f>
        <v>น.ส.พชิรา บุญจูง</v>
      </c>
      <c r="J1791" s="3">
        <f>IFERROR(__xludf.DUMMYFUNCTION("""COMPUTED_VALUE"""),2454781.0)</f>
        <v>2454781</v>
      </c>
      <c r="K1791" s="3" t="str">
        <f>IFERROR(__xludf.DUMMYFUNCTION("""COMPUTED_VALUE"""),"นายฌานกฤช นันทะโคต")</f>
        <v>นายฌานกฤช นันทะโคต</v>
      </c>
      <c r="L1791" s="1" t="str">
        <f>IFERROR(__xludf.DUMMYFUNCTION("""COMPUTED_VALUE"""),"05 K.Chanakrit N.")</f>
        <v>05 K.Chanakrit N.</v>
      </c>
      <c r="M1791" s="1" t="str">
        <f>IFERROR(__xludf.DUMMYFUNCTION("""COMPUTED_VALUE"""),"090-978-9785 ,065-929-1320")</f>
        <v>090-978-9785 ,065-929-1320</v>
      </c>
      <c r="N1791" s="3">
        <f>IFERROR(__xludf.DUMMYFUNCTION("""COMPUTED_VALUE"""),22195.0)</f>
        <v>22195</v>
      </c>
      <c r="O1791" s="3" t="str">
        <f>IFERROR(__xludf.DUMMYFUNCTION("""COMPUTED_VALUE"""),"MBC กันทรลักษ์ ศรีสะเกษ")</f>
        <v>MBC กันทรลักษ์ ศรีสะเกษ</v>
      </c>
      <c r="P1791" s="4">
        <f>IFERROR(__xludf.DUMMYFUNCTION("""COMPUTED_VALUE"""),44659.0)</f>
        <v>44659</v>
      </c>
      <c r="Q1791" s="3" t="str">
        <f>IFERROR(__xludf.DUMMYFUNCTION("""COMPUTED_VALUE"""),"A")</f>
        <v>A</v>
      </c>
      <c r="R1791" s="3" t="str">
        <f>IFERROR(__xludf.DUMMYFUNCTION("""COMPUTED_VALUE"""),"Small Format")</f>
        <v>Small Format</v>
      </c>
      <c r="S1791" s="3" t="str">
        <f>IFERROR(__xludf.DUMMYFUNCTION("""COMPUTED_VALUE"""),"BCM")</f>
        <v>BCM</v>
      </c>
      <c r="T1791" s="3" t="str">
        <f>IFERROR(__xludf.DUMMYFUNCTION("""COMPUTED_VALUE"""),"#N/A")</f>
        <v>#N/A</v>
      </c>
      <c r="U1791" s="3" t="str">
        <f>IFERROR(__xludf.DUMMYFUNCTION("""COMPUTED_VALUE"""),"#N/A")</f>
        <v>#N/A</v>
      </c>
      <c r="V1791" s="3" t="str">
        <f>IFERROR(__xludf.DUMMYFUNCTION("""COMPUTED_VALUE"""),"N")</f>
        <v>N</v>
      </c>
      <c r="W1791" s="3">
        <f>IFERROR(__xludf.DUMMYFUNCTION("""COMPUTED_VALUE"""),210532.0)</f>
        <v>210532</v>
      </c>
      <c r="X1791" s="3" t="str">
        <f>IFERROR(__xludf.DUMMYFUNCTION("""COMPUTED_VALUE"""),"33/1 ถนนตาดแคน ตำบลมุกดาหาร อำเภอเมืองมุกดาหาร จังหวัดมุกดาหาร 49000")</f>
        <v>33/1 ถนนตาดแคน ตำบลมุกดาหาร อำเภอเมืองมุกดาหาร จังหวัดมุกดาหาร 49000</v>
      </c>
      <c r="Y1791" s="3" t="str">
        <f>IFERROR(__xludf.DUMMYFUNCTION("""COMPUTED_VALUE"""),"ตาดแคน")</f>
        <v>ตาดแคน</v>
      </c>
      <c r="Z1791" s="3" t="str">
        <f>IFERROR(__xludf.DUMMYFUNCTION("""COMPUTED_VALUE"""),"มุกดาหาร")</f>
        <v>มุกดาหาร</v>
      </c>
      <c r="AA1791" s="3" t="str">
        <f>IFERROR(__xludf.DUMMYFUNCTION("""COMPUTED_VALUE"""),"เมืองมุกดาหาร")</f>
        <v>เมืองมุกดาหาร</v>
      </c>
      <c r="AB1791" s="3" t="str">
        <f>IFERROR(__xludf.DUMMYFUNCTION("""COMPUTED_VALUE"""),"มุกดาหาร")</f>
        <v>มุกดาหาร</v>
      </c>
      <c r="AC1791" s="3">
        <f>IFERROR(__xludf.DUMMYFUNCTION("""COMPUTED_VALUE"""),49000.0)</f>
        <v>49000</v>
      </c>
      <c r="AD1791" s="3">
        <f>IFERROR(__xludf.DUMMYFUNCTION("""COMPUTED_VALUE"""),16.552819)</f>
        <v>16.552819</v>
      </c>
      <c r="AE1791" s="3">
        <f>IFERROR(__xludf.DUMMYFUNCTION("""COMPUTED_VALUE"""),104.701086)</f>
        <v>104.701086</v>
      </c>
      <c r="AF1791" s="3" t="str">
        <f>IFERROR(__xludf.DUMMYFUNCTION("""COMPUTED_VALUE"""),"MBC ชุมชนตาดแคน มุกดาหาร-22477")</f>
        <v>MBC ชุมชนตาดแคน มุกดาหาร-22477</v>
      </c>
      <c r="AG1791" s="3" t="str">
        <f>IFERROR(__xludf.DUMMYFUNCTION("""COMPUTED_VALUE"""),"ตะวันออกเฉียงเหนือ")</f>
        <v>ตะวันออกเฉียงเหนือ</v>
      </c>
      <c r="AH1791" s="3" t="str">
        <f>IFERROR(__xludf.DUMMYFUNCTION("""COMPUTED_VALUE"""),"#N/A")</f>
        <v>#N/A</v>
      </c>
      <c r="AI1791" s="3" t="str">
        <f>IFERROR(__xludf.DUMMYFUNCTION("""COMPUTED_VALUE"""),"Out of warranty")</f>
        <v>Out of warranty</v>
      </c>
      <c r="AJ1791" s="3">
        <f>IFERROR(__xludf.DUMMYFUNCTION("""COMPUTED_VALUE"""),46.0)</f>
        <v>46</v>
      </c>
      <c r="AK1791" s="3" t="str">
        <f>IFERROR(__xludf.DUMMYFUNCTION("""COMPUTED_VALUE"""),"MMS13")</f>
        <v>MMS13</v>
      </c>
      <c r="AL1791" s="3"/>
    </row>
    <row r="1792" ht="15.75" customHeight="1">
      <c r="A1792" s="1" t="str">
        <f>IFERROR(__xludf.DUMMYFUNCTION("""COMPUTED_VALUE"""),"22478")</f>
        <v>22478</v>
      </c>
      <c r="B1792" s="2">
        <f>IFERROR(__xludf.DUMMYFUNCTION("""COMPUTED_VALUE"""),22478.0)</f>
        <v>22478</v>
      </c>
      <c r="C1792" s="3" t="str">
        <f>IFERROR(__xludf.DUMMYFUNCTION("""COMPUTED_VALUE"""),"MBC แลนด์มาร์ค นครพนม")</f>
        <v>MBC แลนด์มาร์ค นครพนม</v>
      </c>
      <c r="D1792" s="3" t="str">
        <f>IFERROR(__xludf.DUMMYFUNCTION("""COMPUTED_VALUE"""),"BCM LANDMARK NAKHONPHANOM")</f>
        <v>BCM LANDMARK NAKHONPHANOM</v>
      </c>
      <c r="E1792" s="1" t="str">
        <f>IFERROR(__xludf.DUMMYFUNCTION("""COMPUTED_VALUE"""),"บิ๊กซี MINI")</f>
        <v>บิ๊กซี MINI</v>
      </c>
      <c r="F1792" s="1" t="str">
        <f>IFERROR(__xludf.DUMMYFUNCTION("""COMPUTED_VALUE"""),"291105")</f>
        <v>291105</v>
      </c>
      <c r="G1792" s="1" t="str">
        <f>IFERROR(__xludf.DUMMYFUNCTION("""COMPUTED_VALUE"""),"นายสราวุฒิ พณิชยกุล")</f>
        <v>นายสราวุฒิ พณิชยกุล</v>
      </c>
      <c r="H1792" s="1" t="str">
        <f>IFERROR(__xludf.DUMMYFUNCTION("""COMPUTED_VALUE"""),"392885")</f>
        <v>392885</v>
      </c>
      <c r="I1792" s="1" t="str">
        <f>IFERROR(__xludf.DUMMYFUNCTION("""COMPUTED_VALUE"""),"น.ส.วราพร จันปลิว")</f>
        <v>น.ส.วราพร จันปลิว</v>
      </c>
      <c r="J1792" s="3">
        <f>IFERROR(__xludf.DUMMYFUNCTION("""COMPUTED_VALUE"""),296868.0)</f>
        <v>296868</v>
      </c>
      <c r="K1792" s="3" t="str">
        <f>IFERROR(__xludf.DUMMYFUNCTION("""COMPUTED_VALUE"""),"นายพีระพงษ์ แก้วดวงดี")</f>
        <v>นายพีระพงษ์ แก้วดวงดี</v>
      </c>
      <c r="L1792" s="1" t="str">
        <f>IFERROR(__xludf.DUMMYFUNCTION("""COMPUTED_VALUE"""),"03 K.Peerapong K.")</f>
        <v>03 K.Peerapong K.</v>
      </c>
      <c r="M1792" s="1" t="str">
        <f>IFERROR(__xludf.DUMMYFUNCTION("""COMPUTED_VALUE"""),"089-002-6599")</f>
        <v>089-002-6599</v>
      </c>
      <c r="N1792" s="3">
        <f>IFERROR(__xludf.DUMMYFUNCTION("""COMPUTED_VALUE"""),21946.0)</f>
        <v>21946</v>
      </c>
      <c r="O1792" s="3" t="str">
        <f>IFERROR(__xludf.DUMMYFUNCTION("""COMPUTED_VALUE"""),"MBC เซกา บึงกาฬ")</f>
        <v>MBC เซกา บึงกาฬ</v>
      </c>
      <c r="P1792" s="4">
        <f>IFERROR(__xludf.DUMMYFUNCTION("""COMPUTED_VALUE"""),44659.0)</f>
        <v>44659</v>
      </c>
      <c r="Q1792" s="3" t="str">
        <f>IFERROR(__xludf.DUMMYFUNCTION("""COMPUTED_VALUE"""),"A")</f>
        <v>A</v>
      </c>
      <c r="R1792" s="3" t="str">
        <f>IFERROR(__xludf.DUMMYFUNCTION("""COMPUTED_VALUE"""),"Small Format")</f>
        <v>Small Format</v>
      </c>
      <c r="S1792" s="3" t="str">
        <f>IFERROR(__xludf.DUMMYFUNCTION("""COMPUTED_VALUE"""),"BCM")</f>
        <v>BCM</v>
      </c>
      <c r="T1792" s="3" t="str">
        <f>IFERROR(__xludf.DUMMYFUNCTION("""COMPUTED_VALUE"""),"#N/A")</f>
        <v>#N/A</v>
      </c>
      <c r="U1792" s="3" t="str">
        <f>IFERROR(__xludf.DUMMYFUNCTION("""COMPUTED_VALUE"""),"#N/A")</f>
        <v>#N/A</v>
      </c>
      <c r="V1792" s="3" t="str">
        <f>IFERROR(__xludf.DUMMYFUNCTION("""COMPUTED_VALUE"""),"N")</f>
        <v>N</v>
      </c>
      <c r="W1792" s="3">
        <f>IFERROR(__xludf.DUMMYFUNCTION("""COMPUTED_VALUE"""),210517.0)</f>
        <v>210517</v>
      </c>
      <c r="X1792" s="3" t="str">
        <f>IFERROR(__xludf.DUMMYFUNCTION("""COMPUTED_VALUE"""),"598/1 ถนนสุนทรวิจิตร ตำบลในเมือง อำเภอเมืองนครพนม จังหวัดนครพนม 48000")</f>
        <v>598/1 ถนนสุนทรวิจิตร ตำบลในเมือง อำเภอเมืองนครพนม จังหวัดนครพนม 48000</v>
      </c>
      <c r="Y1792" s="3" t="str">
        <f>IFERROR(__xludf.DUMMYFUNCTION("""COMPUTED_VALUE"""),"สุนทรวิจิตร")</f>
        <v>สุนทรวิจิตร</v>
      </c>
      <c r="Z1792" s="3" t="str">
        <f>IFERROR(__xludf.DUMMYFUNCTION("""COMPUTED_VALUE"""),"ในเมือง")</f>
        <v>ในเมือง</v>
      </c>
      <c r="AA1792" s="3" t="str">
        <f>IFERROR(__xludf.DUMMYFUNCTION("""COMPUTED_VALUE"""),"เมืองนครพนม")</f>
        <v>เมืองนครพนม</v>
      </c>
      <c r="AB1792" s="3" t="str">
        <f>IFERROR(__xludf.DUMMYFUNCTION("""COMPUTED_VALUE"""),"นครพนม")</f>
        <v>นครพนม</v>
      </c>
      <c r="AC1792" s="3">
        <f>IFERROR(__xludf.DUMMYFUNCTION("""COMPUTED_VALUE"""),48000.0)</f>
        <v>48000</v>
      </c>
      <c r="AD1792" s="3">
        <f>IFERROR(__xludf.DUMMYFUNCTION("""COMPUTED_VALUE"""),17.39997)</f>
        <v>17.39997</v>
      </c>
      <c r="AE1792" s="3">
        <f>IFERROR(__xludf.DUMMYFUNCTION("""COMPUTED_VALUE"""),104.789802)</f>
        <v>104.789802</v>
      </c>
      <c r="AF1792" s="3" t="str">
        <f>IFERROR(__xludf.DUMMYFUNCTION("""COMPUTED_VALUE"""),"MBC แลนด์มาร์ค นครพนม-22478")</f>
        <v>MBC แลนด์มาร์ค นครพนม-22478</v>
      </c>
      <c r="AG1792" s="3" t="str">
        <f>IFERROR(__xludf.DUMMYFUNCTION("""COMPUTED_VALUE"""),"ตะวันออกเฉียงเหนือ")</f>
        <v>ตะวันออกเฉียงเหนือ</v>
      </c>
      <c r="AH1792" s="3" t="str">
        <f>IFERROR(__xludf.DUMMYFUNCTION("""COMPUTED_VALUE"""),"#N/A")</f>
        <v>#N/A</v>
      </c>
      <c r="AI1792" s="3" t="str">
        <f>IFERROR(__xludf.DUMMYFUNCTION("""COMPUTED_VALUE"""),"Out of warranty")</f>
        <v>Out of warranty</v>
      </c>
      <c r="AJ1792" s="3">
        <f>IFERROR(__xludf.DUMMYFUNCTION("""COMPUTED_VALUE"""),46.0)</f>
        <v>46</v>
      </c>
      <c r="AK1792" s="3" t="str">
        <f>IFERROR(__xludf.DUMMYFUNCTION("""COMPUTED_VALUE"""),"MMS12")</f>
        <v>MMS12</v>
      </c>
      <c r="AL1792" s="3"/>
    </row>
    <row r="1793" ht="15.75" customHeight="1">
      <c r="A1793" s="1" t="str">
        <f>IFERROR(__xludf.DUMMYFUNCTION("""COMPUTED_VALUE"""),"22479")</f>
        <v>22479</v>
      </c>
      <c r="B1793" s="2">
        <f>IFERROR(__xludf.DUMMYFUNCTION("""COMPUTED_VALUE"""),22479.0)</f>
        <v>22479</v>
      </c>
      <c r="C1793" s="3" t="str">
        <f>IFERROR(__xludf.DUMMYFUNCTION("""COMPUTED_VALUE"""),"MBC ตลาดวังตาล ลำพูน")</f>
        <v>MBC ตลาดวังตาล ลำพูน</v>
      </c>
      <c r="D1793" s="3" t="str">
        <f>IFERROR(__xludf.DUMMYFUNCTION("""COMPUTED_VALUE"""),"BCM TALAD WANG TAN LAMPHUN")</f>
        <v>BCM TALAD WANG TAN LAMPHUN</v>
      </c>
      <c r="E1793" s="1" t="str">
        <f>IFERROR(__xludf.DUMMYFUNCTION("""COMPUTED_VALUE"""),"บิ๊กซี MINI")</f>
        <v>บิ๊กซี MINI</v>
      </c>
      <c r="F1793" s="1" t="str">
        <f>IFERROR(__xludf.DUMMYFUNCTION("""COMPUTED_VALUE"""),"296229")</f>
        <v>296229</v>
      </c>
      <c r="G1793" s="1" t="str">
        <f>IFERROR(__xludf.DUMMYFUNCTION("""COMPUTED_VALUE"""),"นายทนงศักดิ์ บุญมา")</f>
        <v>นายทนงศักดิ์ บุญมา</v>
      </c>
      <c r="H1793" s="1" t="str">
        <f>IFERROR(__xludf.DUMMYFUNCTION("""COMPUTED_VALUE"""),"392003")</f>
        <v>392003</v>
      </c>
      <c r="I1793" s="1" t="str">
        <f>IFERROR(__xludf.DUMMYFUNCTION("""COMPUTED_VALUE"""),"นายวรภพ เศษสูงเนิน")</f>
        <v>นายวรภพ เศษสูงเนิน</v>
      </c>
      <c r="J1793" s="3">
        <f>IFERROR(__xludf.DUMMYFUNCTION("""COMPUTED_VALUE"""),2010016.0)</f>
        <v>2010016</v>
      </c>
      <c r="K1793" s="3" t="str">
        <f>IFERROR(__xludf.DUMMYFUNCTION("""COMPUTED_VALUE"""),"นายตวงธรรม ใหม่ยศ")</f>
        <v>นายตวงธรรม ใหม่ยศ</v>
      </c>
      <c r="L1793" s="1" t="str">
        <f>IFERROR(__xludf.DUMMYFUNCTION("""COMPUTED_VALUE"""),"01 K.Tuangtham M.")</f>
        <v>01 K.Tuangtham M.</v>
      </c>
      <c r="M1793" s="1" t="str">
        <f>IFERROR(__xludf.DUMMYFUNCTION("""COMPUTED_VALUE"""),"063-976-595")</f>
        <v>063-976-595</v>
      </c>
      <c r="N1793" s="3">
        <f>IFERROR(__xludf.DUMMYFUNCTION("""COMPUTED_VALUE"""),22574.0)</f>
        <v>22574</v>
      </c>
      <c r="O1793" s="3" t="str">
        <f>IFERROR(__xludf.DUMMYFUNCTION("""COMPUTED_VALUE"""),"BCM ชุมชนศรีชุม ลำปาง")</f>
        <v>BCM ชุมชนศรีชุม ลำปาง</v>
      </c>
      <c r="P1793" s="4">
        <f>IFERROR(__xludf.DUMMYFUNCTION("""COMPUTED_VALUE"""),44662.0)</f>
        <v>44662</v>
      </c>
      <c r="Q1793" s="3" t="str">
        <f>IFERROR(__xludf.DUMMYFUNCTION("""COMPUTED_VALUE"""),"A")</f>
        <v>A</v>
      </c>
      <c r="R1793" s="3" t="str">
        <f>IFERROR(__xludf.DUMMYFUNCTION("""COMPUTED_VALUE"""),"Small Format")</f>
        <v>Small Format</v>
      </c>
      <c r="S1793" s="3" t="str">
        <f>IFERROR(__xludf.DUMMYFUNCTION("""COMPUTED_VALUE"""),"BCM")</f>
        <v>BCM</v>
      </c>
      <c r="T1793" s="3" t="str">
        <f>IFERROR(__xludf.DUMMYFUNCTION("""COMPUTED_VALUE"""),"#N/A")</f>
        <v>#N/A</v>
      </c>
      <c r="U1793" s="3" t="str">
        <f>IFERROR(__xludf.DUMMYFUNCTION("""COMPUTED_VALUE"""),"#N/A")</f>
        <v>#N/A</v>
      </c>
      <c r="V1793" s="3" t="str">
        <f>IFERROR(__xludf.DUMMYFUNCTION("""COMPUTED_VALUE"""),"N")</f>
        <v>N</v>
      </c>
      <c r="W1793" s="3">
        <f>IFERROR(__xludf.DUMMYFUNCTION("""COMPUTED_VALUE"""),210427.0)</f>
        <v>210427</v>
      </c>
      <c r="X1793" s="3" t="str">
        <f>IFERROR(__xludf.DUMMYFUNCTION("""COMPUTED_VALUE"""),"เลขที่239/9-11 หมู่ที่7 ตำบลบ้านแป้น อำเภอเมืองลำพูน จังหวัดลำพูน 51000")</f>
        <v>เลขที่239/9-11 หมู่ที่7 ตำบลบ้านแป้น อำเภอเมืองลำพูน จังหวัดลำพูน 51000</v>
      </c>
      <c r="Y1793" s="3"/>
      <c r="Z1793" s="3" t="str">
        <f>IFERROR(__xludf.DUMMYFUNCTION("""COMPUTED_VALUE"""),"บ้านแป้น")</f>
        <v>บ้านแป้น</v>
      </c>
      <c r="AA1793" s="3" t="str">
        <f>IFERROR(__xludf.DUMMYFUNCTION("""COMPUTED_VALUE"""),"เมืองลำพูน")</f>
        <v>เมืองลำพูน</v>
      </c>
      <c r="AB1793" s="3" t="str">
        <f>IFERROR(__xludf.DUMMYFUNCTION("""COMPUTED_VALUE"""),"ลำพูน")</f>
        <v>ลำพูน</v>
      </c>
      <c r="AC1793" s="3">
        <f>IFERROR(__xludf.DUMMYFUNCTION("""COMPUTED_VALUE"""),51000.0)</f>
        <v>51000</v>
      </c>
      <c r="AD1793" s="3">
        <f>IFERROR(__xludf.DUMMYFUNCTION("""COMPUTED_VALUE"""),18.518494)</f>
        <v>18.518494</v>
      </c>
      <c r="AE1793" s="3">
        <f>IFERROR(__xludf.DUMMYFUNCTION("""COMPUTED_VALUE"""),98.965148)</f>
        <v>98.965148</v>
      </c>
      <c r="AF1793" s="3" t="str">
        <f>IFERROR(__xludf.DUMMYFUNCTION("""COMPUTED_VALUE"""),"MBC ตลาดวังตาล ลำพูน-22479")</f>
        <v>MBC ตลาดวังตาล ลำพูน-22479</v>
      </c>
      <c r="AG1793" s="3" t="str">
        <f>IFERROR(__xludf.DUMMYFUNCTION("""COMPUTED_VALUE"""),"เหนือ")</f>
        <v>เหนือ</v>
      </c>
      <c r="AH1793" s="3" t="str">
        <f>IFERROR(__xludf.DUMMYFUNCTION("""COMPUTED_VALUE"""),"#N/A")</f>
        <v>#N/A</v>
      </c>
      <c r="AI1793" s="3" t="str">
        <f>IFERROR(__xludf.DUMMYFUNCTION("""COMPUTED_VALUE"""),"Out of warranty")</f>
        <v>Out of warranty</v>
      </c>
      <c r="AJ1793" s="3">
        <f>IFERROR(__xludf.DUMMYFUNCTION("""COMPUTED_VALUE"""),46.0)</f>
        <v>46</v>
      </c>
      <c r="AK1793" s="3" t="str">
        <f>IFERROR(__xludf.DUMMYFUNCTION("""COMPUTED_VALUE"""),"MMS10")</f>
        <v>MMS10</v>
      </c>
      <c r="AL1793" s="3"/>
    </row>
    <row r="1794" ht="15.75" customHeight="1">
      <c r="A1794" s="1" t="str">
        <f>IFERROR(__xludf.DUMMYFUNCTION("""COMPUTED_VALUE"""),"22480")</f>
        <v>22480</v>
      </c>
      <c r="B1794" s="2">
        <f>IFERROR(__xludf.DUMMYFUNCTION("""COMPUTED_VALUE"""),22480.0)</f>
        <v>22480</v>
      </c>
      <c r="C1794" s="3" t="str">
        <f>IFERROR(__xludf.DUMMYFUNCTION("""COMPUTED_VALUE"""),"BCM ชุมชนเนินพะยอม ระยอง")</f>
        <v>BCM ชุมชนเนินพะยอม ระยอง</v>
      </c>
      <c r="D1794" s="3" t="str">
        <f>IFERROR(__xludf.DUMMYFUNCTION("""COMPUTED_VALUE"""),"BCM CHUMCHON NOEN PHRAYOM")</f>
        <v>BCM CHUMCHON NOEN PHRAYOM</v>
      </c>
      <c r="E1794" s="1" t="str">
        <f>IFERROR(__xludf.DUMMYFUNCTION("""COMPUTED_VALUE"""),"บิ๊กซี MINI")</f>
        <v>บิ๊กซี MINI</v>
      </c>
      <c r="F1794" s="1" t="str">
        <f>IFERROR(__xludf.DUMMYFUNCTION("""COMPUTED_VALUE"""),"221716")</f>
        <v>221716</v>
      </c>
      <c r="G1794" s="1" t="str">
        <f>IFERROR(__xludf.DUMMYFUNCTION("""COMPUTED_VALUE"""),"น.ส.เบญจพร โพธิสาร")</f>
        <v>น.ส.เบญจพร โพธิสาร</v>
      </c>
      <c r="H1794" s="1" t="str">
        <f>IFERROR(__xludf.DUMMYFUNCTION("""COMPUTED_VALUE"""),"359233")</f>
        <v>359233</v>
      </c>
      <c r="I1794" s="1" t="str">
        <f>IFERROR(__xludf.DUMMYFUNCTION("""COMPUTED_VALUE"""),"น.ส.ปยุดา คำมีอ่อน")</f>
        <v>น.ส.ปยุดา คำมีอ่อน</v>
      </c>
      <c r="J1794" s="3">
        <f>IFERROR(__xludf.DUMMYFUNCTION("""COMPUTED_VALUE"""),2452376.0)</f>
        <v>2452376</v>
      </c>
      <c r="K1794" s="3" t="str">
        <f>IFERROR(__xludf.DUMMYFUNCTION("""COMPUTED_VALUE"""),"นายภาคภูมิ ทวีกุล")</f>
        <v>นายภาคภูมิ ทวีกุล</v>
      </c>
      <c r="L1794" s="1" t="str">
        <f>IFERROR(__xludf.DUMMYFUNCTION("""COMPUTED_VALUE"""),"08 K.Parkphum T.")</f>
        <v>08 K.Parkphum T.</v>
      </c>
      <c r="M1794" s="1" t="str">
        <f>IFERROR(__xludf.DUMMYFUNCTION("""COMPUTED_VALUE"""),"097-919-5476")</f>
        <v>097-919-5476</v>
      </c>
      <c r="N1794" s="3">
        <f>IFERROR(__xludf.DUMMYFUNCTION("""COMPUTED_VALUE"""),22028.0)</f>
        <v>22028</v>
      </c>
      <c r="O1794" s="3" t="str">
        <f>IFERROR(__xludf.DUMMYFUNCTION("""COMPUTED_VALUE"""),"MBC ทํบมา ระยอง")</f>
        <v>MBC ทํบมา ระยอง</v>
      </c>
      <c r="P1794" s="4">
        <f>IFERROR(__xludf.DUMMYFUNCTION("""COMPUTED_VALUE"""),44734.0)</f>
        <v>44734</v>
      </c>
      <c r="Q1794" s="3" t="str">
        <f>IFERROR(__xludf.DUMMYFUNCTION("""COMPUTED_VALUE"""),"A")</f>
        <v>A</v>
      </c>
      <c r="R1794" s="3" t="str">
        <f>IFERROR(__xludf.DUMMYFUNCTION("""COMPUTED_VALUE"""),"Small Format")</f>
        <v>Small Format</v>
      </c>
      <c r="S1794" s="3" t="str">
        <f>IFERROR(__xludf.DUMMYFUNCTION("""COMPUTED_VALUE"""),"BCM")</f>
        <v>BCM</v>
      </c>
      <c r="T1794" s="3" t="str">
        <f>IFERROR(__xludf.DUMMYFUNCTION("""COMPUTED_VALUE"""),"#N/A")</f>
        <v>#N/A</v>
      </c>
      <c r="U1794" s="3" t="str">
        <f>IFERROR(__xludf.DUMMYFUNCTION("""COMPUTED_VALUE"""),"#N/A")</f>
        <v>#N/A</v>
      </c>
      <c r="V1794" s="3" t="str">
        <f>IFERROR(__xludf.DUMMYFUNCTION("""COMPUTED_VALUE"""),"N")</f>
        <v>N</v>
      </c>
      <c r="W1794" s="3">
        <f>IFERROR(__xludf.DUMMYFUNCTION("""COMPUTED_VALUE"""),210553.0)</f>
        <v>210553</v>
      </c>
      <c r="X1794" s="3" t="str">
        <f>IFERROR(__xludf.DUMMYFUNCTION("""COMPUTED_VALUE"""),"199/2 ถนนเนินพะยอม ตำบลมาบตาพุด อำเภอเมืองระยอง จังหวัดระยอง 21150")</f>
        <v>199/2 ถนนเนินพะยอม ตำบลมาบตาพุด อำเภอเมืองระยอง จังหวัดระยอง 21150</v>
      </c>
      <c r="Y1794" s="3" t="str">
        <f>IFERROR(__xludf.DUMMYFUNCTION("""COMPUTED_VALUE"""),"เนินพะยอม")</f>
        <v>เนินพะยอม</v>
      </c>
      <c r="Z1794" s="3" t="str">
        <f>IFERROR(__xludf.DUMMYFUNCTION("""COMPUTED_VALUE"""),"มาบตาพุด")</f>
        <v>มาบตาพุด</v>
      </c>
      <c r="AA1794" s="3" t="str">
        <f>IFERROR(__xludf.DUMMYFUNCTION("""COMPUTED_VALUE"""),"เมืองระยอง")</f>
        <v>เมืองระยอง</v>
      </c>
      <c r="AB1794" s="3" t="str">
        <f>IFERROR(__xludf.DUMMYFUNCTION("""COMPUTED_VALUE"""),"ระยอง")</f>
        <v>ระยอง</v>
      </c>
      <c r="AC1794" s="3">
        <f>IFERROR(__xludf.DUMMYFUNCTION("""COMPUTED_VALUE"""),21150.0)</f>
        <v>21150</v>
      </c>
      <c r="AD1794" s="3">
        <f>IFERROR(__xludf.DUMMYFUNCTION("""COMPUTED_VALUE"""),12.7278943)</f>
        <v>12.7278943</v>
      </c>
      <c r="AE1794" s="3" t="str">
        <f>IFERROR(__xludf.DUMMYFUNCTION("""COMPUTED_VALUE"""),"101.1694 874")</f>
        <v>101.1694 874</v>
      </c>
      <c r="AF1794" s="3" t="str">
        <f>IFERROR(__xludf.DUMMYFUNCTION("""COMPUTED_VALUE"""),"BCM ชุมชนเนินพะยอม ระยอง-22480")</f>
        <v>BCM ชุมชนเนินพะยอม ระยอง-22480</v>
      </c>
      <c r="AG1794" s="3" t="str">
        <f>IFERROR(__xludf.DUMMYFUNCTION("""COMPUTED_VALUE"""),"ตะวันออก")</f>
        <v>ตะวันออก</v>
      </c>
      <c r="AH1794" s="3" t="str">
        <f>IFERROR(__xludf.DUMMYFUNCTION("""COMPUTED_VALUE"""),"#N/A")</f>
        <v>#N/A</v>
      </c>
      <c r="AI1794" s="3" t="str">
        <f>IFERROR(__xludf.DUMMYFUNCTION("""COMPUTED_VALUE"""),"Out of warranty")</f>
        <v>Out of warranty</v>
      </c>
      <c r="AJ1794" s="3">
        <f>IFERROR(__xludf.DUMMYFUNCTION("""COMPUTED_VALUE"""),43.0)</f>
        <v>43</v>
      </c>
      <c r="AK1794" s="3" t="str">
        <f>IFERROR(__xludf.DUMMYFUNCTION("""COMPUTED_VALUE"""),"MMS08")</f>
        <v>MMS08</v>
      </c>
      <c r="AL1794" s="3"/>
    </row>
    <row r="1795" ht="15.75" customHeight="1">
      <c r="A1795" s="1" t="str">
        <f>IFERROR(__xludf.DUMMYFUNCTION("""COMPUTED_VALUE"""),"22481")</f>
        <v>22481</v>
      </c>
      <c r="B1795" s="2">
        <f>IFERROR(__xludf.DUMMYFUNCTION("""COMPUTED_VALUE"""),22481.0)</f>
        <v>22481</v>
      </c>
      <c r="C1795" s="3" t="str">
        <f>IFERROR(__xludf.DUMMYFUNCTION("""COMPUTED_VALUE"""),"MBC เมืองแกน เชียงใหม่")</f>
        <v>MBC เมืองแกน เชียงใหม่</v>
      </c>
      <c r="D1795" s="3" t="str">
        <f>IFERROR(__xludf.DUMMYFUNCTION("""COMPUTED_VALUE"""),"BCM MUEANG GAN CHIANGMAI")</f>
        <v>BCM MUEANG GAN CHIANGMAI</v>
      </c>
      <c r="E1795" s="1" t="str">
        <f>IFERROR(__xludf.DUMMYFUNCTION("""COMPUTED_VALUE"""),"บิ๊กซี MINI")</f>
        <v>บิ๊กซี MINI</v>
      </c>
      <c r="F1795" s="1" t="str">
        <f>IFERROR(__xludf.DUMMYFUNCTION("""COMPUTED_VALUE"""),"296229")</f>
        <v>296229</v>
      </c>
      <c r="G1795" s="1" t="str">
        <f>IFERROR(__xludf.DUMMYFUNCTION("""COMPUTED_VALUE"""),"นายทนงศักดิ์ บุญมา")</f>
        <v>นายทนงศักดิ์ บุญมา</v>
      </c>
      <c r="H1795" s="1" t="str">
        <f>IFERROR(__xludf.DUMMYFUNCTION("""COMPUTED_VALUE"""),"393402")</f>
        <v>393402</v>
      </c>
      <c r="I1795" s="1" t="str">
        <f>IFERROR(__xludf.DUMMYFUNCTION("""COMPUTED_VALUE"""),"น.ส.ปารมิตา ใจตรง")</f>
        <v>น.ส.ปารมิตา ใจตรง</v>
      </c>
      <c r="J1795" s="3">
        <f>IFERROR(__xludf.DUMMYFUNCTION("""COMPUTED_VALUE"""),2010016.0)</f>
        <v>2010016</v>
      </c>
      <c r="K1795" s="3" t="str">
        <f>IFERROR(__xludf.DUMMYFUNCTION("""COMPUTED_VALUE"""),"นายตวงธรรม ใหม่ยศ")</f>
        <v>นายตวงธรรม ใหม่ยศ</v>
      </c>
      <c r="L1795" s="1" t="str">
        <f>IFERROR(__xludf.DUMMYFUNCTION("""COMPUTED_VALUE"""),"01 K.Tuangtham M.")</f>
        <v>01 K.Tuangtham M.</v>
      </c>
      <c r="M1795" s="1" t="str">
        <f>IFERROR(__xludf.DUMMYFUNCTION("""COMPUTED_VALUE"""),"063-976-595")</f>
        <v>063-976-595</v>
      </c>
      <c r="N1795" s="3">
        <f>IFERROR(__xludf.DUMMYFUNCTION("""COMPUTED_VALUE"""),22574.0)</f>
        <v>22574</v>
      </c>
      <c r="O1795" s="3" t="str">
        <f>IFERROR(__xludf.DUMMYFUNCTION("""COMPUTED_VALUE"""),"BCM ชุมชนศรีชุม ลำปาง")</f>
        <v>BCM ชุมชนศรีชุม ลำปาง</v>
      </c>
      <c r="P1795" s="4">
        <f>IFERROR(__xludf.DUMMYFUNCTION("""COMPUTED_VALUE"""),44668.0)</f>
        <v>44668</v>
      </c>
      <c r="Q1795" s="3" t="str">
        <f>IFERROR(__xludf.DUMMYFUNCTION("""COMPUTED_VALUE"""),"A")</f>
        <v>A</v>
      </c>
      <c r="R1795" s="3" t="str">
        <f>IFERROR(__xludf.DUMMYFUNCTION("""COMPUTED_VALUE"""),"Small Format")</f>
        <v>Small Format</v>
      </c>
      <c r="S1795" s="3" t="str">
        <f>IFERROR(__xludf.DUMMYFUNCTION("""COMPUTED_VALUE"""),"BCM")</f>
        <v>BCM</v>
      </c>
      <c r="T1795" s="3" t="str">
        <f>IFERROR(__xludf.DUMMYFUNCTION("""COMPUTED_VALUE"""),"#N/A")</f>
        <v>#N/A</v>
      </c>
      <c r="U1795" s="3" t="str">
        <f>IFERROR(__xludf.DUMMYFUNCTION("""COMPUTED_VALUE"""),"#N/A")</f>
        <v>#N/A</v>
      </c>
      <c r="V1795" s="3" t="str">
        <f>IFERROR(__xludf.DUMMYFUNCTION("""COMPUTED_VALUE"""),"N")</f>
        <v>N</v>
      </c>
      <c r="W1795" s="3">
        <f>IFERROR(__xludf.DUMMYFUNCTION("""COMPUTED_VALUE"""),210550.0)</f>
        <v>210550</v>
      </c>
      <c r="X1795" s="3" t="str">
        <f>IFERROR(__xludf.DUMMYFUNCTION("""COMPUTED_VALUE"""),"เลขที่75/4-8 ตำบลอินทขิล อำเภอแม่แตง จังหวัดเชียงใหม่ 50150")</f>
        <v>เลขที่75/4-8 ตำบลอินทขิล อำเภอแม่แตง จังหวัดเชียงใหม่ 50150</v>
      </c>
      <c r="Y1795" s="3"/>
      <c r="Z1795" s="3" t="str">
        <f>IFERROR(__xludf.DUMMYFUNCTION("""COMPUTED_VALUE"""),"อินทขิล")</f>
        <v>อินทขิล</v>
      </c>
      <c r="AA1795" s="3" t="str">
        <f>IFERROR(__xludf.DUMMYFUNCTION("""COMPUTED_VALUE"""),"แม่แตง")</f>
        <v>แม่แตง</v>
      </c>
      <c r="AB1795" s="3" t="str">
        <f>IFERROR(__xludf.DUMMYFUNCTION("""COMPUTED_VALUE"""),"เชียงใหม่")</f>
        <v>เชียงใหม่</v>
      </c>
      <c r="AC1795" s="3">
        <f>IFERROR(__xludf.DUMMYFUNCTION("""COMPUTED_VALUE"""),50150.0)</f>
        <v>50150</v>
      </c>
      <c r="AD1795" s="3" t="str">
        <f>IFERROR(__xludf.DUMMYFUNCTION("""COMPUTED_VALUE"""),"19.14507 2")</f>
        <v>19.14507 2</v>
      </c>
      <c r="AE1795" s="3" t="str">
        <f>IFERROR(__xludf.DUMMYFUNCTION("""COMPUTED_VALUE"""),"99.0 01304")</f>
        <v>99.0 01304</v>
      </c>
      <c r="AF1795" s="3" t="str">
        <f>IFERROR(__xludf.DUMMYFUNCTION("""COMPUTED_VALUE"""),"MBC เมืองแกน เชียงใหม่-22481")</f>
        <v>MBC เมืองแกน เชียงใหม่-22481</v>
      </c>
      <c r="AG1795" s="3" t="str">
        <f>IFERROR(__xludf.DUMMYFUNCTION("""COMPUTED_VALUE"""),"เหนือ")</f>
        <v>เหนือ</v>
      </c>
      <c r="AH1795" s="3" t="str">
        <f>IFERROR(__xludf.DUMMYFUNCTION("""COMPUTED_VALUE"""),"#N/A")</f>
        <v>#N/A</v>
      </c>
      <c r="AI1795" s="3" t="str">
        <f>IFERROR(__xludf.DUMMYFUNCTION("""COMPUTED_VALUE"""),"Out of warranty")</f>
        <v>Out of warranty</v>
      </c>
      <c r="AJ1795" s="3">
        <f>IFERROR(__xludf.DUMMYFUNCTION("""COMPUTED_VALUE"""),46.0)</f>
        <v>46</v>
      </c>
      <c r="AK1795" s="3" t="str">
        <f>IFERROR(__xludf.DUMMYFUNCTION("""COMPUTED_VALUE"""),"MMS10")</f>
        <v>MMS10</v>
      </c>
      <c r="AL1795" s="3"/>
    </row>
    <row r="1796" ht="15.75" customHeight="1">
      <c r="A1796" s="1" t="str">
        <f>IFERROR(__xludf.DUMMYFUNCTION("""COMPUTED_VALUE"""),"22482")</f>
        <v>22482</v>
      </c>
      <c r="B1796" s="2">
        <f>IFERROR(__xludf.DUMMYFUNCTION("""COMPUTED_VALUE"""),22482.0)</f>
        <v>22482</v>
      </c>
      <c r="C1796" s="3" t="str">
        <f>IFERROR(__xludf.DUMMYFUNCTION("""COMPUTED_VALUE"""),"MBC หน้า มบ.แสนสราญ เชียงใหม่")</f>
        <v>MBC หน้า มบ.แสนสราญ เชียงใหม่</v>
      </c>
      <c r="D1796" s="3" t="str">
        <f>IFERROR(__xludf.DUMMYFUNCTION("""COMPUTED_VALUE"""),"BCM NA MOOBAN SANSARAN")</f>
        <v>BCM NA MOOBAN SANSARAN</v>
      </c>
      <c r="E1796" s="1" t="str">
        <f>IFERROR(__xludf.DUMMYFUNCTION("""COMPUTED_VALUE"""),"บิ๊กซี MINI")</f>
        <v>บิ๊กซี MINI</v>
      </c>
      <c r="F1796" s="1" t="str">
        <f>IFERROR(__xludf.DUMMYFUNCTION("""COMPUTED_VALUE"""),"296229")</f>
        <v>296229</v>
      </c>
      <c r="G1796" s="1" t="str">
        <f>IFERROR(__xludf.DUMMYFUNCTION("""COMPUTED_VALUE"""),"นายทนงศักดิ์ บุญมา")</f>
        <v>นายทนงศักดิ์ บุญมา</v>
      </c>
      <c r="H1796" s="1" t="str">
        <f>IFERROR(__xludf.DUMMYFUNCTION("""COMPUTED_VALUE"""),"392003")</f>
        <v>392003</v>
      </c>
      <c r="I1796" s="1" t="str">
        <f>IFERROR(__xludf.DUMMYFUNCTION("""COMPUTED_VALUE"""),"นายวรภพ เศษสูงเนิน")</f>
        <v>นายวรภพ เศษสูงเนิน</v>
      </c>
      <c r="J1796" s="3">
        <f>IFERROR(__xludf.DUMMYFUNCTION("""COMPUTED_VALUE"""),2010016.0)</f>
        <v>2010016</v>
      </c>
      <c r="K1796" s="3" t="str">
        <f>IFERROR(__xludf.DUMMYFUNCTION("""COMPUTED_VALUE"""),"นายตวงธรรม ใหม่ยศ")</f>
        <v>นายตวงธรรม ใหม่ยศ</v>
      </c>
      <c r="L1796" s="1" t="str">
        <f>IFERROR(__xludf.DUMMYFUNCTION("""COMPUTED_VALUE"""),"01 K.Tuangtham M.")</f>
        <v>01 K.Tuangtham M.</v>
      </c>
      <c r="M1796" s="1" t="str">
        <f>IFERROR(__xludf.DUMMYFUNCTION("""COMPUTED_VALUE"""),"063-976-595")</f>
        <v>063-976-595</v>
      </c>
      <c r="N1796" s="3">
        <f>IFERROR(__xludf.DUMMYFUNCTION("""COMPUTED_VALUE"""),22574.0)</f>
        <v>22574</v>
      </c>
      <c r="O1796" s="3" t="str">
        <f>IFERROR(__xludf.DUMMYFUNCTION("""COMPUTED_VALUE"""),"BCM ชุมชนศรีชุม ลำปาง")</f>
        <v>BCM ชุมชนศรีชุม ลำปาง</v>
      </c>
      <c r="P1796" s="4">
        <f>IFERROR(__xludf.DUMMYFUNCTION("""COMPUTED_VALUE"""),44673.0)</f>
        <v>44673</v>
      </c>
      <c r="Q1796" s="3" t="str">
        <f>IFERROR(__xludf.DUMMYFUNCTION("""COMPUTED_VALUE"""),"A")</f>
        <v>A</v>
      </c>
      <c r="R1796" s="3" t="str">
        <f>IFERROR(__xludf.DUMMYFUNCTION("""COMPUTED_VALUE"""),"Small Format")</f>
        <v>Small Format</v>
      </c>
      <c r="S1796" s="3" t="str">
        <f>IFERROR(__xludf.DUMMYFUNCTION("""COMPUTED_VALUE"""),"BCM")</f>
        <v>BCM</v>
      </c>
      <c r="T1796" s="3" t="str">
        <f>IFERROR(__xludf.DUMMYFUNCTION("""COMPUTED_VALUE"""),"#N/A")</f>
        <v>#N/A</v>
      </c>
      <c r="U1796" s="3" t="str">
        <f>IFERROR(__xludf.DUMMYFUNCTION("""COMPUTED_VALUE"""),"#N/A")</f>
        <v>#N/A</v>
      </c>
      <c r="V1796" s="3" t="str">
        <f>IFERROR(__xludf.DUMMYFUNCTION("""COMPUTED_VALUE"""),"N")</f>
        <v>N</v>
      </c>
      <c r="W1796" s="3">
        <f>IFERROR(__xludf.DUMMYFUNCTION("""COMPUTED_VALUE"""),210525.0)</f>
        <v>210525</v>
      </c>
      <c r="X1796" s="3" t="str">
        <f>IFERROR(__xludf.DUMMYFUNCTION("""COMPUTED_VALUE"""),"167 หมู่4 ตำบลหนองควาย อำเภอหางดง จังหวัดเชียงใหม่ 50230")</f>
        <v>167 หมู่4 ตำบลหนองควาย อำเภอหางดง จังหวัดเชียงใหม่ 50230</v>
      </c>
      <c r="Y1796" s="3"/>
      <c r="Z1796" s="3" t="str">
        <f>IFERROR(__xludf.DUMMYFUNCTION("""COMPUTED_VALUE"""),"หนองควาย")</f>
        <v>หนองควาย</v>
      </c>
      <c r="AA1796" s="3" t="str">
        <f>IFERROR(__xludf.DUMMYFUNCTION("""COMPUTED_VALUE"""),"หางดง")</f>
        <v>หางดง</v>
      </c>
      <c r="AB1796" s="3" t="str">
        <f>IFERROR(__xludf.DUMMYFUNCTION("""COMPUTED_VALUE"""),"เชียงใหม่")</f>
        <v>เชียงใหม่</v>
      </c>
      <c r="AC1796" s="3">
        <f>IFERROR(__xludf.DUMMYFUNCTION("""COMPUTED_VALUE"""),50230.0)</f>
        <v>50230</v>
      </c>
      <c r="AD1796" s="3">
        <f>IFERROR(__xludf.DUMMYFUNCTION("""COMPUTED_VALUE"""),18.725888)</f>
        <v>18.725888</v>
      </c>
      <c r="AE1796" s="3">
        <f>IFERROR(__xludf.DUMMYFUNCTION("""COMPUTED_VALUE"""),98.91759)</f>
        <v>98.91759</v>
      </c>
      <c r="AF1796" s="3" t="str">
        <f>IFERROR(__xludf.DUMMYFUNCTION("""COMPUTED_VALUE"""),"MBC หน้า มบ.แสนสราญ เชียงใหม่-22482")</f>
        <v>MBC หน้า มบ.แสนสราญ เชียงใหม่-22482</v>
      </c>
      <c r="AG1796" s="3" t="str">
        <f>IFERROR(__xludf.DUMMYFUNCTION("""COMPUTED_VALUE"""),"เหนือ")</f>
        <v>เหนือ</v>
      </c>
      <c r="AH1796" s="3" t="str">
        <f>IFERROR(__xludf.DUMMYFUNCTION("""COMPUTED_VALUE"""),"#N/A")</f>
        <v>#N/A</v>
      </c>
      <c r="AI1796" s="3" t="str">
        <f>IFERROR(__xludf.DUMMYFUNCTION("""COMPUTED_VALUE"""),"Out of warranty")</f>
        <v>Out of warranty</v>
      </c>
      <c r="AJ1796" s="3">
        <f>IFERROR(__xludf.DUMMYFUNCTION("""COMPUTED_VALUE"""),45.0)</f>
        <v>45</v>
      </c>
      <c r="AK1796" s="3" t="str">
        <f>IFERROR(__xludf.DUMMYFUNCTION("""COMPUTED_VALUE"""),"MMS10")</f>
        <v>MMS10</v>
      </c>
      <c r="AL1796" s="3"/>
    </row>
    <row r="1797" ht="15.75" customHeight="1">
      <c r="A1797" s="1" t="str">
        <f>IFERROR(__xludf.DUMMYFUNCTION("""COMPUTED_VALUE"""),"22483")</f>
        <v>22483</v>
      </c>
      <c r="B1797" s="2">
        <f>IFERROR(__xludf.DUMMYFUNCTION("""COMPUTED_VALUE"""),22483.0)</f>
        <v>22483</v>
      </c>
      <c r="C1797" s="3" t="str">
        <f>IFERROR(__xludf.DUMMYFUNCTION("""COMPUTED_VALUE"""),"MBC บ้านปากน้ำ ปัตตานี")</f>
        <v>MBC บ้านปากน้ำ ปัตตานี</v>
      </c>
      <c r="D1797" s="3" t="str">
        <f>IFERROR(__xludf.DUMMYFUNCTION("""COMPUTED_VALUE"""),"BCM BAN PAK NUM PATTANI")</f>
        <v>BCM BAN PAK NUM PATTANI</v>
      </c>
      <c r="E1797" s="1" t="str">
        <f>IFERROR(__xludf.DUMMYFUNCTION("""COMPUTED_VALUE"""),"บิ๊กซี MINI")</f>
        <v>บิ๊กซี MINI</v>
      </c>
      <c r="F1797" s="1" t="str">
        <f>IFERROR(__xludf.DUMMYFUNCTION("""COMPUTED_VALUE"""),"250760")</f>
        <v>250760</v>
      </c>
      <c r="G1797" s="1" t="str">
        <f>IFERROR(__xludf.DUMMYFUNCTION("""COMPUTED_VALUE"""),"นายประทวน สาราบรรณ์")</f>
        <v>นายประทวน สาราบรรณ์</v>
      </c>
      <c r="H1797" s="1" t="str">
        <f>IFERROR(__xludf.DUMMYFUNCTION("""COMPUTED_VALUE"""),"394185")</f>
        <v>394185</v>
      </c>
      <c r="I1797" s="1" t="str">
        <f>IFERROR(__xludf.DUMMYFUNCTION("""COMPUTED_VALUE"""),"น.ส.ฐาปนี สุวรรณรัตน์")</f>
        <v>น.ส.ฐาปนี สุวรรณรัตน์</v>
      </c>
      <c r="J1797" s="3">
        <f>IFERROR(__xludf.DUMMYFUNCTION("""COMPUTED_VALUE"""),2.0470331E7)</f>
        <v>20470331</v>
      </c>
      <c r="K1797" s="3" t="str">
        <f>IFERROR(__xludf.DUMMYFUNCTION("""COMPUTED_VALUE"""),"นายสมชาย ลักษณะสุวรรณ")</f>
        <v>นายสมชาย ลักษณะสุวรรณ</v>
      </c>
      <c r="L1797" s="1" t="str">
        <f>IFERROR(__xludf.DUMMYFUNCTION("""COMPUTED_VALUE"""),"15 K.Somchai L")</f>
        <v>15 K.Somchai L</v>
      </c>
      <c r="M1797" s="1" t="str">
        <f>IFERROR(__xludf.DUMMYFUNCTION("""COMPUTED_VALUE"""),"0655107372")</f>
        <v>0655107372</v>
      </c>
      <c r="N1797" s="3">
        <f>IFERROR(__xludf.DUMMYFUNCTION("""COMPUTED_VALUE"""),21723.0)</f>
        <v>21723</v>
      </c>
      <c r="O1797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797" s="4">
        <f>IFERROR(__xludf.DUMMYFUNCTION("""COMPUTED_VALUE"""),44676.0)</f>
        <v>44676</v>
      </c>
      <c r="Q1797" s="3" t="str">
        <f>IFERROR(__xludf.DUMMYFUNCTION("""COMPUTED_VALUE"""),"A")</f>
        <v>A</v>
      </c>
      <c r="R1797" s="3" t="str">
        <f>IFERROR(__xludf.DUMMYFUNCTION("""COMPUTED_VALUE"""),"Small Format")</f>
        <v>Small Format</v>
      </c>
      <c r="S1797" s="3" t="str">
        <f>IFERROR(__xludf.DUMMYFUNCTION("""COMPUTED_VALUE"""),"BCM")</f>
        <v>BCM</v>
      </c>
      <c r="T1797" s="3" t="str">
        <f>IFERROR(__xludf.DUMMYFUNCTION("""COMPUTED_VALUE"""),"#N/A")</f>
        <v>#N/A</v>
      </c>
      <c r="U1797" s="3" t="str">
        <f>IFERROR(__xludf.DUMMYFUNCTION("""COMPUTED_VALUE"""),"#N/A")</f>
        <v>#N/A</v>
      </c>
      <c r="V1797" s="3" t="str">
        <f>IFERROR(__xludf.DUMMYFUNCTION("""COMPUTED_VALUE"""),"N")</f>
        <v>N</v>
      </c>
      <c r="W1797" s="3">
        <f>IFERROR(__xludf.DUMMYFUNCTION("""COMPUTED_VALUE"""),210531.0)</f>
        <v>210531</v>
      </c>
      <c r="X1797" s="3" t="str">
        <f>IFERROR(__xludf.DUMMYFUNCTION("""COMPUTED_VALUE"""),"43/19 ถนนปากน้ำ ตำบลสะบารัง อำเภอเมืองปัตตานี จังหวัดปัตตานี 94000")</f>
        <v>43/19 ถนนปากน้ำ ตำบลสะบารัง อำเภอเมืองปัตตานี จังหวัดปัตตานี 94000</v>
      </c>
      <c r="Y1797" s="3" t="str">
        <f>IFERROR(__xludf.DUMMYFUNCTION("""COMPUTED_VALUE"""),"ปากน้ำ")</f>
        <v>ปากน้ำ</v>
      </c>
      <c r="Z1797" s="3" t="str">
        <f>IFERROR(__xludf.DUMMYFUNCTION("""COMPUTED_VALUE"""),"สะบารัง")</f>
        <v>สะบารัง</v>
      </c>
      <c r="AA1797" s="3" t="str">
        <f>IFERROR(__xludf.DUMMYFUNCTION("""COMPUTED_VALUE"""),"เมืองปัตตานี")</f>
        <v>เมืองปัตตานี</v>
      </c>
      <c r="AB1797" s="3" t="str">
        <f>IFERROR(__xludf.DUMMYFUNCTION("""COMPUTED_VALUE"""),"ปัตตานี")</f>
        <v>ปัตตานี</v>
      </c>
      <c r="AC1797" s="3">
        <f>IFERROR(__xludf.DUMMYFUNCTION("""COMPUTED_VALUE"""),94000.0)</f>
        <v>94000</v>
      </c>
      <c r="AD1797" s="3">
        <f>IFERROR(__xludf.DUMMYFUNCTION("""COMPUTED_VALUE"""),6.880343)</f>
        <v>6.880343</v>
      </c>
      <c r="AE1797" s="3">
        <f>IFERROR(__xludf.DUMMYFUNCTION("""COMPUTED_VALUE"""),101.252832)</f>
        <v>101.252832</v>
      </c>
      <c r="AF1797" s="3" t="str">
        <f>IFERROR(__xludf.DUMMYFUNCTION("""COMPUTED_VALUE"""),"MBC บ้านปากน้ำ ปัตตานี-22483")</f>
        <v>MBC บ้านปากน้ำ ปัตตานี-22483</v>
      </c>
      <c r="AG1797" s="3" t="str">
        <f>IFERROR(__xludf.DUMMYFUNCTION("""COMPUTED_VALUE"""),"ใต้")</f>
        <v>ใต้</v>
      </c>
      <c r="AH1797" s="3" t="str">
        <f>IFERROR(__xludf.DUMMYFUNCTION("""COMPUTED_VALUE"""),"#N/A")</f>
        <v>#N/A</v>
      </c>
      <c r="AI1797" s="3" t="str">
        <f>IFERROR(__xludf.DUMMYFUNCTION("""COMPUTED_VALUE"""),"Out of warranty")</f>
        <v>Out of warranty</v>
      </c>
      <c r="AJ1797" s="3">
        <f>IFERROR(__xludf.DUMMYFUNCTION("""COMPUTED_VALUE"""),45.0)</f>
        <v>45</v>
      </c>
      <c r="AK1797" s="3" t="str">
        <f>IFERROR(__xludf.DUMMYFUNCTION("""COMPUTED_VALUE"""),"MMS16")</f>
        <v>MMS16</v>
      </c>
      <c r="AL1797" s="3"/>
    </row>
    <row r="1798" ht="15.75" customHeight="1">
      <c r="A1798" s="1" t="str">
        <f>IFERROR(__xludf.DUMMYFUNCTION("""COMPUTED_VALUE"""),"22484")</f>
        <v>22484</v>
      </c>
      <c r="B1798" s="2">
        <f>IFERROR(__xludf.DUMMYFUNCTION("""COMPUTED_VALUE"""),22484.0)</f>
        <v>22484</v>
      </c>
      <c r="C1798" s="3" t="str">
        <f>IFERROR(__xludf.DUMMYFUNCTION("""COMPUTED_VALUE"""),"BCM ชุมชนป่าก่อ เชียงราย")</f>
        <v>BCM ชุมชนป่าก่อ เชียงราย</v>
      </c>
      <c r="D1798" s="3" t="str">
        <f>IFERROR(__xludf.DUMMYFUNCTION("""COMPUTED_VALUE"""),"BCM CHUMCHON PAKO CHIANGRAI")</f>
        <v>BCM CHUMCHON PAKO CHIANGRAI</v>
      </c>
      <c r="E1798" s="1" t="str">
        <f>IFERROR(__xludf.DUMMYFUNCTION("""COMPUTED_VALUE"""),"บิ๊กซี MINI")</f>
        <v>บิ๊กซี MINI</v>
      </c>
      <c r="F1798" s="1" t="str">
        <f>IFERROR(__xludf.DUMMYFUNCTION("""COMPUTED_VALUE"""),"296229")</f>
        <v>296229</v>
      </c>
      <c r="G1798" s="1" t="str">
        <f>IFERROR(__xludf.DUMMYFUNCTION("""COMPUTED_VALUE"""),"นายทนงศักดิ์ บุญมา")</f>
        <v>นายทนงศักดิ์ บุญมา</v>
      </c>
      <c r="H1798" s="1" t="str">
        <f>IFERROR(__xludf.DUMMYFUNCTION("""COMPUTED_VALUE"""),"392585")</f>
        <v>392585</v>
      </c>
      <c r="I1798" s="1" t="str">
        <f>IFERROR(__xludf.DUMMYFUNCTION("""COMPUTED_VALUE"""),"นายไชยัณต์ ผิวขัวเรียง")</f>
        <v>นายไชยัณต์ ผิวขัวเรียง</v>
      </c>
      <c r="J1798" s="3">
        <f>IFERROR(__xludf.DUMMYFUNCTION("""COMPUTED_VALUE"""),2010016.0)</f>
        <v>2010016</v>
      </c>
      <c r="K1798" s="3" t="str">
        <f>IFERROR(__xludf.DUMMYFUNCTION("""COMPUTED_VALUE"""),"นายตวงธรรม ใหม่ยศ")</f>
        <v>นายตวงธรรม ใหม่ยศ</v>
      </c>
      <c r="L1798" s="1" t="str">
        <f>IFERROR(__xludf.DUMMYFUNCTION("""COMPUTED_VALUE"""),"01 K.Tuangtham M.")</f>
        <v>01 K.Tuangtham M.</v>
      </c>
      <c r="M1798" s="1" t="str">
        <f>IFERROR(__xludf.DUMMYFUNCTION("""COMPUTED_VALUE"""),"063-976-595")</f>
        <v>063-976-595</v>
      </c>
      <c r="N1798" s="3">
        <f>IFERROR(__xludf.DUMMYFUNCTION("""COMPUTED_VALUE"""),22574.0)</f>
        <v>22574</v>
      </c>
      <c r="O1798" s="3" t="str">
        <f>IFERROR(__xludf.DUMMYFUNCTION("""COMPUTED_VALUE"""),"BCM ชุมชนศรีชุม ลำปาง")</f>
        <v>BCM ชุมชนศรีชุม ลำปาง</v>
      </c>
      <c r="P1798" s="4">
        <f>IFERROR(__xludf.DUMMYFUNCTION("""COMPUTED_VALUE"""),44673.0)</f>
        <v>44673</v>
      </c>
      <c r="Q1798" s="3" t="str">
        <f>IFERROR(__xludf.DUMMYFUNCTION("""COMPUTED_VALUE"""),"A")</f>
        <v>A</v>
      </c>
      <c r="R1798" s="3" t="str">
        <f>IFERROR(__xludf.DUMMYFUNCTION("""COMPUTED_VALUE"""),"Small Format")</f>
        <v>Small Format</v>
      </c>
      <c r="S1798" s="3" t="str">
        <f>IFERROR(__xludf.DUMMYFUNCTION("""COMPUTED_VALUE"""),"BCM")</f>
        <v>BCM</v>
      </c>
      <c r="T1798" s="3" t="str">
        <f>IFERROR(__xludf.DUMMYFUNCTION("""COMPUTED_VALUE"""),"#N/A")</f>
        <v>#N/A</v>
      </c>
      <c r="U1798" s="3" t="str">
        <f>IFERROR(__xludf.DUMMYFUNCTION("""COMPUTED_VALUE"""),"#N/A")</f>
        <v>#N/A</v>
      </c>
      <c r="V1798" s="3" t="str">
        <f>IFERROR(__xludf.DUMMYFUNCTION("""COMPUTED_VALUE"""),"N")</f>
        <v>N</v>
      </c>
      <c r="W1798" s="3">
        <f>IFERROR(__xludf.DUMMYFUNCTION("""COMPUTED_VALUE"""),210548.0)</f>
        <v>210548</v>
      </c>
      <c r="X1798" s="3" t="str">
        <f>IFERROR(__xludf.DUMMYFUNCTION("""COMPUTED_VALUE"""),"292 หมู่ที่13 ตำบลรอบเวียง อำเภอเมืองเชียงราย จังหวัดเชียงราย 57000")</f>
        <v>292 หมู่ที่13 ตำบลรอบเวียง อำเภอเมืองเชียงราย จังหวัดเชียงราย 57000</v>
      </c>
      <c r="Y1798" s="3"/>
      <c r="Z1798" s="3" t="str">
        <f>IFERROR(__xludf.DUMMYFUNCTION("""COMPUTED_VALUE"""),"รอบเวียง")</f>
        <v>รอบเวียง</v>
      </c>
      <c r="AA1798" s="3" t="str">
        <f>IFERROR(__xludf.DUMMYFUNCTION("""COMPUTED_VALUE"""),"เมืองเชียงราย")</f>
        <v>เมืองเชียงราย</v>
      </c>
      <c r="AB1798" s="3" t="str">
        <f>IFERROR(__xludf.DUMMYFUNCTION("""COMPUTED_VALUE"""),"เชียงราย")</f>
        <v>เชียงราย</v>
      </c>
      <c r="AC1798" s="3">
        <f>IFERROR(__xludf.DUMMYFUNCTION("""COMPUTED_VALUE"""),57000.0)</f>
        <v>57000</v>
      </c>
      <c r="AD1798" s="3">
        <f>IFERROR(__xludf.DUMMYFUNCTION("""COMPUTED_VALUE"""),19.890341)</f>
        <v>19.890341</v>
      </c>
      <c r="AE1798" s="3" t="str">
        <f>IFERROR(__xludf.DUMMYFUNCTION("""COMPUTED_VALUE"""),"99.8 30492")</f>
        <v>99.8 30492</v>
      </c>
      <c r="AF1798" s="3" t="str">
        <f>IFERROR(__xludf.DUMMYFUNCTION("""COMPUTED_VALUE"""),"BCM ชุมชนป่าก่อ เชียงราย-22484")</f>
        <v>BCM ชุมชนป่าก่อ เชียงราย-22484</v>
      </c>
      <c r="AG1798" s="3" t="str">
        <f>IFERROR(__xludf.DUMMYFUNCTION("""COMPUTED_VALUE"""),"เหนือ")</f>
        <v>เหนือ</v>
      </c>
      <c r="AH1798" s="3" t="str">
        <f>IFERROR(__xludf.DUMMYFUNCTION("""COMPUTED_VALUE"""),"#N/A")</f>
        <v>#N/A</v>
      </c>
      <c r="AI1798" s="3" t="str">
        <f>IFERROR(__xludf.DUMMYFUNCTION("""COMPUTED_VALUE"""),"Out of warranty")</f>
        <v>Out of warranty</v>
      </c>
      <c r="AJ1798" s="3">
        <f>IFERROR(__xludf.DUMMYFUNCTION("""COMPUTED_VALUE"""),45.0)</f>
        <v>45</v>
      </c>
      <c r="AK1798" s="3" t="str">
        <f>IFERROR(__xludf.DUMMYFUNCTION("""COMPUTED_VALUE"""),"MMS10")</f>
        <v>MMS10</v>
      </c>
      <c r="AL1798" s="3"/>
    </row>
    <row r="1799" ht="15.75" customHeight="1">
      <c r="A1799" s="1" t="str">
        <f>IFERROR(__xludf.DUMMYFUNCTION("""COMPUTED_VALUE"""),"22485")</f>
        <v>22485</v>
      </c>
      <c r="B1799" s="2">
        <f>IFERROR(__xludf.DUMMYFUNCTION("""COMPUTED_VALUE"""),22485.0)</f>
        <v>22485</v>
      </c>
      <c r="C1799" s="3" t="str">
        <f>IFERROR(__xludf.DUMMYFUNCTION("""COMPUTED_VALUE"""),"BCM บ้านซ่อง ฉะเชิงเทรา")</f>
        <v>BCM บ้านซ่อง ฉะเชิงเทรา</v>
      </c>
      <c r="D1799" s="3" t="str">
        <f>IFERROR(__xludf.DUMMYFUNCTION("""COMPUTED_VALUE"""),"BCM BAN SONG CHACHOENGSAO")</f>
        <v>BCM BAN SONG CHACHOENGSAO</v>
      </c>
      <c r="E1799" s="1" t="str">
        <f>IFERROR(__xludf.DUMMYFUNCTION("""COMPUTED_VALUE"""),"บิ๊กซี MINI")</f>
        <v>บิ๊กซี MINI</v>
      </c>
      <c r="F1799" s="1" t="str">
        <f>IFERROR(__xludf.DUMMYFUNCTION("""COMPUTED_VALUE"""),"2083447")</f>
        <v>2083447</v>
      </c>
      <c r="G1799" s="1" t="str">
        <f>IFERROR(__xludf.DUMMYFUNCTION("""COMPUTED_VALUE"""),"นายอนุกูล ศรีลัดดา")</f>
        <v>นายอนุกูล ศรีลัดดา</v>
      </c>
      <c r="H1799" s="1" t="str">
        <f>IFERROR(__xludf.DUMMYFUNCTION("""COMPUTED_VALUE"""),"254957")</f>
        <v>254957</v>
      </c>
      <c r="I1799" s="1" t="str">
        <f>IFERROR(__xludf.DUMMYFUNCTION("""COMPUTED_VALUE"""),"น.ส.ศิริพร รุ่งธัญญา")</f>
        <v>น.ส.ศิริพร รุ่งธัญญา</v>
      </c>
      <c r="J1799" s="3">
        <f>IFERROR(__xludf.DUMMYFUNCTION("""COMPUTED_VALUE"""),510143.0)</f>
        <v>510143</v>
      </c>
      <c r="K1799" s="3" t="str">
        <f>IFERROR(__xludf.DUMMYFUNCTION("""COMPUTED_VALUE"""),"นายธีระวัฒน์ บุญสิทธิ์")</f>
        <v>นายธีระวัฒน์ บุญสิทธิ์</v>
      </c>
      <c r="L1799" s="1" t="str">
        <f>IFERROR(__xludf.DUMMYFUNCTION("""COMPUTED_VALUE"""),"12 K.Theerawat B.")</f>
        <v>12 K.Theerawat B.</v>
      </c>
      <c r="M1799" s="1" t="str">
        <f>IFERROR(__xludf.DUMMYFUNCTION("""COMPUTED_VALUE"""),"0655107379")</f>
        <v>0655107379</v>
      </c>
      <c r="N1799" s="3">
        <f>IFERROR(__xludf.DUMMYFUNCTION("""COMPUTED_VALUE"""),21062.0)</f>
        <v>21062</v>
      </c>
      <c r="O1799" s="3" t="str">
        <f>IFERROR(__xludf.DUMMYFUNCTION("""COMPUTED_VALUE"""),"MBC นิคมนวนคร")</f>
        <v>MBC นิคมนวนคร</v>
      </c>
      <c r="P1799" s="4">
        <f>IFERROR(__xludf.DUMMYFUNCTION("""COMPUTED_VALUE"""),44676.0)</f>
        <v>44676</v>
      </c>
      <c r="Q1799" s="3" t="str">
        <f>IFERROR(__xludf.DUMMYFUNCTION("""COMPUTED_VALUE"""),"A")</f>
        <v>A</v>
      </c>
      <c r="R1799" s="3" t="str">
        <f>IFERROR(__xludf.DUMMYFUNCTION("""COMPUTED_VALUE"""),"Small Format")</f>
        <v>Small Format</v>
      </c>
      <c r="S1799" s="3" t="str">
        <f>IFERROR(__xludf.DUMMYFUNCTION("""COMPUTED_VALUE"""),"BCM")</f>
        <v>BCM</v>
      </c>
      <c r="T1799" s="3" t="str">
        <f>IFERROR(__xludf.DUMMYFUNCTION("""COMPUTED_VALUE"""),"#N/A")</f>
        <v>#N/A</v>
      </c>
      <c r="U1799" s="3" t="str">
        <f>IFERROR(__xludf.DUMMYFUNCTION("""COMPUTED_VALUE"""),"#N/A")</f>
        <v>#N/A</v>
      </c>
      <c r="V1799" s="3" t="str">
        <f>IFERROR(__xludf.DUMMYFUNCTION("""COMPUTED_VALUE"""),"N")</f>
        <v>N</v>
      </c>
      <c r="W1799" s="3">
        <f>IFERROR(__xludf.DUMMYFUNCTION("""COMPUTED_VALUE"""),210543.0)</f>
        <v>210543</v>
      </c>
      <c r="X1799" s="3" t="str">
        <f>IFERROR(__xludf.DUMMYFUNCTION("""COMPUTED_VALUE"""),"193/3-4 หมู่ที่10 ตำบลบ้านซ่อง อำเภอพนมสารคาม จังหวัดฉะเชิงเทรา 24120")</f>
        <v>193/3-4 หมู่ที่10 ตำบลบ้านซ่อง อำเภอพนมสารคาม จังหวัดฉะเชิงเทรา 24120</v>
      </c>
      <c r="Y1799" s="3"/>
      <c r="Z1799" s="3" t="str">
        <f>IFERROR(__xludf.DUMMYFUNCTION("""COMPUTED_VALUE"""),"บ้านซ่อง")</f>
        <v>บ้านซ่อง</v>
      </c>
      <c r="AA1799" s="3" t="str">
        <f>IFERROR(__xludf.DUMMYFUNCTION("""COMPUTED_VALUE"""),"พนมสารคาม")</f>
        <v>พนมสารคาม</v>
      </c>
      <c r="AB1799" s="3" t="str">
        <f>IFERROR(__xludf.DUMMYFUNCTION("""COMPUTED_VALUE"""),"ฉะเชิงเทรา")</f>
        <v>ฉะเชิงเทรา</v>
      </c>
      <c r="AC1799" s="3">
        <f>IFERROR(__xludf.DUMMYFUNCTION("""COMPUTED_VALUE"""),24120.0)</f>
        <v>24120</v>
      </c>
      <c r="AD1799" s="3">
        <f>IFERROR(__xludf.DUMMYFUNCTION("""COMPUTED_VALUE"""),13.8006282)</f>
        <v>13.8006282</v>
      </c>
      <c r="AE1799" s="3">
        <f>IFERROR(__xludf.DUMMYFUNCTION("""COMPUTED_VALUE"""),101.4060559)</f>
        <v>101.4060559</v>
      </c>
      <c r="AF1799" s="3" t="str">
        <f>IFERROR(__xludf.DUMMYFUNCTION("""COMPUTED_VALUE"""),"BCM บ้านซ่อง ฉะเชิงเทรา-22485")</f>
        <v>BCM บ้านซ่อง ฉะเชิงเทรา-22485</v>
      </c>
      <c r="AG1799" s="3" t="str">
        <f>IFERROR(__xludf.DUMMYFUNCTION("""COMPUTED_VALUE"""),"ตะวันออก")</f>
        <v>ตะวันออก</v>
      </c>
      <c r="AH1799" s="3" t="str">
        <f>IFERROR(__xludf.DUMMYFUNCTION("""COMPUTED_VALUE"""),"#N/A")</f>
        <v>#N/A</v>
      </c>
      <c r="AI1799" s="3" t="str">
        <f>IFERROR(__xludf.DUMMYFUNCTION("""COMPUTED_VALUE"""),"Out of warranty")</f>
        <v>Out of warranty</v>
      </c>
      <c r="AJ1799" s="3">
        <f>IFERROR(__xludf.DUMMYFUNCTION("""COMPUTED_VALUE"""),45.0)</f>
        <v>45</v>
      </c>
      <c r="AK1799" s="3" t="str">
        <f>IFERROR(__xludf.DUMMYFUNCTION("""COMPUTED_VALUE"""),"MMS07")</f>
        <v>MMS07</v>
      </c>
      <c r="AL1799" s="3"/>
    </row>
    <row r="1800" ht="15.75" customHeight="1">
      <c r="A1800" s="1" t="str">
        <f>IFERROR(__xludf.DUMMYFUNCTION("""COMPUTED_VALUE"""),"22486")</f>
        <v>22486</v>
      </c>
      <c r="B1800" s="2">
        <f>IFERROR(__xludf.DUMMYFUNCTION("""COMPUTED_VALUE"""),22486.0)</f>
        <v>22486</v>
      </c>
      <c r="C1800" s="3" t="str">
        <f>IFERROR(__xludf.DUMMYFUNCTION("""COMPUTED_VALUE"""),"MBC เทิง เชียงราย")</f>
        <v>MBC เทิง เชียงราย</v>
      </c>
      <c r="D1800" s="3" t="str">
        <f>IFERROR(__xludf.DUMMYFUNCTION("""COMPUTED_VALUE"""),"BCM THOENG CHIANGRAI")</f>
        <v>BCM THOENG CHIANGRAI</v>
      </c>
      <c r="E1800" s="1" t="str">
        <f>IFERROR(__xludf.DUMMYFUNCTION("""COMPUTED_VALUE"""),"บิ๊กซี MINI")</f>
        <v>บิ๊กซี MINI</v>
      </c>
      <c r="F1800" s="1" t="str">
        <f>IFERROR(__xludf.DUMMYFUNCTION("""COMPUTED_VALUE"""),"296229")</f>
        <v>296229</v>
      </c>
      <c r="G1800" s="1" t="str">
        <f>IFERROR(__xludf.DUMMYFUNCTION("""COMPUTED_VALUE"""),"นายทนงศักดิ์ บุญมา")</f>
        <v>นายทนงศักดิ์ บุญมา</v>
      </c>
      <c r="H1800" s="1" t="str">
        <f>IFERROR(__xludf.DUMMYFUNCTION("""COMPUTED_VALUE"""),"392585")</f>
        <v>392585</v>
      </c>
      <c r="I1800" s="1" t="str">
        <f>IFERROR(__xludf.DUMMYFUNCTION("""COMPUTED_VALUE"""),"นายไชยัณต์ ผิวขัวเรียง")</f>
        <v>นายไชยัณต์ ผิวขัวเรียง</v>
      </c>
      <c r="J1800" s="3">
        <f>IFERROR(__xludf.DUMMYFUNCTION("""COMPUTED_VALUE"""),2010016.0)</f>
        <v>2010016</v>
      </c>
      <c r="K1800" s="3" t="str">
        <f>IFERROR(__xludf.DUMMYFUNCTION("""COMPUTED_VALUE"""),"นายตวงธรรม ใหม่ยศ")</f>
        <v>นายตวงธรรม ใหม่ยศ</v>
      </c>
      <c r="L1800" s="1" t="str">
        <f>IFERROR(__xludf.DUMMYFUNCTION("""COMPUTED_VALUE"""),"01 K.Tuangtham M.")</f>
        <v>01 K.Tuangtham M.</v>
      </c>
      <c r="M1800" s="1" t="str">
        <f>IFERROR(__xludf.DUMMYFUNCTION("""COMPUTED_VALUE"""),"063-976-595")</f>
        <v>063-976-595</v>
      </c>
      <c r="N1800" s="3">
        <f>IFERROR(__xludf.DUMMYFUNCTION("""COMPUTED_VALUE"""),22574.0)</f>
        <v>22574</v>
      </c>
      <c r="O1800" s="3" t="str">
        <f>IFERROR(__xludf.DUMMYFUNCTION("""COMPUTED_VALUE"""),"BCM ชุมชนศรีชุม ลำปาง")</f>
        <v>BCM ชุมชนศรีชุม ลำปาง</v>
      </c>
      <c r="P1800" s="4">
        <f>IFERROR(__xludf.DUMMYFUNCTION("""COMPUTED_VALUE"""),44757.0)</f>
        <v>44757</v>
      </c>
      <c r="Q1800" s="3" t="str">
        <f>IFERROR(__xludf.DUMMYFUNCTION("""COMPUTED_VALUE"""),"A")</f>
        <v>A</v>
      </c>
      <c r="R1800" s="3" t="str">
        <f>IFERROR(__xludf.DUMMYFUNCTION("""COMPUTED_VALUE"""),"Small Format")</f>
        <v>Small Format</v>
      </c>
      <c r="S1800" s="3" t="str">
        <f>IFERROR(__xludf.DUMMYFUNCTION("""COMPUTED_VALUE"""),"BCM")</f>
        <v>BCM</v>
      </c>
      <c r="T1800" s="3" t="str">
        <f>IFERROR(__xludf.DUMMYFUNCTION("""COMPUTED_VALUE"""),"#N/A")</f>
        <v>#N/A</v>
      </c>
      <c r="U1800" s="3" t="str">
        <f>IFERROR(__xludf.DUMMYFUNCTION("""COMPUTED_VALUE"""),"#N/A")</f>
        <v>#N/A</v>
      </c>
      <c r="V1800" s="3" t="str">
        <f>IFERROR(__xludf.DUMMYFUNCTION("""COMPUTED_VALUE"""),"N")</f>
        <v>N</v>
      </c>
      <c r="W1800" s="3">
        <f>IFERROR(__xludf.DUMMYFUNCTION("""COMPUTED_VALUE"""),210537.0)</f>
        <v>210537</v>
      </c>
      <c r="X1800" s="3" t="str">
        <f>IFERROR(__xludf.DUMMYFUNCTION("""COMPUTED_VALUE"""),"13 หมู่1 ตำบลเวียง อำเภอเทิง จังหวัดเชียงราย 57160")</f>
        <v>13 หมู่1 ตำบลเวียง อำเภอเทิง จังหวัดเชียงราย 57160</v>
      </c>
      <c r="Y1800" s="3"/>
      <c r="Z1800" s="3" t="str">
        <f>IFERROR(__xludf.DUMMYFUNCTION("""COMPUTED_VALUE"""),"เวียง")</f>
        <v>เวียง</v>
      </c>
      <c r="AA1800" s="3" t="str">
        <f>IFERROR(__xludf.DUMMYFUNCTION("""COMPUTED_VALUE"""),"เทิง")</f>
        <v>เทิง</v>
      </c>
      <c r="AB1800" s="3" t="str">
        <f>IFERROR(__xludf.DUMMYFUNCTION("""COMPUTED_VALUE"""),"เชียงราย")</f>
        <v>เชียงราย</v>
      </c>
      <c r="AC1800" s="3">
        <f>IFERROR(__xludf.DUMMYFUNCTION("""COMPUTED_VALUE"""),57160.0)</f>
        <v>57160</v>
      </c>
      <c r="AD1800" s="3">
        <f>IFERROR(__xludf.DUMMYFUNCTION("""COMPUTED_VALUE"""),19.686705)</f>
        <v>19.686705</v>
      </c>
      <c r="AE1800" s="3">
        <f>IFERROR(__xludf.DUMMYFUNCTION("""COMPUTED_VALUE"""),100.192415)</f>
        <v>100.192415</v>
      </c>
      <c r="AF1800" s="3" t="str">
        <f>IFERROR(__xludf.DUMMYFUNCTION("""COMPUTED_VALUE"""),"MBC เทิง เชียงราย-22486")</f>
        <v>MBC เทิง เชียงราย-22486</v>
      </c>
      <c r="AG1800" s="3" t="str">
        <f>IFERROR(__xludf.DUMMYFUNCTION("""COMPUTED_VALUE"""),"เหนือ")</f>
        <v>เหนือ</v>
      </c>
      <c r="AH1800" s="3" t="str">
        <f>IFERROR(__xludf.DUMMYFUNCTION("""COMPUTED_VALUE"""),"#N/A")</f>
        <v>#N/A</v>
      </c>
      <c r="AI1800" s="3" t="str">
        <f>IFERROR(__xludf.DUMMYFUNCTION("""COMPUTED_VALUE"""),"Out of warranty")</f>
        <v>Out of warranty</v>
      </c>
      <c r="AJ1800" s="3">
        <f>IFERROR(__xludf.DUMMYFUNCTION("""COMPUTED_VALUE"""),43.0)</f>
        <v>43</v>
      </c>
      <c r="AK1800" s="3" t="str">
        <f>IFERROR(__xludf.DUMMYFUNCTION("""COMPUTED_VALUE"""),"MMS10")</f>
        <v>MMS10</v>
      </c>
      <c r="AL1800" s="3"/>
    </row>
    <row r="1801" ht="15.75" customHeight="1">
      <c r="A1801" s="1" t="str">
        <f>IFERROR(__xludf.DUMMYFUNCTION("""COMPUTED_VALUE"""),"22487")</f>
        <v>22487</v>
      </c>
      <c r="B1801" s="2">
        <f>IFERROR(__xludf.DUMMYFUNCTION("""COMPUTED_VALUE"""),22487.0)</f>
        <v>22487</v>
      </c>
      <c r="C1801" s="3" t="str">
        <f>IFERROR(__xludf.DUMMYFUNCTION("""COMPUTED_VALUE"""),"MBC ชนบท ขอนแก่น")</f>
        <v>MBC ชนบท ขอนแก่น</v>
      </c>
      <c r="D1801" s="3" t="str">
        <f>IFERROR(__xludf.DUMMYFUNCTION("""COMPUTED_VALUE"""),"BCM CHONNABOT KHON KEAN")</f>
        <v>BCM CHONNABOT KHON KEAN</v>
      </c>
      <c r="E1801" s="1" t="str">
        <f>IFERROR(__xludf.DUMMYFUNCTION("""COMPUTED_VALUE"""),"บิ๊กซี MINI")</f>
        <v>บิ๊กซี MINI</v>
      </c>
      <c r="F1801" s="1" t="str">
        <f>IFERROR(__xludf.DUMMYFUNCTION("""COMPUTED_VALUE"""),"291105")</f>
        <v>291105</v>
      </c>
      <c r="G1801" s="1" t="str">
        <f>IFERROR(__xludf.DUMMYFUNCTION("""COMPUTED_VALUE"""),"นายสราวุฒิ พณิชยกุล")</f>
        <v>นายสราวุฒิ พณิชยกุล</v>
      </c>
      <c r="H1801" s="1" t="str">
        <f>IFERROR(__xludf.DUMMYFUNCTION("""COMPUTED_VALUE"""),"371396")</f>
        <v>371396</v>
      </c>
      <c r="I1801" s="1" t="str">
        <f>IFERROR(__xludf.DUMMYFUNCTION("""COMPUTED_VALUE"""),"น.ส.สุภาวดี วิลัยพร")</f>
        <v>น.ส.สุภาวดี วิลัยพร</v>
      </c>
      <c r="J1801" s="3">
        <f>IFERROR(__xludf.DUMMYFUNCTION("""COMPUTED_VALUE"""),15361.0)</f>
        <v>15361</v>
      </c>
      <c r="K1801" s="3" t="str">
        <f>IFERROR(__xludf.DUMMYFUNCTION("""COMPUTED_VALUE"""),"นายสมบูรณ์ พรหมในเมือง")</f>
        <v>นายสมบูรณ์ พรหมในเมือง</v>
      </c>
      <c r="L1801" s="1" t="str">
        <f>IFERROR(__xludf.DUMMYFUNCTION("""COMPUTED_VALUE"""),"04 K.Somboon P.")</f>
        <v>04 K.Somboon P.</v>
      </c>
      <c r="M1801" s="1" t="str">
        <f>IFERROR(__xludf.DUMMYFUNCTION("""COMPUTED_VALUE"""),"087-965-3051")</f>
        <v>087-965-3051</v>
      </c>
      <c r="N1801" s="3">
        <f>IFERROR(__xludf.DUMMYFUNCTION("""COMPUTED_VALUE"""),21869.0)</f>
        <v>21869</v>
      </c>
      <c r="O1801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801" s="4">
        <f>IFERROR(__xludf.DUMMYFUNCTION("""COMPUTED_VALUE"""),44702.0)</f>
        <v>44702</v>
      </c>
      <c r="Q1801" s="3" t="str">
        <f>IFERROR(__xludf.DUMMYFUNCTION("""COMPUTED_VALUE"""),"A")</f>
        <v>A</v>
      </c>
      <c r="R1801" s="3" t="str">
        <f>IFERROR(__xludf.DUMMYFUNCTION("""COMPUTED_VALUE"""),"Small Format")</f>
        <v>Small Format</v>
      </c>
      <c r="S1801" s="3" t="str">
        <f>IFERROR(__xludf.DUMMYFUNCTION("""COMPUTED_VALUE"""),"BCM")</f>
        <v>BCM</v>
      </c>
      <c r="T1801" s="3" t="str">
        <f>IFERROR(__xludf.DUMMYFUNCTION("""COMPUTED_VALUE"""),"#N/A")</f>
        <v>#N/A</v>
      </c>
      <c r="U1801" s="3" t="str">
        <f>IFERROR(__xludf.DUMMYFUNCTION("""COMPUTED_VALUE"""),"#N/A")</f>
        <v>#N/A</v>
      </c>
      <c r="V1801" s="3" t="str">
        <f>IFERROR(__xludf.DUMMYFUNCTION("""COMPUTED_VALUE"""),"N")</f>
        <v>N</v>
      </c>
      <c r="W1801" s="3">
        <f>IFERROR(__xludf.DUMMYFUNCTION("""COMPUTED_VALUE"""),210505.0)</f>
        <v>210505</v>
      </c>
      <c r="X1801" s="3" t="str">
        <f>IFERROR(__xludf.DUMMYFUNCTION("""COMPUTED_VALUE"""),"152/1-3 หมู่2 ตำบลชนบท อำเภอชนบท จังหวัดขอนแก่น 40180")</f>
        <v>152/1-3 หมู่2 ตำบลชนบท อำเภอชนบท จังหวัดขอนแก่น 40180</v>
      </c>
      <c r="Y1801" s="3"/>
      <c r="Z1801" s="3" t="str">
        <f>IFERROR(__xludf.DUMMYFUNCTION("""COMPUTED_VALUE"""),"ชนบท")</f>
        <v>ชนบท</v>
      </c>
      <c r="AA1801" s="3" t="str">
        <f>IFERROR(__xludf.DUMMYFUNCTION("""COMPUTED_VALUE"""),"ชนบท")</f>
        <v>ชนบท</v>
      </c>
      <c r="AB1801" s="3" t="str">
        <f>IFERROR(__xludf.DUMMYFUNCTION("""COMPUTED_VALUE"""),"ขอนแก่น")</f>
        <v>ขอนแก่น</v>
      </c>
      <c r="AC1801" s="3">
        <f>IFERROR(__xludf.DUMMYFUNCTION("""COMPUTED_VALUE"""),40180.0)</f>
        <v>40180</v>
      </c>
      <c r="AD1801" s="3">
        <f>IFERROR(__xludf.DUMMYFUNCTION("""COMPUTED_VALUE"""),16.09020695)</f>
        <v>16.09020695</v>
      </c>
      <c r="AE1801" s="3">
        <f>IFERROR(__xludf.DUMMYFUNCTION("""COMPUTED_VALUE"""),102.6212503)</f>
        <v>102.6212503</v>
      </c>
      <c r="AF1801" s="3" t="str">
        <f>IFERROR(__xludf.DUMMYFUNCTION("""COMPUTED_VALUE"""),"MBC ชนบท ขอนแก่น-22487")</f>
        <v>MBC ชนบท ขอนแก่น-22487</v>
      </c>
      <c r="AG1801" s="3" t="str">
        <f>IFERROR(__xludf.DUMMYFUNCTION("""COMPUTED_VALUE"""),"ตะวันออกเฉียงเหนือ")</f>
        <v>ตะวันออกเฉียงเหนือ</v>
      </c>
      <c r="AH1801" s="3" t="str">
        <f>IFERROR(__xludf.DUMMYFUNCTION("""COMPUTED_VALUE"""),"#N/A")</f>
        <v>#N/A</v>
      </c>
      <c r="AI1801" s="3" t="str">
        <f>IFERROR(__xludf.DUMMYFUNCTION("""COMPUTED_VALUE"""),"Out of warranty")</f>
        <v>Out of warranty</v>
      </c>
      <c r="AJ1801" s="3">
        <f>IFERROR(__xludf.DUMMYFUNCTION("""COMPUTED_VALUE"""),44.0)</f>
        <v>44</v>
      </c>
      <c r="AK1801" s="3" t="str">
        <f>IFERROR(__xludf.DUMMYFUNCTION("""COMPUTED_VALUE"""),"MMS11")</f>
        <v>MMS11</v>
      </c>
      <c r="AL1801" s="3"/>
    </row>
    <row r="1802" ht="15.75" customHeight="1">
      <c r="A1802" s="1" t="str">
        <f>IFERROR(__xludf.DUMMYFUNCTION("""COMPUTED_VALUE"""),"22488")</f>
        <v>22488</v>
      </c>
      <c r="B1802" s="2">
        <f>IFERROR(__xludf.DUMMYFUNCTION("""COMPUTED_VALUE"""),22488.0)</f>
        <v>22488</v>
      </c>
      <c r="C1802" s="3" t="str">
        <f>IFERROR(__xludf.DUMMYFUNCTION("""COMPUTED_VALUE"""),"MBC พระซอง นครพนม")</f>
        <v>MBC พระซอง นครพนม</v>
      </c>
      <c r="D1802" s="3" t="str">
        <f>IFERROR(__xludf.DUMMYFUNCTION("""COMPUTED_VALUE"""),"BCM PHRA SONG NAKHONPHANOM")</f>
        <v>BCM PHRA SONG NAKHONPHANOM</v>
      </c>
      <c r="E1802" s="1" t="str">
        <f>IFERROR(__xludf.DUMMYFUNCTION("""COMPUTED_VALUE"""),"บิ๊กซี MINI")</f>
        <v>บิ๊กซี MINI</v>
      </c>
      <c r="F1802" s="1" t="str">
        <f>IFERROR(__xludf.DUMMYFUNCTION("""COMPUTED_VALUE"""),"291105")</f>
        <v>291105</v>
      </c>
      <c r="G1802" s="1" t="str">
        <f>IFERROR(__xludf.DUMMYFUNCTION("""COMPUTED_VALUE"""),"นายสราวุฒิ พณิชยกุล")</f>
        <v>นายสราวุฒิ พณิชยกุล</v>
      </c>
      <c r="H1802" s="1" t="str">
        <f>IFERROR(__xludf.DUMMYFUNCTION("""COMPUTED_VALUE"""),"392885")</f>
        <v>392885</v>
      </c>
      <c r="I1802" s="1" t="str">
        <f>IFERROR(__xludf.DUMMYFUNCTION("""COMPUTED_VALUE"""),"น.ส.วราพร จันปลิว")</f>
        <v>น.ส.วราพร จันปลิว</v>
      </c>
      <c r="J1802" s="3">
        <f>IFERROR(__xludf.DUMMYFUNCTION("""COMPUTED_VALUE"""),296868.0)</f>
        <v>296868</v>
      </c>
      <c r="K1802" s="3" t="str">
        <f>IFERROR(__xludf.DUMMYFUNCTION("""COMPUTED_VALUE"""),"นายพีระพงษ์ แก้วดวงดี")</f>
        <v>นายพีระพงษ์ แก้วดวงดี</v>
      </c>
      <c r="L1802" s="1" t="str">
        <f>IFERROR(__xludf.DUMMYFUNCTION("""COMPUTED_VALUE"""),"03 K.Peerapong K.")</f>
        <v>03 K.Peerapong K.</v>
      </c>
      <c r="M1802" s="1" t="str">
        <f>IFERROR(__xludf.DUMMYFUNCTION("""COMPUTED_VALUE"""),"089-002-6599")</f>
        <v>089-002-6599</v>
      </c>
      <c r="N1802" s="3">
        <f>IFERROR(__xludf.DUMMYFUNCTION("""COMPUTED_VALUE"""),21946.0)</f>
        <v>21946</v>
      </c>
      <c r="O1802" s="3" t="str">
        <f>IFERROR(__xludf.DUMMYFUNCTION("""COMPUTED_VALUE"""),"MBC เซกา บึงกาฬ")</f>
        <v>MBC เซกา บึงกาฬ</v>
      </c>
      <c r="P1802" s="4">
        <f>IFERROR(__xludf.DUMMYFUNCTION("""COMPUTED_VALUE"""),44659.0)</f>
        <v>44659</v>
      </c>
      <c r="Q1802" s="3" t="str">
        <f>IFERROR(__xludf.DUMMYFUNCTION("""COMPUTED_VALUE"""),"A")</f>
        <v>A</v>
      </c>
      <c r="R1802" s="3" t="str">
        <f>IFERROR(__xludf.DUMMYFUNCTION("""COMPUTED_VALUE"""),"Small Format")</f>
        <v>Small Format</v>
      </c>
      <c r="S1802" s="3" t="str">
        <f>IFERROR(__xludf.DUMMYFUNCTION("""COMPUTED_VALUE"""),"BCM")</f>
        <v>BCM</v>
      </c>
      <c r="T1802" s="3" t="str">
        <f>IFERROR(__xludf.DUMMYFUNCTION("""COMPUTED_VALUE"""),"#N/A")</f>
        <v>#N/A</v>
      </c>
      <c r="U1802" s="3" t="str">
        <f>IFERROR(__xludf.DUMMYFUNCTION("""COMPUTED_VALUE"""),"#N/A")</f>
        <v>#N/A</v>
      </c>
      <c r="V1802" s="3" t="str">
        <f>IFERROR(__xludf.DUMMYFUNCTION("""COMPUTED_VALUE"""),"N")</f>
        <v>N</v>
      </c>
      <c r="W1802" s="3">
        <f>IFERROR(__xludf.DUMMYFUNCTION("""COMPUTED_VALUE"""),210526.0)</f>
        <v>210526</v>
      </c>
      <c r="X1802" s="3" t="str">
        <f>IFERROR(__xludf.DUMMYFUNCTION("""COMPUTED_VALUE"""),"266 หมู่ที่3 ตำบลพระซอง อำเภอนาแก จังหวัดนครพนม 48130")</f>
        <v>266 หมู่ที่3 ตำบลพระซอง อำเภอนาแก จังหวัดนครพนม 48130</v>
      </c>
      <c r="Y1802" s="3"/>
      <c r="Z1802" s="3" t="str">
        <f>IFERROR(__xludf.DUMMYFUNCTION("""COMPUTED_VALUE"""),"พระซอง")</f>
        <v>พระซอง</v>
      </c>
      <c r="AA1802" s="3" t="str">
        <f>IFERROR(__xludf.DUMMYFUNCTION("""COMPUTED_VALUE"""),"นาแก")</f>
        <v>นาแก</v>
      </c>
      <c r="AB1802" s="3" t="str">
        <f>IFERROR(__xludf.DUMMYFUNCTION("""COMPUTED_VALUE"""),"นครพนม")</f>
        <v>นครพนม</v>
      </c>
      <c r="AC1802" s="3">
        <f>IFERROR(__xludf.DUMMYFUNCTION("""COMPUTED_VALUE"""),48130.0)</f>
        <v>48130</v>
      </c>
      <c r="AD1802" s="3">
        <f>IFERROR(__xludf.DUMMYFUNCTION("""COMPUTED_VALUE"""),17.013372)</f>
        <v>17.013372</v>
      </c>
      <c r="AE1802" s="3">
        <f>IFERROR(__xludf.DUMMYFUNCTION("""COMPUTED_VALUE"""),104.567479)</f>
        <v>104.567479</v>
      </c>
      <c r="AF1802" s="3" t="str">
        <f>IFERROR(__xludf.DUMMYFUNCTION("""COMPUTED_VALUE"""),"MBC พระซอง นครพนม-22488")</f>
        <v>MBC พระซอง นครพนม-22488</v>
      </c>
      <c r="AG1802" s="3" t="str">
        <f>IFERROR(__xludf.DUMMYFUNCTION("""COMPUTED_VALUE"""),"ตะวันออกเฉียงเหนือ")</f>
        <v>ตะวันออกเฉียงเหนือ</v>
      </c>
      <c r="AH1802" s="3" t="str">
        <f>IFERROR(__xludf.DUMMYFUNCTION("""COMPUTED_VALUE"""),"#N/A")</f>
        <v>#N/A</v>
      </c>
      <c r="AI1802" s="3" t="str">
        <f>IFERROR(__xludf.DUMMYFUNCTION("""COMPUTED_VALUE"""),"Out of warranty")</f>
        <v>Out of warranty</v>
      </c>
      <c r="AJ1802" s="3">
        <f>IFERROR(__xludf.DUMMYFUNCTION("""COMPUTED_VALUE"""),46.0)</f>
        <v>46</v>
      </c>
      <c r="AK1802" s="3" t="str">
        <f>IFERROR(__xludf.DUMMYFUNCTION("""COMPUTED_VALUE"""),"MMS12")</f>
        <v>MMS12</v>
      </c>
      <c r="AL1802" s="3"/>
    </row>
    <row r="1803" ht="15.75" customHeight="1">
      <c r="A1803" s="1" t="str">
        <f>IFERROR(__xludf.DUMMYFUNCTION("""COMPUTED_VALUE"""),"22489")</f>
        <v>22489</v>
      </c>
      <c r="B1803" s="2">
        <f>IFERROR(__xludf.DUMMYFUNCTION("""COMPUTED_VALUE"""),22489.0)</f>
        <v>22489</v>
      </c>
      <c r="C1803" s="3" t="str">
        <f>IFERROR(__xludf.DUMMYFUNCTION("""COMPUTED_VALUE"""),"MBC ละหานทราย บุรีรัมย์")</f>
        <v>MBC ละหานทราย บุรีรัมย์</v>
      </c>
      <c r="D1803" s="3" t="str">
        <f>IFERROR(__xludf.DUMMYFUNCTION("""COMPUTED_VALUE"""),"BCM LAHAN SAI BURIRAM")</f>
        <v>BCM LAHAN SAI BURIRAM</v>
      </c>
      <c r="E1803" s="1" t="str">
        <f>IFERROR(__xludf.DUMMYFUNCTION("""COMPUTED_VALUE"""),"บิ๊กซี MINI")</f>
        <v>บิ๊กซี MINI</v>
      </c>
      <c r="F1803" s="1" t="str">
        <f>IFERROR(__xludf.DUMMYFUNCTION("""COMPUTED_VALUE"""),"291105")</f>
        <v>291105</v>
      </c>
      <c r="G1803" s="1" t="str">
        <f>IFERROR(__xludf.DUMMYFUNCTION("""COMPUTED_VALUE"""),"นายสราวุฒิ พณิชยกุล")</f>
        <v>นายสราวุฒิ พณิชยกุล</v>
      </c>
      <c r="H1803" s="1" t="str">
        <f>IFERROR(__xludf.DUMMYFUNCTION("""COMPUTED_VALUE"""),"398136")</f>
        <v>398136</v>
      </c>
      <c r="I1803" s="1" t="str">
        <f>IFERROR(__xludf.DUMMYFUNCTION("""COMPUTED_VALUE"""),"นายประยูร ธาดาวงษา")</f>
        <v>นายประยูร ธาดาวงษา</v>
      </c>
      <c r="J1803" s="3">
        <f>IFERROR(__xludf.DUMMYFUNCTION("""COMPUTED_VALUE"""),15361.0)</f>
        <v>15361</v>
      </c>
      <c r="K1803" s="3" t="str">
        <f>IFERROR(__xludf.DUMMYFUNCTION("""COMPUTED_VALUE"""),"นายสมบูรณ์ พรหมในเมือง")</f>
        <v>นายสมบูรณ์ พรหมในเมือง</v>
      </c>
      <c r="L1803" s="1" t="str">
        <f>IFERROR(__xludf.DUMMYFUNCTION("""COMPUTED_VALUE"""),"04 K.Somboon P.")</f>
        <v>04 K.Somboon P.</v>
      </c>
      <c r="M1803" s="1" t="str">
        <f>IFERROR(__xludf.DUMMYFUNCTION("""COMPUTED_VALUE"""),"087-965-3051")</f>
        <v>087-965-3051</v>
      </c>
      <c r="N1803" s="3">
        <f>IFERROR(__xludf.DUMMYFUNCTION("""COMPUTED_VALUE"""),21869.0)</f>
        <v>21869</v>
      </c>
      <c r="O1803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803" s="4">
        <f>IFERROR(__xludf.DUMMYFUNCTION("""COMPUTED_VALUE"""),44676.0)</f>
        <v>44676</v>
      </c>
      <c r="Q1803" s="3" t="str">
        <f>IFERROR(__xludf.DUMMYFUNCTION("""COMPUTED_VALUE"""),"A")</f>
        <v>A</v>
      </c>
      <c r="R1803" s="3" t="str">
        <f>IFERROR(__xludf.DUMMYFUNCTION("""COMPUTED_VALUE"""),"Small Format")</f>
        <v>Small Format</v>
      </c>
      <c r="S1803" s="3" t="str">
        <f>IFERROR(__xludf.DUMMYFUNCTION("""COMPUTED_VALUE"""),"BCM")</f>
        <v>BCM</v>
      </c>
      <c r="T1803" s="3" t="str">
        <f>IFERROR(__xludf.DUMMYFUNCTION("""COMPUTED_VALUE"""),"#N/A")</f>
        <v>#N/A</v>
      </c>
      <c r="U1803" s="3" t="str">
        <f>IFERROR(__xludf.DUMMYFUNCTION("""COMPUTED_VALUE"""),"#N/A")</f>
        <v>#N/A</v>
      </c>
      <c r="V1803" s="3" t="str">
        <f>IFERROR(__xludf.DUMMYFUNCTION("""COMPUTED_VALUE"""),"N")</f>
        <v>N</v>
      </c>
      <c r="W1803" s="3">
        <f>IFERROR(__xludf.DUMMYFUNCTION("""COMPUTED_VALUE"""),210530.0)</f>
        <v>210530</v>
      </c>
      <c r="X1803" s="3" t="str">
        <f>IFERROR(__xludf.DUMMYFUNCTION("""COMPUTED_VALUE"""),"467 หมู่ที่1 ตำบลละหานทราย อำเภอละหานทราย จังหวัดบุรีรัมย์ 31170")</f>
        <v>467 หมู่ที่1 ตำบลละหานทราย อำเภอละหานทราย จังหวัดบุรีรัมย์ 31170</v>
      </c>
      <c r="Y1803" s="3"/>
      <c r="Z1803" s="3" t="str">
        <f>IFERROR(__xludf.DUMMYFUNCTION("""COMPUTED_VALUE"""),"ละหารทราย")</f>
        <v>ละหารทราย</v>
      </c>
      <c r="AA1803" s="3" t="str">
        <f>IFERROR(__xludf.DUMMYFUNCTION("""COMPUTED_VALUE"""),"ละหารทราย")</f>
        <v>ละหารทราย</v>
      </c>
      <c r="AB1803" s="3" t="str">
        <f>IFERROR(__xludf.DUMMYFUNCTION("""COMPUTED_VALUE"""),"บุรีรัมย์")</f>
        <v>บุรีรัมย์</v>
      </c>
      <c r="AC1803" s="3">
        <f>IFERROR(__xludf.DUMMYFUNCTION("""COMPUTED_VALUE"""),31170.0)</f>
        <v>31170</v>
      </c>
      <c r="AD1803" s="3">
        <f>IFERROR(__xludf.DUMMYFUNCTION("""COMPUTED_VALUE"""),14.410484)</f>
        <v>14.410484</v>
      </c>
      <c r="AE1803" s="3">
        <f>IFERROR(__xludf.DUMMYFUNCTION("""COMPUTED_VALUE"""),102.853123)</f>
        <v>102.853123</v>
      </c>
      <c r="AF1803" s="3" t="str">
        <f>IFERROR(__xludf.DUMMYFUNCTION("""COMPUTED_VALUE"""),"MBC ละหานทราย บุรีรัมย์-22489")</f>
        <v>MBC ละหานทราย บุรีรัมย์-22489</v>
      </c>
      <c r="AG1803" s="3" t="str">
        <f>IFERROR(__xludf.DUMMYFUNCTION("""COMPUTED_VALUE"""),"ตะวันออกเฉียงเหนือ")</f>
        <v>ตะวันออกเฉียงเหนือ</v>
      </c>
      <c r="AH1803" s="3" t="str">
        <f>IFERROR(__xludf.DUMMYFUNCTION("""COMPUTED_VALUE"""),"#N/A")</f>
        <v>#N/A</v>
      </c>
      <c r="AI1803" s="3" t="str">
        <f>IFERROR(__xludf.DUMMYFUNCTION("""COMPUTED_VALUE"""),"Out of warranty")</f>
        <v>Out of warranty</v>
      </c>
      <c r="AJ1803" s="3">
        <f>IFERROR(__xludf.DUMMYFUNCTION("""COMPUTED_VALUE"""),45.0)</f>
        <v>45</v>
      </c>
      <c r="AK1803" s="3" t="str">
        <f>IFERROR(__xludf.DUMMYFUNCTION("""COMPUTED_VALUE"""),"MMS11")</f>
        <v>MMS11</v>
      </c>
      <c r="AL1803" s="3"/>
    </row>
    <row r="1804" ht="15.75" customHeight="1">
      <c r="A1804" s="1" t="str">
        <f>IFERROR(__xludf.DUMMYFUNCTION("""COMPUTED_VALUE"""),"22490")</f>
        <v>22490</v>
      </c>
      <c r="B1804" s="2">
        <f>IFERROR(__xludf.DUMMYFUNCTION("""COMPUTED_VALUE"""),22490.0)</f>
        <v>22490</v>
      </c>
      <c r="C1804" s="3" t="str">
        <f>IFERROR(__xludf.DUMMYFUNCTION("""COMPUTED_VALUE"""),"MBC ตลาดโต้รุ่ง หนองบอน ระยอง")</f>
        <v>MBC ตลาดโต้รุ่ง หนองบอน ระยอง</v>
      </c>
      <c r="D1804" s="3" t="str">
        <f>IFERROR(__xludf.DUMMYFUNCTION("""COMPUTED_VALUE"""),"BCM TALAD TORUNG NONGBON")</f>
        <v>BCM TALAD TORUNG NONGBON</v>
      </c>
      <c r="E1804" s="1" t="str">
        <f>IFERROR(__xludf.DUMMYFUNCTION("""COMPUTED_VALUE"""),"บิ๊กซี MINI")</f>
        <v>บิ๊กซี MINI</v>
      </c>
      <c r="F1804" s="1" t="str">
        <f>IFERROR(__xludf.DUMMYFUNCTION("""COMPUTED_VALUE"""),"221716")</f>
        <v>221716</v>
      </c>
      <c r="G1804" s="1" t="str">
        <f>IFERROR(__xludf.DUMMYFUNCTION("""COMPUTED_VALUE"""),"น.ส.เบญจพร โพธิสาร")</f>
        <v>น.ส.เบญจพร โพธิสาร</v>
      </c>
      <c r="H1804" s="1" t="str">
        <f>IFERROR(__xludf.DUMMYFUNCTION("""COMPUTED_VALUE"""),"359233")</f>
        <v>359233</v>
      </c>
      <c r="I1804" s="1" t="str">
        <f>IFERROR(__xludf.DUMMYFUNCTION("""COMPUTED_VALUE"""),"น.ส.ปยุดา คำมีอ่อน")</f>
        <v>น.ส.ปยุดา คำมีอ่อน</v>
      </c>
      <c r="J1804" s="3">
        <f>IFERROR(__xludf.DUMMYFUNCTION("""COMPUTED_VALUE"""),2452376.0)</f>
        <v>2452376</v>
      </c>
      <c r="K1804" s="3" t="str">
        <f>IFERROR(__xludf.DUMMYFUNCTION("""COMPUTED_VALUE"""),"นายภาคภูมิ ทวีกุล")</f>
        <v>นายภาคภูมิ ทวีกุล</v>
      </c>
      <c r="L1804" s="1" t="str">
        <f>IFERROR(__xludf.DUMMYFUNCTION("""COMPUTED_VALUE"""),"08 K.Parkphum T.")</f>
        <v>08 K.Parkphum T.</v>
      </c>
      <c r="M1804" s="1" t="str">
        <f>IFERROR(__xludf.DUMMYFUNCTION("""COMPUTED_VALUE"""),"097-919-5476")</f>
        <v>097-919-5476</v>
      </c>
      <c r="N1804" s="3">
        <f>IFERROR(__xludf.DUMMYFUNCTION("""COMPUTED_VALUE"""),22028.0)</f>
        <v>22028</v>
      </c>
      <c r="O1804" s="3" t="str">
        <f>IFERROR(__xludf.DUMMYFUNCTION("""COMPUTED_VALUE"""),"MBC ทํบมา ระยอง")</f>
        <v>MBC ทํบมา ระยอง</v>
      </c>
      <c r="P1804" s="4">
        <f>IFERROR(__xludf.DUMMYFUNCTION("""COMPUTED_VALUE"""),44696.0)</f>
        <v>44696</v>
      </c>
      <c r="Q1804" s="3" t="str">
        <f>IFERROR(__xludf.DUMMYFUNCTION("""COMPUTED_VALUE"""),"A")</f>
        <v>A</v>
      </c>
      <c r="R1804" s="3" t="str">
        <f>IFERROR(__xludf.DUMMYFUNCTION("""COMPUTED_VALUE"""),"Small Format")</f>
        <v>Small Format</v>
      </c>
      <c r="S1804" s="3" t="str">
        <f>IFERROR(__xludf.DUMMYFUNCTION("""COMPUTED_VALUE"""),"BCM")</f>
        <v>BCM</v>
      </c>
      <c r="T1804" s="3" t="str">
        <f>IFERROR(__xludf.DUMMYFUNCTION("""COMPUTED_VALUE"""),"#N/A")</f>
        <v>#N/A</v>
      </c>
      <c r="U1804" s="3" t="str">
        <f>IFERROR(__xludf.DUMMYFUNCTION("""COMPUTED_VALUE"""),"#N/A")</f>
        <v>#N/A</v>
      </c>
      <c r="V1804" s="3" t="str">
        <f>IFERROR(__xludf.DUMMYFUNCTION("""COMPUTED_VALUE"""),"N")</f>
        <v>N</v>
      </c>
      <c r="W1804" s="3">
        <f>IFERROR(__xludf.DUMMYFUNCTION("""COMPUTED_VALUE"""),210471.0)</f>
        <v>210471</v>
      </c>
      <c r="X1804" s="3" t="str">
        <f>IFERROR(__xludf.DUMMYFUNCTION("""COMPUTED_VALUE"""),"101/11-12 หมู่4 ตำบลนิคมพัฒนา อำเภอนิคมพัฒนา จังหวัดระยอง 21180")</f>
        <v>101/11-12 หมู่4 ตำบลนิคมพัฒนา อำเภอนิคมพัฒนา จังหวัดระยอง 21180</v>
      </c>
      <c r="Y1804" s="3"/>
      <c r="Z1804" s="3" t="str">
        <f>IFERROR(__xludf.DUMMYFUNCTION("""COMPUTED_VALUE"""),"นิคมพัฒนา")</f>
        <v>นิคมพัฒนา</v>
      </c>
      <c r="AA1804" s="3" t="str">
        <f>IFERROR(__xludf.DUMMYFUNCTION("""COMPUTED_VALUE"""),"นิคมพัฒนา")</f>
        <v>นิคมพัฒนา</v>
      </c>
      <c r="AB1804" s="3" t="str">
        <f>IFERROR(__xludf.DUMMYFUNCTION("""COMPUTED_VALUE"""),"ระยอง")</f>
        <v>ระยอง</v>
      </c>
      <c r="AC1804" s="3">
        <f>IFERROR(__xludf.DUMMYFUNCTION("""COMPUTED_VALUE"""),21180.0)</f>
        <v>21180</v>
      </c>
      <c r="AD1804" s="3">
        <f>IFERROR(__xludf.DUMMYFUNCTION("""COMPUTED_VALUE"""),12.8145469)</f>
        <v>12.8145469</v>
      </c>
      <c r="AE1804" s="3">
        <f>IFERROR(__xludf.DUMMYFUNCTION("""COMPUTED_VALUE"""),101.1420592)</f>
        <v>101.1420592</v>
      </c>
      <c r="AF1804" s="3" t="str">
        <f>IFERROR(__xludf.DUMMYFUNCTION("""COMPUTED_VALUE"""),"MBC ตลาดโต้รุ่ง หนองบอน ระยอง-22490")</f>
        <v>MBC ตลาดโต้รุ่ง หนองบอน ระยอง-22490</v>
      </c>
      <c r="AG1804" s="3" t="str">
        <f>IFERROR(__xludf.DUMMYFUNCTION("""COMPUTED_VALUE"""),"ตะวันออก")</f>
        <v>ตะวันออก</v>
      </c>
      <c r="AH1804" s="3" t="str">
        <f>IFERROR(__xludf.DUMMYFUNCTION("""COMPUTED_VALUE"""),"#N/A")</f>
        <v>#N/A</v>
      </c>
      <c r="AI1804" s="3" t="str">
        <f>IFERROR(__xludf.DUMMYFUNCTION("""COMPUTED_VALUE"""),"Out of warranty")</f>
        <v>Out of warranty</v>
      </c>
      <c r="AJ1804" s="3">
        <f>IFERROR(__xludf.DUMMYFUNCTION("""COMPUTED_VALUE"""),45.0)</f>
        <v>45</v>
      </c>
      <c r="AK1804" s="3" t="str">
        <f>IFERROR(__xludf.DUMMYFUNCTION("""COMPUTED_VALUE"""),"MMS07")</f>
        <v>MMS07</v>
      </c>
      <c r="AL1804" s="3"/>
    </row>
    <row r="1805" ht="15.75" customHeight="1">
      <c r="A1805" s="1" t="str">
        <f>IFERROR(__xludf.DUMMYFUNCTION("""COMPUTED_VALUE"""),"22491")</f>
        <v>22491</v>
      </c>
      <c r="B1805" s="2">
        <f>IFERROR(__xludf.DUMMYFUNCTION("""COMPUTED_VALUE"""),22491.0)</f>
        <v>22491</v>
      </c>
      <c r="C1805" s="3" t="str">
        <f>IFERROR(__xludf.DUMMYFUNCTION("""COMPUTED_VALUE"""),"MBC ภูผาม่าน ขอนแก่น")</f>
        <v>MBC ภูผาม่าน ขอนแก่น</v>
      </c>
      <c r="D1805" s="3" t="str">
        <f>IFERROR(__xludf.DUMMYFUNCTION("""COMPUTED_VALUE"""),"BCM PHU PHA MAN KHON KEAN")</f>
        <v>BCM PHU PHA MAN KHON KEAN</v>
      </c>
      <c r="E1805" s="1" t="str">
        <f>IFERROR(__xludf.DUMMYFUNCTION("""COMPUTED_VALUE"""),"บิ๊กซี MINI")</f>
        <v>บิ๊กซี MINI</v>
      </c>
      <c r="F1805" s="1" t="str">
        <f>IFERROR(__xludf.DUMMYFUNCTION("""COMPUTED_VALUE"""),"291105")</f>
        <v>291105</v>
      </c>
      <c r="G1805" s="1" t="str">
        <f>IFERROR(__xludf.DUMMYFUNCTION("""COMPUTED_VALUE"""),"นายสราวุฒิ พณิชยกุล")</f>
        <v>นายสราวุฒิ พณิชยกุล</v>
      </c>
      <c r="H1805" s="1" t="str">
        <f>IFERROR(__xludf.DUMMYFUNCTION("""COMPUTED_VALUE"""),"371396")</f>
        <v>371396</v>
      </c>
      <c r="I1805" s="1" t="str">
        <f>IFERROR(__xludf.DUMMYFUNCTION("""COMPUTED_VALUE"""),"น.ส.สุภาวดี วิลัยพร")</f>
        <v>น.ส.สุภาวดี วิลัยพร</v>
      </c>
      <c r="J1805" s="3">
        <f>IFERROR(__xludf.DUMMYFUNCTION("""COMPUTED_VALUE"""),15361.0)</f>
        <v>15361</v>
      </c>
      <c r="K1805" s="3" t="str">
        <f>IFERROR(__xludf.DUMMYFUNCTION("""COMPUTED_VALUE"""),"นายสมบูรณ์ พรหมในเมือง")</f>
        <v>นายสมบูรณ์ พรหมในเมือง</v>
      </c>
      <c r="L1805" s="1" t="str">
        <f>IFERROR(__xludf.DUMMYFUNCTION("""COMPUTED_VALUE"""),"04 K.Somboon P.")</f>
        <v>04 K.Somboon P.</v>
      </c>
      <c r="M1805" s="1" t="str">
        <f>IFERROR(__xludf.DUMMYFUNCTION("""COMPUTED_VALUE"""),"087-965-3051")</f>
        <v>087-965-3051</v>
      </c>
      <c r="N1805" s="3">
        <f>IFERROR(__xludf.DUMMYFUNCTION("""COMPUTED_VALUE"""),21869.0)</f>
        <v>21869</v>
      </c>
      <c r="O1805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805" s="4">
        <f>IFERROR(__xludf.DUMMYFUNCTION("""COMPUTED_VALUE"""),44702.0)</f>
        <v>44702</v>
      </c>
      <c r="Q1805" s="3" t="str">
        <f>IFERROR(__xludf.DUMMYFUNCTION("""COMPUTED_VALUE"""),"A")</f>
        <v>A</v>
      </c>
      <c r="R1805" s="3" t="str">
        <f>IFERROR(__xludf.DUMMYFUNCTION("""COMPUTED_VALUE"""),"Small Format")</f>
        <v>Small Format</v>
      </c>
      <c r="S1805" s="3" t="str">
        <f>IFERROR(__xludf.DUMMYFUNCTION("""COMPUTED_VALUE"""),"BCM")</f>
        <v>BCM</v>
      </c>
      <c r="T1805" s="3" t="str">
        <f>IFERROR(__xludf.DUMMYFUNCTION("""COMPUTED_VALUE"""),"#N/A")</f>
        <v>#N/A</v>
      </c>
      <c r="U1805" s="3" t="str">
        <f>IFERROR(__xludf.DUMMYFUNCTION("""COMPUTED_VALUE"""),"#N/A")</f>
        <v>#N/A</v>
      </c>
      <c r="V1805" s="3" t="str">
        <f>IFERROR(__xludf.DUMMYFUNCTION("""COMPUTED_VALUE"""),"N")</f>
        <v>N</v>
      </c>
      <c r="W1805" s="3">
        <f>IFERROR(__xludf.DUMMYFUNCTION("""COMPUTED_VALUE"""),210488.0)</f>
        <v>210488</v>
      </c>
      <c r="X1805" s="3" t="str">
        <f>IFERROR(__xludf.DUMMYFUNCTION("""COMPUTED_VALUE"""),"179 หมู่1 ตำบลภูผาม่าน อำเภอภูผาม่าน จังหวัดขอนแก่น 40350")</f>
        <v>179 หมู่1 ตำบลภูผาม่าน อำเภอภูผาม่าน จังหวัดขอนแก่น 40350</v>
      </c>
      <c r="Y1805" s="3"/>
      <c r="Z1805" s="3" t="str">
        <f>IFERROR(__xludf.DUMMYFUNCTION("""COMPUTED_VALUE"""),"ภูผาม่าน")</f>
        <v>ภูผาม่าน</v>
      </c>
      <c r="AA1805" s="3" t="str">
        <f>IFERROR(__xludf.DUMMYFUNCTION("""COMPUTED_VALUE"""),"ภูผาม่าน")</f>
        <v>ภูผาม่าน</v>
      </c>
      <c r="AB1805" s="3" t="str">
        <f>IFERROR(__xludf.DUMMYFUNCTION("""COMPUTED_VALUE"""),"ขอนแก่น")</f>
        <v>ขอนแก่น</v>
      </c>
      <c r="AC1805" s="3">
        <f>IFERROR(__xludf.DUMMYFUNCTION("""COMPUTED_VALUE"""),40350.0)</f>
        <v>40350</v>
      </c>
      <c r="AD1805" s="3">
        <f>IFERROR(__xludf.DUMMYFUNCTION("""COMPUTED_VALUE"""),16.64327418)</f>
        <v>16.64327418</v>
      </c>
      <c r="AE1805" s="3">
        <f>IFERROR(__xludf.DUMMYFUNCTION("""COMPUTED_VALUE"""),101.9042002)</f>
        <v>101.9042002</v>
      </c>
      <c r="AF1805" s="3" t="str">
        <f>IFERROR(__xludf.DUMMYFUNCTION("""COMPUTED_VALUE"""),"MBC ภูผาม่าน ขอนแก่น-22491")</f>
        <v>MBC ภูผาม่าน ขอนแก่น-22491</v>
      </c>
      <c r="AG1805" s="3" t="str">
        <f>IFERROR(__xludf.DUMMYFUNCTION("""COMPUTED_VALUE"""),"ตะวันออกเฉียงเหนือ")</f>
        <v>ตะวันออกเฉียงเหนือ</v>
      </c>
      <c r="AH1805" s="3" t="str">
        <f>IFERROR(__xludf.DUMMYFUNCTION("""COMPUTED_VALUE"""),"#N/A")</f>
        <v>#N/A</v>
      </c>
      <c r="AI1805" s="3" t="str">
        <f>IFERROR(__xludf.DUMMYFUNCTION("""COMPUTED_VALUE"""),"Out of warranty")</f>
        <v>Out of warranty</v>
      </c>
      <c r="AJ1805" s="3">
        <f>IFERROR(__xludf.DUMMYFUNCTION("""COMPUTED_VALUE"""),44.0)</f>
        <v>44</v>
      </c>
      <c r="AK1805" s="3" t="str">
        <f>IFERROR(__xludf.DUMMYFUNCTION("""COMPUTED_VALUE"""),"MMS11")</f>
        <v>MMS11</v>
      </c>
      <c r="AL1805" s="3"/>
    </row>
    <row r="1806" ht="15.75" customHeight="1">
      <c r="A1806" s="1" t="str">
        <f>IFERROR(__xludf.DUMMYFUNCTION("""COMPUTED_VALUE"""),"22492")</f>
        <v>22492</v>
      </c>
      <c r="B1806" s="2">
        <f>IFERROR(__xludf.DUMMYFUNCTION("""COMPUTED_VALUE"""),22492.0)</f>
        <v>22492</v>
      </c>
      <c r="C1806" s="3" t="str">
        <f>IFERROR(__xludf.DUMMYFUNCTION("""COMPUTED_VALUE"""),"MBC เหล่านาดี ขอนแก่น")</f>
        <v>MBC เหล่านาดี ขอนแก่น</v>
      </c>
      <c r="D1806" s="3" t="str">
        <f>IFERROR(__xludf.DUMMYFUNCTION("""COMPUTED_VALUE"""),"BCM LAO NA DEE KHONKEAN")</f>
        <v>BCM LAO NA DEE KHONKEAN</v>
      </c>
      <c r="E1806" s="1" t="str">
        <f>IFERROR(__xludf.DUMMYFUNCTION("""COMPUTED_VALUE"""),"บิ๊กซี MINI")</f>
        <v>บิ๊กซี MINI</v>
      </c>
      <c r="F1806" s="1" t="str">
        <f>IFERROR(__xludf.DUMMYFUNCTION("""COMPUTED_VALUE"""),"291105")</f>
        <v>291105</v>
      </c>
      <c r="G1806" s="1" t="str">
        <f>IFERROR(__xludf.DUMMYFUNCTION("""COMPUTED_VALUE"""),"นายสราวุฒิ พณิชยกุล")</f>
        <v>นายสราวุฒิ พณิชยกุล</v>
      </c>
      <c r="H1806" s="1" t="str">
        <f>IFERROR(__xludf.DUMMYFUNCTION("""COMPUTED_VALUE"""),"371396")</f>
        <v>371396</v>
      </c>
      <c r="I1806" s="1" t="str">
        <f>IFERROR(__xludf.DUMMYFUNCTION("""COMPUTED_VALUE"""),"น.ส.สุภาวดี วิลัยพร")</f>
        <v>น.ส.สุภาวดี วิลัยพร</v>
      </c>
      <c r="J1806" s="3">
        <f>IFERROR(__xludf.DUMMYFUNCTION("""COMPUTED_VALUE"""),15361.0)</f>
        <v>15361</v>
      </c>
      <c r="K1806" s="3" t="str">
        <f>IFERROR(__xludf.DUMMYFUNCTION("""COMPUTED_VALUE"""),"นายสมบูรณ์ พรหมในเมือง")</f>
        <v>นายสมบูรณ์ พรหมในเมือง</v>
      </c>
      <c r="L1806" s="1" t="str">
        <f>IFERROR(__xludf.DUMMYFUNCTION("""COMPUTED_VALUE"""),"04 K.Somboon P.")</f>
        <v>04 K.Somboon P.</v>
      </c>
      <c r="M1806" s="1" t="str">
        <f>IFERROR(__xludf.DUMMYFUNCTION("""COMPUTED_VALUE"""),"087-965-3051")</f>
        <v>087-965-3051</v>
      </c>
      <c r="N1806" s="3">
        <f>IFERROR(__xludf.DUMMYFUNCTION("""COMPUTED_VALUE"""),21869.0)</f>
        <v>21869</v>
      </c>
      <c r="O1806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806" s="4">
        <f>IFERROR(__xludf.DUMMYFUNCTION("""COMPUTED_VALUE"""),44703.0)</f>
        <v>44703</v>
      </c>
      <c r="Q1806" s="3" t="str">
        <f>IFERROR(__xludf.DUMMYFUNCTION("""COMPUTED_VALUE"""),"A")</f>
        <v>A</v>
      </c>
      <c r="R1806" s="3" t="str">
        <f>IFERROR(__xludf.DUMMYFUNCTION("""COMPUTED_VALUE"""),"Small Format")</f>
        <v>Small Format</v>
      </c>
      <c r="S1806" s="3" t="str">
        <f>IFERROR(__xludf.DUMMYFUNCTION("""COMPUTED_VALUE"""),"BCM")</f>
        <v>BCM</v>
      </c>
      <c r="T1806" s="3" t="str">
        <f>IFERROR(__xludf.DUMMYFUNCTION("""COMPUTED_VALUE"""),"#N/A")</f>
        <v>#N/A</v>
      </c>
      <c r="U1806" s="3" t="str">
        <f>IFERROR(__xludf.DUMMYFUNCTION("""COMPUTED_VALUE"""),"#N/A")</f>
        <v>#N/A</v>
      </c>
      <c r="V1806" s="3" t="str">
        <f>IFERROR(__xludf.DUMMYFUNCTION("""COMPUTED_VALUE"""),"N")</f>
        <v>N</v>
      </c>
      <c r="W1806" s="3">
        <f>IFERROR(__xludf.DUMMYFUNCTION("""COMPUTED_VALUE"""),210538.0)</f>
        <v>210538</v>
      </c>
      <c r="X1806" s="3" t="str">
        <f>IFERROR(__xludf.DUMMYFUNCTION("""COMPUTED_VALUE"""),"509 หมู่8 ตำบลเมืองเก่า อำเภอเมืองขอนแก่น จังหวัดขอนแก่น 40000")</f>
        <v>509 หมู่8 ตำบลเมืองเก่า อำเภอเมืองขอนแก่น จังหวัดขอนแก่น 40000</v>
      </c>
      <c r="Y1806" s="3"/>
      <c r="Z1806" s="3" t="str">
        <f>IFERROR(__xludf.DUMMYFUNCTION("""COMPUTED_VALUE"""),"เมืองเก่า")</f>
        <v>เมืองเก่า</v>
      </c>
      <c r="AA1806" s="3" t="str">
        <f>IFERROR(__xludf.DUMMYFUNCTION("""COMPUTED_VALUE"""),"เมืองขอนแก่น")</f>
        <v>เมืองขอนแก่น</v>
      </c>
      <c r="AB1806" s="3" t="str">
        <f>IFERROR(__xludf.DUMMYFUNCTION("""COMPUTED_VALUE"""),"ขอนแก่น")</f>
        <v>ขอนแก่น</v>
      </c>
      <c r="AC1806" s="3">
        <f>IFERROR(__xludf.DUMMYFUNCTION("""COMPUTED_VALUE"""),40000.0)</f>
        <v>40000</v>
      </c>
      <c r="AD1806" s="3">
        <f>IFERROR(__xludf.DUMMYFUNCTION("""COMPUTED_VALUE"""),16.41017643)</f>
        <v>16.41017643</v>
      </c>
      <c r="AE1806" s="3" t="str">
        <f>IFERROR(__xludf.DUMMYFUNCTION("""COMPUTED_VALUE"""),"102.8051527 24")</f>
        <v>102.8051527 24</v>
      </c>
      <c r="AF1806" s="3" t="str">
        <f>IFERROR(__xludf.DUMMYFUNCTION("""COMPUTED_VALUE"""),"MBC เหล่านาดี ขอนแก่น-22492")</f>
        <v>MBC เหล่านาดี ขอนแก่น-22492</v>
      </c>
      <c r="AG1806" s="3" t="str">
        <f>IFERROR(__xludf.DUMMYFUNCTION("""COMPUTED_VALUE"""),"ตะวันออกเฉียงเหนือ")</f>
        <v>ตะวันออกเฉียงเหนือ</v>
      </c>
      <c r="AH1806" s="3" t="str">
        <f>IFERROR(__xludf.DUMMYFUNCTION("""COMPUTED_VALUE"""),"#N/A")</f>
        <v>#N/A</v>
      </c>
      <c r="AI1806" s="3" t="str">
        <f>IFERROR(__xludf.DUMMYFUNCTION("""COMPUTED_VALUE"""),"Out of warranty")</f>
        <v>Out of warranty</v>
      </c>
      <c r="AJ1806" s="3">
        <f>IFERROR(__xludf.DUMMYFUNCTION("""COMPUTED_VALUE"""),44.0)</f>
        <v>44</v>
      </c>
      <c r="AK1806" s="3" t="str">
        <f>IFERROR(__xludf.DUMMYFUNCTION("""COMPUTED_VALUE"""),"MMS12")</f>
        <v>MMS12</v>
      </c>
      <c r="AL1806" s="3"/>
    </row>
    <row r="1807" ht="15.75" customHeight="1">
      <c r="A1807" s="1" t="str">
        <f>IFERROR(__xludf.DUMMYFUNCTION("""COMPUTED_VALUE"""),"22493")</f>
        <v>22493</v>
      </c>
      <c r="B1807" s="2">
        <f>IFERROR(__xludf.DUMMYFUNCTION("""COMPUTED_VALUE"""),22493.0)</f>
        <v>22493</v>
      </c>
      <c r="C1807" s="3" t="str">
        <f>IFERROR(__xludf.DUMMYFUNCTION("""COMPUTED_VALUE"""),"MBC โนนสะอาด อุดรธานี")</f>
        <v>MBC โนนสะอาด อุดรธานี</v>
      </c>
      <c r="D1807" s="3" t="str">
        <f>IFERROR(__xludf.DUMMYFUNCTION("""COMPUTED_VALUE"""),"BCM NON SA AT UDON THANI")</f>
        <v>BCM NON SA AT UDON THANI</v>
      </c>
      <c r="E1807" s="1" t="str">
        <f>IFERROR(__xludf.DUMMYFUNCTION("""COMPUTED_VALUE"""),"บิ๊กซี MINI")</f>
        <v>บิ๊กซี MINI</v>
      </c>
      <c r="F1807" s="1" t="str">
        <f>IFERROR(__xludf.DUMMYFUNCTION("""COMPUTED_VALUE"""),"291105")</f>
        <v>291105</v>
      </c>
      <c r="G1807" s="1" t="str">
        <f>IFERROR(__xludf.DUMMYFUNCTION("""COMPUTED_VALUE"""),"นายสราวุฒิ พณิชยกุล")</f>
        <v>นายสราวุฒิ พณิชยกุล</v>
      </c>
      <c r="H1807" s="1" t="str">
        <f>IFERROR(__xludf.DUMMYFUNCTION("""COMPUTED_VALUE"""),"392005")</f>
        <v>392005</v>
      </c>
      <c r="I1807" s="1" t="str">
        <f>IFERROR(__xludf.DUMMYFUNCTION("""COMPUTED_VALUE"""),"นายรัฐพล หาญลำยวง")</f>
        <v>นายรัฐพล หาญลำยวง</v>
      </c>
      <c r="J1807" s="3">
        <f>IFERROR(__xludf.DUMMYFUNCTION("""COMPUTED_VALUE"""),296868.0)</f>
        <v>296868</v>
      </c>
      <c r="K1807" s="3" t="str">
        <f>IFERROR(__xludf.DUMMYFUNCTION("""COMPUTED_VALUE"""),"นายพีระพงษ์ แก้วดวงดี")</f>
        <v>นายพีระพงษ์ แก้วดวงดี</v>
      </c>
      <c r="L1807" s="1" t="str">
        <f>IFERROR(__xludf.DUMMYFUNCTION("""COMPUTED_VALUE"""),"03 K.Peerapong K.")</f>
        <v>03 K.Peerapong K.</v>
      </c>
      <c r="M1807" s="1" t="str">
        <f>IFERROR(__xludf.DUMMYFUNCTION("""COMPUTED_VALUE"""),"089-002-6599")</f>
        <v>089-002-6599</v>
      </c>
      <c r="N1807" s="3">
        <f>IFERROR(__xludf.DUMMYFUNCTION("""COMPUTED_VALUE"""),21946.0)</f>
        <v>21946</v>
      </c>
      <c r="O1807" s="3" t="str">
        <f>IFERROR(__xludf.DUMMYFUNCTION("""COMPUTED_VALUE"""),"MBC เซกา บึงกาฬ")</f>
        <v>MBC เซกา บึงกาฬ</v>
      </c>
      <c r="P1807" s="4">
        <f>IFERROR(__xludf.DUMMYFUNCTION("""COMPUTED_VALUE"""),44723.0)</f>
        <v>44723</v>
      </c>
      <c r="Q1807" s="3" t="str">
        <f>IFERROR(__xludf.DUMMYFUNCTION("""COMPUTED_VALUE"""),"A")</f>
        <v>A</v>
      </c>
      <c r="R1807" s="3" t="str">
        <f>IFERROR(__xludf.DUMMYFUNCTION("""COMPUTED_VALUE"""),"Small Format")</f>
        <v>Small Format</v>
      </c>
      <c r="S1807" s="3" t="str">
        <f>IFERROR(__xludf.DUMMYFUNCTION("""COMPUTED_VALUE"""),"BCM")</f>
        <v>BCM</v>
      </c>
      <c r="T1807" s="3" t="str">
        <f>IFERROR(__xludf.DUMMYFUNCTION("""COMPUTED_VALUE"""),"#N/A")</f>
        <v>#N/A</v>
      </c>
      <c r="U1807" s="3" t="str">
        <f>IFERROR(__xludf.DUMMYFUNCTION("""COMPUTED_VALUE"""),"#N/A")</f>
        <v>#N/A</v>
      </c>
      <c r="V1807" s="3" t="str">
        <f>IFERROR(__xludf.DUMMYFUNCTION("""COMPUTED_VALUE"""),"N")</f>
        <v>N</v>
      </c>
      <c r="W1807" s="3">
        <f>IFERROR(__xludf.DUMMYFUNCTION("""COMPUTED_VALUE"""),210541.0)</f>
        <v>210541</v>
      </c>
      <c r="X1807" s="3" t="str">
        <f>IFERROR(__xludf.DUMMYFUNCTION("""COMPUTED_VALUE"""),"39/1 หมู่2 ตำบลโนนสะอาด อำเภอโนนสะอาด จังหวัดอุดรธานี 41240")</f>
        <v>39/1 หมู่2 ตำบลโนนสะอาด อำเภอโนนสะอาด จังหวัดอุดรธานี 41240</v>
      </c>
      <c r="Y1807" s="3"/>
      <c r="Z1807" s="3" t="str">
        <f>IFERROR(__xludf.DUMMYFUNCTION("""COMPUTED_VALUE"""),"โนนสะอาด")</f>
        <v>โนนสะอาด</v>
      </c>
      <c r="AA1807" s="3" t="str">
        <f>IFERROR(__xludf.DUMMYFUNCTION("""COMPUTED_VALUE"""),"โนนสะอาด")</f>
        <v>โนนสะอาด</v>
      </c>
      <c r="AB1807" s="3" t="str">
        <f>IFERROR(__xludf.DUMMYFUNCTION("""COMPUTED_VALUE"""),"อุดรธานี")</f>
        <v>อุดรธานี</v>
      </c>
      <c r="AC1807" s="3">
        <f>IFERROR(__xludf.DUMMYFUNCTION("""COMPUTED_VALUE"""),41240.0)</f>
        <v>41240</v>
      </c>
      <c r="AD1807" s="3">
        <f>IFERROR(__xludf.DUMMYFUNCTION("""COMPUTED_VALUE"""),16.96767793)</f>
        <v>16.96767793</v>
      </c>
      <c r="AE1807" s="3">
        <f>IFERROR(__xludf.DUMMYFUNCTION("""COMPUTED_VALUE"""),102.8952847)</f>
        <v>102.8952847</v>
      </c>
      <c r="AF1807" s="3" t="str">
        <f>IFERROR(__xludf.DUMMYFUNCTION("""COMPUTED_VALUE"""),"MBC โนนสะอาด อุดรธานี-22493")</f>
        <v>MBC โนนสะอาด อุดรธานี-22493</v>
      </c>
      <c r="AG1807" s="3" t="str">
        <f>IFERROR(__xludf.DUMMYFUNCTION("""COMPUTED_VALUE"""),"ตะวันออกเฉียงเหนือ")</f>
        <v>ตะวันออกเฉียงเหนือ</v>
      </c>
      <c r="AH1807" s="3" t="str">
        <f>IFERROR(__xludf.DUMMYFUNCTION("""COMPUTED_VALUE"""),"#N/A")</f>
        <v>#N/A</v>
      </c>
      <c r="AI1807" s="3" t="str">
        <f>IFERROR(__xludf.DUMMYFUNCTION("""COMPUTED_VALUE"""),"Out of warranty")</f>
        <v>Out of warranty</v>
      </c>
      <c r="AJ1807" s="3">
        <f>IFERROR(__xludf.DUMMYFUNCTION("""COMPUTED_VALUE"""),44.0)</f>
        <v>44</v>
      </c>
      <c r="AK1807" s="3" t="str">
        <f>IFERROR(__xludf.DUMMYFUNCTION("""COMPUTED_VALUE"""),"MMS12")</f>
        <v>MMS12</v>
      </c>
      <c r="AL1807" s="3"/>
    </row>
    <row r="1808" ht="15.75" customHeight="1">
      <c r="A1808" s="1" t="str">
        <f>IFERROR(__xludf.DUMMYFUNCTION("""COMPUTED_VALUE"""),"22494")</f>
        <v>22494</v>
      </c>
      <c r="B1808" s="2">
        <f>IFERROR(__xludf.DUMMYFUNCTION("""COMPUTED_VALUE"""),22494.0)</f>
        <v>22494</v>
      </c>
      <c r="C1808" s="3" t="str">
        <f>IFERROR(__xludf.DUMMYFUNCTION("""COMPUTED_VALUE"""),"BCM แม่ใจ พะเยา")</f>
        <v>BCM แม่ใจ พะเยา</v>
      </c>
      <c r="D1808" s="3" t="str">
        <f>IFERROR(__xludf.DUMMYFUNCTION("""COMPUTED_VALUE"""),"BCM MAE JAI PHAYAO")</f>
        <v>BCM MAE JAI PHAYAO</v>
      </c>
      <c r="E1808" s="1" t="str">
        <f>IFERROR(__xludf.DUMMYFUNCTION("""COMPUTED_VALUE"""),"บิ๊กซี MINI")</f>
        <v>บิ๊กซี MINI</v>
      </c>
      <c r="F1808" s="1" t="str">
        <f>IFERROR(__xludf.DUMMYFUNCTION("""COMPUTED_VALUE"""),"296229")</f>
        <v>296229</v>
      </c>
      <c r="G1808" s="1" t="str">
        <f>IFERROR(__xludf.DUMMYFUNCTION("""COMPUTED_VALUE"""),"นายทนงศักดิ์ บุญมา")</f>
        <v>นายทนงศักดิ์ บุญมา</v>
      </c>
      <c r="H1808" s="1" t="str">
        <f>IFERROR(__xludf.DUMMYFUNCTION("""COMPUTED_VALUE"""),"392585")</f>
        <v>392585</v>
      </c>
      <c r="I1808" s="1" t="str">
        <f>IFERROR(__xludf.DUMMYFUNCTION("""COMPUTED_VALUE"""),"นายไชยัณต์ ผิวขัวเรียง")</f>
        <v>นายไชยัณต์ ผิวขัวเรียง</v>
      </c>
      <c r="J1808" s="3">
        <f>IFERROR(__xludf.DUMMYFUNCTION("""COMPUTED_VALUE"""),2010016.0)</f>
        <v>2010016</v>
      </c>
      <c r="K1808" s="3" t="str">
        <f>IFERROR(__xludf.DUMMYFUNCTION("""COMPUTED_VALUE"""),"นายตวงธรรม ใหม่ยศ")</f>
        <v>นายตวงธรรม ใหม่ยศ</v>
      </c>
      <c r="L1808" s="1" t="str">
        <f>IFERROR(__xludf.DUMMYFUNCTION("""COMPUTED_VALUE"""),"01 K.Tuangtham M.")</f>
        <v>01 K.Tuangtham M.</v>
      </c>
      <c r="M1808" s="1" t="str">
        <f>IFERROR(__xludf.DUMMYFUNCTION("""COMPUTED_VALUE"""),"063-976-595")</f>
        <v>063-976-595</v>
      </c>
      <c r="N1808" s="3">
        <f>IFERROR(__xludf.DUMMYFUNCTION("""COMPUTED_VALUE"""),22574.0)</f>
        <v>22574</v>
      </c>
      <c r="O1808" s="3" t="str">
        <f>IFERROR(__xludf.DUMMYFUNCTION("""COMPUTED_VALUE"""),"BCM ชุมชนศรีชุม ลำปาง")</f>
        <v>BCM ชุมชนศรีชุม ลำปาง</v>
      </c>
      <c r="P1808" s="4">
        <f>IFERROR(__xludf.DUMMYFUNCTION("""COMPUTED_VALUE"""),44706.0)</f>
        <v>44706</v>
      </c>
      <c r="Q1808" s="3" t="str">
        <f>IFERROR(__xludf.DUMMYFUNCTION("""COMPUTED_VALUE"""),"A")</f>
        <v>A</v>
      </c>
      <c r="R1808" s="3" t="str">
        <f>IFERROR(__xludf.DUMMYFUNCTION("""COMPUTED_VALUE"""),"Small Format")</f>
        <v>Small Format</v>
      </c>
      <c r="S1808" s="3" t="str">
        <f>IFERROR(__xludf.DUMMYFUNCTION("""COMPUTED_VALUE"""),"BCM")</f>
        <v>BCM</v>
      </c>
      <c r="T1808" s="3" t="str">
        <f>IFERROR(__xludf.DUMMYFUNCTION("""COMPUTED_VALUE"""),"#N/A")</f>
        <v>#N/A</v>
      </c>
      <c r="U1808" s="3" t="str">
        <f>IFERROR(__xludf.DUMMYFUNCTION("""COMPUTED_VALUE"""),"#N/A")</f>
        <v>#N/A</v>
      </c>
      <c r="V1808" s="3" t="str">
        <f>IFERROR(__xludf.DUMMYFUNCTION("""COMPUTED_VALUE"""),"N")</f>
        <v>N</v>
      </c>
      <c r="W1808" s="3">
        <f>IFERROR(__xludf.DUMMYFUNCTION("""COMPUTED_VALUE"""),210547.0)</f>
        <v>210547</v>
      </c>
      <c r="X1808" s="3" t="str">
        <f>IFERROR(__xludf.DUMMYFUNCTION("""COMPUTED_VALUE"""),"450 หมู่1 ตำบลแม่ใจ อำเภอแม่ใจ จังหวัดพะเยา 56130")</f>
        <v>450 หมู่1 ตำบลแม่ใจ อำเภอแม่ใจ จังหวัดพะเยา 56130</v>
      </c>
      <c r="Y1808" s="3"/>
      <c r="Z1808" s="3" t="str">
        <f>IFERROR(__xludf.DUMMYFUNCTION("""COMPUTED_VALUE"""),"แม่ใจ")</f>
        <v>แม่ใจ</v>
      </c>
      <c r="AA1808" s="3" t="str">
        <f>IFERROR(__xludf.DUMMYFUNCTION("""COMPUTED_VALUE"""),"แม่ใจ")</f>
        <v>แม่ใจ</v>
      </c>
      <c r="AB1808" s="3" t="str">
        <f>IFERROR(__xludf.DUMMYFUNCTION("""COMPUTED_VALUE"""),"พะเยา")</f>
        <v>พะเยา</v>
      </c>
      <c r="AC1808" s="3">
        <f>IFERROR(__xludf.DUMMYFUNCTION("""COMPUTED_VALUE"""),56130.0)</f>
        <v>56130</v>
      </c>
      <c r="AD1808" s="3">
        <f>IFERROR(__xludf.DUMMYFUNCTION("""COMPUTED_VALUE"""),19.345252)</f>
        <v>19.345252</v>
      </c>
      <c r="AE1808" s="3">
        <f>IFERROR(__xludf.DUMMYFUNCTION("""COMPUTED_VALUE"""),99.815105)</f>
        <v>99.815105</v>
      </c>
      <c r="AF1808" s="3" t="str">
        <f>IFERROR(__xludf.DUMMYFUNCTION("""COMPUTED_VALUE"""),"BCM แม่ใจ พะเยา-22494")</f>
        <v>BCM แม่ใจ พะเยา-22494</v>
      </c>
      <c r="AG1808" s="3" t="str">
        <f>IFERROR(__xludf.DUMMYFUNCTION("""COMPUTED_VALUE"""),"เหนือ")</f>
        <v>เหนือ</v>
      </c>
      <c r="AH1808" s="3" t="str">
        <f>IFERROR(__xludf.DUMMYFUNCTION("""COMPUTED_VALUE"""),"#N/A")</f>
        <v>#N/A</v>
      </c>
      <c r="AI1808" s="3" t="str">
        <f>IFERROR(__xludf.DUMMYFUNCTION("""COMPUTED_VALUE"""),"Out of warranty")</f>
        <v>Out of warranty</v>
      </c>
      <c r="AJ1808" s="3">
        <f>IFERROR(__xludf.DUMMYFUNCTION("""COMPUTED_VALUE"""),44.0)</f>
        <v>44</v>
      </c>
      <c r="AK1808" s="3" t="str">
        <f>IFERROR(__xludf.DUMMYFUNCTION("""COMPUTED_VALUE"""),"MMS10")</f>
        <v>MMS10</v>
      </c>
      <c r="AL1808" s="3"/>
    </row>
    <row r="1809" ht="15.75" customHeight="1">
      <c r="A1809" s="1" t="str">
        <f>IFERROR(__xludf.DUMMYFUNCTION("""COMPUTED_VALUE"""),"22495")</f>
        <v>22495</v>
      </c>
      <c r="B1809" s="2">
        <f>IFERROR(__xludf.DUMMYFUNCTION("""COMPUTED_VALUE"""),22495.0)</f>
        <v>22495</v>
      </c>
      <c r="C1809" s="3" t="str">
        <f>IFERROR(__xludf.DUMMYFUNCTION("""COMPUTED_VALUE"""),"BCM บ้านปุยุด ปัตตานี")</f>
        <v>BCM บ้านปุยุด ปัตตานี</v>
      </c>
      <c r="D1809" s="3" t="str">
        <f>IFERROR(__xludf.DUMMYFUNCTION("""COMPUTED_VALUE"""),"BCM BAN POYUT PATTANI")</f>
        <v>BCM BAN POYUT PATTANI</v>
      </c>
      <c r="E1809" s="1" t="str">
        <f>IFERROR(__xludf.DUMMYFUNCTION("""COMPUTED_VALUE"""),"บิ๊กซี MINI")</f>
        <v>บิ๊กซี MINI</v>
      </c>
      <c r="F1809" s="1" t="str">
        <f>IFERROR(__xludf.DUMMYFUNCTION("""COMPUTED_VALUE"""),"250760")</f>
        <v>250760</v>
      </c>
      <c r="G1809" s="1" t="str">
        <f>IFERROR(__xludf.DUMMYFUNCTION("""COMPUTED_VALUE"""),"นายประทวน สาราบรรณ์")</f>
        <v>นายประทวน สาราบรรณ์</v>
      </c>
      <c r="H1809" s="1" t="str">
        <f>IFERROR(__xludf.DUMMYFUNCTION("""COMPUTED_VALUE"""),"485279")</f>
        <v>485279</v>
      </c>
      <c r="I1809" s="1" t="str">
        <f>IFERROR(__xludf.DUMMYFUNCTION("""COMPUTED_VALUE"""),"นายสิริพงศ์ ชูชื่น")</f>
        <v>นายสิริพงศ์ ชูชื่น</v>
      </c>
      <c r="J1809" s="3">
        <f>IFERROR(__xludf.DUMMYFUNCTION("""COMPUTED_VALUE"""),2.0470331E7)</f>
        <v>20470331</v>
      </c>
      <c r="K1809" s="3" t="str">
        <f>IFERROR(__xludf.DUMMYFUNCTION("""COMPUTED_VALUE"""),"นายสมชาย ลักษณะสุวรรณ")</f>
        <v>นายสมชาย ลักษณะสุวรรณ</v>
      </c>
      <c r="L1809" s="1" t="str">
        <f>IFERROR(__xludf.DUMMYFUNCTION("""COMPUTED_VALUE"""),"15 K.Somchai L")</f>
        <v>15 K.Somchai L</v>
      </c>
      <c r="M1809" s="1" t="str">
        <f>IFERROR(__xludf.DUMMYFUNCTION("""COMPUTED_VALUE"""),"0655107372")</f>
        <v>0655107372</v>
      </c>
      <c r="N1809" s="3">
        <f>IFERROR(__xludf.DUMMYFUNCTION("""COMPUTED_VALUE"""),21723.0)</f>
        <v>21723</v>
      </c>
      <c r="O1809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809" s="4">
        <f>IFERROR(__xludf.DUMMYFUNCTION("""COMPUTED_VALUE"""),44706.0)</f>
        <v>44706</v>
      </c>
      <c r="Q1809" s="3" t="str">
        <f>IFERROR(__xludf.DUMMYFUNCTION("""COMPUTED_VALUE"""),"A")</f>
        <v>A</v>
      </c>
      <c r="R1809" s="3" t="str">
        <f>IFERROR(__xludf.DUMMYFUNCTION("""COMPUTED_VALUE"""),"Small Format")</f>
        <v>Small Format</v>
      </c>
      <c r="S1809" s="3" t="str">
        <f>IFERROR(__xludf.DUMMYFUNCTION("""COMPUTED_VALUE"""),"BCM")</f>
        <v>BCM</v>
      </c>
      <c r="T1809" s="3" t="str">
        <f>IFERROR(__xludf.DUMMYFUNCTION("""COMPUTED_VALUE"""),"#N/A")</f>
        <v>#N/A</v>
      </c>
      <c r="U1809" s="3" t="str">
        <f>IFERROR(__xludf.DUMMYFUNCTION("""COMPUTED_VALUE"""),"#N/A")</f>
        <v>#N/A</v>
      </c>
      <c r="V1809" s="3" t="str">
        <f>IFERROR(__xludf.DUMMYFUNCTION("""COMPUTED_VALUE"""),"N")</f>
        <v>N</v>
      </c>
      <c r="W1809" s="3">
        <f>IFERROR(__xludf.DUMMYFUNCTION("""COMPUTED_VALUE"""),210539.0)</f>
        <v>210539</v>
      </c>
      <c r="X1809" s="3" t="str">
        <f>IFERROR(__xludf.DUMMYFUNCTION("""COMPUTED_VALUE"""),"42/5 หมู่7 ตำบลปุยุด อำเภอเมืองปัตตานี จังหวัดปัตตานี 94000")</f>
        <v>42/5 หมู่7 ตำบลปุยุด อำเภอเมืองปัตตานี จังหวัดปัตตานี 94000</v>
      </c>
      <c r="Y1809" s="3"/>
      <c r="Z1809" s="3" t="str">
        <f>IFERROR(__xludf.DUMMYFUNCTION("""COMPUTED_VALUE"""),"ปุยุด")</f>
        <v>ปุยุด</v>
      </c>
      <c r="AA1809" s="3" t="str">
        <f>IFERROR(__xludf.DUMMYFUNCTION("""COMPUTED_VALUE"""),"เมืองปัตตานี")</f>
        <v>เมืองปัตตานี</v>
      </c>
      <c r="AB1809" s="3" t="str">
        <f>IFERROR(__xludf.DUMMYFUNCTION("""COMPUTED_VALUE"""),"ปัตตานี")</f>
        <v>ปัตตานี</v>
      </c>
      <c r="AC1809" s="3">
        <f>IFERROR(__xludf.DUMMYFUNCTION("""COMPUTED_VALUE"""),94000.0)</f>
        <v>94000</v>
      </c>
      <c r="AD1809" s="3">
        <f>IFERROR(__xludf.DUMMYFUNCTION("""COMPUTED_VALUE"""),6.812567)</f>
        <v>6.812567</v>
      </c>
      <c r="AE1809" s="3" t="str">
        <f>IFERROR(__xludf.DUMMYFUNCTION("""COMPUTED_VALUE"""),"101.2 83669")</f>
        <v>101.2 83669</v>
      </c>
      <c r="AF1809" s="3" t="str">
        <f>IFERROR(__xludf.DUMMYFUNCTION("""COMPUTED_VALUE"""),"BCM บ้านปุยุด ปัตตานี-22495")</f>
        <v>BCM บ้านปุยุด ปัตตานี-22495</v>
      </c>
      <c r="AG1809" s="3" t="str">
        <f>IFERROR(__xludf.DUMMYFUNCTION("""COMPUTED_VALUE"""),"ใต้")</f>
        <v>ใต้</v>
      </c>
      <c r="AH1809" s="3" t="str">
        <f>IFERROR(__xludf.DUMMYFUNCTION("""COMPUTED_VALUE"""),"#N/A")</f>
        <v>#N/A</v>
      </c>
      <c r="AI1809" s="3" t="str">
        <f>IFERROR(__xludf.DUMMYFUNCTION("""COMPUTED_VALUE"""),"Out of warranty")</f>
        <v>Out of warranty</v>
      </c>
      <c r="AJ1809" s="3">
        <f>IFERROR(__xludf.DUMMYFUNCTION("""COMPUTED_VALUE"""),44.0)</f>
        <v>44</v>
      </c>
      <c r="AK1809" s="3" t="str">
        <f>IFERROR(__xludf.DUMMYFUNCTION("""COMPUTED_VALUE"""),"MMS16")</f>
        <v>MMS16</v>
      </c>
      <c r="AL1809" s="3"/>
    </row>
    <row r="1810" ht="15.75" customHeight="1">
      <c r="A1810" s="1" t="str">
        <f>IFERROR(__xludf.DUMMYFUNCTION("""COMPUTED_VALUE"""),"22496")</f>
        <v>22496</v>
      </c>
      <c r="B1810" s="2">
        <f>IFERROR(__xludf.DUMMYFUNCTION("""COMPUTED_VALUE"""),22496.0)</f>
        <v>22496</v>
      </c>
      <c r="C1810" s="3" t="str">
        <f>IFERROR(__xludf.DUMMYFUNCTION("""COMPUTED_VALUE"""),"BCM ตลาดพงศ์ทรัพย์บางแก้ว พัทลุง")</f>
        <v>BCM ตลาดพงศ์ทรัพย์บางแก้ว พัทลุง</v>
      </c>
      <c r="D1810" s="3" t="str">
        <f>IFERROR(__xludf.DUMMYFUNCTION("""COMPUTED_VALUE"""),"BCM TALAD PONGSUP BANG KAEO")</f>
        <v>BCM TALAD PONGSUP BANG KAEO</v>
      </c>
      <c r="E1810" s="1" t="str">
        <f>IFERROR(__xludf.DUMMYFUNCTION("""COMPUTED_VALUE"""),"บิ๊กซี MINI")</f>
        <v>บิ๊กซี MINI</v>
      </c>
      <c r="F1810" s="1" t="str">
        <f>IFERROR(__xludf.DUMMYFUNCTION("""COMPUTED_VALUE"""),"250760")</f>
        <v>250760</v>
      </c>
      <c r="G1810" s="1" t="str">
        <f>IFERROR(__xludf.DUMMYFUNCTION("""COMPUTED_VALUE"""),"นายประทวน สาราบรรณ์")</f>
        <v>นายประทวน สาราบรรณ์</v>
      </c>
      <c r="H1810" s="1" t="str">
        <f>IFERROR(__xludf.DUMMYFUNCTION("""COMPUTED_VALUE"""),"394100")</f>
        <v>394100</v>
      </c>
      <c r="I1810" s="1" t="str">
        <f>IFERROR(__xludf.DUMMYFUNCTION("""COMPUTED_VALUE"""),"นายไพโรจน์ ถิระผะลิกะ")</f>
        <v>นายไพโรจน์ ถิระผะลิกะ</v>
      </c>
      <c r="J1810" s="3">
        <f>IFERROR(__xludf.DUMMYFUNCTION("""COMPUTED_VALUE"""),2.0470331E7)</f>
        <v>20470331</v>
      </c>
      <c r="K1810" s="3" t="str">
        <f>IFERROR(__xludf.DUMMYFUNCTION("""COMPUTED_VALUE"""),"นายสมชาย ลักษณะสุวรรณ")</f>
        <v>นายสมชาย ลักษณะสุวรรณ</v>
      </c>
      <c r="L1810" s="1" t="str">
        <f>IFERROR(__xludf.DUMMYFUNCTION("""COMPUTED_VALUE"""),"15 K.Somchai L")</f>
        <v>15 K.Somchai L</v>
      </c>
      <c r="M1810" s="1" t="str">
        <f>IFERROR(__xludf.DUMMYFUNCTION("""COMPUTED_VALUE"""),"0655107372")</f>
        <v>0655107372</v>
      </c>
      <c r="N1810" s="3">
        <f>IFERROR(__xludf.DUMMYFUNCTION("""COMPUTED_VALUE"""),21723.0)</f>
        <v>21723</v>
      </c>
      <c r="O1810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810" s="4">
        <f>IFERROR(__xludf.DUMMYFUNCTION("""COMPUTED_VALUE"""),44696.0)</f>
        <v>44696</v>
      </c>
      <c r="Q1810" s="3" t="str">
        <f>IFERROR(__xludf.DUMMYFUNCTION("""COMPUTED_VALUE"""),"A")</f>
        <v>A</v>
      </c>
      <c r="R1810" s="3" t="str">
        <f>IFERROR(__xludf.DUMMYFUNCTION("""COMPUTED_VALUE"""),"Small Format")</f>
        <v>Small Format</v>
      </c>
      <c r="S1810" s="3" t="str">
        <f>IFERROR(__xludf.DUMMYFUNCTION("""COMPUTED_VALUE"""),"BCM")</f>
        <v>BCM</v>
      </c>
      <c r="T1810" s="3" t="str">
        <f>IFERROR(__xludf.DUMMYFUNCTION("""COMPUTED_VALUE"""),"#N/A")</f>
        <v>#N/A</v>
      </c>
      <c r="U1810" s="3" t="str">
        <f>IFERROR(__xludf.DUMMYFUNCTION("""COMPUTED_VALUE"""),"#N/A")</f>
        <v>#N/A</v>
      </c>
      <c r="V1810" s="3" t="str">
        <f>IFERROR(__xludf.DUMMYFUNCTION("""COMPUTED_VALUE"""),"N")</f>
        <v>N</v>
      </c>
      <c r="W1810" s="3">
        <f>IFERROR(__xludf.DUMMYFUNCTION("""COMPUTED_VALUE"""),210565.0)</f>
        <v>210565</v>
      </c>
      <c r="X1810" s="3" t="str">
        <f>IFERROR(__xludf.DUMMYFUNCTION("""COMPUTED_VALUE"""),"65/1 หมู่1 ตำบลโคกสัก อำเภอบางแก้ว จังหวัดพัทลุง 93140")</f>
        <v>65/1 หมู่1 ตำบลโคกสัก อำเภอบางแก้ว จังหวัดพัทลุง 93140</v>
      </c>
      <c r="Y1810" s="3"/>
      <c r="Z1810" s="3" t="str">
        <f>IFERROR(__xludf.DUMMYFUNCTION("""COMPUTED_VALUE"""),"โคกสัก")</f>
        <v>โคกสัก</v>
      </c>
      <c r="AA1810" s="3" t="str">
        <f>IFERROR(__xludf.DUMMYFUNCTION("""COMPUTED_VALUE"""),"บางแก้ว")</f>
        <v>บางแก้ว</v>
      </c>
      <c r="AB1810" s="3" t="str">
        <f>IFERROR(__xludf.DUMMYFUNCTION("""COMPUTED_VALUE"""),"พัทลุง")</f>
        <v>พัทลุง</v>
      </c>
      <c r="AC1810" s="3">
        <f>IFERROR(__xludf.DUMMYFUNCTION("""COMPUTED_VALUE"""),93140.0)</f>
        <v>93140</v>
      </c>
      <c r="AD1810" s="3">
        <f>IFERROR(__xludf.DUMMYFUNCTION("""COMPUTED_VALUE"""),7.419921)</f>
        <v>7.419921</v>
      </c>
      <c r="AE1810" s="3">
        <f>IFERROR(__xludf.DUMMYFUNCTION("""COMPUTED_VALUE"""),100.168288)</f>
        <v>100.168288</v>
      </c>
      <c r="AF1810" s="3" t="str">
        <f>IFERROR(__xludf.DUMMYFUNCTION("""COMPUTED_VALUE"""),"BCM ตลาดพงศ์ทรัพย์บางแก้ว พัทลุง-22496")</f>
        <v>BCM ตลาดพงศ์ทรัพย์บางแก้ว พัทลุง-22496</v>
      </c>
      <c r="AG1810" s="3" t="str">
        <f>IFERROR(__xludf.DUMMYFUNCTION("""COMPUTED_VALUE"""),"ใต้")</f>
        <v>ใต้</v>
      </c>
      <c r="AH1810" s="3" t="str">
        <f>IFERROR(__xludf.DUMMYFUNCTION("""COMPUTED_VALUE"""),"#N/A")</f>
        <v>#N/A</v>
      </c>
      <c r="AI1810" s="3" t="str">
        <f>IFERROR(__xludf.DUMMYFUNCTION("""COMPUTED_VALUE"""),"Out of warranty")</f>
        <v>Out of warranty</v>
      </c>
      <c r="AJ1810" s="3">
        <f>IFERROR(__xludf.DUMMYFUNCTION("""COMPUTED_VALUE"""),45.0)</f>
        <v>45</v>
      </c>
      <c r="AK1810" s="3" t="str">
        <f>IFERROR(__xludf.DUMMYFUNCTION("""COMPUTED_VALUE"""),"MMS15")</f>
        <v>MMS15</v>
      </c>
      <c r="AL1810" s="3"/>
    </row>
    <row r="1811" ht="15.75" customHeight="1">
      <c r="A1811" s="1" t="str">
        <f>IFERROR(__xludf.DUMMYFUNCTION("""COMPUTED_VALUE"""),"22497")</f>
        <v>22497</v>
      </c>
      <c r="B1811" s="2">
        <f>IFERROR(__xludf.DUMMYFUNCTION("""COMPUTED_VALUE"""),22497.0)</f>
        <v>22497</v>
      </c>
      <c r="C1811" s="3" t="str">
        <f>IFERROR(__xludf.DUMMYFUNCTION("""COMPUTED_VALUE"""),"BCM ชุมชนเชียงของ เชียงราย")</f>
        <v>BCM ชุมชนเชียงของ เชียงราย</v>
      </c>
      <c r="D1811" s="3" t="str">
        <f>IFERROR(__xludf.DUMMYFUNCTION("""COMPUTED_VALUE"""),"BCM CHUMCHON CHIANGKHONG")</f>
        <v>BCM CHUMCHON CHIANGKHONG</v>
      </c>
      <c r="E1811" s="1" t="str">
        <f>IFERROR(__xludf.DUMMYFUNCTION("""COMPUTED_VALUE"""),"บิ๊กซี MINI")</f>
        <v>บิ๊กซี MINI</v>
      </c>
      <c r="F1811" s="1" t="str">
        <f>IFERROR(__xludf.DUMMYFUNCTION("""COMPUTED_VALUE"""),"296229")</f>
        <v>296229</v>
      </c>
      <c r="G1811" s="1" t="str">
        <f>IFERROR(__xludf.DUMMYFUNCTION("""COMPUTED_VALUE"""),"นายทนงศักดิ์ บุญมา")</f>
        <v>นายทนงศักดิ์ บุญมา</v>
      </c>
      <c r="H1811" s="1" t="str">
        <f>IFERROR(__xludf.DUMMYFUNCTION("""COMPUTED_VALUE"""),"392585")</f>
        <v>392585</v>
      </c>
      <c r="I1811" s="1" t="str">
        <f>IFERROR(__xludf.DUMMYFUNCTION("""COMPUTED_VALUE"""),"นายไชยัณต์ ผิวขัวเรียง")</f>
        <v>นายไชยัณต์ ผิวขัวเรียง</v>
      </c>
      <c r="J1811" s="3">
        <f>IFERROR(__xludf.DUMMYFUNCTION("""COMPUTED_VALUE"""),2010016.0)</f>
        <v>2010016</v>
      </c>
      <c r="K1811" s="3" t="str">
        <f>IFERROR(__xludf.DUMMYFUNCTION("""COMPUTED_VALUE"""),"นายตวงธรรม ใหม่ยศ")</f>
        <v>นายตวงธรรม ใหม่ยศ</v>
      </c>
      <c r="L1811" s="1" t="str">
        <f>IFERROR(__xludf.DUMMYFUNCTION("""COMPUTED_VALUE"""),"01 K.Tuangtham M.")</f>
        <v>01 K.Tuangtham M.</v>
      </c>
      <c r="M1811" s="1" t="str">
        <f>IFERROR(__xludf.DUMMYFUNCTION("""COMPUTED_VALUE"""),"063-976-595")</f>
        <v>063-976-595</v>
      </c>
      <c r="N1811" s="3">
        <f>IFERROR(__xludf.DUMMYFUNCTION("""COMPUTED_VALUE"""),22574.0)</f>
        <v>22574</v>
      </c>
      <c r="O1811" s="3" t="str">
        <f>IFERROR(__xludf.DUMMYFUNCTION("""COMPUTED_VALUE"""),"BCM ชุมชนศรีชุม ลำปาง")</f>
        <v>BCM ชุมชนศรีชุม ลำปาง</v>
      </c>
      <c r="P1811" s="4">
        <f>IFERROR(__xludf.DUMMYFUNCTION("""COMPUTED_VALUE"""),44706.0)</f>
        <v>44706</v>
      </c>
      <c r="Q1811" s="3" t="str">
        <f>IFERROR(__xludf.DUMMYFUNCTION("""COMPUTED_VALUE"""),"A")</f>
        <v>A</v>
      </c>
      <c r="R1811" s="3" t="str">
        <f>IFERROR(__xludf.DUMMYFUNCTION("""COMPUTED_VALUE"""),"Small Format")</f>
        <v>Small Format</v>
      </c>
      <c r="S1811" s="3" t="str">
        <f>IFERROR(__xludf.DUMMYFUNCTION("""COMPUTED_VALUE"""),"BCM")</f>
        <v>BCM</v>
      </c>
      <c r="T1811" s="3" t="str">
        <f>IFERROR(__xludf.DUMMYFUNCTION("""COMPUTED_VALUE"""),"#N/A")</f>
        <v>#N/A</v>
      </c>
      <c r="U1811" s="3" t="str">
        <f>IFERROR(__xludf.DUMMYFUNCTION("""COMPUTED_VALUE"""),"#N/A")</f>
        <v>#N/A</v>
      </c>
      <c r="V1811" s="3" t="str">
        <f>IFERROR(__xludf.DUMMYFUNCTION("""COMPUTED_VALUE"""),"N")</f>
        <v>N</v>
      </c>
      <c r="W1811" s="3">
        <f>IFERROR(__xludf.DUMMYFUNCTION("""COMPUTED_VALUE"""),210557.0)</f>
        <v>210557</v>
      </c>
      <c r="X1811" s="3" t="str">
        <f>IFERROR(__xludf.DUMMYFUNCTION("""COMPUTED_VALUE"""),"246 หมู่8 ตำบลเวียง อำเภอเชียงของ จังหวัดเชียงราย 57140")</f>
        <v>246 หมู่8 ตำบลเวียง อำเภอเชียงของ จังหวัดเชียงราย 57140</v>
      </c>
      <c r="Y1811" s="3"/>
      <c r="Z1811" s="3" t="str">
        <f>IFERROR(__xludf.DUMMYFUNCTION("""COMPUTED_VALUE"""),"เวียง")</f>
        <v>เวียง</v>
      </c>
      <c r="AA1811" s="3" t="str">
        <f>IFERROR(__xludf.DUMMYFUNCTION("""COMPUTED_VALUE"""),"เชียงของ")</f>
        <v>เชียงของ</v>
      </c>
      <c r="AB1811" s="3" t="str">
        <f>IFERROR(__xludf.DUMMYFUNCTION("""COMPUTED_VALUE"""),"เชียงราย")</f>
        <v>เชียงราย</v>
      </c>
      <c r="AC1811" s="3">
        <f>IFERROR(__xludf.DUMMYFUNCTION("""COMPUTED_VALUE"""),57140.0)</f>
        <v>57140</v>
      </c>
      <c r="AD1811" s="3">
        <f>IFERROR(__xludf.DUMMYFUNCTION("""COMPUTED_VALUE"""),20.266371)</f>
        <v>20.266371</v>
      </c>
      <c r="AE1811" s="3">
        <f>IFERROR(__xludf.DUMMYFUNCTION("""COMPUTED_VALUE"""),100.40572)</f>
        <v>100.40572</v>
      </c>
      <c r="AF1811" s="3" t="str">
        <f>IFERROR(__xludf.DUMMYFUNCTION("""COMPUTED_VALUE"""),"BCM ชุมชนเชียงของ เชียงราย-22497")</f>
        <v>BCM ชุมชนเชียงของ เชียงราย-22497</v>
      </c>
      <c r="AG1811" s="3" t="str">
        <f>IFERROR(__xludf.DUMMYFUNCTION("""COMPUTED_VALUE"""),"เหนือ")</f>
        <v>เหนือ</v>
      </c>
      <c r="AH1811" s="3" t="str">
        <f>IFERROR(__xludf.DUMMYFUNCTION("""COMPUTED_VALUE"""),"#N/A")</f>
        <v>#N/A</v>
      </c>
      <c r="AI1811" s="3" t="str">
        <f>IFERROR(__xludf.DUMMYFUNCTION("""COMPUTED_VALUE"""),"Out of warranty")</f>
        <v>Out of warranty</v>
      </c>
      <c r="AJ1811" s="3">
        <f>IFERROR(__xludf.DUMMYFUNCTION("""COMPUTED_VALUE"""),44.0)</f>
        <v>44</v>
      </c>
      <c r="AK1811" s="3" t="str">
        <f>IFERROR(__xludf.DUMMYFUNCTION("""COMPUTED_VALUE"""),"MMS10")</f>
        <v>MMS10</v>
      </c>
      <c r="AL1811" s="3"/>
    </row>
    <row r="1812" ht="15.75" customHeight="1">
      <c r="A1812" s="1" t="str">
        <f>IFERROR(__xludf.DUMMYFUNCTION("""COMPUTED_VALUE"""),"22498")</f>
        <v>22498</v>
      </c>
      <c r="B1812" s="2">
        <f>IFERROR(__xludf.DUMMYFUNCTION("""COMPUTED_VALUE"""),22498.0)</f>
        <v>22498</v>
      </c>
      <c r="C1812" s="3" t="str">
        <f>IFERROR(__xludf.DUMMYFUNCTION("""COMPUTED_VALUE"""),"BCM นารถสุนทร สมุทรปราการ")</f>
        <v>BCM นารถสุนทร สมุทรปราการ</v>
      </c>
      <c r="D1812" s="3" t="str">
        <f>IFERROR(__xludf.DUMMYFUNCTION("""COMPUTED_VALUE"""),"BCM NATHSOONTHON SAMUT PRAKAN")</f>
        <v>BCM NATHSOONTHON SAMUT PRAKAN</v>
      </c>
      <c r="E1812" s="1" t="str">
        <f>IFERROR(__xludf.DUMMYFUNCTION("""COMPUTED_VALUE"""),"บิ๊กซี MINI")</f>
        <v>บิ๊กซี MINI</v>
      </c>
      <c r="F1812" s="1" t="str">
        <f>IFERROR(__xludf.DUMMYFUNCTION("""COMPUTED_VALUE"""),"2083447")</f>
        <v>2083447</v>
      </c>
      <c r="G1812" s="1" t="str">
        <f>IFERROR(__xludf.DUMMYFUNCTION("""COMPUTED_VALUE"""),"นายอนุกูล ศรีลัดดา")</f>
        <v>นายอนุกูล ศรีลัดดา</v>
      </c>
      <c r="H1812" s="1" t="str">
        <f>IFERROR(__xludf.DUMMYFUNCTION("""COMPUTED_VALUE"""),"379037")</f>
        <v>379037</v>
      </c>
      <c r="I1812" s="1" t="str">
        <f>IFERROR(__xludf.DUMMYFUNCTION("""COMPUTED_VALUE"""),"นางแก้วใจ แก้วกาญจน์")</f>
        <v>นางแก้วใจ แก้วกาญจน์</v>
      </c>
      <c r="J1812" s="3">
        <f>IFERROR(__xludf.DUMMYFUNCTION("""COMPUTED_VALUE"""),2451655.0)</f>
        <v>2451655</v>
      </c>
      <c r="K1812" s="3" t="str">
        <f>IFERROR(__xludf.DUMMYFUNCTION("""COMPUTED_VALUE"""),"นายวิษณุพงษ์ ชินบุตร")</f>
        <v>นายวิษณุพงษ์ ชินบุตร</v>
      </c>
      <c r="L1812" s="1" t="str">
        <f>IFERROR(__xludf.DUMMYFUNCTION("""COMPUTED_VALUE"""),"13 K.Wisanupong Ch")</f>
        <v>13 K.Wisanupong Ch</v>
      </c>
      <c r="M1812" s="1" t="str">
        <f>IFERROR(__xludf.DUMMYFUNCTION("""COMPUTED_VALUE"""),"0843374693")</f>
        <v>0843374693</v>
      </c>
      <c r="N1812" s="3">
        <f>IFERROR(__xludf.DUMMYFUNCTION("""COMPUTED_VALUE"""),22729.0)</f>
        <v>22729</v>
      </c>
      <c r="O1812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812" s="4">
        <f>IFERROR(__xludf.DUMMYFUNCTION("""COMPUTED_VALUE"""),44725.0)</f>
        <v>44725</v>
      </c>
      <c r="Q1812" s="3" t="str">
        <f>IFERROR(__xludf.DUMMYFUNCTION("""COMPUTED_VALUE"""),"A")</f>
        <v>A</v>
      </c>
      <c r="R1812" s="3" t="str">
        <f>IFERROR(__xludf.DUMMYFUNCTION("""COMPUTED_VALUE"""),"Small Format")</f>
        <v>Small Format</v>
      </c>
      <c r="S1812" s="3" t="str">
        <f>IFERROR(__xludf.DUMMYFUNCTION("""COMPUTED_VALUE"""),"BCM")</f>
        <v>BCM</v>
      </c>
      <c r="T1812" s="3" t="str">
        <f>IFERROR(__xludf.DUMMYFUNCTION("""COMPUTED_VALUE"""),"#N/A")</f>
        <v>#N/A</v>
      </c>
      <c r="U1812" s="3" t="str">
        <f>IFERROR(__xludf.DUMMYFUNCTION("""COMPUTED_VALUE"""),"#N/A")</f>
        <v>#N/A</v>
      </c>
      <c r="V1812" s="3" t="str">
        <f>IFERROR(__xludf.DUMMYFUNCTION("""COMPUTED_VALUE"""),"N")</f>
        <v>N</v>
      </c>
      <c r="W1812" s="3">
        <f>IFERROR(__xludf.DUMMYFUNCTION("""COMPUTED_VALUE"""),210554.0)</f>
        <v>210554</v>
      </c>
      <c r="X1812" s="3" t="str">
        <f>IFERROR(__xludf.DUMMYFUNCTION("""COMPUTED_VALUE"""),"66/108 หมู่4 ตำบลบางเมืองใหม่ อำเภอเมืองสมุทรปราการ จังหวัดสมุทรปราการ 10270")</f>
        <v>66/108 หมู่4 ตำบลบางเมืองใหม่ อำเภอเมืองสมุทรปราการ จังหวัดสมุทรปราการ 10270</v>
      </c>
      <c r="Y1812" s="3"/>
      <c r="Z1812" s="3" t="str">
        <f>IFERROR(__xludf.DUMMYFUNCTION("""COMPUTED_VALUE"""),"บางเมืองใหม่")</f>
        <v>บางเมืองใหม่</v>
      </c>
      <c r="AA1812" s="3" t="str">
        <f>IFERROR(__xludf.DUMMYFUNCTION("""COMPUTED_VALUE"""),"เมืองสมุทรปราการ")</f>
        <v>เมืองสมุทรปราการ</v>
      </c>
      <c r="AB1812" s="3" t="str">
        <f>IFERROR(__xludf.DUMMYFUNCTION("""COMPUTED_VALUE"""),"สมุทรปราการ")</f>
        <v>สมุทรปราการ</v>
      </c>
      <c r="AC1812" s="3">
        <f>IFERROR(__xludf.DUMMYFUNCTION("""COMPUTED_VALUE"""),10270.0)</f>
        <v>10270</v>
      </c>
      <c r="AD1812" s="3">
        <f>IFERROR(__xludf.DUMMYFUNCTION("""COMPUTED_VALUE"""),13.617062)</f>
        <v>13.617062</v>
      </c>
      <c r="AE1812" s="3">
        <f>IFERROR(__xludf.DUMMYFUNCTION("""COMPUTED_VALUE"""),100.595121)</f>
        <v>100.595121</v>
      </c>
      <c r="AF1812" s="3" t="str">
        <f>IFERROR(__xludf.DUMMYFUNCTION("""COMPUTED_VALUE"""),"BCM นารถสุนทร สมุทรปราการ-22498")</f>
        <v>BCM นารถสุนทร สมุทรปราการ-22498</v>
      </c>
      <c r="AG1812" s="3" t="str">
        <f>IFERROR(__xludf.DUMMYFUNCTION("""COMPUTED_VALUE"""),"กลาง")</f>
        <v>กลาง</v>
      </c>
      <c r="AH1812" s="3" t="str">
        <f>IFERROR(__xludf.DUMMYFUNCTION("""COMPUTED_VALUE"""),"#N/A")</f>
        <v>#N/A</v>
      </c>
      <c r="AI1812" s="3" t="str">
        <f>IFERROR(__xludf.DUMMYFUNCTION("""COMPUTED_VALUE"""),"Out of warranty")</f>
        <v>Out of warranty</v>
      </c>
      <c r="AJ1812" s="3">
        <f>IFERROR(__xludf.DUMMYFUNCTION("""COMPUTED_VALUE"""),44.0)</f>
        <v>44</v>
      </c>
      <c r="AK1812" s="3" t="str">
        <f>IFERROR(__xludf.DUMMYFUNCTION("""COMPUTED_VALUE"""),"MMS03")</f>
        <v>MMS03</v>
      </c>
      <c r="AL1812" s="3"/>
    </row>
    <row r="1813" ht="15.75" customHeight="1">
      <c r="A1813" s="1" t="str">
        <f>IFERROR(__xludf.DUMMYFUNCTION("""COMPUTED_VALUE"""),"22499")</f>
        <v>22499</v>
      </c>
      <c r="B1813" s="2">
        <f>IFERROR(__xludf.DUMMYFUNCTION("""COMPUTED_VALUE"""),22499.0)</f>
        <v>22499</v>
      </c>
      <c r="C1813" s="3" t="str">
        <f>IFERROR(__xludf.DUMMYFUNCTION("""COMPUTED_VALUE"""),"BCM BCP หนองใหญ่ ชลบุรี")</f>
        <v>BCM BCP หนองใหญ่ ชลบุรี</v>
      </c>
      <c r="D1813" s="3" t="str">
        <f>IFERROR(__xludf.DUMMYFUNCTION("""COMPUTED_VALUE"""),"BCM BCP NHONG YAI CHONBURI")</f>
        <v>BCM BCP NHONG YAI CHONBURI</v>
      </c>
      <c r="E1813" s="1" t="str">
        <f>IFERROR(__xludf.DUMMYFUNCTION("""COMPUTED_VALUE"""),"บิ๊กซี MINI")</f>
        <v>บิ๊กซี MINI</v>
      </c>
      <c r="F1813" s="1" t="str">
        <f>IFERROR(__xludf.DUMMYFUNCTION("""COMPUTED_VALUE"""),"221716")</f>
        <v>221716</v>
      </c>
      <c r="G1813" s="1" t="str">
        <f>IFERROR(__xludf.DUMMYFUNCTION("""COMPUTED_VALUE"""),"น.ส.เบญจพร โพธิสาร")</f>
        <v>น.ส.เบญจพร โพธิสาร</v>
      </c>
      <c r="H1813" s="1" t="str">
        <f>IFERROR(__xludf.DUMMYFUNCTION("""COMPUTED_VALUE"""),"376139")</f>
        <v>376139</v>
      </c>
      <c r="I1813" s="1" t="str">
        <f>IFERROR(__xludf.DUMMYFUNCTION("""COMPUTED_VALUE"""),"นายอนุชา อำไพ")</f>
        <v>นายอนุชา อำไพ</v>
      </c>
      <c r="J1813" s="3">
        <f>IFERROR(__xludf.DUMMYFUNCTION("""COMPUTED_VALUE"""),296942.0)</f>
        <v>296942</v>
      </c>
      <c r="K1813" s="3" t="str">
        <f>IFERROR(__xludf.DUMMYFUNCTION("""COMPUTED_VALUE"""),"นายปิยะ รักษากิจ")</f>
        <v>นายปิยะ รักษากิจ</v>
      </c>
      <c r="L1813" s="1" t="str">
        <f>IFERROR(__xludf.DUMMYFUNCTION("""COMPUTED_VALUE"""),"07 K.Piya R.")</f>
        <v>07 K.Piya R.</v>
      </c>
      <c r="M1813" s="1" t="str">
        <f>IFERROR(__xludf.DUMMYFUNCTION("""COMPUTED_VALUE"""),"097-919-5476")</f>
        <v>097-919-5476</v>
      </c>
      <c r="N1813" s="3">
        <f>IFERROR(__xludf.DUMMYFUNCTION("""COMPUTED_VALUE"""),21332.0)</f>
        <v>21332</v>
      </c>
      <c r="O1813" s="3" t="str">
        <f>IFERROR(__xludf.DUMMYFUNCTION("""COMPUTED_VALUE"""),"MBC BCP อ่อนนุช 17/1")</f>
        <v>MBC BCP อ่อนนุช 17/1</v>
      </c>
      <c r="P1813" s="4">
        <f>IFERROR(__xludf.DUMMYFUNCTION("""COMPUTED_VALUE"""),44734.0)</f>
        <v>44734</v>
      </c>
      <c r="Q1813" s="3" t="str">
        <f>IFERROR(__xludf.DUMMYFUNCTION("""COMPUTED_VALUE"""),"A")</f>
        <v>A</v>
      </c>
      <c r="R1813" s="3" t="str">
        <f>IFERROR(__xludf.DUMMYFUNCTION("""COMPUTED_VALUE"""),"Small Format")</f>
        <v>Small Format</v>
      </c>
      <c r="S1813" s="3" t="str">
        <f>IFERROR(__xludf.DUMMYFUNCTION("""COMPUTED_VALUE"""),"BCM")</f>
        <v>BCM</v>
      </c>
      <c r="T1813" s="3" t="str">
        <f>IFERROR(__xludf.DUMMYFUNCTION("""COMPUTED_VALUE"""),"#N/A")</f>
        <v>#N/A</v>
      </c>
      <c r="U1813" s="3" t="str">
        <f>IFERROR(__xludf.DUMMYFUNCTION("""COMPUTED_VALUE"""),"#N/A")</f>
        <v>#N/A</v>
      </c>
      <c r="V1813" s="3" t="str">
        <f>IFERROR(__xludf.DUMMYFUNCTION("""COMPUTED_VALUE"""),"N")</f>
        <v>N</v>
      </c>
      <c r="W1813" s="3">
        <f>IFERROR(__xludf.DUMMYFUNCTION("""COMPUTED_VALUE"""),361239.0)</f>
        <v>361239</v>
      </c>
      <c r="X1813" s="3" t="str">
        <f>IFERROR(__xludf.DUMMYFUNCTION("""COMPUTED_VALUE"""),"189/1 หมู่2 ตำบลหนองใหญ่ อำเภอหนองใหญ่ จังหวัดชลบุรี 20190")</f>
        <v>189/1 หมู่2 ตำบลหนองใหญ่ อำเภอหนองใหญ่ จังหวัดชลบุรี 20190</v>
      </c>
      <c r="Y1813" s="3"/>
      <c r="Z1813" s="3" t="str">
        <f>IFERROR(__xludf.DUMMYFUNCTION("""COMPUTED_VALUE"""),"หนองใหญ่")</f>
        <v>หนองใหญ่</v>
      </c>
      <c r="AA1813" s="3" t="str">
        <f>IFERROR(__xludf.DUMMYFUNCTION("""COMPUTED_VALUE"""),"หนองใหญ่")</f>
        <v>หนองใหญ่</v>
      </c>
      <c r="AB1813" s="3" t="str">
        <f>IFERROR(__xludf.DUMMYFUNCTION("""COMPUTED_VALUE"""),"เชียงราย")</f>
        <v>เชียงราย</v>
      </c>
      <c r="AC1813" s="3">
        <f>IFERROR(__xludf.DUMMYFUNCTION("""COMPUTED_VALUE"""),20190.0)</f>
        <v>20190</v>
      </c>
      <c r="AD1813" s="3">
        <f>IFERROR(__xludf.DUMMYFUNCTION("""COMPUTED_VALUE"""),13.125867)</f>
        <v>13.125867</v>
      </c>
      <c r="AE1813" s="3">
        <f>IFERROR(__xludf.DUMMYFUNCTION("""COMPUTED_VALUE"""),101.359484)</f>
        <v>101.359484</v>
      </c>
      <c r="AF1813" s="3" t="str">
        <f>IFERROR(__xludf.DUMMYFUNCTION("""COMPUTED_VALUE"""),"BCM BCP หนองใหญ่ ชลบุรี-22499")</f>
        <v>BCM BCP หนองใหญ่ ชลบุรี-22499</v>
      </c>
      <c r="AG1813" s="3" t="str">
        <f>IFERROR(__xludf.DUMMYFUNCTION("""COMPUTED_VALUE"""),"เหนือ")</f>
        <v>เหนือ</v>
      </c>
      <c r="AH1813" s="3" t="str">
        <f>IFERROR(__xludf.DUMMYFUNCTION("""COMPUTED_VALUE"""),"#N/A")</f>
        <v>#N/A</v>
      </c>
      <c r="AI1813" s="3" t="str">
        <f>IFERROR(__xludf.DUMMYFUNCTION("""COMPUTED_VALUE"""),"Out of warranty")</f>
        <v>Out of warranty</v>
      </c>
      <c r="AJ1813" s="3">
        <f>IFERROR(__xludf.DUMMYFUNCTION("""COMPUTED_VALUE"""),43.0)</f>
        <v>43</v>
      </c>
      <c r="AK1813" s="3" t="str">
        <f>IFERROR(__xludf.DUMMYFUNCTION("""COMPUTED_VALUE"""),"MMS07")</f>
        <v>MMS07</v>
      </c>
      <c r="AL1813" s="3"/>
    </row>
    <row r="1814" ht="15.75" customHeight="1">
      <c r="A1814" s="1" t="str">
        <f>IFERROR(__xludf.DUMMYFUNCTION("""COMPUTED_VALUE"""),"22500")</f>
        <v>22500</v>
      </c>
      <c r="B1814" s="2">
        <f>IFERROR(__xludf.DUMMYFUNCTION("""COMPUTED_VALUE"""),22500.0)</f>
        <v>22500</v>
      </c>
      <c r="C1814" s="3" t="str">
        <f>IFERROR(__xludf.DUMMYFUNCTION("""COMPUTED_VALUE"""),"BCM เอื้ออาทรปราจีนบุรี")</f>
        <v>BCM เอื้ออาทรปราจีนบุรี</v>
      </c>
      <c r="D1814" s="3" t="str">
        <f>IFERROR(__xludf.DUMMYFUNCTION("""COMPUTED_VALUE"""),"BCM EUA ARTHORN PRACHINBURI")</f>
        <v>BCM EUA ARTHORN PRACHINBURI</v>
      </c>
      <c r="E1814" s="1" t="str">
        <f>IFERROR(__xludf.DUMMYFUNCTION("""COMPUTED_VALUE"""),"บิ๊กซี MINI")</f>
        <v>บิ๊กซี MINI</v>
      </c>
      <c r="F1814" s="1" t="str">
        <f>IFERROR(__xludf.DUMMYFUNCTION("""COMPUTED_VALUE"""),"2083447")</f>
        <v>2083447</v>
      </c>
      <c r="G1814" s="1" t="str">
        <f>IFERROR(__xludf.DUMMYFUNCTION("""COMPUTED_VALUE"""),"นายอนุกูล ศรีลัดดา")</f>
        <v>นายอนุกูล ศรีลัดดา</v>
      </c>
      <c r="H1814" s="1" t="str">
        <f>IFERROR(__xludf.DUMMYFUNCTION("""COMPUTED_VALUE"""),"259808")</f>
        <v>259808</v>
      </c>
      <c r="I1814" s="1" t="str">
        <f>IFERROR(__xludf.DUMMYFUNCTION("""COMPUTED_VALUE"""),"น.ส.สกุลรัตน์ พิกุลแก้ว")</f>
        <v>น.ส.สกุลรัตน์ พิกุลแก้ว</v>
      </c>
      <c r="J1814" s="3">
        <f>IFERROR(__xludf.DUMMYFUNCTION("""COMPUTED_VALUE"""),510143.0)</f>
        <v>510143</v>
      </c>
      <c r="K1814" s="3" t="str">
        <f>IFERROR(__xludf.DUMMYFUNCTION("""COMPUTED_VALUE"""),"นายธีระวัฒน์ บุญสิทธิ์")</f>
        <v>นายธีระวัฒน์ บุญสิทธิ์</v>
      </c>
      <c r="L1814" s="1" t="str">
        <f>IFERROR(__xludf.DUMMYFUNCTION("""COMPUTED_VALUE"""),"12 K.Theerawat B.")</f>
        <v>12 K.Theerawat B.</v>
      </c>
      <c r="M1814" s="1" t="str">
        <f>IFERROR(__xludf.DUMMYFUNCTION("""COMPUTED_VALUE"""),"0655107379")</f>
        <v>0655107379</v>
      </c>
      <c r="N1814" s="3">
        <f>IFERROR(__xludf.DUMMYFUNCTION("""COMPUTED_VALUE"""),21062.0)</f>
        <v>21062</v>
      </c>
      <c r="O1814" s="3" t="str">
        <f>IFERROR(__xludf.DUMMYFUNCTION("""COMPUTED_VALUE"""),"MBC นิคมนวนคร")</f>
        <v>MBC นิคมนวนคร</v>
      </c>
      <c r="P1814" s="4">
        <f>IFERROR(__xludf.DUMMYFUNCTION("""COMPUTED_VALUE"""),44757.0)</f>
        <v>44757</v>
      </c>
      <c r="Q1814" s="3" t="str">
        <f>IFERROR(__xludf.DUMMYFUNCTION("""COMPUTED_VALUE"""),"A")</f>
        <v>A</v>
      </c>
      <c r="R1814" s="3" t="str">
        <f>IFERROR(__xludf.DUMMYFUNCTION("""COMPUTED_VALUE"""),"Small Format")</f>
        <v>Small Format</v>
      </c>
      <c r="S1814" s="3" t="str">
        <f>IFERROR(__xludf.DUMMYFUNCTION("""COMPUTED_VALUE"""),"BCM")</f>
        <v>BCM</v>
      </c>
      <c r="T1814" s="3" t="str">
        <f>IFERROR(__xludf.DUMMYFUNCTION("""COMPUTED_VALUE"""),"#N/A")</f>
        <v>#N/A</v>
      </c>
      <c r="U1814" s="3" t="str">
        <f>IFERROR(__xludf.DUMMYFUNCTION("""COMPUTED_VALUE"""),"#N/A")</f>
        <v>#N/A</v>
      </c>
      <c r="V1814" s="3" t="str">
        <f>IFERROR(__xludf.DUMMYFUNCTION("""COMPUTED_VALUE"""),"N")</f>
        <v>N</v>
      </c>
      <c r="W1814" s="3">
        <f>IFERROR(__xludf.DUMMYFUNCTION("""COMPUTED_VALUE"""),210556.0)</f>
        <v>210556</v>
      </c>
      <c r="X1814" s="3" t="str">
        <f>IFERROR(__xludf.DUMMYFUNCTION("""COMPUTED_VALUE"""),"43 หมู่2 ตำบลดงพระราม อำเภอเมืองปราจีนบุรี จังหวัดปราจีนบุรี 25000")</f>
        <v>43 หมู่2 ตำบลดงพระราม อำเภอเมืองปราจีนบุรี จังหวัดปราจีนบุรี 25000</v>
      </c>
      <c r="Y1814" s="3"/>
      <c r="Z1814" s="3" t="str">
        <f>IFERROR(__xludf.DUMMYFUNCTION("""COMPUTED_VALUE"""),"ดงพระราม")</f>
        <v>ดงพระราม</v>
      </c>
      <c r="AA1814" s="3" t="str">
        <f>IFERROR(__xludf.DUMMYFUNCTION("""COMPUTED_VALUE"""),"เมืองปราจีนบุรี")</f>
        <v>เมืองปราจีนบุรี</v>
      </c>
      <c r="AB1814" s="3" t="str">
        <f>IFERROR(__xludf.DUMMYFUNCTION("""COMPUTED_VALUE"""),"ปราจีนบุรี")</f>
        <v>ปราจีนบุรี</v>
      </c>
      <c r="AC1814" s="3">
        <f>IFERROR(__xludf.DUMMYFUNCTION("""COMPUTED_VALUE"""),25000.0)</f>
        <v>25000</v>
      </c>
      <c r="AD1814" s="3">
        <f>IFERROR(__xludf.DUMMYFUNCTION("""COMPUTED_VALUE"""),14.0596614)</f>
        <v>14.0596614</v>
      </c>
      <c r="AE1814" s="3">
        <f>IFERROR(__xludf.DUMMYFUNCTION("""COMPUTED_VALUE"""),101.3884875)</f>
        <v>101.3884875</v>
      </c>
      <c r="AF1814" s="3" t="str">
        <f>IFERROR(__xludf.DUMMYFUNCTION("""COMPUTED_VALUE"""),"BCM เอื้ออาทรปราจีนบุรี-22500")</f>
        <v>BCM เอื้ออาทรปราจีนบุรี-22500</v>
      </c>
      <c r="AG1814" s="3" t="str">
        <f>IFERROR(__xludf.DUMMYFUNCTION("""COMPUTED_VALUE"""),"ตะวันออก")</f>
        <v>ตะวันออก</v>
      </c>
      <c r="AH1814" s="3" t="str">
        <f>IFERROR(__xludf.DUMMYFUNCTION("""COMPUTED_VALUE"""),"#N/A")</f>
        <v>#N/A</v>
      </c>
      <c r="AI1814" s="3" t="str">
        <f>IFERROR(__xludf.DUMMYFUNCTION("""COMPUTED_VALUE"""),"Out of warranty")</f>
        <v>Out of warranty</v>
      </c>
      <c r="AJ1814" s="3">
        <f>IFERROR(__xludf.DUMMYFUNCTION("""COMPUTED_VALUE"""),43.0)</f>
        <v>43</v>
      </c>
      <c r="AK1814" s="3" t="str">
        <f>IFERROR(__xludf.DUMMYFUNCTION("""COMPUTED_VALUE"""),"MMS08")</f>
        <v>MMS08</v>
      </c>
      <c r="AL1814" s="3"/>
    </row>
    <row r="1815" ht="15.75" customHeight="1">
      <c r="A1815" s="1" t="str">
        <f>IFERROR(__xludf.DUMMYFUNCTION("""COMPUTED_VALUE"""),"22501")</f>
        <v>22501</v>
      </c>
      <c r="B1815" s="2">
        <f>IFERROR(__xludf.DUMMYFUNCTION("""COMPUTED_VALUE"""),22501.0)</f>
        <v>22501</v>
      </c>
      <c r="C1815" s="3" t="str">
        <f>IFERROR(__xludf.DUMMYFUNCTION("""COMPUTED_VALUE"""),"MBC แม่ขะจาน เชียงราย")</f>
        <v>MBC แม่ขะจาน เชียงราย</v>
      </c>
      <c r="D1815" s="3" t="str">
        <f>IFERROR(__xludf.DUMMYFUNCTION("""COMPUTED_VALUE"""),"BCM MAE KHA CHAN CHIANG RAI")</f>
        <v>BCM MAE KHA CHAN CHIANG RAI</v>
      </c>
      <c r="E1815" s="1" t="str">
        <f>IFERROR(__xludf.DUMMYFUNCTION("""COMPUTED_VALUE"""),"บิ๊กซี MINI")</f>
        <v>บิ๊กซี MINI</v>
      </c>
      <c r="F1815" s="1" t="str">
        <f>IFERROR(__xludf.DUMMYFUNCTION("""COMPUTED_VALUE"""),"296229")</f>
        <v>296229</v>
      </c>
      <c r="G1815" s="1" t="str">
        <f>IFERROR(__xludf.DUMMYFUNCTION("""COMPUTED_VALUE"""),"นายทนงศักดิ์ บุญมา")</f>
        <v>นายทนงศักดิ์ บุญมา</v>
      </c>
      <c r="H1815" s="1" t="str">
        <f>IFERROR(__xludf.DUMMYFUNCTION("""COMPUTED_VALUE"""),"392585")</f>
        <v>392585</v>
      </c>
      <c r="I1815" s="1" t="str">
        <f>IFERROR(__xludf.DUMMYFUNCTION("""COMPUTED_VALUE"""),"นายไชยัณต์ ผิวขัวเรียง")</f>
        <v>นายไชยัณต์ ผิวขัวเรียง</v>
      </c>
      <c r="J1815" s="3">
        <f>IFERROR(__xludf.DUMMYFUNCTION("""COMPUTED_VALUE"""),2010016.0)</f>
        <v>2010016</v>
      </c>
      <c r="K1815" s="3" t="str">
        <f>IFERROR(__xludf.DUMMYFUNCTION("""COMPUTED_VALUE"""),"นายตวงธรรม ใหม่ยศ")</f>
        <v>นายตวงธรรม ใหม่ยศ</v>
      </c>
      <c r="L1815" s="1" t="str">
        <f>IFERROR(__xludf.DUMMYFUNCTION("""COMPUTED_VALUE"""),"01 K.Tuangtham M.")</f>
        <v>01 K.Tuangtham M.</v>
      </c>
      <c r="M1815" s="1" t="str">
        <f>IFERROR(__xludf.DUMMYFUNCTION("""COMPUTED_VALUE"""),"063-976-595")</f>
        <v>063-976-595</v>
      </c>
      <c r="N1815" s="3">
        <f>IFERROR(__xludf.DUMMYFUNCTION("""COMPUTED_VALUE"""),22574.0)</f>
        <v>22574</v>
      </c>
      <c r="O1815" s="3" t="str">
        <f>IFERROR(__xludf.DUMMYFUNCTION("""COMPUTED_VALUE"""),"BCM ชุมชนศรีชุม ลำปาง")</f>
        <v>BCM ชุมชนศรีชุม ลำปาง</v>
      </c>
      <c r="P1815" s="4">
        <f>IFERROR(__xludf.DUMMYFUNCTION("""COMPUTED_VALUE"""),44739.0)</f>
        <v>44739</v>
      </c>
      <c r="Q1815" s="3" t="str">
        <f>IFERROR(__xludf.DUMMYFUNCTION("""COMPUTED_VALUE"""),"A")</f>
        <v>A</v>
      </c>
      <c r="R1815" s="3" t="str">
        <f>IFERROR(__xludf.DUMMYFUNCTION("""COMPUTED_VALUE"""),"Small Format")</f>
        <v>Small Format</v>
      </c>
      <c r="S1815" s="3" t="str">
        <f>IFERROR(__xludf.DUMMYFUNCTION("""COMPUTED_VALUE"""),"BCM")</f>
        <v>BCM</v>
      </c>
      <c r="T1815" s="3" t="str">
        <f>IFERROR(__xludf.DUMMYFUNCTION("""COMPUTED_VALUE"""),"#N/A")</f>
        <v>#N/A</v>
      </c>
      <c r="U1815" s="3" t="str">
        <f>IFERROR(__xludf.DUMMYFUNCTION("""COMPUTED_VALUE"""),"#N/A")</f>
        <v>#N/A</v>
      </c>
      <c r="V1815" s="3" t="str">
        <f>IFERROR(__xludf.DUMMYFUNCTION("""COMPUTED_VALUE"""),"N")</f>
        <v>N</v>
      </c>
      <c r="W1815" s="3">
        <f>IFERROR(__xludf.DUMMYFUNCTION("""COMPUTED_VALUE"""),210522.0)</f>
        <v>210522</v>
      </c>
      <c r="X1815" s="3" t="str">
        <f>IFERROR(__xludf.DUMMYFUNCTION("""COMPUTED_VALUE"""),"175/1 หมู่10 ตำบลแม่เจดีย์ อำเภอเวียงป่าเป้า จังหวัดเชียงราย 57260")</f>
        <v>175/1 หมู่10 ตำบลแม่เจดีย์ อำเภอเวียงป่าเป้า จังหวัดเชียงราย 57260</v>
      </c>
      <c r="Y1815" s="3"/>
      <c r="Z1815" s="3" t="str">
        <f>IFERROR(__xludf.DUMMYFUNCTION("""COMPUTED_VALUE"""),"แม่เจดีย์")</f>
        <v>แม่เจดีย์</v>
      </c>
      <c r="AA1815" s="3" t="str">
        <f>IFERROR(__xludf.DUMMYFUNCTION("""COMPUTED_VALUE"""),"เวียงป่าเป้า")</f>
        <v>เวียงป่าเป้า</v>
      </c>
      <c r="AB1815" s="3" t="str">
        <f>IFERROR(__xludf.DUMMYFUNCTION("""COMPUTED_VALUE"""),"เชียงราย")</f>
        <v>เชียงราย</v>
      </c>
      <c r="AC1815" s="3">
        <f>IFERROR(__xludf.DUMMYFUNCTION("""COMPUTED_VALUE"""),57260.0)</f>
        <v>57260</v>
      </c>
      <c r="AD1815" s="3">
        <f>IFERROR(__xludf.DUMMYFUNCTION("""COMPUTED_VALUE"""),19.205176)</f>
        <v>19.205176</v>
      </c>
      <c r="AE1815" s="3" t="str">
        <f>IFERROR(__xludf.DUMMYFUNCTION("""COMPUTED_VALUE"""),"99.5175 35")</f>
        <v>99.5175 35</v>
      </c>
      <c r="AF1815" s="3" t="str">
        <f>IFERROR(__xludf.DUMMYFUNCTION("""COMPUTED_VALUE"""),"MBC แม่ขะจาน เชียงราย-22501")</f>
        <v>MBC แม่ขะจาน เชียงราย-22501</v>
      </c>
      <c r="AG1815" s="3" t="str">
        <f>IFERROR(__xludf.DUMMYFUNCTION("""COMPUTED_VALUE"""),"เหนือ")</f>
        <v>เหนือ</v>
      </c>
      <c r="AH1815" s="3" t="str">
        <f>IFERROR(__xludf.DUMMYFUNCTION("""COMPUTED_VALUE"""),"#N/A")</f>
        <v>#N/A</v>
      </c>
      <c r="AI1815" s="3" t="str">
        <f>IFERROR(__xludf.DUMMYFUNCTION("""COMPUTED_VALUE"""),"Out of warranty")</f>
        <v>Out of warranty</v>
      </c>
      <c r="AJ1815" s="3">
        <f>IFERROR(__xludf.DUMMYFUNCTION("""COMPUTED_VALUE"""),43.0)</f>
        <v>43</v>
      </c>
      <c r="AK1815" s="3" t="str">
        <f>IFERROR(__xludf.DUMMYFUNCTION("""COMPUTED_VALUE"""),"MMS10")</f>
        <v>MMS10</v>
      </c>
      <c r="AL1815" s="3"/>
    </row>
    <row r="1816" ht="15.75" customHeight="1">
      <c r="A1816" s="1" t="str">
        <f>IFERROR(__xludf.DUMMYFUNCTION("""COMPUTED_VALUE"""),"22502")</f>
        <v>22502</v>
      </c>
      <c r="B1816" s="2">
        <f>IFERROR(__xludf.DUMMYFUNCTION("""COMPUTED_VALUE"""),22502.0)</f>
        <v>22502</v>
      </c>
      <c r="C1816" s="3" t="str">
        <f>IFERROR(__xludf.DUMMYFUNCTION("""COMPUTED_VALUE"""),"MBC ตลาดเทศบาลตำบลโคกสี กาฬสินธุ์")</f>
        <v>MBC ตลาดเทศบาลตำบลโคกสี กาฬสินธุ์</v>
      </c>
      <c r="D1816" s="3" t="str">
        <f>IFERROR(__xludf.DUMMYFUNCTION("""COMPUTED_VALUE"""),"BCM TALAD TESSABAN KHOKSRI")</f>
        <v>BCM TALAD TESSABAN KHOKSRI</v>
      </c>
      <c r="E1816" s="1" t="str">
        <f>IFERROR(__xludf.DUMMYFUNCTION("""COMPUTED_VALUE"""),"บิ๊กซี MINI")</f>
        <v>บิ๊กซี MINI</v>
      </c>
      <c r="F1816" s="1" t="str">
        <f>IFERROR(__xludf.DUMMYFUNCTION("""COMPUTED_VALUE"""),"291105")</f>
        <v>291105</v>
      </c>
      <c r="G1816" s="1" t="str">
        <f>IFERROR(__xludf.DUMMYFUNCTION("""COMPUTED_VALUE"""),"นายสราวุฒิ พณิชยกุล")</f>
        <v>นายสราวุฒิ พณิชยกุล</v>
      </c>
      <c r="H1816" s="1" t="str">
        <f>IFERROR(__xludf.DUMMYFUNCTION("""COMPUTED_VALUE"""),"392433")</f>
        <v>392433</v>
      </c>
      <c r="I1816" s="1" t="str">
        <f>IFERROR(__xludf.DUMMYFUNCTION("""COMPUTED_VALUE"""),"นายพรธิวา ใจอ่อน")</f>
        <v>นายพรธิวา ใจอ่อน</v>
      </c>
      <c r="J1816" s="3">
        <f>IFERROR(__xludf.DUMMYFUNCTION("""COMPUTED_VALUE"""),2454781.0)</f>
        <v>2454781</v>
      </c>
      <c r="K1816" s="3" t="str">
        <f>IFERROR(__xludf.DUMMYFUNCTION("""COMPUTED_VALUE"""),"นายฌานกฤช นันทะโคต")</f>
        <v>นายฌานกฤช นันทะโคต</v>
      </c>
      <c r="L1816" s="1" t="str">
        <f>IFERROR(__xludf.DUMMYFUNCTION("""COMPUTED_VALUE"""),"05 K.Chanakrit N.")</f>
        <v>05 K.Chanakrit N.</v>
      </c>
      <c r="M1816" s="1" t="str">
        <f>IFERROR(__xludf.DUMMYFUNCTION("""COMPUTED_VALUE"""),"090-978-9785 ,065-929-1320")</f>
        <v>090-978-9785 ,065-929-1320</v>
      </c>
      <c r="N1816" s="3">
        <f>IFERROR(__xludf.DUMMYFUNCTION("""COMPUTED_VALUE"""),22195.0)</f>
        <v>22195</v>
      </c>
      <c r="O1816" s="3" t="str">
        <f>IFERROR(__xludf.DUMMYFUNCTION("""COMPUTED_VALUE"""),"MBC กันทรลักษ์ ศรีสะเกษ")</f>
        <v>MBC กันทรลักษ์ ศรีสะเกษ</v>
      </c>
      <c r="P1816" s="4">
        <f>IFERROR(__xludf.DUMMYFUNCTION("""COMPUTED_VALUE"""),44743.0)</f>
        <v>44743</v>
      </c>
      <c r="Q1816" s="3" t="str">
        <f>IFERROR(__xludf.DUMMYFUNCTION("""COMPUTED_VALUE"""),"A")</f>
        <v>A</v>
      </c>
      <c r="R1816" s="3" t="str">
        <f>IFERROR(__xludf.DUMMYFUNCTION("""COMPUTED_VALUE"""),"Small Format")</f>
        <v>Small Format</v>
      </c>
      <c r="S1816" s="3" t="str">
        <f>IFERROR(__xludf.DUMMYFUNCTION("""COMPUTED_VALUE"""),"BCM")</f>
        <v>BCM</v>
      </c>
      <c r="T1816" s="3" t="str">
        <f>IFERROR(__xludf.DUMMYFUNCTION("""COMPUTED_VALUE"""),"#N/A")</f>
        <v>#N/A</v>
      </c>
      <c r="U1816" s="3" t="str">
        <f>IFERROR(__xludf.DUMMYFUNCTION("""COMPUTED_VALUE"""),"#N/A")</f>
        <v>#N/A</v>
      </c>
      <c r="V1816" s="3" t="str">
        <f>IFERROR(__xludf.DUMMYFUNCTION("""COMPUTED_VALUE"""),"N")</f>
        <v>N</v>
      </c>
      <c r="W1816" s="3">
        <f>IFERROR(__xludf.DUMMYFUNCTION("""COMPUTED_VALUE"""),210520.0)</f>
        <v>210520</v>
      </c>
      <c r="X1816" s="3" t="str">
        <f>IFERROR(__xludf.DUMMYFUNCTION("""COMPUTED_VALUE"""),"58 หมู่5 ตำบลอุ่มเม่า อำเภอยางตลาด จังหวัดกาฬสินธุ์ 46120")</f>
        <v>58 หมู่5 ตำบลอุ่มเม่า อำเภอยางตลาด จังหวัดกาฬสินธุ์ 46120</v>
      </c>
      <c r="Y1816" s="3"/>
      <c r="Z1816" s="3" t="str">
        <f>IFERROR(__xludf.DUMMYFUNCTION("""COMPUTED_VALUE"""),"อุ่มเม่า")</f>
        <v>อุ่มเม่า</v>
      </c>
      <c r="AA1816" s="3" t="str">
        <f>IFERROR(__xludf.DUMMYFUNCTION("""COMPUTED_VALUE"""),"ยางตลาด")</f>
        <v>ยางตลาด</v>
      </c>
      <c r="AB1816" s="3" t="str">
        <f>IFERROR(__xludf.DUMMYFUNCTION("""COMPUTED_VALUE"""),"กาฬสินธุ์")</f>
        <v>กาฬสินธุ์</v>
      </c>
      <c r="AC1816" s="3">
        <f>IFERROR(__xludf.DUMMYFUNCTION("""COMPUTED_VALUE"""),46120.0)</f>
        <v>46120</v>
      </c>
      <c r="AD1816" s="3">
        <f>IFERROR(__xludf.DUMMYFUNCTION("""COMPUTED_VALUE"""),16.402734)</f>
        <v>16.402734</v>
      </c>
      <c r="AE1816" s="3">
        <f>IFERROR(__xludf.DUMMYFUNCTION("""COMPUTED_VALUE"""),103.436567)</f>
        <v>103.436567</v>
      </c>
      <c r="AF1816" s="3" t="str">
        <f>IFERROR(__xludf.DUMMYFUNCTION("""COMPUTED_VALUE"""),"MBC ตลาดเทศบาลตำบลโคกสี กาฬสินธุ์-22502")</f>
        <v>MBC ตลาดเทศบาลตำบลโคกสี กาฬสินธุ์-22502</v>
      </c>
      <c r="AG1816" s="3" t="str">
        <f>IFERROR(__xludf.DUMMYFUNCTION("""COMPUTED_VALUE"""),"ตะวันออกเฉียงเหนือ")</f>
        <v>ตะวันออกเฉียงเหนือ</v>
      </c>
      <c r="AH1816" s="3" t="str">
        <f>IFERROR(__xludf.DUMMYFUNCTION("""COMPUTED_VALUE"""),"#N/A")</f>
        <v>#N/A</v>
      </c>
      <c r="AI1816" s="3" t="str">
        <f>IFERROR(__xludf.DUMMYFUNCTION("""COMPUTED_VALUE"""),"Out of warranty")</f>
        <v>Out of warranty</v>
      </c>
      <c r="AJ1816" s="3">
        <f>IFERROR(__xludf.DUMMYFUNCTION("""COMPUTED_VALUE"""),43.0)</f>
        <v>43</v>
      </c>
      <c r="AK1816" s="3" t="str">
        <f>IFERROR(__xludf.DUMMYFUNCTION("""COMPUTED_VALUE"""),"MMS13")</f>
        <v>MMS13</v>
      </c>
      <c r="AL1816" s="3"/>
    </row>
    <row r="1817" ht="15.75" customHeight="1">
      <c r="A1817" s="1" t="str">
        <f>IFERROR(__xludf.DUMMYFUNCTION("""COMPUTED_VALUE"""),"22503")</f>
        <v>22503</v>
      </c>
      <c r="B1817" s="2">
        <f>IFERROR(__xludf.DUMMYFUNCTION("""COMPUTED_VALUE"""),22503.0)</f>
        <v>22503</v>
      </c>
      <c r="C1817" s="3" t="str">
        <f>IFERROR(__xludf.DUMMYFUNCTION("""COMPUTED_VALUE"""),"BCM หนองกงฉาก ชลบุรี")</f>
        <v>BCM หนองกงฉาก ชลบุรี</v>
      </c>
      <c r="D1817" s="3" t="str">
        <f>IFERROR(__xludf.DUMMYFUNCTION("""COMPUTED_VALUE"""),"BCM NONG KONG CHAK CHONBURI")</f>
        <v>BCM NONG KONG CHAK CHONBURI</v>
      </c>
      <c r="E1817" s="1" t="str">
        <f>IFERROR(__xludf.DUMMYFUNCTION("""COMPUTED_VALUE"""),"บิ๊กซี MINI")</f>
        <v>บิ๊กซี MINI</v>
      </c>
      <c r="F1817" s="1" t="str">
        <f>IFERROR(__xludf.DUMMYFUNCTION("""COMPUTED_VALUE"""),"221716")</f>
        <v>221716</v>
      </c>
      <c r="G1817" s="1" t="str">
        <f>IFERROR(__xludf.DUMMYFUNCTION("""COMPUTED_VALUE"""),"น.ส.เบญจพร โพธิสาร")</f>
        <v>น.ส.เบญจพร โพธิสาร</v>
      </c>
      <c r="H1817" s="1" t="str">
        <f>IFERROR(__xludf.DUMMYFUNCTION("""COMPUTED_VALUE"""),"034605")</f>
        <v>034605</v>
      </c>
      <c r="I1817" s="1" t="str">
        <f>IFERROR(__xludf.DUMMYFUNCTION("""COMPUTED_VALUE"""),"นายธรรมรัตน์ สุขเจริญ")</f>
        <v>นายธรรมรัตน์ สุขเจริญ</v>
      </c>
      <c r="J1817" s="3">
        <f>IFERROR(__xludf.DUMMYFUNCTION("""COMPUTED_VALUE"""),1.3461215E7)</f>
        <v>13461215</v>
      </c>
      <c r="K1817" s="3" t="str">
        <f>IFERROR(__xludf.DUMMYFUNCTION("""COMPUTED_VALUE"""),"นายธีรภัทร สังข์เงิน")</f>
        <v>นายธีรภัทร สังข์เงิน</v>
      </c>
      <c r="L1817" s="1" t="str">
        <f>IFERROR(__xludf.DUMMYFUNCTION("""COMPUTED_VALUE"""),"06 K.Teerapat")</f>
        <v>06 K.Teerapat</v>
      </c>
      <c r="M1817" s="1" t="str">
        <f>IFERROR(__xludf.DUMMYFUNCTION("""COMPUTED_VALUE"""),"063-601-6803")</f>
        <v>063-601-6803</v>
      </c>
      <c r="N1817" s="3">
        <f>IFERROR(__xludf.DUMMYFUNCTION("""COMPUTED_VALUE"""),22115.0)</f>
        <v>22115</v>
      </c>
      <c r="O1817" s="3" t="str">
        <f>IFERROR(__xludf.DUMMYFUNCTION("""COMPUTED_VALUE"""),"MBC เลี่ยงหนองมน ชลบุรี")</f>
        <v>MBC เลี่ยงหนองมน ชลบุรี</v>
      </c>
      <c r="P1817" s="4">
        <f>IFERROR(__xludf.DUMMYFUNCTION("""COMPUTED_VALUE"""),44762.0)</f>
        <v>44762</v>
      </c>
      <c r="Q1817" s="3" t="str">
        <f>IFERROR(__xludf.DUMMYFUNCTION("""COMPUTED_VALUE"""),"A")</f>
        <v>A</v>
      </c>
      <c r="R1817" s="3" t="str">
        <f>IFERROR(__xludf.DUMMYFUNCTION("""COMPUTED_VALUE"""),"Small Format")</f>
        <v>Small Format</v>
      </c>
      <c r="S1817" s="3" t="str">
        <f>IFERROR(__xludf.DUMMYFUNCTION("""COMPUTED_VALUE"""),"BCM")</f>
        <v>BCM</v>
      </c>
      <c r="T1817" s="3" t="str">
        <f>IFERROR(__xludf.DUMMYFUNCTION("""COMPUTED_VALUE"""),"#N/A")</f>
        <v>#N/A</v>
      </c>
      <c r="U1817" s="3" t="str">
        <f>IFERROR(__xludf.DUMMYFUNCTION("""COMPUTED_VALUE"""),"#N/A")</f>
        <v>#N/A</v>
      </c>
      <c r="V1817" s="3" t="str">
        <f>IFERROR(__xludf.DUMMYFUNCTION("""COMPUTED_VALUE"""),"N")</f>
        <v>N</v>
      </c>
      <c r="W1817" s="3">
        <f>IFERROR(__xludf.DUMMYFUNCTION("""COMPUTED_VALUE"""),210564.0)</f>
        <v>210564</v>
      </c>
      <c r="X1817" s="3" t="str">
        <f>IFERROR(__xludf.DUMMYFUNCTION("""COMPUTED_VALUE"""),"119/1 หมู่3 ตำบลดอนหัวฬ่อ อำเภอเมืองชลบุรี จังหวัดชลบุรี 20000")</f>
        <v>119/1 หมู่3 ตำบลดอนหัวฬ่อ อำเภอเมืองชลบุรี จังหวัดชลบุรี 20000</v>
      </c>
      <c r="Y1817" s="3"/>
      <c r="Z1817" s="3" t="str">
        <f>IFERROR(__xludf.DUMMYFUNCTION("""COMPUTED_VALUE"""),"ดอนหัวฟ้อ")</f>
        <v>ดอนหัวฟ้อ</v>
      </c>
      <c r="AA1817" s="3" t="str">
        <f>IFERROR(__xludf.DUMMYFUNCTION("""COMPUTED_VALUE"""),"เมืองชลบุรี")</f>
        <v>เมืองชลบุรี</v>
      </c>
      <c r="AB1817" s="3" t="str">
        <f>IFERROR(__xludf.DUMMYFUNCTION("""COMPUTED_VALUE"""),"ชลบุรี")</f>
        <v>ชลบุรี</v>
      </c>
      <c r="AC1817" s="3">
        <f>IFERROR(__xludf.DUMMYFUNCTION("""COMPUTED_VALUE"""),20000.0)</f>
        <v>20000</v>
      </c>
      <c r="AD1817" s="3">
        <f>IFERROR(__xludf.DUMMYFUNCTION("""COMPUTED_VALUE"""),13.41443127)</f>
        <v>13.41443127</v>
      </c>
      <c r="AE1817" s="3">
        <f>IFERROR(__xludf.DUMMYFUNCTION("""COMPUTED_VALUE"""),101.0409017)</f>
        <v>101.0409017</v>
      </c>
      <c r="AF1817" s="3" t="str">
        <f>IFERROR(__xludf.DUMMYFUNCTION("""COMPUTED_VALUE"""),"BCM หนองกงฉาก ชลบุรี -22503")</f>
        <v>BCM หนองกงฉาก ชลบุรี -22503</v>
      </c>
      <c r="AG1817" s="3" t="str">
        <f>IFERROR(__xludf.DUMMYFUNCTION("""COMPUTED_VALUE"""),"ตะวันออก")</f>
        <v>ตะวันออก</v>
      </c>
      <c r="AH1817" s="3" t="str">
        <f>IFERROR(__xludf.DUMMYFUNCTION("""COMPUTED_VALUE"""),"#N/A")</f>
        <v>#N/A</v>
      </c>
      <c r="AI1817" s="3" t="str">
        <f>IFERROR(__xludf.DUMMYFUNCTION("""COMPUTED_VALUE"""),"Out of warranty")</f>
        <v>Out of warranty</v>
      </c>
      <c r="AJ1817" s="3">
        <f>IFERROR(__xludf.DUMMYFUNCTION("""COMPUTED_VALUE"""),43.0)</f>
        <v>43</v>
      </c>
      <c r="AK1817" s="3" t="str">
        <f>IFERROR(__xludf.DUMMYFUNCTION("""COMPUTED_VALUE"""),"MMS06")</f>
        <v>MMS06</v>
      </c>
      <c r="AL1817" s="3"/>
    </row>
    <row r="1818" ht="15.75" customHeight="1">
      <c r="A1818" s="1" t="str">
        <f>IFERROR(__xludf.DUMMYFUNCTION("""COMPUTED_VALUE"""),"22504")</f>
        <v>22504</v>
      </c>
      <c r="B1818" s="2">
        <f>IFERROR(__xludf.DUMMYFUNCTION("""COMPUTED_VALUE"""),22504.0)</f>
        <v>22504</v>
      </c>
      <c r="C1818" s="3" t="str">
        <f>IFERROR(__xludf.DUMMYFUNCTION("""COMPUTED_VALUE"""),"MBC ตลาดอุโมงค์ ลำพูน")</f>
        <v>MBC ตลาดอุโมงค์ ลำพูน</v>
      </c>
      <c r="D1818" s="3" t="str">
        <f>IFERROR(__xludf.DUMMYFUNCTION("""COMPUTED_VALUE"""),"BCM TALAD U MONG LAMPHUN")</f>
        <v>BCM TALAD U MONG LAMPHUN</v>
      </c>
      <c r="E1818" s="1" t="str">
        <f>IFERROR(__xludf.DUMMYFUNCTION("""COMPUTED_VALUE"""),"บิ๊กซี MINI")</f>
        <v>บิ๊กซี MINI</v>
      </c>
      <c r="F1818" s="1" t="str">
        <f>IFERROR(__xludf.DUMMYFUNCTION("""COMPUTED_VALUE"""),"296229")</f>
        <v>296229</v>
      </c>
      <c r="G1818" s="1" t="str">
        <f>IFERROR(__xludf.DUMMYFUNCTION("""COMPUTED_VALUE"""),"นายทนงศักดิ์ บุญมา")</f>
        <v>นายทนงศักดิ์ บุญมา</v>
      </c>
      <c r="H1818" s="1" t="str">
        <f>IFERROR(__xludf.DUMMYFUNCTION("""COMPUTED_VALUE"""),"392003")</f>
        <v>392003</v>
      </c>
      <c r="I1818" s="1" t="str">
        <f>IFERROR(__xludf.DUMMYFUNCTION("""COMPUTED_VALUE"""),"นายวรภพ เศษสูงเนิน")</f>
        <v>นายวรภพ เศษสูงเนิน</v>
      </c>
      <c r="J1818" s="3">
        <f>IFERROR(__xludf.DUMMYFUNCTION("""COMPUTED_VALUE"""),2010016.0)</f>
        <v>2010016</v>
      </c>
      <c r="K1818" s="3" t="str">
        <f>IFERROR(__xludf.DUMMYFUNCTION("""COMPUTED_VALUE"""),"นายตวงธรรม ใหม่ยศ")</f>
        <v>นายตวงธรรม ใหม่ยศ</v>
      </c>
      <c r="L1818" s="1" t="str">
        <f>IFERROR(__xludf.DUMMYFUNCTION("""COMPUTED_VALUE"""),"01 K.Tuangtham M.")</f>
        <v>01 K.Tuangtham M.</v>
      </c>
      <c r="M1818" s="1" t="str">
        <f>IFERROR(__xludf.DUMMYFUNCTION("""COMPUTED_VALUE"""),"063-976-595")</f>
        <v>063-976-595</v>
      </c>
      <c r="N1818" s="3">
        <f>IFERROR(__xludf.DUMMYFUNCTION("""COMPUTED_VALUE"""),22574.0)</f>
        <v>22574</v>
      </c>
      <c r="O1818" s="3" t="str">
        <f>IFERROR(__xludf.DUMMYFUNCTION("""COMPUTED_VALUE"""),"BCM ชุมชนศรีชุม ลำปาง")</f>
        <v>BCM ชุมชนศรีชุม ลำปาง</v>
      </c>
      <c r="P1818" s="4">
        <f>IFERROR(__xludf.DUMMYFUNCTION("""COMPUTED_VALUE"""),44762.0)</f>
        <v>44762</v>
      </c>
      <c r="Q1818" s="3" t="str">
        <f>IFERROR(__xludf.DUMMYFUNCTION("""COMPUTED_VALUE"""),"A")</f>
        <v>A</v>
      </c>
      <c r="R1818" s="3" t="str">
        <f>IFERROR(__xludf.DUMMYFUNCTION("""COMPUTED_VALUE"""),"Small Format")</f>
        <v>Small Format</v>
      </c>
      <c r="S1818" s="3" t="str">
        <f>IFERROR(__xludf.DUMMYFUNCTION("""COMPUTED_VALUE"""),"BCM")</f>
        <v>BCM</v>
      </c>
      <c r="T1818" s="3" t="str">
        <f>IFERROR(__xludf.DUMMYFUNCTION("""COMPUTED_VALUE"""),"#N/A")</f>
        <v>#N/A</v>
      </c>
      <c r="U1818" s="3" t="str">
        <f>IFERROR(__xludf.DUMMYFUNCTION("""COMPUTED_VALUE"""),"#N/A")</f>
        <v>#N/A</v>
      </c>
      <c r="V1818" s="3" t="str">
        <f>IFERROR(__xludf.DUMMYFUNCTION("""COMPUTED_VALUE"""),"N")</f>
        <v>N</v>
      </c>
      <c r="W1818" s="3">
        <f>IFERROR(__xludf.DUMMYFUNCTION("""COMPUTED_VALUE"""),210540.0)</f>
        <v>210540</v>
      </c>
      <c r="X1818" s="3" t="str">
        <f>IFERROR(__xludf.DUMMYFUNCTION("""COMPUTED_VALUE"""),"15/2 หมู่7 ตำบลอุโมงค์ อำเภอเมืองลำพูน จังหวัดลำพูน 51150")</f>
        <v>15/2 หมู่7 ตำบลอุโมงค์ อำเภอเมืองลำพูน จังหวัดลำพูน 51150</v>
      </c>
      <c r="Y1818" s="3"/>
      <c r="Z1818" s="3" t="str">
        <f>IFERROR(__xludf.DUMMYFUNCTION("""COMPUTED_VALUE"""),"อุโมงค์")</f>
        <v>อุโมงค์</v>
      </c>
      <c r="AA1818" s="3" t="str">
        <f>IFERROR(__xludf.DUMMYFUNCTION("""COMPUTED_VALUE"""),"เมืองลำพูน")</f>
        <v>เมืองลำพูน</v>
      </c>
      <c r="AB1818" s="3" t="str">
        <f>IFERROR(__xludf.DUMMYFUNCTION("""COMPUTED_VALUE"""),"ลำพูน")</f>
        <v>ลำพูน</v>
      </c>
      <c r="AC1818" s="3">
        <f>IFERROR(__xludf.DUMMYFUNCTION("""COMPUTED_VALUE"""),51150.0)</f>
        <v>51150</v>
      </c>
      <c r="AD1818" s="3">
        <f>IFERROR(__xludf.DUMMYFUNCTION("""COMPUTED_VALUE"""),18.648933)</f>
        <v>18.648933</v>
      </c>
      <c r="AE1818" s="3">
        <f>IFERROR(__xludf.DUMMYFUNCTION("""COMPUTED_VALUE"""),99.043521)</f>
        <v>99.043521</v>
      </c>
      <c r="AF1818" s="3" t="str">
        <f>IFERROR(__xludf.DUMMYFUNCTION("""COMPUTED_VALUE"""),"MBC ตลาดอุโมงค์ ลำพูน-22504")</f>
        <v>MBC ตลาดอุโมงค์ ลำพูน-22504</v>
      </c>
      <c r="AG1818" s="3" t="str">
        <f>IFERROR(__xludf.DUMMYFUNCTION("""COMPUTED_VALUE"""),"เหนือ")</f>
        <v>เหนือ</v>
      </c>
      <c r="AH1818" s="3" t="str">
        <f>IFERROR(__xludf.DUMMYFUNCTION("""COMPUTED_VALUE"""),"#N/A")</f>
        <v>#N/A</v>
      </c>
      <c r="AI1818" s="3" t="str">
        <f>IFERROR(__xludf.DUMMYFUNCTION("""COMPUTED_VALUE"""),"Out of warranty")</f>
        <v>Out of warranty</v>
      </c>
      <c r="AJ1818" s="3">
        <f>IFERROR(__xludf.DUMMYFUNCTION("""COMPUTED_VALUE"""),43.0)</f>
        <v>43</v>
      </c>
      <c r="AK1818" s="3" t="str">
        <f>IFERROR(__xludf.DUMMYFUNCTION("""COMPUTED_VALUE"""),"MMS10")</f>
        <v>MMS10</v>
      </c>
      <c r="AL1818" s="3"/>
    </row>
    <row r="1819" ht="15.75" customHeight="1">
      <c r="A1819" s="1" t="str">
        <f>IFERROR(__xludf.DUMMYFUNCTION("""COMPUTED_VALUE"""),"22505")</f>
        <v>22505</v>
      </c>
      <c r="B1819" s="2">
        <f>IFERROR(__xludf.DUMMYFUNCTION("""COMPUTED_VALUE"""),22505.0)</f>
        <v>22505</v>
      </c>
      <c r="C1819" s="3" t="str">
        <f>IFERROR(__xludf.DUMMYFUNCTION("""COMPUTED_VALUE"""),"BCM ถ.เกาะโพธิ์ ชลบุรี")</f>
        <v>BCM ถ.เกาะโพธิ์ ชลบุรี</v>
      </c>
      <c r="D1819" s="3" t="str">
        <f>IFERROR(__xludf.DUMMYFUNCTION("""COMPUTED_VALUE"""),"BCM THANON KHAO PHO")</f>
        <v>BCM THANON KHAO PHO</v>
      </c>
      <c r="E1819" s="1" t="str">
        <f>IFERROR(__xludf.DUMMYFUNCTION("""COMPUTED_VALUE"""),"บิ๊กซี MINI")</f>
        <v>บิ๊กซี MINI</v>
      </c>
      <c r="F1819" s="1" t="str">
        <f>IFERROR(__xludf.DUMMYFUNCTION("""COMPUTED_VALUE"""),"221716")</f>
        <v>221716</v>
      </c>
      <c r="G1819" s="1" t="str">
        <f>IFERROR(__xludf.DUMMYFUNCTION("""COMPUTED_VALUE"""),"น.ส.เบญจพร โพธิสาร")</f>
        <v>น.ส.เบญจพร โพธิสาร</v>
      </c>
      <c r="H1819" s="1" t="str">
        <f>IFERROR(__xludf.DUMMYFUNCTION("""COMPUTED_VALUE"""),"2452265")</f>
        <v>2452265</v>
      </c>
      <c r="I1819" s="1" t="str">
        <f>IFERROR(__xludf.DUMMYFUNCTION("""COMPUTED_VALUE"""),"นายพิทยา จันทร์ประเทศ")</f>
        <v>นายพิทยา จันทร์ประเทศ</v>
      </c>
      <c r="J1819" s="3">
        <f>IFERROR(__xludf.DUMMYFUNCTION("""COMPUTED_VALUE"""),296942.0)</f>
        <v>296942</v>
      </c>
      <c r="K1819" s="3" t="str">
        <f>IFERROR(__xludf.DUMMYFUNCTION("""COMPUTED_VALUE"""),"นายปิยะ รักษากิจ")</f>
        <v>นายปิยะ รักษากิจ</v>
      </c>
      <c r="L1819" s="1" t="str">
        <f>IFERROR(__xludf.DUMMYFUNCTION("""COMPUTED_VALUE"""),"07 K.Piya R.")</f>
        <v>07 K.Piya R.</v>
      </c>
      <c r="M1819" s="1" t="str">
        <f>IFERROR(__xludf.DUMMYFUNCTION("""COMPUTED_VALUE"""),"097-919-5476")</f>
        <v>097-919-5476</v>
      </c>
      <c r="N1819" s="3">
        <f>IFERROR(__xludf.DUMMYFUNCTION("""COMPUTED_VALUE"""),21332.0)</f>
        <v>21332</v>
      </c>
      <c r="O1819" s="3" t="str">
        <f>IFERROR(__xludf.DUMMYFUNCTION("""COMPUTED_VALUE"""),"MBC BCP อ่อนนุช 17/1")</f>
        <v>MBC BCP อ่อนนุช 17/1</v>
      </c>
      <c r="P1819" s="4">
        <f>IFERROR(__xludf.DUMMYFUNCTION("""COMPUTED_VALUE"""),44778.0)</f>
        <v>44778</v>
      </c>
      <c r="Q1819" s="3" t="str">
        <f>IFERROR(__xludf.DUMMYFUNCTION("""COMPUTED_VALUE"""),"A")</f>
        <v>A</v>
      </c>
      <c r="R1819" s="3" t="str">
        <f>IFERROR(__xludf.DUMMYFUNCTION("""COMPUTED_VALUE"""),"Small Format")</f>
        <v>Small Format</v>
      </c>
      <c r="S1819" s="3" t="str">
        <f>IFERROR(__xludf.DUMMYFUNCTION("""COMPUTED_VALUE"""),"BCM")</f>
        <v>BCM</v>
      </c>
      <c r="T1819" s="3" t="str">
        <f>IFERROR(__xludf.DUMMYFUNCTION("""COMPUTED_VALUE"""),"#N/A")</f>
        <v>#N/A</v>
      </c>
      <c r="U1819" s="3" t="str">
        <f>IFERROR(__xludf.DUMMYFUNCTION("""COMPUTED_VALUE"""),"#N/A")</f>
        <v>#N/A</v>
      </c>
      <c r="V1819" s="3" t="str">
        <f>IFERROR(__xludf.DUMMYFUNCTION("""COMPUTED_VALUE"""),"N")</f>
        <v>N</v>
      </c>
      <c r="W1819" s="3">
        <f>IFERROR(__xludf.DUMMYFUNCTION("""COMPUTED_VALUE"""),210562.0)</f>
        <v>210562</v>
      </c>
      <c r="X1819" s="3" t="str">
        <f>IFERROR(__xludf.DUMMYFUNCTION("""COMPUTED_VALUE"""),"287/2 หมู่4 ถนนเกาะโพธิ์ - สามแยก ตำบลท่าบุญมี อำเภอเกาะจันทร์ จังหวัดชลบุรี 20240")</f>
        <v>287/2 หมู่4 ถนนเกาะโพธิ์ - สามแยก ตำบลท่าบุญมี อำเภอเกาะจันทร์ จังหวัดชลบุรี 20240</v>
      </c>
      <c r="Y1819" s="3" t="str">
        <f>IFERROR(__xludf.DUMMYFUNCTION("""COMPUTED_VALUE"""),"เกาะโพธิ์-สามแยก")</f>
        <v>เกาะโพธิ์-สามแยก</v>
      </c>
      <c r="Z1819" s="3" t="str">
        <f>IFERROR(__xludf.DUMMYFUNCTION("""COMPUTED_VALUE"""),"ท่าบุญมี")</f>
        <v>ท่าบุญมี</v>
      </c>
      <c r="AA1819" s="3" t="str">
        <f>IFERROR(__xludf.DUMMYFUNCTION("""COMPUTED_VALUE"""),"เกาะจันทร์")</f>
        <v>เกาะจันทร์</v>
      </c>
      <c r="AB1819" s="3" t="str">
        <f>IFERROR(__xludf.DUMMYFUNCTION("""COMPUTED_VALUE"""),"ชลบุรี")</f>
        <v>ชลบุรี</v>
      </c>
      <c r="AC1819" s="3">
        <f>IFERROR(__xludf.DUMMYFUNCTION("""COMPUTED_VALUE"""),20240.0)</f>
        <v>20240</v>
      </c>
      <c r="AD1819" s="3">
        <f>IFERROR(__xludf.DUMMYFUNCTION("""COMPUTED_VALUE"""),13.386447)</f>
        <v>13.386447</v>
      </c>
      <c r="AE1819" s="3">
        <f>IFERROR(__xludf.DUMMYFUNCTION("""COMPUTED_VALUE"""),101.293908)</f>
        <v>101.293908</v>
      </c>
      <c r="AF1819" s="3" t="str">
        <f>IFERROR(__xludf.DUMMYFUNCTION("""COMPUTED_VALUE"""),"BCM ถ.เกาะโพธิ์ ชลบุรี-22505")</f>
        <v>BCM ถ.เกาะโพธิ์ ชลบุรี-22505</v>
      </c>
      <c r="AG1819" s="3" t="str">
        <f>IFERROR(__xludf.DUMMYFUNCTION("""COMPUTED_VALUE"""),"ตะวันออก")</f>
        <v>ตะวันออก</v>
      </c>
      <c r="AH1819" s="3" t="str">
        <f>IFERROR(__xludf.DUMMYFUNCTION("""COMPUTED_VALUE"""),"#N/A")</f>
        <v>#N/A</v>
      </c>
      <c r="AI1819" s="3" t="str">
        <f>IFERROR(__xludf.DUMMYFUNCTION("""COMPUTED_VALUE"""),"Out of warranty")</f>
        <v>Out of warranty</v>
      </c>
      <c r="AJ1819" s="3">
        <f>IFERROR(__xludf.DUMMYFUNCTION("""COMPUTED_VALUE"""),42.0)</f>
        <v>42</v>
      </c>
      <c r="AK1819" s="3" t="str">
        <f>IFERROR(__xludf.DUMMYFUNCTION("""COMPUTED_VALUE"""),"MMS07")</f>
        <v>MMS07</v>
      </c>
      <c r="AL1819" s="3"/>
    </row>
    <row r="1820" ht="15.75" customHeight="1">
      <c r="A1820" s="1" t="str">
        <f>IFERROR(__xludf.DUMMYFUNCTION("""COMPUTED_VALUE"""),"22506")</f>
        <v>22506</v>
      </c>
      <c r="B1820" s="2">
        <f>IFERROR(__xludf.DUMMYFUNCTION("""COMPUTED_VALUE"""),22506.0)</f>
        <v>22506</v>
      </c>
      <c r="C1820" s="3" t="str">
        <f>IFERROR(__xludf.DUMMYFUNCTION("""COMPUTED_VALUE"""),"BCM ตลาดท่าวังทอง พะเยา")</f>
        <v>BCM ตลาดท่าวังทอง พะเยา</v>
      </c>
      <c r="D1820" s="3" t="str">
        <f>IFERROR(__xludf.DUMMYFUNCTION("""COMPUTED_VALUE"""),"BCM TALAD THA WANG THONG")</f>
        <v>BCM TALAD THA WANG THONG</v>
      </c>
      <c r="E1820" s="1" t="str">
        <f>IFERROR(__xludf.DUMMYFUNCTION("""COMPUTED_VALUE"""),"บิ๊กซี MINI")</f>
        <v>บิ๊กซี MINI</v>
      </c>
      <c r="F1820" s="1" t="str">
        <f>IFERROR(__xludf.DUMMYFUNCTION("""COMPUTED_VALUE"""),"296229")</f>
        <v>296229</v>
      </c>
      <c r="G1820" s="1" t="str">
        <f>IFERROR(__xludf.DUMMYFUNCTION("""COMPUTED_VALUE"""),"นายทนงศักดิ์ บุญมา")</f>
        <v>นายทนงศักดิ์ บุญมา</v>
      </c>
      <c r="H1820" s="1" t="str">
        <f>IFERROR(__xludf.DUMMYFUNCTION("""COMPUTED_VALUE"""),"392585")</f>
        <v>392585</v>
      </c>
      <c r="I1820" s="1" t="str">
        <f>IFERROR(__xludf.DUMMYFUNCTION("""COMPUTED_VALUE"""),"นายไชยัณต์ ผิวขัวเรียง")</f>
        <v>นายไชยัณต์ ผิวขัวเรียง</v>
      </c>
      <c r="J1820" s="3">
        <f>IFERROR(__xludf.DUMMYFUNCTION("""COMPUTED_VALUE"""),2010016.0)</f>
        <v>2010016</v>
      </c>
      <c r="K1820" s="3" t="str">
        <f>IFERROR(__xludf.DUMMYFUNCTION("""COMPUTED_VALUE"""),"นายตวงธรรม ใหม่ยศ")</f>
        <v>นายตวงธรรม ใหม่ยศ</v>
      </c>
      <c r="L1820" s="1" t="str">
        <f>IFERROR(__xludf.DUMMYFUNCTION("""COMPUTED_VALUE"""),"01 K.Tuangtham M.")</f>
        <v>01 K.Tuangtham M.</v>
      </c>
      <c r="M1820" s="1" t="str">
        <f>IFERROR(__xludf.DUMMYFUNCTION("""COMPUTED_VALUE"""),"063-976-595")</f>
        <v>063-976-595</v>
      </c>
      <c r="N1820" s="3">
        <f>IFERROR(__xludf.DUMMYFUNCTION("""COMPUTED_VALUE"""),22574.0)</f>
        <v>22574</v>
      </c>
      <c r="O1820" s="3" t="str">
        <f>IFERROR(__xludf.DUMMYFUNCTION("""COMPUTED_VALUE"""),"BCM ชุมชนศรีชุม ลำปาง")</f>
        <v>BCM ชุมชนศรีชุม ลำปาง</v>
      </c>
      <c r="P1820" s="4">
        <f>IFERROR(__xludf.DUMMYFUNCTION("""COMPUTED_VALUE"""),44781.0)</f>
        <v>44781</v>
      </c>
      <c r="Q1820" s="3" t="str">
        <f>IFERROR(__xludf.DUMMYFUNCTION("""COMPUTED_VALUE"""),"A")</f>
        <v>A</v>
      </c>
      <c r="R1820" s="3" t="str">
        <f>IFERROR(__xludf.DUMMYFUNCTION("""COMPUTED_VALUE"""),"Small Format")</f>
        <v>Small Format</v>
      </c>
      <c r="S1820" s="3" t="str">
        <f>IFERROR(__xludf.DUMMYFUNCTION("""COMPUTED_VALUE"""),"BCM")</f>
        <v>BCM</v>
      </c>
      <c r="T1820" s="3" t="str">
        <f>IFERROR(__xludf.DUMMYFUNCTION("""COMPUTED_VALUE"""),"#N/A")</f>
        <v>#N/A</v>
      </c>
      <c r="U1820" s="3" t="str">
        <f>IFERROR(__xludf.DUMMYFUNCTION("""COMPUTED_VALUE"""),"#N/A")</f>
        <v>#N/A</v>
      </c>
      <c r="V1820" s="3" t="str">
        <f>IFERROR(__xludf.DUMMYFUNCTION("""COMPUTED_VALUE"""),"N")</f>
        <v>N</v>
      </c>
      <c r="W1820" s="3">
        <f>IFERROR(__xludf.DUMMYFUNCTION("""COMPUTED_VALUE"""),210555.0)</f>
        <v>210555</v>
      </c>
      <c r="X1820" s="3" t="str">
        <f>IFERROR(__xludf.DUMMYFUNCTION("""COMPUTED_VALUE"""),"345 หมู่5 ตำบลท่าวังทอง อำเภอเมืองพะเยา จัดหวัดพะเยา 56000")</f>
        <v>345 หมู่5 ตำบลท่าวังทอง อำเภอเมืองพะเยา จัดหวัดพะเยา 56000</v>
      </c>
      <c r="Y1820" s="3"/>
      <c r="Z1820" s="3" t="str">
        <f>IFERROR(__xludf.DUMMYFUNCTION("""COMPUTED_VALUE"""),"ท่าวังทอง")</f>
        <v>ท่าวังทอง</v>
      </c>
      <c r="AA1820" s="3" t="str">
        <f>IFERROR(__xludf.DUMMYFUNCTION("""COMPUTED_VALUE"""),"เมืองพะเยา")</f>
        <v>เมืองพะเยา</v>
      </c>
      <c r="AB1820" s="3" t="str">
        <f>IFERROR(__xludf.DUMMYFUNCTION("""COMPUTED_VALUE"""),"พะเยา")</f>
        <v>พะเยา</v>
      </c>
      <c r="AC1820" s="3">
        <f>IFERROR(__xludf.DUMMYFUNCTION("""COMPUTED_VALUE"""),56000.0)</f>
        <v>56000</v>
      </c>
      <c r="AD1820" s="3">
        <f>IFERROR(__xludf.DUMMYFUNCTION("""COMPUTED_VALUE"""),19.187282)</f>
        <v>19.187282</v>
      </c>
      <c r="AE1820" s="3">
        <f>IFERROR(__xludf.DUMMYFUNCTION("""COMPUTED_VALUE"""),99.929442)</f>
        <v>99.929442</v>
      </c>
      <c r="AF1820" s="3" t="str">
        <f>IFERROR(__xludf.DUMMYFUNCTION("""COMPUTED_VALUE"""),"BCM ตลาดท่าวังทอง พะเยา-22506")</f>
        <v>BCM ตลาดท่าวังทอง พะเยา-22506</v>
      </c>
      <c r="AG1820" s="3" t="str">
        <f>IFERROR(__xludf.DUMMYFUNCTION("""COMPUTED_VALUE"""),"เหนือ")</f>
        <v>เหนือ</v>
      </c>
      <c r="AH1820" s="3" t="str">
        <f>IFERROR(__xludf.DUMMYFUNCTION("""COMPUTED_VALUE"""),"#N/A")</f>
        <v>#N/A</v>
      </c>
      <c r="AI1820" s="3" t="str">
        <f>IFERROR(__xludf.DUMMYFUNCTION("""COMPUTED_VALUE"""),"Out of warranty")</f>
        <v>Out of warranty</v>
      </c>
      <c r="AJ1820" s="3">
        <f>IFERROR(__xludf.DUMMYFUNCTION("""COMPUTED_VALUE"""),42.0)</f>
        <v>42</v>
      </c>
      <c r="AK1820" s="3" t="str">
        <f>IFERROR(__xludf.DUMMYFUNCTION("""COMPUTED_VALUE"""),"MMS10")</f>
        <v>MMS10</v>
      </c>
      <c r="AL1820" s="3"/>
    </row>
    <row r="1821" ht="15.75" customHeight="1">
      <c r="A1821" s="1" t="str">
        <f>IFERROR(__xludf.DUMMYFUNCTION("""COMPUTED_VALUE"""),"22507")</f>
        <v>22507</v>
      </c>
      <c r="B1821" s="2">
        <f>IFERROR(__xludf.DUMMYFUNCTION("""COMPUTED_VALUE"""),22507.0)</f>
        <v>22507</v>
      </c>
      <c r="C1821" s="3" t="str">
        <f>IFERROR(__xludf.DUMMYFUNCTION("""COMPUTED_VALUE"""),"BCM เชียงคำ พะเยา")</f>
        <v>BCM เชียงคำ พะเยา</v>
      </c>
      <c r="D1821" s="3" t="str">
        <f>IFERROR(__xludf.DUMMYFUNCTION("""COMPUTED_VALUE"""),"BCM CHIANG KHAM PHAYAO")</f>
        <v>BCM CHIANG KHAM PHAYAO</v>
      </c>
      <c r="E1821" s="1" t="str">
        <f>IFERROR(__xludf.DUMMYFUNCTION("""COMPUTED_VALUE"""),"บิ๊กซี MINI")</f>
        <v>บิ๊กซี MINI</v>
      </c>
      <c r="F1821" s="1" t="str">
        <f>IFERROR(__xludf.DUMMYFUNCTION("""COMPUTED_VALUE"""),"296229")</f>
        <v>296229</v>
      </c>
      <c r="G1821" s="1" t="str">
        <f>IFERROR(__xludf.DUMMYFUNCTION("""COMPUTED_VALUE"""),"นายทนงศักดิ์ บุญมา")</f>
        <v>นายทนงศักดิ์ บุญมา</v>
      </c>
      <c r="H1821" s="1" t="str">
        <f>IFERROR(__xludf.DUMMYFUNCTION("""COMPUTED_VALUE"""),"392585")</f>
        <v>392585</v>
      </c>
      <c r="I1821" s="1" t="str">
        <f>IFERROR(__xludf.DUMMYFUNCTION("""COMPUTED_VALUE"""),"นายไชยัณต์ ผิวขัวเรียง")</f>
        <v>นายไชยัณต์ ผิวขัวเรียง</v>
      </c>
      <c r="J1821" s="3">
        <f>IFERROR(__xludf.DUMMYFUNCTION("""COMPUTED_VALUE"""),2010016.0)</f>
        <v>2010016</v>
      </c>
      <c r="K1821" s="3" t="str">
        <f>IFERROR(__xludf.DUMMYFUNCTION("""COMPUTED_VALUE"""),"นายตวงธรรม ใหม่ยศ")</f>
        <v>นายตวงธรรม ใหม่ยศ</v>
      </c>
      <c r="L1821" s="1" t="str">
        <f>IFERROR(__xludf.DUMMYFUNCTION("""COMPUTED_VALUE"""),"01 K.Tuangtham M.")</f>
        <v>01 K.Tuangtham M.</v>
      </c>
      <c r="M1821" s="1" t="str">
        <f>IFERROR(__xludf.DUMMYFUNCTION("""COMPUTED_VALUE"""),"063-976-595")</f>
        <v>063-976-595</v>
      </c>
      <c r="N1821" s="3">
        <f>IFERROR(__xludf.DUMMYFUNCTION("""COMPUTED_VALUE"""),22574.0)</f>
        <v>22574</v>
      </c>
      <c r="O1821" s="3" t="str">
        <f>IFERROR(__xludf.DUMMYFUNCTION("""COMPUTED_VALUE"""),"BCM ชุมชนศรีชุม ลำปาง")</f>
        <v>BCM ชุมชนศรีชุม ลำปาง</v>
      </c>
      <c r="P1821" s="4">
        <f>IFERROR(__xludf.DUMMYFUNCTION("""COMPUTED_VALUE"""),44785.0)</f>
        <v>44785</v>
      </c>
      <c r="Q1821" s="3" t="str">
        <f>IFERROR(__xludf.DUMMYFUNCTION("""COMPUTED_VALUE"""),"A")</f>
        <v>A</v>
      </c>
      <c r="R1821" s="3" t="str">
        <f>IFERROR(__xludf.DUMMYFUNCTION("""COMPUTED_VALUE"""),"Small Format")</f>
        <v>Small Format</v>
      </c>
      <c r="S1821" s="3" t="str">
        <f>IFERROR(__xludf.DUMMYFUNCTION("""COMPUTED_VALUE"""),"BCM")</f>
        <v>BCM</v>
      </c>
      <c r="T1821" s="3" t="str">
        <f>IFERROR(__xludf.DUMMYFUNCTION("""COMPUTED_VALUE"""),"#N/A")</f>
        <v>#N/A</v>
      </c>
      <c r="U1821" s="3" t="str">
        <f>IFERROR(__xludf.DUMMYFUNCTION("""COMPUTED_VALUE"""),"#N/A")</f>
        <v>#N/A</v>
      </c>
      <c r="V1821" s="3" t="str">
        <f>IFERROR(__xludf.DUMMYFUNCTION("""COMPUTED_VALUE"""),"N")</f>
        <v>N</v>
      </c>
      <c r="W1821" s="3">
        <f>IFERROR(__xludf.DUMMYFUNCTION("""COMPUTED_VALUE"""),210561.0)</f>
        <v>210561</v>
      </c>
      <c r="X1821" s="3" t="str">
        <f>IFERROR(__xludf.DUMMYFUNCTION("""COMPUTED_VALUE"""),"161 หมู่8 ตำบลหย่วน อำเภอเชียงคำ จังหวัดพะเยา 56110")</f>
        <v>161 หมู่8 ตำบลหย่วน อำเภอเชียงคำ จังหวัดพะเยา 56110</v>
      </c>
      <c r="Y1821" s="3"/>
      <c r="Z1821" s="3" t="str">
        <f>IFERROR(__xludf.DUMMYFUNCTION("""COMPUTED_VALUE"""),"หย่วน")</f>
        <v>หย่วน</v>
      </c>
      <c r="AA1821" s="3" t="str">
        <f>IFERROR(__xludf.DUMMYFUNCTION("""COMPUTED_VALUE"""),"เชียงคำ")</f>
        <v>เชียงคำ</v>
      </c>
      <c r="AB1821" s="3" t="str">
        <f>IFERROR(__xludf.DUMMYFUNCTION("""COMPUTED_VALUE"""),"พะเยา")</f>
        <v>พะเยา</v>
      </c>
      <c r="AC1821" s="3">
        <f>IFERROR(__xludf.DUMMYFUNCTION("""COMPUTED_VALUE"""),56110.0)</f>
        <v>56110</v>
      </c>
      <c r="AD1821" s="3">
        <f>IFERROR(__xludf.DUMMYFUNCTION("""COMPUTED_VALUE"""),19.522707)</f>
        <v>19.522707</v>
      </c>
      <c r="AE1821" s="3" t="str">
        <f>IFERROR(__xludf.DUMMYFUNCTION("""COMPUTED_VALUE"""),"100.3066 32")</f>
        <v>100.3066 32</v>
      </c>
      <c r="AF1821" s="3" t="str">
        <f>IFERROR(__xludf.DUMMYFUNCTION("""COMPUTED_VALUE"""),"BCM เชียงคำ พะเยา-22507")</f>
        <v>BCM เชียงคำ พะเยา-22507</v>
      </c>
      <c r="AG1821" s="3" t="str">
        <f>IFERROR(__xludf.DUMMYFUNCTION("""COMPUTED_VALUE"""),"เหนือ")</f>
        <v>เหนือ</v>
      </c>
      <c r="AH1821" s="3" t="str">
        <f>IFERROR(__xludf.DUMMYFUNCTION("""COMPUTED_VALUE"""),"#N/A")</f>
        <v>#N/A</v>
      </c>
      <c r="AI1821" s="3" t="str">
        <f>IFERROR(__xludf.DUMMYFUNCTION("""COMPUTED_VALUE"""),"Out of warranty")</f>
        <v>Out of warranty</v>
      </c>
      <c r="AJ1821" s="3">
        <f>IFERROR(__xludf.DUMMYFUNCTION("""COMPUTED_VALUE"""),42.0)</f>
        <v>42</v>
      </c>
      <c r="AK1821" s="3" t="str">
        <f>IFERROR(__xludf.DUMMYFUNCTION("""COMPUTED_VALUE"""),"MMS10")</f>
        <v>MMS10</v>
      </c>
      <c r="AL1821" s="3"/>
    </row>
    <row r="1822" ht="15.75" customHeight="1">
      <c r="A1822" s="1" t="str">
        <f>IFERROR(__xludf.DUMMYFUNCTION("""COMPUTED_VALUE"""),"22508")</f>
        <v>22508</v>
      </c>
      <c r="B1822" s="2">
        <f>IFERROR(__xludf.DUMMYFUNCTION("""COMPUTED_VALUE"""),22508.0)</f>
        <v>22508</v>
      </c>
      <c r="C1822" s="3" t="str">
        <f>IFERROR(__xludf.DUMMYFUNCTION("""COMPUTED_VALUE"""),"BCM ปากน้ำโจ้โล้ ฉะเชิงเทรา")</f>
        <v>BCM ปากน้ำโจ้โล้ ฉะเชิงเทรา</v>
      </c>
      <c r="D1822" s="3" t="str">
        <f>IFERROR(__xludf.DUMMYFUNCTION("""COMPUTED_VALUE"""),"BCM PAKNAM CHO LO")</f>
        <v>BCM PAKNAM CHO LO</v>
      </c>
      <c r="E1822" s="1" t="str">
        <f>IFERROR(__xludf.DUMMYFUNCTION("""COMPUTED_VALUE"""),"บิ๊กซี MINI")</f>
        <v>บิ๊กซี MINI</v>
      </c>
      <c r="F1822" s="1" t="str">
        <f>IFERROR(__xludf.DUMMYFUNCTION("""COMPUTED_VALUE"""),"2083447")</f>
        <v>2083447</v>
      </c>
      <c r="G1822" s="1" t="str">
        <f>IFERROR(__xludf.DUMMYFUNCTION("""COMPUTED_VALUE"""),"นายอนุกูล ศรีลัดดา")</f>
        <v>นายอนุกูล ศรีลัดดา</v>
      </c>
      <c r="H1822" s="1" t="str">
        <f>IFERROR(__xludf.DUMMYFUNCTION("""COMPUTED_VALUE"""),"254957")</f>
        <v>254957</v>
      </c>
      <c r="I1822" s="1" t="str">
        <f>IFERROR(__xludf.DUMMYFUNCTION("""COMPUTED_VALUE"""),"น.ส.ศิริพร รุ่งธัญญา")</f>
        <v>น.ส.ศิริพร รุ่งธัญญา</v>
      </c>
      <c r="J1822" s="3">
        <f>IFERROR(__xludf.DUMMYFUNCTION("""COMPUTED_VALUE"""),510143.0)</f>
        <v>510143</v>
      </c>
      <c r="K1822" s="3" t="str">
        <f>IFERROR(__xludf.DUMMYFUNCTION("""COMPUTED_VALUE"""),"นายธีระวัฒน์ บุญสิทธิ์")</f>
        <v>นายธีระวัฒน์ บุญสิทธิ์</v>
      </c>
      <c r="L1822" s="1" t="str">
        <f>IFERROR(__xludf.DUMMYFUNCTION("""COMPUTED_VALUE"""),"12 K.Theerawat B.")</f>
        <v>12 K.Theerawat B.</v>
      </c>
      <c r="M1822" s="1" t="str">
        <f>IFERROR(__xludf.DUMMYFUNCTION("""COMPUTED_VALUE"""),"0655107379")</f>
        <v>0655107379</v>
      </c>
      <c r="N1822" s="3">
        <f>IFERROR(__xludf.DUMMYFUNCTION("""COMPUTED_VALUE"""),21062.0)</f>
        <v>21062</v>
      </c>
      <c r="O1822" s="3" t="str">
        <f>IFERROR(__xludf.DUMMYFUNCTION("""COMPUTED_VALUE"""),"MBC นิคมนวนคร")</f>
        <v>MBC นิคมนวนคร</v>
      </c>
      <c r="P1822" s="4">
        <f>IFERROR(__xludf.DUMMYFUNCTION("""COMPUTED_VALUE"""),44785.0)</f>
        <v>44785</v>
      </c>
      <c r="Q1822" s="3" t="str">
        <f>IFERROR(__xludf.DUMMYFUNCTION("""COMPUTED_VALUE"""),"A")</f>
        <v>A</v>
      </c>
      <c r="R1822" s="3" t="str">
        <f>IFERROR(__xludf.DUMMYFUNCTION("""COMPUTED_VALUE"""),"Small Format")</f>
        <v>Small Format</v>
      </c>
      <c r="S1822" s="3" t="str">
        <f>IFERROR(__xludf.DUMMYFUNCTION("""COMPUTED_VALUE"""),"BCM")</f>
        <v>BCM</v>
      </c>
      <c r="T1822" s="3" t="str">
        <f>IFERROR(__xludf.DUMMYFUNCTION("""COMPUTED_VALUE"""),"#N/A")</f>
        <v>#N/A</v>
      </c>
      <c r="U1822" s="3" t="str">
        <f>IFERROR(__xludf.DUMMYFUNCTION("""COMPUTED_VALUE"""),"#N/A")</f>
        <v>#N/A</v>
      </c>
      <c r="V1822" s="3" t="str">
        <f>IFERROR(__xludf.DUMMYFUNCTION("""COMPUTED_VALUE"""),"N")</f>
        <v>N</v>
      </c>
      <c r="W1822" s="3">
        <f>IFERROR(__xludf.DUMMYFUNCTION("""COMPUTED_VALUE"""),210566.0)</f>
        <v>210566</v>
      </c>
      <c r="X1822" s="3" t="str">
        <f>IFERROR(__xludf.DUMMYFUNCTION("""COMPUTED_VALUE"""),"29 หมู่7 ตำบลปากน้ำ อำเภอบางคล้า จังหวัดฉะเชิงเทรา 24110")</f>
        <v>29 หมู่7 ตำบลปากน้ำ อำเภอบางคล้า จังหวัดฉะเชิงเทรา 24110</v>
      </c>
      <c r="Y1822" s="3"/>
      <c r="Z1822" s="3" t="str">
        <f>IFERROR(__xludf.DUMMYFUNCTION("""COMPUTED_VALUE"""),"ปากน้ำ")</f>
        <v>ปากน้ำ</v>
      </c>
      <c r="AA1822" s="3" t="str">
        <f>IFERROR(__xludf.DUMMYFUNCTION("""COMPUTED_VALUE"""),"บางคล้า")</f>
        <v>บางคล้า</v>
      </c>
      <c r="AB1822" s="3" t="str">
        <f>IFERROR(__xludf.DUMMYFUNCTION("""COMPUTED_VALUE"""),"ฉะเชิงเทรา")</f>
        <v>ฉะเชิงเทรา</v>
      </c>
      <c r="AC1822" s="3">
        <f>IFERROR(__xludf.DUMMYFUNCTION("""COMPUTED_VALUE"""),24110.0)</f>
        <v>24110</v>
      </c>
      <c r="AD1822" s="3">
        <f>IFERROR(__xludf.DUMMYFUNCTION("""COMPUTED_VALUE"""),13.7435463)</f>
        <v>13.7435463</v>
      </c>
      <c r="AE1822" s="3" t="str">
        <f>IFERROR(__xludf.DUMMYFUNCTION("""COMPUTED_VALUE"""),"101.20 81388")</f>
        <v>101.20 81388</v>
      </c>
      <c r="AF1822" s="3" t="str">
        <f>IFERROR(__xludf.DUMMYFUNCTION("""COMPUTED_VALUE"""),"BCM ปากน้ำโจ้โล้ ฉะเชิงเทรา-22508")</f>
        <v>BCM ปากน้ำโจ้โล้ ฉะเชิงเทรา-22508</v>
      </c>
      <c r="AG1822" s="3" t="str">
        <f>IFERROR(__xludf.DUMMYFUNCTION("""COMPUTED_VALUE"""),"ตะวันออก")</f>
        <v>ตะวันออก</v>
      </c>
      <c r="AH1822" s="3" t="str">
        <f>IFERROR(__xludf.DUMMYFUNCTION("""COMPUTED_VALUE"""),"#N/A")</f>
        <v>#N/A</v>
      </c>
      <c r="AI1822" s="3" t="str">
        <f>IFERROR(__xludf.DUMMYFUNCTION("""COMPUTED_VALUE"""),"Out of warranty")</f>
        <v>Out of warranty</v>
      </c>
      <c r="AJ1822" s="3">
        <f>IFERROR(__xludf.DUMMYFUNCTION("""COMPUTED_VALUE"""),42.0)</f>
        <v>42</v>
      </c>
      <c r="AK1822" s="3" t="str">
        <f>IFERROR(__xludf.DUMMYFUNCTION("""COMPUTED_VALUE"""),"MMS07")</f>
        <v>MMS07</v>
      </c>
      <c r="AL1822" s="3"/>
    </row>
    <row r="1823" ht="15.75" customHeight="1">
      <c r="A1823" s="1" t="str">
        <f>IFERROR(__xludf.DUMMYFUNCTION("""COMPUTED_VALUE"""),"22509")</f>
        <v>22509</v>
      </c>
      <c r="B1823" s="2">
        <f>IFERROR(__xludf.DUMMYFUNCTION("""COMPUTED_VALUE"""),22509.0)</f>
        <v>22509</v>
      </c>
      <c r="C1823" s="3" t="str">
        <f>IFERROR(__xludf.DUMMYFUNCTION("""COMPUTED_VALUE"""),"BCM แม่จัน เชียงราย")</f>
        <v>BCM แม่จัน เชียงราย</v>
      </c>
      <c r="D1823" s="3" t="str">
        <f>IFERROR(__xludf.DUMMYFUNCTION("""COMPUTED_VALUE"""),"BCM MAECHAN CHIANGRAI")</f>
        <v>BCM MAECHAN CHIANGRAI</v>
      </c>
      <c r="E1823" s="1" t="str">
        <f>IFERROR(__xludf.DUMMYFUNCTION("""COMPUTED_VALUE"""),"บิ๊กซี MINI")</f>
        <v>บิ๊กซี MINI</v>
      </c>
      <c r="F1823" s="1" t="str">
        <f>IFERROR(__xludf.DUMMYFUNCTION("""COMPUTED_VALUE"""),"296229")</f>
        <v>296229</v>
      </c>
      <c r="G1823" s="1" t="str">
        <f>IFERROR(__xludf.DUMMYFUNCTION("""COMPUTED_VALUE"""),"นายทนงศักดิ์ บุญมา")</f>
        <v>นายทนงศักดิ์ บุญมา</v>
      </c>
      <c r="H1823" s="1" t="str">
        <f>IFERROR(__xludf.DUMMYFUNCTION("""COMPUTED_VALUE"""),"392585")</f>
        <v>392585</v>
      </c>
      <c r="I1823" s="1" t="str">
        <f>IFERROR(__xludf.DUMMYFUNCTION("""COMPUTED_VALUE"""),"นายไชยัณต์ ผิวขัวเรียง")</f>
        <v>นายไชยัณต์ ผิวขัวเรียง</v>
      </c>
      <c r="J1823" s="3">
        <f>IFERROR(__xludf.DUMMYFUNCTION("""COMPUTED_VALUE"""),2010016.0)</f>
        <v>2010016</v>
      </c>
      <c r="K1823" s="3" t="str">
        <f>IFERROR(__xludf.DUMMYFUNCTION("""COMPUTED_VALUE"""),"นายตวงธรรม ใหม่ยศ")</f>
        <v>นายตวงธรรม ใหม่ยศ</v>
      </c>
      <c r="L1823" s="1" t="str">
        <f>IFERROR(__xludf.DUMMYFUNCTION("""COMPUTED_VALUE"""),"01 K.Tuangtham M.")</f>
        <v>01 K.Tuangtham M.</v>
      </c>
      <c r="M1823" s="1" t="str">
        <f>IFERROR(__xludf.DUMMYFUNCTION("""COMPUTED_VALUE"""),"063-976-595")</f>
        <v>063-976-595</v>
      </c>
      <c r="N1823" s="3">
        <f>IFERROR(__xludf.DUMMYFUNCTION("""COMPUTED_VALUE"""),22574.0)</f>
        <v>22574</v>
      </c>
      <c r="O1823" s="3" t="str">
        <f>IFERROR(__xludf.DUMMYFUNCTION("""COMPUTED_VALUE"""),"BCM ชุมชนศรีชุม ลำปาง")</f>
        <v>BCM ชุมชนศรีชุม ลำปาง</v>
      </c>
      <c r="P1823" s="4">
        <f>IFERROR(__xludf.DUMMYFUNCTION("""COMPUTED_VALUE"""),44819.0)</f>
        <v>44819</v>
      </c>
      <c r="Q1823" s="3" t="str">
        <f>IFERROR(__xludf.DUMMYFUNCTION("""COMPUTED_VALUE"""),"A")</f>
        <v>A</v>
      </c>
      <c r="R1823" s="3" t="str">
        <f>IFERROR(__xludf.DUMMYFUNCTION("""COMPUTED_VALUE"""),"Small Format")</f>
        <v>Small Format</v>
      </c>
      <c r="S1823" s="3" t="str">
        <f>IFERROR(__xludf.DUMMYFUNCTION("""COMPUTED_VALUE"""),"BCM")</f>
        <v>BCM</v>
      </c>
      <c r="T1823" s="3" t="str">
        <f>IFERROR(__xludf.DUMMYFUNCTION("""COMPUTED_VALUE"""),"#N/A")</f>
        <v>#N/A</v>
      </c>
      <c r="U1823" s="3" t="str">
        <f>IFERROR(__xludf.DUMMYFUNCTION("""COMPUTED_VALUE"""),"#N/A")</f>
        <v>#N/A</v>
      </c>
      <c r="V1823" s="3" t="str">
        <f>IFERROR(__xludf.DUMMYFUNCTION("""COMPUTED_VALUE"""),"N")</f>
        <v>N</v>
      </c>
      <c r="W1823" s="3">
        <f>IFERROR(__xludf.DUMMYFUNCTION("""COMPUTED_VALUE"""),210560.0)</f>
        <v>210560</v>
      </c>
      <c r="X1823" s="3" t="str">
        <f>IFERROR(__xludf.DUMMYFUNCTION("""COMPUTED_VALUE"""),"508 หมู่3 ตำบลแม่จัน อำเภอแม่จัน จังหวัดเชียงราย 57110")</f>
        <v>508 หมู่3 ตำบลแม่จัน อำเภอแม่จัน จังหวัดเชียงราย 57110</v>
      </c>
      <c r="Y1823" s="3"/>
      <c r="Z1823" s="3" t="str">
        <f>IFERROR(__xludf.DUMMYFUNCTION("""COMPUTED_VALUE"""),"แม่จัน")</f>
        <v>แม่จัน</v>
      </c>
      <c r="AA1823" s="3" t="str">
        <f>IFERROR(__xludf.DUMMYFUNCTION("""COMPUTED_VALUE"""),"แม่จัน")</f>
        <v>แม่จัน</v>
      </c>
      <c r="AB1823" s="3" t="str">
        <f>IFERROR(__xludf.DUMMYFUNCTION("""COMPUTED_VALUE"""),"เชียงราย")</f>
        <v>เชียงราย</v>
      </c>
      <c r="AC1823" s="3">
        <f>IFERROR(__xludf.DUMMYFUNCTION("""COMPUTED_VALUE"""),57110.0)</f>
        <v>57110</v>
      </c>
      <c r="AD1823" s="3">
        <f>IFERROR(__xludf.DUMMYFUNCTION("""COMPUTED_VALUE"""),20.149166)</f>
        <v>20.149166</v>
      </c>
      <c r="AE1823" s="3">
        <f>IFERROR(__xludf.DUMMYFUNCTION("""COMPUTED_VALUE"""),99.856084)</f>
        <v>99.856084</v>
      </c>
      <c r="AF1823" s="3" t="str">
        <f>IFERROR(__xludf.DUMMYFUNCTION("""COMPUTED_VALUE"""),"BCM แม่จัน เชียงราย-22509")</f>
        <v>BCM แม่จัน เชียงราย-22509</v>
      </c>
      <c r="AG1823" s="3" t="str">
        <f>IFERROR(__xludf.DUMMYFUNCTION("""COMPUTED_VALUE"""),"เหนือ")</f>
        <v>เหนือ</v>
      </c>
      <c r="AH1823" s="3" t="str">
        <f>IFERROR(__xludf.DUMMYFUNCTION("""COMPUTED_VALUE"""),"#N/A")</f>
        <v>#N/A</v>
      </c>
      <c r="AI1823" s="3" t="str">
        <f>IFERROR(__xludf.DUMMYFUNCTION("""COMPUTED_VALUE"""),"Out of warranty")</f>
        <v>Out of warranty</v>
      </c>
      <c r="AJ1823" s="3">
        <f>IFERROR(__xludf.DUMMYFUNCTION("""COMPUTED_VALUE"""),41.0)</f>
        <v>41</v>
      </c>
      <c r="AK1823" s="3" t="str">
        <f>IFERROR(__xludf.DUMMYFUNCTION("""COMPUTED_VALUE"""),"MMS10")</f>
        <v>MMS10</v>
      </c>
      <c r="AL1823" s="3"/>
    </row>
    <row r="1824" ht="15.75" customHeight="1">
      <c r="A1824" s="1" t="str">
        <f>IFERROR(__xludf.DUMMYFUNCTION("""COMPUTED_VALUE"""),"22510")</f>
        <v>22510</v>
      </c>
      <c r="B1824" s="2">
        <f>IFERROR(__xludf.DUMMYFUNCTION("""COMPUTED_VALUE"""),22510.0)</f>
        <v>22510</v>
      </c>
      <c r="C1824" s="3" t="str">
        <f>IFERROR(__xludf.DUMMYFUNCTION("""COMPUTED_VALUE"""),"MBC แม่ทะ ลำปาง")</f>
        <v>MBC แม่ทะ ลำปาง</v>
      </c>
      <c r="D1824" s="3" t="str">
        <f>IFERROR(__xludf.DUMMYFUNCTION("""COMPUTED_VALUE"""),"BCM MAETHA LAMPANG")</f>
        <v>BCM MAETHA LAMPANG</v>
      </c>
      <c r="E1824" s="1" t="str">
        <f>IFERROR(__xludf.DUMMYFUNCTION("""COMPUTED_VALUE"""),"บิ๊กซี MINI")</f>
        <v>บิ๊กซี MINI</v>
      </c>
      <c r="F1824" s="1" t="str">
        <f>IFERROR(__xludf.DUMMYFUNCTION("""COMPUTED_VALUE"""),"296229")</f>
        <v>296229</v>
      </c>
      <c r="G1824" s="1" t="str">
        <f>IFERROR(__xludf.DUMMYFUNCTION("""COMPUTED_VALUE"""),"นายทนงศักดิ์ บุญมา")</f>
        <v>นายทนงศักดิ์ บุญมา</v>
      </c>
      <c r="H1824" s="1" t="str">
        <f>IFERROR(__xludf.DUMMYFUNCTION("""COMPUTED_VALUE"""),"372826")</f>
        <v>372826</v>
      </c>
      <c r="I1824" s="1" t="str">
        <f>IFERROR(__xludf.DUMMYFUNCTION("""COMPUTED_VALUE"""),"นายพงศกร สุขแก้ว")</f>
        <v>นายพงศกร สุขแก้ว</v>
      </c>
      <c r="J1824" s="3">
        <f>IFERROR(__xludf.DUMMYFUNCTION("""COMPUTED_VALUE"""),2010016.0)</f>
        <v>2010016</v>
      </c>
      <c r="K1824" s="3" t="str">
        <f>IFERROR(__xludf.DUMMYFUNCTION("""COMPUTED_VALUE"""),"นายตวงธรรม ใหม่ยศ")</f>
        <v>นายตวงธรรม ใหม่ยศ</v>
      </c>
      <c r="L1824" s="1" t="str">
        <f>IFERROR(__xludf.DUMMYFUNCTION("""COMPUTED_VALUE"""),"01 K.Tuangtham M.")</f>
        <v>01 K.Tuangtham M.</v>
      </c>
      <c r="M1824" s="1" t="str">
        <f>IFERROR(__xludf.DUMMYFUNCTION("""COMPUTED_VALUE"""),"063-976-595")</f>
        <v>063-976-595</v>
      </c>
      <c r="N1824" s="3">
        <f>IFERROR(__xludf.DUMMYFUNCTION("""COMPUTED_VALUE"""),22574.0)</f>
        <v>22574</v>
      </c>
      <c r="O1824" s="3" t="str">
        <f>IFERROR(__xludf.DUMMYFUNCTION("""COMPUTED_VALUE"""),"BCM ชุมชนศรีชุม ลำปาง")</f>
        <v>BCM ชุมชนศรีชุม ลำปาง</v>
      </c>
      <c r="P1824" s="4">
        <f>IFERROR(__xludf.DUMMYFUNCTION("""COMPUTED_VALUE"""),44798.0)</f>
        <v>44798</v>
      </c>
      <c r="Q1824" s="3" t="str">
        <f>IFERROR(__xludf.DUMMYFUNCTION("""COMPUTED_VALUE"""),"A")</f>
        <v>A</v>
      </c>
      <c r="R1824" s="3" t="str">
        <f>IFERROR(__xludf.DUMMYFUNCTION("""COMPUTED_VALUE"""),"Small Format")</f>
        <v>Small Format</v>
      </c>
      <c r="S1824" s="3" t="str">
        <f>IFERROR(__xludf.DUMMYFUNCTION("""COMPUTED_VALUE"""),"BCM")</f>
        <v>BCM</v>
      </c>
      <c r="T1824" s="3" t="str">
        <f>IFERROR(__xludf.DUMMYFUNCTION("""COMPUTED_VALUE"""),"#N/A")</f>
        <v>#N/A</v>
      </c>
      <c r="U1824" s="3" t="str">
        <f>IFERROR(__xludf.DUMMYFUNCTION("""COMPUTED_VALUE"""),"#N/A")</f>
        <v>#N/A</v>
      </c>
      <c r="V1824" s="3" t="str">
        <f>IFERROR(__xludf.DUMMYFUNCTION("""COMPUTED_VALUE"""),"N")</f>
        <v>N</v>
      </c>
      <c r="W1824" s="3">
        <f>IFERROR(__xludf.DUMMYFUNCTION("""COMPUTED_VALUE"""),210499.0)</f>
        <v>210499</v>
      </c>
      <c r="X1824" s="3" t="str">
        <f>IFERROR(__xludf.DUMMYFUNCTION("""COMPUTED_VALUE"""),"56/4 หมู่3 ตำบลนาครัว อำเภอแม่ทะ จังหวัดลำปาง 52150")</f>
        <v>56/4 หมู่3 ตำบลนาครัว อำเภอแม่ทะ จังหวัดลำปาง 52150</v>
      </c>
      <c r="Y1824" s="3"/>
      <c r="Z1824" s="3" t="str">
        <f>IFERROR(__xludf.DUMMYFUNCTION("""COMPUTED_VALUE"""),"นาครัว")</f>
        <v>นาครัว</v>
      </c>
      <c r="AA1824" s="3" t="str">
        <f>IFERROR(__xludf.DUMMYFUNCTION("""COMPUTED_VALUE"""),"แม่ทะ")</f>
        <v>แม่ทะ</v>
      </c>
      <c r="AB1824" s="3" t="str">
        <f>IFERROR(__xludf.DUMMYFUNCTION("""COMPUTED_VALUE"""),"ลำปาง")</f>
        <v>ลำปาง</v>
      </c>
      <c r="AC1824" s="3">
        <f>IFERROR(__xludf.DUMMYFUNCTION("""COMPUTED_VALUE"""),52150.0)</f>
        <v>52150</v>
      </c>
      <c r="AD1824" s="3">
        <f>IFERROR(__xludf.DUMMYFUNCTION("""COMPUTED_VALUE"""),18.132794)</f>
        <v>18.132794</v>
      </c>
      <c r="AE1824" s="3">
        <f>IFERROR(__xludf.DUMMYFUNCTION("""COMPUTED_VALUE"""),99.512322)</f>
        <v>99.512322</v>
      </c>
      <c r="AF1824" s="3" t="str">
        <f>IFERROR(__xludf.DUMMYFUNCTION("""COMPUTED_VALUE"""),"MBC แม่ทะ ลำปาง-22510")</f>
        <v>MBC แม่ทะ ลำปาง-22510</v>
      </c>
      <c r="AG1824" s="3" t="str">
        <f>IFERROR(__xludf.DUMMYFUNCTION("""COMPUTED_VALUE"""),"เหนือ")</f>
        <v>เหนือ</v>
      </c>
      <c r="AH1824" s="3" t="str">
        <f>IFERROR(__xludf.DUMMYFUNCTION("""COMPUTED_VALUE"""),"#N/A")</f>
        <v>#N/A</v>
      </c>
      <c r="AI1824" s="3" t="str">
        <f>IFERROR(__xludf.DUMMYFUNCTION("""COMPUTED_VALUE"""),"Out of warranty")</f>
        <v>Out of warranty</v>
      </c>
      <c r="AJ1824" s="3">
        <f>IFERROR(__xludf.DUMMYFUNCTION("""COMPUTED_VALUE"""),41.0)</f>
        <v>41</v>
      </c>
      <c r="AK1824" s="3" t="str">
        <f>IFERROR(__xludf.DUMMYFUNCTION("""COMPUTED_VALUE"""),"MMS10")</f>
        <v>MMS10</v>
      </c>
      <c r="AL1824" s="3"/>
    </row>
    <row r="1825" ht="15.75" customHeight="1">
      <c r="A1825" s="1" t="str">
        <f>IFERROR(__xludf.DUMMYFUNCTION("""COMPUTED_VALUE"""),"22511")</f>
        <v>22511</v>
      </c>
      <c r="B1825" s="2">
        <f>IFERROR(__xludf.DUMMYFUNCTION("""COMPUTED_VALUE"""),22511.0)</f>
        <v>22511</v>
      </c>
      <c r="C1825" s="3" t="str">
        <f>IFERROR(__xludf.DUMMYFUNCTION("""COMPUTED_VALUE"""),"BCM ถ.เฉลิมพงษ์ กรุงเทพฯ")</f>
        <v>BCM ถ.เฉลิมพงษ์ กรุงเทพฯ</v>
      </c>
      <c r="D1825" s="3" t="str">
        <f>IFERROR(__xludf.DUMMYFUNCTION("""COMPUTED_VALUE"""),"BCM THANON CHALERMPHONG")</f>
        <v>BCM THANON CHALERMPHONG</v>
      </c>
      <c r="E1825" s="1" t="str">
        <f>IFERROR(__xludf.DUMMYFUNCTION("""COMPUTED_VALUE"""),"บิ๊กซี MINI")</f>
        <v>บิ๊กซี MINI</v>
      </c>
      <c r="F1825" s="1" t="str">
        <f>IFERROR(__xludf.DUMMYFUNCTION("""COMPUTED_VALUE"""),"291008")</f>
        <v>291008</v>
      </c>
      <c r="G1825" s="1" t="str">
        <f>IFERROR(__xludf.DUMMYFUNCTION("""COMPUTED_VALUE"""),"น.ส.รัชดาพร อีศรัตน์")</f>
        <v>น.ส.รัชดาพร อีศรัตน์</v>
      </c>
      <c r="H1825" s="1" t="str">
        <f>IFERROR(__xludf.DUMMYFUNCTION("""COMPUTED_VALUE"""),"288639")</f>
        <v>288639</v>
      </c>
      <c r="I1825" s="1" t="str">
        <f>IFERROR(__xludf.DUMMYFUNCTION("""COMPUTED_VALUE"""),"น.ส.สมหญิง สีชมภู")</f>
        <v>น.ส.สมหญิง สีชมภู</v>
      </c>
      <c r="J1825" s="3">
        <f>IFERROR(__xludf.DUMMYFUNCTION("""COMPUTED_VALUE"""),3510104.0)</f>
        <v>3510104</v>
      </c>
      <c r="K1825" s="3" t="str">
        <f>IFERROR(__xludf.DUMMYFUNCTION("""COMPUTED_VALUE"""),"นายวิโรจน์ อับดุลสมัด")</f>
        <v>นายวิโรจน์ อับดุลสมัด</v>
      </c>
      <c r="L1825" s="1" t="str">
        <f>IFERROR(__xludf.DUMMYFUNCTION("""COMPUTED_VALUE"""),"09 K.Wirode A")</f>
        <v>09 K.Wirode A</v>
      </c>
      <c r="M1825" s="1" t="str">
        <f>IFERROR(__xludf.DUMMYFUNCTION("""COMPUTED_VALUE"""),"080-235-4465")</f>
        <v>080-235-4465</v>
      </c>
      <c r="N1825" s="3">
        <f>IFERROR(__xludf.DUMMYFUNCTION("""COMPUTED_VALUE"""),21324.0)</f>
        <v>21324</v>
      </c>
      <c r="O1825" s="3" t="str">
        <f>IFERROR(__xludf.DUMMYFUNCTION("""COMPUTED_VALUE"""),"MBC BCP สุวินทวงศ์")</f>
        <v>MBC BCP สุวินทวงศ์</v>
      </c>
      <c r="P1825" s="4">
        <f>IFERROR(__xludf.DUMMYFUNCTION("""COMPUTED_VALUE"""),44782.0)</f>
        <v>44782</v>
      </c>
      <c r="Q1825" s="3" t="str">
        <f>IFERROR(__xludf.DUMMYFUNCTION("""COMPUTED_VALUE"""),"A")</f>
        <v>A</v>
      </c>
      <c r="R1825" s="3" t="str">
        <f>IFERROR(__xludf.DUMMYFUNCTION("""COMPUTED_VALUE"""),"Small Format")</f>
        <v>Small Format</v>
      </c>
      <c r="S1825" s="3" t="str">
        <f>IFERROR(__xludf.DUMMYFUNCTION("""COMPUTED_VALUE"""),"BCM")</f>
        <v>BCM</v>
      </c>
      <c r="T1825" s="3" t="str">
        <f>IFERROR(__xludf.DUMMYFUNCTION("""COMPUTED_VALUE"""),"#N/A")</f>
        <v>#N/A</v>
      </c>
      <c r="U1825" s="3" t="str">
        <f>IFERROR(__xludf.DUMMYFUNCTION("""COMPUTED_VALUE"""),"#N/A")</f>
        <v>#N/A</v>
      </c>
      <c r="V1825" s="3" t="str">
        <f>IFERROR(__xludf.DUMMYFUNCTION("""COMPUTED_VALUE"""),"N")</f>
        <v>N</v>
      </c>
      <c r="W1825" s="3">
        <f>IFERROR(__xludf.DUMMYFUNCTION("""COMPUTED_VALUE"""),210572.0)</f>
        <v>210572</v>
      </c>
      <c r="X1825" s="3" t="str">
        <f>IFERROR(__xludf.DUMMYFUNCTION("""COMPUTED_VALUE"""),"21/43 ถนนเฉลิมพงษ์ แขวงสายไหม เขตสายไหม กรุงเทพมหานคร 10220")</f>
        <v>21/43 ถนนเฉลิมพงษ์ แขวงสายไหม เขตสายไหม กรุงเทพมหานคร 10220</v>
      </c>
      <c r="Y1825" s="3" t="str">
        <f>IFERROR(__xludf.DUMMYFUNCTION("""COMPUTED_VALUE"""),"เฉลิมพงษ์")</f>
        <v>เฉลิมพงษ์</v>
      </c>
      <c r="Z1825" s="3" t="str">
        <f>IFERROR(__xludf.DUMMYFUNCTION("""COMPUTED_VALUE"""),"สายไหม")</f>
        <v>สายไหม</v>
      </c>
      <c r="AA1825" s="3" t="str">
        <f>IFERROR(__xludf.DUMMYFUNCTION("""COMPUTED_VALUE"""),"สายไหม")</f>
        <v>สายไหม</v>
      </c>
      <c r="AB1825" s="3" t="str">
        <f>IFERROR(__xludf.DUMMYFUNCTION("""COMPUTED_VALUE"""),"กรุงเทพมหานคร")</f>
        <v>กรุงเทพมหานคร</v>
      </c>
      <c r="AC1825" s="3">
        <f>IFERROR(__xludf.DUMMYFUNCTION("""COMPUTED_VALUE"""),10220.0)</f>
        <v>10220</v>
      </c>
      <c r="AD1825" s="3">
        <f>IFERROR(__xludf.DUMMYFUNCTION("""COMPUTED_VALUE"""),13.924554)</f>
        <v>13.924554</v>
      </c>
      <c r="AE1825" s="3">
        <f>IFERROR(__xludf.DUMMYFUNCTION("""COMPUTED_VALUE"""),100.683587)</f>
        <v>100.683587</v>
      </c>
      <c r="AF1825" s="3" t="str">
        <f>IFERROR(__xludf.DUMMYFUNCTION("""COMPUTED_VALUE"""),"BCM ถ.เฉลิมพงษ์ กรุงเทพฯ-22511")</f>
        <v>BCM ถ.เฉลิมพงษ์ กรุงเทพฯ-22511</v>
      </c>
      <c r="AG1825" s="3" t="str">
        <f>IFERROR(__xludf.DUMMYFUNCTION("""COMPUTED_VALUE"""),"กลาง")</f>
        <v>กลาง</v>
      </c>
      <c r="AH1825" s="3" t="str">
        <f>IFERROR(__xludf.DUMMYFUNCTION("""COMPUTED_VALUE"""),"#N/A")</f>
        <v>#N/A</v>
      </c>
      <c r="AI1825" s="3" t="str">
        <f>IFERROR(__xludf.DUMMYFUNCTION("""COMPUTED_VALUE"""),"Out of warranty")</f>
        <v>Out of warranty</v>
      </c>
      <c r="AJ1825" s="3">
        <f>IFERROR(__xludf.DUMMYFUNCTION("""COMPUTED_VALUE"""),42.0)</f>
        <v>42</v>
      </c>
      <c r="AK1825" s="3" t="str">
        <f>IFERROR(__xludf.DUMMYFUNCTION("""COMPUTED_VALUE"""),"MMS01")</f>
        <v>MMS01</v>
      </c>
      <c r="AL1825" s="3"/>
    </row>
    <row r="1826" ht="15.75" customHeight="1">
      <c r="A1826" s="1" t="str">
        <f>IFERROR(__xludf.DUMMYFUNCTION("""COMPUTED_VALUE"""),"22512")</f>
        <v>22512</v>
      </c>
      <c r="B1826" s="2">
        <f>IFERROR(__xludf.DUMMYFUNCTION("""COMPUTED_VALUE"""),22512.0)</f>
        <v>22512</v>
      </c>
      <c r="C1826" s="3" t="str">
        <f>IFERROR(__xludf.DUMMYFUNCTION("""COMPUTED_VALUE"""),"BCM ชุมชนเกาะคา ลำปาง")</f>
        <v>BCM ชุมชนเกาะคา ลำปาง</v>
      </c>
      <c r="D1826" s="3" t="str">
        <f>IFERROR(__xludf.DUMMYFUNCTION("""COMPUTED_VALUE"""),"BCM CHUMCHON KOKHA LAMPANG")</f>
        <v>BCM CHUMCHON KOKHA LAMPANG</v>
      </c>
      <c r="E1826" s="1" t="str">
        <f>IFERROR(__xludf.DUMMYFUNCTION("""COMPUTED_VALUE"""),"บิ๊กซี MINI")</f>
        <v>บิ๊กซี MINI</v>
      </c>
      <c r="F1826" s="1" t="str">
        <f>IFERROR(__xludf.DUMMYFUNCTION("""COMPUTED_VALUE"""),"296229")</f>
        <v>296229</v>
      </c>
      <c r="G1826" s="1" t="str">
        <f>IFERROR(__xludf.DUMMYFUNCTION("""COMPUTED_VALUE"""),"นายทนงศักดิ์ บุญมา")</f>
        <v>นายทนงศักดิ์ บุญมา</v>
      </c>
      <c r="H1826" s="1" t="str">
        <f>IFERROR(__xludf.DUMMYFUNCTION("""COMPUTED_VALUE"""),"372826")</f>
        <v>372826</v>
      </c>
      <c r="I1826" s="1" t="str">
        <f>IFERROR(__xludf.DUMMYFUNCTION("""COMPUTED_VALUE"""),"นายพงศกร สุขแก้ว")</f>
        <v>นายพงศกร สุขแก้ว</v>
      </c>
      <c r="J1826" s="3">
        <f>IFERROR(__xludf.DUMMYFUNCTION("""COMPUTED_VALUE"""),2010016.0)</f>
        <v>2010016</v>
      </c>
      <c r="K1826" s="3" t="str">
        <f>IFERROR(__xludf.DUMMYFUNCTION("""COMPUTED_VALUE"""),"นายตวงธรรม ใหม่ยศ")</f>
        <v>นายตวงธรรม ใหม่ยศ</v>
      </c>
      <c r="L1826" s="1" t="str">
        <f>IFERROR(__xludf.DUMMYFUNCTION("""COMPUTED_VALUE"""),"01 K.Tuangtham M.")</f>
        <v>01 K.Tuangtham M.</v>
      </c>
      <c r="M1826" s="1" t="str">
        <f>IFERROR(__xludf.DUMMYFUNCTION("""COMPUTED_VALUE"""),"063-976-595")</f>
        <v>063-976-595</v>
      </c>
      <c r="N1826" s="3">
        <f>IFERROR(__xludf.DUMMYFUNCTION("""COMPUTED_VALUE"""),22574.0)</f>
        <v>22574</v>
      </c>
      <c r="O1826" s="3" t="str">
        <f>IFERROR(__xludf.DUMMYFUNCTION("""COMPUTED_VALUE"""),"BCM ชุมชนศรีชุม ลำปาง")</f>
        <v>BCM ชุมชนศรีชุม ลำปาง</v>
      </c>
      <c r="P1826" s="4">
        <f>IFERROR(__xludf.DUMMYFUNCTION("""COMPUTED_VALUE"""),44809.0)</f>
        <v>44809</v>
      </c>
      <c r="Q1826" s="3" t="str">
        <f>IFERROR(__xludf.DUMMYFUNCTION("""COMPUTED_VALUE"""),"A")</f>
        <v>A</v>
      </c>
      <c r="R1826" s="3" t="str">
        <f>IFERROR(__xludf.DUMMYFUNCTION("""COMPUTED_VALUE"""),"Small Format")</f>
        <v>Small Format</v>
      </c>
      <c r="S1826" s="3" t="str">
        <f>IFERROR(__xludf.DUMMYFUNCTION("""COMPUTED_VALUE"""),"BCM")</f>
        <v>BCM</v>
      </c>
      <c r="T1826" s="3" t="str">
        <f>IFERROR(__xludf.DUMMYFUNCTION("""COMPUTED_VALUE"""),"#N/A")</f>
        <v>#N/A</v>
      </c>
      <c r="U1826" s="3" t="str">
        <f>IFERROR(__xludf.DUMMYFUNCTION("""COMPUTED_VALUE"""),"#N/A")</f>
        <v>#N/A</v>
      </c>
      <c r="V1826" s="3" t="str">
        <f>IFERROR(__xludf.DUMMYFUNCTION("""COMPUTED_VALUE"""),"N")</f>
        <v>N</v>
      </c>
      <c r="W1826" s="3">
        <f>IFERROR(__xludf.DUMMYFUNCTION("""COMPUTED_VALUE"""),210567.0)</f>
        <v>210567</v>
      </c>
      <c r="X1826" s="3" t="str">
        <f>IFERROR(__xludf.DUMMYFUNCTION("""COMPUTED_VALUE"""),"76 หมู่7 ตำบลศาลา อำเภอเกาะคา จังหวัดลำปาง 52130")</f>
        <v>76 หมู่7 ตำบลศาลา อำเภอเกาะคา จังหวัดลำปาง 52130</v>
      </c>
      <c r="Y1826" s="3"/>
      <c r="Z1826" s="3" t="str">
        <f>IFERROR(__xludf.DUMMYFUNCTION("""COMPUTED_VALUE"""),"ศาลา")</f>
        <v>ศาลา</v>
      </c>
      <c r="AA1826" s="3" t="str">
        <f>IFERROR(__xludf.DUMMYFUNCTION("""COMPUTED_VALUE"""),"เกาะคา")</f>
        <v>เกาะคา</v>
      </c>
      <c r="AB1826" s="3" t="str">
        <f>IFERROR(__xludf.DUMMYFUNCTION("""COMPUTED_VALUE"""),"ลำปาง")</f>
        <v>ลำปาง</v>
      </c>
      <c r="AC1826" s="3">
        <f>IFERROR(__xludf.DUMMYFUNCTION("""COMPUTED_VALUE"""),52130.0)</f>
        <v>52130</v>
      </c>
      <c r="AD1826" s="3">
        <f>IFERROR(__xludf.DUMMYFUNCTION("""COMPUTED_VALUE"""),18.192353)</f>
        <v>18.192353</v>
      </c>
      <c r="AE1826" s="3">
        <f>IFERROR(__xludf.DUMMYFUNCTION("""COMPUTED_VALUE"""),99.399372)</f>
        <v>99.399372</v>
      </c>
      <c r="AF1826" s="3" t="str">
        <f>IFERROR(__xludf.DUMMYFUNCTION("""COMPUTED_VALUE"""),"BCM ชุมชนเกาะคา ลำปาง-22512")</f>
        <v>BCM ชุมชนเกาะคา ลำปาง-22512</v>
      </c>
      <c r="AG1826" s="3" t="str">
        <f>IFERROR(__xludf.DUMMYFUNCTION("""COMPUTED_VALUE"""),"เหนือ")</f>
        <v>เหนือ</v>
      </c>
      <c r="AH1826" s="3" t="str">
        <f>IFERROR(__xludf.DUMMYFUNCTION("""COMPUTED_VALUE"""),"#N/A")</f>
        <v>#N/A</v>
      </c>
      <c r="AI1826" s="3" t="str">
        <f>IFERROR(__xludf.DUMMYFUNCTION("""COMPUTED_VALUE"""),"Out of warranty")</f>
        <v>Out of warranty</v>
      </c>
      <c r="AJ1826" s="3">
        <f>IFERROR(__xludf.DUMMYFUNCTION("""COMPUTED_VALUE"""),41.0)</f>
        <v>41</v>
      </c>
      <c r="AK1826" s="3" t="str">
        <f>IFERROR(__xludf.DUMMYFUNCTION("""COMPUTED_VALUE"""),"MMS10")</f>
        <v>MMS10</v>
      </c>
      <c r="AL1826" s="3"/>
    </row>
    <row r="1827" ht="15.75" customHeight="1">
      <c r="A1827" s="1" t="str">
        <f>IFERROR(__xludf.DUMMYFUNCTION("""COMPUTED_VALUE"""),"22513")</f>
        <v>22513</v>
      </c>
      <c r="B1827" s="2">
        <f>IFERROR(__xludf.DUMMYFUNCTION("""COMPUTED_VALUE"""),22513.0)</f>
        <v>22513</v>
      </c>
      <c r="C1827" s="3" t="str">
        <f>IFERROR(__xludf.DUMMYFUNCTION("""COMPUTED_VALUE"""),"BCM ม.ราชมงคล คลอง6 ปทุมธานี")</f>
        <v>BCM ม.ราชมงคล คลอง6 ปทุมธานี</v>
      </c>
      <c r="D1827" s="3" t="str">
        <f>IFERROR(__xludf.DUMMYFUNCTION("""COMPUTED_VALUE"""),"BCM RMUTTK6")</f>
        <v>BCM RMUTTK6</v>
      </c>
      <c r="E1827" s="1" t="str">
        <f>IFERROR(__xludf.DUMMYFUNCTION("""COMPUTED_VALUE"""),"บิ๊กซี MINI")</f>
        <v>บิ๊กซี MINI</v>
      </c>
      <c r="F1827" s="1" t="str">
        <f>IFERROR(__xludf.DUMMYFUNCTION("""COMPUTED_VALUE"""),"2083447")</f>
        <v>2083447</v>
      </c>
      <c r="G1827" s="1" t="str">
        <f>IFERROR(__xludf.DUMMYFUNCTION("""COMPUTED_VALUE"""),"นายอนุกูล ศรีลัดดา")</f>
        <v>นายอนุกูล ศรีลัดดา</v>
      </c>
      <c r="H1827" s="1" t="str">
        <f>IFERROR(__xludf.DUMMYFUNCTION("""COMPUTED_VALUE"""),"373849")</f>
        <v>373849</v>
      </c>
      <c r="I1827" s="1" t="str">
        <f>IFERROR(__xludf.DUMMYFUNCTION("""COMPUTED_VALUE"""),"น.ส.อรอุมา นิ่มวิศิษย์")</f>
        <v>น.ส.อรอุมา นิ่มวิศิษย์</v>
      </c>
      <c r="J1827" s="3">
        <f>IFERROR(__xludf.DUMMYFUNCTION("""COMPUTED_VALUE"""),510143.0)</f>
        <v>510143</v>
      </c>
      <c r="K1827" s="3" t="str">
        <f>IFERROR(__xludf.DUMMYFUNCTION("""COMPUTED_VALUE"""),"นายธีระวัฒน์ บุญสิทธิ์")</f>
        <v>นายธีระวัฒน์ บุญสิทธิ์</v>
      </c>
      <c r="L1827" s="1" t="str">
        <f>IFERROR(__xludf.DUMMYFUNCTION("""COMPUTED_VALUE"""),"12 K.Theerawat B.")</f>
        <v>12 K.Theerawat B.</v>
      </c>
      <c r="M1827" s="1" t="str">
        <f>IFERROR(__xludf.DUMMYFUNCTION("""COMPUTED_VALUE"""),"0655107379")</f>
        <v>0655107379</v>
      </c>
      <c r="N1827" s="3">
        <f>IFERROR(__xludf.DUMMYFUNCTION("""COMPUTED_VALUE"""),21062.0)</f>
        <v>21062</v>
      </c>
      <c r="O1827" s="3" t="str">
        <f>IFERROR(__xludf.DUMMYFUNCTION("""COMPUTED_VALUE"""),"MBC นิคมนวนคร")</f>
        <v>MBC นิคมนวนคร</v>
      </c>
      <c r="P1827" s="4">
        <f>IFERROR(__xludf.DUMMYFUNCTION("""COMPUTED_VALUE"""),44810.0)</f>
        <v>44810</v>
      </c>
      <c r="Q1827" s="3" t="str">
        <f>IFERROR(__xludf.DUMMYFUNCTION("""COMPUTED_VALUE"""),"A")</f>
        <v>A</v>
      </c>
      <c r="R1827" s="3" t="str">
        <f>IFERROR(__xludf.DUMMYFUNCTION("""COMPUTED_VALUE"""),"Small Format")</f>
        <v>Small Format</v>
      </c>
      <c r="S1827" s="3" t="str">
        <f>IFERROR(__xludf.DUMMYFUNCTION("""COMPUTED_VALUE"""),"BCM")</f>
        <v>BCM</v>
      </c>
      <c r="T1827" s="3" t="str">
        <f>IFERROR(__xludf.DUMMYFUNCTION("""COMPUTED_VALUE"""),"#N/A")</f>
        <v>#N/A</v>
      </c>
      <c r="U1827" s="3" t="str">
        <f>IFERROR(__xludf.DUMMYFUNCTION("""COMPUTED_VALUE"""),"#N/A")</f>
        <v>#N/A</v>
      </c>
      <c r="V1827" s="3" t="str">
        <f>IFERROR(__xludf.DUMMYFUNCTION("""COMPUTED_VALUE"""),"N")</f>
        <v>N</v>
      </c>
      <c r="W1827" s="3">
        <f>IFERROR(__xludf.DUMMYFUNCTION("""COMPUTED_VALUE"""),210458.0)</f>
        <v>210458</v>
      </c>
      <c r="X1827" s="3" t="str">
        <f>IFERROR(__xludf.DUMMYFUNCTION("""COMPUTED_VALUE"""),"ชั้นที่ 1 2 เลขที่ 39 หมู่ที่ 1 ถนนรังสิต - นครนายก ตำบลคลองหก อำเภอคลองหลวง จังหวัดปทุมธานี 12110")</f>
        <v>ชั้นที่ 1 2 เลขที่ 39 หมู่ที่ 1 ถนนรังสิต - นครนายก ตำบลคลองหก อำเภอคลองหลวง จังหวัดปทุมธานี 12110</v>
      </c>
      <c r="Y1827" s="3" t="str">
        <f>IFERROR(__xludf.DUMMYFUNCTION("""COMPUTED_VALUE"""),"รังสิต-นครนายก")</f>
        <v>รังสิต-นครนายก</v>
      </c>
      <c r="Z1827" s="3" t="str">
        <f>IFERROR(__xludf.DUMMYFUNCTION("""COMPUTED_VALUE"""),"คลองหก")</f>
        <v>คลองหก</v>
      </c>
      <c r="AA1827" s="3" t="str">
        <f>IFERROR(__xludf.DUMMYFUNCTION("""COMPUTED_VALUE"""),"คลองหลวง")</f>
        <v>คลองหลวง</v>
      </c>
      <c r="AB1827" s="3" t="str">
        <f>IFERROR(__xludf.DUMMYFUNCTION("""COMPUTED_VALUE"""),"ปทุมธานี")</f>
        <v>ปทุมธานี</v>
      </c>
      <c r="AC1827" s="3">
        <f>IFERROR(__xludf.DUMMYFUNCTION("""COMPUTED_VALUE"""),12120.0)</f>
        <v>12120</v>
      </c>
      <c r="AD1827" s="3">
        <f>IFERROR(__xludf.DUMMYFUNCTION("""COMPUTED_VALUE"""),14.0371)</f>
        <v>14.0371</v>
      </c>
      <c r="AE1827" s="3">
        <f>IFERROR(__xludf.DUMMYFUNCTION("""COMPUTED_VALUE"""),100.73057)</f>
        <v>100.73057</v>
      </c>
      <c r="AF1827" s="3" t="str">
        <f>IFERROR(__xludf.DUMMYFUNCTION("""COMPUTED_VALUE"""),"BCM ม.ราชมงคล คลอง6 ปทุมธานี-22513")</f>
        <v>BCM ม.ราชมงคล คลอง6 ปทุมธานี-22513</v>
      </c>
      <c r="AG1827" s="3" t="str">
        <f>IFERROR(__xludf.DUMMYFUNCTION("""COMPUTED_VALUE"""),"กลาง")</f>
        <v>กลาง</v>
      </c>
      <c r="AH1827" s="3" t="str">
        <f>IFERROR(__xludf.DUMMYFUNCTION("""COMPUTED_VALUE"""),"#N/A")</f>
        <v>#N/A</v>
      </c>
      <c r="AI1827" s="3" t="str">
        <f>IFERROR(__xludf.DUMMYFUNCTION("""COMPUTED_VALUE"""),"Out of warranty")</f>
        <v>Out of warranty</v>
      </c>
      <c r="AJ1827" s="3">
        <f>IFERROR(__xludf.DUMMYFUNCTION("""COMPUTED_VALUE"""),41.0)</f>
        <v>41</v>
      </c>
      <c r="AK1827" s="3"/>
      <c r="AL1827" s="3"/>
    </row>
    <row r="1828" ht="15.75" customHeight="1">
      <c r="A1828" s="1" t="str">
        <f>IFERROR(__xludf.DUMMYFUNCTION("""COMPUTED_VALUE"""),"22514")</f>
        <v>22514</v>
      </c>
      <c r="B1828" s="2">
        <f>IFERROR(__xludf.DUMMYFUNCTION("""COMPUTED_VALUE"""),22514.0)</f>
        <v>22514</v>
      </c>
      <c r="C1828" s="3" t="str">
        <f>IFERROR(__xludf.DUMMYFUNCTION("""COMPUTED_VALUE"""),"BCM ศูนย์ฯสิริกิติ์ กรุงเทพฯ")</f>
        <v>BCM ศูนย์ฯสิริกิติ์ กรุงเทพฯ</v>
      </c>
      <c r="D1828" s="3" t="str">
        <f>IFERROR(__xludf.DUMMYFUNCTION("""COMPUTED_VALUE"""),"BCM QSNCC")</f>
        <v>BCM QSNCC</v>
      </c>
      <c r="E1828" s="1" t="str">
        <f>IFERROR(__xludf.DUMMYFUNCTION("""COMPUTED_VALUE"""),"บิ๊กซี MINI")</f>
        <v>บิ๊กซี MINI</v>
      </c>
      <c r="F1828" s="1" t="str">
        <f>IFERROR(__xludf.DUMMYFUNCTION("""COMPUTED_VALUE"""),"291008")</f>
        <v>291008</v>
      </c>
      <c r="G1828" s="1" t="str">
        <f>IFERROR(__xludf.DUMMYFUNCTION("""COMPUTED_VALUE"""),"น.ส.รัชดาพร อีศรัตน์")</f>
        <v>น.ส.รัชดาพร อีศรัตน์</v>
      </c>
      <c r="H1828" s="1" t="str">
        <f>IFERROR(__xludf.DUMMYFUNCTION("""COMPUTED_VALUE"""),"468773")</f>
        <v>468773</v>
      </c>
      <c r="I1828" s="1" t="str">
        <f>IFERROR(__xludf.DUMMYFUNCTION("""COMPUTED_VALUE"""),"น.ส.พรพรรณ แซ่แต้")</f>
        <v>น.ส.พรพรรณ แซ่แต้</v>
      </c>
      <c r="J1828" s="3">
        <f>IFERROR(__xludf.DUMMYFUNCTION("""COMPUTED_VALUE"""),2452378.0)</f>
        <v>2452378</v>
      </c>
      <c r="K1828" s="3" t="str">
        <f>IFERROR(__xludf.DUMMYFUNCTION("""COMPUTED_VALUE"""),"นายศักดิ์ดา พวงประดับ")</f>
        <v>นายศักดิ์ดา พวงประดับ</v>
      </c>
      <c r="L1828" s="1" t="str">
        <f>IFERROR(__xludf.DUMMYFUNCTION("""COMPUTED_VALUE"""),"11 K.Sakda P.")</f>
        <v>11 K.Sakda P.</v>
      </c>
      <c r="M1828" s="1" t="str">
        <f>IFERROR(__xludf.DUMMYFUNCTION("""COMPUTED_VALUE"""),"065-929-1279")</f>
        <v>065-929-1279</v>
      </c>
      <c r="N1828" s="3">
        <f>IFERROR(__xludf.DUMMYFUNCTION("""COMPUTED_VALUE"""),21002.0)</f>
        <v>21002</v>
      </c>
      <c r="O1828" s="3" t="str">
        <f>IFERROR(__xludf.DUMMYFUNCTION("""COMPUTED_VALUE"""),"MBC อุดมสุข")</f>
        <v>MBC อุดมสุข</v>
      </c>
      <c r="P1828" s="4">
        <f>IFERROR(__xludf.DUMMYFUNCTION("""COMPUTED_VALUE"""),44816.0)</f>
        <v>44816</v>
      </c>
      <c r="Q1828" s="3" t="str">
        <f>IFERROR(__xludf.DUMMYFUNCTION("""COMPUTED_VALUE"""),"A")</f>
        <v>A</v>
      </c>
      <c r="R1828" s="3" t="str">
        <f>IFERROR(__xludf.DUMMYFUNCTION("""COMPUTED_VALUE"""),"Small Format")</f>
        <v>Small Format</v>
      </c>
      <c r="S1828" s="3" t="str">
        <f>IFERROR(__xludf.DUMMYFUNCTION("""COMPUTED_VALUE"""),"BCM")</f>
        <v>BCM</v>
      </c>
      <c r="T1828" s="3" t="str">
        <f>IFERROR(__xludf.DUMMYFUNCTION("""COMPUTED_VALUE"""),"#N/A")</f>
        <v>#N/A</v>
      </c>
      <c r="U1828" s="3" t="str">
        <f>IFERROR(__xludf.DUMMYFUNCTION("""COMPUTED_VALUE"""),"#N/A")</f>
        <v>#N/A</v>
      </c>
      <c r="V1828" s="3" t="str">
        <f>IFERROR(__xludf.DUMMYFUNCTION("""COMPUTED_VALUE"""),"N")</f>
        <v>N</v>
      </c>
      <c r="W1828" s="3">
        <f>IFERROR(__xludf.DUMMYFUNCTION("""COMPUTED_VALUE"""),210573.0)</f>
        <v>210573</v>
      </c>
      <c r="X1828" s="3" t="str">
        <f>IFERROR(__xludf.DUMMYFUNCTION("""COMPUTED_VALUE"""),"อาคารศูนย์การประชุมแห่งชาติสิริกิติ์ เลขที่ 60 ถนนรัชดาภิเษก แขวงคลองเตย เขตคลองเตย กรุงเทพมหานคร 10110")</f>
        <v>อาคารศูนย์การประชุมแห่งชาติสิริกิติ์ เลขที่ 60 ถนนรัชดาภิเษก แขวงคลองเตย เขตคลองเตย กรุงเทพมหานคร 10110</v>
      </c>
      <c r="Y1828" s="3" t="str">
        <f>IFERROR(__xludf.DUMMYFUNCTION("""COMPUTED_VALUE"""),"รัชดาภิเษก")</f>
        <v>รัชดาภิเษก</v>
      </c>
      <c r="Z1828" s="3" t="str">
        <f>IFERROR(__xludf.DUMMYFUNCTION("""COMPUTED_VALUE"""),"คลองเตย")</f>
        <v>คลองเตย</v>
      </c>
      <c r="AA1828" s="3" t="str">
        <f>IFERROR(__xludf.DUMMYFUNCTION("""COMPUTED_VALUE"""),"คลองเตย")</f>
        <v>คลองเตย</v>
      </c>
      <c r="AB1828" s="3" t="str">
        <f>IFERROR(__xludf.DUMMYFUNCTION("""COMPUTED_VALUE"""),"กรุงเทพมหานคร")</f>
        <v>กรุงเทพมหานคร</v>
      </c>
      <c r="AC1828" s="3">
        <f>IFERROR(__xludf.DUMMYFUNCTION("""COMPUTED_VALUE"""),10110.0)</f>
        <v>10110</v>
      </c>
      <c r="AD1828" s="3">
        <f>IFERROR(__xludf.DUMMYFUNCTION("""COMPUTED_VALUE"""),13.724146)</f>
        <v>13.724146</v>
      </c>
      <c r="AE1828" s="3">
        <f>IFERROR(__xludf.DUMMYFUNCTION("""COMPUTED_VALUE"""),100.56012)</f>
        <v>100.56012</v>
      </c>
      <c r="AF1828" s="3" t="str">
        <f>IFERROR(__xludf.DUMMYFUNCTION("""COMPUTED_VALUE"""),"BCM ศูนย์ฯสิริกิติ์ กรุงเทพฯ-22514")</f>
        <v>BCM ศูนย์ฯสิริกิติ์ กรุงเทพฯ-22514</v>
      </c>
      <c r="AG1828" s="3" t="str">
        <f>IFERROR(__xludf.DUMMYFUNCTION("""COMPUTED_VALUE"""),"กลาง")</f>
        <v>กลาง</v>
      </c>
      <c r="AH1828" s="3" t="str">
        <f>IFERROR(__xludf.DUMMYFUNCTION("""COMPUTED_VALUE"""),"#N/A")</f>
        <v>#N/A</v>
      </c>
      <c r="AI1828" s="3" t="str">
        <f>IFERROR(__xludf.DUMMYFUNCTION("""COMPUTED_VALUE"""),"Out of warranty")</f>
        <v>Out of warranty</v>
      </c>
      <c r="AJ1828" s="3">
        <f>IFERROR(__xludf.DUMMYFUNCTION("""COMPUTED_VALUE"""),41.0)</f>
        <v>41</v>
      </c>
      <c r="AK1828" s="3" t="str">
        <f>IFERROR(__xludf.DUMMYFUNCTION("""COMPUTED_VALUE"""),"MMS02")</f>
        <v>MMS02</v>
      </c>
      <c r="AL1828" s="3"/>
    </row>
    <row r="1829" ht="15.75" customHeight="1">
      <c r="A1829" s="1" t="str">
        <f>IFERROR(__xludf.DUMMYFUNCTION("""COMPUTED_VALUE"""),"22515")</f>
        <v>22515</v>
      </c>
      <c r="B1829" s="2">
        <f>IFERROR(__xludf.DUMMYFUNCTION("""COMPUTED_VALUE"""),22515.0)</f>
        <v>22515</v>
      </c>
      <c r="C1829" s="3" t="str">
        <f>IFERROR(__xludf.DUMMYFUNCTION("""COMPUTED_VALUE"""),"BCM เลียบทางรถไฟ-ตลิ่งชัน กรุงเทพฯ")</f>
        <v>BCM เลียบทางรถไฟ-ตลิ่งชัน กรุงเทพฯ</v>
      </c>
      <c r="D1829" s="3" t="str">
        <f>IFERROR(__xludf.DUMMYFUNCTION("""COMPUTED_VALUE"""),"BCM LIEB TANGRODFAI TALINGCHAN")</f>
        <v>BCM LIEB TANGRODFAI TALINGCHAN</v>
      </c>
      <c r="E1829" s="1" t="str">
        <f>IFERROR(__xludf.DUMMYFUNCTION("""COMPUTED_VALUE"""),"บิ๊กซี MINI")</f>
        <v>บิ๊กซี MINI</v>
      </c>
      <c r="F1829" s="1" t="str">
        <f>IFERROR(__xludf.DUMMYFUNCTION("""COMPUTED_VALUE"""),"291008")</f>
        <v>291008</v>
      </c>
      <c r="G1829" s="1" t="str">
        <f>IFERROR(__xludf.DUMMYFUNCTION("""COMPUTED_VALUE"""),"น.ส.รัชดาพร อีศรัตน์")</f>
        <v>น.ส.รัชดาพร อีศรัตน์</v>
      </c>
      <c r="H1829" s="1" t="str">
        <f>IFERROR(__xludf.DUMMYFUNCTION("""COMPUTED_VALUE"""),"291101")</f>
        <v>291101</v>
      </c>
      <c r="I1829" s="1" t="str">
        <f>IFERROR(__xludf.DUMMYFUNCTION("""COMPUTED_VALUE"""),"นายจักรพงศ์ โพธิ์ศรี")</f>
        <v>นายจักรพงศ์ โพธิ์ศรี</v>
      </c>
      <c r="J1829" s="3">
        <f>IFERROR(__xludf.DUMMYFUNCTION("""COMPUTED_VALUE"""),296608.0)</f>
        <v>296608</v>
      </c>
      <c r="K1829" s="3" t="str">
        <f>IFERROR(__xludf.DUMMYFUNCTION("""COMPUTED_VALUE"""),"นายภาคภูมิ เพ็ชรนิล")</f>
        <v>นายภาคภูมิ เพ็ชรนิล</v>
      </c>
      <c r="L1829" s="1" t="str">
        <f>IFERROR(__xludf.DUMMYFUNCTION("""COMPUTED_VALUE"""),"10 K.Phakphoom P.")</f>
        <v>10 K.Phakphoom P.</v>
      </c>
      <c r="M1829" s="1" t="str">
        <f>IFERROR(__xludf.DUMMYFUNCTION("""COMPUTED_VALUE"""),"063-8955329")</f>
        <v>063-8955329</v>
      </c>
      <c r="N1829" s="3">
        <f>IFERROR(__xludf.DUMMYFUNCTION("""COMPUTED_VALUE"""),22584.0)</f>
        <v>22584</v>
      </c>
      <c r="O1829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829" s="4">
        <f>IFERROR(__xludf.DUMMYFUNCTION("""COMPUTED_VALUE"""),44823.0)</f>
        <v>44823</v>
      </c>
      <c r="Q1829" s="3" t="str">
        <f>IFERROR(__xludf.DUMMYFUNCTION("""COMPUTED_VALUE"""),"A")</f>
        <v>A</v>
      </c>
      <c r="R1829" s="3" t="str">
        <f>IFERROR(__xludf.DUMMYFUNCTION("""COMPUTED_VALUE"""),"Small Format")</f>
        <v>Small Format</v>
      </c>
      <c r="S1829" s="3" t="str">
        <f>IFERROR(__xludf.DUMMYFUNCTION("""COMPUTED_VALUE"""),"BCM")</f>
        <v>BCM</v>
      </c>
      <c r="T1829" s="3" t="str">
        <f>IFERROR(__xludf.DUMMYFUNCTION("""COMPUTED_VALUE"""),"#N/A")</f>
        <v>#N/A</v>
      </c>
      <c r="U1829" s="3" t="str">
        <f>IFERROR(__xludf.DUMMYFUNCTION("""COMPUTED_VALUE"""),"#N/A")</f>
        <v>#N/A</v>
      </c>
      <c r="V1829" s="3" t="str">
        <f>IFERROR(__xludf.DUMMYFUNCTION("""COMPUTED_VALUE"""),"N")</f>
        <v>N</v>
      </c>
      <c r="W1829" s="3">
        <f>IFERROR(__xludf.DUMMYFUNCTION("""COMPUTED_VALUE"""),210570.0)</f>
        <v>210570</v>
      </c>
      <c r="X1829" s="3" t="str">
        <f>IFERROR(__xludf.DUMMYFUNCTION("""COMPUTED_VALUE"""),"เลขที่ 771 ถนนจรัญสนิทวงศ์ แขวงบางขุนศรี เขตบางกอกน้อย กรุงเทพมหานคร 10700")</f>
        <v>เลขที่ 771 ถนนจรัญสนิทวงศ์ แขวงบางขุนศรี เขตบางกอกน้อย กรุงเทพมหานคร 10700</v>
      </c>
      <c r="Y1829" s="3"/>
      <c r="Z1829" s="3" t="str">
        <f>IFERROR(__xludf.DUMMYFUNCTION("""COMPUTED_VALUE"""),"บางขนศรี(บางขุนนนท์)")</f>
        <v>บางขนศรี(บางขุนนนท์)</v>
      </c>
      <c r="AA1829" s="3" t="str">
        <f>IFERROR(__xludf.DUMMYFUNCTION("""COMPUTED_VALUE"""),"บางกอกน้อย")</f>
        <v>บางกอกน้อย</v>
      </c>
      <c r="AB1829" s="3" t="str">
        <f>IFERROR(__xludf.DUMMYFUNCTION("""COMPUTED_VALUE"""),"กรุงเทพมหานคร")</f>
        <v>กรุงเทพมหานคร</v>
      </c>
      <c r="AC1829" s="3">
        <f>IFERROR(__xludf.DUMMYFUNCTION("""COMPUTED_VALUE"""),10700.0)</f>
        <v>10700</v>
      </c>
      <c r="AD1829" s="3">
        <f>IFERROR(__xludf.DUMMYFUNCTION("""COMPUTED_VALUE"""),13.769625)</f>
        <v>13.769625</v>
      </c>
      <c r="AE1829" s="3">
        <f>IFERROR(__xludf.DUMMYFUNCTION("""COMPUTED_VALUE"""),100.463959)</f>
        <v>100.463959</v>
      </c>
      <c r="AF1829" s="3" t="str">
        <f>IFERROR(__xludf.DUMMYFUNCTION("""COMPUTED_VALUE"""),"BCM เลียบทางรถไฟ-ตลิ่งชัน กรุงเทพฯ-22515")</f>
        <v>BCM เลียบทางรถไฟ-ตลิ่งชัน กรุงเทพฯ-22515</v>
      </c>
      <c r="AG1829" s="3" t="str">
        <f>IFERROR(__xludf.DUMMYFUNCTION("""COMPUTED_VALUE"""),"กลาง")</f>
        <v>กลาง</v>
      </c>
      <c r="AH1829" s="3" t="str">
        <f>IFERROR(__xludf.DUMMYFUNCTION("""COMPUTED_VALUE"""),"#N/A")</f>
        <v>#N/A</v>
      </c>
      <c r="AI1829" s="3" t="str">
        <f>IFERROR(__xludf.DUMMYFUNCTION("""COMPUTED_VALUE"""),"Out of warranty")</f>
        <v>Out of warranty</v>
      </c>
      <c r="AJ1829" s="3">
        <f>IFERROR(__xludf.DUMMYFUNCTION("""COMPUTED_VALUE"""),41.0)</f>
        <v>41</v>
      </c>
      <c r="AK1829" s="3" t="str">
        <f>IFERROR(__xludf.DUMMYFUNCTION("""COMPUTED_VALUE"""),"MMS01")</f>
        <v>MMS01</v>
      </c>
      <c r="AL1829" s="3"/>
    </row>
    <row r="1830" ht="15.75" customHeight="1">
      <c r="A1830" s="1" t="str">
        <f>IFERROR(__xludf.DUMMYFUNCTION("""COMPUTED_VALUE"""),"22516")</f>
        <v>22516</v>
      </c>
      <c r="B1830" s="2">
        <f>IFERROR(__xludf.DUMMYFUNCTION("""COMPUTED_VALUE"""),22516.0)</f>
        <v>22516</v>
      </c>
      <c r="C1830" s="3" t="str">
        <f>IFERROR(__xludf.DUMMYFUNCTION("""COMPUTED_VALUE"""),"BCM CTX ป่าอ้อดอนชัย เชียงราย")</f>
        <v>BCM CTX ป่าอ้อดอนชัย เชียงราย</v>
      </c>
      <c r="D1830" s="3" t="str">
        <f>IFERROR(__xludf.DUMMYFUNCTION("""COMPUTED_VALUE"""),"BCM CALTEX PRA OR DON CHAI")</f>
        <v>BCM CALTEX PRA OR DON CHAI</v>
      </c>
      <c r="E1830" s="1" t="str">
        <f>IFERROR(__xludf.DUMMYFUNCTION("""COMPUTED_VALUE"""),"บิ๊กซี MINI")</f>
        <v>บิ๊กซี MINI</v>
      </c>
      <c r="F1830" s="1" t="str">
        <f>IFERROR(__xludf.DUMMYFUNCTION("""COMPUTED_VALUE"""),"296229")</f>
        <v>296229</v>
      </c>
      <c r="G1830" s="1" t="str">
        <f>IFERROR(__xludf.DUMMYFUNCTION("""COMPUTED_VALUE"""),"นายทนงศักดิ์ บุญมา")</f>
        <v>นายทนงศักดิ์ บุญมา</v>
      </c>
      <c r="H1830" s="1" t="str">
        <f>IFERROR(__xludf.DUMMYFUNCTION("""COMPUTED_VALUE"""),"392585")</f>
        <v>392585</v>
      </c>
      <c r="I1830" s="1" t="str">
        <f>IFERROR(__xludf.DUMMYFUNCTION("""COMPUTED_VALUE"""),"นายไชยัณต์ ผิวขัวเรียง")</f>
        <v>นายไชยัณต์ ผิวขัวเรียง</v>
      </c>
      <c r="J1830" s="3">
        <f>IFERROR(__xludf.DUMMYFUNCTION("""COMPUTED_VALUE"""),2010016.0)</f>
        <v>2010016</v>
      </c>
      <c r="K1830" s="3" t="str">
        <f>IFERROR(__xludf.DUMMYFUNCTION("""COMPUTED_VALUE"""),"นายตวงธรรม ใหม่ยศ")</f>
        <v>นายตวงธรรม ใหม่ยศ</v>
      </c>
      <c r="L1830" s="1" t="str">
        <f>IFERROR(__xludf.DUMMYFUNCTION("""COMPUTED_VALUE"""),"01 K.Tuangtham M.")</f>
        <v>01 K.Tuangtham M.</v>
      </c>
      <c r="M1830" s="1" t="str">
        <f>IFERROR(__xludf.DUMMYFUNCTION("""COMPUTED_VALUE"""),"063-976-595")</f>
        <v>063-976-595</v>
      </c>
      <c r="N1830" s="3">
        <f>IFERROR(__xludf.DUMMYFUNCTION("""COMPUTED_VALUE"""),22574.0)</f>
        <v>22574</v>
      </c>
      <c r="O1830" s="3" t="str">
        <f>IFERROR(__xludf.DUMMYFUNCTION("""COMPUTED_VALUE"""),"BCM ชุมชนศรีชุม ลำปาง")</f>
        <v>BCM ชุมชนศรีชุม ลำปาง</v>
      </c>
      <c r="P1830" s="4">
        <f>IFERROR(__xludf.DUMMYFUNCTION("""COMPUTED_VALUE"""),44820.0)</f>
        <v>44820</v>
      </c>
      <c r="Q1830" s="3" t="str">
        <f>IFERROR(__xludf.DUMMYFUNCTION("""COMPUTED_VALUE"""),"A")</f>
        <v>A</v>
      </c>
      <c r="R1830" s="3" t="str">
        <f>IFERROR(__xludf.DUMMYFUNCTION("""COMPUTED_VALUE"""),"Small Format")</f>
        <v>Small Format</v>
      </c>
      <c r="S1830" s="3" t="str">
        <f>IFERROR(__xludf.DUMMYFUNCTION("""COMPUTED_VALUE"""),"BCM")</f>
        <v>BCM</v>
      </c>
      <c r="T1830" s="3" t="str">
        <f>IFERROR(__xludf.DUMMYFUNCTION("""COMPUTED_VALUE"""),"#N/A")</f>
        <v>#N/A</v>
      </c>
      <c r="U1830" s="3" t="str">
        <f>IFERROR(__xludf.DUMMYFUNCTION("""COMPUTED_VALUE"""),"#N/A")</f>
        <v>#N/A</v>
      </c>
      <c r="V1830" s="3" t="str">
        <f>IFERROR(__xludf.DUMMYFUNCTION("""COMPUTED_VALUE"""),"N")</f>
        <v>N</v>
      </c>
      <c r="W1830" s="3">
        <f>IFERROR(__xludf.DUMMYFUNCTION("""COMPUTED_VALUE"""),210575.0)</f>
        <v>210575</v>
      </c>
      <c r="X1830" s="3" t="str">
        <f>IFERROR(__xludf.DUMMYFUNCTION("""COMPUTED_VALUE"""),"247/1 หมู่ 6 ตำบลป่าอ้อดอนชัย อำเภอเมืองเชียงราย จังหวัดเชียงราย 57000")</f>
        <v>247/1 หมู่ 6 ตำบลป่าอ้อดอนชัย อำเภอเมืองเชียงราย จังหวัดเชียงราย 57000</v>
      </c>
      <c r="Y1830" s="3"/>
      <c r="Z1830" s="3" t="str">
        <f>IFERROR(__xludf.DUMMYFUNCTION("""COMPUTED_VALUE"""),"ป่าอ้อดอนชัย")</f>
        <v>ป่าอ้อดอนชัย</v>
      </c>
      <c r="AA1830" s="3" t="str">
        <f>IFERROR(__xludf.DUMMYFUNCTION("""COMPUTED_VALUE"""),"เมืองเชียงราย")</f>
        <v>เมืองเชียงราย</v>
      </c>
      <c r="AB1830" s="3" t="str">
        <f>IFERROR(__xludf.DUMMYFUNCTION("""COMPUTED_VALUE"""),"เชียงราย")</f>
        <v>เชียงราย</v>
      </c>
      <c r="AC1830" s="3">
        <f>IFERROR(__xludf.DUMMYFUNCTION("""COMPUTED_VALUE"""),57000.0)</f>
        <v>57000</v>
      </c>
      <c r="AD1830" s="3">
        <f>IFERROR(__xludf.DUMMYFUNCTION("""COMPUTED_VALUE"""),19.861536)</f>
        <v>19.861536</v>
      </c>
      <c r="AE1830" s="3">
        <f>IFERROR(__xludf.DUMMYFUNCTION("""COMPUTED_VALUE"""),99.784278)</f>
        <v>99.784278</v>
      </c>
      <c r="AF1830" s="3" t="str">
        <f>IFERROR(__xludf.DUMMYFUNCTION("""COMPUTED_VALUE"""),"BCM CTX ป่าอ้อดอนชัย เชียงราย-22516")</f>
        <v>BCM CTX ป่าอ้อดอนชัย เชียงราย-22516</v>
      </c>
      <c r="AG1830" s="3" t="str">
        <f>IFERROR(__xludf.DUMMYFUNCTION("""COMPUTED_VALUE"""),"เหนือ")</f>
        <v>เหนือ</v>
      </c>
      <c r="AH1830" s="3" t="str">
        <f>IFERROR(__xludf.DUMMYFUNCTION("""COMPUTED_VALUE"""),"#N/A")</f>
        <v>#N/A</v>
      </c>
      <c r="AI1830" s="3" t="str">
        <f>IFERROR(__xludf.DUMMYFUNCTION("""COMPUTED_VALUE"""),"Out of warranty")</f>
        <v>Out of warranty</v>
      </c>
      <c r="AJ1830" s="3">
        <f>IFERROR(__xludf.DUMMYFUNCTION("""COMPUTED_VALUE"""),41.0)</f>
        <v>41</v>
      </c>
      <c r="AK1830" s="3" t="str">
        <f>IFERROR(__xludf.DUMMYFUNCTION("""COMPUTED_VALUE"""),"MMS10")</f>
        <v>MMS10</v>
      </c>
      <c r="AL1830" s="3"/>
    </row>
    <row r="1831" ht="15.75" customHeight="1">
      <c r="A1831" s="1" t="str">
        <f>IFERROR(__xludf.DUMMYFUNCTION("""COMPUTED_VALUE"""),"22517")</f>
        <v>22517</v>
      </c>
      <c r="B1831" s="2">
        <f>IFERROR(__xludf.DUMMYFUNCTION("""COMPUTED_VALUE"""),22517.0)</f>
        <v>22517</v>
      </c>
      <c r="C1831" s="3" t="str">
        <f>IFERROR(__xludf.DUMMYFUNCTION("""COMPUTED_VALUE"""),"BCM เทียนทะเล 26 กรุงเทพฯ")</f>
        <v>BCM เทียนทะเล 26 กรุงเทพฯ</v>
      </c>
      <c r="D1831" s="3" t="str">
        <f>IFERROR(__xludf.DUMMYFUNCTION("""COMPUTED_VALUE"""),"BCM THIAN THALE 26")</f>
        <v>BCM THIAN THALE 26</v>
      </c>
      <c r="E1831" s="1" t="str">
        <f>IFERROR(__xludf.DUMMYFUNCTION("""COMPUTED_VALUE"""),"บิ๊กซี MINI")</f>
        <v>บิ๊กซี MINI</v>
      </c>
      <c r="F1831" s="1" t="str">
        <f>IFERROR(__xludf.DUMMYFUNCTION("""COMPUTED_VALUE"""),"291008")</f>
        <v>291008</v>
      </c>
      <c r="G1831" s="1" t="str">
        <f>IFERROR(__xludf.DUMMYFUNCTION("""COMPUTED_VALUE"""),"น.ส.รัชดาพร อีศรัตน์")</f>
        <v>น.ส.รัชดาพร อีศรัตน์</v>
      </c>
      <c r="H1831" s="1" t="str">
        <f>IFERROR(__xludf.DUMMYFUNCTION("""COMPUTED_VALUE"""),"254800")</f>
        <v>254800</v>
      </c>
      <c r="I1831" s="1" t="str">
        <f>IFERROR(__xludf.DUMMYFUNCTION("""COMPUTED_VALUE"""),"น.ส.นัชมล กางกรณ์")</f>
        <v>น.ส.นัชมล กางกรณ์</v>
      </c>
      <c r="J1831" s="3">
        <f>IFERROR(__xludf.DUMMYFUNCTION("""COMPUTED_VALUE"""),296608.0)</f>
        <v>296608</v>
      </c>
      <c r="K1831" s="3" t="str">
        <f>IFERROR(__xludf.DUMMYFUNCTION("""COMPUTED_VALUE"""),"นายภาคภูมิ เพ็ชรนิล")</f>
        <v>นายภาคภูมิ เพ็ชรนิล</v>
      </c>
      <c r="L1831" s="1" t="str">
        <f>IFERROR(__xludf.DUMMYFUNCTION("""COMPUTED_VALUE"""),"10 K.Phakphoom P.")</f>
        <v>10 K.Phakphoom P.</v>
      </c>
      <c r="M1831" s="1" t="str">
        <f>IFERROR(__xludf.DUMMYFUNCTION("""COMPUTED_VALUE"""),"063-8955329")</f>
        <v>063-8955329</v>
      </c>
      <c r="N1831" s="3">
        <f>IFERROR(__xludf.DUMMYFUNCTION("""COMPUTED_VALUE"""),22584.0)</f>
        <v>22584</v>
      </c>
      <c r="O1831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831" s="4">
        <f>IFERROR(__xludf.DUMMYFUNCTION("""COMPUTED_VALUE"""),44826.0)</f>
        <v>44826</v>
      </c>
      <c r="Q1831" s="3" t="str">
        <f>IFERROR(__xludf.DUMMYFUNCTION("""COMPUTED_VALUE"""),"A")</f>
        <v>A</v>
      </c>
      <c r="R1831" s="3" t="str">
        <f>IFERROR(__xludf.DUMMYFUNCTION("""COMPUTED_VALUE"""),"Small Format")</f>
        <v>Small Format</v>
      </c>
      <c r="S1831" s="3" t="str">
        <f>IFERROR(__xludf.DUMMYFUNCTION("""COMPUTED_VALUE"""),"BCM")</f>
        <v>BCM</v>
      </c>
      <c r="T1831" s="3" t="str">
        <f>IFERROR(__xludf.DUMMYFUNCTION("""COMPUTED_VALUE"""),"#N/A")</f>
        <v>#N/A</v>
      </c>
      <c r="U1831" s="3" t="str">
        <f>IFERROR(__xludf.DUMMYFUNCTION("""COMPUTED_VALUE"""),"#N/A")</f>
        <v>#N/A</v>
      </c>
      <c r="V1831" s="3" t="str">
        <f>IFERROR(__xludf.DUMMYFUNCTION("""COMPUTED_VALUE"""),"N")</f>
        <v>N</v>
      </c>
      <c r="W1831" s="3">
        <f>IFERROR(__xludf.DUMMYFUNCTION("""COMPUTED_VALUE"""),210519.0)</f>
        <v>210519</v>
      </c>
      <c r="X1831" s="3" t="str">
        <f>IFERROR(__xludf.DUMMYFUNCTION("""COMPUTED_VALUE"""),"2/4 ซอยเทียนทะเล 26 ถนนบางขุนเทียน - ชายทะเล แขวงท่าข้าม เขตบางขุนเทียน กรุงเทพมหานคร 10150")</f>
        <v>2/4 ซอยเทียนทะเล 26 ถนนบางขุนเทียน - ชายทะเล แขวงท่าข้าม เขตบางขุนเทียน กรุงเทพมหานคร 10150</v>
      </c>
      <c r="Y1831" s="3" t="str">
        <f>IFERROR(__xludf.DUMMYFUNCTION("""COMPUTED_VALUE"""),"บางขุนเทียน-ชายทะเล")</f>
        <v>บางขุนเทียน-ชายทะเล</v>
      </c>
      <c r="Z1831" s="3" t="str">
        <f>IFERROR(__xludf.DUMMYFUNCTION("""COMPUTED_VALUE"""),"ท่าข้าม")</f>
        <v>ท่าข้าม</v>
      </c>
      <c r="AA1831" s="3" t="str">
        <f>IFERROR(__xludf.DUMMYFUNCTION("""COMPUTED_VALUE"""),"บางขุนเทียน")</f>
        <v>บางขุนเทียน</v>
      </c>
      <c r="AB1831" s="3" t="str">
        <f>IFERROR(__xludf.DUMMYFUNCTION("""COMPUTED_VALUE"""),"กรุงเทพมหานคร")</f>
        <v>กรุงเทพมหานคร</v>
      </c>
      <c r="AC1831" s="3">
        <f>IFERROR(__xludf.DUMMYFUNCTION("""COMPUTED_VALUE"""),10150.0)</f>
        <v>10150</v>
      </c>
      <c r="AD1831" s="3">
        <f>IFERROR(__xludf.DUMMYFUNCTION("""COMPUTED_VALUE"""),13.605286)</f>
        <v>13.605286</v>
      </c>
      <c r="AE1831" s="3">
        <f>IFERROR(__xludf.DUMMYFUNCTION("""COMPUTED_VALUE"""),100.434116)</f>
        <v>100.434116</v>
      </c>
      <c r="AF1831" s="3" t="str">
        <f>IFERROR(__xludf.DUMMYFUNCTION("""COMPUTED_VALUE"""),"BCM เทียนทะเล 26 กรุงเทพฯ-22517")</f>
        <v>BCM เทียนทะเล 26 กรุงเทพฯ-22517</v>
      </c>
      <c r="AG1831" s="3" t="str">
        <f>IFERROR(__xludf.DUMMYFUNCTION("""COMPUTED_VALUE"""),"กลาง")</f>
        <v>กลาง</v>
      </c>
      <c r="AH1831" s="3" t="str">
        <f>IFERROR(__xludf.DUMMYFUNCTION("""COMPUTED_VALUE"""),"#N/A")</f>
        <v>#N/A</v>
      </c>
      <c r="AI1831" s="3" t="str">
        <f>IFERROR(__xludf.DUMMYFUNCTION("""COMPUTED_VALUE"""),"Out of warranty")</f>
        <v>Out of warranty</v>
      </c>
      <c r="AJ1831" s="3">
        <f>IFERROR(__xludf.DUMMYFUNCTION("""COMPUTED_VALUE"""),40.0)</f>
        <v>40</v>
      </c>
      <c r="AK1831" s="3" t="str">
        <f>IFERROR(__xludf.DUMMYFUNCTION("""COMPUTED_VALUE"""),"MMS02")</f>
        <v>MMS02</v>
      </c>
      <c r="AL1831" s="3"/>
    </row>
    <row r="1832" ht="15.75" customHeight="1">
      <c r="A1832" s="1" t="str">
        <f>IFERROR(__xludf.DUMMYFUNCTION("""COMPUTED_VALUE"""),"22518")</f>
        <v>22518</v>
      </c>
      <c r="B1832" s="2">
        <f>IFERROR(__xludf.DUMMYFUNCTION("""COMPUTED_VALUE"""),22518.0)</f>
        <v>22518</v>
      </c>
      <c r="C1832" s="3" t="str">
        <f>IFERROR(__xludf.DUMMYFUNCTION("""COMPUTED_VALUE"""),"BCM เบตงพลาซ่า ยะลา")</f>
        <v>BCM เบตงพลาซ่า ยะลา</v>
      </c>
      <c r="D1832" s="3" t="str">
        <f>IFERROR(__xludf.DUMMYFUNCTION("""COMPUTED_VALUE"""),"BCM BETONG PLAZA")</f>
        <v>BCM BETONG PLAZA</v>
      </c>
      <c r="E1832" s="1" t="str">
        <f>IFERROR(__xludf.DUMMYFUNCTION("""COMPUTED_VALUE"""),"บิ๊กซี MINI")</f>
        <v>บิ๊กซี MINI</v>
      </c>
      <c r="F1832" s="1" t="str">
        <f>IFERROR(__xludf.DUMMYFUNCTION("""COMPUTED_VALUE"""),"250760")</f>
        <v>250760</v>
      </c>
      <c r="G1832" s="1" t="str">
        <f>IFERROR(__xludf.DUMMYFUNCTION("""COMPUTED_VALUE"""),"นายประทวน สาราบรรณ์")</f>
        <v>นายประทวน สาราบรรณ์</v>
      </c>
      <c r="H1832" s="1" t="str">
        <f>IFERROR(__xludf.DUMMYFUNCTION("""COMPUTED_VALUE"""),"485279")</f>
        <v>485279</v>
      </c>
      <c r="I1832" s="1" t="str">
        <f>IFERROR(__xludf.DUMMYFUNCTION("""COMPUTED_VALUE"""),"นายสิริพงศ์ ชูชื่น")</f>
        <v>นายสิริพงศ์ ชูชื่น</v>
      </c>
      <c r="J1832" s="3">
        <f>IFERROR(__xludf.DUMMYFUNCTION("""COMPUTED_VALUE"""),2.0470331E7)</f>
        <v>20470331</v>
      </c>
      <c r="K1832" s="3" t="str">
        <f>IFERROR(__xludf.DUMMYFUNCTION("""COMPUTED_VALUE"""),"นายสมชาย ลักษณะสุวรรณ")</f>
        <v>นายสมชาย ลักษณะสุวรรณ</v>
      </c>
      <c r="L1832" s="1" t="str">
        <f>IFERROR(__xludf.DUMMYFUNCTION("""COMPUTED_VALUE"""),"15 K.Somchai L")</f>
        <v>15 K.Somchai L</v>
      </c>
      <c r="M1832" s="1" t="str">
        <f>IFERROR(__xludf.DUMMYFUNCTION("""COMPUTED_VALUE"""),"0655107372")</f>
        <v>0655107372</v>
      </c>
      <c r="N1832" s="3">
        <f>IFERROR(__xludf.DUMMYFUNCTION("""COMPUTED_VALUE"""),21723.0)</f>
        <v>21723</v>
      </c>
      <c r="O1832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832" s="4">
        <f>IFERROR(__xludf.DUMMYFUNCTION("""COMPUTED_VALUE"""),44833.0)</f>
        <v>44833</v>
      </c>
      <c r="Q1832" s="3" t="str">
        <f>IFERROR(__xludf.DUMMYFUNCTION("""COMPUTED_VALUE"""),"A")</f>
        <v>A</v>
      </c>
      <c r="R1832" s="3" t="str">
        <f>IFERROR(__xludf.DUMMYFUNCTION("""COMPUTED_VALUE"""),"Small Format")</f>
        <v>Small Format</v>
      </c>
      <c r="S1832" s="3" t="str">
        <f>IFERROR(__xludf.DUMMYFUNCTION("""COMPUTED_VALUE"""),"BCM")</f>
        <v>BCM</v>
      </c>
      <c r="T1832" s="3" t="str">
        <f>IFERROR(__xludf.DUMMYFUNCTION("""COMPUTED_VALUE"""),"#N/A")</f>
        <v>#N/A</v>
      </c>
      <c r="U1832" s="3" t="str">
        <f>IFERROR(__xludf.DUMMYFUNCTION("""COMPUTED_VALUE"""),"#N/A")</f>
        <v>#N/A</v>
      </c>
      <c r="V1832" s="3" t="str">
        <f>IFERROR(__xludf.DUMMYFUNCTION("""COMPUTED_VALUE"""),"N")</f>
        <v>N</v>
      </c>
      <c r="W1832" s="3">
        <f>IFERROR(__xludf.DUMMYFUNCTION("""COMPUTED_VALUE"""),210569.0)</f>
        <v>210569</v>
      </c>
      <c r="X1832" s="3" t="str">
        <f>IFERROR(__xludf.DUMMYFUNCTION("""COMPUTED_VALUE"""),"261/1 ถนนสุขยางค์ ตำบลเบตง อำเภอเบตง จังหวัดยะลา 95110")</f>
        <v>261/1 ถนนสุขยางค์ ตำบลเบตง อำเภอเบตง จังหวัดยะลา 95110</v>
      </c>
      <c r="Y1832" s="3" t="str">
        <f>IFERROR(__xludf.DUMMYFUNCTION("""COMPUTED_VALUE"""),"สุขยางค์")</f>
        <v>สุขยางค์</v>
      </c>
      <c r="Z1832" s="3" t="str">
        <f>IFERROR(__xludf.DUMMYFUNCTION("""COMPUTED_VALUE"""),"เบตง")</f>
        <v>เบตง</v>
      </c>
      <c r="AA1832" s="3" t="str">
        <f>IFERROR(__xludf.DUMMYFUNCTION("""COMPUTED_VALUE"""),"เบตง")</f>
        <v>เบตง</v>
      </c>
      <c r="AB1832" s="3" t="str">
        <f>IFERROR(__xludf.DUMMYFUNCTION("""COMPUTED_VALUE"""),"ยะลา")</f>
        <v>ยะลา</v>
      </c>
      <c r="AC1832" s="3">
        <f>IFERROR(__xludf.DUMMYFUNCTION("""COMPUTED_VALUE"""),95110.0)</f>
        <v>95110</v>
      </c>
      <c r="AD1832" s="3">
        <f>IFERROR(__xludf.DUMMYFUNCTION("""COMPUTED_VALUE"""),5.771427)</f>
        <v>5.771427</v>
      </c>
      <c r="AE1832" s="3">
        <f>IFERROR(__xludf.DUMMYFUNCTION("""COMPUTED_VALUE"""),101.070212)</f>
        <v>101.070212</v>
      </c>
      <c r="AF1832" s="3" t="str">
        <f>IFERROR(__xludf.DUMMYFUNCTION("""COMPUTED_VALUE"""),"BCM เบตงพลาซ่า ยะลา-22518")</f>
        <v>BCM เบตงพลาซ่า ยะลา-22518</v>
      </c>
      <c r="AG1832" s="3" t="str">
        <f>IFERROR(__xludf.DUMMYFUNCTION("""COMPUTED_VALUE"""),"ใต้")</f>
        <v>ใต้</v>
      </c>
      <c r="AH1832" s="3" t="str">
        <f>IFERROR(__xludf.DUMMYFUNCTION("""COMPUTED_VALUE"""),"#N/A")</f>
        <v>#N/A</v>
      </c>
      <c r="AI1832" s="3" t="str">
        <f>IFERROR(__xludf.DUMMYFUNCTION("""COMPUTED_VALUE"""),"Out of warranty")</f>
        <v>Out of warranty</v>
      </c>
      <c r="AJ1832" s="3">
        <f>IFERROR(__xludf.DUMMYFUNCTION("""COMPUTED_VALUE"""),40.0)</f>
        <v>40</v>
      </c>
      <c r="AK1832" s="3" t="str">
        <f>IFERROR(__xludf.DUMMYFUNCTION("""COMPUTED_VALUE"""),"MMS16")</f>
        <v>MMS16</v>
      </c>
      <c r="AL1832" s="3"/>
    </row>
    <row r="1833" ht="15.75" customHeight="1">
      <c r="A1833" s="1" t="str">
        <f>IFERROR(__xludf.DUMMYFUNCTION("""COMPUTED_VALUE"""),"22519")</f>
        <v>22519</v>
      </c>
      <c r="B1833" s="2">
        <f>IFERROR(__xludf.DUMMYFUNCTION("""COMPUTED_VALUE"""),22519.0)</f>
        <v>22519</v>
      </c>
      <c r="C1833" s="3" t="str">
        <f>IFERROR(__xludf.DUMMYFUNCTION("""COMPUTED_VALUE"""),"BCM ลาดพร้าว122 แยก24 กรุงเทพฯ")</f>
        <v>BCM ลาดพร้าว122 แยก24 กรุงเทพฯ</v>
      </c>
      <c r="D1833" s="3" t="str">
        <f>IFERROR(__xludf.DUMMYFUNCTION("""COMPUTED_VALUE"""),"BCM LAT PHRAO 122 YEAK 24")</f>
        <v>BCM LAT PHRAO 122 YEAK 24</v>
      </c>
      <c r="E1833" s="1" t="str">
        <f>IFERROR(__xludf.DUMMYFUNCTION("""COMPUTED_VALUE"""),"บิ๊กซี MINI")</f>
        <v>บิ๊กซี MINI</v>
      </c>
      <c r="F1833" s="1" t="str">
        <f>IFERROR(__xludf.DUMMYFUNCTION("""COMPUTED_VALUE"""),"291008")</f>
        <v>291008</v>
      </c>
      <c r="G1833" s="1" t="str">
        <f>IFERROR(__xludf.DUMMYFUNCTION("""COMPUTED_VALUE"""),"น.ส.รัชดาพร อีศรัตน์")</f>
        <v>น.ส.รัชดาพร อีศรัตน์</v>
      </c>
      <c r="H1833" s="1" t="str">
        <f>IFERROR(__xludf.DUMMYFUNCTION("""COMPUTED_VALUE"""),"228242")</f>
        <v>228242</v>
      </c>
      <c r="I1833" s="1" t="str">
        <f>IFERROR(__xludf.DUMMYFUNCTION("""COMPUTED_VALUE"""),"นายสมชาย เยมรัมย์")</f>
        <v>นายสมชาย เยมรัมย์</v>
      </c>
      <c r="J1833" s="3">
        <f>IFERROR(__xludf.DUMMYFUNCTION("""COMPUTED_VALUE"""),3510104.0)</f>
        <v>3510104</v>
      </c>
      <c r="K1833" s="3" t="str">
        <f>IFERROR(__xludf.DUMMYFUNCTION("""COMPUTED_VALUE"""),"นายวิโรจน์ อับดุลสมัด")</f>
        <v>นายวิโรจน์ อับดุลสมัด</v>
      </c>
      <c r="L1833" s="1" t="str">
        <f>IFERROR(__xludf.DUMMYFUNCTION("""COMPUTED_VALUE"""),"09 K.Wirode A")</f>
        <v>09 K.Wirode A</v>
      </c>
      <c r="M1833" s="1" t="str">
        <f>IFERROR(__xludf.DUMMYFUNCTION("""COMPUTED_VALUE"""),"080-235-4465")</f>
        <v>080-235-4465</v>
      </c>
      <c r="N1833" s="3">
        <f>IFERROR(__xludf.DUMMYFUNCTION("""COMPUTED_VALUE"""),21324.0)</f>
        <v>21324</v>
      </c>
      <c r="O1833" s="3" t="str">
        <f>IFERROR(__xludf.DUMMYFUNCTION("""COMPUTED_VALUE"""),"MBC BCP สุวินทวงศ์")</f>
        <v>MBC BCP สุวินทวงศ์</v>
      </c>
      <c r="P1833" s="4">
        <f>IFERROR(__xludf.DUMMYFUNCTION("""COMPUTED_VALUE"""),44833.0)</f>
        <v>44833</v>
      </c>
      <c r="Q1833" s="3" t="str">
        <f>IFERROR(__xludf.DUMMYFUNCTION("""COMPUTED_VALUE"""),"A")</f>
        <v>A</v>
      </c>
      <c r="R1833" s="3" t="str">
        <f>IFERROR(__xludf.DUMMYFUNCTION("""COMPUTED_VALUE"""),"Small Format")</f>
        <v>Small Format</v>
      </c>
      <c r="S1833" s="3" t="str">
        <f>IFERROR(__xludf.DUMMYFUNCTION("""COMPUTED_VALUE"""),"BCM")</f>
        <v>BCM</v>
      </c>
      <c r="T1833" s="3" t="str">
        <f>IFERROR(__xludf.DUMMYFUNCTION("""COMPUTED_VALUE"""),"#N/A")</f>
        <v>#N/A</v>
      </c>
      <c r="U1833" s="3" t="str">
        <f>IFERROR(__xludf.DUMMYFUNCTION("""COMPUTED_VALUE"""),"#N/A")</f>
        <v>#N/A</v>
      </c>
      <c r="V1833" s="3" t="str">
        <f>IFERROR(__xludf.DUMMYFUNCTION("""COMPUTED_VALUE"""),"N")</f>
        <v>N</v>
      </c>
      <c r="W1833" s="3">
        <f>IFERROR(__xludf.DUMMYFUNCTION("""COMPUTED_VALUE"""),210574.0)</f>
        <v>210574</v>
      </c>
      <c r="X1833" s="3" t="str">
        <f>IFERROR(__xludf.DUMMYFUNCTION("""COMPUTED_VALUE"""),"246/4 ซอยลาดพร้าว122(มหาดไทย1) แขวงพลับพลา เขตวังทองหลาง กรุงเทพมหานคร 10310")</f>
        <v>246/4 ซอยลาดพร้าว122(มหาดไทย1) แขวงพลับพลา เขตวังทองหลาง กรุงเทพมหานคร 10310</v>
      </c>
      <c r="Y1833" s="3" t="str">
        <f>IFERROR(__xludf.DUMMYFUNCTION("""COMPUTED_VALUE"""),"ลาดพร้าว")</f>
        <v>ลาดพร้าว</v>
      </c>
      <c r="Z1833" s="3" t="str">
        <f>IFERROR(__xludf.DUMMYFUNCTION("""COMPUTED_VALUE"""),"พลับพลา")</f>
        <v>พลับพลา</v>
      </c>
      <c r="AA1833" s="3" t="str">
        <f>IFERROR(__xludf.DUMMYFUNCTION("""COMPUTED_VALUE"""),"วังทองหลาง")</f>
        <v>วังทองหลาง</v>
      </c>
      <c r="AB1833" s="3" t="str">
        <f>IFERROR(__xludf.DUMMYFUNCTION("""COMPUTED_VALUE"""),"กรุงเทพมหานคร")</f>
        <v>กรุงเทพมหานคร</v>
      </c>
      <c r="AC1833" s="3">
        <f>IFERROR(__xludf.DUMMYFUNCTION("""COMPUTED_VALUE"""),10310.0)</f>
        <v>10310</v>
      </c>
      <c r="AD1833" s="3">
        <f>IFERROR(__xludf.DUMMYFUNCTION("""COMPUTED_VALUE"""),13.769883)</f>
        <v>13.769883</v>
      </c>
      <c r="AE1833" s="3">
        <f>IFERROR(__xludf.DUMMYFUNCTION("""COMPUTED_VALUE"""),100.621911)</f>
        <v>100.621911</v>
      </c>
      <c r="AF1833" s="3" t="str">
        <f>IFERROR(__xludf.DUMMYFUNCTION("""COMPUTED_VALUE"""),"BCM ลาดพร้าว122 แยก24 กรุงเทพฯ-22519")</f>
        <v>BCM ลาดพร้าว122 แยก24 กรุงเทพฯ-22519</v>
      </c>
      <c r="AG1833" s="3" t="str">
        <f>IFERROR(__xludf.DUMMYFUNCTION("""COMPUTED_VALUE"""),"กลาง")</f>
        <v>กลาง</v>
      </c>
      <c r="AH1833" s="3" t="str">
        <f>IFERROR(__xludf.DUMMYFUNCTION("""COMPUTED_VALUE"""),"#N/A")</f>
        <v>#N/A</v>
      </c>
      <c r="AI1833" s="3" t="str">
        <f>IFERROR(__xludf.DUMMYFUNCTION("""COMPUTED_VALUE"""),"Out of warranty")</f>
        <v>Out of warranty</v>
      </c>
      <c r="AJ1833" s="3">
        <f>IFERROR(__xludf.DUMMYFUNCTION("""COMPUTED_VALUE"""),40.0)</f>
        <v>40</v>
      </c>
      <c r="AK1833" s="3" t="str">
        <f>IFERROR(__xludf.DUMMYFUNCTION("""COMPUTED_VALUE"""),"MMS03")</f>
        <v>MMS03</v>
      </c>
      <c r="AL1833" s="3"/>
    </row>
    <row r="1834" ht="15.75" customHeight="1">
      <c r="A1834" s="1" t="str">
        <f>IFERROR(__xludf.DUMMYFUNCTION("""COMPUTED_VALUE"""),"22520")</f>
        <v>22520</v>
      </c>
      <c r="B1834" s="2">
        <f>IFERROR(__xludf.DUMMYFUNCTION("""COMPUTED_VALUE"""),22520.0)</f>
        <v>22520</v>
      </c>
      <c r="C1834" s="3" t="str">
        <f>IFERROR(__xludf.DUMMYFUNCTION("""COMPUTED_VALUE"""),"BCM ร.พ.บางปะกอก9 กรุงเทพฯ")</f>
        <v>BCM ร.พ.บางปะกอก9 กรุงเทพฯ</v>
      </c>
      <c r="D1834" s="3" t="str">
        <f>IFERROR(__xludf.DUMMYFUNCTION("""COMPUTED_VALUE"""),"BCM BANG PAKOK 9 HOSPITAL")</f>
        <v>BCM BANG PAKOK 9 HOSPITAL</v>
      </c>
      <c r="E1834" s="1" t="str">
        <f>IFERROR(__xludf.DUMMYFUNCTION("""COMPUTED_VALUE"""),"บิ๊กซี MINI")</f>
        <v>บิ๊กซี MINI</v>
      </c>
      <c r="F1834" s="1" t="str">
        <f>IFERROR(__xludf.DUMMYFUNCTION("""COMPUTED_VALUE"""),"291008")</f>
        <v>291008</v>
      </c>
      <c r="G1834" s="1" t="str">
        <f>IFERROR(__xludf.DUMMYFUNCTION("""COMPUTED_VALUE"""),"น.ส.รัชดาพร อีศรัตน์")</f>
        <v>น.ส.รัชดาพร อีศรัตน์</v>
      </c>
      <c r="H1834" s="1" t="str">
        <f>IFERROR(__xludf.DUMMYFUNCTION("""COMPUTED_VALUE"""),"250921")</f>
        <v>250921</v>
      </c>
      <c r="I1834" s="1" t="str">
        <f>IFERROR(__xludf.DUMMYFUNCTION("""COMPUTED_VALUE"""),"นายปรัชญาวัต ถิระสังวร")</f>
        <v>นายปรัชญาวัต ถิระสังวร</v>
      </c>
      <c r="J1834" s="3">
        <f>IFERROR(__xludf.DUMMYFUNCTION("""COMPUTED_VALUE"""),2452378.0)</f>
        <v>2452378</v>
      </c>
      <c r="K1834" s="3" t="str">
        <f>IFERROR(__xludf.DUMMYFUNCTION("""COMPUTED_VALUE"""),"นายศักดิ์ดา พวงประดับ")</f>
        <v>นายศักดิ์ดา พวงประดับ</v>
      </c>
      <c r="L1834" s="1" t="str">
        <f>IFERROR(__xludf.DUMMYFUNCTION("""COMPUTED_VALUE"""),"11 K.Sakda P.")</f>
        <v>11 K.Sakda P.</v>
      </c>
      <c r="M1834" s="1" t="str">
        <f>IFERROR(__xludf.DUMMYFUNCTION("""COMPUTED_VALUE"""),"065-929-1279")</f>
        <v>065-929-1279</v>
      </c>
      <c r="N1834" s="3">
        <f>IFERROR(__xludf.DUMMYFUNCTION("""COMPUTED_VALUE"""),21002.0)</f>
        <v>21002</v>
      </c>
      <c r="O1834" s="3" t="str">
        <f>IFERROR(__xludf.DUMMYFUNCTION("""COMPUTED_VALUE"""),"MBC อุดมสุข")</f>
        <v>MBC อุดมสุข</v>
      </c>
      <c r="P1834" s="4">
        <f>IFERROR(__xludf.DUMMYFUNCTION("""COMPUTED_VALUE"""),44881.0)</f>
        <v>44881</v>
      </c>
      <c r="Q1834" s="3" t="str">
        <f>IFERROR(__xludf.DUMMYFUNCTION("""COMPUTED_VALUE"""),"A")</f>
        <v>A</v>
      </c>
      <c r="R1834" s="3" t="str">
        <f>IFERROR(__xludf.DUMMYFUNCTION("""COMPUTED_VALUE"""),"Small Format")</f>
        <v>Small Format</v>
      </c>
      <c r="S1834" s="3" t="str">
        <f>IFERROR(__xludf.DUMMYFUNCTION("""COMPUTED_VALUE"""),"BCM")</f>
        <v>BCM</v>
      </c>
      <c r="T1834" s="3" t="str">
        <f>IFERROR(__xludf.DUMMYFUNCTION("""COMPUTED_VALUE"""),"#N/A")</f>
        <v>#N/A</v>
      </c>
      <c r="U1834" s="3" t="str">
        <f>IFERROR(__xludf.DUMMYFUNCTION("""COMPUTED_VALUE"""),"#N/A")</f>
        <v>#N/A</v>
      </c>
      <c r="V1834" s="3" t="str">
        <f>IFERROR(__xludf.DUMMYFUNCTION("""COMPUTED_VALUE"""),"N")</f>
        <v>N</v>
      </c>
      <c r="W1834" s="3">
        <f>IFERROR(__xludf.DUMMYFUNCTION("""COMPUTED_VALUE"""),210576.0)</f>
        <v>210576</v>
      </c>
      <c r="X1834" s="3" t="str">
        <f>IFERROR(__xludf.DUMMYFUNCTION("""COMPUTED_VALUE"""),"362 ถนนพระรามที่2 แขวงบางมด เขตจอมทอง กรุงเทพมหานคร 10150")</f>
        <v>362 ถนนพระรามที่2 แขวงบางมด เขตจอมทอง กรุงเทพมหานคร 10150</v>
      </c>
      <c r="Y1834" s="3" t="str">
        <f>IFERROR(__xludf.DUMMYFUNCTION("""COMPUTED_VALUE"""),"พระรามที่2")</f>
        <v>พระรามที่2</v>
      </c>
      <c r="Z1834" s="3" t="str">
        <f>IFERROR(__xludf.DUMMYFUNCTION("""COMPUTED_VALUE"""),"บางมด")</f>
        <v>บางมด</v>
      </c>
      <c r="AA1834" s="3" t="str">
        <f>IFERROR(__xludf.DUMMYFUNCTION("""COMPUTED_VALUE"""),"จอมทอง")</f>
        <v>จอมทอง</v>
      </c>
      <c r="AB1834" s="3" t="str">
        <f>IFERROR(__xludf.DUMMYFUNCTION("""COMPUTED_VALUE"""),"กรุงเทพมหานคร")</f>
        <v>กรุงเทพมหานคร</v>
      </c>
      <c r="AC1834" s="3">
        <f>IFERROR(__xludf.DUMMYFUNCTION("""COMPUTED_VALUE"""),10150.0)</f>
        <v>10150</v>
      </c>
      <c r="AD1834" s="3">
        <f>IFERROR(__xludf.DUMMYFUNCTION("""COMPUTED_VALUE"""),13.681825)</f>
        <v>13.681825</v>
      </c>
      <c r="AE1834" s="3">
        <f>IFERROR(__xludf.DUMMYFUNCTION("""COMPUTED_VALUE"""),100.47455)</f>
        <v>100.47455</v>
      </c>
      <c r="AF1834" s="3" t="str">
        <f>IFERROR(__xludf.DUMMYFUNCTION("""COMPUTED_VALUE"""),"BCM ร.พ.บางปะกอก9 กรุงเทพฯ-22520")</f>
        <v>BCM ร.พ.บางปะกอก9 กรุงเทพฯ-22520</v>
      </c>
      <c r="AG1834" s="3" t="str">
        <f>IFERROR(__xludf.DUMMYFUNCTION("""COMPUTED_VALUE"""),"กลาง")</f>
        <v>กลาง</v>
      </c>
      <c r="AH1834" s="3" t="str">
        <f>IFERROR(__xludf.DUMMYFUNCTION("""COMPUTED_VALUE"""),"#N/A")</f>
        <v>#N/A</v>
      </c>
      <c r="AI1834" s="3" t="str">
        <f>IFERROR(__xludf.DUMMYFUNCTION("""COMPUTED_VALUE"""),"Out of warranty")</f>
        <v>Out of warranty</v>
      </c>
      <c r="AJ1834" s="3">
        <f>IFERROR(__xludf.DUMMYFUNCTION("""COMPUTED_VALUE"""),39.0)</f>
        <v>39</v>
      </c>
      <c r="AK1834" s="3" t="str">
        <f>IFERROR(__xludf.DUMMYFUNCTION("""COMPUTED_VALUE"""),"MMS02")</f>
        <v>MMS02</v>
      </c>
      <c r="AL1834" s="3"/>
    </row>
    <row r="1835" ht="15.75" customHeight="1">
      <c r="A1835" s="1" t="str">
        <f>IFERROR(__xludf.DUMMYFUNCTION("""COMPUTED_VALUE"""),"22521")</f>
        <v>22521</v>
      </c>
      <c r="B1835" s="2">
        <f>IFERROR(__xludf.DUMMYFUNCTION("""COMPUTED_VALUE"""),22521.0)</f>
        <v>22521</v>
      </c>
      <c r="C1835" s="3" t="str">
        <f>IFERROR(__xludf.DUMMYFUNCTION("""COMPUTED_VALUE"""),"BCM แว้ง นราธิวาส")</f>
        <v>BCM แว้ง นราธิวาส</v>
      </c>
      <c r="D1835" s="3" t="str">
        <f>IFERROR(__xludf.DUMMYFUNCTION("""COMPUTED_VALUE"""),"BCM WAENG NARATHIWAT")</f>
        <v>BCM WAENG NARATHIWAT</v>
      </c>
      <c r="E1835" s="1" t="str">
        <f>IFERROR(__xludf.DUMMYFUNCTION("""COMPUTED_VALUE"""),"บิ๊กซี MINI")</f>
        <v>บิ๊กซี MINI</v>
      </c>
      <c r="F1835" s="1" t="str">
        <f>IFERROR(__xludf.DUMMYFUNCTION("""COMPUTED_VALUE"""),"250760")</f>
        <v>250760</v>
      </c>
      <c r="G1835" s="1" t="str">
        <f>IFERROR(__xludf.DUMMYFUNCTION("""COMPUTED_VALUE"""),"นายประทวน สาราบรรณ์")</f>
        <v>นายประทวน สาราบรรณ์</v>
      </c>
      <c r="H1835" s="1" t="str">
        <f>IFERROR(__xludf.DUMMYFUNCTION("""COMPUTED_VALUE"""),"006583")</f>
        <v>006583</v>
      </c>
      <c r="I1835" s="1" t="str">
        <f>IFERROR(__xludf.DUMMYFUNCTION("""COMPUTED_VALUE"""),"นายเด่น ยะอิง")</f>
        <v>นายเด่น ยะอิง</v>
      </c>
      <c r="J1835" s="3">
        <f>IFERROR(__xludf.DUMMYFUNCTION("""COMPUTED_VALUE"""),2.0470331E7)</f>
        <v>20470331</v>
      </c>
      <c r="K1835" s="3" t="str">
        <f>IFERROR(__xludf.DUMMYFUNCTION("""COMPUTED_VALUE"""),"นายสมชาย ลักษณะสุวรรณ")</f>
        <v>นายสมชาย ลักษณะสุวรรณ</v>
      </c>
      <c r="L1835" s="1" t="str">
        <f>IFERROR(__xludf.DUMMYFUNCTION("""COMPUTED_VALUE"""),"15 K.Somchai L")</f>
        <v>15 K.Somchai L</v>
      </c>
      <c r="M1835" s="1" t="str">
        <f>IFERROR(__xludf.DUMMYFUNCTION("""COMPUTED_VALUE"""),"0655107372")</f>
        <v>0655107372</v>
      </c>
      <c r="N1835" s="3">
        <f>IFERROR(__xludf.DUMMYFUNCTION("""COMPUTED_VALUE"""),21723.0)</f>
        <v>21723</v>
      </c>
      <c r="O1835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835" s="4">
        <f>IFERROR(__xludf.DUMMYFUNCTION("""COMPUTED_VALUE"""),44923.0)</f>
        <v>44923</v>
      </c>
      <c r="Q1835" s="3" t="str">
        <f>IFERROR(__xludf.DUMMYFUNCTION("""COMPUTED_VALUE"""),"A")</f>
        <v>A</v>
      </c>
      <c r="R1835" s="3" t="str">
        <f>IFERROR(__xludf.DUMMYFUNCTION("""COMPUTED_VALUE"""),"Small Format")</f>
        <v>Small Format</v>
      </c>
      <c r="S1835" s="3" t="str">
        <f>IFERROR(__xludf.DUMMYFUNCTION("""COMPUTED_VALUE"""),"BCM")</f>
        <v>BCM</v>
      </c>
      <c r="T1835" s="3" t="str">
        <f>IFERROR(__xludf.DUMMYFUNCTION("""COMPUTED_VALUE"""),"#N/A")</f>
        <v>#N/A</v>
      </c>
      <c r="U1835" s="3" t="str">
        <f>IFERROR(__xludf.DUMMYFUNCTION("""COMPUTED_VALUE"""),"#N/A")</f>
        <v>#N/A</v>
      </c>
      <c r="V1835" s="3" t="str">
        <f>IFERROR(__xludf.DUMMYFUNCTION("""COMPUTED_VALUE"""),"N")</f>
        <v>N</v>
      </c>
      <c r="W1835" s="3">
        <f>IFERROR(__xludf.DUMMYFUNCTION("""COMPUTED_VALUE"""),210559.0)</f>
        <v>210559</v>
      </c>
      <c r="X1835" s="3" t="str">
        <f>IFERROR(__xludf.DUMMYFUNCTION("""COMPUTED_VALUE"""),"281/14 หมู่2 ตำบลแว้ง อำเภอแว้ง จังหวัดนราธิวาส 96160")</f>
        <v>281/14 หมู่2 ตำบลแว้ง อำเภอแว้ง จังหวัดนราธิวาส 96160</v>
      </c>
      <c r="Y1835" s="3"/>
      <c r="Z1835" s="3" t="str">
        <f>IFERROR(__xludf.DUMMYFUNCTION("""COMPUTED_VALUE"""),"แว้ง")</f>
        <v>แว้ง</v>
      </c>
      <c r="AA1835" s="3" t="str">
        <f>IFERROR(__xludf.DUMMYFUNCTION("""COMPUTED_VALUE"""),"แว้ง")</f>
        <v>แว้ง</v>
      </c>
      <c r="AB1835" s="3" t="str">
        <f>IFERROR(__xludf.DUMMYFUNCTION("""COMPUTED_VALUE"""),"นราธิวาส")</f>
        <v>นราธิวาส</v>
      </c>
      <c r="AC1835" s="3">
        <f>IFERROR(__xludf.DUMMYFUNCTION("""COMPUTED_VALUE"""),96160.0)</f>
        <v>96160</v>
      </c>
      <c r="AD1835" s="3">
        <f>IFERROR(__xludf.DUMMYFUNCTION("""COMPUTED_VALUE"""),5.935879)</f>
        <v>5.935879</v>
      </c>
      <c r="AE1835" s="3">
        <f>IFERROR(__xludf.DUMMYFUNCTION("""COMPUTED_VALUE"""),101.884104)</f>
        <v>101.884104</v>
      </c>
      <c r="AF1835" s="3" t="str">
        <f>IFERROR(__xludf.DUMMYFUNCTION("""COMPUTED_VALUE"""),"BCM แว้ง นราธิวาส-22521")</f>
        <v>BCM แว้ง นราธิวาส-22521</v>
      </c>
      <c r="AG1835" s="3" t="str">
        <f>IFERROR(__xludf.DUMMYFUNCTION("""COMPUTED_VALUE"""),"ใต้")</f>
        <v>ใต้</v>
      </c>
      <c r="AH1835" s="3" t="str">
        <f>IFERROR(__xludf.DUMMYFUNCTION("""COMPUTED_VALUE"""),"#N/A")</f>
        <v>#N/A</v>
      </c>
      <c r="AI1835" s="3" t="str">
        <f>IFERROR(__xludf.DUMMYFUNCTION("""COMPUTED_VALUE"""),"Out of warranty")</f>
        <v>Out of warranty</v>
      </c>
      <c r="AJ1835" s="3">
        <f>IFERROR(__xludf.DUMMYFUNCTION("""COMPUTED_VALUE"""),37.0)</f>
        <v>37</v>
      </c>
      <c r="AK1835" s="3" t="str">
        <f>IFERROR(__xludf.DUMMYFUNCTION("""COMPUTED_VALUE"""),"MMS16")</f>
        <v>MMS16</v>
      </c>
      <c r="AL1835" s="3"/>
    </row>
    <row r="1836" ht="15.75" customHeight="1">
      <c r="A1836" s="1" t="str">
        <f>IFERROR(__xludf.DUMMYFUNCTION("""COMPUTED_VALUE"""),"22522")</f>
        <v>22522</v>
      </c>
      <c r="B1836" s="2">
        <f>IFERROR(__xludf.DUMMYFUNCTION("""COMPUTED_VALUE"""),22522.0)</f>
        <v>22522</v>
      </c>
      <c r="C1836" s="3" t="str">
        <f>IFERROR(__xludf.DUMMYFUNCTION("""COMPUTED_VALUE"""),"BCM อ.พร้าว เชียงใหม่")</f>
        <v>BCM อ.พร้าว เชียงใหม่</v>
      </c>
      <c r="D1836" s="3" t="str">
        <f>IFERROR(__xludf.DUMMYFUNCTION("""COMPUTED_VALUE"""),"BCM AMPHOE PHRAO CHIANGMAI")</f>
        <v>BCM AMPHOE PHRAO CHIANGMAI</v>
      </c>
      <c r="E1836" s="1" t="str">
        <f>IFERROR(__xludf.DUMMYFUNCTION("""COMPUTED_VALUE"""),"บิ๊กซี MINI")</f>
        <v>บิ๊กซี MINI</v>
      </c>
      <c r="F1836" s="1" t="str">
        <f>IFERROR(__xludf.DUMMYFUNCTION("""COMPUTED_VALUE"""),"296229")</f>
        <v>296229</v>
      </c>
      <c r="G1836" s="1" t="str">
        <f>IFERROR(__xludf.DUMMYFUNCTION("""COMPUTED_VALUE"""),"นายทนงศักดิ์ บุญมา")</f>
        <v>นายทนงศักดิ์ บุญมา</v>
      </c>
      <c r="H1836" s="1" t="str">
        <f>IFERROR(__xludf.DUMMYFUNCTION("""COMPUTED_VALUE"""),"393402")</f>
        <v>393402</v>
      </c>
      <c r="I1836" s="1" t="str">
        <f>IFERROR(__xludf.DUMMYFUNCTION("""COMPUTED_VALUE"""),"น.ส.ปารมิตา ใจตรง")</f>
        <v>น.ส.ปารมิตา ใจตรง</v>
      </c>
      <c r="J1836" s="3">
        <f>IFERROR(__xludf.DUMMYFUNCTION("""COMPUTED_VALUE"""),2010016.0)</f>
        <v>2010016</v>
      </c>
      <c r="K1836" s="3" t="str">
        <f>IFERROR(__xludf.DUMMYFUNCTION("""COMPUTED_VALUE"""),"นายตวงธรรม ใหม่ยศ")</f>
        <v>นายตวงธรรม ใหม่ยศ</v>
      </c>
      <c r="L1836" s="1" t="str">
        <f>IFERROR(__xludf.DUMMYFUNCTION("""COMPUTED_VALUE"""),"01 K.Tuangtham M.")</f>
        <v>01 K.Tuangtham M.</v>
      </c>
      <c r="M1836" s="1" t="str">
        <f>IFERROR(__xludf.DUMMYFUNCTION("""COMPUTED_VALUE"""),"063-976-595")</f>
        <v>063-976-595</v>
      </c>
      <c r="N1836" s="3">
        <f>IFERROR(__xludf.DUMMYFUNCTION("""COMPUTED_VALUE"""),22574.0)</f>
        <v>22574</v>
      </c>
      <c r="O1836" s="3" t="str">
        <f>IFERROR(__xludf.DUMMYFUNCTION("""COMPUTED_VALUE"""),"BCM ชุมชนศรีชุม ลำปาง")</f>
        <v>BCM ชุมชนศรีชุม ลำปาง</v>
      </c>
      <c r="P1836" s="4">
        <f>IFERROR(__xludf.DUMMYFUNCTION("""COMPUTED_VALUE"""),44944.0)</f>
        <v>44944</v>
      </c>
      <c r="Q1836" s="3" t="str">
        <f>IFERROR(__xludf.DUMMYFUNCTION("""COMPUTED_VALUE"""),"A")</f>
        <v>A</v>
      </c>
      <c r="R1836" s="3" t="str">
        <f>IFERROR(__xludf.DUMMYFUNCTION("""COMPUTED_VALUE"""),"Small Format")</f>
        <v>Small Format</v>
      </c>
      <c r="S1836" s="3" t="str">
        <f>IFERROR(__xludf.DUMMYFUNCTION("""COMPUTED_VALUE"""),"BCM")</f>
        <v>BCM</v>
      </c>
      <c r="T1836" s="3" t="str">
        <f>IFERROR(__xludf.DUMMYFUNCTION("""COMPUTED_VALUE"""),"#N/A")</f>
        <v>#N/A</v>
      </c>
      <c r="U1836" s="3" t="str">
        <f>IFERROR(__xludf.DUMMYFUNCTION("""COMPUTED_VALUE"""),"#N/A")</f>
        <v>#N/A</v>
      </c>
      <c r="V1836" s="3" t="str">
        <f>IFERROR(__xludf.DUMMYFUNCTION("""COMPUTED_VALUE"""),"N")</f>
        <v>N</v>
      </c>
      <c r="W1836" s="3">
        <f>IFERROR(__xludf.DUMMYFUNCTION("""COMPUTED_VALUE"""),210577.0)</f>
        <v>210577</v>
      </c>
      <c r="X1836" s="3" t="str">
        <f>IFERROR(__xludf.DUMMYFUNCTION("""COMPUTED_VALUE"""),"59-59/1 หมู่ที่1 ตำบลเวียง อำเภอพร้าว จังหวัดเชียงใหม่ 50190")</f>
        <v>59-59/1 หมู่ที่1 ตำบลเวียง อำเภอพร้าว จังหวัดเชียงใหม่ 50190</v>
      </c>
      <c r="Y1836" s="3"/>
      <c r="Z1836" s="3" t="str">
        <f>IFERROR(__xludf.DUMMYFUNCTION("""COMPUTED_VALUE"""),"เวียง")</f>
        <v>เวียง</v>
      </c>
      <c r="AA1836" s="3" t="str">
        <f>IFERROR(__xludf.DUMMYFUNCTION("""COMPUTED_VALUE"""),"พร้าว")</f>
        <v>พร้าว</v>
      </c>
      <c r="AB1836" s="3" t="str">
        <f>IFERROR(__xludf.DUMMYFUNCTION("""COMPUTED_VALUE"""),"เชียงใหม่")</f>
        <v>เชียงใหม่</v>
      </c>
      <c r="AC1836" s="3">
        <f>IFERROR(__xludf.DUMMYFUNCTION("""COMPUTED_VALUE"""),50190.0)</f>
        <v>50190</v>
      </c>
      <c r="AD1836" s="3">
        <f>IFERROR(__xludf.DUMMYFUNCTION("""COMPUTED_VALUE"""),19.365207)</f>
        <v>19.365207</v>
      </c>
      <c r="AE1836" s="3">
        <f>IFERROR(__xludf.DUMMYFUNCTION("""COMPUTED_VALUE"""),99.20433)</f>
        <v>99.20433</v>
      </c>
      <c r="AF1836" s="3" t="str">
        <f>IFERROR(__xludf.DUMMYFUNCTION("""COMPUTED_VALUE"""),"BCM อ.พร้าว เชียงใหม่-22522")</f>
        <v>BCM อ.พร้าว เชียงใหม่-22522</v>
      </c>
      <c r="AG1836" s="3" t="str">
        <f>IFERROR(__xludf.DUMMYFUNCTION("""COMPUTED_VALUE"""),"เหนือ")</f>
        <v>เหนือ</v>
      </c>
      <c r="AH1836" s="3" t="str">
        <f>IFERROR(__xludf.DUMMYFUNCTION("""COMPUTED_VALUE"""),"#N/A")</f>
        <v>#N/A</v>
      </c>
      <c r="AI1836" s="3" t="str">
        <f>IFERROR(__xludf.DUMMYFUNCTION("""COMPUTED_VALUE"""),"Out of warranty")</f>
        <v>Out of warranty</v>
      </c>
      <c r="AJ1836" s="3">
        <f>IFERROR(__xludf.DUMMYFUNCTION("""COMPUTED_VALUE"""),37.0)</f>
        <v>37</v>
      </c>
      <c r="AK1836" s="3" t="str">
        <f>IFERROR(__xludf.DUMMYFUNCTION("""COMPUTED_VALUE"""),"MMS10")</f>
        <v>MMS10</v>
      </c>
      <c r="AL1836" s="3"/>
    </row>
    <row r="1837" ht="15.75" customHeight="1">
      <c r="A1837" s="1" t="str">
        <f>IFERROR(__xludf.DUMMYFUNCTION("""COMPUTED_VALUE"""),"22523")</f>
        <v>22523</v>
      </c>
      <c r="B1837" s="2">
        <f>IFERROR(__xludf.DUMMYFUNCTION("""COMPUTED_VALUE"""),22523.0)</f>
        <v>22523</v>
      </c>
      <c r="C1837" s="3" t="str">
        <f>IFERROR(__xludf.DUMMYFUNCTION("""COMPUTED_VALUE"""),"BCM สระโคล่ พิษณุโลก")</f>
        <v>BCM สระโคล่ พิษณุโลก</v>
      </c>
      <c r="D1837" s="3" t="str">
        <f>IFERROR(__xludf.DUMMYFUNCTION("""COMPUTED_VALUE"""),"BCM SA KHLO PHITSANULOK")</f>
        <v>BCM SA KHLO PHITSANULOK</v>
      </c>
      <c r="E1837" s="1" t="str">
        <f>IFERROR(__xludf.DUMMYFUNCTION("""COMPUTED_VALUE"""),"บิ๊กซี MINI")</f>
        <v>บิ๊กซี MINI</v>
      </c>
      <c r="F1837" s="1" t="str">
        <f>IFERROR(__xludf.DUMMYFUNCTION("""COMPUTED_VALUE"""),"296229")</f>
        <v>296229</v>
      </c>
      <c r="G1837" s="1" t="str">
        <f>IFERROR(__xludf.DUMMYFUNCTION("""COMPUTED_VALUE"""),"นายทนงศักดิ์ บุญมา")</f>
        <v>นายทนงศักดิ์ บุญมา</v>
      </c>
      <c r="H1837" s="1" t="str">
        <f>IFERROR(__xludf.DUMMYFUNCTION("""COMPUTED_VALUE"""),"373680")</f>
        <v>373680</v>
      </c>
      <c r="I1837" s="1" t="str">
        <f>IFERROR(__xludf.DUMMYFUNCTION("""COMPUTED_VALUE"""),"นายวสันต์ พรรณราย")</f>
        <v>นายวสันต์ พรรณราย</v>
      </c>
      <c r="J1837" s="3">
        <f>IFERROR(__xludf.DUMMYFUNCTION("""COMPUTED_VALUE"""),46214.0)</f>
        <v>46214</v>
      </c>
      <c r="K1837" s="3" t="str">
        <f>IFERROR(__xludf.DUMMYFUNCTION("""COMPUTED_VALUE"""),"นายศักดิ์ชัย เด็ดดอกฟ้า")</f>
        <v>นายศักดิ์ชัย เด็ดดอกฟ้า</v>
      </c>
      <c r="L1837" s="1" t="str">
        <f>IFERROR(__xludf.DUMMYFUNCTION("""COMPUTED_VALUE"""),"02 K.Sakchai D")</f>
        <v>02 K.Sakchai D</v>
      </c>
      <c r="M1837" s="1" t="str">
        <f>IFERROR(__xludf.DUMMYFUNCTION("""COMPUTED_VALUE"""),"065-510-7376")</f>
        <v>065-510-7376</v>
      </c>
      <c r="N1837" s="3">
        <f>IFERROR(__xludf.DUMMYFUNCTION("""COMPUTED_VALUE"""),21714.0)</f>
        <v>21714</v>
      </c>
      <c r="O1837" s="3" t="str">
        <f>IFERROR(__xludf.DUMMYFUNCTION("""COMPUTED_VALUE"""),"MBC เอสโซ่ วัดโบสถ์")</f>
        <v>MBC เอสโซ่ วัดโบสถ์</v>
      </c>
      <c r="P1837" s="4">
        <f>IFERROR(__xludf.DUMMYFUNCTION("""COMPUTED_VALUE"""),44947.0)</f>
        <v>44947</v>
      </c>
      <c r="Q1837" s="3" t="str">
        <f>IFERROR(__xludf.DUMMYFUNCTION("""COMPUTED_VALUE"""),"A")</f>
        <v>A</v>
      </c>
      <c r="R1837" s="3" t="str">
        <f>IFERROR(__xludf.DUMMYFUNCTION("""COMPUTED_VALUE"""),"Small Format")</f>
        <v>Small Format</v>
      </c>
      <c r="S1837" s="3" t="str">
        <f>IFERROR(__xludf.DUMMYFUNCTION("""COMPUTED_VALUE"""),"BCM")</f>
        <v>BCM</v>
      </c>
      <c r="T1837" s="3" t="str">
        <f>IFERROR(__xludf.DUMMYFUNCTION("""COMPUTED_VALUE"""),"#N/A")</f>
        <v>#N/A</v>
      </c>
      <c r="U1837" s="3" t="str">
        <f>IFERROR(__xludf.DUMMYFUNCTION("""COMPUTED_VALUE"""),"#N/A")</f>
        <v>#N/A</v>
      </c>
      <c r="V1837" s="3" t="str">
        <f>IFERROR(__xludf.DUMMYFUNCTION("""COMPUTED_VALUE"""),"N")</f>
        <v>N</v>
      </c>
      <c r="W1837" s="3">
        <f>IFERROR(__xludf.DUMMYFUNCTION("""COMPUTED_VALUE"""),210578.0)</f>
        <v>210578</v>
      </c>
      <c r="X1837" s="3" t="str">
        <f>IFERROR(__xludf.DUMMYFUNCTION("""COMPUTED_VALUE"""),"490/2 หมู่6 ตำบลหัวรอ อำเภอเมืองพิษณุโลก จังหวัดพิษณุโลก 65000")</f>
        <v>490/2 หมู่6 ตำบลหัวรอ อำเภอเมืองพิษณุโลก จังหวัดพิษณุโลก 65000</v>
      </c>
      <c r="Y1837" s="3"/>
      <c r="Z1837" s="3" t="str">
        <f>IFERROR(__xludf.DUMMYFUNCTION("""COMPUTED_VALUE"""),"หัวรอ")</f>
        <v>หัวรอ</v>
      </c>
      <c r="AA1837" s="3" t="str">
        <f>IFERROR(__xludf.DUMMYFUNCTION("""COMPUTED_VALUE"""),"เมืองพิษณุโลก")</f>
        <v>เมืองพิษณุโลก</v>
      </c>
      <c r="AB1837" s="3" t="str">
        <f>IFERROR(__xludf.DUMMYFUNCTION("""COMPUTED_VALUE"""),"พิษณุโลก")</f>
        <v>พิษณุโลก</v>
      </c>
      <c r="AC1837" s="3">
        <f>IFERROR(__xludf.DUMMYFUNCTION("""COMPUTED_VALUE"""),65000.0)</f>
        <v>65000</v>
      </c>
      <c r="AD1837" s="3">
        <f>IFERROR(__xludf.DUMMYFUNCTION("""COMPUTED_VALUE"""),16.867536)</f>
        <v>16.867536</v>
      </c>
      <c r="AE1837" s="3">
        <f>IFERROR(__xludf.DUMMYFUNCTION("""COMPUTED_VALUE"""),100.280686)</f>
        <v>100.280686</v>
      </c>
      <c r="AF1837" s="3" t="str">
        <f>IFERROR(__xludf.DUMMYFUNCTION("""COMPUTED_VALUE"""),"BCM สระโคล่ พิษณุโลก-22523")</f>
        <v>BCM สระโคล่ พิษณุโลก-22523</v>
      </c>
      <c r="AG1837" s="3" t="str">
        <f>IFERROR(__xludf.DUMMYFUNCTION("""COMPUTED_VALUE"""),"กลาง")</f>
        <v>กลาง</v>
      </c>
      <c r="AH1837" s="3" t="str">
        <f>IFERROR(__xludf.DUMMYFUNCTION("""COMPUTED_VALUE"""),"#N/A")</f>
        <v>#N/A</v>
      </c>
      <c r="AI1837" s="3" t="str">
        <f>IFERROR(__xludf.DUMMYFUNCTION("""COMPUTED_VALUE"""),"Out of warranty")</f>
        <v>Out of warranty</v>
      </c>
      <c r="AJ1837" s="3">
        <f>IFERROR(__xludf.DUMMYFUNCTION("""COMPUTED_VALUE"""),36.0)</f>
        <v>36</v>
      </c>
      <c r="AK1837" s="3" t="str">
        <f>IFERROR(__xludf.DUMMYFUNCTION("""COMPUTED_VALUE"""),"MMS09")</f>
        <v>MMS09</v>
      </c>
      <c r="AL1837" s="3"/>
    </row>
    <row r="1838" ht="15.75" customHeight="1">
      <c r="A1838" s="1" t="str">
        <f>IFERROR(__xludf.DUMMYFUNCTION("""COMPUTED_VALUE"""),"22524")</f>
        <v>22524</v>
      </c>
      <c r="B1838" s="2">
        <f>IFERROR(__xludf.DUMMYFUNCTION("""COMPUTED_VALUE"""),22524.0)</f>
        <v>22524</v>
      </c>
      <c r="C1838" s="3" t="str">
        <f>IFERROR(__xludf.DUMMYFUNCTION("""COMPUTED_VALUE"""),"BCM อรัญญิก พระนครศรีอยุธยา")</f>
        <v>BCM อรัญญิก พระนครศรีอยุธยา</v>
      </c>
      <c r="D1838" s="3" t="str">
        <f>IFERROR(__xludf.DUMMYFUNCTION("""COMPUTED_VALUE"""),"BCM ARANYIK AYUTTHAYA")</f>
        <v>BCM ARANYIK AYUTTHAYA</v>
      </c>
      <c r="E1838" s="1" t="str">
        <f>IFERROR(__xludf.DUMMYFUNCTION("""COMPUTED_VALUE"""),"บิ๊กซี MINI")</f>
        <v>บิ๊กซี MINI</v>
      </c>
      <c r="F1838" s="1" t="str">
        <f>IFERROR(__xludf.DUMMYFUNCTION("""COMPUTED_VALUE"""),"296229")</f>
        <v>296229</v>
      </c>
      <c r="G1838" s="1" t="str">
        <f>IFERROR(__xludf.DUMMYFUNCTION("""COMPUTED_VALUE"""),"นายทนงศักดิ์ บุญมา")</f>
        <v>นายทนงศักดิ์ บุญมา</v>
      </c>
      <c r="H1838" s="1" t="str">
        <f>IFERROR(__xludf.DUMMYFUNCTION("""COMPUTED_VALUE"""),"318233")</f>
        <v>318233</v>
      </c>
      <c r="I1838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1838" s="3">
        <f>IFERROR(__xludf.DUMMYFUNCTION("""COMPUTED_VALUE"""),46214.0)</f>
        <v>46214</v>
      </c>
      <c r="K1838" s="3" t="str">
        <f>IFERROR(__xludf.DUMMYFUNCTION("""COMPUTED_VALUE"""),"นายศักดิ์ชัย เด็ดดอกฟ้า")</f>
        <v>นายศักดิ์ชัย เด็ดดอกฟ้า</v>
      </c>
      <c r="L1838" s="1" t="str">
        <f>IFERROR(__xludf.DUMMYFUNCTION("""COMPUTED_VALUE"""),"02 K.Sakchai D")</f>
        <v>02 K.Sakchai D</v>
      </c>
      <c r="M1838" s="1" t="str">
        <f>IFERROR(__xludf.DUMMYFUNCTION("""COMPUTED_VALUE"""),"065-510-7376")</f>
        <v>065-510-7376</v>
      </c>
      <c r="N1838" s="3">
        <f>IFERROR(__xludf.DUMMYFUNCTION("""COMPUTED_VALUE"""),21714.0)</f>
        <v>21714</v>
      </c>
      <c r="O1838" s="3" t="str">
        <f>IFERROR(__xludf.DUMMYFUNCTION("""COMPUTED_VALUE"""),"MBC เอสโซ่ วัดโบสถ์")</f>
        <v>MBC เอสโซ่ วัดโบสถ์</v>
      </c>
      <c r="P1838" s="4">
        <f>IFERROR(__xludf.DUMMYFUNCTION("""COMPUTED_VALUE"""),44946.0)</f>
        <v>44946</v>
      </c>
      <c r="Q1838" s="3" t="str">
        <f>IFERROR(__xludf.DUMMYFUNCTION("""COMPUTED_VALUE"""),"A")</f>
        <v>A</v>
      </c>
      <c r="R1838" s="3" t="str">
        <f>IFERROR(__xludf.DUMMYFUNCTION("""COMPUTED_VALUE"""),"Small Format")</f>
        <v>Small Format</v>
      </c>
      <c r="S1838" s="3" t="str">
        <f>IFERROR(__xludf.DUMMYFUNCTION("""COMPUTED_VALUE"""),"BCM")</f>
        <v>BCM</v>
      </c>
      <c r="T1838" s="3" t="str">
        <f>IFERROR(__xludf.DUMMYFUNCTION("""COMPUTED_VALUE"""),"#N/A")</f>
        <v>#N/A</v>
      </c>
      <c r="U1838" s="3" t="str">
        <f>IFERROR(__xludf.DUMMYFUNCTION("""COMPUTED_VALUE"""),"#N/A")</f>
        <v>#N/A</v>
      </c>
      <c r="V1838" s="3" t="str">
        <f>IFERROR(__xludf.DUMMYFUNCTION("""COMPUTED_VALUE"""),"N")</f>
        <v>N</v>
      </c>
      <c r="W1838" s="3">
        <f>IFERROR(__xludf.DUMMYFUNCTION("""COMPUTED_VALUE"""),210568.0)</f>
        <v>210568</v>
      </c>
      <c r="X1838" s="3" t="str">
        <f>IFERROR(__xludf.DUMMYFUNCTION("""COMPUTED_VALUE"""),"70/2 หมู่ที่7 ตำบลท่าช้าง อำเภอนครหลวง จังหวัดพระนครศรีอยุธยา 13260")</f>
        <v>70/2 หมู่ที่7 ตำบลท่าช้าง อำเภอนครหลวง จังหวัดพระนครศรีอยุธยา 13260</v>
      </c>
      <c r="Y1838" s="3"/>
      <c r="Z1838" s="3" t="str">
        <f>IFERROR(__xludf.DUMMYFUNCTION("""COMPUTED_VALUE"""),"ท่าช้าง")</f>
        <v>ท่าช้าง</v>
      </c>
      <c r="AA1838" s="3" t="str">
        <f>IFERROR(__xludf.DUMMYFUNCTION("""COMPUTED_VALUE"""),"นครหลวง")</f>
        <v>นครหลวง</v>
      </c>
      <c r="AB1838" s="3" t="str">
        <f>IFERROR(__xludf.DUMMYFUNCTION("""COMPUTED_VALUE"""),"พระนครศรีอยุธยา")</f>
        <v>พระนครศรีอยุธยา</v>
      </c>
      <c r="AC1838" s="3">
        <f>IFERROR(__xludf.DUMMYFUNCTION("""COMPUTED_VALUE"""),13260.0)</f>
        <v>13260</v>
      </c>
      <c r="AD1838" s="3">
        <f>IFERROR(__xludf.DUMMYFUNCTION("""COMPUTED_VALUE"""),14.495923)</f>
        <v>14.495923</v>
      </c>
      <c r="AE1838" s="3">
        <f>IFERROR(__xludf.DUMMYFUNCTION("""COMPUTED_VALUE"""),100.651986)</f>
        <v>100.651986</v>
      </c>
      <c r="AF1838" s="3" t="str">
        <f>IFERROR(__xludf.DUMMYFUNCTION("""COMPUTED_VALUE"""),"BCM อรัญญิก พระนครศรีอยุธยา-22524")</f>
        <v>BCM อรัญญิก พระนครศรีอยุธยา-22524</v>
      </c>
      <c r="AG1838" s="3" t="str">
        <f>IFERROR(__xludf.DUMMYFUNCTION("""COMPUTED_VALUE"""),"กลาง")</f>
        <v>กลาง</v>
      </c>
      <c r="AH1838" s="3" t="str">
        <f>IFERROR(__xludf.DUMMYFUNCTION("""COMPUTED_VALUE"""),"#N/A")</f>
        <v>#N/A</v>
      </c>
      <c r="AI1838" s="3" t="str">
        <f>IFERROR(__xludf.DUMMYFUNCTION("""COMPUTED_VALUE"""),"Out of warranty")</f>
        <v>Out of warranty</v>
      </c>
      <c r="AJ1838" s="3">
        <f>IFERROR(__xludf.DUMMYFUNCTION("""COMPUTED_VALUE"""),37.0)</f>
        <v>37</v>
      </c>
      <c r="AK1838" s="3" t="str">
        <f>IFERROR(__xludf.DUMMYFUNCTION("""COMPUTED_VALUE"""),"MMS09")</f>
        <v>MMS09</v>
      </c>
      <c r="AL1838" s="3"/>
    </row>
    <row r="1839" ht="15.75" customHeight="1">
      <c r="A1839" s="1" t="str">
        <f>IFERROR(__xludf.DUMMYFUNCTION("""COMPUTED_VALUE"""),"22525")</f>
        <v>22525</v>
      </c>
      <c r="B1839" s="2">
        <f>IFERROR(__xludf.DUMMYFUNCTION("""COMPUTED_VALUE"""),22525.0)</f>
        <v>22525</v>
      </c>
      <c r="C1839" s="3" t="str">
        <f>IFERROR(__xludf.DUMMYFUNCTION("""COMPUTED_VALUE"""),"BCM จันทร์ทองเอี่ยม นนทบุรี")</f>
        <v>BCM จันทร์ทองเอี่ยม นนทบุรี</v>
      </c>
      <c r="D1839" s="3" t="str">
        <f>IFERROR(__xludf.DUMMYFUNCTION("""COMPUTED_VALUE"""),"BCM CHAN THONG IAM")</f>
        <v>BCM CHAN THONG IAM</v>
      </c>
      <c r="E1839" s="1" t="str">
        <f>IFERROR(__xludf.DUMMYFUNCTION("""COMPUTED_VALUE"""),"บิ๊กซี MINI")</f>
        <v>บิ๊กซี MINI</v>
      </c>
      <c r="F1839" s="1" t="str">
        <f>IFERROR(__xludf.DUMMYFUNCTION("""COMPUTED_VALUE"""),"291008")</f>
        <v>291008</v>
      </c>
      <c r="G1839" s="1" t="str">
        <f>IFERROR(__xludf.DUMMYFUNCTION("""COMPUTED_VALUE"""),"น.ส.รัชดาพร อีศรัตน์")</f>
        <v>น.ส.รัชดาพร อีศรัตน์</v>
      </c>
      <c r="H1839" s="1" t="str">
        <f>IFERROR(__xludf.DUMMYFUNCTION("""COMPUTED_VALUE"""),"180055")</f>
        <v>180055</v>
      </c>
      <c r="I1839" s="1" t="str">
        <f>IFERROR(__xludf.DUMMYFUNCTION("""COMPUTED_VALUE"""),"น.ส.สุดารัตน์ บุญล้ำ")</f>
        <v>น.ส.สุดารัตน์ บุญล้ำ</v>
      </c>
      <c r="J1839" s="3">
        <f>IFERROR(__xludf.DUMMYFUNCTION("""COMPUTED_VALUE"""),296608.0)</f>
        <v>296608</v>
      </c>
      <c r="K1839" s="3" t="str">
        <f>IFERROR(__xludf.DUMMYFUNCTION("""COMPUTED_VALUE"""),"นายภาคภูมิ เพ็ชรนิล")</f>
        <v>นายภาคภูมิ เพ็ชรนิล</v>
      </c>
      <c r="L1839" s="1" t="str">
        <f>IFERROR(__xludf.DUMMYFUNCTION("""COMPUTED_VALUE"""),"10 K.Phakphoom P.")</f>
        <v>10 K.Phakphoom P.</v>
      </c>
      <c r="M1839" s="1" t="str">
        <f>IFERROR(__xludf.DUMMYFUNCTION("""COMPUTED_VALUE"""),"063-8955329")</f>
        <v>063-8955329</v>
      </c>
      <c r="N1839" s="3">
        <f>IFERROR(__xludf.DUMMYFUNCTION("""COMPUTED_VALUE"""),22584.0)</f>
        <v>22584</v>
      </c>
      <c r="O1839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839" s="4">
        <f>IFERROR(__xludf.DUMMYFUNCTION("""COMPUTED_VALUE"""),44955.0)</f>
        <v>44955</v>
      </c>
      <c r="Q1839" s="3" t="str">
        <f>IFERROR(__xludf.DUMMYFUNCTION("""COMPUTED_VALUE"""),"A")</f>
        <v>A</v>
      </c>
      <c r="R1839" s="3" t="str">
        <f>IFERROR(__xludf.DUMMYFUNCTION("""COMPUTED_VALUE"""),"Small Format")</f>
        <v>Small Format</v>
      </c>
      <c r="S1839" s="3" t="str">
        <f>IFERROR(__xludf.DUMMYFUNCTION("""COMPUTED_VALUE"""),"BCM")</f>
        <v>BCM</v>
      </c>
      <c r="T1839" s="3" t="str">
        <f>IFERROR(__xludf.DUMMYFUNCTION("""COMPUTED_VALUE"""),"#N/A")</f>
        <v>#N/A</v>
      </c>
      <c r="U1839" s="3" t="str">
        <f>IFERROR(__xludf.DUMMYFUNCTION("""COMPUTED_VALUE"""),"#N/A")</f>
        <v>#N/A</v>
      </c>
      <c r="V1839" s="3" t="str">
        <f>IFERROR(__xludf.DUMMYFUNCTION("""COMPUTED_VALUE"""),"N")</f>
        <v>N</v>
      </c>
      <c r="W1839" s="3">
        <f>IFERROR(__xludf.DUMMYFUNCTION("""COMPUTED_VALUE"""),210585.0)</f>
        <v>210585</v>
      </c>
      <c r="X1839" s="3" t="str">
        <f>IFERROR(__xludf.DUMMYFUNCTION("""COMPUTED_VALUE"""),"76/7 หมู่ที่5 ตำบลบางรักพัฒนา อำเภอบางบัวทอง จังหวัดนนทบุรี 11110")</f>
        <v>76/7 หมู่ที่5 ตำบลบางรักพัฒนา อำเภอบางบัวทอง จังหวัดนนทบุรี 11110</v>
      </c>
      <c r="Y1839" s="3"/>
      <c r="Z1839" s="3" t="str">
        <f>IFERROR(__xludf.DUMMYFUNCTION("""COMPUTED_VALUE"""),"บางรักพัฒนา")</f>
        <v>บางรักพัฒนา</v>
      </c>
      <c r="AA1839" s="3" t="str">
        <f>IFERROR(__xludf.DUMMYFUNCTION("""COMPUTED_VALUE"""),"บางบัวทอง")</f>
        <v>บางบัวทอง</v>
      </c>
      <c r="AB1839" s="3" t="str">
        <f>IFERROR(__xludf.DUMMYFUNCTION("""COMPUTED_VALUE"""),"นนทบุรี")</f>
        <v>นนทบุรี</v>
      </c>
      <c r="AC1839" s="3">
        <f>IFERROR(__xludf.DUMMYFUNCTION("""COMPUTED_VALUE"""),11110.0)</f>
        <v>11110</v>
      </c>
      <c r="AD1839" s="3">
        <f>IFERROR(__xludf.DUMMYFUNCTION("""COMPUTED_VALUE"""),13.888655)</f>
        <v>13.888655</v>
      </c>
      <c r="AE1839" s="3">
        <f>IFERROR(__xludf.DUMMYFUNCTION("""COMPUTED_VALUE"""),100.421565)</f>
        <v>100.421565</v>
      </c>
      <c r="AF1839" s="3" t="str">
        <f>IFERROR(__xludf.DUMMYFUNCTION("""COMPUTED_VALUE"""),"BCM จันทร์ทองเอี่ยม นนทบุรี-22525")</f>
        <v>BCM จันทร์ทองเอี่ยม นนทบุรี-22525</v>
      </c>
      <c r="AG1839" s="3" t="str">
        <f>IFERROR(__xludf.DUMMYFUNCTION("""COMPUTED_VALUE"""),"กลาง")</f>
        <v>กลาง</v>
      </c>
      <c r="AH1839" s="3" t="str">
        <f>IFERROR(__xludf.DUMMYFUNCTION("""COMPUTED_VALUE"""),"#N/A")</f>
        <v>#N/A</v>
      </c>
      <c r="AI1839" s="3" t="str">
        <f>IFERROR(__xludf.DUMMYFUNCTION("""COMPUTED_VALUE"""),"Out of warranty")</f>
        <v>Out of warranty</v>
      </c>
      <c r="AJ1839" s="3">
        <f>IFERROR(__xludf.DUMMYFUNCTION("""COMPUTED_VALUE"""),36.0)</f>
        <v>36</v>
      </c>
      <c r="AK1839" s="3" t="str">
        <f>IFERROR(__xludf.DUMMYFUNCTION("""COMPUTED_VALUE"""),"MMS04")</f>
        <v>MMS04</v>
      </c>
      <c r="AL1839" s="3"/>
    </row>
    <row r="1840" ht="15.75" customHeight="1">
      <c r="A1840" s="1" t="str">
        <f>IFERROR(__xludf.DUMMYFUNCTION("""COMPUTED_VALUE"""),"22526")</f>
        <v>22526</v>
      </c>
      <c r="B1840" s="2">
        <f>IFERROR(__xludf.DUMMYFUNCTION("""COMPUTED_VALUE"""),22526.0)</f>
        <v>22526</v>
      </c>
      <c r="C1840" s="3" t="str">
        <f>IFERROR(__xludf.DUMMYFUNCTION("""COMPUTED_VALUE"""),"BCM หมู่บ้านมังกรทอง สิงห์บุรี")</f>
        <v>BCM หมู่บ้านมังกรทอง สิงห์บุรี</v>
      </c>
      <c r="D1840" s="3" t="str">
        <f>IFERROR(__xludf.DUMMYFUNCTION("""COMPUTED_VALUE"""),"BCM MOOBAN MANGKON THONG")</f>
        <v>BCM MOOBAN MANGKON THONG</v>
      </c>
      <c r="E1840" s="1" t="str">
        <f>IFERROR(__xludf.DUMMYFUNCTION("""COMPUTED_VALUE"""),"บิ๊กซี MINI")</f>
        <v>บิ๊กซี MINI</v>
      </c>
      <c r="F1840" s="1" t="str">
        <f>IFERROR(__xludf.DUMMYFUNCTION("""COMPUTED_VALUE"""),"296229")</f>
        <v>296229</v>
      </c>
      <c r="G1840" s="1" t="str">
        <f>IFERROR(__xludf.DUMMYFUNCTION("""COMPUTED_VALUE"""),"นายทนงศักดิ์ บุญมา")</f>
        <v>นายทนงศักดิ์ บุญมา</v>
      </c>
      <c r="H1840" s="1" t="str">
        <f>IFERROR(__xludf.DUMMYFUNCTION("""COMPUTED_VALUE"""),"318186")</f>
        <v>318186</v>
      </c>
      <c r="I1840" s="1" t="str">
        <f>IFERROR(__xludf.DUMMYFUNCTION("""COMPUTED_VALUE"""),"น.ส.พนมวัลย์ เรืองรัตน์")</f>
        <v>น.ส.พนมวัลย์ เรืองรัตน์</v>
      </c>
      <c r="J1840" s="3">
        <f>IFERROR(__xludf.DUMMYFUNCTION("""COMPUTED_VALUE"""),46214.0)</f>
        <v>46214</v>
      </c>
      <c r="K1840" s="3" t="str">
        <f>IFERROR(__xludf.DUMMYFUNCTION("""COMPUTED_VALUE"""),"นายศักดิ์ชัย เด็ดดอกฟ้า")</f>
        <v>นายศักดิ์ชัย เด็ดดอกฟ้า</v>
      </c>
      <c r="L1840" s="1" t="str">
        <f>IFERROR(__xludf.DUMMYFUNCTION("""COMPUTED_VALUE"""),"02 K.Sakchai D")</f>
        <v>02 K.Sakchai D</v>
      </c>
      <c r="M1840" s="1" t="str">
        <f>IFERROR(__xludf.DUMMYFUNCTION("""COMPUTED_VALUE"""),"065-510-7376")</f>
        <v>065-510-7376</v>
      </c>
      <c r="N1840" s="3">
        <f>IFERROR(__xludf.DUMMYFUNCTION("""COMPUTED_VALUE"""),21714.0)</f>
        <v>21714</v>
      </c>
      <c r="O1840" s="3" t="str">
        <f>IFERROR(__xludf.DUMMYFUNCTION("""COMPUTED_VALUE"""),"MBC เอสโซ่ วัดโบสถ์")</f>
        <v>MBC เอสโซ่ วัดโบสถ์</v>
      </c>
      <c r="P1840" s="4">
        <f>IFERROR(__xludf.DUMMYFUNCTION("""COMPUTED_VALUE"""),44981.0)</f>
        <v>44981</v>
      </c>
      <c r="Q1840" s="3" t="str">
        <f>IFERROR(__xludf.DUMMYFUNCTION("""COMPUTED_VALUE"""),"A")</f>
        <v>A</v>
      </c>
      <c r="R1840" s="3" t="str">
        <f>IFERROR(__xludf.DUMMYFUNCTION("""COMPUTED_VALUE"""),"Small Format")</f>
        <v>Small Format</v>
      </c>
      <c r="S1840" s="3" t="str">
        <f>IFERROR(__xludf.DUMMYFUNCTION("""COMPUTED_VALUE"""),"BCM")</f>
        <v>BCM</v>
      </c>
      <c r="T1840" s="3" t="str">
        <f>IFERROR(__xludf.DUMMYFUNCTION("""COMPUTED_VALUE"""),"#N/A")</f>
        <v>#N/A</v>
      </c>
      <c r="U1840" s="3" t="str">
        <f>IFERROR(__xludf.DUMMYFUNCTION("""COMPUTED_VALUE"""),"#N/A")</f>
        <v>#N/A</v>
      </c>
      <c r="V1840" s="3" t="str">
        <f>IFERROR(__xludf.DUMMYFUNCTION("""COMPUTED_VALUE"""),"N")</f>
        <v>N</v>
      </c>
      <c r="W1840" s="3">
        <f>IFERROR(__xludf.DUMMYFUNCTION("""COMPUTED_VALUE"""),210591.0)</f>
        <v>210591</v>
      </c>
      <c r="X1840" s="3" t="str">
        <f>IFERROR(__xludf.DUMMYFUNCTION("""COMPUTED_VALUE"""),"70/69 หมู่11 ตำบลต้นโพธิ์ อำเภอเมืองสิงห์บุรี จังหวัดสิงห์บุรี 16000")</f>
        <v>70/69 หมู่11 ตำบลต้นโพธิ์ อำเภอเมืองสิงห์บุรี จังหวัดสิงห์บุรี 16000</v>
      </c>
      <c r="Y1840" s="3"/>
      <c r="Z1840" s="3" t="str">
        <f>IFERROR(__xludf.DUMMYFUNCTION("""COMPUTED_VALUE"""),"ต้นโพธิ์")</f>
        <v>ต้นโพธิ์</v>
      </c>
      <c r="AA1840" s="3" t="str">
        <f>IFERROR(__xludf.DUMMYFUNCTION("""COMPUTED_VALUE"""),"เมืองสิงห์บุรี")</f>
        <v>เมืองสิงห์บุรี</v>
      </c>
      <c r="AB1840" s="3" t="str">
        <f>IFERROR(__xludf.DUMMYFUNCTION("""COMPUTED_VALUE"""),"สิงห์บุรี")</f>
        <v>สิงห์บุรี</v>
      </c>
      <c r="AC1840" s="3">
        <f>IFERROR(__xludf.DUMMYFUNCTION("""COMPUTED_VALUE"""),16000.0)</f>
        <v>16000</v>
      </c>
      <c r="AD1840" s="3">
        <f>IFERROR(__xludf.DUMMYFUNCTION("""COMPUTED_VALUE"""),14.8901456)</f>
        <v>14.8901456</v>
      </c>
      <c r="AE1840" s="3">
        <f>IFERROR(__xludf.DUMMYFUNCTION("""COMPUTED_VALUE"""),100.3921431)</f>
        <v>100.3921431</v>
      </c>
      <c r="AF1840" s="3" t="str">
        <f>IFERROR(__xludf.DUMMYFUNCTION("""COMPUTED_VALUE"""),"BCM หมู่บ้านมังกรทอง สิงห์บุรี-22526")</f>
        <v>BCM หมู่บ้านมังกรทอง สิงห์บุรี-22526</v>
      </c>
      <c r="AG1840" s="3" t="str">
        <f>IFERROR(__xludf.DUMMYFUNCTION("""COMPUTED_VALUE"""),"กลาง")</f>
        <v>กลาง</v>
      </c>
      <c r="AH1840" s="3" t="str">
        <f>IFERROR(__xludf.DUMMYFUNCTION("""COMPUTED_VALUE"""),"#N/A")</f>
        <v>#N/A</v>
      </c>
      <c r="AI1840" s="3" t="str">
        <f>IFERROR(__xludf.DUMMYFUNCTION("""COMPUTED_VALUE"""),"Out of warranty")</f>
        <v>Out of warranty</v>
      </c>
      <c r="AJ1840" s="3">
        <f>IFERROR(__xludf.DUMMYFUNCTION("""COMPUTED_VALUE"""),35.0)</f>
        <v>35</v>
      </c>
      <c r="AK1840" s="3" t="str">
        <f>IFERROR(__xludf.DUMMYFUNCTION("""COMPUTED_VALUE"""),"MMS09")</f>
        <v>MMS09</v>
      </c>
      <c r="AL1840" s="3"/>
    </row>
    <row r="1841" ht="15.75" customHeight="1">
      <c r="A1841" s="1" t="str">
        <f>IFERROR(__xludf.DUMMYFUNCTION("""COMPUTED_VALUE"""),"22527")</f>
        <v>22527</v>
      </c>
      <c r="B1841" s="2">
        <f>IFERROR(__xludf.DUMMYFUNCTION("""COMPUTED_VALUE"""),22527.0)</f>
        <v>22527</v>
      </c>
      <c r="C1841" s="3" t="str">
        <f>IFERROR(__xludf.DUMMYFUNCTION("""COMPUTED_VALUE"""),"BCM ชุมชนเจ็ดยอด เชียงใหม่")</f>
        <v>BCM ชุมชนเจ็ดยอด เชียงใหม่</v>
      </c>
      <c r="D1841" s="3" t="str">
        <f>IFERROR(__xludf.DUMMYFUNCTION("""COMPUTED_VALUE"""),"BCM CHUMCHON JED YOD CHIANGMAI")</f>
        <v>BCM CHUMCHON JED YOD CHIANGMAI</v>
      </c>
      <c r="E1841" s="1" t="str">
        <f>IFERROR(__xludf.DUMMYFUNCTION("""COMPUTED_VALUE"""),"บิ๊กซี MINI")</f>
        <v>บิ๊กซี MINI</v>
      </c>
      <c r="F1841" s="1" t="str">
        <f>IFERROR(__xludf.DUMMYFUNCTION("""COMPUTED_VALUE"""),"296229")</f>
        <v>296229</v>
      </c>
      <c r="G1841" s="1" t="str">
        <f>IFERROR(__xludf.DUMMYFUNCTION("""COMPUTED_VALUE"""),"นายทนงศักดิ์ บุญมา")</f>
        <v>นายทนงศักดิ์ บุญมา</v>
      </c>
      <c r="H1841" s="1" t="str">
        <f>IFERROR(__xludf.DUMMYFUNCTION("""COMPUTED_VALUE"""),"392003")</f>
        <v>392003</v>
      </c>
      <c r="I1841" s="1" t="str">
        <f>IFERROR(__xludf.DUMMYFUNCTION("""COMPUTED_VALUE"""),"นายวรภพ เศษสูงเนิน")</f>
        <v>นายวรภพ เศษสูงเนิน</v>
      </c>
      <c r="J1841" s="3">
        <f>IFERROR(__xludf.DUMMYFUNCTION("""COMPUTED_VALUE"""),2010016.0)</f>
        <v>2010016</v>
      </c>
      <c r="K1841" s="3" t="str">
        <f>IFERROR(__xludf.DUMMYFUNCTION("""COMPUTED_VALUE"""),"นายตวงธรรม ใหม่ยศ")</f>
        <v>นายตวงธรรม ใหม่ยศ</v>
      </c>
      <c r="L1841" s="1" t="str">
        <f>IFERROR(__xludf.DUMMYFUNCTION("""COMPUTED_VALUE"""),"01 K.Tuangtham M.")</f>
        <v>01 K.Tuangtham M.</v>
      </c>
      <c r="M1841" s="1" t="str">
        <f>IFERROR(__xludf.DUMMYFUNCTION("""COMPUTED_VALUE"""),"063-976-595")</f>
        <v>063-976-595</v>
      </c>
      <c r="N1841" s="3">
        <f>IFERROR(__xludf.DUMMYFUNCTION("""COMPUTED_VALUE"""),22574.0)</f>
        <v>22574</v>
      </c>
      <c r="O1841" s="3" t="str">
        <f>IFERROR(__xludf.DUMMYFUNCTION("""COMPUTED_VALUE"""),"BCM ชุมชนศรีชุม ลำปาง")</f>
        <v>BCM ชุมชนศรีชุม ลำปาง</v>
      </c>
      <c r="P1841" s="4">
        <f>IFERROR(__xludf.DUMMYFUNCTION("""COMPUTED_VALUE"""),44984.0)</f>
        <v>44984</v>
      </c>
      <c r="Q1841" s="3" t="str">
        <f>IFERROR(__xludf.DUMMYFUNCTION("""COMPUTED_VALUE"""),"A")</f>
        <v>A</v>
      </c>
      <c r="R1841" s="3" t="str">
        <f>IFERROR(__xludf.DUMMYFUNCTION("""COMPUTED_VALUE"""),"Small Format")</f>
        <v>Small Format</v>
      </c>
      <c r="S1841" s="3" t="str">
        <f>IFERROR(__xludf.DUMMYFUNCTION("""COMPUTED_VALUE"""),"BCM")</f>
        <v>BCM</v>
      </c>
      <c r="T1841" s="3" t="str">
        <f>IFERROR(__xludf.DUMMYFUNCTION("""COMPUTED_VALUE"""),"#N/A")</f>
        <v>#N/A</v>
      </c>
      <c r="U1841" s="3" t="str">
        <f>IFERROR(__xludf.DUMMYFUNCTION("""COMPUTED_VALUE"""),"#N/A")</f>
        <v>#N/A</v>
      </c>
      <c r="V1841" s="3" t="str">
        <f>IFERROR(__xludf.DUMMYFUNCTION("""COMPUTED_VALUE"""),"N")</f>
        <v>N</v>
      </c>
      <c r="W1841" s="3">
        <f>IFERROR(__xludf.DUMMYFUNCTION("""COMPUTED_VALUE"""),210587.0)</f>
        <v>210587</v>
      </c>
      <c r="X1841" s="3" t="str">
        <f>IFERROR(__xludf.DUMMYFUNCTION("""COMPUTED_VALUE"""),"19/55 หมู่2 ตำบลช้างเผือก อำเภอเมืองเชียงใหม่ จังหวัดเชียงใหม่ 50300")</f>
        <v>19/55 หมู่2 ตำบลช้างเผือก อำเภอเมืองเชียงใหม่ จังหวัดเชียงใหม่ 50300</v>
      </c>
      <c r="Y1841" s="3"/>
      <c r="Z1841" s="3" t="str">
        <f>IFERROR(__xludf.DUMMYFUNCTION("""COMPUTED_VALUE"""),"ช้างเผือก")</f>
        <v>ช้างเผือก</v>
      </c>
      <c r="AA1841" s="3" t="str">
        <f>IFERROR(__xludf.DUMMYFUNCTION("""COMPUTED_VALUE"""),"เมืองเชียงใหม่")</f>
        <v>เมืองเชียงใหม่</v>
      </c>
      <c r="AB1841" s="3" t="str">
        <f>IFERROR(__xludf.DUMMYFUNCTION("""COMPUTED_VALUE"""),"เชียงใหม่")</f>
        <v>เชียงใหม่</v>
      </c>
      <c r="AC1841" s="3">
        <f>IFERROR(__xludf.DUMMYFUNCTION("""COMPUTED_VALUE"""),50300.0)</f>
        <v>50300</v>
      </c>
      <c r="AD1841" s="3">
        <f>IFERROR(__xludf.DUMMYFUNCTION("""COMPUTED_VALUE"""),18.808123)</f>
        <v>18.808123</v>
      </c>
      <c r="AE1841" s="3">
        <f>IFERROR(__xludf.DUMMYFUNCTION("""COMPUTED_VALUE"""),98.965771)</f>
        <v>98.965771</v>
      </c>
      <c r="AF1841" s="3" t="str">
        <f>IFERROR(__xludf.DUMMYFUNCTION("""COMPUTED_VALUE"""),"BCM ชุมชนเจ็ดยอด เชียงใหม่-22527")</f>
        <v>BCM ชุมชนเจ็ดยอด เชียงใหม่-22527</v>
      </c>
      <c r="AG1841" s="3" t="str">
        <f>IFERROR(__xludf.DUMMYFUNCTION("""COMPUTED_VALUE"""),"เหนือ")</f>
        <v>เหนือ</v>
      </c>
      <c r="AH1841" s="3" t="str">
        <f>IFERROR(__xludf.DUMMYFUNCTION("""COMPUTED_VALUE"""),"#N/A")</f>
        <v>#N/A</v>
      </c>
      <c r="AI1841" s="3" t="str">
        <f>IFERROR(__xludf.DUMMYFUNCTION("""COMPUTED_VALUE"""),"Out of warranty")</f>
        <v>Out of warranty</v>
      </c>
      <c r="AJ1841" s="3">
        <f>IFERROR(__xludf.DUMMYFUNCTION("""COMPUTED_VALUE"""),35.0)</f>
        <v>35</v>
      </c>
      <c r="AK1841" s="3" t="str">
        <f>IFERROR(__xludf.DUMMYFUNCTION("""COMPUTED_VALUE"""),"MMS10")</f>
        <v>MMS10</v>
      </c>
      <c r="AL1841" s="3"/>
    </row>
    <row r="1842" ht="15.75" customHeight="1">
      <c r="A1842" s="1" t="str">
        <f>IFERROR(__xludf.DUMMYFUNCTION("""COMPUTED_VALUE"""),"22528")</f>
        <v>22528</v>
      </c>
      <c r="B1842" s="2">
        <f>IFERROR(__xludf.DUMMYFUNCTION("""COMPUTED_VALUE"""),22528.0)</f>
        <v>22528</v>
      </c>
      <c r="C1842" s="3" t="str">
        <f>IFERROR(__xludf.DUMMYFUNCTION("""COMPUTED_VALUE"""),"BCM เขาแก้ว ลพบุรี")</f>
        <v>BCM เขาแก้ว ลพบุรี</v>
      </c>
      <c r="D1842" s="3" t="str">
        <f>IFERROR(__xludf.DUMMYFUNCTION("""COMPUTED_VALUE"""),"BCM KHAO KAEW LOPBURI")</f>
        <v>BCM KHAO KAEW LOPBURI</v>
      </c>
      <c r="E1842" s="1" t="str">
        <f>IFERROR(__xludf.DUMMYFUNCTION("""COMPUTED_VALUE"""),"บิ๊กซี MINI")</f>
        <v>บิ๊กซี MINI</v>
      </c>
      <c r="F1842" s="1" t="str">
        <f>IFERROR(__xludf.DUMMYFUNCTION("""COMPUTED_VALUE"""),"296229")</f>
        <v>296229</v>
      </c>
      <c r="G1842" s="1" t="str">
        <f>IFERROR(__xludf.DUMMYFUNCTION("""COMPUTED_VALUE"""),"นายทนงศักดิ์ บุญมา")</f>
        <v>นายทนงศักดิ์ บุญมา</v>
      </c>
      <c r="H1842" s="1" t="str">
        <f>IFERROR(__xludf.DUMMYFUNCTION("""COMPUTED_VALUE"""),"291082")</f>
        <v>291082</v>
      </c>
      <c r="I1842" s="1" t="str">
        <f>IFERROR(__xludf.DUMMYFUNCTION("""COMPUTED_VALUE"""),"น.ส.วจี กันเกตุ")</f>
        <v>น.ส.วจี กันเกตุ</v>
      </c>
      <c r="J1842" s="3">
        <f>IFERROR(__xludf.DUMMYFUNCTION("""COMPUTED_VALUE"""),46214.0)</f>
        <v>46214</v>
      </c>
      <c r="K1842" s="3" t="str">
        <f>IFERROR(__xludf.DUMMYFUNCTION("""COMPUTED_VALUE"""),"นายศักดิ์ชัย เด็ดดอกฟ้า")</f>
        <v>นายศักดิ์ชัย เด็ดดอกฟ้า</v>
      </c>
      <c r="L1842" s="1" t="str">
        <f>IFERROR(__xludf.DUMMYFUNCTION("""COMPUTED_VALUE"""),"02 K.Sakchai D")</f>
        <v>02 K.Sakchai D</v>
      </c>
      <c r="M1842" s="1" t="str">
        <f>IFERROR(__xludf.DUMMYFUNCTION("""COMPUTED_VALUE"""),"065-510-7376")</f>
        <v>065-510-7376</v>
      </c>
      <c r="N1842" s="3">
        <f>IFERROR(__xludf.DUMMYFUNCTION("""COMPUTED_VALUE"""),21714.0)</f>
        <v>21714</v>
      </c>
      <c r="O1842" s="3" t="str">
        <f>IFERROR(__xludf.DUMMYFUNCTION("""COMPUTED_VALUE"""),"MBC เอสโซ่ วัดโบสถ์")</f>
        <v>MBC เอสโซ่ วัดโบสถ์</v>
      </c>
      <c r="P1842" s="4">
        <f>IFERROR(__xludf.DUMMYFUNCTION("""COMPUTED_VALUE"""),44982.0)</f>
        <v>44982</v>
      </c>
      <c r="Q1842" s="3" t="str">
        <f>IFERROR(__xludf.DUMMYFUNCTION("""COMPUTED_VALUE"""),"A")</f>
        <v>A</v>
      </c>
      <c r="R1842" s="3" t="str">
        <f>IFERROR(__xludf.DUMMYFUNCTION("""COMPUTED_VALUE"""),"Small Format")</f>
        <v>Small Format</v>
      </c>
      <c r="S1842" s="3" t="str">
        <f>IFERROR(__xludf.DUMMYFUNCTION("""COMPUTED_VALUE"""),"BCM")</f>
        <v>BCM</v>
      </c>
      <c r="T1842" s="3" t="str">
        <f>IFERROR(__xludf.DUMMYFUNCTION("""COMPUTED_VALUE"""),"#N/A")</f>
        <v>#N/A</v>
      </c>
      <c r="U1842" s="3" t="str">
        <f>IFERROR(__xludf.DUMMYFUNCTION("""COMPUTED_VALUE"""),"#N/A")</f>
        <v>#N/A</v>
      </c>
      <c r="V1842" s="3" t="str">
        <f>IFERROR(__xludf.DUMMYFUNCTION("""COMPUTED_VALUE"""),"N")</f>
        <v>N</v>
      </c>
      <c r="W1842" s="3">
        <f>IFERROR(__xludf.DUMMYFUNCTION("""COMPUTED_VALUE"""),210590.0)</f>
        <v>210590</v>
      </c>
      <c r="X1842" s="3" t="str">
        <f>IFERROR(__xludf.DUMMYFUNCTION("""COMPUTED_VALUE"""),"297/1 หมู่5 ตำบลท่าศาลา อำเภอเมืองลพบุรี จังหวัดลพบุรี 15000")</f>
        <v>297/1 หมู่5 ตำบลท่าศาลา อำเภอเมืองลพบุรี จังหวัดลพบุรี 15000</v>
      </c>
      <c r="Y1842" s="3"/>
      <c r="Z1842" s="3" t="str">
        <f>IFERROR(__xludf.DUMMYFUNCTION("""COMPUTED_VALUE"""),"ท่าศาลา")</f>
        <v>ท่าศาลา</v>
      </c>
      <c r="AA1842" s="3" t="str">
        <f>IFERROR(__xludf.DUMMYFUNCTION("""COMPUTED_VALUE"""),"เมืองลพบุรี")</f>
        <v>เมืองลพบุรี</v>
      </c>
      <c r="AB1842" s="3" t="str">
        <f>IFERROR(__xludf.DUMMYFUNCTION("""COMPUTED_VALUE"""),"ลพบุรี")</f>
        <v>ลพบุรี</v>
      </c>
      <c r="AC1842" s="3">
        <f>IFERROR(__xludf.DUMMYFUNCTION("""COMPUTED_VALUE"""),15000.0)</f>
        <v>15000</v>
      </c>
      <c r="AD1842" s="3">
        <f>IFERROR(__xludf.DUMMYFUNCTION("""COMPUTED_VALUE"""),14.78703)</f>
        <v>14.78703</v>
      </c>
      <c r="AE1842" s="3">
        <f>IFERROR(__xludf.DUMMYFUNCTION("""COMPUTED_VALUE"""),100.698617)</f>
        <v>100.698617</v>
      </c>
      <c r="AF1842" s="3" t="str">
        <f>IFERROR(__xludf.DUMMYFUNCTION("""COMPUTED_VALUE"""),"BCM เขาแก้ว ลพบุรี-22528")</f>
        <v>BCM เขาแก้ว ลพบุรี-22528</v>
      </c>
      <c r="AG1842" s="3" t="str">
        <f>IFERROR(__xludf.DUMMYFUNCTION("""COMPUTED_VALUE"""),"กลาง")</f>
        <v>กลาง</v>
      </c>
      <c r="AH1842" s="3" t="str">
        <f>IFERROR(__xludf.DUMMYFUNCTION("""COMPUTED_VALUE"""),"#N/A")</f>
        <v>#N/A</v>
      </c>
      <c r="AI1842" s="3" t="str">
        <f>IFERROR(__xludf.DUMMYFUNCTION("""COMPUTED_VALUE"""),"Out of warranty")</f>
        <v>Out of warranty</v>
      </c>
      <c r="AJ1842" s="3">
        <f>IFERROR(__xludf.DUMMYFUNCTION("""COMPUTED_VALUE"""),35.0)</f>
        <v>35</v>
      </c>
      <c r="AK1842" s="3" t="str">
        <f>IFERROR(__xludf.DUMMYFUNCTION("""COMPUTED_VALUE"""),"MMS09")</f>
        <v>MMS09</v>
      </c>
      <c r="AL1842" s="3"/>
    </row>
    <row r="1843" ht="15.75" customHeight="1">
      <c r="A1843" s="1" t="str">
        <f>IFERROR(__xludf.DUMMYFUNCTION("""COMPUTED_VALUE"""),"22529")</f>
        <v>22529</v>
      </c>
      <c r="B1843" s="2">
        <f>IFERROR(__xludf.DUMMYFUNCTION("""COMPUTED_VALUE"""),22529.0)</f>
        <v>22529</v>
      </c>
      <c r="C1843" s="3" t="str">
        <f>IFERROR(__xludf.DUMMYFUNCTION("""COMPUTED_VALUE"""),"BCM เฉลิมพระเกียรติ ซอย30 กรุงเทพฯ")</f>
        <v>BCM เฉลิมพระเกียรติ ซอย30 กรุงเทพฯ</v>
      </c>
      <c r="D1843" s="3" t="str">
        <f>IFERROR(__xludf.DUMMYFUNCTION("""COMPUTED_VALUE"""),"BCM CHALERM PHRAKIAT SOI30")</f>
        <v>BCM CHALERM PHRAKIAT SOI30</v>
      </c>
      <c r="E1843" s="1" t="str">
        <f>IFERROR(__xludf.DUMMYFUNCTION("""COMPUTED_VALUE"""),"บิ๊กซี MINI")</f>
        <v>บิ๊กซี MINI</v>
      </c>
      <c r="F1843" s="1" t="str">
        <f>IFERROR(__xludf.DUMMYFUNCTION("""COMPUTED_VALUE"""),"291008")</f>
        <v>291008</v>
      </c>
      <c r="G1843" s="1" t="str">
        <f>IFERROR(__xludf.DUMMYFUNCTION("""COMPUTED_VALUE"""),"น.ส.รัชดาพร อีศรัตน์")</f>
        <v>น.ส.รัชดาพร อีศรัตน์</v>
      </c>
      <c r="H1843" s="1" t="str">
        <f>IFERROR(__xludf.DUMMYFUNCTION("""COMPUTED_VALUE"""),"359054")</f>
        <v>359054</v>
      </c>
      <c r="I1843" s="1" t="str">
        <f>IFERROR(__xludf.DUMMYFUNCTION("""COMPUTED_VALUE"""),"น.ส.กรรณิการ์ พุทธวงค์")</f>
        <v>น.ส.กรรณิการ์ พุทธวงค์</v>
      </c>
      <c r="J1843" s="3">
        <f>IFERROR(__xludf.DUMMYFUNCTION("""COMPUTED_VALUE"""),2452378.0)</f>
        <v>2452378</v>
      </c>
      <c r="K1843" s="3" t="str">
        <f>IFERROR(__xludf.DUMMYFUNCTION("""COMPUTED_VALUE"""),"นายศักดิ์ดา พวงประดับ")</f>
        <v>นายศักดิ์ดา พวงประดับ</v>
      </c>
      <c r="L1843" s="1" t="str">
        <f>IFERROR(__xludf.DUMMYFUNCTION("""COMPUTED_VALUE"""),"11 K.Sakda P.")</f>
        <v>11 K.Sakda P.</v>
      </c>
      <c r="M1843" s="1" t="str">
        <f>IFERROR(__xludf.DUMMYFUNCTION("""COMPUTED_VALUE"""),"065-929-1279")</f>
        <v>065-929-1279</v>
      </c>
      <c r="N1843" s="3">
        <f>IFERROR(__xludf.DUMMYFUNCTION("""COMPUTED_VALUE"""),21002.0)</f>
        <v>21002</v>
      </c>
      <c r="O1843" s="3" t="str">
        <f>IFERROR(__xludf.DUMMYFUNCTION("""COMPUTED_VALUE"""),"MBC อุดมสุข")</f>
        <v>MBC อุดมสุข</v>
      </c>
      <c r="P1843" s="4">
        <f>IFERROR(__xludf.DUMMYFUNCTION("""COMPUTED_VALUE"""),45006.0)</f>
        <v>45006</v>
      </c>
      <c r="Q1843" s="3" t="str">
        <f>IFERROR(__xludf.DUMMYFUNCTION("""COMPUTED_VALUE"""),"A")</f>
        <v>A</v>
      </c>
      <c r="R1843" s="3" t="str">
        <f>IFERROR(__xludf.DUMMYFUNCTION("""COMPUTED_VALUE"""),"Small Format")</f>
        <v>Small Format</v>
      </c>
      <c r="S1843" s="3" t="str">
        <f>IFERROR(__xludf.DUMMYFUNCTION("""COMPUTED_VALUE"""),"BCM")</f>
        <v>BCM</v>
      </c>
      <c r="T1843" s="3" t="str">
        <f>IFERROR(__xludf.DUMMYFUNCTION("""COMPUTED_VALUE"""),"#N/A")</f>
        <v>#N/A</v>
      </c>
      <c r="U1843" s="3" t="str">
        <f>IFERROR(__xludf.DUMMYFUNCTION("""COMPUTED_VALUE"""),"#N/A")</f>
        <v>#N/A</v>
      </c>
      <c r="V1843" s="3" t="str">
        <f>IFERROR(__xludf.DUMMYFUNCTION("""COMPUTED_VALUE"""),"N")</f>
        <v>N</v>
      </c>
      <c r="W1843" s="3">
        <f>IFERROR(__xludf.DUMMYFUNCTION("""COMPUTED_VALUE"""),210581.0)</f>
        <v>210581</v>
      </c>
      <c r="X1843" s="3" t="str">
        <f>IFERROR(__xludf.DUMMYFUNCTION("""COMPUTED_VALUE"""),"10 ซอย เฉลิมพระเกียรติ ร9 ซอย30แยก20 แขวงดอกไม้ เขตประเวศ กรุงเทพมหานคร 10240")</f>
        <v>10 ซอย เฉลิมพระเกียรติ ร9 ซอย30แยก20 แขวงดอกไม้ เขตประเวศ กรุงเทพมหานคร 10240</v>
      </c>
      <c r="Y1843" s="3"/>
      <c r="Z1843" s="3" t="str">
        <f>IFERROR(__xludf.DUMMYFUNCTION("""COMPUTED_VALUE"""),"ดอกไม้")</f>
        <v>ดอกไม้</v>
      </c>
      <c r="AA1843" s="3" t="str">
        <f>IFERROR(__xludf.DUMMYFUNCTION("""COMPUTED_VALUE"""),"ประเวศ")</f>
        <v>ประเวศ</v>
      </c>
      <c r="AB1843" s="3" t="str">
        <f>IFERROR(__xludf.DUMMYFUNCTION("""COMPUTED_VALUE"""),"กรุงเทพมหานคร")</f>
        <v>กรุงเทพมหานคร</v>
      </c>
      <c r="AC1843" s="3">
        <f>IFERROR(__xludf.DUMMYFUNCTION("""COMPUTED_VALUE"""),10240.0)</f>
        <v>10240</v>
      </c>
      <c r="AD1843" s="3">
        <f>IFERROR(__xludf.DUMMYFUNCTION("""COMPUTED_VALUE"""),13.684274)</f>
        <v>13.684274</v>
      </c>
      <c r="AE1843" s="3">
        <f>IFERROR(__xludf.DUMMYFUNCTION("""COMPUTED_VALUE"""),100.683436)</f>
        <v>100.683436</v>
      </c>
      <c r="AF1843" s="3" t="str">
        <f>IFERROR(__xludf.DUMMYFUNCTION("""COMPUTED_VALUE"""),"BCM เฉลิมพระเกียรติ ซอย30 กรุงเทพฯ-22529")</f>
        <v>BCM เฉลิมพระเกียรติ ซอย30 กรุงเทพฯ-22529</v>
      </c>
      <c r="AG1843" s="3" t="str">
        <f>IFERROR(__xludf.DUMMYFUNCTION("""COMPUTED_VALUE"""),"กลาง")</f>
        <v>กลาง</v>
      </c>
      <c r="AH1843" s="3" t="str">
        <f>IFERROR(__xludf.DUMMYFUNCTION("""COMPUTED_VALUE"""),"#N/A")</f>
        <v>#N/A</v>
      </c>
      <c r="AI1843" s="3" t="str">
        <f>IFERROR(__xludf.DUMMYFUNCTION("""COMPUTED_VALUE"""),"Out of warranty")</f>
        <v>Out of warranty</v>
      </c>
      <c r="AJ1843" s="3">
        <f>IFERROR(__xludf.DUMMYFUNCTION("""COMPUTED_VALUE"""),34.0)</f>
        <v>34</v>
      </c>
      <c r="AK1843" s="3" t="str">
        <f>IFERROR(__xludf.DUMMYFUNCTION("""COMPUTED_VALUE"""),"MMS03")</f>
        <v>MMS03</v>
      </c>
      <c r="AL1843" s="3"/>
    </row>
    <row r="1844" ht="15.75" customHeight="1">
      <c r="A1844" s="1" t="str">
        <f>IFERROR(__xludf.DUMMYFUNCTION("""COMPUTED_VALUE"""),"22530")</f>
        <v>22530</v>
      </c>
      <c r="B1844" s="2">
        <f>IFERROR(__xludf.DUMMYFUNCTION("""COMPUTED_VALUE"""),22530.0)</f>
        <v>22530</v>
      </c>
      <c r="C1844" s="3" t="str">
        <f>IFERROR(__xludf.DUMMYFUNCTION("""COMPUTED_VALUE"""),"BCM ชุมชนประตูม้า ลำปาง")</f>
        <v>BCM ชุมชนประตูม้า ลำปาง</v>
      </c>
      <c r="D1844" s="3" t="str">
        <f>IFERROR(__xludf.DUMMYFUNCTION("""COMPUTED_VALUE"""),"BCM CHOMCHON PARTUMA LAMPANG")</f>
        <v>BCM CHOMCHON PARTUMA LAMPANG</v>
      </c>
      <c r="E1844" s="1" t="str">
        <f>IFERROR(__xludf.DUMMYFUNCTION("""COMPUTED_VALUE"""),"บิ๊กซี MINI")</f>
        <v>บิ๊กซี MINI</v>
      </c>
      <c r="F1844" s="1" t="str">
        <f>IFERROR(__xludf.DUMMYFUNCTION("""COMPUTED_VALUE"""),"296229")</f>
        <v>296229</v>
      </c>
      <c r="G1844" s="1" t="str">
        <f>IFERROR(__xludf.DUMMYFUNCTION("""COMPUTED_VALUE"""),"นายทนงศักดิ์ บุญมา")</f>
        <v>นายทนงศักดิ์ บุญมา</v>
      </c>
      <c r="H1844" s="1" t="str">
        <f>IFERROR(__xludf.DUMMYFUNCTION("""COMPUTED_VALUE"""),"372826")</f>
        <v>372826</v>
      </c>
      <c r="I1844" s="1" t="str">
        <f>IFERROR(__xludf.DUMMYFUNCTION("""COMPUTED_VALUE"""),"นายพงศกร สุขแก้ว")</f>
        <v>นายพงศกร สุขแก้ว</v>
      </c>
      <c r="J1844" s="3">
        <f>IFERROR(__xludf.DUMMYFUNCTION("""COMPUTED_VALUE"""),2010016.0)</f>
        <v>2010016</v>
      </c>
      <c r="K1844" s="3" t="str">
        <f>IFERROR(__xludf.DUMMYFUNCTION("""COMPUTED_VALUE"""),"นายตวงธรรม ใหม่ยศ")</f>
        <v>นายตวงธรรม ใหม่ยศ</v>
      </c>
      <c r="L1844" s="1" t="str">
        <f>IFERROR(__xludf.DUMMYFUNCTION("""COMPUTED_VALUE"""),"01 K.Tuangtham M.")</f>
        <v>01 K.Tuangtham M.</v>
      </c>
      <c r="M1844" s="1" t="str">
        <f>IFERROR(__xludf.DUMMYFUNCTION("""COMPUTED_VALUE"""),"063-976-595")</f>
        <v>063-976-595</v>
      </c>
      <c r="N1844" s="3">
        <f>IFERROR(__xludf.DUMMYFUNCTION("""COMPUTED_VALUE"""),22574.0)</f>
        <v>22574</v>
      </c>
      <c r="O1844" s="3" t="str">
        <f>IFERROR(__xludf.DUMMYFUNCTION("""COMPUTED_VALUE"""),"BCM ชุมชนศรีชุม ลำปาง")</f>
        <v>BCM ชุมชนศรีชุม ลำปาง</v>
      </c>
      <c r="P1844" s="4">
        <f>IFERROR(__xludf.DUMMYFUNCTION("""COMPUTED_VALUE"""),44983.0)</f>
        <v>44983</v>
      </c>
      <c r="Q1844" s="3" t="str">
        <f>IFERROR(__xludf.DUMMYFUNCTION("""COMPUTED_VALUE"""),"A")</f>
        <v>A</v>
      </c>
      <c r="R1844" s="3" t="str">
        <f>IFERROR(__xludf.DUMMYFUNCTION("""COMPUTED_VALUE"""),"Small Format")</f>
        <v>Small Format</v>
      </c>
      <c r="S1844" s="3" t="str">
        <f>IFERROR(__xludf.DUMMYFUNCTION("""COMPUTED_VALUE"""),"BCM")</f>
        <v>BCM</v>
      </c>
      <c r="T1844" s="3" t="str">
        <f>IFERROR(__xludf.DUMMYFUNCTION("""COMPUTED_VALUE"""),"#N/A")</f>
        <v>#N/A</v>
      </c>
      <c r="U1844" s="3" t="str">
        <f>IFERROR(__xludf.DUMMYFUNCTION("""COMPUTED_VALUE"""),"#N/A")</f>
        <v>#N/A</v>
      </c>
      <c r="V1844" s="3" t="str">
        <f>IFERROR(__xludf.DUMMYFUNCTION("""COMPUTED_VALUE"""),"N")</f>
        <v>N</v>
      </c>
      <c r="W1844" s="3">
        <f>IFERROR(__xludf.DUMMYFUNCTION("""COMPUTED_VALUE"""),210584.0)</f>
        <v>210584</v>
      </c>
      <c r="X1844" s="3" t="str">
        <f>IFERROR(__xludf.DUMMYFUNCTION("""COMPUTED_VALUE"""),"206 หมู่11 ตำบลต้นธงชัย อำเภอเมืองลำปาง จังหวัดลำปาง 52000")</f>
        <v>206 หมู่11 ตำบลต้นธงชัย อำเภอเมืองลำปาง จังหวัดลำปาง 52000</v>
      </c>
      <c r="Y1844" s="3"/>
      <c r="Z1844" s="3" t="str">
        <f>IFERROR(__xludf.DUMMYFUNCTION("""COMPUTED_VALUE"""),"ต้นธงชัย")</f>
        <v>ต้นธงชัย</v>
      </c>
      <c r="AA1844" s="3" t="str">
        <f>IFERROR(__xludf.DUMMYFUNCTION("""COMPUTED_VALUE"""),"เมืองลำปาง")</f>
        <v>เมืองลำปาง</v>
      </c>
      <c r="AB1844" s="3" t="str">
        <f>IFERROR(__xludf.DUMMYFUNCTION("""COMPUTED_VALUE"""),"ลำปาง")</f>
        <v>ลำปาง</v>
      </c>
      <c r="AC1844" s="3">
        <f>IFERROR(__xludf.DUMMYFUNCTION("""COMPUTED_VALUE"""),52000.0)</f>
        <v>52000</v>
      </c>
      <c r="AD1844" s="3">
        <f>IFERROR(__xludf.DUMMYFUNCTION("""COMPUTED_VALUE"""),18.308476)</f>
        <v>18.308476</v>
      </c>
      <c r="AE1844" s="3">
        <f>IFERROR(__xludf.DUMMYFUNCTION("""COMPUTED_VALUE"""),99.512983)</f>
        <v>99.512983</v>
      </c>
      <c r="AF1844" s="3" t="str">
        <f>IFERROR(__xludf.DUMMYFUNCTION("""COMPUTED_VALUE"""),"BCM ชุมชนประตูม้า ลำปาง-22530")</f>
        <v>BCM ชุมชนประตูม้า ลำปาง-22530</v>
      </c>
      <c r="AG1844" s="3" t="str">
        <f>IFERROR(__xludf.DUMMYFUNCTION("""COMPUTED_VALUE"""),"เหนือ")</f>
        <v>เหนือ</v>
      </c>
      <c r="AH1844" s="3" t="str">
        <f>IFERROR(__xludf.DUMMYFUNCTION("""COMPUTED_VALUE"""),"#N/A")</f>
        <v>#N/A</v>
      </c>
      <c r="AI1844" s="3" t="str">
        <f>IFERROR(__xludf.DUMMYFUNCTION("""COMPUTED_VALUE"""),"Out of warranty")</f>
        <v>Out of warranty</v>
      </c>
      <c r="AJ1844" s="3">
        <f>IFERROR(__xludf.DUMMYFUNCTION("""COMPUTED_VALUE"""),35.0)</f>
        <v>35</v>
      </c>
      <c r="AK1844" s="3" t="str">
        <f>IFERROR(__xludf.DUMMYFUNCTION("""COMPUTED_VALUE"""),"MMS10")</f>
        <v>MMS10</v>
      </c>
      <c r="AL1844" s="3"/>
    </row>
    <row r="1845" ht="15.75" customHeight="1">
      <c r="A1845" s="1" t="str">
        <f>IFERROR(__xludf.DUMMYFUNCTION("""COMPUTED_VALUE"""),"22531")</f>
        <v>22531</v>
      </c>
      <c r="B1845" s="2">
        <f>IFERROR(__xludf.DUMMYFUNCTION("""COMPUTED_VALUE"""),22531.0)</f>
        <v>22531</v>
      </c>
      <c r="C1845" s="3" t="str">
        <f>IFERROR(__xludf.DUMMYFUNCTION("""COMPUTED_VALUE"""),"BCM ตลาดไนท์บาร์ซา บุรีรัมย์")</f>
        <v>BCM ตลาดไนท์บาร์ซา บุรีรัมย์</v>
      </c>
      <c r="D1845" s="3" t="str">
        <f>IFERROR(__xludf.DUMMYFUNCTION("""COMPUTED_VALUE"""),"BCM TALAD NIGHT BAZAAR BURIRAM")</f>
        <v>BCM TALAD NIGHT BAZAAR BURIRAM</v>
      </c>
      <c r="E1845" s="1" t="str">
        <f>IFERROR(__xludf.DUMMYFUNCTION("""COMPUTED_VALUE"""),"บิ๊กซี MINI")</f>
        <v>บิ๊กซี MINI</v>
      </c>
      <c r="F1845" s="1" t="str">
        <f>IFERROR(__xludf.DUMMYFUNCTION("""COMPUTED_VALUE"""),"291105")</f>
        <v>291105</v>
      </c>
      <c r="G1845" s="1" t="str">
        <f>IFERROR(__xludf.DUMMYFUNCTION("""COMPUTED_VALUE"""),"นายสราวุฒิ พณิชยกุล")</f>
        <v>นายสราวุฒิ พณิชยกุล</v>
      </c>
      <c r="H1845" s="1" t="str">
        <f>IFERROR(__xludf.DUMMYFUNCTION("""COMPUTED_VALUE"""),"398136")</f>
        <v>398136</v>
      </c>
      <c r="I1845" s="1" t="str">
        <f>IFERROR(__xludf.DUMMYFUNCTION("""COMPUTED_VALUE"""),"นายประยูร ธาดาวงษา")</f>
        <v>นายประยูร ธาดาวงษา</v>
      </c>
      <c r="J1845" s="3">
        <f>IFERROR(__xludf.DUMMYFUNCTION("""COMPUTED_VALUE"""),15361.0)</f>
        <v>15361</v>
      </c>
      <c r="K1845" s="3" t="str">
        <f>IFERROR(__xludf.DUMMYFUNCTION("""COMPUTED_VALUE"""),"นายสมบูรณ์ พรหมในเมือง")</f>
        <v>นายสมบูรณ์ พรหมในเมือง</v>
      </c>
      <c r="L1845" s="1" t="str">
        <f>IFERROR(__xludf.DUMMYFUNCTION("""COMPUTED_VALUE"""),"04 K.Somboon P.")</f>
        <v>04 K.Somboon P.</v>
      </c>
      <c r="M1845" s="1" t="str">
        <f>IFERROR(__xludf.DUMMYFUNCTION("""COMPUTED_VALUE"""),"087-965-3051")</f>
        <v>087-965-3051</v>
      </c>
      <c r="N1845" s="3">
        <f>IFERROR(__xludf.DUMMYFUNCTION("""COMPUTED_VALUE"""),21869.0)</f>
        <v>21869</v>
      </c>
      <c r="O1845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845" s="4">
        <f>IFERROR(__xludf.DUMMYFUNCTION("""COMPUTED_VALUE"""),45016.0)</f>
        <v>45016</v>
      </c>
      <c r="Q1845" s="3" t="str">
        <f>IFERROR(__xludf.DUMMYFUNCTION("""COMPUTED_VALUE"""),"A")</f>
        <v>A</v>
      </c>
      <c r="R1845" s="3" t="str">
        <f>IFERROR(__xludf.DUMMYFUNCTION("""COMPUTED_VALUE"""),"Small Format")</f>
        <v>Small Format</v>
      </c>
      <c r="S1845" s="3" t="str">
        <f>IFERROR(__xludf.DUMMYFUNCTION("""COMPUTED_VALUE"""),"BCM")</f>
        <v>BCM</v>
      </c>
      <c r="T1845" s="3" t="str">
        <f>IFERROR(__xludf.DUMMYFUNCTION("""COMPUTED_VALUE"""),"#N/A")</f>
        <v>#N/A</v>
      </c>
      <c r="U1845" s="3" t="str">
        <f>IFERROR(__xludf.DUMMYFUNCTION("""COMPUTED_VALUE"""),"#N/A")</f>
        <v>#N/A</v>
      </c>
      <c r="V1845" s="3" t="str">
        <f>IFERROR(__xludf.DUMMYFUNCTION("""COMPUTED_VALUE"""),"N")</f>
        <v>N</v>
      </c>
      <c r="W1845" s="3">
        <f>IFERROR(__xludf.DUMMYFUNCTION("""COMPUTED_VALUE"""),210640.0)</f>
        <v>210640</v>
      </c>
      <c r="X1845" s="3" t="str">
        <f>IFERROR(__xludf.DUMMYFUNCTION("""COMPUTED_VALUE"""),"351/56 ถนนจิระ ตำบลในเมือง อำเภอเมืองบุรีรัมย์ จังหวัดบุรีรัมย์ 31000")</f>
        <v>351/56 ถนนจิระ ตำบลในเมือง อำเภอเมืองบุรีรัมย์ จังหวัดบุรีรัมย์ 31000</v>
      </c>
      <c r="Y1845" s="3" t="str">
        <f>IFERROR(__xludf.DUMMYFUNCTION("""COMPUTED_VALUE"""),"จิระ")</f>
        <v>จิระ</v>
      </c>
      <c r="Z1845" s="3" t="str">
        <f>IFERROR(__xludf.DUMMYFUNCTION("""COMPUTED_VALUE"""),"ในเมือง")</f>
        <v>ในเมือง</v>
      </c>
      <c r="AA1845" s="3" t="str">
        <f>IFERROR(__xludf.DUMMYFUNCTION("""COMPUTED_VALUE"""),"เมืองบุรีรัมย์")</f>
        <v>เมืองบุรีรัมย์</v>
      </c>
      <c r="AB1845" s="3" t="str">
        <f>IFERROR(__xludf.DUMMYFUNCTION("""COMPUTED_VALUE"""),"บุรีรัมย์")</f>
        <v>บุรีรัมย์</v>
      </c>
      <c r="AC1845" s="3">
        <f>IFERROR(__xludf.DUMMYFUNCTION("""COMPUTED_VALUE"""),31000.0)</f>
        <v>31000</v>
      </c>
      <c r="AD1845" s="3">
        <f>IFERROR(__xludf.DUMMYFUNCTION("""COMPUTED_VALUE"""),14.991527)</f>
        <v>14.991527</v>
      </c>
      <c r="AE1845" s="3">
        <f>IFERROR(__xludf.DUMMYFUNCTION("""COMPUTED_VALUE"""),103.106981)</f>
        <v>103.106981</v>
      </c>
      <c r="AF1845" s="3" t="str">
        <f>IFERROR(__xludf.DUMMYFUNCTION("""COMPUTED_VALUE"""),"BCM ตลาดไนท์บาร์ซา บุรีรัมย์-22531")</f>
        <v>BCM ตลาดไนท์บาร์ซา บุรีรัมย์-22531</v>
      </c>
      <c r="AG1845" s="3" t="str">
        <f>IFERROR(__xludf.DUMMYFUNCTION("""COMPUTED_VALUE"""),"ตะวันออกเฉียงเหนือ")</f>
        <v>ตะวันออกเฉียงเหนือ</v>
      </c>
      <c r="AH1845" s="3" t="str">
        <f>IFERROR(__xludf.DUMMYFUNCTION("""COMPUTED_VALUE"""),"#N/A")</f>
        <v>#N/A</v>
      </c>
      <c r="AI1845" s="3" t="str">
        <f>IFERROR(__xludf.DUMMYFUNCTION("""COMPUTED_VALUE"""),"Out of warranty")</f>
        <v>Out of warranty</v>
      </c>
      <c r="AJ1845" s="3">
        <f>IFERROR(__xludf.DUMMYFUNCTION("""COMPUTED_VALUE"""),34.0)</f>
        <v>34</v>
      </c>
      <c r="AK1845" s="3"/>
      <c r="AL1845" s="3"/>
    </row>
    <row r="1846" ht="15.75" customHeight="1">
      <c r="A1846" s="1" t="str">
        <f>IFERROR(__xludf.DUMMYFUNCTION("""COMPUTED_VALUE"""),"22532")</f>
        <v>22532</v>
      </c>
      <c r="B1846" s="2">
        <f>IFERROR(__xludf.DUMMYFUNCTION("""COMPUTED_VALUE"""),22532.0)</f>
        <v>22532</v>
      </c>
      <c r="C1846" s="3" t="str">
        <f>IFERROR(__xludf.DUMMYFUNCTION("""COMPUTED_VALUE"""),"BCM กู่เต้า เชียงใหม่")</f>
        <v>BCM กู่เต้า เชียงใหม่</v>
      </c>
      <c r="D1846" s="3" t="str">
        <f>IFERROR(__xludf.DUMMYFUNCTION("""COMPUTED_VALUE"""),"BCM GU TAO CHIANGMAI")</f>
        <v>BCM GU TAO CHIANGMAI</v>
      </c>
      <c r="E1846" s="1" t="str">
        <f>IFERROR(__xludf.DUMMYFUNCTION("""COMPUTED_VALUE"""),"บิ๊กซี MINI")</f>
        <v>บิ๊กซี MINI</v>
      </c>
      <c r="F1846" s="1" t="str">
        <f>IFERROR(__xludf.DUMMYFUNCTION("""COMPUTED_VALUE"""),"296229")</f>
        <v>296229</v>
      </c>
      <c r="G1846" s="1" t="str">
        <f>IFERROR(__xludf.DUMMYFUNCTION("""COMPUTED_VALUE"""),"นายทนงศักดิ์ บุญมา")</f>
        <v>นายทนงศักดิ์ บุญมา</v>
      </c>
      <c r="H1846" s="1" t="str">
        <f>IFERROR(__xludf.DUMMYFUNCTION("""COMPUTED_VALUE"""),"393402")</f>
        <v>393402</v>
      </c>
      <c r="I1846" s="1" t="str">
        <f>IFERROR(__xludf.DUMMYFUNCTION("""COMPUTED_VALUE"""),"น.ส.ปารมิตา ใจตรง")</f>
        <v>น.ส.ปารมิตา ใจตรง</v>
      </c>
      <c r="J1846" s="3">
        <f>IFERROR(__xludf.DUMMYFUNCTION("""COMPUTED_VALUE"""),2010016.0)</f>
        <v>2010016</v>
      </c>
      <c r="K1846" s="3" t="str">
        <f>IFERROR(__xludf.DUMMYFUNCTION("""COMPUTED_VALUE"""),"นายตวงธรรม ใหม่ยศ")</f>
        <v>นายตวงธรรม ใหม่ยศ</v>
      </c>
      <c r="L1846" s="1" t="str">
        <f>IFERROR(__xludf.DUMMYFUNCTION("""COMPUTED_VALUE"""),"01 K.Tuangtham M.")</f>
        <v>01 K.Tuangtham M.</v>
      </c>
      <c r="M1846" s="1" t="str">
        <f>IFERROR(__xludf.DUMMYFUNCTION("""COMPUTED_VALUE"""),"063-976-595")</f>
        <v>063-976-595</v>
      </c>
      <c r="N1846" s="3">
        <f>IFERROR(__xludf.DUMMYFUNCTION("""COMPUTED_VALUE"""),22574.0)</f>
        <v>22574</v>
      </c>
      <c r="O1846" s="3" t="str">
        <f>IFERROR(__xludf.DUMMYFUNCTION("""COMPUTED_VALUE"""),"BCM ชุมชนศรีชุม ลำปาง")</f>
        <v>BCM ชุมชนศรีชุม ลำปาง</v>
      </c>
      <c r="P1846" s="4">
        <f>IFERROR(__xludf.DUMMYFUNCTION("""COMPUTED_VALUE"""),45016.0)</f>
        <v>45016</v>
      </c>
      <c r="Q1846" s="3" t="str">
        <f>IFERROR(__xludf.DUMMYFUNCTION("""COMPUTED_VALUE"""),"A")</f>
        <v>A</v>
      </c>
      <c r="R1846" s="3" t="str">
        <f>IFERROR(__xludf.DUMMYFUNCTION("""COMPUTED_VALUE"""),"Small Format")</f>
        <v>Small Format</v>
      </c>
      <c r="S1846" s="3" t="str">
        <f>IFERROR(__xludf.DUMMYFUNCTION("""COMPUTED_VALUE"""),"BCM")</f>
        <v>BCM</v>
      </c>
      <c r="T1846" s="3" t="str">
        <f>IFERROR(__xludf.DUMMYFUNCTION("""COMPUTED_VALUE"""),"#N/A")</f>
        <v>#N/A</v>
      </c>
      <c r="U1846" s="3" t="str">
        <f>IFERROR(__xludf.DUMMYFUNCTION("""COMPUTED_VALUE"""),"#N/A")</f>
        <v>#N/A</v>
      </c>
      <c r="V1846" s="3" t="str">
        <f>IFERROR(__xludf.DUMMYFUNCTION("""COMPUTED_VALUE"""),"N")</f>
        <v>N</v>
      </c>
      <c r="W1846" s="3">
        <f>IFERROR(__xludf.DUMMYFUNCTION("""COMPUTED_VALUE"""),210583.0)</f>
        <v>210583</v>
      </c>
      <c r="X1846" s="3" t="str">
        <f>IFERROR(__xludf.DUMMYFUNCTION("""COMPUTED_VALUE"""),"90 ถนนกู่เต้า ตำบลศรีภูมิ อำเภอเมืองเชียงใหม่ จังหวัดเชียงใหม่ 50200")</f>
        <v>90 ถนนกู่เต้า ตำบลศรีภูมิ อำเภอเมืองเชียงใหม่ จังหวัดเชียงใหม่ 50200</v>
      </c>
      <c r="Y1846" s="3" t="str">
        <f>IFERROR(__xludf.DUMMYFUNCTION("""COMPUTED_VALUE"""),"กู่เต้า")</f>
        <v>กู่เต้า</v>
      </c>
      <c r="Z1846" s="3" t="str">
        <f>IFERROR(__xludf.DUMMYFUNCTION("""COMPUTED_VALUE"""),"ศรีภูมิ")</f>
        <v>ศรีภูมิ</v>
      </c>
      <c r="AA1846" s="3" t="str">
        <f>IFERROR(__xludf.DUMMYFUNCTION("""COMPUTED_VALUE"""),"เมืองเชียงใหม่")</f>
        <v>เมืองเชียงใหม่</v>
      </c>
      <c r="AB1846" s="3" t="str">
        <f>IFERROR(__xludf.DUMMYFUNCTION("""COMPUTED_VALUE"""),"เชียงใหม่")</f>
        <v>เชียงใหม่</v>
      </c>
      <c r="AC1846" s="3">
        <f>IFERROR(__xludf.DUMMYFUNCTION("""COMPUTED_VALUE"""),50200.0)</f>
        <v>50200</v>
      </c>
      <c r="AD1846" s="3">
        <f>IFERROR(__xludf.DUMMYFUNCTION("""COMPUTED_VALUE"""),18.8003278)</f>
        <v>18.8003278</v>
      </c>
      <c r="AE1846" s="3">
        <f>IFERROR(__xludf.DUMMYFUNCTION("""COMPUTED_VALUE"""),98.988153)</f>
        <v>98.988153</v>
      </c>
      <c r="AF1846" s="3" t="str">
        <f>IFERROR(__xludf.DUMMYFUNCTION("""COMPUTED_VALUE"""),"BCM กู่เต้า เชียงใหม่-22532")</f>
        <v>BCM กู่เต้า เชียงใหม่-22532</v>
      </c>
      <c r="AG1846" s="3" t="str">
        <f>IFERROR(__xludf.DUMMYFUNCTION("""COMPUTED_VALUE"""),"เหนือ")</f>
        <v>เหนือ</v>
      </c>
      <c r="AH1846" s="3" t="str">
        <f>IFERROR(__xludf.DUMMYFUNCTION("""COMPUTED_VALUE"""),"#N/A")</f>
        <v>#N/A</v>
      </c>
      <c r="AI1846" s="3" t="str">
        <f>IFERROR(__xludf.DUMMYFUNCTION("""COMPUTED_VALUE"""),"Out of warranty")</f>
        <v>Out of warranty</v>
      </c>
      <c r="AJ1846" s="3">
        <f>IFERROR(__xludf.DUMMYFUNCTION("""COMPUTED_VALUE"""),34.0)</f>
        <v>34</v>
      </c>
      <c r="AK1846" s="3" t="str">
        <f>IFERROR(__xludf.DUMMYFUNCTION("""COMPUTED_VALUE"""),"MMS10")</f>
        <v>MMS10</v>
      </c>
      <c r="AL1846" s="3"/>
    </row>
    <row r="1847" ht="15.75" customHeight="1">
      <c r="A1847" s="1" t="str">
        <f>IFERROR(__xludf.DUMMYFUNCTION("""COMPUTED_VALUE"""),"22533")</f>
        <v>22533</v>
      </c>
      <c r="B1847" s="2">
        <f>IFERROR(__xludf.DUMMYFUNCTION("""COMPUTED_VALUE"""),22533.0)</f>
        <v>22533</v>
      </c>
      <c r="C1847" s="3" t="str">
        <f>IFERROR(__xludf.DUMMYFUNCTION("""COMPUTED_VALUE"""),"BCM วรุณนิเวศน์ เชียงใหม่")</f>
        <v>BCM วรุณนิเวศน์ เชียงใหม่</v>
      </c>
      <c r="D1847" s="3" t="str">
        <f>IFERROR(__xludf.DUMMYFUNCTION("""COMPUTED_VALUE"""),"BCM WAROON NIWET CHIANGMAI")</f>
        <v>BCM WAROON NIWET CHIANGMAI</v>
      </c>
      <c r="E1847" s="1" t="str">
        <f>IFERROR(__xludf.DUMMYFUNCTION("""COMPUTED_VALUE"""),"บิ๊กซี MINI")</f>
        <v>บิ๊กซี MINI</v>
      </c>
      <c r="F1847" s="1" t="str">
        <f>IFERROR(__xludf.DUMMYFUNCTION("""COMPUTED_VALUE"""),"296229")</f>
        <v>296229</v>
      </c>
      <c r="G1847" s="1" t="str">
        <f>IFERROR(__xludf.DUMMYFUNCTION("""COMPUTED_VALUE"""),"นายทนงศักดิ์ บุญมา")</f>
        <v>นายทนงศักดิ์ บุญมา</v>
      </c>
      <c r="H1847" s="1" t="str">
        <f>IFERROR(__xludf.DUMMYFUNCTION("""COMPUTED_VALUE"""),"392003")</f>
        <v>392003</v>
      </c>
      <c r="I1847" s="1" t="str">
        <f>IFERROR(__xludf.DUMMYFUNCTION("""COMPUTED_VALUE"""),"นายวรภพ เศษสูงเนิน")</f>
        <v>นายวรภพ เศษสูงเนิน</v>
      </c>
      <c r="J1847" s="3">
        <f>IFERROR(__xludf.DUMMYFUNCTION("""COMPUTED_VALUE"""),2010016.0)</f>
        <v>2010016</v>
      </c>
      <c r="K1847" s="3" t="str">
        <f>IFERROR(__xludf.DUMMYFUNCTION("""COMPUTED_VALUE"""),"นายตวงธรรม ใหม่ยศ")</f>
        <v>นายตวงธรรม ใหม่ยศ</v>
      </c>
      <c r="L1847" s="1" t="str">
        <f>IFERROR(__xludf.DUMMYFUNCTION("""COMPUTED_VALUE"""),"01 K.Tuangtham M.")</f>
        <v>01 K.Tuangtham M.</v>
      </c>
      <c r="M1847" s="1" t="str">
        <f>IFERROR(__xludf.DUMMYFUNCTION("""COMPUTED_VALUE"""),"063-976-595")</f>
        <v>063-976-595</v>
      </c>
      <c r="N1847" s="3">
        <f>IFERROR(__xludf.DUMMYFUNCTION("""COMPUTED_VALUE"""),22574.0)</f>
        <v>22574</v>
      </c>
      <c r="O1847" s="3" t="str">
        <f>IFERROR(__xludf.DUMMYFUNCTION("""COMPUTED_VALUE"""),"BCM ชุมชนศรีชุม ลำปาง")</f>
        <v>BCM ชุมชนศรีชุม ลำปาง</v>
      </c>
      <c r="P1847" s="4">
        <f>IFERROR(__xludf.DUMMYFUNCTION("""COMPUTED_VALUE"""),45029.0)</f>
        <v>45029</v>
      </c>
      <c r="Q1847" s="3" t="str">
        <f>IFERROR(__xludf.DUMMYFUNCTION("""COMPUTED_VALUE"""),"A")</f>
        <v>A</v>
      </c>
      <c r="R1847" s="3" t="str">
        <f>IFERROR(__xludf.DUMMYFUNCTION("""COMPUTED_VALUE"""),"Small Format")</f>
        <v>Small Format</v>
      </c>
      <c r="S1847" s="3" t="str">
        <f>IFERROR(__xludf.DUMMYFUNCTION("""COMPUTED_VALUE"""),"BCM")</f>
        <v>BCM</v>
      </c>
      <c r="T1847" s="3" t="str">
        <f>IFERROR(__xludf.DUMMYFUNCTION("""COMPUTED_VALUE"""),"#N/A")</f>
        <v>#N/A</v>
      </c>
      <c r="U1847" s="3" t="str">
        <f>IFERROR(__xludf.DUMMYFUNCTION("""COMPUTED_VALUE"""),"#N/A")</f>
        <v>#N/A</v>
      </c>
      <c r="V1847" s="3" t="str">
        <f>IFERROR(__xludf.DUMMYFUNCTION("""COMPUTED_VALUE"""),"N")</f>
        <v>N</v>
      </c>
      <c r="W1847" s="3">
        <f>IFERROR(__xludf.DUMMYFUNCTION("""COMPUTED_VALUE"""),210592.0)</f>
        <v>210592</v>
      </c>
      <c r="X1847" s="3" t="str">
        <f>IFERROR(__xludf.DUMMYFUNCTION("""COMPUTED_VALUE"""),"344/52 หมู่8 ตำบลแม่เหียะ อำเภอเมืองเชียงใหม่ จังหวัดเชียงใหม่ 50100")</f>
        <v>344/52 หมู่8 ตำบลแม่เหียะ อำเภอเมืองเชียงใหม่ จังหวัดเชียงใหม่ 50100</v>
      </c>
      <c r="Y1847" s="3"/>
      <c r="Z1847" s="3" t="str">
        <f>IFERROR(__xludf.DUMMYFUNCTION("""COMPUTED_VALUE"""),"แม่เหี้ยะ")</f>
        <v>แม่เหี้ยะ</v>
      </c>
      <c r="AA1847" s="3" t="str">
        <f>IFERROR(__xludf.DUMMYFUNCTION("""COMPUTED_VALUE"""),"เมืองเชียงใหม่")</f>
        <v>เมืองเชียงใหม่</v>
      </c>
      <c r="AB1847" s="3" t="str">
        <f>IFERROR(__xludf.DUMMYFUNCTION("""COMPUTED_VALUE"""),"เชียงใหม่")</f>
        <v>เชียงใหม่</v>
      </c>
      <c r="AC1847" s="3">
        <f>IFERROR(__xludf.DUMMYFUNCTION("""COMPUTED_VALUE"""),50100.0)</f>
        <v>50100</v>
      </c>
      <c r="AD1847" s="3">
        <f>IFERROR(__xludf.DUMMYFUNCTION("""COMPUTED_VALUE"""),18.751858)</f>
        <v>18.751858</v>
      </c>
      <c r="AE1847" s="3">
        <f>IFERROR(__xludf.DUMMYFUNCTION("""COMPUTED_VALUE"""),98.969553)</f>
        <v>98.969553</v>
      </c>
      <c r="AF1847" s="3" t="str">
        <f>IFERROR(__xludf.DUMMYFUNCTION("""COMPUTED_VALUE"""),"BCM วรุณนิเวศน์ เชียงใหม่-22533")</f>
        <v>BCM วรุณนิเวศน์ เชียงใหม่-22533</v>
      </c>
      <c r="AG1847" s="3" t="str">
        <f>IFERROR(__xludf.DUMMYFUNCTION("""COMPUTED_VALUE"""),"เหนือ")</f>
        <v>เหนือ</v>
      </c>
      <c r="AH1847" s="3" t="str">
        <f>IFERROR(__xludf.DUMMYFUNCTION("""COMPUTED_VALUE"""),"#N/A")</f>
        <v>#N/A</v>
      </c>
      <c r="AI1847" s="3" t="str">
        <f>IFERROR(__xludf.DUMMYFUNCTION("""COMPUTED_VALUE"""),"Out of warranty")</f>
        <v>Out of warranty</v>
      </c>
      <c r="AJ1847" s="3">
        <f>IFERROR(__xludf.DUMMYFUNCTION("""COMPUTED_VALUE"""),34.0)</f>
        <v>34</v>
      </c>
      <c r="AK1847" s="3" t="str">
        <f>IFERROR(__xludf.DUMMYFUNCTION("""COMPUTED_VALUE"""),"MMS10")</f>
        <v>MMS10</v>
      </c>
      <c r="AL1847" s="3"/>
    </row>
    <row r="1848" ht="15.75" customHeight="1">
      <c r="A1848" s="1" t="str">
        <f>IFERROR(__xludf.DUMMYFUNCTION("""COMPUTED_VALUE"""),"22534")</f>
        <v>22534</v>
      </c>
      <c r="B1848" s="2">
        <f>IFERROR(__xludf.DUMMYFUNCTION("""COMPUTED_VALUE"""),22534.0)</f>
        <v>22534</v>
      </c>
      <c r="C1848" s="3" t="str">
        <f>IFERROR(__xludf.DUMMYFUNCTION("""COMPUTED_VALUE"""),"BCM ถนนจรัญยานนท์ ฉะเชิงเทรา")</f>
        <v>BCM ถนนจรัญยานนท์ ฉะเชิงเทรา</v>
      </c>
      <c r="D1848" s="3" t="str">
        <f>IFERROR(__xludf.DUMMYFUNCTION("""COMPUTED_VALUE"""),"BCM THANON CHARANYANON")</f>
        <v>BCM THANON CHARANYANON</v>
      </c>
      <c r="E1848" s="1" t="str">
        <f>IFERROR(__xludf.DUMMYFUNCTION("""COMPUTED_VALUE"""),"บิ๊กซี MINI")</f>
        <v>บิ๊กซี MINI</v>
      </c>
      <c r="F1848" s="1" t="str">
        <f>IFERROR(__xludf.DUMMYFUNCTION("""COMPUTED_VALUE"""),"2083447")</f>
        <v>2083447</v>
      </c>
      <c r="G1848" s="1" t="str">
        <f>IFERROR(__xludf.DUMMYFUNCTION("""COMPUTED_VALUE"""),"นายอนุกูล ศรีลัดดา")</f>
        <v>นายอนุกูล ศรีลัดดา</v>
      </c>
      <c r="H1848" s="1" t="str">
        <f>IFERROR(__xludf.DUMMYFUNCTION("""COMPUTED_VALUE"""),"254957")</f>
        <v>254957</v>
      </c>
      <c r="I1848" s="1" t="str">
        <f>IFERROR(__xludf.DUMMYFUNCTION("""COMPUTED_VALUE"""),"น.ส.ศิริพร รุ่งธัญญา")</f>
        <v>น.ส.ศิริพร รุ่งธัญญา</v>
      </c>
      <c r="J1848" s="3">
        <f>IFERROR(__xludf.DUMMYFUNCTION("""COMPUTED_VALUE"""),510143.0)</f>
        <v>510143</v>
      </c>
      <c r="K1848" s="3" t="str">
        <f>IFERROR(__xludf.DUMMYFUNCTION("""COMPUTED_VALUE"""),"นายธีระวัฒน์ บุญสิทธิ์")</f>
        <v>นายธีระวัฒน์ บุญสิทธิ์</v>
      </c>
      <c r="L1848" s="1" t="str">
        <f>IFERROR(__xludf.DUMMYFUNCTION("""COMPUTED_VALUE"""),"12 K.Theerawat B.")</f>
        <v>12 K.Theerawat B.</v>
      </c>
      <c r="M1848" s="1" t="str">
        <f>IFERROR(__xludf.DUMMYFUNCTION("""COMPUTED_VALUE"""),"0655107379")</f>
        <v>0655107379</v>
      </c>
      <c r="N1848" s="3">
        <f>IFERROR(__xludf.DUMMYFUNCTION("""COMPUTED_VALUE"""),21062.0)</f>
        <v>21062</v>
      </c>
      <c r="O1848" s="3" t="str">
        <f>IFERROR(__xludf.DUMMYFUNCTION("""COMPUTED_VALUE"""),"MBC นิคมนวนคร")</f>
        <v>MBC นิคมนวนคร</v>
      </c>
      <c r="P1848" s="4">
        <f>IFERROR(__xludf.DUMMYFUNCTION("""COMPUTED_VALUE"""),45031.0)</f>
        <v>45031</v>
      </c>
      <c r="Q1848" s="3" t="str">
        <f>IFERROR(__xludf.DUMMYFUNCTION("""COMPUTED_VALUE"""),"A")</f>
        <v>A</v>
      </c>
      <c r="R1848" s="3" t="str">
        <f>IFERROR(__xludf.DUMMYFUNCTION("""COMPUTED_VALUE"""),"Small Format")</f>
        <v>Small Format</v>
      </c>
      <c r="S1848" s="3" t="str">
        <f>IFERROR(__xludf.DUMMYFUNCTION("""COMPUTED_VALUE"""),"BCM")</f>
        <v>BCM</v>
      </c>
      <c r="T1848" s="3" t="str">
        <f>IFERROR(__xludf.DUMMYFUNCTION("""COMPUTED_VALUE"""),"#N/A")</f>
        <v>#N/A</v>
      </c>
      <c r="U1848" s="3" t="str">
        <f>IFERROR(__xludf.DUMMYFUNCTION("""COMPUTED_VALUE"""),"#N/A")</f>
        <v>#N/A</v>
      </c>
      <c r="V1848" s="3" t="str">
        <f>IFERROR(__xludf.DUMMYFUNCTION("""COMPUTED_VALUE"""),"N")</f>
        <v>N</v>
      </c>
      <c r="W1848" s="3">
        <f>IFERROR(__xludf.DUMMYFUNCTION("""COMPUTED_VALUE"""),210637.0)</f>
        <v>210637</v>
      </c>
      <c r="X1848" s="3" t="str">
        <f>IFERROR(__xludf.DUMMYFUNCTION("""COMPUTED_VALUE"""),"138/4 หมู่1 ตำบลบางวัว อำเภอบางปะกง จังหวัดฉะเชิงเทรา 24180")</f>
        <v>138/4 หมู่1 ตำบลบางวัว อำเภอบางปะกง จังหวัดฉะเชิงเทรา 24180</v>
      </c>
      <c r="Y1848" s="3"/>
      <c r="Z1848" s="3" t="str">
        <f>IFERROR(__xludf.DUMMYFUNCTION("""COMPUTED_VALUE"""),"บางวัว")</f>
        <v>บางวัว</v>
      </c>
      <c r="AA1848" s="3" t="str">
        <f>IFERROR(__xludf.DUMMYFUNCTION("""COMPUTED_VALUE"""),"บางปะกง")</f>
        <v>บางปะกง</v>
      </c>
      <c r="AB1848" s="3" t="str">
        <f>IFERROR(__xludf.DUMMYFUNCTION("""COMPUTED_VALUE"""),"ฉะเชิงเทรา")</f>
        <v>ฉะเชิงเทรา</v>
      </c>
      <c r="AC1848" s="3">
        <f>IFERROR(__xludf.DUMMYFUNCTION("""COMPUTED_VALUE"""),24180.0)</f>
        <v>24180</v>
      </c>
      <c r="AD1848" s="3">
        <f>IFERROR(__xludf.DUMMYFUNCTION("""COMPUTED_VALUE"""),13.5410577)</f>
        <v>13.5410577</v>
      </c>
      <c r="AE1848" s="3">
        <f>IFERROR(__xludf.DUMMYFUNCTION("""COMPUTED_VALUE"""),100.9659752)</f>
        <v>100.9659752</v>
      </c>
      <c r="AF1848" s="3" t="str">
        <f>IFERROR(__xludf.DUMMYFUNCTION("""COMPUTED_VALUE"""),"BCM ถนนจรัญยานนท์ ฉะเชิงเทรา-22534")</f>
        <v>BCM ถนนจรัญยานนท์ ฉะเชิงเทรา-22534</v>
      </c>
      <c r="AG1848" s="3" t="str">
        <f>IFERROR(__xludf.DUMMYFUNCTION("""COMPUTED_VALUE"""),"ตะวันออก")</f>
        <v>ตะวันออก</v>
      </c>
      <c r="AH1848" s="3" t="str">
        <f>IFERROR(__xludf.DUMMYFUNCTION("""COMPUTED_VALUE"""),"#N/A")</f>
        <v>#N/A</v>
      </c>
      <c r="AI1848" s="3" t="str">
        <f>IFERROR(__xludf.DUMMYFUNCTION("""COMPUTED_VALUE"""),"Out of warranty")</f>
        <v>Out of warranty</v>
      </c>
      <c r="AJ1848" s="3">
        <f>IFERROR(__xludf.DUMMYFUNCTION("""COMPUTED_VALUE"""),34.0)</f>
        <v>34</v>
      </c>
      <c r="AK1848" s="3" t="str">
        <f>IFERROR(__xludf.DUMMYFUNCTION("""COMPUTED_VALUE"""),"MMS03")</f>
        <v>MMS03</v>
      </c>
      <c r="AL1848" s="3"/>
    </row>
    <row r="1849" ht="15.75" customHeight="1">
      <c r="A1849" s="1" t="str">
        <f>IFERROR(__xludf.DUMMYFUNCTION("""COMPUTED_VALUE"""),"22535")</f>
        <v>22535</v>
      </c>
      <c r="B1849" s="2">
        <f>IFERROR(__xludf.DUMMYFUNCTION("""COMPUTED_VALUE"""),22535.0)</f>
        <v>22535</v>
      </c>
      <c r="C1849" s="3" t="str">
        <f>IFERROR(__xludf.DUMMYFUNCTION("""COMPUTED_VALUE"""),"BCM ตลาดไทยศิริ3 อุดรธานี")</f>
        <v>BCM ตลาดไทยศิริ3 อุดรธานี</v>
      </c>
      <c r="D1849" s="3" t="str">
        <f>IFERROR(__xludf.DUMMYFUNCTION("""COMPUTED_VALUE"""),"BCM TALAD THAI SIRI3 UDONTHANI")</f>
        <v>BCM TALAD THAI SIRI3 UDONTHANI</v>
      </c>
      <c r="E1849" s="1" t="str">
        <f>IFERROR(__xludf.DUMMYFUNCTION("""COMPUTED_VALUE"""),"บิ๊กซี MINI")</f>
        <v>บิ๊กซี MINI</v>
      </c>
      <c r="F1849" s="1" t="str">
        <f>IFERROR(__xludf.DUMMYFUNCTION("""COMPUTED_VALUE"""),"291105")</f>
        <v>291105</v>
      </c>
      <c r="G1849" s="1" t="str">
        <f>IFERROR(__xludf.DUMMYFUNCTION("""COMPUTED_VALUE"""),"นายสราวุฒิ พณิชยกุล")</f>
        <v>นายสราวุฒิ พณิชยกุล</v>
      </c>
      <c r="H1849" s="1" t="str">
        <f>IFERROR(__xludf.DUMMYFUNCTION("""COMPUTED_VALUE"""),"392005")</f>
        <v>392005</v>
      </c>
      <c r="I1849" s="1" t="str">
        <f>IFERROR(__xludf.DUMMYFUNCTION("""COMPUTED_VALUE"""),"นายรัฐพล หาญลำยวง")</f>
        <v>นายรัฐพล หาญลำยวง</v>
      </c>
      <c r="J1849" s="3">
        <f>IFERROR(__xludf.DUMMYFUNCTION("""COMPUTED_VALUE"""),296868.0)</f>
        <v>296868</v>
      </c>
      <c r="K1849" s="3" t="str">
        <f>IFERROR(__xludf.DUMMYFUNCTION("""COMPUTED_VALUE"""),"นายพีระพงษ์ แก้วดวงดี")</f>
        <v>นายพีระพงษ์ แก้วดวงดี</v>
      </c>
      <c r="L1849" s="1" t="str">
        <f>IFERROR(__xludf.DUMMYFUNCTION("""COMPUTED_VALUE"""),"03 K.Peerapong K.")</f>
        <v>03 K.Peerapong K.</v>
      </c>
      <c r="M1849" s="1" t="str">
        <f>IFERROR(__xludf.DUMMYFUNCTION("""COMPUTED_VALUE"""),"089-002-6599")</f>
        <v>089-002-6599</v>
      </c>
      <c r="N1849" s="3">
        <f>IFERROR(__xludf.DUMMYFUNCTION("""COMPUTED_VALUE"""),21946.0)</f>
        <v>21946</v>
      </c>
      <c r="O1849" s="3" t="str">
        <f>IFERROR(__xludf.DUMMYFUNCTION("""COMPUTED_VALUE"""),"MBC เซกา บึงกาฬ")</f>
        <v>MBC เซกา บึงกาฬ</v>
      </c>
      <c r="P1849" s="4">
        <f>IFERROR(__xludf.DUMMYFUNCTION("""COMPUTED_VALUE"""),45045.0)</f>
        <v>45045</v>
      </c>
      <c r="Q1849" s="3" t="str">
        <f>IFERROR(__xludf.DUMMYFUNCTION("""COMPUTED_VALUE"""),"A")</f>
        <v>A</v>
      </c>
      <c r="R1849" s="3" t="str">
        <f>IFERROR(__xludf.DUMMYFUNCTION("""COMPUTED_VALUE"""),"Small Format")</f>
        <v>Small Format</v>
      </c>
      <c r="S1849" s="3" t="str">
        <f>IFERROR(__xludf.DUMMYFUNCTION("""COMPUTED_VALUE"""),"BCM")</f>
        <v>BCM</v>
      </c>
      <c r="T1849" s="3" t="str">
        <f>IFERROR(__xludf.DUMMYFUNCTION("""COMPUTED_VALUE"""),"#N/A")</f>
        <v>#N/A</v>
      </c>
      <c r="U1849" s="3" t="str">
        <f>IFERROR(__xludf.DUMMYFUNCTION("""COMPUTED_VALUE"""),"#N/A")</f>
        <v>#N/A</v>
      </c>
      <c r="V1849" s="3" t="str">
        <f>IFERROR(__xludf.DUMMYFUNCTION("""COMPUTED_VALUE"""),"N")</f>
        <v>N</v>
      </c>
      <c r="W1849" s="3">
        <f>IFERROR(__xludf.DUMMYFUNCTION("""COMPUTED_VALUE"""),210641.0)</f>
        <v>210641</v>
      </c>
      <c r="X1849" s="3" t="str">
        <f>IFERROR(__xludf.DUMMYFUNCTION("""COMPUTED_VALUE"""),"534 หมู่3 ตำบลบ้านเลื่อม อำเภอเมืองอุดรธานี จังหวัดอุดรธานี 41000")</f>
        <v>534 หมู่3 ตำบลบ้านเลื่อม อำเภอเมืองอุดรธานี จังหวัดอุดรธานี 41000</v>
      </c>
      <c r="Y1849" s="3"/>
      <c r="Z1849" s="3" t="str">
        <f>IFERROR(__xludf.DUMMYFUNCTION("""COMPUTED_VALUE"""),"บ้านเลื่อม")</f>
        <v>บ้านเลื่อม</v>
      </c>
      <c r="AA1849" s="3" t="str">
        <f>IFERROR(__xludf.DUMMYFUNCTION("""COMPUTED_VALUE"""),"เมืองอุดรธานี")</f>
        <v>เมืองอุดรธานี</v>
      </c>
      <c r="AB1849" s="3" t="str">
        <f>IFERROR(__xludf.DUMMYFUNCTION("""COMPUTED_VALUE"""),"อุดรธานี")</f>
        <v>อุดรธานี</v>
      </c>
      <c r="AC1849" s="3">
        <f>IFERROR(__xludf.DUMMYFUNCTION("""COMPUTED_VALUE"""),41000.0)</f>
        <v>41000</v>
      </c>
      <c r="AD1849" s="3">
        <f>IFERROR(__xludf.DUMMYFUNCTION("""COMPUTED_VALUE"""),17.412215)</f>
        <v>17.412215</v>
      </c>
      <c r="AE1849" s="3">
        <f>IFERROR(__xludf.DUMMYFUNCTION("""COMPUTED_VALUE"""),102.745198)</f>
        <v>102.745198</v>
      </c>
      <c r="AF1849" s="3" t="str">
        <f>IFERROR(__xludf.DUMMYFUNCTION("""COMPUTED_VALUE"""),"BCM ตลาดไทยศิริ3 อุดรธานี-22535")</f>
        <v>BCM ตลาดไทยศิริ3 อุดรธานี-22535</v>
      </c>
      <c r="AG1849" s="3" t="str">
        <f>IFERROR(__xludf.DUMMYFUNCTION("""COMPUTED_VALUE"""),"ตะวันออกเฉียงเหนือ")</f>
        <v>ตะวันออกเฉียงเหนือ</v>
      </c>
      <c r="AH1849" s="3" t="str">
        <f>IFERROR(__xludf.DUMMYFUNCTION("""COMPUTED_VALUE"""),"#N/A")</f>
        <v>#N/A</v>
      </c>
      <c r="AI1849" s="3" t="str">
        <f>IFERROR(__xludf.DUMMYFUNCTION("""COMPUTED_VALUE"""),"Out of warranty")</f>
        <v>Out of warranty</v>
      </c>
      <c r="AJ1849" s="3">
        <f>IFERROR(__xludf.DUMMYFUNCTION("""COMPUTED_VALUE"""),33.0)</f>
        <v>33</v>
      </c>
      <c r="AK1849" s="3"/>
      <c r="AL1849" s="3"/>
    </row>
    <row r="1850" ht="15.75" customHeight="1">
      <c r="A1850" s="1" t="str">
        <f>IFERROR(__xludf.DUMMYFUNCTION("""COMPUTED_VALUE"""),"22536")</f>
        <v>22536</v>
      </c>
      <c r="B1850" s="2">
        <f>IFERROR(__xludf.DUMMYFUNCTION("""COMPUTED_VALUE"""),22536.0)</f>
        <v>22536</v>
      </c>
      <c r="C1850" s="3" t="str">
        <f>IFERROR(__xludf.DUMMYFUNCTION("""COMPUTED_VALUE"""),"BCM ซอยสุขเกษม7 เชียงใหม่")</f>
        <v>BCM ซอยสุขเกษม7 เชียงใหม่</v>
      </c>
      <c r="D1850" s="3" t="str">
        <f>IFERROR(__xludf.DUMMYFUNCTION("""COMPUTED_VALUE"""),"BCM SOI SUK KASEM7 CHIANGMAI")</f>
        <v>BCM SOI SUK KASEM7 CHIANGMAI</v>
      </c>
      <c r="E1850" s="1" t="str">
        <f>IFERROR(__xludf.DUMMYFUNCTION("""COMPUTED_VALUE"""),"บิ๊กซี MINI")</f>
        <v>บิ๊กซี MINI</v>
      </c>
      <c r="F1850" s="1" t="str">
        <f>IFERROR(__xludf.DUMMYFUNCTION("""COMPUTED_VALUE"""),"296229")</f>
        <v>296229</v>
      </c>
      <c r="G1850" s="1" t="str">
        <f>IFERROR(__xludf.DUMMYFUNCTION("""COMPUTED_VALUE"""),"นายทนงศักดิ์ บุญมา")</f>
        <v>นายทนงศักดิ์ บุญมา</v>
      </c>
      <c r="H1850" s="1" t="str">
        <f>IFERROR(__xludf.DUMMYFUNCTION("""COMPUTED_VALUE"""),"393402")</f>
        <v>393402</v>
      </c>
      <c r="I1850" s="1" t="str">
        <f>IFERROR(__xludf.DUMMYFUNCTION("""COMPUTED_VALUE"""),"น.ส.ปารมิตา ใจตรง")</f>
        <v>น.ส.ปารมิตา ใจตรง</v>
      </c>
      <c r="J1850" s="3">
        <f>IFERROR(__xludf.DUMMYFUNCTION("""COMPUTED_VALUE"""),2010016.0)</f>
        <v>2010016</v>
      </c>
      <c r="K1850" s="3" t="str">
        <f>IFERROR(__xludf.DUMMYFUNCTION("""COMPUTED_VALUE"""),"นายตวงธรรม ใหม่ยศ")</f>
        <v>นายตวงธรรม ใหม่ยศ</v>
      </c>
      <c r="L1850" s="1" t="str">
        <f>IFERROR(__xludf.DUMMYFUNCTION("""COMPUTED_VALUE"""),"01 K.Tuangtham M.")</f>
        <v>01 K.Tuangtham M.</v>
      </c>
      <c r="M1850" s="1" t="str">
        <f>IFERROR(__xludf.DUMMYFUNCTION("""COMPUTED_VALUE"""),"063-976-595")</f>
        <v>063-976-595</v>
      </c>
      <c r="N1850" s="3">
        <f>IFERROR(__xludf.DUMMYFUNCTION("""COMPUTED_VALUE"""),22574.0)</f>
        <v>22574</v>
      </c>
      <c r="O1850" s="3" t="str">
        <f>IFERROR(__xludf.DUMMYFUNCTION("""COMPUTED_VALUE"""),"BCM ชุมชนศรีชุม ลำปาง")</f>
        <v>BCM ชุมชนศรีชุม ลำปาง</v>
      </c>
      <c r="P1850" s="4">
        <f>IFERROR(__xludf.DUMMYFUNCTION("""COMPUTED_VALUE"""),45045.0)</f>
        <v>45045</v>
      </c>
      <c r="Q1850" s="3" t="str">
        <f>IFERROR(__xludf.DUMMYFUNCTION("""COMPUTED_VALUE"""),"A")</f>
        <v>A</v>
      </c>
      <c r="R1850" s="3" t="str">
        <f>IFERROR(__xludf.DUMMYFUNCTION("""COMPUTED_VALUE"""),"Small Format")</f>
        <v>Small Format</v>
      </c>
      <c r="S1850" s="3" t="str">
        <f>IFERROR(__xludf.DUMMYFUNCTION("""COMPUTED_VALUE"""),"BCM")</f>
        <v>BCM</v>
      </c>
      <c r="T1850" s="3" t="str">
        <f>IFERROR(__xludf.DUMMYFUNCTION("""COMPUTED_VALUE"""),"#N/A")</f>
        <v>#N/A</v>
      </c>
      <c r="U1850" s="3" t="str">
        <f>IFERROR(__xludf.DUMMYFUNCTION("""COMPUTED_VALUE"""),"#N/A")</f>
        <v>#N/A</v>
      </c>
      <c r="V1850" s="3" t="str">
        <f>IFERROR(__xludf.DUMMYFUNCTION("""COMPUTED_VALUE"""),"N")</f>
        <v>N</v>
      </c>
      <c r="W1850" s="3">
        <f>IFERROR(__xludf.DUMMYFUNCTION("""COMPUTED_VALUE"""),210642.0)</f>
        <v>210642</v>
      </c>
      <c r="X1850" s="3" t="str">
        <f>IFERROR(__xludf.DUMMYFUNCTION("""COMPUTED_VALUE"""),"3 ซอย7 ถนนสุขเกษม ตำบลป่าตัน อำเภอเมืองเชียงใหม่ จังหวัดเชียงใหม่ 50300")</f>
        <v>3 ซอย7 ถนนสุขเกษม ตำบลป่าตัน อำเภอเมืองเชียงใหม่ จังหวัดเชียงใหม่ 50300</v>
      </c>
      <c r="Y1850" s="3" t="str">
        <f>IFERROR(__xludf.DUMMYFUNCTION("""COMPUTED_VALUE"""),"สุขเกษม")</f>
        <v>สุขเกษม</v>
      </c>
      <c r="Z1850" s="3" t="str">
        <f>IFERROR(__xludf.DUMMYFUNCTION("""COMPUTED_VALUE"""),"ป่าตัน")</f>
        <v>ป่าตัน</v>
      </c>
      <c r="AA1850" s="3" t="str">
        <f>IFERROR(__xludf.DUMMYFUNCTION("""COMPUTED_VALUE"""),"เมืองเชียงใหม่")</f>
        <v>เมืองเชียงใหม่</v>
      </c>
      <c r="AB1850" s="3" t="str">
        <f>IFERROR(__xludf.DUMMYFUNCTION("""COMPUTED_VALUE"""),"เชียงใหม่")</f>
        <v>เชียงใหม่</v>
      </c>
      <c r="AC1850" s="3">
        <f>IFERROR(__xludf.DUMMYFUNCTION("""COMPUTED_VALUE"""),50300.0)</f>
        <v>50300</v>
      </c>
      <c r="AD1850" s="3">
        <f>IFERROR(__xludf.DUMMYFUNCTION("""COMPUTED_VALUE"""),18.817839)</f>
        <v>18.817839</v>
      </c>
      <c r="AE1850" s="3">
        <f>IFERROR(__xludf.DUMMYFUNCTION("""COMPUTED_VALUE"""),98.991954)</f>
        <v>98.991954</v>
      </c>
      <c r="AF1850" s="3" t="str">
        <f>IFERROR(__xludf.DUMMYFUNCTION("""COMPUTED_VALUE"""),"BCM ซอยสุขเกษม7 เชียงใหม่-22536")</f>
        <v>BCM ซอยสุขเกษม7 เชียงใหม่-22536</v>
      </c>
      <c r="AG1850" s="3" t="str">
        <f>IFERROR(__xludf.DUMMYFUNCTION("""COMPUTED_VALUE"""),"เหนือ")</f>
        <v>เหนือ</v>
      </c>
      <c r="AH1850" s="3" t="str">
        <f>IFERROR(__xludf.DUMMYFUNCTION("""COMPUTED_VALUE"""),"#N/A")</f>
        <v>#N/A</v>
      </c>
      <c r="AI1850" s="3" t="str">
        <f>IFERROR(__xludf.DUMMYFUNCTION("""COMPUTED_VALUE"""),"Out of warranty")</f>
        <v>Out of warranty</v>
      </c>
      <c r="AJ1850" s="3">
        <f>IFERROR(__xludf.DUMMYFUNCTION("""COMPUTED_VALUE"""),33.0)</f>
        <v>33</v>
      </c>
      <c r="AK1850" s="3" t="str">
        <f>IFERROR(__xludf.DUMMYFUNCTION("""COMPUTED_VALUE"""),"MMS10")</f>
        <v>MMS10</v>
      </c>
      <c r="AL1850" s="3"/>
    </row>
    <row r="1851" ht="15.75" customHeight="1">
      <c r="A1851" s="1" t="str">
        <f>IFERROR(__xludf.DUMMYFUNCTION("""COMPUTED_VALUE"""),"22537")</f>
        <v>22537</v>
      </c>
      <c r="B1851" s="2">
        <f>IFERROR(__xludf.DUMMYFUNCTION("""COMPUTED_VALUE"""),22537.0)</f>
        <v>22537</v>
      </c>
      <c r="C1851" s="3" t="str">
        <f>IFERROR(__xludf.DUMMYFUNCTION("""COMPUTED_VALUE"""),"BCM เดว่าสิริโสธร ฉะเชิงเทรา")</f>
        <v>BCM เดว่าสิริโสธร ฉะเชิงเทรา</v>
      </c>
      <c r="D1851" s="3" t="str">
        <f>IFERROR(__xludf.DUMMYFUNCTION("""COMPUTED_VALUE"""),"BCM DEVA SIRISOTHON")</f>
        <v>BCM DEVA SIRISOTHON</v>
      </c>
      <c r="E1851" s="1" t="str">
        <f>IFERROR(__xludf.DUMMYFUNCTION("""COMPUTED_VALUE"""),"บิ๊กซี MINI")</f>
        <v>บิ๊กซี MINI</v>
      </c>
      <c r="F1851" s="1" t="str">
        <f>IFERROR(__xludf.DUMMYFUNCTION("""COMPUTED_VALUE"""),"2083447")</f>
        <v>2083447</v>
      </c>
      <c r="G1851" s="1" t="str">
        <f>IFERROR(__xludf.DUMMYFUNCTION("""COMPUTED_VALUE"""),"นายอนุกูล ศรีลัดดา")</f>
        <v>นายอนุกูล ศรีลัดดา</v>
      </c>
      <c r="H1851" s="1" t="str">
        <f>IFERROR(__xludf.DUMMYFUNCTION("""COMPUTED_VALUE"""),"254957")</f>
        <v>254957</v>
      </c>
      <c r="I1851" s="1" t="str">
        <f>IFERROR(__xludf.DUMMYFUNCTION("""COMPUTED_VALUE"""),"น.ส.ศิริพร รุ่งธัญญา")</f>
        <v>น.ส.ศิริพร รุ่งธัญญา</v>
      </c>
      <c r="J1851" s="3">
        <f>IFERROR(__xludf.DUMMYFUNCTION("""COMPUTED_VALUE"""),510143.0)</f>
        <v>510143</v>
      </c>
      <c r="K1851" s="3" t="str">
        <f>IFERROR(__xludf.DUMMYFUNCTION("""COMPUTED_VALUE"""),"นายธีระวัฒน์ บุญสิทธิ์")</f>
        <v>นายธีระวัฒน์ บุญสิทธิ์</v>
      </c>
      <c r="L1851" s="1" t="str">
        <f>IFERROR(__xludf.DUMMYFUNCTION("""COMPUTED_VALUE"""),"12 K.Theerawat B.")</f>
        <v>12 K.Theerawat B.</v>
      </c>
      <c r="M1851" s="1" t="str">
        <f>IFERROR(__xludf.DUMMYFUNCTION("""COMPUTED_VALUE"""),"0655107379")</f>
        <v>0655107379</v>
      </c>
      <c r="N1851" s="3">
        <f>IFERROR(__xludf.DUMMYFUNCTION("""COMPUTED_VALUE"""),21062.0)</f>
        <v>21062</v>
      </c>
      <c r="O1851" s="3" t="str">
        <f>IFERROR(__xludf.DUMMYFUNCTION("""COMPUTED_VALUE"""),"MBC นิคมนวนคร")</f>
        <v>MBC นิคมนวนคร</v>
      </c>
      <c r="P1851" s="4">
        <f>IFERROR(__xludf.DUMMYFUNCTION("""COMPUTED_VALUE"""),45048.0)</f>
        <v>45048</v>
      </c>
      <c r="Q1851" s="3" t="str">
        <f>IFERROR(__xludf.DUMMYFUNCTION("""COMPUTED_VALUE"""),"A")</f>
        <v>A</v>
      </c>
      <c r="R1851" s="3" t="str">
        <f>IFERROR(__xludf.DUMMYFUNCTION("""COMPUTED_VALUE"""),"Small Format")</f>
        <v>Small Format</v>
      </c>
      <c r="S1851" s="3" t="str">
        <f>IFERROR(__xludf.DUMMYFUNCTION("""COMPUTED_VALUE"""),"BCM")</f>
        <v>BCM</v>
      </c>
      <c r="T1851" s="3" t="str">
        <f>IFERROR(__xludf.DUMMYFUNCTION("""COMPUTED_VALUE"""),"#N/A")</f>
        <v>#N/A</v>
      </c>
      <c r="U1851" s="3" t="str">
        <f>IFERROR(__xludf.DUMMYFUNCTION("""COMPUTED_VALUE"""),"#N/A")</f>
        <v>#N/A</v>
      </c>
      <c r="V1851" s="3" t="str">
        <f>IFERROR(__xludf.DUMMYFUNCTION("""COMPUTED_VALUE"""),"N")</f>
        <v>N</v>
      </c>
      <c r="W1851" s="3">
        <f>IFERROR(__xludf.DUMMYFUNCTION("""COMPUTED_VALUE"""),210624.0)</f>
        <v>210624</v>
      </c>
      <c r="X1851" s="3" t="str">
        <f>IFERROR(__xludf.DUMMYFUNCTION("""COMPUTED_VALUE"""),"106/10 หมู่7 ตำบลบางพระ อำเภอเมืองฉะเชิงเทรา จังหวัดฉะเชิงเทรา 24000")</f>
        <v>106/10 หมู่7 ตำบลบางพระ อำเภอเมืองฉะเชิงเทรา จังหวัดฉะเชิงเทรา 24000</v>
      </c>
      <c r="Y1851" s="3"/>
      <c r="Z1851" s="3" t="str">
        <f>IFERROR(__xludf.DUMMYFUNCTION("""COMPUTED_VALUE"""),"บางพระ")</f>
        <v>บางพระ</v>
      </c>
      <c r="AA1851" s="3" t="str">
        <f>IFERROR(__xludf.DUMMYFUNCTION("""COMPUTED_VALUE"""),"เมืองฉะเชิงเทรา")</f>
        <v>เมืองฉะเชิงเทรา</v>
      </c>
      <c r="AB1851" s="3" t="str">
        <f>IFERROR(__xludf.DUMMYFUNCTION("""COMPUTED_VALUE"""),"ฉะเชิงเทรา")</f>
        <v>ฉะเชิงเทรา</v>
      </c>
      <c r="AC1851" s="3">
        <f>IFERROR(__xludf.DUMMYFUNCTION("""COMPUTED_VALUE"""),24000.0)</f>
        <v>24000</v>
      </c>
      <c r="AD1851" s="3">
        <f>IFERROR(__xludf.DUMMYFUNCTION("""COMPUTED_VALUE"""),13.642893)</f>
        <v>13.642893</v>
      </c>
      <c r="AE1851" s="3">
        <f>IFERROR(__xludf.DUMMYFUNCTION("""COMPUTED_VALUE"""),101.043378)</f>
        <v>101.043378</v>
      </c>
      <c r="AF1851" s="3" t="str">
        <f>IFERROR(__xludf.DUMMYFUNCTION("""COMPUTED_VALUE"""),"BCM เดว่าสิริโสธร ฉะเชิงเทรา-22537")</f>
        <v>BCM เดว่าสิริโสธร ฉะเชิงเทรา-22537</v>
      </c>
      <c r="AG1851" s="3" t="str">
        <f>IFERROR(__xludf.DUMMYFUNCTION("""COMPUTED_VALUE"""),"ตะวันออก")</f>
        <v>ตะวันออก</v>
      </c>
      <c r="AH1851" s="3" t="str">
        <f>IFERROR(__xludf.DUMMYFUNCTION("""COMPUTED_VALUE"""),"#N/A")</f>
        <v>#N/A</v>
      </c>
      <c r="AI1851" s="3" t="str">
        <f>IFERROR(__xludf.DUMMYFUNCTION("""COMPUTED_VALUE"""),"Out of warranty")</f>
        <v>Out of warranty</v>
      </c>
      <c r="AJ1851" s="3">
        <f>IFERROR(__xludf.DUMMYFUNCTION("""COMPUTED_VALUE"""),33.0)</f>
        <v>33</v>
      </c>
      <c r="AK1851" s="3" t="str">
        <f>IFERROR(__xludf.DUMMYFUNCTION("""COMPUTED_VALUE"""),"MMS07")</f>
        <v>MMS07</v>
      </c>
      <c r="AL1851" s="3"/>
    </row>
    <row r="1852" ht="15.75" customHeight="1">
      <c r="A1852" s="1" t="str">
        <f>IFERROR(__xludf.DUMMYFUNCTION("""COMPUTED_VALUE"""),"22538")</f>
        <v>22538</v>
      </c>
      <c r="B1852" s="2">
        <f>IFERROR(__xludf.DUMMYFUNCTION("""COMPUTED_VALUE"""),22538.0)</f>
        <v>22538</v>
      </c>
      <c r="C1852" s="3" t="str">
        <f>IFERROR(__xludf.DUMMYFUNCTION("""COMPUTED_VALUE"""),"BCM ถ.ชักพระ กรุงเทพฯ")</f>
        <v>BCM ถ.ชักพระ กรุงเทพฯ</v>
      </c>
      <c r="D1852" s="3" t="str">
        <f>IFERROR(__xludf.DUMMYFUNCTION("""COMPUTED_VALUE"""),"BCM THANON CHAK PHRA BANGKOK")</f>
        <v>BCM THANON CHAK PHRA BANGKOK</v>
      </c>
      <c r="E1852" s="1" t="str">
        <f>IFERROR(__xludf.DUMMYFUNCTION("""COMPUTED_VALUE"""),"บิ๊กซี MINI")</f>
        <v>บิ๊กซี MINI</v>
      </c>
      <c r="F1852" s="1" t="str">
        <f>IFERROR(__xludf.DUMMYFUNCTION("""COMPUTED_VALUE"""),"291008")</f>
        <v>291008</v>
      </c>
      <c r="G1852" s="1" t="str">
        <f>IFERROR(__xludf.DUMMYFUNCTION("""COMPUTED_VALUE"""),"น.ส.รัชดาพร อีศรัตน์")</f>
        <v>น.ส.รัชดาพร อีศรัตน์</v>
      </c>
      <c r="H1852" s="1" t="str">
        <f>IFERROR(__xludf.DUMMYFUNCTION("""COMPUTED_VALUE"""),"291101")</f>
        <v>291101</v>
      </c>
      <c r="I1852" s="1" t="str">
        <f>IFERROR(__xludf.DUMMYFUNCTION("""COMPUTED_VALUE"""),"นายจักรพงศ์ โพธิ์ศรี")</f>
        <v>นายจักรพงศ์ โพธิ์ศรี</v>
      </c>
      <c r="J1852" s="3">
        <f>IFERROR(__xludf.DUMMYFUNCTION("""COMPUTED_VALUE"""),296608.0)</f>
        <v>296608</v>
      </c>
      <c r="K1852" s="3" t="str">
        <f>IFERROR(__xludf.DUMMYFUNCTION("""COMPUTED_VALUE"""),"นายภาคภูมิ เพ็ชรนิล")</f>
        <v>นายภาคภูมิ เพ็ชรนิล</v>
      </c>
      <c r="L1852" s="1" t="str">
        <f>IFERROR(__xludf.DUMMYFUNCTION("""COMPUTED_VALUE"""),"10 K.Phakphoom P.")</f>
        <v>10 K.Phakphoom P.</v>
      </c>
      <c r="M1852" s="1" t="str">
        <f>IFERROR(__xludf.DUMMYFUNCTION("""COMPUTED_VALUE"""),"063-8955329")</f>
        <v>063-8955329</v>
      </c>
      <c r="N1852" s="3">
        <f>IFERROR(__xludf.DUMMYFUNCTION("""COMPUTED_VALUE"""),22584.0)</f>
        <v>22584</v>
      </c>
      <c r="O1852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852" s="4">
        <f>IFERROR(__xludf.DUMMYFUNCTION("""COMPUTED_VALUE"""),45056.0)</f>
        <v>45056</v>
      </c>
      <c r="Q1852" s="3" t="str">
        <f>IFERROR(__xludf.DUMMYFUNCTION("""COMPUTED_VALUE"""),"A")</f>
        <v>A</v>
      </c>
      <c r="R1852" s="3" t="str">
        <f>IFERROR(__xludf.DUMMYFUNCTION("""COMPUTED_VALUE"""),"Small Format")</f>
        <v>Small Format</v>
      </c>
      <c r="S1852" s="3" t="str">
        <f>IFERROR(__xludf.DUMMYFUNCTION("""COMPUTED_VALUE"""),"BCM")</f>
        <v>BCM</v>
      </c>
      <c r="T1852" s="3" t="str">
        <f>IFERROR(__xludf.DUMMYFUNCTION("""COMPUTED_VALUE"""),"#N/A")</f>
        <v>#N/A</v>
      </c>
      <c r="U1852" s="3" t="str">
        <f>IFERROR(__xludf.DUMMYFUNCTION("""COMPUTED_VALUE"""),"#N/A")</f>
        <v>#N/A</v>
      </c>
      <c r="V1852" s="3" t="str">
        <f>IFERROR(__xludf.DUMMYFUNCTION("""COMPUTED_VALUE"""),"N")</f>
        <v>N</v>
      </c>
      <c r="W1852" s="3">
        <f>IFERROR(__xludf.DUMMYFUNCTION("""COMPUTED_VALUE"""),210586.0)</f>
        <v>210586</v>
      </c>
      <c r="X1852" s="3" t="str">
        <f>IFERROR(__xludf.DUMMYFUNCTION("""COMPUTED_VALUE"""),"101/2 ถนนชักพระ แขวงคลองชักพระ เขตตลิ่งชัน จังหวัดกรุงเทพมหานคร 10170")</f>
        <v>101/2 ถนนชักพระ แขวงคลองชักพระ เขตตลิ่งชัน จังหวัดกรุงเทพมหานคร 10170</v>
      </c>
      <c r="Y1852" s="3" t="str">
        <f>IFERROR(__xludf.DUMMYFUNCTION("""COMPUTED_VALUE"""),"ชักพระ")</f>
        <v>ชักพระ</v>
      </c>
      <c r="Z1852" s="3" t="str">
        <f>IFERROR(__xludf.DUMMYFUNCTION("""COMPUTED_VALUE"""),"คลองชักพระ")</f>
        <v>คลองชักพระ</v>
      </c>
      <c r="AA1852" s="3" t="str">
        <f>IFERROR(__xludf.DUMMYFUNCTION("""COMPUTED_VALUE"""),"ตลิ่งชัน")</f>
        <v>ตลิ่งชัน</v>
      </c>
      <c r="AB1852" s="3" t="str">
        <f>IFERROR(__xludf.DUMMYFUNCTION("""COMPUTED_VALUE"""),"กรุงเทพมหานคร")</f>
        <v>กรุงเทพมหานคร</v>
      </c>
      <c r="AC1852" s="3">
        <f>IFERROR(__xludf.DUMMYFUNCTION("""COMPUTED_VALUE"""),10170.0)</f>
        <v>10170</v>
      </c>
      <c r="AD1852" s="3">
        <f>IFERROR(__xludf.DUMMYFUNCTION("""COMPUTED_VALUE"""),13.779626)</f>
        <v>13.779626</v>
      </c>
      <c r="AE1852" s="3">
        <f>IFERROR(__xludf.DUMMYFUNCTION("""COMPUTED_VALUE"""),100.458658)</f>
        <v>100.458658</v>
      </c>
      <c r="AF1852" s="3" t="str">
        <f>IFERROR(__xludf.DUMMYFUNCTION("""COMPUTED_VALUE"""),"BCM ถ.ชักพระ กรุงเทพฯ-22538")</f>
        <v>BCM ถ.ชักพระ กรุงเทพฯ-22538</v>
      </c>
      <c r="AG1852" s="3" t="str">
        <f>IFERROR(__xludf.DUMMYFUNCTION("""COMPUTED_VALUE"""),"กลาง")</f>
        <v>กลาง</v>
      </c>
      <c r="AH1852" s="3" t="str">
        <f>IFERROR(__xludf.DUMMYFUNCTION("""COMPUTED_VALUE"""),"#N/A")</f>
        <v>#N/A</v>
      </c>
      <c r="AI1852" s="3" t="str">
        <f>IFERROR(__xludf.DUMMYFUNCTION("""COMPUTED_VALUE"""),"Out of warranty")</f>
        <v>Out of warranty</v>
      </c>
      <c r="AJ1852" s="3">
        <f>IFERROR(__xludf.DUMMYFUNCTION("""COMPUTED_VALUE"""),33.0)</f>
        <v>33</v>
      </c>
      <c r="AK1852" s="3" t="str">
        <f>IFERROR(__xludf.DUMMYFUNCTION("""COMPUTED_VALUE"""),"MMS01")</f>
        <v>MMS01</v>
      </c>
      <c r="AL1852" s="3"/>
    </row>
    <row r="1853" ht="15.75" customHeight="1">
      <c r="A1853" s="1" t="str">
        <f>IFERROR(__xludf.DUMMYFUNCTION("""COMPUTED_VALUE"""),"22539")</f>
        <v>22539</v>
      </c>
      <c r="B1853" s="2">
        <f>IFERROR(__xludf.DUMMYFUNCTION("""COMPUTED_VALUE"""),22539.0)</f>
        <v>22539</v>
      </c>
      <c r="C1853" s="3" t="str">
        <f>IFERROR(__xludf.DUMMYFUNCTION("""COMPUTED_VALUE"""),"BCM หาดใหญ่บัสสเตชั่น สงขลา")</f>
        <v>BCM หาดใหญ่บัสสเตชั่น สงขลา</v>
      </c>
      <c r="D1853" s="3" t="str">
        <f>IFERROR(__xludf.DUMMYFUNCTION("""COMPUTED_VALUE"""),"BCM HAT YAI BUS STATION")</f>
        <v>BCM HAT YAI BUS STATION</v>
      </c>
      <c r="E1853" s="1" t="str">
        <f>IFERROR(__xludf.DUMMYFUNCTION("""COMPUTED_VALUE"""),"บิ๊กซี MINI")</f>
        <v>บิ๊กซี MINI</v>
      </c>
      <c r="F1853" s="1" t="str">
        <f>IFERROR(__xludf.DUMMYFUNCTION("""COMPUTED_VALUE"""),"250760")</f>
        <v>250760</v>
      </c>
      <c r="G1853" s="1" t="str">
        <f>IFERROR(__xludf.DUMMYFUNCTION("""COMPUTED_VALUE"""),"นายประทวน สาราบรรณ์")</f>
        <v>นายประทวน สาราบรรณ์</v>
      </c>
      <c r="H1853" s="1" t="str">
        <f>IFERROR(__xludf.DUMMYFUNCTION("""COMPUTED_VALUE"""),"394100")</f>
        <v>394100</v>
      </c>
      <c r="I1853" s="1" t="str">
        <f>IFERROR(__xludf.DUMMYFUNCTION("""COMPUTED_VALUE"""),"นายไพโรจน์ ถิระผะลิกะ")</f>
        <v>นายไพโรจน์ ถิระผะลิกะ</v>
      </c>
      <c r="J1853" s="3">
        <f>IFERROR(__xludf.DUMMYFUNCTION("""COMPUTED_VALUE"""),2.0470331E7)</f>
        <v>20470331</v>
      </c>
      <c r="K1853" s="3" t="str">
        <f>IFERROR(__xludf.DUMMYFUNCTION("""COMPUTED_VALUE"""),"นายสมชาย ลักษณะสุวรรณ")</f>
        <v>นายสมชาย ลักษณะสุวรรณ</v>
      </c>
      <c r="L1853" s="1" t="str">
        <f>IFERROR(__xludf.DUMMYFUNCTION("""COMPUTED_VALUE"""),"15 K.Somchai L")</f>
        <v>15 K.Somchai L</v>
      </c>
      <c r="M1853" s="1" t="str">
        <f>IFERROR(__xludf.DUMMYFUNCTION("""COMPUTED_VALUE"""),"0655107372")</f>
        <v>0655107372</v>
      </c>
      <c r="N1853" s="3">
        <f>IFERROR(__xludf.DUMMYFUNCTION("""COMPUTED_VALUE"""),21723.0)</f>
        <v>21723</v>
      </c>
      <c r="O1853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853" s="4">
        <f>IFERROR(__xludf.DUMMYFUNCTION("""COMPUTED_VALUE"""),45061.0)</f>
        <v>45061</v>
      </c>
      <c r="Q1853" s="3" t="str">
        <f>IFERROR(__xludf.DUMMYFUNCTION("""COMPUTED_VALUE"""),"A")</f>
        <v>A</v>
      </c>
      <c r="R1853" s="3" t="str">
        <f>IFERROR(__xludf.DUMMYFUNCTION("""COMPUTED_VALUE"""),"Small Format")</f>
        <v>Small Format</v>
      </c>
      <c r="S1853" s="3" t="str">
        <f>IFERROR(__xludf.DUMMYFUNCTION("""COMPUTED_VALUE"""),"BCM")</f>
        <v>BCM</v>
      </c>
      <c r="T1853" s="3" t="str">
        <f>IFERROR(__xludf.DUMMYFUNCTION("""COMPUTED_VALUE"""),"#N/A")</f>
        <v>#N/A</v>
      </c>
      <c r="U1853" s="3" t="str">
        <f>IFERROR(__xludf.DUMMYFUNCTION("""COMPUTED_VALUE"""),"#N/A")</f>
        <v>#N/A</v>
      </c>
      <c r="V1853" s="3" t="str">
        <f>IFERROR(__xludf.DUMMYFUNCTION("""COMPUTED_VALUE"""),"N")</f>
        <v>N</v>
      </c>
      <c r="W1853" s="3">
        <f>IFERROR(__xludf.DUMMYFUNCTION("""COMPUTED_VALUE"""),210625.0)</f>
        <v>210625</v>
      </c>
      <c r="X1853" s="3" t="str">
        <f>IFERROR(__xludf.DUMMYFUNCTION("""COMPUTED_VALUE"""),"202,204 ถนนโชติวิทยะกุล5 ตำบลหาดใหญ่ อำเภอหาดใหญ่ จังหวัดสงขลา 90110")</f>
        <v>202,204 ถนนโชติวิทยะกุล5 ตำบลหาดใหญ่ อำเภอหาดใหญ่ จังหวัดสงขลา 90110</v>
      </c>
      <c r="Y1853" s="3" t="str">
        <f>IFERROR(__xludf.DUMMYFUNCTION("""COMPUTED_VALUE"""),"โชติวิทยะกุล5")</f>
        <v>โชติวิทยะกุล5</v>
      </c>
      <c r="Z1853" s="3" t="str">
        <f>IFERROR(__xludf.DUMMYFUNCTION("""COMPUTED_VALUE"""),"หาดใหญ่")</f>
        <v>หาดใหญ่</v>
      </c>
      <c r="AA1853" s="3" t="str">
        <f>IFERROR(__xludf.DUMMYFUNCTION("""COMPUTED_VALUE"""),"หาดใหญ่")</f>
        <v>หาดใหญ่</v>
      </c>
      <c r="AB1853" s="3" t="str">
        <f>IFERROR(__xludf.DUMMYFUNCTION("""COMPUTED_VALUE"""),"สงขลา")</f>
        <v>สงขลา</v>
      </c>
      <c r="AC1853" s="3">
        <f>IFERROR(__xludf.DUMMYFUNCTION("""COMPUTED_VALUE"""),90110.0)</f>
        <v>90110</v>
      </c>
      <c r="AD1853" s="3">
        <f>IFERROR(__xludf.DUMMYFUNCTION("""COMPUTED_VALUE"""),6.995034)</f>
        <v>6.995034</v>
      </c>
      <c r="AE1853" s="3">
        <f>IFERROR(__xludf.DUMMYFUNCTION("""COMPUTED_VALUE"""),100.481805)</f>
        <v>100.481805</v>
      </c>
      <c r="AF1853" s="3" t="str">
        <f>IFERROR(__xludf.DUMMYFUNCTION("""COMPUTED_VALUE"""),"BCM หาดใหญ่บัสสเตชั่น สงขลา-22539")</f>
        <v>BCM หาดใหญ่บัสสเตชั่น สงขลา-22539</v>
      </c>
      <c r="AG1853" s="3" t="str">
        <f>IFERROR(__xludf.DUMMYFUNCTION("""COMPUTED_VALUE"""),"ใต้")</f>
        <v>ใต้</v>
      </c>
      <c r="AH1853" s="3" t="str">
        <f>IFERROR(__xludf.DUMMYFUNCTION("""COMPUTED_VALUE"""),"#N/A")</f>
        <v>#N/A</v>
      </c>
      <c r="AI1853" s="3" t="str">
        <f>IFERROR(__xludf.DUMMYFUNCTION("""COMPUTED_VALUE"""),"Out of warranty")</f>
        <v>Out of warranty</v>
      </c>
      <c r="AJ1853" s="3">
        <f>IFERROR(__xludf.DUMMYFUNCTION("""COMPUTED_VALUE"""),33.0)</f>
        <v>33</v>
      </c>
      <c r="AK1853" s="3" t="str">
        <f>IFERROR(__xludf.DUMMYFUNCTION("""COMPUTED_VALUE"""),"MMS16")</f>
        <v>MMS16</v>
      </c>
      <c r="AL1853" s="3"/>
    </row>
    <row r="1854" ht="15.75" customHeight="1">
      <c r="A1854" s="1" t="str">
        <f>IFERROR(__xludf.DUMMYFUNCTION("""COMPUTED_VALUE"""),"22540")</f>
        <v>22540</v>
      </c>
      <c r="B1854" s="2">
        <f>IFERROR(__xludf.DUMMYFUNCTION("""COMPUTED_VALUE"""),22540.0)</f>
        <v>22540</v>
      </c>
      <c r="C1854" s="3" t="str">
        <f>IFERROR(__xludf.DUMMYFUNCTION("""COMPUTED_VALUE"""),"BCM ถ.ราษฎร์อุทิศ1 สงขลา")</f>
        <v>BCM ถ.ราษฎร์อุทิศ1 สงขลา</v>
      </c>
      <c r="D1854" s="3" t="str">
        <f>IFERROR(__xludf.DUMMYFUNCTION("""COMPUTED_VALUE"""),"BCM THANON RAT UTHIT1 SONGKHLA")</f>
        <v>BCM THANON RAT UTHIT1 SONGKHLA</v>
      </c>
      <c r="E1854" s="1" t="str">
        <f>IFERROR(__xludf.DUMMYFUNCTION("""COMPUTED_VALUE"""),"บิ๊กซี MINI")</f>
        <v>บิ๊กซี MINI</v>
      </c>
      <c r="F1854" s="1" t="str">
        <f>IFERROR(__xludf.DUMMYFUNCTION("""COMPUTED_VALUE"""),"250760")</f>
        <v>250760</v>
      </c>
      <c r="G1854" s="1" t="str">
        <f>IFERROR(__xludf.DUMMYFUNCTION("""COMPUTED_VALUE"""),"นายประทวน สาราบรรณ์")</f>
        <v>นายประทวน สาราบรรณ์</v>
      </c>
      <c r="H1854" s="1" t="str">
        <f>IFERROR(__xludf.DUMMYFUNCTION("""COMPUTED_VALUE"""),"394185")</f>
        <v>394185</v>
      </c>
      <c r="I1854" s="1" t="str">
        <f>IFERROR(__xludf.DUMMYFUNCTION("""COMPUTED_VALUE"""),"น.ส.ฐาปนี สุวรรณรัตน์")</f>
        <v>น.ส.ฐาปนี สุวรรณรัตน์</v>
      </c>
      <c r="J1854" s="3">
        <f>IFERROR(__xludf.DUMMYFUNCTION("""COMPUTED_VALUE"""),2.0470331E7)</f>
        <v>20470331</v>
      </c>
      <c r="K1854" s="3" t="str">
        <f>IFERROR(__xludf.DUMMYFUNCTION("""COMPUTED_VALUE"""),"นายสมชาย ลักษณะสุวรรณ")</f>
        <v>นายสมชาย ลักษณะสุวรรณ</v>
      </c>
      <c r="L1854" s="1" t="str">
        <f>IFERROR(__xludf.DUMMYFUNCTION("""COMPUTED_VALUE"""),"15 K.Somchai L")</f>
        <v>15 K.Somchai L</v>
      </c>
      <c r="M1854" s="1" t="str">
        <f>IFERROR(__xludf.DUMMYFUNCTION("""COMPUTED_VALUE"""),"0655107372")</f>
        <v>0655107372</v>
      </c>
      <c r="N1854" s="3">
        <f>IFERROR(__xludf.DUMMYFUNCTION("""COMPUTED_VALUE"""),21723.0)</f>
        <v>21723</v>
      </c>
      <c r="O1854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854" s="4">
        <f>IFERROR(__xludf.DUMMYFUNCTION("""COMPUTED_VALUE"""),45061.0)</f>
        <v>45061</v>
      </c>
      <c r="Q1854" s="3" t="str">
        <f>IFERROR(__xludf.DUMMYFUNCTION("""COMPUTED_VALUE"""),"A")</f>
        <v>A</v>
      </c>
      <c r="R1854" s="3" t="str">
        <f>IFERROR(__xludf.DUMMYFUNCTION("""COMPUTED_VALUE"""),"Small Format")</f>
        <v>Small Format</v>
      </c>
      <c r="S1854" s="3" t="str">
        <f>IFERROR(__xludf.DUMMYFUNCTION("""COMPUTED_VALUE"""),"BCM")</f>
        <v>BCM</v>
      </c>
      <c r="T1854" s="3" t="str">
        <f>IFERROR(__xludf.DUMMYFUNCTION("""COMPUTED_VALUE"""),"#N/A")</f>
        <v>#N/A</v>
      </c>
      <c r="U1854" s="3" t="str">
        <f>IFERROR(__xludf.DUMMYFUNCTION("""COMPUTED_VALUE"""),"#N/A")</f>
        <v>#N/A</v>
      </c>
      <c r="V1854" s="3" t="str">
        <f>IFERROR(__xludf.DUMMYFUNCTION("""COMPUTED_VALUE"""),"N")</f>
        <v>N</v>
      </c>
      <c r="W1854" s="3">
        <f>IFERROR(__xludf.DUMMYFUNCTION("""COMPUTED_VALUE"""),210639.0)</f>
        <v>210639</v>
      </c>
      <c r="X1854" s="3" t="str">
        <f>IFERROR(__xludf.DUMMYFUNCTION("""COMPUTED_VALUE"""),"254 ถนนราษฎร์อุทิศ1 ตำบลบ่อยาง อำเภอเมืองสงขลา จังหวัดสงขลา 90000")</f>
        <v>254 ถนนราษฎร์อุทิศ1 ตำบลบ่อยาง อำเภอเมืองสงขลา จังหวัดสงขลา 90000</v>
      </c>
      <c r="Y1854" s="3" t="str">
        <f>IFERROR(__xludf.DUMMYFUNCTION("""COMPUTED_VALUE"""),"ราษฎร์อุทิศ1")</f>
        <v>ราษฎร์อุทิศ1</v>
      </c>
      <c r="Z1854" s="3" t="str">
        <f>IFERROR(__xludf.DUMMYFUNCTION("""COMPUTED_VALUE"""),"บ่อยาง")</f>
        <v>บ่อยาง</v>
      </c>
      <c r="AA1854" s="3" t="str">
        <f>IFERROR(__xludf.DUMMYFUNCTION("""COMPUTED_VALUE"""),"เมืองสงขลา")</f>
        <v>เมืองสงขลา</v>
      </c>
      <c r="AB1854" s="3" t="str">
        <f>IFERROR(__xludf.DUMMYFUNCTION("""COMPUTED_VALUE"""),"สงขลา")</f>
        <v>สงขลา</v>
      </c>
      <c r="AC1854" s="3">
        <f>IFERROR(__xludf.DUMMYFUNCTION("""COMPUTED_VALUE"""),90000.0)</f>
        <v>90000</v>
      </c>
      <c r="AD1854" s="3">
        <f>IFERROR(__xludf.DUMMYFUNCTION("""COMPUTED_VALUE"""),7.17728)</f>
        <v>7.17728</v>
      </c>
      <c r="AE1854" s="3">
        <f>IFERROR(__xludf.DUMMYFUNCTION("""COMPUTED_VALUE"""),100.603602)</f>
        <v>100.603602</v>
      </c>
      <c r="AF1854" s="3" t="str">
        <f>IFERROR(__xludf.DUMMYFUNCTION("""COMPUTED_VALUE"""),"BCM ถ.ราษฎร์อุทิศ1 สงขลา-22540")</f>
        <v>BCM ถ.ราษฎร์อุทิศ1 สงขลา-22540</v>
      </c>
      <c r="AG1854" s="3" t="str">
        <f>IFERROR(__xludf.DUMMYFUNCTION("""COMPUTED_VALUE"""),"ใต้")</f>
        <v>ใต้</v>
      </c>
      <c r="AH1854" s="3" t="str">
        <f>IFERROR(__xludf.DUMMYFUNCTION("""COMPUTED_VALUE"""),"#N/A")</f>
        <v>#N/A</v>
      </c>
      <c r="AI1854" s="3" t="str">
        <f>IFERROR(__xludf.DUMMYFUNCTION("""COMPUTED_VALUE"""),"Out of warranty")</f>
        <v>Out of warranty</v>
      </c>
      <c r="AJ1854" s="3">
        <f>IFERROR(__xludf.DUMMYFUNCTION("""COMPUTED_VALUE"""),33.0)</f>
        <v>33</v>
      </c>
      <c r="AK1854" s="3" t="str">
        <f>IFERROR(__xludf.DUMMYFUNCTION("""COMPUTED_VALUE"""),"MMS16")</f>
        <v>MMS16</v>
      </c>
      <c r="AL1854" s="3"/>
    </row>
    <row r="1855" ht="15.75" customHeight="1">
      <c r="A1855" s="1" t="str">
        <f>IFERROR(__xludf.DUMMYFUNCTION("""COMPUTED_VALUE"""),"22541")</f>
        <v>22541</v>
      </c>
      <c r="B1855" s="2">
        <f>IFERROR(__xludf.DUMMYFUNCTION("""COMPUTED_VALUE"""),22541.0)</f>
        <v>22541</v>
      </c>
      <c r="C1855" s="3" t="str">
        <f>IFERROR(__xludf.DUMMYFUNCTION("""COMPUTED_VALUE"""),"BCM ทุ่งขนาน จันทบุรี")</f>
        <v>BCM ทุ่งขนาน จันทบุรี</v>
      </c>
      <c r="D1855" s="3" t="str">
        <f>IFERROR(__xludf.DUMMYFUNCTION("""COMPUTED_VALUE"""),"BCM THUNG KHANAN CHANTHABURI")</f>
        <v>BCM THUNG KHANAN CHANTHABURI</v>
      </c>
      <c r="E1855" s="1" t="str">
        <f>IFERROR(__xludf.DUMMYFUNCTION("""COMPUTED_VALUE"""),"บิ๊กซี MINI")</f>
        <v>บิ๊กซี MINI</v>
      </c>
      <c r="F1855" s="1" t="str">
        <f>IFERROR(__xludf.DUMMYFUNCTION("""COMPUTED_VALUE"""),"221716")</f>
        <v>221716</v>
      </c>
      <c r="G1855" s="1" t="str">
        <f>IFERROR(__xludf.DUMMYFUNCTION("""COMPUTED_VALUE"""),"น.ส.เบญจพร โพธิสาร")</f>
        <v>น.ส.เบญจพร โพธิสาร</v>
      </c>
      <c r="H1855" s="1" t="str">
        <f>IFERROR(__xludf.DUMMYFUNCTION("""COMPUTED_VALUE"""),"318151")</f>
        <v>318151</v>
      </c>
      <c r="I1855" s="1" t="str">
        <f>IFERROR(__xludf.DUMMYFUNCTION("""COMPUTED_VALUE"""),"นายพลฬกฤตต์ เนตมณี")</f>
        <v>นายพลฬกฤตต์ เนตมณี</v>
      </c>
      <c r="J1855" s="3">
        <f>IFERROR(__xludf.DUMMYFUNCTION("""COMPUTED_VALUE"""),2452376.0)</f>
        <v>2452376</v>
      </c>
      <c r="K1855" s="3" t="str">
        <f>IFERROR(__xludf.DUMMYFUNCTION("""COMPUTED_VALUE"""),"นายภาคภูมิ ทวีกุล")</f>
        <v>นายภาคภูมิ ทวีกุล</v>
      </c>
      <c r="L1855" s="1" t="str">
        <f>IFERROR(__xludf.DUMMYFUNCTION("""COMPUTED_VALUE"""),"08 K.Parkphum T.")</f>
        <v>08 K.Parkphum T.</v>
      </c>
      <c r="M1855" s="1" t="str">
        <f>IFERROR(__xludf.DUMMYFUNCTION("""COMPUTED_VALUE"""),"097-919-5476")</f>
        <v>097-919-5476</v>
      </c>
      <c r="N1855" s="3">
        <f>IFERROR(__xludf.DUMMYFUNCTION("""COMPUTED_VALUE"""),22028.0)</f>
        <v>22028</v>
      </c>
      <c r="O1855" s="3" t="str">
        <f>IFERROR(__xludf.DUMMYFUNCTION("""COMPUTED_VALUE"""),"MBC ทํบมา ระยอง")</f>
        <v>MBC ทํบมา ระยอง</v>
      </c>
      <c r="P1855" s="4">
        <f>IFERROR(__xludf.DUMMYFUNCTION("""COMPUTED_VALUE"""),45061.0)</f>
        <v>45061</v>
      </c>
      <c r="Q1855" s="3" t="str">
        <f>IFERROR(__xludf.DUMMYFUNCTION("""COMPUTED_VALUE"""),"A")</f>
        <v>A</v>
      </c>
      <c r="R1855" s="3" t="str">
        <f>IFERROR(__xludf.DUMMYFUNCTION("""COMPUTED_VALUE"""),"Small Format")</f>
        <v>Small Format</v>
      </c>
      <c r="S1855" s="3" t="str">
        <f>IFERROR(__xludf.DUMMYFUNCTION("""COMPUTED_VALUE"""),"BCM")</f>
        <v>BCM</v>
      </c>
      <c r="T1855" s="3" t="str">
        <f>IFERROR(__xludf.DUMMYFUNCTION("""COMPUTED_VALUE"""),"#N/A")</f>
        <v>#N/A</v>
      </c>
      <c r="U1855" s="3" t="str">
        <f>IFERROR(__xludf.DUMMYFUNCTION("""COMPUTED_VALUE"""),"#N/A")</f>
        <v>#N/A</v>
      </c>
      <c r="V1855" s="3" t="str">
        <f>IFERROR(__xludf.DUMMYFUNCTION("""COMPUTED_VALUE"""),"N")</f>
        <v>N</v>
      </c>
      <c r="W1855" s="3">
        <f>IFERROR(__xludf.DUMMYFUNCTION("""COMPUTED_VALUE"""),210638.0)</f>
        <v>210638</v>
      </c>
      <c r="X1855" s="3" t="str">
        <f>IFERROR(__xludf.DUMMYFUNCTION("""COMPUTED_VALUE"""),"266 หมู่1 ตำบลทุ่งขนาน อำเภอสอยดาว จังหวัดจันทบุรี 22180")</f>
        <v>266 หมู่1 ตำบลทุ่งขนาน อำเภอสอยดาว จังหวัดจันทบุรี 22180</v>
      </c>
      <c r="Y1855" s="3"/>
      <c r="Z1855" s="3" t="str">
        <f>IFERROR(__xludf.DUMMYFUNCTION("""COMPUTED_VALUE"""),"ทุ่งขนาน")</f>
        <v>ทุ่งขนาน</v>
      </c>
      <c r="AA1855" s="3" t="str">
        <f>IFERROR(__xludf.DUMMYFUNCTION("""COMPUTED_VALUE"""),"สอยดาว")</f>
        <v>สอยดาว</v>
      </c>
      <c r="AB1855" s="3" t="str">
        <f>IFERROR(__xludf.DUMMYFUNCTION("""COMPUTED_VALUE"""),"จันทบุรี")</f>
        <v>จันทบุรี</v>
      </c>
      <c r="AC1855" s="3">
        <f>IFERROR(__xludf.DUMMYFUNCTION("""COMPUTED_VALUE"""),22180.0)</f>
        <v>22180</v>
      </c>
      <c r="AD1855" s="3">
        <f>IFERROR(__xludf.DUMMYFUNCTION("""COMPUTED_VALUE"""),13.23704)</f>
        <v>13.23704</v>
      </c>
      <c r="AE1855" s="3">
        <f>IFERROR(__xludf.DUMMYFUNCTION("""COMPUTED_VALUE"""),102.277045)</f>
        <v>102.277045</v>
      </c>
      <c r="AF1855" s="3" t="str">
        <f>IFERROR(__xludf.DUMMYFUNCTION("""COMPUTED_VALUE"""),"BCM ทุ่งขนาน จันทบุรี-22541")</f>
        <v>BCM ทุ่งขนาน จันทบุรี-22541</v>
      </c>
      <c r="AG1855" s="3" t="str">
        <f>IFERROR(__xludf.DUMMYFUNCTION("""COMPUTED_VALUE"""),"ตะวันออก")</f>
        <v>ตะวันออก</v>
      </c>
      <c r="AH1855" s="3" t="str">
        <f>IFERROR(__xludf.DUMMYFUNCTION("""COMPUTED_VALUE"""),"#N/A")</f>
        <v>#N/A</v>
      </c>
      <c r="AI1855" s="3" t="str">
        <f>IFERROR(__xludf.DUMMYFUNCTION("""COMPUTED_VALUE"""),"Out of warranty")</f>
        <v>Out of warranty</v>
      </c>
      <c r="AJ1855" s="3">
        <f>IFERROR(__xludf.DUMMYFUNCTION("""COMPUTED_VALUE"""),33.0)</f>
        <v>33</v>
      </c>
      <c r="AK1855" s="3" t="str">
        <f>IFERROR(__xludf.DUMMYFUNCTION("""COMPUTED_VALUE"""),"MMS08")</f>
        <v>MMS08</v>
      </c>
      <c r="AL1855" s="3"/>
    </row>
    <row r="1856" ht="15.75" customHeight="1">
      <c r="A1856" s="1" t="str">
        <f>IFERROR(__xludf.DUMMYFUNCTION("""COMPUTED_VALUE"""),"22542")</f>
        <v>22542</v>
      </c>
      <c r="B1856" s="2">
        <f>IFERROR(__xludf.DUMMYFUNCTION("""COMPUTED_VALUE"""),22542.0)</f>
        <v>22542</v>
      </c>
      <c r="C1856" s="3" t="str">
        <f>IFERROR(__xludf.DUMMYFUNCTION("""COMPUTED_VALUE"""),"BCM ศรีธาตุ ขอนแก่น")</f>
        <v>BCM ศรีธาตุ ขอนแก่น</v>
      </c>
      <c r="D1856" s="3" t="str">
        <f>IFERROR(__xludf.DUMMYFUNCTION("""COMPUTED_VALUE"""),"BCM SRI THAT KHONKAEN")</f>
        <v>BCM SRI THAT KHONKAEN</v>
      </c>
      <c r="E1856" s="1" t="str">
        <f>IFERROR(__xludf.DUMMYFUNCTION("""COMPUTED_VALUE"""),"บิ๊กซี MINI")</f>
        <v>บิ๊กซี MINI</v>
      </c>
      <c r="F1856" s="1" t="str">
        <f>IFERROR(__xludf.DUMMYFUNCTION("""COMPUTED_VALUE"""),"291105")</f>
        <v>291105</v>
      </c>
      <c r="G1856" s="1" t="str">
        <f>IFERROR(__xludf.DUMMYFUNCTION("""COMPUTED_VALUE"""),"นายสราวุฒิ พณิชยกุล")</f>
        <v>นายสราวุฒิ พณิชยกุล</v>
      </c>
      <c r="H1856" s="1" t="str">
        <f>IFERROR(__xludf.DUMMYFUNCTION("""COMPUTED_VALUE"""),"305119")</f>
        <v>305119</v>
      </c>
      <c r="I1856" s="1" t="str">
        <f>IFERROR(__xludf.DUMMYFUNCTION("""COMPUTED_VALUE"""),"นายไชยกร ลีพิบูลย์สวัสดิ์")</f>
        <v>นายไชยกร ลีพิบูลย์สวัสดิ์</v>
      </c>
      <c r="J1856" s="3">
        <f>IFERROR(__xludf.DUMMYFUNCTION("""COMPUTED_VALUE"""),296868.0)</f>
        <v>296868</v>
      </c>
      <c r="K1856" s="3" t="str">
        <f>IFERROR(__xludf.DUMMYFUNCTION("""COMPUTED_VALUE"""),"นายพีระพงษ์ แก้วดวงดี")</f>
        <v>นายพีระพงษ์ แก้วดวงดี</v>
      </c>
      <c r="L1856" s="1" t="str">
        <f>IFERROR(__xludf.DUMMYFUNCTION("""COMPUTED_VALUE"""),"03 K.Peerapong K.")</f>
        <v>03 K.Peerapong K.</v>
      </c>
      <c r="M1856" s="1" t="str">
        <f>IFERROR(__xludf.DUMMYFUNCTION("""COMPUTED_VALUE"""),"089-002-6599")</f>
        <v>089-002-6599</v>
      </c>
      <c r="N1856" s="3">
        <f>IFERROR(__xludf.DUMMYFUNCTION("""COMPUTED_VALUE"""),21946.0)</f>
        <v>21946</v>
      </c>
      <c r="O1856" s="3" t="str">
        <f>IFERROR(__xludf.DUMMYFUNCTION("""COMPUTED_VALUE"""),"MBC เซกา บึงกาฬ")</f>
        <v>MBC เซกา บึงกาฬ</v>
      </c>
      <c r="P1856" s="4">
        <f>IFERROR(__xludf.DUMMYFUNCTION("""COMPUTED_VALUE"""),45070.0)</f>
        <v>45070</v>
      </c>
      <c r="Q1856" s="3" t="str">
        <f>IFERROR(__xludf.DUMMYFUNCTION("""COMPUTED_VALUE"""),"A")</f>
        <v>A</v>
      </c>
      <c r="R1856" s="3" t="str">
        <f>IFERROR(__xludf.DUMMYFUNCTION("""COMPUTED_VALUE"""),"Small Format")</f>
        <v>Small Format</v>
      </c>
      <c r="S1856" s="3" t="str">
        <f>IFERROR(__xludf.DUMMYFUNCTION("""COMPUTED_VALUE"""),"BCM")</f>
        <v>BCM</v>
      </c>
      <c r="T1856" s="3" t="str">
        <f>IFERROR(__xludf.DUMMYFUNCTION("""COMPUTED_VALUE"""),"#N/A")</f>
        <v>#N/A</v>
      </c>
      <c r="U1856" s="3" t="str">
        <f>IFERROR(__xludf.DUMMYFUNCTION("""COMPUTED_VALUE"""),"#N/A")</f>
        <v>#N/A</v>
      </c>
      <c r="V1856" s="3" t="str">
        <f>IFERROR(__xludf.DUMMYFUNCTION("""COMPUTED_VALUE"""),"N")</f>
        <v>N</v>
      </c>
      <c r="W1856" s="3">
        <f>IFERROR(__xludf.DUMMYFUNCTION("""COMPUTED_VALUE"""),210622.0)</f>
        <v>210622</v>
      </c>
      <c r="X1856" s="3" t="str">
        <f>IFERROR(__xludf.DUMMYFUNCTION("""COMPUTED_VALUE"""),"152/3 ถนนศรีธาตุประชาสันติ ตำบลในเมือง อำเภอเมืองขอนแก่น จังหวัดขอนแก่น 40000")</f>
        <v>152/3 ถนนศรีธาตุประชาสันติ ตำบลในเมือง อำเภอเมืองขอนแก่น จังหวัดขอนแก่น 40000</v>
      </c>
      <c r="Y1856" s="3" t="str">
        <f>IFERROR(__xludf.DUMMYFUNCTION("""COMPUTED_VALUE"""),"ศรีธาตุประชาสันติ")</f>
        <v>ศรีธาตุประชาสันติ</v>
      </c>
      <c r="Z1856" s="3" t="str">
        <f>IFERROR(__xludf.DUMMYFUNCTION("""COMPUTED_VALUE"""),"ในเมือง")</f>
        <v>ในเมือง</v>
      </c>
      <c r="AA1856" s="3" t="str">
        <f>IFERROR(__xludf.DUMMYFUNCTION("""COMPUTED_VALUE"""),"เมืองขอนแก่น")</f>
        <v>เมืองขอนแก่น</v>
      </c>
      <c r="AB1856" s="3" t="str">
        <f>IFERROR(__xludf.DUMMYFUNCTION("""COMPUTED_VALUE"""),"ขอนแก่น")</f>
        <v>ขอนแก่น</v>
      </c>
      <c r="AC1856" s="3">
        <f>IFERROR(__xludf.DUMMYFUNCTION("""COMPUTED_VALUE"""),40000.0)</f>
        <v>40000</v>
      </c>
      <c r="AD1856" s="3">
        <f>IFERROR(__xludf.DUMMYFUNCTION("""COMPUTED_VALUE"""),16.403353)</f>
        <v>16.403353</v>
      </c>
      <c r="AE1856" s="3">
        <f>IFERROR(__xludf.DUMMYFUNCTION("""COMPUTED_VALUE"""),102.838321)</f>
        <v>102.838321</v>
      </c>
      <c r="AF1856" s="3" t="str">
        <f>IFERROR(__xludf.DUMMYFUNCTION("""COMPUTED_VALUE"""),"BCM ศรีธาตุ ขอนแก่น-22542")</f>
        <v>BCM ศรีธาตุ ขอนแก่น-22542</v>
      </c>
      <c r="AG1856" s="3" t="str">
        <f>IFERROR(__xludf.DUMMYFUNCTION("""COMPUTED_VALUE"""),"ตะวันออกเฉียงเหนือ")</f>
        <v>ตะวันออกเฉียงเหนือ</v>
      </c>
      <c r="AH1856" s="3" t="str">
        <f>IFERROR(__xludf.DUMMYFUNCTION("""COMPUTED_VALUE"""),"#N/A")</f>
        <v>#N/A</v>
      </c>
      <c r="AI1856" s="3" t="str">
        <f>IFERROR(__xludf.DUMMYFUNCTION("""COMPUTED_VALUE"""),"Out of warranty")</f>
        <v>Out of warranty</v>
      </c>
      <c r="AJ1856" s="3">
        <f>IFERROR(__xludf.DUMMYFUNCTION("""COMPUTED_VALUE"""),32.0)</f>
        <v>32</v>
      </c>
      <c r="AK1856" s="3"/>
      <c r="AL1856" s="3"/>
    </row>
    <row r="1857" ht="15.75" customHeight="1">
      <c r="A1857" s="1" t="str">
        <f>IFERROR(__xludf.DUMMYFUNCTION("""COMPUTED_VALUE"""),"22543")</f>
        <v>22543</v>
      </c>
      <c r="B1857" s="2">
        <f>IFERROR(__xludf.DUMMYFUNCTION("""COMPUTED_VALUE"""),22543.0)</f>
        <v>22543</v>
      </c>
      <c r="C1857" s="3" t="str">
        <f>IFERROR(__xludf.DUMMYFUNCTION("""COMPUTED_VALUE"""),"BCM ร.พ.กำแพงเพชร กำแพงเพชร")</f>
        <v>BCM ร.พ.กำแพงเพชร กำแพงเพชร</v>
      </c>
      <c r="D1857" s="3" t="str">
        <f>IFERROR(__xludf.DUMMYFUNCTION("""COMPUTED_VALUE"""),"BCM KAMPHAENG PHET HOSPITAL")</f>
        <v>BCM KAMPHAENG PHET HOSPITAL</v>
      </c>
      <c r="E1857" s="1" t="str">
        <f>IFERROR(__xludf.DUMMYFUNCTION("""COMPUTED_VALUE"""),"บิ๊กซี MINI")</f>
        <v>บิ๊กซี MINI</v>
      </c>
      <c r="F1857" s="1" t="str">
        <f>IFERROR(__xludf.DUMMYFUNCTION("""COMPUTED_VALUE"""),"296229")</f>
        <v>296229</v>
      </c>
      <c r="G1857" s="1" t="str">
        <f>IFERROR(__xludf.DUMMYFUNCTION("""COMPUTED_VALUE"""),"นายทนงศักดิ์ บุญมา")</f>
        <v>นายทนงศักดิ์ บุญมา</v>
      </c>
      <c r="H1857" s="1" t="str">
        <f>IFERROR(__xludf.DUMMYFUNCTION("""COMPUTED_VALUE"""),"373680")</f>
        <v>373680</v>
      </c>
      <c r="I1857" s="1" t="str">
        <f>IFERROR(__xludf.DUMMYFUNCTION("""COMPUTED_VALUE"""),"นายวสันต์ พรรณราย")</f>
        <v>นายวสันต์ พรรณราย</v>
      </c>
      <c r="J1857" s="3">
        <f>IFERROR(__xludf.DUMMYFUNCTION("""COMPUTED_VALUE"""),46214.0)</f>
        <v>46214</v>
      </c>
      <c r="K1857" s="3" t="str">
        <f>IFERROR(__xludf.DUMMYFUNCTION("""COMPUTED_VALUE"""),"นายศักดิ์ชัย เด็ดดอกฟ้า")</f>
        <v>นายศักดิ์ชัย เด็ดดอกฟ้า</v>
      </c>
      <c r="L1857" s="1" t="str">
        <f>IFERROR(__xludf.DUMMYFUNCTION("""COMPUTED_VALUE"""),"02 K.Sakchai D")</f>
        <v>02 K.Sakchai D</v>
      </c>
      <c r="M1857" s="1" t="str">
        <f>IFERROR(__xludf.DUMMYFUNCTION("""COMPUTED_VALUE"""),"065-510-7376")</f>
        <v>065-510-7376</v>
      </c>
      <c r="N1857" s="3">
        <f>IFERROR(__xludf.DUMMYFUNCTION("""COMPUTED_VALUE"""),21714.0)</f>
        <v>21714</v>
      </c>
      <c r="O1857" s="3" t="str">
        <f>IFERROR(__xludf.DUMMYFUNCTION("""COMPUTED_VALUE"""),"MBC เอสโซ่ วัดโบสถ์")</f>
        <v>MBC เอสโซ่ วัดโบสถ์</v>
      </c>
      <c r="P1857" s="4">
        <f>IFERROR(__xludf.DUMMYFUNCTION("""COMPUTED_VALUE"""),45072.0)</f>
        <v>45072</v>
      </c>
      <c r="Q1857" s="3" t="str">
        <f>IFERROR(__xludf.DUMMYFUNCTION("""COMPUTED_VALUE"""),"A")</f>
        <v>A</v>
      </c>
      <c r="R1857" s="3" t="str">
        <f>IFERROR(__xludf.DUMMYFUNCTION("""COMPUTED_VALUE"""),"Small Format")</f>
        <v>Small Format</v>
      </c>
      <c r="S1857" s="3" t="str">
        <f>IFERROR(__xludf.DUMMYFUNCTION("""COMPUTED_VALUE"""),"BCM")</f>
        <v>BCM</v>
      </c>
      <c r="T1857" s="3" t="str">
        <f>IFERROR(__xludf.DUMMYFUNCTION("""COMPUTED_VALUE"""),"#N/A")</f>
        <v>#N/A</v>
      </c>
      <c r="U1857" s="3" t="str">
        <f>IFERROR(__xludf.DUMMYFUNCTION("""COMPUTED_VALUE"""),"#N/A")</f>
        <v>#N/A</v>
      </c>
      <c r="V1857" s="3" t="str">
        <f>IFERROR(__xludf.DUMMYFUNCTION("""COMPUTED_VALUE"""),"N")</f>
        <v>N</v>
      </c>
      <c r="W1857" s="3">
        <f>IFERROR(__xludf.DUMMYFUNCTION("""COMPUTED_VALUE"""),210628.0)</f>
        <v>210628</v>
      </c>
      <c r="X1857" s="3" t="str">
        <f>IFERROR(__xludf.DUMMYFUNCTION("""COMPUTED_VALUE"""),"550/1 ถนนราชดำเนิน1 ตำบลในเมือง อำเภอเมืองกำแพงเพชร จังหวัดกำแพงเพชร 62000")</f>
        <v>550/1 ถนนราชดำเนิน1 ตำบลในเมือง อำเภอเมืองกำแพงเพชร จังหวัดกำแพงเพชร 62000</v>
      </c>
      <c r="Y1857" s="3" t="str">
        <f>IFERROR(__xludf.DUMMYFUNCTION("""COMPUTED_VALUE"""),"ราชดำเนิน1")</f>
        <v>ราชดำเนิน1</v>
      </c>
      <c r="Z1857" s="3" t="str">
        <f>IFERROR(__xludf.DUMMYFUNCTION("""COMPUTED_VALUE"""),"ในเมือง")</f>
        <v>ในเมือง</v>
      </c>
      <c r="AA1857" s="3" t="str">
        <f>IFERROR(__xludf.DUMMYFUNCTION("""COMPUTED_VALUE"""),"เมืองกำแพงเพชร")</f>
        <v>เมืองกำแพงเพชร</v>
      </c>
      <c r="AB1857" s="3" t="str">
        <f>IFERROR(__xludf.DUMMYFUNCTION("""COMPUTED_VALUE"""),"กำแพงเพชร")</f>
        <v>กำแพงเพชร</v>
      </c>
      <c r="AC1857" s="3">
        <f>IFERROR(__xludf.DUMMYFUNCTION("""COMPUTED_VALUE"""),62000.0)</f>
        <v>62000</v>
      </c>
      <c r="AD1857" s="3">
        <f>IFERROR(__xludf.DUMMYFUNCTION("""COMPUTED_VALUE"""),16.461107)</f>
        <v>16.461107</v>
      </c>
      <c r="AE1857" s="3">
        <f>IFERROR(__xludf.DUMMYFUNCTION("""COMPUTED_VALUE"""),99.52905)</f>
        <v>99.52905</v>
      </c>
      <c r="AF1857" s="3" t="str">
        <f>IFERROR(__xludf.DUMMYFUNCTION("""COMPUTED_VALUE"""),"BCM ร.พ.กำแพงเพชร กำแพงเพชร-22543")</f>
        <v>BCM ร.พ.กำแพงเพชร กำแพงเพชร-22543</v>
      </c>
      <c r="AG1857" s="3" t="str">
        <f>IFERROR(__xludf.DUMMYFUNCTION("""COMPUTED_VALUE"""),"กลาง")</f>
        <v>กลาง</v>
      </c>
      <c r="AH1857" s="3" t="str">
        <f>IFERROR(__xludf.DUMMYFUNCTION("""COMPUTED_VALUE"""),"#N/A")</f>
        <v>#N/A</v>
      </c>
      <c r="AI1857" s="3" t="str">
        <f>IFERROR(__xludf.DUMMYFUNCTION("""COMPUTED_VALUE"""),"Out of warranty")</f>
        <v>Out of warranty</v>
      </c>
      <c r="AJ1857" s="3">
        <f>IFERROR(__xludf.DUMMYFUNCTION("""COMPUTED_VALUE"""),32.0)</f>
        <v>32</v>
      </c>
      <c r="AK1857" s="3" t="str">
        <f>IFERROR(__xludf.DUMMYFUNCTION("""COMPUTED_VALUE"""),"MMS09")</f>
        <v>MMS09</v>
      </c>
      <c r="AL1857" s="3"/>
    </row>
    <row r="1858" ht="15.75" customHeight="1">
      <c r="A1858" s="1" t="str">
        <f>IFERROR(__xludf.DUMMYFUNCTION("""COMPUTED_VALUE"""),"22544")</f>
        <v>22544</v>
      </c>
      <c r="B1858" s="2">
        <f>IFERROR(__xludf.DUMMYFUNCTION("""COMPUTED_VALUE"""),22544.0)</f>
        <v>22544</v>
      </c>
      <c r="C1858" s="3" t="str">
        <f>IFERROR(__xludf.DUMMYFUNCTION("""COMPUTED_VALUE"""),"BCM เทศบาลพิมพา ซ2 ฉะเชิงเทรา")</f>
        <v>BCM เทศบาลพิมพา ซ2 ฉะเชิงเทรา</v>
      </c>
      <c r="D1858" s="3" t="str">
        <f>IFERROR(__xludf.DUMMYFUNCTION("""COMPUTED_VALUE"""),"BCM THESSABAN PHIMPHA SOI 2")</f>
        <v>BCM THESSABAN PHIMPHA SOI 2</v>
      </c>
      <c r="E1858" s="1" t="str">
        <f>IFERROR(__xludf.DUMMYFUNCTION("""COMPUTED_VALUE"""),"บิ๊กซี MINI")</f>
        <v>บิ๊กซี MINI</v>
      </c>
      <c r="F1858" s="1" t="str">
        <f>IFERROR(__xludf.DUMMYFUNCTION("""COMPUTED_VALUE"""),"2083447")</f>
        <v>2083447</v>
      </c>
      <c r="G1858" s="1" t="str">
        <f>IFERROR(__xludf.DUMMYFUNCTION("""COMPUTED_VALUE"""),"นายอนุกูล ศรีลัดดา")</f>
        <v>นายอนุกูล ศรีลัดดา</v>
      </c>
      <c r="H1858" s="1" t="str">
        <f>IFERROR(__xludf.DUMMYFUNCTION("""COMPUTED_VALUE"""),"254957")</f>
        <v>254957</v>
      </c>
      <c r="I1858" s="1" t="str">
        <f>IFERROR(__xludf.DUMMYFUNCTION("""COMPUTED_VALUE"""),"น.ส.ศิริพร รุ่งธัญญา")</f>
        <v>น.ส.ศิริพร รุ่งธัญญา</v>
      </c>
      <c r="J1858" s="3">
        <f>IFERROR(__xludf.DUMMYFUNCTION("""COMPUTED_VALUE"""),510143.0)</f>
        <v>510143</v>
      </c>
      <c r="K1858" s="3" t="str">
        <f>IFERROR(__xludf.DUMMYFUNCTION("""COMPUTED_VALUE"""),"นายธีระวัฒน์ บุญสิทธิ์")</f>
        <v>นายธีระวัฒน์ บุญสิทธิ์</v>
      </c>
      <c r="L1858" s="1" t="str">
        <f>IFERROR(__xludf.DUMMYFUNCTION("""COMPUTED_VALUE"""),"12 K.Theerawat B.")</f>
        <v>12 K.Theerawat B.</v>
      </c>
      <c r="M1858" s="1" t="str">
        <f>IFERROR(__xludf.DUMMYFUNCTION("""COMPUTED_VALUE"""),"0655107379")</f>
        <v>0655107379</v>
      </c>
      <c r="N1858" s="3">
        <f>IFERROR(__xludf.DUMMYFUNCTION("""COMPUTED_VALUE"""),21062.0)</f>
        <v>21062</v>
      </c>
      <c r="O1858" s="3" t="str">
        <f>IFERROR(__xludf.DUMMYFUNCTION("""COMPUTED_VALUE"""),"MBC นิคมนวนคร")</f>
        <v>MBC นิคมนวนคร</v>
      </c>
      <c r="P1858" s="4">
        <f>IFERROR(__xludf.DUMMYFUNCTION("""COMPUTED_VALUE"""),45074.0)</f>
        <v>45074</v>
      </c>
      <c r="Q1858" s="3" t="str">
        <f>IFERROR(__xludf.DUMMYFUNCTION("""COMPUTED_VALUE"""),"A")</f>
        <v>A</v>
      </c>
      <c r="R1858" s="3" t="str">
        <f>IFERROR(__xludf.DUMMYFUNCTION("""COMPUTED_VALUE"""),"Small Format")</f>
        <v>Small Format</v>
      </c>
      <c r="S1858" s="3" t="str">
        <f>IFERROR(__xludf.DUMMYFUNCTION("""COMPUTED_VALUE"""),"BCM")</f>
        <v>BCM</v>
      </c>
      <c r="T1858" s="3" t="str">
        <f>IFERROR(__xludf.DUMMYFUNCTION("""COMPUTED_VALUE"""),"#N/A")</f>
        <v>#N/A</v>
      </c>
      <c r="U1858" s="3" t="str">
        <f>IFERROR(__xludf.DUMMYFUNCTION("""COMPUTED_VALUE"""),"#N/A")</f>
        <v>#N/A</v>
      </c>
      <c r="V1858" s="3" t="str">
        <f>IFERROR(__xludf.DUMMYFUNCTION("""COMPUTED_VALUE"""),"N")</f>
        <v>N</v>
      </c>
      <c r="W1858" s="3">
        <f>IFERROR(__xludf.DUMMYFUNCTION("""COMPUTED_VALUE"""),210620.0)</f>
        <v>210620</v>
      </c>
      <c r="X1858" s="3" t="str">
        <f>IFERROR(__xludf.DUMMYFUNCTION("""COMPUTED_VALUE"""),"49/33 หมู่2 ตำบลพิมพา อำเภอบางปะกง จังหวัดฉะเชิงเทรา 24180")</f>
        <v>49/33 หมู่2 ตำบลพิมพา อำเภอบางปะกง จังหวัดฉะเชิงเทรา 24180</v>
      </c>
      <c r="Y1858" s="3"/>
      <c r="Z1858" s="3" t="str">
        <f>IFERROR(__xludf.DUMMYFUNCTION("""COMPUTED_VALUE"""),"พิมพา")</f>
        <v>พิมพา</v>
      </c>
      <c r="AA1858" s="3" t="str">
        <f>IFERROR(__xludf.DUMMYFUNCTION("""COMPUTED_VALUE"""),"บางปะกง")</f>
        <v>บางปะกง</v>
      </c>
      <c r="AB1858" s="3" t="str">
        <f>IFERROR(__xludf.DUMMYFUNCTION("""COMPUTED_VALUE"""),"ฉะเชิงเทรา")</f>
        <v>ฉะเชิงเทรา</v>
      </c>
      <c r="AC1858" s="3">
        <f>IFERROR(__xludf.DUMMYFUNCTION("""COMPUTED_VALUE"""),24180.0)</f>
        <v>24180</v>
      </c>
      <c r="AD1858" s="3">
        <f>IFERROR(__xludf.DUMMYFUNCTION("""COMPUTED_VALUE"""),13.592073)</f>
        <v>13.592073</v>
      </c>
      <c r="AE1858" s="3">
        <f>IFERROR(__xludf.DUMMYFUNCTION("""COMPUTED_VALUE"""),100.932013)</f>
        <v>100.932013</v>
      </c>
      <c r="AF1858" s="3" t="str">
        <f>IFERROR(__xludf.DUMMYFUNCTION("""COMPUTED_VALUE"""),"BCM เทศบาลพิมพา ซ2 ฉะเชิงเทรา-22544")</f>
        <v>BCM เทศบาลพิมพา ซ2 ฉะเชิงเทรา-22544</v>
      </c>
      <c r="AG1858" s="3" t="str">
        <f>IFERROR(__xludf.DUMMYFUNCTION("""COMPUTED_VALUE"""),"ตะวันออก")</f>
        <v>ตะวันออก</v>
      </c>
      <c r="AH1858" s="3" t="str">
        <f>IFERROR(__xludf.DUMMYFUNCTION("""COMPUTED_VALUE"""),"#N/A")</f>
        <v>#N/A</v>
      </c>
      <c r="AI1858" s="3" t="str">
        <f>IFERROR(__xludf.DUMMYFUNCTION("""COMPUTED_VALUE"""),"Out of warranty")</f>
        <v>Out of warranty</v>
      </c>
      <c r="AJ1858" s="3">
        <f>IFERROR(__xludf.DUMMYFUNCTION("""COMPUTED_VALUE"""),32.0)</f>
        <v>32</v>
      </c>
      <c r="AK1858" s="3" t="str">
        <f>IFERROR(__xludf.DUMMYFUNCTION("""COMPUTED_VALUE"""),"MMS03")</f>
        <v>MMS03</v>
      </c>
      <c r="AL1858" s="3"/>
    </row>
    <row r="1859" ht="15.75" customHeight="1">
      <c r="A1859" s="1" t="str">
        <f>IFERROR(__xludf.DUMMYFUNCTION("""COMPUTED_VALUE"""),"22545")</f>
        <v>22545</v>
      </c>
      <c r="B1859" s="2">
        <f>IFERROR(__xludf.DUMMYFUNCTION("""COMPUTED_VALUE"""),22545.0)</f>
        <v>22545</v>
      </c>
      <c r="C1859" s="3" t="str">
        <f>IFERROR(__xludf.DUMMYFUNCTION("""COMPUTED_VALUE"""),"BCM ต.พระธาตุบังพวน หนองคาย")</f>
        <v>BCM ต.พระธาตุบังพวน หนองคาย</v>
      </c>
      <c r="D1859" s="3" t="str">
        <f>IFERROR(__xludf.DUMMYFUNCTION("""COMPUTED_VALUE"""),"BCM TAMBON PHRATHAT BANGPHUAN")</f>
        <v>BCM TAMBON PHRATHAT BANGPHUAN</v>
      </c>
      <c r="E1859" s="1" t="str">
        <f>IFERROR(__xludf.DUMMYFUNCTION("""COMPUTED_VALUE"""),"บิ๊กซี MINI")</f>
        <v>บิ๊กซี MINI</v>
      </c>
      <c r="F1859" s="1" t="str">
        <f>IFERROR(__xludf.DUMMYFUNCTION("""COMPUTED_VALUE"""),"291105")</f>
        <v>291105</v>
      </c>
      <c r="G1859" s="1" t="str">
        <f>IFERROR(__xludf.DUMMYFUNCTION("""COMPUTED_VALUE"""),"นายสราวุฒิ พณิชยกุล")</f>
        <v>นายสราวุฒิ พณิชยกุล</v>
      </c>
      <c r="H1859" s="1" t="str">
        <f>IFERROR(__xludf.DUMMYFUNCTION("""COMPUTED_VALUE"""),"392005")</f>
        <v>392005</v>
      </c>
      <c r="I1859" s="1" t="str">
        <f>IFERROR(__xludf.DUMMYFUNCTION("""COMPUTED_VALUE"""),"นายรัฐพล หาญลำยวง")</f>
        <v>นายรัฐพล หาญลำยวง</v>
      </c>
      <c r="J1859" s="3">
        <f>IFERROR(__xludf.DUMMYFUNCTION("""COMPUTED_VALUE"""),296868.0)</f>
        <v>296868</v>
      </c>
      <c r="K1859" s="3" t="str">
        <f>IFERROR(__xludf.DUMMYFUNCTION("""COMPUTED_VALUE"""),"นายพีระพงษ์ แก้วดวงดี")</f>
        <v>นายพีระพงษ์ แก้วดวงดี</v>
      </c>
      <c r="L1859" s="1" t="str">
        <f>IFERROR(__xludf.DUMMYFUNCTION("""COMPUTED_VALUE"""),"03 K.Peerapong K.")</f>
        <v>03 K.Peerapong K.</v>
      </c>
      <c r="M1859" s="1" t="str">
        <f>IFERROR(__xludf.DUMMYFUNCTION("""COMPUTED_VALUE"""),"089-002-6599")</f>
        <v>089-002-6599</v>
      </c>
      <c r="N1859" s="3">
        <f>IFERROR(__xludf.DUMMYFUNCTION("""COMPUTED_VALUE"""),21946.0)</f>
        <v>21946</v>
      </c>
      <c r="O1859" s="3" t="str">
        <f>IFERROR(__xludf.DUMMYFUNCTION("""COMPUTED_VALUE"""),"MBC เซกา บึงกาฬ")</f>
        <v>MBC เซกา บึงกาฬ</v>
      </c>
      <c r="P1859" s="4">
        <f>IFERROR(__xludf.DUMMYFUNCTION("""COMPUTED_VALUE"""),45076.0)</f>
        <v>45076</v>
      </c>
      <c r="Q1859" s="3" t="str">
        <f>IFERROR(__xludf.DUMMYFUNCTION("""COMPUTED_VALUE"""),"A")</f>
        <v>A</v>
      </c>
      <c r="R1859" s="3" t="str">
        <f>IFERROR(__xludf.DUMMYFUNCTION("""COMPUTED_VALUE"""),"Small Format")</f>
        <v>Small Format</v>
      </c>
      <c r="S1859" s="3" t="str">
        <f>IFERROR(__xludf.DUMMYFUNCTION("""COMPUTED_VALUE"""),"BCM")</f>
        <v>BCM</v>
      </c>
      <c r="T1859" s="3" t="str">
        <f>IFERROR(__xludf.DUMMYFUNCTION("""COMPUTED_VALUE"""),"#N/A")</f>
        <v>#N/A</v>
      </c>
      <c r="U1859" s="3" t="str">
        <f>IFERROR(__xludf.DUMMYFUNCTION("""COMPUTED_VALUE"""),"#N/A")</f>
        <v>#N/A</v>
      </c>
      <c r="V1859" s="3" t="str">
        <f>IFERROR(__xludf.DUMMYFUNCTION("""COMPUTED_VALUE"""),"N")</f>
        <v>N</v>
      </c>
      <c r="W1859" s="3">
        <f>IFERROR(__xludf.DUMMYFUNCTION("""COMPUTED_VALUE"""),210627.0)</f>
        <v>210627</v>
      </c>
      <c r="X1859" s="3" t="str">
        <f>IFERROR(__xludf.DUMMYFUNCTION("""COMPUTED_VALUE"""),"128 หมู่4 ตำบลพระธาตุบังพวน อำเภอเมืองหนองคาย จังหวัดหนองคาย 43100")</f>
        <v>128 หมู่4 ตำบลพระธาตุบังพวน อำเภอเมืองหนองคาย จังหวัดหนองคาย 43100</v>
      </c>
      <c r="Y1859" s="3"/>
      <c r="Z1859" s="3" t="str">
        <f>IFERROR(__xludf.DUMMYFUNCTION("""COMPUTED_VALUE"""),"พระธาตุบังพวน")</f>
        <v>พระธาตุบังพวน</v>
      </c>
      <c r="AA1859" s="3" t="str">
        <f>IFERROR(__xludf.DUMMYFUNCTION("""COMPUTED_VALUE"""),"เมืองหนองคาย")</f>
        <v>เมืองหนองคาย</v>
      </c>
      <c r="AB1859" s="3" t="str">
        <f>IFERROR(__xludf.DUMMYFUNCTION("""COMPUTED_VALUE"""),"หนองคาย")</f>
        <v>หนองคาย</v>
      </c>
      <c r="AC1859" s="3">
        <f>IFERROR(__xludf.DUMMYFUNCTION("""COMPUTED_VALUE"""),43100.0)</f>
        <v>43100</v>
      </c>
      <c r="AD1859" s="3">
        <f>IFERROR(__xludf.DUMMYFUNCTION("""COMPUTED_VALUE"""),17.732687)</f>
        <v>17.732687</v>
      </c>
      <c r="AE1859" s="3">
        <f>IFERROR(__xludf.DUMMYFUNCTION("""COMPUTED_VALUE"""),102.679018)</f>
        <v>102.679018</v>
      </c>
      <c r="AF1859" s="3" t="str">
        <f>IFERROR(__xludf.DUMMYFUNCTION("""COMPUTED_VALUE"""),"BCM ต.พระธาตุบังพวน หนองคาย-22545")</f>
        <v>BCM ต.พระธาตุบังพวน หนองคาย-22545</v>
      </c>
      <c r="AG1859" s="3" t="str">
        <f>IFERROR(__xludf.DUMMYFUNCTION("""COMPUTED_VALUE"""),"ตะวันออกเฉียงเหนือ")</f>
        <v>ตะวันออกเฉียงเหนือ</v>
      </c>
      <c r="AH1859" s="3" t="str">
        <f>IFERROR(__xludf.DUMMYFUNCTION("""COMPUTED_VALUE"""),"#N/A")</f>
        <v>#N/A</v>
      </c>
      <c r="AI1859" s="3" t="str">
        <f>IFERROR(__xludf.DUMMYFUNCTION("""COMPUTED_VALUE"""),"Out of warranty")</f>
        <v>Out of warranty</v>
      </c>
      <c r="AJ1859" s="3">
        <f>IFERROR(__xludf.DUMMYFUNCTION("""COMPUTED_VALUE"""),32.0)</f>
        <v>32</v>
      </c>
      <c r="AK1859" s="3"/>
      <c r="AL1859" s="3"/>
    </row>
    <row r="1860" ht="15.75" customHeight="1">
      <c r="A1860" s="1" t="str">
        <f>IFERROR(__xludf.DUMMYFUNCTION("""COMPUTED_VALUE"""),"22546")</f>
        <v>22546</v>
      </c>
      <c r="B1860" s="2">
        <f>IFERROR(__xludf.DUMMYFUNCTION("""COMPUTED_VALUE"""),22546.0)</f>
        <v>22546</v>
      </c>
      <c r="C1860" s="3" t="str">
        <f>IFERROR(__xludf.DUMMYFUNCTION("""COMPUTED_VALUE"""),"BCM พบพระ ตาก")</f>
        <v>BCM พบพระ ตาก</v>
      </c>
      <c r="D1860" s="3" t="str">
        <f>IFERROR(__xludf.DUMMYFUNCTION("""COMPUTED_VALUE"""),"BCM PHOP PHRA TAK")</f>
        <v>BCM PHOP PHRA TAK</v>
      </c>
      <c r="E1860" s="1" t="str">
        <f>IFERROR(__xludf.DUMMYFUNCTION("""COMPUTED_VALUE"""),"บิ๊กซี MINI")</f>
        <v>บิ๊กซี MINI</v>
      </c>
      <c r="F1860" s="1" t="str">
        <f>IFERROR(__xludf.DUMMYFUNCTION("""COMPUTED_VALUE"""),"296229")</f>
        <v>296229</v>
      </c>
      <c r="G1860" s="1" t="str">
        <f>IFERROR(__xludf.DUMMYFUNCTION("""COMPUTED_VALUE"""),"นายทนงศักดิ์ บุญมา")</f>
        <v>นายทนงศักดิ์ บุญมา</v>
      </c>
      <c r="H1860" s="1" t="str">
        <f>IFERROR(__xludf.DUMMYFUNCTION("""COMPUTED_VALUE"""),"373680")</f>
        <v>373680</v>
      </c>
      <c r="I1860" s="1" t="str">
        <f>IFERROR(__xludf.DUMMYFUNCTION("""COMPUTED_VALUE"""),"นายวสันต์ พรรณราย")</f>
        <v>นายวสันต์ พรรณราย</v>
      </c>
      <c r="J1860" s="3">
        <f>IFERROR(__xludf.DUMMYFUNCTION("""COMPUTED_VALUE"""),46214.0)</f>
        <v>46214</v>
      </c>
      <c r="K1860" s="3" t="str">
        <f>IFERROR(__xludf.DUMMYFUNCTION("""COMPUTED_VALUE"""),"นายศักดิ์ชัย เด็ดดอกฟ้า")</f>
        <v>นายศักดิ์ชัย เด็ดดอกฟ้า</v>
      </c>
      <c r="L1860" s="1" t="str">
        <f>IFERROR(__xludf.DUMMYFUNCTION("""COMPUTED_VALUE"""),"02 K.Sakchai D")</f>
        <v>02 K.Sakchai D</v>
      </c>
      <c r="M1860" s="1" t="str">
        <f>IFERROR(__xludf.DUMMYFUNCTION("""COMPUTED_VALUE"""),"065-510-7376")</f>
        <v>065-510-7376</v>
      </c>
      <c r="N1860" s="3">
        <f>IFERROR(__xludf.DUMMYFUNCTION("""COMPUTED_VALUE"""),21714.0)</f>
        <v>21714</v>
      </c>
      <c r="O1860" s="3" t="str">
        <f>IFERROR(__xludf.DUMMYFUNCTION("""COMPUTED_VALUE"""),"MBC เอสโซ่ วัดโบสถ์")</f>
        <v>MBC เอสโซ่ วัดโบสถ์</v>
      </c>
      <c r="P1860" s="4">
        <f>IFERROR(__xludf.DUMMYFUNCTION("""COMPUTED_VALUE"""),45076.0)</f>
        <v>45076</v>
      </c>
      <c r="Q1860" s="3" t="str">
        <f>IFERROR(__xludf.DUMMYFUNCTION("""COMPUTED_VALUE"""),"A")</f>
        <v>A</v>
      </c>
      <c r="R1860" s="3" t="str">
        <f>IFERROR(__xludf.DUMMYFUNCTION("""COMPUTED_VALUE"""),"Small Format")</f>
        <v>Small Format</v>
      </c>
      <c r="S1860" s="3" t="str">
        <f>IFERROR(__xludf.DUMMYFUNCTION("""COMPUTED_VALUE"""),"BCM")</f>
        <v>BCM</v>
      </c>
      <c r="T1860" s="3" t="str">
        <f>IFERROR(__xludf.DUMMYFUNCTION("""COMPUTED_VALUE"""),"#N/A")</f>
        <v>#N/A</v>
      </c>
      <c r="U1860" s="3" t="str">
        <f>IFERROR(__xludf.DUMMYFUNCTION("""COMPUTED_VALUE"""),"#N/A")</f>
        <v>#N/A</v>
      </c>
      <c r="V1860" s="3" t="str">
        <f>IFERROR(__xludf.DUMMYFUNCTION("""COMPUTED_VALUE"""),"N")</f>
        <v>N</v>
      </c>
      <c r="W1860" s="3">
        <f>IFERROR(__xludf.DUMMYFUNCTION("""COMPUTED_VALUE"""),210619.0)</f>
        <v>210619</v>
      </c>
      <c r="X1860" s="3" t="str">
        <f>IFERROR(__xludf.DUMMYFUNCTION("""COMPUTED_VALUE"""),"321 หมู่2 ตำบลพบพระ อำเภอพบพระ จังหวัดตาก 63160")</f>
        <v>321 หมู่2 ตำบลพบพระ อำเภอพบพระ จังหวัดตาก 63160</v>
      </c>
      <c r="Y1860" s="3"/>
      <c r="Z1860" s="3" t="str">
        <f>IFERROR(__xludf.DUMMYFUNCTION("""COMPUTED_VALUE"""),"พบพระ")</f>
        <v>พบพระ</v>
      </c>
      <c r="AA1860" s="3" t="str">
        <f>IFERROR(__xludf.DUMMYFUNCTION("""COMPUTED_VALUE"""),"พบพระ")</f>
        <v>พบพระ</v>
      </c>
      <c r="AB1860" s="3" t="str">
        <f>IFERROR(__xludf.DUMMYFUNCTION("""COMPUTED_VALUE"""),"ตาก")</f>
        <v>ตาก</v>
      </c>
      <c r="AC1860" s="3">
        <f>IFERROR(__xludf.DUMMYFUNCTION("""COMPUTED_VALUE"""),63160.0)</f>
        <v>63160</v>
      </c>
      <c r="AD1860" s="3">
        <f>IFERROR(__xludf.DUMMYFUNCTION("""COMPUTED_VALUE"""),16.399642)</f>
        <v>16.399642</v>
      </c>
      <c r="AE1860" s="3">
        <f>IFERROR(__xludf.DUMMYFUNCTION("""COMPUTED_VALUE"""),98.692958)</f>
        <v>98.692958</v>
      </c>
      <c r="AF1860" s="3" t="str">
        <f>IFERROR(__xludf.DUMMYFUNCTION("""COMPUTED_VALUE"""),"BCM พบพระ ตาก-22546")</f>
        <v>BCM พบพระ ตาก-22546</v>
      </c>
      <c r="AG1860" s="3" t="str">
        <f>IFERROR(__xludf.DUMMYFUNCTION("""COMPUTED_VALUE"""),"ตะวันตก")</f>
        <v>ตะวันตก</v>
      </c>
      <c r="AH1860" s="3" t="str">
        <f>IFERROR(__xludf.DUMMYFUNCTION("""COMPUTED_VALUE"""),"#N/A")</f>
        <v>#N/A</v>
      </c>
      <c r="AI1860" s="3" t="str">
        <f>IFERROR(__xludf.DUMMYFUNCTION("""COMPUTED_VALUE"""),"Out of warranty")</f>
        <v>Out of warranty</v>
      </c>
      <c r="AJ1860" s="3">
        <f>IFERROR(__xludf.DUMMYFUNCTION("""COMPUTED_VALUE"""),32.0)</f>
        <v>32</v>
      </c>
      <c r="AK1860" s="3" t="str">
        <f>IFERROR(__xludf.DUMMYFUNCTION("""COMPUTED_VALUE"""),"MMS10")</f>
        <v>MMS10</v>
      </c>
      <c r="AL1860" s="3"/>
    </row>
    <row r="1861" ht="15.75" customHeight="1">
      <c r="A1861" s="1" t="str">
        <f>IFERROR(__xludf.DUMMYFUNCTION("""COMPUTED_VALUE"""),"22547")</f>
        <v>22547</v>
      </c>
      <c r="B1861" s="2">
        <f>IFERROR(__xludf.DUMMYFUNCTION("""COMPUTED_VALUE"""),22547.0)</f>
        <v>22547</v>
      </c>
      <c r="C1861" s="3" t="str">
        <f>IFERROR(__xludf.DUMMYFUNCTION("""COMPUTED_VALUE"""),"BCM สามัคคีธรรม อุตรดิตถ์")</f>
        <v>BCM สามัคคีธรรม อุตรดิตถ์</v>
      </c>
      <c r="D1861" s="3" t="str">
        <f>IFERROR(__xludf.DUMMYFUNCTION("""COMPUTED_VALUE"""),"BCM SAMAKKHITHAM UTTARADIT")</f>
        <v>BCM SAMAKKHITHAM UTTARADIT</v>
      </c>
      <c r="E1861" s="1" t="str">
        <f>IFERROR(__xludf.DUMMYFUNCTION("""COMPUTED_VALUE"""),"บิ๊กซี MINI")</f>
        <v>บิ๊กซี MINI</v>
      </c>
      <c r="F1861" s="1" t="str">
        <f>IFERROR(__xludf.DUMMYFUNCTION("""COMPUTED_VALUE"""),"296229")</f>
        <v>296229</v>
      </c>
      <c r="G1861" s="1" t="str">
        <f>IFERROR(__xludf.DUMMYFUNCTION("""COMPUTED_VALUE"""),"นายทนงศักดิ์ บุญมา")</f>
        <v>นายทนงศักดิ์ บุญมา</v>
      </c>
      <c r="H1861" s="1" t="str">
        <f>IFERROR(__xludf.DUMMYFUNCTION("""COMPUTED_VALUE"""),"372826")</f>
        <v>372826</v>
      </c>
      <c r="I1861" s="1" t="str">
        <f>IFERROR(__xludf.DUMMYFUNCTION("""COMPUTED_VALUE"""),"นายพงศกร สุขแก้ว")</f>
        <v>นายพงศกร สุขแก้ว</v>
      </c>
      <c r="J1861" s="3">
        <f>IFERROR(__xludf.DUMMYFUNCTION("""COMPUTED_VALUE"""),2010016.0)</f>
        <v>2010016</v>
      </c>
      <c r="K1861" s="3" t="str">
        <f>IFERROR(__xludf.DUMMYFUNCTION("""COMPUTED_VALUE"""),"นายตวงธรรม ใหม่ยศ")</f>
        <v>นายตวงธรรม ใหม่ยศ</v>
      </c>
      <c r="L1861" s="1" t="str">
        <f>IFERROR(__xludf.DUMMYFUNCTION("""COMPUTED_VALUE"""),"01 K.Tuangtham M.")</f>
        <v>01 K.Tuangtham M.</v>
      </c>
      <c r="M1861" s="1" t="str">
        <f>IFERROR(__xludf.DUMMYFUNCTION("""COMPUTED_VALUE"""),"063-976-595")</f>
        <v>063-976-595</v>
      </c>
      <c r="N1861" s="3">
        <f>IFERROR(__xludf.DUMMYFUNCTION("""COMPUTED_VALUE"""),22574.0)</f>
        <v>22574</v>
      </c>
      <c r="O1861" s="3" t="str">
        <f>IFERROR(__xludf.DUMMYFUNCTION("""COMPUTED_VALUE"""),"BCM ชุมชนศรีชุม ลำปาง")</f>
        <v>BCM ชุมชนศรีชุม ลำปาง</v>
      </c>
      <c r="P1861" s="4">
        <f>IFERROR(__xludf.DUMMYFUNCTION("""COMPUTED_VALUE"""),45089.0)</f>
        <v>45089</v>
      </c>
      <c r="Q1861" s="3" t="str">
        <f>IFERROR(__xludf.DUMMYFUNCTION("""COMPUTED_VALUE"""),"A")</f>
        <v>A</v>
      </c>
      <c r="R1861" s="3" t="str">
        <f>IFERROR(__xludf.DUMMYFUNCTION("""COMPUTED_VALUE"""),"Small Format")</f>
        <v>Small Format</v>
      </c>
      <c r="S1861" s="3" t="str">
        <f>IFERROR(__xludf.DUMMYFUNCTION("""COMPUTED_VALUE"""),"BCM")</f>
        <v>BCM</v>
      </c>
      <c r="T1861" s="3" t="str">
        <f>IFERROR(__xludf.DUMMYFUNCTION("""COMPUTED_VALUE"""),"#N/A")</f>
        <v>#N/A</v>
      </c>
      <c r="U1861" s="3" t="str">
        <f>IFERROR(__xludf.DUMMYFUNCTION("""COMPUTED_VALUE"""),"#N/A")</f>
        <v>#N/A</v>
      </c>
      <c r="V1861" s="3" t="str">
        <f>IFERROR(__xludf.DUMMYFUNCTION("""COMPUTED_VALUE"""),"N")</f>
        <v>N</v>
      </c>
      <c r="W1861" s="3">
        <f>IFERROR(__xludf.DUMMYFUNCTION("""COMPUTED_VALUE"""),210626.0)</f>
        <v>210626</v>
      </c>
      <c r="X1861" s="3" t="str">
        <f>IFERROR(__xludf.DUMMYFUNCTION("""COMPUTED_VALUE"""),"95/3 หมู่3 ตำบลท่าเสา อำเภอเมืองอุตรดิตถ์ จังหวัดอุตรดิตถ์ 53000")</f>
        <v>95/3 หมู่3 ตำบลท่าเสา อำเภอเมืองอุตรดิตถ์ จังหวัดอุตรดิตถ์ 53000</v>
      </c>
      <c r="Y1861" s="3"/>
      <c r="Z1861" s="3" t="str">
        <f>IFERROR(__xludf.DUMMYFUNCTION("""COMPUTED_VALUE"""),"ท่าเสา")</f>
        <v>ท่าเสา</v>
      </c>
      <c r="AA1861" s="3" t="str">
        <f>IFERROR(__xludf.DUMMYFUNCTION("""COMPUTED_VALUE"""),"เมืองอุตรดิตถ์")</f>
        <v>เมืองอุตรดิตถ์</v>
      </c>
      <c r="AB1861" s="3" t="str">
        <f>IFERROR(__xludf.DUMMYFUNCTION("""COMPUTED_VALUE"""),"อุตรดิตถ์")</f>
        <v>อุตรดิตถ์</v>
      </c>
      <c r="AC1861" s="3">
        <f>IFERROR(__xludf.DUMMYFUNCTION("""COMPUTED_VALUE"""),53000.0)</f>
        <v>53000</v>
      </c>
      <c r="AD1861" s="3">
        <f>IFERROR(__xludf.DUMMYFUNCTION("""COMPUTED_VALUE"""),17.625415)</f>
        <v>17.625415</v>
      </c>
      <c r="AE1861" s="3">
        <f>IFERROR(__xludf.DUMMYFUNCTION("""COMPUTED_VALUE"""),100.082104)</f>
        <v>100.082104</v>
      </c>
      <c r="AF1861" s="3" t="str">
        <f>IFERROR(__xludf.DUMMYFUNCTION("""COMPUTED_VALUE"""),"BCM สามัคคีธรรม อุตรดิตถ์-22547")</f>
        <v>BCM สามัคคีธรรม อุตรดิตถ์-22547</v>
      </c>
      <c r="AG1861" s="3" t="str">
        <f>IFERROR(__xludf.DUMMYFUNCTION("""COMPUTED_VALUE"""),"เหนือ")</f>
        <v>เหนือ</v>
      </c>
      <c r="AH1861" s="3" t="str">
        <f>IFERROR(__xludf.DUMMYFUNCTION("""COMPUTED_VALUE"""),"#N/A")</f>
        <v>#N/A</v>
      </c>
      <c r="AI1861" s="3" t="str">
        <f>IFERROR(__xludf.DUMMYFUNCTION("""COMPUTED_VALUE"""),"Out of warranty")</f>
        <v>Out of warranty</v>
      </c>
      <c r="AJ1861" s="3">
        <f>IFERROR(__xludf.DUMMYFUNCTION("""COMPUTED_VALUE"""),32.0)</f>
        <v>32</v>
      </c>
      <c r="AK1861" s="3" t="str">
        <f>IFERROR(__xludf.DUMMYFUNCTION("""COMPUTED_VALUE"""),"MMS10")</f>
        <v>MMS10</v>
      </c>
      <c r="AL1861" s="3"/>
    </row>
    <row r="1862" ht="15.75" customHeight="1">
      <c r="A1862" s="1" t="str">
        <f>IFERROR(__xludf.DUMMYFUNCTION("""COMPUTED_VALUE"""),"22548")</f>
        <v>22548</v>
      </c>
      <c r="B1862" s="2">
        <f>IFERROR(__xludf.DUMMYFUNCTION("""COMPUTED_VALUE"""),22548.0)</f>
        <v>22548</v>
      </c>
      <c r="C1862" s="3" t="str">
        <f>IFERROR(__xludf.DUMMYFUNCTION("""COMPUTED_VALUE"""),"BCM ขวัญเวียง เชียงใหม่")</f>
        <v>BCM ขวัญเวียง เชียงใหม่</v>
      </c>
      <c r="D1862" s="3" t="str">
        <f>IFERROR(__xludf.DUMMYFUNCTION("""COMPUTED_VALUE"""),"BCM KWAN WIANG CHIANG MAI")</f>
        <v>BCM KWAN WIANG CHIANG MAI</v>
      </c>
      <c r="E1862" s="1" t="str">
        <f>IFERROR(__xludf.DUMMYFUNCTION("""COMPUTED_VALUE"""),"บิ๊กซี MINI")</f>
        <v>บิ๊กซี MINI</v>
      </c>
      <c r="F1862" s="1" t="str">
        <f>IFERROR(__xludf.DUMMYFUNCTION("""COMPUTED_VALUE"""),"296229")</f>
        <v>296229</v>
      </c>
      <c r="G1862" s="1" t="str">
        <f>IFERROR(__xludf.DUMMYFUNCTION("""COMPUTED_VALUE"""),"นายทนงศักดิ์ บุญมา")</f>
        <v>นายทนงศักดิ์ บุญมา</v>
      </c>
      <c r="H1862" s="1" t="str">
        <f>IFERROR(__xludf.DUMMYFUNCTION("""COMPUTED_VALUE"""),"392003")</f>
        <v>392003</v>
      </c>
      <c r="I1862" s="1" t="str">
        <f>IFERROR(__xludf.DUMMYFUNCTION("""COMPUTED_VALUE"""),"นายวรภพ เศษสูงเนิน")</f>
        <v>นายวรภพ เศษสูงเนิน</v>
      </c>
      <c r="J1862" s="3">
        <f>IFERROR(__xludf.DUMMYFUNCTION("""COMPUTED_VALUE"""),2010016.0)</f>
        <v>2010016</v>
      </c>
      <c r="K1862" s="3" t="str">
        <f>IFERROR(__xludf.DUMMYFUNCTION("""COMPUTED_VALUE"""),"นายตวงธรรม ใหม่ยศ")</f>
        <v>นายตวงธรรม ใหม่ยศ</v>
      </c>
      <c r="L1862" s="1" t="str">
        <f>IFERROR(__xludf.DUMMYFUNCTION("""COMPUTED_VALUE"""),"01 K.Tuangtham M.")</f>
        <v>01 K.Tuangtham M.</v>
      </c>
      <c r="M1862" s="1" t="str">
        <f>IFERROR(__xludf.DUMMYFUNCTION("""COMPUTED_VALUE"""),"063-976-595")</f>
        <v>063-976-595</v>
      </c>
      <c r="N1862" s="3">
        <f>IFERROR(__xludf.DUMMYFUNCTION("""COMPUTED_VALUE"""),22574.0)</f>
        <v>22574</v>
      </c>
      <c r="O1862" s="3" t="str">
        <f>IFERROR(__xludf.DUMMYFUNCTION("""COMPUTED_VALUE"""),"BCM ชุมชนศรีชุม ลำปาง")</f>
        <v>BCM ชุมชนศรีชุม ลำปาง</v>
      </c>
      <c r="P1862" s="4">
        <f>IFERROR(__xludf.DUMMYFUNCTION("""COMPUTED_VALUE"""),45098.0)</f>
        <v>45098</v>
      </c>
      <c r="Q1862" s="3" t="str">
        <f>IFERROR(__xludf.DUMMYFUNCTION("""COMPUTED_VALUE"""),"A")</f>
        <v>A</v>
      </c>
      <c r="R1862" s="3" t="str">
        <f>IFERROR(__xludf.DUMMYFUNCTION("""COMPUTED_VALUE"""),"Small Format")</f>
        <v>Small Format</v>
      </c>
      <c r="S1862" s="3" t="str">
        <f>IFERROR(__xludf.DUMMYFUNCTION("""COMPUTED_VALUE"""),"BCM")</f>
        <v>BCM</v>
      </c>
      <c r="T1862" s="3" t="str">
        <f>IFERROR(__xludf.DUMMYFUNCTION("""COMPUTED_VALUE"""),"#N/A")</f>
        <v>#N/A</v>
      </c>
      <c r="U1862" s="3" t="str">
        <f>IFERROR(__xludf.DUMMYFUNCTION("""COMPUTED_VALUE"""),"#N/A")</f>
        <v>#N/A</v>
      </c>
      <c r="V1862" s="3" t="str">
        <f>IFERROR(__xludf.DUMMYFUNCTION("""COMPUTED_VALUE"""),"N")</f>
        <v>N</v>
      </c>
      <c r="W1862" s="3">
        <f>IFERROR(__xludf.DUMMYFUNCTION("""COMPUTED_VALUE"""),210623.0)</f>
        <v>210623</v>
      </c>
      <c r="X1862" s="3" t="str">
        <f>IFERROR(__xludf.DUMMYFUNCTION("""COMPUTED_VALUE"""),"323/2 หมู่5 ตำบลสันผักหวาน อำเภอหางดง จังหวัดเชียงใหม่ 50230")</f>
        <v>323/2 หมู่5 ตำบลสันผักหวาน อำเภอหางดง จังหวัดเชียงใหม่ 50230</v>
      </c>
      <c r="Y1862" s="3"/>
      <c r="Z1862" s="3" t="str">
        <f>IFERROR(__xludf.DUMMYFUNCTION("""COMPUTED_VALUE"""),"สันผักหวาน")</f>
        <v>สันผักหวาน</v>
      </c>
      <c r="AA1862" s="3" t="str">
        <f>IFERROR(__xludf.DUMMYFUNCTION("""COMPUTED_VALUE"""),"หางดง")</f>
        <v>หางดง</v>
      </c>
      <c r="AB1862" s="3" t="str">
        <f>IFERROR(__xludf.DUMMYFUNCTION("""COMPUTED_VALUE"""),"เชียงใหม่")</f>
        <v>เชียงใหม่</v>
      </c>
      <c r="AC1862" s="3">
        <f>IFERROR(__xludf.DUMMYFUNCTION("""COMPUTED_VALUE"""),50230.0)</f>
        <v>50230</v>
      </c>
      <c r="AD1862" s="3">
        <f>IFERROR(__xludf.DUMMYFUNCTION("""COMPUTED_VALUE"""),18.721457)</f>
        <v>18.721457</v>
      </c>
      <c r="AE1862" s="3">
        <f>IFERROR(__xludf.DUMMYFUNCTION("""COMPUTED_VALUE"""),98.955262)</f>
        <v>98.955262</v>
      </c>
      <c r="AF1862" s="3" t="str">
        <f>IFERROR(__xludf.DUMMYFUNCTION("""COMPUTED_VALUE"""),"BCM ขวัญเวียง เชียงใหม่-22548")</f>
        <v>BCM ขวัญเวียง เชียงใหม่-22548</v>
      </c>
      <c r="AG1862" s="3" t="str">
        <f>IFERROR(__xludf.DUMMYFUNCTION("""COMPUTED_VALUE"""),"เหนือ")</f>
        <v>เหนือ</v>
      </c>
      <c r="AH1862" s="3" t="str">
        <f>IFERROR(__xludf.DUMMYFUNCTION("""COMPUTED_VALUE"""),"#N/A")</f>
        <v>#N/A</v>
      </c>
      <c r="AI1862" s="3" t="str">
        <f>IFERROR(__xludf.DUMMYFUNCTION("""COMPUTED_VALUE"""),"Out of warranty")</f>
        <v>Out of warranty</v>
      </c>
      <c r="AJ1862" s="3">
        <f>IFERROR(__xludf.DUMMYFUNCTION("""COMPUTED_VALUE"""),31.0)</f>
        <v>31</v>
      </c>
      <c r="AK1862" s="3" t="str">
        <f>IFERROR(__xludf.DUMMYFUNCTION("""COMPUTED_VALUE"""),"MMS10")</f>
        <v>MMS10</v>
      </c>
      <c r="AL1862" s="3"/>
    </row>
    <row r="1863" ht="15.75" customHeight="1">
      <c r="A1863" s="1" t="str">
        <f>IFERROR(__xludf.DUMMYFUNCTION("""COMPUTED_VALUE"""),"22549")</f>
        <v>22549</v>
      </c>
      <c r="B1863" s="2">
        <f>IFERROR(__xludf.DUMMYFUNCTION("""COMPUTED_VALUE"""),22549.0)</f>
        <v>22549</v>
      </c>
      <c r="C1863" s="3" t="str">
        <f>IFERROR(__xludf.DUMMYFUNCTION("""COMPUTED_VALUE"""),"BCM บ้านทุ่ม ขอนแก่น")</f>
        <v>BCM บ้านทุ่ม ขอนแก่น</v>
      </c>
      <c r="D1863" s="3" t="str">
        <f>IFERROR(__xludf.DUMMYFUNCTION("""COMPUTED_VALUE"""),"BCM BAN THUM KHONKAEN")</f>
        <v>BCM BAN THUM KHONKAEN</v>
      </c>
      <c r="E1863" s="1" t="str">
        <f>IFERROR(__xludf.DUMMYFUNCTION("""COMPUTED_VALUE"""),"บิ๊กซี MINI")</f>
        <v>บิ๊กซี MINI</v>
      </c>
      <c r="F1863" s="1" t="str">
        <f>IFERROR(__xludf.DUMMYFUNCTION("""COMPUTED_VALUE"""),"291105")</f>
        <v>291105</v>
      </c>
      <c r="G1863" s="1" t="str">
        <f>IFERROR(__xludf.DUMMYFUNCTION("""COMPUTED_VALUE"""),"นายสราวุฒิ พณิชยกุล")</f>
        <v>นายสราวุฒิ พณิชยกุล</v>
      </c>
      <c r="H1863" s="1" t="str">
        <f>IFERROR(__xludf.DUMMYFUNCTION("""COMPUTED_VALUE"""),"305119")</f>
        <v>305119</v>
      </c>
      <c r="I1863" s="1" t="str">
        <f>IFERROR(__xludf.DUMMYFUNCTION("""COMPUTED_VALUE"""),"นายไชยกร ลีพิบูลย์สวัสดิ์")</f>
        <v>นายไชยกร ลีพิบูลย์สวัสดิ์</v>
      </c>
      <c r="J1863" s="3">
        <f>IFERROR(__xludf.DUMMYFUNCTION("""COMPUTED_VALUE"""),296868.0)</f>
        <v>296868</v>
      </c>
      <c r="K1863" s="3" t="str">
        <f>IFERROR(__xludf.DUMMYFUNCTION("""COMPUTED_VALUE"""),"นายพีระพงษ์ แก้วดวงดี")</f>
        <v>นายพีระพงษ์ แก้วดวงดี</v>
      </c>
      <c r="L1863" s="1" t="str">
        <f>IFERROR(__xludf.DUMMYFUNCTION("""COMPUTED_VALUE"""),"03 K.Peerapong K.")</f>
        <v>03 K.Peerapong K.</v>
      </c>
      <c r="M1863" s="1" t="str">
        <f>IFERROR(__xludf.DUMMYFUNCTION("""COMPUTED_VALUE"""),"089-002-6599")</f>
        <v>089-002-6599</v>
      </c>
      <c r="N1863" s="3">
        <f>IFERROR(__xludf.DUMMYFUNCTION("""COMPUTED_VALUE"""),21946.0)</f>
        <v>21946</v>
      </c>
      <c r="O1863" s="3" t="str">
        <f>IFERROR(__xludf.DUMMYFUNCTION("""COMPUTED_VALUE"""),"MBC เซกา บึงกาฬ")</f>
        <v>MBC เซกา บึงกาฬ</v>
      </c>
      <c r="P1863" s="4">
        <f>IFERROR(__xludf.DUMMYFUNCTION("""COMPUTED_VALUE"""),45102.0)</f>
        <v>45102</v>
      </c>
      <c r="Q1863" s="3" t="str">
        <f>IFERROR(__xludf.DUMMYFUNCTION("""COMPUTED_VALUE"""),"A")</f>
        <v>A</v>
      </c>
      <c r="R1863" s="3" t="str">
        <f>IFERROR(__xludf.DUMMYFUNCTION("""COMPUTED_VALUE"""),"Small Format")</f>
        <v>Small Format</v>
      </c>
      <c r="S1863" s="3" t="str">
        <f>IFERROR(__xludf.DUMMYFUNCTION("""COMPUTED_VALUE"""),"BCM")</f>
        <v>BCM</v>
      </c>
      <c r="T1863" s="3" t="str">
        <f>IFERROR(__xludf.DUMMYFUNCTION("""COMPUTED_VALUE"""),"#N/A")</f>
        <v>#N/A</v>
      </c>
      <c r="U1863" s="3" t="str">
        <f>IFERROR(__xludf.DUMMYFUNCTION("""COMPUTED_VALUE"""),"#N/A")</f>
        <v>#N/A</v>
      </c>
      <c r="V1863" s="3" t="str">
        <f>IFERROR(__xludf.DUMMYFUNCTION("""COMPUTED_VALUE"""),"N")</f>
        <v>N</v>
      </c>
      <c r="W1863" s="3">
        <f>IFERROR(__xludf.DUMMYFUNCTION("""COMPUTED_VALUE"""),210644.0)</f>
        <v>210644</v>
      </c>
      <c r="X1863" s="3" t="str">
        <f>IFERROR(__xludf.DUMMYFUNCTION("""COMPUTED_VALUE"""),"21 หมู่3 ตำบลบ้านทุ่ม อำเภอเมืองขอนแก่น จังหวัดขอนแก่น 40000")</f>
        <v>21 หมู่3 ตำบลบ้านทุ่ม อำเภอเมืองขอนแก่น จังหวัดขอนแก่น 40000</v>
      </c>
      <c r="Y1863" s="3"/>
      <c r="Z1863" s="3" t="str">
        <f>IFERROR(__xludf.DUMMYFUNCTION("""COMPUTED_VALUE"""),"บ้านทุ่ม")</f>
        <v>บ้านทุ่ม</v>
      </c>
      <c r="AA1863" s="3" t="str">
        <f>IFERROR(__xludf.DUMMYFUNCTION("""COMPUTED_VALUE"""),"เมืองขอนแก่น")</f>
        <v>เมืองขอนแก่น</v>
      </c>
      <c r="AB1863" s="3" t="str">
        <f>IFERROR(__xludf.DUMMYFUNCTION("""COMPUTED_VALUE"""),"ขอนแก่น")</f>
        <v>ขอนแก่น</v>
      </c>
      <c r="AC1863" s="3">
        <f>IFERROR(__xludf.DUMMYFUNCTION("""COMPUTED_VALUE"""),40000.0)</f>
        <v>40000</v>
      </c>
      <c r="AD1863" s="3">
        <f>IFERROR(__xludf.DUMMYFUNCTION("""COMPUTED_VALUE"""),16.446717)</f>
        <v>16.446717</v>
      </c>
      <c r="AE1863" s="3" t="str">
        <f>IFERROR(__xludf.DUMMYFUNCTION("""COMPUTED_VALUE"""),"102.71 7451")</f>
        <v>102.71 7451</v>
      </c>
      <c r="AF1863" s="3" t="str">
        <f>IFERROR(__xludf.DUMMYFUNCTION("""COMPUTED_VALUE"""),"BCM บ้านทุ่ม ขอนแก่น-22549")</f>
        <v>BCM บ้านทุ่ม ขอนแก่น-22549</v>
      </c>
      <c r="AG1863" s="3" t="str">
        <f>IFERROR(__xludf.DUMMYFUNCTION("""COMPUTED_VALUE"""),"ตะวันออกเฉียงเหนือ")</f>
        <v>ตะวันออกเฉียงเหนือ</v>
      </c>
      <c r="AH1863" s="3" t="str">
        <f>IFERROR(__xludf.DUMMYFUNCTION("""COMPUTED_VALUE"""),"#N/A")</f>
        <v>#N/A</v>
      </c>
      <c r="AI1863" s="3" t="str">
        <f>IFERROR(__xludf.DUMMYFUNCTION("""COMPUTED_VALUE"""),"Out of warranty")</f>
        <v>Out of warranty</v>
      </c>
      <c r="AJ1863" s="3">
        <f>IFERROR(__xludf.DUMMYFUNCTION("""COMPUTED_VALUE"""),31.0)</f>
        <v>31</v>
      </c>
      <c r="AK1863" s="3"/>
      <c r="AL1863" s="3"/>
    </row>
    <row r="1864" ht="15.75" customHeight="1">
      <c r="A1864" s="1" t="str">
        <f>IFERROR(__xludf.DUMMYFUNCTION("""COMPUTED_VALUE"""),"22550")</f>
        <v>22550</v>
      </c>
      <c r="B1864" s="2">
        <f>IFERROR(__xludf.DUMMYFUNCTION("""COMPUTED_VALUE"""),22550.0)</f>
        <v>22550</v>
      </c>
      <c r="C1864" s="3" t="str">
        <f>IFERROR(__xludf.DUMMYFUNCTION("""COMPUTED_VALUE"""),"BCM พรานกระต่าย กำแพงเพชร")</f>
        <v>BCM พรานกระต่าย กำแพงเพชร</v>
      </c>
      <c r="D1864" s="3" t="str">
        <f>IFERROR(__xludf.DUMMYFUNCTION("""COMPUTED_VALUE"""),"BCM PHRAN KRATAI")</f>
        <v>BCM PHRAN KRATAI</v>
      </c>
      <c r="E1864" s="1" t="str">
        <f>IFERROR(__xludf.DUMMYFUNCTION("""COMPUTED_VALUE"""),"บิ๊กซี MINI")</f>
        <v>บิ๊กซี MINI</v>
      </c>
      <c r="F1864" s="1" t="str">
        <f>IFERROR(__xludf.DUMMYFUNCTION("""COMPUTED_VALUE"""),"296229")</f>
        <v>296229</v>
      </c>
      <c r="G1864" s="1" t="str">
        <f>IFERROR(__xludf.DUMMYFUNCTION("""COMPUTED_VALUE"""),"นายทนงศักดิ์ บุญมา")</f>
        <v>นายทนงศักดิ์ บุญมา</v>
      </c>
      <c r="H1864" s="1" t="str">
        <f>IFERROR(__xludf.DUMMYFUNCTION("""COMPUTED_VALUE"""),"373680")</f>
        <v>373680</v>
      </c>
      <c r="I1864" s="1" t="str">
        <f>IFERROR(__xludf.DUMMYFUNCTION("""COMPUTED_VALUE"""),"นายวสันต์ พรรณราย")</f>
        <v>นายวสันต์ พรรณราย</v>
      </c>
      <c r="J1864" s="3">
        <f>IFERROR(__xludf.DUMMYFUNCTION("""COMPUTED_VALUE"""),46214.0)</f>
        <v>46214</v>
      </c>
      <c r="K1864" s="3" t="str">
        <f>IFERROR(__xludf.DUMMYFUNCTION("""COMPUTED_VALUE"""),"นายศักดิ์ชัย เด็ดดอกฟ้า")</f>
        <v>นายศักดิ์ชัย เด็ดดอกฟ้า</v>
      </c>
      <c r="L1864" s="1" t="str">
        <f>IFERROR(__xludf.DUMMYFUNCTION("""COMPUTED_VALUE"""),"02 K.Sakchai D")</f>
        <v>02 K.Sakchai D</v>
      </c>
      <c r="M1864" s="1" t="str">
        <f>IFERROR(__xludf.DUMMYFUNCTION("""COMPUTED_VALUE"""),"065-510-7376")</f>
        <v>065-510-7376</v>
      </c>
      <c r="N1864" s="3">
        <f>IFERROR(__xludf.DUMMYFUNCTION("""COMPUTED_VALUE"""),21714.0)</f>
        <v>21714</v>
      </c>
      <c r="O1864" s="3" t="str">
        <f>IFERROR(__xludf.DUMMYFUNCTION("""COMPUTED_VALUE"""),"MBC เอสโซ่ วัดโบสถ์")</f>
        <v>MBC เอสโซ่ วัดโบสถ์</v>
      </c>
      <c r="P1864" s="4">
        <f>IFERROR(__xludf.DUMMYFUNCTION("""COMPUTED_VALUE"""),45108.0)</f>
        <v>45108</v>
      </c>
      <c r="Q1864" s="3" t="str">
        <f>IFERROR(__xludf.DUMMYFUNCTION("""COMPUTED_VALUE"""),"A")</f>
        <v>A</v>
      </c>
      <c r="R1864" s="3" t="str">
        <f>IFERROR(__xludf.DUMMYFUNCTION("""COMPUTED_VALUE"""),"Small Format")</f>
        <v>Small Format</v>
      </c>
      <c r="S1864" s="3" t="str">
        <f>IFERROR(__xludf.DUMMYFUNCTION("""COMPUTED_VALUE"""),"BCM")</f>
        <v>BCM</v>
      </c>
      <c r="T1864" s="3" t="str">
        <f>IFERROR(__xludf.DUMMYFUNCTION("""COMPUTED_VALUE"""),"#N/A")</f>
        <v>#N/A</v>
      </c>
      <c r="U1864" s="3" t="str">
        <f>IFERROR(__xludf.DUMMYFUNCTION("""COMPUTED_VALUE"""),"#N/A")</f>
        <v>#N/A</v>
      </c>
      <c r="V1864" s="3" t="str">
        <f>IFERROR(__xludf.DUMMYFUNCTION("""COMPUTED_VALUE"""),"N")</f>
        <v>N</v>
      </c>
      <c r="W1864" s="3">
        <f>IFERROR(__xludf.DUMMYFUNCTION("""COMPUTED_VALUE"""),210632.0)</f>
        <v>210632</v>
      </c>
      <c r="X1864" s="3" t="str">
        <f>IFERROR(__xludf.DUMMYFUNCTION("""COMPUTED_VALUE"""),"46/10 หมู่1 ตำบลถ้ำกระต่ายทอง อำเภอพรานกระต่าย จังหวัดกำแพงเพชร 62110")</f>
        <v>46/10 หมู่1 ตำบลถ้ำกระต่ายทอง อำเภอพรานกระต่าย จังหวัดกำแพงเพชร 62110</v>
      </c>
      <c r="Y1864" s="3"/>
      <c r="Z1864" s="3" t="str">
        <f>IFERROR(__xludf.DUMMYFUNCTION("""COMPUTED_VALUE"""),"ถ่ำกระต่ายทอง")</f>
        <v>ถ่ำกระต่ายทอง</v>
      </c>
      <c r="AA1864" s="3" t="str">
        <f>IFERROR(__xludf.DUMMYFUNCTION("""COMPUTED_VALUE"""),"พรานกระต่าย")</f>
        <v>พรานกระต่าย</v>
      </c>
      <c r="AB1864" s="3" t="str">
        <f>IFERROR(__xludf.DUMMYFUNCTION("""COMPUTED_VALUE"""),"กำแพงเพชร")</f>
        <v>กำแพงเพชร</v>
      </c>
      <c r="AC1864" s="3">
        <f>IFERROR(__xludf.DUMMYFUNCTION("""COMPUTED_VALUE"""),62110.0)</f>
        <v>62110</v>
      </c>
      <c r="AD1864" s="3">
        <f>IFERROR(__xludf.DUMMYFUNCTION("""COMPUTED_VALUE"""),16.675558)</f>
        <v>16.675558</v>
      </c>
      <c r="AE1864" s="3">
        <f>IFERROR(__xludf.DUMMYFUNCTION("""COMPUTED_VALUE"""),99.591708)</f>
        <v>99.591708</v>
      </c>
      <c r="AF1864" s="3" t="str">
        <f>IFERROR(__xludf.DUMMYFUNCTION("""COMPUTED_VALUE"""),"BCM พรานกระต่าย กำแพงเพชร-22550")</f>
        <v>BCM พรานกระต่าย กำแพงเพชร-22550</v>
      </c>
      <c r="AG1864" s="3" t="str">
        <f>IFERROR(__xludf.DUMMYFUNCTION("""COMPUTED_VALUE"""),"กลาง")</f>
        <v>กลาง</v>
      </c>
      <c r="AH1864" s="3" t="str">
        <f>IFERROR(__xludf.DUMMYFUNCTION("""COMPUTED_VALUE"""),"#N/A")</f>
        <v>#N/A</v>
      </c>
      <c r="AI1864" s="3" t="str">
        <f>IFERROR(__xludf.DUMMYFUNCTION("""COMPUTED_VALUE"""),"Out of warranty")</f>
        <v>Out of warranty</v>
      </c>
      <c r="AJ1864" s="3">
        <f>IFERROR(__xludf.DUMMYFUNCTION("""COMPUTED_VALUE"""),31.0)</f>
        <v>31</v>
      </c>
      <c r="AK1864" s="3" t="str">
        <f>IFERROR(__xludf.DUMMYFUNCTION("""COMPUTED_VALUE"""),"MMS09")</f>
        <v>MMS09</v>
      </c>
      <c r="AL1864" s="3"/>
    </row>
    <row r="1865" ht="15.75" customHeight="1">
      <c r="A1865" s="1" t="str">
        <f>IFERROR(__xludf.DUMMYFUNCTION("""COMPUTED_VALUE"""),"22551")</f>
        <v>22551</v>
      </c>
      <c r="B1865" s="2">
        <f>IFERROR(__xludf.DUMMYFUNCTION("""COMPUTED_VALUE"""),22551.0)</f>
        <v>22551</v>
      </c>
      <c r="C1865" s="3" t="str">
        <f>IFERROR(__xludf.DUMMYFUNCTION("""COMPUTED_VALUE"""),"BCM ถ.ดำริพัฒนา พิษณุโลก")</f>
        <v>BCM ถ.ดำริพัฒนา พิษณุโลก</v>
      </c>
      <c r="D1865" s="3" t="str">
        <f>IFERROR(__xludf.DUMMYFUNCTION("""COMPUTED_VALUE"""),"BCM DAMRI PHATTHANA ROAD")</f>
        <v>BCM DAMRI PHATTHANA ROAD</v>
      </c>
      <c r="E1865" s="1" t="str">
        <f>IFERROR(__xludf.DUMMYFUNCTION("""COMPUTED_VALUE"""),"บิ๊กซี MINI")</f>
        <v>บิ๊กซี MINI</v>
      </c>
      <c r="F1865" s="1" t="str">
        <f>IFERROR(__xludf.DUMMYFUNCTION("""COMPUTED_VALUE"""),"296229")</f>
        <v>296229</v>
      </c>
      <c r="G1865" s="1" t="str">
        <f>IFERROR(__xludf.DUMMYFUNCTION("""COMPUTED_VALUE"""),"นายทนงศักดิ์ บุญมา")</f>
        <v>นายทนงศักดิ์ บุญมา</v>
      </c>
      <c r="H1865" s="1" t="str">
        <f>IFERROR(__xludf.DUMMYFUNCTION("""COMPUTED_VALUE"""),"373680")</f>
        <v>373680</v>
      </c>
      <c r="I1865" s="1" t="str">
        <f>IFERROR(__xludf.DUMMYFUNCTION("""COMPUTED_VALUE"""),"นายวสันต์ พรรณราย")</f>
        <v>นายวสันต์ พรรณราย</v>
      </c>
      <c r="J1865" s="3">
        <f>IFERROR(__xludf.DUMMYFUNCTION("""COMPUTED_VALUE"""),46214.0)</f>
        <v>46214</v>
      </c>
      <c r="K1865" s="3" t="str">
        <f>IFERROR(__xludf.DUMMYFUNCTION("""COMPUTED_VALUE"""),"นายศักดิ์ชัย เด็ดดอกฟ้า")</f>
        <v>นายศักดิ์ชัย เด็ดดอกฟ้า</v>
      </c>
      <c r="L1865" s="1" t="str">
        <f>IFERROR(__xludf.DUMMYFUNCTION("""COMPUTED_VALUE"""),"02 K.Sakchai D")</f>
        <v>02 K.Sakchai D</v>
      </c>
      <c r="M1865" s="1" t="str">
        <f>IFERROR(__xludf.DUMMYFUNCTION("""COMPUTED_VALUE"""),"065-510-7376")</f>
        <v>065-510-7376</v>
      </c>
      <c r="N1865" s="3">
        <f>IFERROR(__xludf.DUMMYFUNCTION("""COMPUTED_VALUE"""),21714.0)</f>
        <v>21714</v>
      </c>
      <c r="O1865" s="3" t="str">
        <f>IFERROR(__xludf.DUMMYFUNCTION("""COMPUTED_VALUE"""),"MBC เอสโซ่ วัดโบสถ์")</f>
        <v>MBC เอสโซ่ วัดโบสถ์</v>
      </c>
      <c r="P1865" s="4">
        <f>IFERROR(__xludf.DUMMYFUNCTION("""COMPUTED_VALUE"""),45108.0)</f>
        <v>45108</v>
      </c>
      <c r="Q1865" s="3" t="str">
        <f>IFERROR(__xludf.DUMMYFUNCTION("""COMPUTED_VALUE"""),"A")</f>
        <v>A</v>
      </c>
      <c r="R1865" s="3" t="str">
        <f>IFERROR(__xludf.DUMMYFUNCTION("""COMPUTED_VALUE"""),"Small Format")</f>
        <v>Small Format</v>
      </c>
      <c r="S1865" s="3" t="str">
        <f>IFERROR(__xludf.DUMMYFUNCTION("""COMPUTED_VALUE"""),"BCM")</f>
        <v>BCM</v>
      </c>
      <c r="T1865" s="3" t="str">
        <f>IFERROR(__xludf.DUMMYFUNCTION("""COMPUTED_VALUE"""),"#N/A")</f>
        <v>#N/A</v>
      </c>
      <c r="U1865" s="3" t="str">
        <f>IFERROR(__xludf.DUMMYFUNCTION("""COMPUTED_VALUE"""),"#N/A")</f>
        <v>#N/A</v>
      </c>
      <c r="V1865" s="3" t="str">
        <f>IFERROR(__xludf.DUMMYFUNCTION("""COMPUTED_VALUE"""),"N")</f>
        <v>N</v>
      </c>
      <c r="W1865" s="3">
        <f>IFERROR(__xludf.DUMMYFUNCTION("""COMPUTED_VALUE"""),210634.0)</f>
        <v>210634</v>
      </c>
      <c r="X1865" s="3" t="str">
        <f>IFERROR(__xludf.DUMMYFUNCTION("""COMPUTED_VALUE"""),"10/66 หมู่5 ตำบลบ้านคลอง อำเภอเมืองพิษณุโลก จังหวัดพิษณุโลก 65000")</f>
        <v>10/66 หมู่5 ตำบลบ้านคลอง อำเภอเมืองพิษณุโลก จังหวัดพิษณุโลก 65000</v>
      </c>
      <c r="Y1865" s="3"/>
      <c r="Z1865" s="3" t="str">
        <f>IFERROR(__xludf.DUMMYFUNCTION("""COMPUTED_VALUE"""),"บ้านคลอง")</f>
        <v>บ้านคลอง</v>
      </c>
      <c r="AA1865" s="3" t="str">
        <f>IFERROR(__xludf.DUMMYFUNCTION("""COMPUTED_VALUE"""),"เมืองพิษณุโลก")</f>
        <v>เมืองพิษณุโลก</v>
      </c>
      <c r="AB1865" s="3" t="str">
        <f>IFERROR(__xludf.DUMMYFUNCTION("""COMPUTED_VALUE"""),"พิษณุโลก")</f>
        <v>พิษณุโลก</v>
      </c>
      <c r="AC1865" s="3">
        <f>IFERROR(__xludf.DUMMYFUNCTION("""COMPUTED_VALUE"""),65000.0)</f>
        <v>65000</v>
      </c>
      <c r="AD1865" s="3">
        <f>IFERROR(__xludf.DUMMYFUNCTION("""COMPUTED_VALUE"""),16.822331)</f>
        <v>16.822331</v>
      </c>
      <c r="AE1865" s="3">
        <f>IFERROR(__xludf.DUMMYFUNCTION("""COMPUTED_VALUE"""),100.239958)</f>
        <v>100.239958</v>
      </c>
      <c r="AF1865" s="3" t="str">
        <f>IFERROR(__xludf.DUMMYFUNCTION("""COMPUTED_VALUE"""),"BCM ถ.ดำริพัฒนา พิษณุโลก-22551")</f>
        <v>BCM ถ.ดำริพัฒนา พิษณุโลก-22551</v>
      </c>
      <c r="AG1865" s="3" t="str">
        <f>IFERROR(__xludf.DUMMYFUNCTION("""COMPUTED_VALUE"""),"กลาง")</f>
        <v>กลาง</v>
      </c>
      <c r="AH1865" s="3" t="str">
        <f>IFERROR(__xludf.DUMMYFUNCTION("""COMPUTED_VALUE"""),"#N/A")</f>
        <v>#N/A</v>
      </c>
      <c r="AI1865" s="3" t="str">
        <f>IFERROR(__xludf.DUMMYFUNCTION("""COMPUTED_VALUE"""),"Out of warranty")</f>
        <v>Out of warranty</v>
      </c>
      <c r="AJ1865" s="3">
        <f>IFERROR(__xludf.DUMMYFUNCTION("""COMPUTED_VALUE"""),31.0)</f>
        <v>31</v>
      </c>
      <c r="AK1865" s="3" t="str">
        <f>IFERROR(__xludf.DUMMYFUNCTION("""COMPUTED_VALUE"""),"MMS09")</f>
        <v>MMS09</v>
      </c>
      <c r="AL1865" s="3"/>
    </row>
    <row r="1866" ht="15.75" customHeight="1">
      <c r="A1866" s="1" t="str">
        <f>IFERROR(__xludf.DUMMYFUNCTION("""COMPUTED_VALUE"""),"22552")</f>
        <v>22552</v>
      </c>
      <c r="B1866" s="2">
        <f>IFERROR(__xludf.DUMMYFUNCTION("""COMPUTED_VALUE"""),22552.0)</f>
        <v>22552</v>
      </c>
      <c r="C1866" s="3" t="str">
        <f>IFERROR(__xludf.DUMMYFUNCTION("""COMPUTED_VALUE"""),"BCM BCP ดีเยี่ยม อุบลราชธานี")</f>
        <v>BCM BCP ดีเยี่ยม อุบลราชธานี</v>
      </c>
      <c r="D1866" s="3" t="str">
        <f>IFERROR(__xludf.DUMMYFUNCTION("""COMPUTED_VALUE"""),"BCM BCP DEYIAM UBONRATCHATHANI")</f>
        <v>BCM BCP DEYIAM UBONRATCHATHANI</v>
      </c>
      <c r="E1866" s="1" t="str">
        <f>IFERROR(__xludf.DUMMYFUNCTION("""COMPUTED_VALUE"""),"บิ๊กซี MINI")</f>
        <v>บิ๊กซี MINI</v>
      </c>
      <c r="F1866" s="1" t="str">
        <f>IFERROR(__xludf.DUMMYFUNCTION("""COMPUTED_VALUE"""),"291105")</f>
        <v>291105</v>
      </c>
      <c r="G1866" s="1" t="str">
        <f>IFERROR(__xludf.DUMMYFUNCTION("""COMPUTED_VALUE"""),"นายสราวุฒิ พณิชยกุล")</f>
        <v>นายสราวุฒิ พณิชยกุล</v>
      </c>
      <c r="H1866" s="1" t="str">
        <f>IFERROR(__xludf.DUMMYFUNCTION("""COMPUTED_VALUE"""),"250772")</f>
        <v>250772</v>
      </c>
      <c r="I1866" s="1" t="str">
        <f>IFERROR(__xludf.DUMMYFUNCTION("""COMPUTED_VALUE"""),"น.ส.วรุณยุพา จรูญไธสง")</f>
        <v>น.ส.วรุณยุพา จรูญไธสง</v>
      </c>
      <c r="J1866" s="3">
        <f>IFERROR(__xludf.DUMMYFUNCTION("""COMPUTED_VALUE"""),2454781.0)</f>
        <v>2454781</v>
      </c>
      <c r="K1866" s="3" t="str">
        <f>IFERROR(__xludf.DUMMYFUNCTION("""COMPUTED_VALUE"""),"นายฌานกฤช นันทะโคต")</f>
        <v>นายฌานกฤช นันทะโคต</v>
      </c>
      <c r="L1866" s="1" t="str">
        <f>IFERROR(__xludf.DUMMYFUNCTION("""COMPUTED_VALUE"""),"05 K.Chanakrit N.")</f>
        <v>05 K.Chanakrit N.</v>
      </c>
      <c r="M1866" s="1" t="str">
        <f>IFERROR(__xludf.DUMMYFUNCTION("""COMPUTED_VALUE"""),"090-978-9785 ,065-929-1320")</f>
        <v>090-978-9785 ,065-929-1320</v>
      </c>
      <c r="N1866" s="3">
        <f>IFERROR(__xludf.DUMMYFUNCTION("""COMPUTED_VALUE"""),22195.0)</f>
        <v>22195</v>
      </c>
      <c r="O1866" s="3" t="str">
        <f>IFERROR(__xludf.DUMMYFUNCTION("""COMPUTED_VALUE"""),"MBC กันทรลักษ์ ศรีสะเกษ")</f>
        <v>MBC กันทรลักษ์ ศรีสะเกษ</v>
      </c>
      <c r="P1866" s="4">
        <f>IFERROR(__xludf.DUMMYFUNCTION("""COMPUTED_VALUE"""),45143.0)</f>
        <v>45143</v>
      </c>
      <c r="Q1866" s="3" t="str">
        <f>IFERROR(__xludf.DUMMYFUNCTION("""COMPUTED_VALUE"""),"A")</f>
        <v>A</v>
      </c>
      <c r="R1866" s="3" t="str">
        <f>IFERROR(__xludf.DUMMYFUNCTION("""COMPUTED_VALUE"""),"Small Format")</f>
        <v>Small Format</v>
      </c>
      <c r="S1866" s="3" t="str">
        <f>IFERROR(__xludf.DUMMYFUNCTION("""COMPUTED_VALUE"""),"BCM")</f>
        <v>BCM</v>
      </c>
      <c r="T1866" s="3" t="str">
        <f>IFERROR(__xludf.DUMMYFUNCTION("""COMPUTED_VALUE"""),"#N/A")</f>
        <v>#N/A</v>
      </c>
      <c r="U1866" s="3" t="str">
        <f>IFERROR(__xludf.DUMMYFUNCTION("""COMPUTED_VALUE"""),"#N/A")</f>
        <v>#N/A</v>
      </c>
      <c r="V1866" s="3" t="str">
        <f>IFERROR(__xludf.DUMMYFUNCTION("""COMPUTED_VALUE"""),"N")</f>
        <v>N</v>
      </c>
      <c r="W1866" s="3">
        <f>IFERROR(__xludf.DUMMYFUNCTION("""COMPUTED_VALUE"""),210650.0)</f>
        <v>210650</v>
      </c>
      <c r="X1866" s="3" t="str">
        <f>IFERROR(__xludf.DUMMYFUNCTION("""COMPUTED_VALUE"""),"234/1 หมู่26 ตำบลขามใหญ่ อำเภอเมืองอุบลราชธานี จังหวัดอุบลราชธานี 34000")</f>
        <v>234/1 หมู่26 ตำบลขามใหญ่ อำเภอเมืองอุบลราชธานี จังหวัดอุบลราชธานี 34000</v>
      </c>
      <c r="Y1866" s="3"/>
      <c r="Z1866" s="3" t="str">
        <f>IFERROR(__xludf.DUMMYFUNCTION("""COMPUTED_VALUE"""),"ขามใหญ่")</f>
        <v>ขามใหญ่</v>
      </c>
      <c r="AA1866" s="3" t="str">
        <f>IFERROR(__xludf.DUMMYFUNCTION("""COMPUTED_VALUE"""),"เมืองอุบลราชธานี")</f>
        <v>เมืองอุบลราชธานี</v>
      </c>
      <c r="AB1866" s="3" t="str">
        <f>IFERROR(__xludf.DUMMYFUNCTION("""COMPUTED_VALUE"""),"อุบลราชธานี")</f>
        <v>อุบลราชธานี</v>
      </c>
      <c r="AC1866" s="3">
        <f>IFERROR(__xludf.DUMMYFUNCTION("""COMPUTED_VALUE"""),34000.0)</f>
        <v>34000</v>
      </c>
      <c r="AD1866" s="3">
        <f>IFERROR(__xludf.DUMMYFUNCTION("""COMPUTED_VALUE"""),15.299822)</f>
        <v>15.299822</v>
      </c>
      <c r="AE1866" s="3">
        <f>IFERROR(__xludf.DUMMYFUNCTION("""COMPUTED_VALUE"""),104.837522)</f>
        <v>104.837522</v>
      </c>
      <c r="AF1866" s="3" t="str">
        <f>IFERROR(__xludf.DUMMYFUNCTION("""COMPUTED_VALUE"""),"BCM BCP ดีเยี่ยม อุบลราชธานี-22552")</f>
        <v>BCM BCP ดีเยี่ยม อุบลราชธานี-22552</v>
      </c>
      <c r="AG1866" s="3" t="str">
        <f>IFERROR(__xludf.DUMMYFUNCTION("""COMPUTED_VALUE"""),"ตะวันออกเฉียงเหนือ")</f>
        <v>ตะวันออกเฉียงเหนือ</v>
      </c>
      <c r="AH1866" s="3" t="str">
        <f>IFERROR(__xludf.DUMMYFUNCTION("""COMPUTED_VALUE"""),"#N/A")</f>
        <v>#N/A</v>
      </c>
      <c r="AI1866" s="3" t="str">
        <f>IFERROR(__xludf.DUMMYFUNCTION("""COMPUTED_VALUE"""),"Out of warranty")</f>
        <v>Out of warranty</v>
      </c>
      <c r="AJ1866" s="3">
        <f>IFERROR(__xludf.DUMMYFUNCTION("""COMPUTED_VALUE"""),30.0)</f>
        <v>30</v>
      </c>
      <c r="AK1866" s="3" t="str">
        <f>IFERROR(__xludf.DUMMYFUNCTION("""COMPUTED_VALUE"""),"MMS13")</f>
        <v>MMS13</v>
      </c>
      <c r="AL1866" s="3"/>
    </row>
    <row r="1867" ht="15.75" customHeight="1">
      <c r="A1867" s="1" t="str">
        <f>IFERROR(__xludf.DUMMYFUNCTION("""COMPUTED_VALUE"""),"22553")</f>
        <v>22553</v>
      </c>
      <c r="B1867" s="2">
        <f>IFERROR(__xludf.DUMMYFUNCTION("""COMPUTED_VALUE"""),22553.0)</f>
        <v>22553</v>
      </c>
      <c r="C1867" s="3" t="str">
        <f>IFERROR(__xludf.DUMMYFUNCTION("""COMPUTED_VALUE"""),"BCM รามอินทรา 67 กรุงเทพมหานคร")</f>
        <v>BCM รามอินทรา 67 กรุงเทพมหานคร</v>
      </c>
      <c r="D1867" s="3" t="str">
        <f>IFERROR(__xludf.DUMMYFUNCTION("""COMPUTED_VALUE"""),"BCM RAMINTRA 67 BANGKOK")</f>
        <v>BCM RAMINTRA 67 BANGKOK</v>
      </c>
      <c r="E1867" s="1" t="str">
        <f>IFERROR(__xludf.DUMMYFUNCTION("""COMPUTED_VALUE"""),"บิ๊กซี MINI")</f>
        <v>บิ๊กซี MINI</v>
      </c>
      <c r="F1867" s="1" t="str">
        <f>IFERROR(__xludf.DUMMYFUNCTION("""COMPUTED_VALUE"""),"291008")</f>
        <v>291008</v>
      </c>
      <c r="G1867" s="1" t="str">
        <f>IFERROR(__xludf.DUMMYFUNCTION("""COMPUTED_VALUE"""),"น.ส.รัชดาพร อีศรัตน์")</f>
        <v>น.ส.รัชดาพร อีศรัตน์</v>
      </c>
      <c r="H1867" s="1" t="str">
        <f>IFERROR(__xludf.DUMMYFUNCTION("""COMPUTED_VALUE"""),"288639")</f>
        <v>288639</v>
      </c>
      <c r="I1867" s="1" t="str">
        <f>IFERROR(__xludf.DUMMYFUNCTION("""COMPUTED_VALUE"""),"น.ส.สมหญิง สีชมภู")</f>
        <v>น.ส.สมหญิง สีชมภู</v>
      </c>
      <c r="J1867" s="3">
        <f>IFERROR(__xludf.DUMMYFUNCTION("""COMPUTED_VALUE"""),3510104.0)</f>
        <v>3510104</v>
      </c>
      <c r="K1867" s="3" t="str">
        <f>IFERROR(__xludf.DUMMYFUNCTION("""COMPUTED_VALUE"""),"นายวิโรจน์ อับดุลสมัด")</f>
        <v>นายวิโรจน์ อับดุลสมัด</v>
      </c>
      <c r="L1867" s="1" t="str">
        <f>IFERROR(__xludf.DUMMYFUNCTION("""COMPUTED_VALUE"""),"09 K.Wirode A")</f>
        <v>09 K.Wirode A</v>
      </c>
      <c r="M1867" s="1" t="str">
        <f>IFERROR(__xludf.DUMMYFUNCTION("""COMPUTED_VALUE"""),"080-235-4465")</f>
        <v>080-235-4465</v>
      </c>
      <c r="N1867" s="3">
        <f>IFERROR(__xludf.DUMMYFUNCTION("""COMPUTED_VALUE"""),21324.0)</f>
        <v>21324</v>
      </c>
      <c r="O1867" s="3" t="str">
        <f>IFERROR(__xludf.DUMMYFUNCTION("""COMPUTED_VALUE"""),"MBC BCP สุวินทวงศ์")</f>
        <v>MBC BCP สุวินทวงศ์</v>
      </c>
      <c r="P1867" s="4">
        <f>IFERROR(__xludf.DUMMYFUNCTION("""COMPUTED_VALUE"""),45120.0)</f>
        <v>45120</v>
      </c>
      <c r="Q1867" s="3" t="str">
        <f>IFERROR(__xludf.DUMMYFUNCTION("""COMPUTED_VALUE"""),"A")</f>
        <v>A</v>
      </c>
      <c r="R1867" s="3" t="str">
        <f>IFERROR(__xludf.DUMMYFUNCTION("""COMPUTED_VALUE"""),"Small Format")</f>
        <v>Small Format</v>
      </c>
      <c r="S1867" s="3" t="str">
        <f>IFERROR(__xludf.DUMMYFUNCTION("""COMPUTED_VALUE"""),"BCM")</f>
        <v>BCM</v>
      </c>
      <c r="T1867" s="3" t="str">
        <f>IFERROR(__xludf.DUMMYFUNCTION("""COMPUTED_VALUE"""),"#N/A")</f>
        <v>#N/A</v>
      </c>
      <c r="U1867" s="3" t="str">
        <f>IFERROR(__xludf.DUMMYFUNCTION("""COMPUTED_VALUE"""),"#N/A")</f>
        <v>#N/A</v>
      </c>
      <c r="V1867" s="3" t="str">
        <f>IFERROR(__xludf.DUMMYFUNCTION("""COMPUTED_VALUE"""),"N")</f>
        <v>N</v>
      </c>
      <c r="W1867" s="3">
        <f>IFERROR(__xludf.DUMMYFUNCTION("""COMPUTED_VALUE"""),210643.0)</f>
        <v>210643</v>
      </c>
      <c r="X1867" s="3" t="str">
        <f>IFERROR(__xludf.DUMMYFUNCTION("""COMPUTED_VALUE"""),"2/1 ซอยรามอินทรา 67 แขวงท่าแร้ง เขตบางเขน กรุงเทพมหานคร 10220")</f>
        <v>2/1 ซอยรามอินทรา 67 แขวงท่าแร้ง เขตบางเขน กรุงเทพมหานคร 10220</v>
      </c>
      <c r="Y1867" s="3"/>
      <c r="Z1867" s="3" t="str">
        <f>IFERROR(__xludf.DUMMYFUNCTION("""COMPUTED_VALUE"""),"ท่าแร้ง")</f>
        <v>ท่าแร้ง</v>
      </c>
      <c r="AA1867" s="3" t="str">
        <f>IFERROR(__xludf.DUMMYFUNCTION("""COMPUTED_VALUE"""),"บางเขน")</f>
        <v>บางเขน</v>
      </c>
      <c r="AB1867" s="3" t="str">
        <f>IFERROR(__xludf.DUMMYFUNCTION("""COMPUTED_VALUE"""),"กรุงเทพมหานคร")</f>
        <v>กรุงเทพมหานคร</v>
      </c>
      <c r="AC1867" s="3">
        <f>IFERROR(__xludf.DUMMYFUNCTION("""COMPUTED_VALUE"""),10220.0)</f>
        <v>10220</v>
      </c>
      <c r="AD1867" s="3">
        <f>IFERROR(__xludf.DUMMYFUNCTION("""COMPUTED_VALUE"""),13.847249)</f>
        <v>13.847249</v>
      </c>
      <c r="AE1867" s="3">
        <f>IFERROR(__xludf.DUMMYFUNCTION("""COMPUTED_VALUE"""),100.653226)</f>
        <v>100.653226</v>
      </c>
      <c r="AF1867" s="3" t="str">
        <f>IFERROR(__xludf.DUMMYFUNCTION("""COMPUTED_VALUE"""),"BCM รามอินทรา 67 กรุงเทพมหานคร-22553")</f>
        <v>BCM รามอินทรา 67 กรุงเทพมหานคร-22553</v>
      </c>
      <c r="AG1867" s="3" t="str">
        <f>IFERROR(__xludf.DUMMYFUNCTION("""COMPUTED_VALUE"""),"กลาง")</f>
        <v>กลาง</v>
      </c>
      <c r="AH1867" s="3" t="str">
        <f>IFERROR(__xludf.DUMMYFUNCTION("""COMPUTED_VALUE"""),"#N/A")</f>
        <v>#N/A</v>
      </c>
      <c r="AI1867" s="3" t="str">
        <f>IFERROR(__xludf.DUMMYFUNCTION("""COMPUTED_VALUE"""),"Out of warranty")</f>
        <v>Out of warranty</v>
      </c>
      <c r="AJ1867" s="3">
        <f>IFERROR(__xludf.DUMMYFUNCTION("""COMPUTED_VALUE"""),31.0)</f>
        <v>31</v>
      </c>
      <c r="AK1867" s="3" t="str">
        <f>IFERROR(__xludf.DUMMYFUNCTION("""COMPUTED_VALUE"""),"MMS01")</f>
        <v>MMS01</v>
      </c>
      <c r="AL1867" s="3"/>
    </row>
    <row r="1868" ht="15.75" customHeight="1">
      <c r="A1868" s="1" t="str">
        <f>IFERROR(__xludf.DUMMYFUNCTION("""COMPUTED_VALUE"""),"22554")</f>
        <v>22554</v>
      </c>
      <c r="B1868" s="2">
        <f>IFERROR(__xludf.DUMMYFUNCTION("""COMPUTED_VALUE"""),22554.0)</f>
        <v>22554</v>
      </c>
      <c r="C1868" s="3" t="str">
        <f>IFERROR(__xludf.DUMMYFUNCTION("""COMPUTED_VALUE"""),"BCM ท่าเรือบางรัก(สมุย) สุราษฎร์ธานี")</f>
        <v>BCM ท่าเรือบางรัก(สมุย) สุราษฎร์ธานี</v>
      </c>
      <c r="D1868" s="3" t="str">
        <f>IFERROR(__xludf.DUMMYFUNCTION("""COMPUTED_VALUE"""),"BCM THAREUA BANGRAK (SAMUI)")</f>
        <v>BCM THAREUA BANGRAK (SAMUI)</v>
      </c>
      <c r="E1868" s="1" t="str">
        <f>IFERROR(__xludf.DUMMYFUNCTION("""COMPUTED_VALUE"""),"บิ๊กซี MINI")</f>
        <v>บิ๊กซี MINI</v>
      </c>
      <c r="F1868" s="1" t="str">
        <f>IFERROR(__xludf.DUMMYFUNCTION("""COMPUTED_VALUE"""),"250760")</f>
        <v>250760</v>
      </c>
      <c r="G1868" s="1" t="str">
        <f>IFERROR(__xludf.DUMMYFUNCTION("""COMPUTED_VALUE"""),"นายประทวน สาราบรรณ์")</f>
        <v>นายประทวน สาราบรรณ์</v>
      </c>
      <c r="H1868" s="1" t="str">
        <f>IFERROR(__xludf.DUMMYFUNCTION("""COMPUTED_VALUE"""),"356760")</f>
        <v>356760</v>
      </c>
      <c r="I1868" s="1" t="str">
        <f>IFERROR(__xludf.DUMMYFUNCTION("""COMPUTED_VALUE"""),"นายภูมิภัทร แก้วพรรณราย")</f>
        <v>นายภูมิภัทร แก้วพรรณราย</v>
      </c>
      <c r="J1868" s="3">
        <f>IFERROR(__xludf.DUMMYFUNCTION("""COMPUTED_VALUE"""),25324.0)</f>
        <v>25324</v>
      </c>
      <c r="K1868" s="3" t="str">
        <f>IFERROR(__xludf.DUMMYFUNCTION("""COMPUTED_VALUE"""),"นายวิเชฎฐ์ ติรัตนะประคม")</f>
        <v>นายวิเชฎฐ์ ติรัตนะประคม</v>
      </c>
      <c r="L1868" s="1" t="str">
        <f>IFERROR(__xludf.DUMMYFUNCTION("""COMPUTED_VALUE"""),"14 K.Wichet T.")</f>
        <v>14 K.Wichet T.</v>
      </c>
      <c r="M1868" s="1" t="str">
        <f>IFERROR(__xludf.DUMMYFUNCTION("""COMPUTED_VALUE"""),"061-417-6569 / 086-445-5636")</f>
        <v>061-417-6569 / 086-445-5636</v>
      </c>
      <c r="N1868" s="3">
        <f>IFERROR(__xludf.DUMMYFUNCTION("""COMPUTED_VALUE"""),22658.0)</f>
        <v>22658</v>
      </c>
      <c r="O1868" s="3" t="str">
        <f>IFERROR(__xludf.DUMMYFUNCTION("""COMPUTED_VALUE"""),"BCM ถ.วิรัชหงษ์หยก ภูเก็ต")</f>
        <v>BCM ถ.วิรัชหงษ์หยก ภูเก็ต</v>
      </c>
      <c r="P1868" s="4">
        <f>IFERROR(__xludf.DUMMYFUNCTION("""COMPUTED_VALUE"""),45137.0)</f>
        <v>45137</v>
      </c>
      <c r="Q1868" s="3" t="str">
        <f>IFERROR(__xludf.DUMMYFUNCTION("""COMPUTED_VALUE"""),"A")</f>
        <v>A</v>
      </c>
      <c r="R1868" s="3" t="str">
        <f>IFERROR(__xludf.DUMMYFUNCTION("""COMPUTED_VALUE"""),"Small Format")</f>
        <v>Small Format</v>
      </c>
      <c r="S1868" s="3" t="str">
        <f>IFERROR(__xludf.DUMMYFUNCTION("""COMPUTED_VALUE"""),"BCM")</f>
        <v>BCM</v>
      </c>
      <c r="T1868" s="3" t="str">
        <f>IFERROR(__xludf.DUMMYFUNCTION("""COMPUTED_VALUE"""),"#N/A")</f>
        <v>#N/A</v>
      </c>
      <c r="U1868" s="3" t="str">
        <f>IFERROR(__xludf.DUMMYFUNCTION("""COMPUTED_VALUE"""),"#N/A")</f>
        <v>#N/A</v>
      </c>
      <c r="V1868" s="3" t="str">
        <f>IFERROR(__xludf.DUMMYFUNCTION("""COMPUTED_VALUE"""),"N")</f>
        <v>N</v>
      </c>
      <c r="W1868" s="3">
        <f>IFERROR(__xludf.DUMMYFUNCTION("""COMPUTED_VALUE"""),210621.0)</f>
        <v>210621</v>
      </c>
      <c r="X1868" s="3" t="str">
        <f>IFERROR(__xludf.DUMMYFUNCTION("""COMPUTED_VALUE"""),"32/50 หมู่4 ตำบลบ่อผุด อำเภอเกาะสมุย จังหวัดสุราษฎร์ธานี 84320")</f>
        <v>32/50 หมู่4 ตำบลบ่อผุด อำเภอเกาะสมุย จังหวัดสุราษฎร์ธานี 84320</v>
      </c>
      <c r="Y1868" s="3"/>
      <c r="Z1868" s="3" t="str">
        <f>IFERROR(__xludf.DUMMYFUNCTION("""COMPUTED_VALUE"""),"บ่อผุด")</f>
        <v>บ่อผุด</v>
      </c>
      <c r="AA1868" s="3" t="str">
        <f>IFERROR(__xludf.DUMMYFUNCTION("""COMPUTED_VALUE"""),"เกาะสมุย")</f>
        <v>เกาะสมุย</v>
      </c>
      <c r="AB1868" s="3" t="str">
        <f>IFERROR(__xludf.DUMMYFUNCTION("""COMPUTED_VALUE"""),"สุราษฎร์ธานี")</f>
        <v>สุราษฎร์ธานี</v>
      </c>
      <c r="AC1868" s="3">
        <f>IFERROR(__xludf.DUMMYFUNCTION("""COMPUTED_VALUE"""),84320.0)</f>
        <v>84320</v>
      </c>
      <c r="AD1868" s="3">
        <f>IFERROR(__xludf.DUMMYFUNCTION("""COMPUTED_VALUE"""),9.564215)</f>
        <v>9.564215</v>
      </c>
      <c r="AE1868" s="3">
        <f>IFERROR(__xludf.DUMMYFUNCTION("""COMPUTED_VALUE"""),100.062017)</f>
        <v>100.062017</v>
      </c>
      <c r="AF1868" s="3" t="str">
        <f>IFERROR(__xludf.DUMMYFUNCTION("""COMPUTED_VALUE"""),"BCM ท่าเรือบางรัก(สมุย) สุราษฎร์ธานี-22554")</f>
        <v>BCM ท่าเรือบางรัก(สมุย) สุราษฎร์ธานี-22554</v>
      </c>
      <c r="AG1868" s="3" t="str">
        <f>IFERROR(__xludf.DUMMYFUNCTION("""COMPUTED_VALUE"""),"ใต้")</f>
        <v>ใต้</v>
      </c>
      <c r="AH1868" s="3" t="str">
        <f>IFERROR(__xludf.DUMMYFUNCTION("""COMPUTED_VALUE"""),"#N/A")</f>
        <v>#N/A</v>
      </c>
      <c r="AI1868" s="3" t="str">
        <f>IFERROR(__xludf.DUMMYFUNCTION("""COMPUTED_VALUE"""),"Out of warranty")</f>
        <v>Out of warranty</v>
      </c>
      <c r="AJ1868" s="3">
        <f>IFERROR(__xludf.DUMMYFUNCTION("""COMPUTED_VALUE"""),30.0)</f>
        <v>30</v>
      </c>
      <c r="AK1868" s="3" t="str">
        <f>IFERROR(__xludf.DUMMYFUNCTION("""COMPUTED_VALUE"""),"MMS14")</f>
        <v>MMS14</v>
      </c>
      <c r="AL1868" s="3"/>
    </row>
    <row r="1869" ht="15.75" customHeight="1">
      <c r="A1869" s="1" t="str">
        <f>IFERROR(__xludf.DUMMYFUNCTION("""COMPUTED_VALUE"""),"22555")</f>
        <v>22555</v>
      </c>
      <c r="B1869" s="2">
        <f>IFERROR(__xludf.DUMMYFUNCTION("""COMPUTED_VALUE"""),22555.0)</f>
        <v>22555</v>
      </c>
      <c r="C1869" s="3" t="str">
        <f>IFERROR(__xludf.DUMMYFUNCTION("""COMPUTED_VALUE"""),"BCM ร.พ.ธรรมศาสตร์เฉลิมพระเกียรติ ปทุมธานี")</f>
        <v>BCM ร.พ.ธรรมศาสตร์เฉลิมพระเกียรติ ปทุมธานี</v>
      </c>
      <c r="D1869" s="3" t="str">
        <f>IFERROR(__xludf.DUMMYFUNCTION("""COMPUTED_VALUE"""),"BCM THAMMASAT HOSPITAL")</f>
        <v>BCM THAMMASAT HOSPITAL</v>
      </c>
      <c r="E1869" s="1" t="str">
        <f>IFERROR(__xludf.DUMMYFUNCTION("""COMPUTED_VALUE"""),"บิ๊กซี MINI")</f>
        <v>บิ๊กซี MINI</v>
      </c>
      <c r="F1869" s="1" t="str">
        <f>IFERROR(__xludf.DUMMYFUNCTION("""COMPUTED_VALUE"""),"2083447")</f>
        <v>2083447</v>
      </c>
      <c r="G1869" s="1" t="str">
        <f>IFERROR(__xludf.DUMMYFUNCTION("""COMPUTED_VALUE"""),"นายอนุกูล ศรีลัดดา")</f>
        <v>นายอนุกูล ศรีลัดดา</v>
      </c>
      <c r="H1869" s="1" t="str">
        <f>IFERROR(__xludf.DUMMYFUNCTION("""COMPUTED_VALUE"""),"373849")</f>
        <v>373849</v>
      </c>
      <c r="I1869" s="1" t="str">
        <f>IFERROR(__xludf.DUMMYFUNCTION("""COMPUTED_VALUE"""),"น.ส.อรอุมา นิ่มวิศิษย์")</f>
        <v>น.ส.อรอุมา นิ่มวิศิษย์</v>
      </c>
      <c r="J1869" s="3">
        <f>IFERROR(__xludf.DUMMYFUNCTION("""COMPUTED_VALUE"""),510143.0)</f>
        <v>510143</v>
      </c>
      <c r="K1869" s="3" t="str">
        <f>IFERROR(__xludf.DUMMYFUNCTION("""COMPUTED_VALUE"""),"นายธีระวัฒน์ บุญสิทธิ์")</f>
        <v>นายธีระวัฒน์ บุญสิทธิ์</v>
      </c>
      <c r="L1869" s="1" t="str">
        <f>IFERROR(__xludf.DUMMYFUNCTION("""COMPUTED_VALUE"""),"12 K.Theerawat B.")</f>
        <v>12 K.Theerawat B.</v>
      </c>
      <c r="M1869" s="1" t="str">
        <f>IFERROR(__xludf.DUMMYFUNCTION("""COMPUTED_VALUE"""),"0655107379")</f>
        <v>0655107379</v>
      </c>
      <c r="N1869" s="3">
        <f>IFERROR(__xludf.DUMMYFUNCTION("""COMPUTED_VALUE"""),21062.0)</f>
        <v>21062</v>
      </c>
      <c r="O1869" s="3" t="str">
        <f>IFERROR(__xludf.DUMMYFUNCTION("""COMPUTED_VALUE"""),"MBC นิคมนวนคร")</f>
        <v>MBC นิคมนวนคร</v>
      </c>
      <c r="P1869" s="4">
        <f>IFERROR(__xludf.DUMMYFUNCTION("""COMPUTED_VALUE"""),45143.0)</f>
        <v>45143</v>
      </c>
      <c r="Q1869" s="3" t="str">
        <f>IFERROR(__xludf.DUMMYFUNCTION("""COMPUTED_VALUE"""),"A")</f>
        <v>A</v>
      </c>
      <c r="R1869" s="3" t="str">
        <f>IFERROR(__xludf.DUMMYFUNCTION("""COMPUTED_VALUE"""),"Small Format")</f>
        <v>Small Format</v>
      </c>
      <c r="S1869" s="3" t="str">
        <f>IFERROR(__xludf.DUMMYFUNCTION("""COMPUTED_VALUE"""),"BCM")</f>
        <v>BCM</v>
      </c>
      <c r="T1869" s="3" t="str">
        <f>IFERROR(__xludf.DUMMYFUNCTION("""COMPUTED_VALUE"""),"#N/A")</f>
        <v>#N/A</v>
      </c>
      <c r="U1869" s="3" t="str">
        <f>IFERROR(__xludf.DUMMYFUNCTION("""COMPUTED_VALUE"""),"#N/A")</f>
        <v>#N/A</v>
      </c>
      <c r="V1869" s="3" t="str">
        <f>IFERROR(__xludf.DUMMYFUNCTION("""COMPUTED_VALUE"""),"N")</f>
        <v>N</v>
      </c>
      <c r="W1869" s="3">
        <f>IFERROR(__xludf.DUMMYFUNCTION("""COMPUTED_VALUE"""),210680.0)</f>
        <v>210680</v>
      </c>
      <c r="X1869" s="3" t="str">
        <f>IFERROR(__xludf.DUMMYFUNCTION("""COMPUTED_VALUE"""),"95 หมู่8 ตำบลคลองหนึ่ง อำเภอคลองหลวง จังหวัดปทุมธานี 12120")</f>
        <v>95 หมู่8 ตำบลคลองหนึ่ง อำเภอคลองหลวง จังหวัดปทุมธานี 12120</v>
      </c>
      <c r="Y1869" s="3"/>
      <c r="Z1869" s="3" t="str">
        <f>IFERROR(__xludf.DUMMYFUNCTION("""COMPUTED_VALUE"""),"คลองหนึ่ง")</f>
        <v>คลองหนึ่ง</v>
      </c>
      <c r="AA1869" s="3" t="str">
        <f>IFERROR(__xludf.DUMMYFUNCTION("""COMPUTED_VALUE"""),"คลองหลวง")</f>
        <v>คลองหลวง</v>
      </c>
      <c r="AB1869" s="3" t="str">
        <f>IFERROR(__xludf.DUMMYFUNCTION("""COMPUTED_VALUE"""),"ปทุมธานี")</f>
        <v>ปทุมธานี</v>
      </c>
      <c r="AC1869" s="3">
        <f>IFERROR(__xludf.DUMMYFUNCTION("""COMPUTED_VALUE"""),12120.0)</f>
        <v>12120</v>
      </c>
      <c r="AD1869" s="3">
        <f>IFERROR(__xludf.DUMMYFUNCTION("""COMPUTED_VALUE"""),14.074116)</f>
        <v>14.074116</v>
      </c>
      <c r="AE1869" s="3" t="str">
        <f>IFERROR(__xludf.DUMMYFUNCTION("""COMPUTED_VALUE"""),"100.61 6440")</f>
        <v>100.61 6440</v>
      </c>
      <c r="AF1869" s="3" t="str">
        <f>IFERROR(__xludf.DUMMYFUNCTION("""COMPUTED_VALUE"""),"BCM ร.พ.ธรรมศาสตร์เฉลิมพระเกียรติ ปทุมธานี-22555")</f>
        <v>BCM ร.พ.ธรรมศาสตร์เฉลิมพระเกียรติ ปทุมธานี-22555</v>
      </c>
      <c r="AG1869" s="3" t="str">
        <f>IFERROR(__xludf.DUMMYFUNCTION("""COMPUTED_VALUE"""),"กลาง")</f>
        <v>กลาง</v>
      </c>
      <c r="AH1869" s="3" t="str">
        <f>IFERROR(__xludf.DUMMYFUNCTION("""COMPUTED_VALUE"""),"#N/A")</f>
        <v>#N/A</v>
      </c>
      <c r="AI1869" s="3" t="str">
        <f>IFERROR(__xludf.DUMMYFUNCTION("""COMPUTED_VALUE"""),"Out of warranty")</f>
        <v>Out of warranty</v>
      </c>
      <c r="AJ1869" s="3">
        <f>IFERROR(__xludf.DUMMYFUNCTION("""COMPUTED_VALUE"""),30.0)</f>
        <v>30</v>
      </c>
      <c r="AK1869" s="3" t="str">
        <f>IFERROR(__xludf.DUMMYFUNCTION("""COMPUTED_VALUE"""),"MMS04")</f>
        <v>MMS04</v>
      </c>
      <c r="AL1869" s="3"/>
    </row>
    <row r="1870" ht="15.75" customHeight="1">
      <c r="A1870" s="1" t="str">
        <f>IFERROR(__xludf.DUMMYFUNCTION("""COMPUTED_VALUE"""),"22556")</f>
        <v>22556</v>
      </c>
      <c r="B1870" s="2">
        <f>IFERROR(__xludf.DUMMYFUNCTION("""COMPUTED_VALUE"""),22556.0)</f>
        <v>22556</v>
      </c>
      <c r="C1870" s="3" t="str">
        <f>IFERROR(__xludf.DUMMYFUNCTION("""COMPUTED_VALUE"""),"BCM ทุ่งสมอ เพชรบูรณ์")</f>
        <v>BCM ทุ่งสมอ เพชรบูรณ์</v>
      </c>
      <c r="D1870" s="3" t="str">
        <f>IFERROR(__xludf.DUMMYFUNCTION("""COMPUTED_VALUE"""),"BCM THUNG SAMOR PHETCHABUN")</f>
        <v>BCM THUNG SAMOR PHETCHABUN</v>
      </c>
      <c r="E1870" s="1" t="str">
        <f>IFERROR(__xludf.DUMMYFUNCTION("""COMPUTED_VALUE"""),"บิ๊กซี MINI")</f>
        <v>บิ๊กซี MINI</v>
      </c>
      <c r="F1870" s="1" t="str">
        <f>IFERROR(__xludf.DUMMYFUNCTION("""COMPUTED_VALUE"""),"296229")</f>
        <v>296229</v>
      </c>
      <c r="G1870" s="1" t="str">
        <f>IFERROR(__xludf.DUMMYFUNCTION("""COMPUTED_VALUE"""),"นายทนงศักดิ์ บุญมา")</f>
        <v>นายทนงศักดิ์ บุญมา</v>
      </c>
      <c r="H1870" s="1" t="str">
        <f>IFERROR(__xludf.DUMMYFUNCTION("""COMPUTED_VALUE"""),"291082")</f>
        <v>291082</v>
      </c>
      <c r="I1870" s="1" t="str">
        <f>IFERROR(__xludf.DUMMYFUNCTION("""COMPUTED_VALUE"""),"น.ส.วจี กันเกตุ")</f>
        <v>น.ส.วจี กันเกตุ</v>
      </c>
      <c r="J1870" s="3">
        <f>IFERROR(__xludf.DUMMYFUNCTION("""COMPUTED_VALUE"""),46214.0)</f>
        <v>46214</v>
      </c>
      <c r="K1870" s="3" t="str">
        <f>IFERROR(__xludf.DUMMYFUNCTION("""COMPUTED_VALUE"""),"นายศักดิ์ชัย เด็ดดอกฟ้า")</f>
        <v>นายศักดิ์ชัย เด็ดดอกฟ้า</v>
      </c>
      <c r="L1870" s="1" t="str">
        <f>IFERROR(__xludf.DUMMYFUNCTION("""COMPUTED_VALUE"""),"02 K.Sakchai D")</f>
        <v>02 K.Sakchai D</v>
      </c>
      <c r="M1870" s="1" t="str">
        <f>IFERROR(__xludf.DUMMYFUNCTION("""COMPUTED_VALUE"""),"065-510-7376")</f>
        <v>065-510-7376</v>
      </c>
      <c r="N1870" s="3">
        <f>IFERROR(__xludf.DUMMYFUNCTION("""COMPUTED_VALUE"""),21714.0)</f>
        <v>21714</v>
      </c>
      <c r="O1870" s="3" t="str">
        <f>IFERROR(__xludf.DUMMYFUNCTION("""COMPUTED_VALUE"""),"MBC เอสโซ่ วัดโบสถ์")</f>
        <v>MBC เอสโซ่ วัดโบสถ์</v>
      </c>
      <c r="P1870" s="4">
        <f>IFERROR(__xludf.DUMMYFUNCTION("""COMPUTED_VALUE"""),45143.0)</f>
        <v>45143</v>
      </c>
      <c r="Q1870" s="3" t="str">
        <f>IFERROR(__xludf.DUMMYFUNCTION("""COMPUTED_VALUE"""),"A")</f>
        <v>A</v>
      </c>
      <c r="R1870" s="3" t="str">
        <f>IFERROR(__xludf.DUMMYFUNCTION("""COMPUTED_VALUE"""),"Small Format")</f>
        <v>Small Format</v>
      </c>
      <c r="S1870" s="3" t="str">
        <f>IFERROR(__xludf.DUMMYFUNCTION("""COMPUTED_VALUE"""),"BCM")</f>
        <v>BCM</v>
      </c>
      <c r="T1870" s="3" t="str">
        <f>IFERROR(__xludf.DUMMYFUNCTION("""COMPUTED_VALUE"""),"#N/A")</f>
        <v>#N/A</v>
      </c>
      <c r="U1870" s="3" t="str">
        <f>IFERROR(__xludf.DUMMYFUNCTION("""COMPUTED_VALUE"""),"#N/A")</f>
        <v>#N/A</v>
      </c>
      <c r="V1870" s="3" t="str">
        <f>IFERROR(__xludf.DUMMYFUNCTION("""COMPUTED_VALUE"""),"N")</f>
        <v>N</v>
      </c>
      <c r="W1870" s="3">
        <f>IFERROR(__xludf.DUMMYFUNCTION("""COMPUTED_VALUE"""),210648.0)</f>
        <v>210648</v>
      </c>
      <c r="X1870" s="3" t="str">
        <f>IFERROR(__xludf.DUMMYFUNCTION("""COMPUTED_VALUE"""),"284 หมู่11 ตำบลทุ่งสมอ อำเภอเขาค้อ จังหวัดเพชรบูรณ์ 67270")</f>
        <v>284 หมู่11 ตำบลทุ่งสมอ อำเภอเขาค้อ จังหวัดเพชรบูรณ์ 67270</v>
      </c>
      <c r="Y1870" s="3"/>
      <c r="Z1870" s="3" t="str">
        <f>IFERROR(__xludf.DUMMYFUNCTION("""COMPUTED_VALUE"""),"ทุ่งสมอ")</f>
        <v>ทุ่งสมอ</v>
      </c>
      <c r="AA1870" s="3" t="str">
        <f>IFERROR(__xludf.DUMMYFUNCTION("""COMPUTED_VALUE"""),"เข้าค้อ")</f>
        <v>เข้าค้อ</v>
      </c>
      <c r="AB1870" s="3" t="str">
        <f>IFERROR(__xludf.DUMMYFUNCTION("""COMPUTED_VALUE"""),"เพชรบูรณ์")</f>
        <v>เพชรบูรณ์</v>
      </c>
      <c r="AC1870" s="3">
        <f>IFERROR(__xludf.DUMMYFUNCTION("""COMPUTED_VALUE"""),67270.0)</f>
        <v>67270</v>
      </c>
      <c r="AD1870" s="3">
        <f>IFERROR(__xludf.DUMMYFUNCTION("""COMPUTED_VALUE"""),16.705495)</f>
        <v>16.705495</v>
      </c>
      <c r="AE1870" s="3">
        <f>IFERROR(__xludf.DUMMYFUNCTION("""COMPUTED_VALUE"""),101.039131)</f>
        <v>101.039131</v>
      </c>
      <c r="AF1870" s="3" t="str">
        <f>IFERROR(__xludf.DUMMYFUNCTION("""COMPUTED_VALUE"""),"BCM ทุ่งสมอ เพชรบูรณ์-22556")</f>
        <v>BCM ทุ่งสมอ เพชรบูรณ์-22556</v>
      </c>
      <c r="AG1870" s="3" t="str">
        <f>IFERROR(__xludf.DUMMYFUNCTION("""COMPUTED_VALUE"""),"กลาง")</f>
        <v>กลาง</v>
      </c>
      <c r="AH1870" s="3" t="str">
        <f>IFERROR(__xludf.DUMMYFUNCTION("""COMPUTED_VALUE"""),"#N/A")</f>
        <v>#N/A</v>
      </c>
      <c r="AI1870" s="3" t="str">
        <f>IFERROR(__xludf.DUMMYFUNCTION("""COMPUTED_VALUE"""),"Out of warranty")</f>
        <v>Out of warranty</v>
      </c>
      <c r="AJ1870" s="3">
        <f>IFERROR(__xludf.DUMMYFUNCTION("""COMPUTED_VALUE"""),30.0)</f>
        <v>30</v>
      </c>
      <c r="AK1870" s="3" t="str">
        <f>IFERROR(__xludf.DUMMYFUNCTION("""COMPUTED_VALUE"""),"MMS09")</f>
        <v>MMS09</v>
      </c>
      <c r="AL1870" s="3"/>
    </row>
    <row r="1871" ht="15.75" customHeight="1">
      <c r="A1871" s="1" t="str">
        <f>IFERROR(__xludf.DUMMYFUNCTION("""COMPUTED_VALUE"""),"22557")</f>
        <v>22557</v>
      </c>
      <c r="B1871" s="2">
        <f>IFERROR(__xludf.DUMMYFUNCTION("""COMPUTED_VALUE"""),22557.0)</f>
        <v>22557</v>
      </c>
      <c r="C1871" s="3" t="str">
        <f>IFERROR(__xludf.DUMMYFUNCTION("""COMPUTED_VALUE"""),"BCM นายาวเขาค้อ เพชรบูรณ์")</f>
        <v>BCM นายาวเขาค้อ เพชรบูรณ์</v>
      </c>
      <c r="D1871" s="3" t="str">
        <f>IFERROR(__xludf.DUMMYFUNCTION("""COMPUTED_VALUE"""),"BCM NA YAO KHAO KHO PHETCHABUN")</f>
        <v>BCM NA YAO KHAO KHO PHETCHABUN</v>
      </c>
      <c r="E1871" s="1" t="str">
        <f>IFERROR(__xludf.DUMMYFUNCTION("""COMPUTED_VALUE"""),"บิ๊กซี MINI")</f>
        <v>บิ๊กซี MINI</v>
      </c>
      <c r="F1871" s="1" t="str">
        <f>IFERROR(__xludf.DUMMYFUNCTION("""COMPUTED_VALUE"""),"296229")</f>
        <v>296229</v>
      </c>
      <c r="G1871" s="1" t="str">
        <f>IFERROR(__xludf.DUMMYFUNCTION("""COMPUTED_VALUE"""),"นายทนงศักดิ์ บุญมา")</f>
        <v>นายทนงศักดิ์ บุญมา</v>
      </c>
      <c r="H1871" s="1" t="str">
        <f>IFERROR(__xludf.DUMMYFUNCTION("""COMPUTED_VALUE"""),"291082")</f>
        <v>291082</v>
      </c>
      <c r="I1871" s="1" t="str">
        <f>IFERROR(__xludf.DUMMYFUNCTION("""COMPUTED_VALUE"""),"น.ส.วจี กันเกตุ")</f>
        <v>น.ส.วจี กันเกตุ</v>
      </c>
      <c r="J1871" s="3">
        <f>IFERROR(__xludf.DUMMYFUNCTION("""COMPUTED_VALUE"""),46214.0)</f>
        <v>46214</v>
      </c>
      <c r="K1871" s="3" t="str">
        <f>IFERROR(__xludf.DUMMYFUNCTION("""COMPUTED_VALUE"""),"นายศักดิ์ชัย เด็ดดอกฟ้า")</f>
        <v>นายศักดิ์ชัย เด็ดดอกฟ้า</v>
      </c>
      <c r="L1871" s="1" t="str">
        <f>IFERROR(__xludf.DUMMYFUNCTION("""COMPUTED_VALUE"""),"02 K.Sakchai D")</f>
        <v>02 K.Sakchai D</v>
      </c>
      <c r="M1871" s="1" t="str">
        <f>IFERROR(__xludf.DUMMYFUNCTION("""COMPUTED_VALUE"""),"065-510-7376")</f>
        <v>065-510-7376</v>
      </c>
      <c r="N1871" s="3">
        <f>IFERROR(__xludf.DUMMYFUNCTION("""COMPUTED_VALUE"""),21714.0)</f>
        <v>21714</v>
      </c>
      <c r="O1871" s="3" t="str">
        <f>IFERROR(__xludf.DUMMYFUNCTION("""COMPUTED_VALUE"""),"MBC เอสโซ่ วัดโบสถ์")</f>
        <v>MBC เอสโซ่ วัดโบสถ์</v>
      </c>
      <c r="P1871" s="4">
        <f>IFERROR(__xludf.DUMMYFUNCTION("""COMPUTED_VALUE"""),45143.0)</f>
        <v>45143</v>
      </c>
      <c r="Q1871" s="3" t="str">
        <f>IFERROR(__xludf.DUMMYFUNCTION("""COMPUTED_VALUE"""),"A")</f>
        <v>A</v>
      </c>
      <c r="R1871" s="3" t="str">
        <f>IFERROR(__xludf.DUMMYFUNCTION("""COMPUTED_VALUE"""),"Small Format")</f>
        <v>Small Format</v>
      </c>
      <c r="S1871" s="3" t="str">
        <f>IFERROR(__xludf.DUMMYFUNCTION("""COMPUTED_VALUE"""),"BCM")</f>
        <v>BCM</v>
      </c>
      <c r="T1871" s="3" t="str">
        <f>IFERROR(__xludf.DUMMYFUNCTION("""COMPUTED_VALUE"""),"#N/A")</f>
        <v>#N/A</v>
      </c>
      <c r="U1871" s="3" t="str">
        <f>IFERROR(__xludf.DUMMYFUNCTION("""COMPUTED_VALUE"""),"#N/A")</f>
        <v>#N/A</v>
      </c>
      <c r="V1871" s="3" t="str">
        <f>IFERROR(__xludf.DUMMYFUNCTION("""COMPUTED_VALUE"""),"N")</f>
        <v>N</v>
      </c>
      <c r="W1871" s="3">
        <f>IFERROR(__xludf.DUMMYFUNCTION("""COMPUTED_VALUE"""),210657.0)</f>
        <v>210657</v>
      </c>
      <c r="X1871" s="3" t="str">
        <f>IFERROR(__xludf.DUMMYFUNCTION("""COMPUTED_VALUE"""),"211 หมู่6 ตำบลทุ่งสมอ อำเภอเขาค้อ จังหวัดเพชรบูรณ์ 67270")</f>
        <v>211 หมู่6 ตำบลทุ่งสมอ อำเภอเขาค้อ จังหวัดเพชรบูรณ์ 67270</v>
      </c>
      <c r="Y1871" s="3"/>
      <c r="Z1871" s="3" t="str">
        <f>IFERROR(__xludf.DUMMYFUNCTION("""COMPUTED_VALUE"""),"ทุ่งสมอ")</f>
        <v>ทุ่งสมอ</v>
      </c>
      <c r="AA1871" s="3" t="str">
        <f>IFERROR(__xludf.DUMMYFUNCTION("""COMPUTED_VALUE"""),"เข้าค้อ")</f>
        <v>เข้าค้อ</v>
      </c>
      <c r="AB1871" s="3" t="str">
        <f>IFERROR(__xludf.DUMMYFUNCTION("""COMPUTED_VALUE"""),"เพชรบูรณ์")</f>
        <v>เพชรบูรณ์</v>
      </c>
      <c r="AC1871" s="3">
        <f>IFERROR(__xludf.DUMMYFUNCTION("""COMPUTED_VALUE"""),67270.0)</f>
        <v>67270</v>
      </c>
      <c r="AD1871" s="3">
        <f>IFERROR(__xludf.DUMMYFUNCTION("""COMPUTED_VALUE"""),16.732145)</f>
        <v>16.732145</v>
      </c>
      <c r="AE1871" s="3" t="str">
        <f>IFERROR(__xludf.DUMMYFUNCTION("""COMPUTED_VALUE"""),"101.0179 00")</f>
        <v>101.0179 00</v>
      </c>
      <c r="AF1871" s="3" t="str">
        <f>IFERROR(__xludf.DUMMYFUNCTION("""COMPUTED_VALUE"""),"BCM นายาวเขาค้อ เพชรบูรณ์-22557")</f>
        <v>BCM นายาวเขาค้อ เพชรบูรณ์-22557</v>
      </c>
      <c r="AG1871" s="3" t="str">
        <f>IFERROR(__xludf.DUMMYFUNCTION("""COMPUTED_VALUE"""),"กลาง")</f>
        <v>กลาง</v>
      </c>
      <c r="AH1871" s="3" t="str">
        <f>IFERROR(__xludf.DUMMYFUNCTION("""COMPUTED_VALUE"""),"#N/A")</f>
        <v>#N/A</v>
      </c>
      <c r="AI1871" s="3" t="str">
        <f>IFERROR(__xludf.DUMMYFUNCTION("""COMPUTED_VALUE"""),"Out of warranty")</f>
        <v>Out of warranty</v>
      </c>
      <c r="AJ1871" s="3">
        <f>IFERROR(__xludf.DUMMYFUNCTION("""COMPUTED_VALUE"""),30.0)</f>
        <v>30</v>
      </c>
      <c r="AK1871" s="3" t="str">
        <f>IFERROR(__xludf.DUMMYFUNCTION("""COMPUTED_VALUE"""),"MMS09")</f>
        <v>MMS09</v>
      </c>
      <c r="AL1871" s="3"/>
    </row>
    <row r="1872" ht="15.75" customHeight="1">
      <c r="A1872" s="1" t="str">
        <f>IFERROR(__xludf.DUMMYFUNCTION("""COMPUTED_VALUE"""),"22558")</f>
        <v>22558</v>
      </c>
      <c r="B1872" s="2">
        <f>IFERROR(__xludf.DUMMYFUNCTION("""COMPUTED_VALUE"""),22558.0)</f>
        <v>22558</v>
      </c>
      <c r="C1872" s="3" t="str">
        <f>IFERROR(__xludf.DUMMYFUNCTION("""COMPUTED_VALUE"""),"BCM ภูทับเบิก เพชรบูรณ์")</f>
        <v>BCM ภูทับเบิก เพชรบูรณ์</v>
      </c>
      <c r="D1872" s="3" t="str">
        <f>IFERROR(__xludf.DUMMYFUNCTION("""COMPUTED_VALUE"""),"BCM PHU THAP BOEK PHETCHABUN")</f>
        <v>BCM PHU THAP BOEK PHETCHABUN</v>
      </c>
      <c r="E1872" s="1" t="str">
        <f>IFERROR(__xludf.DUMMYFUNCTION("""COMPUTED_VALUE"""),"บิ๊กซี MINI")</f>
        <v>บิ๊กซี MINI</v>
      </c>
      <c r="F1872" s="1" t="str">
        <f>IFERROR(__xludf.DUMMYFUNCTION("""COMPUTED_VALUE"""),"296229")</f>
        <v>296229</v>
      </c>
      <c r="G1872" s="1" t="str">
        <f>IFERROR(__xludf.DUMMYFUNCTION("""COMPUTED_VALUE"""),"นายทนงศักดิ์ บุญมา")</f>
        <v>นายทนงศักดิ์ บุญมา</v>
      </c>
      <c r="H1872" s="1" t="str">
        <f>IFERROR(__xludf.DUMMYFUNCTION("""COMPUTED_VALUE"""),"291082")</f>
        <v>291082</v>
      </c>
      <c r="I1872" s="1" t="str">
        <f>IFERROR(__xludf.DUMMYFUNCTION("""COMPUTED_VALUE"""),"น.ส.วจี กันเกตุ")</f>
        <v>น.ส.วจี กันเกตุ</v>
      </c>
      <c r="J1872" s="3">
        <f>IFERROR(__xludf.DUMMYFUNCTION("""COMPUTED_VALUE"""),46214.0)</f>
        <v>46214</v>
      </c>
      <c r="K1872" s="3" t="str">
        <f>IFERROR(__xludf.DUMMYFUNCTION("""COMPUTED_VALUE"""),"นายศักดิ์ชัย เด็ดดอกฟ้า")</f>
        <v>นายศักดิ์ชัย เด็ดดอกฟ้า</v>
      </c>
      <c r="L1872" s="1" t="str">
        <f>IFERROR(__xludf.DUMMYFUNCTION("""COMPUTED_VALUE"""),"02 K.Sakchai D")</f>
        <v>02 K.Sakchai D</v>
      </c>
      <c r="M1872" s="1" t="str">
        <f>IFERROR(__xludf.DUMMYFUNCTION("""COMPUTED_VALUE"""),"065-510-7376")</f>
        <v>065-510-7376</v>
      </c>
      <c r="N1872" s="3">
        <f>IFERROR(__xludf.DUMMYFUNCTION("""COMPUTED_VALUE"""),21714.0)</f>
        <v>21714</v>
      </c>
      <c r="O1872" s="3" t="str">
        <f>IFERROR(__xludf.DUMMYFUNCTION("""COMPUTED_VALUE"""),"MBC เอสโซ่ วัดโบสถ์")</f>
        <v>MBC เอสโซ่ วัดโบสถ์</v>
      </c>
      <c r="P1872" s="4">
        <f>IFERROR(__xludf.DUMMYFUNCTION("""COMPUTED_VALUE"""),45143.0)</f>
        <v>45143</v>
      </c>
      <c r="Q1872" s="3" t="str">
        <f>IFERROR(__xludf.DUMMYFUNCTION("""COMPUTED_VALUE"""),"A")</f>
        <v>A</v>
      </c>
      <c r="R1872" s="3" t="str">
        <f>IFERROR(__xludf.DUMMYFUNCTION("""COMPUTED_VALUE"""),"Small Format")</f>
        <v>Small Format</v>
      </c>
      <c r="S1872" s="3" t="str">
        <f>IFERROR(__xludf.DUMMYFUNCTION("""COMPUTED_VALUE"""),"BCM")</f>
        <v>BCM</v>
      </c>
      <c r="T1872" s="3" t="str">
        <f>IFERROR(__xludf.DUMMYFUNCTION("""COMPUTED_VALUE"""),"#N/A")</f>
        <v>#N/A</v>
      </c>
      <c r="U1872" s="3" t="str">
        <f>IFERROR(__xludf.DUMMYFUNCTION("""COMPUTED_VALUE"""),"#N/A")</f>
        <v>#N/A</v>
      </c>
      <c r="V1872" s="3" t="str">
        <f>IFERROR(__xludf.DUMMYFUNCTION("""COMPUTED_VALUE"""),"N")</f>
        <v>N</v>
      </c>
      <c r="W1872" s="3">
        <f>IFERROR(__xludf.DUMMYFUNCTION("""COMPUTED_VALUE"""),210658.0)</f>
        <v>210658</v>
      </c>
      <c r="X1872" s="3" t="str">
        <f>IFERROR(__xludf.DUMMYFUNCTION("""COMPUTED_VALUE"""),"194 หมู่6 ตำบลบ้านเนิน อำเภอหล่มเก่า จังหวัดเพชรบูรณ์ 67120")</f>
        <v>194 หมู่6 ตำบลบ้านเนิน อำเภอหล่มเก่า จังหวัดเพชรบูรณ์ 67120</v>
      </c>
      <c r="Y1872" s="3"/>
      <c r="Z1872" s="3" t="str">
        <f>IFERROR(__xludf.DUMMYFUNCTION("""COMPUTED_VALUE"""),"บ้านเนิน")</f>
        <v>บ้านเนิน</v>
      </c>
      <c r="AA1872" s="3" t="str">
        <f>IFERROR(__xludf.DUMMYFUNCTION("""COMPUTED_VALUE"""),"หล่มเก่า")</f>
        <v>หล่มเก่า</v>
      </c>
      <c r="AB1872" s="3" t="str">
        <f>IFERROR(__xludf.DUMMYFUNCTION("""COMPUTED_VALUE"""),"เพชรบูรณ์")</f>
        <v>เพชรบูรณ์</v>
      </c>
      <c r="AC1872" s="3">
        <f>IFERROR(__xludf.DUMMYFUNCTION("""COMPUTED_VALUE"""),67120.0)</f>
        <v>67120</v>
      </c>
      <c r="AD1872" s="3">
        <f>IFERROR(__xludf.DUMMYFUNCTION("""COMPUTED_VALUE"""),16.87557)</f>
        <v>16.87557</v>
      </c>
      <c r="AE1872" s="3" t="str">
        <f>IFERROR(__xludf.DUMMYFUNCTION("""COMPUTED_VALUE"""),"101.1 71815")</f>
        <v>101.1 71815</v>
      </c>
      <c r="AF1872" s="3" t="str">
        <f>IFERROR(__xludf.DUMMYFUNCTION("""COMPUTED_VALUE"""),"BCM ภูทับเบิก เพชรบูรณ์-22558")</f>
        <v>BCM ภูทับเบิก เพชรบูรณ์-22558</v>
      </c>
      <c r="AG1872" s="3" t="str">
        <f>IFERROR(__xludf.DUMMYFUNCTION("""COMPUTED_VALUE"""),"กลาง")</f>
        <v>กลาง</v>
      </c>
      <c r="AH1872" s="3" t="str">
        <f>IFERROR(__xludf.DUMMYFUNCTION("""COMPUTED_VALUE"""),"#N/A")</f>
        <v>#N/A</v>
      </c>
      <c r="AI1872" s="3" t="str">
        <f>IFERROR(__xludf.DUMMYFUNCTION("""COMPUTED_VALUE"""),"Out of warranty")</f>
        <v>Out of warranty</v>
      </c>
      <c r="AJ1872" s="3">
        <f>IFERROR(__xludf.DUMMYFUNCTION("""COMPUTED_VALUE"""),30.0)</f>
        <v>30</v>
      </c>
      <c r="AK1872" s="3" t="str">
        <f>IFERROR(__xludf.DUMMYFUNCTION("""COMPUTED_VALUE"""),"MMS09")</f>
        <v>MMS09</v>
      </c>
      <c r="AL1872" s="3"/>
    </row>
    <row r="1873" ht="15.75" customHeight="1">
      <c r="A1873" s="1" t="str">
        <f>IFERROR(__xludf.DUMMYFUNCTION("""COMPUTED_VALUE"""),"22559")</f>
        <v>22559</v>
      </c>
      <c r="B1873" s="2">
        <f>IFERROR(__xludf.DUMMYFUNCTION("""COMPUTED_VALUE"""),22559.0)</f>
        <v>22559</v>
      </c>
      <c r="C1873" s="3" t="str">
        <f>IFERROR(__xludf.DUMMYFUNCTION("""COMPUTED_VALUE"""),"BCM พาโนบางปะกง ฉะเชิงเทรา")</f>
        <v>BCM พาโนบางปะกง ฉะเชิงเทรา</v>
      </c>
      <c r="D1873" s="3" t="str">
        <f>IFERROR(__xludf.DUMMYFUNCTION("""COMPUTED_VALUE"""),"BCM PANO BANGPAKONG")</f>
        <v>BCM PANO BANGPAKONG</v>
      </c>
      <c r="E1873" s="1" t="str">
        <f>IFERROR(__xludf.DUMMYFUNCTION("""COMPUTED_VALUE"""),"บิ๊กซี MINI")</f>
        <v>บิ๊กซี MINI</v>
      </c>
      <c r="F1873" s="1" t="str">
        <f>IFERROR(__xludf.DUMMYFUNCTION("""COMPUTED_VALUE"""),"2083447")</f>
        <v>2083447</v>
      </c>
      <c r="G1873" s="1" t="str">
        <f>IFERROR(__xludf.DUMMYFUNCTION("""COMPUTED_VALUE"""),"นายอนุกูล ศรีลัดดา")</f>
        <v>นายอนุกูล ศรีลัดดา</v>
      </c>
      <c r="H1873" s="1" t="str">
        <f>IFERROR(__xludf.DUMMYFUNCTION("""COMPUTED_VALUE"""),"254957")</f>
        <v>254957</v>
      </c>
      <c r="I1873" s="1" t="str">
        <f>IFERROR(__xludf.DUMMYFUNCTION("""COMPUTED_VALUE"""),"น.ส.ศิริพร รุ่งธัญญา")</f>
        <v>น.ส.ศิริพร รุ่งธัญญา</v>
      </c>
      <c r="J1873" s="3">
        <f>IFERROR(__xludf.DUMMYFUNCTION("""COMPUTED_VALUE"""),510143.0)</f>
        <v>510143</v>
      </c>
      <c r="K1873" s="3" t="str">
        <f>IFERROR(__xludf.DUMMYFUNCTION("""COMPUTED_VALUE"""),"นายธีระวัฒน์ บุญสิทธิ์")</f>
        <v>นายธีระวัฒน์ บุญสิทธิ์</v>
      </c>
      <c r="L1873" s="1" t="str">
        <f>IFERROR(__xludf.DUMMYFUNCTION("""COMPUTED_VALUE"""),"12 K.Theerawat B.")</f>
        <v>12 K.Theerawat B.</v>
      </c>
      <c r="M1873" s="1" t="str">
        <f>IFERROR(__xludf.DUMMYFUNCTION("""COMPUTED_VALUE"""),"0655107379")</f>
        <v>0655107379</v>
      </c>
      <c r="N1873" s="3">
        <f>IFERROR(__xludf.DUMMYFUNCTION("""COMPUTED_VALUE"""),21062.0)</f>
        <v>21062</v>
      </c>
      <c r="O1873" s="3" t="str">
        <f>IFERROR(__xludf.DUMMYFUNCTION("""COMPUTED_VALUE"""),"MBC นิคมนวนคร")</f>
        <v>MBC นิคมนวนคร</v>
      </c>
      <c r="P1873" s="4">
        <f>IFERROR(__xludf.DUMMYFUNCTION("""COMPUTED_VALUE"""),45143.0)</f>
        <v>45143</v>
      </c>
      <c r="Q1873" s="3" t="str">
        <f>IFERROR(__xludf.DUMMYFUNCTION("""COMPUTED_VALUE"""),"A")</f>
        <v>A</v>
      </c>
      <c r="R1873" s="3" t="str">
        <f>IFERROR(__xludf.DUMMYFUNCTION("""COMPUTED_VALUE"""),"Small Format")</f>
        <v>Small Format</v>
      </c>
      <c r="S1873" s="3" t="str">
        <f>IFERROR(__xludf.DUMMYFUNCTION("""COMPUTED_VALUE"""),"BCM")</f>
        <v>BCM</v>
      </c>
      <c r="T1873" s="3" t="str">
        <f>IFERROR(__xludf.DUMMYFUNCTION("""COMPUTED_VALUE"""),"#N/A")</f>
        <v>#N/A</v>
      </c>
      <c r="U1873" s="3" t="str">
        <f>IFERROR(__xludf.DUMMYFUNCTION("""COMPUTED_VALUE"""),"#N/A")</f>
        <v>#N/A</v>
      </c>
      <c r="V1873" s="3" t="str">
        <f>IFERROR(__xludf.DUMMYFUNCTION("""COMPUTED_VALUE"""),"N")</f>
        <v>N</v>
      </c>
      <c r="W1873" s="3">
        <f>IFERROR(__xludf.DUMMYFUNCTION("""COMPUTED_VALUE"""),210631.0)</f>
        <v>210631</v>
      </c>
      <c r="X1873" s="3" t="str">
        <f>IFERROR(__xludf.DUMMYFUNCTION("""COMPUTED_VALUE"""),"222/259 หมู่5 ตำบลท่าสะอ้าน อำเภอบางปะกง จังหวัดฉะเชิงเทรา 24130")</f>
        <v>222/259 หมู่5 ตำบลท่าสะอ้าน อำเภอบางปะกง จังหวัดฉะเชิงเทรา 24130</v>
      </c>
      <c r="Y1873" s="3"/>
      <c r="Z1873" s="3" t="str">
        <f>IFERROR(__xludf.DUMMYFUNCTION("""COMPUTED_VALUE"""),"ท่าสะอ้าน")</f>
        <v>ท่าสะอ้าน</v>
      </c>
      <c r="AA1873" s="3" t="str">
        <f>IFERROR(__xludf.DUMMYFUNCTION("""COMPUTED_VALUE"""),"บางปะกง")</f>
        <v>บางปะกง</v>
      </c>
      <c r="AB1873" s="3" t="str">
        <f>IFERROR(__xludf.DUMMYFUNCTION("""COMPUTED_VALUE"""),"ฉะเชิงเทรา")</f>
        <v>ฉะเชิงเทรา</v>
      </c>
      <c r="AC1873" s="3">
        <f>IFERROR(__xludf.DUMMYFUNCTION("""COMPUTED_VALUE"""),24130.0)</f>
        <v>24130</v>
      </c>
      <c r="AD1873" s="3">
        <f>IFERROR(__xludf.DUMMYFUNCTION("""COMPUTED_VALUE"""),13.559108)</f>
        <v>13.559108</v>
      </c>
      <c r="AE1873" s="3">
        <f>IFERROR(__xludf.DUMMYFUNCTION("""COMPUTED_VALUE"""),100.996519)</f>
        <v>100.996519</v>
      </c>
      <c r="AF1873" s="3" t="str">
        <f>IFERROR(__xludf.DUMMYFUNCTION("""COMPUTED_VALUE"""),"BCM พาโนบางปะกง ฉะเชิงเทรา-22559")</f>
        <v>BCM พาโนบางปะกง ฉะเชิงเทรา-22559</v>
      </c>
      <c r="AG1873" s="3" t="str">
        <f>IFERROR(__xludf.DUMMYFUNCTION("""COMPUTED_VALUE"""),"ตะวันออก")</f>
        <v>ตะวันออก</v>
      </c>
      <c r="AH1873" s="3" t="str">
        <f>IFERROR(__xludf.DUMMYFUNCTION("""COMPUTED_VALUE"""),"#N/A")</f>
        <v>#N/A</v>
      </c>
      <c r="AI1873" s="3" t="str">
        <f>IFERROR(__xludf.DUMMYFUNCTION("""COMPUTED_VALUE"""),"Out of warranty")</f>
        <v>Out of warranty</v>
      </c>
      <c r="AJ1873" s="3">
        <f>IFERROR(__xludf.DUMMYFUNCTION("""COMPUTED_VALUE"""),30.0)</f>
        <v>30</v>
      </c>
      <c r="AK1873" s="3" t="str">
        <f>IFERROR(__xludf.DUMMYFUNCTION("""COMPUTED_VALUE"""),"MMS03")</f>
        <v>MMS03</v>
      </c>
      <c r="AL1873" s="3"/>
    </row>
    <row r="1874" ht="15.75" customHeight="1">
      <c r="A1874" s="1" t="str">
        <f>IFERROR(__xludf.DUMMYFUNCTION("""COMPUTED_VALUE"""),"22560")</f>
        <v>22560</v>
      </c>
      <c r="B1874" s="2">
        <f>IFERROR(__xludf.DUMMYFUNCTION("""COMPUTED_VALUE"""),22560.0)</f>
        <v>22560</v>
      </c>
      <c r="C1874" s="3" t="str">
        <f>IFERROR(__xludf.DUMMYFUNCTION("""COMPUTED_VALUE"""),"BCM ศรีโยธิน กำแพงเพชร")</f>
        <v>BCM ศรีโยธิน กำแพงเพชร</v>
      </c>
      <c r="D1874" s="3" t="str">
        <f>IFERROR(__xludf.DUMMYFUNCTION("""COMPUTED_VALUE"""),"BCM SRIYOTHIN KAMPHAENG PHET")</f>
        <v>BCM SRIYOTHIN KAMPHAENG PHET</v>
      </c>
      <c r="E1874" s="1" t="str">
        <f>IFERROR(__xludf.DUMMYFUNCTION("""COMPUTED_VALUE"""),"บิ๊กซี MINI")</f>
        <v>บิ๊กซี MINI</v>
      </c>
      <c r="F1874" s="1" t="str">
        <f>IFERROR(__xludf.DUMMYFUNCTION("""COMPUTED_VALUE"""),"296229")</f>
        <v>296229</v>
      </c>
      <c r="G1874" s="1" t="str">
        <f>IFERROR(__xludf.DUMMYFUNCTION("""COMPUTED_VALUE"""),"นายทนงศักดิ์ บุญมา")</f>
        <v>นายทนงศักดิ์ บุญมา</v>
      </c>
      <c r="H1874" s="1" t="str">
        <f>IFERROR(__xludf.DUMMYFUNCTION("""COMPUTED_VALUE"""),"373680")</f>
        <v>373680</v>
      </c>
      <c r="I1874" s="1" t="str">
        <f>IFERROR(__xludf.DUMMYFUNCTION("""COMPUTED_VALUE"""),"นายวสันต์ พรรณราย")</f>
        <v>นายวสันต์ พรรณราย</v>
      </c>
      <c r="J1874" s="3">
        <f>IFERROR(__xludf.DUMMYFUNCTION("""COMPUTED_VALUE"""),46214.0)</f>
        <v>46214</v>
      </c>
      <c r="K1874" s="3" t="str">
        <f>IFERROR(__xludf.DUMMYFUNCTION("""COMPUTED_VALUE"""),"นายศักดิ์ชัย เด็ดดอกฟ้า")</f>
        <v>นายศักดิ์ชัย เด็ดดอกฟ้า</v>
      </c>
      <c r="L1874" s="1" t="str">
        <f>IFERROR(__xludf.DUMMYFUNCTION("""COMPUTED_VALUE"""),"02 K.Sakchai D")</f>
        <v>02 K.Sakchai D</v>
      </c>
      <c r="M1874" s="1" t="str">
        <f>IFERROR(__xludf.DUMMYFUNCTION("""COMPUTED_VALUE"""),"065-510-7376")</f>
        <v>065-510-7376</v>
      </c>
      <c r="N1874" s="3">
        <f>IFERROR(__xludf.DUMMYFUNCTION("""COMPUTED_VALUE"""),21714.0)</f>
        <v>21714</v>
      </c>
      <c r="O1874" s="3" t="str">
        <f>IFERROR(__xludf.DUMMYFUNCTION("""COMPUTED_VALUE"""),"MBC เอสโซ่ วัดโบสถ์")</f>
        <v>MBC เอสโซ่ วัดโบสถ์</v>
      </c>
      <c r="P1874" s="4">
        <f>IFERROR(__xludf.DUMMYFUNCTION("""COMPUTED_VALUE"""),45157.0)</f>
        <v>45157</v>
      </c>
      <c r="Q1874" s="3" t="str">
        <f>IFERROR(__xludf.DUMMYFUNCTION("""COMPUTED_VALUE"""),"A")</f>
        <v>A</v>
      </c>
      <c r="R1874" s="3" t="str">
        <f>IFERROR(__xludf.DUMMYFUNCTION("""COMPUTED_VALUE"""),"Small Format")</f>
        <v>Small Format</v>
      </c>
      <c r="S1874" s="3" t="str">
        <f>IFERROR(__xludf.DUMMYFUNCTION("""COMPUTED_VALUE"""),"BCM")</f>
        <v>BCM</v>
      </c>
      <c r="T1874" s="3" t="str">
        <f>IFERROR(__xludf.DUMMYFUNCTION("""COMPUTED_VALUE"""),"#N/A")</f>
        <v>#N/A</v>
      </c>
      <c r="U1874" s="3" t="str">
        <f>IFERROR(__xludf.DUMMYFUNCTION("""COMPUTED_VALUE"""),"#N/A")</f>
        <v>#N/A</v>
      </c>
      <c r="V1874" s="3" t="str">
        <f>IFERROR(__xludf.DUMMYFUNCTION("""COMPUTED_VALUE"""),"N")</f>
        <v>N</v>
      </c>
      <c r="W1874" s="3">
        <f>IFERROR(__xludf.DUMMYFUNCTION("""COMPUTED_VALUE"""),210651.0)</f>
        <v>210651</v>
      </c>
      <c r="X1874" s="3" t="str">
        <f>IFERROR(__xludf.DUMMYFUNCTION("""COMPUTED_VALUE"""),"174/6 หมู่7 ตำบลหนองปลิง อำเภอเมืองกำแพงเพชร จังหวัดกำแพงเพชร 62000")</f>
        <v>174/6 หมู่7 ตำบลหนองปลิง อำเภอเมืองกำแพงเพชร จังหวัดกำแพงเพชร 62000</v>
      </c>
      <c r="Y1874" s="3"/>
      <c r="Z1874" s="3" t="str">
        <f>IFERROR(__xludf.DUMMYFUNCTION("""COMPUTED_VALUE"""),"หนองปลิง")</f>
        <v>หนองปลิง</v>
      </c>
      <c r="AA1874" s="3" t="str">
        <f>IFERROR(__xludf.DUMMYFUNCTION("""COMPUTED_VALUE"""),"เมืองกำแพงเพชร")</f>
        <v>เมืองกำแพงเพชร</v>
      </c>
      <c r="AB1874" s="3" t="str">
        <f>IFERROR(__xludf.DUMMYFUNCTION("""COMPUTED_VALUE"""),"กำแพงเพชร")</f>
        <v>กำแพงเพชร</v>
      </c>
      <c r="AC1874" s="3">
        <f>IFERROR(__xludf.DUMMYFUNCTION("""COMPUTED_VALUE"""),62000.0)</f>
        <v>62000</v>
      </c>
      <c r="AD1874" s="3">
        <f>IFERROR(__xludf.DUMMYFUNCTION("""COMPUTED_VALUE"""),16.524013)</f>
        <v>16.524013</v>
      </c>
      <c r="AE1874" s="3" t="str">
        <f>IFERROR(__xludf.DUMMYFUNCTION("""COMPUTED_VALUE"""),"99.5123 63")</f>
        <v>99.5123 63</v>
      </c>
      <c r="AF1874" s="3" t="str">
        <f>IFERROR(__xludf.DUMMYFUNCTION("""COMPUTED_VALUE"""),"BCM ศรีโยธิน กำแพงเพชร-22560")</f>
        <v>BCM ศรีโยธิน กำแพงเพชร-22560</v>
      </c>
      <c r="AG1874" s="3" t="str">
        <f>IFERROR(__xludf.DUMMYFUNCTION("""COMPUTED_VALUE"""),"กลาง")</f>
        <v>กลาง</v>
      </c>
      <c r="AH1874" s="3" t="str">
        <f>IFERROR(__xludf.DUMMYFUNCTION("""COMPUTED_VALUE"""),"#N/A")</f>
        <v>#N/A</v>
      </c>
      <c r="AI1874" s="3" t="str">
        <f>IFERROR(__xludf.DUMMYFUNCTION("""COMPUTED_VALUE"""),"Out of warranty")</f>
        <v>Out of warranty</v>
      </c>
      <c r="AJ1874" s="3">
        <f>IFERROR(__xludf.DUMMYFUNCTION("""COMPUTED_VALUE"""),30.0)</f>
        <v>30</v>
      </c>
      <c r="AK1874" s="3" t="str">
        <f>IFERROR(__xludf.DUMMYFUNCTION("""COMPUTED_VALUE"""),"MMS09")</f>
        <v>MMS09</v>
      </c>
      <c r="AL1874" s="3"/>
    </row>
    <row r="1875" ht="15.75" customHeight="1">
      <c r="A1875" s="1" t="str">
        <f>IFERROR(__xludf.DUMMYFUNCTION("""COMPUTED_VALUE"""),"22561")</f>
        <v>22561</v>
      </c>
      <c r="B1875" s="2">
        <f>IFERROR(__xludf.DUMMYFUNCTION("""COMPUTED_VALUE"""),22561.0)</f>
        <v>22561</v>
      </c>
      <c r="C1875" s="3" t="str">
        <f>IFERROR(__xludf.DUMMYFUNCTION("""COMPUTED_VALUE"""),"BCM บ้านบ่อแร่ ภูเก็ต")</f>
        <v>BCM บ้านบ่อแร่ ภูเก็ต</v>
      </c>
      <c r="D1875" s="3" t="str">
        <f>IFERROR(__xludf.DUMMYFUNCTION("""COMPUTED_VALUE"""),"BCM BAN BORAE PHUKET")</f>
        <v>BCM BAN BORAE PHUKET</v>
      </c>
      <c r="E1875" s="1" t="str">
        <f>IFERROR(__xludf.DUMMYFUNCTION("""COMPUTED_VALUE"""),"บิ๊กซี MINI")</f>
        <v>บิ๊กซี MINI</v>
      </c>
      <c r="F1875" s="1" t="str">
        <f>IFERROR(__xludf.DUMMYFUNCTION("""COMPUTED_VALUE"""),"250760")</f>
        <v>250760</v>
      </c>
      <c r="G1875" s="1" t="str">
        <f>IFERROR(__xludf.DUMMYFUNCTION("""COMPUTED_VALUE"""),"นายประทวน สาราบรรณ์")</f>
        <v>นายประทวน สาราบรรณ์</v>
      </c>
      <c r="H1875" s="1" t="str">
        <f>IFERROR(__xludf.DUMMYFUNCTION("""COMPUTED_VALUE"""),"357284")</f>
        <v>357284</v>
      </c>
      <c r="I1875" s="1" t="str">
        <f>IFERROR(__xludf.DUMMYFUNCTION("""COMPUTED_VALUE"""),"น.ส.เบญจวรรณ ปัณฑโมรา")</f>
        <v>น.ส.เบญจวรรณ ปัณฑโมรา</v>
      </c>
      <c r="J1875" s="3">
        <f>IFERROR(__xludf.DUMMYFUNCTION("""COMPUTED_VALUE"""),25324.0)</f>
        <v>25324</v>
      </c>
      <c r="K1875" s="3" t="str">
        <f>IFERROR(__xludf.DUMMYFUNCTION("""COMPUTED_VALUE"""),"นายวิเชฎฐ์ ติรัตนะประคม")</f>
        <v>นายวิเชฎฐ์ ติรัตนะประคม</v>
      </c>
      <c r="L1875" s="1" t="str">
        <f>IFERROR(__xludf.DUMMYFUNCTION("""COMPUTED_VALUE"""),"14 K.Wichet T.")</f>
        <v>14 K.Wichet T.</v>
      </c>
      <c r="M1875" s="1" t="str">
        <f>IFERROR(__xludf.DUMMYFUNCTION("""COMPUTED_VALUE"""),"061-417-6569 / 086-445-5636")</f>
        <v>061-417-6569 / 086-445-5636</v>
      </c>
      <c r="N1875" s="3">
        <f>IFERROR(__xludf.DUMMYFUNCTION("""COMPUTED_VALUE"""),22658.0)</f>
        <v>22658</v>
      </c>
      <c r="O1875" s="3" t="str">
        <f>IFERROR(__xludf.DUMMYFUNCTION("""COMPUTED_VALUE"""),"BCM ถ.วิรัชหงษ์หยก ภูเก็ต")</f>
        <v>BCM ถ.วิรัชหงษ์หยก ภูเก็ต</v>
      </c>
      <c r="P1875" s="4">
        <f>IFERROR(__xludf.DUMMYFUNCTION("""COMPUTED_VALUE"""),45157.0)</f>
        <v>45157</v>
      </c>
      <c r="Q1875" s="3" t="str">
        <f>IFERROR(__xludf.DUMMYFUNCTION("""COMPUTED_VALUE"""),"A")</f>
        <v>A</v>
      </c>
      <c r="R1875" s="3" t="str">
        <f>IFERROR(__xludf.DUMMYFUNCTION("""COMPUTED_VALUE"""),"Small Format")</f>
        <v>Small Format</v>
      </c>
      <c r="S1875" s="3" t="str">
        <f>IFERROR(__xludf.DUMMYFUNCTION("""COMPUTED_VALUE"""),"BCM")</f>
        <v>BCM</v>
      </c>
      <c r="T1875" s="3" t="str">
        <f>IFERROR(__xludf.DUMMYFUNCTION("""COMPUTED_VALUE"""),"#N/A")</f>
        <v>#N/A</v>
      </c>
      <c r="U1875" s="3" t="str">
        <f>IFERROR(__xludf.DUMMYFUNCTION("""COMPUTED_VALUE"""),"#N/A")</f>
        <v>#N/A</v>
      </c>
      <c r="V1875" s="3" t="str">
        <f>IFERROR(__xludf.DUMMYFUNCTION("""COMPUTED_VALUE"""),"N")</f>
        <v>N</v>
      </c>
      <c r="W1875" s="3">
        <f>IFERROR(__xludf.DUMMYFUNCTION("""COMPUTED_VALUE"""),210646.0)</f>
        <v>210646</v>
      </c>
      <c r="X1875" s="3" t="str">
        <f>IFERROR(__xludf.DUMMYFUNCTION("""COMPUTED_VALUE"""),"35/80 หมู่1 ตำบลวิชิต อำเภอเมืองภูเก็ต จังหวัดภูเก็ต 83000")</f>
        <v>35/80 หมู่1 ตำบลวิชิต อำเภอเมืองภูเก็ต จังหวัดภูเก็ต 83000</v>
      </c>
      <c r="Y1875" s="3"/>
      <c r="Z1875" s="3" t="str">
        <f>IFERROR(__xludf.DUMMYFUNCTION("""COMPUTED_VALUE"""),"วิชิต")</f>
        <v>วิชิต</v>
      </c>
      <c r="AA1875" s="3" t="str">
        <f>IFERROR(__xludf.DUMMYFUNCTION("""COMPUTED_VALUE"""),"เมืองภูเก็ต")</f>
        <v>เมืองภูเก็ต</v>
      </c>
      <c r="AB1875" s="3" t="str">
        <f>IFERROR(__xludf.DUMMYFUNCTION("""COMPUTED_VALUE"""),"ภูเก็ต")</f>
        <v>ภูเก็ต</v>
      </c>
      <c r="AC1875" s="3">
        <f>IFERROR(__xludf.DUMMYFUNCTION("""COMPUTED_VALUE"""),83000.0)</f>
        <v>83000</v>
      </c>
      <c r="AD1875" s="3">
        <f>IFERROR(__xludf.DUMMYFUNCTION("""COMPUTED_VALUE"""),7.848296)</f>
        <v>7.848296</v>
      </c>
      <c r="AE1875" s="3">
        <f>IFERROR(__xludf.DUMMYFUNCTION("""COMPUTED_VALUE"""),98.382332)</f>
        <v>98.382332</v>
      </c>
      <c r="AF1875" s="3" t="str">
        <f>IFERROR(__xludf.DUMMYFUNCTION("""COMPUTED_VALUE"""),"BCM บ้านบ่อแร่ ภูเก็ต-22561")</f>
        <v>BCM บ้านบ่อแร่ ภูเก็ต-22561</v>
      </c>
      <c r="AG1875" s="3" t="str">
        <f>IFERROR(__xludf.DUMMYFUNCTION("""COMPUTED_VALUE"""),"ใต้")</f>
        <v>ใต้</v>
      </c>
      <c r="AH1875" s="3" t="str">
        <f>IFERROR(__xludf.DUMMYFUNCTION("""COMPUTED_VALUE"""),"#N/A")</f>
        <v>#N/A</v>
      </c>
      <c r="AI1875" s="3" t="str">
        <f>IFERROR(__xludf.DUMMYFUNCTION("""COMPUTED_VALUE"""),"Out of warranty")</f>
        <v>Out of warranty</v>
      </c>
      <c r="AJ1875" s="3">
        <f>IFERROR(__xludf.DUMMYFUNCTION("""COMPUTED_VALUE"""),30.0)</f>
        <v>30</v>
      </c>
      <c r="AK1875" s="3" t="str">
        <f>IFERROR(__xludf.DUMMYFUNCTION("""COMPUTED_VALUE"""),"MMS15")</f>
        <v>MMS15</v>
      </c>
      <c r="AL1875" s="3"/>
    </row>
    <row r="1876" ht="15.75" customHeight="1">
      <c r="A1876" s="1" t="str">
        <f>IFERROR(__xludf.DUMMYFUNCTION("""COMPUTED_VALUE"""),"22562")</f>
        <v>22562</v>
      </c>
      <c r="B1876" s="2">
        <f>IFERROR(__xludf.DUMMYFUNCTION("""COMPUTED_VALUE"""),22562.0)</f>
        <v>22562</v>
      </c>
      <c r="C1876" s="3" t="str">
        <f>IFERROR(__xludf.DUMMYFUNCTION("""COMPUTED_VALUE"""),"BCM ซ.ไสยวน ภูเก็ต")</f>
        <v>BCM ซ.ไสยวน ภูเก็ต</v>
      </c>
      <c r="D1876" s="3" t="str">
        <f>IFERROR(__xludf.DUMMYFUNCTION("""COMPUTED_VALUE"""),"BCM SOI SAIYUAN PHUKET")</f>
        <v>BCM SOI SAIYUAN PHUKET</v>
      </c>
      <c r="E1876" s="1" t="str">
        <f>IFERROR(__xludf.DUMMYFUNCTION("""COMPUTED_VALUE"""),"บิ๊กซี MINI")</f>
        <v>บิ๊กซี MINI</v>
      </c>
      <c r="F1876" s="1" t="str">
        <f>IFERROR(__xludf.DUMMYFUNCTION("""COMPUTED_VALUE"""),"250760")</f>
        <v>250760</v>
      </c>
      <c r="G1876" s="1" t="str">
        <f>IFERROR(__xludf.DUMMYFUNCTION("""COMPUTED_VALUE"""),"นายประทวน สาราบรรณ์")</f>
        <v>นายประทวน สาราบรรณ์</v>
      </c>
      <c r="H1876" s="1" t="str">
        <f>IFERROR(__xludf.DUMMYFUNCTION("""COMPUTED_VALUE"""),"357284")</f>
        <v>357284</v>
      </c>
      <c r="I1876" s="1" t="str">
        <f>IFERROR(__xludf.DUMMYFUNCTION("""COMPUTED_VALUE"""),"น.ส.เบญจวรรณ ปัณฑโมรา")</f>
        <v>น.ส.เบญจวรรณ ปัณฑโมรา</v>
      </c>
      <c r="J1876" s="3">
        <f>IFERROR(__xludf.DUMMYFUNCTION("""COMPUTED_VALUE"""),25324.0)</f>
        <v>25324</v>
      </c>
      <c r="K1876" s="3" t="str">
        <f>IFERROR(__xludf.DUMMYFUNCTION("""COMPUTED_VALUE"""),"นายวิเชฎฐ์ ติรัตนะประคม")</f>
        <v>นายวิเชฎฐ์ ติรัตนะประคม</v>
      </c>
      <c r="L1876" s="1" t="str">
        <f>IFERROR(__xludf.DUMMYFUNCTION("""COMPUTED_VALUE"""),"14 K.Wichet T.")</f>
        <v>14 K.Wichet T.</v>
      </c>
      <c r="M1876" s="1" t="str">
        <f>IFERROR(__xludf.DUMMYFUNCTION("""COMPUTED_VALUE"""),"061-417-6569 / 086-445-5636")</f>
        <v>061-417-6569 / 086-445-5636</v>
      </c>
      <c r="N1876" s="3">
        <f>IFERROR(__xludf.DUMMYFUNCTION("""COMPUTED_VALUE"""),22658.0)</f>
        <v>22658</v>
      </c>
      <c r="O1876" s="3" t="str">
        <f>IFERROR(__xludf.DUMMYFUNCTION("""COMPUTED_VALUE"""),"BCM ถ.วิรัชหงษ์หยก ภูเก็ต")</f>
        <v>BCM ถ.วิรัชหงษ์หยก ภูเก็ต</v>
      </c>
      <c r="P1876" s="4">
        <f>IFERROR(__xludf.DUMMYFUNCTION("""COMPUTED_VALUE"""),45157.0)</f>
        <v>45157</v>
      </c>
      <c r="Q1876" s="3" t="str">
        <f>IFERROR(__xludf.DUMMYFUNCTION("""COMPUTED_VALUE"""),"A")</f>
        <v>A</v>
      </c>
      <c r="R1876" s="3" t="str">
        <f>IFERROR(__xludf.DUMMYFUNCTION("""COMPUTED_VALUE"""),"Small Format")</f>
        <v>Small Format</v>
      </c>
      <c r="S1876" s="3" t="str">
        <f>IFERROR(__xludf.DUMMYFUNCTION("""COMPUTED_VALUE"""),"BCM")</f>
        <v>BCM</v>
      </c>
      <c r="T1876" s="3" t="str">
        <f>IFERROR(__xludf.DUMMYFUNCTION("""COMPUTED_VALUE"""),"#N/A")</f>
        <v>#N/A</v>
      </c>
      <c r="U1876" s="3" t="str">
        <f>IFERROR(__xludf.DUMMYFUNCTION("""COMPUTED_VALUE"""),"#N/A")</f>
        <v>#N/A</v>
      </c>
      <c r="V1876" s="3" t="str">
        <f>IFERROR(__xludf.DUMMYFUNCTION("""COMPUTED_VALUE"""),"N")</f>
        <v>N</v>
      </c>
      <c r="W1876" s="3">
        <f>IFERROR(__xludf.DUMMYFUNCTION("""COMPUTED_VALUE"""),210663.0)</f>
        <v>210663</v>
      </c>
      <c r="X1876" s="3" t="str">
        <f>IFERROR(__xludf.DUMMYFUNCTION("""COMPUTED_VALUE"""),"1/4,1/11,1/15 หมู่4 ตำบลราไวย์ อำเภอเมืองภูเก็ต จังหวัดภูเก็ต 83130")</f>
        <v>1/4,1/11,1/15 หมู่4 ตำบลราไวย์ อำเภอเมืองภูเก็ต จังหวัดภูเก็ต 83130</v>
      </c>
      <c r="Y1876" s="3"/>
      <c r="Z1876" s="3" t="str">
        <f>IFERROR(__xludf.DUMMYFUNCTION("""COMPUTED_VALUE"""),"ราไวย์")</f>
        <v>ราไวย์</v>
      </c>
      <c r="AA1876" s="3" t="str">
        <f>IFERROR(__xludf.DUMMYFUNCTION("""COMPUTED_VALUE"""),"เมืองภูเก็ต")</f>
        <v>เมืองภูเก็ต</v>
      </c>
      <c r="AB1876" s="3" t="str">
        <f>IFERROR(__xludf.DUMMYFUNCTION("""COMPUTED_VALUE"""),"ภูเก็ต")</f>
        <v>ภูเก็ต</v>
      </c>
      <c r="AC1876" s="3">
        <f>IFERROR(__xludf.DUMMYFUNCTION("""COMPUTED_VALUE"""),83130.0)</f>
        <v>83130</v>
      </c>
      <c r="AD1876" s="3">
        <f>IFERROR(__xludf.DUMMYFUNCTION("""COMPUTED_VALUE"""),7.823743)</f>
        <v>7.823743</v>
      </c>
      <c r="AE1876" s="3" t="str">
        <f>IFERROR(__xludf.DUMMYFUNCTION("""COMPUTED_VALUE"""),"98.34195 9")</f>
        <v>98.34195 9</v>
      </c>
      <c r="AF1876" s="3" t="str">
        <f>IFERROR(__xludf.DUMMYFUNCTION("""COMPUTED_VALUE"""),"BCM ซ.ไสยวน ภูเก็ต-22562")</f>
        <v>BCM ซ.ไสยวน ภูเก็ต-22562</v>
      </c>
      <c r="AG1876" s="3" t="str">
        <f>IFERROR(__xludf.DUMMYFUNCTION("""COMPUTED_VALUE"""),"ใต้")</f>
        <v>ใต้</v>
      </c>
      <c r="AH1876" s="3" t="str">
        <f>IFERROR(__xludf.DUMMYFUNCTION("""COMPUTED_VALUE"""),"#N/A")</f>
        <v>#N/A</v>
      </c>
      <c r="AI1876" s="3" t="str">
        <f>IFERROR(__xludf.DUMMYFUNCTION("""COMPUTED_VALUE"""),"Out of warranty")</f>
        <v>Out of warranty</v>
      </c>
      <c r="AJ1876" s="3">
        <f>IFERROR(__xludf.DUMMYFUNCTION("""COMPUTED_VALUE"""),30.0)</f>
        <v>30</v>
      </c>
      <c r="AK1876" s="3" t="str">
        <f>IFERROR(__xludf.DUMMYFUNCTION("""COMPUTED_VALUE"""),"MMS15")</f>
        <v>MMS15</v>
      </c>
      <c r="AL1876" s="3"/>
    </row>
    <row r="1877" ht="15.75" customHeight="1">
      <c r="A1877" s="1" t="str">
        <f>IFERROR(__xludf.DUMMYFUNCTION("""COMPUTED_VALUE"""),"22563")</f>
        <v>22563</v>
      </c>
      <c r="B1877" s="2">
        <f>IFERROR(__xludf.DUMMYFUNCTION("""COMPUTED_VALUE"""),22563.0)</f>
        <v>22563</v>
      </c>
      <c r="C1877" s="3" t="str">
        <f>IFERROR(__xludf.DUMMYFUNCTION("""COMPUTED_VALUE"""),"BCM คลองน้ำไหล กำแพงเพชร")</f>
        <v>BCM คลองน้ำไหล กำแพงเพชร</v>
      </c>
      <c r="D1877" s="3" t="str">
        <f>IFERROR(__xludf.DUMMYFUNCTION("""COMPUTED_VALUE"""),"BCM KHLONG NAM LAI")</f>
        <v>BCM KHLONG NAM LAI</v>
      </c>
      <c r="E1877" s="1" t="str">
        <f>IFERROR(__xludf.DUMMYFUNCTION("""COMPUTED_VALUE"""),"บิ๊กซี MINI")</f>
        <v>บิ๊กซี MINI</v>
      </c>
      <c r="F1877" s="1" t="str">
        <f>IFERROR(__xludf.DUMMYFUNCTION("""COMPUTED_VALUE"""),"296229")</f>
        <v>296229</v>
      </c>
      <c r="G1877" s="1" t="str">
        <f>IFERROR(__xludf.DUMMYFUNCTION("""COMPUTED_VALUE"""),"นายทนงศักดิ์ บุญมา")</f>
        <v>นายทนงศักดิ์ บุญมา</v>
      </c>
      <c r="H1877" s="1" t="str">
        <f>IFERROR(__xludf.DUMMYFUNCTION("""COMPUTED_VALUE"""),"373680")</f>
        <v>373680</v>
      </c>
      <c r="I1877" s="1" t="str">
        <f>IFERROR(__xludf.DUMMYFUNCTION("""COMPUTED_VALUE"""),"นายวสันต์ พรรณราย")</f>
        <v>นายวสันต์ พรรณราย</v>
      </c>
      <c r="J1877" s="3">
        <f>IFERROR(__xludf.DUMMYFUNCTION("""COMPUTED_VALUE"""),46214.0)</f>
        <v>46214</v>
      </c>
      <c r="K1877" s="3" t="str">
        <f>IFERROR(__xludf.DUMMYFUNCTION("""COMPUTED_VALUE"""),"นายศักดิ์ชัย เด็ดดอกฟ้า")</f>
        <v>นายศักดิ์ชัย เด็ดดอกฟ้า</v>
      </c>
      <c r="L1877" s="1" t="str">
        <f>IFERROR(__xludf.DUMMYFUNCTION("""COMPUTED_VALUE"""),"02 K.Sakchai D")</f>
        <v>02 K.Sakchai D</v>
      </c>
      <c r="M1877" s="1" t="str">
        <f>IFERROR(__xludf.DUMMYFUNCTION("""COMPUTED_VALUE"""),"065-510-7376")</f>
        <v>065-510-7376</v>
      </c>
      <c r="N1877" s="3">
        <f>IFERROR(__xludf.DUMMYFUNCTION("""COMPUTED_VALUE"""),21714.0)</f>
        <v>21714</v>
      </c>
      <c r="O1877" s="3" t="str">
        <f>IFERROR(__xludf.DUMMYFUNCTION("""COMPUTED_VALUE"""),"MBC เอสโซ่ วัดโบสถ์")</f>
        <v>MBC เอสโซ่ วัดโบสถ์</v>
      </c>
      <c r="P1877" s="4">
        <f>IFERROR(__xludf.DUMMYFUNCTION("""COMPUTED_VALUE"""),45143.0)</f>
        <v>45143</v>
      </c>
      <c r="Q1877" s="3" t="str">
        <f>IFERROR(__xludf.DUMMYFUNCTION("""COMPUTED_VALUE"""),"A")</f>
        <v>A</v>
      </c>
      <c r="R1877" s="3" t="str">
        <f>IFERROR(__xludf.DUMMYFUNCTION("""COMPUTED_VALUE"""),"Small Format")</f>
        <v>Small Format</v>
      </c>
      <c r="S1877" s="3" t="str">
        <f>IFERROR(__xludf.DUMMYFUNCTION("""COMPUTED_VALUE"""),"BCM")</f>
        <v>BCM</v>
      </c>
      <c r="T1877" s="3" t="str">
        <f>IFERROR(__xludf.DUMMYFUNCTION("""COMPUTED_VALUE"""),"#N/A")</f>
        <v>#N/A</v>
      </c>
      <c r="U1877" s="3" t="str">
        <f>IFERROR(__xludf.DUMMYFUNCTION("""COMPUTED_VALUE"""),"#N/A")</f>
        <v>#N/A</v>
      </c>
      <c r="V1877" s="3" t="str">
        <f>IFERROR(__xludf.DUMMYFUNCTION("""COMPUTED_VALUE"""),"N")</f>
        <v>N</v>
      </c>
      <c r="W1877" s="3">
        <f>IFERROR(__xludf.DUMMYFUNCTION("""COMPUTED_VALUE"""),210668.0)</f>
        <v>210668</v>
      </c>
      <c r="X1877" s="3" t="str">
        <f>IFERROR(__xludf.DUMMYFUNCTION("""COMPUTED_VALUE"""),"752/1 หมู่15 ตำบลคลองน้ำไหล อำเภอคลองลาน จังหวัดกำแพงเพชร 62180")</f>
        <v>752/1 หมู่15 ตำบลคลองน้ำไหล อำเภอคลองลาน จังหวัดกำแพงเพชร 62180</v>
      </c>
      <c r="Y1877" s="3"/>
      <c r="Z1877" s="3" t="str">
        <f>IFERROR(__xludf.DUMMYFUNCTION("""COMPUTED_VALUE"""),"คลองน้ำไหล")</f>
        <v>คลองน้ำไหล</v>
      </c>
      <c r="AA1877" s="3" t="str">
        <f>IFERROR(__xludf.DUMMYFUNCTION("""COMPUTED_VALUE"""),"คลองลาน")</f>
        <v>คลองลาน</v>
      </c>
      <c r="AB1877" s="3" t="str">
        <f>IFERROR(__xludf.DUMMYFUNCTION("""COMPUTED_VALUE"""),"กำแพงเพชร")</f>
        <v>กำแพงเพชร</v>
      </c>
      <c r="AC1877" s="3">
        <f>IFERROR(__xludf.DUMMYFUNCTION("""COMPUTED_VALUE"""),62180.0)</f>
        <v>62180</v>
      </c>
      <c r="AD1877" s="3">
        <f>IFERROR(__xludf.DUMMYFUNCTION("""COMPUTED_VALUE"""),16.197122)</f>
        <v>16.197122</v>
      </c>
      <c r="AE1877" s="3" t="str">
        <f>IFERROR(__xludf.DUMMYFUNCTION("""COMPUTED_VALUE"""),"99.3302 61")</f>
        <v>99.3302 61</v>
      </c>
      <c r="AF1877" s="3" t="str">
        <f>IFERROR(__xludf.DUMMYFUNCTION("""COMPUTED_VALUE"""),"BCM คลองน้ำไหล กำแพงเพชร-22563")</f>
        <v>BCM คลองน้ำไหล กำแพงเพชร-22563</v>
      </c>
      <c r="AG1877" s="3" t="str">
        <f>IFERROR(__xludf.DUMMYFUNCTION("""COMPUTED_VALUE"""),"กลาง")</f>
        <v>กลาง</v>
      </c>
      <c r="AH1877" s="3" t="str">
        <f>IFERROR(__xludf.DUMMYFUNCTION("""COMPUTED_VALUE"""),"#N/A")</f>
        <v>#N/A</v>
      </c>
      <c r="AI1877" s="3" t="str">
        <f>IFERROR(__xludf.DUMMYFUNCTION("""COMPUTED_VALUE"""),"Out of warranty")</f>
        <v>Out of warranty</v>
      </c>
      <c r="AJ1877" s="3">
        <f>IFERROR(__xludf.DUMMYFUNCTION("""COMPUTED_VALUE"""),30.0)</f>
        <v>30</v>
      </c>
      <c r="AK1877" s="3" t="str">
        <f>IFERROR(__xludf.DUMMYFUNCTION("""COMPUTED_VALUE"""),"MMS09")</f>
        <v>MMS09</v>
      </c>
      <c r="AL1877" s="3"/>
    </row>
    <row r="1878" ht="15.75" customHeight="1">
      <c r="A1878" s="1" t="str">
        <f>IFERROR(__xludf.DUMMYFUNCTION("""COMPUTED_VALUE"""),"22564")</f>
        <v>22564</v>
      </c>
      <c r="B1878" s="2">
        <f>IFERROR(__xludf.DUMMYFUNCTION("""COMPUTED_VALUE"""),22564.0)</f>
        <v>22564</v>
      </c>
      <c r="C1878" s="3" t="str">
        <f>IFERROR(__xludf.DUMMYFUNCTION("""COMPUTED_VALUE"""),"BCM ถ.มหาราช จันทบุรี")</f>
        <v>BCM ถ.มหาราช จันทบุรี</v>
      </c>
      <c r="D1878" s="3" t="str">
        <f>IFERROR(__xludf.DUMMYFUNCTION("""COMPUTED_VALUE"""),"BCM THANON MAHARACH")</f>
        <v>BCM THANON MAHARACH</v>
      </c>
      <c r="E1878" s="1" t="str">
        <f>IFERROR(__xludf.DUMMYFUNCTION("""COMPUTED_VALUE"""),"บิ๊กซี MINI")</f>
        <v>บิ๊กซี MINI</v>
      </c>
      <c r="F1878" s="1" t="str">
        <f>IFERROR(__xludf.DUMMYFUNCTION("""COMPUTED_VALUE"""),"221716")</f>
        <v>221716</v>
      </c>
      <c r="G1878" s="1" t="str">
        <f>IFERROR(__xludf.DUMMYFUNCTION("""COMPUTED_VALUE"""),"น.ส.เบญจพร โพธิสาร")</f>
        <v>น.ส.เบญจพร โพธิสาร</v>
      </c>
      <c r="H1878" s="1" t="str">
        <f>IFERROR(__xludf.DUMMYFUNCTION("""COMPUTED_VALUE"""),"318151")</f>
        <v>318151</v>
      </c>
      <c r="I1878" s="1" t="str">
        <f>IFERROR(__xludf.DUMMYFUNCTION("""COMPUTED_VALUE"""),"นายพลฬกฤตต์ เนตมณี")</f>
        <v>นายพลฬกฤตต์ เนตมณี</v>
      </c>
      <c r="J1878" s="3">
        <f>IFERROR(__xludf.DUMMYFUNCTION("""COMPUTED_VALUE"""),2452376.0)</f>
        <v>2452376</v>
      </c>
      <c r="K1878" s="3" t="str">
        <f>IFERROR(__xludf.DUMMYFUNCTION("""COMPUTED_VALUE"""),"นายภาคภูมิ ทวีกุล")</f>
        <v>นายภาคภูมิ ทวีกุล</v>
      </c>
      <c r="L1878" s="1" t="str">
        <f>IFERROR(__xludf.DUMMYFUNCTION("""COMPUTED_VALUE"""),"08 K.Parkphum T.")</f>
        <v>08 K.Parkphum T.</v>
      </c>
      <c r="M1878" s="1" t="str">
        <f>IFERROR(__xludf.DUMMYFUNCTION("""COMPUTED_VALUE"""),"097-919-5476")</f>
        <v>097-919-5476</v>
      </c>
      <c r="N1878" s="3">
        <f>IFERROR(__xludf.DUMMYFUNCTION("""COMPUTED_VALUE"""),22028.0)</f>
        <v>22028</v>
      </c>
      <c r="O1878" s="3" t="str">
        <f>IFERROR(__xludf.DUMMYFUNCTION("""COMPUTED_VALUE"""),"MBC ทํบมา ระยอง")</f>
        <v>MBC ทํบมา ระยอง</v>
      </c>
      <c r="P1878" s="4">
        <f>IFERROR(__xludf.DUMMYFUNCTION("""COMPUTED_VALUE"""),45166.0)</f>
        <v>45166</v>
      </c>
      <c r="Q1878" s="3" t="str">
        <f>IFERROR(__xludf.DUMMYFUNCTION("""COMPUTED_VALUE"""),"A")</f>
        <v>A</v>
      </c>
      <c r="R1878" s="3" t="str">
        <f>IFERROR(__xludf.DUMMYFUNCTION("""COMPUTED_VALUE"""),"Small Format")</f>
        <v>Small Format</v>
      </c>
      <c r="S1878" s="3" t="str">
        <f>IFERROR(__xludf.DUMMYFUNCTION("""COMPUTED_VALUE"""),"BCM")</f>
        <v>BCM</v>
      </c>
      <c r="T1878" s="3" t="str">
        <f>IFERROR(__xludf.DUMMYFUNCTION("""COMPUTED_VALUE"""),"#N/A")</f>
        <v>#N/A</v>
      </c>
      <c r="U1878" s="3" t="str">
        <f>IFERROR(__xludf.DUMMYFUNCTION("""COMPUTED_VALUE"""),"#N/A")</f>
        <v>#N/A</v>
      </c>
      <c r="V1878" s="3" t="str">
        <f>IFERROR(__xludf.DUMMYFUNCTION("""COMPUTED_VALUE"""),"N")</f>
        <v>N</v>
      </c>
      <c r="W1878" s="3">
        <f>IFERROR(__xludf.DUMMYFUNCTION("""COMPUTED_VALUE"""),210656.0)</f>
        <v>210656</v>
      </c>
      <c r="X1878" s="3" t="str">
        <f>IFERROR(__xludf.DUMMYFUNCTION("""COMPUTED_VALUE"""),"3/10 หมู่4 ถนนมหาราช ตำบลตลาด อำเภอเมืองจันทบุรี จังหวัดจันทบุรี 22000")</f>
        <v>3/10 หมู่4 ถนนมหาราช ตำบลตลาด อำเภอเมืองจันทบุรี จังหวัดจันทบุรี 22000</v>
      </c>
      <c r="Y1878" s="3" t="str">
        <f>IFERROR(__xludf.DUMMYFUNCTION("""COMPUTED_VALUE"""),"มหาราช")</f>
        <v>มหาราช</v>
      </c>
      <c r="Z1878" s="3" t="str">
        <f>IFERROR(__xludf.DUMMYFUNCTION("""COMPUTED_VALUE"""),"ตลาดบางเขน")</f>
        <v>ตลาดบางเขน</v>
      </c>
      <c r="AA1878" s="3" t="str">
        <f>IFERROR(__xludf.DUMMYFUNCTION("""COMPUTED_VALUE"""),"เมืองจันทบุรี")</f>
        <v>เมืองจันทบุรี</v>
      </c>
      <c r="AB1878" s="3" t="str">
        <f>IFERROR(__xludf.DUMMYFUNCTION("""COMPUTED_VALUE"""),"จันทบุรี")</f>
        <v>จันทบุรี</v>
      </c>
      <c r="AC1878" s="3">
        <f>IFERROR(__xludf.DUMMYFUNCTION("""COMPUTED_VALUE"""),22000.0)</f>
        <v>22000</v>
      </c>
      <c r="AD1878" s="3">
        <f>IFERROR(__xludf.DUMMYFUNCTION("""COMPUTED_VALUE"""),12.596551)</f>
        <v>12.596551</v>
      </c>
      <c r="AE1878" s="3" t="str">
        <f>IFERROR(__xludf.DUMMYFUNCTION("""COMPUTED_VALUE"""),"102.1057 84")</f>
        <v>102.1057 84</v>
      </c>
      <c r="AF1878" s="3" t="str">
        <f>IFERROR(__xludf.DUMMYFUNCTION("""COMPUTED_VALUE"""),"BCM ถ.มหาราช จันทบุรี-22564")</f>
        <v>BCM ถ.มหาราช จันทบุรี-22564</v>
      </c>
      <c r="AG1878" s="3" t="str">
        <f>IFERROR(__xludf.DUMMYFUNCTION("""COMPUTED_VALUE"""),"ตะวันออก")</f>
        <v>ตะวันออก</v>
      </c>
      <c r="AH1878" s="3" t="str">
        <f>IFERROR(__xludf.DUMMYFUNCTION("""COMPUTED_VALUE"""),"#N/A")</f>
        <v>#N/A</v>
      </c>
      <c r="AI1878" s="3" t="str">
        <f>IFERROR(__xludf.DUMMYFUNCTION("""COMPUTED_VALUE"""),"Out of warranty")</f>
        <v>Out of warranty</v>
      </c>
      <c r="AJ1878" s="3">
        <f>IFERROR(__xludf.DUMMYFUNCTION("""COMPUTED_VALUE"""),29.0)</f>
        <v>29</v>
      </c>
      <c r="AK1878" s="3" t="str">
        <f>IFERROR(__xludf.DUMMYFUNCTION("""COMPUTED_VALUE"""),"MMS08")</f>
        <v>MMS08</v>
      </c>
      <c r="AL1878" s="3"/>
    </row>
    <row r="1879" ht="15.75" customHeight="1">
      <c r="A1879" s="1" t="str">
        <f>IFERROR(__xludf.DUMMYFUNCTION("""COMPUTED_VALUE"""),"22565")</f>
        <v>22565</v>
      </c>
      <c r="B1879" s="2">
        <f>IFERROR(__xludf.DUMMYFUNCTION("""COMPUTED_VALUE"""),22565.0)</f>
        <v>22565</v>
      </c>
      <c r="C1879" s="3" t="str">
        <f>IFERROR(__xludf.DUMMYFUNCTION("""COMPUTED_VALUE"""),"BCM ลับแล อุตรดิตถ์")</f>
        <v>BCM ลับแล อุตรดิตถ์</v>
      </c>
      <c r="D1879" s="3" t="str">
        <f>IFERROR(__xludf.DUMMYFUNCTION("""COMPUTED_VALUE"""),"BCM LAPLAE UTTARADIT")</f>
        <v>BCM LAPLAE UTTARADIT</v>
      </c>
      <c r="E1879" s="1" t="str">
        <f>IFERROR(__xludf.DUMMYFUNCTION("""COMPUTED_VALUE"""),"บิ๊กซี MINI")</f>
        <v>บิ๊กซี MINI</v>
      </c>
      <c r="F1879" s="1" t="str">
        <f>IFERROR(__xludf.DUMMYFUNCTION("""COMPUTED_VALUE"""),"296229")</f>
        <v>296229</v>
      </c>
      <c r="G1879" s="1" t="str">
        <f>IFERROR(__xludf.DUMMYFUNCTION("""COMPUTED_VALUE"""),"นายทนงศักดิ์ บุญมา")</f>
        <v>นายทนงศักดิ์ บุญมา</v>
      </c>
      <c r="H1879" s="1" t="str">
        <f>IFERROR(__xludf.DUMMYFUNCTION("""COMPUTED_VALUE"""),"372826")</f>
        <v>372826</v>
      </c>
      <c r="I1879" s="1" t="str">
        <f>IFERROR(__xludf.DUMMYFUNCTION("""COMPUTED_VALUE"""),"นายพงศกร สุขแก้ว")</f>
        <v>นายพงศกร สุขแก้ว</v>
      </c>
      <c r="J1879" s="3">
        <f>IFERROR(__xludf.DUMMYFUNCTION("""COMPUTED_VALUE"""),2010016.0)</f>
        <v>2010016</v>
      </c>
      <c r="K1879" s="3" t="str">
        <f>IFERROR(__xludf.DUMMYFUNCTION("""COMPUTED_VALUE"""),"นายตวงธรรม ใหม่ยศ")</f>
        <v>นายตวงธรรม ใหม่ยศ</v>
      </c>
      <c r="L1879" s="1" t="str">
        <f>IFERROR(__xludf.DUMMYFUNCTION("""COMPUTED_VALUE"""),"01 K.Tuangtham M.")</f>
        <v>01 K.Tuangtham M.</v>
      </c>
      <c r="M1879" s="1" t="str">
        <f>IFERROR(__xludf.DUMMYFUNCTION("""COMPUTED_VALUE"""),"063-976-595")</f>
        <v>063-976-595</v>
      </c>
      <c r="N1879" s="3">
        <f>IFERROR(__xludf.DUMMYFUNCTION("""COMPUTED_VALUE"""),22574.0)</f>
        <v>22574</v>
      </c>
      <c r="O1879" s="3" t="str">
        <f>IFERROR(__xludf.DUMMYFUNCTION("""COMPUTED_VALUE"""),"BCM ชุมชนศรีชุม ลำปาง")</f>
        <v>BCM ชุมชนศรีชุม ลำปาง</v>
      </c>
      <c r="P1879" s="4">
        <f>IFERROR(__xludf.DUMMYFUNCTION("""COMPUTED_VALUE"""),45172.0)</f>
        <v>45172</v>
      </c>
      <c r="Q1879" s="3" t="str">
        <f>IFERROR(__xludf.DUMMYFUNCTION("""COMPUTED_VALUE"""),"A")</f>
        <v>A</v>
      </c>
      <c r="R1879" s="3" t="str">
        <f>IFERROR(__xludf.DUMMYFUNCTION("""COMPUTED_VALUE"""),"Small Format")</f>
        <v>Small Format</v>
      </c>
      <c r="S1879" s="3" t="str">
        <f>IFERROR(__xludf.DUMMYFUNCTION("""COMPUTED_VALUE"""),"BCM")</f>
        <v>BCM</v>
      </c>
      <c r="T1879" s="3" t="str">
        <f>IFERROR(__xludf.DUMMYFUNCTION("""COMPUTED_VALUE"""),"#N/A")</f>
        <v>#N/A</v>
      </c>
      <c r="U1879" s="3" t="str">
        <f>IFERROR(__xludf.DUMMYFUNCTION("""COMPUTED_VALUE"""),"#N/A")</f>
        <v>#N/A</v>
      </c>
      <c r="V1879" s="3" t="str">
        <f>IFERROR(__xludf.DUMMYFUNCTION("""COMPUTED_VALUE"""),"N")</f>
        <v>N</v>
      </c>
      <c r="W1879" s="3">
        <f>IFERROR(__xludf.DUMMYFUNCTION("""COMPUTED_VALUE"""),210647.0)</f>
        <v>210647</v>
      </c>
      <c r="X1879" s="3" t="str">
        <f>IFERROR(__xludf.DUMMYFUNCTION("""COMPUTED_VALUE"""),"155/1 ถนนอินใจมี ตำบลศรีพนมมาศ อำเภอลับแล จังหวัดอุตรดิตถ์ 53130")</f>
        <v>155/1 ถนนอินใจมี ตำบลศรีพนมมาศ อำเภอลับแล จังหวัดอุตรดิตถ์ 53130</v>
      </c>
      <c r="Y1879" s="3" t="str">
        <f>IFERROR(__xludf.DUMMYFUNCTION("""COMPUTED_VALUE"""),"อินใจมี")</f>
        <v>อินใจมี</v>
      </c>
      <c r="Z1879" s="3" t="str">
        <f>IFERROR(__xludf.DUMMYFUNCTION("""COMPUTED_VALUE"""),"ศรีพนมมาศ")</f>
        <v>ศรีพนมมาศ</v>
      </c>
      <c r="AA1879" s="3" t="str">
        <f>IFERROR(__xludf.DUMMYFUNCTION("""COMPUTED_VALUE"""),"ลับแล")</f>
        <v>ลับแล</v>
      </c>
      <c r="AB1879" s="3" t="str">
        <f>IFERROR(__xludf.DUMMYFUNCTION("""COMPUTED_VALUE"""),"อุตรดิตถ์")</f>
        <v>อุตรดิตถ์</v>
      </c>
      <c r="AC1879" s="3">
        <f>IFERROR(__xludf.DUMMYFUNCTION("""COMPUTED_VALUE"""),53130.0)</f>
        <v>53130</v>
      </c>
      <c r="AD1879" s="3">
        <f>IFERROR(__xludf.DUMMYFUNCTION("""COMPUTED_VALUE"""),17.652232)</f>
        <v>17.652232</v>
      </c>
      <c r="AE1879" s="3">
        <f>IFERROR(__xludf.DUMMYFUNCTION("""COMPUTED_VALUE"""),100.040901)</f>
        <v>100.040901</v>
      </c>
      <c r="AF1879" s="3" t="str">
        <f>IFERROR(__xludf.DUMMYFUNCTION("""COMPUTED_VALUE"""),"BCM ลับแล อุตรดิตถ์-22565")</f>
        <v>BCM ลับแล อุตรดิตถ์-22565</v>
      </c>
      <c r="AG1879" s="3" t="str">
        <f>IFERROR(__xludf.DUMMYFUNCTION("""COMPUTED_VALUE"""),"เหนือ")</f>
        <v>เหนือ</v>
      </c>
      <c r="AH1879" s="3" t="str">
        <f>IFERROR(__xludf.DUMMYFUNCTION("""COMPUTED_VALUE"""),"#N/A")</f>
        <v>#N/A</v>
      </c>
      <c r="AI1879" s="3" t="str">
        <f>IFERROR(__xludf.DUMMYFUNCTION("""COMPUTED_VALUE"""),"Out of warranty")</f>
        <v>Out of warranty</v>
      </c>
      <c r="AJ1879" s="3">
        <f>IFERROR(__xludf.DUMMYFUNCTION("""COMPUTED_VALUE"""),29.0)</f>
        <v>29</v>
      </c>
      <c r="AK1879" s="3" t="str">
        <f>IFERROR(__xludf.DUMMYFUNCTION("""COMPUTED_VALUE"""),"MMS10")</f>
        <v>MMS10</v>
      </c>
      <c r="AL1879" s="3"/>
    </row>
    <row r="1880" ht="15.75" customHeight="1">
      <c r="A1880" s="1" t="str">
        <f>IFERROR(__xludf.DUMMYFUNCTION("""COMPUTED_VALUE"""),"22566")</f>
        <v>22566</v>
      </c>
      <c r="B1880" s="2">
        <f>IFERROR(__xludf.DUMMYFUNCTION("""COMPUTED_VALUE"""),22566.0)</f>
        <v>22566</v>
      </c>
      <c r="C1880" s="3" t="str">
        <f>IFERROR(__xludf.DUMMYFUNCTION("""COMPUTED_VALUE"""),"BCM ท่าปลา อุตรดิตถ์")</f>
        <v>BCM ท่าปลา อุตรดิตถ์</v>
      </c>
      <c r="D1880" s="3" t="str">
        <f>IFERROR(__xludf.DUMMYFUNCTION("""COMPUTED_VALUE"""),"BCM THA PLA UTTARADIT")</f>
        <v>BCM THA PLA UTTARADIT</v>
      </c>
      <c r="E1880" s="1" t="str">
        <f>IFERROR(__xludf.DUMMYFUNCTION("""COMPUTED_VALUE"""),"บิ๊กซี MINI")</f>
        <v>บิ๊กซี MINI</v>
      </c>
      <c r="F1880" s="1" t="str">
        <f>IFERROR(__xludf.DUMMYFUNCTION("""COMPUTED_VALUE"""),"296229")</f>
        <v>296229</v>
      </c>
      <c r="G1880" s="1" t="str">
        <f>IFERROR(__xludf.DUMMYFUNCTION("""COMPUTED_VALUE"""),"นายทนงศักดิ์ บุญมา")</f>
        <v>นายทนงศักดิ์ บุญมา</v>
      </c>
      <c r="H1880" s="1" t="str">
        <f>IFERROR(__xludf.DUMMYFUNCTION("""COMPUTED_VALUE"""),"372826")</f>
        <v>372826</v>
      </c>
      <c r="I1880" s="1" t="str">
        <f>IFERROR(__xludf.DUMMYFUNCTION("""COMPUTED_VALUE"""),"นายพงศกร สุขแก้ว")</f>
        <v>นายพงศกร สุขแก้ว</v>
      </c>
      <c r="J1880" s="3">
        <f>IFERROR(__xludf.DUMMYFUNCTION("""COMPUTED_VALUE"""),2010016.0)</f>
        <v>2010016</v>
      </c>
      <c r="K1880" s="3" t="str">
        <f>IFERROR(__xludf.DUMMYFUNCTION("""COMPUTED_VALUE"""),"นายตวงธรรม ใหม่ยศ")</f>
        <v>นายตวงธรรม ใหม่ยศ</v>
      </c>
      <c r="L1880" s="1" t="str">
        <f>IFERROR(__xludf.DUMMYFUNCTION("""COMPUTED_VALUE"""),"01 K.Tuangtham M.")</f>
        <v>01 K.Tuangtham M.</v>
      </c>
      <c r="M1880" s="1" t="str">
        <f>IFERROR(__xludf.DUMMYFUNCTION("""COMPUTED_VALUE"""),"063-976-595")</f>
        <v>063-976-595</v>
      </c>
      <c r="N1880" s="3">
        <f>IFERROR(__xludf.DUMMYFUNCTION("""COMPUTED_VALUE"""),22574.0)</f>
        <v>22574</v>
      </c>
      <c r="O1880" s="3" t="str">
        <f>IFERROR(__xludf.DUMMYFUNCTION("""COMPUTED_VALUE"""),"BCM ชุมชนศรีชุม ลำปาง")</f>
        <v>BCM ชุมชนศรีชุม ลำปาง</v>
      </c>
      <c r="P1880" s="4">
        <f>IFERROR(__xludf.DUMMYFUNCTION("""COMPUTED_VALUE"""),45172.0)</f>
        <v>45172</v>
      </c>
      <c r="Q1880" s="3" t="str">
        <f>IFERROR(__xludf.DUMMYFUNCTION("""COMPUTED_VALUE"""),"A")</f>
        <v>A</v>
      </c>
      <c r="R1880" s="3" t="str">
        <f>IFERROR(__xludf.DUMMYFUNCTION("""COMPUTED_VALUE"""),"Small Format")</f>
        <v>Small Format</v>
      </c>
      <c r="S1880" s="3" t="str">
        <f>IFERROR(__xludf.DUMMYFUNCTION("""COMPUTED_VALUE"""),"BCM")</f>
        <v>BCM</v>
      </c>
      <c r="T1880" s="3" t="str">
        <f>IFERROR(__xludf.DUMMYFUNCTION("""COMPUTED_VALUE"""),"#N/A")</f>
        <v>#N/A</v>
      </c>
      <c r="U1880" s="3" t="str">
        <f>IFERROR(__xludf.DUMMYFUNCTION("""COMPUTED_VALUE"""),"#N/A")</f>
        <v>#N/A</v>
      </c>
      <c r="V1880" s="3" t="str">
        <f>IFERROR(__xludf.DUMMYFUNCTION("""COMPUTED_VALUE"""),"N")</f>
        <v>N</v>
      </c>
      <c r="W1880" s="3">
        <f>IFERROR(__xludf.DUMMYFUNCTION("""COMPUTED_VALUE"""),210649.0)</f>
        <v>210649</v>
      </c>
      <c r="X1880" s="3" t="str">
        <f>IFERROR(__xludf.DUMMYFUNCTION("""COMPUTED_VALUE"""),"204 หมู่1 ตำบลร่วมจิต อำเภอท่าปลา จังหวัดอุตรดิตถ์ 53190")</f>
        <v>204 หมู่1 ตำบลร่วมจิต อำเภอท่าปลา จังหวัดอุตรดิตถ์ 53190</v>
      </c>
      <c r="Y1880" s="3"/>
      <c r="Z1880" s="3" t="str">
        <f>IFERROR(__xludf.DUMMYFUNCTION("""COMPUTED_VALUE"""),"ร่วมจิต")</f>
        <v>ร่วมจิต</v>
      </c>
      <c r="AA1880" s="3" t="str">
        <f>IFERROR(__xludf.DUMMYFUNCTION("""COMPUTED_VALUE"""),"ท่าปลา")</f>
        <v>ท่าปลา</v>
      </c>
      <c r="AB1880" s="3" t="str">
        <f>IFERROR(__xludf.DUMMYFUNCTION("""COMPUTED_VALUE"""),"อุตรดิตถ์")</f>
        <v>อุตรดิตถ์</v>
      </c>
      <c r="AC1880" s="3">
        <f>IFERROR(__xludf.DUMMYFUNCTION("""COMPUTED_VALUE"""),53190.0)</f>
        <v>53190</v>
      </c>
      <c r="AD1880" s="3">
        <f>IFERROR(__xludf.DUMMYFUNCTION("""COMPUTED_VALUE"""),17.707337)</f>
        <v>17.707337</v>
      </c>
      <c r="AE1880" s="3">
        <f>IFERROR(__xludf.DUMMYFUNCTION("""COMPUTED_VALUE"""),100.34556)</f>
        <v>100.34556</v>
      </c>
      <c r="AF1880" s="3" t="str">
        <f>IFERROR(__xludf.DUMMYFUNCTION("""COMPUTED_VALUE"""),"BCM ท่าปลา อุตรดิตถ์-22566")</f>
        <v>BCM ท่าปลา อุตรดิตถ์-22566</v>
      </c>
      <c r="AG1880" s="3" t="str">
        <f>IFERROR(__xludf.DUMMYFUNCTION("""COMPUTED_VALUE"""),"เหนือ")</f>
        <v>เหนือ</v>
      </c>
      <c r="AH1880" s="3" t="str">
        <f>IFERROR(__xludf.DUMMYFUNCTION("""COMPUTED_VALUE"""),"#N/A")</f>
        <v>#N/A</v>
      </c>
      <c r="AI1880" s="3" t="str">
        <f>IFERROR(__xludf.DUMMYFUNCTION("""COMPUTED_VALUE"""),"Out of warranty")</f>
        <v>Out of warranty</v>
      </c>
      <c r="AJ1880" s="3">
        <f>IFERROR(__xludf.DUMMYFUNCTION("""COMPUTED_VALUE"""),29.0)</f>
        <v>29</v>
      </c>
      <c r="AK1880" s="3" t="str">
        <f>IFERROR(__xludf.DUMMYFUNCTION("""COMPUTED_VALUE"""),"MMS10")</f>
        <v>MMS10</v>
      </c>
      <c r="AL1880" s="3"/>
    </row>
    <row r="1881" ht="15.75" customHeight="1">
      <c r="A1881" s="1" t="str">
        <f>IFERROR(__xludf.DUMMYFUNCTION("""COMPUTED_VALUE"""),"22567")</f>
        <v>22567</v>
      </c>
      <c r="B1881" s="2">
        <f>IFERROR(__xludf.DUMMYFUNCTION("""COMPUTED_VALUE"""),22567.0)</f>
        <v>22567</v>
      </c>
      <c r="C1881" s="3" t="str">
        <f>IFERROR(__xludf.DUMMYFUNCTION("""COMPUTED_VALUE"""),"BCM พัฒนาการ38 กรุงเทพมหานคร")</f>
        <v>BCM พัฒนาการ38 กรุงเทพมหานคร</v>
      </c>
      <c r="D1881" s="3" t="str">
        <f>IFERROR(__xludf.DUMMYFUNCTION("""COMPUTED_VALUE"""),"BCM PHATTHANAKAN 38 BANGKOK")</f>
        <v>BCM PHATTHANAKAN 38 BANGKOK</v>
      </c>
      <c r="E1881" s="1" t="str">
        <f>IFERROR(__xludf.DUMMYFUNCTION("""COMPUTED_VALUE"""),"บิ๊กซี MINI")</f>
        <v>บิ๊กซี MINI</v>
      </c>
      <c r="F1881" s="1" t="str">
        <f>IFERROR(__xludf.DUMMYFUNCTION("""COMPUTED_VALUE"""),"291008")</f>
        <v>291008</v>
      </c>
      <c r="G1881" s="1" t="str">
        <f>IFERROR(__xludf.DUMMYFUNCTION("""COMPUTED_VALUE"""),"น.ส.รัชดาพร อีศรัตน์")</f>
        <v>น.ส.รัชดาพร อีศรัตน์</v>
      </c>
      <c r="H1881" s="1" t="str">
        <f>IFERROR(__xludf.DUMMYFUNCTION("""COMPUTED_VALUE"""),"468773")</f>
        <v>468773</v>
      </c>
      <c r="I1881" s="1" t="str">
        <f>IFERROR(__xludf.DUMMYFUNCTION("""COMPUTED_VALUE"""),"น.ส.พรพรรณ แซ่แต้")</f>
        <v>น.ส.พรพรรณ แซ่แต้</v>
      </c>
      <c r="J1881" s="3">
        <f>IFERROR(__xludf.DUMMYFUNCTION("""COMPUTED_VALUE"""),2452378.0)</f>
        <v>2452378</v>
      </c>
      <c r="K1881" s="3" t="str">
        <f>IFERROR(__xludf.DUMMYFUNCTION("""COMPUTED_VALUE"""),"นายศักดิ์ดา พวงประดับ")</f>
        <v>นายศักดิ์ดา พวงประดับ</v>
      </c>
      <c r="L1881" s="1" t="str">
        <f>IFERROR(__xludf.DUMMYFUNCTION("""COMPUTED_VALUE"""),"11 K.Sakda P.")</f>
        <v>11 K.Sakda P.</v>
      </c>
      <c r="M1881" s="1" t="str">
        <f>IFERROR(__xludf.DUMMYFUNCTION("""COMPUTED_VALUE"""),"065-929-1279")</f>
        <v>065-929-1279</v>
      </c>
      <c r="N1881" s="3">
        <f>IFERROR(__xludf.DUMMYFUNCTION("""COMPUTED_VALUE"""),21002.0)</f>
        <v>21002</v>
      </c>
      <c r="O1881" s="3" t="str">
        <f>IFERROR(__xludf.DUMMYFUNCTION("""COMPUTED_VALUE"""),"MBC อุดมสุข")</f>
        <v>MBC อุดมสุข</v>
      </c>
      <c r="P1881" s="4">
        <f>IFERROR(__xludf.DUMMYFUNCTION("""COMPUTED_VALUE"""),45174.0)</f>
        <v>45174</v>
      </c>
      <c r="Q1881" s="3" t="str">
        <f>IFERROR(__xludf.DUMMYFUNCTION("""COMPUTED_VALUE"""),"A")</f>
        <v>A</v>
      </c>
      <c r="R1881" s="3" t="str">
        <f>IFERROR(__xludf.DUMMYFUNCTION("""COMPUTED_VALUE"""),"Small Format")</f>
        <v>Small Format</v>
      </c>
      <c r="S1881" s="3" t="str">
        <f>IFERROR(__xludf.DUMMYFUNCTION("""COMPUTED_VALUE"""),"BCM")</f>
        <v>BCM</v>
      </c>
      <c r="T1881" s="3" t="str">
        <f>IFERROR(__xludf.DUMMYFUNCTION("""COMPUTED_VALUE"""),"#N/A")</f>
        <v>#N/A</v>
      </c>
      <c r="U1881" s="3" t="str">
        <f>IFERROR(__xludf.DUMMYFUNCTION("""COMPUTED_VALUE"""),"#N/A")</f>
        <v>#N/A</v>
      </c>
      <c r="V1881" s="3" t="str">
        <f>IFERROR(__xludf.DUMMYFUNCTION("""COMPUTED_VALUE"""),"N")</f>
        <v>N</v>
      </c>
      <c r="W1881" s="3">
        <f>IFERROR(__xludf.DUMMYFUNCTION("""COMPUTED_VALUE"""),210652.0)</f>
        <v>210652</v>
      </c>
      <c r="X1881" s="3" t="str">
        <f>IFERROR(__xludf.DUMMYFUNCTION("""COMPUTED_VALUE"""),"222/8 ซอยพัฒนาการ 38 แขวงสวนหลวง เขตสวนหลวง กรุงเทพมหานคร 10250")</f>
        <v>222/8 ซอยพัฒนาการ 38 แขวงสวนหลวง เขตสวนหลวง กรุงเทพมหานคร 10250</v>
      </c>
      <c r="Y1881" s="3" t="str">
        <f>IFERROR(__xludf.DUMMYFUNCTION("""COMPUTED_VALUE"""),"พัฒนาการ 38")</f>
        <v>พัฒนาการ 38</v>
      </c>
      <c r="Z1881" s="3" t="str">
        <f>IFERROR(__xludf.DUMMYFUNCTION("""COMPUTED_VALUE"""),"สวนหลวง")</f>
        <v>สวนหลวง</v>
      </c>
      <c r="AA1881" s="3" t="str">
        <f>IFERROR(__xludf.DUMMYFUNCTION("""COMPUTED_VALUE"""),"สวนหลวง")</f>
        <v>สวนหลวง</v>
      </c>
      <c r="AB1881" s="3" t="str">
        <f>IFERROR(__xludf.DUMMYFUNCTION("""COMPUTED_VALUE"""),"กรุงเทพมหานคร")</f>
        <v>กรุงเทพมหานคร</v>
      </c>
      <c r="AC1881" s="3">
        <f>IFERROR(__xludf.DUMMYFUNCTION("""COMPUTED_VALUE"""),10250.0)</f>
        <v>10250</v>
      </c>
      <c r="AD1881" s="3">
        <f>IFERROR(__xludf.DUMMYFUNCTION("""COMPUTED_VALUE"""),13.731335)</f>
        <v>13.731335</v>
      </c>
      <c r="AE1881" s="3">
        <f>IFERROR(__xludf.DUMMYFUNCTION("""COMPUTED_VALUE"""),100.626392)</f>
        <v>100.626392</v>
      </c>
      <c r="AF1881" s="3" t="str">
        <f>IFERROR(__xludf.DUMMYFUNCTION("""COMPUTED_VALUE"""),"BCM พัฒนาการ38 กรุงเทพมหานคร-22567")</f>
        <v>BCM พัฒนาการ38 กรุงเทพมหานคร-22567</v>
      </c>
      <c r="AG1881" s="3" t="str">
        <f>IFERROR(__xludf.DUMMYFUNCTION("""COMPUTED_VALUE"""),"กลาง")</f>
        <v>กลาง</v>
      </c>
      <c r="AH1881" s="3" t="str">
        <f>IFERROR(__xludf.DUMMYFUNCTION("""COMPUTED_VALUE"""),"#N/A")</f>
        <v>#N/A</v>
      </c>
      <c r="AI1881" s="3" t="str">
        <f>IFERROR(__xludf.DUMMYFUNCTION("""COMPUTED_VALUE"""),"Out of warranty")</f>
        <v>Out of warranty</v>
      </c>
      <c r="AJ1881" s="3">
        <f>IFERROR(__xludf.DUMMYFUNCTION("""COMPUTED_VALUE"""),29.0)</f>
        <v>29</v>
      </c>
      <c r="AK1881" s="3" t="str">
        <f>IFERROR(__xludf.DUMMYFUNCTION("""COMPUTED_VALUE"""),"MMS03")</f>
        <v>MMS03</v>
      </c>
      <c r="AL1881" s="3"/>
    </row>
    <row r="1882" ht="15.75" customHeight="1">
      <c r="A1882" s="1" t="str">
        <f>IFERROR(__xludf.DUMMYFUNCTION("""COMPUTED_VALUE"""),"22568")</f>
        <v>22568</v>
      </c>
      <c r="B1882" s="2">
        <f>IFERROR(__xludf.DUMMYFUNCTION("""COMPUTED_VALUE"""),22568.0)</f>
        <v>22568</v>
      </c>
      <c r="C1882" s="3" t="str">
        <f>IFERROR(__xludf.DUMMYFUNCTION("""COMPUTED_VALUE"""),"BCM ถ.เจ้าฟ้าสวนหลวง ภูเก็ต")</f>
        <v>BCM ถ.เจ้าฟ้าสวนหลวง ภูเก็ต</v>
      </c>
      <c r="D1882" s="3" t="str">
        <f>IFERROR(__xludf.DUMMYFUNCTION("""COMPUTED_VALUE"""),"BCM THANON CHAO FA SUAN LUANG")</f>
        <v>BCM THANON CHAO FA SUAN LUANG</v>
      </c>
      <c r="E1882" s="1" t="str">
        <f>IFERROR(__xludf.DUMMYFUNCTION("""COMPUTED_VALUE"""),"บิ๊กซี MINI")</f>
        <v>บิ๊กซี MINI</v>
      </c>
      <c r="F1882" s="1" t="str">
        <f>IFERROR(__xludf.DUMMYFUNCTION("""COMPUTED_VALUE"""),"250760")</f>
        <v>250760</v>
      </c>
      <c r="G1882" s="1" t="str">
        <f>IFERROR(__xludf.DUMMYFUNCTION("""COMPUTED_VALUE"""),"นายประทวน สาราบรรณ์")</f>
        <v>นายประทวน สาราบรรณ์</v>
      </c>
      <c r="H1882" s="1" t="str">
        <f>IFERROR(__xludf.DUMMYFUNCTION("""COMPUTED_VALUE"""),"357284")</f>
        <v>357284</v>
      </c>
      <c r="I1882" s="1" t="str">
        <f>IFERROR(__xludf.DUMMYFUNCTION("""COMPUTED_VALUE"""),"น.ส.เบญจวรรณ ปัณฑโมรา")</f>
        <v>น.ส.เบญจวรรณ ปัณฑโมรา</v>
      </c>
      <c r="J1882" s="3">
        <f>IFERROR(__xludf.DUMMYFUNCTION("""COMPUTED_VALUE"""),25324.0)</f>
        <v>25324</v>
      </c>
      <c r="K1882" s="3" t="str">
        <f>IFERROR(__xludf.DUMMYFUNCTION("""COMPUTED_VALUE"""),"นายวิเชฎฐ์ ติรัตนะประคม")</f>
        <v>นายวิเชฎฐ์ ติรัตนะประคม</v>
      </c>
      <c r="L1882" s="1" t="str">
        <f>IFERROR(__xludf.DUMMYFUNCTION("""COMPUTED_VALUE"""),"14 K.Wichet T.")</f>
        <v>14 K.Wichet T.</v>
      </c>
      <c r="M1882" s="1" t="str">
        <f>IFERROR(__xludf.DUMMYFUNCTION("""COMPUTED_VALUE"""),"061-417-6569 / 086-445-5636")</f>
        <v>061-417-6569 / 086-445-5636</v>
      </c>
      <c r="N1882" s="3">
        <f>IFERROR(__xludf.DUMMYFUNCTION("""COMPUTED_VALUE"""),22658.0)</f>
        <v>22658</v>
      </c>
      <c r="O1882" s="3" t="str">
        <f>IFERROR(__xludf.DUMMYFUNCTION("""COMPUTED_VALUE"""),"BCM ถ.วิรัชหงษ์หยก ภูเก็ต")</f>
        <v>BCM ถ.วิรัชหงษ์หยก ภูเก็ต</v>
      </c>
      <c r="P1882" s="4">
        <f>IFERROR(__xludf.DUMMYFUNCTION("""COMPUTED_VALUE"""),45174.0)</f>
        <v>45174</v>
      </c>
      <c r="Q1882" s="3" t="str">
        <f>IFERROR(__xludf.DUMMYFUNCTION("""COMPUTED_VALUE"""),"A")</f>
        <v>A</v>
      </c>
      <c r="R1882" s="3" t="str">
        <f>IFERROR(__xludf.DUMMYFUNCTION("""COMPUTED_VALUE"""),"Small Format")</f>
        <v>Small Format</v>
      </c>
      <c r="S1882" s="3" t="str">
        <f>IFERROR(__xludf.DUMMYFUNCTION("""COMPUTED_VALUE"""),"BCM")</f>
        <v>BCM</v>
      </c>
      <c r="T1882" s="3" t="str">
        <f>IFERROR(__xludf.DUMMYFUNCTION("""COMPUTED_VALUE"""),"#N/A")</f>
        <v>#N/A</v>
      </c>
      <c r="U1882" s="3" t="str">
        <f>IFERROR(__xludf.DUMMYFUNCTION("""COMPUTED_VALUE"""),"#N/A")</f>
        <v>#N/A</v>
      </c>
      <c r="V1882" s="3" t="str">
        <f>IFERROR(__xludf.DUMMYFUNCTION("""COMPUTED_VALUE"""),"N")</f>
        <v>N</v>
      </c>
      <c r="W1882" s="3">
        <f>IFERROR(__xludf.DUMMYFUNCTION("""COMPUTED_VALUE"""),210678.0)</f>
        <v>210678</v>
      </c>
      <c r="X1882" s="3" t="str">
        <f>IFERROR(__xludf.DUMMYFUNCTION("""COMPUTED_VALUE"""),"57/26 หมู่2 ตำบลวิชิต อำเภอเมืองภูเก็ต จังหวัดภูเก็ต 83000")</f>
        <v>57/26 หมู่2 ตำบลวิชิต อำเภอเมืองภูเก็ต จังหวัดภูเก็ต 83000</v>
      </c>
      <c r="Y1882" s="3"/>
      <c r="Z1882" s="3" t="str">
        <f>IFERROR(__xludf.DUMMYFUNCTION("""COMPUTED_VALUE"""),"วิชิต")</f>
        <v>วิชิต</v>
      </c>
      <c r="AA1882" s="3" t="str">
        <f>IFERROR(__xludf.DUMMYFUNCTION("""COMPUTED_VALUE"""),"เมืองภูเก็ต")</f>
        <v>เมืองภูเก็ต</v>
      </c>
      <c r="AB1882" s="3" t="str">
        <f>IFERROR(__xludf.DUMMYFUNCTION("""COMPUTED_VALUE"""),"ภูเก็ต")</f>
        <v>ภูเก็ต</v>
      </c>
      <c r="AC1882" s="3">
        <f>IFERROR(__xludf.DUMMYFUNCTION("""COMPUTED_VALUE"""),83000.0)</f>
        <v>83000</v>
      </c>
      <c r="AD1882" s="3">
        <f>IFERROR(__xludf.DUMMYFUNCTION("""COMPUTED_VALUE"""),7.872061)</f>
        <v>7.872061</v>
      </c>
      <c r="AE1882" s="3">
        <f>IFERROR(__xludf.DUMMYFUNCTION("""COMPUTED_VALUE"""),98.36899)</f>
        <v>98.36899</v>
      </c>
      <c r="AF1882" s="3" t="str">
        <f>IFERROR(__xludf.DUMMYFUNCTION("""COMPUTED_VALUE"""),"BCM ถ.เจ้าฟ้าสวนหลวง ภูเก็ต-22568")</f>
        <v>BCM ถ.เจ้าฟ้าสวนหลวง ภูเก็ต-22568</v>
      </c>
      <c r="AG1882" s="3" t="str">
        <f>IFERROR(__xludf.DUMMYFUNCTION("""COMPUTED_VALUE"""),"ใต้")</f>
        <v>ใต้</v>
      </c>
      <c r="AH1882" s="3" t="str">
        <f>IFERROR(__xludf.DUMMYFUNCTION("""COMPUTED_VALUE"""),"#N/A")</f>
        <v>#N/A</v>
      </c>
      <c r="AI1882" s="3" t="str">
        <f>IFERROR(__xludf.DUMMYFUNCTION("""COMPUTED_VALUE"""),"Out of warranty")</f>
        <v>Out of warranty</v>
      </c>
      <c r="AJ1882" s="3">
        <f>IFERROR(__xludf.DUMMYFUNCTION("""COMPUTED_VALUE"""),29.0)</f>
        <v>29</v>
      </c>
      <c r="AK1882" s="3" t="str">
        <f>IFERROR(__xludf.DUMMYFUNCTION("""COMPUTED_VALUE"""),"MMS15")</f>
        <v>MMS15</v>
      </c>
      <c r="AL1882" s="3"/>
    </row>
    <row r="1883" ht="15.75" customHeight="1">
      <c r="A1883" s="1" t="str">
        <f>IFERROR(__xludf.DUMMYFUNCTION("""COMPUTED_VALUE"""),"22569")</f>
        <v>22569</v>
      </c>
      <c r="B1883" s="2">
        <f>IFERROR(__xludf.DUMMYFUNCTION("""COMPUTED_VALUE"""),22569.0)</f>
        <v>22569</v>
      </c>
      <c r="C1883" s="3" t="str">
        <f>IFERROR(__xludf.DUMMYFUNCTION("""COMPUTED_VALUE"""),"BCM ไทรม้า นนทบุรี")</f>
        <v>BCM ไทรม้า นนทบุรี</v>
      </c>
      <c r="D1883" s="3" t="str">
        <f>IFERROR(__xludf.DUMMYFUNCTION("""COMPUTED_VALUE"""),"BCM SAIMA NONTHABURI")</f>
        <v>BCM SAIMA NONTHABURI</v>
      </c>
      <c r="E1883" s="1" t="str">
        <f>IFERROR(__xludf.DUMMYFUNCTION("""COMPUTED_VALUE"""),"บิ๊กซี MINI")</f>
        <v>บิ๊กซี MINI</v>
      </c>
      <c r="F1883" s="1" t="str">
        <f>IFERROR(__xludf.DUMMYFUNCTION("""COMPUTED_VALUE"""),"291008")</f>
        <v>291008</v>
      </c>
      <c r="G1883" s="1" t="str">
        <f>IFERROR(__xludf.DUMMYFUNCTION("""COMPUTED_VALUE"""),"น.ส.รัชดาพร อีศรัตน์")</f>
        <v>น.ส.รัชดาพร อีศรัตน์</v>
      </c>
      <c r="H1883" s="1" t="str">
        <f>IFERROR(__xludf.DUMMYFUNCTION("""COMPUTED_VALUE"""),"034068")</f>
        <v>034068</v>
      </c>
      <c r="I1883" s="1" t="str">
        <f>IFERROR(__xludf.DUMMYFUNCTION("""COMPUTED_VALUE"""),"นายสมศักดิ์ ฐานทองดี")</f>
        <v>นายสมศักดิ์ ฐานทองดี</v>
      </c>
      <c r="J1883" s="3">
        <f>IFERROR(__xludf.DUMMYFUNCTION("""COMPUTED_VALUE"""),296608.0)</f>
        <v>296608</v>
      </c>
      <c r="K1883" s="3" t="str">
        <f>IFERROR(__xludf.DUMMYFUNCTION("""COMPUTED_VALUE"""),"นายภาคภูมิ เพ็ชรนิล")</f>
        <v>นายภาคภูมิ เพ็ชรนิล</v>
      </c>
      <c r="L1883" s="1" t="str">
        <f>IFERROR(__xludf.DUMMYFUNCTION("""COMPUTED_VALUE"""),"10 K.Phakphoom P.")</f>
        <v>10 K.Phakphoom P.</v>
      </c>
      <c r="M1883" s="1" t="str">
        <f>IFERROR(__xludf.DUMMYFUNCTION("""COMPUTED_VALUE"""),"063-8955329")</f>
        <v>063-8955329</v>
      </c>
      <c r="N1883" s="3">
        <f>IFERROR(__xludf.DUMMYFUNCTION("""COMPUTED_VALUE"""),22584.0)</f>
        <v>22584</v>
      </c>
      <c r="O1883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883" s="4">
        <f>IFERROR(__xludf.DUMMYFUNCTION("""COMPUTED_VALUE"""),45176.0)</f>
        <v>45176</v>
      </c>
      <c r="Q1883" s="3" t="str">
        <f>IFERROR(__xludf.DUMMYFUNCTION("""COMPUTED_VALUE"""),"A")</f>
        <v>A</v>
      </c>
      <c r="R1883" s="3" t="str">
        <f>IFERROR(__xludf.DUMMYFUNCTION("""COMPUTED_VALUE"""),"Small Format")</f>
        <v>Small Format</v>
      </c>
      <c r="S1883" s="3" t="str">
        <f>IFERROR(__xludf.DUMMYFUNCTION("""COMPUTED_VALUE"""),"BCM")</f>
        <v>BCM</v>
      </c>
      <c r="T1883" s="3" t="str">
        <f>IFERROR(__xludf.DUMMYFUNCTION("""COMPUTED_VALUE"""),"#N/A")</f>
        <v>#N/A</v>
      </c>
      <c r="U1883" s="3" t="str">
        <f>IFERROR(__xludf.DUMMYFUNCTION("""COMPUTED_VALUE"""),"#N/A")</f>
        <v>#N/A</v>
      </c>
      <c r="V1883" s="3" t="str">
        <f>IFERROR(__xludf.DUMMYFUNCTION("""COMPUTED_VALUE"""),"N")</f>
        <v>N</v>
      </c>
      <c r="W1883" s="3">
        <f>IFERROR(__xludf.DUMMYFUNCTION("""COMPUTED_VALUE"""),210655.0)</f>
        <v>210655</v>
      </c>
      <c r="X1883" s="3" t="str">
        <f>IFERROR(__xludf.DUMMYFUNCTION("""COMPUTED_VALUE"""),"96/14 หมู่4 ตำบลไทรม้า อำเภอเมืองนนทบุรี จังหวัดนนทบุรี 11000")</f>
        <v>96/14 หมู่4 ตำบลไทรม้า อำเภอเมืองนนทบุรี จังหวัดนนทบุรี 11000</v>
      </c>
      <c r="Y1883" s="3"/>
      <c r="Z1883" s="3" t="str">
        <f>IFERROR(__xludf.DUMMYFUNCTION("""COMPUTED_VALUE"""),"ไทรม้า")</f>
        <v>ไทรม้า</v>
      </c>
      <c r="AA1883" s="3" t="str">
        <f>IFERROR(__xludf.DUMMYFUNCTION("""COMPUTED_VALUE"""),"เมืองนนทบุรี")</f>
        <v>เมืองนนทบุรี</v>
      </c>
      <c r="AB1883" s="3" t="str">
        <f>IFERROR(__xludf.DUMMYFUNCTION("""COMPUTED_VALUE"""),"นนทบุรี")</f>
        <v>นนทบุรี</v>
      </c>
      <c r="AC1883" s="3">
        <f>IFERROR(__xludf.DUMMYFUNCTION("""COMPUTED_VALUE"""),11000.0)</f>
        <v>11000</v>
      </c>
      <c r="AD1883" s="3">
        <f>IFERROR(__xludf.DUMMYFUNCTION("""COMPUTED_VALUE"""),13.866271)</f>
        <v>13.866271</v>
      </c>
      <c r="AE1883" s="3">
        <f>IFERROR(__xludf.DUMMYFUNCTION("""COMPUTED_VALUE"""),100.467747)</f>
        <v>100.467747</v>
      </c>
      <c r="AF1883" s="3" t="str">
        <f>IFERROR(__xludf.DUMMYFUNCTION("""COMPUTED_VALUE"""),"BCM ไทรม้า นนทบุรี-22569")</f>
        <v>BCM ไทรม้า นนทบุรี-22569</v>
      </c>
      <c r="AG1883" s="3" t="str">
        <f>IFERROR(__xludf.DUMMYFUNCTION("""COMPUTED_VALUE"""),"กลาง")</f>
        <v>กลาง</v>
      </c>
      <c r="AH1883" s="3" t="str">
        <f>IFERROR(__xludf.DUMMYFUNCTION("""COMPUTED_VALUE"""),"#N/A")</f>
        <v>#N/A</v>
      </c>
      <c r="AI1883" s="3" t="str">
        <f>IFERROR(__xludf.DUMMYFUNCTION("""COMPUTED_VALUE"""),"Out of warranty")</f>
        <v>Out of warranty</v>
      </c>
      <c r="AJ1883" s="3">
        <f>IFERROR(__xludf.DUMMYFUNCTION("""COMPUTED_VALUE"""),29.0)</f>
        <v>29</v>
      </c>
      <c r="AK1883" s="3" t="str">
        <f>IFERROR(__xludf.DUMMYFUNCTION("""COMPUTED_VALUE"""),"MMS01")</f>
        <v>MMS01</v>
      </c>
      <c r="AL1883" s="3"/>
    </row>
    <row r="1884" ht="15.75" customHeight="1">
      <c r="A1884" s="1" t="str">
        <f>IFERROR(__xludf.DUMMYFUNCTION("""COMPUTED_VALUE"""),"22570")</f>
        <v>22570</v>
      </c>
      <c r="B1884" s="2">
        <f>IFERROR(__xludf.DUMMYFUNCTION("""COMPUTED_VALUE"""),22570.0)</f>
        <v>22570</v>
      </c>
      <c r="C1884" s="3" t="str">
        <f>IFERROR(__xludf.DUMMYFUNCTION("""COMPUTED_VALUE"""),"BCM อุทุมพรพิสัย ศรีสะเกษ")</f>
        <v>BCM อุทุมพรพิสัย ศรีสะเกษ</v>
      </c>
      <c r="D1884" s="3" t="str">
        <f>IFERROR(__xludf.DUMMYFUNCTION("""COMPUTED_VALUE"""),"BCM UTHUMPHON PHISAI SI SA KET")</f>
        <v>BCM UTHUMPHON PHISAI SI SA KET</v>
      </c>
      <c r="E1884" s="1" t="str">
        <f>IFERROR(__xludf.DUMMYFUNCTION("""COMPUTED_VALUE"""),"บิ๊กซี MINI")</f>
        <v>บิ๊กซี MINI</v>
      </c>
      <c r="F1884" s="1" t="str">
        <f>IFERROR(__xludf.DUMMYFUNCTION("""COMPUTED_VALUE"""),"291105")</f>
        <v>291105</v>
      </c>
      <c r="G1884" s="1" t="str">
        <f>IFERROR(__xludf.DUMMYFUNCTION("""COMPUTED_VALUE"""),"นายสราวุฒิ พณิชยกุล")</f>
        <v>นายสราวุฒิ พณิชยกุล</v>
      </c>
      <c r="H1884" s="1" t="str">
        <f>IFERROR(__xludf.DUMMYFUNCTION("""COMPUTED_VALUE"""),"398146")</f>
        <v>398146</v>
      </c>
      <c r="I1884" s="1" t="str">
        <f>IFERROR(__xludf.DUMMYFUNCTION("""COMPUTED_VALUE"""),"น.ส.กนกสิริ สุขหอม")</f>
        <v>น.ส.กนกสิริ สุขหอม</v>
      </c>
      <c r="J1884" s="3">
        <f>IFERROR(__xludf.DUMMYFUNCTION("""COMPUTED_VALUE"""),2454781.0)</f>
        <v>2454781</v>
      </c>
      <c r="K1884" s="3" t="str">
        <f>IFERROR(__xludf.DUMMYFUNCTION("""COMPUTED_VALUE"""),"นายฌานกฤช นันทะโคต")</f>
        <v>นายฌานกฤช นันทะโคต</v>
      </c>
      <c r="L1884" s="1" t="str">
        <f>IFERROR(__xludf.DUMMYFUNCTION("""COMPUTED_VALUE"""),"05 K.Chanakrit N.")</f>
        <v>05 K.Chanakrit N.</v>
      </c>
      <c r="M1884" s="1" t="str">
        <f>IFERROR(__xludf.DUMMYFUNCTION("""COMPUTED_VALUE"""),"090-978-9785 ,065-929-1320")</f>
        <v>090-978-9785 ,065-929-1320</v>
      </c>
      <c r="N1884" s="3">
        <f>IFERROR(__xludf.DUMMYFUNCTION("""COMPUTED_VALUE"""),22195.0)</f>
        <v>22195</v>
      </c>
      <c r="O1884" s="3" t="str">
        <f>IFERROR(__xludf.DUMMYFUNCTION("""COMPUTED_VALUE"""),"MBC กันทรลักษ์ ศรีสะเกษ")</f>
        <v>MBC กันทรลักษ์ ศรีสะเกษ</v>
      </c>
      <c r="P1884" s="4">
        <f>IFERROR(__xludf.DUMMYFUNCTION("""COMPUTED_VALUE"""),45179.0)</f>
        <v>45179</v>
      </c>
      <c r="Q1884" s="3" t="str">
        <f>IFERROR(__xludf.DUMMYFUNCTION("""COMPUTED_VALUE"""),"A")</f>
        <v>A</v>
      </c>
      <c r="R1884" s="3" t="str">
        <f>IFERROR(__xludf.DUMMYFUNCTION("""COMPUTED_VALUE"""),"Small Format")</f>
        <v>Small Format</v>
      </c>
      <c r="S1884" s="3" t="str">
        <f>IFERROR(__xludf.DUMMYFUNCTION("""COMPUTED_VALUE"""),"BCM")</f>
        <v>BCM</v>
      </c>
      <c r="T1884" s="3" t="str">
        <f>IFERROR(__xludf.DUMMYFUNCTION("""COMPUTED_VALUE"""),"#N/A")</f>
        <v>#N/A</v>
      </c>
      <c r="U1884" s="3" t="str">
        <f>IFERROR(__xludf.DUMMYFUNCTION("""COMPUTED_VALUE"""),"#N/A")</f>
        <v>#N/A</v>
      </c>
      <c r="V1884" s="3" t="str">
        <f>IFERROR(__xludf.DUMMYFUNCTION("""COMPUTED_VALUE"""),"N")</f>
        <v>N</v>
      </c>
      <c r="W1884" s="3">
        <f>IFERROR(__xludf.DUMMYFUNCTION("""COMPUTED_VALUE"""),210687.0)</f>
        <v>210687</v>
      </c>
      <c r="X1884" s="3" t="str">
        <f>IFERROR(__xludf.DUMMYFUNCTION("""COMPUTED_VALUE"""),"455 หมู่7 ถนนประชานิมิตร ตำบลกำแพง อำเภออุทุมพรพิสัย จังหวัดศรีสะเกษ 33120")</f>
        <v>455 หมู่7 ถนนประชานิมิตร ตำบลกำแพง อำเภออุทุมพรพิสัย จังหวัดศรีสะเกษ 33120</v>
      </c>
      <c r="Y1884" s="3" t="str">
        <f>IFERROR(__xludf.DUMMYFUNCTION("""COMPUTED_VALUE"""),"ประชานิมิตร")</f>
        <v>ประชานิมิตร</v>
      </c>
      <c r="Z1884" s="3" t="str">
        <f>IFERROR(__xludf.DUMMYFUNCTION("""COMPUTED_VALUE"""),"กำแพง")</f>
        <v>กำแพง</v>
      </c>
      <c r="AA1884" s="3" t="str">
        <f>IFERROR(__xludf.DUMMYFUNCTION("""COMPUTED_VALUE"""),"อุทุมพรพิสัย")</f>
        <v>อุทุมพรพิสัย</v>
      </c>
      <c r="AB1884" s="3" t="str">
        <f>IFERROR(__xludf.DUMMYFUNCTION("""COMPUTED_VALUE"""),"ศรีสะเกษ")</f>
        <v>ศรีสะเกษ</v>
      </c>
      <c r="AC1884" s="3">
        <f>IFERROR(__xludf.DUMMYFUNCTION("""COMPUTED_VALUE"""),33120.0)</f>
        <v>33120</v>
      </c>
      <c r="AD1884" s="3">
        <f>IFERROR(__xludf.DUMMYFUNCTION("""COMPUTED_VALUE"""),15.108831)</f>
        <v>15.108831</v>
      </c>
      <c r="AE1884" s="3">
        <f>IFERROR(__xludf.DUMMYFUNCTION("""COMPUTED_VALUE"""),104.14011)</f>
        <v>104.14011</v>
      </c>
      <c r="AF1884" s="3" t="str">
        <f>IFERROR(__xludf.DUMMYFUNCTION("""COMPUTED_VALUE"""),"BCM อุทุมพรพิสัย ศรีสะเกษ-22570")</f>
        <v>BCM อุทุมพรพิสัย ศรีสะเกษ-22570</v>
      </c>
      <c r="AG1884" s="3" t="str">
        <f>IFERROR(__xludf.DUMMYFUNCTION("""COMPUTED_VALUE"""),"ตะวันออกเฉียงเหนือ")</f>
        <v>ตะวันออกเฉียงเหนือ</v>
      </c>
      <c r="AH1884" s="3" t="str">
        <f>IFERROR(__xludf.DUMMYFUNCTION("""COMPUTED_VALUE"""),"#N/A")</f>
        <v>#N/A</v>
      </c>
      <c r="AI1884" s="3" t="str">
        <f>IFERROR(__xludf.DUMMYFUNCTION("""COMPUTED_VALUE"""),"Out of warranty")</f>
        <v>Out of warranty</v>
      </c>
      <c r="AJ1884" s="3">
        <f>IFERROR(__xludf.DUMMYFUNCTION("""COMPUTED_VALUE"""),29.0)</f>
        <v>29</v>
      </c>
      <c r="AK1884" s="3" t="str">
        <f>IFERROR(__xludf.DUMMYFUNCTION("""COMPUTED_VALUE"""),"MMS13")</f>
        <v>MMS13</v>
      </c>
      <c r="AL1884" s="3"/>
    </row>
    <row r="1885" ht="15.75" customHeight="1">
      <c r="A1885" s="1" t="str">
        <f>IFERROR(__xludf.DUMMYFUNCTION("""COMPUTED_VALUE"""),"22571")</f>
        <v>22571</v>
      </c>
      <c r="B1885" s="2">
        <f>IFERROR(__xludf.DUMMYFUNCTION("""COMPUTED_VALUE"""),22571.0)</f>
        <v>22571</v>
      </c>
      <c r="C1885" s="3" t="str">
        <f>IFERROR(__xludf.DUMMYFUNCTION("""COMPUTED_VALUE"""),"BCM โคกเมา สงขลา")</f>
        <v>BCM โคกเมา สงขลา</v>
      </c>
      <c r="D1885" s="3" t="str">
        <f>IFERROR(__xludf.DUMMYFUNCTION("""COMPUTED_VALUE"""),"BCM KHOK MAO SONGKHLA")</f>
        <v>BCM KHOK MAO SONGKHLA</v>
      </c>
      <c r="E1885" s="1" t="str">
        <f>IFERROR(__xludf.DUMMYFUNCTION("""COMPUTED_VALUE"""),"บิ๊กซี MINI")</f>
        <v>บิ๊กซี MINI</v>
      </c>
      <c r="F1885" s="1" t="str">
        <f>IFERROR(__xludf.DUMMYFUNCTION("""COMPUTED_VALUE"""),"250760")</f>
        <v>250760</v>
      </c>
      <c r="G1885" s="1" t="str">
        <f>IFERROR(__xludf.DUMMYFUNCTION("""COMPUTED_VALUE"""),"นายประทวน สาราบรรณ์")</f>
        <v>นายประทวน สาราบรรณ์</v>
      </c>
      <c r="H1885" s="1" t="str">
        <f>IFERROR(__xludf.DUMMYFUNCTION("""COMPUTED_VALUE"""),"394100")</f>
        <v>394100</v>
      </c>
      <c r="I1885" s="1" t="str">
        <f>IFERROR(__xludf.DUMMYFUNCTION("""COMPUTED_VALUE"""),"นายไพโรจน์ ถิระผะลิกะ")</f>
        <v>นายไพโรจน์ ถิระผะลิกะ</v>
      </c>
      <c r="J1885" s="3">
        <f>IFERROR(__xludf.DUMMYFUNCTION("""COMPUTED_VALUE"""),2.0470331E7)</f>
        <v>20470331</v>
      </c>
      <c r="K1885" s="3" t="str">
        <f>IFERROR(__xludf.DUMMYFUNCTION("""COMPUTED_VALUE"""),"นายสมชาย ลักษณะสุวรรณ")</f>
        <v>นายสมชาย ลักษณะสุวรรณ</v>
      </c>
      <c r="L1885" s="1" t="str">
        <f>IFERROR(__xludf.DUMMYFUNCTION("""COMPUTED_VALUE"""),"15 K.Somchai L")</f>
        <v>15 K.Somchai L</v>
      </c>
      <c r="M1885" s="1" t="str">
        <f>IFERROR(__xludf.DUMMYFUNCTION("""COMPUTED_VALUE"""),"0655107372")</f>
        <v>0655107372</v>
      </c>
      <c r="N1885" s="3">
        <f>IFERROR(__xludf.DUMMYFUNCTION("""COMPUTED_VALUE"""),21723.0)</f>
        <v>21723</v>
      </c>
      <c r="O1885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885" s="4">
        <f>IFERROR(__xludf.DUMMYFUNCTION("""COMPUTED_VALUE"""),45181.0)</f>
        <v>45181</v>
      </c>
      <c r="Q1885" s="3" t="str">
        <f>IFERROR(__xludf.DUMMYFUNCTION("""COMPUTED_VALUE"""),"A")</f>
        <v>A</v>
      </c>
      <c r="R1885" s="3" t="str">
        <f>IFERROR(__xludf.DUMMYFUNCTION("""COMPUTED_VALUE"""),"Small Format")</f>
        <v>Small Format</v>
      </c>
      <c r="S1885" s="3" t="str">
        <f>IFERROR(__xludf.DUMMYFUNCTION("""COMPUTED_VALUE"""),"BCM")</f>
        <v>BCM</v>
      </c>
      <c r="T1885" s="3" t="str">
        <f>IFERROR(__xludf.DUMMYFUNCTION("""COMPUTED_VALUE"""),"#N/A")</f>
        <v>#N/A</v>
      </c>
      <c r="U1885" s="3" t="str">
        <f>IFERROR(__xludf.DUMMYFUNCTION("""COMPUTED_VALUE"""),"#N/A")</f>
        <v>#N/A</v>
      </c>
      <c r="V1885" s="3" t="str">
        <f>IFERROR(__xludf.DUMMYFUNCTION("""COMPUTED_VALUE"""),"N")</f>
        <v>N</v>
      </c>
      <c r="W1885" s="3">
        <f>IFERROR(__xludf.DUMMYFUNCTION("""COMPUTED_VALUE"""),210645.0)</f>
        <v>210645</v>
      </c>
      <c r="X1885" s="3" t="str">
        <f>IFERROR(__xludf.DUMMYFUNCTION("""COMPUTED_VALUE"""),"8/7 หมู่7 ตำบลท่าช้าง อำเภอบางกล่ำ จังหวัดสงขลา 90110")</f>
        <v>8/7 หมู่7 ตำบลท่าช้าง อำเภอบางกล่ำ จังหวัดสงขลา 90110</v>
      </c>
      <c r="Y1885" s="3"/>
      <c r="Z1885" s="3" t="str">
        <f>IFERROR(__xludf.DUMMYFUNCTION("""COMPUTED_VALUE"""),"ท่าช้าง")</f>
        <v>ท่าช้าง</v>
      </c>
      <c r="AA1885" s="3" t="str">
        <f>IFERROR(__xludf.DUMMYFUNCTION("""COMPUTED_VALUE"""),"บางกล่ำ")</f>
        <v>บางกล่ำ</v>
      </c>
      <c r="AB1885" s="3" t="str">
        <f>IFERROR(__xludf.DUMMYFUNCTION("""COMPUTED_VALUE"""),"สงขลา")</f>
        <v>สงขลา</v>
      </c>
      <c r="AC1885" s="3">
        <f>IFERROR(__xludf.DUMMYFUNCTION("""COMPUTED_VALUE"""),90110.0)</f>
        <v>90110</v>
      </c>
      <c r="AD1885" s="3">
        <f>IFERROR(__xludf.DUMMYFUNCTION("""COMPUTED_VALUE"""),7.028982)</f>
        <v>7.028982</v>
      </c>
      <c r="AE1885" s="3">
        <f>IFERROR(__xludf.DUMMYFUNCTION("""COMPUTED_VALUE"""),100.43829)</f>
        <v>100.43829</v>
      </c>
      <c r="AF1885" s="3" t="str">
        <f>IFERROR(__xludf.DUMMYFUNCTION("""COMPUTED_VALUE"""),"BCM โคกเมา สงขลา-22571")</f>
        <v>BCM โคกเมา สงขลา-22571</v>
      </c>
      <c r="AG1885" s="3" t="str">
        <f>IFERROR(__xludf.DUMMYFUNCTION("""COMPUTED_VALUE"""),"ใต้")</f>
        <v>ใต้</v>
      </c>
      <c r="AH1885" s="3" t="str">
        <f>IFERROR(__xludf.DUMMYFUNCTION("""COMPUTED_VALUE"""),"#N/A")</f>
        <v>#N/A</v>
      </c>
      <c r="AI1885" s="3" t="str">
        <f>IFERROR(__xludf.DUMMYFUNCTION("""COMPUTED_VALUE"""),"Out of warranty")</f>
        <v>Out of warranty</v>
      </c>
      <c r="AJ1885" s="3">
        <f>IFERROR(__xludf.DUMMYFUNCTION("""COMPUTED_VALUE"""),29.0)</f>
        <v>29</v>
      </c>
      <c r="AK1885" s="3" t="str">
        <f>IFERROR(__xludf.DUMMYFUNCTION("""COMPUTED_VALUE"""),"MMS16")</f>
        <v>MMS16</v>
      </c>
      <c r="AL1885" s="3"/>
    </row>
    <row r="1886" ht="15.75" customHeight="1">
      <c r="A1886" s="1" t="str">
        <f>IFERROR(__xludf.DUMMYFUNCTION("""COMPUTED_VALUE"""),"22572")</f>
        <v>22572</v>
      </c>
      <c r="B1886" s="2">
        <f>IFERROR(__xludf.DUMMYFUNCTION("""COMPUTED_VALUE"""),22572.0)</f>
        <v>22572</v>
      </c>
      <c r="C1886" s="3" t="str">
        <f>IFERROR(__xludf.DUMMYFUNCTION("""COMPUTED_VALUE"""),"BCM ถ.สนามบิน เชียงราย")</f>
        <v>BCM ถ.สนามบิน เชียงราย</v>
      </c>
      <c r="D1886" s="3" t="str">
        <f>IFERROR(__xludf.DUMMYFUNCTION("""COMPUTED_VALUE"""),"BCM THANON SANAMBIN CHIANGRAI")</f>
        <v>BCM THANON SANAMBIN CHIANGRAI</v>
      </c>
      <c r="E1886" s="1" t="str">
        <f>IFERROR(__xludf.DUMMYFUNCTION("""COMPUTED_VALUE"""),"บิ๊กซี MINI")</f>
        <v>บิ๊กซี MINI</v>
      </c>
      <c r="F1886" s="1" t="str">
        <f>IFERROR(__xludf.DUMMYFUNCTION("""COMPUTED_VALUE"""),"296229")</f>
        <v>296229</v>
      </c>
      <c r="G1886" s="1" t="str">
        <f>IFERROR(__xludf.DUMMYFUNCTION("""COMPUTED_VALUE"""),"นายทนงศักดิ์ บุญมา")</f>
        <v>นายทนงศักดิ์ บุญมา</v>
      </c>
      <c r="H1886" s="1" t="str">
        <f>IFERROR(__xludf.DUMMYFUNCTION("""COMPUTED_VALUE"""),"392585")</f>
        <v>392585</v>
      </c>
      <c r="I1886" s="1" t="str">
        <f>IFERROR(__xludf.DUMMYFUNCTION("""COMPUTED_VALUE"""),"นายไชยัณต์ ผิวขัวเรียง")</f>
        <v>นายไชยัณต์ ผิวขัวเรียง</v>
      </c>
      <c r="J1886" s="3">
        <f>IFERROR(__xludf.DUMMYFUNCTION("""COMPUTED_VALUE"""),2010016.0)</f>
        <v>2010016</v>
      </c>
      <c r="K1886" s="3" t="str">
        <f>IFERROR(__xludf.DUMMYFUNCTION("""COMPUTED_VALUE"""),"นายตวงธรรม ใหม่ยศ")</f>
        <v>นายตวงธรรม ใหม่ยศ</v>
      </c>
      <c r="L1886" s="1" t="str">
        <f>IFERROR(__xludf.DUMMYFUNCTION("""COMPUTED_VALUE"""),"01 K.Tuangtham M.")</f>
        <v>01 K.Tuangtham M.</v>
      </c>
      <c r="M1886" s="1" t="str">
        <f>IFERROR(__xludf.DUMMYFUNCTION("""COMPUTED_VALUE"""),"063-976-595")</f>
        <v>063-976-595</v>
      </c>
      <c r="N1886" s="3">
        <f>IFERROR(__xludf.DUMMYFUNCTION("""COMPUTED_VALUE"""),22574.0)</f>
        <v>22574</v>
      </c>
      <c r="O1886" s="3" t="str">
        <f>IFERROR(__xludf.DUMMYFUNCTION("""COMPUTED_VALUE"""),"BCM ชุมชนศรีชุม ลำปาง")</f>
        <v>BCM ชุมชนศรีชุม ลำปาง</v>
      </c>
      <c r="P1886" s="4">
        <f>IFERROR(__xludf.DUMMYFUNCTION("""COMPUTED_VALUE"""),45183.0)</f>
        <v>45183</v>
      </c>
      <c r="Q1886" s="3" t="str">
        <f>IFERROR(__xludf.DUMMYFUNCTION("""COMPUTED_VALUE"""),"A")</f>
        <v>A</v>
      </c>
      <c r="R1886" s="3" t="str">
        <f>IFERROR(__xludf.DUMMYFUNCTION("""COMPUTED_VALUE"""),"Small Format")</f>
        <v>Small Format</v>
      </c>
      <c r="S1886" s="3" t="str">
        <f>IFERROR(__xludf.DUMMYFUNCTION("""COMPUTED_VALUE"""),"BCM")</f>
        <v>BCM</v>
      </c>
      <c r="T1886" s="3" t="str">
        <f>IFERROR(__xludf.DUMMYFUNCTION("""COMPUTED_VALUE"""),"#N/A")</f>
        <v>#N/A</v>
      </c>
      <c r="U1886" s="3" t="str">
        <f>IFERROR(__xludf.DUMMYFUNCTION("""COMPUTED_VALUE"""),"#N/A")</f>
        <v>#N/A</v>
      </c>
      <c r="V1886" s="3" t="str">
        <f>IFERROR(__xludf.DUMMYFUNCTION("""COMPUTED_VALUE"""),"N")</f>
        <v>N</v>
      </c>
      <c r="W1886" s="3">
        <f>IFERROR(__xludf.DUMMYFUNCTION("""COMPUTED_VALUE"""),210667.0)</f>
        <v>210667</v>
      </c>
      <c r="X1886" s="3" t="str">
        <f>IFERROR(__xludf.DUMMYFUNCTION("""COMPUTED_VALUE"""),"124/39 หมู่14 ตำบลรอบเวียง อำเภอเมืองเชียงราย จังหวัดเชียงราย 57000")</f>
        <v>124/39 หมู่14 ตำบลรอบเวียง อำเภอเมืองเชียงราย จังหวัดเชียงราย 57000</v>
      </c>
      <c r="Y1886" s="3"/>
      <c r="Z1886" s="3" t="str">
        <f>IFERROR(__xludf.DUMMYFUNCTION("""COMPUTED_VALUE"""),"รอบเวียง")</f>
        <v>รอบเวียง</v>
      </c>
      <c r="AA1886" s="3" t="str">
        <f>IFERROR(__xludf.DUMMYFUNCTION("""COMPUTED_VALUE"""),"เมืองเชียงราย")</f>
        <v>เมืองเชียงราย</v>
      </c>
      <c r="AB1886" s="3" t="str">
        <f>IFERROR(__xludf.DUMMYFUNCTION("""COMPUTED_VALUE"""),"เชียงราย")</f>
        <v>เชียงราย</v>
      </c>
      <c r="AC1886" s="3">
        <f>IFERROR(__xludf.DUMMYFUNCTION("""COMPUTED_VALUE"""),57000.0)</f>
        <v>57000</v>
      </c>
      <c r="AD1886" s="3">
        <f>IFERROR(__xludf.DUMMYFUNCTION("""COMPUTED_VALUE"""),19.899435)</f>
        <v>19.899435</v>
      </c>
      <c r="AE1886" s="3">
        <f>IFERROR(__xludf.DUMMYFUNCTION("""COMPUTED_VALUE"""),99.827872)</f>
        <v>99.827872</v>
      </c>
      <c r="AF1886" s="3" t="str">
        <f>IFERROR(__xludf.DUMMYFUNCTION("""COMPUTED_VALUE"""),"BCM ถ.สนามบิน เชียงราย-22572")</f>
        <v>BCM ถ.สนามบิน เชียงราย-22572</v>
      </c>
      <c r="AG1886" s="3" t="str">
        <f>IFERROR(__xludf.DUMMYFUNCTION("""COMPUTED_VALUE"""),"เหนือ")</f>
        <v>เหนือ</v>
      </c>
      <c r="AH1886" s="3" t="str">
        <f>IFERROR(__xludf.DUMMYFUNCTION("""COMPUTED_VALUE"""),"#N/A")</f>
        <v>#N/A</v>
      </c>
      <c r="AI1886" s="3" t="str">
        <f>IFERROR(__xludf.DUMMYFUNCTION("""COMPUTED_VALUE"""),"Out of warranty")</f>
        <v>Out of warranty</v>
      </c>
      <c r="AJ1886" s="3">
        <f>IFERROR(__xludf.DUMMYFUNCTION("""COMPUTED_VALUE"""),29.0)</f>
        <v>29</v>
      </c>
      <c r="AK1886" s="3" t="str">
        <f>IFERROR(__xludf.DUMMYFUNCTION("""COMPUTED_VALUE"""),"MMS10")</f>
        <v>MMS10</v>
      </c>
      <c r="AL1886" s="3"/>
    </row>
    <row r="1887" ht="15.75" customHeight="1">
      <c r="A1887" s="1" t="str">
        <f>IFERROR(__xludf.DUMMYFUNCTION("""COMPUTED_VALUE"""),"22573")</f>
        <v>22573</v>
      </c>
      <c r="B1887" s="2">
        <f>IFERROR(__xludf.DUMMYFUNCTION("""COMPUTED_VALUE"""),22573.0)</f>
        <v>22573</v>
      </c>
      <c r="C1887" s="3" t="str">
        <f>IFERROR(__xludf.DUMMYFUNCTION("""COMPUTED_VALUE"""),"BCM DC ธัญบุรีคลอง6 ปทุมธานี")</f>
        <v>BCM DC ธัญบุรีคลอง6 ปทุมธานี</v>
      </c>
      <c r="D1887" s="3" t="str">
        <f>IFERROR(__xludf.DUMMYFUNCTION("""COMPUTED_VALUE"""),"BCM DC THANYABURI KHLONG 6")</f>
        <v>BCM DC THANYABURI KHLONG 6</v>
      </c>
      <c r="E1887" s="1" t="str">
        <f>IFERROR(__xludf.DUMMYFUNCTION("""COMPUTED_VALUE"""),"บิ๊กซี MINI")</f>
        <v>บิ๊กซี MINI</v>
      </c>
      <c r="F1887" s="1" t="str">
        <f>IFERROR(__xludf.DUMMYFUNCTION("""COMPUTED_VALUE"""),"2083447")</f>
        <v>2083447</v>
      </c>
      <c r="G1887" s="1" t="str">
        <f>IFERROR(__xludf.DUMMYFUNCTION("""COMPUTED_VALUE"""),"นายอนุกูล ศรีลัดดา")</f>
        <v>นายอนุกูล ศรีลัดดา</v>
      </c>
      <c r="H1887" s="1" t="str">
        <f>IFERROR(__xludf.DUMMYFUNCTION("""COMPUTED_VALUE"""),"373849")</f>
        <v>373849</v>
      </c>
      <c r="I1887" s="1" t="str">
        <f>IFERROR(__xludf.DUMMYFUNCTION("""COMPUTED_VALUE"""),"น.ส.อรอุมา นิ่มวิศิษย์")</f>
        <v>น.ส.อรอุมา นิ่มวิศิษย์</v>
      </c>
      <c r="J1887" s="3">
        <f>IFERROR(__xludf.DUMMYFUNCTION("""COMPUTED_VALUE"""),510143.0)</f>
        <v>510143</v>
      </c>
      <c r="K1887" s="3" t="str">
        <f>IFERROR(__xludf.DUMMYFUNCTION("""COMPUTED_VALUE"""),"นายธีระวัฒน์ บุญสิทธิ์")</f>
        <v>นายธีระวัฒน์ บุญสิทธิ์</v>
      </c>
      <c r="L1887" s="1" t="str">
        <f>IFERROR(__xludf.DUMMYFUNCTION("""COMPUTED_VALUE"""),"12 K.Theerawat B.")</f>
        <v>12 K.Theerawat B.</v>
      </c>
      <c r="M1887" s="1" t="str">
        <f>IFERROR(__xludf.DUMMYFUNCTION("""COMPUTED_VALUE"""),"0655107379")</f>
        <v>0655107379</v>
      </c>
      <c r="N1887" s="3">
        <f>IFERROR(__xludf.DUMMYFUNCTION("""COMPUTED_VALUE"""),21062.0)</f>
        <v>21062</v>
      </c>
      <c r="O1887" s="3" t="str">
        <f>IFERROR(__xludf.DUMMYFUNCTION("""COMPUTED_VALUE"""),"MBC นิคมนวนคร")</f>
        <v>MBC นิคมนวนคร</v>
      </c>
      <c r="P1887" s="4">
        <f>IFERROR(__xludf.DUMMYFUNCTION("""COMPUTED_VALUE"""),45185.0)</f>
        <v>45185</v>
      </c>
      <c r="Q1887" s="3" t="str">
        <f>IFERROR(__xludf.DUMMYFUNCTION("""COMPUTED_VALUE"""),"A")</f>
        <v>A</v>
      </c>
      <c r="R1887" s="3" t="str">
        <f>IFERROR(__xludf.DUMMYFUNCTION("""COMPUTED_VALUE"""),"Small Format")</f>
        <v>Small Format</v>
      </c>
      <c r="S1887" s="3" t="str">
        <f>IFERROR(__xludf.DUMMYFUNCTION("""COMPUTED_VALUE"""),"BCM")</f>
        <v>BCM</v>
      </c>
      <c r="T1887" s="3" t="str">
        <f>IFERROR(__xludf.DUMMYFUNCTION("""COMPUTED_VALUE"""),"#N/A")</f>
        <v>#N/A</v>
      </c>
      <c r="U1887" s="3" t="str">
        <f>IFERROR(__xludf.DUMMYFUNCTION("""COMPUTED_VALUE"""),"#N/A")</f>
        <v>#N/A</v>
      </c>
      <c r="V1887" s="3" t="str">
        <f>IFERROR(__xludf.DUMMYFUNCTION("""COMPUTED_VALUE"""),"N")</f>
        <v>N</v>
      </c>
      <c r="W1887" s="3">
        <f>IFERROR(__xludf.DUMMYFUNCTION("""COMPUTED_VALUE"""),210682.0)</f>
        <v>210682</v>
      </c>
      <c r="X1887" s="3" t="str">
        <f>IFERROR(__xludf.DUMMYFUNCTION("""COMPUTED_VALUE"""),"29/66 หมู่2 ตำบลคลองหก อำเภอคลองหลวง จังหวัดปทุมธานี 12120")</f>
        <v>29/66 หมู่2 ตำบลคลองหก อำเภอคลองหลวง จังหวัดปทุมธานี 12120</v>
      </c>
      <c r="Y1887" s="3"/>
      <c r="Z1887" s="3" t="str">
        <f>IFERROR(__xludf.DUMMYFUNCTION("""COMPUTED_VALUE"""),"คลองหก")</f>
        <v>คลองหก</v>
      </c>
      <c r="AA1887" s="3" t="str">
        <f>IFERROR(__xludf.DUMMYFUNCTION("""COMPUTED_VALUE"""),"คลองหลวง")</f>
        <v>คลองหลวง</v>
      </c>
      <c r="AB1887" s="3" t="str">
        <f>IFERROR(__xludf.DUMMYFUNCTION("""COMPUTED_VALUE"""),"ปทุมธานี")</f>
        <v>ปทุมธานี</v>
      </c>
      <c r="AC1887" s="3">
        <f>IFERROR(__xludf.DUMMYFUNCTION("""COMPUTED_VALUE"""),12120.0)</f>
        <v>12120</v>
      </c>
      <c r="AD1887" s="3">
        <f>IFERROR(__xludf.DUMMYFUNCTION("""COMPUTED_VALUE"""),14.060555)</f>
        <v>14.060555</v>
      </c>
      <c r="AE1887" s="3">
        <f>IFERROR(__xludf.DUMMYFUNCTION("""COMPUTED_VALUE"""),100.743861)</f>
        <v>100.743861</v>
      </c>
      <c r="AF1887" s="3" t="str">
        <f>IFERROR(__xludf.DUMMYFUNCTION("""COMPUTED_VALUE"""),"BCM DC ธัญบุรีคลอง6 ปทุมธานี-22573")</f>
        <v>BCM DC ธัญบุรีคลอง6 ปทุมธานี-22573</v>
      </c>
      <c r="AG1887" s="3" t="str">
        <f>IFERROR(__xludf.DUMMYFUNCTION("""COMPUTED_VALUE"""),"กลาง")</f>
        <v>กลาง</v>
      </c>
      <c r="AH1887" s="3" t="str">
        <f>IFERROR(__xludf.DUMMYFUNCTION("""COMPUTED_VALUE"""),"#N/A")</f>
        <v>#N/A</v>
      </c>
      <c r="AI1887" s="3" t="str">
        <f>IFERROR(__xludf.DUMMYFUNCTION("""COMPUTED_VALUE"""),"Out of warranty")</f>
        <v>Out of warranty</v>
      </c>
      <c r="AJ1887" s="3">
        <f>IFERROR(__xludf.DUMMYFUNCTION("""COMPUTED_VALUE"""),29.0)</f>
        <v>29</v>
      </c>
      <c r="AK1887" s="3" t="str">
        <f>IFERROR(__xludf.DUMMYFUNCTION("""COMPUTED_VALUE"""),"MMS04")</f>
        <v>MMS04</v>
      </c>
      <c r="AL1887" s="3"/>
    </row>
    <row r="1888" ht="15.75" customHeight="1">
      <c r="A1888" s="1" t="str">
        <f>IFERROR(__xludf.DUMMYFUNCTION("""COMPUTED_VALUE"""),"22574")</f>
        <v>22574</v>
      </c>
      <c r="B1888" s="2">
        <f>IFERROR(__xludf.DUMMYFUNCTION("""COMPUTED_VALUE"""),22574.0)</f>
        <v>22574</v>
      </c>
      <c r="C1888" s="3" t="str">
        <f>IFERROR(__xludf.DUMMYFUNCTION("""COMPUTED_VALUE"""),"BCM ชุมชนศรีชุม ลำปาง")</f>
        <v>BCM ชุมชนศรีชุม ลำปาง</v>
      </c>
      <c r="D1888" s="3" t="str">
        <f>IFERROR(__xludf.DUMMYFUNCTION("""COMPUTED_VALUE"""),"BCM CHUMCHON SRICHUM LAMPANG")</f>
        <v>BCM CHUMCHON SRICHUM LAMPANG</v>
      </c>
      <c r="E1888" s="1" t="str">
        <f>IFERROR(__xludf.DUMMYFUNCTION("""COMPUTED_VALUE"""),"บิ๊กซี MINI")</f>
        <v>บิ๊กซี MINI</v>
      </c>
      <c r="F1888" s="1" t="str">
        <f>IFERROR(__xludf.DUMMYFUNCTION("""COMPUTED_VALUE"""),"296229")</f>
        <v>296229</v>
      </c>
      <c r="G1888" s="1" t="str">
        <f>IFERROR(__xludf.DUMMYFUNCTION("""COMPUTED_VALUE"""),"นายทนงศักดิ์ บุญมา")</f>
        <v>นายทนงศักดิ์ บุญมา</v>
      </c>
      <c r="H1888" s="1" t="str">
        <f>IFERROR(__xludf.DUMMYFUNCTION("""COMPUTED_VALUE"""),"372826")</f>
        <v>372826</v>
      </c>
      <c r="I1888" s="1" t="str">
        <f>IFERROR(__xludf.DUMMYFUNCTION("""COMPUTED_VALUE"""),"นายพงศกร สุขแก้ว")</f>
        <v>นายพงศกร สุขแก้ว</v>
      </c>
      <c r="J1888" s="3">
        <f>IFERROR(__xludf.DUMMYFUNCTION("""COMPUTED_VALUE"""),2010016.0)</f>
        <v>2010016</v>
      </c>
      <c r="K1888" s="3" t="str">
        <f>IFERROR(__xludf.DUMMYFUNCTION("""COMPUTED_VALUE"""),"นายตวงธรรม ใหม่ยศ")</f>
        <v>นายตวงธรรม ใหม่ยศ</v>
      </c>
      <c r="L1888" s="1" t="str">
        <f>IFERROR(__xludf.DUMMYFUNCTION("""COMPUTED_VALUE"""),"01 K.Tuangtham M.")</f>
        <v>01 K.Tuangtham M.</v>
      </c>
      <c r="M1888" s="1" t="str">
        <f>IFERROR(__xludf.DUMMYFUNCTION("""COMPUTED_VALUE"""),"063-976-595")</f>
        <v>063-976-595</v>
      </c>
      <c r="N1888" s="3">
        <f>IFERROR(__xludf.DUMMYFUNCTION("""COMPUTED_VALUE"""),22574.0)</f>
        <v>22574</v>
      </c>
      <c r="O1888" s="3" t="str">
        <f>IFERROR(__xludf.DUMMYFUNCTION("""COMPUTED_VALUE"""),"BCM ชุมชนศรีชุม ลำปาง")</f>
        <v>BCM ชุมชนศรีชุม ลำปาง</v>
      </c>
      <c r="P1888" s="4">
        <f>IFERROR(__xludf.DUMMYFUNCTION("""COMPUTED_VALUE"""),45185.0)</f>
        <v>45185</v>
      </c>
      <c r="Q1888" s="3" t="str">
        <f>IFERROR(__xludf.DUMMYFUNCTION("""COMPUTED_VALUE"""),"A")</f>
        <v>A</v>
      </c>
      <c r="R1888" s="3" t="str">
        <f>IFERROR(__xludf.DUMMYFUNCTION("""COMPUTED_VALUE"""),"Small Format")</f>
        <v>Small Format</v>
      </c>
      <c r="S1888" s="3" t="str">
        <f>IFERROR(__xludf.DUMMYFUNCTION("""COMPUTED_VALUE"""),"BCM")</f>
        <v>BCM</v>
      </c>
      <c r="T1888" s="3" t="str">
        <f>IFERROR(__xludf.DUMMYFUNCTION("""COMPUTED_VALUE"""),"#N/A")</f>
        <v>#N/A</v>
      </c>
      <c r="U1888" s="3" t="str">
        <f>IFERROR(__xludf.DUMMYFUNCTION("""COMPUTED_VALUE"""),"#N/A")</f>
        <v>#N/A</v>
      </c>
      <c r="V1888" s="3" t="str">
        <f>IFERROR(__xludf.DUMMYFUNCTION("""COMPUTED_VALUE"""),"N")</f>
        <v>N</v>
      </c>
      <c r="W1888" s="3">
        <f>IFERROR(__xludf.DUMMYFUNCTION("""COMPUTED_VALUE"""),210660.0)</f>
        <v>210660</v>
      </c>
      <c r="X1888" s="3" t="str">
        <f>IFERROR(__xludf.DUMMYFUNCTION("""COMPUTED_VALUE"""),"99/32 ถนนลำปาง-แม่ทะ ตำบลพระบาท อำเภอเมืองลำปาง จังหวัดลำปาง 52000")</f>
        <v>99/32 ถนนลำปาง-แม่ทะ ตำบลพระบาท อำเภอเมืองลำปาง จังหวัดลำปาง 52000</v>
      </c>
      <c r="Y1888" s="3" t="str">
        <f>IFERROR(__xludf.DUMMYFUNCTION("""COMPUTED_VALUE"""),"ลำปาง-แม่ทะ")</f>
        <v>ลำปาง-แม่ทะ</v>
      </c>
      <c r="Z1888" s="3" t="str">
        <f>IFERROR(__xludf.DUMMYFUNCTION("""COMPUTED_VALUE"""),"พระบาท")</f>
        <v>พระบาท</v>
      </c>
      <c r="AA1888" s="3" t="str">
        <f>IFERROR(__xludf.DUMMYFUNCTION("""COMPUTED_VALUE"""),"เมืองลำปาง")</f>
        <v>เมืองลำปาง</v>
      </c>
      <c r="AB1888" s="3" t="str">
        <f>IFERROR(__xludf.DUMMYFUNCTION("""COMPUTED_VALUE"""),"ลำปาง")</f>
        <v>ลำปาง</v>
      </c>
      <c r="AC1888" s="3">
        <f>IFERROR(__xludf.DUMMYFUNCTION("""COMPUTED_VALUE"""),52000.0)</f>
        <v>52000</v>
      </c>
      <c r="AD1888" s="3">
        <f>IFERROR(__xludf.DUMMYFUNCTION("""COMPUTED_VALUE"""),18.273873)</f>
        <v>18.273873</v>
      </c>
      <c r="AE1888" s="3">
        <f>IFERROR(__xludf.DUMMYFUNCTION("""COMPUTED_VALUE"""),99.498293)</f>
        <v>99.498293</v>
      </c>
      <c r="AF1888" s="3" t="str">
        <f>IFERROR(__xludf.DUMMYFUNCTION("""COMPUTED_VALUE"""),"BCM ชุมชนศรีชุม ลำปาง-22574")</f>
        <v>BCM ชุมชนศรีชุม ลำปาง-22574</v>
      </c>
      <c r="AG1888" s="3" t="str">
        <f>IFERROR(__xludf.DUMMYFUNCTION("""COMPUTED_VALUE"""),"เหนือ")</f>
        <v>เหนือ</v>
      </c>
      <c r="AH1888" s="3" t="str">
        <f>IFERROR(__xludf.DUMMYFUNCTION("""COMPUTED_VALUE"""),"#N/A")</f>
        <v>#N/A</v>
      </c>
      <c r="AI1888" s="3" t="str">
        <f>IFERROR(__xludf.DUMMYFUNCTION("""COMPUTED_VALUE"""),"Out of warranty")</f>
        <v>Out of warranty</v>
      </c>
      <c r="AJ1888" s="3">
        <f>IFERROR(__xludf.DUMMYFUNCTION("""COMPUTED_VALUE"""),29.0)</f>
        <v>29</v>
      </c>
      <c r="AK1888" s="3" t="str">
        <f>IFERROR(__xludf.DUMMYFUNCTION("""COMPUTED_VALUE"""),"MMS10")</f>
        <v>MMS10</v>
      </c>
      <c r="AL1888" s="3"/>
    </row>
    <row r="1889" ht="15.75" customHeight="1">
      <c r="A1889" s="1" t="str">
        <f>IFERROR(__xludf.DUMMYFUNCTION("""COMPUTED_VALUE"""),"22575")</f>
        <v>22575</v>
      </c>
      <c r="B1889" s="2">
        <f>IFERROR(__xludf.DUMMYFUNCTION("""COMPUTED_VALUE"""),22575.0)</f>
        <v>22575</v>
      </c>
      <c r="C1889" s="3" t="str">
        <f>IFERROR(__xludf.DUMMYFUNCTION("""COMPUTED_VALUE"""),"BCM แก้วอินทร์มาร์เก็ต นนทบุรี")</f>
        <v>BCM แก้วอินทร์มาร์เก็ต นนทบุรี</v>
      </c>
      <c r="D1889" s="3" t="str">
        <f>IFERROR(__xludf.DUMMYFUNCTION("""COMPUTED_VALUE"""),"BCM KAEW IN MARKAT NONTHABURI")</f>
        <v>BCM KAEW IN MARKAT NONTHABURI</v>
      </c>
      <c r="E1889" s="1" t="str">
        <f>IFERROR(__xludf.DUMMYFUNCTION("""COMPUTED_VALUE"""),"บิ๊กซี MINI")</f>
        <v>บิ๊กซี MINI</v>
      </c>
      <c r="F1889" s="1" t="str">
        <f>IFERROR(__xludf.DUMMYFUNCTION("""COMPUTED_VALUE"""),"291008")</f>
        <v>291008</v>
      </c>
      <c r="G1889" s="1" t="str">
        <f>IFERROR(__xludf.DUMMYFUNCTION("""COMPUTED_VALUE"""),"น.ส.รัชดาพร อีศรัตน์")</f>
        <v>น.ส.รัชดาพร อีศรัตน์</v>
      </c>
      <c r="H1889" s="1" t="str">
        <f>IFERROR(__xludf.DUMMYFUNCTION("""COMPUTED_VALUE"""),"180055")</f>
        <v>180055</v>
      </c>
      <c r="I1889" s="1" t="str">
        <f>IFERROR(__xludf.DUMMYFUNCTION("""COMPUTED_VALUE"""),"น.ส.สุดารัตน์ บุญล้ำ")</f>
        <v>น.ส.สุดารัตน์ บุญล้ำ</v>
      </c>
      <c r="J1889" s="3">
        <f>IFERROR(__xludf.DUMMYFUNCTION("""COMPUTED_VALUE"""),296608.0)</f>
        <v>296608</v>
      </c>
      <c r="K1889" s="3" t="str">
        <f>IFERROR(__xludf.DUMMYFUNCTION("""COMPUTED_VALUE"""),"นายภาคภูมิ เพ็ชรนิล")</f>
        <v>นายภาคภูมิ เพ็ชรนิล</v>
      </c>
      <c r="L1889" s="1" t="str">
        <f>IFERROR(__xludf.DUMMYFUNCTION("""COMPUTED_VALUE"""),"10 K.Phakphoom P.")</f>
        <v>10 K.Phakphoom P.</v>
      </c>
      <c r="M1889" s="1" t="str">
        <f>IFERROR(__xludf.DUMMYFUNCTION("""COMPUTED_VALUE"""),"063-8955329")</f>
        <v>063-8955329</v>
      </c>
      <c r="N1889" s="3">
        <f>IFERROR(__xludf.DUMMYFUNCTION("""COMPUTED_VALUE"""),22584.0)</f>
        <v>22584</v>
      </c>
      <c r="O1889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889" s="4">
        <f>IFERROR(__xludf.DUMMYFUNCTION("""COMPUTED_VALUE"""),45189.0)</f>
        <v>45189</v>
      </c>
      <c r="Q1889" s="3" t="str">
        <f>IFERROR(__xludf.DUMMYFUNCTION("""COMPUTED_VALUE"""),"A")</f>
        <v>A</v>
      </c>
      <c r="R1889" s="3" t="str">
        <f>IFERROR(__xludf.DUMMYFUNCTION("""COMPUTED_VALUE"""),"Small Format")</f>
        <v>Small Format</v>
      </c>
      <c r="S1889" s="3" t="str">
        <f>IFERROR(__xludf.DUMMYFUNCTION("""COMPUTED_VALUE"""),"BCM")</f>
        <v>BCM</v>
      </c>
      <c r="T1889" s="3" t="str">
        <f>IFERROR(__xludf.DUMMYFUNCTION("""COMPUTED_VALUE"""),"#N/A")</f>
        <v>#N/A</v>
      </c>
      <c r="U1889" s="3" t="str">
        <f>IFERROR(__xludf.DUMMYFUNCTION("""COMPUTED_VALUE"""),"#N/A")</f>
        <v>#N/A</v>
      </c>
      <c r="V1889" s="3" t="str">
        <f>IFERROR(__xludf.DUMMYFUNCTION("""COMPUTED_VALUE"""),"N")</f>
        <v>N</v>
      </c>
      <c r="W1889" s="3">
        <f>IFERROR(__xludf.DUMMYFUNCTION("""COMPUTED_VALUE"""),210659.0)</f>
        <v>210659</v>
      </c>
      <c r="X1889" s="3" t="str">
        <f>IFERROR(__xludf.DUMMYFUNCTION("""COMPUTED_VALUE"""),"66/24 หมู่5 ตำบลเสาธงหิน อำเภอบางใหญ่ จังหวัดนนทบุรี 11140")</f>
        <v>66/24 หมู่5 ตำบลเสาธงหิน อำเภอบางใหญ่ จังหวัดนนทบุรี 11140</v>
      </c>
      <c r="Y1889" s="3"/>
      <c r="Z1889" s="3" t="str">
        <f>IFERROR(__xludf.DUMMYFUNCTION("""COMPUTED_VALUE"""),"เสาธงหิน")</f>
        <v>เสาธงหิน</v>
      </c>
      <c r="AA1889" s="3" t="str">
        <f>IFERROR(__xludf.DUMMYFUNCTION("""COMPUTED_VALUE"""),"บางใหญ่")</f>
        <v>บางใหญ่</v>
      </c>
      <c r="AB1889" s="3" t="str">
        <f>IFERROR(__xludf.DUMMYFUNCTION("""COMPUTED_VALUE"""),"นนทบุรี")</f>
        <v>นนทบุรี</v>
      </c>
      <c r="AC1889" s="3">
        <f>IFERROR(__xludf.DUMMYFUNCTION("""COMPUTED_VALUE"""),11140.0)</f>
        <v>11140</v>
      </c>
      <c r="AD1889" s="3">
        <f>IFERROR(__xludf.DUMMYFUNCTION("""COMPUTED_VALUE"""),13.871216)</f>
        <v>13.871216</v>
      </c>
      <c r="AE1889" s="3">
        <f>IFERROR(__xludf.DUMMYFUNCTION("""COMPUTED_VALUE"""),100.391395)</f>
        <v>100.391395</v>
      </c>
      <c r="AF1889" s="3" t="str">
        <f>IFERROR(__xludf.DUMMYFUNCTION("""COMPUTED_VALUE"""),"BCM แก้วอินทร์มาร์เก็ต นนทบุรี-22575")</f>
        <v>BCM แก้วอินทร์มาร์เก็ต นนทบุรี-22575</v>
      </c>
      <c r="AG1889" s="3" t="str">
        <f>IFERROR(__xludf.DUMMYFUNCTION("""COMPUTED_VALUE"""),"กลาง")</f>
        <v>กลาง</v>
      </c>
      <c r="AH1889" s="3" t="str">
        <f>IFERROR(__xludf.DUMMYFUNCTION("""COMPUTED_VALUE"""),"#N/A")</f>
        <v>#N/A</v>
      </c>
      <c r="AI1889" s="3" t="str">
        <f>IFERROR(__xludf.DUMMYFUNCTION("""COMPUTED_VALUE"""),"Out of warranty")</f>
        <v>Out of warranty</v>
      </c>
      <c r="AJ1889" s="3">
        <f>IFERROR(__xludf.DUMMYFUNCTION("""COMPUTED_VALUE"""),29.0)</f>
        <v>29</v>
      </c>
      <c r="AK1889" s="3" t="str">
        <f>IFERROR(__xludf.DUMMYFUNCTION("""COMPUTED_VALUE"""),"MMS04")</f>
        <v>MMS04</v>
      </c>
      <c r="AL1889" s="3"/>
    </row>
    <row r="1890" ht="15.75" customHeight="1">
      <c r="A1890" s="1" t="str">
        <f>IFERROR(__xludf.DUMMYFUNCTION("""COMPUTED_VALUE"""),"22576")</f>
        <v>22576</v>
      </c>
      <c r="B1890" s="2">
        <f>IFERROR(__xludf.DUMMYFUNCTION("""COMPUTED_VALUE"""),22576.0)</f>
        <v>22576</v>
      </c>
      <c r="C1890" s="3" t="str">
        <f>IFERROR(__xludf.DUMMYFUNCTION("""COMPUTED_VALUE"""),"BCM รามคำแหง 60 กรุงเทพมหานคร")</f>
        <v>BCM รามคำแหง 60 กรุงเทพมหานคร</v>
      </c>
      <c r="D1890" s="3" t="str">
        <f>IFERROR(__xludf.DUMMYFUNCTION("""COMPUTED_VALUE"""),"BCM RAMKHAMHAENG 60 BANGKOK")</f>
        <v>BCM RAMKHAMHAENG 60 BANGKOK</v>
      </c>
      <c r="E1890" s="1" t="str">
        <f>IFERROR(__xludf.DUMMYFUNCTION("""COMPUTED_VALUE"""),"บิ๊กซี MINI")</f>
        <v>บิ๊กซี MINI</v>
      </c>
      <c r="F1890" s="1" t="str">
        <f>IFERROR(__xludf.DUMMYFUNCTION("""COMPUTED_VALUE"""),"291008")</f>
        <v>291008</v>
      </c>
      <c r="G1890" s="1" t="str">
        <f>IFERROR(__xludf.DUMMYFUNCTION("""COMPUTED_VALUE"""),"น.ส.รัชดาพร อีศรัตน์")</f>
        <v>น.ส.รัชดาพร อีศรัตน์</v>
      </c>
      <c r="H1890" s="1" t="str">
        <f>IFERROR(__xludf.DUMMYFUNCTION("""COMPUTED_VALUE"""),"228242")</f>
        <v>228242</v>
      </c>
      <c r="I1890" s="1" t="str">
        <f>IFERROR(__xludf.DUMMYFUNCTION("""COMPUTED_VALUE"""),"นายสมชาย เยมรัมย์")</f>
        <v>นายสมชาย เยมรัมย์</v>
      </c>
      <c r="J1890" s="3">
        <f>IFERROR(__xludf.DUMMYFUNCTION("""COMPUTED_VALUE"""),3510104.0)</f>
        <v>3510104</v>
      </c>
      <c r="K1890" s="3" t="str">
        <f>IFERROR(__xludf.DUMMYFUNCTION("""COMPUTED_VALUE"""),"นายวิโรจน์ อับดุลสมัด")</f>
        <v>นายวิโรจน์ อับดุลสมัด</v>
      </c>
      <c r="L1890" s="1" t="str">
        <f>IFERROR(__xludf.DUMMYFUNCTION("""COMPUTED_VALUE"""),"09 K.Wirode A")</f>
        <v>09 K.Wirode A</v>
      </c>
      <c r="M1890" s="1" t="str">
        <f>IFERROR(__xludf.DUMMYFUNCTION("""COMPUTED_VALUE"""),"080-235-4465")</f>
        <v>080-235-4465</v>
      </c>
      <c r="N1890" s="3">
        <f>IFERROR(__xludf.DUMMYFUNCTION("""COMPUTED_VALUE"""),21324.0)</f>
        <v>21324</v>
      </c>
      <c r="O1890" s="3" t="str">
        <f>IFERROR(__xludf.DUMMYFUNCTION("""COMPUTED_VALUE"""),"MBC BCP สุวินทวงศ์")</f>
        <v>MBC BCP สุวินทวงศ์</v>
      </c>
      <c r="P1890" s="4">
        <f>IFERROR(__xludf.DUMMYFUNCTION("""COMPUTED_VALUE"""),45185.0)</f>
        <v>45185</v>
      </c>
      <c r="Q1890" s="3" t="str">
        <f>IFERROR(__xludf.DUMMYFUNCTION("""COMPUTED_VALUE"""),"A")</f>
        <v>A</v>
      </c>
      <c r="R1890" s="3" t="str">
        <f>IFERROR(__xludf.DUMMYFUNCTION("""COMPUTED_VALUE"""),"Small Format")</f>
        <v>Small Format</v>
      </c>
      <c r="S1890" s="3" t="str">
        <f>IFERROR(__xludf.DUMMYFUNCTION("""COMPUTED_VALUE"""),"BCM")</f>
        <v>BCM</v>
      </c>
      <c r="T1890" s="3" t="str">
        <f>IFERROR(__xludf.DUMMYFUNCTION("""COMPUTED_VALUE"""),"#N/A")</f>
        <v>#N/A</v>
      </c>
      <c r="U1890" s="3" t="str">
        <f>IFERROR(__xludf.DUMMYFUNCTION("""COMPUTED_VALUE"""),"#N/A")</f>
        <v>#N/A</v>
      </c>
      <c r="V1890" s="3" t="str">
        <f>IFERROR(__xludf.DUMMYFUNCTION("""COMPUTED_VALUE"""),"N")</f>
        <v>N</v>
      </c>
      <c r="W1890" s="3">
        <f>IFERROR(__xludf.DUMMYFUNCTION("""COMPUTED_VALUE"""),210653.0)</f>
        <v>210653</v>
      </c>
      <c r="X1890" s="3" t="str">
        <f>IFERROR(__xludf.DUMMYFUNCTION("""COMPUTED_VALUE"""),"14/1 ซอยรามคำแหง 60 (สวนสน) แขวงหัวหมาก เขตบางกะปิ กรุงเทพมหานคร 10240")</f>
        <v>14/1 ซอยรามคำแหง 60 (สวนสน) แขวงหัวหมาก เขตบางกะปิ กรุงเทพมหานคร 10240</v>
      </c>
      <c r="Y1890" s="3" t="str">
        <f>IFERROR(__xludf.DUMMYFUNCTION("""COMPUTED_VALUE"""),"ซอยรามคำแหง 60 (สวนสน)")</f>
        <v>ซอยรามคำแหง 60 (สวนสน)</v>
      </c>
      <c r="Z1890" s="3" t="str">
        <f>IFERROR(__xludf.DUMMYFUNCTION("""COMPUTED_VALUE"""),"หัวหมาก")</f>
        <v>หัวหมาก</v>
      </c>
      <c r="AA1890" s="3" t="str">
        <f>IFERROR(__xludf.DUMMYFUNCTION("""COMPUTED_VALUE"""),"บางกะปิ")</f>
        <v>บางกะปิ</v>
      </c>
      <c r="AB1890" s="3" t="str">
        <f>IFERROR(__xludf.DUMMYFUNCTION("""COMPUTED_VALUE"""),"กรุงเทพมหานคร")</f>
        <v>กรุงเทพมหานคร</v>
      </c>
      <c r="AC1890" s="3">
        <f>IFERROR(__xludf.DUMMYFUNCTION("""COMPUTED_VALUE"""),10240.0)</f>
        <v>10240</v>
      </c>
      <c r="AD1890" s="3">
        <f>IFERROR(__xludf.DUMMYFUNCTION("""COMPUTED_VALUE"""),13.759651)</f>
        <v>13.759651</v>
      </c>
      <c r="AE1890" s="3">
        <f>IFERROR(__xludf.DUMMYFUNCTION("""COMPUTED_VALUE"""),100.649578)</f>
        <v>100.649578</v>
      </c>
      <c r="AF1890" s="3" t="str">
        <f>IFERROR(__xludf.DUMMYFUNCTION("""COMPUTED_VALUE"""),"BCM รามคำแหง 60 กรุงเทพมหานคร-22576")</f>
        <v>BCM รามคำแหง 60 กรุงเทพมหานคร-22576</v>
      </c>
      <c r="AG1890" s="3" t="str">
        <f>IFERROR(__xludf.DUMMYFUNCTION("""COMPUTED_VALUE"""),"กลาง")</f>
        <v>กลาง</v>
      </c>
      <c r="AH1890" s="3" t="str">
        <f>IFERROR(__xludf.DUMMYFUNCTION("""COMPUTED_VALUE"""),"#N/A")</f>
        <v>#N/A</v>
      </c>
      <c r="AI1890" s="3" t="str">
        <f>IFERROR(__xludf.DUMMYFUNCTION("""COMPUTED_VALUE"""),"Out of warranty")</f>
        <v>Out of warranty</v>
      </c>
      <c r="AJ1890" s="3">
        <f>IFERROR(__xludf.DUMMYFUNCTION("""COMPUTED_VALUE"""),29.0)</f>
        <v>29</v>
      </c>
      <c r="AK1890" s="3" t="str">
        <f>IFERROR(__xludf.DUMMYFUNCTION("""COMPUTED_VALUE"""),"MMS03")</f>
        <v>MMS03</v>
      </c>
      <c r="AL1890" s="3"/>
    </row>
    <row r="1891" ht="15.75" customHeight="1">
      <c r="A1891" s="1" t="str">
        <f>IFERROR(__xludf.DUMMYFUNCTION("""COMPUTED_VALUE"""),"22577")</f>
        <v>22577</v>
      </c>
      <c r="B1891" s="2">
        <f>IFERROR(__xludf.DUMMYFUNCTION("""COMPUTED_VALUE"""),22577.0)</f>
        <v>22577</v>
      </c>
      <c r="C1891" s="3" t="str">
        <f>IFERROR(__xludf.DUMMYFUNCTION("""COMPUTED_VALUE"""),"BCM กาญจนาภิเษก ซ.4 กรุงเทพมหานคร")</f>
        <v>BCM กาญจนาภิเษก ซ.4 กรุงเทพมหานคร</v>
      </c>
      <c r="D1891" s="3" t="str">
        <f>IFERROR(__xludf.DUMMYFUNCTION("""COMPUTED_VALUE"""),"BCM KANCHANA PHI SEK SOI 4")</f>
        <v>BCM KANCHANA PHI SEK SOI 4</v>
      </c>
      <c r="E1891" s="1" t="str">
        <f>IFERROR(__xludf.DUMMYFUNCTION("""COMPUTED_VALUE"""),"บิ๊กซี MINI")</f>
        <v>บิ๊กซี MINI</v>
      </c>
      <c r="F1891" s="1" t="str">
        <f>IFERROR(__xludf.DUMMYFUNCTION("""COMPUTED_VALUE"""),"291008")</f>
        <v>291008</v>
      </c>
      <c r="G1891" s="1" t="str">
        <f>IFERROR(__xludf.DUMMYFUNCTION("""COMPUTED_VALUE"""),"น.ส.รัชดาพร อีศรัตน์")</f>
        <v>น.ส.รัชดาพร อีศรัตน์</v>
      </c>
      <c r="H1891" s="1" t="str">
        <f>IFERROR(__xludf.DUMMYFUNCTION("""COMPUTED_VALUE"""),"288639")</f>
        <v>288639</v>
      </c>
      <c r="I1891" s="1" t="str">
        <f>IFERROR(__xludf.DUMMYFUNCTION("""COMPUTED_VALUE"""),"น.ส.สมหญิง สีชมภู")</f>
        <v>น.ส.สมหญิง สีชมภู</v>
      </c>
      <c r="J1891" s="3">
        <f>IFERROR(__xludf.DUMMYFUNCTION("""COMPUTED_VALUE"""),3510104.0)</f>
        <v>3510104</v>
      </c>
      <c r="K1891" s="3" t="str">
        <f>IFERROR(__xludf.DUMMYFUNCTION("""COMPUTED_VALUE"""),"นายวิโรจน์ อับดุลสมัด")</f>
        <v>นายวิโรจน์ อับดุลสมัด</v>
      </c>
      <c r="L1891" s="1" t="str">
        <f>IFERROR(__xludf.DUMMYFUNCTION("""COMPUTED_VALUE"""),"09 K.Wirode A")</f>
        <v>09 K.Wirode A</v>
      </c>
      <c r="M1891" s="1" t="str">
        <f>IFERROR(__xludf.DUMMYFUNCTION("""COMPUTED_VALUE"""),"080-235-4465")</f>
        <v>080-235-4465</v>
      </c>
      <c r="N1891" s="3">
        <f>IFERROR(__xludf.DUMMYFUNCTION("""COMPUTED_VALUE"""),21324.0)</f>
        <v>21324</v>
      </c>
      <c r="O1891" s="3" t="str">
        <f>IFERROR(__xludf.DUMMYFUNCTION("""COMPUTED_VALUE"""),"MBC BCP สุวินทวงศ์")</f>
        <v>MBC BCP สุวินทวงศ์</v>
      </c>
      <c r="P1891" s="4">
        <f>IFERROR(__xludf.DUMMYFUNCTION("""COMPUTED_VALUE"""),45193.0)</f>
        <v>45193</v>
      </c>
      <c r="Q1891" s="3" t="str">
        <f>IFERROR(__xludf.DUMMYFUNCTION("""COMPUTED_VALUE"""),"A")</f>
        <v>A</v>
      </c>
      <c r="R1891" s="3" t="str">
        <f>IFERROR(__xludf.DUMMYFUNCTION("""COMPUTED_VALUE"""),"Small Format")</f>
        <v>Small Format</v>
      </c>
      <c r="S1891" s="3" t="str">
        <f>IFERROR(__xludf.DUMMYFUNCTION("""COMPUTED_VALUE"""),"BCM")</f>
        <v>BCM</v>
      </c>
      <c r="T1891" s="3" t="str">
        <f>IFERROR(__xludf.DUMMYFUNCTION("""COMPUTED_VALUE"""),"#N/A")</f>
        <v>#N/A</v>
      </c>
      <c r="U1891" s="3" t="str">
        <f>IFERROR(__xludf.DUMMYFUNCTION("""COMPUTED_VALUE"""),"#N/A")</f>
        <v>#N/A</v>
      </c>
      <c r="V1891" s="3" t="str">
        <f>IFERROR(__xludf.DUMMYFUNCTION("""COMPUTED_VALUE"""),"N")</f>
        <v>N</v>
      </c>
      <c r="W1891" s="3">
        <f>IFERROR(__xludf.DUMMYFUNCTION("""COMPUTED_VALUE"""),210617.0)</f>
        <v>210617</v>
      </c>
      <c r="X1891" s="3" t="str">
        <f>IFERROR(__xludf.DUMMYFUNCTION("""COMPUTED_VALUE"""),"2/4 ซอย01 กาญจนาภิเษก 4 แขวงออเงิน เขตสายไหม กรุงเทพมหานคร 10220")</f>
        <v>2/4 ซอย01 กาญจนาภิเษก 4 แขวงออเงิน เขตสายไหม กรุงเทพมหานคร 10220</v>
      </c>
      <c r="Y1891" s="3"/>
      <c r="Z1891" s="3" t="str">
        <f>IFERROR(__xludf.DUMMYFUNCTION("""COMPUTED_VALUE"""),"ออเงิน")</f>
        <v>ออเงิน</v>
      </c>
      <c r="AA1891" s="3" t="str">
        <f>IFERROR(__xludf.DUMMYFUNCTION("""COMPUTED_VALUE"""),"สายไหม")</f>
        <v>สายไหม</v>
      </c>
      <c r="AB1891" s="3" t="str">
        <f>IFERROR(__xludf.DUMMYFUNCTION("""COMPUTED_VALUE"""),"กรุงเทพมหานคร")</f>
        <v>กรุงเทพมหานคร</v>
      </c>
      <c r="AC1891" s="3">
        <f>IFERROR(__xludf.DUMMYFUNCTION("""COMPUTED_VALUE"""),10220.0)</f>
        <v>10220</v>
      </c>
      <c r="AD1891" s="3">
        <f>IFERROR(__xludf.DUMMYFUNCTION("""COMPUTED_VALUE"""),13.882686)</f>
        <v>13.882686</v>
      </c>
      <c r="AE1891" s="3">
        <f>IFERROR(__xludf.DUMMYFUNCTION("""COMPUTED_VALUE"""),100.685044)</f>
        <v>100.685044</v>
      </c>
      <c r="AF1891" s="3" t="str">
        <f>IFERROR(__xludf.DUMMYFUNCTION("""COMPUTED_VALUE"""),"BCM กาญจนาภิเษก ซ.4 กรุงเทพมหานคร-22577")</f>
        <v>BCM กาญจนาภิเษก ซ.4 กรุงเทพมหานคร-22577</v>
      </c>
      <c r="AG1891" s="3" t="str">
        <f>IFERROR(__xludf.DUMMYFUNCTION("""COMPUTED_VALUE"""),"กลาง")</f>
        <v>กลาง</v>
      </c>
      <c r="AH1891" s="3" t="str">
        <f>IFERROR(__xludf.DUMMYFUNCTION("""COMPUTED_VALUE"""),"#N/A")</f>
        <v>#N/A</v>
      </c>
      <c r="AI1891" s="3" t="str">
        <f>IFERROR(__xludf.DUMMYFUNCTION("""COMPUTED_VALUE"""),"Out of warranty")</f>
        <v>Out of warranty</v>
      </c>
      <c r="AJ1891" s="3">
        <f>IFERROR(__xludf.DUMMYFUNCTION("""COMPUTED_VALUE"""),28.0)</f>
        <v>28</v>
      </c>
      <c r="AK1891" s="3" t="str">
        <f>IFERROR(__xludf.DUMMYFUNCTION("""COMPUTED_VALUE"""),"MMS01")</f>
        <v>MMS01</v>
      </c>
      <c r="AL1891" s="3"/>
    </row>
    <row r="1892" ht="15.75" customHeight="1">
      <c r="A1892" s="1" t="str">
        <f>IFERROR(__xludf.DUMMYFUNCTION("""COMPUTED_VALUE"""),"22578")</f>
        <v>22578</v>
      </c>
      <c r="B1892" s="2">
        <f>IFERROR(__xludf.DUMMYFUNCTION("""COMPUTED_VALUE"""),22578.0)</f>
        <v>22578</v>
      </c>
      <c r="C1892" s="3" t="str">
        <f>IFERROR(__xludf.DUMMYFUNCTION("""COMPUTED_VALUE"""),"BCM งามวงศ์วาน 25 นนทบุรี")</f>
        <v>BCM งามวงศ์วาน 25 นนทบุรี</v>
      </c>
      <c r="D1892" s="3" t="str">
        <f>IFERROR(__xludf.DUMMYFUNCTION("""COMPUTED_VALUE"""),"BCM NGAMWONGWAN 25 NONTHABURI")</f>
        <v>BCM NGAMWONGWAN 25 NONTHABURI</v>
      </c>
      <c r="E1892" s="1" t="str">
        <f>IFERROR(__xludf.DUMMYFUNCTION("""COMPUTED_VALUE"""),"บิ๊กซี MINI")</f>
        <v>บิ๊กซี MINI</v>
      </c>
      <c r="F1892" s="1" t="str">
        <f>IFERROR(__xludf.DUMMYFUNCTION("""COMPUTED_VALUE"""),"291008")</f>
        <v>291008</v>
      </c>
      <c r="G1892" s="1" t="str">
        <f>IFERROR(__xludf.DUMMYFUNCTION("""COMPUTED_VALUE"""),"น.ส.รัชดาพร อีศรัตน์")</f>
        <v>น.ส.รัชดาพร อีศรัตน์</v>
      </c>
      <c r="H1892" s="1" t="str">
        <f>IFERROR(__xludf.DUMMYFUNCTION("""COMPUTED_VALUE"""),"034068")</f>
        <v>034068</v>
      </c>
      <c r="I1892" s="1" t="str">
        <f>IFERROR(__xludf.DUMMYFUNCTION("""COMPUTED_VALUE"""),"นายสมศักดิ์ ฐานทองดี")</f>
        <v>นายสมศักดิ์ ฐานทองดี</v>
      </c>
      <c r="J1892" s="3">
        <f>IFERROR(__xludf.DUMMYFUNCTION("""COMPUTED_VALUE"""),296608.0)</f>
        <v>296608</v>
      </c>
      <c r="K1892" s="3" t="str">
        <f>IFERROR(__xludf.DUMMYFUNCTION("""COMPUTED_VALUE"""),"นายภาคภูมิ เพ็ชรนิล")</f>
        <v>นายภาคภูมิ เพ็ชรนิล</v>
      </c>
      <c r="L1892" s="1" t="str">
        <f>IFERROR(__xludf.DUMMYFUNCTION("""COMPUTED_VALUE"""),"10 K.Phakphoom P.")</f>
        <v>10 K.Phakphoom P.</v>
      </c>
      <c r="M1892" s="1" t="str">
        <f>IFERROR(__xludf.DUMMYFUNCTION("""COMPUTED_VALUE"""),"063-8955329")</f>
        <v>063-8955329</v>
      </c>
      <c r="N1892" s="3">
        <f>IFERROR(__xludf.DUMMYFUNCTION("""COMPUTED_VALUE"""),22584.0)</f>
        <v>22584</v>
      </c>
      <c r="O1892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892" s="4">
        <f>IFERROR(__xludf.DUMMYFUNCTION("""COMPUTED_VALUE"""),45194.0)</f>
        <v>45194</v>
      </c>
      <c r="Q1892" s="3" t="str">
        <f>IFERROR(__xludf.DUMMYFUNCTION("""COMPUTED_VALUE"""),"A")</f>
        <v>A</v>
      </c>
      <c r="R1892" s="3" t="str">
        <f>IFERROR(__xludf.DUMMYFUNCTION("""COMPUTED_VALUE"""),"Small Format")</f>
        <v>Small Format</v>
      </c>
      <c r="S1892" s="3" t="str">
        <f>IFERROR(__xludf.DUMMYFUNCTION("""COMPUTED_VALUE"""),"BCM")</f>
        <v>BCM</v>
      </c>
      <c r="T1892" s="3" t="str">
        <f>IFERROR(__xludf.DUMMYFUNCTION("""COMPUTED_VALUE"""),"#N/A")</f>
        <v>#N/A</v>
      </c>
      <c r="U1892" s="3" t="str">
        <f>IFERROR(__xludf.DUMMYFUNCTION("""COMPUTED_VALUE"""),"#N/A")</f>
        <v>#N/A</v>
      </c>
      <c r="V1892" s="3" t="str">
        <f>IFERROR(__xludf.DUMMYFUNCTION("""COMPUTED_VALUE"""),"N")</f>
        <v>N</v>
      </c>
      <c r="W1892" s="3">
        <f>IFERROR(__xludf.DUMMYFUNCTION("""COMPUTED_VALUE"""),210683.0)</f>
        <v>210683</v>
      </c>
      <c r="X1892" s="3" t="str">
        <f>IFERROR(__xludf.DUMMYFUNCTION("""COMPUTED_VALUE"""),"44 ซอยงามวงศ์วาน 25 ตำบลบางเขน อำเภอเมืองนนทบุรี จังหวัดนนทบุรี 11000")</f>
        <v>44 ซอยงามวงศ์วาน 25 ตำบลบางเขน อำเภอเมืองนนทบุรี จังหวัดนนทบุรี 11000</v>
      </c>
      <c r="Y1892" s="3"/>
      <c r="Z1892" s="3" t="str">
        <f>IFERROR(__xludf.DUMMYFUNCTION("""COMPUTED_VALUE"""),"บางเขน")</f>
        <v>บางเขน</v>
      </c>
      <c r="AA1892" s="3" t="str">
        <f>IFERROR(__xludf.DUMMYFUNCTION("""COMPUTED_VALUE"""),"เมืองนนทบุรี")</f>
        <v>เมืองนนทบุรี</v>
      </c>
      <c r="AB1892" s="3" t="str">
        <f>IFERROR(__xludf.DUMMYFUNCTION("""COMPUTED_VALUE"""),"นนทบุรี")</f>
        <v>นนทบุรี</v>
      </c>
      <c r="AC1892" s="3">
        <f>IFERROR(__xludf.DUMMYFUNCTION("""COMPUTED_VALUE"""),11000.0)</f>
        <v>11000</v>
      </c>
      <c r="AD1892" s="3">
        <f>IFERROR(__xludf.DUMMYFUNCTION("""COMPUTED_VALUE"""),13.859844)</f>
        <v>13.859844</v>
      </c>
      <c r="AE1892" s="3">
        <f>IFERROR(__xludf.DUMMYFUNCTION("""COMPUTED_VALUE"""),100.538403)</f>
        <v>100.538403</v>
      </c>
      <c r="AF1892" s="3" t="str">
        <f>IFERROR(__xludf.DUMMYFUNCTION("""COMPUTED_VALUE"""),"BCM งามวงศ์วาน 25 นนทบุรี-22578")</f>
        <v>BCM งามวงศ์วาน 25 นนทบุรี-22578</v>
      </c>
      <c r="AG1892" s="3" t="str">
        <f>IFERROR(__xludf.DUMMYFUNCTION("""COMPUTED_VALUE"""),"กลาง")</f>
        <v>กลาง</v>
      </c>
      <c r="AH1892" s="3" t="str">
        <f>IFERROR(__xludf.DUMMYFUNCTION("""COMPUTED_VALUE"""),"#N/A")</f>
        <v>#N/A</v>
      </c>
      <c r="AI1892" s="3" t="str">
        <f>IFERROR(__xludf.DUMMYFUNCTION("""COMPUTED_VALUE"""),"Out of warranty")</f>
        <v>Out of warranty</v>
      </c>
      <c r="AJ1892" s="3">
        <f>IFERROR(__xludf.DUMMYFUNCTION("""COMPUTED_VALUE"""),28.0)</f>
        <v>28</v>
      </c>
      <c r="AK1892" s="3" t="str">
        <f>IFERROR(__xludf.DUMMYFUNCTION("""COMPUTED_VALUE"""),"MMS01")</f>
        <v>MMS01</v>
      </c>
      <c r="AL1892" s="3"/>
    </row>
    <row r="1893" ht="15.75" customHeight="1">
      <c r="A1893" s="1" t="str">
        <f>IFERROR(__xludf.DUMMYFUNCTION("""COMPUTED_VALUE"""),"22579")</f>
        <v>22579</v>
      </c>
      <c r="B1893" s="2">
        <f>IFERROR(__xludf.DUMMYFUNCTION("""COMPUTED_VALUE"""),22579.0)</f>
        <v>22579</v>
      </c>
      <c r="C1893" s="3" t="str">
        <f>IFERROR(__xludf.DUMMYFUNCTION("""COMPUTED_VALUE"""),"BCM โรงพยาบาลน่าน น่าน")</f>
        <v>BCM โรงพยาบาลน่าน น่าน</v>
      </c>
      <c r="D1893" s="3" t="str">
        <f>IFERROR(__xludf.DUMMYFUNCTION("""COMPUTED_VALUE"""),"BCM NAN HOSPITAL NAN")</f>
        <v>BCM NAN HOSPITAL NAN</v>
      </c>
      <c r="E1893" s="1" t="str">
        <f>IFERROR(__xludf.DUMMYFUNCTION("""COMPUTED_VALUE"""),"บิ๊กซี MINI")</f>
        <v>บิ๊กซี MINI</v>
      </c>
      <c r="F1893" s="1" t="str">
        <f>IFERROR(__xludf.DUMMYFUNCTION("""COMPUTED_VALUE"""),"296229")</f>
        <v>296229</v>
      </c>
      <c r="G1893" s="1" t="str">
        <f>IFERROR(__xludf.DUMMYFUNCTION("""COMPUTED_VALUE"""),"นายทนงศักดิ์ บุญมา")</f>
        <v>นายทนงศักดิ์ บุญมา</v>
      </c>
      <c r="H1893" s="1" t="str">
        <f>IFERROR(__xludf.DUMMYFUNCTION("""COMPUTED_VALUE"""),"372826")</f>
        <v>372826</v>
      </c>
      <c r="I1893" s="1" t="str">
        <f>IFERROR(__xludf.DUMMYFUNCTION("""COMPUTED_VALUE"""),"นายพงศกร สุขแก้ว")</f>
        <v>นายพงศกร สุขแก้ว</v>
      </c>
      <c r="J1893" s="3">
        <f>IFERROR(__xludf.DUMMYFUNCTION("""COMPUTED_VALUE"""),2010016.0)</f>
        <v>2010016</v>
      </c>
      <c r="K1893" s="3" t="str">
        <f>IFERROR(__xludf.DUMMYFUNCTION("""COMPUTED_VALUE"""),"นายตวงธรรม ใหม่ยศ")</f>
        <v>นายตวงธรรม ใหม่ยศ</v>
      </c>
      <c r="L1893" s="1" t="str">
        <f>IFERROR(__xludf.DUMMYFUNCTION("""COMPUTED_VALUE"""),"01 K.Tuangtham M.")</f>
        <v>01 K.Tuangtham M.</v>
      </c>
      <c r="M1893" s="1" t="str">
        <f>IFERROR(__xludf.DUMMYFUNCTION("""COMPUTED_VALUE"""),"063-976-595")</f>
        <v>063-976-595</v>
      </c>
      <c r="N1893" s="3">
        <f>IFERROR(__xludf.DUMMYFUNCTION("""COMPUTED_VALUE"""),22574.0)</f>
        <v>22574</v>
      </c>
      <c r="O1893" s="3" t="str">
        <f>IFERROR(__xludf.DUMMYFUNCTION("""COMPUTED_VALUE"""),"BCM ชุมชนศรีชุม ลำปาง")</f>
        <v>BCM ชุมชนศรีชุม ลำปาง</v>
      </c>
      <c r="P1893" s="4">
        <f>IFERROR(__xludf.DUMMYFUNCTION("""COMPUTED_VALUE"""),45194.0)</f>
        <v>45194</v>
      </c>
      <c r="Q1893" s="3" t="str">
        <f>IFERROR(__xludf.DUMMYFUNCTION("""COMPUTED_VALUE"""),"A")</f>
        <v>A</v>
      </c>
      <c r="R1893" s="3" t="str">
        <f>IFERROR(__xludf.DUMMYFUNCTION("""COMPUTED_VALUE"""),"Small Format")</f>
        <v>Small Format</v>
      </c>
      <c r="S1893" s="3" t="str">
        <f>IFERROR(__xludf.DUMMYFUNCTION("""COMPUTED_VALUE"""),"BCM")</f>
        <v>BCM</v>
      </c>
      <c r="T1893" s="3" t="str">
        <f>IFERROR(__xludf.DUMMYFUNCTION("""COMPUTED_VALUE"""),"#N/A")</f>
        <v>#N/A</v>
      </c>
      <c r="U1893" s="3" t="str">
        <f>IFERROR(__xludf.DUMMYFUNCTION("""COMPUTED_VALUE"""),"#N/A")</f>
        <v>#N/A</v>
      </c>
      <c r="V1893" s="3" t="str">
        <f>IFERROR(__xludf.DUMMYFUNCTION("""COMPUTED_VALUE"""),"N")</f>
        <v>N</v>
      </c>
      <c r="W1893" s="3">
        <f>IFERROR(__xludf.DUMMYFUNCTION("""COMPUTED_VALUE"""),210676.0)</f>
        <v>210676</v>
      </c>
      <c r="X1893" s="3" t="str">
        <f>IFERROR(__xludf.DUMMYFUNCTION("""COMPUTED_VALUE"""),"58 ถนนวรวิชัย ตำบลในเวียง อำเภอเมืองน่าน จังหวัดน่าน 55000")</f>
        <v>58 ถนนวรวิชัย ตำบลในเวียง อำเภอเมืองน่าน จังหวัดน่าน 55000</v>
      </c>
      <c r="Y1893" s="3" t="str">
        <f>IFERROR(__xludf.DUMMYFUNCTION("""COMPUTED_VALUE"""),"วรวิชัย")</f>
        <v>วรวิชัย</v>
      </c>
      <c r="Z1893" s="3" t="str">
        <f>IFERROR(__xludf.DUMMYFUNCTION("""COMPUTED_VALUE"""),"ในเวียง")</f>
        <v>ในเวียง</v>
      </c>
      <c r="AA1893" s="3" t="str">
        <f>IFERROR(__xludf.DUMMYFUNCTION("""COMPUTED_VALUE"""),"เมืองน่าน")</f>
        <v>เมืองน่าน</v>
      </c>
      <c r="AB1893" s="3" t="str">
        <f>IFERROR(__xludf.DUMMYFUNCTION("""COMPUTED_VALUE"""),"น่าน")</f>
        <v>น่าน</v>
      </c>
      <c r="AC1893" s="3">
        <f>IFERROR(__xludf.DUMMYFUNCTION("""COMPUTED_VALUE"""),55000.0)</f>
        <v>55000</v>
      </c>
      <c r="AD1893" s="3">
        <f>IFERROR(__xludf.DUMMYFUNCTION("""COMPUTED_VALUE"""),18.794211)</f>
        <v>18.794211</v>
      </c>
      <c r="AE1893" s="3">
        <f>IFERROR(__xludf.DUMMYFUNCTION("""COMPUTED_VALUE"""),100.78833)</f>
        <v>100.78833</v>
      </c>
      <c r="AF1893" s="3" t="str">
        <f>IFERROR(__xludf.DUMMYFUNCTION("""COMPUTED_VALUE"""),"BCM โรงพยาบาลน่าน น่าน-22579")</f>
        <v>BCM โรงพยาบาลน่าน น่าน-22579</v>
      </c>
      <c r="AG1893" s="3" t="str">
        <f>IFERROR(__xludf.DUMMYFUNCTION("""COMPUTED_VALUE"""),"เหนือ")</f>
        <v>เหนือ</v>
      </c>
      <c r="AH1893" s="3" t="str">
        <f>IFERROR(__xludf.DUMMYFUNCTION("""COMPUTED_VALUE"""),"#N/A")</f>
        <v>#N/A</v>
      </c>
      <c r="AI1893" s="3" t="str">
        <f>IFERROR(__xludf.DUMMYFUNCTION("""COMPUTED_VALUE"""),"Out of warranty")</f>
        <v>Out of warranty</v>
      </c>
      <c r="AJ1893" s="3">
        <f>IFERROR(__xludf.DUMMYFUNCTION("""COMPUTED_VALUE"""),28.0)</f>
        <v>28</v>
      </c>
      <c r="AK1893" s="3" t="str">
        <f>IFERROR(__xludf.DUMMYFUNCTION("""COMPUTED_VALUE"""),"MMS10")</f>
        <v>MMS10</v>
      </c>
      <c r="AL1893" s="3"/>
    </row>
    <row r="1894" ht="15.75" customHeight="1">
      <c r="A1894" s="1" t="str">
        <f>IFERROR(__xludf.DUMMYFUNCTION("""COMPUTED_VALUE"""),"22580")</f>
        <v>22580</v>
      </c>
      <c r="B1894" s="2">
        <f>IFERROR(__xludf.DUMMYFUNCTION("""COMPUTED_VALUE"""),22580.0)</f>
        <v>22580</v>
      </c>
      <c r="C1894" s="3" t="str">
        <f>IFERROR(__xludf.DUMMYFUNCTION("""COMPUTED_VALUE"""),"BCM หลังราชภัฏกำแพงเพชร กำแพงเพชร")</f>
        <v>BCM หลังราชภัฏกำแพงเพชร กำแพงเพชร</v>
      </c>
      <c r="D1894" s="3" t="str">
        <f>IFERROR(__xludf.DUMMYFUNCTION("""COMPUTED_VALUE"""),"BCM LANG RAJABHAT KAMPHAENG PH")</f>
        <v>BCM LANG RAJABHAT KAMPHAENG PH</v>
      </c>
      <c r="E1894" s="1" t="str">
        <f>IFERROR(__xludf.DUMMYFUNCTION("""COMPUTED_VALUE"""),"บิ๊กซี MINI")</f>
        <v>บิ๊กซี MINI</v>
      </c>
      <c r="F1894" s="1" t="str">
        <f>IFERROR(__xludf.DUMMYFUNCTION("""COMPUTED_VALUE"""),"296229")</f>
        <v>296229</v>
      </c>
      <c r="G1894" s="1" t="str">
        <f>IFERROR(__xludf.DUMMYFUNCTION("""COMPUTED_VALUE"""),"นายทนงศักดิ์ บุญมา")</f>
        <v>นายทนงศักดิ์ บุญมา</v>
      </c>
      <c r="H1894" s="1" t="str">
        <f>IFERROR(__xludf.DUMMYFUNCTION("""COMPUTED_VALUE"""),"373680")</f>
        <v>373680</v>
      </c>
      <c r="I1894" s="1" t="str">
        <f>IFERROR(__xludf.DUMMYFUNCTION("""COMPUTED_VALUE"""),"นายวสันต์ พรรณราย")</f>
        <v>นายวสันต์ พรรณราย</v>
      </c>
      <c r="J1894" s="3">
        <f>IFERROR(__xludf.DUMMYFUNCTION("""COMPUTED_VALUE"""),46214.0)</f>
        <v>46214</v>
      </c>
      <c r="K1894" s="3" t="str">
        <f>IFERROR(__xludf.DUMMYFUNCTION("""COMPUTED_VALUE"""),"นายศักดิ์ชัย เด็ดดอกฟ้า")</f>
        <v>นายศักดิ์ชัย เด็ดดอกฟ้า</v>
      </c>
      <c r="L1894" s="1" t="str">
        <f>IFERROR(__xludf.DUMMYFUNCTION("""COMPUTED_VALUE"""),"02 K.Sakchai D")</f>
        <v>02 K.Sakchai D</v>
      </c>
      <c r="M1894" s="1" t="str">
        <f>IFERROR(__xludf.DUMMYFUNCTION("""COMPUTED_VALUE"""),"065-510-7376")</f>
        <v>065-510-7376</v>
      </c>
      <c r="N1894" s="3">
        <f>IFERROR(__xludf.DUMMYFUNCTION("""COMPUTED_VALUE"""),21714.0)</f>
        <v>21714</v>
      </c>
      <c r="O1894" s="3" t="str">
        <f>IFERROR(__xludf.DUMMYFUNCTION("""COMPUTED_VALUE"""),"MBC เอสโซ่ วัดโบสถ์")</f>
        <v>MBC เอสโซ่ วัดโบสถ์</v>
      </c>
      <c r="P1894" s="4">
        <f>IFERROR(__xludf.DUMMYFUNCTION("""COMPUTED_VALUE"""),45185.0)</f>
        <v>45185</v>
      </c>
      <c r="Q1894" s="3" t="str">
        <f>IFERROR(__xludf.DUMMYFUNCTION("""COMPUTED_VALUE"""),"A")</f>
        <v>A</v>
      </c>
      <c r="R1894" s="3" t="str">
        <f>IFERROR(__xludf.DUMMYFUNCTION("""COMPUTED_VALUE"""),"Small Format")</f>
        <v>Small Format</v>
      </c>
      <c r="S1894" s="3" t="str">
        <f>IFERROR(__xludf.DUMMYFUNCTION("""COMPUTED_VALUE"""),"BCM")</f>
        <v>BCM</v>
      </c>
      <c r="T1894" s="3" t="str">
        <f>IFERROR(__xludf.DUMMYFUNCTION("""COMPUTED_VALUE"""),"#N/A")</f>
        <v>#N/A</v>
      </c>
      <c r="U1894" s="3" t="str">
        <f>IFERROR(__xludf.DUMMYFUNCTION("""COMPUTED_VALUE"""),"#N/A")</f>
        <v>#N/A</v>
      </c>
      <c r="V1894" s="3" t="str">
        <f>IFERROR(__xludf.DUMMYFUNCTION("""COMPUTED_VALUE"""),"N")</f>
        <v>N</v>
      </c>
      <c r="W1894" s="3">
        <f>IFERROR(__xludf.DUMMYFUNCTION("""COMPUTED_VALUE"""),210707.0)</f>
        <v>210707</v>
      </c>
      <c r="X1894" s="3" t="str">
        <f>IFERROR(__xludf.DUMMYFUNCTION("""COMPUTED_VALUE"""),"13/24 หมู่2 ตำบลนครชุม อำเภอเมืองกำแพงเพชร จังหวัดกำแพงเพชร 62000")</f>
        <v>13/24 หมู่2 ตำบลนครชุม อำเภอเมืองกำแพงเพชร จังหวัดกำแพงเพชร 62000</v>
      </c>
      <c r="Y1894" s="3"/>
      <c r="Z1894" s="3" t="str">
        <f>IFERROR(__xludf.DUMMYFUNCTION("""COMPUTED_VALUE"""),"นครชุม")</f>
        <v>นครชุม</v>
      </c>
      <c r="AA1894" s="3" t="str">
        <f>IFERROR(__xludf.DUMMYFUNCTION("""COMPUTED_VALUE"""),"เมืองกำแพงเพชร")</f>
        <v>เมืองกำแพงเพชร</v>
      </c>
      <c r="AB1894" s="3" t="str">
        <f>IFERROR(__xludf.DUMMYFUNCTION("""COMPUTED_VALUE"""),"กำแพงเพชร")</f>
        <v>กำแพงเพชร</v>
      </c>
      <c r="AC1894" s="3">
        <f>IFERROR(__xludf.DUMMYFUNCTION("""COMPUTED_VALUE"""),62000.0)</f>
        <v>62000</v>
      </c>
      <c r="AD1894" s="3">
        <f>IFERROR(__xludf.DUMMYFUNCTION("""COMPUTED_VALUE"""),16.463592)</f>
        <v>16.463592</v>
      </c>
      <c r="AE1894" s="3">
        <f>IFERROR(__xludf.DUMMYFUNCTION("""COMPUTED_VALUE"""),99.520394)</f>
        <v>99.520394</v>
      </c>
      <c r="AF1894" s="3" t="str">
        <f>IFERROR(__xludf.DUMMYFUNCTION("""COMPUTED_VALUE"""),"BCM หลังราชภัฏกำแพงเพชร กำแพงเพชร-22580")</f>
        <v>BCM หลังราชภัฏกำแพงเพชร กำแพงเพชร-22580</v>
      </c>
      <c r="AG1894" s="3" t="str">
        <f>IFERROR(__xludf.DUMMYFUNCTION("""COMPUTED_VALUE"""),"กลาง")</f>
        <v>กลาง</v>
      </c>
      <c r="AH1894" s="3" t="str">
        <f>IFERROR(__xludf.DUMMYFUNCTION("""COMPUTED_VALUE"""),"#N/A")</f>
        <v>#N/A</v>
      </c>
      <c r="AI1894" s="3" t="str">
        <f>IFERROR(__xludf.DUMMYFUNCTION("""COMPUTED_VALUE"""),"Out of warranty")</f>
        <v>Out of warranty</v>
      </c>
      <c r="AJ1894" s="3">
        <f>IFERROR(__xludf.DUMMYFUNCTION("""COMPUTED_VALUE"""),29.0)</f>
        <v>29</v>
      </c>
      <c r="AK1894" s="3" t="str">
        <f>IFERROR(__xludf.DUMMYFUNCTION("""COMPUTED_VALUE"""),"MMS09")</f>
        <v>MMS09</v>
      </c>
      <c r="AL1894" s="3"/>
    </row>
    <row r="1895" ht="15.75" customHeight="1">
      <c r="A1895" s="1" t="str">
        <f>IFERROR(__xludf.DUMMYFUNCTION("""COMPUTED_VALUE"""),"22581")</f>
        <v>22581</v>
      </c>
      <c r="B1895" s="2">
        <f>IFERROR(__xludf.DUMMYFUNCTION("""COMPUTED_VALUE"""),22581.0)</f>
        <v>22581</v>
      </c>
      <c r="C1895" s="3" t="str">
        <f>IFERROR(__xludf.DUMMYFUNCTION("""COMPUTED_VALUE"""),"BCM บ้านแพง นครพนม")</f>
        <v>BCM บ้านแพง นครพนม</v>
      </c>
      <c r="D1895" s="3" t="str">
        <f>IFERROR(__xludf.DUMMYFUNCTION("""COMPUTED_VALUE"""),"BCM BAN PHAENG NAKHONPHANOM")</f>
        <v>BCM BAN PHAENG NAKHONPHANOM</v>
      </c>
      <c r="E1895" s="1" t="str">
        <f>IFERROR(__xludf.DUMMYFUNCTION("""COMPUTED_VALUE"""),"บิ๊กซี MINI")</f>
        <v>บิ๊กซี MINI</v>
      </c>
      <c r="F1895" s="3"/>
      <c r="G1895" s="3"/>
      <c r="H1895" s="3"/>
      <c r="I1895" s="3"/>
      <c r="J1895" s="3"/>
      <c r="K1895" s="3"/>
      <c r="L1895" s="1" t="str">
        <f>IFERROR(__xludf.DUMMYFUNCTION("""COMPUTED_VALUE"""),"0")</f>
        <v>0</v>
      </c>
      <c r="M1895" s="1" t="str">
        <f>IFERROR(__xludf.DUMMYFUNCTION("""COMPUTED_VALUE"""),"0")</f>
        <v>0</v>
      </c>
      <c r="N1895" s="3"/>
      <c r="O1895" s="3"/>
      <c r="P1895" s="3" t="str">
        <f>IFERROR(__xludf.DUMMYFUNCTION("""COMPUTED_VALUE"""),"0/1/1900")</f>
        <v>0/1/1900</v>
      </c>
      <c r="Q1895" s="3" t="str">
        <f>IFERROR(__xludf.DUMMYFUNCTION("""COMPUTED_VALUE"""),"I")</f>
        <v>I</v>
      </c>
      <c r="R1895" s="3" t="str">
        <f>IFERROR(__xludf.DUMMYFUNCTION("""COMPUTED_VALUE"""),"Small Format")</f>
        <v>Small Format</v>
      </c>
      <c r="S1895" s="3" t="str">
        <f>IFERROR(__xludf.DUMMYFUNCTION("""COMPUTED_VALUE"""),"BCM")</f>
        <v>BCM</v>
      </c>
      <c r="T1895" s="3" t="str">
        <f>IFERROR(__xludf.DUMMYFUNCTION("""COMPUTED_VALUE"""),"#N/A")</f>
        <v>#N/A</v>
      </c>
      <c r="U1895" s="3" t="str">
        <f>IFERROR(__xludf.DUMMYFUNCTION("""COMPUTED_VALUE"""),"#N/A")</f>
        <v>#N/A</v>
      </c>
      <c r="V1895" s="3" t="str">
        <f>IFERROR(__xludf.DUMMYFUNCTION("""COMPUTED_VALUE"""),"N")</f>
        <v>N</v>
      </c>
      <c r="W1895" s="3">
        <f>IFERROR(__xludf.DUMMYFUNCTION("""COMPUTED_VALUE"""),210630.0)</f>
        <v>210630</v>
      </c>
      <c r="X1895" s="3" t="str">
        <f>IFERROR(__xludf.DUMMYFUNCTION("""COMPUTED_VALUE"""),"33,40/38-40 หมู่13 ตำบลบ้านแพง อำเภอบ้านแพง จังหวัดนครพนม 48140")</f>
        <v>33,40/38-40 หมู่13 ตำบลบ้านแพง อำเภอบ้านแพง จังหวัดนครพนม 48140</v>
      </c>
      <c r="Y1895" s="3"/>
      <c r="Z1895" s="3" t="str">
        <f>IFERROR(__xludf.DUMMYFUNCTION("""COMPUTED_VALUE"""),"บ้านแพง")</f>
        <v>บ้านแพง</v>
      </c>
      <c r="AA1895" s="3" t="str">
        <f>IFERROR(__xludf.DUMMYFUNCTION("""COMPUTED_VALUE"""),"บ้านแพง")</f>
        <v>บ้านแพง</v>
      </c>
      <c r="AB1895" s="3" t="str">
        <f>IFERROR(__xludf.DUMMYFUNCTION("""COMPUTED_VALUE"""),"นครพนม")</f>
        <v>นครพนม</v>
      </c>
      <c r="AC1895" s="3">
        <f>IFERROR(__xludf.DUMMYFUNCTION("""COMPUTED_VALUE"""),48140.0)</f>
        <v>48140</v>
      </c>
      <c r="AD1895" s="3">
        <f>IFERROR(__xludf.DUMMYFUNCTION("""COMPUTED_VALUE"""),17.960242)</f>
        <v>17.960242</v>
      </c>
      <c r="AE1895" s="3">
        <f>IFERROR(__xludf.DUMMYFUNCTION("""COMPUTED_VALUE"""),104.217734)</f>
        <v>104.217734</v>
      </c>
      <c r="AF1895" s="3" t="str">
        <f>IFERROR(__xludf.DUMMYFUNCTION("""COMPUTED_VALUE"""),"BCM บ้านแพง นครพนม-22581")</f>
        <v>BCM บ้านแพง นครพนม-22581</v>
      </c>
      <c r="AG1895" s="3" t="str">
        <f>IFERROR(__xludf.DUMMYFUNCTION("""COMPUTED_VALUE"""),"ตะวันออกเฉียงเหนือ")</f>
        <v>ตะวันออกเฉียงเหนือ</v>
      </c>
      <c r="AH1895" s="3" t="str">
        <f>IFERROR(__xludf.DUMMYFUNCTION("""COMPUTED_VALUE"""),"#N/A")</f>
        <v>#N/A</v>
      </c>
      <c r="AI1895" s="3" t="str">
        <f>IFERROR(__xludf.DUMMYFUNCTION("""COMPUTED_VALUE"""),"Out of warranty")</f>
        <v>Out of warranty</v>
      </c>
      <c r="AJ1895" s="3">
        <f>IFERROR(__xludf.DUMMYFUNCTION("""COMPUTED_VALUE"""),1513.0)</f>
        <v>1513</v>
      </c>
      <c r="AK1895" s="3"/>
      <c r="AL1895" s="3"/>
    </row>
    <row r="1896" ht="15.75" customHeight="1">
      <c r="A1896" s="1" t="str">
        <f>IFERROR(__xludf.DUMMYFUNCTION("""COMPUTED_VALUE"""),"22582")</f>
        <v>22582</v>
      </c>
      <c r="B1896" s="2">
        <f>IFERROR(__xludf.DUMMYFUNCTION("""COMPUTED_VALUE"""),22582.0)</f>
        <v>22582</v>
      </c>
      <c r="C1896" s="3" t="str">
        <f>IFERROR(__xludf.DUMMYFUNCTION("""COMPUTED_VALUE"""),"BCM ถ.มหายศ น่าน")</f>
        <v>BCM ถ.มหายศ น่าน</v>
      </c>
      <c r="D1896" s="3" t="str">
        <f>IFERROR(__xludf.DUMMYFUNCTION("""COMPUTED_VALUE"""),"BCM THANONMAHAYOS NAN")</f>
        <v>BCM THANONMAHAYOS NAN</v>
      </c>
      <c r="E1896" s="1" t="str">
        <f>IFERROR(__xludf.DUMMYFUNCTION("""COMPUTED_VALUE"""),"บิ๊กซี MINI")</f>
        <v>บิ๊กซี MINI</v>
      </c>
      <c r="F1896" s="1" t="str">
        <f>IFERROR(__xludf.DUMMYFUNCTION("""COMPUTED_VALUE"""),"296229")</f>
        <v>296229</v>
      </c>
      <c r="G1896" s="1" t="str">
        <f>IFERROR(__xludf.DUMMYFUNCTION("""COMPUTED_VALUE"""),"นายทนงศักดิ์ บุญมา")</f>
        <v>นายทนงศักดิ์ บุญมา</v>
      </c>
      <c r="H1896" s="1" t="str">
        <f>IFERROR(__xludf.DUMMYFUNCTION("""COMPUTED_VALUE"""),"372826")</f>
        <v>372826</v>
      </c>
      <c r="I1896" s="1" t="str">
        <f>IFERROR(__xludf.DUMMYFUNCTION("""COMPUTED_VALUE"""),"นายพงศกร สุขแก้ว")</f>
        <v>นายพงศกร สุขแก้ว</v>
      </c>
      <c r="J1896" s="3">
        <f>IFERROR(__xludf.DUMMYFUNCTION("""COMPUTED_VALUE"""),2010016.0)</f>
        <v>2010016</v>
      </c>
      <c r="K1896" s="3" t="str">
        <f>IFERROR(__xludf.DUMMYFUNCTION("""COMPUTED_VALUE"""),"นายตวงธรรม ใหม่ยศ")</f>
        <v>นายตวงธรรม ใหม่ยศ</v>
      </c>
      <c r="L1896" s="1" t="str">
        <f>IFERROR(__xludf.DUMMYFUNCTION("""COMPUTED_VALUE"""),"01 K.Tuangtham M.")</f>
        <v>01 K.Tuangtham M.</v>
      </c>
      <c r="M1896" s="1" t="str">
        <f>IFERROR(__xludf.DUMMYFUNCTION("""COMPUTED_VALUE"""),"063-976-595")</f>
        <v>063-976-595</v>
      </c>
      <c r="N1896" s="3">
        <f>IFERROR(__xludf.DUMMYFUNCTION("""COMPUTED_VALUE"""),22574.0)</f>
        <v>22574</v>
      </c>
      <c r="O1896" s="3" t="str">
        <f>IFERROR(__xludf.DUMMYFUNCTION("""COMPUTED_VALUE"""),"BCM ชุมชนศรีชุม ลำปาง")</f>
        <v>BCM ชุมชนศรีชุม ลำปาง</v>
      </c>
      <c r="P1896" s="4">
        <f>IFERROR(__xludf.DUMMYFUNCTION("""COMPUTED_VALUE"""),45205.0)</f>
        <v>45205</v>
      </c>
      <c r="Q1896" s="3" t="str">
        <f>IFERROR(__xludf.DUMMYFUNCTION("""COMPUTED_VALUE"""),"A")</f>
        <v>A</v>
      </c>
      <c r="R1896" s="3" t="str">
        <f>IFERROR(__xludf.DUMMYFUNCTION("""COMPUTED_VALUE"""),"Small Format")</f>
        <v>Small Format</v>
      </c>
      <c r="S1896" s="3" t="str">
        <f>IFERROR(__xludf.DUMMYFUNCTION("""COMPUTED_VALUE"""),"BCM")</f>
        <v>BCM</v>
      </c>
      <c r="T1896" s="3" t="str">
        <f>IFERROR(__xludf.DUMMYFUNCTION("""COMPUTED_VALUE"""),"#N/A")</f>
        <v>#N/A</v>
      </c>
      <c r="U1896" s="3" t="str">
        <f>IFERROR(__xludf.DUMMYFUNCTION("""COMPUTED_VALUE"""),"#N/A")</f>
        <v>#N/A</v>
      </c>
      <c r="V1896" s="3" t="str">
        <f>IFERROR(__xludf.DUMMYFUNCTION("""COMPUTED_VALUE"""),"N")</f>
        <v>N</v>
      </c>
      <c r="W1896" s="3">
        <f>IFERROR(__xludf.DUMMYFUNCTION("""COMPUTED_VALUE"""),210677.0)</f>
        <v>210677</v>
      </c>
      <c r="X1896" s="3" t="str">
        <f>IFERROR(__xludf.DUMMYFUNCTION("""COMPUTED_VALUE"""),"214/1 ถนนมหายศ ตำบลในเวียง อำเภอเมืองน่าน จังหวัดน่าน 55000")</f>
        <v>214/1 ถนนมหายศ ตำบลในเวียง อำเภอเมืองน่าน จังหวัดน่าน 55000</v>
      </c>
      <c r="Y1896" s="3" t="str">
        <f>IFERROR(__xludf.DUMMYFUNCTION("""COMPUTED_VALUE"""),"มหายศ")</f>
        <v>มหายศ</v>
      </c>
      <c r="Z1896" s="3" t="str">
        <f>IFERROR(__xludf.DUMMYFUNCTION("""COMPUTED_VALUE"""),"ในเวียง")</f>
        <v>ในเวียง</v>
      </c>
      <c r="AA1896" s="3" t="str">
        <f>IFERROR(__xludf.DUMMYFUNCTION("""COMPUTED_VALUE"""),"เมืองน่าน")</f>
        <v>เมืองน่าน</v>
      </c>
      <c r="AB1896" s="3" t="str">
        <f>IFERROR(__xludf.DUMMYFUNCTION("""COMPUTED_VALUE"""),"น่าน")</f>
        <v>น่าน</v>
      </c>
      <c r="AC1896" s="3">
        <f>IFERROR(__xludf.DUMMYFUNCTION("""COMPUTED_VALUE"""),55000.0)</f>
        <v>55000</v>
      </c>
      <c r="AD1896" s="3">
        <f>IFERROR(__xludf.DUMMYFUNCTION("""COMPUTED_VALUE"""),18.789518)</f>
        <v>18.789518</v>
      </c>
      <c r="AE1896" s="3">
        <f>IFERROR(__xludf.DUMMYFUNCTION("""COMPUTED_VALUE"""),100.777973)</f>
        <v>100.777973</v>
      </c>
      <c r="AF1896" s="3" t="str">
        <f>IFERROR(__xludf.DUMMYFUNCTION("""COMPUTED_VALUE"""),"BCM ถ.มหายศ น่าน-22582")</f>
        <v>BCM ถ.มหายศ น่าน-22582</v>
      </c>
      <c r="AG1896" s="3" t="str">
        <f>IFERROR(__xludf.DUMMYFUNCTION("""COMPUTED_VALUE"""),"เหนือ")</f>
        <v>เหนือ</v>
      </c>
      <c r="AH1896" s="3" t="str">
        <f>IFERROR(__xludf.DUMMYFUNCTION("""COMPUTED_VALUE"""),"#N/A")</f>
        <v>#N/A</v>
      </c>
      <c r="AI1896" s="3" t="str">
        <f>IFERROR(__xludf.DUMMYFUNCTION("""COMPUTED_VALUE"""),"Out of warranty")</f>
        <v>Out of warranty</v>
      </c>
      <c r="AJ1896" s="3">
        <f>IFERROR(__xludf.DUMMYFUNCTION("""COMPUTED_VALUE"""),28.0)</f>
        <v>28</v>
      </c>
      <c r="AK1896" s="3" t="str">
        <f>IFERROR(__xludf.DUMMYFUNCTION("""COMPUTED_VALUE"""),"MMS10")</f>
        <v>MMS10</v>
      </c>
      <c r="AL1896" s="3"/>
    </row>
    <row r="1897" ht="15.75" customHeight="1">
      <c r="A1897" s="1" t="str">
        <f>IFERROR(__xludf.DUMMYFUNCTION("""COMPUTED_VALUE"""),"22583")</f>
        <v>22583</v>
      </c>
      <c r="B1897" s="2">
        <f>IFERROR(__xludf.DUMMYFUNCTION("""COMPUTED_VALUE"""),22583.0)</f>
        <v>22583</v>
      </c>
      <c r="C1897" s="3" t="str">
        <f>IFERROR(__xludf.DUMMYFUNCTION("""COMPUTED_VALUE"""),"BCM ถ.ข้าวหลาม ชลบุรี")</f>
        <v>BCM ถ.ข้าวหลาม ชลบุรี</v>
      </c>
      <c r="D1897" s="3" t="str">
        <f>IFERROR(__xludf.DUMMYFUNCTION("""COMPUTED_VALUE"""),"BCM THANON KHAWLAM CHONBURI")</f>
        <v>BCM THANON KHAWLAM CHONBURI</v>
      </c>
      <c r="E1897" s="1" t="str">
        <f>IFERROR(__xludf.DUMMYFUNCTION("""COMPUTED_VALUE"""),"บิ๊กซี MINI")</f>
        <v>บิ๊กซี MINI</v>
      </c>
      <c r="F1897" s="1" t="str">
        <f>IFERROR(__xludf.DUMMYFUNCTION("""COMPUTED_VALUE"""),"221716")</f>
        <v>221716</v>
      </c>
      <c r="G1897" s="1" t="str">
        <f>IFERROR(__xludf.DUMMYFUNCTION("""COMPUTED_VALUE"""),"น.ส.เบญจพร โพธิสาร")</f>
        <v>น.ส.เบญจพร โพธิสาร</v>
      </c>
      <c r="H1897" s="1" t="str">
        <f>IFERROR(__xludf.DUMMYFUNCTION("""COMPUTED_VALUE"""),"476018")</f>
        <v>476018</v>
      </c>
      <c r="I1897" s="1" t="str">
        <f>IFERROR(__xludf.DUMMYFUNCTION("""COMPUTED_VALUE"""),"นายศราวุฒิ ชูพันดุง")</f>
        <v>นายศราวุฒิ ชูพันดุง</v>
      </c>
      <c r="J1897" s="3">
        <f>IFERROR(__xludf.DUMMYFUNCTION("""COMPUTED_VALUE"""),1.3461215E7)</f>
        <v>13461215</v>
      </c>
      <c r="K1897" s="3" t="str">
        <f>IFERROR(__xludf.DUMMYFUNCTION("""COMPUTED_VALUE"""),"นายธีรภัทร สังข์เงิน")</f>
        <v>นายธีรภัทร สังข์เงิน</v>
      </c>
      <c r="L1897" s="1" t="str">
        <f>IFERROR(__xludf.DUMMYFUNCTION("""COMPUTED_VALUE"""),"06 K.Teerapat")</f>
        <v>06 K.Teerapat</v>
      </c>
      <c r="M1897" s="1" t="str">
        <f>IFERROR(__xludf.DUMMYFUNCTION("""COMPUTED_VALUE"""),"063-601-6803")</f>
        <v>063-601-6803</v>
      </c>
      <c r="N1897" s="3">
        <f>IFERROR(__xludf.DUMMYFUNCTION("""COMPUTED_VALUE"""),22115.0)</f>
        <v>22115</v>
      </c>
      <c r="O1897" s="3" t="str">
        <f>IFERROR(__xludf.DUMMYFUNCTION("""COMPUTED_VALUE"""),"MBC เลี่ยงหนองมน ชลบุรี")</f>
        <v>MBC เลี่ยงหนองมน ชลบุรี</v>
      </c>
      <c r="P1897" s="4">
        <f>IFERROR(__xludf.DUMMYFUNCTION("""COMPUTED_VALUE"""),45201.0)</f>
        <v>45201</v>
      </c>
      <c r="Q1897" s="3" t="str">
        <f>IFERROR(__xludf.DUMMYFUNCTION("""COMPUTED_VALUE"""),"A")</f>
        <v>A</v>
      </c>
      <c r="R1897" s="3" t="str">
        <f>IFERROR(__xludf.DUMMYFUNCTION("""COMPUTED_VALUE"""),"Small Format")</f>
        <v>Small Format</v>
      </c>
      <c r="S1897" s="3" t="str">
        <f>IFERROR(__xludf.DUMMYFUNCTION("""COMPUTED_VALUE"""),"BCM")</f>
        <v>BCM</v>
      </c>
      <c r="T1897" s="3" t="str">
        <f>IFERROR(__xludf.DUMMYFUNCTION("""COMPUTED_VALUE"""),"#N/A")</f>
        <v>#N/A</v>
      </c>
      <c r="U1897" s="3" t="str">
        <f>IFERROR(__xludf.DUMMYFUNCTION("""COMPUTED_VALUE"""),"#N/A")</f>
        <v>#N/A</v>
      </c>
      <c r="V1897" s="3" t="str">
        <f>IFERROR(__xludf.DUMMYFUNCTION("""COMPUTED_VALUE"""),"N")</f>
        <v>N</v>
      </c>
      <c r="W1897" s="3">
        <f>IFERROR(__xludf.DUMMYFUNCTION("""COMPUTED_VALUE"""),210686.0)</f>
        <v>210686</v>
      </c>
      <c r="X1897" s="3" t="str">
        <f>IFERROR(__xludf.DUMMYFUNCTION("""COMPUTED_VALUE"""),"84/1 ถนนข้าวหลาม ตำบลแสนสุข อำเภอเมืองชลบุรี จังหวัดชลบุรี 20130")</f>
        <v>84/1 ถนนข้าวหลาม ตำบลแสนสุข อำเภอเมืองชลบุรี จังหวัดชลบุรี 20130</v>
      </c>
      <c r="Y1897" s="3" t="str">
        <f>IFERROR(__xludf.DUMMYFUNCTION("""COMPUTED_VALUE"""),"ข้าวหลาม")</f>
        <v>ข้าวหลาม</v>
      </c>
      <c r="Z1897" s="3" t="str">
        <f>IFERROR(__xludf.DUMMYFUNCTION("""COMPUTED_VALUE"""),"แสนสุข")</f>
        <v>แสนสุข</v>
      </c>
      <c r="AA1897" s="3" t="str">
        <f>IFERROR(__xludf.DUMMYFUNCTION("""COMPUTED_VALUE"""),"เมืองชลบุรี")</f>
        <v>เมืองชลบุรี</v>
      </c>
      <c r="AB1897" s="3" t="str">
        <f>IFERROR(__xludf.DUMMYFUNCTION("""COMPUTED_VALUE"""),"ชลบุรี")</f>
        <v>ชลบุรี</v>
      </c>
      <c r="AC1897" s="3">
        <f>IFERROR(__xludf.DUMMYFUNCTION("""COMPUTED_VALUE"""),20130.0)</f>
        <v>20130</v>
      </c>
      <c r="AD1897" s="3">
        <f>IFERROR(__xludf.DUMMYFUNCTION("""COMPUTED_VALUE"""),13.296691)</f>
        <v>13.296691</v>
      </c>
      <c r="AE1897" s="3">
        <f>IFERROR(__xludf.DUMMYFUNCTION("""COMPUTED_VALUE"""),100.922461)</f>
        <v>100.922461</v>
      </c>
      <c r="AF1897" s="3" t="str">
        <f>IFERROR(__xludf.DUMMYFUNCTION("""COMPUTED_VALUE"""),"BCM ถ.ข้าวหลาม ชลบุรี-22583")</f>
        <v>BCM ถ.ข้าวหลาม ชลบุรี-22583</v>
      </c>
      <c r="AG1897" s="3" t="str">
        <f>IFERROR(__xludf.DUMMYFUNCTION("""COMPUTED_VALUE"""),"ตะวันออก")</f>
        <v>ตะวันออก</v>
      </c>
      <c r="AH1897" s="3" t="str">
        <f>IFERROR(__xludf.DUMMYFUNCTION("""COMPUTED_VALUE"""),"#N/A")</f>
        <v>#N/A</v>
      </c>
      <c r="AI1897" s="3" t="str">
        <f>IFERROR(__xludf.DUMMYFUNCTION("""COMPUTED_VALUE"""),"Out of warranty")</f>
        <v>Out of warranty</v>
      </c>
      <c r="AJ1897" s="3">
        <f>IFERROR(__xludf.DUMMYFUNCTION("""COMPUTED_VALUE"""),28.0)</f>
        <v>28</v>
      </c>
      <c r="AK1897" s="3" t="str">
        <f>IFERROR(__xludf.DUMMYFUNCTION("""COMPUTED_VALUE"""),"MMS06")</f>
        <v>MMS06</v>
      </c>
      <c r="AL1897" s="3"/>
    </row>
    <row r="1898" ht="15.75" customHeight="1">
      <c r="A1898" s="1" t="str">
        <f>IFERROR(__xludf.DUMMYFUNCTION("""COMPUTED_VALUE"""),"22584")</f>
        <v>22584</v>
      </c>
      <c r="B1898" s="2">
        <f>IFERROR(__xludf.DUMMYFUNCTION("""COMPUTED_VALUE"""),22584.0)</f>
        <v>22584</v>
      </c>
      <c r="C1898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D1898" s="3" t="str">
        <f>IFERROR(__xludf.DUMMYFUNCTION("""COMPUTED_VALUE"""),"BCM PHUTTHAMONTHON SAI 3")</f>
        <v>BCM PHUTTHAMONTHON SAI 3</v>
      </c>
      <c r="E1898" s="1" t="str">
        <f>IFERROR(__xludf.DUMMYFUNCTION("""COMPUTED_VALUE"""),"บิ๊กซี MINI")</f>
        <v>บิ๊กซี MINI</v>
      </c>
      <c r="F1898" s="1" t="str">
        <f>IFERROR(__xludf.DUMMYFUNCTION("""COMPUTED_VALUE"""),"291008")</f>
        <v>291008</v>
      </c>
      <c r="G1898" s="1" t="str">
        <f>IFERROR(__xludf.DUMMYFUNCTION("""COMPUTED_VALUE"""),"น.ส.รัชดาพร อีศรัตน์")</f>
        <v>น.ส.รัชดาพร อีศรัตน์</v>
      </c>
      <c r="H1898" s="1" t="str">
        <f>IFERROR(__xludf.DUMMYFUNCTION("""COMPUTED_VALUE"""),"291101")</f>
        <v>291101</v>
      </c>
      <c r="I1898" s="1" t="str">
        <f>IFERROR(__xludf.DUMMYFUNCTION("""COMPUTED_VALUE"""),"นายจักรพงศ์ โพธิ์ศรี")</f>
        <v>นายจักรพงศ์ โพธิ์ศรี</v>
      </c>
      <c r="J1898" s="3">
        <f>IFERROR(__xludf.DUMMYFUNCTION("""COMPUTED_VALUE"""),296608.0)</f>
        <v>296608</v>
      </c>
      <c r="K1898" s="3" t="str">
        <f>IFERROR(__xludf.DUMMYFUNCTION("""COMPUTED_VALUE"""),"นายภาคภูมิ เพ็ชรนิล")</f>
        <v>นายภาคภูมิ เพ็ชรนิล</v>
      </c>
      <c r="L1898" s="1" t="str">
        <f>IFERROR(__xludf.DUMMYFUNCTION("""COMPUTED_VALUE"""),"10 K.Phakphoom P.")</f>
        <v>10 K.Phakphoom P.</v>
      </c>
      <c r="M1898" s="1" t="str">
        <f>IFERROR(__xludf.DUMMYFUNCTION("""COMPUTED_VALUE"""),"063-8955329")</f>
        <v>063-8955329</v>
      </c>
      <c r="N1898" s="3">
        <f>IFERROR(__xludf.DUMMYFUNCTION("""COMPUTED_VALUE"""),22584.0)</f>
        <v>22584</v>
      </c>
      <c r="O1898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1898" s="4">
        <f>IFERROR(__xludf.DUMMYFUNCTION("""COMPUTED_VALUE"""),45210.0)</f>
        <v>45210</v>
      </c>
      <c r="Q1898" s="3" t="str">
        <f>IFERROR(__xludf.DUMMYFUNCTION("""COMPUTED_VALUE"""),"A")</f>
        <v>A</v>
      </c>
      <c r="R1898" s="3" t="str">
        <f>IFERROR(__xludf.DUMMYFUNCTION("""COMPUTED_VALUE"""),"Small Format")</f>
        <v>Small Format</v>
      </c>
      <c r="S1898" s="3" t="str">
        <f>IFERROR(__xludf.DUMMYFUNCTION("""COMPUTED_VALUE"""),"BCM")</f>
        <v>BCM</v>
      </c>
      <c r="T1898" s="3" t="str">
        <f>IFERROR(__xludf.DUMMYFUNCTION("""COMPUTED_VALUE"""),"#N/A")</f>
        <v>#N/A</v>
      </c>
      <c r="U1898" s="3" t="str">
        <f>IFERROR(__xludf.DUMMYFUNCTION("""COMPUTED_VALUE"""),"#N/A")</f>
        <v>#N/A</v>
      </c>
      <c r="V1898" s="3" t="str">
        <f>IFERROR(__xludf.DUMMYFUNCTION("""COMPUTED_VALUE"""),"N")</f>
        <v>N</v>
      </c>
      <c r="W1898" s="3">
        <f>IFERROR(__xludf.DUMMYFUNCTION("""COMPUTED_VALUE"""),210670.0)</f>
        <v>210670</v>
      </c>
      <c r="X1898" s="3" t="str">
        <f>IFERROR(__xludf.DUMMYFUNCTION("""COMPUTED_VALUE"""),"698 ถนนพุทธมณฑลสาย 3 แขวงศาลาธรรมสพน์ เขตทวีวัฒนา กรุงเทพมหานคร 10170")</f>
        <v>698 ถนนพุทธมณฑลสาย 3 แขวงศาลาธรรมสพน์ เขตทวีวัฒนา กรุงเทพมหานคร 10170</v>
      </c>
      <c r="Y1898" s="3" t="str">
        <f>IFERROR(__xludf.DUMMYFUNCTION("""COMPUTED_VALUE"""),"พุทธมณฑลสาย3")</f>
        <v>พุทธมณฑลสาย3</v>
      </c>
      <c r="Z1898" s="3" t="str">
        <f>IFERROR(__xludf.DUMMYFUNCTION("""COMPUTED_VALUE"""),"ศาลาธรรมสพน์")</f>
        <v>ศาลาธรรมสพน์</v>
      </c>
      <c r="AA1898" s="3" t="str">
        <f>IFERROR(__xludf.DUMMYFUNCTION("""COMPUTED_VALUE"""),"ทวีวัฒนา")</f>
        <v>ทวีวัฒนา</v>
      </c>
      <c r="AB1898" s="3" t="str">
        <f>IFERROR(__xludf.DUMMYFUNCTION("""COMPUTED_VALUE"""),"กรุงเทพมหานคร")</f>
        <v>กรุงเทพมหานคร</v>
      </c>
      <c r="AC1898" s="3">
        <f>IFERROR(__xludf.DUMMYFUNCTION("""COMPUTED_VALUE"""),10170.0)</f>
        <v>10170</v>
      </c>
      <c r="AD1898" s="3">
        <f>IFERROR(__xludf.DUMMYFUNCTION("""COMPUTED_VALUE"""),13.781401)</f>
        <v>13.781401</v>
      </c>
      <c r="AE1898" s="3">
        <f>IFERROR(__xludf.DUMMYFUNCTION("""COMPUTED_VALUE"""),100.364051)</f>
        <v>100.364051</v>
      </c>
      <c r="AF1898" s="3" t="str">
        <f>IFERROR(__xludf.DUMMYFUNCTION("""COMPUTED_VALUE"""),"BCM พุทธมณฑลสาย 3 กรุงเทพมหานคร-22584")</f>
        <v>BCM พุทธมณฑลสาย 3 กรุงเทพมหานคร-22584</v>
      </c>
      <c r="AG1898" s="3" t="str">
        <f>IFERROR(__xludf.DUMMYFUNCTION("""COMPUTED_VALUE"""),"กลาง")</f>
        <v>กลาง</v>
      </c>
      <c r="AH1898" s="3" t="str">
        <f>IFERROR(__xludf.DUMMYFUNCTION("""COMPUTED_VALUE"""),"#N/A")</f>
        <v>#N/A</v>
      </c>
      <c r="AI1898" s="3" t="str">
        <f>IFERROR(__xludf.DUMMYFUNCTION("""COMPUTED_VALUE"""),"Out of warranty")</f>
        <v>Out of warranty</v>
      </c>
      <c r="AJ1898" s="3">
        <f>IFERROR(__xludf.DUMMYFUNCTION("""COMPUTED_VALUE"""),28.0)</f>
        <v>28</v>
      </c>
      <c r="AK1898" s="3" t="str">
        <f>IFERROR(__xludf.DUMMYFUNCTION("""COMPUTED_VALUE"""),"MMS05")</f>
        <v>MMS05</v>
      </c>
      <c r="AL1898" s="3"/>
    </row>
    <row r="1899" ht="15.75" customHeight="1">
      <c r="A1899" s="1" t="str">
        <f>IFERROR(__xludf.DUMMYFUNCTION("""COMPUTED_VALUE"""),"22585")</f>
        <v>22585</v>
      </c>
      <c r="B1899" s="2">
        <f>IFERROR(__xludf.DUMMYFUNCTION("""COMPUTED_VALUE"""),22585.0)</f>
        <v>22585</v>
      </c>
      <c r="C1899" s="3" t="str">
        <f>IFERROR(__xludf.DUMMYFUNCTION("""COMPUTED_VALUE"""),"BCM ทุ่งศรีเมือง กาฬสินธุ์")</f>
        <v>BCM ทุ่งศรีเมือง กาฬสินธุ์</v>
      </c>
      <c r="D1899" s="3" t="str">
        <f>IFERROR(__xludf.DUMMYFUNCTION("""COMPUTED_VALUE"""),"BCM THUNG SI MUEANG KALASIN")</f>
        <v>BCM THUNG SI MUEANG KALASIN</v>
      </c>
      <c r="E1899" s="1" t="str">
        <f>IFERROR(__xludf.DUMMYFUNCTION("""COMPUTED_VALUE"""),"บิ๊กซี MINI")</f>
        <v>บิ๊กซี MINI</v>
      </c>
      <c r="F1899" s="1" t="str">
        <f>IFERROR(__xludf.DUMMYFUNCTION("""COMPUTED_VALUE"""),"291105")</f>
        <v>291105</v>
      </c>
      <c r="G1899" s="1" t="str">
        <f>IFERROR(__xludf.DUMMYFUNCTION("""COMPUTED_VALUE"""),"นายสราวุฒิ พณิชยกุล")</f>
        <v>นายสราวุฒิ พณิชยกุล</v>
      </c>
      <c r="H1899" s="1" t="str">
        <f>IFERROR(__xludf.DUMMYFUNCTION("""COMPUTED_VALUE"""),"392433")</f>
        <v>392433</v>
      </c>
      <c r="I1899" s="1" t="str">
        <f>IFERROR(__xludf.DUMMYFUNCTION("""COMPUTED_VALUE"""),"นายพรธิวา ใจอ่อน")</f>
        <v>นายพรธิวา ใจอ่อน</v>
      </c>
      <c r="J1899" s="3">
        <f>IFERROR(__xludf.DUMMYFUNCTION("""COMPUTED_VALUE"""),2454781.0)</f>
        <v>2454781</v>
      </c>
      <c r="K1899" s="3" t="str">
        <f>IFERROR(__xludf.DUMMYFUNCTION("""COMPUTED_VALUE"""),"นายฌานกฤช นันทะโคต")</f>
        <v>นายฌานกฤช นันทะโคต</v>
      </c>
      <c r="L1899" s="1" t="str">
        <f>IFERROR(__xludf.DUMMYFUNCTION("""COMPUTED_VALUE"""),"05 K.Chanakrit N.")</f>
        <v>05 K.Chanakrit N.</v>
      </c>
      <c r="M1899" s="1" t="str">
        <f>IFERROR(__xludf.DUMMYFUNCTION("""COMPUTED_VALUE"""),"090-978-9785 ,065-929-1320")</f>
        <v>090-978-9785 ,065-929-1320</v>
      </c>
      <c r="N1899" s="3">
        <f>IFERROR(__xludf.DUMMYFUNCTION("""COMPUTED_VALUE"""),22195.0)</f>
        <v>22195</v>
      </c>
      <c r="O1899" s="3" t="str">
        <f>IFERROR(__xludf.DUMMYFUNCTION("""COMPUTED_VALUE"""),"MBC กันทรลักษ์ ศรีสะเกษ")</f>
        <v>MBC กันทรลักษ์ ศรีสะเกษ</v>
      </c>
      <c r="P1899" s="4">
        <f>IFERROR(__xludf.DUMMYFUNCTION("""COMPUTED_VALUE"""),45200.0)</f>
        <v>45200</v>
      </c>
      <c r="Q1899" s="3" t="str">
        <f>IFERROR(__xludf.DUMMYFUNCTION("""COMPUTED_VALUE"""),"A")</f>
        <v>A</v>
      </c>
      <c r="R1899" s="3" t="str">
        <f>IFERROR(__xludf.DUMMYFUNCTION("""COMPUTED_VALUE"""),"Small Format")</f>
        <v>Small Format</v>
      </c>
      <c r="S1899" s="3" t="str">
        <f>IFERROR(__xludf.DUMMYFUNCTION("""COMPUTED_VALUE"""),"BCM")</f>
        <v>BCM</v>
      </c>
      <c r="T1899" s="3" t="str">
        <f>IFERROR(__xludf.DUMMYFUNCTION("""COMPUTED_VALUE"""),"#N/A")</f>
        <v>#N/A</v>
      </c>
      <c r="U1899" s="3" t="str">
        <f>IFERROR(__xludf.DUMMYFUNCTION("""COMPUTED_VALUE"""),"#N/A")</f>
        <v>#N/A</v>
      </c>
      <c r="V1899" s="3" t="str">
        <f>IFERROR(__xludf.DUMMYFUNCTION("""COMPUTED_VALUE"""),"N")</f>
        <v>N</v>
      </c>
      <c r="W1899" s="3">
        <f>IFERROR(__xludf.DUMMYFUNCTION("""COMPUTED_VALUE"""),210320.0)</f>
        <v>210320</v>
      </c>
      <c r="X1899" s="3" t="str">
        <f>IFERROR(__xludf.DUMMYFUNCTION("""COMPUTED_VALUE"""),"144/2-5 ถนนทุ่งศรีเมือง ตำบลกาฬสินธุ์ อำเภอเมืองกาฬสินธุ์ จังหวัดกาฬสินธุ์ 46000")</f>
        <v>144/2-5 ถนนทุ่งศรีเมือง ตำบลกาฬสินธุ์ อำเภอเมืองกาฬสินธุ์ จังหวัดกาฬสินธุ์ 46000</v>
      </c>
      <c r="Y1899" s="3" t="str">
        <f>IFERROR(__xludf.DUMMYFUNCTION("""COMPUTED_VALUE"""),"ทุ่งศรีเมือง")</f>
        <v>ทุ่งศรีเมือง</v>
      </c>
      <c r="Z1899" s="3" t="str">
        <f>IFERROR(__xludf.DUMMYFUNCTION("""COMPUTED_VALUE"""),"กาฬสินธุ์")</f>
        <v>กาฬสินธุ์</v>
      </c>
      <c r="AA1899" s="3" t="str">
        <f>IFERROR(__xludf.DUMMYFUNCTION("""COMPUTED_VALUE"""),"เมืองกาฬสินธุ์")</f>
        <v>เมืองกาฬสินธุ์</v>
      </c>
      <c r="AB1899" s="3" t="str">
        <f>IFERROR(__xludf.DUMMYFUNCTION("""COMPUTED_VALUE"""),"กาฬสินธุ์")</f>
        <v>กาฬสินธุ์</v>
      </c>
      <c r="AC1899" s="3">
        <f>IFERROR(__xludf.DUMMYFUNCTION("""COMPUTED_VALUE"""),46000.0)</f>
        <v>46000</v>
      </c>
      <c r="AD1899" s="3">
        <f>IFERROR(__xludf.DUMMYFUNCTION("""COMPUTED_VALUE"""),16.428945)</f>
        <v>16.428945</v>
      </c>
      <c r="AE1899" s="3">
        <f>IFERROR(__xludf.DUMMYFUNCTION("""COMPUTED_VALUE"""),103.516791)</f>
        <v>103.516791</v>
      </c>
      <c r="AF1899" s="3" t="str">
        <f>IFERROR(__xludf.DUMMYFUNCTION("""COMPUTED_VALUE"""),"BCM ทุ่งศรีเมือง กาฬสินธุ์-22585")</f>
        <v>BCM ทุ่งศรีเมือง กาฬสินธุ์-22585</v>
      </c>
      <c r="AG1899" s="3" t="str">
        <f>IFERROR(__xludf.DUMMYFUNCTION("""COMPUTED_VALUE"""),"ตะวันออกเฉียงเหนือ")</f>
        <v>ตะวันออกเฉียงเหนือ</v>
      </c>
      <c r="AH1899" s="3" t="str">
        <f>IFERROR(__xludf.DUMMYFUNCTION("""COMPUTED_VALUE"""),"#N/A")</f>
        <v>#N/A</v>
      </c>
      <c r="AI1899" s="3" t="str">
        <f>IFERROR(__xludf.DUMMYFUNCTION("""COMPUTED_VALUE"""),"Out of warranty")</f>
        <v>Out of warranty</v>
      </c>
      <c r="AJ1899" s="3">
        <f>IFERROR(__xludf.DUMMYFUNCTION("""COMPUTED_VALUE"""),28.0)</f>
        <v>28</v>
      </c>
      <c r="AK1899" s="3" t="str">
        <f>IFERROR(__xludf.DUMMYFUNCTION("""COMPUTED_VALUE"""),"MMS13")</f>
        <v>MMS13</v>
      </c>
      <c r="AL1899" s="3"/>
    </row>
    <row r="1900" ht="15.75" customHeight="1">
      <c r="A1900" s="1" t="str">
        <f>IFERROR(__xludf.DUMMYFUNCTION("""COMPUTED_VALUE"""),"22586")</f>
        <v>22586</v>
      </c>
      <c r="B1900" s="2">
        <f>IFERROR(__xludf.DUMMYFUNCTION("""COMPUTED_VALUE"""),22586.0)</f>
        <v>22586</v>
      </c>
      <c r="C1900" s="3" t="str">
        <f>IFERROR(__xludf.DUMMYFUNCTION("""COMPUTED_VALUE"""),"BCM งามสง่าโรจนะ ปราจีนบุรี")</f>
        <v>BCM งามสง่าโรจนะ ปราจีนบุรี</v>
      </c>
      <c r="D1900" s="3" t="str">
        <f>IFERROR(__xludf.DUMMYFUNCTION("""COMPUTED_VALUE"""),"BCM NGAM SA-NGA ROJANA")</f>
        <v>BCM NGAM SA-NGA ROJANA</v>
      </c>
      <c r="E1900" s="1" t="str">
        <f>IFERROR(__xludf.DUMMYFUNCTION("""COMPUTED_VALUE"""),"บิ๊กซี MINI")</f>
        <v>บิ๊กซี MINI</v>
      </c>
      <c r="F1900" s="1" t="str">
        <f>IFERROR(__xludf.DUMMYFUNCTION("""COMPUTED_VALUE"""),"2083447")</f>
        <v>2083447</v>
      </c>
      <c r="G1900" s="1" t="str">
        <f>IFERROR(__xludf.DUMMYFUNCTION("""COMPUTED_VALUE"""),"นายอนุกูล ศรีลัดดา")</f>
        <v>นายอนุกูล ศรีลัดดา</v>
      </c>
      <c r="H1900" s="1" t="str">
        <f>IFERROR(__xludf.DUMMYFUNCTION("""COMPUTED_VALUE"""),"259808")</f>
        <v>259808</v>
      </c>
      <c r="I1900" s="1" t="str">
        <f>IFERROR(__xludf.DUMMYFUNCTION("""COMPUTED_VALUE"""),"น.ส.สกุลรัตน์ พิกุลแก้ว")</f>
        <v>น.ส.สกุลรัตน์ พิกุลแก้ว</v>
      </c>
      <c r="J1900" s="1" t="str">
        <f>IFERROR(__xludf.DUMMYFUNCTION("""COMPUTED_VALUE"""),"00510143")</f>
        <v>00510143</v>
      </c>
      <c r="K1900" s="3" t="str">
        <f>IFERROR(__xludf.DUMMYFUNCTION("""COMPUTED_VALUE"""),"นายธีระวัฒน์ บุญสิทธิ์")</f>
        <v>นายธีระวัฒน์ บุญสิทธิ์</v>
      </c>
      <c r="L1900" s="1" t="str">
        <f>IFERROR(__xludf.DUMMYFUNCTION("""COMPUTED_VALUE"""),"12 K.Theerawat B.")</f>
        <v>12 K.Theerawat B.</v>
      </c>
      <c r="M1900" s="1" t="str">
        <f>IFERROR(__xludf.DUMMYFUNCTION("""COMPUTED_VALUE"""),"0655107379")</f>
        <v>0655107379</v>
      </c>
      <c r="N1900" s="3">
        <f>IFERROR(__xludf.DUMMYFUNCTION("""COMPUTED_VALUE"""),21062.0)</f>
        <v>21062</v>
      </c>
      <c r="O1900" s="3" t="str">
        <f>IFERROR(__xludf.DUMMYFUNCTION("""COMPUTED_VALUE"""),"MBC นิคมนวนคร")</f>
        <v>MBC นิคมนวนคร</v>
      </c>
      <c r="P1900" s="4">
        <f>IFERROR(__xludf.DUMMYFUNCTION("""COMPUTED_VALUE"""),45201.0)</f>
        <v>45201</v>
      </c>
      <c r="Q1900" s="3" t="str">
        <f>IFERROR(__xludf.DUMMYFUNCTION("""COMPUTED_VALUE"""),"A")</f>
        <v>A</v>
      </c>
      <c r="R1900" s="3" t="str">
        <f>IFERROR(__xludf.DUMMYFUNCTION("""COMPUTED_VALUE"""),"Small Format")</f>
        <v>Small Format</v>
      </c>
      <c r="S1900" s="3" t="str">
        <f>IFERROR(__xludf.DUMMYFUNCTION("""COMPUTED_VALUE"""),"BCM")</f>
        <v>BCM</v>
      </c>
      <c r="T1900" s="3" t="str">
        <f>IFERROR(__xludf.DUMMYFUNCTION("""COMPUTED_VALUE"""),"#N/A")</f>
        <v>#N/A</v>
      </c>
      <c r="U1900" s="3" t="str">
        <f>IFERROR(__xludf.DUMMYFUNCTION("""COMPUTED_VALUE"""),"#N/A")</f>
        <v>#N/A</v>
      </c>
      <c r="V1900" s="3" t="str">
        <f>IFERROR(__xludf.DUMMYFUNCTION("""COMPUTED_VALUE"""),"N")</f>
        <v>N</v>
      </c>
      <c r="W1900" s="3">
        <f>IFERROR(__xludf.DUMMYFUNCTION("""COMPUTED_VALUE"""),210721.0)</f>
        <v>210721</v>
      </c>
      <c r="X1900" s="3" t="str">
        <f>IFERROR(__xludf.DUMMYFUNCTION("""COMPUTED_VALUE"""),"599/6-9 หมู่8 ตำบลหนองโพรง อำเภอศรีมหาโพธิ จังหวัดปราจีนบุรี 25140")</f>
        <v>599/6-9 หมู่8 ตำบลหนองโพรง อำเภอศรีมหาโพธิ จังหวัดปราจีนบุรี 25140</v>
      </c>
      <c r="Y1900" s="3"/>
      <c r="Z1900" s="3" t="str">
        <f>IFERROR(__xludf.DUMMYFUNCTION("""COMPUTED_VALUE"""),"หนองโพรง")</f>
        <v>หนองโพรง</v>
      </c>
      <c r="AA1900" s="3" t="str">
        <f>IFERROR(__xludf.DUMMYFUNCTION("""COMPUTED_VALUE"""),"ศรีมหาโพธิ")</f>
        <v>ศรีมหาโพธิ</v>
      </c>
      <c r="AB1900" s="3" t="str">
        <f>IFERROR(__xludf.DUMMYFUNCTION("""COMPUTED_VALUE"""),"ปราจีนบุรี")</f>
        <v>ปราจีนบุรี</v>
      </c>
      <c r="AC1900" s="3">
        <f>IFERROR(__xludf.DUMMYFUNCTION("""COMPUTED_VALUE"""),25140.0)</f>
        <v>25140</v>
      </c>
      <c r="AD1900" s="3">
        <f>IFERROR(__xludf.DUMMYFUNCTION("""COMPUTED_VALUE"""),13.812758)</f>
        <v>13.812758</v>
      </c>
      <c r="AE1900" s="3">
        <f>IFERROR(__xludf.DUMMYFUNCTION("""COMPUTED_VALUE"""),101.546546)</f>
        <v>101.546546</v>
      </c>
      <c r="AF1900" s="3" t="str">
        <f>IFERROR(__xludf.DUMMYFUNCTION("""COMPUTED_VALUE"""),"BCM งามสง่าโรจนะ ปราจีนบุรี-22586")</f>
        <v>BCM งามสง่าโรจนะ ปราจีนบุรี-22586</v>
      </c>
      <c r="AG1900" s="3" t="str">
        <f>IFERROR(__xludf.DUMMYFUNCTION("""COMPUTED_VALUE"""),"ตะวันออก")</f>
        <v>ตะวันออก</v>
      </c>
      <c r="AH1900" s="3" t="str">
        <f>IFERROR(__xludf.DUMMYFUNCTION("""COMPUTED_VALUE"""),"#N/A")</f>
        <v>#N/A</v>
      </c>
      <c r="AI1900" s="3" t="str">
        <f>IFERROR(__xludf.DUMMYFUNCTION("""COMPUTED_VALUE"""),"Out of warranty")</f>
        <v>Out of warranty</v>
      </c>
      <c r="AJ1900" s="3">
        <f>IFERROR(__xludf.DUMMYFUNCTION("""COMPUTED_VALUE"""),28.0)</f>
        <v>28</v>
      </c>
      <c r="AK1900" s="3" t="str">
        <f>IFERROR(__xludf.DUMMYFUNCTION("""COMPUTED_VALUE"""),"MMS08")</f>
        <v>MMS08</v>
      </c>
      <c r="AL1900" s="3"/>
    </row>
    <row r="1901" ht="15.75" customHeight="1">
      <c r="A1901" s="1" t="str">
        <f>IFERROR(__xludf.DUMMYFUNCTION("""COMPUTED_VALUE"""),"22587")</f>
        <v>22587</v>
      </c>
      <c r="B1901" s="2">
        <f>IFERROR(__xludf.DUMMYFUNCTION("""COMPUTED_VALUE"""),22587.0)</f>
        <v>22587</v>
      </c>
      <c r="C1901" s="3" t="str">
        <f>IFERROR(__xludf.DUMMYFUNCTION("""COMPUTED_VALUE"""),"BCM ตลาดพลอย แม่สอด ตาก")</f>
        <v>BCM ตลาดพลอย แม่สอด ตาก</v>
      </c>
      <c r="D1901" s="3" t="str">
        <f>IFERROR(__xludf.DUMMYFUNCTION("""COMPUTED_VALUE"""),"BCM TALAD PLOY MAESOT TAK")</f>
        <v>BCM TALAD PLOY MAESOT TAK</v>
      </c>
      <c r="E1901" s="1" t="str">
        <f>IFERROR(__xludf.DUMMYFUNCTION("""COMPUTED_VALUE"""),"บิ๊กซี MINI")</f>
        <v>บิ๊กซี MINI</v>
      </c>
      <c r="F1901" s="1" t="str">
        <f>IFERROR(__xludf.DUMMYFUNCTION("""COMPUTED_VALUE"""),"296229")</f>
        <v>296229</v>
      </c>
      <c r="G1901" s="1" t="str">
        <f>IFERROR(__xludf.DUMMYFUNCTION("""COMPUTED_VALUE"""),"นายทนงศักดิ์ บุญมา")</f>
        <v>นายทนงศักดิ์ บุญมา</v>
      </c>
      <c r="H1901" s="1" t="str">
        <f>IFERROR(__xludf.DUMMYFUNCTION("""COMPUTED_VALUE"""),"373680")</f>
        <v>373680</v>
      </c>
      <c r="I1901" s="1" t="str">
        <f>IFERROR(__xludf.DUMMYFUNCTION("""COMPUTED_VALUE"""),"นายวสันต์ พรรณราย")</f>
        <v>นายวสันต์ พรรณราย</v>
      </c>
      <c r="J1901" s="3">
        <f>IFERROR(__xludf.DUMMYFUNCTION("""COMPUTED_VALUE"""),46214.0)</f>
        <v>46214</v>
      </c>
      <c r="K1901" s="3" t="str">
        <f>IFERROR(__xludf.DUMMYFUNCTION("""COMPUTED_VALUE"""),"นายศักดิ์ชัย เด็ดดอกฟ้า")</f>
        <v>นายศักดิ์ชัย เด็ดดอกฟ้า</v>
      </c>
      <c r="L1901" s="1" t="str">
        <f>IFERROR(__xludf.DUMMYFUNCTION("""COMPUTED_VALUE"""),"02 K.Sakchai D")</f>
        <v>02 K.Sakchai D</v>
      </c>
      <c r="M1901" s="1" t="str">
        <f>IFERROR(__xludf.DUMMYFUNCTION("""COMPUTED_VALUE"""),"065-510-7376")</f>
        <v>065-510-7376</v>
      </c>
      <c r="N1901" s="3">
        <f>IFERROR(__xludf.DUMMYFUNCTION("""COMPUTED_VALUE"""),21714.0)</f>
        <v>21714</v>
      </c>
      <c r="O1901" s="3" t="str">
        <f>IFERROR(__xludf.DUMMYFUNCTION("""COMPUTED_VALUE"""),"MBC เอสโซ่ วัดโบสถ์")</f>
        <v>MBC เอสโซ่ วัดโบสถ์</v>
      </c>
      <c r="P1901" s="4">
        <f>IFERROR(__xludf.DUMMYFUNCTION("""COMPUTED_VALUE"""),45201.0)</f>
        <v>45201</v>
      </c>
      <c r="Q1901" s="3" t="str">
        <f>IFERROR(__xludf.DUMMYFUNCTION("""COMPUTED_VALUE"""),"A")</f>
        <v>A</v>
      </c>
      <c r="R1901" s="3" t="str">
        <f>IFERROR(__xludf.DUMMYFUNCTION("""COMPUTED_VALUE"""),"Small Format")</f>
        <v>Small Format</v>
      </c>
      <c r="S1901" s="3" t="str">
        <f>IFERROR(__xludf.DUMMYFUNCTION("""COMPUTED_VALUE"""),"BCM")</f>
        <v>BCM</v>
      </c>
      <c r="T1901" s="3" t="str">
        <f>IFERROR(__xludf.DUMMYFUNCTION("""COMPUTED_VALUE"""),"#N/A")</f>
        <v>#N/A</v>
      </c>
      <c r="U1901" s="3" t="str">
        <f>IFERROR(__xludf.DUMMYFUNCTION("""COMPUTED_VALUE"""),"#N/A")</f>
        <v>#N/A</v>
      </c>
      <c r="V1901" s="3" t="str">
        <f>IFERROR(__xludf.DUMMYFUNCTION("""COMPUTED_VALUE"""),"N")</f>
        <v>N</v>
      </c>
      <c r="W1901" s="3">
        <f>IFERROR(__xludf.DUMMYFUNCTION("""COMPUTED_VALUE"""),210685.0)</f>
        <v>210685</v>
      </c>
      <c r="X1901" s="3" t="str">
        <f>IFERROR(__xludf.DUMMYFUNCTION("""COMPUTED_VALUE"""),"98/98-99 ถนนประสาทวิถี ตำบลแม่สอด อำเภอแม่สอด จังหวัดตาก 63110")</f>
        <v>98/98-99 ถนนประสาทวิถี ตำบลแม่สอด อำเภอแม่สอด จังหวัดตาก 63110</v>
      </c>
      <c r="Y1901" s="3" t="str">
        <f>IFERROR(__xludf.DUMMYFUNCTION("""COMPUTED_VALUE"""),"ประสาทวิถี")</f>
        <v>ประสาทวิถี</v>
      </c>
      <c r="Z1901" s="3" t="str">
        <f>IFERROR(__xludf.DUMMYFUNCTION("""COMPUTED_VALUE"""),"แม่สอด")</f>
        <v>แม่สอด</v>
      </c>
      <c r="AA1901" s="3" t="str">
        <f>IFERROR(__xludf.DUMMYFUNCTION("""COMPUTED_VALUE"""),"แม่สอด")</f>
        <v>แม่สอด</v>
      </c>
      <c r="AB1901" s="3" t="str">
        <f>IFERROR(__xludf.DUMMYFUNCTION("""COMPUTED_VALUE"""),"ตาก")</f>
        <v>ตาก</v>
      </c>
      <c r="AC1901" s="3">
        <f>IFERROR(__xludf.DUMMYFUNCTION("""COMPUTED_VALUE"""),63110.0)</f>
        <v>63110</v>
      </c>
      <c r="AD1901" s="3">
        <f>IFERROR(__xludf.DUMMYFUNCTION("""COMPUTED_VALUE"""),16.715089)</f>
        <v>16.715089</v>
      </c>
      <c r="AE1901" s="3">
        <f>IFERROR(__xludf.DUMMYFUNCTION("""COMPUTED_VALUE"""),98.566695)</f>
        <v>98.566695</v>
      </c>
      <c r="AF1901" s="3" t="str">
        <f>IFERROR(__xludf.DUMMYFUNCTION("""COMPUTED_VALUE"""),"BCM ตลาดพลอย แม่สอด ตาก-22587")</f>
        <v>BCM ตลาดพลอย แม่สอด ตาก-22587</v>
      </c>
      <c r="AG1901" s="3" t="str">
        <f>IFERROR(__xludf.DUMMYFUNCTION("""COMPUTED_VALUE"""),"ตะวันตก")</f>
        <v>ตะวันตก</v>
      </c>
      <c r="AH1901" s="3" t="str">
        <f>IFERROR(__xludf.DUMMYFUNCTION("""COMPUTED_VALUE"""),"#N/A")</f>
        <v>#N/A</v>
      </c>
      <c r="AI1901" s="3" t="str">
        <f>IFERROR(__xludf.DUMMYFUNCTION("""COMPUTED_VALUE"""),"Out of warranty")</f>
        <v>Out of warranty</v>
      </c>
      <c r="AJ1901" s="3">
        <f>IFERROR(__xludf.DUMMYFUNCTION("""COMPUTED_VALUE"""),28.0)</f>
        <v>28</v>
      </c>
      <c r="AK1901" s="3" t="str">
        <f>IFERROR(__xludf.DUMMYFUNCTION("""COMPUTED_VALUE"""),"MMS10")</f>
        <v>MMS10</v>
      </c>
      <c r="AL1901" s="3"/>
    </row>
    <row r="1902" ht="15.75" customHeight="1">
      <c r="A1902" s="1" t="str">
        <f>IFERROR(__xludf.DUMMYFUNCTION("""COMPUTED_VALUE"""),"22588")</f>
        <v>22588</v>
      </c>
      <c r="B1902" s="2">
        <f>IFERROR(__xludf.DUMMYFUNCTION("""COMPUTED_VALUE"""),22588.0)</f>
        <v>22588</v>
      </c>
      <c r="C1902" s="3" t="str">
        <f>IFERROR(__xludf.DUMMYFUNCTION("""COMPUTED_VALUE"""),"BCM เทศบาลบางปู 60 สมุทรปรการ")</f>
        <v>BCM เทศบาลบางปู 60 สมุทรปรการ</v>
      </c>
      <c r="D1902" s="3" t="str">
        <f>IFERROR(__xludf.DUMMYFUNCTION("""COMPUTED_VALUE"""),"BCM THETSABAN BANG POO 60")</f>
        <v>BCM THETSABAN BANG POO 60</v>
      </c>
      <c r="E1902" s="1" t="str">
        <f>IFERROR(__xludf.DUMMYFUNCTION("""COMPUTED_VALUE"""),"บิ๊กซี MINI")</f>
        <v>บิ๊กซี MINI</v>
      </c>
      <c r="F1902" s="1" t="str">
        <f>IFERROR(__xludf.DUMMYFUNCTION("""COMPUTED_VALUE"""),"2083447")</f>
        <v>2083447</v>
      </c>
      <c r="G1902" s="1" t="str">
        <f>IFERROR(__xludf.DUMMYFUNCTION("""COMPUTED_VALUE"""),"นายอนุกูล ศรีลัดดา")</f>
        <v>นายอนุกูล ศรีลัดดา</v>
      </c>
      <c r="H1902" s="1" t="str">
        <f>IFERROR(__xludf.DUMMYFUNCTION("""COMPUTED_VALUE"""),"399107")</f>
        <v>399107</v>
      </c>
      <c r="I1902" s="1" t="str">
        <f>IFERROR(__xludf.DUMMYFUNCTION("""COMPUTED_VALUE"""),"นายรัชระวี กลมแป้น")</f>
        <v>นายรัชระวี กลมแป้น</v>
      </c>
      <c r="J1902" s="3">
        <f>IFERROR(__xludf.DUMMYFUNCTION("""COMPUTED_VALUE"""),510143.0)</f>
        <v>510143</v>
      </c>
      <c r="K1902" s="3" t="str">
        <f>IFERROR(__xludf.DUMMYFUNCTION("""COMPUTED_VALUE"""),"นายธีระวัฒน์ บุญสิทธิ์")</f>
        <v>นายธีระวัฒน์ บุญสิทธิ์</v>
      </c>
      <c r="L1902" s="1" t="str">
        <f>IFERROR(__xludf.DUMMYFUNCTION("""COMPUTED_VALUE"""),"12 K.Theerawat B.")</f>
        <v>12 K.Theerawat B.</v>
      </c>
      <c r="M1902" s="1" t="str">
        <f>IFERROR(__xludf.DUMMYFUNCTION("""COMPUTED_VALUE"""),"0655107379")</f>
        <v>0655107379</v>
      </c>
      <c r="N1902" s="3">
        <f>IFERROR(__xludf.DUMMYFUNCTION("""COMPUTED_VALUE"""),21062.0)</f>
        <v>21062</v>
      </c>
      <c r="O1902" s="3" t="str">
        <f>IFERROR(__xludf.DUMMYFUNCTION("""COMPUTED_VALUE"""),"MBC นิคมนวนคร")</f>
        <v>MBC นิคมนวนคร</v>
      </c>
      <c r="P1902" s="4">
        <f>IFERROR(__xludf.DUMMYFUNCTION("""COMPUTED_VALUE"""),45210.0)</f>
        <v>45210</v>
      </c>
      <c r="Q1902" s="3" t="str">
        <f>IFERROR(__xludf.DUMMYFUNCTION("""COMPUTED_VALUE"""),"A")</f>
        <v>A</v>
      </c>
      <c r="R1902" s="3" t="str">
        <f>IFERROR(__xludf.DUMMYFUNCTION("""COMPUTED_VALUE"""),"Small Format")</f>
        <v>Small Format</v>
      </c>
      <c r="S1902" s="3" t="str">
        <f>IFERROR(__xludf.DUMMYFUNCTION("""COMPUTED_VALUE"""),"BCM")</f>
        <v>BCM</v>
      </c>
      <c r="T1902" s="3" t="str">
        <f>IFERROR(__xludf.DUMMYFUNCTION("""COMPUTED_VALUE"""),"#N/A")</f>
        <v>#N/A</v>
      </c>
      <c r="U1902" s="3" t="str">
        <f>IFERROR(__xludf.DUMMYFUNCTION("""COMPUTED_VALUE"""),"#N/A")</f>
        <v>#N/A</v>
      </c>
      <c r="V1902" s="3" t="str">
        <f>IFERROR(__xludf.DUMMYFUNCTION("""COMPUTED_VALUE"""),"N")</f>
        <v>N</v>
      </c>
      <c r="W1902" s="3">
        <f>IFERROR(__xludf.DUMMYFUNCTION("""COMPUTED_VALUE"""),210684.0)</f>
        <v>210684</v>
      </c>
      <c r="X1902" s="3" t="str">
        <f>IFERROR(__xludf.DUMMYFUNCTION("""COMPUTED_VALUE"""),"858 หมู่2 ตำบลท้ายบ้าน อำเภอเมืองสมุทรปราการ จังหวัดสมุทรปราการ 10280")</f>
        <v>858 หมู่2 ตำบลท้ายบ้าน อำเภอเมืองสมุทรปราการ จังหวัดสมุทรปราการ 10280</v>
      </c>
      <c r="Y1902" s="3"/>
      <c r="Z1902" s="3" t="str">
        <f>IFERROR(__xludf.DUMMYFUNCTION("""COMPUTED_VALUE"""),"ท้ายบ้าน")</f>
        <v>ท้ายบ้าน</v>
      </c>
      <c r="AA1902" s="3" t="str">
        <f>IFERROR(__xludf.DUMMYFUNCTION("""COMPUTED_VALUE"""),"เมืองสมุทรปราการ")</f>
        <v>เมืองสมุทรปราการ</v>
      </c>
      <c r="AB1902" s="3" t="str">
        <f>IFERROR(__xludf.DUMMYFUNCTION("""COMPUTED_VALUE"""),"สมุทรปราการ")</f>
        <v>สมุทรปราการ</v>
      </c>
      <c r="AC1902" s="3">
        <f>IFERROR(__xludf.DUMMYFUNCTION("""COMPUTED_VALUE"""),10280.0)</f>
        <v>10280</v>
      </c>
      <c r="AD1902" s="3">
        <f>IFERROR(__xludf.DUMMYFUNCTION("""COMPUTED_VALUE"""),13.551598)</f>
        <v>13.551598</v>
      </c>
      <c r="AE1902" s="3">
        <f>IFERROR(__xludf.DUMMYFUNCTION("""COMPUTED_VALUE"""),100.613213)</f>
        <v>100.613213</v>
      </c>
      <c r="AF1902" s="3" t="str">
        <f>IFERROR(__xludf.DUMMYFUNCTION("""COMPUTED_VALUE"""),"BCM เทศบาลบางปู 60 สมุทรปรการ-22588")</f>
        <v>BCM เทศบาลบางปู 60 สมุทรปรการ-22588</v>
      </c>
      <c r="AG1902" s="3" t="str">
        <f>IFERROR(__xludf.DUMMYFUNCTION("""COMPUTED_VALUE"""),"กลาง")</f>
        <v>กลาง</v>
      </c>
      <c r="AH1902" s="3" t="str">
        <f>IFERROR(__xludf.DUMMYFUNCTION("""COMPUTED_VALUE"""),"#N/A")</f>
        <v>#N/A</v>
      </c>
      <c r="AI1902" s="3" t="str">
        <f>IFERROR(__xludf.DUMMYFUNCTION("""COMPUTED_VALUE"""),"Out of warranty")</f>
        <v>Out of warranty</v>
      </c>
      <c r="AJ1902" s="3">
        <f>IFERROR(__xludf.DUMMYFUNCTION("""COMPUTED_VALUE"""),28.0)</f>
        <v>28</v>
      </c>
      <c r="AK1902" s="3" t="str">
        <f>IFERROR(__xludf.DUMMYFUNCTION("""COMPUTED_VALUE"""),"MMS03")</f>
        <v>MMS03</v>
      </c>
      <c r="AL1902" s="3"/>
    </row>
    <row r="1903" ht="15.75" customHeight="1">
      <c r="A1903" s="1" t="str">
        <f>IFERROR(__xludf.DUMMYFUNCTION("""COMPUTED_VALUE"""),"22589")</f>
        <v>22589</v>
      </c>
      <c r="B1903" s="2">
        <f>IFERROR(__xludf.DUMMYFUNCTION("""COMPUTED_VALUE"""),22589.0)</f>
        <v>22589</v>
      </c>
      <c r="C1903" s="3" t="str">
        <f>IFERROR(__xludf.DUMMYFUNCTION("""COMPUTED_VALUE"""),"BCM ตลาดเสรีไทย 41 กรุงเทพมหานคร")</f>
        <v>BCM ตลาดเสรีไทย 41 กรุงเทพมหานคร</v>
      </c>
      <c r="D1903" s="3" t="str">
        <f>IFERROR(__xludf.DUMMYFUNCTION("""COMPUTED_VALUE"""),"BCM TALAD SERI THAI 41 BANGKOK")</f>
        <v>BCM TALAD SERI THAI 41 BANGKOK</v>
      </c>
      <c r="E1903" s="1" t="str">
        <f>IFERROR(__xludf.DUMMYFUNCTION("""COMPUTED_VALUE"""),"บิ๊กซี MINI")</f>
        <v>บิ๊กซี MINI</v>
      </c>
      <c r="F1903" s="1" t="str">
        <f>IFERROR(__xludf.DUMMYFUNCTION("""COMPUTED_VALUE"""),"291008")</f>
        <v>291008</v>
      </c>
      <c r="G1903" s="1" t="str">
        <f>IFERROR(__xludf.DUMMYFUNCTION("""COMPUTED_VALUE"""),"น.ส.รัชดาพร อีศรัตน์")</f>
        <v>น.ส.รัชดาพร อีศรัตน์</v>
      </c>
      <c r="H1903" s="1" t="str">
        <f>IFERROR(__xludf.DUMMYFUNCTION("""COMPUTED_VALUE"""),"228242")</f>
        <v>228242</v>
      </c>
      <c r="I1903" s="1" t="str">
        <f>IFERROR(__xludf.DUMMYFUNCTION("""COMPUTED_VALUE"""),"นายสมชาย เยมรัมย์")</f>
        <v>นายสมชาย เยมรัมย์</v>
      </c>
      <c r="J1903" s="3">
        <f>IFERROR(__xludf.DUMMYFUNCTION("""COMPUTED_VALUE"""),3510104.0)</f>
        <v>3510104</v>
      </c>
      <c r="K1903" s="3" t="str">
        <f>IFERROR(__xludf.DUMMYFUNCTION("""COMPUTED_VALUE"""),"นายวิโรจน์ อับดุลสมัด")</f>
        <v>นายวิโรจน์ อับดุลสมัด</v>
      </c>
      <c r="L1903" s="1" t="str">
        <f>IFERROR(__xludf.DUMMYFUNCTION("""COMPUTED_VALUE"""),"09 K.Wirode A")</f>
        <v>09 K.Wirode A</v>
      </c>
      <c r="M1903" s="1" t="str">
        <f>IFERROR(__xludf.DUMMYFUNCTION("""COMPUTED_VALUE"""),"080-235-4465")</f>
        <v>080-235-4465</v>
      </c>
      <c r="N1903" s="3">
        <f>IFERROR(__xludf.DUMMYFUNCTION("""COMPUTED_VALUE"""),21324.0)</f>
        <v>21324</v>
      </c>
      <c r="O1903" s="3" t="str">
        <f>IFERROR(__xludf.DUMMYFUNCTION("""COMPUTED_VALUE"""),"MBC BCP สุวินทวงศ์")</f>
        <v>MBC BCP สุวินทวงศ์</v>
      </c>
      <c r="P1903" s="4">
        <f>IFERROR(__xludf.DUMMYFUNCTION("""COMPUTED_VALUE"""),45215.0)</f>
        <v>45215</v>
      </c>
      <c r="Q1903" s="3" t="str">
        <f>IFERROR(__xludf.DUMMYFUNCTION("""COMPUTED_VALUE"""),"A")</f>
        <v>A</v>
      </c>
      <c r="R1903" s="3" t="str">
        <f>IFERROR(__xludf.DUMMYFUNCTION("""COMPUTED_VALUE"""),"Small Format")</f>
        <v>Small Format</v>
      </c>
      <c r="S1903" s="3" t="str">
        <f>IFERROR(__xludf.DUMMYFUNCTION("""COMPUTED_VALUE"""),"BCM")</f>
        <v>BCM</v>
      </c>
      <c r="T1903" s="3" t="str">
        <f>IFERROR(__xludf.DUMMYFUNCTION("""COMPUTED_VALUE"""),"#N/A")</f>
        <v>#N/A</v>
      </c>
      <c r="U1903" s="3" t="str">
        <f>IFERROR(__xludf.DUMMYFUNCTION("""COMPUTED_VALUE"""),"#N/A")</f>
        <v>#N/A</v>
      </c>
      <c r="V1903" s="3" t="str">
        <f>IFERROR(__xludf.DUMMYFUNCTION("""COMPUTED_VALUE"""),"N")</f>
        <v>N</v>
      </c>
      <c r="W1903" s="3">
        <f>IFERROR(__xludf.DUMMYFUNCTION("""COMPUTED_VALUE"""),210695.0)</f>
        <v>210695</v>
      </c>
      <c r="X1903" s="3" t="str">
        <f>IFERROR(__xludf.DUMMYFUNCTION("""COMPUTED_VALUE"""),"48/5 ซอยเสรีไทย 41 แขวงคลองกุ่ม เขตบึงกุ่ม กรุงเทพมหานคร 10230")</f>
        <v>48/5 ซอยเสรีไทย 41 แขวงคลองกุ่ม เขตบึงกุ่ม กรุงเทพมหานคร 10230</v>
      </c>
      <c r="Y1903" s="3"/>
      <c r="Z1903" s="3" t="str">
        <f>IFERROR(__xludf.DUMMYFUNCTION("""COMPUTED_VALUE"""),"คลองกุ่ม")</f>
        <v>คลองกุ่ม</v>
      </c>
      <c r="AA1903" s="3" t="str">
        <f>IFERROR(__xludf.DUMMYFUNCTION("""COMPUTED_VALUE"""),"บึงกุ่ม")</f>
        <v>บึงกุ่ม</v>
      </c>
      <c r="AB1903" s="3" t="str">
        <f>IFERROR(__xludf.DUMMYFUNCTION("""COMPUTED_VALUE"""),"กรุงเทพมหานคร")</f>
        <v>กรุงเทพมหานคร</v>
      </c>
      <c r="AC1903" s="3">
        <f>IFERROR(__xludf.DUMMYFUNCTION("""COMPUTED_VALUE"""),10230.0)</f>
        <v>10230</v>
      </c>
      <c r="AD1903" s="3">
        <f>IFERROR(__xludf.DUMMYFUNCTION("""COMPUTED_VALUE"""),13.781965)</f>
        <v>13.781965</v>
      </c>
      <c r="AE1903" s="3">
        <f>IFERROR(__xludf.DUMMYFUNCTION("""COMPUTED_VALUE"""),100.669013)</f>
        <v>100.669013</v>
      </c>
      <c r="AF1903" s="3" t="str">
        <f>IFERROR(__xludf.DUMMYFUNCTION("""COMPUTED_VALUE"""),"BCM ตลาดเสรีไทย 41 กรุงเทพมหานคร-22589")</f>
        <v>BCM ตลาดเสรีไทย 41 กรุงเทพมหานคร-22589</v>
      </c>
      <c r="AG1903" s="3" t="str">
        <f>IFERROR(__xludf.DUMMYFUNCTION("""COMPUTED_VALUE"""),"กลาง")</f>
        <v>กลาง</v>
      </c>
      <c r="AH1903" s="3" t="str">
        <f>IFERROR(__xludf.DUMMYFUNCTION("""COMPUTED_VALUE"""),"#N/A")</f>
        <v>#N/A</v>
      </c>
      <c r="AI1903" s="3" t="str">
        <f>IFERROR(__xludf.DUMMYFUNCTION("""COMPUTED_VALUE"""),"Out of warranty")</f>
        <v>Out of warranty</v>
      </c>
      <c r="AJ1903" s="3">
        <f>IFERROR(__xludf.DUMMYFUNCTION("""COMPUTED_VALUE"""),28.0)</f>
        <v>28</v>
      </c>
      <c r="AK1903" s="3" t="str">
        <f>IFERROR(__xludf.DUMMYFUNCTION("""COMPUTED_VALUE"""),"MMS01")</f>
        <v>MMS01</v>
      </c>
      <c r="AL1903" s="3"/>
    </row>
    <row r="1904" ht="15.75" customHeight="1">
      <c r="A1904" s="1" t="str">
        <f>IFERROR(__xludf.DUMMYFUNCTION("""COMPUTED_VALUE"""),"22590")</f>
        <v>22590</v>
      </c>
      <c r="B1904" s="2">
        <f>IFERROR(__xludf.DUMMYFUNCTION("""COMPUTED_VALUE"""),22590.0)</f>
        <v>22590</v>
      </c>
      <c r="C1904" s="3" t="str">
        <f>IFERROR(__xludf.DUMMYFUNCTION("""COMPUTED_VALUE"""),"BCM ท่าข้ามบางปะกง ฉะเชิงเทรา")</f>
        <v>BCM ท่าข้ามบางปะกง ฉะเชิงเทรา</v>
      </c>
      <c r="D1904" s="3" t="str">
        <f>IFERROR(__xludf.DUMMYFUNCTION("""COMPUTED_VALUE"""),"BCM THAKHAM BANGPAKONG")</f>
        <v>BCM THAKHAM BANGPAKONG</v>
      </c>
      <c r="E1904" s="1" t="str">
        <f>IFERROR(__xludf.DUMMYFUNCTION("""COMPUTED_VALUE"""),"บิ๊กซี MINI")</f>
        <v>บิ๊กซี MINI</v>
      </c>
      <c r="F1904" s="1" t="str">
        <f>IFERROR(__xludf.DUMMYFUNCTION("""COMPUTED_VALUE"""),"2083447")</f>
        <v>2083447</v>
      </c>
      <c r="G1904" s="1" t="str">
        <f>IFERROR(__xludf.DUMMYFUNCTION("""COMPUTED_VALUE"""),"นายอนุกูล ศรีลัดดา")</f>
        <v>นายอนุกูล ศรีลัดดา</v>
      </c>
      <c r="H1904" s="1" t="str">
        <f>IFERROR(__xludf.DUMMYFUNCTION("""COMPUTED_VALUE"""),"254957")</f>
        <v>254957</v>
      </c>
      <c r="I1904" s="1" t="str">
        <f>IFERROR(__xludf.DUMMYFUNCTION("""COMPUTED_VALUE"""),"น.ส.ศิริพร รุ่งธัญญา")</f>
        <v>น.ส.ศิริพร รุ่งธัญญา</v>
      </c>
      <c r="J1904" s="3">
        <f>IFERROR(__xludf.DUMMYFUNCTION("""COMPUTED_VALUE"""),510143.0)</f>
        <v>510143</v>
      </c>
      <c r="K1904" s="3" t="str">
        <f>IFERROR(__xludf.DUMMYFUNCTION("""COMPUTED_VALUE"""),"นายธีระวัฒน์ บุญสิทธิ์")</f>
        <v>นายธีระวัฒน์ บุญสิทธิ์</v>
      </c>
      <c r="L1904" s="1" t="str">
        <f>IFERROR(__xludf.DUMMYFUNCTION("""COMPUTED_VALUE"""),"12 K.Theerawat B.")</f>
        <v>12 K.Theerawat B.</v>
      </c>
      <c r="M1904" s="1" t="str">
        <f>IFERROR(__xludf.DUMMYFUNCTION("""COMPUTED_VALUE"""),"0655107379")</f>
        <v>0655107379</v>
      </c>
      <c r="N1904" s="3">
        <f>IFERROR(__xludf.DUMMYFUNCTION("""COMPUTED_VALUE"""),21062.0)</f>
        <v>21062</v>
      </c>
      <c r="O1904" s="3" t="str">
        <f>IFERROR(__xludf.DUMMYFUNCTION("""COMPUTED_VALUE"""),"MBC นิคมนวนคร")</f>
        <v>MBC นิคมนวนคร</v>
      </c>
      <c r="P1904" s="4">
        <f>IFERROR(__xludf.DUMMYFUNCTION("""COMPUTED_VALUE"""),45215.0)</f>
        <v>45215</v>
      </c>
      <c r="Q1904" s="3" t="str">
        <f>IFERROR(__xludf.DUMMYFUNCTION("""COMPUTED_VALUE"""),"A")</f>
        <v>A</v>
      </c>
      <c r="R1904" s="3" t="str">
        <f>IFERROR(__xludf.DUMMYFUNCTION("""COMPUTED_VALUE"""),"Small Format")</f>
        <v>Small Format</v>
      </c>
      <c r="S1904" s="3" t="str">
        <f>IFERROR(__xludf.DUMMYFUNCTION("""COMPUTED_VALUE"""),"BCM")</f>
        <v>BCM</v>
      </c>
      <c r="T1904" s="3" t="str">
        <f>IFERROR(__xludf.DUMMYFUNCTION("""COMPUTED_VALUE"""),"#N/A")</f>
        <v>#N/A</v>
      </c>
      <c r="U1904" s="3" t="str">
        <f>IFERROR(__xludf.DUMMYFUNCTION("""COMPUTED_VALUE"""),"#N/A")</f>
        <v>#N/A</v>
      </c>
      <c r="V1904" s="3" t="str">
        <f>IFERROR(__xludf.DUMMYFUNCTION("""COMPUTED_VALUE"""),"N")</f>
        <v>N</v>
      </c>
      <c r="W1904" s="3">
        <f>IFERROR(__xludf.DUMMYFUNCTION("""COMPUTED_VALUE"""),210669.0)</f>
        <v>210669</v>
      </c>
      <c r="X1904" s="3" t="str">
        <f>IFERROR(__xludf.DUMMYFUNCTION("""COMPUTED_VALUE"""),"65/3 หมู่4 ตำบลท่าข้าม อำเภอบางปะกง จังหวัดฉะเชิงเทรา 24130")</f>
        <v>65/3 หมู่4 ตำบลท่าข้าม อำเภอบางปะกง จังหวัดฉะเชิงเทรา 24130</v>
      </c>
      <c r="Y1904" s="3"/>
      <c r="Z1904" s="3" t="str">
        <f>IFERROR(__xludf.DUMMYFUNCTION("""COMPUTED_VALUE"""),"ท่าข้าม")</f>
        <v>ท่าข้าม</v>
      </c>
      <c r="AA1904" s="3" t="str">
        <f>IFERROR(__xludf.DUMMYFUNCTION("""COMPUTED_VALUE"""),"บางปะกง")</f>
        <v>บางปะกง</v>
      </c>
      <c r="AB1904" s="3" t="str">
        <f>IFERROR(__xludf.DUMMYFUNCTION("""COMPUTED_VALUE"""),"ฉะเชิงเทรา")</f>
        <v>ฉะเชิงเทรา</v>
      </c>
      <c r="AC1904" s="3">
        <f>IFERROR(__xludf.DUMMYFUNCTION("""COMPUTED_VALUE"""),24130.0)</f>
        <v>24130</v>
      </c>
      <c r="AD1904" s="3">
        <f>IFERROR(__xludf.DUMMYFUNCTION("""COMPUTED_VALUE"""),13.479134)</f>
        <v>13.479134</v>
      </c>
      <c r="AE1904" s="3">
        <f>IFERROR(__xludf.DUMMYFUNCTION("""COMPUTED_VALUE"""),101.016187)</f>
        <v>101.016187</v>
      </c>
      <c r="AF1904" s="3" t="str">
        <f>IFERROR(__xludf.DUMMYFUNCTION("""COMPUTED_VALUE"""),"BCM ท่าข้ามบางปะกง ฉะเชิงเทรา-22590")</f>
        <v>BCM ท่าข้ามบางปะกง ฉะเชิงเทรา-22590</v>
      </c>
      <c r="AG1904" s="3" t="str">
        <f>IFERROR(__xludf.DUMMYFUNCTION("""COMPUTED_VALUE"""),"ตะวันออก")</f>
        <v>ตะวันออก</v>
      </c>
      <c r="AH1904" s="3" t="str">
        <f>IFERROR(__xludf.DUMMYFUNCTION("""COMPUTED_VALUE"""),"#N/A")</f>
        <v>#N/A</v>
      </c>
      <c r="AI1904" s="3" t="str">
        <f>IFERROR(__xludf.DUMMYFUNCTION("""COMPUTED_VALUE"""),"Out of warranty")</f>
        <v>Out of warranty</v>
      </c>
      <c r="AJ1904" s="3">
        <f>IFERROR(__xludf.DUMMYFUNCTION("""COMPUTED_VALUE"""),28.0)</f>
        <v>28</v>
      </c>
      <c r="AK1904" s="3" t="str">
        <f>IFERROR(__xludf.DUMMYFUNCTION("""COMPUTED_VALUE"""),"MMS03")</f>
        <v>MMS03</v>
      </c>
      <c r="AL1904" s="3"/>
    </row>
    <row r="1905" ht="15.75" customHeight="1">
      <c r="A1905" s="1" t="str">
        <f>IFERROR(__xludf.DUMMYFUNCTION("""COMPUTED_VALUE"""),"22591")</f>
        <v>22591</v>
      </c>
      <c r="B1905" s="2">
        <f>IFERROR(__xludf.DUMMYFUNCTION("""COMPUTED_VALUE"""),22591.0)</f>
        <v>22591</v>
      </c>
      <c r="C1905" s="3" t="str">
        <f>IFERROR(__xludf.DUMMYFUNCTION("""COMPUTED_VALUE"""),"BCM ชุมชนบ้านดง ลำปาง")</f>
        <v>BCM ชุมชนบ้านดง ลำปาง</v>
      </c>
      <c r="D1905" s="3" t="str">
        <f>IFERROR(__xludf.DUMMYFUNCTION("""COMPUTED_VALUE"""),"BCM CHUMCHON BANDONG LAMPANG")</f>
        <v>BCM CHUMCHON BANDONG LAMPANG</v>
      </c>
      <c r="E1905" s="1" t="str">
        <f>IFERROR(__xludf.DUMMYFUNCTION("""COMPUTED_VALUE"""),"บิ๊กซี MINI")</f>
        <v>บิ๊กซี MINI</v>
      </c>
      <c r="F1905" s="1" t="str">
        <f>IFERROR(__xludf.DUMMYFUNCTION("""COMPUTED_VALUE"""),"296229")</f>
        <v>296229</v>
      </c>
      <c r="G1905" s="1" t="str">
        <f>IFERROR(__xludf.DUMMYFUNCTION("""COMPUTED_VALUE"""),"นายทนงศักดิ์ บุญมา")</f>
        <v>นายทนงศักดิ์ บุญมา</v>
      </c>
      <c r="H1905" s="1" t="str">
        <f>IFERROR(__xludf.DUMMYFUNCTION("""COMPUTED_VALUE"""),"372826")</f>
        <v>372826</v>
      </c>
      <c r="I1905" s="1" t="str">
        <f>IFERROR(__xludf.DUMMYFUNCTION("""COMPUTED_VALUE"""),"นายพงศกร สุขแก้ว")</f>
        <v>นายพงศกร สุขแก้ว</v>
      </c>
      <c r="J1905" s="3">
        <f>IFERROR(__xludf.DUMMYFUNCTION("""COMPUTED_VALUE"""),2010016.0)</f>
        <v>2010016</v>
      </c>
      <c r="K1905" s="3" t="str">
        <f>IFERROR(__xludf.DUMMYFUNCTION("""COMPUTED_VALUE"""),"นายตวงธรรม ใหม่ยศ")</f>
        <v>นายตวงธรรม ใหม่ยศ</v>
      </c>
      <c r="L1905" s="1" t="str">
        <f>IFERROR(__xludf.DUMMYFUNCTION("""COMPUTED_VALUE"""),"01 K.Tuangtham M.")</f>
        <v>01 K.Tuangtham M.</v>
      </c>
      <c r="M1905" s="1" t="str">
        <f>IFERROR(__xludf.DUMMYFUNCTION("""COMPUTED_VALUE"""),"063-976-595")</f>
        <v>063-976-595</v>
      </c>
      <c r="N1905" s="3">
        <f>IFERROR(__xludf.DUMMYFUNCTION("""COMPUTED_VALUE"""),22574.0)</f>
        <v>22574</v>
      </c>
      <c r="O1905" s="3" t="str">
        <f>IFERROR(__xludf.DUMMYFUNCTION("""COMPUTED_VALUE"""),"BCM ชุมชนศรีชุม ลำปาง")</f>
        <v>BCM ชุมชนศรีชุม ลำปาง</v>
      </c>
      <c r="P1905" s="4">
        <f>IFERROR(__xludf.DUMMYFUNCTION("""COMPUTED_VALUE"""),45215.0)</f>
        <v>45215</v>
      </c>
      <c r="Q1905" s="3" t="str">
        <f>IFERROR(__xludf.DUMMYFUNCTION("""COMPUTED_VALUE"""),"A")</f>
        <v>A</v>
      </c>
      <c r="R1905" s="3" t="str">
        <f>IFERROR(__xludf.DUMMYFUNCTION("""COMPUTED_VALUE"""),"Small Format")</f>
        <v>Small Format</v>
      </c>
      <c r="S1905" s="3" t="str">
        <f>IFERROR(__xludf.DUMMYFUNCTION("""COMPUTED_VALUE"""),"BCM")</f>
        <v>BCM</v>
      </c>
      <c r="T1905" s="3" t="str">
        <f>IFERROR(__xludf.DUMMYFUNCTION("""COMPUTED_VALUE"""),"#N/A")</f>
        <v>#N/A</v>
      </c>
      <c r="U1905" s="3" t="str">
        <f>IFERROR(__xludf.DUMMYFUNCTION("""COMPUTED_VALUE"""),"#N/A")</f>
        <v>#N/A</v>
      </c>
      <c r="V1905" s="3" t="str">
        <f>IFERROR(__xludf.DUMMYFUNCTION("""COMPUTED_VALUE"""),"N")</f>
        <v>N</v>
      </c>
      <c r="W1905" s="3">
        <f>IFERROR(__xludf.DUMMYFUNCTION("""COMPUTED_VALUE"""),210698.0)</f>
        <v>210698</v>
      </c>
      <c r="X1905" s="3" t="str">
        <f>IFERROR(__xludf.DUMMYFUNCTION("""COMPUTED_VALUE"""),"2 ถนนบ้านดง ตำบลบ่อแฮ้ว อำเภอเมืองลำปาง จังหวัดลำปาง 52100")</f>
        <v>2 ถนนบ้านดง ตำบลบ่อแฮ้ว อำเภอเมืองลำปาง จังหวัดลำปาง 52100</v>
      </c>
      <c r="Y1905" s="3" t="str">
        <f>IFERROR(__xludf.DUMMYFUNCTION("""COMPUTED_VALUE"""),"บ้านดง")</f>
        <v>บ้านดง</v>
      </c>
      <c r="Z1905" s="3" t="str">
        <f>IFERROR(__xludf.DUMMYFUNCTION("""COMPUTED_VALUE"""),"บ่อแฮ้ว")</f>
        <v>บ่อแฮ้ว</v>
      </c>
      <c r="AA1905" s="3" t="str">
        <f>IFERROR(__xludf.DUMMYFUNCTION("""COMPUTED_VALUE"""),"เมืองลำปาง")</f>
        <v>เมืองลำปาง</v>
      </c>
      <c r="AB1905" s="3" t="str">
        <f>IFERROR(__xludf.DUMMYFUNCTION("""COMPUTED_VALUE"""),"ลำปาง")</f>
        <v>ลำปาง</v>
      </c>
      <c r="AC1905" s="3">
        <f>IFERROR(__xludf.DUMMYFUNCTION("""COMPUTED_VALUE"""),52100.0)</f>
        <v>52100</v>
      </c>
      <c r="AD1905" s="3">
        <f>IFERROR(__xludf.DUMMYFUNCTION("""COMPUTED_VALUE"""),18.29408)</f>
        <v>18.29408</v>
      </c>
      <c r="AE1905" s="3">
        <f>IFERROR(__xludf.DUMMYFUNCTION("""COMPUTED_VALUE"""),99.472652)</f>
        <v>99.472652</v>
      </c>
      <c r="AF1905" s="3" t="str">
        <f>IFERROR(__xludf.DUMMYFUNCTION("""COMPUTED_VALUE"""),"BCM ชุมชนบ้านดง ลำปาง-22591")</f>
        <v>BCM ชุมชนบ้านดง ลำปาง-22591</v>
      </c>
      <c r="AG1905" s="3" t="str">
        <f>IFERROR(__xludf.DUMMYFUNCTION("""COMPUTED_VALUE"""),"เหนือ")</f>
        <v>เหนือ</v>
      </c>
      <c r="AH1905" s="3" t="str">
        <f>IFERROR(__xludf.DUMMYFUNCTION("""COMPUTED_VALUE"""),"#N/A")</f>
        <v>#N/A</v>
      </c>
      <c r="AI1905" s="3" t="str">
        <f>IFERROR(__xludf.DUMMYFUNCTION("""COMPUTED_VALUE"""),"Out of warranty")</f>
        <v>Out of warranty</v>
      </c>
      <c r="AJ1905" s="3">
        <f>IFERROR(__xludf.DUMMYFUNCTION("""COMPUTED_VALUE"""),28.0)</f>
        <v>28</v>
      </c>
      <c r="AK1905" s="3" t="str">
        <f>IFERROR(__xludf.DUMMYFUNCTION("""COMPUTED_VALUE"""),"MMS10")</f>
        <v>MMS10</v>
      </c>
      <c r="AL1905" s="3"/>
    </row>
    <row r="1906" ht="15.75" customHeight="1">
      <c r="A1906" s="1" t="str">
        <f>IFERROR(__xludf.DUMMYFUNCTION("""COMPUTED_VALUE"""),"22592")</f>
        <v>22592</v>
      </c>
      <c r="B1906" s="2">
        <f>IFERROR(__xludf.DUMMYFUNCTION("""COMPUTED_VALUE"""),22592.0)</f>
        <v>22592</v>
      </c>
      <c r="C1906" s="3" t="str">
        <f>IFERROR(__xludf.DUMMYFUNCTION("""COMPUTED_VALUE"""),"BCM ถ.อินทรคีรีแม่สอด ตาก")</f>
        <v>BCM ถ.อินทรคีรีแม่สอด ตาก</v>
      </c>
      <c r="D1906" s="3" t="str">
        <f>IFERROR(__xludf.DUMMYFUNCTION("""COMPUTED_VALUE"""),"BCM THANON INTHARA KHIRI")</f>
        <v>BCM THANON INTHARA KHIRI</v>
      </c>
      <c r="E1906" s="1" t="str">
        <f>IFERROR(__xludf.DUMMYFUNCTION("""COMPUTED_VALUE"""),"บิ๊กซี MINI")</f>
        <v>บิ๊กซี MINI</v>
      </c>
      <c r="F1906" s="1" t="str">
        <f>IFERROR(__xludf.DUMMYFUNCTION("""COMPUTED_VALUE"""),"296229")</f>
        <v>296229</v>
      </c>
      <c r="G1906" s="1" t="str">
        <f>IFERROR(__xludf.DUMMYFUNCTION("""COMPUTED_VALUE"""),"นายทนงศักดิ์ บุญมา")</f>
        <v>นายทนงศักดิ์ บุญมา</v>
      </c>
      <c r="H1906" s="1" t="str">
        <f>IFERROR(__xludf.DUMMYFUNCTION("""COMPUTED_VALUE"""),"373680")</f>
        <v>373680</v>
      </c>
      <c r="I1906" s="1" t="str">
        <f>IFERROR(__xludf.DUMMYFUNCTION("""COMPUTED_VALUE"""),"นายวสันต์ พรรณราย")</f>
        <v>นายวสันต์ พรรณราย</v>
      </c>
      <c r="J1906" s="3">
        <f>IFERROR(__xludf.DUMMYFUNCTION("""COMPUTED_VALUE"""),46214.0)</f>
        <v>46214</v>
      </c>
      <c r="K1906" s="3" t="str">
        <f>IFERROR(__xludf.DUMMYFUNCTION("""COMPUTED_VALUE"""),"นายศักดิ์ชัย เด็ดดอกฟ้า")</f>
        <v>นายศักดิ์ชัย เด็ดดอกฟ้า</v>
      </c>
      <c r="L1906" s="1" t="str">
        <f>IFERROR(__xludf.DUMMYFUNCTION("""COMPUTED_VALUE"""),"02 K.Sakchai D")</f>
        <v>02 K.Sakchai D</v>
      </c>
      <c r="M1906" s="1" t="str">
        <f>IFERROR(__xludf.DUMMYFUNCTION("""COMPUTED_VALUE"""),"065-510-7376")</f>
        <v>065-510-7376</v>
      </c>
      <c r="N1906" s="3">
        <f>IFERROR(__xludf.DUMMYFUNCTION("""COMPUTED_VALUE"""),21714.0)</f>
        <v>21714</v>
      </c>
      <c r="O1906" s="3" t="str">
        <f>IFERROR(__xludf.DUMMYFUNCTION("""COMPUTED_VALUE"""),"MBC เอสโซ่ วัดโบสถ์")</f>
        <v>MBC เอสโซ่ วัดโบสถ์</v>
      </c>
      <c r="P1906" s="4">
        <f>IFERROR(__xludf.DUMMYFUNCTION("""COMPUTED_VALUE"""),45219.0)</f>
        <v>45219</v>
      </c>
      <c r="Q1906" s="3" t="str">
        <f>IFERROR(__xludf.DUMMYFUNCTION("""COMPUTED_VALUE"""),"A")</f>
        <v>A</v>
      </c>
      <c r="R1906" s="3" t="str">
        <f>IFERROR(__xludf.DUMMYFUNCTION("""COMPUTED_VALUE"""),"Small Format")</f>
        <v>Small Format</v>
      </c>
      <c r="S1906" s="3" t="str">
        <f>IFERROR(__xludf.DUMMYFUNCTION("""COMPUTED_VALUE"""),"BCM")</f>
        <v>BCM</v>
      </c>
      <c r="T1906" s="3" t="str">
        <f>IFERROR(__xludf.DUMMYFUNCTION("""COMPUTED_VALUE"""),"#N/A")</f>
        <v>#N/A</v>
      </c>
      <c r="U1906" s="3" t="str">
        <f>IFERROR(__xludf.DUMMYFUNCTION("""COMPUTED_VALUE"""),"#N/A")</f>
        <v>#N/A</v>
      </c>
      <c r="V1906" s="3" t="str">
        <f>IFERROR(__xludf.DUMMYFUNCTION("""COMPUTED_VALUE"""),"N")</f>
        <v>N</v>
      </c>
      <c r="W1906" s="3">
        <f>IFERROR(__xludf.DUMMYFUNCTION("""COMPUTED_VALUE"""),210716.0)</f>
        <v>210716</v>
      </c>
      <c r="X1906" s="3" t="str">
        <f>IFERROR(__xludf.DUMMYFUNCTION("""COMPUTED_VALUE"""),"31/45 ถนนอินทรคีรี ตำบลแม่สอด อำเภอแม่สอด จังหวัดตาก 63110")</f>
        <v>31/45 ถนนอินทรคีรี ตำบลแม่สอด อำเภอแม่สอด จังหวัดตาก 63110</v>
      </c>
      <c r="Y1906" s="3" t="str">
        <f>IFERROR(__xludf.DUMMYFUNCTION("""COMPUTED_VALUE"""),"อินทรคีรี")</f>
        <v>อินทรคีรี</v>
      </c>
      <c r="Z1906" s="3" t="str">
        <f>IFERROR(__xludf.DUMMYFUNCTION("""COMPUTED_VALUE"""),"แม่สอด")</f>
        <v>แม่สอด</v>
      </c>
      <c r="AA1906" s="3" t="str">
        <f>IFERROR(__xludf.DUMMYFUNCTION("""COMPUTED_VALUE"""),"แม่สอด")</f>
        <v>แม่สอด</v>
      </c>
      <c r="AB1906" s="3" t="str">
        <f>IFERROR(__xludf.DUMMYFUNCTION("""COMPUTED_VALUE"""),"ตาก")</f>
        <v>ตาก</v>
      </c>
      <c r="AC1906" s="3">
        <f>IFERROR(__xludf.DUMMYFUNCTION("""COMPUTED_VALUE"""),63110.0)</f>
        <v>63110</v>
      </c>
      <c r="AD1906" s="3">
        <f>IFERROR(__xludf.DUMMYFUNCTION("""COMPUTED_VALUE"""),16.718413)</f>
        <v>16.718413</v>
      </c>
      <c r="AE1906" s="3">
        <f>IFERROR(__xludf.DUMMYFUNCTION("""COMPUTED_VALUE"""),98.588872)</f>
        <v>98.588872</v>
      </c>
      <c r="AF1906" s="3" t="str">
        <f>IFERROR(__xludf.DUMMYFUNCTION("""COMPUTED_VALUE"""),"BCM ถ.อินทรคีรีแม่สอด ตาก-22592")</f>
        <v>BCM ถ.อินทรคีรีแม่สอด ตาก-22592</v>
      </c>
      <c r="AG1906" s="3" t="str">
        <f>IFERROR(__xludf.DUMMYFUNCTION("""COMPUTED_VALUE"""),"ตะวันตก")</f>
        <v>ตะวันตก</v>
      </c>
      <c r="AH1906" s="3" t="str">
        <f>IFERROR(__xludf.DUMMYFUNCTION("""COMPUTED_VALUE"""),"#N/A")</f>
        <v>#N/A</v>
      </c>
      <c r="AI1906" s="3" t="str">
        <f>IFERROR(__xludf.DUMMYFUNCTION("""COMPUTED_VALUE"""),"Out of warranty")</f>
        <v>Out of warranty</v>
      </c>
      <c r="AJ1906" s="3">
        <f>IFERROR(__xludf.DUMMYFUNCTION("""COMPUTED_VALUE"""),28.0)</f>
        <v>28</v>
      </c>
      <c r="AK1906" s="3" t="str">
        <f>IFERROR(__xludf.DUMMYFUNCTION("""COMPUTED_VALUE"""),"MMS10")</f>
        <v>MMS10</v>
      </c>
      <c r="AL1906" s="3"/>
    </row>
    <row r="1907" ht="15.75" customHeight="1">
      <c r="A1907" s="1" t="str">
        <f>IFERROR(__xludf.DUMMYFUNCTION("""COMPUTED_VALUE"""),"22593")</f>
        <v>22593</v>
      </c>
      <c r="B1907" s="2">
        <f>IFERROR(__xludf.DUMMYFUNCTION("""COMPUTED_VALUE"""),22593.0)</f>
        <v>22593</v>
      </c>
      <c r="C1907" s="3" t="str">
        <f>IFERROR(__xludf.DUMMYFUNCTION("""COMPUTED_VALUE"""),"BCM ซ.บุณย์กัญจนาพัทยา ชลบุรี")</f>
        <v>BCM ซ.บุณย์กัญจนาพัทยา ชลบุรี</v>
      </c>
      <c r="D1907" s="3" t="str">
        <f>IFERROR(__xludf.DUMMYFUNCTION("""COMPUTED_VALUE"""),"BCM SOI BUNKANJANA PATTAYA")</f>
        <v>BCM SOI BUNKANJANA PATTAYA</v>
      </c>
      <c r="E1907" s="1" t="str">
        <f>IFERROR(__xludf.DUMMYFUNCTION("""COMPUTED_VALUE"""),"บิ๊กซี MINI")</f>
        <v>บิ๊กซี MINI</v>
      </c>
      <c r="F1907" s="1" t="str">
        <f>IFERROR(__xludf.DUMMYFUNCTION("""COMPUTED_VALUE"""),"221716")</f>
        <v>221716</v>
      </c>
      <c r="G1907" s="1" t="str">
        <f>IFERROR(__xludf.DUMMYFUNCTION("""COMPUTED_VALUE"""),"น.ส.เบญจพร โพธิสาร")</f>
        <v>น.ส.เบญจพร โพธิสาร</v>
      </c>
      <c r="H1907" s="1" t="str">
        <f>IFERROR(__xludf.DUMMYFUNCTION("""COMPUTED_VALUE"""),"313065")</f>
        <v>313065</v>
      </c>
      <c r="I1907" s="1" t="str">
        <f>IFERROR(__xludf.DUMMYFUNCTION("""COMPUTED_VALUE"""),"นายจิรายุทธ กันทา")</f>
        <v>นายจิรายุทธ กันทา</v>
      </c>
      <c r="J1907" s="3">
        <f>IFERROR(__xludf.DUMMYFUNCTION("""COMPUTED_VALUE"""),1.3461215E7)</f>
        <v>13461215</v>
      </c>
      <c r="K1907" s="3" t="str">
        <f>IFERROR(__xludf.DUMMYFUNCTION("""COMPUTED_VALUE"""),"นายธีรภัทร สังข์เงิน")</f>
        <v>นายธีรภัทร สังข์เงิน</v>
      </c>
      <c r="L1907" s="1" t="str">
        <f>IFERROR(__xludf.DUMMYFUNCTION("""COMPUTED_VALUE"""),"06 K.Teerapat")</f>
        <v>06 K.Teerapat</v>
      </c>
      <c r="M1907" s="1" t="str">
        <f>IFERROR(__xludf.DUMMYFUNCTION("""COMPUTED_VALUE"""),"063-601-6803")</f>
        <v>063-601-6803</v>
      </c>
      <c r="N1907" s="3">
        <f>IFERROR(__xludf.DUMMYFUNCTION("""COMPUTED_VALUE"""),22115.0)</f>
        <v>22115</v>
      </c>
      <c r="O1907" s="3" t="str">
        <f>IFERROR(__xludf.DUMMYFUNCTION("""COMPUTED_VALUE"""),"MBC เลี่ยงหนองมน ชลบุรี")</f>
        <v>MBC เลี่ยงหนองมน ชลบุรี</v>
      </c>
      <c r="P1907" s="4">
        <f>IFERROR(__xludf.DUMMYFUNCTION("""COMPUTED_VALUE"""),45228.0)</f>
        <v>45228</v>
      </c>
      <c r="Q1907" s="3" t="str">
        <f>IFERROR(__xludf.DUMMYFUNCTION("""COMPUTED_VALUE"""),"A")</f>
        <v>A</v>
      </c>
      <c r="R1907" s="3" t="str">
        <f>IFERROR(__xludf.DUMMYFUNCTION("""COMPUTED_VALUE"""),"Small Format")</f>
        <v>Small Format</v>
      </c>
      <c r="S1907" s="3" t="str">
        <f>IFERROR(__xludf.DUMMYFUNCTION("""COMPUTED_VALUE"""),"BCM")</f>
        <v>BCM</v>
      </c>
      <c r="T1907" s="3" t="str">
        <f>IFERROR(__xludf.DUMMYFUNCTION("""COMPUTED_VALUE"""),"#N/A")</f>
        <v>#N/A</v>
      </c>
      <c r="U1907" s="3" t="str">
        <f>IFERROR(__xludf.DUMMYFUNCTION("""COMPUTED_VALUE"""),"#N/A")</f>
        <v>#N/A</v>
      </c>
      <c r="V1907" s="3" t="str">
        <f>IFERROR(__xludf.DUMMYFUNCTION("""COMPUTED_VALUE"""),"N")</f>
        <v>N</v>
      </c>
      <c r="W1907" s="3">
        <f>IFERROR(__xludf.DUMMYFUNCTION("""COMPUTED_VALUE"""),210704.0)</f>
        <v>210704</v>
      </c>
      <c r="X1907" s="3"/>
      <c r="Y1907" s="3"/>
      <c r="Z1907" s="3"/>
      <c r="AA1907" s="3"/>
      <c r="AB1907" s="3"/>
      <c r="AC1907" s="3"/>
      <c r="AD1907" s="3">
        <f>IFERROR(__xludf.DUMMYFUNCTION("""COMPUTED_VALUE"""),12.889726)</f>
        <v>12.889726</v>
      </c>
      <c r="AE1907" s="3">
        <f>IFERROR(__xludf.DUMMYFUNCTION("""COMPUTED_VALUE"""),100.886401)</f>
        <v>100.886401</v>
      </c>
      <c r="AF1907" s="3" t="str">
        <f>IFERROR(__xludf.DUMMYFUNCTION("""COMPUTED_VALUE"""),"BCM ซ.บุณย์กัญจนาพัทยา ชลบุรี-22593")</f>
        <v>BCM ซ.บุณย์กัญจนาพัทยา ชลบุรี-22593</v>
      </c>
      <c r="AG1907" s="3">
        <f>IFERROR(__xludf.DUMMYFUNCTION("""COMPUTED_VALUE"""),0.0)</f>
        <v>0</v>
      </c>
      <c r="AH1907" s="3" t="str">
        <f>IFERROR(__xludf.DUMMYFUNCTION("""COMPUTED_VALUE"""),"#N/A")</f>
        <v>#N/A</v>
      </c>
      <c r="AI1907" s="3" t="str">
        <f>IFERROR(__xludf.DUMMYFUNCTION("""COMPUTED_VALUE"""),"Out of warranty")</f>
        <v>Out of warranty</v>
      </c>
      <c r="AJ1907" s="3">
        <f>IFERROR(__xludf.DUMMYFUNCTION("""COMPUTED_VALUE"""),27.0)</f>
        <v>27</v>
      </c>
      <c r="AK1907" s="3" t="str">
        <f>IFERROR(__xludf.DUMMYFUNCTION("""COMPUTED_VALUE"""),"MMS06")</f>
        <v>MMS06</v>
      </c>
      <c r="AL1907" s="3"/>
    </row>
    <row r="1908" ht="15.75" customHeight="1">
      <c r="A1908" s="1" t="str">
        <f>IFERROR(__xludf.DUMMYFUNCTION("""COMPUTED_VALUE"""),"22594")</f>
        <v>22594</v>
      </c>
      <c r="B1908" s="2">
        <f>IFERROR(__xludf.DUMMYFUNCTION("""COMPUTED_VALUE"""),22594.0)</f>
        <v>22594</v>
      </c>
      <c r="C1908" s="3" t="str">
        <f>IFERROR(__xludf.DUMMYFUNCTION("""COMPUTED_VALUE"""),"BCM ถ.แหลมฉบังสาย 1 ชลบุรี")</f>
        <v>BCM ถ.แหลมฉบังสาย 1 ชลบุรี</v>
      </c>
      <c r="D1908" s="3" t="str">
        <f>IFERROR(__xludf.DUMMYFUNCTION("""COMPUTED_VALUE"""),"BCM THANON LAEMCHABANG SAI 1")</f>
        <v>BCM THANON LAEMCHABANG SAI 1</v>
      </c>
      <c r="E1908" s="1" t="str">
        <f>IFERROR(__xludf.DUMMYFUNCTION("""COMPUTED_VALUE"""),"บิ๊กซี MINI")</f>
        <v>บิ๊กซี MINI</v>
      </c>
      <c r="F1908" s="1" t="str">
        <f>IFERROR(__xludf.DUMMYFUNCTION("""COMPUTED_VALUE"""),"221716")</f>
        <v>221716</v>
      </c>
      <c r="G1908" s="1" t="str">
        <f>IFERROR(__xludf.DUMMYFUNCTION("""COMPUTED_VALUE"""),"น.ส.เบญจพร โพธิสาร")</f>
        <v>น.ส.เบญจพร โพธิสาร</v>
      </c>
      <c r="H1908" s="1" t="str">
        <f>IFERROR(__xludf.DUMMYFUNCTION("""COMPUTED_VALUE"""),"291061")</f>
        <v>291061</v>
      </c>
      <c r="I1908" s="1" t="str">
        <f>IFERROR(__xludf.DUMMYFUNCTION("""COMPUTED_VALUE"""),"นายสมศักดิ์ เสียงก้อง")</f>
        <v>นายสมศักดิ์ เสียงก้อง</v>
      </c>
      <c r="J1908" s="3">
        <f>IFERROR(__xludf.DUMMYFUNCTION("""COMPUTED_VALUE"""),296942.0)</f>
        <v>296942</v>
      </c>
      <c r="K1908" s="3" t="str">
        <f>IFERROR(__xludf.DUMMYFUNCTION("""COMPUTED_VALUE"""),"นายปิยะ รักษากิจ")</f>
        <v>นายปิยะ รักษากิจ</v>
      </c>
      <c r="L1908" s="1" t="str">
        <f>IFERROR(__xludf.DUMMYFUNCTION("""COMPUTED_VALUE"""),"07 K.Piya R.")</f>
        <v>07 K.Piya R.</v>
      </c>
      <c r="M1908" s="1" t="str">
        <f>IFERROR(__xludf.DUMMYFUNCTION("""COMPUTED_VALUE"""),"097-919-5476")</f>
        <v>097-919-5476</v>
      </c>
      <c r="N1908" s="3">
        <f>IFERROR(__xludf.DUMMYFUNCTION("""COMPUTED_VALUE"""),21332.0)</f>
        <v>21332</v>
      </c>
      <c r="O1908" s="3" t="str">
        <f>IFERROR(__xludf.DUMMYFUNCTION("""COMPUTED_VALUE"""),"MBC BCP อ่อนนุช 17/1")</f>
        <v>MBC BCP อ่อนนุช 17/1</v>
      </c>
      <c r="P1908" s="4">
        <f>IFERROR(__xludf.DUMMYFUNCTION("""COMPUTED_VALUE"""),45228.0)</f>
        <v>45228</v>
      </c>
      <c r="Q1908" s="3" t="str">
        <f>IFERROR(__xludf.DUMMYFUNCTION("""COMPUTED_VALUE"""),"A")</f>
        <v>A</v>
      </c>
      <c r="R1908" s="3" t="str">
        <f>IFERROR(__xludf.DUMMYFUNCTION("""COMPUTED_VALUE"""),"Small Format")</f>
        <v>Small Format</v>
      </c>
      <c r="S1908" s="3" t="str">
        <f>IFERROR(__xludf.DUMMYFUNCTION("""COMPUTED_VALUE"""),"BCM")</f>
        <v>BCM</v>
      </c>
      <c r="T1908" s="3" t="str">
        <f>IFERROR(__xludf.DUMMYFUNCTION("""COMPUTED_VALUE"""),"#N/A")</f>
        <v>#N/A</v>
      </c>
      <c r="U1908" s="3" t="str">
        <f>IFERROR(__xludf.DUMMYFUNCTION("""COMPUTED_VALUE"""),"#N/A")</f>
        <v>#N/A</v>
      </c>
      <c r="V1908" s="3" t="str">
        <f>IFERROR(__xludf.DUMMYFUNCTION("""COMPUTED_VALUE"""),"N")</f>
        <v>N</v>
      </c>
      <c r="W1908" s="3">
        <f>IFERROR(__xludf.DUMMYFUNCTION("""COMPUTED_VALUE"""),210705.0)</f>
        <v>210705</v>
      </c>
      <c r="X1908" s="3" t="str">
        <f>IFERROR(__xludf.DUMMYFUNCTION("""COMPUTED_VALUE"""),"77/54 หมู่10 ตำบลทุ่งสุขลา อำเภอศรีราชา จังหวัดชลบุรี 20230")</f>
        <v>77/54 หมู่10 ตำบลทุ่งสุขลา อำเภอศรีราชา จังหวัดชลบุรี 20230</v>
      </c>
      <c r="Y1908" s="3"/>
      <c r="Z1908" s="3" t="str">
        <f>IFERROR(__xludf.DUMMYFUNCTION("""COMPUTED_VALUE"""),"ทุ่งสุขลา")</f>
        <v>ทุ่งสุขลา</v>
      </c>
      <c r="AA1908" s="3" t="str">
        <f>IFERROR(__xludf.DUMMYFUNCTION("""COMPUTED_VALUE"""),"ศรีราชา")</f>
        <v>ศรีราชา</v>
      </c>
      <c r="AB1908" s="3" t="str">
        <f>IFERROR(__xludf.DUMMYFUNCTION("""COMPUTED_VALUE"""),"ชลบุรี")</f>
        <v>ชลบุรี</v>
      </c>
      <c r="AC1908" s="3">
        <f>IFERROR(__xludf.DUMMYFUNCTION("""COMPUTED_VALUE"""),20230.0)</f>
        <v>20230</v>
      </c>
      <c r="AD1908" s="3">
        <f>IFERROR(__xludf.DUMMYFUNCTION("""COMPUTED_VALUE"""),13.089249)</f>
        <v>13.089249</v>
      </c>
      <c r="AE1908" s="3">
        <f>IFERROR(__xludf.DUMMYFUNCTION("""COMPUTED_VALUE"""),100.922396)</f>
        <v>100.922396</v>
      </c>
      <c r="AF1908" s="3" t="str">
        <f>IFERROR(__xludf.DUMMYFUNCTION("""COMPUTED_VALUE"""),"BCM ถ.แหลมฉบังสาย 1 ชลบุรี-22594")</f>
        <v>BCM ถ.แหลมฉบังสาย 1 ชลบุรี-22594</v>
      </c>
      <c r="AG1908" s="3" t="str">
        <f>IFERROR(__xludf.DUMMYFUNCTION("""COMPUTED_VALUE"""),"ตะวันออก")</f>
        <v>ตะวันออก</v>
      </c>
      <c r="AH1908" s="3" t="str">
        <f>IFERROR(__xludf.DUMMYFUNCTION("""COMPUTED_VALUE"""),"#N/A")</f>
        <v>#N/A</v>
      </c>
      <c r="AI1908" s="3" t="str">
        <f>IFERROR(__xludf.DUMMYFUNCTION("""COMPUTED_VALUE"""),"Out of warranty")</f>
        <v>Out of warranty</v>
      </c>
      <c r="AJ1908" s="3">
        <f>IFERROR(__xludf.DUMMYFUNCTION("""COMPUTED_VALUE"""),27.0)</f>
        <v>27</v>
      </c>
      <c r="AK1908" s="3" t="str">
        <f>IFERROR(__xludf.DUMMYFUNCTION("""COMPUTED_VALUE"""),"MMS06")</f>
        <v>MMS06</v>
      </c>
      <c r="AL1908" s="3"/>
    </row>
    <row r="1909" ht="15.75" customHeight="1">
      <c r="A1909" s="1" t="str">
        <f>IFERROR(__xludf.DUMMYFUNCTION("""COMPUTED_VALUE"""),"22595")</f>
        <v>22595</v>
      </c>
      <c r="B1909" s="2">
        <f>IFERROR(__xludf.DUMMYFUNCTION("""COMPUTED_VALUE"""),22595.0)</f>
        <v>22595</v>
      </c>
      <c r="C1909" s="3" t="str">
        <f>IFERROR(__xludf.DUMMYFUNCTION("""COMPUTED_VALUE"""),"BCM ตลาดสดเทศบาลตราด ตราด")</f>
        <v>BCM ตลาดสดเทศบาลตราด ตราด</v>
      </c>
      <c r="D1909" s="3" t="str">
        <f>IFERROR(__xludf.DUMMYFUNCTION("""COMPUTED_VALUE"""),"BCM TALAD SOD THESSABAN TRAT")</f>
        <v>BCM TALAD SOD THESSABAN TRAT</v>
      </c>
      <c r="E1909" s="1" t="str">
        <f>IFERROR(__xludf.DUMMYFUNCTION("""COMPUTED_VALUE"""),"บิ๊กซี MINI")</f>
        <v>บิ๊กซี MINI</v>
      </c>
      <c r="F1909" s="1" t="str">
        <f>IFERROR(__xludf.DUMMYFUNCTION("""COMPUTED_VALUE"""),"221716")</f>
        <v>221716</v>
      </c>
      <c r="G1909" s="1" t="str">
        <f>IFERROR(__xludf.DUMMYFUNCTION("""COMPUTED_VALUE"""),"น.ส.เบญจพร โพธิสาร")</f>
        <v>น.ส.เบญจพร โพธิสาร</v>
      </c>
      <c r="H1909" s="1" t="str">
        <f>IFERROR(__xludf.DUMMYFUNCTION("""COMPUTED_VALUE"""),"318151")</f>
        <v>318151</v>
      </c>
      <c r="I1909" s="1" t="str">
        <f>IFERROR(__xludf.DUMMYFUNCTION("""COMPUTED_VALUE"""),"นายพลฬกฤตต์ เนตมณี")</f>
        <v>นายพลฬกฤตต์ เนตมณี</v>
      </c>
      <c r="J1909" s="3">
        <f>IFERROR(__xludf.DUMMYFUNCTION("""COMPUTED_VALUE"""),2452376.0)</f>
        <v>2452376</v>
      </c>
      <c r="K1909" s="3" t="str">
        <f>IFERROR(__xludf.DUMMYFUNCTION("""COMPUTED_VALUE"""),"นายภาคภูมิ ทวีกุล")</f>
        <v>นายภาคภูมิ ทวีกุล</v>
      </c>
      <c r="L1909" s="1" t="str">
        <f>IFERROR(__xludf.DUMMYFUNCTION("""COMPUTED_VALUE"""),"08 K.Parkphum T.")</f>
        <v>08 K.Parkphum T.</v>
      </c>
      <c r="M1909" s="1" t="str">
        <f>IFERROR(__xludf.DUMMYFUNCTION("""COMPUTED_VALUE"""),"097-919-5476")</f>
        <v>097-919-5476</v>
      </c>
      <c r="N1909" s="3">
        <f>IFERROR(__xludf.DUMMYFUNCTION("""COMPUTED_VALUE"""),22028.0)</f>
        <v>22028</v>
      </c>
      <c r="O1909" s="3" t="str">
        <f>IFERROR(__xludf.DUMMYFUNCTION("""COMPUTED_VALUE"""),"MBC ทํบมา ระยอง")</f>
        <v>MBC ทํบมา ระยอง</v>
      </c>
      <c r="P1909" s="4">
        <f>IFERROR(__xludf.DUMMYFUNCTION("""COMPUTED_VALUE"""),45228.0)</f>
        <v>45228</v>
      </c>
      <c r="Q1909" s="3" t="str">
        <f>IFERROR(__xludf.DUMMYFUNCTION("""COMPUTED_VALUE"""),"A")</f>
        <v>A</v>
      </c>
      <c r="R1909" s="3" t="str">
        <f>IFERROR(__xludf.DUMMYFUNCTION("""COMPUTED_VALUE"""),"Small Format")</f>
        <v>Small Format</v>
      </c>
      <c r="S1909" s="3" t="str">
        <f>IFERROR(__xludf.DUMMYFUNCTION("""COMPUTED_VALUE"""),"BCM")</f>
        <v>BCM</v>
      </c>
      <c r="T1909" s="3" t="str">
        <f>IFERROR(__xludf.DUMMYFUNCTION("""COMPUTED_VALUE"""),"#N/A")</f>
        <v>#N/A</v>
      </c>
      <c r="U1909" s="3" t="str">
        <f>IFERROR(__xludf.DUMMYFUNCTION("""COMPUTED_VALUE"""),"#N/A")</f>
        <v>#N/A</v>
      </c>
      <c r="V1909" s="3" t="str">
        <f>IFERROR(__xludf.DUMMYFUNCTION("""COMPUTED_VALUE"""),"N")</f>
        <v>N</v>
      </c>
      <c r="W1909" s="3">
        <f>IFERROR(__xludf.DUMMYFUNCTION("""COMPUTED_VALUE"""),210706.0)</f>
        <v>210706</v>
      </c>
      <c r="X1909" s="3" t="str">
        <f>IFERROR(__xludf.DUMMYFUNCTION("""COMPUTED_VALUE"""),"137-139 ถนนตัดใหม่ ตำบลบางพระ อำเภอเมืองตราด จังหวัดตราด 23000")</f>
        <v>137-139 ถนนตัดใหม่ ตำบลบางพระ อำเภอเมืองตราด จังหวัดตราด 23000</v>
      </c>
      <c r="Y1909" s="3" t="str">
        <f>IFERROR(__xludf.DUMMYFUNCTION("""COMPUTED_VALUE"""),"ตัดใหม่")</f>
        <v>ตัดใหม่</v>
      </c>
      <c r="Z1909" s="3" t="str">
        <f>IFERROR(__xludf.DUMMYFUNCTION("""COMPUTED_VALUE"""),"บางพระ")</f>
        <v>บางพระ</v>
      </c>
      <c r="AA1909" s="3" t="str">
        <f>IFERROR(__xludf.DUMMYFUNCTION("""COMPUTED_VALUE"""),"เมืองตราด")</f>
        <v>เมืองตราด</v>
      </c>
      <c r="AB1909" s="3" t="str">
        <f>IFERROR(__xludf.DUMMYFUNCTION("""COMPUTED_VALUE"""),"ตราด")</f>
        <v>ตราด</v>
      </c>
      <c r="AC1909" s="3">
        <f>IFERROR(__xludf.DUMMYFUNCTION("""COMPUTED_VALUE"""),23000.0)</f>
        <v>23000</v>
      </c>
      <c r="AD1909" s="3">
        <f>IFERROR(__xludf.DUMMYFUNCTION("""COMPUTED_VALUE"""),12.244113)</f>
        <v>12.244113</v>
      </c>
      <c r="AE1909" s="3">
        <f>IFERROR(__xludf.DUMMYFUNCTION("""COMPUTED_VALUE"""),102.512418)</f>
        <v>102.512418</v>
      </c>
      <c r="AF1909" s="3" t="str">
        <f>IFERROR(__xludf.DUMMYFUNCTION("""COMPUTED_VALUE"""),"BCM ตลาดสดเทศบาลตราด ตราด-22595")</f>
        <v>BCM ตลาดสดเทศบาลตราด ตราด-22595</v>
      </c>
      <c r="AG1909" s="3" t="str">
        <f>IFERROR(__xludf.DUMMYFUNCTION("""COMPUTED_VALUE"""),"ตะวันออก")</f>
        <v>ตะวันออก</v>
      </c>
      <c r="AH1909" s="3" t="str">
        <f>IFERROR(__xludf.DUMMYFUNCTION("""COMPUTED_VALUE"""),"#N/A")</f>
        <v>#N/A</v>
      </c>
      <c r="AI1909" s="3" t="str">
        <f>IFERROR(__xludf.DUMMYFUNCTION("""COMPUTED_VALUE"""),"Out of warranty")</f>
        <v>Out of warranty</v>
      </c>
      <c r="AJ1909" s="3">
        <f>IFERROR(__xludf.DUMMYFUNCTION("""COMPUTED_VALUE"""),27.0)</f>
        <v>27</v>
      </c>
      <c r="AK1909" s="3" t="str">
        <f>IFERROR(__xludf.DUMMYFUNCTION("""COMPUTED_VALUE"""),"MMS08")</f>
        <v>MMS08</v>
      </c>
      <c r="AL1909" s="3"/>
    </row>
    <row r="1910" ht="15.75" customHeight="1">
      <c r="A1910" s="1" t="str">
        <f>IFERROR(__xludf.DUMMYFUNCTION("""COMPUTED_VALUE"""),"22596")</f>
        <v>22596</v>
      </c>
      <c r="B1910" s="2">
        <f>IFERROR(__xludf.DUMMYFUNCTION("""COMPUTED_VALUE"""),22596.0)</f>
        <v>22596</v>
      </c>
      <c r="C1910" s="3" t="str">
        <f>IFERROR(__xludf.DUMMYFUNCTION("""COMPUTED_VALUE"""),"BCM ตลาดกิเลน นครปฐม")</f>
        <v>BCM ตลาดกิเลน นครปฐม</v>
      </c>
      <c r="D1910" s="3" t="str">
        <f>IFERROR(__xludf.DUMMYFUNCTION("""COMPUTED_VALUE"""),"BCM TALAD KILANE NAKHON PATHOM")</f>
        <v>BCM TALAD KILANE NAKHON PATHOM</v>
      </c>
      <c r="E1910" s="1" t="str">
        <f>IFERROR(__xludf.DUMMYFUNCTION("""COMPUTED_VALUE"""),"บิ๊กซี MINI")</f>
        <v>บิ๊กซี MINI</v>
      </c>
      <c r="F1910" s="1" t="str">
        <f>IFERROR(__xludf.DUMMYFUNCTION("""COMPUTED_VALUE"""),"296229")</f>
        <v>296229</v>
      </c>
      <c r="G1910" s="1" t="str">
        <f>IFERROR(__xludf.DUMMYFUNCTION("""COMPUTED_VALUE"""),"นายทนงศักดิ์ บุญมา")</f>
        <v>นายทนงศักดิ์ บุญมา</v>
      </c>
      <c r="H1910" s="1" t="str">
        <f>IFERROR(__xludf.DUMMYFUNCTION("""COMPUTED_VALUE"""),"295245")</f>
        <v>295245</v>
      </c>
      <c r="I1910" s="1" t="str">
        <f>IFERROR(__xludf.DUMMYFUNCTION("""COMPUTED_VALUE"""),"นายมานะ วงศ์สุโชโต")</f>
        <v>นายมานะ วงศ์สุโชโต</v>
      </c>
      <c r="J1910" s="3">
        <f>IFERROR(__xludf.DUMMYFUNCTION("""COMPUTED_VALUE"""),46214.0)</f>
        <v>46214</v>
      </c>
      <c r="K1910" s="3" t="str">
        <f>IFERROR(__xludf.DUMMYFUNCTION("""COMPUTED_VALUE"""),"นายศักดิ์ชัย เด็ดดอกฟ้า")</f>
        <v>นายศักดิ์ชัย เด็ดดอกฟ้า</v>
      </c>
      <c r="L1910" s="1" t="str">
        <f>IFERROR(__xludf.DUMMYFUNCTION("""COMPUTED_VALUE"""),"02 K.Sakchai D")</f>
        <v>02 K.Sakchai D</v>
      </c>
      <c r="M1910" s="1" t="str">
        <f>IFERROR(__xludf.DUMMYFUNCTION("""COMPUTED_VALUE"""),"065-510-7376")</f>
        <v>065-510-7376</v>
      </c>
      <c r="N1910" s="3">
        <f>IFERROR(__xludf.DUMMYFUNCTION("""COMPUTED_VALUE"""),21714.0)</f>
        <v>21714</v>
      </c>
      <c r="O1910" s="3" t="str">
        <f>IFERROR(__xludf.DUMMYFUNCTION("""COMPUTED_VALUE"""),"MBC เอสโซ่ วัดโบสถ์")</f>
        <v>MBC เอสโซ่ วัดโบสถ์</v>
      </c>
      <c r="P1910" s="4">
        <f>IFERROR(__xludf.DUMMYFUNCTION("""COMPUTED_VALUE"""),45228.0)</f>
        <v>45228</v>
      </c>
      <c r="Q1910" s="3" t="str">
        <f>IFERROR(__xludf.DUMMYFUNCTION("""COMPUTED_VALUE"""),"A")</f>
        <v>A</v>
      </c>
      <c r="R1910" s="3" t="str">
        <f>IFERROR(__xludf.DUMMYFUNCTION("""COMPUTED_VALUE"""),"Small Format")</f>
        <v>Small Format</v>
      </c>
      <c r="S1910" s="3" t="str">
        <f>IFERROR(__xludf.DUMMYFUNCTION("""COMPUTED_VALUE"""),"BCM")</f>
        <v>BCM</v>
      </c>
      <c r="T1910" s="3" t="str">
        <f>IFERROR(__xludf.DUMMYFUNCTION("""COMPUTED_VALUE"""),"#N/A")</f>
        <v>#N/A</v>
      </c>
      <c r="U1910" s="3" t="str">
        <f>IFERROR(__xludf.DUMMYFUNCTION("""COMPUTED_VALUE"""),"#N/A")</f>
        <v>#N/A</v>
      </c>
      <c r="V1910" s="3" t="str">
        <f>IFERROR(__xludf.DUMMYFUNCTION("""COMPUTED_VALUE"""),"N")</f>
        <v>N</v>
      </c>
      <c r="W1910" s="3">
        <f>IFERROR(__xludf.DUMMYFUNCTION("""COMPUTED_VALUE"""),210703.0)</f>
        <v>210703</v>
      </c>
      <c r="X1910" s="3" t="str">
        <f>IFERROR(__xludf.DUMMYFUNCTION("""COMPUTED_VALUE"""),"16/99 หมู่5 ตำบลศาลายา อำเภอพุทธมลฑล จังหวัดนครปฐม 73170")</f>
        <v>16/99 หมู่5 ตำบลศาลายา อำเภอพุทธมลฑล จังหวัดนครปฐม 73170</v>
      </c>
      <c r="Y1910" s="3"/>
      <c r="Z1910" s="3" t="str">
        <f>IFERROR(__xludf.DUMMYFUNCTION("""COMPUTED_VALUE"""),"ศาลายา")</f>
        <v>ศาลายา</v>
      </c>
      <c r="AA1910" s="3" t="str">
        <f>IFERROR(__xludf.DUMMYFUNCTION("""COMPUTED_VALUE"""),"พุทธมลฑล")</f>
        <v>พุทธมลฑล</v>
      </c>
      <c r="AB1910" s="3" t="str">
        <f>IFERROR(__xludf.DUMMYFUNCTION("""COMPUTED_VALUE"""),"นครปฐม")</f>
        <v>นครปฐม</v>
      </c>
      <c r="AC1910" s="3">
        <f>IFERROR(__xludf.DUMMYFUNCTION("""COMPUTED_VALUE"""),73170.0)</f>
        <v>73170</v>
      </c>
      <c r="AD1910" s="3">
        <f>IFERROR(__xludf.DUMMYFUNCTION("""COMPUTED_VALUE"""),13.813711)</f>
        <v>13.813711</v>
      </c>
      <c r="AE1910" s="3">
        <f>IFERROR(__xludf.DUMMYFUNCTION("""COMPUTED_VALUE"""),100.322189)</f>
        <v>100.322189</v>
      </c>
      <c r="AF1910" s="3" t="str">
        <f>IFERROR(__xludf.DUMMYFUNCTION("""COMPUTED_VALUE"""),"BCM ตลาดกิเลน นครปฐม-22596")</f>
        <v>BCM ตลาดกิเลน นครปฐม-22596</v>
      </c>
      <c r="AG1910" s="3" t="str">
        <f>IFERROR(__xludf.DUMMYFUNCTION("""COMPUTED_VALUE"""),"กลาง")</f>
        <v>กลาง</v>
      </c>
      <c r="AH1910" s="3" t="str">
        <f>IFERROR(__xludf.DUMMYFUNCTION("""COMPUTED_VALUE"""),"#N/A")</f>
        <v>#N/A</v>
      </c>
      <c r="AI1910" s="3" t="str">
        <f>IFERROR(__xludf.DUMMYFUNCTION("""COMPUTED_VALUE"""),"Out of warranty")</f>
        <v>Out of warranty</v>
      </c>
      <c r="AJ1910" s="3">
        <f>IFERROR(__xludf.DUMMYFUNCTION("""COMPUTED_VALUE"""),27.0)</f>
        <v>27</v>
      </c>
      <c r="AK1910" s="3" t="str">
        <f>IFERROR(__xludf.DUMMYFUNCTION("""COMPUTED_VALUE"""),"MMS05")</f>
        <v>MMS05</v>
      </c>
      <c r="AL1910" s="3"/>
    </row>
    <row r="1911" ht="15.75" customHeight="1">
      <c r="A1911" s="1" t="str">
        <f>IFERROR(__xludf.DUMMYFUNCTION("""COMPUTED_VALUE"""),"22597")</f>
        <v>22597</v>
      </c>
      <c r="B1911" s="2">
        <f>IFERROR(__xludf.DUMMYFUNCTION("""COMPUTED_VALUE"""),22597.0)</f>
        <v>22597</v>
      </c>
      <c r="C1911" s="3" t="str">
        <f>IFERROR(__xludf.DUMMYFUNCTION("""COMPUTED_VALUE"""),"BCM ซ.ยอดเสน่ห์ 1 ภูเก็ต")</f>
        <v>BCM ซ.ยอดเสน่ห์ 1 ภูเก็ต</v>
      </c>
      <c r="D1911" s="3" t="str">
        <f>IFERROR(__xludf.DUMMYFUNCTION("""COMPUTED_VALUE"""),"BCM SOI YODSANAE 1 PHUKET")</f>
        <v>BCM SOI YODSANAE 1 PHUKET</v>
      </c>
      <c r="E1911" s="1" t="str">
        <f>IFERROR(__xludf.DUMMYFUNCTION("""COMPUTED_VALUE"""),"บิ๊กซี MINI")</f>
        <v>บิ๊กซี MINI</v>
      </c>
      <c r="F1911" s="1" t="str">
        <f>IFERROR(__xludf.DUMMYFUNCTION("""COMPUTED_VALUE"""),"250760")</f>
        <v>250760</v>
      </c>
      <c r="G1911" s="1" t="str">
        <f>IFERROR(__xludf.DUMMYFUNCTION("""COMPUTED_VALUE"""),"นายประทวน สาราบรรณ์")</f>
        <v>นายประทวน สาราบรรณ์</v>
      </c>
      <c r="H1911" s="1" t="str">
        <f>IFERROR(__xludf.DUMMYFUNCTION("""COMPUTED_VALUE"""),"357284")</f>
        <v>357284</v>
      </c>
      <c r="I1911" s="1" t="str">
        <f>IFERROR(__xludf.DUMMYFUNCTION("""COMPUTED_VALUE"""),"น.ส.เบญจวรรณ ปัณฑโมรา")</f>
        <v>น.ส.เบญจวรรณ ปัณฑโมรา</v>
      </c>
      <c r="J1911" s="3">
        <f>IFERROR(__xludf.DUMMYFUNCTION("""COMPUTED_VALUE"""),25324.0)</f>
        <v>25324</v>
      </c>
      <c r="K1911" s="3" t="str">
        <f>IFERROR(__xludf.DUMMYFUNCTION("""COMPUTED_VALUE"""),"นายวิเชฎฐ์ ติรัตนะประคม")</f>
        <v>นายวิเชฎฐ์ ติรัตนะประคม</v>
      </c>
      <c r="L1911" s="1" t="str">
        <f>IFERROR(__xludf.DUMMYFUNCTION("""COMPUTED_VALUE"""),"14 K.Wichet T.")</f>
        <v>14 K.Wichet T.</v>
      </c>
      <c r="M1911" s="1" t="str">
        <f>IFERROR(__xludf.DUMMYFUNCTION("""COMPUTED_VALUE"""),"061-417-6569 / 086-445-5636")</f>
        <v>061-417-6569 / 086-445-5636</v>
      </c>
      <c r="N1911" s="3">
        <f>IFERROR(__xludf.DUMMYFUNCTION("""COMPUTED_VALUE"""),22658.0)</f>
        <v>22658</v>
      </c>
      <c r="O1911" s="3" t="str">
        <f>IFERROR(__xludf.DUMMYFUNCTION("""COMPUTED_VALUE"""),"BCM ถ.วิรัชหงษ์หยก ภูเก็ต")</f>
        <v>BCM ถ.วิรัชหงษ์หยก ภูเก็ต</v>
      </c>
      <c r="P1911" s="4">
        <f>IFERROR(__xludf.DUMMYFUNCTION("""COMPUTED_VALUE"""),45228.0)</f>
        <v>45228</v>
      </c>
      <c r="Q1911" s="3" t="str">
        <f>IFERROR(__xludf.DUMMYFUNCTION("""COMPUTED_VALUE"""),"A")</f>
        <v>A</v>
      </c>
      <c r="R1911" s="3" t="str">
        <f>IFERROR(__xludf.DUMMYFUNCTION("""COMPUTED_VALUE"""),"Small Format")</f>
        <v>Small Format</v>
      </c>
      <c r="S1911" s="3" t="str">
        <f>IFERROR(__xludf.DUMMYFUNCTION("""COMPUTED_VALUE"""),"BCM")</f>
        <v>BCM</v>
      </c>
      <c r="T1911" s="3" t="str">
        <f>IFERROR(__xludf.DUMMYFUNCTION("""COMPUTED_VALUE"""),"#N/A")</f>
        <v>#N/A</v>
      </c>
      <c r="U1911" s="3" t="str">
        <f>IFERROR(__xludf.DUMMYFUNCTION("""COMPUTED_VALUE"""),"#N/A")</f>
        <v>#N/A</v>
      </c>
      <c r="V1911" s="3" t="str">
        <f>IFERROR(__xludf.DUMMYFUNCTION("""COMPUTED_VALUE"""),"N")</f>
        <v>N</v>
      </c>
      <c r="W1911" s="3">
        <f>IFERROR(__xludf.DUMMYFUNCTION("""COMPUTED_VALUE"""),210737.0)</f>
        <v>210737</v>
      </c>
      <c r="X1911" s="3" t="str">
        <f>IFERROR(__xludf.DUMMYFUNCTION("""COMPUTED_VALUE"""),"32/18 หมู่10 ตำบลฉลอง อำเภอเมืองภูเก็ต จังหวัดภูเก็ต 83130")</f>
        <v>32/18 หมู่10 ตำบลฉลอง อำเภอเมืองภูเก็ต จังหวัดภูเก็ต 83130</v>
      </c>
      <c r="Y1911" s="3"/>
      <c r="Z1911" s="3" t="str">
        <f>IFERROR(__xludf.DUMMYFUNCTION("""COMPUTED_VALUE"""),"ฉลอง")</f>
        <v>ฉลอง</v>
      </c>
      <c r="AA1911" s="3" t="str">
        <f>IFERROR(__xludf.DUMMYFUNCTION("""COMPUTED_VALUE"""),"เมืองภูเก็ต")</f>
        <v>เมืองภูเก็ต</v>
      </c>
      <c r="AB1911" s="3" t="str">
        <f>IFERROR(__xludf.DUMMYFUNCTION("""COMPUTED_VALUE"""),"ภูเก็ต")</f>
        <v>ภูเก็ต</v>
      </c>
      <c r="AC1911" s="3">
        <f>IFERROR(__xludf.DUMMYFUNCTION("""COMPUTED_VALUE"""),83130.0)</f>
        <v>83130</v>
      </c>
      <c r="AD1911" s="3">
        <f>IFERROR(__xludf.DUMMYFUNCTION("""COMPUTED_VALUE"""),7.831892)</f>
        <v>7.831892</v>
      </c>
      <c r="AE1911" s="3">
        <f>IFERROR(__xludf.DUMMYFUNCTION("""COMPUTED_VALUE"""),98.338151)</f>
        <v>98.338151</v>
      </c>
      <c r="AF1911" s="3" t="str">
        <f>IFERROR(__xludf.DUMMYFUNCTION("""COMPUTED_VALUE"""),"BCM ซ.ยอดเสน่ห์ 1 ภูเก็ต-22597")</f>
        <v>BCM ซ.ยอดเสน่ห์ 1 ภูเก็ต-22597</v>
      </c>
      <c r="AG1911" s="3" t="str">
        <f>IFERROR(__xludf.DUMMYFUNCTION("""COMPUTED_VALUE"""),"ใต้")</f>
        <v>ใต้</v>
      </c>
      <c r="AH1911" s="3" t="str">
        <f>IFERROR(__xludf.DUMMYFUNCTION("""COMPUTED_VALUE"""),"#N/A")</f>
        <v>#N/A</v>
      </c>
      <c r="AI1911" s="3" t="str">
        <f>IFERROR(__xludf.DUMMYFUNCTION("""COMPUTED_VALUE"""),"Out of warranty")</f>
        <v>Out of warranty</v>
      </c>
      <c r="AJ1911" s="3">
        <f>IFERROR(__xludf.DUMMYFUNCTION("""COMPUTED_VALUE"""),27.0)</f>
        <v>27</v>
      </c>
      <c r="AK1911" s="3" t="str">
        <f>IFERROR(__xludf.DUMMYFUNCTION("""COMPUTED_VALUE"""),"MMS15")</f>
        <v>MMS15</v>
      </c>
      <c r="AL1911" s="3"/>
    </row>
    <row r="1912" ht="15.75" customHeight="1">
      <c r="A1912" s="1" t="str">
        <f>IFERROR(__xludf.DUMMYFUNCTION("""COMPUTED_VALUE"""),"22598")</f>
        <v>22598</v>
      </c>
      <c r="B1912" s="2">
        <f>IFERROR(__xludf.DUMMYFUNCTION("""COMPUTED_VALUE"""),22598.0)</f>
        <v>22598</v>
      </c>
      <c r="C1912" s="3" t="str">
        <f>IFERROR(__xludf.DUMMYFUNCTION("""COMPUTED_VALUE"""),"BCM เดอะวัน เชียงราย")</f>
        <v>BCM เดอะวัน เชียงราย</v>
      </c>
      <c r="D1912" s="3" t="str">
        <f>IFERROR(__xludf.DUMMYFUNCTION("""COMPUTED_VALUE"""),"BCM THE ONE CHIANG RAI")</f>
        <v>BCM THE ONE CHIANG RAI</v>
      </c>
      <c r="E1912" s="1" t="str">
        <f>IFERROR(__xludf.DUMMYFUNCTION("""COMPUTED_VALUE"""),"บิ๊กซี MINI")</f>
        <v>บิ๊กซี MINI</v>
      </c>
      <c r="F1912" s="1" t="str">
        <f>IFERROR(__xludf.DUMMYFUNCTION("""COMPUTED_VALUE"""),"296229")</f>
        <v>296229</v>
      </c>
      <c r="G1912" s="1" t="str">
        <f>IFERROR(__xludf.DUMMYFUNCTION("""COMPUTED_VALUE"""),"นายทนงศักดิ์ บุญมา")</f>
        <v>นายทนงศักดิ์ บุญมา</v>
      </c>
      <c r="H1912" s="1" t="str">
        <f>IFERROR(__xludf.DUMMYFUNCTION("""COMPUTED_VALUE"""),"392585")</f>
        <v>392585</v>
      </c>
      <c r="I1912" s="1" t="str">
        <f>IFERROR(__xludf.DUMMYFUNCTION("""COMPUTED_VALUE"""),"นายไชยัณต์ ผิวขัวเรียง")</f>
        <v>นายไชยัณต์ ผิวขัวเรียง</v>
      </c>
      <c r="J1912" s="3">
        <f>IFERROR(__xludf.DUMMYFUNCTION("""COMPUTED_VALUE"""),2010016.0)</f>
        <v>2010016</v>
      </c>
      <c r="K1912" s="3" t="str">
        <f>IFERROR(__xludf.DUMMYFUNCTION("""COMPUTED_VALUE"""),"นายตวงธรรม ใหม่ยศ")</f>
        <v>นายตวงธรรม ใหม่ยศ</v>
      </c>
      <c r="L1912" s="1" t="str">
        <f>IFERROR(__xludf.DUMMYFUNCTION("""COMPUTED_VALUE"""),"01 K.Tuangtham M.")</f>
        <v>01 K.Tuangtham M.</v>
      </c>
      <c r="M1912" s="1" t="str">
        <f>IFERROR(__xludf.DUMMYFUNCTION("""COMPUTED_VALUE"""),"063-976-595")</f>
        <v>063-976-595</v>
      </c>
      <c r="N1912" s="3">
        <f>IFERROR(__xludf.DUMMYFUNCTION("""COMPUTED_VALUE"""),22574.0)</f>
        <v>22574</v>
      </c>
      <c r="O1912" s="3" t="str">
        <f>IFERROR(__xludf.DUMMYFUNCTION("""COMPUTED_VALUE"""),"BCM ชุมชนศรีชุม ลำปาง")</f>
        <v>BCM ชุมชนศรีชุม ลำปาง</v>
      </c>
      <c r="P1912" s="4">
        <f>IFERROR(__xludf.DUMMYFUNCTION("""COMPUTED_VALUE"""),45219.0)</f>
        <v>45219</v>
      </c>
      <c r="Q1912" s="3" t="str">
        <f>IFERROR(__xludf.DUMMYFUNCTION("""COMPUTED_VALUE"""),"A")</f>
        <v>A</v>
      </c>
      <c r="R1912" s="3" t="str">
        <f>IFERROR(__xludf.DUMMYFUNCTION("""COMPUTED_VALUE"""),"Small Format")</f>
        <v>Small Format</v>
      </c>
      <c r="S1912" s="3" t="str">
        <f>IFERROR(__xludf.DUMMYFUNCTION("""COMPUTED_VALUE"""),"BCM")</f>
        <v>BCM</v>
      </c>
      <c r="T1912" s="3" t="str">
        <f>IFERROR(__xludf.DUMMYFUNCTION("""COMPUTED_VALUE"""),"#N/A")</f>
        <v>#N/A</v>
      </c>
      <c r="U1912" s="3" t="str">
        <f>IFERROR(__xludf.DUMMYFUNCTION("""COMPUTED_VALUE"""),"#N/A")</f>
        <v>#N/A</v>
      </c>
      <c r="V1912" s="3" t="str">
        <f>IFERROR(__xludf.DUMMYFUNCTION("""COMPUTED_VALUE"""),"N")</f>
        <v>N</v>
      </c>
      <c r="W1912" s="3">
        <f>IFERROR(__xludf.DUMMYFUNCTION("""COMPUTED_VALUE"""),210699.0)</f>
        <v>210699</v>
      </c>
      <c r="X1912" s="3" t="str">
        <f>IFERROR(__xludf.DUMMYFUNCTION("""COMPUTED_VALUE"""),"178 หมู่10 ตำบลสันทราย อำเภอเมืองเชียงราย จังหวัดเชียงราย 57000")</f>
        <v>178 หมู่10 ตำบลสันทราย อำเภอเมืองเชียงราย จังหวัดเชียงราย 57000</v>
      </c>
      <c r="Y1912" s="3"/>
      <c r="Z1912" s="3" t="str">
        <f>IFERROR(__xludf.DUMMYFUNCTION("""COMPUTED_VALUE"""),"สันทราย")</f>
        <v>สันทราย</v>
      </c>
      <c r="AA1912" s="3" t="str">
        <f>IFERROR(__xludf.DUMMYFUNCTION("""COMPUTED_VALUE"""),"เมืองเชียงราย")</f>
        <v>เมืองเชียงราย</v>
      </c>
      <c r="AB1912" s="3" t="str">
        <f>IFERROR(__xludf.DUMMYFUNCTION("""COMPUTED_VALUE"""),"เชียงราย")</f>
        <v>เชียงราย</v>
      </c>
      <c r="AC1912" s="3">
        <f>IFERROR(__xludf.DUMMYFUNCTION("""COMPUTED_VALUE"""),57000.0)</f>
        <v>57000</v>
      </c>
      <c r="AD1912" s="3">
        <f>IFERROR(__xludf.DUMMYFUNCTION("""COMPUTED_VALUE"""),19.866553)</f>
        <v>19.866553</v>
      </c>
      <c r="AE1912" s="3">
        <f>IFERROR(__xludf.DUMMYFUNCTION("""COMPUTED_VALUE"""),99.823131)</f>
        <v>99.823131</v>
      </c>
      <c r="AF1912" s="3" t="str">
        <f>IFERROR(__xludf.DUMMYFUNCTION("""COMPUTED_VALUE"""),"BCM เดอะวัน เชียงราย-22598")</f>
        <v>BCM เดอะวัน เชียงราย-22598</v>
      </c>
      <c r="AG1912" s="3" t="str">
        <f>IFERROR(__xludf.DUMMYFUNCTION("""COMPUTED_VALUE"""),"เหนือ")</f>
        <v>เหนือ</v>
      </c>
      <c r="AH1912" s="3" t="str">
        <f>IFERROR(__xludf.DUMMYFUNCTION("""COMPUTED_VALUE"""),"#N/A")</f>
        <v>#N/A</v>
      </c>
      <c r="AI1912" s="3" t="str">
        <f>IFERROR(__xludf.DUMMYFUNCTION("""COMPUTED_VALUE"""),"Out of warranty")</f>
        <v>Out of warranty</v>
      </c>
      <c r="AJ1912" s="3">
        <f>IFERROR(__xludf.DUMMYFUNCTION("""COMPUTED_VALUE"""),28.0)</f>
        <v>28</v>
      </c>
      <c r="AK1912" s="3" t="str">
        <f>IFERROR(__xludf.DUMMYFUNCTION("""COMPUTED_VALUE"""),"MMS10")</f>
        <v>MMS10</v>
      </c>
      <c r="AL1912" s="3"/>
    </row>
    <row r="1913" ht="15.75" customHeight="1">
      <c r="A1913" s="1" t="str">
        <f>IFERROR(__xludf.DUMMYFUNCTION("""COMPUTED_VALUE"""),"22599")</f>
        <v>22599</v>
      </c>
      <c r="B1913" s="2">
        <f>IFERROR(__xludf.DUMMYFUNCTION("""COMPUTED_VALUE"""),22599.0)</f>
        <v>22599</v>
      </c>
      <c r="C1913" s="3" t="str">
        <f>IFERROR(__xludf.DUMMYFUNCTION("""COMPUTED_VALUE"""),"BCM ตลาดบิ๊กมาร์เก็ต ชลบุรี")</f>
        <v>BCM ตลาดบิ๊กมาร์เก็ต ชลบุรี</v>
      </c>
      <c r="D1913" s="3" t="str">
        <f>IFERROR(__xludf.DUMMYFUNCTION("""COMPUTED_VALUE"""),"BCM TALAD BIG MARKET CHON BURI")</f>
        <v>BCM TALAD BIG MARKET CHON BURI</v>
      </c>
      <c r="E1913" s="1" t="str">
        <f>IFERROR(__xludf.DUMMYFUNCTION("""COMPUTED_VALUE"""),"บิ๊กซี MINI")</f>
        <v>บิ๊กซี MINI</v>
      </c>
      <c r="F1913" s="1" t="str">
        <f>IFERROR(__xludf.DUMMYFUNCTION("""COMPUTED_VALUE"""),"221716")</f>
        <v>221716</v>
      </c>
      <c r="G1913" s="1" t="str">
        <f>IFERROR(__xludf.DUMMYFUNCTION("""COMPUTED_VALUE"""),"น.ส.เบญจพร โพธิสาร")</f>
        <v>น.ส.เบญจพร โพธิสาร</v>
      </c>
      <c r="H1913" s="1" t="str">
        <f>IFERROR(__xludf.DUMMYFUNCTION("""COMPUTED_VALUE"""),"376139")</f>
        <v>376139</v>
      </c>
      <c r="I1913" s="1" t="str">
        <f>IFERROR(__xludf.DUMMYFUNCTION("""COMPUTED_VALUE"""),"นายอนุชา อำไพ")</f>
        <v>นายอนุชา อำไพ</v>
      </c>
      <c r="J1913" s="3">
        <f>IFERROR(__xludf.DUMMYFUNCTION("""COMPUTED_VALUE"""),296942.0)</f>
        <v>296942</v>
      </c>
      <c r="K1913" s="3" t="str">
        <f>IFERROR(__xludf.DUMMYFUNCTION("""COMPUTED_VALUE"""),"นายปิยะ รักษากิจ")</f>
        <v>นายปิยะ รักษากิจ</v>
      </c>
      <c r="L1913" s="1" t="str">
        <f>IFERROR(__xludf.DUMMYFUNCTION("""COMPUTED_VALUE"""),"07 K.Piya R.")</f>
        <v>07 K.Piya R.</v>
      </c>
      <c r="M1913" s="1" t="str">
        <f>IFERROR(__xludf.DUMMYFUNCTION("""COMPUTED_VALUE"""),"097-919-5476")</f>
        <v>097-919-5476</v>
      </c>
      <c r="N1913" s="3">
        <f>IFERROR(__xludf.DUMMYFUNCTION("""COMPUTED_VALUE"""),21332.0)</f>
        <v>21332</v>
      </c>
      <c r="O1913" s="3" t="str">
        <f>IFERROR(__xludf.DUMMYFUNCTION("""COMPUTED_VALUE"""),"MBC BCP อ่อนนุช 17/1")</f>
        <v>MBC BCP อ่อนนุช 17/1</v>
      </c>
      <c r="P1913" s="4">
        <f>IFERROR(__xludf.DUMMYFUNCTION("""COMPUTED_VALUE"""),45215.0)</f>
        <v>45215</v>
      </c>
      <c r="Q1913" s="3" t="str">
        <f>IFERROR(__xludf.DUMMYFUNCTION("""COMPUTED_VALUE"""),"A")</f>
        <v>A</v>
      </c>
      <c r="R1913" s="3" t="str">
        <f>IFERROR(__xludf.DUMMYFUNCTION("""COMPUTED_VALUE"""),"Small Format")</f>
        <v>Small Format</v>
      </c>
      <c r="S1913" s="3" t="str">
        <f>IFERROR(__xludf.DUMMYFUNCTION("""COMPUTED_VALUE"""),"BCM")</f>
        <v>BCM</v>
      </c>
      <c r="T1913" s="3" t="str">
        <f>IFERROR(__xludf.DUMMYFUNCTION("""COMPUTED_VALUE"""),"#N/A")</f>
        <v>#N/A</v>
      </c>
      <c r="U1913" s="3" t="str">
        <f>IFERROR(__xludf.DUMMYFUNCTION("""COMPUTED_VALUE"""),"#N/A")</f>
        <v>#N/A</v>
      </c>
      <c r="V1913" s="3" t="str">
        <f>IFERROR(__xludf.DUMMYFUNCTION("""COMPUTED_VALUE"""),"N")</f>
        <v>N</v>
      </c>
      <c r="W1913" s="3">
        <f>IFERROR(__xludf.DUMMYFUNCTION("""COMPUTED_VALUE"""),210722.0)</f>
        <v>210722</v>
      </c>
      <c r="X1913" s="3" t="str">
        <f>IFERROR(__xludf.DUMMYFUNCTION("""COMPUTED_VALUE"""),"208/56 หมู่8 ตำบลสุรศักดิ์ อำเภอศรีราชา จังหวัดชลบุรี 20110")</f>
        <v>208/56 หมู่8 ตำบลสุรศักดิ์ อำเภอศรีราชา จังหวัดชลบุรี 20110</v>
      </c>
      <c r="Y1913" s="3"/>
      <c r="Z1913" s="3" t="str">
        <f>IFERROR(__xludf.DUMMYFUNCTION("""COMPUTED_VALUE"""),"สุรศักดิ์")</f>
        <v>สุรศักดิ์</v>
      </c>
      <c r="AA1913" s="3" t="str">
        <f>IFERROR(__xludf.DUMMYFUNCTION("""COMPUTED_VALUE"""),"ศรีราชา")</f>
        <v>ศรีราชา</v>
      </c>
      <c r="AB1913" s="3" t="str">
        <f>IFERROR(__xludf.DUMMYFUNCTION("""COMPUTED_VALUE"""),"ชลบุรี")</f>
        <v>ชลบุรี</v>
      </c>
      <c r="AC1913" s="3">
        <f>IFERROR(__xludf.DUMMYFUNCTION("""COMPUTED_VALUE"""),20110.0)</f>
        <v>20110</v>
      </c>
      <c r="AD1913" s="3">
        <f>IFERROR(__xludf.DUMMYFUNCTION("""COMPUTED_VALUE"""),13.143538)</f>
        <v>13.143538</v>
      </c>
      <c r="AE1913" s="3" t="str">
        <f>IFERROR(__xludf.DUMMYFUNCTION("""COMPUTED_VALUE"""),"100.959 837")</f>
        <v>100.959 837</v>
      </c>
      <c r="AF1913" s="3" t="str">
        <f>IFERROR(__xludf.DUMMYFUNCTION("""COMPUTED_VALUE"""),"BCM ตลาดบิ๊กมาร์เก็ต ชลบุรี-22599")</f>
        <v>BCM ตลาดบิ๊กมาร์เก็ต ชลบุรี-22599</v>
      </c>
      <c r="AG1913" s="3" t="str">
        <f>IFERROR(__xludf.DUMMYFUNCTION("""COMPUTED_VALUE"""),"ตะวันออก")</f>
        <v>ตะวันออก</v>
      </c>
      <c r="AH1913" s="3" t="str">
        <f>IFERROR(__xludf.DUMMYFUNCTION("""COMPUTED_VALUE"""),"#N/A")</f>
        <v>#N/A</v>
      </c>
      <c r="AI1913" s="3" t="str">
        <f>IFERROR(__xludf.DUMMYFUNCTION("""COMPUTED_VALUE"""),"Out of warranty")</f>
        <v>Out of warranty</v>
      </c>
      <c r="AJ1913" s="3">
        <f>IFERROR(__xludf.DUMMYFUNCTION("""COMPUTED_VALUE"""),28.0)</f>
        <v>28</v>
      </c>
      <c r="AK1913" s="3" t="str">
        <f>IFERROR(__xludf.DUMMYFUNCTION("""COMPUTED_VALUE"""),"MMS06")</f>
        <v>MMS06</v>
      </c>
      <c r="AL1913" s="3"/>
    </row>
    <row r="1914" ht="15.75" customHeight="1">
      <c r="A1914" s="1" t="str">
        <f>IFERROR(__xludf.DUMMYFUNCTION("""COMPUTED_VALUE"""),"22600")</f>
        <v>22600</v>
      </c>
      <c r="B1914" s="2">
        <f>IFERROR(__xludf.DUMMYFUNCTION("""COMPUTED_VALUE"""),22600.0)</f>
        <v>22600</v>
      </c>
      <c r="C1914" s="3" t="str">
        <f>IFERROR(__xludf.DUMMYFUNCTION("""COMPUTED_VALUE"""),"BCM อ.ท่าวังผา น่าน")</f>
        <v>BCM อ.ท่าวังผา น่าน</v>
      </c>
      <c r="D1914" s="3" t="str">
        <f>IFERROR(__xludf.DUMMYFUNCTION("""COMPUTED_VALUE"""),"BCM AMPHOE THA WANG PHA NAN")</f>
        <v>BCM AMPHOE THA WANG PHA NAN</v>
      </c>
      <c r="E1914" s="1" t="str">
        <f>IFERROR(__xludf.DUMMYFUNCTION("""COMPUTED_VALUE"""),"บิ๊กซี MINI")</f>
        <v>บิ๊กซี MINI</v>
      </c>
      <c r="F1914" s="1" t="str">
        <f>IFERROR(__xludf.DUMMYFUNCTION("""COMPUTED_VALUE"""),"296229")</f>
        <v>296229</v>
      </c>
      <c r="G1914" s="1" t="str">
        <f>IFERROR(__xludf.DUMMYFUNCTION("""COMPUTED_VALUE"""),"นายทนงศักดิ์ บุญมา")</f>
        <v>นายทนงศักดิ์ บุญมา</v>
      </c>
      <c r="H1914" s="1" t="str">
        <f>IFERROR(__xludf.DUMMYFUNCTION("""COMPUTED_VALUE"""),"372826")</f>
        <v>372826</v>
      </c>
      <c r="I1914" s="1" t="str">
        <f>IFERROR(__xludf.DUMMYFUNCTION("""COMPUTED_VALUE"""),"นายพงศกร สุขแก้ว")</f>
        <v>นายพงศกร สุขแก้ว</v>
      </c>
      <c r="J1914" s="3">
        <f>IFERROR(__xludf.DUMMYFUNCTION("""COMPUTED_VALUE"""),2010016.0)</f>
        <v>2010016</v>
      </c>
      <c r="K1914" s="3" t="str">
        <f>IFERROR(__xludf.DUMMYFUNCTION("""COMPUTED_VALUE"""),"นายตวงธรรม ใหม่ยศ")</f>
        <v>นายตวงธรรม ใหม่ยศ</v>
      </c>
      <c r="L1914" s="1" t="str">
        <f>IFERROR(__xludf.DUMMYFUNCTION("""COMPUTED_VALUE"""),"01 K.Tuangtham M.")</f>
        <v>01 K.Tuangtham M.</v>
      </c>
      <c r="M1914" s="1" t="str">
        <f>IFERROR(__xludf.DUMMYFUNCTION("""COMPUTED_VALUE"""),"063-976-595")</f>
        <v>063-976-595</v>
      </c>
      <c r="N1914" s="3">
        <f>IFERROR(__xludf.DUMMYFUNCTION("""COMPUTED_VALUE"""),22574.0)</f>
        <v>22574</v>
      </c>
      <c r="O1914" s="3" t="str">
        <f>IFERROR(__xludf.DUMMYFUNCTION("""COMPUTED_VALUE"""),"BCM ชุมชนศรีชุม ลำปาง")</f>
        <v>BCM ชุมชนศรีชุม ลำปาง</v>
      </c>
      <c r="P1914" s="4">
        <f>IFERROR(__xludf.DUMMYFUNCTION("""COMPUTED_VALUE"""),45219.0)</f>
        <v>45219</v>
      </c>
      <c r="Q1914" s="3" t="str">
        <f>IFERROR(__xludf.DUMMYFUNCTION("""COMPUTED_VALUE"""),"A")</f>
        <v>A</v>
      </c>
      <c r="R1914" s="3" t="str">
        <f>IFERROR(__xludf.DUMMYFUNCTION("""COMPUTED_VALUE"""),"Small Format")</f>
        <v>Small Format</v>
      </c>
      <c r="S1914" s="3" t="str">
        <f>IFERROR(__xludf.DUMMYFUNCTION("""COMPUTED_VALUE"""),"BCM")</f>
        <v>BCM</v>
      </c>
      <c r="T1914" s="3" t="str">
        <f>IFERROR(__xludf.DUMMYFUNCTION("""COMPUTED_VALUE"""),"#N/A")</f>
        <v>#N/A</v>
      </c>
      <c r="U1914" s="3" t="str">
        <f>IFERROR(__xludf.DUMMYFUNCTION("""COMPUTED_VALUE"""),"#N/A")</f>
        <v>#N/A</v>
      </c>
      <c r="V1914" s="3" t="str">
        <f>IFERROR(__xludf.DUMMYFUNCTION("""COMPUTED_VALUE"""),"N")</f>
        <v>N</v>
      </c>
      <c r="W1914" s="3">
        <f>IFERROR(__xludf.DUMMYFUNCTION("""COMPUTED_VALUE"""),210727.0)</f>
        <v>210727</v>
      </c>
      <c r="X1914" s="3" t="str">
        <f>IFERROR(__xludf.DUMMYFUNCTION("""COMPUTED_VALUE"""),"198/6-7 หมู่7 ตำบลท่าวังผา อำเภอท่าวังผา จังหวัดน่าน 55140")</f>
        <v>198/6-7 หมู่7 ตำบลท่าวังผา อำเภอท่าวังผา จังหวัดน่าน 55140</v>
      </c>
      <c r="Y1914" s="3"/>
      <c r="Z1914" s="3" t="str">
        <f>IFERROR(__xludf.DUMMYFUNCTION("""COMPUTED_VALUE"""),"ท่าวังผา")</f>
        <v>ท่าวังผา</v>
      </c>
      <c r="AA1914" s="3" t="str">
        <f>IFERROR(__xludf.DUMMYFUNCTION("""COMPUTED_VALUE"""),"ท่าวังผา")</f>
        <v>ท่าวังผา</v>
      </c>
      <c r="AB1914" s="3" t="str">
        <f>IFERROR(__xludf.DUMMYFUNCTION("""COMPUTED_VALUE"""),"น่าน")</f>
        <v>น่าน</v>
      </c>
      <c r="AC1914" s="3">
        <f>IFERROR(__xludf.DUMMYFUNCTION("""COMPUTED_VALUE"""),55140.0)</f>
        <v>55140</v>
      </c>
      <c r="AD1914" s="3">
        <f>IFERROR(__xludf.DUMMYFUNCTION("""COMPUTED_VALUE"""),19.099865)</f>
        <v>19.099865</v>
      </c>
      <c r="AE1914" s="3" t="str">
        <f>IFERROR(__xludf.DUMMYFUNCTION("""COMPUTED_VALUE"""),"100.80600 5")</f>
        <v>100.80600 5</v>
      </c>
      <c r="AF1914" s="3" t="str">
        <f>IFERROR(__xludf.DUMMYFUNCTION("""COMPUTED_VALUE"""),"BCM อ.ท่าวังผา น่าน-22600")</f>
        <v>BCM อ.ท่าวังผา น่าน-22600</v>
      </c>
      <c r="AG1914" s="3" t="str">
        <f>IFERROR(__xludf.DUMMYFUNCTION("""COMPUTED_VALUE"""),"เหนือ")</f>
        <v>เหนือ</v>
      </c>
      <c r="AH1914" s="3" t="str">
        <f>IFERROR(__xludf.DUMMYFUNCTION("""COMPUTED_VALUE"""),"#N/A")</f>
        <v>#N/A</v>
      </c>
      <c r="AI1914" s="3" t="str">
        <f>IFERROR(__xludf.DUMMYFUNCTION("""COMPUTED_VALUE"""),"Out of warranty")</f>
        <v>Out of warranty</v>
      </c>
      <c r="AJ1914" s="3">
        <f>IFERROR(__xludf.DUMMYFUNCTION("""COMPUTED_VALUE"""),28.0)</f>
        <v>28</v>
      </c>
      <c r="AK1914" s="3" t="str">
        <f>IFERROR(__xludf.DUMMYFUNCTION("""COMPUTED_VALUE"""),"MMS10")</f>
        <v>MMS10</v>
      </c>
      <c r="AL1914" s="3"/>
    </row>
    <row r="1915" ht="15.75" customHeight="1">
      <c r="A1915" s="1" t="str">
        <f>IFERROR(__xludf.DUMMYFUNCTION("""COMPUTED_VALUE"""),"22601")</f>
        <v>22601</v>
      </c>
      <c r="B1915" s="2">
        <f>IFERROR(__xludf.DUMMYFUNCTION("""COMPUTED_VALUE"""),22601.0)</f>
        <v>22601</v>
      </c>
      <c r="C1915" s="3" t="str">
        <f>IFERROR(__xludf.DUMMYFUNCTION("""COMPUTED_VALUE"""),"BCM บ้านคลองโขง (เกาะลันตา) กระบี่")</f>
        <v>BCM บ้านคลองโขง (เกาะลันตา) กระบี่</v>
      </c>
      <c r="D1915" s="3" t="str">
        <f>IFERROR(__xludf.DUMMYFUNCTION("""COMPUTED_VALUE"""),"BCM BAN KHLONG KHONG KRABI")</f>
        <v>BCM BAN KHLONG KHONG KRABI</v>
      </c>
      <c r="E1915" s="1" t="str">
        <f>IFERROR(__xludf.DUMMYFUNCTION("""COMPUTED_VALUE"""),"บิ๊กซี MINI")</f>
        <v>บิ๊กซี MINI</v>
      </c>
      <c r="F1915" s="1" t="str">
        <f>IFERROR(__xludf.DUMMYFUNCTION("""COMPUTED_VALUE"""),"250760")</f>
        <v>250760</v>
      </c>
      <c r="G1915" s="1" t="str">
        <f>IFERROR(__xludf.DUMMYFUNCTION("""COMPUTED_VALUE"""),"นายประทวน สาราบรรณ์")</f>
        <v>นายประทวน สาราบรรณ์</v>
      </c>
      <c r="H1915" s="1" t="str">
        <f>IFERROR(__xludf.DUMMYFUNCTION("""COMPUTED_VALUE"""),"394143")</f>
        <v>394143</v>
      </c>
      <c r="I1915" s="1" t="str">
        <f>IFERROR(__xludf.DUMMYFUNCTION("""COMPUTED_VALUE"""),"นายวิษณุ เพชรหัตถ์")</f>
        <v>นายวิษณุ เพชรหัตถ์</v>
      </c>
      <c r="J1915" s="3">
        <f>IFERROR(__xludf.DUMMYFUNCTION("""COMPUTED_VALUE"""),2.0470331E7)</f>
        <v>20470331</v>
      </c>
      <c r="K1915" s="3" t="str">
        <f>IFERROR(__xludf.DUMMYFUNCTION("""COMPUTED_VALUE"""),"นายสมชาย ลักษณะสุวรรณ")</f>
        <v>นายสมชาย ลักษณะสุวรรณ</v>
      </c>
      <c r="L1915" s="1" t="str">
        <f>IFERROR(__xludf.DUMMYFUNCTION("""COMPUTED_VALUE"""),"15 K.Somchai L")</f>
        <v>15 K.Somchai L</v>
      </c>
      <c r="M1915" s="1" t="str">
        <f>IFERROR(__xludf.DUMMYFUNCTION("""COMPUTED_VALUE"""),"0655107372")</f>
        <v>0655107372</v>
      </c>
      <c r="N1915" s="3">
        <f>IFERROR(__xludf.DUMMYFUNCTION("""COMPUTED_VALUE"""),21723.0)</f>
        <v>21723</v>
      </c>
      <c r="O1915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915" s="4">
        <f>IFERROR(__xludf.DUMMYFUNCTION("""COMPUTED_VALUE"""),45256.0)</f>
        <v>45256</v>
      </c>
      <c r="Q1915" s="3" t="str">
        <f>IFERROR(__xludf.DUMMYFUNCTION("""COMPUTED_VALUE"""),"A")</f>
        <v>A</v>
      </c>
      <c r="R1915" s="3" t="str">
        <f>IFERROR(__xludf.DUMMYFUNCTION("""COMPUTED_VALUE"""),"Small Format")</f>
        <v>Small Format</v>
      </c>
      <c r="S1915" s="3" t="str">
        <f>IFERROR(__xludf.DUMMYFUNCTION("""COMPUTED_VALUE"""),"BCM")</f>
        <v>BCM</v>
      </c>
      <c r="T1915" s="3" t="str">
        <f>IFERROR(__xludf.DUMMYFUNCTION("""COMPUTED_VALUE"""),"#N/A")</f>
        <v>#N/A</v>
      </c>
      <c r="U1915" s="3" t="str">
        <f>IFERROR(__xludf.DUMMYFUNCTION("""COMPUTED_VALUE"""),"#N/A")</f>
        <v>#N/A</v>
      </c>
      <c r="V1915" s="3" t="str">
        <f>IFERROR(__xludf.DUMMYFUNCTION("""COMPUTED_VALUE"""),"N")</f>
        <v>N</v>
      </c>
      <c r="W1915" s="3">
        <f>IFERROR(__xludf.DUMMYFUNCTION("""COMPUTED_VALUE"""),210700.0)</f>
        <v>210700</v>
      </c>
      <c r="X1915" s="3" t="str">
        <f>IFERROR(__xludf.DUMMYFUNCTION("""COMPUTED_VALUE"""),"78/1 หมู่2 ตำบลศาลาด่าน อำเภอเกาะลันตา จังหวัดกระบี่ 81150")</f>
        <v>78/1 หมู่2 ตำบลศาลาด่าน อำเภอเกาะลันตา จังหวัดกระบี่ 81150</v>
      </c>
      <c r="Y1915" s="3"/>
      <c r="Z1915" s="3" t="str">
        <f>IFERROR(__xludf.DUMMYFUNCTION("""COMPUTED_VALUE"""),"ศาลาด่าน")</f>
        <v>ศาลาด่าน</v>
      </c>
      <c r="AA1915" s="3" t="str">
        <f>IFERROR(__xludf.DUMMYFUNCTION("""COMPUTED_VALUE"""),"เกาะลันตา")</f>
        <v>เกาะลันตา</v>
      </c>
      <c r="AB1915" s="3" t="str">
        <f>IFERROR(__xludf.DUMMYFUNCTION("""COMPUTED_VALUE"""),"กระบี่")</f>
        <v>กระบี่</v>
      </c>
      <c r="AC1915" s="3">
        <f>IFERROR(__xludf.DUMMYFUNCTION("""COMPUTED_VALUE"""),81150.0)</f>
        <v>81150</v>
      </c>
      <c r="AD1915" s="3">
        <f>IFERROR(__xludf.DUMMYFUNCTION("""COMPUTED_VALUE"""),7.570692)</f>
        <v>7.570692</v>
      </c>
      <c r="AE1915" s="3">
        <f>IFERROR(__xludf.DUMMYFUNCTION("""COMPUTED_VALUE"""),99.035915)</f>
        <v>99.035915</v>
      </c>
      <c r="AF1915" s="3" t="str">
        <f>IFERROR(__xludf.DUMMYFUNCTION("""COMPUTED_VALUE"""),"BCM บ้านคลองโขง (เกาะลันตา) กระบี่-22601")</f>
        <v>BCM บ้านคลองโขง (เกาะลันตา) กระบี่-22601</v>
      </c>
      <c r="AG1915" s="3" t="str">
        <f>IFERROR(__xludf.DUMMYFUNCTION("""COMPUTED_VALUE"""),"ใต้")</f>
        <v>ใต้</v>
      </c>
      <c r="AH1915" s="3" t="str">
        <f>IFERROR(__xludf.DUMMYFUNCTION("""COMPUTED_VALUE"""),"#N/A")</f>
        <v>#N/A</v>
      </c>
      <c r="AI1915" s="3" t="str">
        <f>IFERROR(__xludf.DUMMYFUNCTION("""COMPUTED_VALUE"""),"Out of warranty")</f>
        <v>Out of warranty</v>
      </c>
      <c r="AJ1915" s="3">
        <f>IFERROR(__xludf.DUMMYFUNCTION("""COMPUTED_VALUE"""),26.0)</f>
        <v>26</v>
      </c>
      <c r="AK1915" s="3" t="str">
        <f>IFERROR(__xludf.DUMMYFUNCTION("""COMPUTED_VALUE"""),"MMS15")</f>
        <v>MMS15</v>
      </c>
      <c r="AL1915" s="3"/>
    </row>
    <row r="1916" ht="15.75" customHeight="1">
      <c r="A1916" s="1" t="str">
        <f>IFERROR(__xludf.DUMMYFUNCTION("""COMPUTED_VALUE"""),"22602")</f>
        <v>22602</v>
      </c>
      <c r="B1916" s="2">
        <f>IFERROR(__xludf.DUMMYFUNCTION("""COMPUTED_VALUE"""),22602.0)</f>
        <v>22602</v>
      </c>
      <c r="C1916" s="3" t="str">
        <f>IFERROR(__xludf.DUMMYFUNCTION("""COMPUTED_VALUE"""),"BCM เวียงสา น่าน")</f>
        <v>BCM เวียงสา น่าน</v>
      </c>
      <c r="D1916" s="3" t="str">
        <f>IFERROR(__xludf.DUMMYFUNCTION("""COMPUTED_VALUE"""),"BCM WIANG SA NAN")</f>
        <v>BCM WIANG SA NAN</v>
      </c>
      <c r="E1916" s="1" t="str">
        <f>IFERROR(__xludf.DUMMYFUNCTION("""COMPUTED_VALUE"""),"บิ๊กซี MINI")</f>
        <v>บิ๊กซี MINI</v>
      </c>
      <c r="F1916" s="1" t="str">
        <f>IFERROR(__xludf.DUMMYFUNCTION("""COMPUTED_VALUE"""),"296229")</f>
        <v>296229</v>
      </c>
      <c r="G1916" s="1" t="str">
        <f>IFERROR(__xludf.DUMMYFUNCTION("""COMPUTED_VALUE"""),"นายทนงศักดิ์ บุญมา")</f>
        <v>นายทนงศักดิ์ บุญมา</v>
      </c>
      <c r="H1916" s="1" t="str">
        <f>IFERROR(__xludf.DUMMYFUNCTION("""COMPUTED_VALUE"""),"372826")</f>
        <v>372826</v>
      </c>
      <c r="I1916" s="1" t="str">
        <f>IFERROR(__xludf.DUMMYFUNCTION("""COMPUTED_VALUE"""),"นายพงศกร สุขแก้ว")</f>
        <v>นายพงศกร สุขแก้ว</v>
      </c>
      <c r="J1916" s="3">
        <f>IFERROR(__xludf.DUMMYFUNCTION("""COMPUTED_VALUE"""),2010016.0)</f>
        <v>2010016</v>
      </c>
      <c r="K1916" s="3" t="str">
        <f>IFERROR(__xludf.DUMMYFUNCTION("""COMPUTED_VALUE"""),"นายตวงธรรม ใหม่ยศ")</f>
        <v>นายตวงธรรม ใหม่ยศ</v>
      </c>
      <c r="L1916" s="1" t="str">
        <f>IFERROR(__xludf.DUMMYFUNCTION("""COMPUTED_VALUE"""),"01 K.Tuangtham M.")</f>
        <v>01 K.Tuangtham M.</v>
      </c>
      <c r="M1916" s="1" t="str">
        <f>IFERROR(__xludf.DUMMYFUNCTION("""COMPUTED_VALUE"""),"063-976-595")</f>
        <v>063-976-595</v>
      </c>
      <c r="N1916" s="3">
        <f>IFERROR(__xludf.DUMMYFUNCTION("""COMPUTED_VALUE"""),22574.0)</f>
        <v>22574</v>
      </c>
      <c r="O1916" s="3" t="str">
        <f>IFERROR(__xludf.DUMMYFUNCTION("""COMPUTED_VALUE"""),"BCM ชุมชนศรีชุม ลำปาง")</f>
        <v>BCM ชุมชนศรีชุม ลำปาง</v>
      </c>
      <c r="P1916" s="4">
        <f>IFERROR(__xludf.DUMMYFUNCTION("""COMPUTED_VALUE"""),45236.0)</f>
        <v>45236</v>
      </c>
      <c r="Q1916" s="3" t="str">
        <f>IFERROR(__xludf.DUMMYFUNCTION("""COMPUTED_VALUE"""),"A")</f>
        <v>A</v>
      </c>
      <c r="R1916" s="3" t="str">
        <f>IFERROR(__xludf.DUMMYFUNCTION("""COMPUTED_VALUE"""),"Small Format")</f>
        <v>Small Format</v>
      </c>
      <c r="S1916" s="3" t="str">
        <f>IFERROR(__xludf.DUMMYFUNCTION("""COMPUTED_VALUE"""),"BCM")</f>
        <v>BCM</v>
      </c>
      <c r="T1916" s="3" t="str">
        <f>IFERROR(__xludf.DUMMYFUNCTION("""COMPUTED_VALUE"""),"#N/A")</f>
        <v>#N/A</v>
      </c>
      <c r="U1916" s="3" t="str">
        <f>IFERROR(__xludf.DUMMYFUNCTION("""COMPUTED_VALUE"""),"#N/A")</f>
        <v>#N/A</v>
      </c>
      <c r="V1916" s="3" t="str">
        <f>IFERROR(__xludf.DUMMYFUNCTION("""COMPUTED_VALUE"""),"N")</f>
        <v>N</v>
      </c>
      <c r="W1916" s="3">
        <f>IFERROR(__xludf.DUMMYFUNCTION("""COMPUTED_VALUE"""),210726.0)</f>
        <v>210726</v>
      </c>
      <c r="X1916" s="3" t="str">
        <f>IFERROR(__xludf.DUMMYFUNCTION("""COMPUTED_VALUE"""),"219 หมู่4 ตำบลกลางเวียง อำเภอเวียงสา จังหวัดน่าน 55110")</f>
        <v>219 หมู่4 ตำบลกลางเวียง อำเภอเวียงสา จังหวัดน่าน 55110</v>
      </c>
      <c r="Y1916" s="3"/>
      <c r="Z1916" s="3" t="str">
        <f>IFERROR(__xludf.DUMMYFUNCTION("""COMPUTED_VALUE"""),"กลางเวียง")</f>
        <v>กลางเวียง</v>
      </c>
      <c r="AA1916" s="3" t="str">
        <f>IFERROR(__xludf.DUMMYFUNCTION("""COMPUTED_VALUE"""),"เวียงสา")</f>
        <v>เวียงสา</v>
      </c>
      <c r="AB1916" s="3" t="str">
        <f>IFERROR(__xludf.DUMMYFUNCTION("""COMPUTED_VALUE"""),"น่าน")</f>
        <v>น่าน</v>
      </c>
      <c r="AC1916" s="3">
        <f>IFERROR(__xludf.DUMMYFUNCTION("""COMPUTED_VALUE"""),55110.0)</f>
        <v>55110</v>
      </c>
      <c r="AD1916" s="3">
        <f>IFERROR(__xludf.DUMMYFUNCTION("""COMPUTED_VALUE"""),18.569454)</f>
        <v>18.569454</v>
      </c>
      <c r="AE1916" s="3">
        <f>IFERROR(__xludf.DUMMYFUNCTION("""COMPUTED_VALUE"""),100.749805)</f>
        <v>100.749805</v>
      </c>
      <c r="AF1916" s="3" t="str">
        <f>IFERROR(__xludf.DUMMYFUNCTION("""COMPUTED_VALUE"""),"BCM เวียงสา น่าน-22602")</f>
        <v>BCM เวียงสา น่าน-22602</v>
      </c>
      <c r="AG1916" s="3" t="str">
        <f>IFERROR(__xludf.DUMMYFUNCTION("""COMPUTED_VALUE"""),"เหนือ")</f>
        <v>เหนือ</v>
      </c>
      <c r="AH1916" s="3" t="str">
        <f>IFERROR(__xludf.DUMMYFUNCTION("""COMPUTED_VALUE"""),"#N/A")</f>
        <v>#N/A</v>
      </c>
      <c r="AI1916" s="3" t="str">
        <f>IFERROR(__xludf.DUMMYFUNCTION("""COMPUTED_VALUE"""),"Out of warranty")</f>
        <v>Out of warranty</v>
      </c>
      <c r="AJ1916" s="3">
        <f>IFERROR(__xludf.DUMMYFUNCTION("""COMPUTED_VALUE"""),27.0)</f>
        <v>27</v>
      </c>
      <c r="AK1916" s="3" t="str">
        <f>IFERROR(__xludf.DUMMYFUNCTION("""COMPUTED_VALUE"""),"MMS10")</f>
        <v>MMS10</v>
      </c>
      <c r="AL1916" s="3"/>
    </row>
    <row r="1917" ht="15.75" customHeight="1">
      <c r="A1917" s="1" t="str">
        <f>IFERROR(__xludf.DUMMYFUNCTION("""COMPUTED_VALUE"""),"22603")</f>
        <v>22603</v>
      </c>
      <c r="B1917" s="2">
        <f>IFERROR(__xludf.DUMMYFUNCTION("""COMPUTED_VALUE"""),22603.0)</f>
        <v>22603</v>
      </c>
      <c r="C1917" s="3" t="str">
        <f>IFERROR(__xludf.DUMMYFUNCTION("""COMPUTED_VALUE"""),"BCM ดอนตะโก ราชบุรี")</f>
        <v>BCM ดอนตะโก ราชบุรี</v>
      </c>
      <c r="D1917" s="3" t="str">
        <f>IFERROR(__xludf.DUMMYFUNCTION("""COMPUTED_VALUE"""),"BCM DON TAKO RATCHABURI")</f>
        <v>BCM DON TAKO RATCHABURI</v>
      </c>
      <c r="E1917" s="1" t="str">
        <f>IFERROR(__xludf.DUMMYFUNCTION("""COMPUTED_VALUE"""),"บิ๊กซี MINI")</f>
        <v>บิ๊กซี MINI</v>
      </c>
      <c r="F1917" s="1" t="str">
        <f>IFERROR(__xludf.DUMMYFUNCTION("""COMPUTED_VALUE"""),"2083447")</f>
        <v>2083447</v>
      </c>
      <c r="G1917" s="1" t="str">
        <f>IFERROR(__xludf.DUMMYFUNCTION("""COMPUTED_VALUE"""),"นายอนุกูล ศรีลัดดา")</f>
        <v>นายอนุกูล ศรีลัดดา</v>
      </c>
      <c r="H1917" s="1" t="str">
        <f>IFERROR(__xludf.DUMMYFUNCTION("""COMPUTED_VALUE"""),"391191")</f>
        <v>391191</v>
      </c>
      <c r="I1917" s="1" t="str">
        <f>IFERROR(__xludf.DUMMYFUNCTION("""COMPUTED_VALUE"""),"นายวสันต์ สรงพรมทิพย์")</f>
        <v>นายวสันต์ สรงพรมทิพย์</v>
      </c>
      <c r="J1917" s="3">
        <f>IFERROR(__xludf.DUMMYFUNCTION("""COMPUTED_VALUE"""),2451655.0)</f>
        <v>2451655</v>
      </c>
      <c r="K1917" s="3" t="str">
        <f>IFERROR(__xludf.DUMMYFUNCTION("""COMPUTED_VALUE"""),"นายวิษณุพงษ์ ชินบุตร")</f>
        <v>นายวิษณุพงษ์ ชินบุตร</v>
      </c>
      <c r="L1917" s="1" t="str">
        <f>IFERROR(__xludf.DUMMYFUNCTION("""COMPUTED_VALUE"""),"13 K.Wisanupong Ch")</f>
        <v>13 K.Wisanupong Ch</v>
      </c>
      <c r="M1917" s="1" t="str">
        <f>IFERROR(__xludf.DUMMYFUNCTION("""COMPUTED_VALUE"""),"0843374693")</f>
        <v>0843374693</v>
      </c>
      <c r="N1917" s="3">
        <f>IFERROR(__xludf.DUMMYFUNCTION("""COMPUTED_VALUE"""),22729.0)</f>
        <v>22729</v>
      </c>
      <c r="O1917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917" s="4">
        <f>IFERROR(__xludf.DUMMYFUNCTION("""COMPUTED_VALUE"""),45246.0)</f>
        <v>45246</v>
      </c>
      <c r="Q1917" s="3" t="str">
        <f>IFERROR(__xludf.DUMMYFUNCTION("""COMPUTED_VALUE"""),"A")</f>
        <v>A</v>
      </c>
      <c r="R1917" s="3" t="str">
        <f>IFERROR(__xludf.DUMMYFUNCTION("""COMPUTED_VALUE"""),"Small Format")</f>
        <v>Small Format</v>
      </c>
      <c r="S1917" s="3" t="str">
        <f>IFERROR(__xludf.DUMMYFUNCTION("""COMPUTED_VALUE"""),"BCM")</f>
        <v>BCM</v>
      </c>
      <c r="T1917" s="3" t="str">
        <f>IFERROR(__xludf.DUMMYFUNCTION("""COMPUTED_VALUE"""),"#N/A")</f>
        <v>#N/A</v>
      </c>
      <c r="U1917" s="3" t="str">
        <f>IFERROR(__xludf.DUMMYFUNCTION("""COMPUTED_VALUE"""),"#N/A")</f>
        <v>#N/A</v>
      </c>
      <c r="V1917" s="3" t="str">
        <f>IFERROR(__xludf.DUMMYFUNCTION("""COMPUTED_VALUE"""),"N")</f>
        <v>N</v>
      </c>
      <c r="W1917" s="3">
        <f>IFERROR(__xludf.DUMMYFUNCTION("""COMPUTED_VALUE"""),210701.0)</f>
        <v>210701</v>
      </c>
      <c r="X1917" s="3" t="str">
        <f>IFERROR(__xludf.DUMMYFUNCTION("""COMPUTED_VALUE"""),"482 หมู่4 ตำบลดอนตะโก อำเภอเมืองราชบุรี จังหวัดราชบุรี 70000")</f>
        <v>482 หมู่4 ตำบลดอนตะโก อำเภอเมืองราชบุรี จังหวัดราชบุรี 70000</v>
      </c>
      <c r="Y1917" s="3"/>
      <c r="Z1917" s="3" t="str">
        <f>IFERROR(__xludf.DUMMYFUNCTION("""COMPUTED_VALUE"""),"ดอนตะโก")</f>
        <v>ดอนตะโก</v>
      </c>
      <c r="AA1917" s="3" t="str">
        <f>IFERROR(__xludf.DUMMYFUNCTION("""COMPUTED_VALUE"""),"เมืองราชบุรี")</f>
        <v>เมืองราชบุรี</v>
      </c>
      <c r="AB1917" s="3" t="str">
        <f>IFERROR(__xludf.DUMMYFUNCTION("""COMPUTED_VALUE"""),"ราชบุรี")</f>
        <v>ราชบุรี</v>
      </c>
      <c r="AC1917" s="3">
        <f>IFERROR(__xludf.DUMMYFUNCTION("""COMPUTED_VALUE"""),70000.0)</f>
        <v>70000</v>
      </c>
      <c r="AD1917" s="3">
        <f>IFERROR(__xludf.DUMMYFUNCTION("""COMPUTED_VALUE"""),13.51293)</f>
        <v>13.51293</v>
      </c>
      <c r="AE1917" s="3">
        <f>IFERROR(__xludf.DUMMYFUNCTION("""COMPUTED_VALUE"""),99.815396)</f>
        <v>99.815396</v>
      </c>
      <c r="AF1917" s="3" t="str">
        <f>IFERROR(__xludf.DUMMYFUNCTION("""COMPUTED_VALUE"""),"BCM ดอนตะโก ราชบุรี-22603")</f>
        <v>BCM ดอนตะโก ราชบุรี-22603</v>
      </c>
      <c r="AG1917" s="3" t="str">
        <f>IFERROR(__xludf.DUMMYFUNCTION("""COMPUTED_VALUE"""),"ตะวันตก")</f>
        <v>ตะวันตก</v>
      </c>
      <c r="AH1917" s="3" t="str">
        <f>IFERROR(__xludf.DUMMYFUNCTION("""COMPUTED_VALUE"""),"#N/A")</f>
        <v>#N/A</v>
      </c>
      <c r="AI1917" s="3" t="str">
        <f>IFERROR(__xludf.DUMMYFUNCTION("""COMPUTED_VALUE"""),"Out of warranty")</f>
        <v>Out of warranty</v>
      </c>
      <c r="AJ1917" s="3">
        <f>IFERROR(__xludf.DUMMYFUNCTION("""COMPUTED_VALUE"""),27.0)</f>
        <v>27</v>
      </c>
      <c r="AK1917" s="3" t="str">
        <f>IFERROR(__xludf.DUMMYFUNCTION("""COMPUTED_VALUE"""),"MMS05")</f>
        <v>MMS05</v>
      </c>
      <c r="AL1917" s="3"/>
    </row>
    <row r="1918" ht="15.75" customHeight="1">
      <c r="A1918" s="1" t="str">
        <f>IFERROR(__xludf.DUMMYFUNCTION("""COMPUTED_VALUE"""),"22604")</f>
        <v>22604</v>
      </c>
      <c r="B1918" s="2">
        <f>IFERROR(__xludf.DUMMYFUNCTION("""COMPUTED_VALUE"""),22604.0)</f>
        <v>22604</v>
      </c>
      <c r="C1918" s="3" t="str">
        <f>IFERROR(__xludf.DUMMYFUNCTION("""COMPUTED_VALUE"""),"BCM บางโปรง สมุทรปราการ")</f>
        <v>BCM บางโปรง สมุทรปราการ</v>
      </c>
      <c r="D1918" s="3" t="str">
        <f>IFERROR(__xludf.DUMMYFUNCTION("""COMPUTED_VALUE"""),"BCM BANG PRONG SAMUT PRAKAN")</f>
        <v>BCM BANG PRONG SAMUT PRAKAN</v>
      </c>
      <c r="E1918" s="1" t="str">
        <f>IFERROR(__xludf.DUMMYFUNCTION("""COMPUTED_VALUE"""),"บิ๊กซี MINI")</f>
        <v>บิ๊กซี MINI</v>
      </c>
      <c r="F1918" s="1" t="str">
        <f>IFERROR(__xludf.DUMMYFUNCTION("""COMPUTED_VALUE"""),"2083447")</f>
        <v>2083447</v>
      </c>
      <c r="G1918" s="1" t="str">
        <f>IFERROR(__xludf.DUMMYFUNCTION("""COMPUTED_VALUE"""),"นายอนุกูล ศรีลัดดา")</f>
        <v>นายอนุกูล ศรีลัดดา</v>
      </c>
      <c r="H1918" s="1" t="str">
        <f>IFERROR(__xludf.DUMMYFUNCTION("""COMPUTED_VALUE"""),"379037")</f>
        <v>379037</v>
      </c>
      <c r="I1918" s="1" t="str">
        <f>IFERROR(__xludf.DUMMYFUNCTION("""COMPUTED_VALUE"""),"นางแก้วใจ แก้วกาญจน์")</f>
        <v>นางแก้วใจ แก้วกาญจน์</v>
      </c>
      <c r="J1918" s="3">
        <f>IFERROR(__xludf.DUMMYFUNCTION("""COMPUTED_VALUE"""),2451655.0)</f>
        <v>2451655</v>
      </c>
      <c r="K1918" s="3" t="str">
        <f>IFERROR(__xludf.DUMMYFUNCTION("""COMPUTED_VALUE"""),"นายวิษณุพงษ์ ชินบุตร")</f>
        <v>นายวิษณุพงษ์ ชินบุตร</v>
      </c>
      <c r="L1918" s="1" t="str">
        <f>IFERROR(__xludf.DUMMYFUNCTION("""COMPUTED_VALUE"""),"13 K.Wisanupong Ch")</f>
        <v>13 K.Wisanupong Ch</v>
      </c>
      <c r="M1918" s="1" t="str">
        <f>IFERROR(__xludf.DUMMYFUNCTION("""COMPUTED_VALUE"""),"0843374693")</f>
        <v>0843374693</v>
      </c>
      <c r="N1918" s="3">
        <f>IFERROR(__xludf.DUMMYFUNCTION("""COMPUTED_VALUE"""),22729.0)</f>
        <v>22729</v>
      </c>
      <c r="O1918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918" s="4">
        <f>IFERROR(__xludf.DUMMYFUNCTION("""COMPUTED_VALUE"""),45246.0)</f>
        <v>45246</v>
      </c>
      <c r="Q1918" s="3" t="str">
        <f>IFERROR(__xludf.DUMMYFUNCTION("""COMPUTED_VALUE"""),"A")</f>
        <v>A</v>
      </c>
      <c r="R1918" s="3" t="str">
        <f>IFERROR(__xludf.DUMMYFUNCTION("""COMPUTED_VALUE"""),"Small Format")</f>
        <v>Small Format</v>
      </c>
      <c r="S1918" s="3" t="str">
        <f>IFERROR(__xludf.DUMMYFUNCTION("""COMPUTED_VALUE"""),"BCM")</f>
        <v>BCM</v>
      </c>
      <c r="T1918" s="3" t="str">
        <f>IFERROR(__xludf.DUMMYFUNCTION("""COMPUTED_VALUE"""),"#N/A")</f>
        <v>#N/A</v>
      </c>
      <c r="U1918" s="3" t="str">
        <f>IFERROR(__xludf.DUMMYFUNCTION("""COMPUTED_VALUE"""),"#N/A")</f>
        <v>#N/A</v>
      </c>
      <c r="V1918" s="3" t="str">
        <f>IFERROR(__xludf.DUMMYFUNCTION("""COMPUTED_VALUE"""),"N")</f>
        <v>N</v>
      </c>
      <c r="W1918" s="3">
        <f>IFERROR(__xludf.DUMMYFUNCTION("""COMPUTED_VALUE"""),210673.0)</f>
        <v>210673</v>
      </c>
      <c r="X1918" s="3" t="str">
        <f>IFERROR(__xludf.DUMMYFUNCTION("""COMPUTED_VALUE"""),"368 หมู่4 ตำบลบางโปรง อำเภอเมืองสมุทรปราการ จังหวัดสมุทรปราการ 10270")</f>
        <v>368 หมู่4 ตำบลบางโปรง อำเภอเมืองสมุทรปราการ จังหวัดสมุทรปราการ 10270</v>
      </c>
      <c r="Y1918" s="3"/>
      <c r="Z1918" s="3" t="str">
        <f>IFERROR(__xludf.DUMMYFUNCTION("""COMPUTED_VALUE"""),"บางโปรง")</f>
        <v>บางโปรง</v>
      </c>
      <c r="AA1918" s="3" t="str">
        <f>IFERROR(__xludf.DUMMYFUNCTION("""COMPUTED_VALUE"""),"เมืองสมุทรปราการ")</f>
        <v>เมืองสมุทรปราการ</v>
      </c>
      <c r="AB1918" s="3" t="str">
        <f>IFERROR(__xludf.DUMMYFUNCTION("""COMPUTED_VALUE"""),"สมุทรปราการ")</f>
        <v>สมุทรปราการ</v>
      </c>
      <c r="AC1918" s="3">
        <f>IFERROR(__xludf.DUMMYFUNCTION("""COMPUTED_VALUE"""),10270.0)</f>
        <v>10270</v>
      </c>
      <c r="AD1918" s="3">
        <f>IFERROR(__xludf.DUMMYFUNCTION("""COMPUTED_VALUE"""),13.632)</f>
        <v>13.632</v>
      </c>
      <c r="AE1918" s="3">
        <f>IFERROR(__xludf.DUMMYFUNCTION("""COMPUTED_VALUE"""),100.569507)</f>
        <v>100.569507</v>
      </c>
      <c r="AF1918" s="3" t="str">
        <f>IFERROR(__xludf.DUMMYFUNCTION("""COMPUTED_VALUE"""),"BCM บางโปรง สมุทรปราการ-22604")</f>
        <v>BCM บางโปรง สมุทรปราการ-22604</v>
      </c>
      <c r="AG1918" s="3" t="str">
        <f>IFERROR(__xludf.DUMMYFUNCTION("""COMPUTED_VALUE"""),"กลาง")</f>
        <v>กลาง</v>
      </c>
      <c r="AH1918" s="3" t="str">
        <f>IFERROR(__xludf.DUMMYFUNCTION("""COMPUTED_VALUE"""),"#N/A")</f>
        <v>#N/A</v>
      </c>
      <c r="AI1918" s="3" t="str">
        <f>IFERROR(__xludf.DUMMYFUNCTION("""COMPUTED_VALUE"""),"Out of warranty")</f>
        <v>Out of warranty</v>
      </c>
      <c r="AJ1918" s="3">
        <f>IFERROR(__xludf.DUMMYFUNCTION("""COMPUTED_VALUE"""),27.0)</f>
        <v>27</v>
      </c>
      <c r="AK1918" s="3" t="str">
        <f>IFERROR(__xludf.DUMMYFUNCTION("""COMPUTED_VALUE"""),"MMS02")</f>
        <v>MMS02</v>
      </c>
      <c r="AL1918" s="3"/>
    </row>
    <row r="1919" ht="15.75" customHeight="1">
      <c r="A1919" s="1" t="str">
        <f>IFERROR(__xludf.DUMMYFUNCTION("""COMPUTED_VALUE"""),"22605")</f>
        <v>22605</v>
      </c>
      <c r="B1919" s="2">
        <f>IFERROR(__xludf.DUMMYFUNCTION("""COMPUTED_VALUE"""),22605.0)</f>
        <v>22605</v>
      </c>
      <c r="C1919" s="3" t="str">
        <f>IFERROR(__xludf.DUMMYFUNCTION("""COMPUTED_VALUE"""),"BCM มิงเกิ้ล ฮิลล์ มีนบุรี กรุงเทพมหานคร")</f>
        <v>BCM มิงเกิ้ล ฮิลล์ มีนบุรี กรุงเทพมหานคร</v>
      </c>
      <c r="D1919" s="3" t="str">
        <f>IFERROR(__xludf.DUMMYFUNCTION("""COMPUTED_VALUE"""),"BCM MINGLE HILL MINBURI")</f>
        <v>BCM MINGLE HILL MINBURI</v>
      </c>
      <c r="E1919" s="1" t="str">
        <f>IFERROR(__xludf.DUMMYFUNCTION("""COMPUTED_VALUE"""),"บิ๊กซี MINI")</f>
        <v>บิ๊กซี MINI</v>
      </c>
      <c r="F1919" s="1" t="str">
        <f>IFERROR(__xludf.DUMMYFUNCTION("""COMPUTED_VALUE"""),"291008")</f>
        <v>291008</v>
      </c>
      <c r="G1919" s="1" t="str">
        <f>IFERROR(__xludf.DUMMYFUNCTION("""COMPUTED_VALUE"""),"น.ส.รัชดาพร อีศรัตน์")</f>
        <v>น.ส.รัชดาพร อีศรัตน์</v>
      </c>
      <c r="H1919" s="1" t="str">
        <f>IFERROR(__xludf.DUMMYFUNCTION("""COMPUTED_VALUE"""),"228242")</f>
        <v>228242</v>
      </c>
      <c r="I1919" s="1" t="str">
        <f>IFERROR(__xludf.DUMMYFUNCTION("""COMPUTED_VALUE"""),"นายสมชาย เยมรัมย์")</f>
        <v>นายสมชาย เยมรัมย์</v>
      </c>
      <c r="J1919" s="3">
        <f>IFERROR(__xludf.DUMMYFUNCTION("""COMPUTED_VALUE"""),3510104.0)</f>
        <v>3510104</v>
      </c>
      <c r="K1919" s="3" t="str">
        <f>IFERROR(__xludf.DUMMYFUNCTION("""COMPUTED_VALUE"""),"นายวิโรจน์ อับดุลสมัด")</f>
        <v>นายวิโรจน์ อับดุลสมัด</v>
      </c>
      <c r="L1919" s="1" t="str">
        <f>IFERROR(__xludf.DUMMYFUNCTION("""COMPUTED_VALUE"""),"09 K.Wirode A")</f>
        <v>09 K.Wirode A</v>
      </c>
      <c r="M1919" s="1" t="str">
        <f>IFERROR(__xludf.DUMMYFUNCTION("""COMPUTED_VALUE"""),"080-235-4465")</f>
        <v>080-235-4465</v>
      </c>
      <c r="N1919" s="3">
        <f>IFERROR(__xludf.DUMMYFUNCTION("""COMPUTED_VALUE"""),21324.0)</f>
        <v>21324</v>
      </c>
      <c r="O1919" s="3" t="str">
        <f>IFERROR(__xludf.DUMMYFUNCTION("""COMPUTED_VALUE"""),"MBC BCP สุวินทวงศ์")</f>
        <v>MBC BCP สุวินทวงศ์</v>
      </c>
      <c r="P1919" s="4">
        <f>IFERROR(__xludf.DUMMYFUNCTION("""COMPUTED_VALUE"""),45228.0)</f>
        <v>45228</v>
      </c>
      <c r="Q1919" s="3" t="str">
        <f>IFERROR(__xludf.DUMMYFUNCTION("""COMPUTED_VALUE"""),"A")</f>
        <v>A</v>
      </c>
      <c r="R1919" s="3" t="str">
        <f>IFERROR(__xludf.DUMMYFUNCTION("""COMPUTED_VALUE"""),"Small Format")</f>
        <v>Small Format</v>
      </c>
      <c r="S1919" s="3" t="str">
        <f>IFERROR(__xludf.DUMMYFUNCTION("""COMPUTED_VALUE"""),"BCM")</f>
        <v>BCM</v>
      </c>
      <c r="T1919" s="3" t="str">
        <f>IFERROR(__xludf.DUMMYFUNCTION("""COMPUTED_VALUE"""),"#N/A")</f>
        <v>#N/A</v>
      </c>
      <c r="U1919" s="3" t="str">
        <f>IFERROR(__xludf.DUMMYFUNCTION("""COMPUTED_VALUE"""),"#N/A")</f>
        <v>#N/A</v>
      </c>
      <c r="V1919" s="3" t="str">
        <f>IFERROR(__xludf.DUMMYFUNCTION("""COMPUTED_VALUE"""),"N")</f>
        <v>N</v>
      </c>
      <c r="W1919" s="3">
        <f>IFERROR(__xludf.DUMMYFUNCTION("""COMPUTED_VALUE"""),210735.0)</f>
        <v>210735</v>
      </c>
      <c r="X1919" s="3" t="str">
        <f>IFERROR(__xludf.DUMMYFUNCTION("""COMPUTED_VALUE"""),"อาคาร Mingle Minburi ห้องเลขที่ MBA101 ชั้นที่1 เลขที่ 80 ถนนสีหบูรานุกิจ แขวงมีนบุรี เขตมีนบุรี กรุงเทพมหานคร 10510")</f>
        <v>อาคาร Mingle Minburi ห้องเลขที่ MBA101 ชั้นที่1 เลขที่ 80 ถนนสีหบูรานุกิจ แขวงมีนบุรี เขตมีนบุรี กรุงเทพมหานคร 10510</v>
      </c>
      <c r="Y1919" s="3" t="str">
        <f>IFERROR(__xludf.DUMMYFUNCTION("""COMPUTED_VALUE"""),"สีหบูรานุกิจ")</f>
        <v>สีหบูรานุกิจ</v>
      </c>
      <c r="Z1919" s="3" t="str">
        <f>IFERROR(__xludf.DUMMYFUNCTION("""COMPUTED_VALUE"""),"มีนบุรี")</f>
        <v>มีนบุรี</v>
      </c>
      <c r="AA1919" s="3" t="str">
        <f>IFERROR(__xludf.DUMMYFUNCTION("""COMPUTED_VALUE"""),"มีนบุรี")</f>
        <v>มีนบุรี</v>
      </c>
      <c r="AB1919" s="3" t="str">
        <f>IFERROR(__xludf.DUMMYFUNCTION("""COMPUTED_VALUE"""),"กรุงเทพมหานคร")</f>
        <v>กรุงเทพมหานคร</v>
      </c>
      <c r="AC1919" s="3">
        <f>IFERROR(__xludf.DUMMYFUNCTION("""COMPUTED_VALUE"""),10510.0)</f>
        <v>10510</v>
      </c>
      <c r="AD1919" s="3">
        <f>IFERROR(__xludf.DUMMYFUNCTION("""COMPUTED_VALUE"""),13.812381)</f>
        <v>13.812381</v>
      </c>
      <c r="AE1919" s="3">
        <f>IFERROR(__xludf.DUMMYFUNCTION("""COMPUTED_VALUE"""),100.722022)</f>
        <v>100.722022</v>
      </c>
      <c r="AF1919" s="3" t="str">
        <f>IFERROR(__xludf.DUMMYFUNCTION("""COMPUTED_VALUE"""),"BCM มิงเกิ้ล ฮิลล์ มีนบุรี กรุงเทพมหานคร-22605")</f>
        <v>BCM มิงเกิ้ล ฮิลล์ มีนบุรี กรุงเทพมหานคร-22605</v>
      </c>
      <c r="AG1919" s="3" t="str">
        <f>IFERROR(__xludf.DUMMYFUNCTION("""COMPUTED_VALUE"""),"กลาง")</f>
        <v>กลาง</v>
      </c>
      <c r="AH1919" s="3" t="str">
        <f>IFERROR(__xludf.DUMMYFUNCTION("""COMPUTED_VALUE"""),"#N/A")</f>
        <v>#N/A</v>
      </c>
      <c r="AI1919" s="3" t="str">
        <f>IFERROR(__xludf.DUMMYFUNCTION("""COMPUTED_VALUE"""),"Out of warranty")</f>
        <v>Out of warranty</v>
      </c>
      <c r="AJ1919" s="3">
        <f>IFERROR(__xludf.DUMMYFUNCTION("""COMPUTED_VALUE"""),27.0)</f>
        <v>27</v>
      </c>
      <c r="AK1919" s="3" t="str">
        <f>IFERROR(__xludf.DUMMYFUNCTION("""COMPUTED_VALUE"""),"MMS01")</f>
        <v>MMS01</v>
      </c>
      <c r="AL1919" s="3"/>
    </row>
    <row r="1920" ht="15.75" customHeight="1">
      <c r="A1920" s="1" t="str">
        <f>IFERROR(__xludf.DUMMYFUNCTION("""COMPUTED_VALUE"""),"22606")</f>
        <v>22606</v>
      </c>
      <c r="B1920" s="2">
        <f>IFERROR(__xludf.DUMMYFUNCTION("""COMPUTED_VALUE"""),22606.0)</f>
        <v>22606</v>
      </c>
      <c r="C1920" s="3" t="str">
        <f>IFERROR(__xludf.DUMMYFUNCTION("""COMPUTED_VALUE"""),"BCM ศรีมารัตน์ 26 ขอนแก่น")</f>
        <v>BCM ศรีมารัตน์ 26 ขอนแก่น</v>
      </c>
      <c r="D1920" s="3" t="str">
        <f>IFERROR(__xludf.DUMMYFUNCTION("""COMPUTED_VALUE"""),"BCM SIMARAT 26 KHON KAEN")</f>
        <v>BCM SIMARAT 26 KHON KAEN</v>
      </c>
      <c r="E1920" s="1" t="str">
        <f>IFERROR(__xludf.DUMMYFUNCTION("""COMPUTED_VALUE"""),"บิ๊กซี MINI")</f>
        <v>บิ๊กซี MINI</v>
      </c>
      <c r="F1920" s="1" t="str">
        <f>IFERROR(__xludf.DUMMYFUNCTION("""COMPUTED_VALUE"""),"291105")</f>
        <v>291105</v>
      </c>
      <c r="G1920" s="1" t="str">
        <f>IFERROR(__xludf.DUMMYFUNCTION("""COMPUTED_VALUE"""),"นายสราวุฒิ พณิชยกุล")</f>
        <v>นายสราวุฒิ พณิชยกุล</v>
      </c>
      <c r="H1920" s="1" t="str">
        <f>IFERROR(__xludf.DUMMYFUNCTION("""COMPUTED_VALUE"""),"305119")</f>
        <v>305119</v>
      </c>
      <c r="I1920" s="1" t="str">
        <f>IFERROR(__xludf.DUMMYFUNCTION("""COMPUTED_VALUE"""),"นายไชยกร ลีพิบูลย์สวัสดิ์")</f>
        <v>นายไชยกร ลีพิบูลย์สวัสดิ์</v>
      </c>
      <c r="J1920" s="3">
        <f>IFERROR(__xludf.DUMMYFUNCTION("""COMPUTED_VALUE"""),296868.0)</f>
        <v>296868</v>
      </c>
      <c r="K1920" s="3" t="str">
        <f>IFERROR(__xludf.DUMMYFUNCTION("""COMPUTED_VALUE"""),"นายพีระพงษ์ แก้วดวงดี")</f>
        <v>นายพีระพงษ์ แก้วดวงดี</v>
      </c>
      <c r="L1920" s="1" t="str">
        <f>IFERROR(__xludf.DUMMYFUNCTION("""COMPUTED_VALUE"""),"03 K.Peerapong K.")</f>
        <v>03 K.Peerapong K.</v>
      </c>
      <c r="M1920" s="1" t="str">
        <f>IFERROR(__xludf.DUMMYFUNCTION("""COMPUTED_VALUE"""),"089-002-6599")</f>
        <v>089-002-6599</v>
      </c>
      <c r="N1920" s="3">
        <f>IFERROR(__xludf.DUMMYFUNCTION("""COMPUTED_VALUE"""),21946.0)</f>
        <v>21946</v>
      </c>
      <c r="O1920" s="3" t="str">
        <f>IFERROR(__xludf.DUMMYFUNCTION("""COMPUTED_VALUE"""),"MBC เซกา บึงกาฬ")</f>
        <v>MBC เซกา บึงกาฬ</v>
      </c>
      <c r="P1920" s="4">
        <f>IFERROR(__xludf.DUMMYFUNCTION("""COMPUTED_VALUE"""),45246.0)</f>
        <v>45246</v>
      </c>
      <c r="Q1920" s="3" t="str">
        <f>IFERROR(__xludf.DUMMYFUNCTION("""COMPUTED_VALUE"""),"A")</f>
        <v>A</v>
      </c>
      <c r="R1920" s="3" t="str">
        <f>IFERROR(__xludf.DUMMYFUNCTION("""COMPUTED_VALUE"""),"Small Format")</f>
        <v>Small Format</v>
      </c>
      <c r="S1920" s="3" t="str">
        <f>IFERROR(__xludf.DUMMYFUNCTION("""COMPUTED_VALUE"""),"BCM")</f>
        <v>BCM</v>
      </c>
      <c r="T1920" s="3" t="str">
        <f>IFERROR(__xludf.DUMMYFUNCTION("""COMPUTED_VALUE"""),"#N/A")</f>
        <v>#N/A</v>
      </c>
      <c r="U1920" s="3" t="str">
        <f>IFERROR(__xludf.DUMMYFUNCTION("""COMPUTED_VALUE"""),"#N/A")</f>
        <v>#N/A</v>
      </c>
      <c r="V1920" s="3" t="str">
        <f>IFERROR(__xludf.DUMMYFUNCTION("""COMPUTED_VALUE"""),"N")</f>
        <v>N</v>
      </c>
      <c r="W1920" s="3">
        <f>IFERROR(__xludf.DUMMYFUNCTION("""COMPUTED_VALUE"""),210744.0)</f>
        <v>210744</v>
      </c>
      <c r="X1920" s="3" t="str">
        <f>IFERROR(__xludf.DUMMYFUNCTION("""COMPUTED_VALUE"""),"24/73 หมู่16 ตำบลในเมือง อำเภอเมืองขอนแก่น จังหวัดขอนแก่น 40000")</f>
        <v>24/73 หมู่16 ตำบลในเมือง อำเภอเมืองขอนแก่น จังหวัดขอนแก่น 40000</v>
      </c>
      <c r="Y1920" s="3"/>
      <c r="Z1920" s="3" t="str">
        <f>IFERROR(__xludf.DUMMYFUNCTION("""COMPUTED_VALUE"""),"ในเมือง")</f>
        <v>ในเมือง</v>
      </c>
      <c r="AA1920" s="3" t="str">
        <f>IFERROR(__xludf.DUMMYFUNCTION("""COMPUTED_VALUE"""),"เมืองขอนแก่น")</f>
        <v>เมืองขอนแก่น</v>
      </c>
      <c r="AB1920" s="3" t="str">
        <f>IFERROR(__xludf.DUMMYFUNCTION("""COMPUTED_VALUE"""),"ขอนแก่น")</f>
        <v>ขอนแก่น</v>
      </c>
      <c r="AC1920" s="3">
        <f>IFERROR(__xludf.DUMMYFUNCTION("""COMPUTED_VALUE"""),40000.0)</f>
        <v>40000</v>
      </c>
      <c r="AD1920" s="3">
        <f>IFERROR(__xludf.DUMMYFUNCTION("""COMPUTED_VALUE"""),16.452927)</f>
        <v>16.452927</v>
      </c>
      <c r="AE1920" s="3">
        <f>IFERROR(__xludf.DUMMYFUNCTION("""COMPUTED_VALUE"""),102.824075)</f>
        <v>102.824075</v>
      </c>
      <c r="AF1920" s="3" t="str">
        <f>IFERROR(__xludf.DUMMYFUNCTION("""COMPUTED_VALUE"""),"BCM ศรีมารัตน์ 26 ขอนแก่น-22606")</f>
        <v>BCM ศรีมารัตน์ 26 ขอนแก่น-22606</v>
      </c>
      <c r="AG1920" s="3" t="str">
        <f>IFERROR(__xludf.DUMMYFUNCTION("""COMPUTED_VALUE"""),"ตะวันออกเฉียงเหนือ")</f>
        <v>ตะวันออกเฉียงเหนือ</v>
      </c>
      <c r="AH1920" s="3" t="str">
        <f>IFERROR(__xludf.DUMMYFUNCTION("""COMPUTED_VALUE"""),"#N/A")</f>
        <v>#N/A</v>
      </c>
      <c r="AI1920" s="3" t="str">
        <f>IFERROR(__xludf.DUMMYFUNCTION("""COMPUTED_VALUE"""),"Out of warranty")</f>
        <v>Out of warranty</v>
      </c>
      <c r="AJ1920" s="3">
        <f>IFERROR(__xludf.DUMMYFUNCTION("""COMPUTED_VALUE"""),27.0)</f>
        <v>27</v>
      </c>
      <c r="AK1920" s="3"/>
      <c r="AL1920" s="3"/>
    </row>
    <row r="1921" ht="15.75" customHeight="1">
      <c r="A1921" s="1" t="str">
        <f>IFERROR(__xludf.DUMMYFUNCTION("""COMPUTED_VALUE"""),"22607")</f>
        <v>22607</v>
      </c>
      <c r="B1921" s="2">
        <f>IFERROR(__xludf.DUMMYFUNCTION("""COMPUTED_VALUE"""),22607.0)</f>
        <v>22607</v>
      </c>
      <c r="C1921" s="3" t="str">
        <f>IFERROR(__xludf.DUMMYFUNCTION("""COMPUTED_VALUE"""),"BCM เฉวง-เชิงมน(สมุย) สุราษฎร์ธานี")</f>
        <v>BCM เฉวง-เชิงมน(สมุย) สุราษฎร์ธานี</v>
      </c>
      <c r="D1921" s="3" t="str">
        <f>IFERROR(__xludf.DUMMYFUNCTION("""COMPUTED_VALUE"""),"BCM CHAWENG - CHOENGMON")</f>
        <v>BCM CHAWENG - CHOENGMON</v>
      </c>
      <c r="E1921" s="1" t="str">
        <f>IFERROR(__xludf.DUMMYFUNCTION("""COMPUTED_VALUE"""),"บิ๊กซี MINI")</f>
        <v>บิ๊กซี MINI</v>
      </c>
      <c r="F1921" s="1" t="str">
        <f>IFERROR(__xludf.DUMMYFUNCTION("""COMPUTED_VALUE"""),"250760")</f>
        <v>250760</v>
      </c>
      <c r="G1921" s="1" t="str">
        <f>IFERROR(__xludf.DUMMYFUNCTION("""COMPUTED_VALUE"""),"นายประทวน สาราบรรณ์")</f>
        <v>นายประทวน สาราบรรณ์</v>
      </c>
      <c r="H1921" s="1" t="str">
        <f>IFERROR(__xludf.DUMMYFUNCTION("""COMPUTED_VALUE"""),"356760")</f>
        <v>356760</v>
      </c>
      <c r="I1921" s="1" t="str">
        <f>IFERROR(__xludf.DUMMYFUNCTION("""COMPUTED_VALUE"""),"นายภูมิภัทร แก้วพรรณราย")</f>
        <v>นายภูมิภัทร แก้วพรรณราย</v>
      </c>
      <c r="J1921" s="3">
        <f>IFERROR(__xludf.DUMMYFUNCTION("""COMPUTED_VALUE"""),25324.0)</f>
        <v>25324</v>
      </c>
      <c r="K1921" s="3" t="str">
        <f>IFERROR(__xludf.DUMMYFUNCTION("""COMPUTED_VALUE"""),"นายวิเชฎฐ์ ติรัตนะประคม")</f>
        <v>นายวิเชฎฐ์ ติรัตนะประคม</v>
      </c>
      <c r="L1921" s="1" t="str">
        <f>IFERROR(__xludf.DUMMYFUNCTION("""COMPUTED_VALUE"""),"14 K.Wichet T.")</f>
        <v>14 K.Wichet T.</v>
      </c>
      <c r="M1921" s="1" t="str">
        <f>IFERROR(__xludf.DUMMYFUNCTION("""COMPUTED_VALUE"""),"061-417-6569 / 086-445-5636")</f>
        <v>061-417-6569 / 086-445-5636</v>
      </c>
      <c r="N1921" s="3">
        <f>IFERROR(__xludf.DUMMYFUNCTION("""COMPUTED_VALUE"""),22658.0)</f>
        <v>22658</v>
      </c>
      <c r="O1921" s="3" t="str">
        <f>IFERROR(__xludf.DUMMYFUNCTION("""COMPUTED_VALUE"""),"BCM ถ.วิรัชหงษ์หยก ภูเก็ต")</f>
        <v>BCM ถ.วิรัชหงษ์หยก ภูเก็ต</v>
      </c>
      <c r="P1921" s="4">
        <f>IFERROR(__xludf.DUMMYFUNCTION("""COMPUTED_VALUE"""),45246.0)</f>
        <v>45246</v>
      </c>
      <c r="Q1921" s="3" t="str">
        <f>IFERROR(__xludf.DUMMYFUNCTION("""COMPUTED_VALUE"""),"A")</f>
        <v>A</v>
      </c>
      <c r="R1921" s="3" t="str">
        <f>IFERROR(__xludf.DUMMYFUNCTION("""COMPUTED_VALUE"""),"Small Format")</f>
        <v>Small Format</v>
      </c>
      <c r="S1921" s="3" t="str">
        <f>IFERROR(__xludf.DUMMYFUNCTION("""COMPUTED_VALUE"""),"BCM")</f>
        <v>BCM</v>
      </c>
      <c r="T1921" s="3" t="str">
        <f>IFERROR(__xludf.DUMMYFUNCTION("""COMPUTED_VALUE"""),"#N/A")</f>
        <v>#N/A</v>
      </c>
      <c r="U1921" s="3" t="str">
        <f>IFERROR(__xludf.DUMMYFUNCTION("""COMPUTED_VALUE"""),"#N/A")</f>
        <v>#N/A</v>
      </c>
      <c r="V1921" s="3" t="str">
        <f>IFERROR(__xludf.DUMMYFUNCTION("""COMPUTED_VALUE"""),"N")</f>
        <v>N</v>
      </c>
      <c r="W1921" s="3">
        <f>IFERROR(__xludf.DUMMYFUNCTION("""COMPUTED_VALUE"""),210719.0)</f>
        <v>210719</v>
      </c>
      <c r="X1921" s="3" t="str">
        <f>IFERROR(__xludf.DUMMYFUNCTION("""COMPUTED_VALUE"""),"63/290 หมู่5 ตำบลบ่อผุด อำเภอเกาะสมุย จังหวัดสุราษฎร์ธานี 84320")</f>
        <v>63/290 หมู่5 ตำบลบ่อผุด อำเภอเกาะสมุย จังหวัดสุราษฎร์ธานี 84320</v>
      </c>
      <c r="Y1921" s="3"/>
      <c r="Z1921" s="3" t="str">
        <f>IFERROR(__xludf.DUMMYFUNCTION("""COMPUTED_VALUE"""),"บ่อผุด")</f>
        <v>บ่อผุด</v>
      </c>
      <c r="AA1921" s="3" t="str">
        <f>IFERROR(__xludf.DUMMYFUNCTION("""COMPUTED_VALUE"""),"เกาะสมุย")</f>
        <v>เกาะสมุย</v>
      </c>
      <c r="AB1921" s="3" t="str">
        <f>IFERROR(__xludf.DUMMYFUNCTION("""COMPUTED_VALUE"""),"สุราษฎร์ธานี")</f>
        <v>สุราษฎร์ธานี</v>
      </c>
      <c r="AC1921" s="3">
        <f>IFERROR(__xludf.DUMMYFUNCTION("""COMPUTED_VALUE"""),84320.0)</f>
        <v>84320</v>
      </c>
      <c r="AD1921" s="3">
        <f>IFERROR(__xludf.DUMMYFUNCTION("""COMPUTED_VALUE"""),9.562862)</f>
        <v>9.562862</v>
      </c>
      <c r="AE1921" s="3">
        <f>IFERROR(__xludf.DUMMYFUNCTION("""COMPUTED_VALUE"""),100.080601)</f>
        <v>100.080601</v>
      </c>
      <c r="AF1921" s="3" t="str">
        <f>IFERROR(__xludf.DUMMYFUNCTION("""COMPUTED_VALUE"""),"BCM เฉวง-เชิงมน(สมุย) สุราษฎร์ธานี-22607")</f>
        <v>BCM เฉวง-เชิงมน(สมุย) สุราษฎร์ธานี-22607</v>
      </c>
      <c r="AG1921" s="3" t="str">
        <f>IFERROR(__xludf.DUMMYFUNCTION("""COMPUTED_VALUE"""),"ใต้")</f>
        <v>ใต้</v>
      </c>
      <c r="AH1921" s="3" t="str">
        <f>IFERROR(__xludf.DUMMYFUNCTION("""COMPUTED_VALUE"""),"#N/A")</f>
        <v>#N/A</v>
      </c>
      <c r="AI1921" s="3" t="str">
        <f>IFERROR(__xludf.DUMMYFUNCTION("""COMPUTED_VALUE"""),"Out of warranty")</f>
        <v>Out of warranty</v>
      </c>
      <c r="AJ1921" s="3">
        <f>IFERROR(__xludf.DUMMYFUNCTION("""COMPUTED_VALUE"""),27.0)</f>
        <v>27</v>
      </c>
      <c r="AK1921" s="3" t="str">
        <f>IFERROR(__xludf.DUMMYFUNCTION("""COMPUTED_VALUE"""),"MMS14")</f>
        <v>MMS14</v>
      </c>
      <c r="AL1921" s="3"/>
    </row>
    <row r="1922" ht="15.75" customHeight="1">
      <c r="A1922" s="1" t="str">
        <f>IFERROR(__xludf.DUMMYFUNCTION("""COMPUTED_VALUE"""),"22608")</f>
        <v>22608</v>
      </c>
      <c r="B1922" s="2">
        <f>IFERROR(__xludf.DUMMYFUNCTION("""COMPUTED_VALUE"""),22608.0)</f>
        <v>22608</v>
      </c>
      <c r="C1922" s="3" t="str">
        <f>IFERROR(__xludf.DUMMYFUNCTION("""COMPUTED_VALUE"""),"BCM แยกบ่อนไก่-สมุย สุราษฎร์ธานี")</f>
        <v>BCM แยกบ่อนไก่-สมุย สุราษฎร์ธานี</v>
      </c>
      <c r="D1922" s="3" t="str">
        <f>IFERROR(__xludf.DUMMYFUNCTION("""COMPUTED_VALUE"""),"BCM YEAK BOND KAI - SAMUI")</f>
        <v>BCM YEAK BOND KAI - SAMUI</v>
      </c>
      <c r="E1922" s="1" t="str">
        <f>IFERROR(__xludf.DUMMYFUNCTION("""COMPUTED_VALUE"""),"บิ๊กซี MINI")</f>
        <v>บิ๊กซี MINI</v>
      </c>
      <c r="F1922" s="1" t="str">
        <f>IFERROR(__xludf.DUMMYFUNCTION("""COMPUTED_VALUE"""),"250760")</f>
        <v>250760</v>
      </c>
      <c r="G1922" s="1" t="str">
        <f>IFERROR(__xludf.DUMMYFUNCTION("""COMPUTED_VALUE"""),"นายประทวน สาราบรรณ์")</f>
        <v>นายประทวน สาราบรรณ์</v>
      </c>
      <c r="H1922" s="1" t="str">
        <f>IFERROR(__xludf.DUMMYFUNCTION("""COMPUTED_VALUE"""),"356760")</f>
        <v>356760</v>
      </c>
      <c r="I1922" s="1" t="str">
        <f>IFERROR(__xludf.DUMMYFUNCTION("""COMPUTED_VALUE"""),"นายภูมิภัทร แก้วพรรณราย")</f>
        <v>นายภูมิภัทร แก้วพรรณราย</v>
      </c>
      <c r="J1922" s="3">
        <f>IFERROR(__xludf.DUMMYFUNCTION("""COMPUTED_VALUE"""),25324.0)</f>
        <v>25324</v>
      </c>
      <c r="K1922" s="3" t="str">
        <f>IFERROR(__xludf.DUMMYFUNCTION("""COMPUTED_VALUE"""),"นายวิเชฎฐ์ ติรัตนะประคม")</f>
        <v>นายวิเชฎฐ์ ติรัตนะประคม</v>
      </c>
      <c r="L1922" s="1" t="str">
        <f>IFERROR(__xludf.DUMMYFUNCTION("""COMPUTED_VALUE"""),"14 K.Wichet T.")</f>
        <v>14 K.Wichet T.</v>
      </c>
      <c r="M1922" s="1" t="str">
        <f>IFERROR(__xludf.DUMMYFUNCTION("""COMPUTED_VALUE"""),"061-417-6569 / 086-445-5636")</f>
        <v>061-417-6569 / 086-445-5636</v>
      </c>
      <c r="N1922" s="3">
        <f>IFERROR(__xludf.DUMMYFUNCTION("""COMPUTED_VALUE"""),22658.0)</f>
        <v>22658</v>
      </c>
      <c r="O1922" s="3" t="str">
        <f>IFERROR(__xludf.DUMMYFUNCTION("""COMPUTED_VALUE"""),"BCM ถ.วิรัชหงษ์หยก ภูเก็ต")</f>
        <v>BCM ถ.วิรัชหงษ์หยก ภูเก็ต</v>
      </c>
      <c r="P1922" s="4">
        <f>IFERROR(__xludf.DUMMYFUNCTION("""COMPUTED_VALUE"""),45246.0)</f>
        <v>45246</v>
      </c>
      <c r="Q1922" s="3" t="str">
        <f>IFERROR(__xludf.DUMMYFUNCTION("""COMPUTED_VALUE"""),"A")</f>
        <v>A</v>
      </c>
      <c r="R1922" s="3" t="str">
        <f>IFERROR(__xludf.DUMMYFUNCTION("""COMPUTED_VALUE"""),"Small Format")</f>
        <v>Small Format</v>
      </c>
      <c r="S1922" s="3" t="str">
        <f>IFERROR(__xludf.DUMMYFUNCTION("""COMPUTED_VALUE"""),"BCM")</f>
        <v>BCM</v>
      </c>
      <c r="T1922" s="3" t="str">
        <f>IFERROR(__xludf.DUMMYFUNCTION("""COMPUTED_VALUE"""),"#N/A")</f>
        <v>#N/A</v>
      </c>
      <c r="U1922" s="3" t="str">
        <f>IFERROR(__xludf.DUMMYFUNCTION("""COMPUTED_VALUE"""),"#N/A")</f>
        <v>#N/A</v>
      </c>
      <c r="V1922" s="3" t="str">
        <f>IFERROR(__xludf.DUMMYFUNCTION("""COMPUTED_VALUE"""),"N")</f>
        <v>N</v>
      </c>
      <c r="W1922" s="3">
        <f>IFERROR(__xludf.DUMMYFUNCTION("""COMPUTED_VALUE"""),210718.0)</f>
        <v>210718</v>
      </c>
      <c r="X1922" s="3" t="str">
        <f>IFERROR(__xludf.DUMMYFUNCTION("""COMPUTED_VALUE"""),"147/145 หมู่2 ตำบลบ่อผุด อำเภอเกาะสมุย จังหวัดสุราษฎร์ธานี 84320")</f>
        <v>147/145 หมู่2 ตำบลบ่อผุด อำเภอเกาะสมุย จังหวัดสุราษฎร์ธานี 84320</v>
      </c>
      <c r="Y1922" s="3"/>
      <c r="Z1922" s="3" t="str">
        <f>IFERROR(__xludf.DUMMYFUNCTION("""COMPUTED_VALUE"""),"บ่อผุด")</f>
        <v>บ่อผุด</v>
      </c>
      <c r="AA1922" s="3" t="str">
        <f>IFERROR(__xludf.DUMMYFUNCTION("""COMPUTED_VALUE"""),"เกาะสมุย")</f>
        <v>เกาะสมุย</v>
      </c>
      <c r="AB1922" s="3" t="str">
        <f>IFERROR(__xludf.DUMMYFUNCTION("""COMPUTED_VALUE"""),"สุราษฎร์ธานี")</f>
        <v>สุราษฎร์ธานี</v>
      </c>
      <c r="AC1922" s="3">
        <f>IFERROR(__xludf.DUMMYFUNCTION("""COMPUTED_VALUE"""),84320.0)</f>
        <v>84320</v>
      </c>
      <c r="AD1922" s="3">
        <f>IFERROR(__xludf.DUMMYFUNCTION("""COMPUTED_VALUE"""),9.54104)</f>
        <v>9.54104</v>
      </c>
      <c r="AE1922" s="3">
        <f>IFERROR(__xludf.DUMMYFUNCTION("""COMPUTED_VALUE"""),100.052278)</f>
        <v>100.052278</v>
      </c>
      <c r="AF1922" s="3" t="str">
        <f>IFERROR(__xludf.DUMMYFUNCTION("""COMPUTED_VALUE"""),"BCM แยกบ่อนไก่-สมุย สุราษฎร์ธานี-22608")</f>
        <v>BCM แยกบ่อนไก่-สมุย สุราษฎร์ธานี-22608</v>
      </c>
      <c r="AG1922" s="3" t="str">
        <f>IFERROR(__xludf.DUMMYFUNCTION("""COMPUTED_VALUE"""),"ใต้")</f>
        <v>ใต้</v>
      </c>
      <c r="AH1922" s="3" t="str">
        <f>IFERROR(__xludf.DUMMYFUNCTION("""COMPUTED_VALUE"""),"#N/A")</f>
        <v>#N/A</v>
      </c>
      <c r="AI1922" s="3" t="str">
        <f>IFERROR(__xludf.DUMMYFUNCTION("""COMPUTED_VALUE"""),"Out of warranty")</f>
        <v>Out of warranty</v>
      </c>
      <c r="AJ1922" s="3">
        <f>IFERROR(__xludf.DUMMYFUNCTION("""COMPUTED_VALUE"""),27.0)</f>
        <v>27</v>
      </c>
      <c r="AK1922" s="3" t="str">
        <f>IFERROR(__xludf.DUMMYFUNCTION("""COMPUTED_VALUE"""),"MMS14")</f>
        <v>MMS14</v>
      </c>
      <c r="AL1922" s="3"/>
    </row>
    <row r="1923" ht="15.75" customHeight="1">
      <c r="A1923" s="1" t="str">
        <f>IFERROR(__xludf.DUMMYFUNCTION("""COMPUTED_VALUE"""),"22609")</f>
        <v>22609</v>
      </c>
      <c r="B1923" s="2">
        <f>IFERROR(__xludf.DUMMYFUNCTION("""COMPUTED_VALUE"""),22609.0)</f>
        <v>22609</v>
      </c>
      <c r="C1923" s="3" t="str">
        <f>IFERROR(__xludf.DUMMYFUNCTION("""COMPUTED_VALUE"""),"BCM หลังมอ ซ.เรสซิเดนซ์ ขอนแก่น")</f>
        <v>BCM หลังมอ ซ.เรสซิเดนซ์ ขอนแก่น</v>
      </c>
      <c r="D1923" s="3" t="str">
        <f>IFERROR(__xludf.DUMMYFUNCTION("""COMPUTED_VALUE"""),"BCM LANG MO SOI RESIDENCE")</f>
        <v>BCM LANG MO SOI RESIDENCE</v>
      </c>
      <c r="E1923" s="1" t="str">
        <f>IFERROR(__xludf.DUMMYFUNCTION("""COMPUTED_VALUE"""),"บิ๊กซี MINI")</f>
        <v>บิ๊กซี MINI</v>
      </c>
      <c r="F1923" s="1" t="str">
        <f>IFERROR(__xludf.DUMMYFUNCTION("""COMPUTED_VALUE"""),"291105")</f>
        <v>291105</v>
      </c>
      <c r="G1923" s="1" t="str">
        <f>IFERROR(__xludf.DUMMYFUNCTION("""COMPUTED_VALUE"""),"นายสราวุฒิ พณิชยกุล")</f>
        <v>นายสราวุฒิ พณิชยกุล</v>
      </c>
      <c r="H1923" s="1" t="str">
        <f>IFERROR(__xludf.DUMMYFUNCTION("""COMPUTED_VALUE"""),"305119")</f>
        <v>305119</v>
      </c>
      <c r="I1923" s="1" t="str">
        <f>IFERROR(__xludf.DUMMYFUNCTION("""COMPUTED_VALUE"""),"นายไชยกร ลีพิบูลย์สวัสดิ์")</f>
        <v>นายไชยกร ลีพิบูลย์สวัสดิ์</v>
      </c>
      <c r="J1923" s="3">
        <f>IFERROR(__xludf.DUMMYFUNCTION("""COMPUTED_VALUE"""),296868.0)</f>
        <v>296868</v>
      </c>
      <c r="K1923" s="3" t="str">
        <f>IFERROR(__xludf.DUMMYFUNCTION("""COMPUTED_VALUE"""),"นายพีระพงษ์ แก้วดวงดี")</f>
        <v>นายพีระพงษ์ แก้วดวงดี</v>
      </c>
      <c r="L1923" s="1" t="str">
        <f>IFERROR(__xludf.DUMMYFUNCTION("""COMPUTED_VALUE"""),"03 K.Peerapong K.")</f>
        <v>03 K.Peerapong K.</v>
      </c>
      <c r="M1923" s="1" t="str">
        <f>IFERROR(__xludf.DUMMYFUNCTION("""COMPUTED_VALUE"""),"089-002-6599")</f>
        <v>089-002-6599</v>
      </c>
      <c r="N1923" s="3">
        <f>IFERROR(__xludf.DUMMYFUNCTION("""COMPUTED_VALUE"""),21946.0)</f>
        <v>21946</v>
      </c>
      <c r="O1923" s="3" t="str">
        <f>IFERROR(__xludf.DUMMYFUNCTION("""COMPUTED_VALUE"""),"MBC เซกา บึงกาฬ")</f>
        <v>MBC เซกา บึงกาฬ</v>
      </c>
      <c r="P1923" s="4">
        <f>IFERROR(__xludf.DUMMYFUNCTION("""COMPUTED_VALUE"""),45246.0)</f>
        <v>45246</v>
      </c>
      <c r="Q1923" s="3" t="str">
        <f>IFERROR(__xludf.DUMMYFUNCTION("""COMPUTED_VALUE"""),"A")</f>
        <v>A</v>
      </c>
      <c r="R1923" s="3" t="str">
        <f>IFERROR(__xludf.DUMMYFUNCTION("""COMPUTED_VALUE"""),"Small Format")</f>
        <v>Small Format</v>
      </c>
      <c r="S1923" s="3" t="str">
        <f>IFERROR(__xludf.DUMMYFUNCTION("""COMPUTED_VALUE"""),"BCM")</f>
        <v>BCM</v>
      </c>
      <c r="T1923" s="3" t="str">
        <f>IFERROR(__xludf.DUMMYFUNCTION("""COMPUTED_VALUE"""),"#N/A")</f>
        <v>#N/A</v>
      </c>
      <c r="U1923" s="3" t="str">
        <f>IFERROR(__xludf.DUMMYFUNCTION("""COMPUTED_VALUE"""),"#N/A")</f>
        <v>#N/A</v>
      </c>
      <c r="V1923" s="3" t="str">
        <f>IFERROR(__xludf.DUMMYFUNCTION("""COMPUTED_VALUE"""),"N")</f>
        <v>N</v>
      </c>
      <c r="W1923" s="3">
        <f>IFERROR(__xludf.DUMMYFUNCTION("""COMPUTED_VALUE"""),210743.0)</f>
        <v>210743</v>
      </c>
      <c r="X1923" s="3" t="str">
        <f>IFERROR(__xludf.DUMMYFUNCTION("""COMPUTED_VALUE"""),"1014 หมู่12 ตำบลศิลา อำเภอเมืองขอนแก่น จังหวัดขอนแก่น 40000")</f>
        <v>1014 หมู่12 ตำบลศิลา อำเภอเมืองขอนแก่น จังหวัดขอนแก่น 40000</v>
      </c>
      <c r="Y1923" s="3"/>
      <c r="Z1923" s="3" t="str">
        <f>IFERROR(__xludf.DUMMYFUNCTION("""COMPUTED_VALUE"""),"ศิลา")</f>
        <v>ศิลา</v>
      </c>
      <c r="AA1923" s="3" t="str">
        <f>IFERROR(__xludf.DUMMYFUNCTION("""COMPUTED_VALUE"""),"เมืองขอนแก่น")</f>
        <v>เมืองขอนแก่น</v>
      </c>
      <c r="AB1923" s="3" t="str">
        <f>IFERROR(__xludf.DUMMYFUNCTION("""COMPUTED_VALUE"""),"ขอนแก่น")</f>
        <v>ขอนแก่น</v>
      </c>
      <c r="AC1923" s="3">
        <f>IFERROR(__xludf.DUMMYFUNCTION("""COMPUTED_VALUE"""),40000.0)</f>
        <v>40000</v>
      </c>
      <c r="AD1923" s="3">
        <f>IFERROR(__xludf.DUMMYFUNCTION("""COMPUTED_VALUE"""),16.480375)</f>
        <v>16.480375</v>
      </c>
      <c r="AE1923" s="3">
        <f>IFERROR(__xludf.DUMMYFUNCTION("""COMPUTED_VALUE"""),102.810598)</f>
        <v>102.810598</v>
      </c>
      <c r="AF1923" s="3" t="str">
        <f>IFERROR(__xludf.DUMMYFUNCTION("""COMPUTED_VALUE"""),"BCM หลังมอ ซ.เรสซิเดนซ์ ขอนแก่น-22609")</f>
        <v>BCM หลังมอ ซ.เรสซิเดนซ์ ขอนแก่น-22609</v>
      </c>
      <c r="AG1923" s="3" t="str">
        <f>IFERROR(__xludf.DUMMYFUNCTION("""COMPUTED_VALUE"""),"ตะวันออกเฉียงเหนือ")</f>
        <v>ตะวันออกเฉียงเหนือ</v>
      </c>
      <c r="AH1923" s="3" t="str">
        <f>IFERROR(__xludf.DUMMYFUNCTION("""COMPUTED_VALUE"""),"#N/A")</f>
        <v>#N/A</v>
      </c>
      <c r="AI1923" s="3" t="str">
        <f>IFERROR(__xludf.DUMMYFUNCTION("""COMPUTED_VALUE"""),"Out of warranty")</f>
        <v>Out of warranty</v>
      </c>
      <c r="AJ1923" s="3">
        <f>IFERROR(__xludf.DUMMYFUNCTION("""COMPUTED_VALUE"""),27.0)</f>
        <v>27</v>
      </c>
      <c r="AK1923" s="3"/>
      <c r="AL1923" s="3"/>
    </row>
    <row r="1924" ht="15.75" customHeight="1">
      <c r="A1924" s="1" t="str">
        <f>IFERROR(__xludf.DUMMYFUNCTION("""COMPUTED_VALUE"""),"22610")</f>
        <v>22610</v>
      </c>
      <c r="B1924" s="2">
        <f>IFERROR(__xludf.DUMMYFUNCTION("""COMPUTED_VALUE"""),22610.0)</f>
        <v>22610</v>
      </c>
      <c r="C1924" s="3" t="str">
        <f>IFERROR(__xludf.DUMMYFUNCTION("""COMPUTED_VALUE"""),"BCM หนองหลอด ชัยภูมิ")</f>
        <v>BCM หนองหลอด ชัยภูมิ</v>
      </c>
      <c r="D1924" s="3" t="str">
        <f>IFERROR(__xludf.DUMMYFUNCTION("""COMPUTED_VALUE"""),"BCM NONG LOT CHAIYAPHUM")</f>
        <v>BCM NONG LOT CHAIYAPHUM</v>
      </c>
      <c r="E1924" s="1" t="str">
        <f>IFERROR(__xludf.DUMMYFUNCTION("""COMPUTED_VALUE"""),"บิ๊กซี MINI")</f>
        <v>บิ๊กซี MINI</v>
      </c>
      <c r="F1924" s="1" t="str">
        <f>IFERROR(__xludf.DUMMYFUNCTION("""COMPUTED_VALUE"""),"291105")</f>
        <v>291105</v>
      </c>
      <c r="G1924" s="1" t="str">
        <f>IFERROR(__xludf.DUMMYFUNCTION("""COMPUTED_VALUE"""),"นายสราวุฒิ พณิชยกุล")</f>
        <v>นายสราวุฒิ พณิชยกุล</v>
      </c>
      <c r="H1924" s="1" t="str">
        <f>IFERROR(__xludf.DUMMYFUNCTION("""COMPUTED_VALUE"""),"371396")</f>
        <v>371396</v>
      </c>
      <c r="I1924" s="1" t="str">
        <f>IFERROR(__xludf.DUMMYFUNCTION("""COMPUTED_VALUE"""),"น.ส.สุภาวดี วิลัยพร")</f>
        <v>น.ส.สุภาวดี วิลัยพร</v>
      </c>
      <c r="J1924" s="3">
        <f>IFERROR(__xludf.DUMMYFUNCTION("""COMPUTED_VALUE"""),15361.0)</f>
        <v>15361</v>
      </c>
      <c r="K1924" s="3" t="str">
        <f>IFERROR(__xludf.DUMMYFUNCTION("""COMPUTED_VALUE"""),"นายสมบูรณ์ พรหมในเมือง")</f>
        <v>นายสมบูรณ์ พรหมในเมือง</v>
      </c>
      <c r="L1924" s="1" t="str">
        <f>IFERROR(__xludf.DUMMYFUNCTION("""COMPUTED_VALUE"""),"04 K.Somboon P.")</f>
        <v>04 K.Somboon P.</v>
      </c>
      <c r="M1924" s="1" t="str">
        <f>IFERROR(__xludf.DUMMYFUNCTION("""COMPUTED_VALUE"""),"087-965-3051")</f>
        <v>087-965-3051</v>
      </c>
      <c r="N1924" s="3">
        <f>IFERROR(__xludf.DUMMYFUNCTION("""COMPUTED_VALUE"""),21869.0)</f>
        <v>21869</v>
      </c>
      <c r="O1924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924" s="4">
        <f>IFERROR(__xludf.DUMMYFUNCTION("""COMPUTED_VALUE"""),45242.0)</f>
        <v>45242</v>
      </c>
      <c r="Q1924" s="3" t="str">
        <f>IFERROR(__xludf.DUMMYFUNCTION("""COMPUTED_VALUE"""),"A")</f>
        <v>A</v>
      </c>
      <c r="R1924" s="3" t="str">
        <f>IFERROR(__xludf.DUMMYFUNCTION("""COMPUTED_VALUE"""),"Small Format")</f>
        <v>Small Format</v>
      </c>
      <c r="S1924" s="3" t="str">
        <f>IFERROR(__xludf.DUMMYFUNCTION("""COMPUTED_VALUE"""),"BCM")</f>
        <v>BCM</v>
      </c>
      <c r="T1924" s="3" t="str">
        <f>IFERROR(__xludf.DUMMYFUNCTION("""COMPUTED_VALUE"""),"#N/A")</f>
        <v>#N/A</v>
      </c>
      <c r="U1924" s="3" t="str">
        <f>IFERROR(__xludf.DUMMYFUNCTION("""COMPUTED_VALUE"""),"#N/A")</f>
        <v>#N/A</v>
      </c>
      <c r="V1924" s="3" t="str">
        <f>IFERROR(__xludf.DUMMYFUNCTION("""COMPUTED_VALUE"""),"N")</f>
        <v>N</v>
      </c>
      <c r="W1924" s="3">
        <f>IFERROR(__xludf.DUMMYFUNCTION("""COMPUTED_VALUE"""),210754.0)</f>
        <v>210754</v>
      </c>
      <c r="X1924" s="3" t="str">
        <f>IFERROR(__xludf.DUMMYFUNCTION("""COMPUTED_VALUE"""),"284/3-6 หมู่7 ตำบลในเมือง อำเภอเมืองชัยภูมิ จังหวัดชัยภูมิ 36000")</f>
        <v>284/3-6 หมู่7 ตำบลในเมือง อำเภอเมืองชัยภูมิ จังหวัดชัยภูมิ 36000</v>
      </c>
      <c r="Y1924" s="3"/>
      <c r="Z1924" s="3" t="str">
        <f>IFERROR(__xludf.DUMMYFUNCTION("""COMPUTED_VALUE"""),"ในเมือง")</f>
        <v>ในเมือง</v>
      </c>
      <c r="AA1924" s="3" t="str">
        <f>IFERROR(__xludf.DUMMYFUNCTION("""COMPUTED_VALUE"""),"เมืองชัยภูมิ")</f>
        <v>เมืองชัยภูมิ</v>
      </c>
      <c r="AB1924" s="3" t="str">
        <f>IFERROR(__xludf.DUMMYFUNCTION("""COMPUTED_VALUE"""),"ชัยภูมิ")</f>
        <v>ชัยภูมิ</v>
      </c>
      <c r="AC1924" s="3">
        <f>IFERROR(__xludf.DUMMYFUNCTION("""COMPUTED_VALUE"""),36000.0)</f>
        <v>36000</v>
      </c>
      <c r="AD1924" s="3">
        <f>IFERROR(__xludf.DUMMYFUNCTION("""COMPUTED_VALUE"""),15.799303)</f>
        <v>15.799303</v>
      </c>
      <c r="AE1924" s="3">
        <f>IFERROR(__xludf.DUMMYFUNCTION("""COMPUTED_VALUE"""),102.022769)</f>
        <v>102.022769</v>
      </c>
      <c r="AF1924" s="3" t="str">
        <f>IFERROR(__xludf.DUMMYFUNCTION("""COMPUTED_VALUE"""),"BCM หนองหลอด ชัยภูมิ-22610")</f>
        <v>BCM หนองหลอด ชัยภูมิ-22610</v>
      </c>
      <c r="AG1924" s="3" t="str">
        <f>IFERROR(__xludf.DUMMYFUNCTION("""COMPUTED_VALUE"""),"ตะวันออกเฉียงเหนือ")</f>
        <v>ตะวันออกเฉียงเหนือ</v>
      </c>
      <c r="AH1924" s="3" t="str">
        <f>IFERROR(__xludf.DUMMYFUNCTION("""COMPUTED_VALUE"""),"#N/A")</f>
        <v>#N/A</v>
      </c>
      <c r="AI1924" s="3" t="str">
        <f>IFERROR(__xludf.DUMMYFUNCTION("""COMPUTED_VALUE"""),"Out of warranty")</f>
        <v>Out of warranty</v>
      </c>
      <c r="AJ1924" s="3">
        <f>IFERROR(__xludf.DUMMYFUNCTION("""COMPUTED_VALUE"""),27.0)</f>
        <v>27</v>
      </c>
      <c r="AK1924" s="3"/>
      <c r="AL1924" s="3"/>
    </row>
    <row r="1925" ht="15.75" customHeight="1">
      <c r="A1925" s="1" t="str">
        <f>IFERROR(__xludf.DUMMYFUNCTION("""COMPUTED_VALUE"""),"22611")</f>
        <v>22611</v>
      </c>
      <c r="B1925" s="2">
        <f>IFERROR(__xludf.DUMMYFUNCTION("""COMPUTED_VALUE"""),22611.0)</f>
        <v>22611</v>
      </c>
      <c r="C1925" s="3" t="str">
        <f>IFERROR(__xludf.DUMMYFUNCTION("""COMPUTED_VALUE"""),"BCM มหาวงษ์ สมุทรปราการ")</f>
        <v>BCM มหาวงษ์ สมุทรปราการ</v>
      </c>
      <c r="D1925" s="3" t="str">
        <f>IFERROR(__xludf.DUMMYFUNCTION("""COMPUTED_VALUE"""),"BCM MAHAWONG SAMUT PRAKAN")</f>
        <v>BCM MAHAWONG SAMUT PRAKAN</v>
      </c>
      <c r="E1925" s="1" t="str">
        <f>IFERROR(__xludf.DUMMYFUNCTION("""COMPUTED_VALUE"""),"บิ๊กซี MINI")</f>
        <v>บิ๊กซี MINI</v>
      </c>
      <c r="F1925" s="1" t="str">
        <f>IFERROR(__xludf.DUMMYFUNCTION("""COMPUTED_VALUE"""),"2083447")</f>
        <v>2083447</v>
      </c>
      <c r="G1925" s="1" t="str">
        <f>IFERROR(__xludf.DUMMYFUNCTION("""COMPUTED_VALUE"""),"นายอนุกูล ศรีลัดดา")</f>
        <v>นายอนุกูล ศรีลัดดา</v>
      </c>
      <c r="H1925" s="1" t="str">
        <f>IFERROR(__xludf.DUMMYFUNCTION("""COMPUTED_VALUE"""),"399107")</f>
        <v>399107</v>
      </c>
      <c r="I1925" s="1" t="str">
        <f>IFERROR(__xludf.DUMMYFUNCTION("""COMPUTED_VALUE"""),"นายรัชระวี กลมแป้น")</f>
        <v>นายรัชระวี กลมแป้น</v>
      </c>
      <c r="J1925" s="3">
        <f>IFERROR(__xludf.DUMMYFUNCTION("""COMPUTED_VALUE"""),510143.0)</f>
        <v>510143</v>
      </c>
      <c r="K1925" s="3" t="str">
        <f>IFERROR(__xludf.DUMMYFUNCTION("""COMPUTED_VALUE"""),"นายธีระวัฒน์ บุญสิทธิ์")</f>
        <v>นายธีระวัฒน์ บุญสิทธิ์</v>
      </c>
      <c r="L1925" s="1" t="str">
        <f>IFERROR(__xludf.DUMMYFUNCTION("""COMPUTED_VALUE"""),"12 K.Theerawat B.")</f>
        <v>12 K.Theerawat B.</v>
      </c>
      <c r="M1925" s="1" t="str">
        <f>IFERROR(__xludf.DUMMYFUNCTION("""COMPUTED_VALUE"""),"0655107379")</f>
        <v>0655107379</v>
      </c>
      <c r="N1925" s="3">
        <f>IFERROR(__xludf.DUMMYFUNCTION("""COMPUTED_VALUE"""),21062.0)</f>
        <v>21062</v>
      </c>
      <c r="O1925" s="3" t="str">
        <f>IFERROR(__xludf.DUMMYFUNCTION("""COMPUTED_VALUE"""),"MBC นิคมนวนคร")</f>
        <v>MBC นิคมนวนคร</v>
      </c>
      <c r="P1925" s="4">
        <f>IFERROR(__xludf.DUMMYFUNCTION("""COMPUTED_VALUE"""),45250.0)</f>
        <v>45250</v>
      </c>
      <c r="Q1925" s="3" t="str">
        <f>IFERROR(__xludf.DUMMYFUNCTION("""COMPUTED_VALUE"""),"A")</f>
        <v>A</v>
      </c>
      <c r="R1925" s="3" t="str">
        <f>IFERROR(__xludf.DUMMYFUNCTION("""COMPUTED_VALUE"""),"Small Format")</f>
        <v>Small Format</v>
      </c>
      <c r="S1925" s="3" t="str">
        <f>IFERROR(__xludf.DUMMYFUNCTION("""COMPUTED_VALUE"""),"BCM")</f>
        <v>BCM</v>
      </c>
      <c r="T1925" s="3" t="str">
        <f>IFERROR(__xludf.DUMMYFUNCTION("""COMPUTED_VALUE"""),"#N/A")</f>
        <v>#N/A</v>
      </c>
      <c r="U1925" s="3" t="str">
        <f>IFERROR(__xludf.DUMMYFUNCTION("""COMPUTED_VALUE"""),"#N/A")</f>
        <v>#N/A</v>
      </c>
      <c r="V1925" s="3" t="str">
        <f>IFERROR(__xludf.DUMMYFUNCTION("""COMPUTED_VALUE"""),"N")</f>
        <v>N</v>
      </c>
      <c r="W1925" s="3">
        <f>IFERROR(__xludf.DUMMYFUNCTION("""COMPUTED_VALUE"""),210696.0)</f>
        <v>210696</v>
      </c>
      <c r="X1925" s="3" t="str">
        <f>IFERROR(__xludf.DUMMYFUNCTION("""COMPUTED_VALUE"""),"128/1 หมู่9 ตำบลสำโรง อำเภอพระประแดง จังหวัดสมุทรปราการ 10130")</f>
        <v>128/1 หมู่9 ตำบลสำโรง อำเภอพระประแดง จังหวัดสมุทรปราการ 10130</v>
      </c>
      <c r="Y1925" s="3"/>
      <c r="Z1925" s="3" t="str">
        <f>IFERROR(__xludf.DUMMYFUNCTION("""COMPUTED_VALUE"""),"สำโรง")</f>
        <v>สำโรง</v>
      </c>
      <c r="AA1925" s="3" t="str">
        <f>IFERROR(__xludf.DUMMYFUNCTION("""COMPUTED_VALUE"""),"พระประแดง")</f>
        <v>พระประแดง</v>
      </c>
      <c r="AB1925" s="3" t="str">
        <f>IFERROR(__xludf.DUMMYFUNCTION("""COMPUTED_VALUE"""),"สมุทรปราการ")</f>
        <v>สมุทรปราการ</v>
      </c>
      <c r="AC1925" s="3">
        <f>IFERROR(__xludf.DUMMYFUNCTION("""COMPUTED_VALUE"""),10130.0)</f>
        <v>10130</v>
      </c>
      <c r="AD1925" s="3">
        <f>IFERROR(__xludf.DUMMYFUNCTION("""COMPUTED_VALUE"""),13.659777)</f>
        <v>13.659777</v>
      </c>
      <c r="AE1925" s="3">
        <f>IFERROR(__xludf.DUMMYFUNCTION("""COMPUTED_VALUE"""),100.581645)</f>
        <v>100.581645</v>
      </c>
      <c r="AF1925" s="3" t="str">
        <f>IFERROR(__xludf.DUMMYFUNCTION("""COMPUTED_VALUE"""),"BCM มหาวงษ์ สมุทรปราการ-22611")</f>
        <v>BCM มหาวงษ์ สมุทรปราการ-22611</v>
      </c>
      <c r="AG1925" s="3" t="str">
        <f>IFERROR(__xludf.DUMMYFUNCTION("""COMPUTED_VALUE"""),"กลาง")</f>
        <v>กลาง</v>
      </c>
      <c r="AH1925" s="3" t="str">
        <f>IFERROR(__xludf.DUMMYFUNCTION("""COMPUTED_VALUE"""),"#N/A")</f>
        <v>#N/A</v>
      </c>
      <c r="AI1925" s="3" t="str">
        <f>IFERROR(__xludf.DUMMYFUNCTION("""COMPUTED_VALUE"""),"Out of warranty")</f>
        <v>Out of warranty</v>
      </c>
      <c r="AJ1925" s="3">
        <f>IFERROR(__xludf.DUMMYFUNCTION("""COMPUTED_VALUE"""),27.0)</f>
        <v>27</v>
      </c>
      <c r="AK1925" s="3" t="str">
        <f>IFERROR(__xludf.DUMMYFUNCTION("""COMPUTED_VALUE"""),"MMS02")</f>
        <v>MMS02</v>
      </c>
      <c r="AL1925" s="3"/>
    </row>
    <row r="1926" ht="15.75" customHeight="1">
      <c r="A1926" s="1" t="str">
        <f>IFERROR(__xludf.DUMMYFUNCTION("""COMPUTED_VALUE"""),"22612")</f>
        <v>22612</v>
      </c>
      <c r="B1926" s="2">
        <f>IFERROR(__xludf.DUMMYFUNCTION("""COMPUTED_VALUE"""),22612.0)</f>
        <v>22612</v>
      </c>
      <c r="C1926" s="3" t="str">
        <f>IFERROR(__xludf.DUMMYFUNCTION("""COMPUTED_VALUE"""),"BCM แลนซีโอคริปเพชรเกษม 81 สมุทรสาคร")</f>
        <v>BCM แลนซีโอคริปเพชรเกษม 81 สมุทรสาคร</v>
      </c>
      <c r="D1926" s="3" t="str">
        <f>IFERROR(__xludf.DUMMYFUNCTION("""COMPUTED_VALUE"""),"BCM LANCEO CRIB PHETKASEM 81")</f>
        <v>BCM LANCEO CRIB PHETKASEM 81</v>
      </c>
      <c r="E1926" s="1" t="str">
        <f>IFERROR(__xludf.DUMMYFUNCTION("""COMPUTED_VALUE"""),"บิ๊กซี MINI")</f>
        <v>บิ๊กซี MINI</v>
      </c>
      <c r="F1926" s="1" t="str">
        <f>IFERROR(__xludf.DUMMYFUNCTION("""COMPUTED_VALUE"""),"2083447")</f>
        <v>2083447</v>
      </c>
      <c r="G1926" s="1" t="str">
        <f>IFERROR(__xludf.DUMMYFUNCTION("""COMPUTED_VALUE"""),"นายอนุกูล ศรีลัดดา")</f>
        <v>นายอนุกูล ศรีลัดดา</v>
      </c>
      <c r="H1926" s="1" t="str">
        <f>IFERROR(__xludf.DUMMYFUNCTION("""COMPUTED_VALUE"""),"2455053")</f>
        <v>2455053</v>
      </c>
      <c r="I1926" s="1" t="str">
        <f>IFERROR(__xludf.DUMMYFUNCTION("""COMPUTED_VALUE"""),"นายพันธมิตร โพธิ")</f>
        <v>นายพันธมิตร โพธิ</v>
      </c>
      <c r="J1926" s="3">
        <f>IFERROR(__xludf.DUMMYFUNCTION("""COMPUTED_VALUE"""),2451655.0)</f>
        <v>2451655</v>
      </c>
      <c r="K1926" s="3" t="str">
        <f>IFERROR(__xludf.DUMMYFUNCTION("""COMPUTED_VALUE"""),"นายวิษณุพงษ์ ชินบุตร")</f>
        <v>นายวิษณุพงษ์ ชินบุตร</v>
      </c>
      <c r="L1926" s="1" t="str">
        <f>IFERROR(__xludf.DUMMYFUNCTION("""COMPUTED_VALUE"""),"13 K.Wisanupong Ch")</f>
        <v>13 K.Wisanupong Ch</v>
      </c>
      <c r="M1926" s="1" t="str">
        <f>IFERROR(__xludf.DUMMYFUNCTION("""COMPUTED_VALUE"""),"0843374693")</f>
        <v>0843374693</v>
      </c>
      <c r="N1926" s="3">
        <f>IFERROR(__xludf.DUMMYFUNCTION("""COMPUTED_VALUE"""),22729.0)</f>
        <v>22729</v>
      </c>
      <c r="O1926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926" s="4">
        <f>IFERROR(__xludf.DUMMYFUNCTION("""COMPUTED_VALUE"""),45250.0)</f>
        <v>45250</v>
      </c>
      <c r="Q1926" s="3" t="str">
        <f>IFERROR(__xludf.DUMMYFUNCTION("""COMPUTED_VALUE"""),"A")</f>
        <v>A</v>
      </c>
      <c r="R1926" s="3" t="str">
        <f>IFERROR(__xludf.DUMMYFUNCTION("""COMPUTED_VALUE"""),"Small Format")</f>
        <v>Small Format</v>
      </c>
      <c r="S1926" s="3" t="str">
        <f>IFERROR(__xludf.DUMMYFUNCTION("""COMPUTED_VALUE"""),"BCM")</f>
        <v>BCM</v>
      </c>
      <c r="T1926" s="3" t="str">
        <f>IFERROR(__xludf.DUMMYFUNCTION("""COMPUTED_VALUE"""),"#N/A")</f>
        <v>#N/A</v>
      </c>
      <c r="U1926" s="3" t="str">
        <f>IFERROR(__xludf.DUMMYFUNCTION("""COMPUTED_VALUE"""),"#N/A")</f>
        <v>#N/A</v>
      </c>
      <c r="V1926" s="3" t="str">
        <f>IFERROR(__xludf.DUMMYFUNCTION("""COMPUTED_VALUE"""),"N")</f>
        <v>N</v>
      </c>
      <c r="W1926" s="3">
        <f>IFERROR(__xludf.DUMMYFUNCTION("""COMPUTED_VALUE"""),210720.0)</f>
        <v>210720</v>
      </c>
      <c r="X1926" s="3" t="str">
        <f>IFERROR(__xludf.DUMMYFUNCTION("""COMPUTED_VALUE"""),"173 หมู่13 ตำบลสวนหลวง อำเภอกระทุ่มแบน จังหวัดสมุทรสาคร 74110")</f>
        <v>173 หมู่13 ตำบลสวนหลวง อำเภอกระทุ่มแบน จังหวัดสมุทรสาคร 74110</v>
      </c>
      <c r="Y1926" s="3"/>
      <c r="Z1926" s="3" t="str">
        <f>IFERROR(__xludf.DUMMYFUNCTION("""COMPUTED_VALUE"""),"สวนหลวง")</f>
        <v>สวนหลวง</v>
      </c>
      <c r="AA1926" s="3" t="str">
        <f>IFERROR(__xludf.DUMMYFUNCTION("""COMPUTED_VALUE"""),"กระทุ่มแบน")</f>
        <v>กระทุ่มแบน</v>
      </c>
      <c r="AB1926" s="3" t="str">
        <f>IFERROR(__xludf.DUMMYFUNCTION("""COMPUTED_VALUE"""),"สมุทรสาคร")</f>
        <v>สมุทรสาคร</v>
      </c>
      <c r="AC1926" s="3">
        <f>IFERROR(__xludf.DUMMYFUNCTION("""COMPUTED_VALUE"""),74110.0)</f>
        <v>74110</v>
      </c>
      <c r="AD1926" s="3">
        <f>IFERROR(__xludf.DUMMYFUNCTION("""COMPUTED_VALUE"""),13.670906)</f>
        <v>13.670906</v>
      </c>
      <c r="AE1926" s="3">
        <f>IFERROR(__xludf.DUMMYFUNCTION("""COMPUTED_VALUE"""),100.337015)</f>
        <v>100.337015</v>
      </c>
      <c r="AF1926" s="3" t="str">
        <f>IFERROR(__xludf.DUMMYFUNCTION("""COMPUTED_VALUE"""),"BCM แลนซีโอคริปเพชรเกษม 81 สมุทรสาคร-22612")</f>
        <v>BCM แลนซีโอคริปเพชรเกษม 81 สมุทรสาคร-22612</v>
      </c>
      <c r="AG1926" s="3" t="str">
        <f>IFERROR(__xludf.DUMMYFUNCTION("""COMPUTED_VALUE"""),"กลาง")</f>
        <v>กลาง</v>
      </c>
      <c r="AH1926" s="3" t="str">
        <f>IFERROR(__xludf.DUMMYFUNCTION("""COMPUTED_VALUE"""),"#N/A")</f>
        <v>#N/A</v>
      </c>
      <c r="AI1926" s="3" t="str">
        <f>IFERROR(__xludf.DUMMYFUNCTION("""COMPUTED_VALUE"""),"Out of warranty")</f>
        <v>Out of warranty</v>
      </c>
      <c r="AJ1926" s="3">
        <f>IFERROR(__xludf.DUMMYFUNCTION("""COMPUTED_VALUE"""),27.0)</f>
        <v>27</v>
      </c>
      <c r="AK1926" s="3" t="str">
        <f>IFERROR(__xludf.DUMMYFUNCTION("""COMPUTED_VALUE"""),"MMS05")</f>
        <v>MMS05</v>
      </c>
      <c r="AL1926" s="3"/>
    </row>
    <row r="1927" ht="15.75" customHeight="1">
      <c r="A1927" s="1" t="str">
        <f>IFERROR(__xludf.DUMMYFUNCTION("""COMPUTED_VALUE"""),"22613")</f>
        <v>22613</v>
      </c>
      <c r="B1927" s="2">
        <f>IFERROR(__xludf.DUMMYFUNCTION("""COMPUTED_VALUE"""),22613.0)</f>
        <v>22613</v>
      </c>
      <c r="C1927" s="3" t="str">
        <f>IFERROR(__xludf.DUMMYFUNCTION("""COMPUTED_VALUE"""),"BCM บ.ลำแก่น พังงา")</f>
        <v>BCM บ.ลำแก่น พังงา</v>
      </c>
      <c r="D1927" s="3" t="str">
        <f>IFERROR(__xludf.DUMMYFUNCTION("""COMPUTED_VALUE"""),"BCM BAN LAMKAEN PHANGNGA")</f>
        <v>BCM BAN LAMKAEN PHANGNGA</v>
      </c>
      <c r="E1927" s="1" t="str">
        <f>IFERROR(__xludf.DUMMYFUNCTION("""COMPUTED_VALUE"""),"บิ๊กซี MINI")</f>
        <v>บิ๊กซี MINI</v>
      </c>
      <c r="F1927" s="1" t="str">
        <f>IFERROR(__xludf.DUMMYFUNCTION("""COMPUTED_VALUE"""),"250760")</f>
        <v>250760</v>
      </c>
      <c r="G1927" s="1" t="str">
        <f>IFERROR(__xludf.DUMMYFUNCTION("""COMPUTED_VALUE"""),"นายประทวน สาราบรรณ์")</f>
        <v>นายประทวน สาราบรรณ์</v>
      </c>
      <c r="H1927" s="1" t="str">
        <f>IFERROR(__xludf.DUMMYFUNCTION("""COMPUTED_VALUE"""),"394143")</f>
        <v>394143</v>
      </c>
      <c r="I1927" s="1" t="str">
        <f>IFERROR(__xludf.DUMMYFUNCTION("""COMPUTED_VALUE"""),"นายวิษณุ เพชรหัตถ์")</f>
        <v>นายวิษณุ เพชรหัตถ์</v>
      </c>
      <c r="J1927" s="3">
        <f>IFERROR(__xludf.DUMMYFUNCTION("""COMPUTED_VALUE"""),2.0470331E7)</f>
        <v>20470331</v>
      </c>
      <c r="K1927" s="3" t="str">
        <f>IFERROR(__xludf.DUMMYFUNCTION("""COMPUTED_VALUE"""),"นายสมชาย ลักษณะสุวรรณ")</f>
        <v>นายสมชาย ลักษณะสุวรรณ</v>
      </c>
      <c r="L1927" s="1" t="str">
        <f>IFERROR(__xludf.DUMMYFUNCTION("""COMPUTED_VALUE"""),"15 K.Somchai L")</f>
        <v>15 K.Somchai L</v>
      </c>
      <c r="M1927" s="1" t="str">
        <f>IFERROR(__xludf.DUMMYFUNCTION("""COMPUTED_VALUE"""),"0655107372")</f>
        <v>0655107372</v>
      </c>
      <c r="N1927" s="3">
        <f>IFERROR(__xludf.DUMMYFUNCTION("""COMPUTED_VALUE"""),21723.0)</f>
        <v>21723</v>
      </c>
      <c r="O1927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927" s="4">
        <f>IFERROR(__xludf.DUMMYFUNCTION("""COMPUTED_VALUE"""),45250.0)</f>
        <v>45250</v>
      </c>
      <c r="Q1927" s="3" t="str">
        <f>IFERROR(__xludf.DUMMYFUNCTION("""COMPUTED_VALUE"""),"A")</f>
        <v>A</v>
      </c>
      <c r="R1927" s="3" t="str">
        <f>IFERROR(__xludf.DUMMYFUNCTION("""COMPUTED_VALUE"""),"Small Format")</f>
        <v>Small Format</v>
      </c>
      <c r="S1927" s="3" t="str">
        <f>IFERROR(__xludf.DUMMYFUNCTION("""COMPUTED_VALUE"""),"BCM")</f>
        <v>BCM</v>
      </c>
      <c r="T1927" s="3" t="str">
        <f>IFERROR(__xludf.DUMMYFUNCTION("""COMPUTED_VALUE"""),"#N/A")</f>
        <v>#N/A</v>
      </c>
      <c r="U1927" s="3" t="str">
        <f>IFERROR(__xludf.DUMMYFUNCTION("""COMPUTED_VALUE"""),"#N/A")</f>
        <v>#N/A</v>
      </c>
      <c r="V1927" s="3" t="str">
        <f>IFERROR(__xludf.DUMMYFUNCTION("""COMPUTED_VALUE"""),"N")</f>
        <v>N</v>
      </c>
      <c r="W1927" s="3">
        <f>IFERROR(__xludf.DUMMYFUNCTION("""COMPUTED_VALUE"""),210761.0)</f>
        <v>210761</v>
      </c>
      <c r="X1927" s="3" t="str">
        <f>IFERROR(__xludf.DUMMYFUNCTION("""COMPUTED_VALUE"""),"44/57 หมู่1 ตำบลลำแก่น อำเภอท้ายเหมือง จังหวัดพังงา 82210")</f>
        <v>44/57 หมู่1 ตำบลลำแก่น อำเภอท้ายเหมือง จังหวัดพังงา 82210</v>
      </c>
      <c r="Y1927" s="3"/>
      <c r="Z1927" s="3" t="str">
        <f>IFERROR(__xludf.DUMMYFUNCTION("""COMPUTED_VALUE"""),"ลำแก่น")</f>
        <v>ลำแก่น</v>
      </c>
      <c r="AA1927" s="3" t="str">
        <f>IFERROR(__xludf.DUMMYFUNCTION("""COMPUTED_VALUE"""),"ท้ายเหมือง")</f>
        <v>ท้ายเหมือง</v>
      </c>
      <c r="AB1927" s="3" t="str">
        <f>IFERROR(__xludf.DUMMYFUNCTION("""COMPUTED_VALUE"""),"พังงา")</f>
        <v>พังงา</v>
      </c>
      <c r="AC1927" s="3">
        <f>IFERROR(__xludf.DUMMYFUNCTION("""COMPUTED_VALUE"""),82210.0)</f>
        <v>82210</v>
      </c>
      <c r="AD1927" s="3">
        <f>IFERROR(__xludf.DUMMYFUNCTION("""COMPUTED_VALUE"""),8.59391)</f>
        <v>8.59391</v>
      </c>
      <c r="AE1927" s="3">
        <f>IFERROR(__xludf.DUMMYFUNCTION("""COMPUTED_VALUE"""),98.256293)</f>
        <v>98.256293</v>
      </c>
      <c r="AF1927" s="3" t="str">
        <f>IFERROR(__xludf.DUMMYFUNCTION("""COMPUTED_VALUE"""),"BCM บ.ลำแก่น พังงา-22613")</f>
        <v>BCM บ.ลำแก่น พังงา-22613</v>
      </c>
      <c r="AG1927" s="3" t="str">
        <f>IFERROR(__xludf.DUMMYFUNCTION("""COMPUTED_VALUE"""),"ใต้")</f>
        <v>ใต้</v>
      </c>
      <c r="AH1927" s="3" t="str">
        <f>IFERROR(__xludf.DUMMYFUNCTION("""COMPUTED_VALUE"""),"#N/A")</f>
        <v>#N/A</v>
      </c>
      <c r="AI1927" s="3" t="str">
        <f>IFERROR(__xludf.DUMMYFUNCTION("""COMPUTED_VALUE"""),"Out of warranty")</f>
        <v>Out of warranty</v>
      </c>
      <c r="AJ1927" s="3">
        <f>IFERROR(__xludf.DUMMYFUNCTION("""COMPUTED_VALUE"""),27.0)</f>
        <v>27</v>
      </c>
      <c r="AK1927" s="3" t="str">
        <f>IFERROR(__xludf.DUMMYFUNCTION("""COMPUTED_VALUE"""),"MMS15")</f>
        <v>MMS15</v>
      </c>
      <c r="AL1927" s="3"/>
    </row>
    <row r="1928" ht="15.75" customHeight="1">
      <c r="A1928" s="1" t="str">
        <f>IFERROR(__xludf.DUMMYFUNCTION("""COMPUTED_VALUE"""),"22614")</f>
        <v>22614</v>
      </c>
      <c r="B1928" s="2">
        <f>IFERROR(__xludf.DUMMYFUNCTION("""COMPUTED_VALUE"""),22614.0)</f>
        <v>22614</v>
      </c>
      <c r="C1928" s="3" t="str">
        <f>IFERROR(__xludf.DUMMYFUNCTION("""COMPUTED_VALUE"""),"BCM คึกคัก พังงา")</f>
        <v>BCM คึกคัก พังงา</v>
      </c>
      <c r="D1928" s="3" t="str">
        <f>IFERROR(__xludf.DUMMYFUNCTION("""COMPUTED_VALUE"""),"BCM KHUEK KHAK PHANGNGA")</f>
        <v>BCM KHUEK KHAK PHANGNGA</v>
      </c>
      <c r="E1928" s="1" t="str">
        <f>IFERROR(__xludf.DUMMYFUNCTION("""COMPUTED_VALUE"""),"บิ๊กซี MINI")</f>
        <v>บิ๊กซี MINI</v>
      </c>
      <c r="F1928" s="1" t="str">
        <f>IFERROR(__xludf.DUMMYFUNCTION("""COMPUTED_VALUE"""),"250760")</f>
        <v>250760</v>
      </c>
      <c r="G1928" s="1" t="str">
        <f>IFERROR(__xludf.DUMMYFUNCTION("""COMPUTED_VALUE"""),"นายประทวน สาราบรรณ์")</f>
        <v>นายประทวน สาราบรรณ์</v>
      </c>
      <c r="H1928" s="1" t="str">
        <f>IFERROR(__xludf.DUMMYFUNCTION("""COMPUTED_VALUE"""),"394143")</f>
        <v>394143</v>
      </c>
      <c r="I1928" s="1" t="str">
        <f>IFERROR(__xludf.DUMMYFUNCTION("""COMPUTED_VALUE"""),"นายวิษณุ เพชรหัตถ์")</f>
        <v>นายวิษณุ เพชรหัตถ์</v>
      </c>
      <c r="J1928" s="3">
        <f>IFERROR(__xludf.DUMMYFUNCTION("""COMPUTED_VALUE"""),2.0470331E7)</f>
        <v>20470331</v>
      </c>
      <c r="K1928" s="3" t="str">
        <f>IFERROR(__xludf.DUMMYFUNCTION("""COMPUTED_VALUE"""),"นายสมชาย ลักษณะสุวรรณ")</f>
        <v>นายสมชาย ลักษณะสุวรรณ</v>
      </c>
      <c r="L1928" s="1" t="str">
        <f>IFERROR(__xludf.DUMMYFUNCTION("""COMPUTED_VALUE"""),"15 K.Somchai L")</f>
        <v>15 K.Somchai L</v>
      </c>
      <c r="M1928" s="1" t="str">
        <f>IFERROR(__xludf.DUMMYFUNCTION("""COMPUTED_VALUE"""),"0655107372")</f>
        <v>0655107372</v>
      </c>
      <c r="N1928" s="3">
        <f>IFERROR(__xludf.DUMMYFUNCTION("""COMPUTED_VALUE"""),21723.0)</f>
        <v>21723</v>
      </c>
      <c r="O1928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928" s="4">
        <f>IFERROR(__xludf.DUMMYFUNCTION("""COMPUTED_VALUE"""),45250.0)</f>
        <v>45250</v>
      </c>
      <c r="Q1928" s="3" t="str">
        <f>IFERROR(__xludf.DUMMYFUNCTION("""COMPUTED_VALUE"""),"A")</f>
        <v>A</v>
      </c>
      <c r="R1928" s="3" t="str">
        <f>IFERROR(__xludf.DUMMYFUNCTION("""COMPUTED_VALUE"""),"Small Format")</f>
        <v>Small Format</v>
      </c>
      <c r="S1928" s="3" t="str">
        <f>IFERROR(__xludf.DUMMYFUNCTION("""COMPUTED_VALUE"""),"BCM")</f>
        <v>BCM</v>
      </c>
      <c r="T1928" s="3" t="str">
        <f>IFERROR(__xludf.DUMMYFUNCTION("""COMPUTED_VALUE"""),"#N/A")</f>
        <v>#N/A</v>
      </c>
      <c r="U1928" s="3" t="str">
        <f>IFERROR(__xludf.DUMMYFUNCTION("""COMPUTED_VALUE"""),"#N/A")</f>
        <v>#N/A</v>
      </c>
      <c r="V1928" s="3" t="str">
        <f>IFERROR(__xludf.DUMMYFUNCTION("""COMPUTED_VALUE"""),"N")</f>
        <v>N</v>
      </c>
      <c r="W1928" s="3">
        <f>IFERROR(__xludf.DUMMYFUNCTION("""COMPUTED_VALUE"""),210762.0)</f>
        <v>210762</v>
      </c>
      <c r="X1928" s="3" t="str">
        <f>IFERROR(__xludf.DUMMYFUNCTION("""COMPUTED_VALUE"""),"42/52 หมู่3 ตำบลคึกคัก อำเภอตะกั่วป่า จังหวัดพังงา 82190")</f>
        <v>42/52 หมู่3 ตำบลคึกคัก อำเภอตะกั่วป่า จังหวัดพังงา 82190</v>
      </c>
      <c r="Y1928" s="3"/>
      <c r="Z1928" s="3" t="str">
        <f>IFERROR(__xludf.DUMMYFUNCTION("""COMPUTED_VALUE"""),"คึกคัก")</f>
        <v>คึกคัก</v>
      </c>
      <c r="AA1928" s="3" t="str">
        <f>IFERROR(__xludf.DUMMYFUNCTION("""COMPUTED_VALUE"""),"ตะกั่วป่า")</f>
        <v>ตะกั่วป่า</v>
      </c>
      <c r="AB1928" s="3" t="str">
        <f>IFERROR(__xludf.DUMMYFUNCTION("""COMPUTED_VALUE"""),"พังงา")</f>
        <v>พังงา</v>
      </c>
      <c r="AC1928" s="3">
        <f>IFERROR(__xludf.DUMMYFUNCTION("""COMPUTED_VALUE"""),82190.0)</f>
        <v>82190</v>
      </c>
      <c r="AD1928" s="3">
        <f>IFERROR(__xludf.DUMMYFUNCTION("""COMPUTED_VALUE"""),8.694774)</f>
        <v>8.694774</v>
      </c>
      <c r="AE1928" s="3">
        <f>IFERROR(__xludf.DUMMYFUNCTION("""COMPUTED_VALUE"""),98.25513)</f>
        <v>98.25513</v>
      </c>
      <c r="AF1928" s="3" t="str">
        <f>IFERROR(__xludf.DUMMYFUNCTION("""COMPUTED_VALUE"""),"BCM คึกคัก พังงา-22614")</f>
        <v>BCM คึกคัก พังงา-22614</v>
      </c>
      <c r="AG1928" s="3" t="str">
        <f>IFERROR(__xludf.DUMMYFUNCTION("""COMPUTED_VALUE"""),"ใต้")</f>
        <v>ใต้</v>
      </c>
      <c r="AH1928" s="3" t="str">
        <f>IFERROR(__xludf.DUMMYFUNCTION("""COMPUTED_VALUE"""),"#N/A")</f>
        <v>#N/A</v>
      </c>
      <c r="AI1928" s="3" t="str">
        <f>IFERROR(__xludf.DUMMYFUNCTION("""COMPUTED_VALUE"""),"Out of warranty")</f>
        <v>Out of warranty</v>
      </c>
      <c r="AJ1928" s="3">
        <f>IFERROR(__xludf.DUMMYFUNCTION("""COMPUTED_VALUE"""),27.0)</f>
        <v>27</v>
      </c>
      <c r="AK1928" s="3" t="str">
        <f>IFERROR(__xludf.DUMMYFUNCTION("""COMPUTED_VALUE"""),"MMS15")</f>
        <v>MMS15</v>
      </c>
      <c r="AL1928" s="3"/>
    </row>
    <row r="1929" ht="15.75" customHeight="1">
      <c r="A1929" s="1" t="str">
        <f>IFERROR(__xludf.DUMMYFUNCTION("""COMPUTED_VALUE"""),"22615")</f>
        <v>22615</v>
      </c>
      <c r="B1929" s="2">
        <f>IFERROR(__xludf.DUMMYFUNCTION("""COMPUTED_VALUE"""),22615.0)</f>
        <v>22615</v>
      </c>
      <c r="C1929" s="3" t="str">
        <f>IFERROR(__xludf.DUMMYFUNCTION("""COMPUTED_VALUE"""),"BCM แอด บิ๊กซีเพลสรัชดา กรุงเทพมหานคร")</f>
        <v>BCM แอด บิ๊กซีเพลสรัชดา กรุงเทพมหานคร</v>
      </c>
      <c r="D1929" s="3" t="str">
        <f>IFERROR(__xludf.DUMMYFUNCTION("""COMPUTED_VALUE"""),"BCM AT BIG C PLACE RATCHADA")</f>
        <v>BCM AT BIG C PLACE RATCHADA</v>
      </c>
      <c r="E1929" s="1" t="str">
        <f>IFERROR(__xludf.DUMMYFUNCTION("""COMPUTED_VALUE"""),"บิ๊กซี MINI")</f>
        <v>บิ๊กซี MINI</v>
      </c>
      <c r="F1929" s="1" t="str">
        <f>IFERROR(__xludf.DUMMYFUNCTION("""COMPUTED_VALUE"""),"291008")</f>
        <v>291008</v>
      </c>
      <c r="G1929" s="1" t="str">
        <f>IFERROR(__xludf.DUMMYFUNCTION("""COMPUTED_VALUE"""),"น.ส.รัชดาพร อีศรัตน์")</f>
        <v>น.ส.รัชดาพร อีศรัตน์</v>
      </c>
      <c r="H1929" s="1" t="str">
        <f>IFERROR(__xludf.DUMMYFUNCTION("""COMPUTED_VALUE"""),"359002")</f>
        <v>359002</v>
      </c>
      <c r="I1929" s="1" t="str">
        <f>IFERROR(__xludf.DUMMYFUNCTION("""COMPUTED_VALUE"""),"น.ส.นิตยา สมจิตร")</f>
        <v>น.ส.นิตยา สมจิตร</v>
      </c>
      <c r="J1929" s="3">
        <f>IFERROR(__xludf.DUMMYFUNCTION("""COMPUTED_VALUE"""),3510104.0)</f>
        <v>3510104</v>
      </c>
      <c r="K1929" s="3" t="str">
        <f>IFERROR(__xludf.DUMMYFUNCTION("""COMPUTED_VALUE"""),"นายวิโรจน์ อับดุลสมัด")</f>
        <v>นายวิโรจน์ อับดุลสมัด</v>
      </c>
      <c r="L1929" s="1" t="str">
        <f>IFERROR(__xludf.DUMMYFUNCTION("""COMPUTED_VALUE"""),"09 K.Wirode A")</f>
        <v>09 K.Wirode A</v>
      </c>
      <c r="M1929" s="1" t="str">
        <f>IFERROR(__xludf.DUMMYFUNCTION("""COMPUTED_VALUE"""),"080-235-4465")</f>
        <v>080-235-4465</v>
      </c>
      <c r="N1929" s="3">
        <f>IFERROR(__xludf.DUMMYFUNCTION("""COMPUTED_VALUE"""),21324.0)</f>
        <v>21324</v>
      </c>
      <c r="O1929" s="3" t="str">
        <f>IFERROR(__xludf.DUMMYFUNCTION("""COMPUTED_VALUE"""),"MBC BCP สุวินทวงศ์")</f>
        <v>MBC BCP สุวินทวงศ์</v>
      </c>
      <c r="P1929" s="4">
        <f>IFERROR(__xludf.DUMMYFUNCTION("""COMPUTED_VALUE"""),45255.0)</f>
        <v>45255</v>
      </c>
      <c r="Q1929" s="3" t="str">
        <f>IFERROR(__xludf.DUMMYFUNCTION("""COMPUTED_VALUE"""),"A")</f>
        <v>A</v>
      </c>
      <c r="R1929" s="3" t="str">
        <f>IFERROR(__xludf.DUMMYFUNCTION("""COMPUTED_VALUE"""),"Small Format")</f>
        <v>Small Format</v>
      </c>
      <c r="S1929" s="3" t="str">
        <f>IFERROR(__xludf.DUMMYFUNCTION("""COMPUTED_VALUE"""),"BCM")</f>
        <v>BCM</v>
      </c>
      <c r="T1929" s="3" t="str">
        <f>IFERROR(__xludf.DUMMYFUNCTION("""COMPUTED_VALUE"""),"#N/A")</f>
        <v>#N/A</v>
      </c>
      <c r="U1929" s="3" t="str">
        <f>IFERROR(__xludf.DUMMYFUNCTION("""COMPUTED_VALUE"""),"#N/A")</f>
        <v>#N/A</v>
      </c>
      <c r="V1929" s="3" t="str">
        <f>IFERROR(__xludf.DUMMYFUNCTION("""COMPUTED_VALUE"""),"N")</f>
        <v>N</v>
      </c>
      <c r="W1929" s="3">
        <f>IFERROR(__xludf.DUMMYFUNCTION("""COMPUTED_VALUE"""),210689.0)</f>
        <v>210689</v>
      </c>
      <c r="X1929" s="3" t="str">
        <f>IFERROR(__xludf.DUMMYFUNCTION("""COMPUTED_VALUE"""),"ห้องเลขที่ GCR1151 ชั้น G-IN เลขที่ 125 ถนนรัชดาภิเษก แขวงดินแดง เขตดินแดง กรุงเทพมหานคร 10400")</f>
        <v>ห้องเลขที่ GCR1151 ชั้น G-IN เลขที่ 125 ถนนรัชดาภิเษก แขวงดินแดง เขตดินแดง กรุงเทพมหานคร 10400</v>
      </c>
      <c r="Y1929" s="3" t="str">
        <f>IFERROR(__xludf.DUMMYFUNCTION("""COMPUTED_VALUE"""),"รัชดาภิเษก")</f>
        <v>รัชดาภิเษก</v>
      </c>
      <c r="Z1929" s="3" t="str">
        <f>IFERROR(__xludf.DUMMYFUNCTION("""COMPUTED_VALUE"""),"ดินแดง")</f>
        <v>ดินแดง</v>
      </c>
      <c r="AA1929" s="3" t="str">
        <f>IFERROR(__xludf.DUMMYFUNCTION("""COMPUTED_VALUE"""),"ดินแดง")</f>
        <v>ดินแดง</v>
      </c>
      <c r="AB1929" s="3" t="str">
        <f>IFERROR(__xludf.DUMMYFUNCTION("""COMPUTED_VALUE"""),"กรุงเทพมหานคร")</f>
        <v>กรุงเทพมหานคร</v>
      </c>
      <c r="AC1929" s="3">
        <f>IFERROR(__xludf.DUMMYFUNCTION("""COMPUTED_VALUE"""),10400.0)</f>
        <v>10400</v>
      </c>
      <c r="AD1929" s="3">
        <f>IFERROR(__xludf.DUMMYFUNCTION("""COMPUTED_VALUE"""),13.768448)</f>
        <v>13.768448</v>
      </c>
      <c r="AE1929" s="3">
        <f>IFERROR(__xludf.DUMMYFUNCTION("""COMPUTED_VALUE"""),100.571865)</f>
        <v>100.571865</v>
      </c>
      <c r="AF1929" s="3" t="str">
        <f>IFERROR(__xludf.DUMMYFUNCTION("""COMPUTED_VALUE"""),"BCM แอด บิ๊กซีเพลสรัชดา กรุงเทพมหานคร-22615")</f>
        <v>BCM แอด บิ๊กซีเพลสรัชดา กรุงเทพมหานคร-22615</v>
      </c>
      <c r="AG1929" s="3" t="str">
        <f>IFERROR(__xludf.DUMMYFUNCTION("""COMPUTED_VALUE"""),"กลาง")</f>
        <v>กลาง</v>
      </c>
      <c r="AH1929" s="3" t="str">
        <f>IFERROR(__xludf.DUMMYFUNCTION("""COMPUTED_VALUE"""),"#N/A")</f>
        <v>#N/A</v>
      </c>
      <c r="AI1929" s="3" t="str">
        <f>IFERROR(__xludf.DUMMYFUNCTION("""COMPUTED_VALUE"""),"Out of warranty")</f>
        <v>Out of warranty</v>
      </c>
      <c r="AJ1929" s="3">
        <f>IFERROR(__xludf.DUMMYFUNCTION("""COMPUTED_VALUE"""),26.0)</f>
        <v>26</v>
      </c>
      <c r="AK1929" s="3" t="str">
        <f>IFERROR(__xludf.DUMMYFUNCTION("""COMPUTED_VALUE"""),"MMS01")</f>
        <v>MMS01</v>
      </c>
      <c r="AL1929" s="3"/>
    </row>
    <row r="1930" ht="15.75" customHeight="1">
      <c r="A1930" s="1" t="str">
        <f>IFERROR(__xludf.DUMMYFUNCTION("""COMPUTED_VALUE"""),"22616")</f>
        <v>22616</v>
      </c>
      <c r="B1930" s="2">
        <f>IFERROR(__xludf.DUMMYFUNCTION("""COMPUTED_VALUE"""),22616.0)</f>
        <v>22616</v>
      </c>
      <c r="C1930" s="3" t="str">
        <f>IFERROR(__xludf.DUMMYFUNCTION("""COMPUTED_VALUE"""),"BCM เขาสามยอด ลพบุรี")</f>
        <v>BCM เขาสามยอด ลพบุรี</v>
      </c>
      <c r="D1930" s="3" t="str">
        <f>IFERROR(__xludf.DUMMYFUNCTION("""COMPUTED_VALUE"""),"BCM KHAO SAM YOD LOP BURI")</f>
        <v>BCM KHAO SAM YOD LOP BURI</v>
      </c>
      <c r="E1930" s="1" t="str">
        <f>IFERROR(__xludf.DUMMYFUNCTION("""COMPUTED_VALUE"""),"บิ๊กซี MINI")</f>
        <v>บิ๊กซี MINI</v>
      </c>
      <c r="F1930" s="1" t="str">
        <f>IFERROR(__xludf.DUMMYFUNCTION("""COMPUTED_VALUE"""),"296229")</f>
        <v>296229</v>
      </c>
      <c r="G1930" s="1" t="str">
        <f>IFERROR(__xludf.DUMMYFUNCTION("""COMPUTED_VALUE"""),"นายทนงศักดิ์ บุญมา")</f>
        <v>นายทนงศักดิ์ บุญมา</v>
      </c>
      <c r="H1930" s="1" t="str">
        <f>IFERROR(__xludf.DUMMYFUNCTION("""COMPUTED_VALUE"""),"291082")</f>
        <v>291082</v>
      </c>
      <c r="I1930" s="1" t="str">
        <f>IFERROR(__xludf.DUMMYFUNCTION("""COMPUTED_VALUE"""),"น.ส.วจี กันเกตุ")</f>
        <v>น.ส.วจี กันเกตุ</v>
      </c>
      <c r="J1930" s="3">
        <f>IFERROR(__xludf.DUMMYFUNCTION("""COMPUTED_VALUE"""),46214.0)</f>
        <v>46214</v>
      </c>
      <c r="K1930" s="3" t="str">
        <f>IFERROR(__xludf.DUMMYFUNCTION("""COMPUTED_VALUE"""),"นายศักดิ์ชัย เด็ดดอกฟ้า")</f>
        <v>นายศักดิ์ชัย เด็ดดอกฟ้า</v>
      </c>
      <c r="L1930" s="1" t="str">
        <f>IFERROR(__xludf.DUMMYFUNCTION("""COMPUTED_VALUE"""),"02 K.Sakchai D")</f>
        <v>02 K.Sakchai D</v>
      </c>
      <c r="M1930" s="1" t="str">
        <f>IFERROR(__xludf.DUMMYFUNCTION("""COMPUTED_VALUE"""),"065-510-7376")</f>
        <v>065-510-7376</v>
      </c>
      <c r="N1930" s="3">
        <f>IFERROR(__xludf.DUMMYFUNCTION("""COMPUTED_VALUE"""),21714.0)</f>
        <v>21714</v>
      </c>
      <c r="O1930" s="3" t="str">
        <f>IFERROR(__xludf.DUMMYFUNCTION("""COMPUTED_VALUE"""),"MBC เอสโซ่ วัดโบสถ์")</f>
        <v>MBC เอสโซ่ วัดโบสถ์</v>
      </c>
      <c r="P1930" s="4">
        <f>IFERROR(__xludf.DUMMYFUNCTION("""COMPUTED_VALUE"""),45250.0)</f>
        <v>45250</v>
      </c>
      <c r="Q1930" s="3" t="str">
        <f>IFERROR(__xludf.DUMMYFUNCTION("""COMPUTED_VALUE"""),"A")</f>
        <v>A</v>
      </c>
      <c r="R1930" s="3" t="str">
        <f>IFERROR(__xludf.DUMMYFUNCTION("""COMPUTED_VALUE"""),"Small Format")</f>
        <v>Small Format</v>
      </c>
      <c r="S1930" s="3" t="str">
        <f>IFERROR(__xludf.DUMMYFUNCTION("""COMPUTED_VALUE"""),"BCM")</f>
        <v>BCM</v>
      </c>
      <c r="T1930" s="3" t="str">
        <f>IFERROR(__xludf.DUMMYFUNCTION("""COMPUTED_VALUE"""),"#N/A")</f>
        <v>#N/A</v>
      </c>
      <c r="U1930" s="3" t="str">
        <f>IFERROR(__xludf.DUMMYFUNCTION("""COMPUTED_VALUE"""),"#N/A")</f>
        <v>#N/A</v>
      </c>
      <c r="V1930" s="3" t="str">
        <f>IFERROR(__xludf.DUMMYFUNCTION("""COMPUTED_VALUE"""),"N")</f>
        <v>N</v>
      </c>
      <c r="W1930" s="3">
        <f>IFERROR(__xludf.DUMMYFUNCTION("""COMPUTED_VALUE"""),210773.0)</f>
        <v>210773</v>
      </c>
      <c r="X1930" s="3" t="str">
        <f>IFERROR(__xludf.DUMMYFUNCTION("""COMPUTED_VALUE"""),"241 ถนนพระยาพิชัยดาบหัก (ซ.20) ตำบลเข้าสามยอด อำเภอเมืองลพบุรี จังหวัดลพบุรี 15000")</f>
        <v>241 ถนนพระยาพิชัยดาบหัก (ซ.20) ตำบลเข้าสามยอด อำเภอเมืองลพบุรี จังหวัดลพบุรี 15000</v>
      </c>
      <c r="Y1930" s="3" t="str">
        <f>IFERROR(__xludf.DUMMYFUNCTION("""COMPUTED_VALUE"""),"พระยาพิชัยดาบหัก")</f>
        <v>พระยาพิชัยดาบหัก</v>
      </c>
      <c r="Z1930" s="3" t="str">
        <f>IFERROR(__xludf.DUMMYFUNCTION("""COMPUTED_VALUE"""),"เข้าสามยอด")</f>
        <v>เข้าสามยอด</v>
      </c>
      <c r="AA1930" s="3" t="str">
        <f>IFERROR(__xludf.DUMMYFUNCTION("""COMPUTED_VALUE"""),"เมืองลพบุรี")</f>
        <v>เมืองลพบุรี</v>
      </c>
      <c r="AB1930" s="3" t="str">
        <f>IFERROR(__xludf.DUMMYFUNCTION("""COMPUTED_VALUE"""),"ลพบุรี")</f>
        <v>ลพบุรี</v>
      </c>
      <c r="AC1930" s="3">
        <f>IFERROR(__xludf.DUMMYFUNCTION("""COMPUTED_VALUE"""),15000.0)</f>
        <v>15000</v>
      </c>
      <c r="AD1930" s="3">
        <f>IFERROR(__xludf.DUMMYFUNCTION("""COMPUTED_VALUE"""),14.846937)</f>
        <v>14.846937</v>
      </c>
      <c r="AE1930" s="3">
        <f>IFERROR(__xludf.DUMMYFUNCTION("""COMPUTED_VALUE"""),100.64842)</f>
        <v>100.64842</v>
      </c>
      <c r="AF1930" s="3" t="str">
        <f>IFERROR(__xludf.DUMMYFUNCTION("""COMPUTED_VALUE"""),"BCM เขาสามยอด ลพบุรี-22616")</f>
        <v>BCM เขาสามยอด ลพบุรี-22616</v>
      </c>
      <c r="AG1930" s="3" t="str">
        <f>IFERROR(__xludf.DUMMYFUNCTION("""COMPUTED_VALUE"""),"กลาง")</f>
        <v>กลาง</v>
      </c>
      <c r="AH1930" s="3" t="str">
        <f>IFERROR(__xludf.DUMMYFUNCTION("""COMPUTED_VALUE"""),"#N/A")</f>
        <v>#N/A</v>
      </c>
      <c r="AI1930" s="3" t="str">
        <f>IFERROR(__xludf.DUMMYFUNCTION("""COMPUTED_VALUE"""),"Out of warranty")</f>
        <v>Out of warranty</v>
      </c>
      <c r="AJ1930" s="3">
        <f>IFERROR(__xludf.DUMMYFUNCTION("""COMPUTED_VALUE"""),27.0)</f>
        <v>27</v>
      </c>
      <c r="AK1930" s="3" t="str">
        <f>IFERROR(__xludf.DUMMYFUNCTION("""COMPUTED_VALUE"""),"MMS09")</f>
        <v>MMS09</v>
      </c>
      <c r="AL1930" s="3"/>
    </row>
    <row r="1931" ht="15.75" customHeight="1">
      <c r="A1931" s="1" t="str">
        <f>IFERROR(__xludf.DUMMYFUNCTION("""COMPUTED_VALUE"""),"22617")</f>
        <v>22617</v>
      </c>
      <c r="B1931" s="2">
        <f>IFERROR(__xludf.DUMMYFUNCTION("""COMPUTED_VALUE"""),22617.0)</f>
        <v>22617</v>
      </c>
      <c r="C1931" s="3" t="str">
        <f>IFERROR(__xludf.DUMMYFUNCTION("""COMPUTED_VALUE"""),"BCM บ.ท่าสองคอน มหาสารคาม")</f>
        <v>BCM บ.ท่าสองคอน มหาสารคาม</v>
      </c>
      <c r="D1931" s="3" t="str">
        <f>IFERROR(__xludf.DUMMYFUNCTION("""COMPUTED_VALUE"""),"BCM BAN THA SONG KHON")</f>
        <v>BCM BAN THA SONG KHON</v>
      </c>
      <c r="E1931" s="1" t="str">
        <f>IFERROR(__xludf.DUMMYFUNCTION("""COMPUTED_VALUE"""),"บิ๊กซี MINI")</f>
        <v>บิ๊กซี MINI</v>
      </c>
      <c r="F1931" s="1" t="str">
        <f>IFERROR(__xludf.DUMMYFUNCTION("""COMPUTED_VALUE"""),"291105")</f>
        <v>291105</v>
      </c>
      <c r="G1931" s="1" t="str">
        <f>IFERROR(__xludf.DUMMYFUNCTION("""COMPUTED_VALUE"""),"นายสราวุฒิ พณิชยกุล")</f>
        <v>นายสราวุฒิ พณิชยกุล</v>
      </c>
      <c r="H1931" s="1" t="str">
        <f>IFERROR(__xludf.DUMMYFUNCTION("""COMPUTED_VALUE"""),"392433")</f>
        <v>392433</v>
      </c>
      <c r="I1931" s="1" t="str">
        <f>IFERROR(__xludf.DUMMYFUNCTION("""COMPUTED_VALUE"""),"นายพรธิวา ใจอ่อน")</f>
        <v>นายพรธิวา ใจอ่อน</v>
      </c>
      <c r="J1931" s="3">
        <f>IFERROR(__xludf.DUMMYFUNCTION("""COMPUTED_VALUE"""),2454781.0)</f>
        <v>2454781</v>
      </c>
      <c r="K1931" s="3" t="str">
        <f>IFERROR(__xludf.DUMMYFUNCTION("""COMPUTED_VALUE"""),"นายฌานกฤช นันทะโคต")</f>
        <v>นายฌานกฤช นันทะโคต</v>
      </c>
      <c r="L1931" s="1" t="str">
        <f>IFERROR(__xludf.DUMMYFUNCTION("""COMPUTED_VALUE"""),"05 K.Chanakrit N.")</f>
        <v>05 K.Chanakrit N.</v>
      </c>
      <c r="M1931" s="1" t="str">
        <f>IFERROR(__xludf.DUMMYFUNCTION("""COMPUTED_VALUE"""),"090-978-9785 ,065-929-1320")</f>
        <v>090-978-9785 ,065-929-1320</v>
      </c>
      <c r="N1931" s="3">
        <f>IFERROR(__xludf.DUMMYFUNCTION("""COMPUTED_VALUE"""),22195.0)</f>
        <v>22195</v>
      </c>
      <c r="O1931" s="3" t="str">
        <f>IFERROR(__xludf.DUMMYFUNCTION("""COMPUTED_VALUE"""),"MBC กันทรลักษ์ ศรีสะเกษ")</f>
        <v>MBC กันทรลักษ์ ศรีสะเกษ</v>
      </c>
      <c r="P1931" s="4">
        <f>IFERROR(__xludf.DUMMYFUNCTION("""COMPUTED_VALUE"""),45250.0)</f>
        <v>45250</v>
      </c>
      <c r="Q1931" s="3" t="str">
        <f>IFERROR(__xludf.DUMMYFUNCTION("""COMPUTED_VALUE"""),"A")</f>
        <v>A</v>
      </c>
      <c r="R1931" s="3" t="str">
        <f>IFERROR(__xludf.DUMMYFUNCTION("""COMPUTED_VALUE"""),"Small Format")</f>
        <v>Small Format</v>
      </c>
      <c r="S1931" s="3" t="str">
        <f>IFERROR(__xludf.DUMMYFUNCTION("""COMPUTED_VALUE"""),"BCM")</f>
        <v>BCM</v>
      </c>
      <c r="T1931" s="3" t="str">
        <f>IFERROR(__xludf.DUMMYFUNCTION("""COMPUTED_VALUE"""),"#N/A")</f>
        <v>#N/A</v>
      </c>
      <c r="U1931" s="3" t="str">
        <f>IFERROR(__xludf.DUMMYFUNCTION("""COMPUTED_VALUE"""),"#N/A")</f>
        <v>#N/A</v>
      </c>
      <c r="V1931" s="3" t="str">
        <f>IFERROR(__xludf.DUMMYFUNCTION("""COMPUTED_VALUE"""),"N")</f>
        <v>N</v>
      </c>
      <c r="W1931" s="3">
        <f>IFERROR(__xludf.DUMMYFUNCTION("""COMPUTED_VALUE"""),210746.0)</f>
        <v>210746</v>
      </c>
      <c r="X1931" s="3" t="str">
        <f>IFERROR(__xludf.DUMMYFUNCTION("""COMPUTED_VALUE"""),"401 หมู่1 ตำบลท่าสองคอน อำเภอเมืองมหาสารคาม จังหวัดมหาสารคาม 44000")</f>
        <v>401 หมู่1 ตำบลท่าสองคอน อำเภอเมืองมหาสารคาม จังหวัดมหาสารคาม 44000</v>
      </c>
      <c r="Y1931" s="3"/>
      <c r="Z1931" s="3" t="str">
        <f>IFERROR(__xludf.DUMMYFUNCTION("""COMPUTED_VALUE"""),"ท่าสองคอน")</f>
        <v>ท่าสองคอน</v>
      </c>
      <c r="AA1931" s="3" t="str">
        <f>IFERROR(__xludf.DUMMYFUNCTION("""COMPUTED_VALUE"""),"มหาสารคาม")</f>
        <v>มหาสารคาม</v>
      </c>
      <c r="AB1931" s="3" t="str">
        <f>IFERROR(__xludf.DUMMYFUNCTION("""COMPUTED_VALUE"""),"มหาสารคาม")</f>
        <v>มหาสารคาม</v>
      </c>
      <c r="AC1931" s="3">
        <f>IFERROR(__xludf.DUMMYFUNCTION("""COMPUTED_VALUE"""),44000.0)</f>
        <v>44000</v>
      </c>
      <c r="AD1931" s="3">
        <f>IFERROR(__xludf.DUMMYFUNCTION("""COMPUTED_VALUE"""),16.188749)</f>
        <v>16.188749</v>
      </c>
      <c r="AE1931" s="3">
        <f>IFERROR(__xludf.DUMMYFUNCTION("""COMPUTED_VALUE"""),103.223874)</f>
        <v>103.223874</v>
      </c>
      <c r="AF1931" s="3" t="str">
        <f>IFERROR(__xludf.DUMMYFUNCTION("""COMPUTED_VALUE"""),"BCM บ.ท่าสองคอน มหาสารคาม-22617")</f>
        <v>BCM บ.ท่าสองคอน มหาสารคาม-22617</v>
      </c>
      <c r="AG1931" s="3" t="str">
        <f>IFERROR(__xludf.DUMMYFUNCTION("""COMPUTED_VALUE"""),"ตะวันออกเฉียงเหนือ")</f>
        <v>ตะวันออกเฉียงเหนือ</v>
      </c>
      <c r="AH1931" s="3" t="str">
        <f>IFERROR(__xludf.DUMMYFUNCTION("""COMPUTED_VALUE"""),"#N/A")</f>
        <v>#N/A</v>
      </c>
      <c r="AI1931" s="3" t="str">
        <f>IFERROR(__xludf.DUMMYFUNCTION("""COMPUTED_VALUE"""),"Out of warranty")</f>
        <v>Out of warranty</v>
      </c>
      <c r="AJ1931" s="3">
        <f>IFERROR(__xludf.DUMMYFUNCTION("""COMPUTED_VALUE"""),27.0)</f>
        <v>27</v>
      </c>
      <c r="AK1931" s="3" t="str">
        <f>IFERROR(__xludf.DUMMYFUNCTION("""COMPUTED_VALUE"""),"MMS13")</f>
        <v>MMS13</v>
      </c>
      <c r="AL1931" s="3"/>
    </row>
    <row r="1932" ht="15.75" customHeight="1">
      <c r="A1932" s="1" t="str">
        <f>IFERROR(__xludf.DUMMYFUNCTION("""COMPUTED_VALUE"""),"22618")</f>
        <v>22618</v>
      </c>
      <c r="B1932" s="2">
        <f>IFERROR(__xludf.DUMMYFUNCTION("""COMPUTED_VALUE"""),22618.0)</f>
        <v>22618</v>
      </c>
      <c r="C1932" s="3" t="str">
        <f>IFERROR(__xludf.DUMMYFUNCTION("""COMPUTED_VALUE"""),"BCM ถ.บางบ่อคลองด่าน สมุทรปราการ")</f>
        <v>BCM ถ.บางบ่อคลองด่าน สมุทรปราการ</v>
      </c>
      <c r="D1932" s="3" t="str">
        <f>IFERROR(__xludf.DUMMYFUNCTION("""COMPUTED_VALUE"""),"BCM THANON BANG BO - KLONGDAN")</f>
        <v>BCM THANON BANG BO - KLONGDAN</v>
      </c>
      <c r="E1932" s="1" t="str">
        <f>IFERROR(__xludf.DUMMYFUNCTION("""COMPUTED_VALUE"""),"บิ๊กซี MINI")</f>
        <v>บิ๊กซี MINI</v>
      </c>
      <c r="F1932" s="1" t="str">
        <f>IFERROR(__xludf.DUMMYFUNCTION("""COMPUTED_VALUE"""),"2083447")</f>
        <v>2083447</v>
      </c>
      <c r="G1932" s="1" t="str">
        <f>IFERROR(__xludf.DUMMYFUNCTION("""COMPUTED_VALUE"""),"นายอนุกูล ศรีลัดดา")</f>
        <v>นายอนุกูล ศรีลัดดา</v>
      </c>
      <c r="H1932" s="1" t="str">
        <f>IFERROR(__xludf.DUMMYFUNCTION("""COMPUTED_VALUE"""),"284752")</f>
        <v>284752</v>
      </c>
      <c r="I1932" s="1" t="str">
        <f>IFERROR(__xludf.DUMMYFUNCTION("""COMPUTED_VALUE"""),"น.ส.วีรนันท์ แสงใส")</f>
        <v>น.ส.วีรนันท์ แสงใส</v>
      </c>
      <c r="J1932" s="3">
        <f>IFERROR(__xludf.DUMMYFUNCTION("""COMPUTED_VALUE"""),2451655.0)</f>
        <v>2451655</v>
      </c>
      <c r="K1932" s="3" t="str">
        <f>IFERROR(__xludf.DUMMYFUNCTION("""COMPUTED_VALUE"""),"นายวิษณุพงษ์ ชินบุตร")</f>
        <v>นายวิษณุพงษ์ ชินบุตร</v>
      </c>
      <c r="L1932" s="1" t="str">
        <f>IFERROR(__xludf.DUMMYFUNCTION("""COMPUTED_VALUE"""),"13 K.Wisanupong Ch")</f>
        <v>13 K.Wisanupong Ch</v>
      </c>
      <c r="M1932" s="1" t="str">
        <f>IFERROR(__xludf.DUMMYFUNCTION("""COMPUTED_VALUE"""),"0843374693")</f>
        <v>0843374693</v>
      </c>
      <c r="N1932" s="3">
        <f>IFERROR(__xludf.DUMMYFUNCTION("""COMPUTED_VALUE"""),22729.0)</f>
        <v>22729</v>
      </c>
      <c r="O1932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932" s="4">
        <f>IFERROR(__xludf.DUMMYFUNCTION("""COMPUTED_VALUE"""),45254.0)</f>
        <v>45254</v>
      </c>
      <c r="Q1932" s="3" t="str">
        <f>IFERROR(__xludf.DUMMYFUNCTION("""COMPUTED_VALUE"""),"A")</f>
        <v>A</v>
      </c>
      <c r="R1932" s="3" t="str">
        <f>IFERROR(__xludf.DUMMYFUNCTION("""COMPUTED_VALUE"""),"Small Format")</f>
        <v>Small Format</v>
      </c>
      <c r="S1932" s="3" t="str">
        <f>IFERROR(__xludf.DUMMYFUNCTION("""COMPUTED_VALUE"""),"BCM")</f>
        <v>BCM</v>
      </c>
      <c r="T1932" s="3" t="str">
        <f>IFERROR(__xludf.DUMMYFUNCTION("""COMPUTED_VALUE"""),"#N/A")</f>
        <v>#N/A</v>
      </c>
      <c r="U1932" s="3" t="str">
        <f>IFERROR(__xludf.DUMMYFUNCTION("""COMPUTED_VALUE"""),"#N/A")</f>
        <v>#N/A</v>
      </c>
      <c r="V1932" s="3" t="str">
        <f>IFERROR(__xludf.DUMMYFUNCTION("""COMPUTED_VALUE"""),"N")</f>
        <v>N</v>
      </c>
      <c r="W1932" s="3">
        <f>IFERROR(__xludf.DUMMYFUNCTION("""COMPUTED_VALUE"""),210690.0)</f>
        <v>210690</v>
      </c>
      <c r="X1932" s="3" t="str">
        <f>IFERROR(__xludf.DUMMYFUNCTION("""COMPUTED_VALUE"""),"23/4 หมู่2 ตำบลบางเพรียง อำเภอบางบ่อ จังหวัดสมุทรปราการ 10560")</f>
        <v>23/4 หมู่2 ตำบลบางเพรียง อำเภอบางบ่อ จังหวัดสมุทรปราการ 10560</v>
      </c>
      <c r="Y1932" s="3"/>
      <c r="Z1932" s="3" t="str">
        <f>IFERROR(__xludf.DUMMYFUNCTION("""COMPUTED_VALUE"""),"บางเพรียง")</f>
        <v>บางเพรียง</v>
      </c>
      <c r="AA1932" s="3" t="str">
        <f>IFERROR(__xludf.DUMMYFUNCTION("""COMPUTED_VALUE"""),"บางบ่อ")</f>
        <v>บางบ่อ</v>
      </c>
      <c r="AB1932" s="3" t="str">
        <f>IFERROR(__xludf.DUMMYFUNCTION("""COMPUTED_VALUE"""),"สมุทรปราการ")</f>
        <v>สมุทรปราการ</v>
      </c>
      <c r="AC1932" s="3">
        <f>IFERROR(__xludf.DUMMYFUNCTION("""COMPUTED_VALUE"""),10560.0)</f>
        <v>10560</v>
      </c>
      <c r="AD1932" s="3">
        <f>IFERROR(__xludf.DUMMYFUNCTION("""COMPUTED_VALUE"""),13.563742)</f>
        <v>13.563742</v>
      </c>
      <c r="AE1932" s="3">
        <f>IFERROR(__xludf.DUMMYFUNCTION("""COMPUTED_VALUE"""),100.83786)</f>
        <v>100.83786</v>
      </c>
      <c r="AF1932" s="3" t="str">
        <f>IFERROR(__xludf.DUMMYFUNCTION("""COMPUTED_VALUE"""),"BCM ถ.บางบ่อคลองด่าน สมุทรปราการ-22618")</f>
        <v>BCM ถ.บางบ่อคลองด่าน สมุทรปราการ-22618</v>
      </c>
      <c r="AG1932" s="3" t="str">
        <f>IFERROR(__xludf.DUMMYFUNCTION("""COMPUTED_VALUE"""),"กลาง")</f>
        <v>กลาง</v>
      </c>
      <c r="AH1932" s="3" t="str">
        <f>IFERROR(__xludf.DUMMYFUNCTION("""COMPUTED_VALUE"""),"#N/A")</f>
        <v>#N/A</v>
      </c>
      <c r="AI1932" s="3" t="str">
        <f>IFERROR(__xludf.DUMMYFUNCTION("""COMPUTED_VALUE"""),"Out of warranty")</f>
        <v>Out of warranty</v>
      </c>
      <c r="AJ1932" s="3">
        <f>IFERROR(__xludf.DUMMYFUNCTION("""COMPUTED_VALUE"""),26.0)</f>
        <v>26</v>
      </c>
      <c r="AK1932" s="3"/>
      <c r="AL1932" s="3"/>
    </row>
    <row r="1933" ht="15.75" customHeight="1">
      <c r="A1933" s="1" t="str">
        <f>IFERROR(__xludf.DUMMYFUNCTION("""COMPUTED_VALUE"""),"22619")</f>
        <v>22619</v>
      </c>
      <c r="B1933" s="2">
        <f>IFERROR(__xludf.DUMMYFUNCTION("""COMPUTED_VALUE"""),22619.0)</f>
        <v>22619</v>
      </c>
      <c r="C1933" s="3" t="str">
        <f>IFERROR(__xludf.DUMMYFUNCTION("""COMPUTED_VALUE"""),"BCM บ่อผุดบีช-สมุย สุราษฎร์ธานี")</f>
        <v>BCM บ่อผุดบีช-สมุย สุราษฎร์ธานี</v>
      </c>
      <c r="D1933" s="3" t="str">
        <f>IFERROR(__xludf.DUMMYFUNCTION("""COMPUTED_VALUE"""),"BCM BO PHUT BEACH - SAMUI")</f>
        <v>BCM BO PHUT BEACH - SAMUI</v>
      </c>
      <c r="E1933" s="1" t="str">
        <f>IFERROR(__xludf.DUMMYFUNCTION("""COMPUTED_VALUE"""),"บิ๊กซี MINI")</f>
        <v>บิ๊กซี MINI</v>
      </c>
      <c r="F1933" s="1" t="str">
        <f>IFERROR(__xludf.DUMMYFUNCTION("""COMPUTED_VALUE"""),"250760")</f>
        <v>250760</v>
      </c>
      <c r="G1933" s="1" t="str">
        <f>IFERROR(__xludf.DUMMYFUNCTION("""COMPUTED_VALUE"""),"นายประทวน สาราบรรณ์")</f>
        <v>นายประทวน สาราบรรณ์</v>
      </c>
      <c r="H1933" s="1" t="str">
        <f>IFERROR(__xludf.DUMMYFUNCTION("""COMPUTED_VALUE"""),"356760")</f>
        <v>356760</v>
      </c>
      <c r="I1933" s="1" t="str">
        <f>IFERROR(__xludf.DUMMYFUNCTION("""COMPUTED_VALUE"""),"นายภูมิภัทร แก้วพรรณราย")</f>
        <v>นายภูมิภัทร แก้วพรรณราย</v>
      </c>
      <c r="J1933" s="3">
        <f>IFERROR(__xludf.DUMMYFUNCTION("""COMPUTED_VALUE"""),25324.0)</f>
        <v>25324</v>
      </c>
      <c r="K1933" s="3" t="str">
        <f>IFERROR(__xludf.DUMMYFUNCTION("""COMPUTED_VALUE"""),"นายวิเชฎฐ์ ติรัตนะประคม")</f>
        <v>นายวิเชฎฐ์ ติรัตนะประคม</v>
      </c>
      <c r="L1933" s="1" t="str">
        <f>IFERROR(__xludf.DUMMYFUNCTION("""COMPUTED_VALUE"""),"14 K.Wichet T.")</f>
        <v>14 K.Wichet T.</v>
      </c>
      <c r="M1933" s="1" t="str">
        <f>IFERROR(__xludf.DUMMYFUNCTION("""COMPUTED_VALUE"""),"061-417-6569 / 086-445-5636")</f>
        <v>061-417-6569 / 086-445-5636</v>
      </c>
      <c r="N1933" s="3">
        <f>IFERROR(__xludf.DUMMYFUNCTION("""COMPUTED_VALUE"""),22658.0)</f>
        <v>22658</v>
      </c>
      <c r="O1933" s="3" t="str">
        <f>IFERROR(__xludf.DUMMYFUNCTION("""COMPUTED_VALUE"""),"BCM ถ.วิรัชหงษ์หยก ภูเก็ต")</f>
        <v>BCM ถ.วิรัชหงษ์หยก ภูเก็ต</v>
      </c>
      <c r="P1933" s="4">
        <f>IFERROR(__xludf.DUMMYFUNCTION("""COMPUTED_VALUE"""),45254.0)</f>
        <v>45254</v>
      </c>
      <c r="Q1933" s="3" t="str">
        <f>IFERROR(__xludf.DUMMYFUNCTION("""COMPUTED_VALUE"""),"A")</f>
        <v>A</v>
      </c>
      <c r="R1933" s="3" t="str">
        <f>IFERROR(__xludf.DUMMYFUNCTION("""COMPUTED_VALUE"""),"Small Format")</f>
        <v>Small Format</v>
      </c>
      <c r="S1933" s="3" t="str">
        <f>IFERROR(__xludf.DUMMYFUNCTION("""COMPUTED_VALUE"""),"BCM")</f>
        <v>BCM</v>
      </c>
      <c r="T1933" s="3" t="str">
        <f>IFERROR(__xludf.DUMMYFUNCTION("""COMPUTED_VALUE"""),"#N/A")</f>
        <v>#N/A</v>
      </c>
      <c r="U1933" s="3" t="str">
        <f>IFERROR(__xludf.DUMMYFUNCTION("""COMPUTED_VALUE"""),"#N/A")</f>
        <v>#N/A</v>
      </c>
      <c r="V1933" s="3" t="str">
        <f>IFERROR(__xludf.DUMMYFUNCTION("""COMPUTED_VALUE"""),"N")</f>
        <v>N</v>
      </c>
      <c r="W1933" s="3">
        <f>IFERROR(__xludf.DUMMYFUNCTION("""COMPUTED_VALUE"""),210717.0)</f>
        <v>210717</v>
      </c>
      <c r="X1933" s="3" t="str">
        <f>IFERROR(__xludf.DUMMYFUNCTION("""COMPUTED_VALUE"""),"105/223 หมู่1 ตำบลบ่อผุด อำเภอเกาะสมุย จังหวัดสุราษฎร์ธานี 84320")</f>
        <v>105/223 หมู่1 ตำบลบ่อผุด อำเภอเกาะสมุย จังหวัดสุราษฎร์ธานี 84320</v>
      </c>
      <c r="Y1933" s="3"/>
      <c r="Z1933" s="3" t="str">
        <f>IFERROR(__xludf.DUMMYFUNCTION("""COMPUTED_VALUE"""),"บ่อผุด")</f>
        <v>บ่อผุด</v>
      </c>
      <c r="AA1933" s="3" t="str">
        <f>IFERROR(__xludf.DUMMYFUNCTION("""COMPUTED_VALUE"""),"เกาะสมุย")</f>
        <v>เกาะสมุย</v>
      </c>
      <c r="AB1933" s="3" t="str">
        <f>IFERROR(__xludf.DUMMYFUNCTION("""COMPUTED_VALUE"""),"สุราษฎร์ธานี")</f>
        <v>สุราษฎร์ธานี</v>
      </c>
      <c r="AC1933" s="3">
        <f>IFERROR(__xludf.DUMMYFUNCTION("""COMPUTED_VALUE"""),84320.0)</f>
        <v>84320</v>
      </c>
      <c r="AD1933" s="3">
        <f>IFERROR(__xludf.DUMMYFUNCTION("""COMPUTED_VALUE"""),9.561171)</f>
        <v>9.561171</v>
      </c>
      <c r="AE1933" s="3">
        <f>IFERROR(__xludf.DUMMYFUNCTION("""COMPUTED_VALUE"""),100.022285)</f>
        <v>100.022285</v>
      </c>
      <c r="AF1933" s="3" t="str">
        <f>IFERROR(__xludf.DUMMYFUNCTION("""COMPUTED_VALUE"""),"BCM บ่อผุดบีช-สมุย สุราษฎร์ธานี-22619")</f>
        <v>BCM บ่อผุดบีช-สมุย สุราษฎร์ธานี-22619</v>
      </c>
      <c r="AG1933" s="3" t="str">
        <f>IFERROR(__xludf.DUMMYFUNCTION("""COMPUTED_VALUE"""),"ใต้")</f>
        <v>ใต้</v>
      </c>
      <c r="AH1933" s="3" t="str">
        <f>IFERROR(__xludf.DUMMYFUNCTION("""COMPUTED_VALUE"""),"#N/A")</f>
        <v>#N/A</v>
      </c>
      <c r="AI1933" s="3" t="str">
        <f>IFERROR(__xludf.DUMMYFUNCTION("""COMPUTED_VALUE"""),"Out of warranty")</f>
        <v>Out of warranty</v>
      </c>
      <c r="AJ1933" s="3">
        <f>IFERROR(__xludf.DUMMYFUNCTION("""COMPUTED_VALUE"""),26.0)</f>
        <v>26</v>
      </c>
      <c r="AK1933" s="3" t="str">
        <f>IFERROR(__xludf.DUMMYFUNCTION("""COMPUTED_VALUE"""),"MMS14")</f>
        <v>MMS14</v>
      </c>
      <c r="AL1933" s="3"/>
    </row>
    <row r="1934" ht="15.75" customHeight="1">
      <c r="A1934" s="1" t="str">
        <f>IFERROR(__xludf.DUMMYFUNCTION("""COMPUTED_VALUE"""),"22620")</f>
        <v>22620</v>
      </c>
      <c r="B1934" s="2">
        <f>IFERROR(__xludf.DUMMYFUNCTION("""COMPUTED_VALUE"""),22620.0)</f>
        <v>22620</v>
      </c>
      <c r="C1934" s="3" t="str">
        <f>IFERROR(__xludf.DUMMYFUNCTION("""COMPUTED_VALUE"""),"BCM อ.ควนเนียง สงขลา")</f>
        <v>BCM อ.ควนเนียง สงขลา</v>
      </c>
      <c r="D1934" s="3" t="str">
        <f>IFERROR(__xludf.DUMMYFUNCTION("""COMPUTED_VALUE"""),"BCM AMPHUR KHUAN NIANG")</f>
        <v>BCM AMPHUR KHUAN NIANG</v>
      </c>
      <c r="E1934" s="1" t="str">
        <f>IFERROR(__xludf.DUMMYFUNCTION("""COMPUTED_VALUE"""),"บิ๊กซี MINI")</f>
        <v>บิ๊กซี MINI</v>
      </c>
      <c r="F1934" s="1" t="str">
        <f>IFERROR(__xludf.DUMMYFUNCTION("""COMPUTED_VALUE"""),"250760")</f>
        <v>250760</v>
      </c>
      <c r="G1934" s="1" t="str">
        <f>IFERROR(__xludf.DUMMYFUNCTION("""COMPUTED_VALUE"""),"นายประทวน สาราบรรณ์")</f>
        <v>นายประทวน สาราบรรณ์</v>
      </c>
      <c r="H1934" s="1" t="str">
        <f>IFERROR(__xludf.DUMMYFUNCTION("""COMPUTED_VALUE"""),"394100")</f>
        <v>394100</v>
      </c>
      <c r="I1934" s="1" t="str">
        <f>IFERROR(__xludf.DUMMYFUNCTION("""COMPUTED_VALUE"""),"นายไพโรจน์ ถิระผะลิกะ")</f>
        <v>นายไพโรจน์ ถิระผะลิกะ</v>
      </c>
      <c r="J1934" s="3">
        <f>IFERROR(__xludf.DUMMYFUNCTION("""COMPUTED_VALUE"""),2.0470331E7)</f>
        <v>20470331</v>
      </c>
      <c r="K1934" s="3" t="str">
        <f>IFERROR(__xludf.DUMMYFUNCTION("""COMPUTED_VALUE"""),"นายสมชาย ลักษณะสุวรรณ")</f>
        <v>นายสมชาย ลักษณะสุวรรณ</v>
      </c>
      <c r="L1934" s="1" t="str">
        <f>IFERROR(__xludf.DUMMYFUNCTION("""COMPUTED_VALUE"""),"15 K.Somchai L")</f>
        <v>15 K.Somchai L</v>
      </c>
      <c r="M1934" s="1" t="str">
        <f>IFERROR(__xludf.DUMMYFUNCTION("""COMPUTED_VALUE"""),"0655107372")</f>
        <v>0655107372</v>
      </c>
      <c r="N1934" s="3">
        <f>IFERROR(__xludf.DUMMYFUNCTION("""COMPUTED_VALUE"""),21723.0)</f>
        <v>21723</v>
      </c>
      <c r="O1934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934" s="4">
        <f>IFERROR(__xludf.DUMMYFUNCTION("""COMPUTED_VALUE"""),45236.0)</f>
        <v>45236</v>
      </c>
      <c r="Q1934" s="3" t="str">
        <f>IFERROR(__xludf.DUMMYFUNCTION("""COMPUTED_VALUE"""),"A")</f>
        <v>A</v>
      </c>
      <c r="R1934" s="3" t="str">
        <f>IFERROR(__xludf.DUMMYFUNCTION("""COMPUTED_VALUE"""),"Small Format")</f>
        <v>Small Format</v>
      </c>
      <c r="S1934" s="3" t="str">
        <f>IFERROR(__xludf.DUMMYFUNCTION("""COMPUTED_VALUE"""),"BCM")</f>
        <v>BCM</v>
      </c>
      <c r="T1934" s="3" t="str">
        <f>IFERROR(__xludf.DUMMYFUNCTION("""COMPUTED_VALUE"""),"#N/A")</f>
        <v>#N/A</v>
      </c>
      <c r="U1934" s="3" t="str">
        <f>IFERROR(__xludf.DUMMYFUNCTION("""COMPUTED_VALUE"""),"#N/A")</f>
        <v>#N/A</v>
      </c>
      <c r="V1934" s="3" t="str">
        <f>IFERROR(__xludf.DUMMYFUNCTION("""COMPUTED_VALUE"""),"N")</f>
        <v>N</v>
      </c>
      <c r="W1934" s="3">
        <f>IFERROR(__xludf.DUMMYFUNCTION("""COMPUTED_VALUE"""),210734.0)</f>
        <v>210734</v>
      </c>
      <c r="X1934" s="3" t="str">
        <f>IFERROR(__xludf.DUMMYFUNCTION("""COMPUTED_VALUE"""),"123/1-2 หมู่2 ตำบลรัตภูมิ อำเภอควนเนียง จังหวัดสงขลา 90220")</f>
        <v>123/1-2 หมู่2 ตำบลรัตภูมิ อำเภอควนเนียง จังหวัดสงขลา 90220</v>
      </c>
      <c r="Y1934" s="3"/>
      <c r="Z1934" s="3" t="str">
        <f>IFERROR(__xludf.DUMMYFUNCTION("""COMPUTED_VALUE"""),"รัตภูมิ")</f>
        <v>รัตภูมิ</v>
      </c>
      <c r="AA1934" s="3" t="str">
        <f>IFERROR(__xludf.DUMMYFUNCTION("""COMPUTED_VALUE"""),"ควนเนียง")</f>
        <v>ควนเนียง</v>
      </c>
      <c r="AB1934" s="3" t="str">
        <f>IFERROR(__xludf.DUMMYFUNCTION("""COMPUTED_VALUE"""),"สงขลา")</f>
        <v>สงขลา</v>
      </c>
      <c r="AC1934" s="3">
        <f>IFERROR(__xludf.DUMMYFUNCTION("""COMPUTED_VALUE"""),90220.0)</f>
        <v>90220</v>
      </c>
      <c r="AD1934" s="3">
        <f>IFERROR(__xludf.DUMMYFUNCTION("""COMPUTED_VALUE"""),7.177249)</f>
        <v>7.177249</v>
      </c>
      <c r="AE1934" s="3">
        <f>IFERROR(__xludf.DUMMYFUNCTION("""COMPUTED_VALUE"""),100.603494)</f>
        <v>100.603494</v>
      </c>
      <c r="AF1934" s="3" t="str">
        <f>IFERROR(__xludf.DUMMYFUNCTION("""COMPUTED_VALUE"""),"BCM อ.ควนเนียง สงขลา-22620")</f>
        <v>BCM อ.ควนเนียง สงขลา-22620</v>
      </c>
      <c r="AG1934" s="3" t="str">
        <f>IFERROR(__xludf.DUMMYFUNCTION("""COMPUTED_VALUE"""),"ใต้")</f>
        <v>ใต้</v>
      </c>
      <c r="AH1934" s="3" t="str">
        <f>IFERROR(__xludf.DUMMYFUNCTION("""COMPUTED_VALUE"""),"#N/A")</f>
        <v>#N/A</v>
      </c>
      <c r="AI1934" s="3" t="str">
        <f>IFERROR(__xludf.DUMMYFUNCTION("""COMPUTED_VALUE"""),"Out of warranty")</f>
        <v>Out of warranty</v>
      </c>
      <c r="AJ1934" s="3">
        <f>IFERROR(__xludf.DUMMYFUNCTION("""COMPUTED_VALUE"""),27.0)</f>
        <v>27</v>
      </c>
      <c r="AK1934" s="3" t="str">
        <f>IFERROR(__xludf.DUMMYFUNCTION("""COMPUTED_VALUE"""),"MMS16")</f>
        <v>MMS16</v>
      </c>
      <c r="AL1934" s="3"/>
    </row>
    <row r="1935" ht="15.75" customHeight="1">
      <c r="A1935" s="1" t="str">
        <f>IFERROR(__xludf.DUMMYFUNCTION("""COMPUTED_VALUE"""),"22621")</f>
        <v>22621</v>
      </c>
      <c r="B1935" s="2">
        <f>IFERROR(__xludf.DUMMYFUNCTION("""COMPUTED_VALUE"""),22621.0)</f>
        <v>22621</v>
      </c>
      <c r="C1935" s="3" t="str">
        <f>IFERROR(__xludf.DUMMYFUNCTION("""COMPUTED_VALUE"""),"BCM เอื้ออาทรรัษฎา ภูเก็ต")</f>
        <v>BCM เอื้ออาทรรัษฎา ภูเก็ต</v>
      </c>
      <c r="D1935" s="3" t="str">
        <f>IFERROR(__xludf.DUMMYFUNCTION("""COMPUTED_VALUE"""),"BCM AUE ARTHON RATSADA PHUKET")</f>
        <v>BCM AUE ARTHON RATSADA PHUKET</v>
      </c>
      <c r="E1935" s="1" t="str">
        <f>IFERROR(__xludf.DUMMYFUNCTION("""COMPUTED_VALUE"""),"บิ๊กซี MINI")</f>
        <v>บิ๊กซี MINI</v>
      </c>
      <c r="F1935" s="1" t="str">
        <f>IFERROR(__xludf.DUMMYFUNCTION("""COMPUTED_VALUE"""),"250760")</f>
        <v>250760</v>
      </c>
      <c r="G1935" s="1" t="str">
        <f>IFERROR(__xludf.DUMMYFUNCTION("""COMPUTED_VALUE"""),"นายประทวน สาราบรรณ์")</f>
        <v>นายประทวน สาราบรรณ์</v>
      </c>
      <c r="H1935" s="1" t="str">
        <f>IFERROR(__xludf.DUMMYFUNCTION("""COMPUTED_VALUE"""),"357284")</f>
        <v>357284</v>
      </c>
      <c r="I1935" s="1" t="str">
        <f>IFERROR(__xludf.DUMMYFUNCTION("""COMPUTED_VALUE"""),"น.ส.เบญจวรรณ ปัณฑโมรา")</f>
        <v>น.ส.เบญจวรรณ ปัณฑโมรา</v>
      </c>
      <c r="J1935" s="3">
        <f>IFERROR(__xludf.DUMMYFUNCTION("""COMPUTED_VALUE"""),25324.0)</f>
        <v>25324</v>
      </c>
      <c r="K1935" s="3" t="str">
        <f>IFERROR(__xludf.DUMMYFUNCTION("""COMPUTED_VALUE"""),"นายวิเชฎฐ์ ติรัตนะประคม")</f>
        <v>นายวิเชฎฐ์ ติรัตนะประคม</v>
      </c>
      <c r="L1935" s="1" t="str">
        <f>IFERROR(__xludf.DUMMYFUNCTION("""COMPUTED_VALUE"""),"14 K.Wichet T.")</f>
        <v>14 K.Wichet T.</v>
      </c>
      <c r="M1935" s="1" t="str">
        <f>IFERROR(__xludf.DUMMYFUNCTION("""COMPUTED_VALUE"""),"061-417-6569 / 086-445-5636")</f>
        <v>061-417-6569 / 086-445-5636</v>
      </c>
      <c r="N1935" s="3">
        <f>IFERROR(__xludf.DUMMYFUNCTION("""COMPUTED_VALUE"""),22658.0)</f>
        <v>22658</v>
      </c>
      <c r="O1935" s="3" t="str">
        <f>IFERROR(__xludf.DUMMYFUNCTION("""COMPUTED_VALUE"""),"BCM ถ.วิรัชหงษ์หยก ภูเก็ต")</f>
        <v>BCM ถ.วิรัชหงษ์หยก ภูเก็ต</v>
      </c>
      <c r="P1935" s="4">
        <f>IFERROR(__xludf.DUMMYFUNCTION("""COMPUTED_VALUE"""),45242.0)</f>
        <v>45242</v>
      </c>
      <c r="Q1935" s="3" t="str">
        <f>IFERROR(__xludf.DUMMYFUNCTION("""COMPUTED_VALUE"""),"A")</f>
        <v>A</v>
      </c>
      <c r="R1935" s="3" t="str">
        <f>IFERROR(__xludf.DUMMYFUNCTION("""COMPUTED_VALUE"""),"Small Format")</f>
        <v>Small Format</v>
      </c>
      <c r="S1935" s="3" t="str">
        <f>IFERROR(__xludf.DUMMYFUNCTION("""COMPUTED_VALUE"""),"BCM")</f>
        <v>BCM</v>
      </c>
      <c r="T1935" s="3" t="str">
        <f>IFERROR(__xludf.DUMMYFUNCTION("""COMPUTED_VALUE"""),"#N/A")</f>
        <v>#N/A</v>
      </c>
      <c r="U1935" s="3" t="str">
        <f>IFERROR(__xludf.DUMMYFUNCTION("""COMPUTED_VALUE"""),"#N/A")</f>
        <v>#N/A</v>
      </c>
      <c r="V1935" s="3" t="str">
        <f>IFERROR(__xludf.DUMMYFUNCTION("""COMPUTED_VALUE"""),"N")</f>
        <v>N</v>
      </c>
      <c r="W1935" s="3">
        <f>IFERROR(__xludf.DUMMYFUNCTION("""COMPUTED_VALUE"""),210733.0)</f>
        <v>210733</v>
      </c>
      <c r="X1935" s="3" t="str">
        <f>IFERROR(__xludf.DUMMYFUNCTION("""COMPUTED_VALUE"""),"52/418 หมู่3 ตำบลรัษฎา อำเภอเมืองภูเก็ต จังหวัดภูเก็ต 83000")</f>
        <v>52/418 หมู่3 ตำบลรัษฎา อำเภอเมืองภูเก็ต จังหวัดภูเก็ต 83000</v>
      </c>
      <c r="Y1935" s="3"/>
      <c r="Z1935" s="3" t="str">
        <f>IFERROR(__xludf.DUMMYFUNCTION("""COMPUTED_VALUE"""),"รัษฎา")</f>
        <v>รัษฎา</v>
      </c>
      <c r="AA1935" s="3" t="str">
        <f>IFERROR(__xludf.DUMMYFUNCTION("""COMPUTED_VALUE"""),"เมืองภูเก็ต")</f>
        <v>เมืองภูเก็ต</v>
      </c>
      <c r="AB1935" s="3" t="str">
        <f>IFERROR(__xludf.DUMMYFUNCTION("""COMPUTED_VALUE"""),"ภูเก็ต")</f>
        <v>ภูเก็ต</v>
      </c>
      <c r="AC1935" s="3">
        <f>IFERROR(__xludf.DUMMYFUNCTION("""COMPUTED_VALUE"""),83000.0)</f>
        <v>83000</v>
      </c>
      <c r="AD1935" s="3">
        <f>IFERROR(__xludf.DUMMYFUNCTION("""COMPUTED_VALUE"""),7.899032)</f>
        <v>7.899032</v>
      </c>
      <c r="AE1935" s="3">
        <f>IFERROR(__xludf.DUMMYFUNCTION("""COMPUTED_VALUE"""),98.410927)</f>
        <v>98.410927</v>
      </c>
      <c r="AF1935" s="3" t="str">
        <f>IFERROR(__xludf.DUMMYFUNCTION("""COMPUTED_VALUE"""),"BCM เอื้ออาทรรัษฎา ภูเก็ต-22621")</f>
        <v>BCM เอื้ออาทรรัษฎา ภูเก็ต-22621</v>
      </c>
      <c r="AG1935" s="3" t="str">
        <f>IFERROR(__xludf.DUMMYFUNCTION("""COMPUTED_VALUE"""),"ใต้")</f>
        <v>ใต้</v>
      </c>
      <c r="AH1935" s="3" t="str">
        <f>IFERROR(__xludf.DUMMYFUNCTION("""COMPUTED_VALUE"""),"#N/A")</f>
        <v>#N/A</v>
      </c>
      <c r="AI1935" s="3" t="str">
        <f>IFERROR(__xludf.DUMMYFUNCTION("""COMPUTED_VALUE"""),"Out of warranty")</f>
        <v>Out of warranty</v>
      </c>
      <c r="AJ1935" s="3">
        <f>IFERROR(__xludf.DUMMYFUNCTION("""COMPUTED_VALUE"""),27.0)</f>
        <v>27</v>
      </c>
      <c r="AK1935" s="3" t="str">
        <f>IFERROR(__xludf.DUMMYFUNCTION("""COMPUTED_VALUE"""),"MMS15")</f>
        <v>MMS15</v>
      </c>
      <c r="AL1935" s="3"/>
    </row>
    <row r="1936" ht="15.75" customHeight="1">
      <c r="A1936" s="1" t="str">
        <f>IFERROR(__xludf.DUMMYFUNCTION("""COMPUTED_VALUE"""),"22622")</f>
        <v>22622</v>
      </c>
      <c r="B1936" s="2">
        <f>IFERROR(__xludf.DUMMYFUNCTION("""COMPUTED_VALUE"""),22622.0)</f>
        <v>22622</v>
      </c>
      <c r="C1936" s="3" t="str">
        <f>IFERROR(__xludf.DUMMYFUNCTION("""COMPUTED_VALUE"""),"BCM สุรนารีวิลล์ นครราชสีมา")</f>
        <v>BCM สุรนารีวิลล์ นครราชสีมา</v>
      </c>
      <c r="D1936" s="3" t="str">
        <f>IFERROR(__xludf.DUMMYFUNCTION("""COMPUTED_VALUE"""),"BCM SURANAREE VILLE")</f>
        <v>BCM SURANAREE VILLE</v>
      </c>
      <c r="E1936" s="1" t="str">
        <f>IFERROR(__xludf.DUMMYFUNCTION("""COMPUTED_VALUE"""),"บิ๊กซี MINI")</f>
        <v>บิ๊กซี MINI</v>
      </c>
      <c r="F1936" s="1" t="str">
        <f>IFERROR(__xludf.DUMMYFUNCTION("""COMPUTED_VALUE"""),"291105")</f>
        <v>291105</v>
      </c>
      <c r="G1936" s="1" t="str">
        <f>IFERROR(__xludf.DUMMYFUNCTION("""COMPUTED_VALUE"""),"นายสราวุฒิ พณิชยกุล")</f>
        <v>นายสราวุฒิ พณิชยกุล</v>
      </c>
      <c r="H1936" s="1" t="str">
        <f>IFERROR(__xludf.DUMMYFUNCTION("""COMPUTED_VALUE"""),"281315")</f>
        <v>281315</v>
      </c>
      <c r="I1936" s="1" t="str">
        <f>IFERROR(__xludf.DUMMYFUNCTION("""COMPUTED_VALUE"""),"นายกิตติพงษ์ มั่นคง")</f>
        <v>นายกิตติพงษ์ มั่นคง</v>
      </c>
      <c r="J1936" s="3">
        <f>IFERROR(__xludf.DUMMYFUNCTION("""COMPUTED_VALUE"""),15361.0)</f>
        <v>15361</v>
      </c>
      <c r="K1936" s="3" t="str">
        <f>IFERROR(__xludf.DUMMYFUNCTION("""COMPUTED_VALUE"""),"นายสมบูรณ์ พรหมในเมือง")</f>
        <v>นายสมบูรณ์ พรหมในเมือง</v>
      </c>
      <c r="L1936" s="1" t="str">
        <f>IFERROR(__xludf.DUMMYFUNCTION("""COMPUTED_VALUE"""),"04 K.Somboon P.")</f>
        <v>04 K.Somboon P.</v>
      </c>
      <c r="M1936" s="1" t="str">
        <f>IFERROR(__xludf.DUMMYFUNCTION("""COMPUTED_VALUE"""),"087-965-3051")</f>
        <v>087-965-3051</v>
      </c>
      <c r="N1936" s="3">
        <f>IFERROR(__xludf.DUMMYFUNCTION("""COMPUTED_VALUE"""),21869.0)</f>
        <v>21869</v>
      </c>
      <c r="O1936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936" s="4">
        <f>IFERROR(__xludf.DUMMYFUNCTION("""COMPUTED_VALUE"""),45250.0)</f>
        <v>45250</v>
      </c>
      <c r="Q1936" s="3" t="str">
        <f>IFERROR(__xludf.DUMMYFUNCTION("""COMPUTED_VALUE"""),"A")</f>
        <v>A</v>
      </c>
      <c r="R1936" s="3" t="str">
        <f>IFERROR(__xludf.DUMMYFUNCTION("""COMPUTED_VALUE"""),"Small Format")</f>
        <v>Small Format</v>
      </c>
      <c r="S1936" s="3" t="str">
        <f>IFERROR(__xludf.DUMMYFUNCTION("""COMPUTED_VALUE"""),"BCM")</f>
        <v>BCM</v>
      </c>
      <c r="T1936" s="3" t="str">
        <f>IFERROR(__xludf.DUMMYFUNCTION("""COMPUTED_VALUE"""),"#N/A")</f>
        <v>#N/A</v>
      </c>
      <c r="U1936" s="3" t="str">
        <f>IFERROR(__xludf.DUMMYFUNCTION("""COMPUTED_VALUE"""),"#N/A")</f>
        <v>#N/A</v>
      </c>
      <c r="V1936" s="3" t="str">
        <f>IFERROR(__xludf.DUMMYFUNCTION("""COMPUTED_VALUE"""),"N")</f>
        <v>N</v>
      </c>
      <c r="W1936" s="3">
        <f>IFERROR(__xludf.DUMMYFUNCTION("""COMPUTED_VALUE"""),210742.0)</f>
        <v>210742</v>
      </c>
      <c r="X1936" s="3" t="str">
        <f>IFERROR(__xludf.DUMMYFUNCTION("""COMPUTED_VALUE"""),"519 หมู่3 ตำบลตลาด อำเภอเมืองนครราชสีมา จังหวัดนครราชสีมา 30310")</f>
        <v>519 หมู่3 ตำบลตลาด อำเภอเมืองนครราชสีมา จังหวัดนครราชสีมา 30310</v>
      </c>
      <c r="Y1936" s="3"/>
      <c r="Z1936" s="3" t="str">
        <f>IFERROR(__xludf.DUMMYFUNCTION("""COMPUTED_VALUE"""),"ตลาด")</f>
        <v>ตลาด</v>
      </c>
      <c r="AA1936" s="3" t="str">
        <f>IFERROR(__xludf.DUMMYFUNCTION("""COMPUTED_VALUE"""),"เมืองนครราชสีมา")</f>
        <v>เมืองนครราชสีมา</v>
      </c>
      <c r="AB1936" s="3" t="str">
        <f>IFERROR(__xludf.DUMMYFUNCTION("""COMPUTED_VALUE"""),"นครราชสีมา")</f>
        <v>นครราชสีมา</v>
      </c>
      <c r="AC1936" s="3">
        <f>IFERROR(__xludf.DUMMYFUNCTION("""COMPUTED_VALUE"""),30310.0)</f>
        <v>30310</v>
      </c>
      <c r="AD1936" s="3">
        <f>IFERROR(__xludf.DUMMYFUNCTION("""COMPUTED_VALUE"""),14.998737)</f>
        <v>14.998737</v>
      </c>
      <c r="AE1936" s="3">
        <f>IFERROR(__xludf.DUMMYFUNCTION("""COMPUTED_VALUE"""),102.143417)</f>
        <v>102.143417</v>
      </c>
      <c r="AF1936" s="3" t="str">
        <f>IFERROR(__xludf.DUMMYFUNCTION("""COMPUTED_VALUE"""),"BCM สุรนารีวิลล์ นครราชสีมา-22622")</f>
        <v>BCM สุรนารีวิลล์ นครราชสีมา-22622</v>
      </c>
      <c r="AG1936" s="3" t="str">
        <f>IFERROR(__xludf.DUMMYFUNCTION("""COMPUTED_VALUE"""),"ตะวันออกเฉียงเหนือ")</f>
        <v>ตะวันออกเฉียงเหนือ</v>
      </c>
      <c r="AH1936" s="3" t="str">
        <f>IFERROR(__xludf.DUMMYFUNCTION("""COMPUTED_VALUE"""),"#N/A")</f>
        <v>#N/A</v>
      </c>
      <c r="AI1936" s="3" t="str">
        <f>IFERROR(__xludf.DUMMYFUNCTION("""COMPUTED_VALUE"""),"Out of warranty")</f>
        <v>Out of warranty</v>
      </c>
      <c r="AJ1936" s="3">
        <f>IFERROR(__xludf.DUMMYFUNCTION("""COMPUTED_VALUE"""),27.0)</f>
        <v>27</v>
      </c>
      <c r="AK1936" s="3"/>
      <c r="AL1936" s="3"/>
    </row>
    <row r="1937" ht="15.75" customHeight="1">
      <c r="A1937" s="1" t="str">
        <f>IFERROR(__xludf.DUMMYFUNCTION("""COMPUTED_VALUE"""),"22623")</f>
        <v>22623</v>
      </c>
      <c r="B1937" s="2">
        <f>IFERROR(__xludf.DUMMYFUNCTION("""COMPUTED_VALUE"""),22623.0)</f>
        <v>22623</v>
      </c>
      <c r="C1937" s="3" t="str">
        <f>IFERROR(__xludf.DUMMYFUNCTION("""COMPUTED_VALUE"""),"BCM ซ.ที่ดินพัทยา ชลบุรี")</f>
        <v>BCM ซ.ที่ดินพัทยา ชลบุรี</v>
      </c>
      <c r="D1937" s="3" t="str">
        <f>IFERROR(__xludf.DUMMYFUNCTION("""COMPUTED_VALUE"""),"BCM SOI THEEDIN PATTAYA")</f>
        <v>BCM SOI THEEDIN PATTAYA</v>
      </c>
      <c r="E1937" s="1" t="str">
        <f>IFERROR(__xludf.DUMMYFUNCTION("""COMPUTED_VALUE"""),"บิ๊กซี MINI")</f>
        <v>บิ๊กซี MINI</v>
      </c>
      <c r="F1937" s="1" t="str">
        <f>IFERROR(__xludf.DUMMYFUNCTION("""COMPUTED_VALUE"""),"221716")</f>
        <v>221716</v>
      </c>
      <c r="G1937" s="1" t="str">
        <f>IFERROR(__xludf.DUMMYFUNCTION("""COMPUTED_VALUE"""),"น.ส.เบญจพร โพธิสาร")</f>
        <v>น.ส.เบญจพร โพธิสาร</v>
      </c>
      <c r="H1937" s="1" t="str">
        <f>IFERROR(__xludf.DUMMYFUNCTION("""COMPUTED_VALUE"""),"313065")</f>
        <v>313065</v>
      </c>
      <c r="I1937" s="1" t="str">
        <f>IFERROR(__xludf.DUMMYFUNCTION("""COMPUTED_VALUE"""),"นายจิรายุทธ กันทา")</f>
        <v>นายจิรายุทธ กันทา</v>
      </c>
      <c r="J1937" s="3">
        <f>IFERROR(__xludf.DUMMYFUNCTION("""COMPUTED_VALUE"""),1.3461215E7)</f>
        <v>13461215</v>
      </c>
      <c r="K1937" s="3" t="str">
        <f>IFERROR(__xludf.DUMMYFUNCTION("""COMPUTED_VALUE"""),"นายธีรภัทร สังข์เงิน")</f>
        <v>นายธีรภัทร สังข์เงิน</v>
      </c>
      <c r="L1937" s="1" t="str">
        <f>IFERROR(__xludf.DUMMYFUNCTION("""COMPUTED_VALUE"""),"06 K.Teerapat")</f>
        <v>06 K.Teerapat</v>
      </c>
      <c r="M1937" s="1" t="str">
        <f>IFERROR(__xludf.DUMMYFUNCTION("""COMPUTED_VALUE"""),"063-601-6803")</f>
        <v>063-601-6803</v>
      </c>
      <c r="N1937" s="3">
        <f>IFERROR(__xludf.DUMMYFUNCTION("""COMPUTED_VALUE"""),22115.0)</f>
        <v>22115</v>
      </c>
      <c r="O1937" s="3" t="str">
        <f>IFERROR(__xludf.DUMMYFUNCTION("""COMPUTED_VALUE"""),"MBC เลี่ยงหนองมน ชลบุรี")</f>
        <v>MBC เลี่ยงหนองมน ชลบุรี</v>
      </c>
      <c r="P1937" s="4">
        <f>IFERROR(__xludf.DUMMYFUNCTION("""COMPUTED_VALUE"""),45273.0)</f>
        <v>45273</v>
      </c>
      <c r="Q1937" s="3" t="str">
        <f>IFERROR(__xludf.DUMMYFUNCTION("""COMPUTED_VALUE"""),"A")</f>
        <v>A</v>
      </c>
      <c r="R1937" s="3" t="str">
        <f>IFERROR(__xludf.DUMMYFUNCTION("""COMPUTED_VALUE"""),"Small Format")</f>
        <v>Small Format</v>
      </c>
      <c r="S1937" s="3" t="str">
        <f>IFERROR(__xludf.DUMMYFUNCTION("""COMPUTED_VALUE"""),"BCM")</f>
        <v>BCM</v>
      </c>
      <c r="T1937" s="3" t="str">
        <f>IFERROR(__xludf.DUMMYFUNCTION("""COMPUTED_VALUE"""),"#N/A")</f>
        <v>#N/A</v>
      </c>
      <c r="U1937" s="3" t="str">
        <f>IFERROR(__xludf.DUMMYFUNCTION("""COMPUTED_VALUE"""),"#N/A")</f>
        <v>#N/A</v>
      </c>
      <c r="V1937" s="3" t="str">
        <f>IFERROR(__xludf.DUMMYFUNCTION("""COMPUTED_VALUE"""),"N")</f>
        <v>N</v>
      </c>
      <c r="W1937" s="3">
        <f>IFERROR(__xludf.DUMMYFUNCTION("""COMPUTED_VALUE"""),210776.0)</f>
        <v>210776</v>
      </c>
      <c r="X1937" s="3" t="str">
        <f>IFERROR(__xludf.DUMMYFUNCTION("""COMPUTED_VALUE"""),"584/1-4 หมู่10 ตำบลหนองปรือ อำเภอบางละมุง จังหวัดชลบุรี 20150")</f>
        <v>584/1-4 หมู่10 ตำบลหนองปรือ อำเภอบางละมุง จังหวัดชลบุรี 20150</v>
      </c>
      <c r="Y1937" s="3"/>
      <c r="Z1937" s="3" t="str">
        <f>IFERROR(__xludf.DUMMYFUNCTION("""COMPUTED_VALUE"""),"หนองปรือ")</f>
        <v>หนองปรือ</v>
      </c>
      <c r="AA1937" s="3" t="str">
        <f>IFERROR(__xludf.DUMMYFUNCTION("""COMPUTED_VALUE"""),"บางละมุง")</f>
        <v>บางละมุง</v>
      </c>
      <c r="AB1937" s="3" t="str">
        <f>IFERROR(__xludf.DUMMYFUNCTION("""COMPUTED_VALUE"""),"ชลบุรี")</f>
        <v>ชลบุรี</v>
      </c>
      <c r="AC1937" s="3">
        <f>IFERROR(__xludf.DUMMYFUNCTION("""COMPUTED_VALUE"""),20150.0)</f>
        <v>20150</v>
      </c>
      <c r="AD1937" s="3">
        <f>IFERROR(__xludf.DUMMYFUNCTION("""COMPUTED_VALUE"""),12.915227)</f>
        <v>12.915227</v>
      </c>
      <c r="AE1937" s="3">
        <f>IFERROR(__xludf.DUMMYFUNCTION("""COMPUTED_VALUE"""),100.879673)</f>
        <v>100.879673</v>
      </c>
      <c r="AF1937" s="3" t="str">
        <f>IFERROR(__xludf.DUMMYFUNCTION("""COMPUTED_VALUE"""),"BCM ซ.ที่ดินพัทยา ชลบุรี-22623")</f>
        <v>BCM ซ.ที่ดินพัทยา ชลบุรี-22623</v>
      </c>
      <c r="AG1937" s="3" t="str">
        <f>IFERROR(__xludf.DUMMYFUNCTION("""COMPUTED_VALUE"""),"ตะวันออก")</f>
        <v>ตะวันออก</v>
      </c>
      <c r="AH1937" s="3" t="str">
        <f>IFERROR(__xludf.DUMMYFUNCTION("""COMPUTED_VALUE"""),"#N/A")</f>
        <v>#N/A</v>
      </c>
      <c r="AI1937" s="3" t="str">
        <f>IFERROR(__xludf.DUMMYFUNCTION("""COMPUTED_VALUE"""),"Out of warranty")</f>
        <v>Out of warranty</v>
      </c>
      <c r="AJ1937" s="3">
        <f>IFERROR(__xludf.DUMMYFUNCTION("""COMPUTED_VALUE"""),26.0)</f>
        <v>26</v>
      </c>
      <c r="AK1937" s="3" t="str">
        <f>IFERROR(__xludf.DUMMYFUNCTION("""COMPUTED_VALUE"""),"MMS06")</f>
        <v>MMS06</v>
      </c>
      <c r="AL1937" s="3"/>
    </row>
    <row r="1938" ht="15.75" customHeight="1">
      <c r="A1938" s="1" t="str">
        <f>IFERROR(__xludf.DUMMYFUNCTION("""COMPUTED_VALUE"""),"22624")</f>
        <v>22624</v>
      </c>
      <c r="B1938" s="2">
        <f>IFERROR(__xludf.DUMMYFUNCTION("""COMPUTED_VALUE"""),22624.0)</f>
        <v>22624</v>
      </c>
      <c r="C1938" s="3" t="str">
        <f>IFERROR(__xludf.DUMMYFUNCTION("""COMPUTED_VALUE"""),"BCM ตลาดราตรี มุกดาหาร")</f>
        <v>BCM ตลาดราตรี มุกดาหาร</v>
      </c>
      <c r="D1938" s="3" t="str">
        <f>IFERROR(__xludf.DUMMYFUNCTION("""COMPUTED_VALUE"""),"BCM TALAD RATRI MUKDAHAN")</f>
        <v>BCM TALAD RATRI MUKDAHAN</v>
      </c>
      <c r="E1938" s="1" t="str">
        <f>IFERROR(__xludf.DUMMYFUNCTION("""COMPUTED_VALUE"""),"บิ๊กซี MINI")</f>
        <v>บิ๊กซี MINI</v>
      </c>
      <c r="F1938" s="1" t="str">
        <f>IFERROR(__xludf.DUMMYFUNCTION("""COMPUTED_VALUE"""),"291105")</f>
        <v>291105</v>
      </c>
      <c r="G1938" s="1" t="str">
        <f>IFERROR(__xludf.DUMMYFUNCTION("""COMPUTED_VALUE"""),"นายสราวุฒิ พณิชยกุล")</f>
        <v>นายสราวุฒิ พณิชยกุล</v>
      </c>
      <c r="H1938" s="1" t="str">
        <f>IFERROR(__xludf.DUMMYFUNCTION("""COMPUTED_VALUE"""),"398285")</f>
        <v>398285</v>
      </c>
      <c r="I1938" s="1" t="str">
        <f>IFERROR(__xludf.DUMMYFUNCTION("""COMPUTED_VALUE"""),"น.ส.พชิรา บุญจูง")</f>
        <v>น.ส.พชิรา บุญจูง</v>
      </c>
      <c r="J1938" s="3">
        <f>IFERROR(__xludf.DUMMYFUNCTION("""COMPUTED_VALUE"""),2454781.0)</f>
        <v>2454781</v>
      </c>
      <c r="K1938" s="3" t="str">
        <f>IFERROR(__xludf.DUMMYFUNCTION("""COMPUTED_VALUE"""),"นายฌานกฤช นันทะโคต")</f>
        <v>นายฌานกฤช นันทะโคต</v>
      </c>
      <c r="L1938" s="1" t="str">
        <f>IFERROR(__xludf.DUMMYFUNCTION("""COMPUTED_VALUE"""),"05 K.Chanakrit N.")</f>
        <v>05 K.Chanakrit N.</v>
      </c>
      <c r="M1938" s="1" t="str">
        <f>IFERROR(__xludf.DUMMYFUNCTION("""COMPUTED_VALUE"""),"090-978-9785 ,065-929-1320")</f>
        <v>090-978-9785 ,065-929-1320</v>
      </c>
      <c r="N1938" s="3">
        <f>IFERROR(__xludf.DUMMYFUNCTION("""COMPUTED_VALUE"""),22195.0)</f>
        <v>22195</v>
      </c>
      <c r="O1938" s="3" t="str">
        <f>IFERROR(__xludf.DUMMYFUNCTION("""COMPUTED_VALUE"""),"MBC กันทรลักษ์ ศรีสะเกษ")</f>
        <v>MBC กันทรลักษ์ ศรีสะเกษ</v>
      </c>
      <c r="P1938" s="4">
        <f>IFERROR(__xludf.DUMMYFUNCTION("""COMPUTED_VALUE"""),45270.0)</f>
        <v>45270</v>
      </c>
      <c r="Q1938" s="3" t="str">
        <f>IFERROR(__xludf.DUMMYFUNCTION("""COMPUTED_VALUE"""),"A")</f>
        <v>A</v>
      </c>
      <c r="R1938" s="3" t="str">
        <f>IFERROR(__xludf.DUMMYFUNCTION("""COMPUTED_VALUE"""),"Small Format")</f>
        <v>Small Format</v>
      </c>
      <c r="S1938" s="3" t="str">
        <f>IFERROR(__xludf.DUMMYFUNCTION("""COMPUTED_VALUE"""),"BCM")</f>
        <v>BCM</v>
      </c>
      <c r="T1938" s="3" t="str">
        <f>IFERROR(__xludf.DUMMYFUNCTION("""COMPUTED_VALUE"""),"#N/A")</f>
        <v>#N/A</v>
      </c>
      <c r="U1938" s="3" t="str">
        <f>IFERROR(__xludf.DUMMYFUNCTION("""COMPUTED_VALUE"""),"#N/A")</f>
        <v>#N/A</v>
      </c>
      <c r="V1938" s="3" t="str">
        <f>IFERROR(__xludf.DUMMYFUNCTION("""COMPUTED_VALUE"""),"N")</f>
        <v>N</v>
      </c>
      <c r="W1938" s="3">
        <f>IFERROR(__xludf.DUMMYFUNCTION("""COMPUTED_VALUE"""),210789.0)</f>
        <v>210789</v>
      </c>
      <c r="X1938" s="3" t="str">
        <f>IFERROR(__xludf.DUMMYFUNCTION("""COMPUTED_VALUE"""),"63/6 ถนนสองนางสถิตย์ ตำบลมุกดาหาร อำเภอเมืองมุกดาหาร จังหวัดมุกดาหาร 49000")</f>
        <v>63/6 ถนนสองนางสถิตย์ ตำบลมุกดาหาร อำเภอเมืองมุกดาหาร จังหวัดมุกดาหาร 49000</v>
      </c>
      <c r="Y1938" s="3" t="str">
        <f>IFERROR(__xludf.DUMMYFUNCTION("""COMPUTED_VALUE"""),"สองนางสถิตย์")</f>
        <v>สองนางสถิตย์</v>
      </c>
      <c r="Z1938" s="3" t="str">
        <f>IFERROR(__xludf.DUMMYFUNCTION("""COMPUTED_VALUE"""),"มุกดาหาร")</f>
        <v>มุกดาหาร</v>
      </c>
      <c r="AA1938" s="3" t="str">
        <f>IFERROR(__xludf.DUMMYFUNCTION("""COMPUTED_VALUE"""),"เมืองมุกดาหาร")</f>
        <v>เมืองมุกดาหาร</v>
      </c>
      <c r="AB1938" s="3" t="str">
        <f>IFERROR(__xludf.DUMMYFUNCTION("""COMPUTED_VALUE"""),"มุกดาหาร")</f>
        <v>มุกดาหาร</v>
      </c>
      <c r="AC1938" s="3">
        <f>IFERROR(__xludf.DUMMYFUNCTION("""COMPUTED_VALUE"""),49000.0)</f>
        <v>49000</v>
      </c>
      <c r="AD1938" s="3">
        <f>IFERROR(__xludf.DUMMYFUNCTION("""COMPUTED_VALUE"""),16.542955)</f>
        <v>16.542955</v>
      </c>
      <c r="AE1938" s="3">
        <f>IFERROR(__xludf.DUMMYFUNCTION("""COMPUTED_VALUE"""),104.726244)</f>
        <v>104.726244</v>
      </c>
      <c r="AF1938" s="3" t="str">
        <f>IFERROR(__xludf.DUMMYFUNCTION("""COMPUTED_VALUE"""),"BCM ตลาดราตรี มุกดาหาร-22624")</f>
        <v>BCM ตลาดราตรี มุกดาหาร-22624</v>
      </c>
      <c r="AG1938" s="3" t="str">
        <f>IFERROR(__xludf.DUMMYFUNCTION("""COMPUTED_VALUE"""),"ตะวันออกเฉียงเหนือ")</f>
        <v>ตะวันออกเฉียงเหนือ</v>
      </c>
      <c r="AH1938" s="3" t="str">
        <f>IFERROR(__xludf.DUMMYFUNCTION("""COMPUTED_VALUE"""),"#N/A")</f>
        <v>#N/A</v>
      </c>
      <c r="AI1938" s="3" t="str">
        <f>IFERROR(__xludf.DUMMYFUNCTION("""COMPUTED_VALUE"""),"Out of warranty")</f>
        <v>Out of warranty</v>
      </c>
      <c r="AJ1938" s="3">
        <f>IFERROR(__xludf.DUMMYFUNCTION("""COMPUTED_VALUE"""),26.0)</f>
        <v>26</v>
      </c>
      <c r="AK1938" s="3" t="str">
        <f>IFERROR(__xludf.DUMMYFUNCTION("""COMPUTED_VALUE"""),"MMS13")</f>
        <v>MMS13</v>
      </c>
      <c r="AL1938" s="3"/>
    </row>
    <row r="1939" ht="15.75" customHeight="1">
      <c r="A1939" s="1" t="str">
        <f>IFERROR(__xludf.DUMMYFUNCTION("""COMPUTED_VALUE"""),"22625")</f>
        <v>22625</v>
      </c>
      <c r="B1939" s="2">
        <f>IFERROR(__xludf.DUMMYFUNCTION("""COMPUTED_VALUE"""),22625.0)</f>
        <v>22625</v>
      </c>
      <c r="C1939" s="3" t="str">
        <f>IFERROR(__xludf.DUMMYFUNCTION("""COMPUTED_VALUE"""),"BCM ถ.สร้างตนเอง 2 สุราษฎร์ธานี")</f>
        <v>BCM ถ.สร้างตนเอง 2 สุราษฎร์ธานี</v>
      </c>
      <c r="D1939" s="3" t="str">
        <f>IFERROR(__xludf.DUMMYFUNCTION("""COMPUTED_VALUE"""),"BCM THANON SANG TON-ENG 2")</f>
        <v>BCM THANON SANG TON-ENG 2</v>
      </c>
      <c r="E1939" s="1" t="str">
        <f>IFERROR(__xludf.DUMMYFUNCTION("""COMPUTED_VALUE"""),"บิ๊กซี MINI")</f>
        <v>บิ๊กซี MINI</v>
      </c>
      <c r="F1939" s="1" t="str">
        <f>IFERROR(__xludf.DUMMYFUNCTION("""COMPUTED_VALUE"""),"250760")</f>
        <v>250760</v>
      </c>
      <c r="G1939" s="1" t="str">
        <f>IFERROR(__xludf.DUMMYFUNCTION("""COMPUTED_VALUE"""),"นายประทวน สาราบรรณ์")</f>
        <v>นายประทวน สาราบรรณ์</v>
      </c>
      <c r="H1939" s="1" t="str">
        <f>IFERROR(__xludf.DUMMYFUNCTION("""COMPUTED_VALUE"""),"228389")</f>
        <v>228389</v>
      </c>
      <c r="I1939" s="1" t="str">
        <f>IFERROR(__xludf.DUMMYFUNCTION("""COMPUTED_VALUE"""),"นายมณีรันดร์ ชัยชนะ")</f>
        <v>นายมณีรันดร์ ชัยชนะ</v>
      </c>
      <c r="J1939" s="3">
        <f>IFERROR(__xludf.DUMMYFUNCTION("""COMPUTED_VALUE"""),25324.0)</f>
        <v>25324</v>
      </c>
      <c r="K1939" s="3" t="str">
        <f>IFERROR(__xludf.DUMMYFUNCTION("""COMPUTED_VALUE"""),"นายวิเชฎฐ์ ติรัตนะประคม")</f>
        <v>นายวิเชฎฐ์ ติรัตนะประคม</v>
      </c>
      <c r="L1939" s="1" t="str">
        <f>IFERROR(__xludf.DUMMYFUNCTION("""COMPUTED_VALUE"""),"14 K.Wichet T.")</f>
        <v>14 K.Wichet T.</v>
      </c>
      <c r="M1939" s="1" t="str">
        <f>IFERROR(__xludf.DUMMYFUNCTION("""COMPUTED_VALUE"""),"061-417-6569 / 086-445-5636")</f>
        <v>061-417-6569 / 086-445-5636</v>
      </c>
      <c r="N1939" s="3">
        <f>IFERROR(__xludf.DUMMYFUNCTION("""COMPUTED_VALUE"""),22658.0)</f>
        <v>22658</v>
      </c>
      <c r="O1939" s="3" t="str">
        <f>IFERROR(__xludf.DUMMYFUNCTION("""COMPUTED_VALUE"""),"BCM ถ.วิรัชหงษ์หยก ภูเก็ต")</f>
        <v>BCM ถ.วิรัชหงษ์หยก ภูเก็ต</v>
      </c>
      <c r="P1939" s="4">
        <f>IFERROR(__xludf.DUMMYFUNCTION("""COMPUTED_VALUE"""),45254.0)</f>
        <v>45254</v>
      </c>
      <c r="Q1939" s="3" t="str">
        <f>IFERROR(__xludf.DUMMYFUNCTION("""COMPUTED_VALUE"""),"A")</f>
        <v>A</v>
      </c>
      <c r="R1939" s="3" t="str">
        <f>IFERROR(__xludf.DUMMYFUNCTION("""COMPUTED_VALUE"""),"Small Format")</f>
        <v>Small Format</v>
      </c>
      <c r="S1939" s="3" t="str">
        <f>IFERROR(__xludf.DUMMYFUNCTION("""COMPUTED_VALUE"""),"BCM")</f>
        <v>BCM</v>
      </c>
      <c r="T1939" s="3" t="str">
        <f>IFERROR(__xludf.DUMMYFUNCTION("""COMPUTED_VALUE"""),"#N/A")</f>
        <v>#N/A</v>
      </c>
      <c r="U1939" s="3" t="str">
        <f>IFERROR(__xludf.DUMMYFUNCTION("""COMPUTED_VALUE"""),"#N/A")</f>
        <v>#N/A</v>
      </c>
      <c r="V1939" s="3" t="str">
        <f>IFERROR(__xludf.DUMMYFUNCTION("""COMPUTED_VALUE"""),"N")</f>
        <v>N</v>
      </c>
      <c r="W1939" s="3">
        <f>IFERROR(__xludf.DUMMYFUNCTION("""COMPUTED_VALUE"""),210758.0)</f>
        <v>210758</v>
      </c>
      <c r="X1939" s="3" t="str">
        <f>IFERROR(__xludf.DUMMYFUNCTION("""COMPUTED_VALUE"""),"129 หมู่7 ตำบลมะขามเตี้ย อำเภอเมืองสุราษฎร์ธานี จังหวัดสุราษฎร์ธานี 84000")</f>
        <v>129 หมู่7 ตำบลมะขามเตี้ย อำเภอเมืองสุราษฎร์ธานี จังหวัดสุราษฎร์ธานี 84000</v>
      </c>
      <c r="Y1939" s="3"/>
      <c r="Z1939" s="3" t="str">
        <f>IFERROR(__xludf.DUMMYFUNCTION("""COMPUTED_VALUE"""),"มะขามเตี้ย")</f>
        <v>มะขามเตี้ย</v>
      </c>
      <c r="AA1939" s="3" t="str">
        <f>IFERROR(__xludf.DUMMYFUNCTION("""COMPUTED_VALUE"""),"เมืองสุราษฎร์ธานี")</f>
        <v>เมืองสุราษฎร์ธานี</v>
      </c>
      <c r="AB1939" s="3" t="str">
        <f>IFERROR(__xludf.DUMMYFUNCTION("""COMPUTED_VALUE"""),"สุราษฎร์ธานี")</f>
        <v>สุราษฎร์ธานี</v>
      </c>
      <c r="AC1939" s="3">
        <f>IFERROR(__xludf.DUMMYFUNCTION("""COMPUTED_VALUE"""),84000.0)</f>
        <v>84000</v>
      </c>
      <c r="AD1939" s="3">
        <f>IFERROR(__xludf.DUMMYFUNCTION("""COMPUTED_VALUE"""),9.088485)</f>
        <v>9.088485</v>
      </c>
      <c r="AE1939" s="3">
        <f>IFERROR(__xludf.DUMMYFUNCTION("""COMPUTED_VALUE"""),99.369833)</f>
        <v>99.369833</v>
      </c>
      <c r="AF1939" s="3" t="str">
        <f>IFERROR(__xludf.DUMMYFUNCTION("""COMPUTED_VALUE"""),"BCM ถ.สร้างตนเอง 2 สุราษฎร์ธานี-22625")</f>
        <v>BCM ถ.สร้างตนเอง 2 สุราษฎร์ธานี-22625</v>
      </c>
      <c r="AG1939" s="3" t="str">
        <f>IFERROR(__xludf.DUMMYFUNCTION("""COMPUTED_VALUE"""),"ใต้")</f>
        <v>ใต้</v>
      </c>
      <c r="AH1939" s="3" t="str">
        <f>IFERROR(__xludf.DUMMYFUNCTION("""COMPUTED_VALUE"""),"#N/A")</f>
        <v>#N/A</v>
      </c>
      <c r="AI1939" s="3" t="str">
        <f>IFERROR(__xludf.DUMMYFUNCTION("""COMPUTED_VALUE"""),"Out of warranty")</f>
        <v>Out of warranty</v>
      </c>
      <c r="AJ1939" s="3">
        <f>IFERROR(__xludf.DUMMYFUNCTION("""COMPUTED_VALUE"""),26.0)</f>
        <v>26</v>
      </c>
      <c r="AK1939" s="3" t="str">
        <f>IFERROR(__xludf.DUMMYFUNCTION("""COMPUTED_VALUE"""),"MMS14")</f>
        <v>MMS14</v>
      </c>
      <c r="AL1939" s="3"/>
    </row>
    <row r="1940" ht="15.75" customHeight="1">
      <c r="A1940" s="1" t="str">
        <f>IFERROR(__xludf.DUMMYFUNCTION("""COMPUTED_VALUE"""),"22626")</f>
        <v>22626</v>
      </c>
      <c r="B1940" s="2">
        <f>IFERROR(__xludf.DUMMYFUNCTION("""COMPUTED_VALUE"""),22626.0)</f>
        <v>22626</v>
      </c>
      <c r="C1940" s="3" t="str">
        <f>IFERROR(__xludf.DUMMYFUNCTION("""COMPUTED_VALUE"""),"BCM บ.ใต้-หาดริ้น (เกาะพงัน) สุราษฎร์ธานี")</f>
        <v>BCM บ.ใต้-หาดริ้น (เกาะพงัน) สุราษฎร์ธานี</v>
      </c>
      <c r="D1940" s="3" t="str">
        <f>IFERROR(__xludf.DUMMYFUNCTION("""COMPUTED_VALUE"""),"BCM BAN TAI - HAAD RIN")</f>
        <v>BCM BAN TAI - HAAD RIN</v>
      </c>
      <c r="E1940" s="1" t="str">
        <f>IFERROR(__xludf.DUMMYFUNCTION("""COMPUTED_VALUE"""),"บิ๊กซี MINI")</f>
        <v>บิ๊กซี MINI</v>
      </c>
      <c r="F1940" s="1" t="str">
        <f>IFERROR(__xludf.DUMMYFUNCTION("""COMPUTED_VALUE"""),"250760")</f>
        <v>250760</v>
      </c>
      <c r="G1940" s="1" t="str">
        <f>IFERROR(__xludf.DUMMYFUNCTION("""COMPUTED_VALUE"""),"นายประทวน สาราบรรณ์")</f>
        <v>นายประทวน สาราบรรณ์</v>
      </c>
      <c r="H1940" s="1" t="str">
        <f>IFERROR(__xludf.DUMMYFUNCTION("""COMPUTED_VALUE"""),"356760")</f>
        <v>356760</v>
      </c>
      <c r="I1940" s="1" t="str">
        <f>IFERROR(__xludf.DUMMYFUNCTION("""COMPUTED_VALUE"""),"นายภูมิภัทร แก้วพรรณราย")</f>
        <v>นายภูมิภัทร แก้วพรรณราย</v>
      </c>
      <c r="J1940" s="3">
        <f>IFERROR(__xludf.DUMMYFUNCTION("""COMPUTED_VALUE"""),25324.0)</f>
        <v>25324</v>
      </c>
      <c r="K1940" s="3" t="str">
        <f>IFERROR(__xludf.DUMMYFUNCTION("""COMPUTED_VALUE"""),"นายวิเชฎฐ์ ติรัตนะประคม")</f>
        <v>นายวิเชฎฐ์ ติรัตนะประคม</v>
      </c>
      <c r="L1940" s="1" t="str">
        <f>IFERROR(__xludf.DUMMYFUNCTION("""COMPUTED_VALUE"""),"14 K.Wichet T.")</f>
        <v>14 K.Wichet T.</v>
      </c>
      <c r="M1940" s="1" t="str">
        <f>IFERROR(__xludf.DUMMYFUNCTION("""COMPUTED_VALUE"""),"061-417-6569 / 086-445-5636")</f>
        <v>061-417-6569 / 086-445-5636</v>
      </c>
      <c r="N1940" s="3">
        <f>IFERROR(__xludf.DUMMYFUNCTION("""COMPUTED_VALUE"""),22658.0)</f>
        <v>22658</v>
      </c>
      <c r="O1940" s="3" t="str">
        <f>IFERROR(__xludf.DUMMYFUNCTION("""COMPUTED_VALUE"""),"BCM ถ.วิรัชหงษ์หยก ภูเก็ต")</f>
        <v>BCM ถ.วิรัชหงษ์หยก ภูเก็ต</v>
      </c>
      <c r="P1940" s="4">
        <f>IFERROR(__xludf.DUMMYFUNCTION("""COMPUTED_VALUE"""),45255.0)</f>
        <v>45255</v>
      </c>
      <c r="Q1940" s="3" t="str">
        <f>IFERROR(__xludf.DUMMYFUNCTION("""COMPUTED_VALUE"""),"A")</f>
        <v>A</v>
      </c>
      <c r="R1940" s="3" t="str">
        <f>IFERROR(__xludf.DUMMYFUNCTION("""COMPUTED_VALUE"""),"Small Format")</f>
        <v>Small Format</v>
      </c>
      <c r="S1940" s="3" t="str">
        <f>IFERROR(__xludf.DUMMYFUNCTION("""COMPUTED_VALUE"""),"BCM")</f>
        <v>BCM</v>
      </c>
      <c r="T1940" s="3" t="str">
        <f>IFERROR(__xludf.DUMMYFUNCTION("""COMPUTED_VALUE"""),"#N/A")</f>
        <v>#N/A</v>
      </c>
      <c r="U1940" s="3" t="str">
        <f>IFERROR(__xludf.DUMMYFUNCTION("""COMPUTED_VALUE"""),"#N/A")</f>
        <v>#N/A</v>
      </c>
      <c r="V1940" s="3" t="str">
        <f>IFERROR(__xludf.DUMMYFUNCTION("""COMPUTED_VALUE"""),"N")</f>
        <v>N</v>
      </c>
      <c r="W1940" s="3">
        <f>IFERROR(__xludf.DUMMYFUNCTION("""COMPUTED_VALUE"""),210729.0)</f>
        <v>210729</v>
      </c>
      <c r="X1940" s="3" t="str">
        <f>IFERROR(__xludf.DUMMYFUNCTION("""COMPUTED_VALUE"""),"15/2 หมู่4 ตำบลบ้านใต้ อำเภอเกาะพงัน จังหวัดสุราษฎร์ธานี 84280")</f>
        <v>15/2 หมู่4 ตำบลบ้านใต้ อำเภอเกาะพงัน จังหวัดสุราษฎร์ธานี 84280</v>
      </c>
      <c r="Y1940" s="3"/>
      <c r="Z1940" s="3" t="str">
        <f>IFERROR(__xludf.DUMMYFUNCTION("""COMPUTED_VALUE"""),"บ้านใต้")</f>
        <v>บ้านใต้</v>
      </c>
      <c r="AA1940" s="3" t="str">
        <f>IFERROR(__xludf.DUMMYFUNCTION("""COMPUTED_VALUE"""),"เกาะพงัน")</f>
        <v>เกาะพงัน</v>
      </c>
      <c r="AB1940" s="3" t="str">
        <f>IFERROR(__xludf.DUMMYFUNCTION("""COMPUTED_VALUE"""),"สุราษฎร์ธานี")</f>
        <v>สุราษฎร์ธานี</v>
      </c>
      <c r="AC1940" s="3">
        <f>IFERROR(__xludf.DUMMYFUNCTION("""COMPUTED_VALUE"""),84280.0)</f>
        <v>84280</v>
      </c>
      <c r="AD1940" s="3">
        <f>IFERROR(__xludf.DUMMYFUNCTION("""COMPUTED_VALUE"""),9.700329)</f>
        <v>9.700329</v>
      </c>
      <c r="AE1940" s="3">
        <f>IFERROR(__xludf.DUMMYFUNCTION("""COMPUTED_VALUE"""),100.034582)</f>
        <v>100.034582</v>
      </c>
      <c r="AF1940" s="3" t="str">
        <f>IFERROR(__xludf.DUMMYFUNCTION("""COMPUTED_VALUE"""),"BCM บ.ใต้-หาดริ้น (เกาะพงัน) สุราษฎร์ธานี-22626")</f>
        <v>BCM บ.ใต้-หาดริ้น (เกาะพงัน) สุราษฎร์ธานี-22626</v>
      </c>
      <c r="AG1940" s="3" t="str">
        <f>IFERROR(__xludf.DUMMYFUNCTION("""COMPUTED_VALUE"""),"ใต้")</f>
        <v>ใต้</v>
      </c>
      <c r="AH1940" s="3" t="str">
        <f>IFERROR(__xludf.DUMMYFUNCTION("""COMPUTED_VALUE"""),"#N/A")</f>
        <v>#N/A</v>
      </c>
      <c r="AI1940" s="3" t="str">
        <f>IFERROR(__xludf.DUMMYFUNCTION("""COMPUTED_VALUE"""),"Out of warranty")</f>
        <v>Out of warranty</v>
      </c>
      <c r="AJ1940" s="3">
        <f>IFERROR(__xludf.DUMMYFUNCTION("""COMPUTED_VALUE"""),26.0)</f>
        <v>26</v>
      </c>
      <c r="AK1940" s="3" t="str">
        <f>IFERROR(__xludf.DUMMYFUNCTION("""COMPUTED_VALUE"""),"MMS14")</f>
        <v>MMS14</v>
      </c>
      <c r="AL1940" s="3"/>
    </row>
    <row r="1941" ht="15.75" customHeight="1">
      <c r="A1941" s="1" t="str">
        <f>IFERROR(__xludf.DUMMYFUNCTION("""COMPUTED_VALUE"""),"22627")</f>
        <v>22627</v>
      </c>
      <c r="B1941" s="2">
        <f>IFERROR(__xludf.DUMMYFUNCTION("""COMPUTED_VALUE"""),22627.0)</f>
        <v>22627</v>
      </c>
      <c r="C1941" s="3" t="str">
        <f>IFERROR(__xludf.DUMMYFUNCTION("""COMPUTED_VALUE"""),"BCM บ.ใต้ (เกาะพะงัน) สุราษฎร์ธานี")</f>
        <v>BCM บ.ใต้ (เกาะพะงัน) สุราษฎร์ธานี</v>
      </c>
      <c r="D1941" s="3" t="str">
        <f>IFERROR(__xludf.DUMMYFUNCTION("""COMPUTED_VALUE"""),"BCM BAN TAI (KOH PHANGAN)")</f>
        <v>BCM BAN TAI (KOH PHANGAN)</v>
      </c>
      <c r="E1941" s="1" t="str">
        <f>IFERROR(__xludf.DUMMYFUNCTION("""COMPUTED_VALUE"""),"บิ๊กซี MINI")</f>
        <v>บิ๊กซี MINI</v>
      </c>
      <c r="F1941" s="1" t="str">
        <f>IFERROR(__xludf.DUMMYFUNCTION("""COMPUTED_VALUE"""),"250760")</f>
        <v>250760</v>
      </c>
      <c r="G1941" s="1" t="str">
        <f>IFERROR(__xludf.DUMMYFUNCTION("""COMPUTED_VALUE"""),"นายประทวน สาราบรรณ์")</f>
        <v>นายประทวน สาราบรรณ์</v>
      </c>
      <c r="H1941" s="1" t="str">
        <f>IFERROR(__xludf.DUMMYFUNCTION("""COMPUTED_VALUE"""),"356760")</f>
        <v>356760</v>
      </c>
      <c r="I1941" s="1" t="str">
        <f>IFERROR(__xludf.DUMMYFUNCTION("""COMPUTED_VALUE"""),"นายภูมิภัทร แก้วพรรณราย")</f>
        <v>นายภูมิภัทร แก้วพรรณราย</v>
      </c>
      <c r="J1941" s="3">
        <f>IFERROR(__xludf.DUMMYFUNCTION("""COMPUTED_VALUE"""),25324.0)</f>
        <v>25324</v>
      </c>
      <c r="K1941" s="3" t="str">
        <f>IFERROR(__xludf.DUMMYFUNCTION("""COMPUTED_VALUE"""),"นายวิเชฎฐ์ ติรัตนะประคม")</f>
        <v>นายวิเชฎฐ์ ติรัตนะประคม</v>
      </c>
      <c r="L1941" s="1" t="str">
        <f>IFERROR(__xludf.DUMMYFUNCTION("""COMPUTED_VALUE"""),"14 K.Wichet T.")</f>
        <v>14 K.Wichet T.</v>
      </c>
      <c r="M1941" s="1" t="str">
        <f>IFERROR(__xludf.DUMMYFUNCTION("""COMPUTED_VALUE"""),"061-417-6569 / 086-445-5636")</f>
        <v>061-417-6569 / 086-445-5636</v>
      </c>
      <c r="N1941" s="3">
        <f>IFERROR(__xludf.DUMMYFUNCTION("""COMPUTED_VALUE"""),22658.0)</f>
        <v>22658</v>
      </c>
      <c r="O1941" s="3" t="str">
        <f>IFERROR(__xludf.DUMMYFUNCTION("""COMPUTED_VALUE"""),"BCM ถ.วิรัชหงษ์หยก ภูเก็ต")</f>
        <v>BCM ถ.วิรัชหงษ์หยก ภูเก็ต</v>
      </c>
      <c r="P1941" s="4">
        <f>IFERROR(__xludf.DUMMYFUNCTION("""COMPUTED_VALUE"""),45348.0)</f>
        <v>45348</v>
      </c>
      <c r="Q1941" s="3" t="str">
        <f>IFERROR(__xludf.DUMMYFUNCTION("""COMPUTED_VALUE"""),"A")</f>
        <v>A</v>
      </c>
      <c r="R1941" s="3" t="str">
        <f>IFERROR(__xludf.DUMMYFUNCTION("""COMPUTED_VALUE"""),"Small Format")</f>
        <v>Small Format</v>
      </c>
      <c r="S1941" s="3" t="str">
        <f>IFERROR(__xludf.DUMMYFUNCTION("""COMPUTED_VALUE"""),"BCM")</f>
        <v>BCM</v>
      </c>
      <c r="T1941" s="3" t="str">
        <f>IFERROR(__xludf.DUMMYFUNCTION("""COMPUTED_VALUE"""),"#N/A")</f>
        <v>#N/A</v>
      </c>
      <c r="U1941" s="3" t="str">
        <f>IFERROR(__xludf.DUMMYFUNCTION("""COMPUTED_VALUE"""),"#N/A")</f>
        <v>#N/A</v>
      </c>
      <c r="V1941" s="3" t="str">
        <f>IFERROR(__xludf.DUMMYFUNCTION("""COMPUTED_VALUE"""),"N")</f>
        <v>N</v>
      </c>
      <c r="W1941" s="3">
        <f>IFERROR(__xludf.DUMMYFUNCTION("""COMPUTED_VALUE"""),210728.0)</f>
        <v>210728</v>
      </c>
      <c r="X1941" s="3" t="str">
        <f>IFERROR(__xludf.DUMMYFUNCTION("""COMPUTED_VALUE"""),"110/32 หมู่1 ตำบลบ้านใต้ อำเภอเกาะพะงัน จังหวัดสุราษฎร์ธานี 84280")</f>
        <v>110/32 หมู่1 ตำบลบ้านใต้ อำเภอเกาะพะงัน จังหวัดสุราษฎร์ธานี 84280</v>
      </c>
      <c r="Y1941" s="3"/>
      <c r="Z1941" s="3" t="str">
        <f>IFERROR(__xludf.DUMMYFUNCTION("""COMPUTED_VALUE"""),"บ้านใต้")</f>
        <v>บ้านใต้</v>
      </c>
      <c r="AA1941" s="3" t="str">
        <f>IFERROR(__xludf.DUMMYFUNCTION("""COMPUTED_VALUE"""),"เกาะพะงัน")</f>
        <v>เกาะพะงัน</v>
      </c>
      <c r="AB1941" s="3" t="str">
        <f>IFERROR(__xludf.DUMMYFUNCTION("""COMPUTED_VALUE"""),"สุราษฎร์ธานี")</f>
        <v>สุราษฎร์ธานี</v>
      </c>
      <c r="AC1941" s="3">
        <f>IFERROR(__xludf.DUMMYFUNCTION("""COMPUTED_VALUE"""),84280.0)</f>
        <v>84280</v>
      </c>
      <c r="AD1941" s="3">
        <f>IFERROR(__xludf.DUMMYFUNCTION("""COMPUTED_VALUE"""),9.705399)</f>
        <v>9.705399</v>
      </c>
      <c r="AE1941" s="3">
        <f>IFERROR(__xludf.DUMMYFUNCTION("""COMPUTED_VALUE"""),100.009798)</f>
        <v>100.009798</v>
      </c>
      <c r="AF1941" s="3" t="str">
        <f>IFERROR(__xludf.DUMMYFUNCTION("""COMPUTED_VALUE"""),"BCM บ.ใต้ (เกาะพะงัน) สุราษฎร์ธานี-22627")</f>
        <v>BCM บ.ใต้ (เกาะพะงัน) สุราษฎร์ธานี-22627</v>
      </c>
      <c r="AG1941" s="3" t="str">
        <f>IFERROR(__xludf.DUMMYFUNCTION("""COMPUTED_VALUE"""),"ใต้")</f>
        <v>ใต้</v>
      </c>
      <c r="AH1941" s="3" t="str">
        <f>IFERROR(__xludf.DUMMYFUNCTION("""COMPUTED_VALUE"""),"#N/A")</f>
        <v>#N/A</v>
      </c>
      <c r="AI1941" s="3" t="str">
        <f>IFERROR(__xludf.DUMMYFUNCTION("""COMPUTED_VALUE"""),"Out of warranty")</f>
        <v>Out of warranty</v>
      </c>
      <c r="AJ1941" s="3">
        <f>IFERROR(__xludf.DUMMYFUNCTION("""COMPUTED_VALUE"""),23.0)</f>
        <v>23</v>
      </c>
      <c r="AK1941" s="3" t="str">
        <f>IFERROR(__xludf.DUMMYFUNCTION("""COMPUTED_VALUE"""),"MMS14")</f>
        <v>MMS14</v>
      </c>
      <c r="AL1941" s="3"/>
    </row>
    <row r="1942" ht="15.75" customHeight="1">
      <c r="A1942" s="1" t="str">
        <f>IFERROR(__xludf.DUMMYFUNCTION("""COMPUTED_VALUE"""),"22628")</f>
        <v>22628</v>
      </c>
      <c r="B1942" s="2">
        <f>IFERROR(__xludf.DUMMYFUNCTION("""COMPUTED_VALUE"""),22628.0)</f>
        <v>22628</v>
      </c>
      <c r="C1942" s="3" t="str">
        <f>IFERROR(__xludf.DUMMYFUNCTION("""COMPUTED_VALUE"""),"BCM บางปอบีช สมุย สุราษฎร์ธานี")</f>
        <v>BCM บางปอบีช สมุย สุราษฎร์ธานี</v>
      </c>
      <c r="D1942" s="3" t="str">
        <f>IFERROR(__xludf.DUMMYFUNCTION("""COMPUTED_VALUE"""),"BCM BANG POR BEACH-SAMUI")</f>
        <v>BCM BANG POR BEACH-SAMUI</v>
      </c>
      <c r="E1942" s="1" t="str">
        <f>IFERROR(__xludf.DUMMYFUNCTION("""COMPUTED_VALUE"""),"บิ๊กซี MINI")</f>
        <v>บิ๊กซี MINI</v>
      </c>
      <c r="F1942" s="1" t="str">
        <f>IFERROR(__xludf.DUMMYFUNCTION("""COMPUTED_VALUE"""),"250760")</f>
        <v>250760</v>
      </c>
      <c r="G1942" s="1" t="str">
        <f>IFERROR(__xludf.DUMMYFUNCTION("""COMPUTED_VALUE"""),"นายประทวน สาราบรรณ์")</f>
        <v>นายประทวน สาราบรรณ์</v>
      </c>
      <c r="H1942" s="1" t="str">
        <f>IFERROR(__xludf.DUMMYFUNCTION("""COMPUTED_VALUE"""),"356760")</f>
        <v>356760</v>
      </c>
      <c r="I1942" s="1" t="str">
        <f>IFERROR(__xludf.DUMMYFUNCTION("""COMPUTED_VALUE"""),"นายภูมิภัทร แก้วพรรณราย")</f>
        <v>นายภูมิภัทร แก้วพรรณราย</v>
      </c>
      <c r="J1942" s="3">
        <f>IFERROR(__xludf.DUMMYFUNCTION("""COMPUTED_VALUE"""),25324.0)</f>
        <v>25324</v>
      </c>
      <c r="K1942" s="3" t="str">
        <f>IFERROR(__xludf.DUMMYFUNCTION("""COMPUTED_VALUE"""),"นายวิเชฎฐ์ ติรัตนะประคม")</f>
        <v>นายวิเชฎฐ์ ติรัตนะประคม</v>
      </c>
      <c r="L1942" s="1" t="str">
        <f>IFERROR(__xludf.DUMMYFUNCTION("""COMPUTED_VALUE"""),"14 K.Wichet T.")</f>
        <v>14 K.Wichet T.</v>
      </c>
      <c r="M1942" s="1" t="str">
        <f>IFERROR(__xludf.DUMMYFUNCTION("""COMPUTED_VALUE"""),"061-417-6569 / 086-445-5636")</f>
        <v>061-417-6569 / 086-445-5636</v>
      </c>
      <c r="N1942" s="3">
        <f>IFERROR(__xludf.DUMMYFUNCTION("""COMPUTED_VALUE"""),22658.0)</f>
        <v>22658</v>
      </c>
      <c r="O1942" s="3" t="str">
        <f>IFERROR(__xludf.DUMMYFUNCTION("""COMPUTED_VALUE"""),"BCM ถ.วิรัชหงษ์หยก ภูเก็ต")</f>
        <v>BCM ถ.วิรัชหงษ์หยก ภูเก็ต</v>
      </c>
      <c r="P1942" s="4">
        <f>IFERROR(__xludf.DUMMYFUNCTION("""COMPUTED_VALUE"""),45254.0)</f>
        <v>45254</v>
      </c>
      <c r="Q1942" s="3" t="str">
        <f>IFERROR(__xludf.DUMMYFUNCTION("""COMPUTED_VALUE"""),"A")</f>
        <v>A</v>
      </c>
      <c r="R1942" s="3" t="str">
        <f>IFERROR(__xludf.DUMMYFUNCTION("""COMPUTED_VALUE"""),"Small Format")</f>
        <v>Small Format</v>
      </c>
      <c r="S1942" s="3" t="str">
        <f>IFERROR(__xludf.DUMMYFUNCTION("""COMPUTED_VALUE"""),"BCM")</f>
        <v>BCM</v>
      </c>
      <c r="T1942" s="3" t="str">
        <f>IFERROR(__xludf.DUMMYFUNCTION("""COMPUTED_VALUE"""),"#N/A")</f>
        <v>#N/A</v>
      </c>
      <c r="U1942" s="3" t="str">
        <f>IFERROR(__xludf.DUMMYFUNCTION("""COMPUTED_VALUE"""),"#N/A")</f>
        <v>#N/A</v>
      </c>
      <c r="V1942" s="3" t="str">
        <f>IFERROR(__xludf.DUMMYFUNCTION("""COMPUTED_VALUE"""),"N")</f>
        <v>N</v>
      </c>
      <c r="W1942" s="3">
        <f>IFERROR(__xludf.DUMMYFUNCTION("""COMPUTED_VALUE"""),210712.0)</f>
        <v>210712</v>
      </c>
      <c r="X1942" s="3" t="str">
        <f>IFERROR(__xludf.DUMMYFUNCTION("""COMPUTED_VALUE"""),"73/34 หมู่6 ตำบลแม่น้ำ อำเภอเกาะสมุย จังหวัดสุราษฎร์ธานี 84330")</f>
        <v>73/34 หมู่6 ตำบลแม่น้ำ อำเภอเกาะสมุย จังหวัดสุราษฎร์ธานี 84330</v>
      </c>
      <c r="Y1942" s="3"/>
      <c r="Z1942" s="3" t="str">
        <f>IFERROR(__xludf.DUMMYFUNCTION("""COMPUTED_VALUE"""),"แม่น้ำ")</f>
        <v>แม่น้ำ</v>
      </c>
      <c r="AA1942" s="3" t="str">
        <f>IFERROR(__xludf.DUMMYFUNCTION("""COMPUTED_VALUE"""),"เกาะสมุย")</f>
        <v>เกาะสมุย</v>
      </c>
      <c r="AB1942" s="3" t="str">
        <f>IFERROR(__xludf.DUMMYFUNCTION("""COMPUTED_VALUE"""),"สุราษฎร์ธานี")</f>
        <v>สุราษฎร์ธานี</v>
      </c>
      <c r="AC1942" s="3">
        <f>IFERROR(__xludf.DUMMYFUNCTION("""COMPUTED_VALUE"""),84320.0)</f>
        <v>84320</v>
      </c>
      <c r="AD1942" s="3">
        <f>IFERROR(__xludf.DUMMYFUNCTION("""COMPUTED_VALUE"""),9.577899)</f>
        <v>9.577899</v>
      </c>
      <c r="AE1942" s="3">
        <f>IFERROR(__xludf.DUMMYFUNCTION("""COMPUTED_VALUE"""),99.94286)</f>
        <v>99.94286</v>
      </c>
      <c r="AF1942" s="3" t="str">
        <f>IFERROR(__xludf.DUMMYFUNCTION("""COMPUTED_VALUE"""),"BCM บางปอบีช สมุย สุราษฎร์ธานี-22628")</f>
        <v>BCM บางปอบีช สมุย สุราษฎร์ธานี-22628</v>
      </c>
      <c r="AG1942" s="3" t="str">
        <f>IFERROR(__xludf.DUMMYFUNCTION("""COMPUTED_VALUE"""),"ใต้")</f>
        <v>ใต้</v>
      </c>
      <c r="AH1942" s="3" t="str">
        <f>IFERROR(__xludf.DUMMYFUNCTION("""COMPUTED_VALUE"""),"#N/A")</f>
        <v>#N/A</v>
      </c>
      <c r="AI1942" s="3" t="str">
        <f>IFERROR(__xludf.DUMMYFUNCTION("""COMPUTED_VALUE"""),"Out of warranty")</f>
        <v>Out of warranty</v>
      </c>
      <c r="AJ1942" s="3">
        <f>IFERROR(__xludf.DUMMYFUNCTION("""COMPUTED_VALUE"""),26.0)</f>
        <v>26</v>
      </c>
      <c r="AK1942" s="3" t="str">
        <f>IFERROR(__xludf.DUMMYFUNCTION("""COMPUTED_VALUE"""),"MMS14")</f>
        <v>MMS14</v>
      </c>
      <c r="AL1942" s="3"/>
    </row>
    <row r="1943" ht="15.75" customHeight="1">
      <c r="A1943" s="1" t="str">
        <f>IFERROR(__xludf.DUMMYFUNCTION("""COMPUTED_VALUE"""),"22629")</f>
        <v>22629</v>
      </c>
      <c r="B1943" s="2">
        <f>IFERROR(__xludf.DUMMYFUNCTION("""COMPUTED_VALUE"""),22629.0)</f>
        <v>22629</v>
      </c>
      <c r="C1943" s="3" t="str">
        <f>IFERROR(__xludf.DUMMYFUNCTION("""COMPUTED_VALUE"""),"BCM กันทรลักษ์ 2 ศรีสะเกษ")</f>
        <v>BCM กันทรลักษ์ 2 ศรีสะเกษ</v>
      </c>
      <c r="D1943" s="3" t="str">
        <f>IFERROR(__xludf.DUMMYFUNCTION("""COMPUTED_VALUE"""),"BCM KANTHARALAK 2 SI SA KET")</f>
        <v>BCM KANTHARALAK 2 SI SA KET</v>
      </c>
      <c r="E1943" s="1" t="str">
        <f>IFERROR(__xludf.DUMMYFUNCTION("""COMPUTED_VALUE"""),"บิ๊กซี MINI")</f>
        <v>บิ๊กซี MINI</v>
      </c>
      <c r="F1943" s="1" t="str">
        <f>IFERROR(__xludf.DUMMYFUNCTION("""COMPUTED_VALUE"""),"291105")</f>
        <v>291105</v>
      </c>
      <c r="G1943" s="1" t="str">
        <f>IFERROR(__xludf.DUMMYFUNCTION("""COMPUTED_VALUE"""),"นายสราวุฒิ พณิชยกุล")</f>
        <v>นายสราวุฒิ พณิชยกุล</v>
      </c>
      <c r="H1943" s="1" t="str">
        <f>IFERROR(__xludf.DUMMYFUNCTION("""COMPUTED_VALUE"""),"398146")</f>
        <v>398146</v>
      </c>
      <c r="I1943" s="1" t="str">
        <f>IFERROR(__xludf.DUMMYFUNCTION("""COMPUTED_VALUE"""),"น.ส.กนกสิริ สุขหอม")</f>
        <v>น.ส.กนกสิริ สุขหอม</v>
      </c>
      <c r="J1943" s="3">
        <f>IFERROR(__xludf.DUMMYFUNCTION("""COMPUTED_VALUE"""),2454781.0)</f>
        <v>2454781</v>
      </c>
      <c r="K1943" s="3" t="str">
        <f>IFERROR(__xludf.DUMMYFUNCTION("""COMPUTED_VALUE"""),"นายฌานกฤช นันทะโคต")</f>
        <v>นายฌานกฤช นันทะโคต</v>
      </c>
      <c r="L1943" s="1" t="str">
        <f>IFERROR(__xludf.DUMMYFUNCTION("""COMPUTED_VALUE"""),"05 K.Chanakrit N.")</f>
        <v>05 K.Chanakrit N.</v>
      </c>
      <c r="M1943" s="1" t="str">
        <f>IFERROR(__xludf.DUMMYFUNCTION("""COMPUTED_VALUE"""),"090-978-9785 ,065-929-1320")</f>
        <v>090-978-9785 ,065-929-1320</v>
      </c>
      <c r="N1943" s="3">
        <f>IFERROR(__xludf.DUMMYFUNCTION("""COMPUTED_VALUE"""),22195.0)</f>
        <v>22195</v>
      </c>
      <c r="O1943" s="3" t="str">
        <f>IFERROR(__xludf.DUMMYFUNCTION("""COMPUTED_VALUE"""),"MBC กันทรลักษ์ ศรีสะเกษ")</f>
        <v>MBC กันทรลักษ์ ศรีสะเกษ</v>
      </c>
      <c r="P1943" s="4">
        <f>IFERROR(__xludf.DUMMYFUNCTION("""COMPUTED_VALUE"""),45255.0)</f>
        <v>45255</v>
      </c>
      <c r="Q1943" s="3" t="str">
        <f>IFERROR(__xludf.DUMMYFUNCTION("""COMPUTED_VALUE"""),"A")</f>
        <v>A</v>
      </c>
      <c r="R1943" s="3" t="str">
        <f>IFERROR(__xludf.DUMMYFUNCTION("""COMPUTED_VALUE"""),"Small Format")</f>
        <v>Small Format</v>
      </c>
      <c r="S1943" s="3" t="str">
        <f>IFERROR(__xludf.DUMMYFUNCTION("""COMPUTED_VALUE"""),"BCM")</f>
        <v>BCM</v>
      </c>
      <c r="T1943" s="3" t="str">
        <f>IFERROR(__xludf.DUMMYFUNCTION("""COMPUTED_VALUE"""),"#N/A")</f>
        <v>#N/A</v>
      </c>
      <c r="U1943" s="3" t="str">
        <f>IFERROR(__xludf.DUMMYFUNCTION("""COMPUTED_VALUE"""),"#N/A")</f>
        <v>#N/A</v>
      </c>
      <c r="V1943" s="3" t="str">
        <f>IFERROR(__xludf.DUMMYFUNCTION("""COMPUTED_VALUE"""),"N")</f>
        <v>N</v>
      </c>
      <c r="W1943" s="3">
        <f>IFERROR(__xludf.DUMMYFUNCTION("""COMPUTED_VALUE"""),210785.0)</f>
        <v>210785</v>
      </c>
      <c r="X1943" s="3" t="str">
        <f>IFERROR(__xludf.DUMMYFUNCTION("""COMPUTED_VALUE"""),"525/2-3 หมู่1 ตำบลหนองหญ้าลาด อำเภอกันทรลักษ์ จังหวัดศรีสะเกษ 33110")</f>
        <v>525/2-3 หมู่1 ตำบลหนองหญ้าลาด อำเภอกันทรลักษ์ จังหวัดศรีสะเกษ 33110</v>
      </c>
      <c r="Y1943" s="3"/>
      <c r="Z1943" s="3" t="str">
        <f>IFERROR(__xludf.DUMMYFUNCTION("""COMPUTED_VALUE"""),"หนองหญ้าลาด")</f>
        <v>หนองหญ้าลาด</v>
      </c>
      <c r="AA1943" s="3" t="str">
        <f>IFERROR(__xludf.DUMMYFUNCTION("""COMPUTED_VALUE"""),"กันทรลักษ์")</f>
        <v>กันทรลักษ์</v>
      </c>
      <c r="AB1943" s="3" t="str">
        <f>IFERROR(__xludf.DUMMYFUNCTION("""COMPUTED_VALUE"""),"ศรีสะเกษ")</f>
        <v>ศรีสะเกษ</v>
      </c>
      <c r="AC1943" s="3">
        <f>IFERROR(__xludf.DUMMYFUNCTION("""COMPUTED_VALUE"""),33110.0)</f>
        <v>33110</v>
      </c>
      <c r="AD1943" s="3">
        <f>IFERROR(__xludf.DUMMYFUNCTION("""COMPUTED_VALUE"""),14.646523)</f>
        <v>14.646523</v>
      </c>
      <c r="AE1943" s="3">
        <f>IFERROR(__xludf.DUMMYFUNCTION("""COMPUTED_VALUE"""),104.64276)</f>
        <v>104.64276</v>
      </c>
      <c r="AF1943" s="3" t="str">
        <f>IFERROR(__xludf.DUMMYFUNCTION("""COMPUTED_VALUE"""),"BCM กันทรลักษ์ 2 ศรีสะเกษ-22629")</f>
        <v>BCM กันทรลักษ์ 2 ศรีสะเกษ-22629</v>
      </c>
      <c r="AG1943" s="3" t="str">
        <f>IFERROR(__xludf.DUMMYFUNCTION("""COMPUTED_VALUE"""),"ตะวันออกเฉียงเหนือ")</f>
        <v>ตะวันออกเฉียงเหนือ</v>
      </c>
      <c r="AH1943" s="3" t="str">
        <f>IFERROR(__xludf.DUMMYFUNCTION("""COMPUTED_VALUE"""),"#N/A")</f>
        <v>#N/A</v>
      </c>
      <c r="AI1943" s="3" t="str">
        <f>IFERROR(__xludf.DUMMYFUNCTION("""COMPUTED_VALUE"""),"Out of warranty")</f>
        <v>Out of warranty</v>
      </c>
      <c r="AJ1943" s="3">
        <f>IFERROR(__xludf.DUMMYFUNCTION("""COMPUTED_VALUE"""),26.0)</f>
        <v>26</v>
      </c>
      <c r="AK1943" s="3" t="str">
        <f>IFERROR(__xludf.DUMMYFUNCTION("""COMPUTED_VALUE"""),"MMS13")</f>
        <v>MMS13</v>
      </c>
      <c r="AL1943" s="3"/>
    </row>
    <row r="1944" ht="15.75" customHeight="1">
      <c r="A1944" s="1" t="str">
        <f>IFERROR(__xludf.DUMMYFUNCTION("""COMPUTED_VALUE"""),"22630")</f>
        <v>22630</v>
      </c>
      <c r="B1944" s="2">
        <f>IFERROR(__xludf.DUMMYFUNCTION("""COMPUTED_VALUE"""),22630.0)</f>
        <v>22630</v>
      </c>
      <c r="C1944" s="3" t="str">
        <f>IFERROR(__xludf.DUMMYFUNCTION("""COMPUTED_VALUE"""),"BCM บึงโขงหลง บึงกาฬ")</f>
        <v>BCM บึงโขงหลง บึงกาฬ</v>
      </c>
      <c r="D1944" s="3" t="str">
        <f>IFERROR(__xludf.DUMMYFUNCTION("""COMPUTED_VALUE"""),"BCM BUENG KHONG LONG BUENG KAN")</f>
        <v>BCM BUENG KHONG LONG BUENG KAN</v>
      </c>
      <c r="E1944" s="1" t="str">
        <f>IFERROR(__xludf.DUMMYFUNCTION("""COMPUTED_VALUE"""),"บิ๊กซี MINI")</f>
        <v>บิ๊กซี MINI</v>
      </c>
      <c r="F1944" s="1" t="str">
        <f>IFERROR(__xludf.DUMMYFUNCTION("""COMPUTED_VALUE"""),"291105")</f>
        <v>291105</v>
      </c>
      <c r="G1944" s="1" t="str">
        <f>IFERROR(__xludf.DUMMYFUNCTION("""COMPUTED_VALUE"""),"นายสราวุฒิ พณิชยกุล")</f>
        <v>นายสราวุฒิ พณิชยกุล</v>
      </c>
      <c r="H1944" s="1" t="str">
        <f>IFERROR(__xludf.DUMMYFUNCTION("""COMPUTED_VALUE"""),"392885")</f>
        <v>392885</v>
      </c>
      <c r="I1944" s="1" t="str">
        <f>IFERROR(__xludf.DUMMYFUNCTION("""COMPUTED_VALUE"""),"น.ส.วราพร จันปลิว")</f>
        <v>น.ส.วราพร จันปลิว</v>
      </c>
      <c r="J1944" s="3">
        <f>IFERROR(__xludf.DUMMYFUNCTION("""COMPUTED_VALUE"""),296868.0)</f>
        <v>296868</v>
      </c>
      <c r="K1944" s="3" t="str">
        <f>IFERROR(__xludf.DUMMYFUNCTION("""COMPUTED_VALUE"""),"นายพีระพงษ์ แก้วดวงดี")</f>
        <v>นายพีระพงษ์ แก้วดวงดี</v>
      </c>
      <c r="L1944" s="1" t="str">
        <f>IFERROR(__xludf.DUMMYFUNCTION("""COMPUTED_VALUE"""),"03 K.Peerapong K.")</f>
        <v>03 K.Peerapong K.</v>
      </c>
      <c r="M1944" s="1" t="str">
        <f>IFERROR(__xludf.DUMMYFUNCTION("""COMPUTED_VALUE"""),"089-002-6599")</f>
        <v>089-002-6599</v>
      </c>
      <c r="N1944" s="3">
        <f>IFERROR(__xludf.DUMMYFUNCTION("""COMPUTED_VALUE"""),21946.0)</f>
        <v>21946</v>
      </c>
      <c r="O1944" s="3" t="str">
        <f>IFERROR(__xludf.DUMMYFUNCTION("""COMPUTED_VALUE"""),"MBC เซกา บึงกาฬ")</f>
        <v>MBC เซกา บึงกาฬ</v>
      </c>
      <c r="P1944" s="4">
        <f>IFERROR(__xludf.DUMMYFUNCTION("""COMPUTED_VALUE"""),45265.0)</f>
        <v>45265</v>
      </c>
      <c r="Q1944" s="3" t="str">
        <f>IFERROR(__xludf.DUMMYFUNCTION("""COMPUTED_VALUE"""),"A")</f>
        <v>A</v>
      </c>
      <c r="R1944" s="3" t="str">
        <f>IFERROR(__xludf.DUMMYFUNCTION("""COMPUTED_VALUE"""),"Small Format")</f>
        <v>Small Format</v>
      </c>
      <c r="S1944" s="3" t="str">
        <f>IFERROR(__xludf.DUMMYFUNCTION("""COMPUTED_VALUE"""),"BCM")</f>
        <v>BCM</v>
      </c>
      <c r="T1944" s="3" t="str">
        <f>IFERROR(__xludf.DUMMYFUNCTION("""COMPUTED_VALUE"""),"#N/A")</f>
        <v>#N/A</v>
      </c>
      <c r="U1944" s="3" t="str">
        <f>IFERROR(__xludf.DUMMYFUNCTION("""COMPUTED_VALUE"""),"#N/A")</f>
        <v>#N/A</v>
      </c>
      <c r="V1944" s="3" t="str">
        <f>IFERROR(__xludf.DUMMYFUNCTION("""COMPUTED_VALUE"""),"N")</f>
        <v>N</v>
      </c>
      <c r="W1944" s="3">
        <f>IFERROR(__xludf.DUMMYFUNCTION("""COMPUTED_VALUE"""),210753.0)</f>
        <v>210753</v>
      </c>
      <c r="X1944" s="3" t="str">
        <f>IFERROR(__xludf.DUMMYFUNCTION("""COMPUTED_VALUE"""),"24/5-8 หมู่11 ตำบลบึงโขงหลง อำเภอบึงโขงหลง จังหวัดบึงกาฬ 38220")</f>
        <v>24/5-8 หมู่11 ตำบลบึงโขงหลง อำเภอบึงโขงหลง จังหวัดบึงกาฬ 38220</v>
      </c>
      <c r="Y1944" s="3"/>
      <c r="Z1944" s="3" t="str">
        <f>IFERROR(__xludf.DUMMYFUNCTION("""COMPUTED_VALUE"""),"บึงโขงหลง")</f>
        <v>บึงโขงหลง</v>
      </c>
      <c r="AA1944" s="3" t="str">
        <f>IFERROR(__xludf.DUMMYFUNCTION("""COMPUTED_VALUE"""),"บึงโขงหลง")</f>
        <v>บึงโขงหลง</v>
      </c>
      <c r="AB1944" s="3" t="str">
        <f>IFERROR(__xludf.DUMMYFUNCTION("""COMPUTED_VALUE"""),"บึงกาฬ")</f>
        <v>บึงกาฬ</v>
      </c>
      <c r="AC1944" s="3">
        <f>IFERROR(__xludf.DUMMYFUNCTION("""COMPUTED_VALUE"""),38220.0)</f>
        <v>38220</v>
      </c>
      <c r="AD1944" s="3">
        <f>IFERROR(__xludf.DUMMYFUNCTION("""COMPUTED_VALUE"""),17.96377)</f>
        <v>17.96377</v>
      </c>
      <c r="AE1944" s="3">
        <f>IFERROR(__xludf.DUMMYFUNCTION("""COMPUTED_VALUE"""),104.04494)</f>
        <v>104.04494</v>
      </c>
      <c r="AF1944" s="3" t="str">
        <f>IFERROR(__xludf.DUMMYFUNCTION("""COMPUTED_VALUE"""),"BCM บึงโขงหลง บึงกาฬ-22630")</f>
        <v>BCM บึงโขงหลง บึงกาฬ-22630</v>
      </c>
      <c r="AG1944" s="3" t="str">
        <f>IFERROR(__xludf.DUMMYFUNCTION("""COMPUTED_VALUE"""),"ตะวันออกเฉียงเหนือ")</f>
        <v>ตะวันออกเฉียงเหนือ</v>
      </c>
      <c r="AH1944" s="3" t="str">
        <f>IFERROR(__xludf.DUMMYFUNCTION("""COMPUTED_VALUE"""),"#N/A")</f>
        <v>#N/A</v>
      </c>
      <c r="AI1944" s="3" t="str">
        <f>IFERROR(__xludf.DUMMYFUNCTION("""COMPUTED_VALUE"""),"Out of warranty")</f>
        <v>Out of warranty</v>
      </c>
      <c r="AJ1944" s="3">
        <f>IFERROR(__xludf.DUMMYFUNCTION("""COMPUTED_VALUE"""),26.0)</f>
        <v>26</v>
      </c>
      <c r="AK1944" s="3"/>
      <c r="AL1944" s="3"/>
    </row>
    <row r="1945" ht="15.75" customHeight="1">
      <c r="A1945" s="1" t="str">
        <f>IFERROR(__xludf.DUMMYFUNCTION("""COMPUTED_VALUE"""),"22631")</f>
        <v>22631</v>
      </c>
      <c r="B1945" s="2">
        <f>IFERROR(__xludf.DUMMYFUNCTION("""COMPUTED_VALUE"""),22631.0)</f>
        <v>22631</v>
      </c>
      <c r="C1945" s="3" t="str">
        <f>IFERROR(__xludf.DUMMYFUNCTION("""COMPUTED_VALUE"""),"BCM โนนชัย ขอนแก่น")</f>
        <v>BCM โนนชัย ขอนแก่น</v>
      </c>
      <c r="D1945" s="3" t="str">
        <f>IFERROR(__xludf.DUMMYFUNCTION("""COMPUTED_VALUE"""),"BCM NON CHAI KHON KAEN")</f>
        <v>BCM NON CHAI KHON KAEN</v>
      </c>
      <c r="E1945" s="1" t="str">
        <f>IFERROR(__xludf.DUMMYFUNCTION("""COMPUTED_VALUE"""),"บิ๊กซี MINI")</f>
        <v>บิ๊กซี MINI</v>
      </c>
      <c r="F1945" s="1" t="str">
        <f>IFERROR(__xludf.DUMMYFUNCTION("""COMPUTED_VALUE"""),"291105")</f>
        <v>291105</v>
      </c>
      <c r="G1945" s="1" t="str">
        <f>IFERROR(__xludf.DUMMYFUNCTION("""COMPUTED_VALUE"""),"นายสราวุฒิ พณิชยกุล")</f>
        <v>นายสราวุฒิ พณิชยกุล</v>
      </c>
      <c r="H1945" s="1" t="str">
        <f>IFERROR(__xludf.DUMMYFUNCTION("""COMPUTED_VALUE"""),"305119")</f>
        <v>305119</v>
      </c>
      <c r="I1945" s="1" t="str">
        <f>IFERROR(__xludf.DUMMYFUNCTION("""COMPUTED_VALUE"""),"นายไชยกร ลีพิบูลย์สวัสดิ์")</f>
        <v>นายไชยกร ลีพิบูลย์สวัสดิ์</v>
      </c>
      <c r="J1945" s="3">
        <f>IFERROR(__xludf.DUMMYFUNCTION("""COMPUTED_VALUE"""),296868.0)</f>
        <v>296868</v>
      </c>
      <c r="K1945" s="3" t="str">
        <f>IFERROR(__xludf.DUMMYFUNCTION("""COMPUTED_VALUE"""),"นายพีระพงษ์ แก้วดวงดี")</f>
        <v>นายพีระพงษ์ แก้วดวงดี</v>
      </c>
      <c r="L1945" s="1" t="str">
        <f>IFERROR(__xludf.DUMMYFUNCTION("""COMPUTED_VALUE"""),"03 K.Peerapong K.")</f>
        <v>03 K.Peerapong K.</v>
      </c>
      <c r="M1945" s="1" t="str">
        <f>IFERROR(__xludf.DUMMYFUNCTION("""COMPUTED_VALUE"""),"089-002-6599")</f>
        <v>089-002-6599</v>
      </c>
      <c r="N1945" s="3">
        <f>IFERROR(__xludf.DUMMYFUNCTION("""COMPUTED_VALUE"""),21946.0)</f>
        <v>21946</v>
      </c>
      <c r="O1945" s="3" t="str">
        <f>IFERROR(__xludf.DUMMYFUNCTION("""COMPUTED_VALUE"""),"MBC เซกา บึงกาฬ")</f>
        <v>MBC เซกา บึงกาฬ</v>
      </c>
      <c r="P1945" s="4">
        <f>IFERROR(__xludf.DUMMYFUNCTION("""COMPUTED_VALUE"""),45267.0)</f>
        <v>45267</v>
      </c>
      <c r="Q1945" s="3" t="str">
        <f>IFERROR(__xludf.DUMMYFUNCTION("""COMPUTED_VALUE"""),"A")</f>
        <v>A</v>
      </c>
      <c r="R1945" s="3" t="str">
        <f>IFERROR(__xludf.DUMMYFUNCTION("""COMPUTED_VALUE"""),"Small Format")</f>
        <v>Small Format</v>
      </c>
      <c r="S1945" s="3" t="str">
        <f>IFERROR(__xludf.DUMMYFUNCTION("""COMPUTED_VALUE"""),"BCM")</f>
        <v>BCM</v>
      </c>
      <c r="T1945" s="3" t="str">
        <f>IFERROR(__xludf.DUMMYFUNCTION("""COMPUTED_VALUE"""),"#N/A")</f>
        <v>#N/A</v>
      </c>
      <c r="U1945" s="3" t="str">
        <f>IFERROR(__xludf.DUMMYFUNCTION("""COMPUTED_VALUE"""),"#N/A")</f>
        <v>#N/A</v>
      </c>
      <c r="V1945" s="3" t="str">
        <f>IFERROR(__xludf.DUMMYFUNCTION("""COMPUTED_VALUE"""),"N")</f>
        <v>N</v>
      </c>
      <c r="W1945" s="3">
        <f>IFERROR(__xludf.DUMMYFUNCTION("""COMPUTED_VALUE"""),210786.0)</f>
        <v>210786</v>
      </c>
      <c r="X1945" s="3" t="str">
        <f>IFERROR(__xludf.DUMMYFUNCTION("""COMPUTED_VALUE"""),"38/6 หมู่12 ตำบลในเมือง อำเภอเมืองขอนแก่น จังหวัดขอนแก่น 40000")</f>
        <v>38/6 หมู่12 ตำบลในเมือง อำเภอเมืองขอนแก่น จังหวัดขอนแก่น 40000</v>
      </c>
      <c r="Y1945" s="3"/>
      <c r="Z1945" s="3" t="str">
        <f>IFERROR(__xludf.DUMMYFUNCTION("""COMPUTED_VALUE"""),"ในเมือง")</f>
        <v>ในเมือง</v>
      </c>
      <c r="AA1945" s="3" t="str">
        <f>IFERROR(__xludf.DUMMYFUNCTION("""COMPUTED_VALUE"""),"เมืองขอนแก่น")</f>
        <v>เมืองขอนแก่น</v>
      </c>
      <c r="AB1945" s="3" t="str">
        <f>IFERROR(__xludf.DUMMYFUNCTION("""COMPUTED_VALUE"""),"ขอนแก่น")</f>
        <v>ขอนแก่น</v>
      </c>
      <c r="AC1945" s="3">
        <f>IFERROR(__xludf.DUMMYFUNCTION("""COMPUTED_VALUE"""),40000.0)</f>
        <v>40000</v>
      </c>
      <c r="AD1945" s="3">
        <f>IFERROR(__xludf.DUMMYFUNCTION("""COMPUTED_VALUE"""),16.459895)</f>
        <v>16.459895</v>
      </c>
      <c r="AE1945" s="3">
        <f>IFERROR(__xludf.DUMMYFUNCTION("""COMPUTED_VALUE"""),102.856723)</f>
        <v>102.856723</v>
      </c>
      <c r="AF1945" s="3" t="str">
        <f>IFERROR(__xludf.DUMMYFUNCTION("""COMPUTED_VALUE"""),"BCM โนนชัย ขอนแก่น-22631")</f>
        <v>BCM โนนชัย ขอนแก่น-22631</v>
      </c>
      <c r="AG1945" s="3" t="str">
        <f>IFERROR(__xludf.DUMMYFUNCTION("""COMPUTED_VALUE"""),"ตะวันออกเฉียงเหนือ")</f>
        <v>ตะวันออกเฉียงเหนือ</v>
      </c>
      <c r="AH1945" s="3" t="str">
        <f>IFERROR(__xludf.DUMMYFUNCTION("""COMPUTED_VALUE"""),"#N/A")</f>
        <v>#N/A</v>
      </c>
      <c r="AI1945" s="3" t="str">
        <f>IFERROR(__xludf.DUMMYFUNCTION("""COMPUTED_VALUE"""),"Out of warranty")</f>
        <v>Out of warranty</v>
      </c>
      <c r="AJ1945" s="3">
        <f>IFERROR(__xludf.DUMMYFUNCTION("""COMPUTED_VALUE"""),26.0)</f>
        <v>26</v>
      </c>
      <c r="AK1945" s="3"/>
      <c r="AL1945" s="3"/>
    </row>
    <row r="1946" ht="15.75" customHeight="1">
      <c r="A1946" s="1" t="str">
        <f>IFERROR(__xludf.DUMMYFUNCTION("""COMPUTED_VALUE"""),"22632")</f>
        <v>22632</v>
      </c>
      <c r="B1946" s="2">
        <f>IFERROR(__xludf.DUMMYFUNCTION("""COMPUTED_VALUE"""),22632.0)</f>
        <v>22632</v>
      </c>
      <c r="C1946" s="3" t="str">
        <f>IFERROR(__xludf.DUMMYFUNCTION("""COMPUTED_VALUE"""),"BCM ม่อนแจ่ม เชียงใหม่")</f>
        <v>BCM ม่อนแจ่ม เชียงใหม่</v>
      </c>
      <c r="D1946" s="3" t="str">
        <f>IFERROR(__xludf.DUMMYFUNCTION("""COMPUTED_VALUE"""),"BCM MON JAM CHIANG MAI")</f>
        <v>BCM MON JAM CHIANG MAI</v>
      </c>
      <c r="E1946" s="1" t="str">
        <f>IFERROR(__xludf.DUMMYFUNCTION("""COMPUTED_VALUE"""),"บิ๊กซี MINI")</f>
        <v>บิ๊กซี MINI</v>
      </c>
      <c r="F1946" s="1" t="str">
        <f>IFERROR(__xludf.DUMMYFUNCTION("""COMPUTED_VALUE"""),"296229")</f>
        <v>296229</v>
      </c>
      <c r="G1946" s="1" t="str">
        <f>IFERROR(__xludf.DUMMYFUNCTION("""COMPUTED_VALUE"""),"นายทนงศักดิ์ บุญมา")</f>
        <v>นายทนงศักดิ์ บุญมา</v>
      </c>
      <c r="H1946" s="1" t="str">
        <f>IFERROR(__xludf.DUMMYFUNCTION("""COMPUTED_VALUE"""),"393402")</f>
        <v>393402</v>
      </c>
      <c r="I1946" s="1" t="str">
        <f>IFERROR(__xludf.DUMMYFUNCTION("""COMPUTED_VALUE"""),"น.ส.ปารมิตา ใจตรง")</f>
        <v>น.ส.ปารมิตา ใจตรง</v>
      </c>
      <c r="J1946" s="3">
        <f>IFERROR(__xludf.DUMMYFUNCTION("""COMPUTED_VALUE"""),2010016.0)</f>
        <v>2010016</v>
      </c>
      <c r="K1946" s="3" t="str">
        <f>IFERROR(__xludf.DUMMYFUNCTION("""COMPUTED_VALUE"""),"นายตวงธรรม ใหม่ยศ")</f>
        <v>นายตวงธรรม ใหม่ยศ</v>
      </c>
      <c r="L1946" s="1" t="str">
        <f>IFERROR(__xludf.DUMMYFUNCTION("""COMPUTED_VALUE"""),"01 K.Tuangtham M.")</f>
        <v>01 K.Tuangtham M.</v>
      </c>
      <c r="M1946" s="1" t="str">
        <f>IFERROR(__xludf.DUMMYFUNCTION("""COMPUTED_VALUE"""),"063-976-595")</f>
        <v>063-976-595</v>
      </c>
      <c r="N1946" s="3">
        <f>IFERROR(__xludf.DUMMYFUNCTION("""COMPUTED_VALUE"""),22574.0)</f>
        <v>22574</v>
      </c>
      <c r="O1946" s="3" t="str">
        <f>IFERROR(__xludf.DUMMYFUNCTION("""COMPUTED_VALUE"""),"BCM ชุมชนศรีชุม ลำปาง")</f>
        <v>BCM ชุมชนศรีชุม ลำปาง</v>
      </c>
      <c r="P1946" s="4">
        <f>IFERROR(__xludf.DUMMYFUNCTION("""COMPUTED_VALUE"""),45267.0)</f>
        <v>45267</v>
      </c>
      <c r="Q1946" s="3" t="str">
        <f>IFERROR(__xludf.DUMMYFUNCTION("""COMPUTED_VALUE"""),"A")</f>
        <v>A</v>
      </c>
      <c r="R1946" s="3" t="str">
        <f>IFERROR(__xludf.DUMMYFUNCTION("""COMPUTED_VALUE"""),"Small Format")</f>
        <v>Small Format</v>
      </c>
      <c r="S1946" s="3" t="str">
        <f>IFERROR(__xludf.DUMMYFUNCTION("""COMPUTED_VALUE"""),"BCM")</f>
        <v>BCM</v>
      </c>
      <c r="T1946" s="3" t="str">
        <f>IFERROR(__xludf.DUMMYFUNCTION("""COMPUTED_VALUE"""),"#N/A")</f>
        <v>#N/A</v>
      </c>
      <c r="U1946" s="3" t="str">
        <f>IFERROR(__xludf.DUMMYFUNCTION("""COMPUTED_VALUE"""),"#N/A")</f>
        <v>#N/A</v>
      </c>
      <c r="V1946" s="3" t="str">
        <f>IFERROR(__xludf.DUMMYFUNCTION("""COMPUTED_VALUE"""),"N")</f>
        <v>N</v>
      </c>
      <c r="W1946" s="3">
        <f>IFERROR(__xludf.DUMMYFUNCTION("""COMPUTED_VALUE"""),210792.0)</f>
        <v>210792</v>
      </c>
      <c r="X1946" s="3" t="str">
        <f>IFERROR(__xludf.DUMMYFUNCTION("""COMPUTED_VALUE"""),"77/9 หมู่1 ตำบลแม่แรม อำเภอแม่ริม จังหวัดเชียงใหม่ 50180")</f>
        <v>77/9 หมู่1 ตำบลแม่แรม อำเภอแม่ริม จังหวัดเชียงใหม่ 50180</v>
      </c>
      <c r="Y1946" s="3"/>
      <c r="Z1946" s="3" t="str">
        <f>IFERROR(__xludf.DUMMYFUNCTION("""COMPUTED_VALUE"""),"แม่แรม")</f>
        <v>แม่แรม</v>
      </c>
      <c r="AA1946" s="3" t="str">
        <f>IFERROR(__xludf.DUMMYFUNCTION("""COMPUTED_VALUE"""),"แม่ริม")</f>
        <v>แม่ริม</v>
      </c>
      <c r="AB1946" s="3" t="str">
        <f>IFERROR(__xludf.DUMMYFUNCTION("""COMPUTED_VALUE"""),"เชียงใหม่")</f>
        <v>เชียงใหม่</v>
      </c>
      <c r="AC1946" s="3">
        <f>IFERROR(__xludf.DUMMYFUNCTION("""COMPUTED_VALUE"""),50180.0)</f>
        <v>50180</v>
      </c>
      <c r="AD1946" s="3">
        <f>IFERROR(__xludf.DUMMYFUNCTION("""COMPUTED_VALUE"""),18.917893)</f>
        <v>18.917893</v>
      </c>
      <c r="AE1946" s="3">
        <f>IFERROR(__xludf.DUMMYFUNCTION("""COMPUTED_VALUE"""),98.912007)</f>
        <v>98.912007</v>
      </c>
      <c r="AF1946" s="3" t="str">
        <f>IFERROR(__xludf.DUMMYFUNCTION("""COMPUTED_VALUE"""),"BCM ม่อนแจ่ม เชียงใหม่-22632")</f>
        <v>BCM ม่อนแจ่ม เชียงใหม่-22632</v>
      </c>
      <c r="AG1946" s="3" t="str">
        <f>IFERROR(__xludf.DUMMYFUNCTION("""COMPUTED_VALUE"""),"เหนือ")</f>
        <v>เหนือ</v>
      </c>
      <c r="AH1946" s="3" t="str">
        <f>IFERROR(__xludf.DUMMYFUNCTION("""COMPUTED_VALUE"""),"#N/A")</f>
        <v>#N/A</v>
      </c>
      <c r="AI1946" s="3" t="str">
        <f>IFERROR(__xludf.DUMMYFUNCTION("""COMPUTED_VALUE"""),"Out of warranty")</f>
        <v>Out of warranty</v>
      </c>
      <c r="AJ1946" s="3">
        <f>IFERROR(__xludf.DUMMYFUNCTION("""COMPUTED_VALUE"""),26.0)</f>
        <v>26</v>
      </c>
      <c r="AK1946" s="3" t="str">
        <f>IFERROR(__xludf.DUMMYFUNCTION("""COMPUTED_VALUE"""),"MMS10")</f>
        <v>MMS10</v>
      </c>
      <c r="AL1946" s="3"/>
    </row>
    <row r="1947" ht="15.75" customHeight="1">
      <c r="A1947" s="1" t="str">
        <f>IFERROR(__xludf.DUMMYFUNCTION("""COMPUTED_VALUE"""),"22633")</f>
        <v>22633</v>
      </c>
      <c r="B1947" s="2">
        <f>IFERROR(__xludf.DUMMYFUNCTION("""COMPUTED_VALUE"""),22633.0)</f>
        <v>22633</v>
      </c>
      <c r="C1947" s="3" t="str">
        <f>IFERROR(__xludf.DUMMYFUNCTION("""COMPUTED_VALUE"""),"BCM โกเด้นเพลส สหพัฒน์ ชลบุรี")</f>
        <v>BCM โกเด้นเพลส สหพัฒน์ ชลบุรี</v>
      </c>
      <c r="D1947" s="3" t="str">
        <f>IFERROR(__xludf.DUMMYFUNCTION("""COMPUTED_VALUE"""),"BCM GOLDEN PLACE SAHAPHAT")</f>
        <v>BCM GOLDEN PLACE SAHAPHAT</v>
      </c>
      <c r="E1947" s="1" t="str">
        <f>IFERROR(__xludf.DUMMYFUNCTION("""COMPUTED_VALUE"""),"บิ๊กซี MINI")</f>
        <v>บิ๊กซี MINI</v>
      </c>
      <c r="F1947" s="1" t="str">
        <f>IFERROR(__xludf.DUMMYFUNCTION("""COMPUTED_VALUE"""),"221716")</f>
        <v>221716</v>
      </c>
      <c r="G1947" s="1" t="str">
        <f>IFERROR(__xludf.DUMMYFUNCTION("""COMPUTED_VALUE"""),"น.ส.เบญจพร โพธิสาร")</f>
        <v>น.ส.เบญจพร โพธิสาร</v>
      </c>
      <c r="H1947" s="1" t="str">
        <f>IFERROR(__xludf.DUMMYFUNCTION("""COMPUTED_VALUE"""),"291061")</f>
        <v>291061</v>
      </c>
      <c r="I1947" s="1" t="str">
        <f>IFERROR(__xludf.DUMMYFUNCTION("""COMPUTED_VALUE"""),"นายสมศักดิ์ เสียงก้อง")</f>
        <v>นายสมศักดิ์ เสียงก้อง</v>
      </c>
      <c r="J1947" s="3">
        <f>IFERROR(__xludf.DUMMYFUNCTION("""COMPUTED_VALUE"""),296942.0)</f>
        <v>296942</v>
      </c>
      <c r="K1947" s="3" t="str">
        <f>IFERROR(__xludf.DUMMYFUNCTION("""COMPUTED_VALUE"""),"นายปิยะ รักษากิจ")</f>
        <v>นายปิยะ รักษากิจ</v>
      </c>
      <c r="L1947" s="1" t="str">
        <f>IFERROR(__xludf.DUMMYFUNCTION("""COMPUTED_VALUE"""),"07 K.Piya R.")</f>
        <v>07 K.Piya R.</v>
      </c>
      <c r="M1947" s="1" t="str">
        <f>IFERROR(__xludf.DUMMYFUNCTION("""COMPUTED_VALUE"""),"097-919-5476")</f>
        <v>097-919-5476</v>
      </c>
      <c r="N1947" s="3">
        <f>IFERROR(__xludf.DUMMYFUNCTION("""COMPUTED_VALUE"""),21332.0)</f>
        <v>21332</v>
      </c>
      <c r="O1947" s="3" t="str">
        <f>IFERROR(__xludf.DUMMYFUNCTION("""COMPUTED_VALUE"""),"MBC BCP อ่อนนุช 17/1")</f>
        <v>MBC BCP อ่อนนุช 17/1</v>
      </c>
      <c r="P1947" s="4">
        <f>IFERROR(__xludf.DUMMYFUNCTION("""COMPUTED_VALUE"""),45267.0)</f>
        <v>45267</v>
      </c>
      <c r="Q1947" s="3" t="str">
        <f>IFERROR(__xludf.DUMMYFUNCTION("""COMPUTED_VALUE"""),"A")</f>
        <v>A</v>
      </c>
      <c r="R1947" s="3" t="str">
        <f>IFERROR(__xludf.DUMMYFUNCTION("""COMPUTED_VALUE"""),"Small Format")</f>
        <v>Small Format</v>
      </c>
      <c r="S1947" s="3" t="str">
        <f>IFERROR(__xludf.DUMMYFUNCTION("""COMPUTED_VALUE"""),"BCM")</f>
        <v>BCM</v>
      </c>
      <c r="T1947" s="3" t="str">
        <f>IFERROR(__xludf.DUMMYFUNCTION("""COMPUTED_VALUE"""),"#N/A")</f>
        <v>#N/A</v>
      </c>
      <c r="U1947" s="3" t="str">
        <f>IFERROR(__xludf.DUMMYFUNCTION("""COMPUTED_VALUE"""),"#N/A")</f>
        <v>#N/A</v>
      </c>
      <c r="V1947" s="3" t="str">
        <f>IFERROR(__xludf.DUMMYFUNCTION("""COMPUTED_VALUE"""),"N")</f>
        <v>N</v>
      </c>
      <c r="W1947" s="3">
        <f>IFERROR(__xludf.DUMMYFUNCTION("""COMPUTED_VALUE"""),210741.0)</f>
        <v>210741</v>
      </c>
      <c r="X1947" s="3" t="str">
        <f>IFERROR(__xludf.DUMMYFUNCTION("""COMPUTED_VALUE"""),"70/25 หมู่11 ตำบลหนองขาม อำเภอศรีราชา จังหวัดชลบุรี 20230")</f>
        <v>70/25 หมู่11 ตำบลหนองขาม อำเภอศรีราชา จังหวัดชลบุรี 20230</v>
      </c>
      <c r="Y1947" s="3"/>
      <c r="Z1947" s="3" t="str">
        <f>IFERROR(__xludf.DUMMYFUNCTION("""COMPUTED_VALUE"""),"หนองขาม")</f>
        <v>หนองขาม</v>
      </c>
      <c r="AA1947" s="3" t="str">
        <f>IFERROR(__xludf.DUMMYFUNCTION("""COMPUTED_VALUE"""),"ศรีราชา")</f>
        <v>ศรีราชา</v>
      </c>
      <c r="AB1947" s="3" t="str">
        <f>IFERROR(__xludf.DUMMYFUNCTION("""COMPUTED_VALUE"""),"ชลบุรี")</f>
        <v>ชลบุรี</v>
      </c>
      <c r="AC1947" s="3">
        <f>IFERROR(__xludf.DUMMYFUNCTION("""COMPUTED_VALUE"""),20230.0)</f>
        <v>20230</v>
      </c>
      <c r="AD1947" s="3">
        <f>IFERROR(__xludf.DUMMYFUNCTION("""COMPUTED_VALUE"""),13.095085)</f>
        <v>13.095085</v>
      </c>
      <c r="AE1947" s="3">
        <f>IFERROR(__xludf.DUMMYFUNCTION("""COMPUTED_VALUE"""),100.950871)</f>
        <v>100.950871</v>
      </c>
      <c r="AF1947" s="3" t="str">
        <f>IFERROR(__xludf.DUMMYFUNCTION("""COMPUTED_VALUE"""),"BCM โกเด้นเพลส สหพัฒน์ ชลบุรี-22633")</f>
        <v>BCM โกเด้นเพลส สหพัฒน์ ชลบุรี-22633</v>
      </c>
      <c r="AG1947" s="3" t="str">
        <f>IFERROR(__xludf.DUMMYFUNCTION("""COMPUTED_VALUE"""),"ตะวันออก")</f>
        <v>ตะวันออก</v>
      </c>
      <c r="AH1947" s="3" t="str">
        <f>IFERROR(__xludf.DUMMYFUNCTION("""COMPUTED_VALUE"""),"#N/A")</f>
        <v>#N/A</v>
      </c>
      <c r="AI1947" s="3" t="str">
        <f>IFERROR(__xludf.DUMMYFUNCTION("""COMPUTED_VALUE"""),"Out of warranty")</f>
        <v>Out of warranty</v>
      </c>
      <c r="AJ1947" s="3">
        <f>IFERROR(__xludf.DUMMYFUNCTION("""COMPUTED_VALUE"""),26.0)</f>
        <v>26</v>
      </c>
      <c r="AK1947" s="3" t="str">
        <f>IFERROR(__xludf.DUMMYFUNCTION("""COMPUTED_VALUE"""),"MMS06")</f>
        <v>MMS06</v>
      </c>
      <c r="AL1947" s="3"/>
    </row>
    <row r="1948" ht="15.75" customHeight="1">
      <c r="A1948" s="1" t="str">
        <f>IFERROR(__xludf.DUMMYFUNCTION("""COMPUTED_VALUE"""),"22634")</f>
        <v>22634</v>
      </c>
      <c r="B1948" s="2">
        <f>IFERROR(__xludf.DUMMYFUNCTION("""COMPUTED_VALUE"""),22634.0)</f>
        <v>22634</v>
      </c>
      <c r="C1948" s="3" t="str">
        <f>IFERROR(__xludf.DUMMYFUNCTION("""COMPUTED_VALUE"""),"BCM บ้านแสงดาว น่าน")</f>
        <v>BCM บ้านแสงดาว น่าน</v>
      </c>
      <c r="D1948" s="3" t="str">
        <f>IFERROR(__xludf.DUMMYFUNCTION("""COMPUTED_VALUE"""),"BCM BAN SAENG DAO NAN")</f>
        <v>BCM BAN SAENG DAO NAN</v>
      </c>
      <c r="E1948" s="1" t="str">
        <f>IFERROR(__xludf.DUMMYFUNCTION("""COMPUTED_VALUE"""),"บิ๊กซี MINI")</f>
        <v>บิ๊กซี MINI</v>
      </c>
      <c r="F1948" s="1" t="str">
        <f>IFERROR(__xludf.DUMMYFUNCTION("""COMPUTED_VALUE"""),"296229")</f>
        <v>296229</v>
      </c>
      <c r="G1948" s="1" t="str">
        <f>IFERROR(__xludf.DUMMYFUNCTION("""COMPUTED_VALUE"""),"นายทนงศักดิ์ บุญมา")</f>
        <v>นายทนงศักดิ์ บุญมา</v>
      </c>
      <c r="H1948" s="1" t="str">
        <f>IFERROR(__xludf.DUMMYFUNCTION("""COMPUTED_VALUE"""),"372826")</f>
        <v>372826</v>
      </c>
      <c r="I1948" s="1" t="str">
        <f>IFERROR(__xludf.DUMMYFUNCTION("""COMPUTED_VALUE"""),"นายพงศกร สุขแก้ว")</f>
        <v>นายพงศกร สุขแก้ว</v>
      </c>
      <c r="J1948" s="3">
        <f>IFERROR(__xludf.DUMMYFUNCTION("""COMPUTED_VALUE"""),2010016.0)</f>
        <v>2010016</v>
      </c>
      <c r="K1948" s="3" t="str">
        <f>IFERROR(__xludf.DUMMYFUNCTION("""COMPUTED_VALUE"""),"นายตวงธรรม ใหม่ยศ")</f>
        <v>นายตวงธรรม ใหม่ยศ</v>
      </c>
      <c r="L1948" s="1" t="str">
        <f>IFERROR(__xludf.DUMMYFUNCTION("""COMPUTED_VALUE"""),"01 K.Tuangtham M.")</f>
        <v>01 K.Tuangtham M.</v>
      </c>
      <c r="M1948" s="1" t="str">
        <f>IFERROR(__xludf.DUMMYFUNCTION("""COMPUTED_VALUE"""),"063-976-595")</f>
        <v>063-976-595</v>
      </c>
      <c r="N1948" s="3">
        <f>IFERROR(__xludf.DUMMYFUNCTION("""COMPUTED_VALUE"""),22574.0)</f>
        <v>22574</v>
      </c>
      <c r="O1948" s="3" t="str">
        <f>IFERROR(__xludf.DUMMYFUNCTION("""COMPUTED_VALUE"""),"BCM ชุมชนศรีชุม ลำปาง")</f>
        <v>BCM ชุมชนศรีชุม ลำปาง</v>
      </c>
      <c r="P1948" s="4">
        <f>IFERROR(__xludf.DUMMYFUNCTION("""COMPUTED_VALUE"""),45268.0)</f>
        <v>45268</v>
      </c>
      <c r="Q1948" s="3" t="str">
        <f>IFERROR(__xludf.DUMMYFUNCTION("""COMPUTED_VALUE"""),"A")</f>
        <v>A</v>
      </c>
      <c r="R1948" s="3" t="str">
        <f>IFERROR(__xludf.DUMMYFUNCTION("""COMPUTED_VALUE"""),"Small Format")</f>
        <v>Small Format</v>
      </c>
      <c r="S1948" s="3" t="str">
        <f>IFERROR(__xludf.DUMMYFUNCTION("""COMPUTED_VALUE"""),"BCM")</f>
        <v>BCM</v>
      </c>
      <c r="T1948" s="3" t="str">
        <f>IFERROR(__xludf.DUMMYFUNCTION("""COMPUTED_VALUE"""),"#N/A")</f>
        <v>#N/A</v>
      </c>
      <c r="U1948" s="3" t="str">
        <f>IFERROR(__xludf.DUMMYFUNCTION("""COMPUTED_VALUE"""),"#N/A")</f>
        <v>#N/A</v>
      </c>
      <c r="V1948" s="3" t="str">
        <f>IFERROR(__xludf.DUMMYFUNCTION("""COMPUTED_VALUE"""),"N")</f>
        <v>N</v>
      </c>
      <c r="W1948" s="3">
        <f>IFERROR(__xludf.DUMMYFUNCTION("""COMPUTED_VALUE"""),210725.0)</f>
        <v>210725</v>
      </c>
      <c r="X1948" s="3" t="str">
        <f>IFERROR(__xludf.DUMMYFUNCTION("""COMPUTED_VALUE"""),"220 หมู่2 ตำบลฝายแก้ว อำเภอภูเพียง จังหวัดน่าน 55000")</f>
        <v>220 หมู่2 ตำบลฝายแก้ว อำเภอภูเพียง จังหวัดน่าน 55000</v>
      </c>
      <c r="Y1948" s="3"/>
      <c r="Z1948" s="3" t="str">
        <f>IFERROR(__xludf.DUMMYFUNCTION("""COMPUTED_VALUE"""),"ฝายแก้ว")</f>
        <v>ฝายแก้ว</v>
      </c>
      <c r="AA1948" s="3" t="str">
        <f>IFERROR(__xludf.DUMMYFUNCTION("""COMPUTED_VALUE"""),"ภูเพียง")</f>
        <v>ภูเพียง</v>
      </c>
      <c r="AB1948" s="3" t="str">
        <f>IFERROR(__xludf.DUMMYFUNCTION("""COMPUTED_VALUE"""),"น่าน")</f>
        <v>น่าน</v>
      </c>
      <c r="AC1948" s="3">
        <f>IFERROR(__xludf.DUMMYFUNCTION("""COMPUTED_VALUE"""),55000.0)</f>
        <v>55000</v>
      </c>
      <c r="AD1948" s="3">
        <f>IFERROR(__xludf.DUMMYFUNCTION("""COMPUTED_VALUE"""),18.772245)</f>
        <v>18.772245</v>
      </c>
      <c r="AE1948" s="3">
        <f>IFERROR(__xludf.DUMMYFUNCTION("""COMPUTED_VALUE"""),100.781195)</f>
        <v>100.781195</v>
      </c>
      <c r="AF1948" s="3" t="str">
        <f>IFERROR(__xludf.DUMMYFUNCTION("""COMPUTED_VALUE"""),"BCM บ้านแสงดาว น่าน-22634")</f>
        <v>BCM บ้านแสงดาว น่าน-22634</v>
      </c>
      <c r="AG1948" s="3" t="str">
        <f>IFERROR(__xludf.DUMMYFUNCTION("""COMPUTED_VALUE"""),"เหนือ")</f>
        <v>เหนือ</v>
      </c>
      <c r="AH1948" s="3" t="str">
        <f>IFERROR(__xludf.DUMMYFUNCTION("""COMPUTED_VALUE"""),"#N/A")</f>
        <v>#N/A</v>
      </c>
      <c r="AI1948" s="3" t="str">
        <f>IFERROR(__xludf.DUMMYFUNCTION("""COMPUTED_VALUE"""),"Out of warranty")</f>
        <v>Out of warranty</v>
      </c>
      <c r="AJ1948" s="3">
        <f>IFERROR(__xludf.DUMMYFUNCTION("""COMPUTED_VALUE"""),26.0)</f>
        <v>26</v>
      </c>
      <c r="AK1948" s="3" t="str">
        <f>IFERROR(__xludf.DUMMYFUNCTION("""COMPUTED_VALUE"""),"MMS10")</f>
        <v>MMS10</v>
      </c>
      <c r="AL1948" s="3"/>
    </row>
    <row r="1949" ht="15.75" customHeight="1">
      <c r="A1949" s="1" t="str">
        <f>IFERROR(__xludf.DUMMYFUNCTION("""COMPUTED_VALUE"""),"22635")</f>
        <v>22635</v>
      </c>
      <c r="B1949" s="2">
        <f>IFERROR(__xludf.DUMMYFUNCTION("""COMPUTED_VALUE"""),22635.0)</f>
        <v>22635</v>
      </c>
      <c r="C1949" s="3" t="str">
        <f>IFERROR(__xludf.DUMMYFUNCTION("""COMPUTED_VALUE"""),"BCM บ้านฉลุง สตูล")</f>
        <v>BCM บ้านฉลุง สตูล</v>
      </c>
      <c r="D1949" s="3" t="str">
        <f>IFERROR(__xludf.DUMMYFUNCTION("""COMPUTED_VALUE"""),"BCM BAN CHALUNG SATUN")</f>
        <v>BCM BAN CHALUNG SATUN</v>
      </c>
      <c r="E1949" s="1" t="str">
        <f>IFERROR(__xludf.DUMMYFUNCTION("""COMPUTED_VALUE"""),"บิ๊กซี MINI")</f>
        <v>บิ๊กซี MINI</v>
      </c>
      <c r="F1949" s="1" t="str">
        <f>IFERROR(__xludf.DUMMYFUNCTION("""COMPUTED_VALUE"""),"250760")</f>
        <v>250760</v>
      </c>
      <c r="G1949" s="1" t="str">
        <f>IFERROR(__xludf.DUMMYFUNCTION("""COMPUTED_VALUE"""),"นายประทวน สาราบรรณ์")</f>
        <v>นายประทวน สาราบรรณ์</v>
      </c>
      <c r="H1949" s="1" t="str">
        <f>IFERROR(__xludf.DUMMYFUNCTION("""COMPUTED_VALUE"""),"394100")</f>
        <v>394100</v>
      </c>
      <c r="I1949" s="1" t="str">
        <f>IFERROR(__xludf.DUMMYFUNCTION("""COMPUTED_VALUE"""),"นายไพโรจน์ ถิระผะลิกะ")</f>
        <v>นายไพโรจน์ ถิระผะลิกะ</v>
      </c>
      <c r="J1949" s="3">
        <f>IFERROR(__xludf.DUMMYFUNCTION("""COMPUTED_VALUE"""),2.0470331E7)</f>
        <v>20470331</v>
      </c>
      <c r="K1949" s="3" t="str">
        <f>IFERROR(__xludf.DUMMYFUNCTION("""COMPUTED_VALUE"""),"นายสมชาย ลักษณะสุวรรณ")</f>
        <v>นายสมชาย ลักษณะสุวรรณ</v>
      </c>
      <c r="L1949" s="1" t="str">
        <f>IFERROR(__xludf.DUMMYFUNCTION("""COMPUTED_VALUE"""),"15 K.Somchai L")</f>
        <v>15 K.Somchai L</v>
      </c>
      <c r="M1949" s="1" t="str">
        <f>IFERROR(__xludf.DUMMYFUNCTION("""COMPUTED_VALUE"""),"0655107372")</f>
        <v>0655107372</v>
      </c>
      <c r="N1949" s="3">
        <f>IFERROR(__xludf.DUMMYFUNCTION("""COMPUTED_VALUE"""),21723.0)</f>
        <v>21723</v>
      </c>
      <c r="O1949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949" s="4">
        <f>IFERROR(__xludf.DUMMYFUNCTION("""COMPUTED_VALUE"""),45268.0)</f>
        <v>45268</v>
      </c>
      <c r="Q1949" s="3" t="str">
        <f>IFERROR(__xludf.DUMMYFUNCTION("""COMPUTED_VALUE"""),"A")</f>
        <v>A</v>
      </c>
      <c r="R1949" s="3" t="str">
        <f>IFERROR(__xludf.DUMMYFUNCTION("""COMPUTED_VALUE"""),"Small Format")</f>
        <v>Small Format</v>
      </c>
      <c r="S1949" s="3" t="str">
        <f>IFERROR(__xludf.DUMMYFUNCTION("""COMPUTED_VALUE"""),"BCM")</f>
        <v>BCM</v>
      </c>
      <c r="T1949" s="3" t="str">
        <f>IFERROR(__xludf.DUMMYFUNCTION("""COMPUTED_VALUE"""),"#N/A")</f>
        <v>#N/A</v>
      </c>
      <c r="U1949" s="3" t="str">
        <f>IFERROR(__xludf.DUMMYFUNCTION("""COMPUTED_VALUE"""),"#N/A")</f>
        <v>#N/A</v>
      </c>
      <c r="V1949" s="3" t="str">
        <f>IFERROR(__xludf.DUMMYFUNCTION("""COMPUTED_VALUE"""),"N")</f>
        <v>N</v>
      </c>
      <c r="W1949" s="3">
        <f>IFERROR(__xludf.DUMMYFUNCTION("""COMPUTED_VALUE"""),210769.0)</f>
        <v>210769</v>
      </c>
      <c r="X1949" s="3" t="str">
        <f>IFERROR(__xludf.DUMMYFUNCTION("""COMPUTED_VALUE"""),"203 หมู่4 ตำบลฉลุง อำเภอเมืองสตูล จังหวัดสตูล 91140")</f>
        <v>203 หมู่4 ตำบลฉลุง อำเภอเมืองสตูล จังหวัดสตูล 91140</v>
      </c>
      <c r="Y1949" s="3"/>
      <c r="Z1949" s="3" t="str">
        <f>IFERROR(__xludf.DUMMYFUNCTION("""COMPUTED_VALUE"""),"ฉลุง")</f>
        <v>ฉลุง</v>
      </c>
      <c r="AA1949" s="3" t="str">
        <f>IFERROR(__xludf.DUMMYFUNCTION("""COMPUTED_VALUE"""),"เมืองสตูล")</f>
        <v>เมืองสตูล</v>
      </c>
      <c r="AB1949" s="3" t="str">
        <f>IFERROR(__xludf.DUMMYFUNCTION("""COMPUTED_VALUE"""),"สตูล")</f>
        <v>สตูล</v>
      </c>
      <c r="AC1949" s="3">
        <f>IFERROR(__xludf.DUMMYFUNCTION("""COMPUTED_VALUE"""),91140.0)</f>
        <v>91140</v>
      </c>
      <c r="AD1949" s="3">
        <f>IFERROR(__xludf.DUMMYFUNCTION("""COMPUTED_VALUE"""),6.727002)</f>
        <v>6.727002</v>
      </c>
      <c r="AE1949" s="3">
        <f>IFERROR(__xludf.DUMMYFUNCTION("""COMPUTED_VALUE"""),100.060817)</f>
        <v>100.060817</v>
      </c>
      <c r="AF1949" s="3" t="str">
        <f>IFERROR(__xludf.DUMMYFUNCTION("""COMPUTED_VALUE"""),"BCM บ้านฉลุง สตูล-22635")</f>
        <v>BCM บ้านฉลุง สตูล-22635</v>
      </c>
      <c r="AG1949" s="3" t="str">
        <f>IFERROR(__xludf.DUMMYFUNCTION("""COMPUTED_VALUE"""),"ใต้")</f>
        <v>ใต้</v>
      </c>
      <c r="AH1949" s="3" t="str">
        <f>IFERROR(__xludf.DUMMYFUNCTION("""COMPUTED_VALUE"""),"#N/A")</f>
        <v>#N/A</v>
      </c>
      <c r="AI1949" s="3" t="str">
        <f>IFERROR(__xludf.DUMMYFUNCTION("""COMPUTED_VALUE"""),"Out of warranty")</f>
        <v>Out of warranty</v>
      </c>
      <c r="AJ1949" s="3">
        <f>IFERROR(__xludf.DUMMYFUNCTION("""COMPUTED_VALUE"""),26.0)</f>
        <v>26</v>
      </c>
      <c r="AK1949" s="3" t="str">
        <f>IFERROR(__xludf.DUMMYFUNCTION("""COMPUTED_VALUE"""),"MMS16")</f>
        <v>MMS16</v>
      </c>
      <c r="AL1949" s="3"/>
    </row>
    <row r="1950" ht="15.75" customHeight="1">
      <c r="A1950" s="1" t="str">
        <f>IFERROR(__xludf.DUMMYFUNCTION("""COMPUTED_VALUE"""),"22636")</f>
        <v>22636</v>
      </c>
      <c r="B1950" s="2">
        <f>IFERROR(__xludf.DUMMYFUNCTION("""COMPUTED_VALUE"""),22636.0)</f>
        <v>22636</v>
      </c>
      <c r="C1950" s="3" t="str">
        <f>IFERROR(__xludf.DUMMYFUNCTION("""COMPUTED_VALUE"""),"BCM รักศักดิ์ชมูล 22 จันทบุรี")</f>
        <v>BCM รักศักดิ์ชมูล 22 จันทบุรี</v>
      </c>
      <c r="D1950" s="3" t="str">
        <f>IFERROR(__xludf.DUMMYFUNCTION("""COMPUTED_VALUE"""),"BCM RAKSAKCHAMUL 22")</f>
        <v>BCM RAKSAKCHAMUL 22</v>
      </c>
      <c r="E1950" s="1" t="str">
        <f>IFERROR(__xludf.DUMMYFUNCTION("""COMPUTED_VALUE"""),"บิ๊กซี MINI")</f>
        <v>บิ๊กซี MINI</v>
      </c>
      <c r="F1950" s="1" t="str">
        <f>IFERROR(__xludf.DUMMYFUNCTION("""COMPUTED_VALUE"""),"221716")</f>
        <v>221716</v>
      </c>
      <c r="G1950" s="1" t="str">
        <f>IFERROR(__xludf.DUMMYFUNCTION("""COMPUTED_VALUE"""),"น.ส.เบญจพร โพธิสาร")</f>
        <v>น.ส.เบญจพร โพธิสาร</v>
      </c>
      <c r="H1950" s="1" t="str">
        <f>IFERROR(__xludf.DUMMYFUNCTION("""COMPUTED_VALUE"""),"318151")</f>
        <v>318151</v>
      </c>
      <c r="I1950" s="1" t="str">
        <f>IFERROR(__xludf.DUMMYFUNCTION("""COMPUTED_VALUE"""),"นายพลฬกฤตต์ เนตมณี")</f>
        <v>นายพลฬกฤตต์ เนตมณี</v>
      </c>
      <c r="J1950" s="3">
        <f>IFERROR(__xludf.DUMMYFUNCTION("""COMPUTED_VALUE"""),2452376.0)</f>
        <v>2452376</v>
      </c>
      <c r="K1950" s="3" t="str">
        <f>IFERROR(__xludf.DUMMYFUNCTION("""COMPUTED_VALUE"""),"นายภาคภูมิ ทวีกุล")</f>
        <v>นายภาคภูมิ ทวีกุล</v>
      </c>
      <c r="L1950" s="1" t="str">
        <f>IFERROR(__xludf.DUMMYFUNCTION("""COMPUTED_VALUE"""),"08 K.Parkphum T.")</f>
        <v>08 K.Parkphum T.</v>
      </c>
      <c r="M1950" s="1" t="str">
        <f>IFERROR(__xludf.DUMMYFUNCTION("""COMPUTED_VALUE"""),"097-919-5476")</f>
        <v>097-919-5476</v>
      </c>
      <c r="N1950" s="3">
        <f>IFERROR(__xludf.DUMMYFUNCTION("""COMPUTED_VALUE"""),22028.0)</f>
        <v>22028</v>
      </c>
      <c r="O1950" s="3" t="str">
        <f>IFERROR(__xludf.DUMMYFUNCTION("""COMPUTED_VALUE"""),"MBC ทํบมา ระยอง")</f>
        <v>MBC ทํบมา ระยอง</v>
      </c>
      <c r="P1950" s="4">
        <f>IFERROR(__xludf.DUMMYFUNCTION("""COMPUTED_VALUE"""),45268.0)</f>
        <v>45268</v>
      </c>
      <c r="Q1950" s="3" t="str">
        <f>IFERROR(__xludf.DUMMYFUNCTION("""COMPUTED_VALUE"""),"A")</f>
        <v>A</v>
      </c>
      <c r="R1950" s="3" t="str">
        <f>IFERROR(__xludf.DUMMYFUNCTION("""COMPUTED_VALUE"""),"Small Format")</f>
        <v>Small Format</v>
      </c>
      <c r="S1950" s="3" t="str">
        <f>IFERROR(__xludf.DUMMYFUNCTION("""COMPUTED_VALUE"""),"BCM")</f>
        <v>BCM</v>
      </c>
      <c r="T1950" s="3" t="str">
        <f>IFERROR(__xludf.DUMMYFUNCTION("""COMPUTED_VALUE"""),"#N/A")</f>
        <v>#N/A</v>
      </c>
      <c r="U1950" s="3" t="str">
        <f>IFERROR(__xludf.DUMMYFUNCTION("""COMPUTED_VALUE"""),"#N/A")</f>
        <v>#N/A</v>
      </c>
      <c r="V1950" s="3" t="str">
        <f>IFERROR(__xludf.DUMMYFUNCTION("""COMPUTED_VALUE"""),"N")</f>
        <v>N</v>
      </c>
      <c r="W1950" s="3">
        <f>IFERROR(__xludf.DUMMYFUNCTION("""COMPUTED_VALUE"""),210778.0)</f>
        <v>210778</v>
      </c>
      <c r="X1950" s="3" t="str">
        <f>IFERROR(__xludf.DUMMYFUNCTION("""COMPUTED_VALUE"""),"17/19 หมู่9 ตำบลท่าช้าง อำเภอเมืองจันทบุรี จังหวัดจันทบุรี 22000")</f>
        <v>17/19 หมู่9 ตำบลท่าช้าง อำเภอเมืองจันทบุรี จังหวัดจันทบุรี 22000</v>
      </c>
      <c r="Y1950" s="3"/>
      <c r="Z1950" s="3" t="str">
        <f>IFERROR(__xludf.DUMMYFUNCTION("""COMPUTED_VALUE"""),"ท่าช้าง")</f>
        <v>ท่าช้าง</v>
      </c>
      <c r="AA1950" s="3" t="str">
        <f>IFERROR(__xludf.DUMMYFUNCTION("""COMPUTED_VALUE"""),"เมืองจันทบุรี")</f>
        <v>เมืองจันทบุรี</v>
      </c>
      <c r="AB1950" s="3" t="str">
        <f>IFERROR(__xludf.DUMMYFUNCTION("""COMPUTED_VALUE"""),"จันทบุรี")</f>
        <v>จันทบุรี</v>
      </c>
      <c r="AC1950" s="3">
        <f>IFERROR(__xludf.DUMMYFUNCTION("""COMPUTED_VALUE"""),22000.0)</f>
        <v>22000</v>
      </c>
      <c r="AD1950" s="3">
        <f>IFERROR(__xludf.DUMMYFUNCTION("""COMPUTED_VALUE"""),12.6366402)</f>
        <v>12.6366402</v>
      </c>
      <c r="AE1950" s="3">
        <f>IFERROR(__xludf.DUMMYFUNCTION("""COMPUTED_VALUE"""),102.0862849)</f>
        <v>102.0862849</v>
      </c>
      <c r="AF1950" s="3" t="str">
        <f>IFERROR(__xludf.DUMMYFUNCTION("""COMPUTED_VALUE"""),"BCM รักศักดิ์ชมูล 22 จันทบุรี-22636")</f>
        <v>BCM รักศักดิ์ชมูล 22 จันทบุรี-22636</v>
      </c>
      <c r="AG1950" s="3" t="str">
        <f>IFERROR(__xludf.DUMMYFUNCTION("""COMPUTED_VALUE"""),"ตะวันออก")</f>
        <v>ตะวันออก</v>
      </c>
      <c r="AH1950" s="3" t="str">
        <f>IFERROR(__xludf.DUMMYFUNCTION("""COMPUTED_VALUE"""),"#N/A")</f>
        <v>#N/A</v>
      </c>
      <c r="AI1950" s="3" t="str">
        <f>IFERROR(__xludf.DUMMYFUNCTION("""COMPUTED_VALUE"""),"Out of warranty")</f>
        <v>Out of warranty</v>
      </c>
      <c r="AJ1950" s="3">
        <f>IFERROR(__xludf.DUMMYFUNCTION("""COMPUTED_VALUE"""),26.0)</f>
        <v>26</v>
      </c>
      <c r="AK1950" s="3" t="str">
        <f>IFERROR(__xludf.DUMMYFUNCTION("""COMPUTED_VALUE"""),"MMS08")</f>
        <v>MMS08</v>
      </c>
      <c r="AL1950" s="3"/>
    </row>
    <row r="1951" ht="15.75" customHeight="1">
      <c r="A1951" s="1" t="str">
        <f>IFERROR(__xludf.DUMMYFUNCTION("""COMPUTED_VALUE"""),"22637")</f>
        <v>22637</v>
      </c>
      <c r="B1951" s="2">
        <f>IFERROR(__xludf.DUMMYFUNCTION("""COMPUTED_VALUE"""),22637.0)</f>
        <v>22637</v>
      </c>
      <c r="C1951" s="3" t="str">
        <f>IFERROR(__xludf.DUMMYFUNCTION("""COMPUTED_VALUE"""),"BCM ถ.คลองหา สุราษฎร์ธานี")</f>
        <v>BCM ถ.คลองหา สุราษฎร์ธานี</v>
      </c>
      <c r="D1951" s="3" t="str">
        <f>IFERROR(__xludf.DUMMYFUNCTION("""COMPUTED_VALUE"""),"BCM THANON KHLONG HA")</f>
        <v>BCM THANON KHLONG HA</v>
      </c>
      <c r="E1951" s="1" t="str">
        <f>IFERROR(__xludf.DUMMYFUNCTION("""COMPUTED_VALUE"""),"บิ๊กซี MINI")</f>
        <v>บิ๊กซี MINI</v>
      </c>
      <c r="F1951" s="1" t="str">
        <f>IFERROR(__xludf.DUMMYFUNCTION("""COMPUTED_VALUE"""),"250760")</f>
        <v>250760</v>
      </c>
      <c r="G1951" s="1" t="str">
        <f>IFERROR(__xludf.DUMMYFUNCTION("""COMPUTED_VALUE"""),"นายประทวน สาราบรรณ์")</f>
        <v>นายประทวน สาราบรรณ์</v>
      </c>
      <c r="H1951" s="1" t="str">
        <f>IFERROR(__xludf.DUMMYFUNCTION("""COMPUTED_VALUE"""),"228389")</f>
        <v>228389</v>
      </c>
      <c r="I1951" s="1" t="str">
        <f>IFERROR(__xludf.DUMMYFUNCTION("""COMPUTED_VALUE"""),"นายมณีรันดร์ ชัยชนะ")</f>
        <v>นายมณีรันดร์ ชัยชนะ</v>
      </c>
      <c r="J1951" s="3">
        <f>IFERROR(__xludf.DUMMYFUNCTION("""COMPUTED_VALUE"""),25324.0)</f>
        <v>25324</v>
      </c>
      <c r="K1951" s="3" t="str">
        <f>IFERROR(__xludf.DUMMYFUNCTION("""COMPUTED_VALUE"""),"นายวิเชฎฐ์ ติรัตนะประคม")</f>
        <v>นายวิเชฎฐ์ ติรัตนะประคม</v>
      </c>
      <c r="L1951" s="1" t="str">
        <f>IFERROR(__xludf.DUMMYFUNCTION("""COMPUTED_VALUE"""),"14 K.Wichet T.")</f>
        <v>14 K.Wichet T.</v>
      </c>
      <c r="M1951" s="1" t="str">
        <f>IFERROR(__xludf.DUMMYFUNCTION("""COMPUTED_VALUE"""),"061-417-6569 / 086-445-5636")</f>
        <v>061-417-6569 / 086-445-5636</v>
      </c>
      <c r="N1951" s="3">
        <f>IFERROR(__xludf.DUMMYFUNCTION("""COMPUTED_VALUE"""),22658.0)</f>
        <v>22658</v>
      </c>
      <c r="O1951" s="3" t="str">
        <f>IFERROR(__xludf.DUMMYFUNCTION("""COMPUTED_VALUE"""),"BCM ถ.วิรัชหงษ์หยก ภูเก็ต")</f>
        <v>BCM ถ.วิรัชหงษ์หยก ภูเก็ต</v>
      </c>
      <c r="P1951" s="4">
        <f>IFERROR(__xludf.DUMMYFUNCTION("""COMPUTED_VALUE"""),45270.0)</f>
        <v>45270</v>
      </c>
      <c r="Q1951" s="3" t="str">
        <f>IFERROR(__xludf.DUMMYFUNCTION("""COMPUTED_VALUE"""),"A")</f>
        <v>A</v>
      </c>
      <c r="R1951" s="3" t="str">
        <f>IFERROR(__xludf.DUMMYFUNCTION("""COMPUTED_VALUE"""),"Small Format")</f>
        <v>Small Format</v>
      </c>
      <c r="S1951" s="3" t="str">
        <f>IFERROR(__xludf.DUMMYFUNCTION("""COMPUTED_VALUE"""),"BCM")</f>
        <v>BCM</v>
      </c>
      <c r="T1951" s="3" t="str">
        <f>IFERROR(__xludf.DUMMYFUNCTION("""COMPUTED_VALUE"""),"#N/A")</f>
        <v>#N/A</v>
      </c>
      <c r="U1951" s="3" t="str">
        <f>IFERROR(__xludf.DUMMYFUNCTION("""COMPUTED_VALUE"""),"#N/A")</f>
        <v>#N/A</v>
      </c>
      <c r="V1951" s="3" t="str">
        <f>IFERROR(__xludf.DUMMYFUNCTION("""COMPUTED_VALUE"""),"N")</f>
        <v>N</v>
      </c>
      <c r="W1951" s="3">
        <f>IFERROR(__xludf.DUMMYFUNCTION("""COMPUTED_VALUE"""),210711.0)</f>
        <v>210711</v>
      </c>
      <c r="X1951" s="3" t="str">
        <f>IFERROR(__xludf.DUMMYFUNCTION("""COMPUTED_VALUE"""),"14/1 ถนนคลองหา1 ตำบลนาสาร อำเภอบ้านนาสาร จังหวัดสุราษฎร์ธานี 84120")</f>
        <v>14/1 ถนนคลองหา1 ตำบลนาสาร อำเภอบ้านนาสาร จังหวัดสุราษฎร์ธานี 84120</v>
      </c>
      <c r="Y1951" s="3" t="str">
        <f>IFERROR(__xludf.DUMMYFUNCTION("""COMPUTED_VALUE"""),"คลองหา1")</f>
        <v>คลองหา1</v>
      </c>
      <c r="Z1951" s="3" t="str">
        <f>IFERROR(__xludf.DUMMYFUNCTION("""COMPUTED_VALUE"""),"นาสาร")</f>
        <v>นาสาร</v>
      </c>
      <c r="AA1951" s="3" t="str">
        <f>IFERROR(__xludf.DUMMYFUNCTION("""COMPUTED_VALUE"""),"บ้านนาสาร")</f>
        <v>บ้านนาสาร</v>
      </c>
      <c r="AB1951" s="3" t="str">
        <f>IFERROR(__xludf.DUMMYFUNCTION("""COMPUTED_VALUE"""),"สุราษฎร์ธานี")</f>
        <v>สุราษฎร์ธานี</v>
      </c>
      <c r="AC1951" s="3">
        <f>IFERROR(__xludf.DUMMYFUNCTION("""COMPUTED_VALUE"""),84120.0)</f>
        <v>84120</v>
      </c>
      <c r="AD1951" s="3">
        <f>IFERROR(__xludf.DUMMYFUNCTION("""COMPUTED_VALUE"""),8.804419)</f>
        <v>8.804419</v>
      </c>
      <c r="AE1951" s="3">
        <f>IFERROR(__xludf.DUMMYFUNCTION("""COMPUTED_VALUE"""),99.36671)</f>
        <v>99.36671</v>
      </c>
      <c r="AF1951" s="3" t="str">
        <f>IFERROR(__xludf.DUMMYFUNCTION("""COMPUTED_VALUE"""),"BCM ถ.คลองหา สุราษฎร์ธานี-22637")</f>
        <v>BCM ถ.คลองหา สุราษฎร์ธานี-22637</v>
      </c>
      <c r="AG1951" s="3" t="str">
        <f>IFERROR(__xludf.DUMMYFUNCTION("""COMPUTED_VALUE"""),"ใต้")</f>
        <v>ใต้</v>
      </c>
      <c r="AH1951" s="3" t="str">
        <f>IFERROR(__xludf.DUMMYFUNCTION("""COMPUTED_VALUE"""),"#N/A")</f>
        <v>#N/A</v>
      </c>
      <c r="AI1951" s="3" t="str">
        <f>IFERROR(__xludf.DUMMYFUNCTION("""COMPUTED_VALUE"""),"Out of warranty")</f>
        <v>Out of warranty</v>
      </c>
      <c r="AJ1951" s="3">
        <f>IFERROR(__xludf.DUMMYFUNCTION("""COMPUTED_VALUE"""),26.0)</f>
        <v>26</v>
      </c>
      <c r="AK1951" s="3" t="str">
        <f>IFERROR(__xludf.DUMMYFUNCTION("""COMPUTED_VALUE"""),"MMS14")</f>
        <v>MMS14</v>
      </c>
      <c r="AL1951" s="3"/>
    </row>
    <row r="1952" ht="15.75" customHeight="1">
      <c r="A1952" s="1" t="str">
        <f>IFERROR(__xludf.DUMMYFUNCTION("""COMPUTED_VALUE"""),"22638")</f>
        <v>22638</v>
      </c>
      <c r="B1952" s="2">
        <f>IFERROR(__xludf.DUMMYFUNCTION("""COMPUTED_VALUE"""),22638.0)</f>
        <v>22638</v>
      </c>
      <c r="C1952" s="3" t="str">
        <f>IFERROR(__xludf.DUMMYFUNCTION("""COMPUTED_VALUE"""),"BCM บ้านนานอก ชลบุรี")</f>
        <v>BCM บ้านนานอก ชลบุรี</v>
      </c>
      <c r="D1952" s="3" t="str">
        <f>IFERROR(__xludf.DUMMYFUNCTION("""COMPUTED_VALUE"""),"BCM BAN NA NORK CHON BURI")</f>
        <v>BCM BAN NA NORK CHON BURI</v>
      </c>
      <c r="E1952" s="1" t="str">
        <f>IFERROR(__xludf.DUMMYFUNCTION("""COMPUTED_VALUE"""),"บิ๊กซี MINI")</f>
        <v>บิ๊กซี MINI</v>
      </c>
      <c r="F1952" s="1" t="str">
        <f>IFERROR(__xludf.DUMMYFUNCTION("""COMPUTED_VALUE"""),"221716")</f>
        <v>221716</v>
      </c>
      <c r="G1952" s="1" t="str">
        <f>IFERROR(__xludf.DUMMYFUNCTION("""COMPUTED_VALUE"""),"น.ส.เบญจพร โพธิสาร")</f>
        <v>น.ส.เบญจพร โพธิสาร</v>
      </c>
      <c r="H1952" s="1" t="str">
        <f>IFERROR(__xludf.DUMMYFUNCTION("""COMPUTED_VALUE"""),"2452265")</f>
        <v>2452265</v>
      </c>
      <c r="I1952" s="1" t="str">
        <f>IFERROR(__xludf.DUMMYFUNCTION("""COMPUTED_VALUE"""),"นายพิทยา จันทร์ประเทศ")</f>
        <v>นายพิทยา จันทร์ประเทศ</v>
      </c>
      <c r="J1952" s="3">
        <f>IFERROR(__xludf.DUMMYFUNCTION("""COMPUTED_VALUE"""),296942.0)</f>
        <v>296942</v>
      </c>
      <c r="K1952" s="3" t="str">
        <f>IFERROR(__xludf.DUMMYFUNCTION("""COMPUTED_VALUE"""),"นายปิยะ รักษากิจ")</f>
        <v>นายปิยะ รักษากิจ</v>
      </c>
      <c r="L1952" s="1" t="str">
        <f>IFERROR(__xludf.DUMMYFUNCTION("""COMPUTED_VALUE"""),"07 K.Piya R.")</f>
        <v>07 K.Piya R.</v>
      </c>
      <c r="M1952" s="1" t="str">
        <f>IFERROR(__xludf.DUMMYFUNCTION("""COMPUTED_VALUE"""),"097-919-5476")</f>
        <v>097-919-5476</v>
      </c>
      <c r="N1952" s="3">
        <f>IFERROR(__xludf.DUMMYFUNCTION("""COMPUTED_VALUE"""),21332.0)</f>
        <v>21332</v>
      </c>
      <c r="O1952" s="3" t="str">
        <f>IFERROR(__xludf.DUMMYFUNCTION("""COMPUTED_VALUE"""),"MBC BCP อ่อนนุช 17/1")</f>
        <v>MBC BCP อ่อนนุช 17/1</v>
      </c>
      <c r="P1952" s="4">
        <f>IFERROR(__xludf.DUMMYFUNCTION("""COMPUTED_VALUE"""),45271.0)</f>
        <v>45271</v>
      </c>
      <c r="Q1952" s="3" t="str">
        <f>IFERROR(__xludf.DUMMYFUNCTION("""COMPUTED_VALUE"""),"A")</f>
        <v>A</v>
      </c>
      <c r="R1952" s="3" t="str">
        <f>IFERROR(__xludf.DUMMYFUNCTION("""COMPUTED_VALUE"""),"Small Format")</f>
        <v>Small Format</v>
      </c>
      <c r="S1952" s="3" t="str">
        <f>IFERROR(__xludf.DUMMYFUNCTION("""COMPUTED_VALUE"""),"BCM")</f>
        <v>BCM</v>
      </c>
      <c r="T1952" s="3" t="str">
        <f>IFERROR(__xludf.DUMMYFUNCTION("""COMPUTED_VALUE"""),"#N/A")</f>
        <v>#N/A</v>
      </c>
      <c r="U1952" s="3" t="str">
        <f>IFERROR(__xludf.DUMMYFUNCTION("""COMPUTED_VALUE"""),"#N/A")</f>
        <v>#N/A</v>
      </c>
      <c r="V1952" s="3" t="str">
        <f>IFERROR(__xludf.DUMMYFUNCTION("""COMPUTED_VALUE"""),"N")</f>
        <v>N</v>
      </c>
      <c r="W1952" s="3">
        <f>IFERROR(__xludf.DUMMYFUNCTION("""COMPUTED_VALUE"""),210736.0)</f>
        <v>210736</v>
      </c>
      <c r="X1952" s="3" t="str">
        <f>IFERROR(__xludf.DUMMYFUNCTION("""COMPUTED_VALUE"""),"98/12 หมู่4 ตำบลนาป่า อำเภอเมืองชลบุรี จังหวัดชลบุรี 20000")</f>
        <v>98/12 หมู่4 ตำบลนาป่า อำเภอเมืองชลบุรี จังหวัดชลบุรี 20000</v>
      </c>
      <c r="Y1952" s="3"/>
      <c r="Z1952" s="3" t="str">
        <f>IFERROR(__xludf.DUMMYFUNCTION("""COMPUTED_VALUE"""),"นาป่า")</f>
        <v>นาป่า</v>
      </c>
      <c r="AA1952" s="3" t="str">
        <f>IFERROR(__xludf.DUMMYFUNCTION("""COMPUTED_VALUE"""),"เมืองชลบุรี")</f>
        <v>เมืองชลบุรี</v>
      </c>
      <c r="AB1952" s="3" t="str">
        <f>IFERROR(__xludf.DUMMYFUNCTION("""COMPUTED_VALUE"""),"ชลบุรี")</f>
        <v>ชลบุรี</v>
      </c>
      <c r="AC1952" s="3">
        <f>IFERROR(__xludf.DUMMYFUNCTION("""COMPUTED_VALUE"""),20000.0)</f>
        <v>20000</v>
      </c>
      <c r="AD1952" s="3">
        <f>IFERROR(__xludf.DUMMYFUNCTION("""COMPUTED_VALUE"""),13.399378)</f>
        <v>13.399378</v>
      </c>
      <c r="AE1952" s="3">
        <f>IFERROR(__xludf.DUMMYFUNCTION("""COMPUTED_VALUE"""),101.0556253)</f>
        <v>101.0556253</v>
      </c>
      <c r="AF1952" s="3" t="str">
        <f>IFERROR(__xludf.DUMMYFUNCTION("""COMPUTED_VALUE"""),"BCM บ้านนานอก ชลบุรี-22638")</f>
        <v>BCM บ้านนานอก ชลบุรี-22638</v>
      </c>
      <c r="AG1952" s="3" t="str">
        <f>IFERROR(__xludf.DUMMYFUNCTION("""COMPUTED_VALUE"""),"ตะวันออก")</f>
        <v>ตะวันออก</v>
      </c>
      <c r="AH1952" s="3" t="str">
        <f>IFERROR(__xludf.DUMMYFUNCTION("""COMPUTED_VALUE"""),"#N/A")</f>
        <v>#N/A</v>
      </c>
      <c r="AI1952" s="3" t="str">
        <f>IFERROR(__xludf.DUMMYFUNCTION("""COMPUTED_VALUE"""),"Out of warranty")</f>
        <v>Out of warranty</v>
      </c>
      <c r="AJ1952" s="3">
        <f>IFERROR(__xludf.DUMMYFUNCTION("""COMPUTED_VALUE"""),26.0)</f>
        <v>26</v>
      </c>
      <c r="AK1952" s="3" t="str">
        <f>IFERROR(__xludf.DUMMYFUNCTION("""COMPUTED_VALUE"""),"MMS07")</f>
        <v>MMS07</v>
      </c>
      <c r="AL1952" s="3"/>
    </row>
    <row r="1953" ht="15.75" customHeight="1">
      <c r="A1953" s="1" t="str">
        <f>IFERROR(__xludf.DUMMYFUNCTION("""COMPUTED_VALUE"""),"22639")</f>
        <v>22639</v>
      </c>
      <c r="B1953" s="2">
        <f>IFERROR(__xludf.DUMMYFUNCTION("""COMPUTED_VALUE"""),22639.0)</f>
        <v>22639</v>
      </c>
      <c r="C1953" s="3" t="str">
        <f>IFERROR(__xludf.DUMMYFUNCTION("""COMPUTED_VALUE"""),"BCM ไลโอสุขสวัสดิ์-ประชาอุทิศ 90 สมุทรปราการ")</f>
        <v>BCM ไลโอสุขสวัสดิ์-ประชาอุทิศ 90 สมุทรปราการ</v>
      </c>
      <c r="D1953" s="3" t="str">
        <f>IFERROR(__xludf.DUMMYFUNCTION("""COMPUTED_VALUE"""),"BCM LIO SUKSAWAT-PRACHAUTHIT90")</f>
        <v>BCM LIO SUKSAWAT-PRACHAUTHIT90</v>
      </c>
      <c r="E1953" s="1" t="str">
        <f>IFERROR(__xludf.DUMMYFUNCTION("""COMPUTED_VALUE"""),"บิ๊กซี MINI")</f>
        <v>บิ๊กซี MINI</v>
      </c>
      <c r="F1953" s="1" t="str">
        <f>IFERROR(__xludf.DUMMYFUNCTION("""COMPUTED_VALUE"""),"2083447")</f>
        <v>2083447</v>
      </c>
      <c r="G1953" s="1" t="str">
        <f>IFERROR(__xludf.DUMMYFUNCTION("""COMPUTED_VALUE"""),"นายอนุกูล ศรีลัดดา")</f>
        <v>นายอนุกูล ศรีลัดดา</v>
      </c>
      <c r="H1953" s="1" t="str">
        <f>IFERROR(__xludf.DUMMYFUNCTION("""COMPUTED_VALUE"""),"379037")</f>
        <v>379037</v>
      </c>
      <c r="I1953" s="1" t="str">
        <f>IFERROR(__xludf.DUMMYFUNCTION("""COMPUTED_VALUE"""),"นางแก้วใจ แก้วกาญจน์")</f>
        <v>นางแก้วใจ แก้วกาญจน์</v>
      </c>
      <c r="J1953" s="3">
        <f>IFERROR(__xludf.DUMMYFUNCTION("""COMPUTED_VALUE"""),2451655.0)</f>
        <v>2451655</v>
      </c>
      <c r="K1953" s="3" t="str">
        <f>IFERROR(__xludf.DUMMYFUNCTION("""COMPUTED_VALUE"""),"นายวิษณุพงษ์ ชินบุตร")</f>
        <v>นายวิษณุพงษ์ ชินบุตร</v>
      </c>
      <c r="L1953" s="1" t="str">
        <f>IFERROR(__xludf.DUMMYFUNCTION("""COMPUTED_VALUE"""),"13 K.Wisanupong Ch")</f>
        <v>13 K.Wisanupong Ch</v>
      </c>
      <c r="M1953" s="1" t="str">
        <f>IFERROR(__xludf.DUMMYFUNCTION("""COMPUTED_VALUE"""),"0843374693")</f>
        <v>0843374693</v>
      </c>
      <c r="N1953" s="3">
        <f>IFERROR(__xludf.DUMMYFUNCTION("""COMPUTED_VALUE"""),22729.0)</f>
        <v>22729</v>
      </c>
      <c r="O1953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953" s="4">
        <f>IFERROR(__xludf.DUMMYFUNCTION("""COMPUTED_VALUE"""),45272.0)</f>
        <v>45272</v>
      </c>
      <c r="Q1953" s="3" t="str">
        <f>IFERROR(__xludf.DUMMYFUNCTION("""COMPUTED_VALUE"""),"A")</f>
        <v>A</v>
      </c>
      <c r="R1953" s="3" t="str">
        <f>IFERROR(__xludf.DUMMYFUNCTION("""COMPUTED_VALUE"""),"Small Format")</f>
        <v>Small Format</v>
      </c>
      <c r="S1953" s="3" t="str">
        <f>IFERROR(__xludf.DUMMYFUNCTION("""COMPUTED_VALUE"""),"BCM")</f>
        <v>BCM</v>
      </c>
      <c r="T1953" s="3" t="str">
        <f>IFERROR(__xludf.DUMMYFUNCTION("""COMPUTED_VALUE"""),"#N/A")</f>
        <v>#N/A</v>
      </c>
      <c r="U1953" s="3" t="str">
        <f>IFERROR(__xludf.DUMMYFUNCTION("""COMPUTED_VALUE"""),"#N/A")</f>
        <v>#N/A</v>
      </c>
      <c r="V1953" s="3" t="str">
        <f>IFERROR(__xludf.DUMMYFUNCTION("""COMPUTED_VALUE"""),"N")</f>
        <v>N</v>
      </c>
      <c r="W1953" s="3">
        <f>IFERROR(__xludf.DUMMYFUNCTION("""COMPUTED_VALUE"""),210710.0)</f>
        <v>210710</v>
      </c>
      <c r="X1953" s="3" t="str">
        <f>IFERROR(__xludf.DUMMYFUNCTION("""COMPUTED_VALUE"""),"148 หมู่8 ตำบลนาเกลือ อำเภอพระสมุทรเจดีย์ จังหวัดสมุทรปราการ 10290")</f>
        <v>148 หมู่8 ตำบลนาเกลือ อำเภอพระสมุทรเจดีย์ จังหวัดสมุทรปราการ 10290</v>
      </c>
      <c r="Y1953" s="3"/>
      <c r="Z1953" s="3" t="str">
        <f>IFERROR(__xludf.DUMMYFUNCTION("""COMPUTED_VALUE"""),"นาเกลือ")</f>
        <v>นาเกลือ</v>
      </c>
      <c r="AA1953" s="3" t="str">
        <f>IFERROR(__xludf.DUMMYFUNCTION("""COMPUTED_VALUE"""),"พระสมุทรเจดีย์")</f>
        <v>พระสมุทรเจดีย์</v>
      </c>
      <c r="AB1953" s="3" t="str">
        <f>IFERROR(__xludf.DUMMYFUNCTION("""COMPUTED_VALUE"""),"สมุทรปราการ")</f>
        <v>สมุทรปราการ</v>
      </c>
      <c r="AC1953" s="3">
        <f>IFERROR(__xludf.DUMMYFUNCTION("""COMPUTED_VALUE"""),10290.0)</f>
        <v>10290</v>
      </c>
      <c r="AD1953" s="3">
        <f>IFERROR(__xludf.DUMMYFUNCTION("""COMPUTED_VALUE"""),13.583371)</f>
        <v>13.583371</v>
      </c>
      <c r="AE1953" s="3">
        <f>IFERROR(__xludf.DUMMYFUNCTION("""COMPUTED_VALUE"""),100.500278)</f>
        <v>100.500278</v>
      </c>
      <c r="AF1953" s="3" t="str">
        <f>IFERROR(__xludf.DUMMYFUNCTION("""COMPUTED_VALUE"""),"BCM ไลโอสุขสวัสดิ์-ประชาอุทิศ 90 สมุทรปราการ-22639")</f>
        <v>BCM ไลโอสุขสวัสดิ์-ประชาอุทิศ 90 สมุทรปราการ-22639</v>
      </c>
      <c r="AG1953" s="3" t="str">
        <f>IFERROR(__xludf.DUMMYFUNCTION("""COMPUTED_VALUE"""),"กลาง")</f>
        <v>กลาง</v>
      </c>
      <c r="AH1953" s="3" t="str">
        <f>IFERROR(__xludf.DUMMYFUNCTION("""COMPUTED_VALUE"""),"#N/A")</f>
        <v>#N/A</v>
      </c>
      <c r="AI1953" s="3" t="str">
        <f>IFERROR(__xludf.DUMMYFUNCTION("""COMPUTED_VALUE"""),"Out of warranty")</f>
        <v>Out of warranty</v>
      </c>
      <c r="AJ1953" s="3">
        <f>IFERROR(__xludf.DUMMYFUNCTION("""COMPUTED_VALUE"""),26.0)</f>
        <v>26</v>
      </c>
      <c r="AK1953" s="3" t="str">
        <f>IFERROR(__xludf.DUMMYFUNCTION("""COMPUTED_VALUE"""),"MMS02")</f>
        <v>MMS02</v>
      </c>
      <c r="AL1953" s="3"/>
    </row>
    <row r="1954" ht="15.75" customHeight="1">
      <c r="A1954" s="1" t="str">
        <f>IFERROR(__xludf.DUMMYFUNCTION("""COMPUTED_VALUE"""),"22640")</f>
        <v>22640</v>
      </c>
      <c r="B1954" s="2">
        <f>IFERROR(__xludf.DUMMYFUNCTION("""COMPUTED_VALUE"""),22640.0)</f>
        <v>22640</v>
      </c>
      <c r="C1954" s="3" t="str">
        <f>IFERROR(__xludf.DUMMYFUNCTION("""COMPUTED_VALUE"""),"BCM หัวควนใต้ ภูเก็ต")</f>
        <v>BCM หัวควนใต้ ภูเก็ต</v>
      </c>
      <c r="D1954" s="3" t="str">
        <f>IFERROR(__xludf.DUMMYFUNCTION("""COMPUTED_VALUE"""),"BCM THANON HUA KHUAN TAI")</f>
        <v>BCM THANON HUA KHUAN TAI</v>
      </c>
      <c r="E1954" s="1" t="str">
        <f>IFERROR(__xludf.DUMMYFUNCTION("""COMPUTED_VALUE"""),"บิ๊กซี MINI")</f>
        <v>บิ๊กซี MINI</v>
      </c>
      <c r="F1954" s="1" t="str">
        <f>IFERROR(__xludf.DUMMYFUNCTION("""COMPUTED_VALUE"""),"250760")</f>
        <v>250760</v>
      </c>
      <c r="G1954" s="1" t="str">
        <f>IFERROR(__xludf.DUMMYFUNCTION("""COMPUTED_VALUE"""),"นายประทวน สาราบรรณ์")</f>
        <v>นายประทวน สาราบรรณ์</v>
      </c>
      <c r="H1954" s="1" t="str">
        <f>IFERROR(__xludf.DUMMYFUNCTION("""COMPUTED_VALUE"""),"357284")</f>
        <v>357284</v>
      </c>
      <c r="I1954" s="1" t="str">
        <f>IFERROR(__xludf.DUMMYFUNCTION("""COMPUTED_VALUE"""),"น.ส.เบญจวรรณ ปัณฑโมรา")</f>
        <v>น.ส.เบญจวรรณ ปัณฑโมรา</v>
      </c>
      <c r="J1954" s="3">
        <f>IFERROR(__xludf.DUMMYFUNCTION("""COMPUTED_VALUE"""),25324.0)</f>
        <v>25324</v>
      </c>
      <c r="K1954" s="3" t="str">
        <f>IFERROR(__xludf.DUMMYFUNCTION("""COMPUTED_VALUE"""),"นายวิเชฎฐ์ ติรัตนะประคม")</f>
        <v>นายวิเชฎฐ์ ติรัตนะประคม</v>
      </c>
      <c r="L1954" s="1" t="str">
        <f>IFERROR(__xludf.DUMMYFUNCTION("""COMPUTED_VALUE"""),"14 K.Wichet T.")</f>
        <v>14 K.Wichet T.</v>
      </c>
      <c r="M1954" s="1" t="str">
        <f>IFERROR(__xludf.DUMMYFUNCTION("""COMPUTED_VALUE"""),"061-417-6569 / 086-445-5636")</f>
        <v>061-417-6569 / 086-445-5636</v>
      </c>
      <c r="N1954" s="3">
        <f>IFERROR(__xludf.DUMMYFUNCTION("""COMPUTED_VALUE"""),22658.0)</f>
        <v>22658</v>
      </c>
      <c r="O1954" s="3" t="str">
        <f>IFERROR(__xludf.DUMMYFUNCTION("""COMPUTED_VALUE"""),"BCM ถ.วิรัชหงษ์หยก ภูเก็ต")</f>
        <v>BCM ถ.วิรัชหงษ์หยก ภูเก็ต</v>
      </c>
      <c r="P1954" s="4">
        <f>IFERROR(__xludf.DUMMYFUNCTION("""COMPUTED_VALUE"""),45272.0)</f>
        <v>45272</v>
      </c>
      <c r="Q1954" s="3" t="str">
        <f>IFERROR(__xludf.DUMMYFUNCTION("""COMPUTED_VALUE"""),"A")</f>
        <v>A</v>
      </c>
      <c r="R1954" s="3" t="str">
        <f>IFERROR(__xludf.DUMMYFUNCTION("""COMPUTED_VALUE"""),"Small Format")</f>
        <v>Small Format</v>
      </c>
      <c r="S1954" s="3" t="str">
        <f>IFERROR(__xludf.DUMMYFUNCTION("""COMPUTED_VALUE"""),"BCM")</f>
        <v>BCM</v>
      </c>
      <c r="T1954" s="3" t="str">
        <f>IFERROR(__xludf.DUMMYFUNCTION("""COMPUTED_VALUE"""),"#N/A")</f>
        <v>#N/A</v>
      </c>
      <c r="U1954" s="3" t="str">
        <f>IFERROR(__xludf.DUMMYFUNCTION("""COMPUTED_VALUE"""),"#N/A")</f>
        <v>#N/A</v>
      </c>
      <c r="V1954" s="3" t="str">
        <f>IFERROR(__xludf.DUMMYFUNCTION("""COMPUTED_VALUE"""),"N")</f>
        <v>N</v>
      </c>
      <c r="W1954" s="3">
        <f>IFERROR(__xludf.DUMMYFUNCTION("""COMPUTED_VALUE"""),210755.0)</f>
        <v>210755</v>
      </c>
      <c r="X1954" s="3" t="str">
        <f>IFERROR(__xludf.DUMMYFUNCTION("""COMPUTED_VALUE"""),"80/28 หมู่3 ตำบลกมลา อำเภอกระทู้ จังหวัดภูเก็ต 83150")</f>
        <v>80/28 หมู่3 ตำบลกมลา อำเภอกระทู้ จังหวัดภูเก็ต 83150</v>
      </c>
      <c r="Y1954" s="3"/>
      <c r="Z1954" s="3" t="str">
        <f>IFERROR(__xludf.DUMMYFUNCTION("""COMPUTED_VALUE"""),"กมลา")</f>
        <v>กมลา</v>
      </c>
      <c r="AA1954" s="3" t="str">
        <f>IFERROR(__xludf.DUMMYFUNCTION("""COMPUTED_VALUE"""),"กระทู้")</f>
        <v>กระทู้</v>
      </c>
      <c r="AB1954" s="3" t="str">
        <f>IFERROR(__xludf.DUMMYFUNCTION("""COMPUTED_VALUE"""),"ภูเก็ต")</f>
        <v>ภูเก็ต</v>
      </c>
      <c r="AC1954" s="3">
        <f>IFERROR(__xludf.DUMMYFUNCTION("""COMPUTED_VALUE"""),83150.0)</f>
        <v>83150</v>
      </c>
      <c r="AD1954" s="3">
        <f>IFERROR(__xludf.DUMMYFUNCTION("""COMPUTED_VALUE"""),7.949389)</f>
        <v>7.949389</v>
      </c>
      <c r="AE1954" s="3">
        <f>IFERROR(__xludf.DUMMYFUNCTION("""COMPUTED_VALUE"""),98.287633)</f>
        <v>98.287633</v>
      </c>
      <c r="AF1954" s="3" t="str">
        <f>IFERROR(__xludf.DUMMYFUNCTION("""COMPUTED_VALUE"""),"BCM หัวควนใต้ ภูเก็ต-22640")</f>
        <v>BCM หัวควนใต้ ภูเก็ต-22640</v>
      </c>
      <c r="AG1954" s="3" t="str">
        <f>IFERROR(__xludf.DUMMYFUNCTION("""COMPUTED_VALUE"""),"ใต้")</f>
        <v>ใต้</v>
      </c>
      <c r="AH1954" s="3" t="str">
        <f>IFERROR(__xludf.DUMMYFUNCTION("""COMPUTED_VALUE"""),"#N/A")</f>
        <v>#N/A</v>
      </c>
      <c r="AI1954" s="3" t="str">
        <f>IFERROR(__xludf.DUMMYFUNCTION("""COMPUTED_VALUE"""),"Out of warranty")</f>
        <v>Out of warranty</v>
      </c>
      <c r="AJ1954" s="3">
        <f>IFERROR(__xludf.DUMMYFUNCTION("""COMPUTED_VALUE"""),26.0)</f>
        <v>26</v>
      </c>
      <c r="AK1954" s="3" t="str">
        <f>IFERROR(__xludf.DUMMYFUNCTION("""COMPUTED_VALUE"""),"MMS15")</f>
        <v>MMS15</v>
      </c>
      <c r="AL1954" s="3"/>
    </row>
    <row r="1955" ht="15.75" customHeight="1">
      <c r="A1955" s="1" t="str">
        <f>IFERROR(__xludf.DUMMYFUNCTION("""COMPUTED_VALUE"""),"22641")</f>
        <v>22641</v>
      </c>
      <c r="B1955" s="2">
        <f>IFERROR(__xludf.DUMMYFUNCTION("""COMPUTED_VALUE"""),22641.0)</f>
        <v>22641</v>
      </c>
      <c r="C1955" s="3" t="str">
        <f>IFERROR(__xludf.DUMMYFUNCTION("""COMPUTED_VALUE"""),"BCM อ.พรหมคีรี นครศรีธรรมราช")</f>
        <v>BCM อ.พรหมคีรี นครศรีธรรมราช</v>
      </c>
      <c r="D1955" s="3" t="str">
        <f>IFERROR(__xludf.DUMMYFUNCTION("""COMPUTED_VALUE"""),"BCM AMPHUR PHROM KHIRI")</f>
        <v>BCM AMPHUR PHROM KHIRI</v>
      </c>
      <c r="E1955" s="1" t="str">
        <f>IFERROR(__xludf.DUMMYFUNCTION("""COMPUTED_VALUE"""),"บิ๊กซี MINI")</f>
        <v>บิ๊กซี MINI</v>
      </c>
      <c r="F1955" s="1" t="str">
        <f>IFERROR(__xludf.DUMMYFUNCTION("""COMPUTED_VALUE"""),"250760")</f>
        <v>250760</v>
      </c>
      <c r="G1955" s="1" t="str">
        <f>IFERROR(__xludf.DUMMYFUNCTION("""COMPUTED_VALUE"""),"นายประทวน สาราบรรณ์")</f>
        <v>นายประทวน สาราบรรณ์</v>
      </c>
      <c r="H1955" s="1" t="str">
        <f>IFERROR(__xludf.DUMMYFUNCTION("""COMPUTED_VALUE"""),"356760")</f>
        <v>356760</v>
      </c>
      <c r="I1955" s="1" t="str">
        <f>IFERROR(__xludf.DUMMYFUNCTION("""COMPUTED_VALUE"""),"นายภูมิภัทร แก้วพรรณราย")</f>
        <v>นายภูมิภัทร แก้วพรรณราย</v>
      </c>
      <c r="J1955" s="3">
        <f>IFERROR(__xludf.DUMMYFUNCTION("""COMPUTED_VALUE"""),25324.0)</f>
        <v>25324</v>
      </c>
      <c r="K1955" s="3" t="str">
        <f>IFERROR(__xludf.DUMMYFUNCTION("""COMPUTED_VALUE"""),"นายวิเชฎฐ์ ติรัตนะประคม")</f>
        <v>นายวิเชฎฐ์ ติรัตนะประคม</v>
      </c>
      <c r="L1955" s="1" t="str">
        <f>IFERROR(__xludf.DUMMYFUNCTION("""COMPUTED_VALUE"""),"14 K.Wichet T.")</f>
        <v>14 K.Wichet T.</v>
      </c>
      <c r="M1955" s="1" t="str">
        <f>IFERROR(__xludf.DUMMYFUNCTION("""COMPUTED_VALUE"""),"061-417-6569 / 086-445-5636")</f>
        <v>061-417-6569 / 086-445-5636</v>
      </c>
      <c r="N1955" s="3">
        <f>IFERROR(__xludf.DUMMYFUNCTION("""COMPUTED_VALUE"""),22658.0)</f>
        <v>22658</v>
      </c>
      <c r="O1955" s="3" t="str">
        <f>IFERROR(__xludf.DUMMYFUNCTION("""COMPUTED_VALUE"""),"BCM ถ.วิรัชหงษ์หยก ภูเก็ต")</f>
        <v>BCM ถ.วิรัชหงษ์หยก ภูเก็ต</v>
      </c>
      <c r="P1955" s="4">
        <f>IFERROR(__xludf.DUMMYFUNCTION("""COMPUTED_VALUE"""),45273.0)</f>
        <v>45273</v>
      </c>
      <c r="Q1955" s="3" t="str">
        <f>IFERROR(__xludf.DUMMYFUNCTION("""COMPUTED_VALUE"""),"A")</f>
        <v>A</v>
      </c>
      <c r="R1955" s="3" t="str">
        <f>IFERROR(__xludf.DUMMYFUNCTION("""COMPUTED_VALUE"""),"Small Format")</f>
        <v>Small Format</v>
      </c>
      <c r="S1955" s="3" t="str">
        <f>IFERROR(__xludf.DUMMYFUNCTION("""COMPUTED_VALUE"""),"BCM")</f>
        <v>BCM</v>
      </c>
      <c r="T1955" s="3" t="str">
        <f>IFERROR(__xludf.DUMMYFUNCTION("""COMPUTED_VALUE"""),"#N/A")</f>
        <v>#N/A</v>
      </c>
      <c r="U1955" s="3" t="str">
        <f>IFERROR(__xludf.DUMMYFUNCTION("""COMPUTED_VALUE"""),"#N/A")</f>
        <v>#N/A</v>
      </c>
      <c r="V1955" s="3" t="str">
        <f>IFERROR(__xludf.DUMMYFUNCTION("""COMPUTED_VALUE"""),"N")</f>
        <v>N</v>
      </c>
      <c r="W1955" s="3">
        <f>IFERROR(__xludf.DUMMYFUNCTION("""COMPUTED_VALUE"""),210715.0)</f>
        <v>210715</v>
      </c>
      <c r="X1955" s="3" t="str">
        <f>IFERROR(__xludf.DUMMYFUNCTION("""COMPUTED_VALUE"""),"133/21 หมู่1 ตำบลพรหมโลก อำเภอพรหมคีรี จังหวัดนครศรีธรรมราช 80320")</f>
        <v>133/21 หมู่1 ตำบลพรหมโลก อำเภอพรหมคีรี จังหวัดนครศรีธรรมราช 80320</v>
      </c>
      <c r="Y1955" s="3"/>
      <c r="Z1955" s="3" t="str">
        <f>IFERROR(__xludf.DUMMYFUNCTION("""COMPUTED_VALUE"""),"พรหมโลก")</f>
        <v>พรหมโลก</v>
      </c>
      <c r="AA1955" s="3" t="str">
        <f>IFERROR(__xludf.DUMMYFUNCTION("""COMPUTED_VALUE"""),"พรหมคีรี")</f>
        <v>พรหมคีรี</v>
      </c>
      <c r="AB1955" s="3" t="str">
        <f>IFERROR(__xludf.DUMMYFUNCTION("""COMPUTED_VALUE"""),"นครศรีธรรมราช")</f>
        <v>นครศรีธรรมราช</v>
      </c>
      <c r="AC1955" s="3">
        <f>IFERROR(__xludf.DUMMYFUNCTION("""COMPUTED_VALUE"""),80320.0)</f>
        <v>80320</v>
      </c>
      <c r="AD1955" s="3">
        <f>IFERROR(__xludf.DUMMYFUNCTION("""COMPUTED_VALUE"""),8.527899)</f>
        <v>8.527899</v>
      </c>
      <c r="AE1955" s="3">
        <f>IFERROR(__xludf.DUMMYFUNCTION("""COMPUTED_VALUE"""),99.820936)</f>
        <v>99.820936</v>
      </c>
      <c r="AF1955" s="3" t="str">
        <f>IFERROR(__xludf.DUMMYFUNCTION("""COMPUTED_VALUE"""),"BCM อ.พรหมคีรี นครศรีธรรมราช-22641")</f>
        <v>BCM อ.พรหมคีรี นครศรีธรรมราช-22641</v>
      </c>
      <c r="AG1955" s="3" t="str">
        <f>IFERROR(__xludf.DUMMYFUNCTION("""COMPUTED_VALUE"""),"ใต้")</f>
        <v>ใต้</v>
      </c>
      <c r="AH1955" s="3" t="str">
        <f>IFERROR(__xludf.DUMMYFUNCTION("""COMPUTED_VALUE"""),"#N/A")</f>
        <v>#N/A</v>
      </c>
      <c r="AI1955" s="3" t="str">
        <f>IFERROR(__xludf.DUMMYFUNCTION("""COMPUTED_VALUE"""),"Out of warranty")</f>
        <v>Out of warranty</v>
      </c>
      <c r="AJ1955" s="3">
        <f>IFERROR(__xludf.DUMMYFUNCTION("""COMPUTED_VALUE"""),26.0)</f>
        <v>26</v>
      </c>
      <c r="AK1955" s="3" t="str">
        <f>IFERROR(__xludf.DUMMYFUNCTION("""COMPUTED_VALUE"""),"MMS15")</f>
        <v>MMS15</v>
      </c>
      <c r="AL1955" s="3"/>
    </row>
    <row r="1956" ht="15.75" customHeight="1">
      <c r="A1956" s="1" t="str">
        <f>IFERROR(__xludf.DUMMYFUNCTION("""COMPUTED_VALUE"""),"22642")</f>
        <v>22642</v>
      </c>
      <c r="B1956" s="2">
        <f>IFERROR(__xludf.DUMMYFUNCTION("""COMPUTED_VALUE"""),22642.0)</f>
        <v>22642</v>
      </c>
      <c r="C1956" s="3" t="str">
        <f>IFERROR(__xludf.DUMMYFUNCTION("""COMPUTED_VALUE"""),"BCM หนองกี่ บุรีรัมย์")</f>
        <v>BCM หนองกี่ บุรีรัมย์</v>
      </c>
      <c r="D1956" s="3" t="str">
        <f>IFERROR(__xludf.DUMMYFUNCTION("""COMPUTED_VALUE"""),"BCM NONG KI BURIRAM")</f>
        <v>BCM NONG KI BURIRAM</v>
      </c>
      <c r="E1956" s="1" t="str">
        <f>IFERROR(__xludf.DUMMYFUNCTION("""COMPUTED_VALUE"""),"บิ๊กซี MINI")</f>
        <v>บิ๊กซี MINI</v>
      </c>
      <c r="F1956" s="1" t="str">
        <f>IFERROR(__xludf.DUMMYFUNCTION("""COMPUTED_VALUE"""),"291105")</f>
        <v>291105</v>
      </c>
      <c r="G1956" s="1" t="str">
        <f>IFERROR(__xludf.DUMMYFUNCTION("""COMPUTED_VALUE"""),"นายสราวุฒิ พณิชยกุล")</f>
        <v>นายสราวุฒิ พณิชยกุล</v>
      </c>
      <c r="H1956" s="1" t="str">
        <f>IFERROR(__xludf.DUMMYFUNCTION("""COMPUTED_VALUE"""),"398136")</f>
        <v>398136</v>
      </c>
      <c r="I1956" s="1" t="str">
        <f>IFERROR(__xludf.DUMMYFUNCTION("""COMPUTED_VALUE"""),"นายประยูร ธาดาวงษา")</f>
        <v>นายประยูร ธาดาวงษา</v>
      </c>
      <c r="J1956" s="3">
        <f>IFERROR(__xludf.DUMMYFUNCTION("""COMPUTED_VALUE"""),15361.0)</f>
        <v>15361</v>
      </c>
      <c r="K1956" s="3" t="str">
        <f>IFERROR(__xludf.DUMMYFUNCTION("""COMPUTED_VALUE"""),"นายสมบูรณ์ พรหมในเมือง")</f>
        <v>นายสมบูรณ์ พรหมในเมือง</v>
      </c>
      <c r="L1956" s="1" t="str">
        <f>IFERROR(__xludf.DUMMYFUNCTION("""COMPUTED_VALUE"""),"04 K.Somboon P.")</f>
        <v>04 K.Somboon P.</v>
      </c>
      <c r="M1956" s="1" t="str">
        <f>IFERROR(__xludf.DUMMYFUNCTION("""COMPUTED_VALUE"""),"087-965-3051")</f>
        <v>087-965-3051</v>
      </c>
      <c r="N1956" s="3">
        <f>IFERROR(__xludf.DUMMYFUNCTION("""COMPUTED_VALUE"""),21869.0)</f>
        <v>21869</v>
      </c>
      <c r="O1956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956" s="4">
        <f>IFERROR(__xludf.DUMMYFUNCTION("""COMPUTED_VALUE"""),45274.0)</f>
        <v>45274</v>
      </c>
      <c r="Q1956" s="3" t="str">
        <f>IFERROR(__xludf.DUMMYFUNCTION("""COMPUTED_VALUE"""),"A")</f>
        <v>A</v>
      </c>
      <c r="R1956" s="3" t="str">
        <f>IFERROR(__xludf.DUMMYFUNCTION("""COMPUTED_VALUE"""),"Small Format")</f>
        <v>Small Format</v>
      </c>
      <c r="S1956" s="3" t="str">
        <f>IFERROR(__xludf.DUMMYFUNCTION("""COMPUTED_VALUE"""),"BCM")</f>
        <v>BCM</v>
      </c>
      <c r="T1956" s="3" t="str">
        <f>IFERROR(__xludf.DUMMYFUNCTION("""COMPUTED_VALUE"""),"#N/A")</f>
        <v>#N/A</v>
      </c>
      <c r="U1956" s="3" t="str">
        <f>IFERROR(__xludf.DUMMYFUNCTION("""COMPUTED_VALUE"""),"#N/A")</f>
        <v>#N/A</v>
      </c>
      <c r="V1956" s="3" t="str">
        <f>IFERROR(__xludf.DUMMYFUNCTION("""COMPUTED_VALUE"""),"N")</f>
        <v>N</v>
      </c>
      <c r="W1956" s="3">
        <f>IFERROR(__xludf.DUMMYFUNCTION("""COMPUTED_VALUE"""),210747.0)</f>
        <v>210747</v>
      </c>
      <c r="X1956" s="3" t="str">
        <f>IFERROR(__xludf.DUMMYFUNCTION("""COMPUTED_VALUE"""),"99 หมู่1 ตำบลหนองกี่ อำเภอหนองกี่ จังหวัดบุรีรัมย์ 31210")</f>
        <v>99 หมู่1 ตำบลหนองกี่ อำเภอหนองกี่ จังหวัดบุรีรัมย์ 31210</v>
      </c>
      <c r="Y1956" s="3"/>
      <c r="Z1956" s="3" t="str">
        <f>IFERROR(__xludf.DUMMYFUNCTION("""COMPUTED_VALUE"""),"หนองกี่")</f>
        <v>หนองกี่</v>
      </c>
      <c r="AA1956" s="3" t="str">
        <f>IFERROR(__xludf.DUMMYFUNCTION("""COMPUTED_VALUE"""),"หนองกี่")</f>
        <v>หนองกี่</v>
      </c>
      <c r="AB1956" s="3" t="str">
        <f>IFERROR(__xludf.DUMMYFUNCTION("""COMPUTED_VALUE"""),"บุรีรัมย์")</f>
        <v>บุรีรัมย์</v>
      </c>
      <c r="AC1956" s="3">
        <f>IFERROR(__xludf.DUMMYFUNCTION("""COMPUTED_VALUE"""),31210.0)</f>
        <v>31210</v>
      </c>
      <c r="AD1956" s="3">
        <f>IFERROR(__xludf.DUMMYFUNCTION("""COMPUTED_VALUE"""),14.683537)</f>
        <v>14.683537</v>
      </c>
      <c r="AE1956" s="3">
        <f>IFERROR(__xludf.DUMMYFUNCTION("""COMPUTED_VALUE"""),102.539205)</f>
        <v>102.539205</v>
      </c>
      <c r="AF1956" s="3" t="str">
        <f>IFERROR(__xludf.DUMMYFUNCTION("""COMPUTED_VALUE"""),"BCM หนองกี่ บุรีรัมย์-22642")</f>
        <v>BCM หนองกี่ บุรีรัมย์-22642</v>
      </c>
      <c r="AG1956" s="3" t="str">
        <f>IFERROR(__xludf.DUMMYFUNCTION("""COMPUTED_VALUE"""),"ตะวันออกเฉียงเหนือ")</f>
        <v>ตะวันออกเฉียงเหนือ</v>
      </c>
      <c r="AH1956" s="3" t="str">
        <f>IFERROR(__xludf.DUMMYFUNCTION("""COMPUTED_VALUE"""),"#N/A")</f>
        <v>#N/A</v>
      </c>
      <c r="AI1956" s="3" t="str">
        <f>IFERROR(__xludf.DUMMYFUNCTION("""COMPUTED_VALUE"""),"Out of warranty")</f>
        <v>Out of warranty</v>
      </c>
      <c r="AJ1956" s="3">
        <f>IFERROR(__xludf.DUMMYFUNCTION("""COMPUTED_VALUE"""),26.0)</f>
        <v>26</v>
      </c>
      <c r="AK1956" s="3"/>
      <c r="AL1956" s="3"/>
    </row>
    <row r="1957" ht="15.75" customHeight="1">
      <c r="A1957" s="1" t="str">
        <f>IFERROR(__xludf.DUMMYFUNCTION("""COMPUTED_VALUE"""),"22643")</f>
        <v>22643</v>
      </c>
      <c r="B1957" s="2">
        <f>IFERROR(__xludf.DUMMYFUNCTION("""COMPUTED_VALUE"""),22643.0)</f>
        <v>22643</v>
      </c>
      <c r="C1957" s="3" t="str">
        <f>IFERROR(__xludf.DUMMYFUNCTION("""COMPUTED_VALUE"""),"BCM บ้านบ่อวิน ชลบุรี")</f>
        <v>BCM บ้านบ่อวิน ชลบุรี</v>
      </c>
      <c r="D1957" s="3" t="str">
        <f>IFERROR(__xludf.DUMMYFUNCTION("""COMPUTED_VALUE"""),"BCM BAN BOWIN CHON BURI")</f>
        <v>BCM BAN BOWIN CHON BURI</v>
      </c>
      <c r="E1957" s="1" t="str">
        <f>IFERROR(__xludf.DUMMYFUNCTION("""COMPUTED_VALUE"""),"บิ๊กซี MINI")</f>
        <v>บิ๊กซี MINI</v>
      </c>
      <c r="F1957" s="1" t="str">
        <f>IFERROR(__xludf.DUMMYFUNCTION("""COMPUTED_VALUE"""),"221716")</f>
        <v>221716</v>
      </c>
      <c r="G1957" s="1" t="str">
        <f>IFERROR(__xludf.DUMMYFUNCTION("""COMPUTED_VALUE"""),"น.ส.เบญจพร โพธิสาร")</f>
        <v>น.ส.เบญจพร โพธิสาร</v>
      </c>
      <c r="H1957" s="1" t="str">
        <f>IFERROR(__xludf.DUMMYFUNCTION("""COMPUTED_VALUE"""),"376139")</f>
        <v>376139</v>
      </c>
      <c r="I1957" s="1" t="str">
        <f>IFERROR(__xludf.DUMMYFUNCTION("""COMPUTED_VALUE"""),"นายอนุชา อำไพ")</f>
        <v>นายอนุชา อำไพ</v>
      </c>
      <c r="J1957" s="3">
        <f>IFERROR(__xludf.DUMMYFUNCTION("""COMPUTED_VALUE"""),296942.0)</f>
        <v>296942</v>
      </c>
      <c r="K1957" s="3" t="str">
        <f>IFERROR(__xludf.DUMMYFUNCTION("""COMPUTED_VALUE"""),"นายปิยะ รักษากิจ")</f>
        <v>นายปิยะ รักษากิจ</v>
      </c>
      <c r="L1957" s="1" t="str">
        <f>IFERROR(__xludf.DUMMYFUNCTION("""COMPUTED_VALUE"""),"07 K.Piya R.")</f>
        <v>07 K.Piya R.</v>
      </c>
      <c r="M1957" s="1" t="str">
        <f>IFERROR(__xludf.DUMMYFUNCTION("""COMPUTED_VALUE"""),"097-919-5476")</f>
        <v>097-919-5476</v>
      </c>
      <c r="N1957" s="3">
        <f>IFERROR(__xludf.DUMMYFUNCTION("""COMPUTED_VALUE"""),21332.0)</f>
        <v>21332</v>
      </c>
      <c r="O1957" s="3" t="str">
        <f>IFERROR(__xludf.DUMMYFUNCTION("""COMPUTED_VALUE"""),"MBC BCP อ่อนนุช 17/1")</f>
        <v>MBC BCP อ่อนนุช 17/1</v>
      </c>
      <c r="P1957" s="4">
        <f>IFERROR(__xludf.DUMMYFUNCTION("""COMPUTED_VALUE"""),45274.0)</f>
        <v>45274</v>
      </c>
      <c r="Q1957" s="3" t="str">
        <f>IFERROR(__xludf.DUMMYFUNCTION("""COMPUTED_VALUE"""),"A")</f>
        <v>A</v>
      </c>
      <c r="R1957" s="3" t="str">
        <f>IFERROR(__xludf.DUMMYFUNCTION("""COMPUTED_VALUE"""),"Small Format")</f>
        <v>Small Format</v>
      </c>
      <c r="S1957" s="3" t="str">
        <f>IFERROR(__xludf.DUMMYFUNCTION("""COMPUTED_VALUE"""),"BCM")</f>
        <v>BCM</v>
      </c>
      <c r="T1957" s="3" t="str">
        <f>IFERROR(__xludf.DUMMYFUNCTION("""COMPUTED_VALUE"""),"#N/A")</f>
        <v>#N/A</v>
      </c>
      <c r="U1957" s="3" t="str">
        <f>IFERROR(__xludf.DUMMYFUNCTION("""COMPUTED_VALUE"""),"#N/A")</f>
        <v>#N/A</v>
      </c>
      <c r="V1957" s="3" t="str">
        <f>IFERROR(__xludf.DUMMYFUNCTION("""COMPUTED_VALUE"""),"N")</f>
        <v>N</v>
      </c>
      <c r="W1957" s="3">
        <f>IFERROR(__xludf.DUMMYFUNCTION("""COMPUTED_VALUE"""),210777.0)</f>
        <v>210777</v>
      </c>
      <c r="X1957" s="3" t="str">
        <f>IFERROR(__xludf.DUMMYFUNCTION("""COMPUTED_VALUE"""),"36/53 หมู่3 ตำบลบ่อวิน อำเภอศรีราชา จังหวัดชลบุรี 20230")</f>
        <v>36/53 หมู่3 ตำบลบ่อวิน อำเภอศรีราชา จังหวัดชลบุรี 20230</v>
      </c>
      <c r="Y1957" s="3"/>
      <c r="Z1957" s="3" t="str">
        <f>IFERROR(__xludf.DUMMYFUNCTION("""COMPUTED_VALUE"""),"บ่อวิน")</f>
        <v>บ่อวิน</v>
      </c>
      <c r="AA1957" s="3" t="str">
        <f>IFERROR(__xludf.DUMMYFUNCTION("""COMPUTED_VALUE"""),"ศรีราชา")</f>
        <v>ศรีราชา</v>
      </c>
      <c r="AB1957" s="3" t="str">
        <f>IFERROR(__xludf.DUMMYFUNCTION("""COMPUTED_VALUE"""),"ชลบุรี")</f>
        <v>ชลบุรี</v>
      </c>
      <c r="AC1957" s="3">
        <f>IFERROR(__xludf.DUMMYFUNCTION("""COMPUTED_VALUE"""),20230.0)</f>
        <v>20230</v>
      </c>
      <c r="AD1957" s="3">
        <f>IFERROR(__xludf.DUMMYFUNCTION("""COMPUTED_VALUE"""),13.048525)</f>
        <v>13.048525</v>
      </c>
      <c r="AE1957" s="3">
        <f>IFERROR(__xludf.DUMMYFUNCTION("""COMPUTED_VALUE"""),101.069136)</f>
        <v>101.069136</v>
      </c>
      <c r="AF1957" s="3" t="str">
        <f>IFERROR(__xludf.DUMMYFUNCTION("""COMPUTED_VALUE"""),"BCM บ้านบ่อวิน ชลบุรี-22643")</f>
        <v>BCM บ้านบ่อวิน ชลบุรี-22643</v>
      </c>
      <c r="AG1957" s="3" t="str">
        <f>IFERROR(__xludf.DUMMYFUNCTION("""COMPUTED_VALUE"""),"ตะวันออก")</f>
        <v>ตะวันออก</v>
      </c>
      <c r="AH1957" s="3" t="str">
        <f>IFERROR(__xludf.DUMMYFUNCTION("""COMPUTED_VALUE"""),"#N/A")</f>
        <v>#N/A</v>
      </c>
      <c r="AI1957" s="3" t="str">
        <f>IFERROR(__xludf.DUMMYFUNCTION("""COMPUTED_VALUE"""),"Out of warranty")</f>
        <v>Out of warranty</v>
      </c>
      <c r="AJ1957" s="3">
        <f>IFERROR(__xludf.DUMMYFUNCTION("""COMPUTED_VALUE"""),26.0)</f>
        <v>26</v>
      </c>
      <c r="AK1957" s="3" t="str">
        <f>IFERROR(__xludf.DUMMYFUNCTION("""COMPUTED_VALUE"""),"MMS07")</f>
        <v>MMS07</v>
      </c>
      <c r="AL1957" s="3"/>
    </row>
    <row r="1958" ht="15.75" customHeight="1">
      <c r="A1958" s="1" t="str">
        <f>IFERROR(__xludf.DUMMYFUNCTION("""COMPUTED_VALUE"""),"22644")</f>
        <v>22644</v>
      </c>
      <c r="B1958" s="2">
        <f>IFERROR(__xludf.DUMMYFUNCTION("""COMPUTED_VALUE"""),22644.0)</f>
        <v>22644</v>
      </c>
      <c r="C1958" s="3" t="str">
        <f>IFERROR(__xludf.DUMMYFUNCTION("""COMPUTED_VALUE"""),"BCM ป่าแดด เชียงราย")</f>
        <v>BCM ป่าแดด เชียงราย</v>
      </c>
      <c r="D1958" s="3" t="str">
        <f>IFERROR(__xludf.DUMMYFUNCTION("""COMPUTED_VALUE"""),"BCM PA DAET CHIANG RAI")</f>
        <v>BCM PA DAET CHIANG RAI</v>
      </c>
      <c r="E1958" s="1" t="str">
        <f>IFERROR(__xludf.DUMMYFUNCTION("""COMPUTED_VALUE"""),"บิ๊กซี MINI")</f>
        <v>บิ๊กซี MINI</v>
      </c>
      <c r="F1958" s="1" t="str">
        <f>IFERROR(__xludf.DUMMYFUNCTION("""COMPUTED_VALUE"""),"296229")</f>
        <v>296229</v>
      </c>
      <c r="G1958" s="1" t="str">
        <f>IFERROR(__xludf.DUMMYFUNCTION("""COMPUTED_VALUE"""),"นายทนงศักดิ์ บุญมา")</f>
        <v>นายทนงศักดิ์ บุญมา</v>
      </c>
      <c r="H1958" s="1" t="str">
        <f>IFERROR(__xludf.DUMMYFUNCTION("""COMPUTED_VALUE"""),"392585")</f>
        <v>392585</v>
      </c>
      <c r="I1958" s="1" t="str">
        <f>IFERROR(__xludf.DUMMYFUNCTION("""COMPUTED_VALUE"""),"นายไชยัณต์ ผิวขัวเรียง")</f>
        <v>นายไชยัณต์ ผิวขัวเรียง</v>
      </c>
      <c r="J1958" s="3">
        <f>IFERROR(__xludf.DUMMYFUNCTION("""COMPUTED_VALUE"""),2010016.0)</f>
        <v>2010016</v>
      </c>
      <c r="K1958" s="3" t="str">
        <f>IFERROR(__xludf.DUMMYFUNCTION("""COMPUTED_VALUE"""),"นายตวงธรรม ใหม่ยศ")</f>
        <v>นายตวงธรรม ใหม่ยศ</v>
      </c>
      <c r="L1958" s="1" t="str">
        <f>IFERROR(__xludf.DUMMYFUNCTION("""COMPUTED_VALUE"""),"01 K.Tuangtham M.")</f>
        <v>01 K.Tuangtham M.</v>
      </c>
      <c r="M1958" s="1" t="str">
        <f>IFERROR(__xludf.DUMMYFUNCTION("""COMPUTED_VALUE"""),"063-976-595")</f>
        <v>063-976-595</v>
      </c>
      <c r="N1958" s="3">
        <f>IFERROR(__xludf.DUMMYFUNCTION("""COMPUTED_VALUE"""),22574.0)</f>
        <v>22574</v>
      </c>
      <c r="O1958" s="3" t="str">
        <f>IFERROR(__xludf.DUMMYFUNCTION("""COMPUTED_VALUE"""),"BCM ชุมชนศรีชุม ลำปาง")</f>
        <v>BCM ชุมชนศรีชุม ลำปาง</v>
      </c>
      <c r="P1958" s="4">
        <f>IFERROR(__xludf.DUMMYFUNCTION("""COMPUTED_VALUE"""),45274.0)</f>
        <v>45274</v>
      </c>
      <c r="Q1958" s="3" t="str">
        <f>IFERROR(__xludf.DUMMYFUNCTION("""COMPUTED_VALUE"""),"A")</f>
        <v>A</v>
      </c>
      <c r="R1958" s="3" t="str">
        <f>IFERROR(__xludf.DUMMYFUNCTION("""COMPUTED_VALUE"""),"Small Format")</f>
        <v>Small Format</v>
      </c>
      <c r="S1958" s="3" t="str">
        <f>IFERROR(__xludf.DUMMYFUNCTION("""COMPUTED_VALUE"""),"BCM")</f>
        <v>BCM</v>
      </c>
      <c r="T1958" s="3" t="str">
        <f>IFERROR(__xludf.DUMMYFUNCTION("""COMPUTED_VALUE"""),"#N/A")</f>
        <v>#N/A</v>
      </c>
      <c r="U1958" s="3" t="str">
        <f>IFERROR(__xludf.DUMMYFUNCTION("""COMPUTED_VALUE"""),"#N/A")</f>
        <v>#N/A</v>
      </c>
      <c r="V1958" s="3" t="str">
        <f>IFERROR(__xludf.DUMMYFUNCTION("""COMPUTED_VALUE"""),"N")</f>
        <v>N</v>
      </c>
      <c r="W1958" s="3">
        <f>IFERROR(__xludf.DUMMYFUNCTION("""COMPUTED_VALUE"""),210793.0)</f>
        <v>210793</v>
      </c>
      <c r="X1958" s="3" t="str">
        <f>IFERROR(__xludf.DUMMYFUNCTION("""COMPUTED_VALUE"""),"203/1 หมู่4 ตำบลป่าแดด อำเภอป่าแดด จังหวัดเชียงราย 57190")</f>
        <v>203/1 หมู่4 ตำบลป่าแดด อำเภอป่าแดด จังหวัดเชียงราย 57190</v>
      </c>
      <c r="Y1958" s="3"/>
      <c r="Z1958" s="3" t="str">
        <f>IFERROR(__xludf.DUMMYFUNCTION("""COMPUTED_VALUE"""),"ป่าแดด")</f>
        <v>ป่าแดด</v>
      </c>
      <c r="AA1958" s="3" t="str">
        <f>IFERROR(__xludf.DUMMYFUNCTION("""COMPUTED_VALUE"""),"ป่าแดด")</f>
        <v>ป่าแดด</v>
      </c>
      <c r="AB1958" s="3" t="str">
        <f>IFERROR(__xludf.DUMMYFUNCTION("""COMPUTED_VALUE"""),"เชียงราย")</f>
        <v>เชียงราย</v>
      </c>
      <c r="AC1958" s="3">
        <f>IFERROR(__xludf.DUMMYFUNCTION("""COMPUTED_VALUE"""),57190.0)</f>
        <v>57190</v>
      </c>
      <c r="AD1958" s="3">
        <f>IFERROR(__xludf.DUMMYFUNCTION("""COMPUTED_VALUE"""),19.500509)</f>
        <v>19.500509</v>
      </c>
      <c r="AE1958" s="3">
        <f>IFERROR(__xludf.DUMMYFUNCTION("""COMPUTED_VALUE"""),99.992777)</f>
        <v>99.992777</v>
      </c>
      <c r="AF1958" s="3" t="str">
        <f>IFERROR(__xludf.DUMMYFUNCTION("""COMPUTED_VALUE"""),"BCM ป่าแดด เชียงราย-22644")</f>
        <v>BCM ป่าแดด เชียงราย-22644</v>
      </c>
      <c r="AG1958" s="3" t="str">
        <f>IFERROR(__xludf.DUMMYFUNCTION("""COMPUTED_VALUE"""),"เหนือ")</f>
        <v>เหนือ</v>
      </c>
      <c r="AH1958" s="3" t="str">
        <f>IFERROR(__xludf.DUMMYFUNCTION("""COMPUTED_VALUE"""),"#N/A")</f>
        <v>#N/A</v>
      </c>
      <c r="AI1958" s="3" t="str">
        <f>IFERROR(__xludf.DUMMYFUNCTION("""COMPUTED_VALUE"""),"Out of warranty")</f>
        <v>Out of warranty</v>
      </c>
      <c r="AJ1958" s="3">
        <f>IFERROR(__xludf.DUMMYFUNCTION("""COMPUTED_VALUE"""),26.0)</f>
        <v>26</v>
      </c>
      <c r="AK1958" s="3" t="str">
        <f>IFERROR(__xludf.DUMMYFUNCTION("""COMPUTED_VALUE"""),"MMS10")</f>
        <v>MMS10</v>
      </c>
      <c r="AL1958" s="3"/>
    </row>
    <row r="1959" ht="15.75" customHeight="1">
      <c r="A1959" s="1" t="str">
        <f>IFERROR(__xludf.DUMMYFUNCTION("""COMPUTED_VALUE"""),"22645")</f>
        <v>22645</v>
      </c>
      <c r="B1959" s="2">
        <f>IFERROR(__xludf.DUMMYFUNCTION("""COMPUTED_VALUE"""),22645.0)</f>
        <v>22645</v>
      </c>
      <c r="C1959" s="3" t="str">
        <f>IFERROR(__xludf.DUMMYFUNCTION("""COMPUTED_VALUE"""),"BCM สุขุมวิท 115 สมุทรปราการ")</f>
        <v>BCM สุขุมวิท 115 สมุทรปราการ</v>
      </c>
      <c r="D1959" s="3" t="str">
        <f>IFERROR(__xludf.DUMMYFUNCTION("""COMPUTED_VALUE"""),"BCM SUKHUMVIT 115 SAMUT PRAKAN")</f>
        <v>BCM SUKHUMVIT 115 SAMUT PRAKAN</v>
      </c>
      <c r="E1959" s="1" t="str">
        <f>IFERROR(__xludf.DUMMYFUNCTION("""COMPUTED_VALUE"""),"บิ๊กซี MINI")</f>
        <v>บิ๊กซี MINI</v>
      </c>
      <c r="F1959" s="1" t="str">
        <f>IFERROR(__xludf.DUMMYFUNCTION("""COMPUTED_VALUE"""),"2083447")</f>
        <v>2083447</v>
      </c>
      <c r="G1959" s="1" t="str">
        <f>IFERROR(__xludf.DUMMYFUNCTION("""COMPUTED_VALUE"""),"นายอนุกูล ศรีลัดดา")</f>
        <v>นายอนุกูล ศรีลัดดา</v>
      </c>
      <c r="H1959" s="1" t="str">
        <f>IFERROR(__xludf.DUMMYFUNCTION("""COMPUTED_VALUE"""),"399107")</f>
        <v>399107</v>
      </c>
      <c r="I1959" s="1" t="str">
        <f>IFERROR(__xludf.DUMMYFUNCTION("""COMPUTED_VALUE"""),"นายรัชระวี กลมแป้น")</f>
        <v>นายรัชระวี กลมแป้น</v>
      </c>
      <c r="J1959" s="3">
        <f>IFERROR(__xludf.DUMMYFUNCTION("""COMPUTED_VALUE"""),510143.0)</f>
        <v>510143</v>
      </c>
      <c r="K1959" s="3" t="str">
        <f>IFERROR(__xludf.DUMMYFUNCTION("""COMPUTED_VALUE"""),"นายธีระวัฒน์ บุญสิทธิ์")</f>
        <v>นายธีระวัฒน์ บุญสิทธิ์</v>
      </c>
      <c r="L1959" s="1" t="str">
        <f>IFERROR(__xludf.DUMMYFUNCTION("""COMPUTED_VALUE"""),"12 K.Theerawat B.")</f>
        <v>12 K.Theerawat B.</v>
      </c>
      <c r="M1959" s="1" t="str">
        <f>IFERROR(__xludf.DUMMYFUNCTION("""COMPUTED_VALUE"""),"0655107379")</f>
        <v>0655107379</v>
      </c>
      <c r="N1959" s="3">
        <f>IFERROR(__xludf.DUMMYFUNCTION("""COMPUTED_VALUE"""),21062.0)</f>
        <v>21062</v>
      </c>
      <c r="O1959" s="3" t="str">
        <f>IFERROR(__xludf.DUMMYFUNCTION("""COMPUTED_VALUE"""),"MBC นิคมนวนคร")</f>
        <v>MBC นิคมนวนคร</v>
      </c>
      <c r="P1959" s="4">
        <f>IFERROR(__xludf.DUMMYFUNCTION("""COMPUTED_VALUE"""),45276.0)</f>
        <v>45276</v>
      </c>
      <c r="Q1959" s="3" t="str">
        <f>IFERROR(__xludf.DUMMYFUNCTION("""COMPUTED_VALUE"""),"A")</f>
        <v>A</v>
      </c>
      <c r="R1959" s="3" t="str">
        <f>IFERROR(__xludf.DUMMYFUNCTION("""COMPUTED_VALUE"""),"Small Format")</f>
        <v>Small Format</v>
      </c>
      <c r="S1959" s="3" t="str">
        <f>IFERROR(__xludf.DUMMYFUNCTION("""COMPUTED_VALUE"""),"BCM")</f>
        <v>BCM</v>
      </c>
      <c r="T1959" s="3" t="str">
        <f>IFERROR(__xludf.DUMMYFUNCTION("""COMPUTED_VALUE"""),"#N/A")</f>
        <v>#N/A</v>
      </c>
      <c r="U1959" s="3" t="str">
        <f>IFERROR(__xludf.DUMMYFUNCTION("""COMPUTED_VALUE"""),"#N/A")</f>
        <v>#N/A</v>
      </c>
      <c r="V1959" s="3" t="str">
        <f>IFERROR(__xludf.DUMMYFUNCTION("""COMPUTED_VALUE"""),"N")</f>
        <v>N</v>
      </c>
      <c r="W1959" s="3">
        <f>IFERROR(__xludf.DUMMYFUNCTION("""COMPUTED_VALUE"""),210672.0)</f>
        <v>210672</v>
      </c>
      <c r="X1959" s="3" t="str">
        <f>IFERROR(__xludf.DUMMYFUNCTION("""COMPUTED_VALUE"""),"1002 หมู่4 ตำบลเทพารักษ์ อำเภอเมืองสมุทรปราการ จังหวัดสมุทรปราการ 10270")</f>
        <v>1002 หมู่4 ตำบลเทพารักษ์ อำเภอเมืองสมุทรปราการ จังหวัดสมุทรปราการ 10270</v>
      </c>
      <c r="Y1959" s="3"/>
      <c r="Z1959" s="3" t="str">
        <f>IFERROR(__xludf.DUMMYFUNCTION("""COMPUTED_VALUE"""),"เทพารักษ์")</f>
        <v>เทพารักษ์</v>
      </c>
      <c r="AA1959" s="3" t="str">
        <f>IFERROR(__xludf.DUMMYFUNCTION("""COMPUTED_VALUE"""),"เมืองสมุทรปราการ")</f>
        <v>เมืองสมุทรปราการ</v>
      </c>
      <c r="AB1959" s="3" t="str">
        <f>IFERROR(__xludf.DUMMYFUNCTION("""COMPUTED_VALUE"""),"สมุทรปราการ")</f>
        <v>สมุทรปราการ</v>
      </c>
      <c r="AC1959" s="3">
        <f>IFERROR(__xludf.DUMMYFUNCTION("""COMPUTED_VALUE"""),10270.0)</f>
        <v>10270</v>
      </c>
      <c r="AD1959" s="3">
        <f>IFERROR(__xludf.DUMMYFUNCTION("""COMPUTED_VALUE"""),13.636275)</f>
        <v>13.636275</v>
      </c>
      <c r="AE1959" s="3" t="str">
        <f>IFERROR(__xludf.DUMMYFUNCTION("""COMPUTED_VALUE"""),"100.59506 7")</f>
        <v>100.59506 7</v>
      </c>
      <c r="AF1959" s="3" t="str">
        <f>IFERROR(__xludf.DUMMYFUNCTION("""COMPUTED_VALUE"""),"BCM สุขุมวิท 115 สมุทรปราการ-22645")</f>
        <v>BCM สุขุมวิท 115 สมุทรปราการ-22645</v>
      </c>
      <c r="AG1959" s="3" t="str">
        <f>IFERROR(__xludf.DUMMYFUNCTION("""COMPUTED_VALUE"""),"กลาง")</f>
        <v>กลาง</v>
      </c>
      <c r="AH1959" s="3" t="str">
        <f>IFERROR(__xludf.DUMMYFUNCTION("""COMPUTED_VALUE"""),"#N/A")</f>
        <v>#N/A</v>
      </c>
      <c r="AI1959" s="3" t="str">
        <f>IFERROR(__xludf.DUMMYFUNCTION("""COMPUTED_VALUE"""),"Out of warranty")</f>
        <v>Out of warranty</v>
      </c>
      <c r="AJ1959" s="3">
        <f>IFERROR(__xludf.DUMMYFUNCTION("""COMPUTED_VALUE"""),26.0)</f>
        <v>26</v>
      </c>
      <c r="AK1959" s="3" t="str">
        <f>IFERROR(__xludf.DUMMYFUNCTION("""COMPUTED_VALUE"""),"MMS02")</f>
        <v>MMS02</v>
      </c>
      <c r="AL1959" s="3"/>
    </row>
    <row r="1960" ht="15.75" customHeight="1">
      <c r="A1960" s="1" t="str">
        <f>IFERROR(__xludf.DUMMYFUNCTION("""COMPUTED_VALUE"""),"22646")</f>
        <v>22646</v>
      </c>
      <c r="B1960" s="2">
        <f>IFERROR(__xludf.DUMMYFUNCTION("""COMPUTED_VALUE"""),22646.0)</f>
        <v>22646</v>
      </c>
      <c r="C1960" s="3" t="str">
        <f>IFERROR(__xludf.DUMMYFUNCTION("""COMPUTED_VALUE"""),"BCM จี คอนโด ศรีราชา ชลบุรี")</f>
        <v>BCM จี คอนโด ศรีราชา ชลบุรี</v>
      </c>
      <c r="D1960" s="3" t="str">
        <f>IFERROR(__xludf.DUMMYFUNCTION("""COMPUTED_VALUE"""),"BCM G-CONDO SRIRACHA CHON BURI")</f>
        <v>BCM G-CONDO SRIRACHA CHON BURI</v>
      </c>
      <c r="E1960" s="1" t="str">
        <f>IFERROR(__xludf.DUMMYFUNCTION("""COMPUTED_VALUE"""),"บิ๊กซี MINI")</f>
        <v>บิ๊กซี MINI</v>
      </c>
      <c r="F1960" s="1" t="str">
        <f>IFERROR(__xludf.DUMMYFUNCTION("""COMPUTED_VALUE"""),"221716")</f>
        <v>221716</v>
      </c>
      <c r="G1960" s="1" t="str">
        <f>IFERROR(__xludf.DUMMYFUNCTION("""COMPUTED_VALUE"""),"น.ส.เบญจพร โพธิสาร")</f>
        <v>น.ส.เบญจพร โพธิสาร</v>
      </c>
      <c r="H1960" s="1" t="str">
        <f>IFERROR(__xludf.DUMMYFUNCTION("""COMPUTED_VALUE"""),"376139")</f>
        <v>376139</v>
      </c>
      <c r="I1960" s="1" t="str">
        <f>IFERROR(__xludf.DUMMYFUNCTION("""COMPUTED_VALUE"""),"นายอนุชา อำไพ")</f>
        <v>นายอนุชา อำไพ</v>
      </c>
      <c r="J1960" s="3">
        <f>IFERROR(__xludf.DUMMYFUNCTION("""COMPUTED_VALUE"""),296942.0)</f>
        <v>296942</v>
      </c>
      <c r="K1960" s="3" t="str">
        <f>IFERROR(__xludf.DUMMYFUNCTION("""COMPUTED_VALUE"""),"นายปิยะ รักษากิจ")</f>
        <v>นายปิยะ รักษากิจ</v>
      </c>
      <c r="L1960" s="1" t="str">
        <f>IFERROR(__xludf.DUMMYFUNCTION("""COMPUTED_VALUE"""),"07 K.Piya R.")</f>
        <v>07 K.Piya R.</v>
      </c>
      <c r="M1960" s="1" t="str">
        <f>IFERROR(__xludf.DUMMYFUNCTION("""COMPUTED_VALUE"""),"097-919-5476")</f>
        <v>097-919-5476</v>
      </c>
      <c r="N1960" s="3">
        <f>IFERROR(__xludf.DUMMYFUNCTION("""COMPUTED_VALUE"""),21332.0)</f>
        <v>21332</v>
      </c>
      <c r="O1960" s="3" t="str">
        <f>IFERROR(__xludf.DUMMYFUNCTION("""COMPUTED_VALUE"""),"MBC BCP อ่อนนุช 17/1")</f>
        <v>MBC BCP อ่อนนุช 17/1</v>
      </c>
      <c r="P1960" s="4">
        <f>IFERROR(__xludf.DUMMYFUNCTION("""COMPUTED_VALUE"""),45277.0)</f>
        <v>45277</v>
      </c>
      <c r="Q1960" s="3" t="str">
        <f>IFERROR(__xludf.DUMMYFUNCTION("""COMPUTED_VALUE"""),"A")</f>
        <v>A</v>
      </c>
      <c r="R1960" s="3" t="str">
        <f>IFERROR(__xludf.DUMMYFUNCTION("""COMPUTED_VALUE"""),"Small Format")</f>
        <v>Small Format</v>
      </c>
      <c r="S1960" s="3" t="str">
        <f>IFERROR(__xludf.DUMMYFUNCTION("""COMPUTED_VALUE"""),"BCM")</f>
        <v>BCM</v>
      </c>
      <c r="T1960" s="3" t="str">
        <f>IFERROR(__xludf.DUMMYFUNCTION("""COMPUTED_VALUE"""),"#N/A")</f>
        <v>#N/A</v>
      </c>
      <c r="U1960" s="3" t="str">
        <f>IFERROR(__xludf.DUMMYFUNCTION("""COMPUTED_VALUE"""),"#N/A")</f>
        <v>#N/A</v>
      </c>
      <c r="V1960" s="3" t="str">
        <f>IFERROR(__xludf.DUMMYFUNCTION("""COMPUTED_VALUE"""),"N")</f>
        <v>N</v>
      </c>
      <c r="W1960" s="3">
        <f>IFERROR(__xludf.DUMMYFUNCTION("""COMPUTED_VALUE"""),210740.0)</f>
        <v>210740</v>
      </c>
      <c r="X1960" s="3" t="str">
        <f>IFERROR(__xludf.DUMMYFUNCTION("""COMPUTED_VALUE"""),"378/6 หมู่2 ตำบลสุรศักดิ์ อำเภอศรีราชา จังหวัดชลบุรี 20110")</f>
        <v>378/6 หมู่2 ตำบลสุรศักดิ์ อำเภอศรีราชา จังหวัดชลบุรี 20110</v>
      </c>
      <c r="Y1960" s="3"/>
      <c r="Z1960" s="3" t="str">
        <f>IFERROR(__xludf.DUMMYFUNCTION("""COMPUTED_VALUE"""),"สุรศักดิ์")</f>
        <v>สุรศักดิ์</v>
      </c>
      <c r="AA1960" s="3" t="str">
        <f>IFERROR(__xludf.DUMMYFUNCTION("""COMPUTED_VALUE"""),"ศรีราชา")</f>
        <v>ศรีราชา</v>
      </c>
      <c r="AB1960" s="3" t="str">
        <f>IFERROR(__xludf.DUMMYFUNCTION("""COMPUTED_VALUE"""),"ชลบุรี")</f>
        <v>ชลบุรี</v>
      </c>
      <c r="AC1960" s="3">
        <f>IFERROR(__xludf.DUMMYFUNCTION("""COMPUTED_VALUE"""),20110.0)</f>
        <v>20110</v>
      </c>
      <c r="AD1960" s="3">
        <f>IFERROR(__xludf.DUMMYFUNCTION("""COMPUTED_VALUE"""),13.147373)</f>
        <v>13.147373</v>
      </c>
      <c r="AE1960" s="3">
        <f>IFERROR(__xludf.DUMMYFUNCTION("""COMPUTED_VALUE"""),100.944937)</f>
        <v>100.944937</v>
      </c>
      <c r="AF1960" s="3" t="str">
        <f>IFERROR(__xludf.DUMMYFUNCTION("""COMPUTED_VALUE"""),"BCM จี คอนโด ศรีราชา ชลบุรี-22646")</f>
        <v>BCM จี คอนโด ศรีราชา ชลบุรี-22646</v>
      </c>
      <c r="AG1960" s="3" t="str">
        <f>IFERROR(__xludf.DUMMYFUNCTION("""COMPUTED_VALUE"""),"ตะวันออก")</f>
        <v>ตะวันออก</v>
      </c>
      <c r="AH1960" s="3" t="str">
        <f>IFERROR(__xludf.DUMMYFUNCTION("""COMPUTED_VALUE"""),"#N/A")</f>
        <v>#N/A</v>
      </c>
      <c r="AI1960" s="3" t="str">
        <f>IFERROR(__xludf.DUMMYFUNCTION("""COMPUTED_VALUE"""),"Out of warranty")</f>
        <v>Out of warranty</v>
      </c>
      <c r="AJ1960" s="3">
        <f>IFERROR(__xludf.DUMMYFUNCTION("""COMPUTED_VALUE"""),26.0)</f>
        <v>26</v>
      </c>
      <c r="AK1960" s="3" t="str">
        <f>IFERROR(__xludf.DUMMYFUNCTION("""COMPUTED_VALUE"""),"MMS06")</f>
        <v>MMS06</v>
      </c>
      <c r="AL1960" s="3"/>
    </row>
    <row r="1961" ht="15.75" customHeight="1">
      <c r="A1961" s="1" t="str">
        <f>IFERROR(__xludf.DUMMYFUNCTION("""COMPUTED_VALUE"""),"22647")</f>
        <v>22647</v>
      </c>
      <c r="B1961" s="2">
        <f>IFERROR(__xludf.DUMMYFUNCTION("""COMPUTED_VALUE"""),22647.0)</f>
        <v>22647</v>
      </c>
      <c r="C1961" s="3" t="str">
        <f>IFERROR(__xludf.DUMMYFUNCTION("""COMPUTED_VALUE"""),"BCM กะรน ภูเก็ต")</f>
        <v>BCM กะรน ภูเก็ต</v>
      </c>
      <c r="D1961" s="3" t="str">
        <f>IFERROR(__xludf.DUMMYFUNCTION("""COMPUTED_VALUE"""),"BCM KARON PHUKET")</f>
        <v>BCM KARON PHUKET</v>
      </c>
      <c r="E1961" s="1" t="str">
        <f>IFERROR(__xludf.DUMMYFUNCTION("""COMPUTED_VALUE"""),"บิ๊กซี MINI")</f>
        <v>บิ๊กซี MINI</v>
      </c>
      <c r="F1961" s="1" t="str">
        <f>IFERROR(__xludf.DUMMYFUNCTION("""COMPUTED_VALUE"""),"250760")</f>
        <v>250760</v>
      </c>
      <c r="G1961" s="1" t="str">
        <f>IFERROR(__xludf.DUMMYFUNCTION("""COMPUTED_VALUE"""),"นายประทวน สาราบรรณ์")</f>
        <v>นายประทวน สาราบรรณ์</v>
      </c>
      <c r="H1961" s="1" t="str">
        <f>IFERROR(__xludf.DUMMYFUNCTION("""COMPUTED_VALUE"""),"357284")</f>
        <v>357284</v>
      </c>
      <c r="I1961" s="1" t="str">
        <f>IFERROR(__xludf.DUMMYFUNCTION("""COMPUTED_VALUE"""),"น.ส.เบญจวรรณ ปัณฑโมรา")</f>
        <v>น.ส.เบญจวรรณ ปัณฑโมรา</v>
      </c>
      <c r="J1961" s="3">
        <f>IFERROR(__xludf.DUMMYFUNCTION("""COMPUTED_VALUE"""),25324.0)</f>
        <v>25324</v>
      </c>
      <c r="K1961" s="3" t="str">
        <f>IFERROR(__xludf.DUMMYFUNCTION("""COMPUTED_VALUE"""),"นายวิเชฎฐ์ ติรัตนะประคม")</f>
        <v>นายวิเชฎฐ์ ติรัตนะประคม</v>
      </c>
      <c r="L1961" s="1" t="str">
        <f>IFERROR(__xludf.DUMMYFUNCTION("""COMPUTED_VALUE"""),"14 K.Wichet T.")</f>
        <v>14 K.Wichet T.</v>
      </c>
      <c r="M1961" s="1" t="str">
        <f>IFERROR(__xludf.DUMMYFUNCTION("""COMPUTED_VALUE"""),"061-417-6569 / 086-445-5636")</f>
        <v>061-417-6569 / 086-445-5636</v>
      </c>
      <c r="N1961" s="3">
        <f>IFERROR(__xludf.DUMMYFUNCTION("""COMPUTED_VALUE"""),22658.0)</f>
        <v>22658</v>
      </c>
      <c r="O1961" s="3" t="str">
        <f>IFERROR(__xludf.DUMMYFUNCTION("""COMPUTED_VALUE"""),"BCM ถ.วิรัชหงษ์หยก ภูเก็ต")</f>
        <v>BCM ถ.วิรัชหงษ์หยก ภูเก็ต</v>
      </c>
      <c r="P1961" s="4">
        <f>IFERROR(__xludf.DUMMYFUNCTION("""COMPUTED_VALUE"""),45278.0)</f>
        <v>45278</v>
      </c>
      <c r="Q1961" s="3" t="str">
        <f>IFERROR(__xludf.DUMMYFUNCTION("""COMPUTED_VALUE"""),"A")</f>
        <v>A</v>
      </c>
      <c r="R1961" s="3" t="str">
        <f>IFERROR(__xludf.DUMMYFUNCTION("""COMPUTED_VALUE"""),"Small Format")</f>
        <v>Small Format</v>
      </c>
      <c r="S1961" s="3" t="str">
        <f>IFERROR(__xludf.DUMMYFUNCTION("""COMPUTED_VALUE"""),"BCM")</f>
        <v>BCM</v>
      </c>
      <c r="T1961" s="3" t="str">
        <f>IFERROR(__xludf.DUMMYFUNCTION("""COMPUTED_VALUE"""),"#N/A")</f>
        <v>#N/A</v>
      </c>
      <c r="U1961" s="3" t="str">
        <f>IFERROR(__xludf.DUMMYFUNCTION("""COMPUTED_VALUE"""),"#N/A")</f>
        <v>#N/A</v>
      </c>
      <c r="V1961" s="3" t="str">
        <f>IFERROR(__xludf.DUMMYFUNCTION("""COMPUTED_VALUE"""),"N")</f>
        <v>N</v>
      </c>
      <c r="W1961" s="3">
        <f>IFERROR(__xludf.DUMMYFUNCTION("""COMPUTED_VALUE"""),210757.0)</f>
        <v>210757</v>
      </c>
      <c r="X1961" s="3"/>
      <c r="Y1961" s="3"/>
      <c r="Z1961" s="3"/>
      <c r="AA1961" s="3"/>
      <c r="AB1961" s="3"/>
      <c r="AC1961" s="3"/>
      <c r="AD1961" s="3">
        <f>IFERROR(__xludf.DUMMYFUNCTION("""COMPUTED_VALUE"""),7.845752)</f>
        <v>7.845752</v>
      </c>
      <c r="AE1961" s="3">
        <f>IFERROR(__xludf.DUMMYFUNCTION("""COMPUTED_VALUE"""),98.298836)</f>
        <v>98.298836</v>
      </c>
      <c r="AF1961" s="3" t="str">
        <f>IFERROR(__xludf.DUMMYFUNCTION("""COMPUTED_VALUE"""),"BCM กะรน ภูเก็ต-22647")</f>
        <v>BCM กะรน ภูเก็ต-22647</v>
      </c>
      <c r="AG1961" s="3">
        <f>IFERROR(__xludf.DUMMYFUNCTION("""COMPUTED_VALUE"""),0.0)</f>
        <v>0</v>
      </c>
      <c r="AH1961" s="3" t="str">
        <f>IFERROR(__xludf.DUMMYFUNCTION("""COMPUTED_VALUE"""),"#N/A")</f>
        <v>#N/A</v>
      </c>
      <c r="AI1961" s="3" t="str">
        <f>IFERROR(__xludf.DUMMYFUNCTION("""COMPUTED_VALUE"""),"Out of warranty")</f>
        <v>Out of warranty</v>
      </c>
      <c r="AJ1961" s="3">
        <f>IFERROR(__xludf.DUMMYFUNCTION("""COMPUTED_VALUE"""),26.0)</f>
        <v>26</v>
      </c>
      <c r="AK1961" s="3" t="str">
        <f>IFERROR(__xludf.DUMMYFUNCTION("""COMPUTED_VALUE"""),"MMS15")</f>
        <v>MMS15</v>
      </c>
      <c r="AL1961" s="3"/>
    </row>
    <row r="1962" ht="15.75" customHeight="1">
      <c r="A1962" s="1" t="str">
        <f>IFERROR(__xludf.DUMMYFUNCTION("""COMPUTED_VALUE"""),"22648")</f>
        <v>22648</v>
      </c>
      <c r="B1962" s="2">
        <f>IFERROR(__xludf.DUMMYFUNCTION("""COMPUTED_VALUE"""),22648.0)</f>
        <v>22648</v>
      </c>
      <c r="C1962" s="3" t="str">
        <f>IFERROR(__xludf.DUMMYFUNCTION("""COMPUTED_VALUE"""),"BCM หาดสุรินทร์ ภูเก็ต")</f>
        <v>BCM หาดสุรินทร์ ภูเก็ต</v>
      </c>
      <c r="D1962" s="3" t="str">
        <f>IFERROR(__xludf.DUMMYFUNCTION("""COMPUTED_VALUE"""),"BCM HAD SURIN PHUKET")</f>
        <v>BCM HAD SURIN PHUKET</v>
      </c>
      <c r="E1962" s="1" t="str">
        <f>IFERROR(__xludf.DUMMYFUNCTION("""COMPUTED_VALUE"""),"บิ๊กซี MINI")</f>
        <v>บิ๊กซี MINI</v>
      </c>
      <c r="F1962" s="1" t="str">
        <f>IFERROR(__xludf.DUMMYFUNCTION("""COMPUTED_VALUE"""),"250760")</f>
        <v>250760</v>
      </c>
      <c r="G1962" s="1" t="str">
        <f>IFERROR(__xludf.DUMMYFUNCTION("""COMPUTED_VALUE"""),"นายประทวน สาราบรรณ์")</f>
        <v>นายประทวน สาราบรรณ์</v>
      </c>
      <c r="H1962" s="1" t="str">
        <f>IFERROR(__xludf.DUMMYFUNCTION("""COMPUTED_VALUE"""),"357284")</f>
        <v>357284</v>
      </c>
      <c r="I1962" s="1" t="str">
        <f>IFERROR(__xludf.DUMMYFUNCTION("""COMPUTED_VALUE"""),"น.ส.เบญจวรรณ ปัณฑโมรา")</f>
        <v>น.ส.เบญจวรรณ ปัณฑโมรา</v>
      </c>
      <c r="J1962" s="3">
        <f>IFERROR(__xludf.DUMMYFUNCTION("""COMPUTED_VALUE"""),25324.0)</f>
        <v>25324</v>
      </c>
      <c r="K1962" s="3" t="str">
        <f>IFERROR(__xludf.DUMMYFUNCTION("""COMPUTED_VALUE"""),"นายวิเชฎฐ์ ติรัตนะประคม")</f>
        <v>นายวิเชฎฐ์ ติรัตนะประคม</v>
      </c>
      <c r="L1962" s="1" t="str">
        <f>IFERROR(__xludf.DUMMYFUNCTION("""COMPUTED_VALUE"""),"14 K.Wichet T.")</f>
        <v>14 K.Wichet T.</v>
      </c>
      <c r="M1962" s="1" t="str">
        <f>IFERROR(__xludf.DUMMYFUNCTION("""COMPUTED_VALUE"""),"061-417-6569 / 086-445-5636")</f>
        <v>061-417-6569 / 086-445-5636</v>
      </c>
      <c r="N1962" s="3">
        <f>IFERROR(__xludf.DUMMYFUNCTION("""COMPUTED_VALUE"""),22658.0)</f>
        <v>22658</v>
      </c>
      <c r="O1962" s="3" t="str">
        <f>IFERROR(__xludf.DUMMYFUNCTION("""COMPUTED_VALUE"""),"BCM ถ.วิรัชหงษ์หยก ภูเก็ต")</f>
        <v>BCM ถ.วิรัชหงษ์หยก ภูเก็ต</v>
      </c>
      <c r="P1962" s="4">
        <f>IFERROR(__xludf.DUMMYFUNCTION("""COMPUTED_VALUE"""),45269.0)</f>
        <v>45269</v>
      </c>
      <c r="Q1962" s="3" t="str">
        <f>IFERROR(__xludf.DUMMYFUNCTION("""COMPUTED_VALUE"""),"A")</f>
        <v>A</v>
      </c>
      <c r="R1962" s="3" t="str">
        <f>IFERROR(__xludf.DUMMYFUNCTION("""COMPUTED_VALUE"""),"Small Format")</f>
        <v>Small Format</v>
      </c>
      <c r="S1962" s="3" t="str">
        <f>IFERROR(__xludf.DUMMYFUNCTION("""COMPUTED_VALUE"""),"BCM")</f>
        <v>BCM</v>
      </c>
      <c r="T1962" s="3" t="str">
        <f>IFERROR(__xludf.DUMMYFUNCTION("""COMPUTED_VALUE"""),"#N/A")</f>
        <v>#N/A</v>
      </c>
      <c r="U1962" s="3" t="str">
        <f>IFERROR(__xludf.DUMMYFUNCTION("""COMPUTED_VALUE"""),"#N/A")</f>
        <v>#N/A</v>
      </c>
      <c r="V1962" s="3" t="str">
        <f>IFERROR(__xludf.DUMMYFUNCTION("""COMPUTED_VALUE"""),"N")</f>
        <v>N</v>
      </c>
      <c r="W1962" s="3">
        <f>IFERROR(__xludf.DUMMYFUNCTION("""COMPUTED_VALUE"""),210781.0)</f>
        <v>210781</v>
      </c>
      <c r="X1962" s="3" t="str">
        <f>IFERROR(__xludf.DUMMYFUNCTION("""COMPUTED_VALUE"""),"8/71 หมู่3 ตำบลเชิงทะเล อำเภอถลาง จังหวัดภูเก็ต 83110")</f>
        <v>8/71 หมู่3 ตำบลเชิงทะเล อำเภอถลาง จังหวัดภูเก็ต 83110</v>
      </c>
      <c r="Y1962" s="3"/>
      <c r="Z1962" s="3" t="str">
        <f>IFERROR(__xludf.DUMMYFUNCTION("""COMPUTED_VALUE"""),"เชิงทะเล")</f>
        <v>เชิงทะเล</v>
      </c>
      <c r="AA1962" s="3" t="str">
        <f>IFERROR(__xludf.DUMMYFUNCTION("""COMPUTED_VALUE"""),"ถลาง")</f>
        <v>ถลาง</v>
      </c>
      <c r="AB1962" s="3" t="str">
        <f>IFERROR(__xludf.DUMMYFUNCTION("""COMPUTED_VALUE"""),"ภูเก็ต")</f>
        <v>ภูเก็ต</v>
      </c>
      <c r="AC1962" s="3">
        <f>IFERROR(__xludf.DUMMYFUNCTION("""COMPUTED_VALUE"""),83110.0)</f>
        <v>83110</v>
      </c>
      <c r="AD1962" s="3">
        <f>IFERROR(__xludf.DUMMYFUNCTION("""COMPUTED_VALUE"""),7.976624)</f>
        <v>7.976624</v>
      </c>
      <c r="AE1962" s="3">
        <f>IFERROR(__xludf.DUMMYFUNCTION("""COMPUTED_VALUE"""),98.285136)</f>
        <v>98.285136</v>
      </c>
      <c r="AF1962" s="3" t="str">
        <f>IFERROR(__xludf.DUMMYFUNCTION("""COMPUTED_VALUE"""),"BCM หาดสุรินทร์ ภูเก็ต-22648")</f>
        <v>BCM หาดสุรินทร์ ภูเก็ต-22648</v>
      </c>
      <c r="AG1962" s="3" t="str">
        <f>IFERROR(__xludf.DUMMYFUNCTION("""COMPUTED_VALUE"""),"ใต้")</f>
        <v>ใต้</v>
      </c>
      <c r="AH1962" s="3" t="str">
        <f>IFERROR(__xludf.DUMMYFUNCTION("""COMPUTED_VALUE"""),"#N/A")</f>
        <v>#N/A</v>
      </c>
      <c r="AI1962" s="3" t="str">
        <f>IFERROR(__xludf.DUMMYFUNCTION("""COMPUTED_VALUE"""),"Out of warranty")</f>
        <v>Out of warranty</v>
      </c>
      <c r="AJ1962" s="3">
        <f>IFERROR(__xludf.DUMMYFUNCTION("""COMPUTED_VALUE"""),26.0)</f>
        <v>26</v>
      </c>
      <c r="AK1962" s="3" t="str">
        <f>IFERROR(__xludf.DUMMYFUNCTION("""COMPUTED_VALUE"""),"MMS15")</f>
        <v>MMS15</v>
      </c>
      <c r="AL1962" s="3"/>
    </row>
    <row r="1963" ht="15.75" customHeight="1">
      <c r="A1963" s="1" t="str">
        <f>IFERROR(__xludf.DUMMYFUNCTION("""COMPUTED_VALUE"""),"22649")</f>
        <v>22649</v>
      </c>
      <c r="B1963" s="2">
        <f>IFERROR(__xludf.DUMMYFUNCTION("""COMPUTED_VALUE"""),22649.0)</f>
        <v>22649</v>
      </c>
      <c r="C1963" s="3" t="str">
        <f>IFERROR(__xludf.DUMMYFUNCTION("""COMPUTED_VALUE"""),"BCM ภูมิใจนิเวศน์ 10 สมุทรปราการ")</f>
        <v>BCM ภูมิใจนิเวศน์ 10 สมุทรปราการ</v>
      </c>
      <c r="D1963" s="3" t="str">
        <f>IFERROR(__xludf.DUMMYFUNCTION("""COMPUTED_VALUE"""),"BCM POOMJAINIVATE 10")</f>
        <v>BCM POOMJAINIVATE 10</v>
      </c>
      <c r="E1963" s="1" t="str">
        <f>IFERROR(__xludf.DUMMYFUNCTION("""COMPUTED_VALUE"""),"บิ๊กซี MINI")</f>
        <v>บิ๊กซี MINI</v>
      </c>
      <c r="F1963" s="1" t="str">
        <f>IFERROR(__xludf.DUMMYFUNCTION("""COMPUTED_VALUE"""),"2083447")</f>
        <v>2083447</v>
      </c>
      <c r="G1963" s="1" t="str">
        <f>IFERROR(__xludf.DUMMYFUNCTION("""COMPUTED_VALUE"""),"นายอนุกูล ศรีลัดดา")</f>
        <v>นายอนุกูล ศรีลัดดา</v>
      </c>
      <c r="H1963" s="1" t="str">
        <f>IFERROR(__xludf.DUMMYFUNCTION("""COMPUTED_VALUE"""),"379037")</f>
        <v>379037</v>
      </c>
      <c r="I1963" s="1" t="str">
        <f>IFERROR(__xludf.DUMMYFUNCTION("""COMPUTED_VALUE"""),"นางแก้วใจ แก้วกาญจน์")</f>
        <v>นางแก้วใจ แก้วกาญจน์</v>
      </c>
      <c r="J1963" s="3">
        <f>IFERROR(__xludf.DUMMYFUNCTION("""COMPUTED_VALUE"""),2451655.0)</f>
        <v>2451655</v>
      </c>
      <c r="K1963" s="3" t="str">
        <f>IFERROR(__xludf.DUMMYFUNCTION("""COMPUTED_VALUE"""),"นายวิษณุพงษ์ ชินบุตร")</f>
        <v>นายวิษณุพงษ์ ชินบุตร</v>
      </c>
      <c r="L1963" s="1" t="str">
        <f>IFERROR(__xludf.DUMMYFUNCTION("""COMPUTED_VALUE"""),"13 K.Wisanupong Ch")</f>
        <v>13 K.Wisanupong Ch</v>
      </c>
      <c r="M1963" s="1" t="str">
        <f>IFERROR(__xludf.DUMMYFUNCTION("""COMPUTED_VALUE"""),"0843374693")</f>
        <v>0843374693</v>
      </c>
      <c r="N1963" s="3">
        <f>IFERROR(__xludf.DUMMYFUNCTION("""COMPUTED_VALUE"""),22729.0)</f>
        <v>22729</v>
      </c>
      <c r="O1963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1963" s="4">
        <f>IFERROR(__xludf.DUMMYFUNCTION("""COMPUTED_VALUE"""),45280.0)</f>
        <v>45280</v>
      </c>
      <c r="Q1963" s="3" t="str">
        <f>IFERROR(__xludf.DUMMYFUNCTION("""COMPUTED_VALUE"""),"A")</f>
        <v>A</v>
      </c>
      <c r="R1963" s="3" t="str">
        <f>IFERROR(__xludf.DUMMYFUNCTION("""COMPUTED_VALUE"""),"Small Format")</f>
        <v>Small Format</v>
      </c>
      <c r="S1963" s="3" t="str">
        <f>IFERROR(__xludf.DUMMYFUNCTION("""COMPUTED_VALUE"""),"BCM")</f>
        <v>BCM</v>
      </c>
      <c r="T1963" s="3" t="str">
        <f>IFERROR(__xludf.DUMMYFUNCTION("""COMPUTED_VALUE"""),"#N/A")</f>
        <v>#N/A</v>
      </c>
      <c r="U1963" s="3" t="str">
        <f>IFERROR(__xludf.DUMMYFUNCTION("""COMPUTED_VALUE"""),"#N/A")</f>
        <v>#N/A</v>
      </c>
      <c r="V1963" s="3" t="str">
        <f>IFERROR(__xludf.DUMMYFUNCTION("""COMPUTED_VALUE"""),"N")</f>
        <v>N</v>
      </c>
      <c r="W1963" s="3">
        <f>IFERROR(__xludf.DUMMYFUNCTION("""COMPUTED_VALUE"""),210772.0)</f>
        <v>210772</v>
      </c>
      <c r="X1963" s="3" t="str">
        <f>IFERROR(__xludf.DUMMYFUNCTION("""COMPUTED_VALUE"""),"60/4 หมู่7 ตำบลในคลองบางปลากด อำเภอพระสมุทรเจดีย์ จังหวัดสมุทรปราการ 10290")</f>
        <v>60/4 หมู่7 ตำบลในคลองบางปลากด อำเภอพระสมุทรเจดีย์ จังหวัดสมุทรปราการ 10290</v>
      </c>
      <c r="Y1963" s="3"/>
      <c r="Z1963" s="3" t="str">
        <f>IFERROR(__xludf.DUMMYFUNCTION("""COMPUTED_VALUE"""),"ในคลองบางปลากด")</f>
        <v>ในคลองบางปลากด</v>
      </c>
      <c r="AA1963" s="3" t="str">
        <f>IFERROR(__xludf.DUMMYFUNCTION("""COMPUTED_VALUE"""),"พระสมุทรเจดีย์")</f>
        <v>พระสมุทรเจดีย์</v>
      </c>
      <c r="AB1963" s="3" t="str">
        <f>IFERROR(__xludf.DUMMYFUNCTION("""COMPUTED_VALUE"""),"สมุทรปราการ")</f>
        <v>สมุทรปราการ</v>
      </c>
      <c r="AC1963" s="3">
        <f>IFERROR(__xludf.DUMMYFUNCTION("""COMPUTED_VALUE"""),10290.0)</f>
        <v>10290</v>
      </c>
      <c r="AD1963" s="3">
        <f>IFERROR(__xludf.DUMMYFUNCTION("""COMPUTED_VALUE"""),13.580506)</f>
        <v>13.580506</v>
      </c>
      <c r="AE1963" s="3">
        <f>IFERROR(__xludf.DUMMYFUNCTION("""COMPUTED_VALUE"""),100.548786)</f>
        <v>100.548786</v>
      </c>
      <c r="AF1963" s="3" t="str">
        <f>IFERROR(__xludf.DUMMYFUNCTION("""COMPUTED_VALUE"""),"BCM ภูมิใจนิเวศน์ 10 สมุทรปราการ-22649")</f>
        <v>BCM ภูมิใจนิเวศน์ 10 สมุทรปราการ-22649</v>
      </c>
      <c r="AG1963" s="3" t="str">
        <f>IFERROR(__xludf.DUMMYFUNCTION("""COMPUTED_VALUE"""),"กลาง")</f>
        <v>กลาง</v>
      </c>
      <c r="AH1963" s="3" t="str">
        <f>IFERROR(__xludf.DUMMYFUNCTION("""COMPUTED_VALUE"""),"#N/A")</f>
        <v>#N/A</v>
      </c>
      <c r="AI1963" s="3" t="str">
        <f>IFERROR(__xludf.DUMMYFUNCTION("""COMPUTED_VALUE"""),"Out of warranty")</f>
        <v>Out of warranty</v>
      </c>
      <c r="AJ1963" s="3">
        <f>IFERROR(__xludf.DUMMYFUNCTION("""COMPUTED_VALUE"""),26.0)</f>
        <v>26</v>
      </c>
      <c r="AK1963" s="3" t="str">
        <f>IFERROR(__xludf.DUMMYFUNCTION("""COMPUTED_VALUE"""),"MMS02")</f>
        <v>MMS02</v>
      </c>
      <c r="AL1963" s="3"/>
    </row>
    <row r="1964" ht="15.75" customHeight="1">
      <c r="A1964" s="1" t="str">
        <f>IFERROR(__xludf.DUMMYFUNCTION("""COMPUTED_VALUE"""),"22650")</f>
        <v>22650</v>
      </c>
      <c r="B1964" s="2">
        <f>IFERROR(__xludf.DUMMYFUNCTION("""COMPUTED_VALUE"""),22650.0)</f>
        <v>22650</v>
      </c>
      <c r="C1964" s="3" t="str">
        <f>IFERROR(__xludf.DUMMYFUNCTION("""COMPUTED_VALUE"""),"BCM สวนสน ระยอง")</f>
        <v>BCM สวนสน ระยอง</v>
      </c>
      <c r="D1964" s="3" t="str">
        <f>IFERROR(__xludf.DUMMYFUNCTION("""COMPUTED_VALUE"""),"BCM SUAN SON RAYONG")</f>
        <v>BCM SUAN SON RAYONG</v>
      </c>
      <c r="E1964" s="1" t="str">
        <f>IFERROR(__xludf.DUMMYFUNCTION("""COMPUTED_VALUE"""),"บิ๊กซี MINI")</f>
        <v>บิ๊กซี MINI</v>
      </c>
      <c r="F1964" s="1" t="str">
        <f>IFERROR(__xludf.DUMMYFUNCTION("""COMPUTED_VALUE"""),"221716")</f>
        <v>221716</v>
      </c>
      <c r="G1964" s="1" t="str">
        <f>IFERROR(__xludf.DUMMYFUNCTION("""COMPUTED_VALUE"""),"น.ส.เบญจพร โพธิสาร")</f>
        <v>น.ส.เบญจพร โพธิสาร</v>
      </c>
      <c r="H1964" s="1" t="str">
        <f>IFERROR(__xludf.DUMMYFUNCTION("""COMPUTED_VALUE"""),"359233")</f>
        <v>359233</v>
      </c>
      <c r="I1964" s="1" t="str">
        <f>IFERROR(__xludf.DUMMYFUNCTION("""COMPUTED_VALUE"""),"น.ส.ปยุดา คำมีอ่อน")</f>
        <v>น.ส.ปยุดา คำมีอ่อน</v>
      </c>
      <c r="J1964" s="3">
        <f>IFERROR(__xludf.DUMMYFUNCTION("""COMPUTED_VALUE"""),2452376.0)</f>
        <v>2452376</v>
      </c>
      <c r="K1964" s="3" t="str">
        <f>IFERROR(__xludf.DUMMYFUNCTION("""COMPUTED_VALUE"""),"นายภาคภูมิ ทวีกุล")</f>
        <v>นายภาคภูมิ ทวีกุล</v>
      </c>
      <c r="L1964" s="1" t="str">
        <f>IFERROR(__xludf.DUMMYFUNCTION("""COMPUTED_VALUE"""),"08 K.Parkphum T.")</f>
        <v>08 K.Parkphum T.</v>
      </c>
      <c r="M1964" s="1" t="str">
        <f>IFERROR(__xludf.DUMMYFUNCTION("""COMPUTED_VALUE"""),"097-919-5476")</f>
        <v>097-919-5476</v>
      </c>
      <c r="N1964" s="3">
        <f>IFERROR(__xludf.DUMMYFUNCTION("""COMPUTED_VALUE"""),22028.0)</f>
        <v>22028</v>
      </c>
      <c r="O1964" s="3" t="str">
        <f>IFERROR(__xludf.DUMMYFUNCTION("""COMPUTED_VALUE"""),"MBC ทํบมา ระยอง")</f>
        <v>MBC ทํบมา ระยอง</v>
      </c>
      <c r="P1964" s="4">
        <f>IFERROR(__xludf.DUMMYFUNCTION("""COMPUTED_VALUE"""),45281.0)</f>
        <v>45281</v>
      </c>
      <c r="Q1964" s="3" t="str">
        <f>IFERROR(__xludf.DUMMYFUNCTION("""COMPUTED_VALUE"""),"A")</f>
        <v>A</v>
      </c>
      <c r="R1964" s="3" t="str">
        <f>IFERROR(__xludf.DUMMYFUNCTION("""COMPUTED_VALUE"""),"Small Format")</f>
        <v>Small Format</v>
      </c>
      <c r="S1964" s="3" t="str">
        <f>IFERROR(__xludf.DUMMYFUNCTION("""COMPUTED_VALUE"""),"BCM")</f>
        <v>BCM</v>
      </c>
      <c r="T1964" s="3" t="str">
        <f>IFERROR(__xludf.DUMMYFUNCTION("""COMPUTED_VALUE"""),"#N/A")</f>
        <v>#N/A</v>
      </c>
      <c r="U1964" s="3" t="str">
        <f>IFERROR(__xludf.DUMMYFUNCTION("""COMPUTED_VALUE"""),"#N/A")</f>
        <v>#N/A</v>
      </c>
      <c r="V1964" s="3" t="str">
        <f>IFERROR(__xludf.DUMMYFUNCTION("""COMPUTED_VALUE"""),"N")</f>
        <v>N</v>
      </c>
      <c r="W1964" s="3">
        <f>IFERROR(__xludf.DUMMYFUNCTION("""COMPUTED_VALUE"""),210723.0)</f>
        <v>210723</v>
      </c>
      <c r="X1964" s="3" t="str">
        <f>IFERROR(__xludf.DUMMYFUNCTION("""COMPUTED_VALUE"""),"158/169 หมู่4 ตำบลแกลง อำเภอเมืองระยอง จังหวัดระยอง 21160")</f>
        <v>158/169 หมู่4 ตำบลแกลง อำเภอเมืองระยอง จังหวัดระยอง 21160</v>
      </c>
      <c r="Y1964" s="3"/>
      <c r="Z1964" s="3" t="str">
        <f>IFERROR(__xludf.DUMMYFUNCTION("""COMPUTED_VALUE"""),"แกลง")</f>
        <v>แกลง</v>
      </c>
      <c r="AA1964" s="3" t="str">
        <f>IFERROR(__xludf.DUMMYFUNCTION("""COMPUTED_VALUE"""),"เมืองระยอง")</f>
        <v>เมืองระยอง</v>
      </c>
      <c r="AB1964" s="3" t="str">
        <f>IFERROR(__xludf.DUMMYFUNCTION("""COMPUTED_VALUE"""),"ระยอง")</f>
        <v>ระยอง</v>
      </c>
      <c r="AC1964" s="3">
        <f>IFERROR(__xludf.DUMMYFUNCTION("""COMPUTED_VALUE"""),21160.0)</f>
        <v>21160</v>
      </c>
      <c r="AD1964" s="3">
        <f>IFERROR(__xludf.DUMMYFUNCTION("""COMPUTED_VALUE"""),12.633518)</f>
        <v>12.633518</v>
      </c>
      <c r="AE1964" s="3">
        <f>IFERROR(__xludf.DUMMYFUNCTION("""COMPUTED_VALUE"""),101.482726)</f>
        <v>101.482726</v>
      </c>
      <c r="AF1964" s="3" t="str">
        <f>IFERROR(__xludf.DUMMYFUNCTION("""COMPUTED_VALUE"""),"BCM สวนสน ระยอง-22650")</f>
        <v>BCM สวนสน ระยอง-22650</v>
      </c>
      <c r="AG1964" s="3" t="str">
        <f>IFERROR(__xludf.DUMMYFUNCTION("""COMPUTED_VALUE"""),"ตะวันออก")</f>
        <v>ตะวันออก</v>
      </c>
      <c r="AH1964" s="3" t="str">
        <f>IFERROR(__xludf.DUMMYFUNCTION("""COMPUTED_VALUE"""),"#N/A")</f>
        <v>#N/A</v>
      </c>
      <c r="AI1964" s="3" t="str">
        <f>IFERROR(__xludf.DUMMYFUNCTION("""COMPUTED_VALUE"""),"Out of warranty")</f>
        <v>Out of warranty</v>
      </c>
      <c r="AJ1964" s="3">
        <f>IFERROR(__xludf.DUMMYFUNCTION("""COMPUTED_VALUE"""),25.0)</f>
        <v>25</v>
      </c>
      <c r="AK1964" s="3" t="str">
        <f>IFERROR(__xludf.DUMMYFUNCTION("""COMPUTED_VALUE"""),"MMS08")</f>
        <v>MMS08</v>
      </c>
      <c r="AL1964" s="3"/>
    </row>
    <row r="1965" ht="15.75" customHeight="1">
      <c r="A1965" s="1" t="str">
        <f>IFERROR(__xludf.DUMMYFUNCTION("""COMPUTED_VALUE"""),"22651")</f>
        <v>22651</v>
      </c>
      <c r="B1965" s="2">
        <f>IFERROR(__xludf.DUMMYFUNCTION("""COMPUTED_VALUE"""),22651.0)</f>
        <v>22651</v>
      </c>
      <c r="C1965" s="3" t="str">
        <f>IFERROR(__xludf.DUMMYFUNCTION("""COMPUTED_VALUE"""),"BCM ถ.เทพอนุสรณ์ ภูเก็ต")</f>
        <v>BCM ถ.เทพอนุสรณ์ ภูเก็ต</v>
      </c>
      <c r="D1965" s="3" t="str">
        <f>IFERROR(__xludf.DUMMYFUNCTION("""COMPUTED_VALUE"""),"BCM THANON THEP ANUSORN PHUKET")</f>
        <v>BCM THANON THEP ANUSORN PHUKET</v>
      </c>
      <c r="E1965" s="1" t="str">
        <f>IFERROR(__xludf.DUMMYFUNCTION("""COMPUTED_VALUE"""),"บิ๊กซี MINI")</f>
        <v>บิ๊กซี MINI</v>
      </c>
      <c r="F1965" s="1" t="str">
        <f>IFERROR(__xludf.DUMMYFUNCTION("""COMPUTED_VALUE"""),"250760")</f>
        <v>250760</v>
      </c>
      <c r="G1965" s="1" t="str">
        <f>IFERROR(__xludf.DUMMYFUNCTION("""COMPUTED_VALUE"""),"นายประทวน สาราบรรณ์")</f>
        <v>นายประทวน สาราบรรณ์</v>
      </c>
      <c r="H1965" s="1" t="str">
        <f>IFERROR(__xludf.DUMMYFUNCTION("""COMPUTED_VALUE"""),"357284")</f>
        <v>357284</v>
      </c>
      <c r="I1965" s="1" t="str">
        <f>IFERROR(__xludf.DUMMYFUNCTION("""COMPUTED_VALUE"""),"น.ส.เบญจวรรณ ปัณฑโมรา")</f>
        <v>น.ส.เบญจวรรณ ปัณฑโมรา</v>
      </c>
      <c r="J1965" s="3">
        <f>IFERROR(__xludf.DUMMYFUNCTION("""COMPUTED_VALUE"""),25324.0)</f>
        <v>25324</v>
      </c>
      <c r="K1965" s="3" t="str">
        <f>IFERROR(__xludf.DUMMYFUNCTION("""COMPUTED_VALUE"""),"นายวิเชฎฐ์ ติรัตนะประคม")</f>
        <v>นายวิเชฎฐ์ ติรัตนะประคม</v>
      </c>
      <c r="L1965" s="1" t="str">
        <f>IFERROR(__xludf.DUMMYFUNCTION("""COMPUTED_VALUE"""),"14 K.Wichet T.")</f>
        <v>14 K.Wichet T.</v>
      </c>
      <c r="M1965" s="1" t="str">
        <f>IFERROR(__xludf.DUMMYFUNCTION("""COMPUTED_VALUE"""),"061-417-6569 / 086-445-5636")</f>
        <v>061-417-6569 / 086-445-5636</v>
      </c>
      <c r="N1965" s="3">
        <f>IFERROR(__xludf.DUMMYFUNCTION("""COMPUTED_VALUE"""),22658.0)</f>
        <v>22658</v>
      </c>
      <c r="O1965" s="3" t="str">
        <f>IFERROR(__xludf.DUMMYFUNCTION("""COMPUTED_VALUE"""),"BCM ถ.วิรัชหงษ์หยก ภูเก็ต")</f>
        <v>BCM ถ.วิรัชหงษ์หยก ภูเก็ต</v>
      </c>
      <c r="P1965" s="4">
        <f>IFERROR(__xludf.DUMMYFUNCTION("""COMPUTED_VALUE"""),45281.0)</f>
        <v>45281</v>
      </c>
      <c r="Q1965" s="3" t="str">
        <f>IFERROR(__xludf.DUMMYFUNCTION("""COMPUTED_VALUE"""),"A")</f>
        <v>A</v>
      </c>
      <c r="R1965" s="3" t="str">
        <f>IFERROR(__xludf.DUMMYFUNCTION("""COMPUTED_VALUE"""),"Small Format")</f>
        <v>Small Format</v>
      </c>
      <c r="S1965" s="3" t="str">
        <f>IFERROR(__xludf.DUMMYFUNCTION("""COMPUTED_VALUE"""),"BCM")</f>
        <v>BCM</v>
      </c>
      <c r="T1965" s="3" t="str">
        <f>IFERROR(__xludf.DUMMYFUNCTION("""COMPUTED_VALUE"""),"#N/A")</f>
        <v>#N/A</v>
      </c>
      <c r="U1965" s="3" t="str">
        <f>IFERROR(__xludf.DUMMYFUNCTION("""COMPUTED_VALUE"""),"#N/A")</f>
        <v>#N/A</v>
      </c>
      <c r="V1965" s="3" t="str">
        <f>IFERROR(__xludf.DUMMYFUNCTION("""COMPUTED_VALUE"""),"N")</f>
        <v>N</v>
      </c>
      <c r="W1965" s="3">
        <f>IFERROR(__xludf.DUMMYFUNCTION("""COMPUTED_VALUE"""),210732.0)</f>
        <v>210732</v>
      </c>
      <c r="X1965" s="3"/>
      <c r="Y1965" s="3"/>
      <c r="Z1965" s="3"/>
      <c r="AA1965" s="3"/>
      <c r="AB1965" s="3"/>
      <c r="AC1965" s="3"/>
      <c r="AD1965" s="3">
        <f>IFERROR(__xludf.DUMMYFUNCTION("""COMPUTED_VALUE"""),7.8623)</f>
        <v>7.8623</v>
      </c>
      <c r="AE1965" s="3">
        <f>IFERROR(__xludf.DUMMYFUNCTION("""COMPUTED_VALUE"""),98.366379)</f>
        <v>98.366379</v>
      </c>
      <c r="AF1965" s="3" t="str">
        <f>IFERROR(__xludf.DUMMYFUNCTION("""COMPUTED_VALUE"""),"BCM ถ.เทพอนุสรณ์ ภูเก็ต-22651")</f>
        <v>BCM ถ.เทพอนุสรณ์ ภูเก็ต-22651</v>
      </c>
      <c r="AG1965" s="3">
        <f>IFERROR(__xludf.DUMMYFUNCTION("""COMPUTED_VALUE"""),0.0)</f>
        <v>0</v>
      </c>
      <c r="AH1965" s="3" t="str">
        <f>IFERROR(__xludf.DUMMYFUNCTION("""COMPUTED_VALUE"""),"#N/A")</f>
        <v>#N/A</v>
      </c>
      <c r="AI1965" s="3" t="str">
        <f>IFERROR(__xludf.DUMMYFUNCTION("""COMPUTED_VALUE"""),"Out of warranty")</f>
        <v>Out of warranty</v>
      </c>
      <c r="AJ1965" s="3">
        <f>IFERROR(__xludf.DUMMYFUNCTION("""COMPUTED_VALUE"""),25.0)</f>
        <v>25</v>
      </c>
      <c r="AK1965" s="3" t="str">
        <f>IFERROR(__xludf.DUMMYFUNCTION("""COMPUTED_VALUE"""),"MMS15")</f>
        <v>MMS15</v>
      </c>
      <c r="AL1965" s="3"/>
    </row>
    <row r="1966" ht="15.75" customHeight="1">
      <c r="A1966" s="1" t="str">
        <f>IFERROR(__xludf.DUMMYFUNCTION("""COMPUTED_VALUE"""),"22652")</f>
        <v>22652</v>
      </c>
      <c r="B1966" s="2">
        <f>IFERROR(__xludf.DUMMYFUNCTION("""COMPUTED_VALUE"""),22652.0)</f>
        <v>22652</v>
      </c>
      <c r="C1966" s="3" t="str">
        <f>IFERROR(__xludf.DUMMYFUNCTION("""COMPUTED_VALUE"""),"BCM 30 กันยา ซ.2 นครราชสีมา")</f>
        <v>BCM 30 กันยา ซ.2 นครราชสีมา</v>
      </c>
      <c r="D1966" s="3" t="str">
        <f>IFERROR(__xludf.DUMMYFUNCTION("""COMPUTED_VALUE"""),"BCM 30 KANYA SOI 2")</f>
        <v>BCM 30 KANYA SOI 2</v>
      </c>
      <c r="E1966" s="1" t="str">
        <f>IFERROR(__xludf.DUMMYFUNCTION("""COMPUTED_VALUE"""),"บิ๊กซี MINI")</f>
        <v>บิ๊กซี MINI</v>
      </c>
      <c r="F1966" s="1" t="str">
        <f>IFERROR(__xludf.DUMMYFUNCTION("""COMPUTED_VALUE"""),"291105")</f>
        <v>291105</v>
      </c>
      <c r="G1966" s="1" t="str">
        <f>IFERROR(__xludf.DUMMYFUNCTION("""COMPUTED_VALUE"""),"นายสราวุฒิ พณิชยกุล")</f>
        <v>นายสราวุฒิ พณิชยกุล</v>
      </c>
      <c r="H1966" s="1" t="str">
        <f>IFERROR(__xludf.DUMMYFUNCTION("""COMPUTED_VALUE"""),"281315")</f>
        <v>281315</v>
      </c>
      <c r="I1966" s="1" t="str">
        <f>IFERROR(__xludf.DUMMYFUNCTION("""COMPUTED_VALUE"""),"นายกิตติพงษ์ มั่นคง")</f>
        <v>นายกิตติพงษ์ มั่นคง</v>
      </c>
      <c r="J1966" s="3">
        <f>IFERROR(__xludf.DUMMYFUNCTION("""COMPUTED_VALUE"""),15361.0)</f>
        <v>15361</v>
      </c>
      <c r="K1966" s="3" t="str">
        <f>IFERROR(__xludf.DUMMYFUNCTION("""COMPUTED_VALUE"""),"นายสมบูรณ์ พรหมในเมือง")</f>
        <v>นายสมบูรณ์ พรหมในเมือง</v>
      </c>
      <c r="L1966" s="1" t="str">
        <f>IFERROR(__xludf.DUMMYFUNCTION("""COMPUTED_VALUE"""),"04 K.Somboon P.")</f>
        <v>04 K.Somboon P.</v>
      </c>
      <c r="M1966" s="1" t="str">
        <f>IFERROR(__xludf.DUMMYFUNCTION("""COMPUTED_VALUE"""),"087-965-3051")</f>
        <v>087-965-3051</v>
      </c>
      <c r="N1966" s="3">
        <f>IFERROR(__xludf.DUMMYFUNCTION("""COMPUTED_VALUE"""),21869.0)</f>
        <v>21869</v>
      </c>
      <c r="O1966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966" s="4">
        <f>IFERROR(__xludf.DUMMYFUNCTION("""COMPUTED_VALUE"""),45281.0)</f>
        <v>45281</v>
      </c>
      <c r="Q1966" s="3" t="str">
        <f>IFERROR(__xludf.DUMMYFUNCTION("""COMPUTED_VALUE"""),"A")</f>
        <v>A</v>
      </c>
      <c r="R1966" s="3" t="str">
        <f>IFERROR(__xludf.DUMMYFUNCTION("""COMPUTED_VALUE"""),"Small Format")</f>
        <v>Small Format</v>
      </c>
      <c r="S1966" s="3" t="str">
        <f>IFERROR(__xludf.DUMMYFUNCTION("""COMPUTED_VALUE"""),"BCM")</f>
        <v>BCM</v>
      </c>
      <c r="T1966" s="3" t="str">
        <f>IFERROR(__xludf.DUMMYFUNCTION("""COMPUTED_VALUE"""),"#N/A")</f>
        <v>#N/A</v>
      </c>
      <c r="U1966" s="3" t="str">
        <f>IFERROR(__xludf.DUMMYFUNCTION("""COMPUTED_VALUE"""),"#N/A")</f>
        <v>#N/A</v>
      </c>
      <c r="V1966" s="3" t="str">
        <f>IFERROR(__xludf.DUMMYFUNCTION("""COMPUTED_VALUE"""),"N")</f>
        <v>N</v>
      </c>
      <c r="W1966" s="3">
        <f>IFERROR(__xludf.DUMMYFUNCTION("""COMPUTED_VALUE"""),210784.0)</f>
        <v>210784</v>
      </c>
      <c r="X1966" s="3" t="str">
        <f>IFERROR(__xludf.DUMMYFUNCTION("""COMPUTED_VALUE"""),"132/2 ถนน 30 กันยา ตำบลในเมือง อำเภอเมืองนครราชสีมา จังหวัดนครราชสีมา 80000")</f>
        <v>132/2 ถนน 30 กันยา ตำบลในเมือง อำเภอเมืองนครราชสีมา จังหวัดนครราชสีมา 80000</v>
      </c>
      <c r="Y1966" s="3" t="str">
        <f>IFERROR(__xludf.DUMMYFUNCTION("""COMPUTED_VALUE"""),"30 กันยา")</f>
        <v>30 กันยา</v>
      </c>
      <c r="Z1966" s="3" t="str">
        <f>IFERROR(__xludf.DUMMYFUNCTION("""COMPUTED_VALUE"""),"ในเมือง")</f>
        <v>ในเมือง</v>
      </c>
      <c r="AA1966" s="3" t="str">
        <f>IFERROR(__xludf.DUMMYFUNCTION("""COMPUTED_VALUE"""),"เมืองนครราชสีมา")</f>
        <v>เมืองนครราชสีมา</v>
      </c>
      <c r="AB1966" s="3" t="str">
        <f>IFERROR(__xludf.DUMMYFUNCTION("""COMPUTED_VALUE"""),"นครราชสีมา")</f>
        <v>นครราชสีมา</v>
      </c>
      <c r="AC1966" s="3">
        <f>IFERROR(__xludf.DUMMYFUNCTION("""COMPUTED_VALUE"""),30000.0)</f>
        <v>30000</v>
      </c>
      <c r="AD1966" s="3">
        <f>IFERROR(__xludf.DUMMYFUNCTION("""COMPUTED_VALUE"""),14.993035)</f>
        <v>14.993035</v>
      </c>
      <c r="AE1966" s="3">
        <f>IFERROR(__xludf.DUMMYFUNCTION("""COMPUTED_VALUE"""),102.114965)</f>
        <v>102.114965</v>
      </c>
      <c r="AF1966" s="3" t="str">
        <f>IFERROR(__xludf.DUMMYFUNCTION("""COMPUTED_VALUE"""),"BCM 30 กันยา ซ.2 นครราชสีมา-22652")</f>
        <v>BCM 30 กันยา ซ.2 นครราชสีมา-22652</v>
      </c>
      <c r="AG1966" s="3" t="str">
        <f>IFERROR(__xludf.DUMMYFUNCTION("""COMPUTED_VALUE"""),"ตะวันออกเฉียงเหนือ")</f>
        <v>ตะวันออกเฉียงเหนือ</v>
      </c>
      <c r="AH1966" s="3" t="str">
        <f>IFERROR(__xludf.DUMMYFUNCTION("""COMPUTED_VALUE"""),"#N/A")</f>
        <v>#N/A</v>
      </c>
      <c r="AI1966" s="3" t="str">
        <f>IFERROR(__xludf.DUMMYFUNCTION("""COMPUTED_VALUE"""),"Out of warranty")</f>
        <v>Out of warranty</v>
      </c>
      <c r="AJ1966" s="3">
        <f>IFERROR(__xludf.DUMMYFUNCTION("""COMPUTED_VALUE"""),25.0)</f>
        <v>25</v>
      </c>
      <c r="AK1966" s="3"/>
      <c r="AL1966" s="3"/>
    </row>
    <row r="1967" ht="15.75" customHeight="1">
      <c r="A1967" s="1" t="str">
        <f>IFERROR(__xludf.DUMMYFUNCTION("""COMPUTED_VALUE"""),"22653")</f>
        <v>22653</v>
      </c>
      <c r="B1967" s="2">
        <f>IFERROR(__xludf.DUMMYFUNCTION("""COMPUTED_VALUE"""),22653.0)</f>
        <v>22653</v>
      </c>
      <c r="C1967" s="3" t="str">
        <f>IFERROR(__xludf.DUMMYFUNCTION("""COMPUTED_VALUE"""),"BCM บ.มะเดื่อหวาน(เกาะพะงัน) สุราษฎร์ธานี")</f>
        <v>BCM บ.มะเดื่อหวาน(เกาะพะงัน) สุราษฎร์ธานี</v>
      </c>
      <c r="D1967" s="3" t="str">
        <f>IFERROR(__xludf.DUMMYFUNCTION("""COMPUTED_VALUE"""),"BCM BAN MADUA WHAN")</f>
        <v>BCM BAN MADUA WHAN</v>
      </c>
      <c r="E1967" s="1" t="str">
        <f>IFERROR(__xludf.DUMMYFUNCTION("""COMPUTED_VALUE"""),"บิ๊กซี MINI")</f>
        <v>บิ๊กซี MINI</v>
      </c>
      <c r="F1967" s="1" t="str">
        <f>IFERROR(__xludf.DUMMYFUNCTION("""COMPUTED_VALUE"""),"250760")</f>
        <v>250760</v>
      </c>
      <c r="G1967" s="1" t="str">
        <f>IFERROR(__xludf.DUMMYFUNCTION("""COMPUTED_VALUE"""),"นายประทวน สาราบรรณ์")</f>
        <v>นายประทวน สาราบรรณ์</v>
      </c>
      <c r="H1967" s="1" t="str">
        <f>IFERROR(__xludf.DUMMYFUNCTION("""COMPUTED_VALUE"""),"356760")</f>
        <v>356760</v>
      </c>
      <c r="I1967" s="1" t="str">
        <f>IFERROR(__xludf.DUMMYFUNCTION("""COMPUTED_VALUE"""),"นายภูมิภัทร แก้วพรรณราย")</f>
        <v>นายภูมิภัทร แก้วพรรณราย</v>
      </c>
      <c r="J1967" s="3">
        <f>IFERROR(__xludf.DUMMYFUNCTION("""COMPUTED_VALUE"""),25324.0)</f>
        <v>25324</v>
      </c>
      <c r="K1967" s="3" t="str">
        <f>IFERROR(__xludf.DUMMYFUNCTION("""COMPUTED_VALUE"""),"นายวิเชฎฐ์ ติรัตนะประคม")</f>
        <v>นายวิเชฎฐ์ ติรัตนะประคม</v>
      </c>
      <c r="L1967" s="1" t="str">
        <f>IFERROR(__xludf.DUMMYFUNCTION("""COMPUTED_VALUE"""),"14 K.Wichet T.")</f>
        <v>14 K.Wichet T.</v>
      </c>
      <c r="M1967" s="1" t="str">
        <f>IFERROR(__xludf.DUMMYFUNCTION("""COMPUTED_VALUE"""),"061-417-6569 / 086-445-5636")</f>
        <v>061-417-6569 / 086-445-5636</v>
      </c>
      <c r="N1967" s="3">
        <f>IFERROR(__xludf.DUMMYFUNCTION("""COMPUTED_VALUE"""),22658.0)</f>
        <v>22658</v>
      </c>
      <c r="O1967" s="3" t="str">
        <f>IFERROR(__xludf.DUMMYFUNCTION("""COMPUTED_VALUE"""),"BCM ถ.วิรัชหงษ์หยก ภูเก็ต")</f>
        <v>BCM ถ.วิรัชหงษ์หยก ภูเก็ต</v>
      </c>
      <c r="P1967" s="4">
        <f>IFERROR(__xludf.DUMMYFUNCTION("""COMPUTED_VALUE"""),45372.0)</f>
        <v>45372</v>
      </c>
      <c r="Q1967" s="3" t="str">
        <f>IFERROR(__xludf.DUMMYFUNCTION("""COMPUTED_VALUE"""),"A")</f>
        <v>A</v>
      </c>
      <c r="R1967" s="3" t="str">
        <f>IFERROR(__xludf.DUMMYFUNCTION("""COMPUTED_VALUE"""),"Small Format")</f>
        <v>Small Format</v>
      </c>
      <c r="S1967" s="3" t="str">
        <f>IFERROR(__xludf.DUMMYFUNCTION("""COMPUTED_VALUE"""),"BCM")</f>
        <v>BCM</v>
      </c>
      <c r="T1967" s="3" t="str">
        <f>IFERROR(__xludf.DUMMYFUNCTION("""COMPUTED_VALUE"""),"#N/A")</f>
        <v>#N/A</v>
      </c>
      <c r="U1967" s="3" t="str">
        <f>IFERROR(__xludf.DUMMYFUNCTION("""COMPUTED_VALUE"""),"#N/A")</f>
        <v>#N/A</v>
      </c>
      <c r="V1967" s="3" t="str">
        <f>IFERROR(__xludf.DUMMYFUNCTION("""COMPUTED_VALUE"""),"N")</f>
        <v>N</v>
      </c>
      <c r="W1967" s="3">
        <f>IFERROR(__xludf.DUMMYFUNCTION("""COMPUTED_VALUE"""),210760.0)</f>
        <v>210760</v>
      </c>
      <c r="X1967" s="3" t="str">
        <f>IFERROR(__xludf.DUMMYFUNCTION("""COMPUTED_VALUE"""),"53/37 หมู่2 ตำบลเกาะพะงัน อำเภอเกาะพะงัน จังหวัดสุราษฎร์ธานี 84280")</f>
        <v>53/37 หมู่2 ตำบลเกาะพะงัน อำเภอเกาะพะงัน จังหวัดสุราษฎร์ธานี 84280</v>
      </c>
      <c r="Y1967" s="3"/>
      <c r="Z1967" s="3" t="str">
        <f>IFERROR(__xludf.DUMMYFUNCTION("""COMPUTED_VALUE"""),"เกาะพะงัน")</f>
        <v>เกาะพะงัน</v>
      </c>
      <c r="AA1967" s="3" t="str">
        <f>IFERROR(__xludf.DUMMYFUNCTION("""COMPUTED_VALUE"""),"เกาะพะงัน")</f>
        <v>เกาะพะงัน</v>
      </c>
      <c r="AB1967" s="3" t="str">
        <f>IFERROR(__xludf.DUMMYFUNCTION("""COMPUTED_VALUE"""),"สุราษฎร์ธานี")</f>
        <v>สุราษฎร์ธานี</v>
      </c>
      <c r="AC1967" s="3">
        <f>IFERROR(__xludf.DUMMYFUNCTION("""COMPUTED_VALUE"""),84280.0)</f>
        <v>84280</v>
      </c>
      <c r="AD1967" s="3">
        <f>IFERROR(__xludf.DUMMYFUNCTION("""COMPUTED_VALUE"""),9.727069)</f>
        <v>9.727069</v>
      </c>
      <c r="AE1967" s="3">
        <f>IFERROR(__xludf.DUMMYFUNCTION("""COMPUTED_VALUE"""),100.001134)</f>
        <v>100.001134</v>
      </c>
      <c r="AF1967" s="3" t="str">
        <f>IFERROR(__xludf.DUMMYFUNCTION("""COMPUTED_VALUE"""),"BCM บ.มะเดื่อหวาน(เกาะพะงัน) สุราษฎร์ธานี-22653")</f>
        <v>BCM บ.มะเดื่อหวาน(เกาะพะงัน) สุราษฎร์ธานี-22653</v>
      </c>
      <c r="AG1967" s="3" t="str">
        <f>IFERROR(__xludf.DUMMYFUNCTION("""COMPUTED_VALUE"""),"ใต้")</f>
        <v>ใต้</v>
      </c>
      <c r="AH1967" s="3" t="str">
        <f>IFERROR(__xludf.DUMMYFUNCTION("""COMPUTED_VALUE"""),"#N/A")</f>
        <v>#N/A</v>
      </c>
      <c r="AI1967" s="3" t="str">
        <f>IFERROR(__xludf.DUMMYFUNCTION("""COMPUTED_VALUE"""),"Out of warranty")</f>
        <v>Out of warranty</v>
      </c>
      <c r="AJ1967" s="3">
        <f>IFERROR(__xludf.DUMMYFUNCTION("""COMPUTED_VALUE"""),22.0)</f>
        <v>22</v>
      </c>
      <c r="AK1967" s="3" t="str">
        <f>IFERROR(__xludf.DUMMYFUNCTION("""COMPUTED_VALUE"""),"MMS14")</f>
        <v>MMS14</v>
      </c>
      <c r="AL1967" s="3"/>
    </row>
    <row r="1968" ht="15.75" customHeight="1">
      <c r="A1968" s="1" t="str">
        <f>IFERROR(__xludf.DUMMYFUNCTION("""COMPUTED_VALUE"""),"22654")</f>
        <v>22654</v>
      </c>
      <c r="B1968" s="2">
        <f>IFERROR(__xludf.DUMMYFUNCTION("""COMPUTED_VALUE"""),22654.0)</f>
        <v>22654</v>
      </c>
      <c r="C1968" s="3" t="str">
        <f>IFERROR(__xludf.DUMMYFUNCTION("""COMPUTED_VALUE"""),"BCM ศูนย์ราชการเกาะพะงัน สุราษฎร์ธานี")</f>
        <v>BCM ศูนย์ราชการเกาะพะงัน สุราษฎร์ธานี</v>
      </c>
      <c r="D1968" s="3" t="str">
        <f>IFERROR(__xludf.DUMMYFUNCTION("""COMPUTED_VALUE"""),"BCM SOON RATCHAKAN KOH PHANGAN")</f>
        <v>BCM SOON RATCHAKAN KOH PHANGAN</v>
      </c>
      <c r="E1968" s="1" t="str">
        <f>IFERROR(__xludf.DUMMYFUNCTION("""COMPUTED_VALUE"""),"บิ๊กซี MINI")</f>
        <v>บิ๊กซี MINI</v>
      </c>
      <c r="F1968" s="1" t="str">
        <f>IFERROR(__xludf.DUMMYFUNCTION("""COMPUTED_VALUE"""),"250760")</f>
        <v>250760</v>
      </c>
      <c r="G1968" s="1" t="str">
        <f>IFERROR(__xludf.DUMMYFUNCTION("""COMPUTED_VALUE"""),"นายประทวน สาราบรรณ์")</f>
        <v>นายประทวน สาราบรรณ์</v>
      </c>
      <c r="H1968" s="1" t="str">
        <f>IFERROR(__xludf.DUMMYFUNCTION("""COMPUTED_VALUE"""),"356760")</f>
        <v>356760</v>
      </c>
      <c r="I1968" s="1" t="str">
        <f>IFERROR(__xludf.DUMMYFUNCTION("""COMPUTED_VALUE"""),"นายภูมิภัทร แก้วพรรณราย")</f>
        <v>นายภูมิภัทร แก้วพรรณราย</v>
      </c>
      <c r="J1968" s="3">
        <f>IFERROR(__xludf.DUMMYFUNCTION("""COMPUTED_VALUE"""),25324.0)</f>
        <v>25324</v>
      </c>
      <c r="K1968" s="3" t="str">
        <f>IFERROR(__xludf.DUMMYFUNCTION("""COMPUTED_VALUE"""),"นายวิเชฎฐ์ ติรัตนะประคม")</f>
        <v>นายวิเชฎฐ์ ติรัตนะประคม</v>
      </c>
      <c r="L1968" s="1" t="str">
        <f>IFERROR(__xludf.DUMMYFUNCTION("""COMPUTED_VALUE"""),"14 K.Wichet T.")</f>
        <v>14 K.Wichet T.</v>
      </c>
      <c r="M1968" s="1" t="str">
        <f>IFERROR(__xludf.DUMMYFUNCTION("""COMPUTED_VALUE"""),"061-417-6569 / 086-445-5636")</f>
        <v>061-417-6569 / 086-445-5636</v>
      </c>
      <c r="N1968" s="3">
        <f>IFERROR(__xludf.DUMMYFUNCTION("""COMPUTED_VALUE"""),22658.0)</f>
        <v>22658</v>
      </c>
      <c r="O1968" s="3" t="str">
        <f>IFERROR(__xludf.DUMMYFUNCTION("""COMPUTED_VALUE"""),"BCM ถ.วิรัชหงษ์หยก ภูเก็ต")</f>
        <v>BCM ถ.วิรัชหงษ์หยก ภูเก็ต</v>
      </c>
      <c r="P1968" s="4">
        <f>IFERROR(__xludf.DUMMYFUNCTION("""COMPUTED_VALUE"""),45379.0)</f>
        <v>45379</v>
      </c>
      <c r="Q1968" s="3" t="str">
        <f>IFERROR(__xludf.DUMMYFUNCTION("""COMPUTED_VALUE"""),"A")</f>
        <v>A</v>
      </c>
      <c r="R1968" s="3" t="str">
        <f>IFERROR(__xludf.DUMMYFUNCTION("""COMPUTED_VALUE"""),"Small Format")</f>
        <v>Small Format</v>
      </c>
      <c r="S1968" s="3" t="str">
        <f>IFERROR(__xludf.DUMMYFUNCTION("""COMPUTED_VALUE"""),"BCM")</f>
        <v>BCM</v>
      </c>
      <c r="T1968" s="3" t="str">
        <f>IFERROR(__xludf.DUMMYFUNCTION("""COMPUTED_VALUE"""),"#N/A")</f>
        <v>#N/A</v>
      </c>
      <c r="U1968" s="3" t="str">
        <f>IFERROR(__xludf.DUMMYFUNCTION("""COMPUTED_VALUE"""),"#N/A")</f>
        <v>#N/A</v>
      </c>
      <c r="V1968" s="3" t="str">
        <f>IFERROR(__xludf.DUMMYFUNCTION("""COMPUTED_VALUE"""),"N")</f>
        <v>N</v>
      </c>
      <c r="W1968" s="3">
        <f>IFERROR(__xludf.DUMMYFUNCTION("""COMPUTED_VALUE"""),210714.0)</f>
        <v>210714</v>
      </c>
      <c r="X1968" s="3"/>
      <c r="Y1968" s="3"/>
      <c r="Z1968" s="3"/>
      <c r="AA1968" s="3"/>
      <c r="AB1968" s="3"/>
      <c r="AC1968" s="3"/>
      <c r="AD1968" s="3">
        <f>IFERROR(__xludf.DUMMYFUNCTION("""COMPUTED_VALUE"""),9.718612)</f>
        <v>9.718612</v>
      </c>
      <c r="AE1968" s="3">
        <f>IFERROR(__xludf.DUMMYFUNCTION("""COMPUTED_VALUE"""),99.995947)</f>
        <v>99.995947</v>
      </c>
      <c r="AF1968" s="3" t="str">
        <f>IFERROR(__xludf.DUMMYFUNCTION("""COMPUTED_VALUE"""),"BCM ศูนย์ราชการเกาะพะงัน สุราษฎร์ธานี-22654")</f>
        <v>BCM ศูนย์ราชการเกาะพะงัน สุราษฎร์ธานี-22654</v>
      </c>
      <c r="AG1968" s="3">
        <f>IFERROR(__xludf.DUMMYFUNCTION("""COMPUTED_VALUE"""),0.0)</f>
        <v>0</v>
      </c>
      <c r="AH1968" s="3" t="str">
        <f>IFERROR(__xludf.DUMMYFUNCTION("""COMPUTED_VALUE"""),"#N/A")</f>
        <v>#N/A</v>
      </c>
      <c r="AI1968" s="3" t="str">
        <f>IFERROR(__xludf.DUMMYFUNCTION("""COMPUTED_VALUE"""),"Out of warranty")</f>
        <v>Out of warranty</v>
      </c>
      <c r="AJ1968" s="3">
        <f>IFERROR(__xludf.DUMMYFUNCTION("""COMPUTED_VALUE"""),22.0)</f>
        <v>22</v>
      </c>
      <c r="AK1968" s="3" t="str">
        <f>IFERROR(__xludf.DUMMYFUNCTION("""COMPUTED_VALUE"""),"MMS14")</f>
        <v>MMS14</v>
      </c>
      <c r="AL1968" s="3"/>
    </row>
    <row r="1969" ht="15.75" customHeight="1">
      <c r="A1969" s="1" t="str">
        <f>IFERROR(__xludf.DUMMYFUNCTION("""COMPUTED_VALUE"""),"22655")</f>
        <v>22655</v>
      </c>
      <c r="B1969" s="2">
        <f>IFERROR(__xludf.DUMMYFUNCTION("""COMPUTED_VALUE"""),22655.0)</f>
        <v>22655</v>
      </c>
      <c r="C1969" s="3" t="str">
        <f>IFERROR(__xludf.DUMMYFUNCTION("""COMPUTED_VALUE"""),"BCM บ้านศรีฐาน ขอนแก่น")</f>
        <v>BCM บ้านศรีฐาน ขอนแก่น</v>
      </c>
      <c r="D1969" s="3" t="str">
        <f>IFERROR(__xludf.DUMMYFUNCTION("""COMPUTED_VALUE"""),"BCM BAN SI THAN KHON KAEN")</f>
        <v>BCM BAN SI THAN KHON KAEN</v>
      </c>
      <c r="E1969" s="1" t="str">
        <f>IFERROR(__xludf.DUMMYFUNCTION("""COMPUTED_VALUE"""),"บิ๊กซี MINI")</f>
        <v>บิ๊กซี MINI</v>
      </c>
      <c r="F1969" s="1" t="str">
        <f>IFERROR(__xludf.DUMMYFUNCTION("""COMPUTED_VALUE"""),"291105")</f>
        <v>291105</v>
      </c>
      <c r="G1969" s="1" t="str">
        <f>IFERROR(__xludf.DUMMYFUNCTION("""COMPUTED_VALUE"""),"นายสราวุฒิ พณิชยกุล")</f>
        <v>นายสราวุฒิ พณิชยกุล</v>
      </c>
      <c r="H1969" s="1" t="str">
        <f>IFERROR(__xludf.DUMMYFUNCTION("""COMPUTED_VALUE"""),"371396")</f>
        <v>371396</v>
      </c>
      <c r="I1969" s="1" t="str">
        <f>IFERROR(__xludf.DUMMYFUNCTION("""COMPUTED_VALUE"""),"น.ส.สุภาวดี วิลัยพร")</f>
        <v>น.ส.สุภาวดี วิลัยพร</v>
      </c>
      <c r="J1969" s="3">
        <f>IFERROR(__xludf.DUMMYFUNCTION("""COMPUTED_VALUE"""),15361.0)</f>
        <v>15361</v>
      </c>
      <c r="K1969" s="3" t="str">
        <f>IFERROR(__xludf.DUMMYFUNCTION("""COMPUTED_VALUE"""),"นายสมบูรณ์ พรหมในเมือง")</f>
        <v>นายสมบูรณ์ พรหมในเมือง</v>
      </c>
      <c r="L1969" s="1" t="str">
        <f>IFERROR(__xludf.DUMMYFUNCTION("""COMPUTED_VALUE"""),"04 K.Somboon P.")</f>
        <v>04 K.Somboon P.</v>
      </c>
      <c r="M1969" s="1" t="str">
        <f>IFERROR(__xludf.DUMMYFUNCTION("""COMPUTED_VALUE"""),"087-965-3051")</f>
        <v>087-965-3051</v>
      </c>
      <c r="N1969" s="3">
        <f>IFERROR(__xludf.DUMMYFUNCTION("""COMPUTED_VALUE"""),21869.0)</f>
        <v>21869</v>
      </c>
      <c r="O1969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1969" s="4">
        <f>IFERROR(__xludf.DUMMYFUNCTION("""COMPUTED_VALUE"""),45282.0)</f>
        <v>45282</v>
      </c>
      <c r="Q1969" s="3" t="str">
        <f>IFERROR(__xludf.DUMMYFUNCTION("""COMPUTED_VALUE"""),"A")</f>
        <v>A</v>
      </c>
      <c r="R1969" s="3" t="str">
        <f>IFERROR(__xludf.DUMMYFUNCTION("""COMPUTED_VALUE"""),"Small Format")</f>
        <v>Small Format</v>
      </c>
      <c r="S1969" s="3" t="str">
        <f>IFERROR(__xludf.DUMMYFUNCTION("""COMPUTED_VALUE"""),"BCM")</f>
        <v>BCM</v>
      </c>
      <c r="T1969" s="3" t="str">
        <f>IFERROR(__xludf.DUMMYFUNCTION("""COMPUTED_VALUE"""),"#N/A")</f>
        <v>#N/A</v>
      </c>
      <c r="U1969" s="3" t="str">
        <f>IFERROR(__xludf.DUMMYFUNCTION("""COMPUTED_VALUE"""),"#N/A")</f>
        <v>#N/A</v>
      </c>
      <c r="V1969" s="3" t="str">
        <f>IFERROR(__xludf.DUMMYFUNCTION("""COMPUTED_VALUE"""),"N")</f>
        <v>N</v>
      </c>
      <c r="W1969" s="3">
        <f>IFERROR(__xludf.DUMMYFUNCTION("""COMPUTED_VALUE"""),210787.0)</f>
        <v>210787</v>
      </c>
      <c r="X1969" s="3" t="str">
        <f>IFERROR(__xludf.DUMMYFUNCTION("""COMPUTED_VALUE"""),"371 หมู่23 ตำบลบ้านเป็ด อำเภอเมืองขอนแก่น จังหวัดขอนแก่น 40000")</f>
        <v>371 หมู่23 ตำบลบ้านเป็ด อำเภอเมืองขอนแก่น จังหวัดขอนแก่น 40000</v>
      </c>
      <c r="Y1969" s="3"/>
      <c r="Z1969" s="3" t="str">
        <f>IFERROR(__xludf.DUMMYFUNCTION("""COMPUTED_VALUE"""),"บ้านเป็ด")</f>
        <v>บ้านเป็ด</v>
      </c>
      <c r="AA1969" s="3" t="str">
        <f>IFERROR(__xludf.DUMMYFUNCTION("""COMPUTED_VALUE"""),"เมืองขอนแก่น")</f>
        <v>เมืองขอนแก่น</v>
      </c>
      <c r="AB1969" s="3" t="str">
        <f>IFERROR(__xludf.DUMMYFUNCTION("""COMPUTED_VALUE"""),"ขอนแก่น")</f>
        <v>ขอนแก่น</v>
      </c>
      <c r="AC1969" s="3">
        <f>IFERROR(__xludf.DUMMYFUNCTION("""COMPUTED_VALUE"""),40000.0)</f>
        <v>40000</v>
      </c>
      <c r="AD1969" s="3">
        <f>IFERROR(__xludf.DUMMYFUNCTION("""COMPUTED_VALUE"""),16.434114)</f>
        <v>16.434114</v>
      </c>
      <c r="AE1969" s="3">
        <f>IFERROR(__xludf.DUMMYFUNCTION("""COMPUTED_VALUE"""),102.809629)</f>
        <v>102.809629</v>
      </c>
      <c r="AF1969" s="3" t="str">
        <f>IFERROR(__xludf.DUMMYFUNCTION("""COMPUTED_VALUE"""),"BCM บ้านศรีฐาน ขอนแก่น-22655")</f>
        <v>BCM บ้านศรีฐาน ขอนแก่น-22655</v>
      </c>
      <c r="AG1969" s="3" t="str">
        <f>IFERROR(__xludf.DUMMYFUNCTION("""COMPUTED_VALUE"""),"ตะวันออกเฉียงเหนือ")</f>
        <v>ตะวันออกเฉียงเหนือ</v>
      </c>
      <c r="AH1969" s="3" t="str">
        <f>IFERROR(__xludf.DUMMYFUNCTION("""COMPUTED_VALUE"""),"#N/A")</f>
        <v>#N/A</v>
      </c>
      <c r="AI1969" s="3" t="str">
        <f>IFERROR(__xludf.DUMMYFUNCTION("""COMPUTED_VALUE"""),"Out of warranty")</f>
        <v>Out of warranty</v>
      </c>
      <c r="AJ1969" s="3">
        <f>IFERROR(__xludf.DUMMYFUNCTION("""COMPUTED_VALUE"""),25.0)</f>
        <v>25</v>
      </c>
      <c r="AK1969" s="3"/>
      <c r="AL1969" s="3"/>
    </row>
    <row r="1970" ht="15.75" customHeight="1">
      <c r="A1970" s="1" t="str">
        <f>IFERROR(__xludf.DUMMYFUNCTION("""COMPUTED_VALUE"""),"22656")</f>
        <v>22656</v>
      </c>
      <c r="B1970" s="2">
        <f>IFERROR(__xludf.DUMMYFUNCTION("""COMPUTED_VALUE"""),22656.0)</f>
        <v>22656</v>
      </c>
      <c r="C1970" s="3" t="str">
        <f>IFERROR(__xludf.DUMMYFUNCTION("""COMPUTED_VALUE"""),"BCM ถ.เทอดไท กรุงเทพมหานคร")</f>
        <v>BCM ถ.เทอดไท กรุงเทพมหานคร</v>
      </c>
      <c r="D1970" s="3" t="str">
        <f>IFERROR(__xludf.DUMMYFUNCTION("""COMPUTED_VALUE"""),"BCM THANON THOET THAI BANGKOK")</f>
        <v>BCM THANON THOET THAI BANGKOK</v>
      </c>
      <c r="E1970" s="1" t="str">
        <f>IFERROR(__xludf.DUMMYFUNCTION("""COMPUTED_VALUE"""),"บิ๊กซี MINI")</f>
        <v>บิ๊กซี MINI</v>
      </c>
      <c r="F1970" s="1" t="str">
        <f>IFERROR(__xludf.DUMMYFUNCTION("""COMPUTED_VALUE"""),"291008")</f>
        <v>291008</v>
      </c>
      <c r="G1970" s="1" t="str">
        <f>IFERROR(__xludf.DUMMYFUNCTION("""COMPUTED_VALUE"""),"น.ส.รัชดาพร อีศรัตน์")</f>
        <v>น.ส.รัชดาพร อีศรัตน์</v>
      </c>
      <c r="H1970" s="1" t="str">
        <f>IFERROR(__xludf.DUMMYFUNCTION("""COMPUTED_VALUE"""),"250921")</f>
        <v>250921</v>
      </c>
      <c r="I1970" s="1" t="str">
        <f>IFERROR(__xludf.DUMMYFUNCTION("""COMPUTED_VALUE"""),"นายปรัชญาวัต ถิระสังวร")</f>
        <v>นายปรัชญาวัต ถิระสังวร</v>
      </c>
      <c r="J1970" s="3">
        <f>IFERROR(__xludf.DUMMYFUNCTION("""COMPUTED_VALUE"""),2452378.0)</f>
        <v>2452378</v>
      </c>
      <c r="K1970" s="3" t="str">
        <f>IFERROR(__xludf.DUMMYFUNCTION("""COMPUTED_VALUE"""),"นายศักดิ์ดา พวงประดับ")</f>
        <v>นายศักดิ์ดา พวงประดับ</v>
      </c>
      <c r="L1970" s="1" t="str">
        <f>IFERROR(__xludf.DUMMYFUNCTION("""COMPUTED_VALUE"""),"11 K.Sakda P.")</f>
        <v>11 K.Sakda P.</v>
      </c>
      <c r="M1970" s="1" t="str">
        <f>IFERROR(__xludf.DUMMYFUNCTION("""COMPUTED_VALUE"""),"065-929-1279")</f>
        <v>065-929-1279</v>
      </c>
      <c r="N1970" s="3">
        <f>IFERROR(__xludf.DUMMYFUNCTION("""COMPUTED_VALUE"""),21002.0)</f>
        <v>21002</v>
      </c>
      <c r="O1970" s="3" t="str">
        <f>IFERROR(__xludf.DUMMYFUNCTION("""COMPUTED_VALUE"""),"MBC อุดมสุข")</f>
        <v>MBC อุดมสุข</v>
      </c>
      <c r="P1970" s="4">
        <f>IFERROR(__xludf.DUMMYFUNCTION("""COMPUTED_VALUE"""),45282.0)</f>
        <v>45282</v>
      </c>
      <c r="Q1970" s="3" t="str">
        <f>IFERROR(__xludf.DUMMYFUNCTION("""COMPUTED_VALUE"""),"A")</f>
        <v>A</v>
      </c>
      <c r="R1970" s="3" t="str">
        <f>IFERROR(__xludf.DUMMYFUNCTION("""COMPUTED_VALUE"""),"Small Format")</f>
        <v>Small Format</v>
      </c>
      <c r="S1970" s="3" t="str">
        <f>IFERROR(__xludf.DUMMYFUNCTION("""COMPUTED_VALUE"""),"BCM")</f>
        <v>BCM</v>
      </c>
      <c r="T1970" s="3" t="str">
        <f>IFERROR(__xludf.DUMMYFUNCTION("""COMPUTED_VALUE"""),"#N/A")</f>
        <v>#N/A</v>
      </c>
      <c r="U1970" s="3" t="str">
        <f>IFERROR(__xludf.DUMMYFUNCTION("""COMPUTED_VALUE"""),"#N/A")</f>
        <v>#N/A</v>
      </c>
      <c r="V1970" s="3" t="str">
        <f>IFERROR(__xludf.DUMMYFUNCTION("""COMPUTED_VALUE"""),"N")</f>
        <v>N</v>
      </c>
      <c r="W1970" s="3">
        <f>IFERROR(__xludf.DUMMYFUNCTION("""COMPUTED_VALUE"""),210738.0)</f>
        <v>210738</v>
      </c>
      <c r="X1970" s="3" t="str">
        <f>IFERROR(__xludf.DUMMYFUNCTION("""COMPUTED_VALUE"""),"758/1 ถนนเทอดไท แขวงบางหว้า เขตภาษีเจริญ กรุงเทพมหานคร 10160")</f>
        <v>758/1 ถนนเทอดไท แขวงบางหว้า เขตภาษีเจริญ กรุงเทพมหานคร 10160</v>
      </c>
      <c r="Y1970" s="3" t="str">
        <f>IFERROR(__xludf.DUMMYFUNCTION("""COMPUTED_VALUE"""),"เทอดไท")</f>
        <v>เทอดไท</v>
      </c>
      <c r="Z1970" s="3" t="str">
        <f>IFERROR(__xludf.DUMMYFUNCTION("""COMPUTED_VALUE"""),"บางหว้า")</f>
        <v>บางหว้า</v>
      </c>
      <c r="AA1970" s="3" t="str">
        <f>IFERROR(__xludf.DUMMYFUNCTION("""COMPUTED_VALUE"""),"ภาษีเจริญ")</f>
        <v>ภาษีเจริญ</v>
      </c>
      <c r="AB1970" s="3" t="str">
        <f>IFERROR(__xludf.DUMMYFUNCTION("""COMPUTED_VALUE"""),"กรุงเทพมหานคร")</f>
        <v>กรุงเทพมหานคร</v>
      </c>
      <c r="AC1970" s="3">
        <f>IFERROR(__xludf.DUMMYFUNCTION("""COMPUTED_VALUE"""),10160.0)</f>
        <v>10160</v>
      </c>
      <c r="AD1970" s="3">
        <f>IFERROR(__xludf.DUMMYFUNCTION("""COMPUTED_VALUE"""),13.70724771)</f>
        <v>13.70724771</v>
      </c>
      <c r="AE1970" s="3">
        <f>IFERROR(__xludf.DUMMYFUNCTION("""COMPUTED_VALUE"""),100.43135)</f>
        <v>100.43135</v>
      </c>
      <c r="AF1970" s="3" t="str">
        <f>IFERROR(__xludf.DUMMYFUNCTION("""COMPUTED_VALUE"""),"BCM ถ.เทอดไท กรุงเทพมหานคร-22656")</f>
        <v>BCM ถ.เทอดไท กรุงเทพมหานคร-22656</v>
      </c>
      <c r="AG1970" s="3" t="str">
        <f>IFERROR(__xludf.DUMMYFUNCTION("""COMPUTED_VALUE"""),"กลาง")</f>
        <v>กลาง</v>
      </c>
      <c r="AH1970" s="3" t="str">
        <f>IFERROR(__xludf.DUMMYFUNCTION("""COMPUTED_VALUE"""),"#N/A")</f>
        <v>#N/A</v>
      </c>
      <c r="AI1970" s="3" t="str">
        <f>IFERROR(__xludf.DUMMYFUNCTION("""COMPUTED_VALUE"""),"Out of warranty")</f>
        <v>Out of warranty</v>
      </c>
      <c r="AJ1970" s="3">
        <f>IFERROR(__xludf.DUMMYFUNCTION("""COMPUTED_VALUE"""),25.0)</f>
        <v>25</v>
      </c>
      <c r="AK1970" s="3" t="str">
        <f>IFERROR(__xludf.DUMMYFUNCTION("""COMPUTED_VALUE"""),"MMS02")</f>
        <v>MMS02</v>
      </c>
      <c r="AL1970" s="3"/>
    </row>
    <row r="1971" ht="15.75" customHeight="1">
      <c r="A1971" s="1" t="str">
        <f>IFERROR(__xludf.DUMMYFUNCTION("""COMPUTED_VALUE"""),"22657")</f>
        <v>22657</v>
      </c>
      <c r="B1971" s="2">
        <f>IFERROR(__xludf.DUMMYFUNCTION("""COMPUTED_VALUE"""),22657.0)</f>
        <v>22657</v>
      </c>
      <c r="C1971" s="3" t="str">
        <f>IFERROR(__xludf.DUMMYFUNCTION("""COMPUTED_VALUE"""),"BCM ท่าเรือหัวเทียน (เกาะพะงัน) สุราษฎร์ธานี")</f>
        <v>BCM ท่าเรือหัวเทียน (เกาะพะงัน) สุราษฎร์ธานี</v>
      </c>
      <c r="D1971" s="3" t="str">
        <f>IFERROR(__xludf.DUMMYFUNCTION("""COMPUTED_VALUE"""),"BCM THA RUEA HUA THIAN")</f>
        <v>BCM THA RUEA HUA THIAN</v>
      </c>
      <c r="E1971" s="1" t="str">
        <f>IFERROR(__xludf.DUMMYFUNCTION("""COMPUTED_VALUE"""),"บิ๊กซี MINI")</f>
        <v>บิ๊กซี MINI</v>
      </c>
      <c r="F1971" s="1" t="str">
        <f>IFERROR(__xludf.DUMMYFUNCTION("""COMPUTED_VALUE"""),"250760")</f>
        <v>250760</v>
      </c>
      <c r="G1971" s="1" t="str">
        <f>IFERROR(__xludf.DUMMYFUNCTION("""COMPUTED_VALUE"""),"นายประทวน สาราบรรณ์")</f>
        <v>นายประทวน สาราบรรณ์</v>
      </c>
      <c r="H1971" s="1" t="str">
        <f>IFERROR(__xludf.DUMMYFUNCTION("""COMPUTED_VALUE"""),"356760")</f>
        <v>356760</v>
      </c>
      <c r="I1971" s="1" t="str">
        <f>IFERROR(__xludf.DUMMYFUNCTION("""COMPUTED_VALUE"""),"นายภูมิภัทร แก้วพรรณราย")</f>
        <v>นายภูมิภัทร แก้วพรรณราย</v>
      </c>
      <c r="J1971" s="3">
        <f>IFERROR(__xludf.DUMMYFUNCTION("""COMPUTED_VALUE"""),25324.0)</f>
        <v>25324</v>
      </c>
      <c r="K1971" s="3" t="str">
        <f>IFERROR(__xludf.DUMMYFUNCTION("""COMPUTED_VALUE"""),"นายวิเชฎฐ์ ติรัตนะประคม")</f>
        <v>นายวิเชฎฐ์ ติรัตนะประคม</v>
      </c>
      <c r="L1971" s="1" t="str">
        <f>IFERROR(__xludf.DUMMYFUNCTION("""COMPUTED_VALUE"""),"14 K.Wichet T.")</f>
        <v>14 K.Wichet T.</v>
      </c>
      <c r="M1971" s="1" t="str">
        <f>IFERROR(__xludf.DUMMYFUNCTION("""COMPUTED_VALUE"""),"061-417-6569 / 086-445-5636")</f>
        <v>061-417-6569 / 086-445-5636</v>
      </c>
      <c r="N1971" s="3">
        <f>IFERROR(__xludf.DUMMYFUNCTION("""COMPUTED_VALUE"""),22658.0)</f>
        <v>22658</v>
      </c>
      <c r="O1971" s="3" t="str">
        <f>IFERROR(__xludf.DUMMYFUNCTION("""COMPUTED_VALUE"""),"BCM ถ.วิรัชหงษ์หยก ภูเก็ต")</f>
        <v>BCM ถ.วิรัชหงษ์หยก ภูเก็ต</v>
      </c>
      <c r="P1971" s="4">
        <f>IFERROR(__xludf.DUMMYFUNCTION("""COMPUTED_VALUE"""),45357.0)</f>
        <v>45357</v>
      </c>
      <c r="Q1971" s="3" t="str">
        <f>IFERROR(__xludf.DUMMYFUNCTION("""COMPUTED_VALUE"""),"A")</f>
        <v>A</v>
      </c>
      <c r="R1971" s="3" t="str">
        <f>IFERROR(__xludf.DUMMYFUNCTION("""COMPUTED_VALUE"""),"Small Format")</f>
        <v>Small Format</v>
      </c>
      <c r="S1971" s="3" t="str">
        <f>IFERROR(__xludf.DUMMYFUNCTION("""COMPUTED_VALUE"""),"BCM")</f>
        <v>BCM</v>
      </c>
      <c r="T1971" s="3" t="str">
        <f>IFERROR(__xludf.DUMMYFUNCTION("""COMPUTED_VALUE"""),"#N/A")</f>
        <v>#N/A</v>
      </c>
      <c r="U1971" s="3" t="str">
        <f>IFERROR(__xludf.DUMMYFUNCTION("""COMPUTED_VALUE"""),"#N/A")</f>
        <v>#N/A</v>
      </c>
      <c r="V1971" s="3" t="str">
        <f>IFERROR(__xludf.DUMMYFUNCTION("""COMPUTED_VALUE"""),"N")</f>
        <v>N</v>
      </c>
      <c r="W1971" s="3">
        <f>IFERROR(__xludf.DUMMYFUNCTION("""COMPUTED_VALUE"""),210713.0)</f>
        <v>210713</v>
      </c>
      <c r="X1971" s="3" t="str">
        <f>IFERROR(__xludf.DUMMYFUNCTION("""COMPUTED_VALUE"""),"45/13 หมู่1 ตำบลบ้านใต้ อำเภอเกาะพะงัน จังหวัดสุราษฎร์ธานี 84280")</f>
        <v>45/13 หมู่1 ตำบลบ้านใต้ อำเภอเกาะพะงัน จังหวัดสุราษฎร์ธานี 84280</v>
      </c>
      <c r="Y1971" s="3"/>
      <c r="Z1971" s="3" t="str">
        <f>IFERROR(__xludf.DUMMYFUNCTION("""COMPUTED_VALUE"""),"บ้านใต้")</f>
        <v>บ้านใต้</v>
      </c>
      <c r="AA1971" s="3" t="str">
        <f>IFERROR(__xludf.DUMMYFUNCTION("""COMPUTED_VALUE"""),"เกาะพะงัน")</f>
        <v>เกาะพะงัน</v>
      </c>
      <c r="AB1971" s="3" t="str">
        <f>IFERROR(__xludf.DUMMYFUNCTION("""COMPUTED_VALUE"""),"สุราษฎร์ธานี")</f>
        <v>สุราษฎร์ธานี</v>
      </c>
      <c r="AC1971" s="3">
        <f>IFERROR(__xludf.DUMMYFUNCTION("""COMPUTED_VALUE"""),84280.0)</f>
        <v>84280</v>
      </c>
      <c r="AD1971" s="3">
        <f>IFERROR(__xludf.DUMMYFUNCTION("""COMPUTED_VALUE"""),9.701567)</f>
        <v>9.701567</v>
      </c>
      <c r="AE1971" s="3">
        <f>IFERROR(__xludf.DUMMYFUNCTION("""COMPUTED_VALUE"""),100.018077)</f>
        <v>100.018077</v>
      </c>
      <c r="AF1971" s="3" t="str">
        <f>IFERROR(__xludf.DUMMYFUNCTION("""COMPUTED_VALUE"""),"BCM ท่าเรือหัวเทียน (เกาะพะงัน) สุราษฎร์ธานี-22657")</f>
        <v>BCM ท่าเรือหัวเทียน (เกาะพะงัน) สุราษฎร์ธานี-22657</v>
      </c>
      <c r="AG1971" s="3" t="str">
        <f>IFERROR(__xludf.DUMMYFUNCTION("""COMPUTED_VALUE"""),"ใต้")</f>
        <v>ใต้</v>
      </c>
      <c r="AH1971" s="3" t="str">
        <f>IFERROR(__xludf.DUMMYFUNCTION("""COMPUTED_VALUE"""),"#N/A")</f>
        <v>#N/A</v>
      </c>
      <c r="AI1971" s="3" t="str">
        <f>IFERROR(__xludf.DUMMYFUNCTION("""COMPUTED_VALUE"""),"Out of warranty")</f>
        <v>Out of warranty</v>
      </c>
      <c r="AJ1971" s="3">
        <f>IFERROR(__xludf.DUMMYFUNCTION("""COMPUTED_VALUE"""),23.0)</f>
        <v>23</v>
      </c>
      <c r="AK1971" s="3" t="str">
        <f>IFERROR(__xludf.DUMMYFUNCTION("""COMPUTED_VALUE"""),"MMS14")</f>
        <v>MMS14</v>
      </c>
      <c r="AL1971" s="3"/>
    </row>
    <row r="1972" ht="15.75" customHeight="1">
      <c r="A1972" s="1" t="str">
        <f>IFERROR(__xludf.DUMMYFUNCTION("""COMPUTED_VALUE"""),"22658")</f>
        <v>22658</v>
      </c>
      <c r="B1972" s="2">
        <f>IFERROR(__xludf.DUMMYFUNCTION("""COMPUTED_VALUE"""),22658.0)</f>
        <v>22658</v>
      </c>
      <c r="C1972" s="3" t="str">
        <f>IFERROR(__xludf.DUMMYFUNCTION("""COMPUTED_VALUE"""),"BCM ถ.วิรัชหงษ์หยก ภูเก็ต")</f>
        <v>BCM ถ.วิรัชหงษ์หยก ภูเก็ต</v>
      </c>
      <c r="D1972" s="3" t="str">
        <f>IFERROR(__xludf.DUMMYFUNCTION("""COMPUTED_VALUE"""),"BCM THANON WIRAT HONG YOK")</f>
        <v>BCM THANON WIRAT HONG YOK</v>
      </c>
      <c r="E1972" s="1" t="str">
        <f>IFERROR(__xludf.DUMMYFUNCTION("""COMPUTED_VALUE"""),"บิ๊กซี MINI")</f>
        <v>บิ๊กซี MINI</v>
      </c>
      <c r="F1972" s="1" t="str">
        <f>IFERROR(__xludf.DUMMYFUNCTION("""COMPUTED_VALUE"""),"250760")</f>
        <v>250760</v>
      </c>
      <c r="G1972" s="1" t="str">
        <f>IFERROR(__xludf.DUMMYFUNCTION("""COMPUTED_VALUE"""),"นายประทวน สาราบรรณ์")</f>
        <v>นายประทวน สาราบรรณ์</v>
      </c>
      <c r="H1972" s="1" t="str">
        <f>IFERROR(__xludf.DUMMYFUNCTION("""COMPUTED_VALUE"""),"357284")</f>
        <v>357284</v>
      </c>
      <c r="I1972" s="1" t="str">
        <f>IFERROR(__xludf.DUMMYFUNCTION("""COMPUTED_VALUE"""),"น.ส.เบญจวรรณ ปัณฑโมรา")</f>
        <v>น.ส.เบญจวรรณ ปัณฑโมรา</v>
      </c>
      <c r="J1972" s="3">
        <f>IFERROR(__xludf.DUMMYFUNCTION("""COMPUTED_VALUE"""),25324.0)</f>
        <v>25324</v>
      </c>
      <c r="K1972" s="3" t="str">
        <f>IFERROR(__xludf.DUMMYFUNCTION("""COMPUTED_VALUE"""),"นายวิเชฎฐ์ ติรัตนะประคม")</f>
        <v>นายวิเชฎฐ์ ติรัตนะประคม</v>
      </c>
      <c r="L1972" s="1" t="str">
        <f>IFERROR(__xludf.DUMMYFUNCTION("""COMPUTED_VALUE"""),"14 K.Wichet T.")</f>
        <v>14 K.Wichet T.</v>
      </c>
      <c r="M1972" s="1" t="str">
        <f>IFERROR(__xludf.DUMMYFUNCTION("""COMPUTED_VALUE"""),"061-417-6569 / 086-445-5636")</f>
        <v>061-417-6569 / 086-445-5636</v>
      </c>
      <c r="N1972" s="3">
        <f>IFERROR(__xludf.DUMMYFUNCTION("""COMPUTED_VALUE"""),22658.0)</f>
        <v>22658</v>
      </c>
      <c r="O1972" s="3" t="str">
        <f>IFERROR(__xludf.DUMMYFUNCTION("""COMPUTED_VALUE"""),"BCM ถ.วิรัชหงษ์หยก ภูเก็ต")</f>
        <v>BCM ถ.วิรัชหงษ์หยก ภูเก็ต</v>
      </c>
      <c r="P1972" s="4">
        <f>IFERROR(__xludf.DUMMYFUNCTION("""COMPUTED_VALUE"""),45282.0)</f>
        <v>45282</v>
      </c>
      <c r="Q1972" s="3" t="str">
        <f>IFERROR(__xludf.DUMMYFUNCTION("""COMPUTED_VALUE"""),"A")</f>
        <v>A</v>
      </c>
      <c r="R1972" s="3" t="str">
        <f>IFERROR(__xludf.DUMMYFUNCTION("""COMPUTED_VALUE"""),"Small Format")</f>
        <v>Small Format</v>
      </c>
      <c r="S1972" s="3" t="str">
        <f>IFERROR(__xludf.DUMMYFUNCTION("""COMPUTED_VALUE"""),"BCM")</f>
        <v>BCM</v>
      </c>
      <c r="T1972" s="3" t="str">
        <f>IFERROR(__xludf.DUMMYFUNCTION("""COMPUTED_VALUE"""),"#N/A")</f>
        <v>#N/A</v>
      </c>
      <c r="U1972" s="3" t="str">
        <f>IFERROR(__xludf.DUMMYFUNCTION("""COMPUTED_VALUE"""),"#N/A")</f>
        <v>#N/A</v>
      </c>
      <c r="V1972" s="3" t="str">
        <f>IFERROR(__xludf.DUMMYFUNCTION("""COMPUTED_VALUE"""),"N")</f>
        <v>N</v>
      </c>
      <c r="W1972" s="3">
        <f>IFERROR(__xludf.DUMMYFUNCTION("""COMPUTED_VALUE"""),210756.0)</f>
        <v>210756</v>
      </c>
      <c r="X1972" s="3" t="str">
        <f>IFERROR(__xludf.DUMMYFUNCTION("""COMPUTED_VALUE"""),"65/119 หมู่4 ตำบลวิชิต อำเภอเมืองภูเก็ต จังหวัดภูเก็ต 83000")</f>
        <v>65/119 หมู่4 ตำบลวิชิต อำเภอเมืองภูเก็ต จังหวัดภูเก็ต 83000</v>
      </c>
      <c r="Y1972" s="3"/>
      <c r="Z1972" s="3" t="str">
        <f>IFERROR(__xludf.DUMMYFUNCTION("""COMPUTED_VALUE"""),"วิชิต")</f>
        <v>วิชิต</v>
      </c>
      <c r="AA1972" s="3" t="str">
        <f>IFERROR(__xludf.DUMMYFUNCTION("""COMPUTED_VALUE"""),"เมืองภูเก็ต")</f>
        <v>เมืองภูเก็ต</v>
      </c>
      <c r="AB1972" s="3" t="str">
        <f>IFERROR(__xludf.DUMMYFUNCTION("""COMPUTED_VALUE"""),"ภูเก็ต")</f>
        <v>ภูเก็ต</v>
      </c>
      <c r="AC1972" s="3">
        <f>IFERROR(__xludf.DUMMYFUNCTION("""COMPUTED_VALUE"""),83000.0)</f>
        <v>83000</v>
      </c>
      <c r="AD1972" s="3">
        <f>IFERROR(__xludf.DUMMYFUNCTION("""COMPUTED_VALUE"""),7.881232)</f>
        <v>7.881232</v>
      </c>
      <c r="AE1972" s="3">
        <f>IFERROR(__xludf.DUMMYFUNCTION("""COMPUTED_VALUE"""),98.368965)</f>
        <v>98.368965</v>
      </c>
      <c r="AF1972" s="3" t="str">
        <f>IFERROR(__xludf.DUMMYFUNCTION("""COMPUTED_VALUE"""),"BCM ถ.วิรัชหงษ์หยก ภูเก็ต-22658")</f>
        <v>BCM ถ.วิรัชหงษ์หยก ภูเก็ต-22658</v>
      </c>
      <c r="AG1972" s="3" t="str">
        <f>IFERROR(__xludf.DUMMYFUNCTION("""COMPUTED_VALUE"""),"ใต้")</f>
        <v>ใต้</v>
      </c>
      <c r="AH1972" s="3" t="str">
        <f>IFERROR(__xludf.DUMMYFUNCTION("""COMPUTED_VALUE"""),"#N/A")</f>
        <v>#N/A</v>
      </c>
      <c r="AI1972" s="3" t="str">
        <f>IFERROR(__xludf.DUMMYFUNCTION("""COMPUTED_VALUE"""),"Out of warranty")</f>
        <v>Out of warranty</v>
      </c>
      <c r="AJ1972" s="3">
        <f>IFERROR(__xludf.DUMMYFUNCTION("""COMPUTED_VALUE"""),25.0)</f>
        <v>25</v>
      </c>
      <c r="AK1972" s="3" t="str">
        <f>IFERROR(__xludf.DUMMYFUNCTION("""COMPUTED_VALUE"""),"MMS15")</f>
        <v>MMS15</v>
      </c>
      <c r="AL1972" s="3"/>
    </row>
    <row r="1973" ht="15.75" customHeight="1">
      <c r="A1973" s="1" t="str">
        <f>IFERROR(__xludf.DUMMYFUNCTION("""COMPUTED_VALUE"""),"22659")</f>
        <v>22659</v>
      </c>
      <c r="B1973" s="2">
        <f>IFERROR(__xludf.DUMMYFUNCTION("""COMPUTED_VALUE"""),22659.0)</f>
        <v>22659</v>
      </c>
      <c r="C1973" s="3" t="str">
        <f>IFERROR(__xludf.DUMMYFUNCTION("""COMPUTED_VALUE"""),"BCM เคซีการ์เด้นโฮม(นิมิตรใหม่40) กรุงเทพมหานคร")</f>
        <v>BCM เคซีการ์เด้นโฮม(นิมิตรใหม่40) กรุงเทพมหานคร</v>
      </c>
      <c r="D1973" s="3" t="str">
        <f>IFERROR(__xludf.DUMMYFUNCTION("""COMPUTED_VALUE"""),"BCM K.C. GARDEN HOME")</f>
        <v>BCM K.C. GARDEN HOME</v>
      </c>
      <c r="E1973" s="1" t="str">
        <f>IFERROR(__xludf.DUMMYFUNCTION("""COMPUTED_VALUE"""),"บิ๊กซี MINI")</f>
        <v>บิ๊กซี MINI</v>
      </c>
      <c r="F1973" s="1" t="str">
        <f>IFERROR(__xludf.DUMMYFUNCTION("""COMPUTED_VALUE"""),"291008")</f>
        <v>291008</v>
      </c>
      <c r="G1973" s="1" t="str">
        <f>IFERROR(__xludf.DUMMYFUNCTION("""COMPUTED_VALUE"""),"น.ส.รัชดาพร อีศรัตน์")</f>
        <v>น.ส.รัชดาพร อีศรัตน์</v>
      </c>
      <c r="H1973" s="1" t="str">
        <f>IFERROR(__xludf.DUMMYFUNCTION("""COMPUTED_VALUE"""),"228242")</f>
        <v>228242</v>
      </c>
      <c r="I1973" s="1" t="str">
        <f>IFERROR(__xludf.DUMMYFUNCTION("""COMPUTED_VALUE"""),"นายสมชาย เยมรัมย์")</f>
        <v>นายสมชาย เยมรัมย์</v>
      </c>
      <c r="J1973" s="3">
        <f>IFERROR(__xludf.DUMMYFUNCTION("""COMPUTED_VALUE"""),3510104.0)</f>
        <v>3510104</v>
      </c>
      <c r="K1973" s="3" t="str">
        <f>IFERROR(__xludf.DUMMYFUNCTION("""COMPUTED_VALUE"""),"นายวิโรจน์ อับดุลสมัด")</f>
        <v>นายวิโรจน์ อับดุลสมัด</v>
      </c>
      <c r="L1973" s="1" t="str">
        <f>IFERROR(__xludf.DUMMYFUNCTION("""COMPUTED_VALUE"""),"09 K.Wirode A")</f>
        <v>09 K.Wirode A</v>
      </c>
      <c r="M1973" s="1" t="str">
        <f>IFERROR(__xludf.DUMMYFUNCTION("""COMPUTED_VALUE"""),"080-235-4465")</f>
        <v>080-235-4465</v>
      </c>
      <c r="N1973" s="3">
        <f>IFERROR(__xludf.DUMMYFUNCTION("""COMPUTED_VALUE"""),21324.0)</f>
        <v>21324</v>
      </c>
      <c r="O1973" s="3" t="str">
        <f>IFERROR(__xludf.DUMMYFUNCTION("""COMPUTED_VALUE"""),"MBC BCP สุวินทวงศ์")</f>
        <v>MBC BCP สุวินทวงศ์</v>
      </c>
      <c r="P1973" s="4">
        <f>IFERROR(__xludf.DUMMYFUNCTION("""COMPUTED_VALUE"""),45285.0)</f>
        <v>45285</v>
      </c>
      <c r="Q1973" s="3" t="str">
        <f>IFERROR(__xludf.DUMMYFUNCTION("""COMPUTED_VALUE"""),"A")</f>
        <v>A</v>
      </c>
      <c r="R1973" s="3" t="str">
        <f>IFERROR(__xludf.DUMMYFUNCTION("""COMPUTED_VALUE"""),"Small Format")</f>
        <v>Small Format</v>
      </c>
      <c r="S1973" s="3" t="str">
        <f>IFERROR(__xludf.DUMMYFUNCTION("""COMPUTED_VALUE"""),"BCM")</f>
        <v>BCM</v>
      </c>
      <c r="T1973" s="3" t="str">
        <f>IFERROR(__xludf.DUMMYFUNCTION("""COMPUTED_VALUE"""),"#N/A")</f>
        <v>#N/A</v>
      </c>
      <c r="U1973" s="3" t="str">
        <f>IFERROR(__xludf.DUMMYFUNCTION("""COMPUTED_VALUE"""),"#N/A")</f>
        <v>#N/A</v>
      </c>
      <c r="V1973" s="3" t="str">
        <f>IFERROR(__xludf.DUMMYFUNCTION("""COMPUTED_VALUE"""),"N")</f>
        <v>N</v>
      </c>
      <c r="W1973" s="3">
        <f>IFERROR(__xludf.DUMMYFUNCTION("""COMPUTED_VALUE"""),210654.0)</f>
        <v>210654</v>
      </c>
      <c r="X1973" s="3" t="str">
        <f>IFERROR(__xludf.DUMMYFUNCTION("""COMPUTED_VALUE"""),"42/566 ซอยนิมิตรใหม่ 40 แขวงสามวาตะวันออก เขตคลองสามวา กรุงเทพมหานคร 10510")</f>
        <v>42/566 ซอยนิมิตรใหม่ 40 แขวงสามวาตะวันออก เขตคลองสามวา กรุงเทพมหานคร 10510</v>
      </c>
      <c r="Y1973" s="3"/>
      <c r="Z1973" s="3" t="str">
        <f>IFERROR(__xludf.DUMMYFUNCTION("""COMPUTED_VALUE"""),"สามวาตะวันออก")</f>
        <v>สามวาตะวันออก</v>
      </c>
      <c r="AA1973" s="3" t="str">
        <f>IFERROR(__xludf.DUMMYFUNCTION("""COMPUTED_VALUE"""),"คลองสามวา")</f>
        <v>คลองสามวา</v>
      </c>
      <c r="AB1973" s="3" t="str">
        <f>IFERROR(__xludf.DUMMYFUNCTION("""COMPUTED_VALUE"""),"กรุงเทพมหานคร")</f>
        <v>กรุงเทพมหานคร</v>
      </c>
      <c r="AC1973" s="3">
        <f>IFERROR(__xludf.DUMMYFUNCTION("""COMPUTED_VALUE"""),10510.0)</f>
        <v>10510</v>
      </c>
      <c r="AD1973" s="3">
        <f>IFERROR(__xludf.DUMMYFUNCTION("""COMPUTED_VALUE"""),13.890819)</f>
        <v>13.890819</v>
      </c>
      <c r="AE1973" s="3" t="str">
        <f>IFERROR(__xludf.DUMMYFUNCTION("""COMPUTED_VALUE"""),"10 0.752746")</f>
        <v>10 0.752746</v>
      </c>
      <c r="AF1973" s="3" t="str">
        <f>IFERROR(__xludf.DUMMYFUNCTION("""COMPUTED_VALUE"""),"BCM เคซีการ์เด้นโฮม(นิมิตรใหม่40) กรุงเทพมหานคร-22659")</f>
        <v>BCM เคซีการ์เด้นโฮม(นิมิตรใหม่40) กรุงเทพมหานคร-22659</v>
      </c>
      <c r="AG1973" s="3" t="str">
        <f>IFERROR(__xludf.DUMMYFUNCTION("""COMPUTED_VALUE"""),"กลาง")</f>
        <v>กลาง</v>
      </c>
      <c r="AH1973" s="3" t="str">
        <f>IFERROR(__xludf.DUMMYFUNCTION("""COMPUTED_VALUE"""),"#N/A")</f>
        <v>#N/A</v>
      </c>
      <c r="AI1973" s="3" t="str">
        <f>IFERROR(__xludf.DUMMYFUNCTION("""COMPUTED_VALUE"""),"Out of warranty")</f>
        <v>Out of warranty</v>
      </c>
      <c r="AJ1973" s="3">
        <f>IFERROR(__xludf.DUMMYFUNCTION("""COMPUTED_VALUE"""),25.0)</f>
        <v>25</v>
      </c>
      <c r="AK1973" s="3" t="str">
        <f>IFERROR(__xludf.DUMMYFUNCTION("""COMPUTED_VALUE"""),"MMS01")</f>
        <v>MMS01</v>
      </c>
      <c r="AL1973" s="3"/>
    </row>
    <row r="1974" ht="15.75" customHeight="1">
      <c r="A1974" s="1" t="str">
        <f>IFERROR(__xludf.DUMMYFUNCTION("""COMPUTED_VALUE"""),"22660")</f>
        <v>22660</v>
      </c>
      <c r="B1974" s="2">
        <f>IFERROR(__xludf.DUMMYFUNCTION("""COMPUTED_VALUE"""),22660.0)</f>
        <v>22660</v>
      </c>
      <c r="C1974" s="3" t="str">
        <f>IFERROR(__xludf.DUMMYFUNCTION("""COMPUTED_VALUE"""),"BCM คาลเท็กซ์ ห้าแยกพ่อขุน เชียงราย")</f>
        <v>BCM คาลเท็กซ์ ห้าแยกพ่อขุน เชียงราย</v>
      </c>
      <c r="D1974" s="3" t="str">
        <f>IFERROR(__xludf.DUMMYFUNCTION("""COMPUTED_VALUE"""),"BCM CALTEX 5 YEAK POR KHUN")</f>
        <v>BCM CALTEX 5 YEAK POR KHUN</v>
      </c>
      <c r="E1974" s="1" t="str">
        <f>IFERROR(__xludf.DUMMYFUNCTION("""COMPUTED_VALUE"""),"บิ๊กซี MINI")</f>
        <v>บิ๊กซี MINI</v>
      </c>
      <c r="F1974" s="1" t="str">
        <f>IFERROR(__xludf.DUMMYFUNCTION("""COMPUTED_VALUE"""),"296229")</f>
        <v>296229</v>
      </c>
      <c r="G1974" s="1" t="str">
        <f>IFERROR(__xludf.DUMMYFUNCTION("""COMPUTED_VALUE"""),"นายทนงศักดิ์ บุญมา")</f>
        <v>นายทนงศักดิ์ บุญมา</v>
      </c>
      <c r="H1974" s="1" t="str">
        <f>IFERROR(__xludf.DUMMYFUNCTION("""COMPUTED_VALUE"""),"392585")</f>
        <v>392585</v>
      </c>
      <c r="I1974" s="1" t="str">
        <f>IFERROR(__xludf.DUMMYFUNCTION("""COMPUTED_VALUE"""),"นายไชยัณต์ ผิวขัวเรียง")</f>
        <v>นายไชยัณต์ ผิวขัวเรียง</v>
      </c>
      <c r="J1974" s="3">
        <f>IFERROR(__xludf.DUMMYFUNCTION("""COMPUTED_VALUE"""),2010016.0)</f>
        <v>2010016</v>
      </c>
      <c r="K1974" s="3" t="str">
        <f>IFERROR(__xludf.DUMMYFUNCTION("""COMPUTED_VALUE"""),"นายตวงธรรม ใหม่ยศ")</f>
        <v>นายตวงธรรม ใหม่ยศ</v>
      </c>
      <c r="L1974" s="1" t="str">
        <f>IFERROR(__xludf.DUMMYFUNCTION("""COMPUTED_VALUE"""),"01 K.Tuangtham M.")</f>
        <v>01 K.Tuangtham M.</v>
      </c>
      <c r="M1974" s="1" t="str">
        <f>IFERROR(__xludf.DUMMYFUNCTION("""COMPUTED_VALUE"""),"063-976-595")</f>
        <v>063-976-595</v>
      </c>
      <c r="N1974" s="3">
        <f>IFERROR(__xludf.DUMMYFUNCTION("""COMPUTED_VALUE"""),22574.0)</f>
        <v>22574</v>
      </c>
      <c r="O1974" s="3" t="str">
        <f>IFERROR(__xludf.DUMMYFUNCTION("""COMPUTED_VALUE"""),"BCM ชุมชนศรีชุม ลำปาง")</f>
        <v>BCM ชุมชนศรีชุม ลำปาง</v>
      </c>
      <c r="P1974" s="4">
        <f>IFERROR(__xludf.DUMMYFUNCTION("""COMPUTED_VALUE"""),45283.0)</f>
        <v>45283</v>
      </c>
      <c r="Q1974" s="3" t="str">
        <f>IFERROR(__xludf.DUMMYFUNCTION("""COMPUTED_VALUE"""),"A")</f>
        <v>A</v>
      </c>
      <c r="R1974" s="3" t="str">
        <f>IFERROR(__xludf.DUMMYFUNCTION("""COMPUTED_VALUE"""),"Small Format")</f>
        <v>Small Format</v>
      </c>
      <c r="S1974" s="3" t="str">
        <f>IFERROR(__xludf.DUMMYFUNCTION("""COMPUTED_VALUE"""),"BCM")</f>
        <v>BCM</v>
      </c>
      <c r="T1974" s="3" t="str">
        <f>IFERROR(__xludf.DUMMYFUNCTION("""COMPUTED_VALUE"""),"#N/A")</f>
        <v>#N/A</v>
      </c>
      <c r="U1974" s="3" t="str">
        <f>IFERROR(__xludf.DUMMYFUNCTION("""COMPUTED_VALUE"""),"#N/A")</f>
        <v>#N/A</v>
      </c>
      <c r="V1974" s="3" t="str">
        <f>IFERROR(__xludf.DUMMYFUNCTION("""COMPUTED_VALUE"""),"N")</f>
        <v>N</v>
      </c>
      <c r="W1974" s="3">
        <f>IFERROR(__xludf.DUMMYFUNCTION("""COMPUTED_VALUE"""),210801.0)</f>
        <v>210801</v>
      </c>
      <c r="X1974" s="3" t="str">
        <f>IFERROR(__xludf.DUMMYFUNCTION("""COMPUTED_VALUE"""),"255/1 หมู่19 ตำบลรอบเวียง อำเภอเมืองเชียงราย จังหวัดเชียงราย 57000")</f>
        <v>255/1 หมู่19 ตำบลรอบเวียง อำเภอเมืองเชียงราย จังหวัดเชียงราย 57000</v>
      </c>
      <c r="Y1974" s="3"/>
      <c r="Z1974" s="3" t="str">
        <f>IFERROR(__xludf.DUMMYFUNCTION("""COMPUTED_VALUE"""),"รอบเวียง")</f>
        <v>รอบเวียง</v>
      </c>
      <c r="AA1974" s="3" t="str">
        <f>IFERROR(__xludf.DUMMYFUNCTION("""COMPUTED_VALUE"""),"เมืองเชียงราย")</f>
        <v>เมืองเชียงราย</v>
      </c>
      <c r="AB1974" s="3" t="str">
        <f>IFERROR(__xludf.DUMMYFUNCTION("""COMPUTED_VALUE"""),"เชียงราย")</f>
        <v>เชียงราย</v>
      </c>
      <c r="AC1974" s="3">
        <f>IFERROR(__xludf.DUMMYFUNCTION("""COMPUTED_VALUE"""),57000.0)</f>
        <v>57000</v>
      </c>
      <c r="AD1974" s="3">
        <f>IFERROR(__xludf.DUMMYFUNCTION("""COMPUTED_VALUE"""),19.91452)</f>
        <v>19.91452</v>
      </c>
      <c r="AE1974" s="3">
        <f>IFERROR(__xludf.DUMMYFUNCTION("""COMPUTED_VALUE"""),99.845445)</f>
        <v>99.845445</v>
      </c>
      <c r="AF1974" s="3" t="str">
        <f>IFERROR(__xludf.DUMMYFUNCTION("""COMPUTED_VALUE"""),"BCM คาลเท็กซ์ ห้าแยกพ่อขุน เชียงราย-22660")</f>
        <v>BCM คาลเท็กซ์ ห้าแยกพ่อขุน เชียงราย-22660</v>
      </c>
      <c r="AG1974" s="3" t="str">
        <f>IFERROR(__xludf.DUMMYFUNCTION("""COMPUTED_VALUE"""),"เหนือ")</f>
        <v>เหนือ</v>
      </c>
      <c r="AH1974" s="3" t="str">
        <f>IFERROR(__xludf.DUMMYFUNCTION("""COMPUTED_VALUE"""),"#N/A")</f>
        <v>#N/A</v>
      </c>
      <c r="AI1974" s="3" t="str">
        <f>IFERROR(__xludf.DUMMYFUNCTION("""COMPUTED_VALUE"""),"Out of warranty")</f>
        <v>Out of warranty</v>
      </c>
      <c r="AJ1974" s="3">
        <f>IFERROR(__xludf.DUMMYFUNCTION("""COMPUTED_VALUE"""),25.0)</f>
        <v>25</v>
      </c>
      <c r="AK1974" s="3" t="str">
        <f>IFERROR(__xludf.DUMMYFUNCTION("""COMPUTED_VALUE"""),"MMS10")</f>
        <v>MMS10</v>
      </c>
      <c r="AL1974" s="3"/>
    </row>
    <row r="1975" ht="15.75" customHeight="1">
      <c r="A1975" s="1" t="str">
        <f>IFERROR(__xludf.DUMMYFUNCTION("""COMPUTED_VALUE"""),"22661")</f>
        <v>22661</v>
      </c>
      <c r="B1975" s="2">
        <f>IFERROR(__xludf.DUMMYFUNCTION("""COMPUTED_VALUE"""),22661.0)</f>
        <v>22661</v>
      </c>
      <c r="C1975" s="3" t="str">
        <f>IFERROR(__xludf.DUMMYFUNCTION("""COMPUTED_VALUE"""),"BCM ชุมชนคลองแห สงขลา")</f>
        <v>BCM ชุมชนคลองแห สงขลา</v>
      </c>
      <c r="D1975" s="3" t="str">
        <f>IFERROR(__xludf.DUMMYFUNCTION("""COMPUTED_VALUE"""),"BCM CHUMCHON KLONG HAE")</f>
        <v>BCM CHUMCHON KLONG HAE</v>
      </c>
      <c r="E1975" s="1" t="str">
        <f>IFERROR(__xludf.DUMMYFUNCTION("""COMPUTED_VALUE"""),"บิ๊กซี MINI")</f>
        <v>บิ๊กซี MINI</v>
      </c>
      <c r="F1975" s="1" t="str">
        <f>IFERROR(__xludf.DUMMYFUNCTION("""COMPUTED_VALUE"""),"250760")</f>
        <v>250760</v>
      </c>
      <c r="G1975" s="1" t="str">
        <f>IFERROR(__xludf.DUMMYFUNCTION("""COMPUTED_VALUE"""),"นายประทวน สาราบรรณ์")</f>
        <v>นายประทวน สาราบรรณ์</v>
      </c>
      <c r="H1975" s="1" t="str">
        <f>IFERROR(__xludf.DUMMYFUNCTION("""COMPUTED_VALUE"""),"394100")</f>
        <v>394100</v>
      </c>
      <c r="I1975" s="1" t="str">
        <f>IFERROR(__xludf.DUMMYFUNCTION("""COMPUTED_VALUE"""),"นายไพโรจน์ ถิระผะลิกะ")</f>
        <v>นายไพโรจน์ ถิระผะลิกะ</v>
      </c>
      <c r="J1975" s="3">
        <f>IFERROR(__xludf.DUMMYFUNCTION("""COMPUTED_VALUE"""),2.0470331E7)</f>
        <v>20470331</v>
      </c>
      <c r="K1975" s="3" t="str">
        <f>IFERROR(__xludf.DUMMYFUNCTION("""COMPUTED_VALUE"""),"นายสมชาย ลักษณะสุวรรณ")</f>
        <v>นายสมชาย ลักษณะสุวรรณ</v>
      </c>
      <c r="L1975" s="1" t="str">
        <f>IFERROR(__xludf.DUMMYFUNCTION("""COMPUTED_VALUE"""),"15 K.Somchai L")</f>
        <v>15 K.Somchai L</v>
      </c>
      <c r="M1975" s="1" t="str">
        <f>IFERROR(__xludf.DUMMYFUNCTION("""COMPUTED_VALUE"""),"0655107372")</f>
        <v>0655107372</v>
      </c>
      <c r="N1975" s="3">
        <f>IFERROR(__xludf.DUMMYFUNCTION("""COMPUTED_VALUE"""),21723.0)</f>
        <v>21723</v>
      </c>
      <c r="O1975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975" s="4">
        <f>IFERROR(__xludf.DUMMYFUNCTION("""COMPUTED_VALUE"""),45285.0)</f>
        <v>45285</v>
      </c>
      <c r="Q1975" s="3" t="str">
        <f>IFERROR(__xludf.DUMMYFUNCTION("""COMPUTED_VALUE"""),"A")</f>
        <v>A</v>
      </c>
      <c r="R1975" s="3" t="str">
        <f>IFERROR(__xludf.DUMMYFUNCTION("""COMPUTED_VALUE"""),"Small Format")</f>
        <v>Small Format</v>
      </c>
      <c r="S1975" s="3" t="str">
        <f>IFERROR(__xludf.DUMMYFUNCTION("""COMPUTED_VALUE"""),"BCM")</f>
        <v>BCM</v>
      </c>
      <c r="T1975" s="3" t="str">
        <f>IFERROR(__xludf.DUMMYFUNCTION("""COMPUTED_VALUE"""),"#N/A")</f>
        <v>#N/A</v>
      </c>
      <c r="U1975" s="3" t="str">
        <f>IFERROR(__xludf.DUMMYFUNCTION("""COMPUTED_VALUE"""),"#N/A")</f>
        <v>#N/A</v>
      </c>
      <c r="V1975" s="3" t="str">
        <f>IFERROR(__xludf.DUMMYFUNCTION("""COMPUTED_VALUE"""),"N")</f>
        <v>N</v>
      </c>
      <c r="W1975" s="3">
        <f>IFERROR(__xludf.DUMMYFUNCTION("""COMPUTED_VALUE"""),210750.0)</f>
        <v>210750</v>
      </c>
      <c r="X1975" s="3" t="str">
        <f>IFERROR(__xludf.DUMMYFUNCTION("""COMPUTED_VALUE"""),"11/32 หมู่7 ตำบลคลองแห อำเภอหาดใหญ่ จังหวัดสงขลา 90110")</f>
        <v>11/32 หมู่7 ตำบลคลองแห อำเภอหาดใหญ่ จังหวัดสงขลา 90110</v>
      </c>
      <c r="Y1975" s="3"/>
      <c r="Z1975" s="3" t="str">
        <f>IFERROR(__xludf.DUMMYFUNCTION("""COMPUTED_VALUE"""),"คลองแห")</f>
        <v>คลองแห</v>
      </c>
      <c r="AA1975" s="3" t="str">
        <f>IFERROR(__xludf.DUMMYFUNCTION("""COMPUTED_VALUE"""),"หาดใหญ่")</f>
        <v>หาดใหญ่</v>
      </c>
      <c r="AB1975" s="3" t="str">
        <f>IFERROR(__xludf.DUMMYFUNCTION("""COMPUTED_VALUE"""),"สงขลา")</f>
        <v>สงขลา</v>
      </c>
      <c r="AC1975" s="3">
        <f>IFERROR(__xludf.DUMMYFUNCTION("""COMPUTED_VALUE"""),90110.0)</f>
        <v>90110</v>
      </c>
      <c r="AD1975" s="3">
        <f>IFERROR(__xludf.DUMMYFUNCTION("""COMPUTED_VALUE"""),7.057397)</f>
        <v>7.057397</v>
      </c>
      <c r="AE1975" s="3">
        <f>IFERROR(__xludf.DUMMYFUNCTION("""COMPUTED_VALUE"""),100.477055)</f>
        <v>100.477055</v>
      </c>
      <c r="AF1975" s="3" t="str">
        <f>IFERROR(__xludf.DUMMYFUNCTION("""COMPUTED_VALUE"""),"BCM ชุมชนคลองแห สงขลา-22661")</f>
        <v>BCM ชุมชนคลองแห สงขลา-22661</v>
      </c>
      <c r="AG1975" s="3" t="str">
        <f>IFERROR(__xludf.DUMMYFUNCTION("""COMPUTED_VALUE"""),"ใต้")</f>
        <v>ใต้</v>
      </c>
      <c r="AH1975" s="3" t="str">
        <f>IFERROR(__xludf.DUMMYFUNCTION("""COMPUTED_VALUE"""),"#N/A")</f>
        <v>#N/A</v>
      </c>
      <c r="AI1975" s="3" t="str">
        <f>IFERROR(__xludf.DUMMYFUNCTION("""COMPUTED_VALUE"""),"Out of warranty")</f>
        <v>Out of warranty</v>
      </c>
      <c r="AJ1975" s="3">
        <f>IFERROR(__xludf.DUMMYFUNCTION("""COMPUTED_VALUE"""),25.0)</f>
        <v>25</v>
      </c>
      <c r="AK1975" s="3" t="str">
        <f>IFERROR(__xludf.DUMMYFUNCTION("""COMPUTED_VALUE"""),"MMS16")</f>
        <v>MMS16</v>
      </c>
      <c r="AL1975" s="3"/>
    </row>
    <row r="1976" ht="15.75" customHeight="1">
      <c r="A1976" s="1" t="str">
        <f>IFERROR(__xludf.DUMMYFUNCTION("""COMPUTED_VALUE"""),"22662")</f>
        <v>22662</v>
      </c>
      <c r="B1976" s="2">
        <f>IFERROR(__xludf.DUMMYFUNCTION("""COMPUTED_VALUE"""),22662.0)</f>
        <v>22662</v>
      </c>
      <c r="C1976" s="3" t="str">
        <f>IFERROR(__xludf.DUMMYFUNCTION("""COMPUTED_VALUE"""),"BCM พัฒนาชนบท 4 กรุงเทพฯ")</f>
        <v>BCM พัฒนาชนบท 4 กรุงเทพฯ</v>
      </c>
      <c r="D1976" s="3" t="str">
        <f>IFERROR(__xludf.DUMMYFUNCTION("""COMPUTED_VALUE"""),"BCM PHATTHANA CHONNABOT 4")</f>
        <v>BCM PHATTHANA CHONNABOT 4</v>
      </c>
      <c r="E1976" s="1" t="str">
        <f>IFERROR(__xludf.DUMMYFUNCTION("""COMPUTED_VALUE"""),"บิ๊กซี MINI")</f>
        <v>บิ๊กซี MINI</v>
      </c>
      <c r="F1976" s="1" t="str">
        <f>IFERROR(__xludf.DUMMYFUNCTION("""COMPUTED_VALUE"""),"291008")</f>
        <v>291008</v>
      </c>
      <c r="G1976" s="1" t="str">
        <f>IFERROR(__xludf.DUMMYFUNCTION("""COMPUTED_VALUE"""),"น.ส.รัชดาพร อีศรัตน์")</f>
        <v>น.ส.รัชดาพร อีศรัตน์</v>
      </c>
      <c r="H1976" s="1" t="str">
        <f>IFERROR(__xludf.DUMMYFUNCTION("""COMPUTED_VALUE"""),"359054")</f>
        <v>359054</v>
      </c>
      <c r="I1976" s="1" t="str">
        <f>IFERROR(__xludf.DUMMYFUNCTION("""COMPUTED_VALUE"""),"น.ส.กรรณิการ์ พุทธวงค์")</f>
        <v>น.ส.กรรณิการ์ พุทธวงค์</v>
      </c>
      <c r="J1976" s="3">
        <f>IFERROR(__xludf.DUMMYFUNCTION("""COMPUTED_VALUE"""),2452378.0)</f>
        <v>2452378</v>
      </c>
      <c r="K1976" s="3" t="str">
        <f>IFERROR(__xludf.DUMMYFUNCTION("""COMPUTED_VALUE"""),"นายศักดิ์ดา พวงประดับ")</f>
        <v>นายศักดิ์ดา พวงประดับ</v>
      </c>
      <c r="L1976" s="1" t="str">
        <f>IFERROR(__xludf.DUMMYFUNCTION("""COMPUTED_VALUE"""),"11 K.Sakda P.")</f>
        <v>11 K.Sakda P.</v>
      </c>
      <c r="M1976" s="1" t="str">
        <f>IFERROR(__xludf.DUMMYFUNCTION("""COMPUTED_VALUE"""),"065-929-1279")</f>
        <v>065-929-1279</v>
      </c>
      <c r="N1976" s="3">
        <f>IFERROR(__xludf.DUMMYFUNCTION("""COMPUTED_VALUE"""),21002.0)</f>
        <v>21002</v>
      </c>
      <c r="O1976" s="3" t="str">
        <f>IFERROR(__xludf.DUMMYFUNCTION("""COMPUTED_VALUE"""),"MBC อุดมสุข")</f>
        <v>MBC อุดมสุข</v>
      </c>
      <c r="P1976" s="4">
        <f>IFERROR(__xludf.DUMMYFUNCTION("""COMPUTED_VALUE"""),45285.0)</f>
        <v>45285</v>
      </c>
      <c r="Q1976" s="3" t="str">
        <f>IFERROR(__xludf.DUMMYFUNCTION("""COMPUTED_VALUE"""),"A")</f>
        <v>A</v>
      </c>
      <c r="R1976" s="3" t="str">
        <f>IFERROR(__xludf.DUMMYFUNCTION("""COMPUTED_VALUE"""),"Small Format")</f>
        <v>Small Format</v>
      </c>
      <c r="S1976" s="3" t="str">
        <f>IFERROR(__xludf.DUMMYFUNCTION("""COMPUTED_VALUE"""),"BCM")</f>
        <v>BCM</v>
      </c>
      <c r="T1976" s="3" t="str">
        <f>IFERROR(__xludf.DUMMYFUNCTION("""COMPUTED_VALUE"""),"#N/A")</f>
        <v>#N/A</v>
      </c>
      <c r="U1976" s="3" t="str">
        <f>IFERROR(__xludf.DUMMYFUNCTION("""COMPUTED_VALUE"""),"#N/A")</f>
        <v>#N/A</v>
      </c>
      <c r="V1976" s="3" t="str">
        <f>IFERROR(__xludf.DUMMYFUNCTION("""COMPUTED_VALUE"""),"N")</f>
        <v>N</v>
      </c>
      <c r="W1976" s="3">
        <f>IFERROR(__xludf.DUMMYFUNCTION("""COMPUTED_VALUE"""),210771.0)</f>
        <v>210771</v>
      </c>
      <c r="X1976" s="3" t="str">
        <f>IFERROR(__xludf.DUMMYFUNCTION("""COMPUTED_VALUE"""),"11/3 ถนนพัฒนาชนบท 4 แขวงคลองสองต้นนุ่น เขตลาดกระบัง กรุงเทพมหานคร 10520")</f>
        <v>11/3 ถนนพัฒนาชนบท 4 แขวงคลองสองต้นนุ่น เขตลาดกระบัง กรุงเทพมหานคร 10520</v>
      </c>
      <c r="Y1976" s="3" t="str">
        <f>IFERROR(__xludf.DUMMYFUNCTION("""COMPUTED_VALUE"""),"พัฒนาชนบท4")</f>
        <v>พัฒนาชนบท4</v>
      </c>
      <c r="Z1976" s="3" t="str">
        <f>IFERROR(__xludf.DUMMYFUNCTION("""COMPUTED_VALUE"""),"คลองสองต้นนุ่น")</f>
        <v>คลองสองต้นนุ่น</v>
      </c>
      <c r="AA1976" s="3" t="str">
        <f>IFERROR(__xludf.DUMMYFUNCTION("""COMPUTED_VALUE"""),"ลาดกระบัง")</f>
        <v>ลาดกระบัง</v>
      </c>
      <c r="AB1976" s="3" t="str">
        <f>IFERROR(__xludf.DUMMYFUNCTION("""COMPUTED_VALUE"""),"กรุงเทพมหานคร")</f>
        <v>กรุงเทพมหานคร</v>
      </c>
      <c r="AC1976" s="3">
        <f>IFERROR(__xludf.DUMMYFUNCTION("""COMPUTED_VALUE"""),10520.0)</f>
        <v>10520</v>
      </c>
      <c r="AD1976" s="3">
        <f>IFERROR(__xludf.DUMMYFUNCTION("""COMPUTED_VALUE"""),13.73392673)</f>
        <v>13.73392673</v>
      </c>
      <c r="AE1976" s="3">
        <f>IFERROR(__xludf.DUMMYFUNCTION("""COMPUTED_VALUE"""),100.731131)</f>
        <v>100.731131</v>
      </c>
      <c r="AF1976" s="3" t="str">
        <f>IFERROR(__xludf.DUMMYFUNCTION("""COMPUTED_VALUE"""),"BCM พัฒนาชนบท 4 กรุงเทพฯ-22662")</f>
        <v>BCM พัฒนาชนบท 4 กรุงเทพฯ-22662</v>
      </c>
      <c r="AG1976" s="3" t="str">
        <f>IFERROR(__xludf.DUMMYFUNCTION("""COMPUTED_VALUE"""),"กลาง")</f>
        <v>กลาง</v>
      </c>
      <c r="AH1976" s="3" t="str">
        <f>IFERROR(__xludf.DUMMYFUNCTION("""COMPUTED_VALUE"""),"#N/A")</f>
        <v>#N/A</v>
      </c>
      <c r="AI1976" s="3" t="str">
        <f>IFERROR(__xludf.DUMMYFUNCTION("""COMPUTED_VALUE"""),"Out of warranty")</f>
        <v>Out of warranty</v>
      </c>
      <c r="AJ1976" s="3">
        <f>IFERROR(__xludf.DUMMYFUNCTION("""COMPUTED_VALUE"""),25.0)</f>
        <v>25</v>
      </c>
      <c r="AK1976" s="3" t="str">
        <f>IFERROR(__xludf.DUMMYFUNCTION("""COMPUTED_VALUE"""),"MMS03")</f>
        <v>MMS03</v>
      </c>
      <c r="AL1976" s="3"/>
    </row>
    <row r="1977" ht="15.75" customHeight="1">
      <c r="A1977" s="1" t="str">
        <f>IFERROR(__xludf.DUMMYFUNCTION("""COMPUTED_VALUE"""),"22663")</f>
        <v>22663</v>
      </c>
      <c r="B1977" s="2">
        <f>IFERROR(__xludf.DUMMYFUNCTION("""COMPUTED_VALUE"""),22663.0)</f>
        <v>22663</v>
      </c>
      <c r="C1977" s="3" t="str">
        <f>IFERROR(__xludf.DUMMYFUNCTION("""COMPUTED_VALUE"""),"BCM ถ.สวรรค์วิถี นครสวรรค์")</f>
        <v>BCM ถ.สวรรค์วิถี นครสวรรค์</v>
      </c>
      <c r="D1977" s="3" t="str">
        <f>IFERROR(__xludf.DUMMYFUNCTION("""COMPUTED_VALUE"""),"BCM THANON SAWANVITEE")</f>
        <v>BCM THANON SAWANVITEE</v>
      </c>
      <c r="E1977" s="1" t="str">
        <f>IFERROR(__xludf.DUMMYFUNCTION("""COMPUTED_VALUE"""),"บิ๊กซี MINI")</f>
        <v>บิ๊กซี MINI</v>
      </c>
      <c r="F1977" s="1" t="str">
        <f>IFERROR(__xludf.DUMMYFUNCTION("""COMPUTED_VALUE"""),"296229")</f>
        <v>296229</v>
      </c>
      <c r="G1977" s="1" t="str">
        <f>IFERROR(__xludf.DUMMYFUNCTION("""COMPUTED_VALUE"""),"นายทนงศักดิ์ บุญมา")</f>
        <v>นายทนงศักดิ์ บุญมา</v>
      </c>
      <c r="H1977" s="1" t="str">
        <f>IFERROR(__xludf.DUMMYFUNCTION("""COMPUTED_VALUE"""),"318186")</f>
        <v>318186</v>
      </c>
      <c r="I1977" s="1" t="str">
        <f>IFERROR(__xludf.DUMMYFUNCTION("""COMPUTED_VALUE"""),"น.ส.พนมวัลย์ เรืองรัตน์")</f>
        <v>น.ส.พนมวัลย์ เรืองรัตน์</v>
      </c>
      <c r="J1977" s="3">
        <f>IFERROR(__xludf.DUMMYFUNCTION("""COMPUTED_VALUE"""),46214.0)</f>
        <v>46214</v>
      </c>
      <c r="K1977" s="3" t="str">
        <f>IFERROR(__xludf.DUMMYFUNCTION("""COMPUTED_VALUE"""),"นายศักดิ์ชัย เด็ดดอกฟ้า")</f>
        <v>นายศักดิ์ชัย เด็ดดอกฟ้า</v>
      </c>
      <c r="L1977" s="1" t="str">
        <f>IFERROR(__xludf.DUMMYFUNCTION("""COMPUTED_VALUE"""),"02 K.Sakchai D")</f>
        <v>02 K.Sakchai D</v>
      </c>
      <c r="M1977" s="1" t="str">
        <f>IFERROR(__xludf.DUMMYFUNCTION("""COMPUTED_VALUE"""),"065-510-7376")</f>
        <v>065-510-7376</v>
      </c>
      <c r="N1977" s="3">
        <f>IFERROR(__xludf.DUMMYFUNCTION("""COMPUTED_VALUE"""),21714.0)</f>
        <v>21714</v>
      </c>
      <c r="O1977" s="3" t="str">
        <f>IFERROR(__xludf.DUMMYFUNCTION("""COMPUTED_VALUE"""),"MBC เอสโซ่ วัดโบสถ์")</f>
        <v>MBC เอสโซ่ วัดโบสถ์</v>
      </c>
      <c r="P1977" s="4">
        <f>IFERROR(__xludf.DUMMYFUNCTION("""COMPUTED_VALUE"""),45285.0)</f>
        <v>45285</v>
      </c>
      <c r="Q1977" s="3" t="str">
        <f>IFERROR(__xludf.DUMMYFUNCTION("""COMPUTED_VALUE"""),"A")</f>
        <v>A</v>
      </c>
      <c r="R1977" s="3" t="str">
        <f>IFERROR(__xludf.DUMMYFUNCTION("""COMPUTED_VALUE"""),"Small Format")</f>
        <v>Small Format</v>
      </c>
      <c r="S1977" s="3" t="str">
        <f>IFERROR(__xludf.DUMMYFUNCTION("""COMPUTED_VALUE"""),"BCM")</f>
        <v>BCM</v>
      </c>
      <c r="T1977" s="3" t="str">
        <f>IFERROR(__xludf.DUMMYFUNCTION("""COMPUTED_VALUE"""),"#N/A")</f>
        <v>#N/A</v>
      </c>
      <c r="U1977" s="3" t="str">
        <f>IFERROR(__xludf.DUMMYFUNCTION("""COMPUTED_VALUE"""),"#N/A")</f>
        <v>#N/A</v>
      </c>
      <c r="V1977" s="3" t="str">
        <f>IFERROR(__xludf.DUMMYFUNCTION("""COMPUTED_VALUE"""),"N")</f>
        <v>N</v>
      </c>
      <c r="W1977" s="3">
        <f>IFERROR(__xludf.DUMMYFUNCTION("""COMPUTED_VALUE"""),210739.0)</f>
        <v>210739</v>
      </c>
      <c r="X1977" s="3" t="str">
        <f>IFERROR(__xludf.DUMMYFUNCTION("""COMPUTED_VALUE"""),"242/16 ถนนสวรรค์วิถี ตำบลปากน้ำโพ อำเภอเมืองนครสวรรค์ จังหวัดนครสวรรค์ 60000")</f>
        <v>242/16 ถนนสวรรค์วิถี ตำบลปากน้ำโพ อำเภอเมืองนครสวรรค์ จังหวัดนครสวรรค์ 60000</v>
      </c>
      <c r="Y1977" s="3" t="str">
        <f>IFERROR(__xludf.DUMMYFUNCTION("""COMPUTED_VALUE"""),"สวรรควิถี")</f>
        <v>สวรรควิถี</v>
      </c>
      <c r="Z1977" s="3" t="str">
        <f>IFERROR(__xludf.DUMMYFUNCTION("""COMPUTED_VALUE"""),"ปากน้ำโพ")</f>
        <v>ปากน้ำโพ</v>
      </c>
      <c r="AA1977" s="3" t="str">
        <f>IFERROR(__xludf.DUMMYFUNCTION("""COMPUTED_VALUE"""),"เมืองนครสวรรค์")</f>
        <v>เมืองนครสวรรค์</v>
      </c>
      <c r="AB1977" s="3" t="str">
        <f>IFERROR(__xludf.DUMMYFUNCTION("""COMPUTED_VALUE"""),"นครสวรรค์")</f>
        <v>นครสวรรค์</v>
      </c>
      <c r="AC1977" s="3">
        <f>IFERROR(__xludf.DUMMYFUNCTION("""COMPUTED_VALUE"""),60000.0)</f>
        <v>60000</v>
      </c>
      <c r="AD1977" s="3">
        <f>IFERROR(__xludf.DUMMYFUNCTION("""COMPUTED_VALUE"""),15.699232)</f>
        <v>15.699232</v>
      </c>
      <c r="AE1977" s="3">
        <f>IFERROR(__xludf.DUMMYFUNCTION("""COMPUTED_VALUE"""),100.131927)</f>
        <v>100.131927</v>
      </c>
      <c r="AF1977" s="3" t="str">
        <f>IFERROR(__xludf.DUMMYFUNCTION("""COMPUTED_VALUE"""),"BCM ถ.สวรรค์วิถี นครสวรรค์-22663")</f>
        <v>BCM ถ.สวรรค์วิถี นครสวรรค์-22663</v>
      </c>
      <c r="AG1977" s="3" t="str">
        <f>IFERROR(__xludf.DUMMYFUNCTION("""COMPUTED_VALUE"""),"กลาง")</f>
        <v>กลาง</v>
      </c>
      <c r="AH1977" s="3" t="str">
        <f>IFERROR(__xludf.DUMMYFUNCTION("""COMPUTED_VALUE"""),"#N/A")</f>
        <v>#N/A</v>
      </c>
      <c r="AI1977" s="3" t="str">
        <f>IFERROR(__xludf.DUMMYFUNCTION("""COMPUTED_VALUE"""),"Out of warranty")</f>
        <v>Out of warranty</v>
      </c>
      <c r="AJ1977" s="3">
        <f>IFERROR(__xludf.DUMMYFUNCTION("""COMPUTED_VALUE"""),25.0)</f>
        <v>25</v>
      </c>
      <c r="AK1977" s="3" t="str">
        <f>IFERROR(__xludf.DUMMYFUNCTION("""COMPUTED_VALUE"""),"MMS09")</f>
        <v>MMS09</v>
      </c>
      <c r="AL1977" s="3"/>
    </row>
    <row r="1978" ht="15.75" customHeight="1">
      <c r="A1978" s="1" t="str">
        <f>IFERROR(__xludf.DUMMYFUNCTION("""COMPUTED_VALUE"""),"22664")</f>
        <v>22664</v>
      </c>
      <c r="B1978" s="2">
        <f>IFERROR(__xludf.DUMMYFUNCTION("""COMPUTED_VALUE"""),22664.0)</f>
        <v>22664</v>
      </c>
      <c r="C1978" s="3" t="str">
        <f>IFERROR(__xludf.DUMMYFUNCTION("""COMPUTED_VALUE"""),"BCM ถ.บางแสน สาย 2 ชลบุรี")</f>
        <v>BCM ถ.บางแสน สาย 2 ชลบุรี</v>
      </c>
      <c r="D1978" s="3" t="str">
        <f>IFERROR(__xludf.DUMMYFUNCTION("""COMPUTED_VALUE"""),"BCM THANON BANGSAEN SAI 2")</f>
        <v>BCM THANON BANGSAEN SAI 2</v>
      </c>
      <c r="E1978" s="1" t="str">
        <f>IFERROR(__xludf.DUMMYFUNCTION("""COMPUTED_VALUE"""),"บิ๊กซี MINI")</f>
        <v>บิ๊กซี MINI</v>
      </c>
      <c r="F1978" s="1" t="str">
        <f>IFERROR(__xludf.DUMMYFUNCTION("""COMPUTED_VALUE"""),"221716")</f>
        <v>221716</v>
      </c>
      <c r="G1978" s="1" t="str">
        <f>IFERROR(__xludf.DUMMYFUNCTION("""COMPUTED_VALUE"""),"น.ส.เบญจพร โพธิสาร")</f>
        <v>น.ส.เบญจพร โพธิสาร</v>
      </c>
      <c r="H1978" s="1" t="str">
        <f>IFERROR(__xludf.DUMMYFUNCTION("""COMPUTED_VALUE"""),"476018")</f>
        <v>476018</v>
      </c>
      <c r="I1978" s="1" t="str">
        <f>IFERROR(__xludf.DUMMYFUNCTION("""COMPUTED_VALUE"""),"นายศราวุฒิ ชูพันดุง")</f>
        <v>นายศราวุฒิ ชูพันดุง</v>
      </c>
      <c r="J1978" s="3">
        <f>IFERROR(__xludf.DUMMYFUNCTION("""COMPUTED_VALUE"""),1.3461215E7)</f>
        <v>13461215</v>
      </c>
      <c r="K1978" s="3" t="str">
        <f>IFERROR(__xludf.DUMMYFUNCTION("""COMPUTED_VALUE"""),"นายธีรภัทร สังข์เงิน")</f>
        <v>นายธีรภัทร สังข์เงิน</v>
      </c>
      <c r="L1978" s="1" t="str">
        <f>IFERROR(__xludf.DUMMYFUNCTION("""COMPUTED_VALUE"""),"06 K.Teerapat")</f>
        <v>06 K.Teerapat</v>
      </c>
      <c r="M1978" s="1" t="str">
        <f>IFERROR(__xludf.DUMMYFUNCTION("""COMPUTED_VALUE"""),"063-601-6803")</f>
        <v>063-601-6803</v>
      </c>
      <c r="N1978" s="3">
        <f>IFERROR(__xludf.DUMMYFUNCTION("""COMPUTED_VALUE"""),22115.0)</f>
        <v>22115</v>
      </c>
      <c r="O1978" s="3" t="str">
        <f>IFERROR(__xludf.DUMMYFUNCTION("""COMPUTED_VALUE"""),"MBC เลี่ยงหนองมน ชลบุรี")</f>
        <v>MBC เลี่ยงหนองมน ชลบุรี</v>
      </c>
      <c r="P1978" s="4">
        <f>IFERROR(__xludf.DUMMYFUNCTION("""COMPUTED_VALUE"""),45285.0)</f>
        <v>45285</v>
      </c>
      <c r="Q1978" s="3" t="str">
        <f>IFERROR(__xludf.DUMMYFUNCTION("""COMPUTED_VALUE"""),"A")</f>
        <v>A</v>
      </c>
      <c r="R1978" s="3" t="str">
        <f>IFERROR(__xludf.DUMMYFUNCTION("""COMPUTED_VALUE"""),"Small Format")</f>
        <v>Small Format</v>
      </c>
      <c r="S1978" s="3" t="str">
        <f>IFERROR(__xludf.DUMMYFUNCTION("""COMPUTED_VALUE"""),"BCM")</f>
        <v>BCM</v>
      </c>
      <c r="T1978" s="3" t="str">
        <f>IFERROR(__xludf.DUMMYFUNCTION("""COMPUTED_VALUE"""),"#N/A")</f>
        <v>#N/A</v>
      </c>
      <c r="U1978" s="3" t="str">
        <f>IFERROR(__xludf.DUMMYFUNCTION("""COMPUTED_VALUE"""),"#N/A")</f>
        <v>#N/A</v>
      </c>
      <c r="V1978" s="3" t="str">
        <f>IFERROR(__xludf.DUMMYFUNCTION("""COMPUTED_VALUE"""),"N")</f>
        <v>N</v>
      </c>
      <c r="W1978" s="3">
        <f>IFERROR(__xludf.DUMMYFUNCTION("""COMPUTED_VALUE"""),210775.0)</f>
        <v>210775</v>
      </c>
      <c r="X1978" s="3" t="str">
        <f>IFERROR(__xludf.DUMMYFUNCTION("""COMPUTED_VALUE"""),"64/1 ถนนบางแสนสาย 2 ตำบลแสนสุข อำเภอเมืองชลบุรี จังหวัดชลบุรี 20130")</f>
        <v>64/1 ถนนบางแสนสาย 2 ตำบลแสนสุข อำเภอเมืองชลบุรี จังหวัดชลบุรี 20130</v>
      </c>
      <c r="Y1978" s="3" t="str">
        <f>IFERROR(__xludf.DUMMYFUNCTION("""COMPUTED_VALUE"""),"บางแสนสาย2")</f>
        <v>บางแสนสาย2</v>
      </c>
      <c r="Z1978" s="3" t="str">
        <f>IFERROR(__xludf.DUMMYFUNCTION("""COMPUTED_VALUE"""),"แสนสุข")</f>
        <v>แสนสุข</v>
      </c>
      <c r="AA1978" s="3" t="str">
        <f>IFERROR(__xludf.DUMMYFUNCTION("""COMPUTED_VALUE"""),"เมืองชลบุรี")</f>
        <v>เมืองชลบุรี</v>
      </c>
      <c r="AB1978" s="3" t="str">
        <f>IFERROR(__xludf.DUMMYFUNCTION("""COMPUTED_VALUE"""),"ชลบุรี")</f>
        <v>ชลบุรี</v>
      </c>
      <c r="AC1978" s="3">
        <f>IFERROR(__xludf.DUMMYFUNCTION("""COMPUTED_VALUE"""),20130.0)</f>
        <v>20130</v>
      </c>
      <c r="AD1978" s="3">
        <f>IFERROR(__xludf.DUMMYFUNCTION("""COMPUTED_VALUE"""),13.2901461)</f>
        <v>13.2901461</v>
      </c>
      <c r="AE1978" s="3">
        <f>IFERROR(__xludf.DUMMYFUNCTION("""COMPUTED_VALUE"""),100.91381)</f>
        <v>100.91381</v>
      </c>
      <c r="AF1978" s="3" t="str">
        <f>IFERROR(__xludf.DUMMYFUNCTION("""COMPUTED_VALUE"""),"BCM ถ.บางแสน สาย 2 ชลบุรี-22664")</f>
        <v>BCM ถ.บางแสน สาย 2 ชลบุรี-22664</v>
      </c>
      <c r="AG1978" s="3" t="str">
        <f>IFERROR(__xludf.DUMMYFUNCTION("""COMPUTED_VALUE"""),"ตะวันออก")</f>
        <v>ตะวันออก</v>
      </c>
      <c r="AH1978" s="3" t="str">
        <f>IFERROR(__xludf.DUMMYFUNCTION("""COMPUTED_VALUE"""),"#N/A")</f>
        <v>#N/A</v>
      </c>
      <c r="AI1978" s="3" t="str">
        <f>IFERROR(__xludf.DUMMYFUNCTION("""COMPUTED_VALUE"""),"Out of warranty")</f>
        <v>Out of warranty</v>
      </c>
      <c r="AJ1978" s="3">
        <f>IFERROR(__xludf.DUMMYFUNCTION("""COMPUTED_VALUE"""),25.0)</f>
        <v>25</v>
      </c>
      <c r="AK1978" s="3" t="str">
        <f>IFERROR(__xludf.DUMMYFUNCTION("""COMPUTED_VALUE"""),"MMS06")</f>
        <v>MMS06</v>
      </c>
      <c r="AL1978" s="3"/>
    </row>
    <row r="1979" ht="15.75" customHeight="1">
      <c r="A1979" s="1" t="str">
        <f>IFERROR(__xludf.DUMMYFUNCTION("""COMPUTED_VALUE"""),"22665")</f>
        <v>22665</v>
      </c>
      <c r="B1979" s="2">
        <f>IFERROR(__xludf.DUMMYFUNCTION("""COMPUTED_VALUE"""),22665.0)</f>
        <v>22665</v>
      </c>
      <c r="C1979" s="3" t="str">
        <f>IFERROR(__xludf.DUMMYFUNCTION("""COMPUTED_VALUE"""),"BCM ฝายหลวง อุตรดิตถ์")</f>
        <v>BCM ฝายหลวง อุตรดิตถ์</v>
      </c>
      <c r="D1979" s="3" t="str">
        <f>IFERROR(__xludf.DUMMYFUNCTION("""COMPUTED_VALUE"""),"BCM FAI LUANG UTTARADIT")</f>
        <v>BCM FAI LUANG UTTARADIT</v>
      </c>
      <c r="E1979" s="1" t="str">
        <f>IFERROR(__xludf.DUMMYFUNCTION("""COMPUTED_VALUE"""),"บิ๊กซี MINI")</f>
        <v>บิ๊กซี MINI</v>
      </c>
      <c r="F1979" s="1" t="str">
        <f>IFERROR(__xludf.DUMMYFUNCTION("""COMPUTED_VALUE"""),"296229")</f>
        <v>296229</v>
      </c>
      <c r="G1979" s="1" t="str">
        <f>IFERROR(__xludf.DUMMYFUNCTION("""COMPUTED_VALUE"""),"นายทนงศักดิ์ บุญมา")</f>
        <v>นายทนงศักดิ์ บุญมา</v>
      </c>
      <c r="H1979" s="1" t="str">
        <f>IFERROR(__xludf.DUMMYFUNCTION("""COMPUTED_VALUE"""),"372826")</f>
        <v>372826</v>
      </c>
      <c r="I1979" s="1" t="str">
        <f>IFERROR(__xludf.DUMMYFUNCTION("""COMPUTED_VALUE"""),"นายพงศกร สุขแก้ว")</f>
        <v>นายพงศกร สุขแก้ว</v>
      </c>
      <c r="J1979" s="3">
        <f>IFERROR(__xludf.DUMMYFUNCTION("""COMPUTED_VALUE"""),2010016.0)</f>
        <v>2010016</v>
      </c>
      <c r="K1979" s="3" t="str">
        <f>IFERROR(__xludf.DUMMYFUNCTION("""COMPUTED_VALUE"""),"นายตวงธรรม ใหม่ยศ")</f>
        <v>นายตวงธรรม ใหม่ยศ</v>
      </c>
      <c r="L1979" s="1" t="str">
        <f>IFERROR(__xludf.DUMMYFUNCTION("""COMPUTED_VALUE"""),"01 K.Tuangtham M.")</f>
        <v>01 K.Tuangtham M.</v>
      </c>
      <c r="M1979" s="1" t="str">
        <f>IFERROR(__xludf.DUMMYFUNCTION("""COMPUTED_VALUE"""),"063-976-595")</f>
        <v>063-976-595</v>
      </c>
      <c r="N1979" s="3">
        <f>IFERROR(__xludf.DUMMYFUNCTION("""COMPUTED_VALUE"""),22574.0)</f>
        <v>22574</v>
      </c>
      <c r="O1979" s="3" t="str">
        <f>IFERROR(__xludf.DUMMYFUNCTION("""COMPUTED_VALUE"""),"BCM ชุมชนศรีชุม ลำปาง")</f>
        <v>BCM ชุมชนศรีชุม ลำปาง</v>
      </c>
      <c r="P1979" s="4">
        <f>IFERROR(__xludf.DUMMYFUNCTION("""COMPUTED_VALUE"""),45286.0)</f>
        <v>45286</v>
      </c>
      <c r="Q1979" s="3" t="str">
        <f>IFERROR(__xludf.DUMMYFUNCTION("""COMPUTED_VALUE"""),"A")</f>
        <v>A</v>
      </c>
      <c r="R1979" s="3" t="str">
        <f>IFERROR(__xludf.DUMMYFUNCTION("""COMPUTED_VALUE"""),"Small Format")</f>
        <v>Small Format</v>
      </c>
      <c r="S1979" s="3" t="str">
        <f>IFERROR(__xludf.DUMMYFUNCTION("""COMPUTED_VALUE"""),"BCM")</f>
        <v>BCM</v>
      </c>
      <c r="T1979" s="3" t="str">
        <f>IFERROR(__xludf.DUMMYFUNCTION("""COMPUTED_VALUE"""),"#N/A")</f>
        <v>#N/A</v>
      </c>
      <c r="U1979" s="3" t="str">
        <f>IFERROR(__xludf.DUMMYFUNCTION("""COMPUTED_VALUE"""),"#N/A")</f>
        <v>#N/A</v>
      </c>
      <c r="V1979" s="3" t="str">
        <f>IFERROR(__xludf.DUMMYFUNCTION("""COMPUTED_VALUE"""),"N")</f>
        <v>N</v>
      </c>
      <c r="W1979" s="3">
        <f>IFERROR(__xludf.DUMMYFUNCTION("""COMPUTED_VALUE"""),210791.0)</f>
        <v>210791</v>
      </c>
      <c r="X1979" s="3" t="str">
        <f>IFERROR(__xludf.DUMMYFUNCTION("""COMPUTED_VALUE"""),"4/7 หมู่6 ตำบลฝายหลวง อำเภอลับแล จังหวัดอุตรดิตถ์ 53130")</f>
        <v>4/7 หมู่6 ตำบลฝายหลวง อำเภอลับแล จังหวัดอุตรดิตถ์ 53130</v>
      </c>
      <c r="Y1979" s="3"/>
      <c r="Z1979" s="3" t="str">
        <f>IFERROR(__xludf.DUMMYFUNCTION("""COMPUTED_VALUE"""),"ฝายหลวง")</f>
        <v>ฝายหลวง</v>
      </c>
      <c r="AA1979" s="3" t="str">
        <f>IFERROR(__xludf.DUMMYFUNCTION("""COMPUTED_VALUE"""),"ลับแล")</f>
        <v>ลับแล</v>
      </c>
      <c r="AB1979" s="3" t="str">
        <f>IFERROR(__xludf.DUMMYFUNCTION("""COMPUTED_VALUE"""),"อุตรดิตถ์")</f>
        <v>อุตรดิตถ์</v>
      </c>
      <c r="AC1979" s="3">
        <f>IFERROR(__xludf.DUMMYFUNCTION("""COMPUTED_VALUE"""),53130.0)</f>
        <v>53130</v>
      </c>
      <c r="AD1979" s="3">
        <f>IFERROR(__xludf.DUMMYFUNCTION("""COMPUTED_VALUE"""),17.667519)</f>
        <v>17.667519</v>
      </c>
      <c r="AE1979" s="3">
        <f>IFERROR(__xludf.DUMMYFUNCTION("""COMPUTED_VALUE"""),100.03367)</f>
        <v>100.03367</v>
      </c>
      <c r="AF1979" s="3" t="str">
        <f>IFERROR(__xludf.DUMMYFUNCTION("""COMPUTED_VALUE"""),"BCM ฝายหลวง อุตรดิตถ์-22665")</f>
        <v>BCM ฝายหลวง อุตรดิตถ์-22665</v>
      </c>
      <c r="AG1979" s="3" t="str">
        <f>IFERROR(__xludf.DUMMYFUNCTION("""COMPUTED_VALUE"""),"เหนือ")</f>
        <v>เหนือ</v>
      </c>
      <c r="AH1979" s="3" t="str">
        <f>IFERROR(__xludf.DUMMYFUNCTION("""COMPUTED_VALUE"""),"#N/A")</f>
        <v>#N/A</v>
      </c>
      <c r="AI1979" s="3" t="str">
        <f>IFERROR(__xludf.DUMMYFUNCTION("""COMPUTED_VALUE"""),"Out of warranty")</f>
        <v>Out of warranty</v>
      </c>
      <c r="AJ1979" s="3">
        <f>IFERROR(__xludf.DUMMYFUNCTION("""COMPUTED_VALUE"""),25.0)</f>
        <v>25</v>
      </c>
      <c r="AK1979" s="3" t="str">
        <f>IFERROR(__xludf.DUMMYFUNCTION("""COMPUTED_VALUE"""),"MMS10")</f>
        <v>MMS10</v>
      </c>
      <c r="AL1979" s="3"/>
    </row>
    <row r="1980" ht="15.75" customHeight="1">
      <c r="A1980" s="1" t="str">
        <f>IFERROR(__xludf.DUMMYFUNCTION("""COMPUTED_VALUE"""),"22666")</f>
        <v>22666</v>
      </c>
      <c r="B1980" s="2">
        <f>IFERROR(__xludf.DUMMYFUNCTION("""COMPUTED_VALUE"""),22666.0)</f>
        <v>22666</v>
      </c>
      <c r="C1980" s="3" t="str">
        <f>IFERROR(__xludf.DUMMYFUNCTION("""COMPUTED_VALUE"""),"BCM ซ.มัยลาภ 2 กรุงเทพมหานคร")</f>
        <v>BCM ซ.มัยลาภ 2 กรุงเทพมหานคร</v>
      </c>
      <c r="D1980" s="3" t="str">
        <f>IFERROR(__xludf.DUMMYFUNCTION("""COMPUTED_VALUE"""),"BCM SOI MAIYALAP 2 BANGKOK")</f>
        <v>BCM SOI MAIYALAP 2 BANGKOK</v>
      </c>
      <c r="E1980" s="1" t="str">
        <f>IFERROR(__xludf.DUMMYFUNCTION("""COMPUTED_VALUE"""),"บิ๊กซี MINI")</f>
        <v>บิ๊กซี MINI</v>
      </c>
      <c r="F1980" s="1" t="str">
        <f>IFERROR(__xludf.DUMMYFUNCTION("""COMPUTED_VALUE"""),"291008")</f>
        <v>291008</v>
      </c>
      <c r="G1980" s="1" t="str">
        <f>IFERROR(__xludf.DUMMYFUNCTION("""COMPUTED_VALUE"""),"น.ส.รัชดาพร อีศรัตน์")</f>
        <v>น.ส.รัชดาพร อีศรัตน์</v>
      </c>
      <c r="H1980" s="1" t="str">
        <f>IFERROR(__xludf.DUMMYFUNCTION("""COMPUTED_VALUE"""),"288639")</f>
        <v>288639</v>
      </c>
      <c r="I1980" s="1" t="str">
        <f>IFERROR(__xludf.DUMMYFUNCTION("""COMPUTED_VALUE"""),"น.ส.สมหญิง สีชมภู")</f>
        <v>น.ส.สมหญิง สีชมภู</v>
      </c>
      <c r="J1980" s="3">
        <f>IFERROR(__xludf.DUMMYFUNCTION("""COMPUTED_VALUE"""),3510104.0)</f>
        <v>3510104</v>
      </c>
      <c r="K1980" s="3" t="str">
        <f>IFERROR(__xludf.DUMMYFUNCTION("""COMPUTED_VALUE"""),"นายวิโรจน์ อับดุลสมัด")</f>
        <v>นายวิโรจน์ อับดุลสมัด</v>
      </c>
      <c r="L1980" s="1" t="str">
        <f>IFERROR(__xludf.DUMMYFUNCTION("""COMPUTED_VALUE"""),"09 K.Wirode A")</f>
        <v>09 K.Wirode A</v>
      </c>
      <c r="M1980" s="1" t="str">
        <f>IFERROR(__xludf.DUMMYFUNCTION("""COMPUTED_VALUE"""),"080-235-4465")</f>
        <v>080-235-4465</v>
      </c>
      <c r="N1980" s="3">
        <f>IFERROR(__xludf.DUMMYFUNCTION("""COMPUTED_VALUE"""),21324.0)</f>
        <v>21324</v>
      </c>
      <c r="O1980" s="3" t="str">
        <f>IFERROR(__xludf.DUMMYFUNCTION("""COMPUTED_VALUE"""),"MBC BCP สุวินทวงศ์")</f>
        <v>MBC BCP สุวินทวงศ์</v>
      </c>
      <c r="P1980" s="4">
        <f>IFERROR(__xludf.DUMMYFUNCTION("""COMPUTED_VALUE"""),45285.0)</f>
        <v>45285</v>
      </c>
      <c r="Q1980" s="3" t="str">
        <f>IFERROR(__xludf.DUMMYFUNCTION("""COMPUTED_VALUE"""),"A")</f>
        <v>A</v>
      </c>
      <c r="R1980" s="3" t="str">
        <f>IFERROR(__xludf.DUMMYFUNCTION("""COMPUTED_VALUE"""),"Small Format")</f>
        <v>Small Format</v>
      </c>
      <c r="S1980" s="3" t="str">
        <f>IFERROR(__xludf.DUMMYFUNCTION("""COMPUTED_VALUE"""),"BCM")</f>
        <v>BCM</v>
      </c>
      <c r="T1980" s="3" t="str">
        <f>IFERROR(__xludf.DUMMYFUNCTION("""COMPUTED_VALUE"""),"#N/A")</f>
        <v>#N/A</v>
      </c>
      <c r="U1980" s="3" t="str">
        <f>IFERROR(__xludf.DUMMYFUNCTION("""COMPUTED_VALUE"""),"#N/A")</f>
        <v>#N/A</v>
      </c>
      <c r="V1980" s="3" t="str">
        <f>IFERROR(__xludf.DUMMYFUNCTION("""COMPUTED_VALUE"""),"N")</f>
        <v>N</v>
      </c>
      <c r="W1980" s="3">
        <f>IFERROR(__xludf.DUMMYFUNCTION("""COMPUTED_VALUE"""),210692.0)</f>
        <v>210692</v>
      </c>
      <c r="X1980" s="3" t="str">
        <f>IFERROR(__xludf.DUMMYFUNCTION("""COMPUTED_VALUE"""),"127 ซอยประเสริฐมนูกิจ 29 ถนนประเสริฐมนูกิจ แขวงจรเข้บัว เขตลาดพร้าว กรุงเทพมหานคร 10230")</f>
        <v>127 ซอยประเสริฐมนูกิจ 29 ถนนประเสริฐมนูกิจ แขวงจรเข้บัว เขตลาดพร้าว กรุงเทพมหานคร 10230</v>
      </c>
      <c r="Y1980" s="3" t="str">
        <f>IFERROR(__xludf.DUMMYFUNCTION("""COMPUTED_VALUE"""),"ประเสริฐมนูกิจ")</f>
        <v>ประเสริฐมนูกิจ</v>
      </c>
      <c r="Z1980" s="3" t="str">
        <f>IFERROR(__xludf.DUMMYFUNCTION("""COMPUTED_VALUE"""),"จรเข้บัว")</f>
        <v>จรเข้บัว</v>
      </c>
      <c r="AA1980" s="3" t="str">
        <f>IFERROR(__xludf.DUMMYFUNCTION("""COMPUTED_VALUE"""),"ลาดพร้าว")</f>
        <v>ลาดพร้าว</v>
      </c>
      <c r="AB1980" s="3" t="str">
        <f>IFERROR(__xludf.DUMMYFUNCTION("""COMPUTED_VALUE"""),"กรุงเทพมหานคร")</f>
        <v>กรุงเทพมหานคร</v>
      </c>
      <c r="AC1980" s="3">
        <f>IFERROR(__xludf.DUMMYFUNCTION("""COMPUTED_VALUE"""),10230.0)</f>
        <v>10230</v>
      </c>
      <c r="AD1980" s="3">
        <f>IFERROR(__xludf.DUMMYFUNCTION("""COMPUTED_VALUE"""),13.837556)</f>
        <v>13.837556</v>
      </c>
      <c r="AE1980" s="3">
        <f>IFERROR(__xludf.DUMMYFUNCTION("""COMPUTED_VALUE"""),100.616529)</f>
        <v>100.616529</v>
      </c>
      <c r="AF1980" s="3" t="str">
        <f>IFERROR(__xludf.DUMMYFUNCTION("""COMPUTED_VALUE"""),"BCM ซ.มัยลาภ 2 กรุงเทพมหานคร-22666")</f>
        <v>BCM ซ.มัยลาภ 2 กรุงเทพมหานคร-22666</v>
      </c>
      <c r="AG1980" s="3" t="str">
        <f>IFERROR(__xludf.DUMMYFUNCTION("""COMPUTED_VALUE"""),"กลาง")</f>
        <v>กลาง</v>
      </c>
      <c r="AH1980" s="3" t="str">
        <f>IFERROR(__xludf.DUMMYFUNCTION("""COMPUTED_VALUE"""),"#N/A")</f>
        <v>#N/A</v>
      </c>
      <c r="AI1980" s="3" t="str">
        <f>IFERROR(__xludf.DUMMYFUNCTION("""COMPUTED_VALUE"""),"Out of warranty")</f>
        <v>Out of warranty</v>
      </c>
      <c r="AJ1980" s="3">
        <f>IFERROR(__xludf.DUMMYFUNCTION("""COMPUTED_VALUE"""),25.0)</f>
        <v>25</v>
      </c>
      <c r="AK1980" s="3" t="str">
        <f>IFERROR(__xludf.DUMMYFUNCTION("""COMPUTED_VALUE"""),"MMS01")</f>
        <v>MMS01</v>
      </c>
      <c r="AL1980" s="3"/>
    </row>
    <row r="1981" ht="15.75" customHeight="1">
      <c r="A1981" s="1" t="str">
        <f>IFERROR(__xludf.DUMMYFUNCTION("""COMPUTED_VALUE"""),"22667")</f>
        <v>22667</v>
      </c>
      <c r="B1981" s="2">
        <f>IFERROR(__xludf.DUMMYFUNCTION("""COMPUTED_VALUE"""),22667.0)</f>
        <v>22667</v>
      </c>
      <c r="C1981" s="3" t="str">
        <f>IFERROR(__xludf.DUMMYFUNCTION("""COMPUTED_VALUE"""),"BCM ตลาดบ้านพอน ภูเก็ต")</f>
        <v>BCM ตลาดบ้านพอน ภูเก็ต</v>
      </c>
      <c r="D1981" s="3" t="str">
        <f>IFERROR(__xludf.DUMMYFUNCTION("""COMPUTED_VALUE"""),"BCM TALAD BANPHON PHUKET")</f>
        <v>BCM TALAD BANPHON PHUKET</v>
      </c>
      <c r="E1981" s="1" t="str">
        <f>IFERROR(__xludf.DUMMYFUNCTION("""COMPUTED_VALUE"""),"บิ๊กซี MINI")</f>
        <v>บิ๊กซี MINI</v>
      </c>
      <c r="F1981" s="1" t="str">
        <f>IFERROR(__xludf.DUMMYFUNCTION("""COMPUTED_VALUE"""),"250760")</f>
        <v>250760</v>
      </c>
      <c r="G1981" s="1" t="str">
        <f>IFERROR(__xludf.DUMMYFUNCTION("""COMPUTED_VALUE"""),"นายประทวน สาราบรรณ์")</f>
        <v>นายประทวน สาราบรรณ์</v>
      </c>
      <c r="H1981" s="1" t="str">
        <f>IFERROR(__xludf.DUMMYFUNCTION("""COMPUTED_VALUE"""),"357284")</f>
        <v>357284</v>
      </c>
      <c r="I1981" s="1" t="str">
        <f>IFERROR(__xludf.DUMMYFUNCTION("""COMPUTED_VALUE"""),"น.ส.เบญจวรรณ ปัณฑโมรา")</f>
        <v>น.ส.เบญจวรรณ ปัณฑโมรา</v>
      </c>
      <c r="J1981" s="3">
        <f>IFERROR(__xludf.DUMMYFUNCTION("""COMPUTED_VALUE"""),25324.0)</f>
        <v>25324</v>
      </c>
      <c r="K1981" s="3" t="str">
        <f>IFERROR(__xludf.DUMMYFUNCTION("""COMPUTED_VALUE"""),"นายวิเชฎฐ์ ติรัตนะประคม")</f>
        <v>นายวิเชฎฐ์ ติรัตนะประคม</v>
      </c>
      <c r="L1981" s="1" t="str">
        <f>IFERROR(__xludf.DUMMYFUNCTION("""COMPUTED_VALUE"""),"14 K.Wichet T.")</f>
        <v>14 K.Wichet T.</v>
      </c>
      <c r="M1981" s="1" t="str">
        <f>IFERROR(__xludf.DUMMYFUNCTION("""COMPUTED_VALUE"""),"061-417-6569 / 086-445-5636")</f>
        <v>061-417-6569 / 086-445-5636</v>
      </c>
      <c r="N1981" s="3">
        <f>IFERROR(__xludf.DUMMYFUNCTION("""COMPUTED_VALUE"""),22658.0)</f>
        <v>22658</v>
      </c>
      <c r="O1981" s="3" t="str">
        <f>IFERROR(__xludf.DUMMYFUNCTION("""COMPUTED_VALUE"""),"BCM ถ.วิรัชหงษ์หยก ภูเก็ต")</f>
        <v>BCM ถ.วิรัชหงษ์หยก ภูเก็ต</v>
      </c>
      <c r="P1981" s="4">
        <f>IFERROR(__xludf.DUMMYFUNCTION("""COMPUTED_VALUE"""),45286.0)</f>
        <v>45286</v>
      </c>
      <c r="Q1981" s="3" t="str">
        <f>IFERROR(__xludf.DUMMYFUNCTION("""COMPUTED_VALUE"""),"A")</f>
        <v>A</v>
      </c>
      <c r="R1981" s="3" t="str">
        <f>IFERROR(__xludf.DUMMYFUNCTION("""COMPUTED_VALUE"""),"Small Format")</f>
        <v>Small Format</v>
      </c>
      <c r="S1981" s="3" t="str">
        <f>IFERROR(__xludf.DUMMYFUNCTION("""COMPUTED_VALUE"""),"BCM")</f>
        <v>BCM</v>
      </c>
      <c r="T1981" s="3" t="str">
        <f>IFERROR(__xludf.DUMMYFUNCTION("""COMPUTED_VALUE"""),"#N/A")</f>
        <v>#N/A</v>
      </c>
      <c r="U1981" s="3" t="str">
        <f>IFERROR(__xludf.DUMMYFUNCTION("""COMPUTED_VALUE"""),"#N/A")</f>
        <v>#N/A</v>
      </c>
      <c r="V1981" s="3" t="str">
        <f>IFERROR(__xludf.DUMMYFUNCTION("""COMPUTED_VALUE"""),"N")</f>
        <v>N</v>
      </c>
      <c r="W1981" s="3">
        <f>IFERROR(__xludf.DUMMYFUNCTION("""COMPUTED_VALUE"""),210691.0)</f>
        <v>210691</v>
      </c>
      <c r="X1981" s="3" t="str">
        <f>IFERROR(__xludf.DUMMYFUNCTION("""COMPUTED_VALUE"""),"191/47 หมู่1 ตำบลศรีสุนทร อำเภอถลาง จังหวัดภูเก็ต 83110")</f>
        <v>191/47 หมู่1 ตำบลศรีสุนทร อำเภอถลาง จังหวัดภูเก็ต 83110</v>
      </c>
      <c r="Y1981" s="3"/>
      <c r="Z1981" s="3" t="str">
        <f>IFERROR(__xludf.DUMMYFUNCTION("""COMPUTED_VALUE"""),"ศรีสุนทร")</f>
        <v>ศรีสุนทร</v>
      </c>
      <c r="AA1981" s="3" t="str">
        <f>IFERROR(__xludf.DUMMYFUNCTION("""COMPUTED_VALUE"""),"ถลาง")</f>
        <v>ถลาง</v>
      </c>
      <c r="AB1981" s="3" t="str">
        <f>IFERROR(__xludf.DUMMYFUNCTION("""COMPUTED_VALUE"""),"ภูเก็ต")</f>
        <v>ภูเก็ต</v>
      </c>
      <c r="AC1981" s="3">
        <f>IFERROR(__xludf.DUMMYFUNCTION("""COMPUTED_VALUE"""),83110.0)</f>
        <v>83110</v>
      </c>
      <c r="AD1981" s="3">
        <f>IFERROR(__xludf.DUMMYFUNCTION("""COMPUTED_VALUE"""),7.997606)</f>
        <v>7.997606</v>
      </c>
      <c r="AE1981" s="3">
        <f>IFERROR(__xludf.DUMMYFUNCTION("""COMPUTED_VALUE"""),98.336866)</f>
        <v>98.336866</v>
      </c>
      <c r="AF1981" s="3" t="str">
        <f>IFERROR(__xludf.DUMMYFUNCTION("""COMPUTED_VALUE"""),"BCM ตลาดบ้านพอน ภูเก็ต-22667")</f>
        <v>BCM ตลาดบ้านพอน ภูเก็ต-22667</v>
      </c>
      <c r="AG1981" s="3" t="str">
        <f>IFERROR(__xludf.DUMMYFUNCTION("""COMPUTED_VALUE"""),"ใต้")</f>
        <v>ใต้</v>
      </c>
      <c r="AH1981" s="3" t="str">
        <f>IFERROR(__xludf.DUMMYFUNCTION("""COMPUTED_VALUE"""),"#N/A")</f>
        <v>#N/A</v>
      </c>
      <c r="AI1981" s="3" t="str">
        <f>IFERROR(__xludf.DUMMYFUNCTION("""COMPUTED_VALUE"""),"Out of warranty")</f>
        <v>Out of warranty</v>
      </c>
      <c r="AJ1981" s="3">
        <f>IFERROR(__xludf.DUMMYFUNCTION("""COMPUTED_VALUE"""),25.0)</f>
        <v>25</v>
      </c>
      <c r="AK1981" s="3" t="str">
        <f>IFERROR(__xludf.DUMMYFUNCTION("""COMPUTED_VALUE"""),"MMS15")</f>
        <v>MMS15</v>
      </c>
      <c r="AL1981" s="3"/>
    </row>
    <row r="1982" ht="15.75" customHeight="1">
      <c r="A1982" s="1" t="str">
        <f>IFERROR(__xludf.DUMMYFUNCTION("""COMPUTED_VALUE"""),"22668")</f>
        <v>22668</v>
      </c>
      <c r="B1982" s="2">
        <f>IFERROR(__xludf.DUMMYFUNCTION("""COMPUTED_VALUE"""),22668.0)</f>
        <v>22668</v>
      </c>
      <c r="C1982" s="3" t="str">
        <f>IFERROR(__xludf.DUMMYFUNCTION("""COMPUTED_VALUE"""),"BCM ช่องจอม สุรินทร์")</f>
        <v>BCM ช่องจอม สุรินทร์</v>
      </c>
      <c r="D1982" s="3" t="str">
        <f>IFERROR(__xludf.DUMMYFUNCTION("""COMPUTED_VALUE"""),"BCM CHONG CHOM SURIN")</f>
        <v>BCM CHONG CHOM SURIN</v>
      </c>
      <c r="E1982" s="1" t="str">
        <f>IFERROR(__xludf.DUMMYFUNCTION("""COMPUTED_VALUE"""),"บิ๊กซี MINI")</f>
        <v>บิ๊กซี MINI</v>
      </c>
      <c r="F1982" s="1" t="str">
        <f>IFERROR(__xludf.DUMMYFUNCTION("""COMPUTED_VALUE"""),"291105")</f>
        <v>291105</v>
      </c>
      <c r="G1982" s="1" t="str">
        <f>IFERROR(__xludf.DUMMYFUNCTION("""COMPUTED_VALUE"""),"นายสราวุฒิ พณิชยกุล")</f>
        <v>นายสราวุฒิ พณิชยกุล</v>
      </c>
      <c r="H1982" s="1" t="str">
        <f>IFERROR(__xludf.DUMMYFUNCTION("""COMPUTED_VALUE"""),"398146")</f>
        <v>398146</v>
      </c>
      <c r="I1982" s="1" t="str">
        <f>IFERROR(__xludf.DUMMYFUNCTION("""COMPUTED_VALUE"""),"น.ส.กนกสิริ สุขหอม")</f>
        <v>น.ส.กนกสิริ สุขหอม</v>
      </c>
      <c r="J1982" s="3">
        <f>IFERROR(__xludf.DUMMYFUNCTION("""COMPUTED_VALUE"""),2454781.0)</f>
        <v>2454781</v>
      </c>
      <c r="K1982" s="3" t="str">
        <f>IFERROR(__xludf.DUMMYFUNCTION("""COMPUTED_VALUE"""),"นายฌานกฤช นันทะโคต")</f>
        <v>นายฌานกฤช นันทะโคต</v>
      </c>
      <c r="L1982" s="1" t="str">
        <f>IFERROR(__xludf.DUMMYFUNCTION("""COMPUTED_VALUE"""),"05 K.Chanakrit N.")</f>
        <v>05 K.Chanakrit N.</v>
      </c>
      <c r="M1982" s="1" t="str">
        <f>IFERROR(__xludf.DUMMYFUNCTION("""COMPUTED_VALUE"""),"090-978-9785 ,065-929-1320")</f>
        <v>090-978-9785 ,065-929-1320</v>
      </c>
      <c r="N1982" s="3">
        <f>IFERROR(__xludf.DUMMYFUNCTION("""COMPUTED_VALUE"""),22195.0)</f>
        <v>22195</v>
      </c>
      <c r="O1982" s="3" t="str">
        <f>IFERROR(__xludf.DUMMYFUNCTION("""COMPUTED_VALUE"""),"MBC กันทรลักษ์ ศรีสะเกษ")</f>
        <v>MBC กันทรลักษ์ ศรีสะเกษ</v>
      </c>
      <c r="P1982" s="4">
        <f>IFERROR(__xludf.DUMMYFUNCTION("""COMPUTED_VALUE"""),45286.0)</f>
        <v>45286</v>
      </c>
      <c r="Q1982" s="3" t="str">
        <f>IFERROR(__xludf.DUMMYFUNCTION("""COMPUTED_VALUE"""),"A")</f>
        <v>A</v>
      </c>
      <c r="R1982" s="3" t="str">
        <f>IFERROR(__xludf.DUMMYFUNCTION("""COMPUTED_VALUE"""),"Small Format")</f>
        <v>Small Format</v>
      </c>
      <c r="S1982" s="3" t="str">
        <f>IFERROR(__xludf.DUMMYFUNCTION("""COMPUTED_VALUE"""),"BCM")</f>
        <v>BCM</v>
      </c>
      <c r="T1982" s="3" t="str">
        <f>IFERROR(__xludf.DUMMYFUNCTION("""COMPUTED_VALUE"""),"#N/A")</f>
        <v>#N/A</v>
      </c>
      <c r="U1982" s="3" t="str">
        <f>IFERROR(__xludf.DUMMYFUNCTION("""COMPUTED_VALUE"""),"#N/A")</f>
        <v>#N/A</v>
      </c>
      <c r="V1982" s="3" t="str">
        <f>IFERROR(__xludf.DUMMYFUNCTION("""COMPUTED_VALUE"""),"N")</f>
        <v>N</v>
      </c>
      <c r="W1982" s="3">
        <f>IFERROR(__xludf.DUMMYFUNCTION("""COMPUTED_VALUE"""),210709.0)</f>
        <v>210709</v>
      </c>
      <c r="X1982" s="3" t="str">
        <f>IFERROR(__xludf.DUMMYFUNCTION("""COMPUTED_VALUE"""),"8 หมู่14 ตำบลด่าน อำเภอกาบเชิง จังหวัดสุรินทร์ 32210")</f>
        <v>8 หมู่14 ตำบลด่าน อำเภอกาบเชิง จังหวัดสุรินทร์ 32210</v>
      </c>
      <c r="Y1982" s="3"/>
      <c r="Z1982" s="3" t="str">
        <f>IFERROR(__xludf.DUMMYFUNCTION("""COMPUTED_VALUE"""),"ด่าน")</f>
        <v>ด่าน</v>
      </c>
      <c r="AA1982" s="3" t="str">
        <f>IFERROR(__xludf.DUMMYFUNCTION("""COMPUTED_VALUE"""),"กาบเชิง")</f>
        <v>กาบเชิง</v>
      </c>
      <c r="AB1982" s="3" t="str">
        <f>IFERROR(__xludf.DUMMYFUNCTION("""COMPUTED_VALUE"""),"สุรินทร์")</f>
        <v>สุรินทร์</v>
      </c>
      <c r="AC1982" s="3">
        <f>IFERROR(__xludf.DUMMYFUNCTION("""COMPUTED_VALUE"""),32210.0)</f>
        <v>32210</v>
      </c>
      <c r="AD1982" s="3">
        <f>IFERROR(__xludf.DUMMYFUNCTION("""COMPUTED_VALUE"""),14.452776)</f>
        <v>14.452776</v>
      </c>
      <c r="AE1982" s="3">
        <f>IFERROR(__xludf.DUMMYFUNCTION("""COMPUTED_VALUE"""),103.693572)</f>
        <v>103.693572</v>
      </c>
      <c r="AF1982" s="3" t="str">
        <f>IFERROR(__xludf.DUMMYFUNCTION("""COMPUTED_VALUE"""),"BCM ช่องจอม สุรินทร์-22668")</f>
        <v>BCM ช่องจอม สุรินทร์-22668</v>
      </c>
      <c r="AG1982" s="3" t="str">
        <f>IFERROR(__xludf.DUMMYFUNCTION("""COMPUTED_VALUE"""),"ตะวันออกเฉียงเหนือ")</f>
        <v>ตะวันออกเฉียงเหนือ</v>
      </c>
      <c r="AH1982" s="3" t="str">
        <f>IFERROR(__xludf.DUMMYFUNCTION("""COMPUTED_VALUE"""),"#N/A")</f>
        <v>#N/A</v>
      </c>
      <c r="AI1982" s="3" t="str">
        <f>IFERROR(__xludf.DUMMYFUNCTION("""COMPUTED_VALUE"""),"Out of warranty")</f>
        <v>Out of warranty</v>
      </c>
      <c r="AJ1982" s="3">
        <f>IFERROR(__xludf.DUMMYFUNCTION("""COMPUTED_VALUE"""),25.0)</f>
        <v>25</v>
      </c>
      <c r="AK1982" s="3" t="str">
        <f>IFERROR(__xludf.DUMMYFUNCTION("""COMPUTED_VALUE"""),"MMS13")</f>
        <v>MMS13</v>
      </c>
      <c r="AL1982" s="3"/>
    </row>
    <row r="1983" ht="15.75" customHeight="1">
      <c r="A1983" s="1" t="str">
        <f>IFERROR(__xludf.DUMMYFUNCTION("""COMPUTED_VALUE"""),"22669")</f>
        <v>22669</v>
      </c>
      <c r="B1983" s="2">
        <f>IFERROR(__xludf.DUMMYFUNCTION("""COMPUTED_VALUE"""),22669.0)</f>
        <v>22669</v>
      </c>
      <c r="C1983" s="3" t="str">
        <f>IFERROR(__xludf.DUMMYFUNCTION("""COMPUTED_VALUE"""),"BCM ลอง แพร่")</f>
        <v>BCM ลอง แพร่</v>
      </c>
      <c r="D1983" s="3" t="str">
        <f>IFERROR(__xludf.DUMMYFUNCTION("""COMPUTED_VALUE"""),"BCM LONG PHRAE")</f>
        <v>BCM LONG PHRAE</v>
      </c>
      <c r="E1983" s="1" t="str">
        <f>IFERROR(__xludf.DUMMYFUNCTION("""COMPUTED_VALUE"""),"บิ๊กซี MINI")</f>
        <v>บิ๊กซี MINI</v>
      </c>
      <c r="F1983" s="1" t="str">
        <f>IFERROR(__xludf.DUMMYFUNCTION("""COMPUTED_VALUE"""),"296229")</f>
        <v>296229</v>
      </c>
      <c r="G1983" s="1" t="str">
        <f>IFERROR(__xludf.DUMMYFUNCTION("""COMPUTED_VALUE"""),"นายทนงศักดิ์ บุญมา")</f>
        <v>นายทนงศักดิ์ บุญมา</v>
      </c>
      <c r="H1983" s="1" t="str">
        <f>IFERROR(__xludf.DUMMYFUNCTION("""COMPUTED_VALUE"""),"372826")</f>
        <v>372826</v>
      </c>
      <c r="I1983" s="1" t="str">
        <f>IFERROR(__xludf.DUMMYFUNCTION("""COMPUTED_VALUE"""),"นายพงศกร สุขแก้ว")</f>
        <v>นายพงศกร สุขแก้ว</v>
      </c>
      <c r="J1983" s="3">
        <f>IFERROR(__xludf.DUMMYFUNCTION("""COMPUTED_VALUE"""),2010016.0)</f>
        <v>2010016</v>
      </c>
      <c r="K1983" s="3" t="str">
        <f>IFERROR(__xludf.DUMMYFUNCTION("""COMPUTED_VALUE"""),"นายตวงธรรม ใหม่ยศ")</f>
        <v>นายตวงธรรม ใหม่ยศ</v>
      </c>
      <c r="L1983" s="1" t="str">
        <f>IFERROR(__xludf.DUMMYFUNCTION("""COMPUTED_VALUE"""),"01 K.Tuangtham M.")</f>
        <v>01 K.Tuangtham M.</v>
      </c>
      <c r="M1983" s="1" t="str">
        <f>IFERROR(__xludf.DUMMYFUNCTION("""COMPUTED_VALUE"""),"063-976-595")</f>
        <v>063-976-595</v>
      </c>
      <c r="N1983" s="3">
        <f>IFERROR(__xludf.DUMMYFUNCTION("""COMPUTED_VALUE"""),22574.0)</f>
        <v>22574</v>
      </c>
      <c r="O1983" s="3" t="str">
        <f>IFERROR(__xludf.DUMMYFUNCTION("""COMPUTED_VALUE"""),"BCM ชุมชนศรีชุม ลำปาง")</f>
        <v>BCM ชุมชนศรีชุม ลำปาง</v>
      </c>
      <c r="P1983" s="4">
        <f>IFERROR(__xludf.DUMMYFUNCTION("""COMPUTED_VALUE"""),45285.0)</f>
        <v>45285</v>
      </c>
      <c r="Q1983" s="3" t="str">
        <f>IFERROR(__xludf.DUMMYFUNCTION("""COMPUTED_VALUE"""),"A")</f>
        <v>A</v>
      </c>
      <c r="R1983" s="3" t="str">
        <f>IFERROR(__xludf.DUMMYFUNCTION("""COMPUTED_VALUE"""),"Small Format")</f>
        <v>Small Format</v>
      </c>
      <c r="S1983" s="3" t="str">
        <f>IFERROR(__xludf.DUMMYFUNCTION("""COMPUTED_VALUE"""),"BCM")</f>
        <v>BCM</v>
      </c>
      <c r="T1983" s="3" t="str">
        <f>IFERROR(__xludf.DUMMYFUNCTION("""COMPUTED_VALUE"""),"#N/A")</f>
        <v>#N/A</v>
      </c>
      <c r="U1983" s="3" t="str">
        <f>IFERROR(__xludf.DUMMYFUNCTION("""COMPUTED_VALUE"""),"#N/A")</f>
        <v>#N/A</v>
      </c>
      <c r="V1983" s="3" t="str">
        <f>IFERROR(__xludf.DUMMYFUNCTION("""COMPUTED_VALUE"""),"N")</f>
        <v>N</v>
      </c>
      <c r="W1983" s="3">
        <f>IFERROR(__xludf.DUMMYFUNCTION("""COMPUTED_VALUE"""),210582.0)</f>
        <v>210582</v>
      </c>
      <c r="X1983" s="3" t="str">
        <f>IFERROR(__xludf.DUMMYFUNCTION("""COMPUTED_VALUE"""),"77/1 หมุ่6 ตำบลห้วยอ้อ อำเภอลอง จังหวัดแพร่ 54150")</f>
        <v>77/1 หมุ่6 ตำบลห้วยอ้อ อำเภอลอง จังหวัดแพร่ 54150</v>
      </c>
      <c r="Y1983" s="3"/>
      <c r="Z1983" s="3" t="str">
        <f>IFERROR(__xludf.DUMMYFUNCTION("""COMPUTED_VALUE"""),"ห้วยอ้อ")</f>
        <v>ห้วยอ้อ</v>
      </c>
      <c r="AA1983" s="3" t="str">
        <f>IFERROR(__xludf.DUMMYFUNCTION("""COMPUTED_VALUE"""),"ลอง")</f>
        <v>ลอง</v>
      </c>
      <c r="AB1983" s="3" t="str">
        <f>IFERROR(__xludf.DUMMYFUNCTION("""COMPUTED_VALUE"""),"แพร่")</f>
        <v>แพร่</v>
      </c>
      <c r="AC1983" s="3">
        <f>IFERROR(__xludf.DUMMYFUNCTION("""COMPUTED_VALUE"""),54150.0)</f>
        <v>54150</v>
      </c>
      <c r="AD1983" s="3">
        <f>IFERROR(__xludf.DUMMYFUNCTION("""COMPUTED_VALUE"""),18.080768)</f>
        <v>18.080768</v>
      </c>
      <c r="AE1983" s="3">
        <f>IFERROR(__xludf.DUMMYFUNCTION("""COMPUTED_VALUE"""),99.834998)</f>
        <v>99.834998</v>
      </c>
      <c r="AF1983" s="3" t="str">
        <f>IFERROR(__xludf.DUMMYFUNCTION("""COMPUTED_VALUE"""),"BCM ลอง แพร่-22669")</f>
        <v>BCM ลอง แพร่-22669</v>
      </c>
      <c r="AG1983" s="3" t="str">
        <f>IFERROR(__xludf.DUMMYFUNCTION("""COMPUTED_VALUE"""),"เหนือ")</f>
        <v>เหนือ</v>
      </c>
      <c r="AH1983" s="3" t="str">
        <f>IFERROR(__xludf.DUMMYFUNCTION("""COMPUTED_VALUE"""),"#N/A")</f>
        <v>#N/A</v>
      </c>
      <c r="AI1983" s="3" t="str">
        <f>IFERROR(__xludf.DUMMYFUNCTION("""COMPUTED_VALUE"""),"Out of warranty")</f>
        <v>Out of warranty</v>
      </c>
      <c r="AJ1983" s="3">
        <f>IFERROR(__xludf.DUMMYFUNCTION("""COMPUTED_VALUE"""),25.0)</f>
        <v>25</v>
      </c>
      <c r="AK1983" s="3" t="str">
        <f>IFERROR(__xludf.DUMMYFUNCTION("""COMPUTED_VALUE"""),"MMS10")</f>
        <v>MMS10</v>
      </c>
      <c r="AL1983" s="3"/>
    </row>
    <row r="1984" ht="15.75" customHeight="1">
      <c r="A1984" s="1" t="str">
        <f>IFERROR(__xludf.DUMMYFUNCTION("""COMPUTED_VALUE"""),"22670")</f>
        <v>22670</v>
      </c>
      <c r="B1984" s="2">
        <f>IFERROR(__xludf.DUMMYFUNCTION("""COMPUTED_VALUE"""),22670.0)</f>
        <v>22670</v>
      </c>
      <c r="C1984" s="3" t="str">
        <f>IFERROR(__xludf.DUMMYFUNCTION("""COMPUTED_VALUE"""),"BCM วังกะพี้ อุตรดิตถ์")</f>
        <v>BCM วังกะพี้ อุตรดิตถ์</v>
      </c>
      <c r="D1984" s="3" t="str">
        <f>IFERROR(__xludf.DUMMYFUNCTION("""COMPUTED_VALUE"""),"BCM WANG KA PHI UTTARADIT")</f>
        <v>BCM WANG KA PHI UTTARADIT</v>
      </c>
      <c r="E1984" s="1" t="str">
        <f>IFERROR(__xludf.DUMMYFUNCTION("""COMPUTED_VALUE"""),"บิ๊กซี MINI")</f>
        <v>บิ๊กซี MINI</v>
      </c>
      <c r="F1984" s="1" t="str">
        <f>IFERROR(__xludf.DUMMYFUNCTION("""COMPUTED_VALUE"""),"296229")</f>
        <v>296229</v>
      </c>
      <c r="G1984" s="1" t="str">
        <f>IFERROR(__xludf.DUMMYFUNCTION("""COMPUTED_VALUE"""),"นายทนงศักดิ์ บุญมา")</f>
        <v>นายทนงศักดิ์ บุญมา</v>
      </c>
      <c r="H1984" s="1" t="str">
        <f>IFERROR(__xludf.DUMMYFUNCTION("""COMPUTED_VALUE"""),"372826")</f>
        <v>372826</v>
      </c>
      <c r="I1984" s="1" t="str">
        <f>IFERROR(__xludf.DUMMYFUNCTION("""COMPUTED_VALUE"""),"นายพงศกร สุขแก้ว")</f>
        <v>นายพงศกร สุขแก้ว</v>
      </c>
      <c r="J1984" s="3">
        <f>IFERROR(__xludf.DUMMYFUNCTION("""COMPUTED_VALUE"""),2010016.0)</f>
        <v>2010016</v>
      </c>
      <c r="K1984" s="3" t="str">
        <f>IFERROR(__xludf.DUMMYFUNCTION("""COMPUTED_VALUE"""),"นายตวงธรรม ใหม่ยศ")</f>
        <v>นายตวงธรรม ใหม่ยศ</v>
      </c>
      <c r="L1984" s="1" t="str">
        <f>IFERROR(__xludf.DUMMYFUNCTION("""COMPUTED_VALUE"""),"01 K.Tuangtham M.")</f>
        <v>01 K.Tuangtham M.</v>
      </c>
      <c r="M1984" s="1" t="str">
        <f>IFERROR(__xludf.DUMMYFUNCTION("""COMPUTED_VALUE"""),"063-976-595")</f>
        <v>063-976-595</v>
      </c>
      <c r="N1984" s="3">
        <f>IFERROR(__xludf.DUMMYFUNCTION("""COMPUTED_VALUE"""),22574.0)</f>
        <v>22574</v>
      </c>
      <c r="O1984" s="3" t="str">
        <f>IFERROR(__xludf.DUMMYFUNCTION("""COMPUTED_VALUE"""),"BCM ชุมชนศรีชุม ลำปาง")</f>
        <v>BCM ชุมชนศรีชุม ลำปาง</v>
      </c>
      <c r="P1984" s="4">
        <f>IFERROR(__xludf.DUMMYFUNCTION("""COMPUTED_VALUE"""),45285.0)</f>
        <v>45285</v>
      </c>
      <c r="Q1984" s="3" t="str">
        <f>IFERROR(__xludf.DUMMYFUNCTION("""COMPUTED_VALUE"""),"A")</f>
        <v>A</v>
      </c>
      <c r="R1984" s="3" t="str">
        <f>IFERROR(__xludf.DUMMYFUNCTION("""COMPUTED_VALUE"""),"Small Format")</f>
        <v>Small Format</v>
      </c>
      <c r="S1984" s="3" t="str">
        <f>IFERROR(__xludf.DUMMYFUNCTION("""COMPUTED_VALUE"""),"BCM")</f>
        <v>BCM</v>
      </c>
      <c r="T1984" s="3" t="str">
        <f>IFERROR(__xludf.DUMMYFUNCTION("""COMPUTED_VALUE"""),"#N/A")</f>
        <v>#N/A</v>
      </c>
      <c r="U1984" s="3" t="str">
        <f>IFERROR(__xludf.DUMMYFUNCTION("""COMPUTED_VALUE"""),"#N/A")</f>
        <v>#N/A</v>
      </c>
      <c r="V1984" s="3" t="str">
        <f>IFERROR(__xludf.DUMMYFUNCTION("""COMPUTED_VALUE"""),"N")</f>
        <v>N</v>
      </c>
      <c r="W1984" s="3">
        <f>IFERROR(__xludf.DUMMYFUNCTION("""COMPUTED_VALUE"""),210790.0)</f>
        <v>210790</v>
      </c>
      <c r="X1984" s="3" t="str">
        <f>IFERROR(__xludf.DUMMYFUNCTION("""COMPUTED_VALUE"""),"43/2 หมู่4 ตำบลวังกะพี้ อำเภอเมืองอุตรดิตถ์ จังหวัดอุตรดิตถ์ 53170")</f>
        <v>43/2 หมู่4 ตำบลวังกะพี้ อำเภอเมืองอุตรดิตถ์ จังหวัดอุตรดิตถ์ 53170</v>
      </c>
      <c r="Y1984" s="3"/>
      <c r="Z1984" s="3" t="str">
        <f>IFERROR(__xludf.DUMMYFUNCTION("""COMPUTED_VALUE"""),"วังกะพี้")</f>
        <v>วังกะพี้</v>
      </c>
      <c r="AA1984" s="3" t="str">
        <f>IFERROR(__xludf.DUMMYFUNCTION("""COMPUTED_VALUE"""),"เมืองอุตรดิตถ์")</f>
        <v>เมืองอุตรดิตถ์</v>
      </c>
      <c r="AB1984" s="3" t="str">
        <f>IFERROR(__xludf.DUMMYFUNCTION("""COMPUTED_VALUE"""),"อุตรดิตถ์")</f>
        <v>อุตรดิตถ์</v>
      </c>
      <c r="AC1984" s="3">
        <f>IFERROR(__xludf.DUMMYFUNCTION("""COMPUTED_VALUE"""),53170.0)</f>
        <v>53170</v>
      </c>
      <c r="AD1984" s="3">
        <f>IFERROR(__xludf.DUMMYFUNCTION("""COMPUTED_VALUE"""),17.553933)</f>
        <v>17.553933</v>
      </c>
      <c r="AE1984" s="3">
        <f>IFERROR(__xludf.DUMMYFUNCTION("""COMPUTED_VALUE"""),100.107659)</f>
        <v>100.107659</v>
      </c>
      <c r="AF1984" s="3" t="str">
        <f>IFERROR(__xludf.DUMMYFUNCTION("""COMPUTED_VALUE"""),"BCM วังกะพี้ อุตรดิตถ์-22670")</f>
        <v>BCM วังกะพี้ อุตรดิตถ์-22670</v>
      </c>
      <c r="AG1984" s="3" t="str">
        <f>IFERROR(__xludf.DUMMYFUNCTION("""COMPUTED_VALUE"""),"เหนือ")</f>
        <v>เหนือ</v>
      </c>
      <c r="AH1984" s="3" t="str">
        <f>IFERROR(__xludf.DUMMYFUNCTION("""COMPUTED_VALUE"""),"#N/A")</f>
        <v>#N/A</v>
      </c>
      <c r="AI1984" s="3" t="str">
        <f>IFERROR(__xludf.DUMMYFUNCTION("""COMPUTED_VALUE"""),"Out of warranty")</f>
        <v>Out of warranty</v>
      </c>
      <c r="AJ1984" s="3">
        <f>IFERROR(__xludf.DUMMYFUNCTION("""COMPUTED_VALUE"""),25.0)</f>
        <v>25</v>
      </c>
      <c r="AK1984" s="3" t="str">
        <f>IFERROR(__xludf.DUMMYFUNCTION("""COMPUTED_VALUE"""),"MMS10")</f>
        <v>MMS10</v>
      </c>
      <c r="AL1984" s="3"/>
    </row>
    <row r="1985" ht="15.75" customHeight="1">
      <c r="A1985" s="1" t="str">
        <f>IFERROR(__xludf.DUMMYFUNCTION("""COMPUTED_VALUE"""),"22671")</f>
        <v>22671</v>
      </c>
      <c r="B1985" s="2">
        <f>IFERROR(__xludf.DUMMYFUNCTION("""COMPUTED_VALUE"""),22671.0)</f>
        <v>22671</v>
      </c>
      <c r="C1985" s="3" t="str">
        <f>IFERROR(__xludf.DUMMYFUNCTION("""COMPUTED_VALUE"""),"BCM สุทธิสาร กรุงเทพฯ")</f>
        <v>BCM สุทธิสาร กรุงเทพฯ</v>
      </c>
      <c r="D1985" s="3" t="str">
        <f>IFERROR(__xludf.DUMMYFUNCTION("""COMPUTED_VALUE"""),"BCM SUTTHISAN BANGKOK")</f>
        <v>BCM SUTTHISAN BANGKOK</v>
      </c>
      <c r="E1985" s="1" t="str">
        <f>IFERROR(__xludf.DUMMYFUNCTION("""COMPUTED_VALUE"""),"บิ๊กซี MINI")</f>
        <v>บิ๊กซี MINI</v>
      </c>
      <c r="F1985" s="1" t="str">
        <f>IFERROR(__xludf.DUMMYFUNCTION("""COMPUTED_VALUE"""),"291008")</f>
        <v>291008</v>
      </c>
      <c r="G1985" s="1" t="str">
        <f>IFERROR(__xludf.DUMMYFUNCTION("""COMPUTED_VALUE"""),"น.ส.รัชดาพร อีศรัตน์")</f>
        <v>น.ส.รัชดาพร อีศรัตน์</v>
      </c>
      <c r="H1985" s="1" t="str">
        <f>IFERROR(__xludf.DUMMYFUNCTION("""COMPUTED_VALUE"""),"468773")</f>
        <v>468773</v>
      </c>
      <c r="I1985" s="1" t="str">
        <f>IFERROR(__xludf.DUMMYFUNCTION("""COMPUTED_VALUE"""),"น.ส.พรพรรณ แซ่แต้")</f>
        <v>น.ส.พรพรรณ แซ่แต้</v>
      </c>
      <c r="J1985" s="3">
        <f>IFERROR(__xludf.DUMMYFUNCTION("""COMPUTED_VALUE"""),2452378.0)</f>
        <v>2452378</v>
      </c>
      <c r="K1985" s="3" t="str">
        <f>IFERROR(__xludf.DUMMYFUNCTION("""COMPUTED_VALUE"""),"นายศักดิ์ดา พวงประดับ")</f>
        <v>นายศักดิ์ดา พวงประดับ</v>
      </c>
      <c r="L1985" s="1" t="str">
        <f>IFERROR(__xludf.DUMMYFUNCTION("""COMPUTED_VALUE"""),"11 K.Sakda P.")</f>
        <v>11 K.Sakda P.</v>
      </c>
      <c r="M1985" s="1" t="str">
        <f>IFERROR(__xludf.DUMMYFUNCTION("""COMPUTED_VALUE"""),"065-929-1279")</f>
        <v>065-929-1279</v>
      </c>
      <c r="N1985" s="3">
        <f>IFERROR(__xludf.DUMMYFUNCTION("""COMPUTED_VALUE"""),21002.0)</f>
        <v>21002</v>
      </c>
      <c r="O1985" s="3" t="str">
        <f>IFERROR(__xludf.DUMMYFUNCTION("""COMPUTED_VALUE"""),"MBC อุดมสุข")</f>
        <v>MBC อุดมสุข</v>
      </c>
      <c r="P1985" s="4">
        <f>IFERROR(__xludf.DUMMYFUNCTION("""COMPUTED_VALUE"""),45285.0)</f>
        <v>45285</v>
      </c>
      <c r="Q1985" s="3" t="str">
        <f>IFERROR(__xludf.DUMMYFUNCTION("""COMPUTED_VALUE"""),"A")</f>
        <v>A</v>
      </c>
      <c r="R1985" s="3" t="str">
        <f>IFERROR(__xludf.DUMMYFUNCTION("""COMPUTED_VALUE"""),"Small Format")</f>
        <v>Small Format</v>
      </c>
      <c r="S1985" s="3" t="str">
        <f>IFERROR(__xludf.DUMMYFUNCTION("""COMPUTED_VALUE"""),"BCM")</f>
        <v>BCM</v>
      </c>
      <c r="T1985" s="3" t="str">
        <f>IFERROR(__xludf.DUMMYFUNCTION("""COMPUTED_VALUE"""),"#N/A")</f>
        <v>#N/A</v>
      </c>
      <c r="U1985" s="3" t="str">
        <f>IFERROR(__xludf.DUMMYFUNCTION("""COMPUTED_VALUE"""),"#N/A")</f>
        <v>#N/A</v>
      </c>
      <c r="V1985" s="3" t="str">
        <f>IFERROR(__xludf.DUMMYFUNCTION("""COMPUTED_VALUE"""),"N")</f>
        <v>N</v>
      </c>
      <c r="W1985" s="3">
        <f>IFERROR(__xludf.DUMMYFUNCTION("""COMPUTED_VALUE"""),210693.0)</f>
        <v>210693</v>
      </c>
      <c r="X1985" s="3" t="str">
        <f>IFERROR(__xludf.DUMMYFUNCTION("""COMPUTED_VALUE"""),"313 ถนนสุทธิสารวินิจฉัย แขวงสามเสนนอก เขตห้วยขวาง กรุงเทพมหานคร 10310")</f>
        <v>313 ถนนสุทธิสารวินิจฉัย แขวงสามเสนนอก เขตห้วยขวาง กรุงเทพมหานคร 10310</v>
      </c>
      <c r="Y1985" s="3" t="str">
        <f>IFERROR(__xludf.DUMMYFUNCTION("""COMPUTED_VALUE"""),"สุทธิสารวินิจฉัย")</f>
        <v>สุทธิสารวินิจฉัย</v>
      </c>
      <c r="Z1985" s="3" t="str">
        <f>IFERROR(__xludf.DUMMYFUNCTION("""COMPUTED_VALUE"""),"สามเสนนอก")</f>
        <v>สามเสนนอก</v>
      </c>
      <c r="AA1985" s="3" t="str">
        <f>IFERROR(__xludf.DUMMYFUNCTION("""COMPUTED_VALUE"""),"ห้วยขวาง")</f>
        <v>ห้วยขวาง</v>
      </c>
      <c r="AB1985" s="3" t="str">
        <f>IFERROR(__xludf.DUMMYFUNCTION("""COMPUTED_VALUE"""),"กรุงเทพมหานคร")</f>
        <v>กรุงเทพมหานคร</v>
      </c>
      <c r="AC1985" s="3">
        <f>IFERROR(__xludf.DUMMYFUNCTION("""COMPUTED_VALUE"""),10310.0)</f>
        <v>10310</v>
      </c>
      <c r="AD1985" s="3">
        <f>IFERROR(__xludf.DUMMYFUNCTION("""COMPUTED_VALUE"""),13.78927)</f>
        <v>13.78927</v>
      </c>
      <c r="AE1985" s="3">
        <f>IFERROR(__xludf.DUMMYFUNCTION("""COMPUTED_VALUE"""),100.587209)</f>
        <v>100.587209</v>
      </c>
      <c r="AF1985" s="3" t="str">
        <f>IFERROR(__xludf.DUMMYFUNCTION("""COMPUTED_VALUE"""),"BCM สุทธิสาร กรุงเทพฯ-22671")</f>
        <v>BCM สุทธิสาร กรุงเทพฯ-22671</v>
      </c>
      <c r="AG1985" s="3" t="str">
        <f>IFERROR(__xludf.DUMMYFUNCTION("""COMPUTED_VALUE"""),"กลาง")</f>
        <v>กลาง</v>
      </c>
      <c r="AH1985" s="3" t="str">
        <f>IFERROR(__xludf.DUMMYFUNCTION("""COMPUTED_VALUE"""),"#N/A")</f>
        <v>#N/A</v>
      </c>
      <c r="AI1985" s="3" t="str">
        <f>IFERROR(__xludf.DUMMYFUNCTION("""COMPUTED_VALUE"""),"Out of warranty")</f>
        <v>Out of warranty</v>
      </c>
      <c r="AJ1985" s="3">
        <f>IFERROR(__xludf.DUMMYFUNCTION("""COMPUTED_VALUE"""),25.0)</f>
        <v>25</v>
      </c>
      <c r="AK1985" s="3" t="str">
        <f>IFERROR(__xludf.DUMMYFUNCTION("""COMPUTED_VALUE"""),"MMS01")</f>
        <v>MMS01</v>
      </c>
      <c r="AL1985" s="3"/>
    </row>
    <row r="1986" ht="15.75" customHeight="1">
      <c r="A1986" s="1" t="str">
        <f>IFERROR(__xludf.DUMMYFUNCTION("""COMPUTED_VALUE"""),"22672")</f>
        <v>22672</v>
      </c>
      <c r="B1986" s="2">
        <f>IFERROR(__xludf.DUMMYFUNCTION("""COMPUTED_VALUE"""),22672.0)</f>
        <v>22672</v>
      </c>
      <c r="C1986" s="3" t="str">
        <f>IFERROR(__xludf.DUMMYFUNCTION("""COMPUTED_VALUE"""),"BCM อ.ห้างฉัตร ลำปาง")</f>
        <v>BCM อ.ห้างฉัตร ลำปาง</v>
      </c>
      <c r="D1986" s="3" t="str">
        <f>IFERROR(__xludf.DUMMYFUNCTION("""COMPUTED_VALUE"""),"BCM AMPHOE HANG CHAT LAMPANG")</f>
        <v>BCM AMPHOE HANG CHAT LAMPANG</v>
      </c>
      <c r="E1986" s="1" t="str">
        <f>IFERROR(__xludf.DUMMYFUNCTION("""COMPUTED_VALUE"""),"บิ๊กซี MINI")</f>
        <v>บิ๊กซี MINI</v>
      </c>
      <c r="F1986" s="1" t="str">
        <f>IFERROR(__xludf.DUMMYFUNCTION("""COMPUTED_VALUE"""),"296229")</f>
        <v>296229</v>
      </c>
      <c r="G1986" s="1" t="str">
        <f>IFERROR(__xludf.DUMMYFUNCTION("""COMPUTED_VALUE"""),"นายทนงศักดิ์ บุญมา")</f>
        <v>นายทนงศักดิ์ บุญมา</v>
      </c>
      <c r="H1986" s="1" t="str">
        <f>IFERROR(__xludf.DUMMYFUNCTION("""COMPUTED_VALUE"""),"372826")</f>
        <v>372826</v>
      </c>
      <c r="I1986" s="1" t="str">
        <f>IFERROR(__xludf.DUMMYFUNCTION("""COMPUTED_VALUE"""),"นายพงศกร สุขแก้ว")</f>
        <v>นายพงศกร สุขแก้ว</v>
      </c>
      <c r="J1986" s="3">
        <f>IFERROR(__xludf.DUMMYFUNCTION("""COMPUTED_VALUE"""),2010016.0)</f>
        <v>2010016</v>
      </c>
      <c r="K1986" s="3" t="str">
        <f>IFERROR(__xludf.DUMMYFUNCTION("""COMPUTED_VALUE"""),"นายตวงธรรม ใหม่ยศ")</f>
        <v>นายตวงธรรม ใหม่ยศ</v>
      </c>
      <c r="L1986" s="1" t="str">
        <f>IFERROR(__xludf.DUMMYFUNCTION("""COMPUTED_VALUE"""),"01 K.Tuangtham M.")</f>
        <v>01 K.Tuangtham M.</v>
      </c>
      <c r="M1986" s="1" t="str">
        <f>IFERROR(__xludf.DUMMYFUNCTION("""COMPUTED_VALUE"""),"063-976-595")</f>
        <v>063-976-595</v>
      </c>
      <c r="N1986" s="3">
        <f>IFERROR(__xludf.DUMMYFUNCTION("""COMPUTED_VALUE"""),22574.0)</f>
        <v>22574</v>
      </c>
      <c r="O1986" s="3" t="str">
        <f>IFERROR(__xludf.DUMMYFUNCTION("""COMPUTED_VALUE"""),"BCM ชุมชนศรีชุม ลำปาง")</f>
        <v>BCM ชุมชนศรีชุม ลำปาง</v>
      </c>
      <c r="P1986" s="4">
        <f>IFERROR(__xludf.DUMMYFUNCTION("""COMPUTED_VALUE"""),45285.0)</f>
        <v>45285</v>
      </c>
      <c r="Q1986" s="3" t="str">
        <f>IFERROR(__xludf.DUMMYFUNCTION("""COMPUTED_VALUE"""),"A")</f>
        <v>A</v>
      </c>
      <c r="R1986" s="3" t="str">
        <f>IFERROR(__xludf.DUMMYFUNCTION("""COMPUTED_VALUE"""),"Small Format")</f>
        <v>Small Format</v>
      </c>
      <c r="S1986" s="3" t="str">
        <f>IFERROR(__xludf.DUMMYFUNCTION("""COMPUTED_VALUE"""),"BCM")</f>
        <v>BCM</v>
      </c>
      <c r="T1986" s="3" t="str">
        <f>IFERROR(__xludf.DUMMYFUNCTION("""COMPUTED_VALUE"""),"#N/A")</f>
        <v>#N/A</v>
      </c>
      <c r="U1986" s="3" t="str">
        <f>IFERROR(__xludf.DUMMYFUNCTION("""COMPUTED_VALUE"""),"#N/A")</f>
        <v>#N/A</v>
      </c>
      <c r="V1986" s="3" t="str">
        <f>IFERROR(__xludf.DUMMYFUNCTION("""COMPUTED_VALUE"""),"N")</f>
        <v>N</v>
      </c>
      <c r="W1986" s="3">
        <f>IFERROR(__xludf.DUMMYFUNCTION("""COMPUTED_VALUE"""),210593.0)</f>
        <v>210593</v>
      </c>
      <c r="X1986" s="3" t="str">
        <f>IFERROR(__xludf.DUMMYFUNCTION("""COMPUTED_VALUE"""),"347 หมู่1 ตำบลห้างฉัตร อำเภอห้างฉัตร จังหวัดลำปาง 52190")</f>
        <v>347 หมู่1 ตำบลห้างฉัตร อำเภอห้างฉัตร จังหวัดลำปาง 52190</v>
      </c>
      <c r="Y1986" s="3"/>
      <c r="Z1986" s="3" t="str">
        <f>IFERROR(__xludf.DUMMYFUNCTION("""COMPUTED_VALUE"""),"ห้างฉัตร")</f>
        <v>ห้างฉัตร</v>
      </c>
      <c r="AA1986" s="3" t="str">
        <f>IFERROR(__xludf.DUMMYFUNCTION("""COMPUTED_VALUE"""),"ห้างฉัตร")</f>
        <v>ห้างฉัตร</v>
      </c>
      <c r="AB1986" s="3" t="str">
        <f>IFERROR(__xludf.DUMMYFUNCTION("""COMPUTED_VALUE"""),"ลำปาง")</f>
        <v>ลำปาง</v>
      </c>
      <c r="AC1986" s="3">
        <f>IFERROR(__xludf.DUMMYFUNCTION("""COMPUTED_VALUE"""),52190.0)</f>
        <v>52190</v>
      </c>
      <c r="AD1986" s="3">
        <f>IFERROR(__xludf.DUMMYFUNCTION("""COMPUTED_VALUE"""),18.327184)</f>
        <v>18.327184</v>
      </c>
      <c r="AE1986" s="3">
        <f>IFERROR(__xludf.DUMMYFUNCTION("""COMPUTED_VALUE"""),99.351143)</f>
        <v>99.351143</v>
      </c>
      <c r="AF1986" s="3" t="str">
        <f>IFERROR(__xludf.DUMMYFUNCTION("""COMPUTED_VALUE"""),"BCM อ.ห้างฉัตร ลำปาง-22672")</f>
        <v>BCM อ.ห้างฉัตร ลำปาง-22672</v>
      </c>
      <c r="AG1986" s="3" t="str">
        <f>IFERROR(__xludf.DUMMYFUNCTION("""COMPUTED_VALUE"""),"เหนือ")</f>
        <v>เหนือ</v>
      </c>
      <c r="AH1986" s="3" t="str">
        <f>IFERROR(__xludf.DUMMYFUNCTION("""COMPUTED_VALUE"""),"#N/A")</f>
        <v>#N/A</v>
      </c>
      <c r="AI1986" s="3" t="str">
        <f>IFERROR(__xludf.DUMMYFUNCTION("""COMPUTED_VALUE"""),"Out of warranty")</f>
        <v>Out of warranty</v>
      </c>
      <c r="AJ1986" s="3">
        <f>IFERROR(__xludf.DUMMYFUNCTION("""COMPUTED_VALUE"""),25.0)</f>
        <v>25</v>
      </c>
      <c r="AK1986" s="3" t="str">
        <f>IFERROR(__xludf.DUMMYFUNCTION("""COMPUTED_VALUE"""),"MMS10")</f>
        <v>MMS10</v>
      </c>
      <c r="AL1986" s="3"/>
    </row>
    <row r="1987" ht="15.75" customHeight="1">
      <c r="A1987" s="1" t="str">
        <f>IFERROR(__xludf.DUMMYFUNCTION("""COMPUTED_VALUE"""),"22673")</f>
        <v>22673</v>
      </c>
      <c r="B1987" s="2">
        <f>IFERROR(__xludf.DUMMYFUNCTION("""COMPUTED_VALUE"""),22673.0)</f>
        <v>22673</v>
      </c>
      <c r="C1987" s="3" t="str">
        <f>IFERROR(__xludf.DUMMYFUNCTION("""COMPUTED_VALUE"""),"BCM บ้านติดต่อ เลย")</f>
        <v>BCM บ้านติดต่อ เลย</v>
      </c>
      <c r="D1987" s="3" t="str">
        <f>IFERROR(__xludf.DUMMYFUNCTION("""COMPUTED_VALUE"""),"BCM BANTIDTOR LOEI")</f>
        <v>BCM BANTIDTOR LOEI</v>
      </c>
      <c r="E1987" s="1" t="str">
        <f>IFERROR(__xludf.DUMMYFUNCTION("""COMPUTED_VALUE"""),"บิ๊กซี MINI")</f>
        <v>บิ๊กซี MINI</v>
      </c>
      <c r="F1987" s="1" t="str">
        <f>IFERROR(__xludf.DUMMYFUNCTION("""COMPUTED_VALUE"""),"291105")</f>
        <v>291105</v>
      </c>
      <c r="G1987" s="1" t="str">
        <f>IFERROR(__xludf.DUMMYFUNCTION("""COMPUTED_VALUE"""),"นายสราวุฒิ พณิชยกุล")</f>
        <v>นายสราวุฒิ พณิชยกุล</v>
      </c>
      <c r="H1987" s="1" t="str">
        <f>IFERROR(__xludf.DUMMYFUNCTION("""COMPUTED_VALUE"""),"305119")</f>
        <v>305119</v>
      </c>
      <c r="I1987" s="1" t="str">
        <f>IFERROR(__xludf.DUMMYFUNCTION("""COMPUTED_VALUE"""),"นายไชยกร ลีพิบูลย์สวัสดิ์")</f>
        <v>นายไชยกร ลีพิบูลย์สวัสดิ์</v>
      </c>
      <c r="J1987" s="3">
        <f>IFERROR(__xludf.DUMMYFUNCTION("""COMPUTED_VALUE"""),296868.0)</f>
        <v>296868</v>
      </c>
      <c r="K1987" s="3" t="str">
        <f>IFERROR(__xludf.DUMMYFUNCTION("""COMPUTED_VALUE"""),"นายพีระพงษ์ แก้วดวงดี")</f>
        <v>นายพีระพงษ์ แก้วดวงดี</v>
      </c>
      <c r="L1987" s="1" t="str">
        <f>IFERROR(__xludf.DUMMYFUNCTION("""COMPUTED_VALUE"""),"03 K.Peerapong K.")</f>
        <v>03 K.Peerapong K.</v>
      </c>
      <c r="M1987" s="1" t="str">
        <f>IFERROR(__xludf.DUMMYFUNCTION("""COMPUTED_VALUE"""),"089-002-6599")</f>
        <v>089-002-6599</v>
      </c>
      <c r="N1987" s="3">
        <f>IFERROR(__xludf.DUMMYFUNCTION("""COMPUTED_VALUE"""),21946.0)</f>
        <v>21946</v>
      </c>
      <c r="O1987" s="3" t="str">
        <f>IFERROR(__xludf.DUMMYFUNCTION("""COMPUTED_VALUE"""),"MBC เซกา บึงกาฬ")</f>
        <v>MBC เซกา บึงกาฬ</v>
      </c>
      <c r="P1987" s="4">
        <f>IFERROR(__xludf.DUMMYFUNCTION("""COMPUTED_VALUE"""),45314.0)</f>
        <v>45314</v>
      </c>
      <c r="Q1987" s="3" t="str">
        <f>IFERROR(__xludf.DUMMYFUNCTION("""COMPUTED_VALUE"""),"A")</f>
        <v>A</v>
      </c>
      <c r="R1987" s="3" t="str">
        <f>IFERROR(__xludf.DUMMYFUNCTION("""COMPUTED_VALUE"""),"Small Format")</f>
        <v>Small Format</v>
      </c>
      <c r="S1987" s="3" t="str">
        <f>IFERROR(__xludf.DUMMYFUNCTION("""COMPUTED_VALUE"""),"BCM")</f>
        <v>BCM</v>
      </c>
      <c r="T1987" s="3" t="str">
        <f>IFERROR(__xludf.DUMMYFUNCTION("""COMPUTED_VALUE"""),"#N/A")</f>
        <v>#N/A</v>
      </c>
      <c r="U1987" s="3" t="str">
        <f>IFERROR(__xludf.DUMMYFUNCTION("""COMPUTED_VALUE"""),"#N/A")</f>
        <v>#N/A</v>
      </c>
      <c r="V1987" s="3" t="str">
        <f>IFERROR(__xludf.DUMMYFUNCTION("""COMPUTED_VALUE"""),"N")</f>
        <v>N</v>
      </c>
      <c r="W1987" s="3">
        <f>IFERROR(__xludf.DUMMYFUNCTION("""COMPUTED_VALUE"""),210788.0)</f>
        <v>210788</v>
      </c>
      <c r="X1987" s="3" t="str">
        <f>IFERROR(__xludf.DUMMYFUNCTION("""COMPUTED_VALUE"""),"375/1 หมู่9 ตำบลนาอาน อำเภอเมืองเลย จังหวัดเลย 42000")</f>
        <v>375/1 หมู่9 ตำบลนาอาน อำเภอเมืองเลย จังหวัดเลย 42000</v>
      </c>
      <c r="Y1987" s="3"/>
      <c r="Z1987" s="3" t="str">
        <f>IFERROR(__xludf.DUMMYFUNCTION("""COMPUTED_VALUE"""),"นาอาน")</f>
        <v>นาอาน</v>
      </c>
      <c r="AA1987" s="3" t="str">
        <f>IFERROR(__xludf.DUMMYFUNCTION("""COMPUTED_VALUE"""),"เมืองเลย")</f>
        <v>เมืองเลย</v>
      </c>
      <c r="AB1987" s="3" t="str">
        <f>IFERROR(__xludf.DUMMYFUNCTION("""COMPUTED_VALUE"""),"เลย")</f>
        <v>เลย</v>
      </c>
      <c r="AC1987" s="3">
        <f>IFERROR(__xludf.DUMMYFUNCTION("""COMPUTED_VALUE"""),42000.0)</f>
        <v>42000</v>
      </c>
      <c r="AD1987" s="3">
        <f>IFERROR(__xludf.DUMMYFUNCTION("""COMPUTED_VALUE"""),17.467923)</f>
        <v>17.467923</v>
      </c>
      <c r="AE1987" s="3">
        <f>IFERROR(__xludf.DUMMYFUNCTION("""COMPUTED_VALUE"""),101.736126)</f>
        <v>101.736126</v>
      </c>
      <c r="AF1987" s="3" t="str">
        <f>IFERROR(__xludf.DUMMYFUNCTION("""COMPUTED_VALUE"""),"BCM บ้านติดต่อ เลย-22673")</f>
        <v>BCM บ้านติดต่อ เลย-22673</v>
      </c>
      <c r="AG1987" s="3" t="str">
        <f>IFERROR(__xludf.DUMMYFUNCTION("""COMPUTED_VALUE"""),"ตะวันออกเฉียงเหนือ")</f>
        <v>ตะวันออกเฉียงเหนือ</v>
      </c>
      <c r="AH1987" s="3" t="str">
        <f>IFERROR(__xludf.DUMMYFUNCTION("""COMPUTED_VALUE"""),"#N/A")</f>
        <v>#N/A</v>
      </c>
      <c r="AI1987" s="3" t="str">
        <f>IFERROR(__xludf.DUMMYFUNCTION("""COMPUTED_VALUE"""),"Out of warranty")</f>
        <v>Out of warranty</v>
      </c>
      <c r="AJ1987" s="3">
        <f>IFERROR(__xludf.DUMMYFUNCTION("""COMPUTED_VALUE"""),24.0)</f>
        <v>24</v>
      </c>
      <c r="AK1987" s="3"/>
      <c r="AL1987" s="3"/>
    </row>
    <row r="1988" ht="15.75" customHeight="1">
      <c r="A1988" s="1" t="str">
        <f>IFERROR(__xludf.DUMMYFUNCTION("""COMPUTED_VALUE"""),"22674")</f>
        <v>22674</v>
      </c>
      <c r="B1988" s="2">
        <f>IFERROR(__xludf.DUMMYFUNCTION("""COMPUTED_VALUE"""),22674.0)</f>
        <v>22674</v>
      </c>
      <c r="C1988" s="3" t="str">
        <f>IFERROR(__xludf.DUMMYFUNCTION("""COMPUTED_VALUE"""),"BCM ชุมชนสอง แพร่")</f>
        <v>BCM ชุมชนสอง แพร่</v>
      </c>
      <c r="D1988" s="3" t="str">
        <f>IFERROR(__xludf.DUMMYFUNCTION("""COMPUTED_VALUE"""),"BCM CHUMCHON SONG PHARE")</f>
        <v>BCM CHUMCHON SONG PHARE</v>
      </c>
      <c r="E1988" s="1" t="str">
        <f>IFERROR(__xludf.DUMMYFUNCTION("""COMPUTED_VALUE"""),"บิ๊กซี MINI")</f>
        <v>บิ๊กซี MINI</v>
      </c>
      <c r="F1988" s="1" t="str">
        <f>IFERROR(__xludf.DUMMYFUNCTION("""COMPUTED_VALUE"""),"296229")</f>
        <v>296229</v>
      </c>
      <c r="G1988" s="1" t="str">
        <f>IFERROR(__xludf.DUMMYFUNCTION("""COMPUTED_VALUE"""),"นายทนงศักดิ์ บุญมา")</f>
        <v>นายทนงศักดิ์ บุญมา</v>
      </c>
      <c r="H1988" s="1" t="str">
        <f>IFERROR(__xludf.DUMMYFUNCTION("""COMPUTED_VALUE"""),"372826")</f>
        <v>372826</v>
      </c>
      <c r="I1988" s="1" t="str">
        <f>IFERROR(__xludf.DUMMYFUNCTION("""COMPUTED_VALUE"""),"นายพงศกร สุขแก้ว")</f>
        <v>นายพงศกร สุขแก้ว</v>
      </c>
      <c r="J1988" s="3">
        <f>IFERROR(__xludf.DUMMYFUNCTION("""COMPUTED_VALUE"""),2010016.0)</f>
        <v>2010016</v>
      </c>
      <c r="K1988" s="3" t="str">
        <f>IFERROR(__xludf.DUMMYFUNCTION("""COMPUTED_VALUE"""),"นายตวงธรรม ใหม่ยศ")</f>
        <v>นายตวงธรรม ใหม่ยศ</v>
      </c>
      <c r="L1988" s="1" t="str">
        <f>IFERROR(__xludf.DUMMYFUNCTION("""COMPUTED_VALUE"""),"01 K.Tuangtham M.")</f>
        <v>01 K.Tuangtham M.</v>
      </c>
      <c r="M1988" s="1" t="str">
        <f>IFERROR(__xludf.DUMMYFUNCTION("""COMPUTED_VALUE"""),"063-976-595")</f>
        <v>063-976-595</v>
      </c>
      <c r="N1988" s="3">
        <f>IFERROR(__xludf.DUMMYFUNCTION("""COMPUTED_VALUE"""),22574.0)</f>
        <v>22574</v>
      </c>
      <c r="O1988" s="3" t="str">
        <f>IFERROR(__xludf.DUMMYFUNCTION("""COMPUTED_VALUE"""),"BCM ชุมชนศรีชุม ลำปาง")</f>
        <v>BCM ชุมชนศรีชุม ลำปาง</v>
      </c>
      <c r="P1988" s="4">
        <f>IFERROR(__xludf.DUMMYFUNCTION("""COMPUTED_VALUE"""),45314.0)</f>
        <v>45314</v>
      </c>
      <c r="Q1988" s="3" t="str">
        <f>IFERROR(__xludf.DUMMYFUNCTION("""COMPUTED_VALUE"""),"A")</f>
        <v>A</v>
      </c>
      <c r="R1988" s="3" t="str">
        <f>IFERROR(__xludf.DUMMYFUNCTION("""COMPUTED_VALUE"""),"Small Format")</f>
        <v>Small Format</v>
      </c>
      <c r="S1988" s="3" t="str">
        <f>IFERROR(__xludf.DUMMYFUNCTION("""COMPUTED_VALUE"""),"BCM")</f>
        <v>BCM</v>
      </c>
      <c r="T1988" s="3" t="str">
        <f>IFERROR(__xludf.DUMMYFUNCTION("""COMPUTED_VALUE"""),"#N/A")</f>
        <v>#N/A</v>
      </c>
      <c r="U1988" s="3" t="str">
        <f>IFERROR(__xludf.DUMMYFUNCTION("""COMPUTED_VALUE"""),"#N/A")</f>
        <v>#N/A</v>
      </c>
      <c r="V1988" s="3" t="str">
        <f>IFERROR(__xludf.DUMMYFUNCTION("""COMPUTED_VALUE"""),"N")</f>
        <v>N</v>
      </c>
      <c r="W1988" s="3">
        <f>IFERROR(__xludf.DUMMYFUNCTION("""COMPUTED_VALUE"""),210779.0)</f>
        <v>210779</v>
      </c>
      <c r="X1988" s="3" t="str">
        <f>IFERROR(__xludf.DUMMYFUNCTION("""COMPUTED_VALUE"""),"40 หมู่4 ตำบลบ้านหนุน อำเภอสอง จังหวัดแพร่ 54120")</f>
        <v>40 หมู่4 ตำบลบ้านหนุน อำเภอสอง จังหวัดแพร่ 54120</v>
      </c>
      <c r="Y1988" s="3"/>
      <c r="Z1988" s="3" t="str">
        <f>IFERROR(__xludf.DUMMYFUNCTION("""COMPUTED_VALUE"""),"บ้านหนุน")</f>
        <v>บ้านหนุน</v>
      </c>
      <c r="AA1988" s="3" t="str">
        <f>IFERROR(__xludf.DUMMYFUNCTION("""COMPUTED_VALUE"""),"สอง")</f>
        <v>สอง</v>
      </c>
      <c r="AB1988" s="3" t="str">
        <f>IFERROR(__xludf.DUMMYFUNCTION("""COMPUTED_VALUE"""),"แพร่")</f>
        <v>แพร่</v>
      </c>
      <c r="AC1988" s="3">
        <f>IFERROR(__xludf.DUMMYFUNCTION("""COMPUTED_VALUE"""),54120.0)</f>
        <v>54120</v>
      </c>
      <c r="AD1988" s="3">
        <f>IFERROR(__xludf.DUMMYFUNCTION("""COMPUTED_VALUE"""),18.458153)</f>
        <v>18.458153</v>
      </c>
      <c r="AE1988" s="3">
        <f>IFERROR(__xludf.DUMMYFUNCTION("""COMPUTED_VALUE"""),100.184083)</f>
        <v>100.184083</v>
      </c>
      <c r="AF1988" s="3" t="str">
        <f>IFERROR(__xludf.DUMMYFUNCTION("""COMPUTED_VALUE"""),"BCM ชุมชนสอง แพร่-22674")</f>
        <v>BCM ชุมชนสอง แพร่-22674</v>
      </c>
      <c r="AG1988" s="3" t="str">
        <f>IFERROR(__xludf.DUMMYFUNCTION("""COMPUTED_VALUE"""),"เหนือ")</f>
        <v>เหนือ</v>
      </c>
      <c r="AH1988" s="3" t="str">
        <f>IFERROR(__xludf.DUMMYFUNCTION("""COMPUTED_VALUE"""),"#N/A")</f>
        <v>#N/A</v>
      </c>
      <c r="AI1988" s="3" t="str">
        <f>IFERROR(__xludf.DUMMYFUNCTION("""COMPUTED_VALUE"""),"Out of warranty")</f>
        <v>Out of warranty</v>
      </c>
      <c r="AJ1988" s="3">
        <f>IFERROR(__xludf.DUMMYFUNCTION("""COMPUTED_VALUE"""),24.0)</f>
        <v>24</v>
      </c>
      <c r="AK1988" s="3" t="str">
        <f>IFERROR(__xludf.DUMMYFUNCTION("""COMPUTED_VALUE"""),"MMS10")</f>
        <v>MMS10</v>
      </c>
      <c r="AL1988" s="3"/>
    </row>
    <row r="1989" ht="15.75" customHeight="1">
      <c r="A1989" s="1" t="str">
        <f>IFERROR(__xludf.DUMMYFUNCTION("""COMPUTED_VALUE"""),"22675")</f>
        <v>22675</v>
      </c>
      <c r="B1989" s="2">
        <f>IFERROR(__xludf.DUMMYFUNCTION("""COMPUTED_VALUE"""),22675.0)</f>
        <v>22675</v>
      </c>
      <c r="C1989" s="3" t="str">
        <f>IFERROR(__xludf.DUMMYFUNCTION("""COMPUTED_VALUE"""),"BCM ตลาดบ้านฝาง ขอนแก่น")</f>
        <v>BCM ตลาดบ้านฝาง ขอนแก่น</v>
      </c>
      <c r="D1989" s="3" t="str">
        <f>IFERROR(__xludf.DUMMYFUNCTION("""COMPUTED_VALUE"""),"BCM TALAD BAN FANG")</f>
        <v>BCM TALAD BAN FANG</v>
      </c>
      <c r="E1989" s="1" t="str">
        <f>IFERROR(__xludf.DUMMYFUNCTION("""COMPUTED_VALUE"""),"บิ๊กซี MINI")</f>
        <v>บิ๊กซี MINI</v>
      </c>
      <c r="F1989" s="1" t="str">
        <f>IFERROR(__xludf.DUMMYFUNCTION("""COMPUTED_VALUE"""),"291105")</f>
        <v>291105</v>
      </c>
      <c r="G1989" s="1" t="str">
        <f>IFERROR(__xludf.DUMMYFUNCTION("""COMPUTED_VALUE"""),"นายสราวุฒิ พณิชยกุล")</f>
        <v>นายสราวุฒิ พณิชยกุล</v>
      </c>
      <c r="H1989" s="1" t="str">
        <f>IFERROR(__xludf.DUMMYFUNCTION("""COMPUTED_VALUE"""),"305119")</f>
        <v>305119</v>
      </c>
      <c r="I1989" s="1" t="str">
        <f>IFERROR(__xludf.DUMMYFUNCTION("""COMPUTED_VALUE"""),"นายไชยกร ลีพิบูลย์สวัสดิ์")</f>
        <v>นายไชยกร ลีพิบูลย์สวัสดิ์</v>
      </c>
      <c r="J1989" s="3">
        <f>IFERROR(__xludf.DUMMYFUNCTION("""COMPUTED_VALUE"""),296868.0)</f>
        <v>296868</v>
      </c>
      <c r="K1989" s="3" t="str">
        <f>IFERROR(__xludf.DUMMYFUNCTION("""COMPUTED_VALUE"""),"นายพีระพงษ์ แก้วดวงดี")</f>
        <v>นายพีระพงษ์ แก้วดวงดี</v>
      </c>
      <c r="L1989" s="1" t="str">
        <f>IFERROR(__xludf.DUMMYFUNCTION("""COMPUTED_VALUE"""),"03 K.Peerapong K.")</f>
        <v>03 K.Peerapong K.</v>
      </c>
      <c r="M1989" s="1" t="str">
        <f>IFERROR(__xludf.DUMMYFUNCTION("""COMPUTED_VALUE"""),"089-002-6599")</f>
        <v>089-002-6599</v>
      </c>
      <c r="N1989" s="3">
        <f>IFERROR(__xludf.DUMMYFUNCTION("""COMPUTED_VALUE"""),21946.0)</f>
        <v>21946</v>
      </c>
      <c r="O1989" s="3" t="str">
        <f>IFERROR(__xludf.DUMMYFUNCTION("""COMPUTED_VALUE"""),"MBC เซกา บึงกาฬ")</f>
        <v>MBC เซกา บึงกาฬ</v>
      </c>
      <c r="P1989" s="4">
        <f>IFERROR(__xludf.DUMMYFUNCTION("""COMPUTED_VALUE"""),45349.0)</f>
        <v>45349</v>
      </c>
      <c r="Q1989" s="3" t="str">
        <f>IFERROR(__xludf.DUMMYFUNCTION("""COMPUTED_VALUE"""),"A")</f>
        <v>A</v>
      </c>
      <c r="R1989" s="3" t="str">
        <f>IFERROR(__xludf.DUMMYFUNCTION("""COMPUTED_VALUE"""),"Small Format")</f>
        <v>Small Format</v>
      </c>
      <c r="S1989" s="3" t="str">
        <f>IFERROR(__xludf.DUMMYFUNCTION("""COMPUTED_VALUE"""),"BCM")</f>
        <v>BCM</v>
      </c>
      <c r="T1989" s="3" t="str">
        <f>IFERROR(__xludf.DUMMYFUNCTION("""COMPUTED_VALUE"""),"#N/A")</f>
        <v>#N/A</v>
      </c>
      <c r="U1989" s="3" t="str">
        <f>IFERROR(__xludf.DUMMYFUNCTION("""COMPUTED_VALUE"""),"#N/A")</f>
        <v>#N/A</v>
      </c>
      <c r="V1989" s="3" t="str">
        <f>IFERROR(__xludf.DUMMYFUNCTION("""COMPUTED_VALUE"""),"N")</f>
        <v>N</v>
      </c>
      <c r="W1989" s="3">
        <f>IFERROR(__xludf.DUMMYFUNCTION("""COMPUTED_VALUE"""),210766.0)</f>
        <v>210766</v>
      </c>
      <c r="X1989" s="3" t="str">
        <f>IFERROR(__xludf.DUMMYFUNCTION("""COMPUTED_VALUE"""),"582 หมู่9 ตำบลบ้านฝาง อำเภอบ้านฝาง จังหวัดขอนแก่น 40270")</f>
        <v>582 หมู่9 ตำบลบ้านฝาง อำเภอบ้านฝาง จังหวัดขอนแก่น 40270</v>
      </c>
      <c r="Y1989" s="3"/>
      <c r="Z1989" s="3" t="str">
        <f>IFERROR(__xludf.DUMMYFUNCTION("""COMPUTED_VALUE"""),"บ้านฝาง")</f>
        <v>บ้านฝาง</v>
      </c>
      <c r="AA1989" s="3" t="str">
        <f>IFERROR(__xludf.DUMMYFUNCTION("""COMPUTED_VALUE"""),"บ้านฝาง")</f>
        <v>บ้านฝาง</v>
      </c>
      <c r="AB1989" s="3" t="str">
        <f>IFERROR(__xludf.DUMMYFUNCTION("""COMPUTED_VALUE"""),"ขอนแก่น")</f>
        <v>ขอนแก่น</v>
      </c>
      <c r="AC1989" s="3">
        <f>IFERROR(__xludf.DUMMYFUNCTION("""COMPUTED_VALUE"""),40270.0)</f>
        <v>40270</v>
      </c>
      <c r="AD1989" s="3">
        <f>IFERROR(__xludf.DUMMYFUNCTION("""COMPUTED_VALUE"""),16.45164)</f>
        <v>16.45164</v>
      </c>
      <c r="AE1989" s="3">
        <f>IFERROR(__xludf.DUMMYFUNCTION("""COMPUTED_VALUE"""),102.640011)</f>
        <v>102.640011</v>
      </c>
      <c r="AF1989" s="3" t="str">
        <f>IFERROR(__xludf.DUMMYFUNCTION("""COMPUTED_VALUE"""),"BCM ตลาดบ้านฝาง ขอนแก่น-22675")</f>
        <v>BCM ตลาดบ้านฝาง ขอนแก่น-22675</v>
      </c>
      <c r="AG1989" s="3" t="str">
        <f>IFERROR(__xludf.DUMMYFUNCTION("""COMPUTED_VALUE"""),"ตะวันออกเฉียงเหนือ")</f>
        <v>ตะวันออกเฉียงเหนือ</v>
      </c>
      <c r="AH1989" s="3" t="str">
        <f>IFERROR(__xludf.DUMMYFUNCTION("""COMPUTED_VALUE"""),"#N/A")</f>
        <v>#N/A</v>
      </c>
      <c r="AI1989" s="3" t="str">
        <f>IFERROR(__xludf.DUMMYFUNCTION("""COMPUTED_VALUE"""),"Out of warranty")</f>
        <v>Out of warranty</v>
      </c>
      <c r="AJ1989" s="3">
        <f>IFERROR(__xludf.DUMMYFUNCTION("""COMPUTED_VALUE"""),23.0)</f>
        <v>23</v>
      </c>
      <c r="AK1989" s="3"/>
      <c r="AL1989" s="3"/>
    </row>
    <row r="1990" ht="15.75" customHeight="1">
      <c r="A1990" s="1" t="str">
        <f>IFERROR(__xludf.DUMMYFUNCTION("""COMPUTED_VALUE"""),"22676")</f>
        <v>22676</v>
      </c>
      <c r="B1990" s="2">
        <f>IFERROR(__xludf.DUMMYFUNCTION("""COMPUTED_VALUE"""),22676.0)</f>
        <v>22676</v>
      </c>
      <c r="C1990" s="3" t="str">
        <f>IFERROR(__xludf.DUMMYFUNCTION("""COMPUTED_VALUE"""),"BCM พระนครชัยศรี นครปฐม")</f>
        <v>BCM พระนครชัยศรี นครปฐม</v>
      </c>
      <c r="D1990" s="3" t="str">
        <f>IFERROR(__xludf.DUMMYFUNCTION("""COMPUTED_VALUE"""),"BCM BANG PHRA NAKHON CHAISRI")</f>
        <v>BCM BANG PHRA NAKHON CHAISRI</v>
      </c>
      <c r="E1990" s="1" t="str">
        <f>IFERROR(__xludf.DUMMYFUNCTION("""COMPUTED_VALUE"""),"บิ๊กซี MINI")</f>
        <v>บิ๊กซี MINI</v>
      </c>
      <c r="F1990" s="1" t="str">
        <f>IFERROR(__xludf.DUMMYFUNCTION("""COMPUTED_VALUE"""),"296229")</f>
        <v>296229</v>
      </c>
      <c r="G1990" s="1" t="str">
        <f>IFERROR(__xludf.DUMMYFUNCTION("""COMPUTED_VALUE"""),"นายทนงศักดิ์ บุญมา")</f>
        <v>นายทนงศักดิ์ บุญมา</v>
      </c>
      <c r="H1990" s="1" t="str">
        <f>IFERROR(__xludf.DUMMYFUNCTION("""COMPUTED_VALUE"""),"295245")</f>
        <v>295245</v>
      </c>
      <c r="I1990" s="1" t="str">
        <f>IFERROR(__xludf.DUMMYFUNCTION("""COMPUTED_VALUE"""),"นายมานะ วงศ์สุโชโต")</f>
        <v>นายมานะ วงศ์สุโชโต</v>
      </c>
      <c r="J1990" s="3">
        <f>IFERROR(__xludf.DUMMYFUNCTION("""COMPUTED_VALUE"""),46214.0)</f>
        <v>46214</v>
      </c>
      <c r="K1990" s="3" t="str">
        <f>IFERROR(__xludf.DUMMYFUNCTION("""COMPUTED_VALUE"""),"นายศักดิ์ชัย เด็ดดอกฟ้า")</f>
        <v>นายศักดิ์ชัย เด็ดดอกฟ้า</v>
      </c>
      <c r="L1990" s="1" t="str">
        <f>IFERROR(__xludf.DUMMYFUNCTION("""COMPUTED_VALUE"""),"02 K.Sakchai D")</f>
        <v>02 K.Sakchai D</v>
      </c>
      <c r="M1990" s="1" t="str">
        <f>IFERROR(__xludf.DUMMYFUNCTION("""COMPUTED_VALUE"""),"065-510-7376")</f>
        <v>065-510-7376</v>
      </c>
      <c r="N1990" s="3">
        <f>IFERROR(__xludf.DUMMYFUNCTION("""COMPUTED_VALUE"""),21714.0)</f>
        <v>21714</v>
      </c>
      <c r="O1990" s="3" t="str">
        <f>IFERROR(__xludf.DUMMYFUNCTION("""COMPUTED_VALUE"""),"MBC เอสโซ่ วัดโบสถ์")</f>
        <v>MBC เอสโซ่ วัดโบสถ์</v>
      </c>
      <c r="P1990" s="4">
        <f>IFERROR(__xludf.DUMMYFUNCTION("""COMPUTED_VALUE"""),45348.0)</f>
        <v>45348</v>
      </c>
      <c r="Q1990" s="3" t="str">
        <f>IFERROR(__xludf.DUMMYFUNCTION("""COMPUTED_VALUE"""),"A")</f>
        <v>A</v>
      </c>
      <c r="R1990" s="3" t="str">
        <f>IFERROR(__xludf.DUMMYFUNCTION("""COMPUTED_VALUE"""),"Small Format")</f>
        <v>Small Format</v>
      </c>
      <c r="S1990" s="3" t="str">
        <f>IFERROR(__xludf.DUMMYFUNCTION("""COMPUTED_VALUE"""),"BCM")</f>
        <v>BCM</v>
      </c>
      <c r="T1990" s="3" t="str">
        <f>IFERROR(__xludf.DUMMYFUNCTION("""COMPUTED_VALUE"""),"#N/A")</f>
        <v>#N/A</v>
      </c>
      <c r="U1990" s="3" t="str">
        <f>IFERROR(__xludf.DUMMYFUNCTION("""COMPUTED_VALUE"""),"#N/A")</f>
        <v>#N/A</v>
      </c>
      <c r="V1990" s="3" t="str">
        <f>IFERROR(__xludf.DUMMYFUNCTION("""COMPUTED_VALUE"""),"N")</f>
        <v>N</v>
      </c>
      <c r="W1990" s="3">
        <f>IFERROR(__xludf.DUMMYFUNCTION("""COMPUTED_VALUE"""),210784.0)</f>
        <v>210784</v>
      </c>
      <c r="X1990" s="3" t="str">
        <f>IFERROR(__xludf.DUMMYFUNCTION("""COMPUTED_VALUE"""),"59/5 หมู่1 ตำบลบางพระ อำเภอนครชัยศรี จังหวัดนครปฐม 73120")</f>
        <v>59/5 หมู่1 ตำบลบางพระ อำเภอนครชัยศรี จังหวัดนครปฐม 73120</v>
      </c>
      <c r="Y1990" s="3"/>
      <c r="Z1990" s="3" t="str">
        <f>IFERROR(__xludf.DUMMYFUNCTION("""COMPUTED_VALUE"""),"บางพระ")</f>
        <v>บางพระ</v>
      </c>
      <c r="AA1990" s="3" t="str">
        <f>IFERROR(__xludf.DUMMYFUNCTION("""COMPUTED_VALUE"""),"นครชัยศรี")</f>
        <v>นครชัยศรี</v>
      </c>
      <c r="AB1990" s="3" t="str">
        <f>IFERROR(__xludf.DUMMYFUNCTION("""COMPUTED_VALUE"""),"นครปฐม")</f>
        <v>นครปฐม</v>
      </c>
      <c r="AC1990" s="3">
        <f>IFERROR(__xludf.DUMMYFUNCTION("""COMPUTED_VALUE"""),73120.0)</f>
        <v>73120</v>
      </c>
      <c r="AD1990" s="3">
        <f>IFERROR(__xludf.DUMMYFUNCTION("""COMPUTED_VALUE"""),13.896795)</f>
        <v>13.896795</v>
      </c>
      <c r="AE1990" s="3">
        <f>IFERROR(__xludf.DUMMYFUNCTION("""COMPUTED_VALUE"""),100.209549)</f>
        <v>100.209549</v>
      </c>
      <c r="AF1990" s="3" t="str">
        <f>IFERROR(__xludf.DUMMYFUNCTION("""COMPUTED_VALUE"""),"BCM พระนครชัยศรี นครปฐม-22676")</f>
        <v>BCM พระนครชัยศรี นครปฐม-22676</v>
      </c>
      <c r="AG1990" s="3" t="str">
        <f>IFERROR(__xludf.DUMMYFUNCTION("""COMPUTED_VALUE"""),"กลาง")</f>
        <v>กลาง</v>
      </c>
      <c r="AH1990" s="3" t="str">
        <f>IFERROR(__xludf.DUMMYFUNCTION("""COMPUTED_VALUE"""),"#N/A")</f>
        <v>#N/A</v>
      </c>
      <c r="AI1990" s="3" t="str">
        <f>IFERROR(__xludf.DUMMYFUNCTION("""COMPUTED_VALUE"""),"Out of warranty")</f>
        <v>Out of warranty</v>
      </c>
      <c r="AJ1990" s="3">
        <f>IFERROR(__xludf.DUMMYFUNCTION("""COMPUTED_VALUE"""),23.0)</f>
        <v>23</v>
      </c>
      <c r="AK1990" s="3"/>
      <c r="AL1990" s="3"/>
    </row>
    <row r="1991" ht="15.75" customHeight="1">
      <c r="A1991" s="1" t="str">
        <f>IFERROR(__xludf.DUMMYFUNCTION("""COMPUTED_VALUE"""),"22677")</f>
        <v>22677</v>
      </c>
      <c r="B1991" s="2">
        <f>IFERROR(__xludf.DUMMYFUNCTION("""COMPUTED_VALUE"""),22677.0)</f>
        <v>22677</v>
      </c>
      <c r="C1991" s="3" t="str">
        <f>IFERROR(__xludf.DUMMYFUNCTION("""COMPUTED_VALUE"""),"BCM ชิค ชิค มาร์เก็ต หนองคาย")</f>
        <v>BCM ชิค ชิค มาร์เก็ต หนองคาย</v>
      </c>
      <c r="D1991" s="3" t="str">
        <f>IFERROR(__xludf.DUMMYFUNCTION("""COMPUTED_VALUE"""),"BCM CHIC CHIC MARKET NONG KHAI")</f>
        <v>BCM CHIC CHIC MARKET NONG KHAI</v>
      </c>
      <c r="E1991" s="1" t="str">
        <f>IFERROR(__xludf.DUMMYFUNCTION("""COMPUTED_VALUE"""),"บิ๊กซี MINI")</f>
        <v>บิ๊กซี MINI</v>
      </c>
      <c r="F1991" s="1" t="str">
        <f>IFERROR(__xludf.DUMMYFUNCTION("""COMPUTED_VALUE"""),"291105")</f>
        <v>291105</v>
      </c>
      <c r="G1991" s="1" t="str">
        <f>IFERROR(__xludf.DUMMYFUNCTION("""COMPUTED_VALUE"""),"นายสราวุฒิ พณิชยกุล")</f>
        <v>นายสราวุฒิ พณิชยกุล</v>
      </c>
      <c r="H1991" s="1" t="str">
        <f>IFERROR(__xludf.DUMMYFUNCTION("""COMPUTED_VALUE"""),"392005")</f>
        <v>392005</v>
      </c>
      <c r="I1991" s="1" t="str">
        <f>IFERROR(__xludf.DUMMYFUNCTION("""COMPUTED_VALUE"""),"นายรัฐพล หาญลำยวง")</f>
        <v>นายรัฐพล หาญลำยวง</v>
      </c>
      <c r="J1991" s="3">
        <f>IFERROR(__xludf.DUMMYFUNCTION("""COMPUTED_VALUE"""),296868.0)</f>
        <v>296868</v>
      </c>
      <c r="K1991" s="3" t="str">
        <f>IFERROR(__xludf.DUMMYFUNCTION("""COMPUTED_VALUE"""),"นายพีระพงษ์ แก้วดวงดี")</f>
        <v>นายพีระพงษ์ แก้วดวงดี</v>
      </c>
      <c r="L1991" s="1" t="str">
        <f>IFERROR(__xludf.DUMMYFUNCTION("""COMPUTED_VALUE"""),"03 K.Peerapong K.")</f>
        <v>03 K.Peerapong K.</v>
      </c>
      <c r="M1991" s="1" t="str">
        <f>IFERROR(__xludf.DUMMYFUNCTION("""COMPUTED_VALUE"""),"089-002-6599")</f>
        <v>089-002-6599</v>
      </c>
      <c r="N1991" s="3">
        <f>IFERROR(__xludf.DUMMYFUNCTION("""COMPUTED_VALUE"""),21946.0)</f>
        <v>21946</v>
      </c>
      <c r="O1991" s="3" t="str">
        <f>IFERROR(__xludf.DUMMYFUNCTION("""COMPUTED_VALUE"""),"MBC เซกา บึงกาฬ")</f>
        <v>MBC เซกา บึงกาฬ</v>
      </c>
      <c r="P1991" s="4">
        <f>IFERROR(__xludf.DUMMYFUNCTION("""COMPUTED_VALUE"""),45350.0)</f>
        <v>45350</v>
      </c>
      <c r="Q1991" s="3" t="str">
        <f>IFERROR(__xludf.DUMMYFUNCTION("""COMPUTED_VALUE"""),"A")</f>
        <v>A</v>
      </c>
      <c r="R1991" s="3" t="str">
        <f>IFERROR(__xludf.DUMMYFUNCTION("""COMPUTED_VALUE"""),"Small Format")</f>
        <v>Small Format</v>
      </c>
      <c r="S1991" s="3" t="str">
        <f>IFERROR(__xludf.DUMMYFUNCTION("""COMPUTED_VALUE"""),"BCM")</f>
        <v>BCM</v>
      </c>
      <c r="T1991" s="3" t="str">
        <f>IFERROR(__xludf.DUMMYFUNCTION("""COMPUTED_VALUE"""),"#N/A")</f>
        <v>#N/A</v>
      </c>
      <c r="U1991" s="3" t="str">
        <f>IFERROR(__xludf.DUMMYFUNCTION("""COMPUTED_VALUE"""),"#N/A")</f>
        <v>#N/A</v>
      </c>
      <c r="V1991" s="3" t="str">
        <f>IFERROR(__xludf.DUMMYFUNCTION("""COMPUTED_VALUE"""),"N")</f>
        <v>N</v>
      </c>
      <c r="W1991" s="3">
        <f>IFERROR(__xludf.DUMMYFUNCTION("""COMPUTED_VALUE"""),210798.0)</f>
        <v>210798</v>
      </c>
      <c r="X1991" s="3" t="str">
        <f>IFERROR(__xludf.DUMMYFUNCTION("""COMPUTED_VALUE"""),"878 หมู่9 ตำบลโพธิ์ชัย อำเภอเมืองหนองคาย จังหวัดหนองคาย 43000")</f>
        <v>878 หมู่9 ตำบลโพธิ์ชัย อำเภอเมืองหนองคาย จังหวัดหนองคาย 43000</v>
      </c>
      <c r="Y1991" s="3"/>
      <c r="Z1991" s="3" t="str">
        <f>IFERROR(__xludf.DUMMYFUNCTION("""COMPUTED_VALUE"""),"โพธิ์ชัย")</f>
        <v>โพธิ์ชัย</v>
      </c>
      <c r="AA1991" s="3" t="str">
        <f>IFERROR(__xludf.DUMMYFUNCTION("""COMPUTED_VALUE"""),"เมืองหนองคาย")</f>
        <v>เมืองหนองคาย</v>
      </c>
      <c r="AB1991" s="3" t="str">
        <f>IFERROR(__xludf.DUMMYFUNCTION("""COMPUTED_VALUE"""),"หนองคาย")</f>
        <v>หนองคาย</v>
      </c>
      <c r="AC1991" s="3">
        <f>IFERROR(__xludf.DUMMYFUNCTION("""COMPUTED_VALUE"""),43000.0)</f>
        <v>43000</v>
      </c>
      <c r="AD1991" s="3">
        <f>IFERROR(__xludf.DUMMYFUNCTION("""COMPUTED_VALUE"""),17.853533)</f>
        <v>17.853533</v>
      </c>
      <c r="AE1991" s="3">
        <f>IFERROR(__xludf.DUMMYFUNCTION("""COMPUTED_VALUE"""),102.750878)</f>
        <v>102.750878</v>
      </c>
      <c r="AF1991" s="3" t="str">
        <f>IFERROR(__xludf.DUMMYFUNCTION("""COMPUTED_VALUE"""),"BCM ชิค ชิค มาร์เก็ต หนองคาย-22677")</f>
        <v>BCM ชิค ชิค มาร์เก็ต หนองคาย-22677</v>
      </c>
      <c r="AG1991" s="3" t="str">
        <f>IFERROR(__xludf.DUMMYFUNCTION("""COMPUTED_VALUE"""),"ตะวันออกเฉียงเหนือ")</f>
        <v>ตะวันออกเฉียงเหนือ</v>
      </c>
      <c r="AH1991" s="3" t="str">
        <f>IFERROR(__xludf.DUMMYFUNCTION("""COMPUTED_VALUE"""),"#N/A")</f>
        <v>#N/A</v>
      </c>
      <c r="AI1991" s="3" t="str">
        <f>IFERROR(__xludf.DUMMYFUNCTION("""COMPUTED_VALUE"""),"Out of warranty")</f>
        <v>Out of warranty</v>
      </c>
      <c r="AJ1991" s="3">
        <f>IFERROR(__xludf.DUMMYFUNCTION("""COMPUTED_VALUE"""),23.0)</f>
        <v>23</v>
      </c>
      <c r="AK1991" s="3"/>
      <c r="AL1991" s="3"/>
    </row>
    <row r="1992" ht="15.75" customHeight="1">
      <c r="A1992" s="1" t="str">
        <f>IFERROR(__xludf.DUMMYFUNCTION("""COMPUTED_VALUE"""),"22678")</f>
        <v>22678</v>
      </c>
      <c r="B1992" s="2">
        <f>IFERROR(__xludf.DUMMYFUNCTION("""COMPUTED_VALUE"""),22678.0)</f>
        <v>22678</v>
      </c>
      <c r="C1992" s="3" t="str">
        <f>IFERROR(__xludf.DUMMYFUNCTION("""COMPUTED_VALUE"""),"BCM ชุมชนแสงดาว พิษณุโลก")</f>
        <v>BCM ชุมชนแสงดาว พิษณุโลก</v>
      </c>
      <c r="D1992" s="3" t="str">
        <f>IFERROR(__xludf.DUMMYFUNCTION("""COMPUTED_VALUE"""),"BCM CHUMCHON SAENG DAO")</f>
        <v>BCM CHUMCHON SAENG DAO</v>
      </c>
      <c r="E1992" s="1" t="str">
        <f>IFERROR(__xludf.DUMMYFUNCTION("""COMPUTED_VALUE"""),"บิ๊กซี MINI")</f>
        <v>บิ๊กซี MINI</v>
      </c>
      <c r="F1992" s="1" t="str">
        <f>IFERROR(__xludf.DUMMYFUNCTION("""COMPUTED_VALUE"""),"296229")</f>
        <v>296229</v>
      </c>
      <c r="G1992" s="1" t="str">
        <f>IFERROR(__xludf.DUMMYFUNCTION("""COMPUTED_VALUE"""),"นายทนงศักดิ์ บุญมา")</f>
        <v>นายทนงศักดิ์ บุญมา</v>
      </c>
      <c r="H1992" s="1" t="str">
        <f>IFERROR(__xludf.DUMMYFUNCTION("""COMPUTED_VALUE"""),"373680")</f>
        <v>373680</v>
      </c>
      <c r="I1992" s="1" t="str">
        <f>IFERROR(__xludf.DUMMYFUNCTION("""COMPUTED_VALUE"""),"นายวสันต์ พรรณราย")</f>
        <v>นายวสันต์ พรรณราย</v>
      </c>
      <c r="J1992" s="3">
        <f>IFERROR(__xludf.DUMMYFUNCTION("""COMPUTED_VALUE"""),46214.0)</f>
        <v>46214</v>
      </c>
      <c r="K1992" s="3" t="str">
        <f>IFERROR(__xludf.DUMMYFUNCTION("""COMPUTED_VALUE"""),"นายศักดิ์ชัย เด็ดดอกฟ้า")</f>
        <v>นายศักดิ์ชัย เด็ดดอกฟ้า</v>
      </c>
      <c r="L1992" s="1" t="str">
        <f>IFERROR(__xludf.DUMMYFUNCTION("""COMPUTED_VALUE"""),"02 K.Sakchai D")</f>
        <v>02 K.Sakchai D</v>
      </c>
      <c r="M1992" s="1" t="str">
        <f>IFERROR(__xludf.DUMMYFUNCTION("""COMPUTED_VALUE"""),"065-510-7376")</f>
        <v>065-510-7376</v>
      </c>
      <c r="N1992" s="3">
        <f>IFERROR(__xludf.DUMMYFUNCTION("""COMPUTED_VALUE"""),21714.0)</f>
        <v>21714</v>
      </c>
      <c r="O1992" s="3" t="str">
        <f>IFERROR(__xludf.DUMMYFUNCTION("""COMPUTED_VALUE"""),"MBC เอสโซ่ วัดโบสถ์")</f>
        <v>MBC เอสโซ่ วัดโบสถ์</v>
      </c>
      <c r="P1992" s="4">
        <f>IFERROR(__xludf.DUMMYFUNCTION("""COMPUTED_VALUE"""),45348.0)</f>
        <v>45348</v>
      </c>
      <c r="Q1992" s="3" t="str">
        <f>IFERROR(__xludf.DUMMYFUNCTION("""COMPUTED_VALUE"""),"A")</f>
        <v>A</v>
      </c>
      <c r="R1992" s="3" t="str">
        <f>IFERROR(__xludf.DUMMYFUNCTION("""COMPUTED_VALUE"""),"Small Format")</f>
        <v>Small Format</v>
      </c>
      <c r="S1992" s="3" t="str">
        <f>IFERROR(__xludf.DUMMYFUNCTION("""COMPUTED_VALUE"""),"BCM")</f>
        <v>BCM</v>
      </c>
      <c r="T1992" s="3" t="str">
        <f>IFERROR(__xludf.DUMMYFUNCTION("""COMPUTED_VALUE"""),"#N/A")</f>
        <v>#N/A</v>
      </c>
      <c r="U1992" s="3" t="str">
        <f>IFERROR(__xludf.DUMMYFUNCTION("""COMPUTED_VALUE"""),"#N/A")</f>
        <v>#N/A</v>
      </c>
      <c r="V1992" s="3" t="str">
        <f>IFERROR(__xludf.DUMMYFUNCTION("""COMPUTED_VALUE"""),"N")</f>
        <v>N</v>
      </c>
      <c r="W1992" s="3">
        <f>IFERROR(__xludf.DUMMYFUNCTION("""COMPUTED_VALUE"""),210796.0)</f>
        <v>210796</v>
      </c>
      <c r="X1992" s="3" t="str">
        <f>IFERROR(__xludf.DUMMYFUNCTION("""COMPUTED_VALUE"""),"226 หมุ่6 ตำบลปากโทก อำเภอเมืองพิษณุโลก จังหวัดพิษณุโลก 65000")</f>
        <v>226 หมุ่6 ตำบลปากโทก อำเภอเมืองพิษณุโลก จังหวัดพิษณุโลก 65000</v>
      </c>
      <c r="Y1992" s="3"/>
      <c r="Z1992" s="3" t="str">
        <f>IFERROR(__xludf.DUMMYFUNCTION("""COMPUTED_VALUE"""),"ปากโทก")</f>
        <v>ปากโทก</v>
      </c>
      <c r="AA1992" s="3" t="str">
        <f>IFERROR(__xludf.DUMMYFUNCTION("""COMPUTED_VALUE"""),"เมืองพิษณุโลก")</f>
        <v>เมืองพิษณุโลก</v>
      </c>
      <c r="AB1992" s="3" t="str">
        <f>IFERROR(__xludf.DUMMYFUNCTION("""COMPUTED_VALUE"""),"พิษณุโลก")</f>
        <v>พิษณุโลก</v>
      </c>
      <c r="AC1992" s="3">
        <f>IFERROR(__xludf.DUMMYFUNCTION("""COMPUTED_VALUE"""),65000.0)</f>
        <v>65000</v>
      </c>
      <c r="AD1992" s="3">
        <f>IFERROR(__xludf.DUMMYFUNCTION("""COMPUTED_VALUE"""),16.868168)</f>
        <v>16.868168</v>
      </c>
      <c r="AE1992" s="3">
        <f>IFERROR(__xludf.DUMMYFUNCTION("""COMPUTED_VALUE"""),100.247914)</f>
        <v>100.247914</v>
      </c>
      <c r="AF1992" s="3" t="str">
        <f>IFERROR(__xludf.DUMMYFUNCTION("""COMPUTED_VALUE"""),"BCM ชุมชนแสงดาว พิษณุโลก-22678")</f>
        <v>BCM ชุมชนแสงดาว พิษณุโลก-22678</v>
      </c>
      <c r="AG1992" s="3" t="str">
        <f>IFERROR(__xludf.DUMMYFUNCTION("""COMPUTED_VALUE"""),"กลาง")</f>
        <v>กลาง</v>
      </c>
      <c r="AH1992" s="3" t="str">
        <f>IFERROR(__xludf.DUMMYFUNCTION("""COMPUTED_VALUE"""),"#N/A")</f>
        <v>#N/A</v>
      </c>
      <c r="AI1992" s="3" t="str">
        <f>IFERROR(__xludf.DUMMYFUNCTION("""COMPUTED_VALUE"""),"Out of warranty")</f>
        <v>Out of warranty</v>
      </c>
      <c r="AJ1992" s="3">
        <f>IFERROR(__xludf.DUMMYFUNCTION("""COMPUTED_VALUE"""),23.0)</f>
        <v>23</v>
      </c>
      <c r="AK1992" s="3"/>
      <c r="AL1992" s="3"/>
    </row>
    <row r="1993" ht="15.75" customHeight="1">
      <c r="A1993" s="1" t="str">
        <f>IFERROR(__xludf.DUMMYFUNCTION("""COMPUTED_VALUE"""),"22679")</f>
        <v>22679</v>
      </c>
      <c r="B1993" s="2">
        <f>IFERROR(__xludf.DUMMYFUNCTION("""COMPUTED_VALUE"""),22679.0)</f>
        <v>22679</v>
      </c>
      <c r="C1993" s="3" t="str">
        <f>IFERROR(__xludf.DUMMYFUNCTION("""COMPUTED_VALUE"""),"BCM ถ.ศรนรินทร์(หาดใหญ่) สงขลา")</f>
        <v>BCM ถ.ศรนรินทร์(หาดใหญ่) สงขลา</v>
      </c>
      <c r="D1993" s="3" t="str">
        <f>IFERROR(__xludf.DUMMYFUNCTION("""COMPUTED_VALUE"""),"BCM THANON SORNARIN HATYAI")</f>
        <v>BCM THANON SORNARIN HATYAI</v>
      </c>
      <c r="E1993" s="1" t="str">
        <f>IFERROR(__xludf.DUMMYFUNCTION("""COMPUTED_VALUE"""),"บิ๊กซี MINI")</f>
        <v>บิ๊กซี MINI</v>
      </c>
      <c r="F1993" s="1" t="str">
        <f>IFERROR(__xludf.DUMMYFUNCTION("""COMPUTED_VALUE"""),"250760")</f>
        <v>250760</v>
      </c>
      <c r="G1993" s="1" t="str">
        <f>IFERROR(__xludf.DUMMYFUNCTION("""COMPUTED_VALUE"""),"นายประทวน สาราบรรณ์")</f>
        <v>นายประทวน สาราบรรณ์</v>
      </c>
      <c r="H1993" s="1" t="str">
        <f>IFERROR(__xludf.DUMMYFUNCTION("""COMPUTED_VALUE"""),"394100")</f>
        <v>394100</v>
      </c>
      <c r="I1993" s="1" t="str">
        <f>IFERROR(__xludf.DUMMYFUNCTION("""COMPUTED_VALUE"""),"นายไพโรจน์ ถิระผะลิกะ")</f>
        <v>นายไพโรจน์ ถิระผะลิกะ</v>
      </c>
      <c r="J1993" s="3">
        <f>IFERROR(__xludf.DUMMYFUNCTION("""COMPUTED_VALUE"""),2.0470331E7)</f>
        <v>20470331</v>
      </c>
      <c r="K1993" s="3" t="str">
        <f>IFERROR(__xludf.DUMMYFUNCTION("""COMPUTED_VALUE"""),"นายสมชาย ลักษณะสุวรรณ")</f>
        <v>นายสมชาย ลักษณะสุวรรณ</v>
      </c>
      <c r="L1993" s="1" t="str">
        <f>IFERROR(__xludf.DUMMYFUNCTION("""COMPUTED_VALUE"""),"15 K.Somchai L")</f>
        <v>15 K.Somchai L</v>
      </c>
      <c r="M1993" s="1" t="str">
        <f>IFERROR(__xludf.DUMMYFUNCTION("""COMPUTED_VALUE"""),"0655107372")</f>
        <v>0655107372</v>
      </c>
      <c r="N1993" s="3">
        <f>IFERROR(__xludf.DUMMYFUNCTION("""COMPUTED_VALUE"""),21723.0)</f>
        <v>21723</v>
      </c>
      <c r="O1993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1993" s="4">
        <f>IFERROR(__xludf.DUMMYFUNCTION("""COMPUTED_VALUE"""),46037.0)</f>
        <v>46037</v>
      </c>
      <c r="Q1993" s="3" t="str">
        <f>IFERROR(__xludf.DUMMYFUNCTION("""COMPUTED_VALUE"""),"A")</f>
        <v>A</v>
      </c>
      <c r="R1993" s="3" t="str">
        <f>IFERROR(__xludf.DUMMYFUNCTION("""COMPUTED_VALUE"""),"Small Format")</f>
        <v>Small Format</v>
      </c>
      <c r="S1993" s="3" t="str">
        <f>IFERROR(__xludf.DUMMYFUNCTION("""COMPUTED_VALUE"""),"BCM")</f>
        <v>BCM</v>
      </c>
      <c r="T1993" s="3" t="str">
        <f>IFERROR(__xludf.DUMMYFUNCTION("""COMPUTED_VALUE"""),"#N/A")</f>
        <v>#N/A</v>
      </c>
      <c r="U1993" s="3" t="str">
        <f>IFERROR(__xludf.DUMMYFUNCTION("""COMPUTED_VALUE"""),"#N/A")</f>
        <v>#N/A</v>
      </c>
      <c r="V1993" s="3" t="str">
        <f>IFERROR(__xludf.DUMMYFUNCTION("""COMPUTED_VALUE"""),"N")</f>
        <v>N</v>
      </c>
      <c r="W1993" s="3">
        <f>IFERROR(__xludf.DUMMYFUNCTION("""COMPUTED_VALUE"""),210595.0)</f>
        <v>210595</v>
      </c>
      <c r="X1993" s="3" t="str">
        <f>IFERROR(__xludf.DUMMYFUNCTION("""COMPUTED_VALUE"""),"457 ถนนราษฏร์อุทิศ ตำบลหาดใหญ่ อำเภอหาดใหญ่ จังหวัดสงขลา 90110")</f>
        <v>457 ถนนราษฏร์อุทิศ ตำบลหาดใหญ่ อำเภอหาดใหญ่ จังหวัดสงขลา 90110</v>
      </c>
      <c r="Y1993" s="3" t="str">
        <f>IFERROR(__xludf.DUMMYFUNCTION("""COMPUTED_VALUE"""),"ราษฎร์อุทิศ")</f>
        <v>ราษฎร์อุทิศ</v>
      </c>
      <c r="Z1993" s="3" t="str">
        <f>IFERROR(__xludf.DUMMYFUNCTION("""COMPUTED_VALUE"""),"หาดใหญ่")</f>
        <v>หาดใหญ่</v>
      </c>
      <c r="AA1993" s="3" t="str">
        <f>IFERROR(__xludf.DUMMYFUNCTION("""COMPUTED_VALUE"""),"หาดใหญ่")</f>
        <v>หาดใหญ่</v>
      </c>
      <c r="AB1993" s="3" t="str">
        <f>IFERROR(__xludf.DUMMYFUNCTION("""COMPUTED_VALUE"""),"สงขลา")</f>
        <v>สงขลา</v>
      </c>
      <c r="AC1993" s="3">
        <f>IFERROR(__xludf.DUMMYFUNCTION("""COMPUTED_VALUE"""),90110.0)</f>
        <v>90110</v>
      </c>
      <c r="AD1993" s="3">
        <f>IFERROR(__xludf.DUMMYFUNCTION("""COMPUTED_VALUE"""),7.011975)</f>
        <v>7.011975</v>
      </c>
      <c r="AE1993" s="3">
        <f>IFERROR(__xludf.DUMMYFUNCTION("""COMPUTED_VALUE"""),100.457444)</f>
        <v>100.457444</v>
      </c>
      <c r="AF1993" s="3" t="str">
        <f>IFERROR(__xludf.DUMMYFUNCTION("""COMPUTED_VALUE"""),"BCM ถ.ศรนรินทร์(หาดใหญ่) สงขลา-22679")</f>
        <v>BCM ถ.ศรนรินทร์(หาดใหญ่) สงขลา-22679</v>
      </c>
      <c r="AG1993" s="3" t="str">
        <f>IFERROR(__xludf.DUMMYFUNCTION("""COMPUTED_VALUE"""),"ใต้")</f>
        <v>ใต้</v>
      </c>
      <c r="AH1993" s="3" t="str">
        <f>IFERROR(__xludf.DUMMYFUNCTION("""COMPUTED_VALUE"""),"#N/A")</f>
        <v>#N/A</v>
      </c>
      <c r="AI1993" s="3" t="str">
        <f>IFERROR(__xludf.DUMMYFUNCTION("""COMPUTED_VALUE"""),"In warranty")</f>
        <v>In warranty</v>
      </c>
      <c r="AJ1993" s="3">
        <f>IFERROR(__xludf.DUMMYFUNCTION("""COMPUTED_VALUE"""),1.0)</f>
        <v>1</v>
      </c>
      <c r="AK1993" s="3" t="str">
        <f>IFERROR(__xludf.DUMMYFUNCTION("""COMPUTED_VALUE"""),"MMS16")</f>
        <v>MMS16</v>
      </c>
      <c r="AL1993" s="3"/>
    </row>
    <row r="1994" ht="15.75" customHeight="1">
      <c r="A1994" s="1" t="str">
        <f>IFERROR(__xludf.DUMMYFUNCTION("""COMPUTED_VALUE"""),"22680")</f>
        <v>22680</v>
      </c>
      <c r="B1994" s="2">
        <f>IFERROR(__xludf.DUMMYFUNCTION("""COMPUTED_VALUE"""),22680.0)</f>
        <v>22680</v>
      </c>
      <c r="C1994" s="3" t="str">
        <f>IFERROR(__xludf.DUMMYFUNCTION("""COMPUTED_VALUE"""),"BCM ลำปางบัสสเตชั่น ลำปาง")</f>
        <v>BCM ลำปางบัสสเตชั่น ลำปาง</v>
      </c>
      <c r="D1994" s="3" t="str">
        <f>IFERROR(__xludf.DUMMYFUNCTION("""COMPUTED_VALUE"""),"BCM BUS STATION LAMPANG")</f>
        <v>BCM BUS STATION LAMPANG</v>
      </c>
      <c r="E1994" s="1" t="str">
        <f>IFERROR(__xludf.DUMMYFUNCTION("""COMPUTED_VALUE"""),"บิ๊กซี MINI")</f>
        <v>บิ๊กซี MINI</v>
      </c>
      <c r="F1994" s="1" t="str">
        <f>IFERROR(__xludf.DUMMYFUNCTION("""COMPUTED_VALUE"""),"296229")</f>
        <v>296229</v>
      </c>
      <c r="G1994" s="1" t="str">
        <f>IFERROR(__xludf.DUMMYFUNCTION("""COMPUTED_VALUE"""),"นายทนงศักดิ์ บุญมา")</f>
        <v>นายทนงศักดิ์ บุญมา</v>
      </c>
      <c r="H1994" s="1" t="str">
        <f>IFERROR(__xludf.DUMMYFUNCTION("""COMPUTED_VALUE"""),"372826")</f>
        <v>372826</v>
      </c>
      <c r="I1994" s="1" t="str">
        <f>IFERROR(__xludf.DUMMYFUNCTION("""COMPUTED_VALUE"""),"นายพงศกร สุขแก้ว")</f>
        <v>นายพงศกร สุขแก้ว</v>
      </c>
      <c r="J1994" s="3">
        <f>IFERROR(__xludf.DUMMYFUNCTION("""COMPUTED_VALUE"""),2010016.0)</f>
        <v>2010016</v>
      </c>
      <c r="K1994" s="3" t="str">
        <f>IFERROR(__xludf.DUMMYFUNCTION("""COMPUTED_VALUE"""),"นายตวงธรรม ใหม่ยศ")</f>
        <v>นายตวงธรรม ใหม่ยศ</v>
      </c>
      <c r="L1994" s="1" t="str">
        <f>IFERROR(__xludf.DUMMYFUNCTION("""COMPUTED_VALUE"""),"01 K.Tuangtham M.")</f>
        <v>01 K.Tuangtham M.</v>
      </c>
      <c r="M1994" s="1" t="str">
        <f>IFERROR(__xludf.DUMMYFUNCTION("""COMPUTED_VALUE"""),"063-976-595")</f>
        <v>063-976-595</v>
      </c>
      <c r="N1994" s="3">
        <f>IFERROR(__xludf.DUMMYFUNCTION("""COMPUTED_VALUE"""),22574.0)</f>
        <v>22574</v>
      </c>
      <c r="O1994" s="3" t="str">
        <f>IFERROR(__xludf.DUMMYFUNCTION("""COMPUTED_VALUE"""),"BCM ชุมชนศรีชุม ลำปาง")</f>
        <v>BCM ชุมชนศรีชุม ลำปาง</v>
      </c>
      <c r="P1994" s="4">
        <f>IFERROR(__xludf.DUMMYFUNCTION("""COMPUTED_VALUE"""),45356.0)</f>
        <v>45356</v>
      </c>
      <c r="Q1994" s="3" t="str">
        <f>IFERROR(__xludf.DUMMYFUNCTION("""COMPUTED_VALUE"""),"A")</f>
        <v>A</v>
      </c>
      <c r="R1994" s="3" t="str">
        <f>IFERROR(__xludf.DUMMYFUNCTION("""COMPUTED_VALUE"""),"Small Format")</f>
        <v>Small Format</v>
      </c>
      <c r="S1994" s="3" t="str">
        <f>IFERROR(__xludf.DUMMYFUNCTION("""COMPUTED_VALUE"""),"BCM")</f>
        <v>BCM</v>
      </c>
      <c r="T1994" s="3" t="str">
        <f>IFERROR(__xludf.DUMMYFUNCTION("""COMPUTED_VALUE"""),"#N/A")</f>
        <v>#N/A</v>
      </c>
      <c r="U1994" s="3" t="str">
        <f>IFERROR(__xludf.DUMMYFUNCTION("""COMPUTED_VALUE"""),"#N/A")</f>
        <v>#N/A</v>
      </c>
      <c r="V1994" s="3" t="str">
        <f>IFERROR(__xludf.DUMMYFUNCTION("""COMPUTED_VALUE"""),"N")</f>
        <v>N</v>
      </c>
      <c r="W1994" s="3">
        <f>IFERROR(__xludf.DUMMYFUNCTION("""COMPUTED_VALUE"""),210594.0)</f>
        <v>210594</v>
      </c>
      <c r="X1994" s="3" t="str">
        <f>IFERROR(__xludf.DUMMYFUNCTION("""COMPUTED_VALUE"""),"101/8 หมู่8 ตำบลสบตุ๋ย อำเภอเมือง จังหวัดลำปาง 52100")</f>
        <v>101/8 หมู่8 ตำบลสบตุ๋ย อำเภอเมือง จังหวัดลำปาง 52100</v>
      </c>
      <c r="Y1994" s="3"/>
      <c r="Z1994" s="3" t="str">
        <f>IFERROR(__xludf.DUMMYFUNCTION("""COMPUTED_VALUE"""),"สบตุ๋ย")</f>
        <v>สบตุ๋ย</v>
      </c>
      <c r="AA1994" s="3" t="str">
        <f>IFERROR(__xludf.DUMMYFUNCTION("""COMPUTED_VALUE"""),"เมืองลำปาง")</f>
        <v>เมืองลำปาง</v>
      </c>
      <c r="AB1994" s="3" t="str">
        <f>IFERROR(__xludf.DUMMYFUNCTION("""COMPUTED_VALUE"""),"ลำปาง")</f>
        <v>ลำปาง</v>
      </c>
      <c r="AC1994" s="3">
        <f>IFERROR(__xludf.DUMMYFUNCTION("""COMPUTED_VALUE"""),52100.0)</f>
        <v>52100</v>
      </c>
      <c r="AD1994" s="3">
        <f>IFERROR(__xludf.DUMMYFUNCTION("""COMPUTED_VALUE"""),18.277736)</f>
        <v>18.277736</v>
      </c>
      <c r="AE1994" s="3">
        <f>IFERROR(__xludf.DUMMYFUNCTION("""COMPUTED_VALUE"""),99.483529)</f>
        <v>99.483529</v>
      </c>
      <c r="AF1994" s="3" t="str">
        <f>IFERROR(__xludf.DUMMYFUNCTION("""COMPUTED_VALUE"""),"BCM ลำปางบัสสเตชั่น ลำปาง-22680")</f>
        <v>BCM ลำปางบัสสเตชั่น ลำปาง-22680</v>
      </c>
      <c r="AG1994" s="3" t="str">
        <f>IFERROR(__xludf.DUMMYFUNCTION("""COMPUTED_VALUE"""),"เหนือ")</f>
        <v>เหนือ</v>
      </c>
      <c r="AH1994" s="3" t="str">
        <f>IFERROR(__xludf.DUMMYFUNCTION("""COMPUTED_VALUE"""),"#N/A")</f>
        <v>#N/A</v>
      </c>
      <c r="AI1994" s="3" t="str">
        <f>IFERROR(__xludf.DUMMYFUNCTION("""COMPUTED_VALUE"""),"Out of warranty")</f>
        <v>Out of warranty</v>
      </c>
      <c r="AJ1994" s="3">
        <f>IFERROR(__xludf.DUMMYFUNCTION("""COMPUTED_VALUE"""),23.0)</f>
        <v>23</v>
      </c>
      <c r="AK1994" s="3"/>
      <c r="AL1994" s="3"/>
    </row>
    <row r="1995" ht="15.75" customHeight="1">
      <c r="A1995" s="1" t="str">
        <f>IFERROR(__xludf.DUMMYFUNCTION("""COMPUTED_VALUE"""),"22683")</f>
        <v>22683</v>
      </c>
      <c r="B1995" s="2">
        <f>IFERROR(__xludf.DUMMYFUNCTION("""COMPUTED_VALUE"""),22683.0)</f>
        <v>22683</v>
      </c>
      <c r="C1995" s="3" t="str">
        <f>IFERROR(__xludf.DUMMYFUNCTION("""COMPUTED_VALUE"""),"BCM หนองไผ่กลางดอน ชลบุรี")</f>
        <v>BCM หนองไผ่กลางดอน ชลบุรี</v>
      </c>
      <c r="D1995" s="3" t="str">
        <f>IFERROR(__xludf.DUMMYFUNCTION("""COMPUTED_VALUE"""),"BCM NONGPHAIKLANGDON")</f>
        <v>BCM NONGPHAIKLANGDON</v>
      </c>
      <c r="E1995" s="1" t="str">
        <f>IFERROR(__xludf.DUMMYFUNCTION("""COMPUTED_VALUE"""),"บิ๊กซี MINI")</f>
        <v>บิ๊กซี MINI</v>
      </c>
      <c r="F1995" s="1" t="str">
        <f>IFERROR(__xludf.DUMMYFUNCTION("""COMPUTED_VALUE"""),"221716")</f>
        <v>221716</v>
      </c>
      <c r="G1995" s="1" t="str">
        <f>IFERROR(__xludf.DUMMYFUNCTION("""COMPUTED_VALUE"""),"น.ส.เบญจพร โพธิสาร")</f>
        <v>น.ส.เบญจพร โพธิสาร</v>
      </c>
      <c r="H1995" s="1" t="str">
        <f>IFERROR(__xludf.DUMMYFUNCTION("""COMPUTED_VALUE"""),"034605")</f>
        <v>034605</v>
      </c>
      <c r="I1995" s="1" t="str">
        <f>IFERROR(__xludf.DUMMYFUNCTION("""COMPUTED_VALUE"""),"นายธรรมรัตน์ สุขเจริญ")</f>
        <v>นายธรรมรัตน์ สุขเจริญ</v>
      </c>
      <c r="J1995" s="3">
        <f>IFERROR(__xludf.DUMMYFUNCTION("""COMPUTED_VALUE"""),1.3461215E7)</f>
        <v>13461215</v>
      </c>
      <c r="K1995" s="3" t="str">
        <f>IFERROR(__xludf.DUMMYFUNCTION("""COMPUTED_VALUE"""),"นายธีรภัทร สังข์เงิน")</f>
        <v>นายธีรภัทร สังข์เงิน</v>
      </c>
      <c r="L1995" s="1" t="str">
        <f>IFERROR(__xludf.DUMMYFUNCTION("""COMPUTED_VALUE"""),"06 K.Teerapat")</f>
        <v>06 K.Teerapat</v>
      </c>
      <c r="M1995" s="1" t="str">
        <f>IFERROR(__xludf.DUMMYFUNCTION("""COMPUTED_VALUE"""),"063-601-6803")</f>
        <v>063-601-6803</v>
      </c>
      <c r="N1995" s="3">
        <f>IFERROR(__xludf.DUMMYFUNCTION("""COMPUTED_VALUE"""),22115.0)</f>
        <v>22115</v>
      </c>
      <c r="O1995" s="3" t="str">
        <f>IFERROR(__xludf.DUMMYFUNCTION("""COMPUTED_VALUE"""),"MBC เลี่ยงหนองมน ชลบุรี")</f>
        <v>MBC เลี่ยงหนองมน ชลบุรี</v>
      </c>
      <c r="P1995" s="4">
        <f>IFERROR(__xludf.DUMMYFUNCTION("""COMPUTED_VALUE"""),45358.0)</f>
        <v>45358</v>
      </c>
      <c r="Q1995" s="3" t="str">
        <f>IFERROR(__xludf.DUMMYFUNCTION("""COMPUTED_VALUE"""),"A")</f>
        <v>A</v>
      </c>
      <c r="R1995" s="3" t="str">
        <f>IFERROR(__xludf.DUMMYFUNCTION("""COMPUTED_VALUE"""),"Small Format")</f>
        <v>Small Format</v>
      </c>
      <c r="S1995" s="3" t="str">
        <f>IFERROR(__xludf.DUMMYFUNCTION("""COMPUTED_VALUE"""),"BCM")</f>
        <v>BCM</v>
      </c>
      <c r="T1995" s="3" t="str">
        <f>IFERROR(__xludf.DUMMYFUNCTION("""COMPUTED_VALUE"""),"#N/A")</f>
        <v>#N/A</v>
      </c>
      <c r="U1995" s="3" t="str">
        <f>IFERROR(__xludf.DUMMYFUNCTION("""COMPUTED_VALUE"""),"#N/A")</f>
        <v>#N/A</v>
      </c>
      <c r="V1995" s="3" t="str">
        <f>IFERROR(__xludf.DUMMYFUNCTION("""COMPUTED_VALUE"""),"N")</f>
        <v>N</v>
      </c>
      <c r="W1995" s="3">
        <f>IFERROR(__xludf.DUMMYFUNCTION("""COMPUTED_VALUE"""),210764.0)</f>
        <v>210764</v>
      </c>
      <c r="X1995" s="3" t="str">
        <f>IFERROR(__xludf.DUMMYFUNCTION("""COMPUTED_VALUE"""),"114 หมู่2 ตำบลดอนหัวฬอ อำเภอเมืองชลบุรี จังหวัดชลบุรี 20000")</f>
        <v>114 หมู่2 ตำบลดอนหัวฬอ อำเภอเมืองชลบุรี จังหวัดชลบุรี 20000</v>
      </c>
      <c r="Y1995" s="3"/>
      <c r="Z1995" s="3" t="str">
        <f>IFERROR(__xludf.DUMMYFUNCTION("""COMPUTED_VALUE"""),"ดอนหัวฟ้อ")</f>
        <v>ดอนหัวฟ้อ</v>
      </c>
      <c r="AA1995" s="3" t="str">
        <f>IFERROR(__xludf.DUMMYFUNCTION("""COMPUTED_VALUE"""),"เมืองชลบุรี")</f>
        <v>เมืองชลบุรี</v>
      </c>
      <c r="AB1995" s="3" t="str">
        <f>IFERROR(__xludf.DUMMYFUNCTION("""COMPUTED_VALUE"""),"ชลบุรี")</f>
        <v>ชลบุรี</v>
      </c>
      <c r="AC1995" s="3">
        <f>IFERROR(__xludf.DUMMYFUNCTION("""COMPUTED_VALUE"""),20000.0)</f>
        <v>20000</v>
      </c>
      <c r="AD1995" s="3">
        <f>IFERROR(__xludf.DUMMYFUNCTION("""COMPUTED_VALUE"""),13.419132)</f>
        <v>13.419132</v>
      </c>
      <c r="AE1995" s="3">
        <f>IFERROR(__xludf.DUMMYFUNCTION("""COMPUTED_VALUE"""),101.052011)</f>
        <v>101.052011</v>
      </c>
      <c r="AF1995" s="3" t="str">
        <f>IFERROR(__xludf.DUMMYFUNCTION("""COMPUTED_VALUE"""),"BCM หนองไผ่กลางดอน ชลบุรี-22683")</f>
        <v>BCM หนองไผ่กลางดอน ชลบุรี-22683</v>
      </c>
      <c r="AG1995" s="3" t="str">
        <f>IFERROR(__xludf.DUMMYFUNCTION("""COMPUTED_VALUE"""),"ตะวันออก")</f>
        <v>ตะวันออก</v>
      </c>
      <c r="AH1995" s="3" t="str">
        <f>IFERROR(__xludf.DUMMYFUNCTION("""COMPUTED_VALUE"""),"#N/A")</f>
        <v>#N/A</v>
      </c>
      <c r="AI1995" s="3" t="str">
        <f>IFERROR(__xludf.DUMMYFUNCTION("""COMPUTED_VALUE"""),"Out of warranty")</f>
        <v>Out of warranty</v>
      </c>
      <c r="AJ1995" s="3">
        <f>IFERROR(__xludf.DUMMYFUNCTION("""COMPUTED_VALUE"""),23.0)</f>
        <v>23</v>
      </c>
      <c r="AK1995" s="3"/>
      <c r="AL1995" s="3"/>
    </row>
    <row r="1996" ht="15.75" customHeight="1">
      <c r="A1996" s="1" t="str">
        <f>IFERROR(__xludf.DUMMYFUNCTION("""COMPUTED_VALUE"""),"22684")</f>
        <v>22684</v>
      </c>
      <c r="B1996" s="2">
        <f>IFERROR(__xludf.DUMMYFUNCTION("""COMPUTED_VALUE"""),22684.0)</f>
        <v>22684</v>
      </c>
      <c r="C1996" s="3" t="str">
        <f>IFERROR(__xludf.DUMMYFUNCTION("""COMPUTED_VALUE"""),"BCM เกาะสิเหร่ ภูเก็ต")</f>
        <v>BCM เกาะสิเหร่ ภูเก็ต</v>
      </c>
      <c r="D1996" s="3" t="str">
        <f>IFERROR(__xludf.DUMMYFUNCTION("""COMPUTED_VALUE"""),"BCM KOH SIRE PHUKET")</f>
        <v>BCM KOH SIRE PHUKET</v>
      </c>
      <c r="E1996" s="1" t="str">
        <f>IFERROR(__xludf.DUMMYFUNCTION("""COMPUTED_VALUE"""),"บิ๊กซี MINI")</f>
        <v>บิ๊กซี MINI</v>
      </c>
      <c r="F1996" s="1" t="str">
        <f>IFERROR(__xludf.DUMMYFUNCTION("""COMPUTED_VALUE"""),"250760")</f>
        <v>250760</v>
      </c>
      <c r="G1996" s="1" t="str">
        <f>IFERROR(__xludf.DUMMYFUNCTION("""COMPUTED_VALUE"""),"นายประทวน สาราบรรณ์")</f>
        <v>นายประทวน สาราบรรณ์</v>
      </c>
      <c r="H1996" s="1" t="str">
        <f>IFERROR(__xludf.DUMMYFUNCTION("""COMPUTED_VALUE"""),"357284")</f>
        <v>357284</v>
      </c>
      <c r="I1996" s="1" t="str">
        <f>IFERROR(__xludf.DUMMYFUNCTION("""COMPUTED_VALUE"""),"น.ส.เบญจวรรณ ปัณฑโมรา")</f>
        <v>น.ส.เบญจวรรณ ปัณฑโมรา</v>
      </c>
      <c r="J1996" s="3">
        <f>IFERROR(__xludf.DUMMYFUNCTION("""COMPUTED_VALUE"""),25324.0)</f>
        <v>25324</v>
      </c>
      <c r="K1996" s="3" t="str">
        <f>IFERROR(__xludf.DUMMYFUNCTION("""COMPUTED_VALUE"""),"นายวิเชฎฐ์ ติรัตนะประคม")</f>
        <v>นายวิเชฎฐ์ ติรัตนะประคม</v>
      </c>
      <c r="L1996" s="1" t="str">
        <f>IFERROR(__xludf.DUMMYFUNCTION("""COMPUTED_VALUE"""),"14 K.Wichet T.")</f>
        <v>14 K.Wichet T.</v>
      </c>
      <c r="M1996" s="1" t="str">
        <f>IFERROR(__xludf.DUMMYFUNCTION("""COMPUTED_VALUE"""),"061-417-6569 / 086-445-5636")</f>
        <v>061-417-6569 / 086-445-5636</v>
      </c>
      <c r="N1996" s="3">
        <f>IFERROR(__xludf.DUMMYFUNCTION("""COMPUTED_VALUE"""),22658.0)</f>
        <v>22658</v>
      </c>
      <c r="O1996" s="3" t="str">
        <f>IFERROR(__xludf.DUMMYFUNCTION("""COMPUTED_VALUE"""),"BCM ถ.วิรัชหงษ์หยก ภูเก็ต")</f>
        <v>BCM ถ.วิรัชหงษ์หยก ภูเก็ต</v>
      </c>
      <c r="P1996" s="4">
        <f>IFERROR(__xludf.DUMMYFUNCTION("""COMPUTED_VALUE"""),45358.0)</f>
        <v>45358</v>
      </c>
      <c r="Q1996" s="3" t="str">
        <f>IFERROR(__xludf.DUMMYFUNCTION("""COMPUTED_VALUE"""),"A")</f>
        <v>A</v>
      </c>
      <c r="R1996" s="3" t="str">
        <f>IFERROR(__xludf.DUMMYFUNCTION("""COMPUTED_VALUE"""),"Small Format")</f>
        <v>Small Format</v>
      </c>
      <c r="S1996" s="3" t="str">
        <f>IFERROR(__xludf.DUMMYFUNCTION("""COMPUTED_VALUE"""),"BCM")</f>
        <v>BCM</v>
      </c>
      <c r="T1996" s="3" t="str">
        <f>IFERROR(__xludf.DUMMYFUNCTION("""COMPUTED_VALUE"""),"#N/A")</f>
        <v>#N/A</v>
      </c>
      <c r="U1996" s="3" t="str">
        <f>IFERROR(__xludf.DUMMYFUNCTION("""COMPUTED_VALUE"""),"#N/A")</f>
        <v>#N/A</v>
      </c>
      <c r="V1996" s="3" t="str">
        <f>IFERROR(__xludf.DUMMYFUNCTION("""COMPUTED_VALUE"""),"N")</f>
        <v>N</v>
      </c>
      <c r="W1996" s="3">
        <f>IFERROR(__xludf.DUMMYFUNCTION("""COMPUTED_VALUE"""),210780.0)</f>
        <v>210780</v>
      </c>
      <c r="X1996" s="3" t="str">
        <f>IFERROR(__xludf.DUMMYFUNCTION("""COMPUTED_VALUE"""),"11/121 หมู่1 ตําบลรัษฎา อําเภอเมืองภูเก็ต จังหวัดภูเก็ต 83000")</f>
        <v>11/121 หมู่1 ตําบลรัษฎา อําเภอเมืองภูเก็ต จังหวัดภูเก็ต 83000</v>
      </c>
      <c r="Y1996" s="3"/>
      <c r="Z1996" s="3" t="str">
        <f>IFERROR(__xludf.DUMMYFUNCTION("""COMPUTED_VALUE"""),"รัษฎา")</f>
        <v>รัษฎา</v>
      </c>
      <c r="AA1996" s="3" t="str">
        <f>IFERROR(__xludf.DUMMYFUNCTION("""COMPUTED_VALUE"""),"เมืองภูเก็ต")</f>
        <v>เมืองภูเก็ต</v>
      </c>
      <c r="AB1996" s="3" t="str">
        <f>IFERROR(__xludf.DUMMYFUNCTION("""COMPUTED_VALUE"""),"ภูเก็ต")</f>
        <v>ภูเก็ต</v>
      </c>
      <c r="AC1996" s="3">
        <f>IFERROR(__xludf.DUMMYFUNCTION("""COMPUTED_VALUE"""),83000.0)</f>
        <v>83000</v>
      </c>
      <c r="AD1996" s="3">
        <f>IFERROR(__xludf.DUMMYFUNCTION("""COMPUTED_VALUE"""),7.886627)</f>
        <v>7.886627</v>
      </c>
      <c r="AE1996" s="3">
        <f>IFERROR(__xludf.DUMMYFUNCTION("""COMPUTED_VALUE"""),98.425025)</f>
        <v>98.425025</v>
      </c>
      <c r="AF1996" s="3" t="str">
        <f>IFERROR(__xludf.DUMMYFUNCTION("""COMPUTED_VALUE"""),"BCM เกาะสิเหร่ ภูเก็ต-22684")</f>
        <v>BCM เกาะสิเหร่ ภูเก็ต-22684</v>
      </c>
      <c r="AG1996" s="3" t="str">
        <f>IFERROR(__xludf.DUMMYFUNCTION("""COMPUTED_VALUE"""),"ใต้")</f>
        <v>ใต้</v>
      </c>
      <c r="AH1996" s="3" t="str">
        <f>IFERROR(__xludf.DUMMYFUNCTION("""COMPUTED_VALUE"""),"#N/A")</f>
        <v>#N/A</v>
      </c>
      <c r="AI1996" s="3" t="str">
        <f>IFERROR(__xludf.DUMMYFUNCTION("""COMPUTED_VALUE"""),"Out of warranty")</f>
        <v>Out of warranty</v>
      </c>
      <c r="AJ1996" s="3">
        <f>IFERROR(__xludf.DUMMYFUNCTION("""COMPUTED_VALUE"""),23.0)</f>
        <v>23</v>
      </c>
      <c r="AK1996" s="3" t="str">
        <f>IFERROR(__xludf.DUMMYFUNCTION("""COMPUTED_VALUE"""),"MMS15")</f>
        <v>MMS15</v>
      </c>
      <c r="AL1996" s="3"/>
    </row>
    <row r="1997" ht="15.75" customHeight="1">
      <c r="A1997" s="1" t="str">
        <f>IFERROR(__xludf.DUMMYFUNCTION("""COMPUTED_VALUE"""),"22685")</f>
        <v>22685</v>
      </c>
      <c r="B1997" s="2">
        <f>IFERROR(__xludf.DUMMYFUNCTION("""COMPUTED_VALUE"""),22685.0)</f>
        <v>22685</v>
      </c>
      <c r="C1997" s="3" t="str">
        <f>IFERROR(__xludf.DUMMYFUNCTION("""COMPUTED_VALUE"""),"BCM พระราม 9 ซ.55 กรุงเทพฯ")</f>
        <v>BCM พระราม 9 ซ.55 กรุงเทพฯ</v>
      </c>
      <c r="D1997" s="3" t="str">
        <f>IFERROR(__xludf.DUMMYFUNCTION("""COMPUTED_VALUE"""),"BCM RAMA 9 SOI 55 BANGKOK")</f>
        <v>BCM RAMA 9 SOI 55 BANGKOK</v>
      </c>
      <c r="E1997" s="1" t="str">
        <f>IFERROR(__xludf.DUMMYFUNCTION("""COMPUTED_VALUE"""),"บิ๊กซี MINI")</f>
        <v>บิ๊กซี MINI</v>
      </c>
      <c r="F1997" s="1" t="str">
        <f>IFERROR(__xludf.DUMMYFUNCTION("""COMPUTED_VALUE"""),"291008")</f>
        <v>291008</v>
      </c>
      <c r="G1997" s="1" t="str">
        <f>IFERROR(__xludf.DUMMYFUNCTION("""COMPUTED_VALUE"""),"น.ส.รัชดาพร อีศรัตน์")</f>
        <v>น.ส.รัชดาพร อีศรัตน์</v>
      </c>
      <c r="H1997" s="1" t="str">
        <f>IFERROR(__xludf.DUMMYFUNCTION("""COMPUTED_VALUE"""),"468773")</f>
        <v>468773</v>
      </c>
      <c r="I1997" s="1" t="str">
        <f>IFERROR(__xludf.DUMMYFUNCTION("""COMPUTED_VALUE"""),"น.ส.พรพรรณ แซ่แต้")</f>
        <v>น.ส.พรพรรณ แซ่แต้</v>
      </c>
      <c r="J1997" s="3">
        <f>IFERROR(__xludf.DUMMYFUNCTION("""COMPUTED_VALUE"""),2452378.0)</f>
        <v>2452378</v>
      </c>
      <c r="K1997" s="3" t="str">
        <f>IFERROR(__xludf.DUMMYFUNCTION("""COMPUTED_VALUE"""),"นายศักดิ์ดา พวงประดับ")</f>
        <v>นายศักดิ์ดา พวงประดับ</v>
      </c>
      <c r="L1997" s="1" t="str">
        <f>IFERROR(__xludf.DUMMYFUNCTION("""COMPUTED_VALUE"""),"11 K.Sakda P.")</f>
        <v>11 K.Sakda P.</v>
      </c>
      <c r="M1997" s="1" t="str">
        <f>IFERROR(__xludf.DUMMYFUNCTION("""COMPUTED_VALUE"""),"065-929-1279")</f>
        <v>065-929-1279</v>
      </c>
      <c r="N1997" s="3">
        <f>IFERROR(__xludf.DUMMYFUNCTION("""COMPUTED_VALUE"""),21002.0)</f>
        <v>21002</v>
      </c>
      <c r="O1997" s="3" t="str">
        <f>IFERROR(__xludf.DUMMYFUNCTION("""COMPUTED_VALUE"""),"MBC อุดมสุข")</f>
        <v>MBC อุดมสุข</v>
      </c>
      <c r="P1997" s="4">
        <f>IFERROR(__xludf.DUMMYFUNCTION("""COMPUTED_VALUE"""),45358.0)</f>
        <v>45358</v>
      </c>
      <c r="Q1997" s="3" t="str">
        <f>IFERROR(__xludf.DUMMYFUNCTION("""COMPUTED_VALUE"""),"A")</f>
        <v>A</v>
      </c>
      <c r="R1997" s="3" t="str">
        <f>IFERROR(__xludf.DUMMYFUNCTION("""COMPUTED_VALUE"""),"Small Format")</f>
        <v>Small Format</v>
      </c>
      <c r="S1997" s="3" t="str">
        <f>IFERROR(__xludf.DUMMYFUNCTION("""COMPUTED_VALUE"""),"BCM")</f>
        <v>BCM</v>
      </c>
      <c r="T1997" s="3" t="str">
        <f>IFERROR(__xludf.DUMMYFUNCTION("""COMPUTED_VALUE"""),"#N/A")</f>
        <v>#N/A</v>
      </c>
      <c r="U1997" s="3" t="str">
        <f>IFERROR(__xludf.DUMMYFUNCTION("""COMPUTED_VALUE"""),"#N/A")</f>
        <v>#N/A</v>
      </c>
      <c r="V1997" s="3" t="str">
        <f>IFERROR(__xludf.DUMMYFUNCTION("""COMPUTED_VALUE"""),"N")</f>
        <v>N</v>
      </c>
      <c r="W1997" s="3">
        <f>IFERROR(__xludf.DUMMYFUNCTION("""COMPUTED_VALUE"""),210751.0)</f>
        <v>210751</v>
      </c>
      <c r="X1997" s="3" t="str">
        <f>IFERROR(__xludf.DUMMYFUNCTION("""COMPUTED_VALUE"""),"14 ซอยพระรามเก้า 55 วิเศษสุข 4 แขวงสวนหลวง เขตสวนหลวง กรุงเทพมหานคร 10250")</f>
        <v>14 ซอยพระรามเก้า 55 วิเศษสุข 4 แขวงสวนหลวง เขตสวนหลวง กรุงเทพมหานคร 10250</v>
      </c>
      <c r="Y1997" s="3"/>
      <c r="Z1997" s="3" t="str">
        <f>IFERROR(__xludf.DUMMYFUNCTION("""COMPUTED_VALUE"""),"สวนหลวง")</f>
        <v>สวนหลวง</v>
      </c>
      <c r="AA1997" s="3" t="str">
        <f>IFERROR(__xludf.DUMMYFUNCTION("""COMPUTED_VALUE"""),"สวนหลวง")</f>
        <v>สวนหลวง</v>
      </c>
      <c r="AB1997" s="3" t="str">
        <f>IFERROR(__xludf.DUMMYFUNCTION("""COMPUTED_VALUE"""),"กรุงเทพมหานคร")</f>
        <v>กรุงเทพมหานคร</v>
      </c>
      <c r="AC1997" s="3">
        <f>IFERROR(__xludf.DUMMYFUNCTION("""COMPUTED_VALUE"""),10250.0)</f>
        <v>10250</v>
      </c>
      <c r="AD1997" s="3">
        <f>IFERROR(__xludf.DUMMYFUNCTION("""COMPUTED_VALUE"""),13.74789)</f>
        <v>13.74789</v>
      </c>
      <c r="AE1997" s="3">
        <f>IFERROR(__xludf.DUMMYFUNCTION("""COMPUTED_VALUE"""),100.634188)</f>
        <v>100.634188</v>
      </c>
      <c r="AF1997" s="3" t="str">
        <f>IFERROR(__xludf.DUMMYFUNCTION("""COMPUTED_VALUE"""),"BCM พระราม 9 ซ.55 กรุงเทพฯ-22685")</f>
        <v>BCM พระราม 9 ซ.55 กรุงเทพฯ-22685</v>
      </c>
      <c r="AG1997" s="3" t="str">
        <f>IFERROR(__xludf.DUMMYFUNCTION("""COMPUTED_VALUE"""),"กลาง")</f>
        <v>กลาง</v>
      </c>
      <c r="AH1997" s="3" t="str">
        <f>IFERROR(__xludf.DUMMYFUNCTION("""COMPUTED_VALUE"""),"#N/A")</f>
        <v>#N/A</v>
      </c>
      <c r="AI1997" s="3" t="str">
        <f>IFERROR(__xludf.DUMMYFUNCTION("""COMPUTED_VALUE"""),"Out of warranty")</f>
        <v>Out of warranty</v>
      </c>
      <c r="AJ1997" s="3">
        <f>IFERROR(__xludf.DUMMYFUNCTION("""COMPUTED_VALUE"""),23.0)</f>
        <v>23</v>
      </c>
      <c r="AK1997" s="3"/>
      <c r="AL1997" s="3"/>
    </row>
    <row r="1998" ht="15.75" customHeight="1">
      <c r="A1998" s="1" t="str">
        <f>IFERROR(__xludf.DUMMYFUNCTION("""COMPUTED_VALUE"""),"22686")</f>
        <v>22686</v>
      </c>
      <c r="B1998" s="2">
        <f>IFERROR(__xludf.DUMMYFUNCTION("""COMPUTED_VALUE"""),22686.0)</f>
        <v>22686</v>
      </c>
      <c r="C1998" s="3" t="str">
        <f>IFERROR(__xludf.DUMMYFUNCTION("""COMPUTED_VALUE"""),"BCM พระยาตรัง ซ.7 จันทบุรี")</f>
        <v>BCM พระยาตรัง ซ.7 จันทบุรี</v>
      </c>
      <c r="D1998" s="3" t="str">
        <f>IFERROR(__xludf.DUMMYFUNCTION("""COMPUTED_VALUE"""),"BCM PHRAYA TRANG SOI 7")</f>
        <v>BCM PHRAYA TRANG SOI 7</v>
      </c>
      <c r="E1998" s="1" t="str">
        <f>IFERROR(__xludf.DUMMYFUNCTION("""COMPUTED_VALUE"""),"บิ๊กซี MINI")</f>
        <v>บิ๊กซี MINI</v>
      </c>
      <c r="F1998" s="1" t="str">
        <f>IFERROR(__xludf.DUMMYFUNCTION("""COMPUTED_VALUE"""),"221716")</f>
        <v>221716</v>
      </c>
      <c r="G1998" s="1" t="str">
        <f>IFERROR(__xludf.DUMMYFUNCTION("""COMPUTED_VALUE"""),"น.ส.เบญจพร โพธิสาร")</f>
        <v>น.ส.เบญจพร โพธิสาร</v>
      </c>
      <c r="H1998" s="1" t="str">
        <f>IFERROR(__xludf.DUMMYFUNCTION("""COMPUTED_VALUE"""),"318151")</f>
        <v>318151</v>
      </c>
      <c r="I1998" s="1" t="str">
        <f>IFERROR(__xludf.DUMMYFUNCTION("""COMPUTED_VALUE"""),"นายพลฬกฤตต์ เนตมณี")</f>
        <v>นายพลฬกฤตต์ เนตมณี</v>
      </c>
      <c r="J1998" s="3">
        <f>IFERROR(__xludf.DUMMYFUNCTION("""COMPUTED_VALUE"""),2452376.0)</f>
        <v>2452376</v>
      </c>
      <c r="K1998" s="3" t="str">
        <f>IFERROR(__xludf.DUMMYFUNCTION("""COMPUTED_VALUE"""),"นายภาคภูมิ ทวีกุล")</f>
        <v>นายภาคภูมิ ทวีกุล</v>
      </c>
      <c r="L1998" s="1" t="str">
        <f>IFERROR(__xludf.DUMMYFUNCTION("""COMPUTED_VALUE"""),"08 K.Parkphum T.")</f>
        <v>08 K.Parkphum T.</v>
      </c>
      <c r="M1998" s="1" t="str">
        <f>IFERROR(__xludf.DUMMYFUNCTION("""COMPUTED_VALUE"""),"097-919-5476")</f>
        <v>097-919-5476</v>
      </c>
      <c r="N1998" s="3">
        <f>IFERROR(__xludf.DUMMYFUNCTION("""COMPUTED_VALUE"""),22028.0)</f>
        <v>22028</v>
      </c>
      <c r="O1998" s="3" t="str">
        <f>IFERROR(__xludf.DUMMYFUNCTION("""COMPUTED_VALUE"""),"MBC ทํบมา ระยอง")</f>
        <v>MBC ทํบมา ระยอง</v>
      </c>
      <c r="P1998" s="4">
        <f>IFERROR(__xludf.DUMMYFUNCTION("""COMPUTED_VALUE"""),45359.0)</f>
        <v>45359</v>
      </c>
      <c r="Q1998" s="3" t="str">
        <f>IFERROR(__xludf.DUMMYFUNCTION("""COMPUTED_VALUE"""),"A")</f>
        <v>A</v>
      </c>
      <c r="R1998" s="3" t="str">
        <f>IFERROR(__xludf.DUMMYFUNCTION("""COMPUTED_VALUE"""),"Small Format")</f>
        <v>Small Format</v>
      </c>
      <c r="S1998" s="3" t="str">
        <f>IFERROR(__xludf.DUMMYFUNCTION("""COMPUTED_VALUE"""),"BCM")</f>
        <v>BCM</v>
      </c>
      <c r="T1998" s="3" t="str">
        <f>IFERROR(__xludf.DUMMYFUNCTION("""COMPUTED_VALUE"""),"#N/A")</f>
        <v>#N/A</v>
      </c>
      <c r="U1998" s="3" t="str">
        <f>IFERROR(__xludf.DUMMYFUNCTION("""COMPUTED_VALUE"""),"#N/A")</f>
        <v>#N/A</v>
      </c>
      <c r="V1998" s="3" t="str">
        <f>IFERROR(__xludf.DUMMYFUNCTION("""COMPUTED_VALUE"""),"N")</f>
        <v>N</v>
      </c>
      <c r="W1998" s="3">
        <f>IFERROR(__xludf.DUMMYFUNCTION("""COMPUTED_VALUE"""),210765.0)</f>
        <v>210765</v>
      </c>
      <c r="X1998" s="3" t="str">
        <f>IFERROR(__xludf.DUMMYFUNCTION("""COMPUTED_VALUE"""),"25/3 หมู่10 ตำบลท่าช้าง อำเภอเมื่องจันทบุรี จังหวัดจันทบุรี 22000")</f>
        <v>25/3 หมู่10 ตำบลท่าช้าง อำเภอเมื่องจันทบุรี จังหวัดจันทบุรี 22000</v>
      </c>
      <c r="Y1998" s="3"/>
      <c r="Z1998" s="3" t="str">
        <f>IFERROR(__xludf.DUMMYFUNCTION("""COMPUTED_VALUE"""),"ท่าช้าง")</f>
        <v>ท่าช้าง</v>
      </c>
      <c r="AA1998" s="3" t="str">
        <f>IFERROR(__xludf.DUMMYFUNCTION("""COMPUTED_VALUE"""),"เมืองจันทบุรี")</f>
        <v>เมืองจันทบุรี</v>
      </c>
      <c r="AB1998" s="3" t="str">
        <f>IFERROR(__xludf.DUMMYFUNCTION("""COMPUTED_VALUE"""),"จันทบุรี")</f>
        <v>จันทบุรี</v>
      </c>
      <c r="AC1998" s="3">
        <f>IFERROR(__xludf.DUMMYFUNCTION("""COMPUTED_VALUE"""),22000.0)</f>
        <v>22000</v>
      </c>
      <c r="AD1998" s="3">
        <f>IFERROR(__xludf.DUMMYFUNCTION("""COMPUTED_VALUE"""),12.618766)</f>
        <v>12.618766</v>
      </c>
      <c r="AE1998" s="3">
        <f>IFERROR(__xludf.DUMMYFUNCTION("""COMPUTED_VALUE"""),102.090883)</f>
        <v>102.090883</v>
      </c>
      <c r="AF1998" s="3" t="str">
        <f>IFERROR(__xludf.DUMMYFUNCTION("""COMPUTED_VALUE"""),"BCM พระยาตรัง ซ.7 จันทบุรี-22686")</f>
        <v>BCM พระยาตรัง ซ.7 จันทบุรี-22686</v>
      </c>
      <c r="AG1998" s="3" t="str">
        <f>IFERROR(__xludf.DUMMYFUNCTION("""COMPUTED_VALUE"""),"ตะวันออก")</f>
        <v>ตะวันออก</v>
      </c>
      <c r="AH1998" s="3" t="str">
        <f>IFERROR(__xludf.DUMMYFUNCTION("""COMPUTED_VALUE"""),"#N/A")</f>
        <v>#N/A</v>
      </c>
      <c r="AI1998" s="3" t="str">
        <f>IFERROR(__xludf.DUMMYFUNCTION("""COMPUTED_VALUE"""),"Out of warranty")</f>
        <v>Out of warranty</v>
      </c>
      <c r="AJ1998" s="3">
        <f>IFERROR(__xludf.DUMMYFUNCTION("""COMPUTED_VALUE"""),23.0)</f>
        <v>23</v>
      </c>
      <c r="AK1998" s="3"/>
      <c r="AL1998" s="3"/>
    </row>
    <row r="1999" ht="15.75" customHeight="1">
      <c r="A1999" s="1" t="str">
        <f>IFERROR(__xludf.DUMMYFUNCTION("""COMPUTED_VALUE"""),"22687")</f>
        <v>22687</v>
      </c>
      <c r="B1999" s="2">
        <f>IFERROR(__xludf.DUMMYFUNCTION("""COMPUTED_VALUE"""),22687.0)</f>
        <v>22687</v>
      </c>
      <c r="C1999" s="3" t="str">
        <f>IFERROR(__xludf.DUMMYFUNCTION("""COMPUTED_VALUE"""),"BCM ถ.สหกรณ์ 3 เชียงใหม่")</f>
        <v>BCM ถ.สหกรณ์ 3 เชียงใหม่</v>
      </c>
      <c r="D1999" s="3" t="str">
        <f>IFERROR(__xludf.DUMMYFUNCTION("""COMPUTED_VALUE"""),"BCM THANON SAHAKON 3")</f>
        <v>BCM THANON SAHAKON 3</v>
      </c>
      <c r="E1999" s="1" t="str">
        <f>IFERROR(__xludf.DUMMYFUNCTION("""COMPUTED_VALUE"""),"บิ๊กซี MINI")</f>
        <v>บิ๊กซี MINI</v>
      </c>
      <c r="F1999" s="1" t="str">
        <f>IFERROR(__xludf.DUMMYFUNCTION("""COMPUTED_VALUE"""),"296229")</f>
        <v>296229</v>
      </c>
      <c r="G1999" s="1" t="str">
        <f>IFERROR(__xludf.DUMMYFUNCTION("""COMPUTED_VALUE"""),"นายทนงศักดิ์ บุญมา")</f>
        <v>นายทนงศักดิ์ บุญมา</v>
      </c>
      <c r="H1999" s="1" t="str">
        <f>IFERROR(__xludf.DUMMYFUNCTION("""COMPUTED_VALUE"""),"393402")</f>
        <v>393402</v>
      </c>
      <c r="I1999" s="1" t="str">
        <f>IFERROR(__xludf.DUMMYFUNCTION("""COMPUTED_VALUE"""),"น.ส.ปารมิตา ใจตรง")</f>
        <v>น.ส.ปารมิตา ใจตรง</v>
      </c>
      <c r="J1999" s="3">
        <f>IFERROR(__xludf.DUMMYFUNCTION("""COMPUTED_VALUE"""),2010016.0)</f>
        <v>2010016</v>
      </c>
      <c r="K1999" s="3" t="str">
        <f>IFERROR(__xludf.DUMMYFUNCTION("""COMPUTED_VALUE"""),"นายตวงธรรม ใหม่ยศ")</f>
        <v>นายตวงธรรม ใหม่ยศ</v>
      </c>
      <c r="L1999" s="1" t="str">
        <f>IFERROR(__xludf.DUMMYFUNCTION("""COMPUTED_VALUE"""),"01 K.Tuangtham M.")</f>
        <v>01 K.Tuangtham M.</v>
      </c>
      <c r="M1999" s="1" t="str">
        <f>IFERROR(__xludf.DUMMYFUNCTION("""COMPUTED_VALUE"""),"063-976-595")</f>
        <v>063-976-595</v>
      </c>
      <c r="N1999" s="3">
        <f>IFERROR(__xludf.DUMMYFUNCTION("""COMPUTED_VALUE"""),22574.0)</f>
        <v>22574</v>
      </c>
      <c r="O1999" s="3" t="str">
        <f>IFERROR(__xludf.DUMMYFUNCTION("""COMPUTED_VALUE"""),"BCM ชุมชนศรีชุม ลำปาง")</f>
        <v>BCM ชุมชนศรีชุม ลำปาง</v>
      </c>
      <c r="P1999" s="4">
        <f>IFERROR(__xludf.DUMMYFUNCTION("""COMPUTED_VALUE"""),45369.0)</f>
        <v>45369</v>
      </c>
      <c r="Q1999" s="3" t="str">
        <f>IFERROR(__xludf.DUMMYFUNCTION("""COMPUTED_VALUE"""),"A")</f>
        <v>A</v>
      </c>
      <c r="R1999" s="3" t="str">
        <f>IFERROR(__xludf.DUMMYFUNCTION("""COMPUTED_VALUE"""),"Small Format")</f>
        <v>Small Format</v>
      </c>
      <c r="S1999" s="3" t="str">
        <f>IFERROR(__xludf.DUMMYFUNCTION("""COMPUTED_VALUE"""),"BCM")</f>
        <v>BCM</v>
      </c>
      <c r="T1999" s="3" t="str">
        <f>IFERROR(__xludf.DUMMYFUNCTION("""COMPUTED_VALUE"""),"#N/A")</f>
        <v>#N/A</v>
      </c>
      <c r="U1999" s="3" t="str">
        <f>IFERROR(__xludf.DUMMYFUNCTION("""COMPUTED_VALUE"""),"#N/A")</f>
        <v>#N/A</v>
      </c>
      <c r="V1999" s="3" t="str">
        <f>IFERROR(__xludf.DUMMYFUNCTION("""COMPUTED_VALUE"""),"N")</f>
        <v>N</v>
      </c>
      <c r="W1999" s="3">
        <f>IFERROR(__xludf.DUMMYFUNCTION("""COMPUTED_VALUE"""),210768.0)</f>
        <v>210768</v>
      </c>
      <c r="X1999" s="3" t="str">
        <f>IFERROR(__xludf.DUMMYFUNCTION("""COMPUTED_VALUE"""),"468 หมู่7 ตำบลหนองจ๊อม อำเภอสันทราย จังหวัดเชียงใหม่ 50210")</f>
        <v>468 หมู่7 ตำบลหนองจ๊อม อำเภอสันทราย จังหวัดเชียงใหม่ 50210</v>
      </c>
      <c r="Y1999" s="3"/>
      <c r="Z1999" s="3" t="str">
        <f>IFERROR(__xludf.DUMMYFUNCTION("""COMPUTED_VALUE"""),"หนองจ๊อม")</f>
        <v>หนองจ๊อม</v>
      </c>
      <c r="AA1999" s="3" t="str">
        <f>IFERROR(__xludf.DUMMYFUNCTION("""COMPUTED_VALUE"""),"สันทราย")</f>
        <v>สันทราย</v>
      </c>
      <c r="AB1999" s="3" t="str">
        <f>IFERROR(__xludf.DUMMYFUNCTION("""COMPUTED_VALUE"""),"เชียงใหม่")</f>
        <v>เชียงใหม่</v>
      </c>
      <c r="AC1999" s="3">
        <f>IFERROR(__xludf.DUMMYFUNCTION("""COMPUTED_VALUE"""),50210.0)</f>
        <v>50210</v>
      </c>
      <c r="AD1999" s="3">
        <f>IFERROR(__xludf.DUMMYFUNCTION("""COMPUTED_VALUE"""),18.884535)</f>
        <v>18.884535</v>
      </c>
      <c r="AE1999" s="3">
        <f>IFERROR(__xludf.DUMMYFUNCTION("""COMPUTED_VALUE"""),99.020197)</f>
        <v>99.020197</v>
      </c>
      <c r="AF1999" s="3" t="str">
        <f>IFERROR(__xludf.DUMMYFUNCTION("""COMPUTED_VALUE"""),"BCM ถ.สหกรณ์ 3 เชียงใหม่-22687")</f>
        <v>BCM ถ.สหกรณ์ 3 เชียงใหม่-22687</v>
      </c>
      <c r="AG1999" s="3" t="str">
        <f>IFERROR(__xludf.DUMMYFUNCTION("""COMPUTED_VALUE"""),"เหนือ")</f>
        <v>เหนือ</v>
      </c>
      <c r="AH1999" s="3" t="str">
        <f>IFERROR(__xludf.DUMMYFUNCTION("""COMPUTED_VALUE"""),"#N/A")</f>
        <v>#N/A</v>
      </c>
      <c r="AI1999" s="3" t="str">
        <f>IFERROR(__xludf.DUMMYFUNCTION("""COMPUTED_VALUE"""),"Out of warranty")</f>
        <v>Out of warranty</v>
      </c>
      <c r="AJ1999" s="3">
        <f>IFERROR(__xludf.DUMMYFUNCTION("""COMPUTED_VALUE"""),23.0)</f>
        <v>23</v>
      </c>
      <c r="AK1999" s="3"/>
      <c r="AL1999" s="3"/>
    </row>
    <row r="2000" ht="15.75" customHeight="1">
      <c r="A2000" s="1" t="str">
        <f>IFERROR(__xludf.DUMMYFUNCTION("""COMPUTED_VALUE"""),"22688")</f>
        <v>22688</v>
      </c>
      <c r="B2000" s="2">
        <f>IFERROR(__xludf.DUMMYFUNCTION("""COMPUTED_VALUE"""),22688.0)</f>
        <v>22688</v>
      </c>
      <c r="C2000" s="3" t="str">
        <f>IFERROR(__xludf.DUMMYFUNCTION("""COMPUTED_VALUE"""),"BCM เสนานิคม 1 กรุงเทพฯ")</f>
        <v>BCM เสนานิคม 1 กรุงเทพฯ</v>
      </c>
      <c r="D2000" s="3" t="str">
        <f>IFERROR(__xludf.DUMMYFUNCTION("""COMPUTED_VALUE"""),"BCM SENANIKOM 1 BANGKOK")</f>
        <v>BCM SENANIKOM 1 BANGKOK</v>
      </c>
      <c r="E2000" s="1" t="str">
        <f>IFERROR(__xludf.DUMMYFUNCTION("""COMPUTED_VALUE"""),"บิ๊กซี MINI")</f>
        <v>บิ๊กซี MINI</v>
      </c>
      <c r="F2000" s="1" t="str">
        <f>IFERROR(__xludf.DUMMYFUNCTION("""COMPUTED_VALUE"""),"291008")</f>
        <v>291008</v>
      </c>
      <c r="G2000" s="1" t="str">
        <f>IFERROR(__xludf.DUMMYFUNCTION("""COMPUTED_VALUE"""),"น.ส.รัชดาพร อีศรัตน์")</f>
        <v>น.ส.รัชดาพร อีศรัตน์</v>
      </c>
      <c r="H2000" s="1" t="str">
        <f>IFERROR(__xludf.DUMMYFUNCTION("""COMPUTED_VALUE"""),"359002")</f>
        <v>359002</v>
      </c>
      <c r="I2000" s="1" t="str">
        <f>IFERROR(__xludf.DUMMYFUNCTION("""COMPUTED_VALUE"""),"น.ส.นิตยา สมจิตร")</f>
        <v>น.ส.นิตยา สมจิตร</v>
      </c>
      <c r="J2000" s="3">
        <f>IFERROR(__xludf.DUMMYFUNCTION("""COMPUTED_VALUE"""),3510104.0)</f>
        <v>3510104</v>
      </c>
      <c r="K2000" s="3" t="str">
        <f>IFERROR(__xludf.DUMMYFUNCTION("""COMPUTED_VALUE"""),"นายวิโรจน์ อับดุลสมัด")</f>
        <v>นายวิโรจน์ อับดุลสมัด</v>
      </c>
      <c r="L2000" s="1" t="str">
        <f>IFERROR(__xludf.DUMMYFUNCTION("""COMPUTED_VALUE"""),"09 K.Wirode A")</f>
        <v>09 K.Wirode A</v>
      </c>
      <c r="M2000" s="1" t="str">
        <f>IFERROR(__xludf.DUMMYFUNCTION("""COMPUTED_VALUE"""),"080-235-4465")</f>
        <v>080-235-4465</v>
      </c>
      <c r="N2000" s="3">
        <f>IFERROR(__xludf.DUMMYFUNCTION("""COMPUTED_VALUE"""),21324.0)</f>
        <v>21324</v>
      </c>
      <c r="O2000" s="3" t="str">
        <f>IFERROR(__xludf.DUMMYFUNCTION("""COMPUTED_VALUE"""),"MBC BCP สุวินทวงศ์")</f>
        <v>MBC BCP สุวินทวงศ์</v>
      </c>
      <c r="P2000" s="4">
        <f>IFERROR(__xludf.DUMMYFUNCTION("""COMPUTED_VALUE"""),45374.0)</f>
        <v>45374</v>
      </c>
      <c r="Q2000" s="3" t="str">
        <f>IFERROR(__xludf.DUMMYFUNCTION("""COMPUTED_VALUE"""),"A")</f>
        <v>A</v>
      </c>
      <c r="R2000" s="3" t="str">
        <f>IFERROR(__xludf.DUMMYFUNCTION("""COMPUTED_VALUE"""),"Small Format")</f>
        <v>Small Format</v>
      </c>
      <c r="S2000" s="3" t="str">
        <f>IFERROR(__xludf.DUMMYFUNCTION("""COMPUTED_VALUE"""),"BCM")</f>
        <v>BCM</v>
      </c>
      <c r="T2000" s="3" t="str">
        <f>IFERROR(__xludf.DUMMYFUNCTION("""COMPUTED_VALUE"""),"#N/A")</f>
        <v>#N/A</v>
      </c>
      <c r="U2000" s="3" t="str">
        <f>IFERROR(__xludf.DUMMYFUNCTION("""COMPUTED_VALUE"""),"#N/A")</f>
        <v>#N/A</v>
      </c>
      <c r="V2000" s="3" t="str">
        <f>IFERROR(__xludf.DUMMYFUNCTION("""COMPUTED_VALUE"""),"N")</f>
        <v>N</v>
      </c>
      <c r="W2000" s="3">
        <f>IFERROR(__xludf.DUMMYFUNCTION("""COMPUTED_VALUE"""),210694.0)</f>
        <v>210694</v>
      </c>
      <c r="X2000" s="3" t="str">
        <f>IFERROR(__xludf.DUMMYFUNCTION("""COMPUTED_VALUE"""),"569 ถนนเสนานิคม 1 ตำบลจรเข้บัว อำเภอลาดพร้าว กรุงเทพมหานคร 10230")</f>
        <v>569 ถนนเสนานิคม 1 ตำบลจรเข้บัว อำเภอลาดพร้าว กรุงเทพมหานคร 10230</v>
      </c>
      <c r="Y2000" s="3" t="str">
        <f>IFERROR(__xludf.DUMMYFUNCTION("""COMPUTED_VALUE"""),"เสนานิคม1")</f>
        <v>เสนานิคม1</v>
      </c>
      <c r="Z2000" s="3" t="str">
        <f>IFERROR(__xludf.DUMMYFUNCTION("""COMPUTED_VALUE"""),"จรเข้บัว")</f>
        <v>จรเข้บัว</v>
      </c>
      <c r="AA2000" s="3" t="str">
        <f>IFERROR(__xludf.DUMMYFUNCTION("""COMPUTED_VALUE"""),"ลาดพร้าว")</f>
        <v>ลาดพร้าว</v>
      </c>
      <c r="AB2000" s="3" t="str">
        <f>IFERROR(__xludf.DUMMYFUNCTION("""COMPUTED_VALUE"""),"กรุงเทพมหานคร")</f>
        <v>กรุงเทพมหานคร</v>
      </c>
      <c r="AC2000" s="3">
        <f>IFERROR(__xludf.DUMMYFUNCTION("""COMPUTED_VALUE"""),10230.0)</f>
        <v>10230</v>
      </c>
      <c r="AD2000" s="3">
        <f>IFERROR(__xludf.DUMMYFUNCTION("""COMPUTED_VALUE"""),13.831751)</f>
        <v>13.831751</v>
      </c>
      <c r="AE2000" s="3">
        <f>IFERROR(__xludf.DUMMYFUNCTION("""COMPUTED_VALUE"""),100.600758)</f>
        <v>100.600758</v>
      </c>
      <c r="AF2000" s="3" t="str">
        <f>IFERROR(__xludf.DUMMYFUNCTION("""COMPUTED_VALUE"""),"BCM เสนานิคม 1 กรุงเทพฯ-22688")</f>
        <v>BCM เสนานิคม 1 กรุงเทพฯ-22688</v>
      </c>
      <c r="AG2000" s="3" t="str">
        <f>IFERROR(__xludf.DUMMYFUNCTION("""COMPUTED_VALUE"""),"กลาง")</f>
        <v>กลาง</v>
      </c>
      <c r="AH2000" s="3" t="str">
        <f>IFERROR(__xludf.DUMMYFUNCTION("""COMPUTED_VALUE"""),"#N/A")</f>
        <v>#N/A</v>
      </c>
      <c r="AI2000" s="3" t="str">
        <f>IFERROR(__xludf.DUMMYFUNCTION("""COMPUTED_VALUE"""),"Out of warranty")</f>
        <v>Out of warranty</v>
      </c>
      <c r="AJ2000" s="3">
        <f>IFERROR(__xludf.DUMMYFUNCTION("""COMPUTED_VALUE"""),22.0)</f>
        <v>22</v>
      </c>
      <c r="AK2000" s="3"/>
      <c r="AL2000" s="3"/>
    </row>
    <row r="2001" ht="15.75" customHeight="1">
      <c r="A2001" s="1" t="str">
        <f>IFERROR(__xludf.DUMMYFUNCTION("""COMPUTED_VALUE"""),"22689")</f>
        <v>22689</v>
      </c>
      <c r="B2001" s="2">
        <f>IFERROR(__xludf.DUMMYFUNCTION("""COMPUTED_VALUE"""),22689.0)</f>
        <v>22689</v>
      </c>
      <c r="C2001" s="3" t="str">
        <f>IFERROR(__xludf.DUMMYFUNCTION("""COMPUTED_VALUE"""),"BCM หน้าค่ายบุรฉัตร ราชบุรี")</f>
        <v>BCM หน้าค่ายบุรฉัตร ราชบุรี</v>
      </c>
      <c r="D2001" s="3" t="str">
        <f>IFERROR(__xludf.DUMMYFUNCTION("""COMPUTED_VALUE"""),"BCM NA KHAY PURACHALRA")</f>
        <v>BCM NA KHAY PURACHALRA</v>
      </c>
      <c r="E2001" s="1" t="str">
        <f>IFERROR(__xludf.DUMMYFUNCTION("""COMPUTED_VALUE"""),"บิ๊กซี MINI")</f>
        <v>บิ๊กซี MINI</v>
      </c>
      <c r="F2001" s="1" t="str">
        <f>IFERROR(__xludf.DUMMYFUNCTION("""COMPUTED_VALUE"""),"2083447")</f>
        <v>2083447</v>
      </c>
      <c r="G2001" s="1" t="str">
        <f>IFERROR(__xludf.DUMMYFUNCTION("""COMPUTED_VALUE"""),"นายอนุกูล ศรีลัดดา")</f>
        <v>นายอนุกูล ศรีลัดดา</v>
      </c>
      <c r="H2001" s="1" t="str">
        <f>IFERROR(__xludf.DUMMYFUNCTION("""COMPUTED_VALUE"""),"391191")</f>
        <v>391191</v>
      </c>
      <c r="I2001" s="1" t="str">
        <f>IFERROR(__xludf.DUMMYFUNCTION("""COMPUTED_VALUE"""),"นายวสันต์ สรงพรมทิพย์")</f>
        <v>นายวสันต์ สรงพรมทิพย์</v>
      </c>
      <c r="J2001" s="3">
        <f>IFERROR(__xludf.DUMMYFUNCTION("""COMPUTED_VALUE"""),2451655.0)</f>
        <v>2451655</v>
      </c>
      <c r="K2001" s="3" t="str">
        <f>IFERROR(__xludf.DUMMYFUNCTION("""COMPUTED_VALUE"""),"นายวิษณุพงษ์ ชินบุตร")</f>
        <v>นายวิษณุพงษ์ ชินบุตร</v>
      </c>
      <c r="L2001" s="1" t="str">
        <f>IFERROR(__xludf.DUMMYFUNCTION("""COMPUTED_VALUE"""),"13 K.Wisanupong Ch")</f>
        <v>13 K.Wisanupong Ch</v>
      </c>
      <c r="M2001" s="1" t="str">
        <f>IFERROR(__xludf.DUMMYFUNCTION("""COMPUTED_VALUE"""),"0843374693")</f>
        <v>0843374693</v>
      </c>
      <c r="N2001" s="3">
        <f>IFERROR(__xludf.DUMMYFUNCTION("""COMPUTED_VALUE"""),22729.0)</f>
        <v>22729</v>
      </c>
      <c r="O2001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2001" s="4">
        <f>IFERROR(__xludf.DUMMYFUNCTION("""COMPUTED_VALUE"""),45376.0)</f>
        <v>45376</v>
      </c>
      <c r="Q2001" s="3" t="str">
        <f>IFERROR(__xludf.DUMMYFUNCTION("""COMPUTED_VALUE"""),"A")</f>
        <v>A</v>
      </c>
      <c r="R2001" s="3" t="str">
        <f>IFERROR(__xludf.DUMMYFUNCTION("""COMPUTED_VALUE"""),"Small Format")</f>
        <v>Small Format</v>
      </c>
      <c r="S2001" s="3" t="str">
        <f>IFERROR(__xludf.DUMMYFUNCTION("""COMPUTED_VALUE"""),"BCM")</f>
        <v>BCM</v>
      </c>
      <c r="T2001" s="3" t="str">
        <f>IFERROR(__xludf.DUMMYFUNCTION("""COMPUTED_VALUE"""),"#N/A")</f>
        <v>#N/A</v>
      </c>
      <c r="U2001" s="3" t="str">
        <f>IFERROR(__xludf.DUMMYFUNCTION("""COMPUTED_VALUE"""),"#N/A")</f>
        <v>#N/A</v>
      </c>
      <c r="V2001" s="3" t="str">
        <f>IFERROR(__xludf.DUMMYFUNCTION("""COMPUTED_VALUE"""),"N")</f>
        <v>N</v>
      </c>
      <c r="W2001" s="3">
        <f>IFERROR(__xludf.DUMMYFUNCTION("""COMPUTED_VALUE"""),210795.0)</f>
        <v>210795</v>
      </c>
      <c r="X2001" s="3" t="str">
        <f>IFERROR(__xludf.DUMMYFUNCTION("""COMPUTED_VALUE"""),"248 หมู่6 ตำบลเจดีย์หัก อำเภอเมืองราชบุรี จังหวัดราชบุรี 70000")</f>
        <v>248 หมู่6 ตำบลเจดีย์หัก อำเภอเมืองราชบุรี จังหวัดราชบุรี 70000</v>
      </c>
      <c r="Y2001" s="3"/>
      <c r="Z2001" s="3" t="str">
        <f>IFERROR(__xludf.DUMMYFUNCTION("""COMPUTED_VALUE"""),"เจดีย์หัก")</f>
        <v>เจดีย์หัก</v>
      </c>
      <c r="AA2001" s="3" t="str">
        <f>IFERROR(__xludf.DUMMYFUNCTION("""COMPUTED_VALUE"""),"เมืองราชบุรี")</f>
        <v>เมืองราชบุรี</v>
      </c>
      <c r="AB2001" s="3" t="str">
        <f>IFERROR(__xludf.DUMMYFUNCTION("""COMPUTED_VALUE"""),"ราชบุรี")</f>
        <v>ราชบุรี</v>
      </c>
      <c r="AC2001" s="3">
        <f>IFERROR(__xludf.DUMMYFUNCTION("""COMPUTED_VALUE"""),70000.0)</f>
        <v>70000</v>
      </c>
      <c r="AD2001" s="3">
        <f>IFERROR(__xludf.DUMMYFUNCTION("""COMPUTED_VALUE"""),13.564746)</f>
        <v>13.564746</v>
      </c>
      <c r="AE2001" s="3">
        <f>IFERROR(__xludf.DUMMYFUNCTION("""COMPUTED_VALUE"""),99.765413)</f>
        <v>99.765413</v>
      </c>
      <c r="AF2001" s="3" t="str">
        <f>IFERROR(__xludf.DUMMYFUNCTION("""COMPUTED_VALUE"""),"BCM หน้าค่ายบุรฉัตร ราชบุรี-22689")</f>
        <v>BCM หน้าค่ายบุรฉัตร ราชบุรี-22689</v>
      </c>
      <c r="AG2001" s="3" t="str">
        <f>IFERROR(__xludf.DUMMYFUNCTION("""COMPUTED_VALUE"""),"ตะวันตก")</f>
        <v>ตะวันตก</v>
      </c>
      <c r="AH2001" s="3" t="str">
        <f>IFERROR(__xludf.DUMMYFUNCTION("""COMPUTED_VALUE"""),"#N/A")</f>
        <v>#N/A</v>
      </c>
      <c r="AI2001" s="3" t="str">
        <f>IFERROR(__xludf.DUMMYFUNCTION("""COMPUTED_VALUE"""),"Out of warranty")</f>
        <v>Out of warranty</v>
      </c>
      <c r="AJ2001" s="3">
        <f>IFERROR(__xludf.DUMMYFUNCTION("""COMPUTED_VALUE"""),22.0)</f>
        <v>22</v>
      </c>
      <c r="AK2001" s="3"/>
      <c r="AL2001" s="3"/>
    </row>
    <row r="2002" ht="15.75" customHeight="1">
      <c r="A2002" s="1" t="str">
        <f>IFERROR(__xludf.DUMMYFUNCTION("""COMPUTED_VALUE"""),"22690")</f>
        <v>22690</v>
      </c>
      <c r="B2002" s="2">
        <f>IFERROR(__xludf.DUMMYFUNCTION("""COMPUTED_VALUE"""),22690.0)</f>
        <v>22690</v>
      </c>
      <c r="C2002" s="3" t="str">
        <f>IFERROR(__xludf.DUMMYFUNCTION("""COMPUTED_VALUE"""),"BCM บบางแสน สาย 4 เหนือ 2 ชลบุรี")</f>
        <v>BCM บบางแสน สาย 4 เหนือ 2 ชลบุรี</v>
      </c>
      <c r="D2002" s="3" t="str">
        <f>IFERROR(__xludf.DUMMYFUNCTION("""COMPUTED_VALUE"""),"BCM BANGSAEN SAI 4 NUEA 2")</f>
        <v>BCM BANGSAEN SAI 4 NUEA 2</v>
      </c>
      <c r="E2002" s="1" t="str">
        <f>IFERROR(__xludf.DUMMYFUNCTION("""COMPUTED_VALUE"""),"บิ๊กซี MINI")</f>
        <v>บิ๊กซี MINI</v>
      </c>
      <c r="F2002" s="1" t="str">
        <f>IFERROR(__xludf.DUMMYFUNCTION("""COMPUTED_VALUE"""),"221716")</f>
        <v>221716</v>
      </c>
      <c r="G2002" s="1" t="str">
        <f>IFERROR(__xludf.DUMMYFUNCTION("""COMPUTED_VALUE"""),"น.ส.เบญจพร โพธิสาร")</f>
        <v>น.ส.เบญจพร โพธิสาร</v>
      </c>
      <c r="H2002" s="1" t="str">
        <f>IFERROR(__xludf.DUMMYFUNCTION("""COMPUTED_VALUE"""),"476018")</f>
        <v>476018</v>
      </c>
      <c r="I2002" s="1" t="str">
        <f>IFERROR(__xludf.DUMMYFUNCTION("""COMPUTED_VALUE"""),"นายศราวุฒิ ชูพันดุง")</f>
        <v>นายศราวุฒิ ชูพันดุง</v>
      </c>
      <c r="J2002" s="3">
        <f>IFERROR(__xludf.DUMMYFUNCTION("""COMPUTED_VALUE"""),1.3461215E7)</f>
        <v>13461215</v>
      </c>
      <c r="K2002" s="3" t="str">
        <f>IFERROR(__xludf.DUMMYFUNCTION("""COMPUTED_VALUE"""),"นายธีรภัทร สังข์เงิน")</f>
        <v>นายธีรภัทร สังข์เงิน</v>
      </c>
      <c r="L2002" s="1" t="str">
        <f>IFERROR(__xludf.DUMMYFUNCTION("""COMPUTED_VALUE"""),"06 K.Teerapat")</f>
        <v>06 K.Teerapat</v>
      </c>
      <c r="M2002" s="1" t="str">
        <f>IFERROR(__xludf.DUMMYFUNCTION("""COMPUTED_VALUE"""),"063-601-6803")</f>
        <v>063-601-6803</v>
      </c>
      <c r="N2002" s="3">
        <f>IFERROR(__xludf.DUMMYFUNCTION("""COMPUTED_VALUE"""),22115.0)</f>
        <v>22115</v>
      </c>
      <c r="O2002" s="3" t="str">
        <f>IFERROR(__xludf.DUMMYFUNCTION("""COMPUTED_VALUE"""),"MBC เลี่ยงหนองมน ชลบุรี")</f>
        <v>MBC เลี่ยงหนองมน ชลบุรี</v>
      </c>
      <c r="P2002" s="4">
        <f>IFERROR(__xludf.DUMMYFUNCTION("""COMPUTED_VALUE"""),45390.0)</f>
        <v>45390</v>
      </c>
      <c r="Q2002" s="3" t="str">
        <f>IFERROR(__xludf.DUMMYFUNCTION("""COMPUTED_VALUE"""),"A")</f>
        <v>A</v>
      </c>
      <c r="R2002" s="3" t="str">
        <f>IFERROR(__xludf.DUMMYFUNCTION("""COMPUTED_VALUE"""),"Small Format")</f>
        <v>Small Format</v>
      </c>
      <c r="S2002" s="3" t="str">
        <f>IFERROR(__xludf.DUMMYFUNCTION("""COMPUTED_VALUE"""),"BCM")</f>
        <v>BCM</v>
      </c>
      <c r="T2002" s="3" t="str">
        <f>IFERROR(__xludf.DUMMYFUNCTION("""COMPUTED_VALUE"""),"#N/A")</f>
        <v>#N/A</v>
      </c>
      <c r="U2002" s="3" t="str">
        <f>IFERROR(__xludf.DUMMYFUNCTION("""COMPUTED_VALUE"""),"#N/A")</f>
        <v>#N/A</v>
      </c>
      <c r="V2002" s="3" t="str">
        <f>IFERROR(__xludf.DUMMYFUNCTION("""COMPUTED_VALUE"""),"N")</f>
        <v>N</v>
      </c>
      <c r="W2002" s="3">
        <f>IFERROR(__xludf.DUMMYFUNCTION("""COMPUTED_VALUE"""),210797.0)</f>
        <v>210797</v>
      </c>
      <c r="X2002" s="3" t="str">
        <f>IFERROR(__xludf.DUMMYFUNCTION("""COMPUTED_VALUE"""),"18/10 ถนนบางแสนสาย 4 เหนือ ตำบลแสนสุข อำเภอเมืองชลบุรี จังหวัดชลบุรี 20130")</f>
        <v>18/10 ถนนบางแสนสาย 4 เหนือ ตำบลแสนสุข อำเภอเมืองชลบุรี จังหวัดชลบุรี 20130</v>
      </c>
      <c r="Y2002" s="3" t="str">
        <f>IFERROR(__xludf.DUMMYFUNCTION("""COMPUTED_VALUE"""),"บางแสนสาย 4 เหนือ")</f>
        <v>บางแสนสาย 4 เหนือ</v>
      </c>
      <c r="Z2002" s="3" t="str">
        <f>IFERROR(__xludf.DUMMYFUNCTION("""COMPUTED_VALUE"""),"แสนสุข")</f>
        <v>แสนสุข</v>
      </c>
      <c r="AA2002" s="3" t="str">
        <f>IFERROR(__xludf.DUMMYFUNCTION("""COMPUTED_VALUE"""),"เมืองชลบุรี")</f>
        <v>เมืองชลบุรี</v>
      </c>
      <c r="AB2002" s="3" t="str">
        <f>IFERROR(__xludf.DUMMYFUNCTION("""COMPUTED_VALUE"""),"ชลบุรี")</f>
        <v>ชลบุรี</v>
      </c>
      <c r="AC2002" s="3">
        <f>IFERROR(__xludf.DUMMYFUNCTION("""COMPUTED_VALUE"""),20130.0)</f>
        <v>20130</v>
      </c>
      <c r="AD2002" s="3">
        <f>IFERROR(__xludf.DUMMYFUNCTION("""COMPUTED_VALUE"""),13.294124)</f>
        <v>13.294124</v>
      </c>
      <c r="AE2002" s="3">
        <f>IFERROR(__xludf.DUMMYFUNCTION("""COMPUTED_VALUE"""),100.925253)</f>
        <v>100.925253</v>
      </c>
      <c r="AF2002" s="3" t="str">
        <f>IFERROR(__xludf.DUMMYFUNCTION("""COMPUTED_VALUE"""),"BCM บบางแสน สาย 4 เหนือ 2 ชลบุรี-22690")</f>
        <v>BCM บบางแสน สาย 4 เหนือ 2 ชลบุรี-22690</v>
      </c>
      <c r="AG2002" s="3" t="str">
        <f>IFERROR(__xludf.DUMMYFUNCTION("""COMPUTED_VALUE"""),"ตะวันออก")</f>
        <v>ตะวันออก</v>
      </c>
      <c r="AH2002" s="3" t="str">
        <f>IFERROR(__xludf.DUMMYFUNCTION("""COMPUTED_VALUE"""),"#N/A")</f>
        <v>#N/A</v>
      </c>
      <c r="AI2002" s="3" t="str">
        <f>IFERROR(__xludf.DUMMYFUNCTION("""COMPUTED_VALUE"""),"Out of warranty")</f>
        <v>Out of warranty</v>
      </c>
      <c r="AJ2002" s="3">
        <f>IFERROR(__xludf.DUMMYFUNCTION("""COMPUTED_VALUE"""),22.0)</f>
        <v>22</v>
      </c>
      <c r="AK2002" s="3"/>
      <c r="AL2002" s="3"/>
    </row>
    <row r="2003" ht="15.75" customHeight="1">
      <c r="A2003" s="1" t="str">
        <f>IFERROR(__xludf.DUMMYFUNCTION("""COMPUTED_VALUE"""),"22691")</f>
        <v>22691</v>
      </c>
      <c r="B2003" s="2">
        <f>IFERROR(__xludf.DUMMYFUNCTION("""COMPUTED_VALUE"""),22691.0)</f>
        <v>22691</v>
      </c>
      <c r="C2003" s="3" t="str">
        <f>IFERROR(__xludf.DUMMYFUNCTION("""COMPUTED_VALUE"""),"BCM หนองขอน ทับใต้ ประจวบคีรีขันธ์")</f>
        <v>BCM หนองขอน ทับใต้ ประจวบคีรีขันธ์</v>
      </c>
      <c r="D2003" s="3" t="str">
        <f>IFERROR(__xludf.DUMMYFUNCTION("""COMPUTED_VALUE"""),"BCM NONG KHON TAB TAI")</f>
        <v>BCM NONG KHON TAB TAI</v>
      </c>
      <c r="E2003" s="1" t="str">
        <f>IFERROR(__xludf.DUMMYFUNCTION("""COMPUTED_VALUE"""),"บิ๊กซี MINI")</f>
        <v>บิ๊กซี MINI</v>
      </c>
      <c r="F2003" s="1" t="str">
        <f>IFERROR(__xludf.DUMMYFUNCTION("""COMPUTED_VALUE"""),"250760")</f>
        <v>250760</v>
      </c>
      <c r="G2003" s="1" t="str">
        <f>IFERROR(__xludf.DUMMYFUNCTION("""COMPUTED_VALUE"""),"นายประทวน สาราบรรณ์")</f>
        <v>นายประทวน สาราบรรณ์</v>
      </c>
      <c r="H2003" s="1" t="str">
        <f>IFERROR(__xludf.DUMMYFUNCTION("""COMPUTED_VALUE"""),"311437")</f>
        <v>311437</v>
      </c>
      <c r="I2003" s="1" t="str">
        <f>IFERROR(__xludf.DUMMYFUNCTION("""COMPUTED_VALUE"""),"นายฉัตรทพร รักวิเชียร")</f>
        <v>นายฉัตรทพร รักวิเชียร</v>
      </c>
      <c r="J2003" s="3">
        <f>IFERROR(__xludf.DUMMYFUNCTION("""COMPUTED_VALUE"""),25324.0)</f>
        <v>25324</v>
      </c>
      <c r="K2003" s="3" t="str">
        <f>IFERROR(__xludf.DUMMYFUNCTION("""COMPUTED_VALUE"""),"นายวิเชฎฐ์ ติรัตนะประคม")</f>
        <v>นายวิเชฎฐ์ ติรัตนะประคม</v>
      </c>
      <c r="L2003" s="1" t="str">
        <f>IFERROR(__xludf.DUMMYFUNCTION("""COMPUTED_VALUE"""),"14 K.Wichet T.")</f>
        <v>14 K.Wichet T.</v>
      </c>
      <c r="M2003" s="1" t="str">
        <f>IFERROR(__xludf.DUMMYFUNCTION("""COMPUTED_VALUE"""),"061-417-6569 / 086-445-5636")</f>
        <v>061-417-6569 / 086-445-5636</v>
      </c>
      <c r="N2003" s="3">
        <f>IFERROR(__xludf.DUMMYFUNCTION("""COMPUTED_VALUE"""),22658.0)</f>
        <v>22658</v>
      </c>
      <c r="O2003" s="3" t="str">
        <f>IFERROR(__xludf.DUMMYFUNCTION("""COMPUTED_VALUE"""),"BCM ถ.วิรัชหงษ์หยก ภูเก็ต")</f>
        <v>BCM ถ.วิรัชหงษ์หยก ภูเก็ต</v>
      </c>
      <c r="P2003" s="4">
        <f>IFERROR(__xludf.DUMMYFUNCTION("""COMPUTED_VALUE"""),45394.0)</f>
        <v>45394</v>
      </c>
      <c r="Q2003" s="3" t="str">
        <f>IFERROR(__xludf.DUMMYFUNCTION("""COMPUTED_VALUE"""),"A")</f>
        <v>A</v>
      </c>
      <c r="R2003" s="3" t="str">
        <f>IFERROR(__xludf.DUMMYFUNCTION("""COMPUTED_VALUE"""),"Small Format")</f>
        <v>Small Format</v>
      </c>
      <c r="S2003" s="3" t="str">
        <f>IFERROR(__xludf.DUMMYFUNCTION("""COMPUTED_VALUE"""),"BCM")</f>
        <v>BCM</v>
      </c>
      <c r="T2003" s="3" t="str">
        <f>IFERROR(__xludf.DUMMYFUNCTION("""COMPUTED_VALUE"""),"#N/A")</f>
        <v>#N/A</v>
      </c>
      <c r="U2003" s="3" t="str">
        <f>IFERROR(__xludf.DUMMYFUNCTION("""COMPUTED_VALUE"""),"#N/A")</f>
        <v>#N/A</v>
      </c>
      <c r="V2003" s="3" t="str">
        <f>IFERROR(__xludf.DUMMYFUNCTION("""COMPUTED_VALUE"""),"N")</f>
        <v>N</v>
      </c>
      <c r="W2003" s="3">
        <f>IFERROR(__xludf.DUMMYFUNCTION("""COMPUTED_VALUE"""),210763.0)</f>
        <v>210763</v>
      </c>
      <c r="X2003" s="3" t="str">
        <f>IFERROR(__xludf.DUMMYFUNCTION("""COMPUTED_VALUE"""),"507 หมู่15 ตำบลหินเหล็กไฟ อำเภอหัวหิน จังหวัดประจวบคีรีขันธ์ 77110")</f>
        <v>507 หมู่15 ตำบลหินเหล็กไฟ อำเภอหัวหิน จังหวัดประจวบคีรีขันธ์ 77110</v>
      </c>
      <c r="Y2003" s="3"/>
      <c r="Z2003" s="3" t="str">
        <f>IFERROR(__xludf.DUMMYFUNCTION("""COMPUTED_VALUE"""),"หินเหล็กไฟ")</f>
        <v>หินเหล็กไฟ</v>
      </c>
      <c r="AA2003" s="3" t="str">
        <f>IFERROR(__xludf.DUMMYFUNCTION("""COMPUTED_VALUE"""),"หัวหิน")</f>
        <v>หัวหิน</v>
      </c>
      <c r="AB2003" s="3" t="str">
        <f>IFERROR(__xludf.DUMMYFUNCTION("""COMPUTED_VALUE"""),"ประจวบคีรีขันธ์")</f>
        <v>ประจวบคีรีขันธ์</v>
      </c>
      <c r="AC2003" s="3">
        <f>IFERROR(__xludf.DUMMYFUNCTION("""COMPUTED_VALUE"""),77110.0)</f>
        <v>77110</v>
      </c>
      <c r="AD2003" s="3">
        <f>IFERROR(__xludf.DUMMYFUNCTION("""COMPUTED_VALUE"""),12.563067)</f>
        <v>12.563067</v>
      </c>
      <c r="AE2003" s="3">
        <f>IFERROR(__xludf.DUMMYFUNCTION("""COMPUTED_VALUE"""),99.898597)</f>
        <v>99.898597</v>
      </c>
      <c r="AF2003" s="3" t="str">
        <f>IFERROR(__xludf.DUMMYFUNCTION("""COMPUTED_VALUE"""),"BCM หนองขอน ทับใต้ ประจวบคีรีขันธ์-22691")</f>
        <v>BCM หนองขอน ทับใต้ ประจวบคีรีขันธ์-22691</v>
      </c>
      <c r="AG2003" s="3" t="str">
        <f>IFERROR(__xludf.DUMMYFUNCTION("""COMPUTED_VALUE"""),"ตะวันตก")</f>
        <v>ตะวันตก</v>
      </c>
      <c r="AH2003" s="3" t="str">
        <f>IFERROR(__xludf.DUMMYFUNCTION("""COMPUTED_VALUE"""),"#N/A")</f>
        <v>#N/A</v>
      </c>
      <c r="AI2003" s="3" t="str">
        <f>IFERROR(__xludf.DUMMYFUNCTION("""COMPUTED_VALUE"""),"Out of warranty")</f>
        <v>Out of warranty</v>
      </c>
      <c r="AJ2003" s="3">
        <f>IFERROR(__xludf.DUMMYFUNCTION("""COMPUTED_VALUE"""),22.0)</f>
        <v>22</v>
      </c>
      <c r="AK2003" s="3"/>
      <c r="AL2003" s="3"/>
    </row>
    <row r="2004" ht="15.75" customHeight="1">
      <c r="A2004" s="1" t="str">
        <f>IFERROR(__xludf.DUMMYFUNCTION("""COMPUTED_VALUE"""),"22692")</f>
        <v>22692</v>
      </c>
      <c r="B2004" s="2">
        <f>IFERROR(__xludf.DUMMYFUNCTION("""COMPUTED_VALUE"""),22692.0)</f>
        <v>22692</v>
      </c>
      <c r="C2004" s="3" t="str">
        <f>IFERROR(__xludf.DUMMYFUNCTION("""COMPUTED_VALUE"""),"BCM ตลาดสี่วาพาสวัสดิ์ สมุทรสาคร")</f>
        <v>BCM ตลาดสี่วาพาสวัสดิ์ สมุทรสาคร</v>
      </c>
      <c r="D2004" s="3" t="str">
        <f>IFERROR(__xludf.DUMMYFUNCTION("""COMPUTED_VALUE"""),"BCM TALAD SIWA PHASAWAT")</f>
        <v>BCM TALAD SIWA PHASAWAT</v>
      </c>
      <c r="E2004" s="1" t="str">
        <f>IFERROR(__xludf.DUMMYFUNCTION("""COMPUTED_VALUE"""),"บิ๊กซี MINI")</f>
        <v>บิ๊กซี MINI</v>
      </c>
      <c r="F2004" s="1" t="str">
        <f>IFERROR(__xludf.DUMMYFUNCTION("""COMPUTED_VALUE"""),"2083447")</f>
        <v>2083447</v>
      </c>
      <c r="G2004" s="1" t="str">
        <f>IFERROR(__xludf.DUMMYFUNCTION("""COMPUTED_VALUE"""),"นายอนุกูล ศรีลัดดา")</f>
        <v>นายอนุกูล ศรีลัดดา</v>
      </c>
      <c r="H2004" s="1" t="str">
        <f>IFERROR(__xludf.DUMMYFUNCTION("""COMPUTED_VALUE"""),"2455053")</f>
        <v>2455053</v>
      </c>
      <c r="I2004" s="1" t="str">
        <f>IFERROR(__xludf.DUMMYFUNCTION("""COMPUTED_VALUE"""),"นายพันธมิตร โพธิ")</f>
        <v>นายพันธมิตร โพธิ</v>
      </c>
      <c r="J2004" s="3">
        <f>IFERROR(__xludf.DUMMYFUNCTION("""COMPUTED_VALUE"""),2451655.0)</f>
        <v>2451655</v>
      </c>
      <c r="K2004" s="3" t="str">
        <f>IFERROR(__xludf.DUMMYFUNCTION("""COMPUTED_VALUE"""),"นายวิษณุพงษ์ ชินบุตร")</f>
        <v>นายวิษณุพงษ์ ชินบุตร</v>
      </c>
      <c r="L2004" s="1" t="str">
        <f>IFERROR(__xludf.DUMMYFUNCTION("""COMPUTED_VALUE"""),"13 K.Wisanupong Ch")</f>
        <v>13 K.Wisanupong Ch</v>
      </c>
      <c r="M2004" s="1" t="str">
        <f>IFERROR(__xludf.DUMMYFUNCTION("""COMPUTED_VALUE"""),"0843374693")</f>
        <v>0843374693</v>
      </c>
      <c r="N2004" s="3">
        <f>IFERROR(__xludf.DUMMYFUNCTION("""COMPUTED_VALUE"""),22729.0)</f>
        <v>22729</v>
      </c>
      <c r="O2004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2004" s="4">
        <f>IFERROR(__xludf.DUMMYFUNCTION("""COMPUTED_VALUE"""),45397.0)</f>
        <v>45397</v>
      </c>
      <c r="Q2004" s="3" t="str">
        <f>IFERROR(__xludf.DUMMYFUNCTION("""COMPUTED_VALUE"""),"A")</f>
        <v>A</v>
      </c>
      <c r="R2004" s="3" t="str">
        <f>IFERROR(__xludf.DUMMYFUNCTION("""COMPUTED_VALUE"""),"Small Format")</f>
        <v>Small Format</v>
      </c>
      <c r="S2004" s="3" t="str">
        <f>IFERROR(__xludf.DUMMYFUNCTION("""COMPUTED_VALUE"""),"BCM")</f>
        <v>BCM</v>
      </c>
      <c r="T2004" s="3" t="str">
        <f>IFERROR(__xludf.DUMMYFUNCTION("""COMPUTED_VALUE"""),"#N/A")</f>
        <v>#N/A</v>
      </c>
      <c r="U2004" s="3" t="str">
        <f>IFERROR(__xludf.DUMMYFUNCTION("""COMPUTED_VALUE"""),"#N/A")</f>
        <v>#N/A</v>
      </c>
      <c r="V2004" s="3" t="str">
        <f>IFERROR(__xludf.DUMMYFUNCTION("""COMPUTED_VALUE"""),"N")</f>
        <v>N</v>
      </c>
      <c r="W2004" s="3">
        <f>IFERROR(__xludf.DUMMYFUNCTION("""COMPUTED_VALUE"""),210782.0)</f>
        <v>210782</v>
      </c>
      <c r="X2004" s="3" t="str">
        <f>IFERROR(__xludf.DUMMYFUNCTION("""COMPUTED_VALUE"""),"26/7 หมู่9 ตำบลนาดี อำเภอเมืองสมุทรสาคร จังหวัดสมุทรสาคร 74000")</f>
        <v>26/7 หมู่9 ตำบลนาดี อำเภอเมืองสมุทรสาคร จังหวัดสมุทรสาคร 74000</v>
      </c>
      <c r="Y2004" s="3"/>
      <c r="Z2004" s="3" t="str">
        <f>IFERROR(__xludf.DUMMYFUNCTION("""COMPUTED_VALUE"""),"นาดี")</f>
        <v>นาดี</v>
      </c>
      <c r="AA2004" s="3" t="str">
        <f>IFERROR(__xludf.DUMMYFUNCTION("""COMPUTED_VALUE"""),"เมืองสมุทรสาคร")</f>
        <v>เมืองสมุทรสาคร</v>
      </c>
      <c r="AB2004" s="3" t="str">
        <f>IFERROR(__xludf.DUMMYFUNCTION("""COMPUTED_VALUE"""),"สมุทรสาคร")</f>
        <v>สมุทรสาคร</v>
      </c>
      <c r="AC2004" s="3">
        <f>IFERROR(__xludf.DUMMYFUNCTION("""COMPUTED_VALUE"""),74000.0)</f>
        <v>74000</v>
      </c>
      <c r="AD2004" s="3">
        <f>IFERROR(__xludf.DUMMYFUNCTION("""COMPUTED_VALUE"""),13.59902)</f>
        <v>13.59902</v>
      </c>
      <c r="AE2004" s="3">
        <f>IFERROR(__xludf.DUMMYFUNCTION("""COMPUTED_VALUE"""),100.301707)</f>
        <v>100.301707</v>
      </c>
      <c r="AF2004" s="3" t="str">
        <f>IFERROR(__xludf.DUMMYFUNCTION("""COMPUTED_VALUE"""),"BCM ตลาดสี่วาพาสวัสดิ์ สมุทรสาคร-22692")</f>
        <v>BCM ตลาดสี่วาพาสวัสดิ์ สมุทรสาคร-22692</v>
      </c>
      <c r="AG2004" s="3" t="str">
        <f>IFERROR(__xludf.DUMMYFUNCTION("""COMPUTED_VALUE"""),"กลาง")</f>
        <v>กลาง</v>
      </c>
      <c r="AH2004" s="3" t="str">
        <f>IFERROR(__xludf.DUMMYFUNCTION("""COMPUTED_VALUE"""),"#N/A")</f>
        <v>#N/A</v>
      </c>
      <c r="AI2004" s="3" t="str">
        <f>IFERROR(__xludf.DUMMYFUNCTION("""COMPUTED_VALUE"""),"Out of warranty")</f>
        <v>Out of warranty</v>
      </c>
      <c r="AJ2004" s="3">
        <f>IFERROR(__xludf.DUMMYFUNCTION("""COMPUTED_VALUE"""),22.0)</f>
        <v>22</v>
      </c>
      <c r="AK2004" s="3"/>
      <c r="AL2004" s="3"/>
    </row>
    <row r="2005" ht="15.75" customHeight="1">
      <c r="A2005" s="1" t="str">
        <f>IFERROR(__xludf.DUMMYFUNCTION("""COMPUTED_VALUE"""),"22693")</f>
        <v>22693</v>
      </c>
      <c r="B2005" s="2">
        <f>IFERROR(__xludf.DUMMYFUNCTION("""COMPUTED_VALUE"""),22693.0)</f>
        <v>22693</v>
      </c>
      <c r="C2005" s="3" t="str">
        <f>IFERROR(__xludf.DUMMYFUNCTION("""COMPUTED_VALUE"""),"BCM เมืองเก่า สุโขทัย")</f>
        <v>BCM เมืองเก่า สุโขทัย</v>
      </c>
      <c r="D2005" s="3" t="str">
        <f>IFERROR(__xludf.DUMMYFUNCTION("""COMPUTED_VALUE"""),"BCM MUEANG KAO SUKHOTHAI")</f>
        <v>BCM MUEANG KAO SUKHOTHAI</v>
      </c>
      <c r="E2005" s="1" t="str">
        <f>IFERROR(__xludf.DUMMYFUNCTION("""COMPUTED_VALUE"""),"บิ๊กซี MINI")</f>
        <v>บิ๊กซี MINI</v>
      </c>
      <c r="F2005" s="1" t="str">
        <f>IFERROR(__xludf.DUMMYFUNCTION("""COMPUTED_VALUE"""),"296229")</f>
        <v>296229</v>
      </c>
      <c r="G2005" s="1" t="str">
        <f>IFERROR(__xludf.DUMMYFUNCTION("""COMPUTED_VALUE"""),"นายทนงศักดิ์ บุญมา")</f>
        <v>นายทนงศักดิ์ บุญมา</v>
      </c>
      <c r="H2005" s="1" t="str">
        <f>IFERROR(__xludf.DUMMYFUNCTION("""COMPUTED_VALUE"""),"373680")</f>
        <v>373680</v>
      </c>
      <c r="I2005" s="1" t="str">
        <f>IFERROR(__xludf.DUMMYFUNCTION("""COMPUTED_VALUE"""),"นายวสันต์ พรรณราย")</f>
        <v>นายวสันต์ พรรณราย</v>
      </c>
      <c r="J2005" s="3">
        <f>IFERROR(__xludf.DUMMYFUNCTION("""COMPUTED_VALUE"""),46214.0)</f>
        <v>46214</v>
      </c>
      <c r="K2005" s="3" t="str">
        <f>IFERROR(__xludf.DUMMYFUNCTION("""COMPUTED_VALUE"""),"นายศักดิ์ชัย เด็ดดอกฟ้า")</f>
        <v>นายศักดิ์ชัย เด็ดดอกฟ้า</v>
      </c>
      <c r="L2005" s="1" t="str">
        <f>IFERROR(__xludf.DUMMYFUNCTION("""COMPUTED_VALUE"""),"02 K.Sakchai D")</f>
        <v>02 K.Sakchai D</v>
      </c>
      <c r="M2005" s="1" t="str">
        <f>IFERROR(__xludf.DUMMYFUNCTION("""COMPUTED_VALUE"""),"065-510-7376")</f>
        <v>065-510-7376</v>
      </c>
      <c r="N2005" s="3">
        <f>IFERROR(__xludf.DUMMYFUNCTION("""COMPUTED_VALUE"""),21714.0)</f>
        <v>21714</v>
      </c>
      <c r="O2005" s="3" t="str">
        <f>IFERROR(__xludf.DUMMYFUNCTION("""COMPUTED_VALUE"""),"MBC เอสโซ่ วัดโบสถ์")</f>
        <v>MBC เอสโซ่ วัดโบสถ์</v>
      </c>
      <c r="P2005" s="4">
        <f>IFERROR(__xludf.DUMMYFUNCTION("""COMPUTED_VALUE"""),45409.0)</f>
        <v>45409</v>
      </c>
      <c r="Q2005" s="3" t="str">
        <f>IFERROR(__xludf.DUMMYFUNCTION("""COMPUTED_VALUE"""),"A")</f>
        <v>A</v>
      </c>
      <c r="R2005" s="3" t="str">
        <f>IFERROR(__xludf.DUMMYFUNCTION("""COMPUTED_VALUE"""),"Small Format")</f>
        <v>Small Format</v>
      </c>
      <c r="S2005" s="3" t="str">
        <f>IFERROR(__xludf.DUMMYFUNCTION("""COMPUTED_VALUE"""),"BCM")</f>
        <v>BCM</v>
      </c>
      <c r="T2005" s="3" t="str">
        <f>IFERROR(__xludf.DUMMYFUNCTION("""COMPUTED_VALUE"""),"#N/A")</f>
        <v>#N/A</v>
      </c>
      <c r="U2005" s="3" t="str">
        <f>IFERROR(__xludf.DUMMYFUNCTION("""COMPUTED_VALUE"""),"#N/A")</f>
        <v>#N/A</v>
      </c>
      <c r="V2005" s="3" t="str">
        <f>IFERROR(__xludf.DUMMYFUNCTION("""COMPUTED_VALUE"""),"N")</f>
        <v>N</v>
      </c>
      <c r="W2005" s="3">
        <f>IFERROR(__xludf.DUMMYFUNCTION("""COMPUTED_VALUE"""),210774.0)</f>
        <v>210774</v>
      </c>
      <c r="X2005" s="3" t="str">
        <f>IFERROR(__xludf.DUMMYFUNCTION("""COMPUTED_VALUE"""),"265/1 หมู่2 ตำบลเมืองเก่า อำเภอเมืองสุโขทัย จังหวัดสุโขทัย 64210")</f>
        <v>265/1 หมู่2 ตำบลเมืองเก่า อำเภอเมืองสุโขทัย จังหวัดสุโขทัย 64210</v>
      </c>
      <c r="Y2005" s="3"/>
      <c r="Z2005" s="3" t="str">
        <f>IFERROR(__xludf.DUMMYFUNCTION("""COMPUTED_VALUE"""),"เมืองเก่า")</f>
        <v>เมืองเก่า</v>
      </c>
      <c r="AA2005" s="3" t="str">
        <f>IFERROR(__xludf.DUMMYFUNCTION("""COMPUTED_VALUE"""),"เมืองสุโขทัย")</f>
        <v>เมืองสุโขทัย</v>
      </c>
      <c r="AB2005" s="3" t="str">
        <f>IFERROR(__xludf.DUMMYFUNCTION("""COMPUTED_VALUE"""),"สุโขทัย")</f>
        <v>สุโขทัย</v>
      </c>
      <c r="AC2005" s="3">
        <f>IFERROR(__xludf.DUMMYFUNCTION("""COMPUTED_VALUE"""),64210.0)</f>
        <v>64210</v>
      </c>
      <c r="AD2005" s="3">
        <f>IFERROR(__xludf.DUMMYFUNCTION("""COMPUTED_VALUE"""),17.018077)</f>
        <v>17.018077</v>
      </c>
      <c r="AE2005" s="3">
        <f>IFERROR(__xludf.DUMMYFUNCTION("""COMPUTED_VALUE"""),99.716564)</f>
        <v>99.716564</v>
      </c>
      <c r="AF2005" s="3" t="str">
        <f>IFERROR(__xludf.DUMMYFUNCTION("""COMPUTED_VALUE"""),"BCM เมืองเก่า สุโขทัย-22693")</f>
        <v>BCM เมืองเก่า สุโขทัย-22693</v>
      </c>
      <c r="AG2005" s="3" t="str">
        <f>IFERROR(__xludf.DUMMYFUNCTION("""COMPUTED_VALUE"""),"กลาง")</f>
        <v>กลาง</v>
      </c>
      <c r="AH2005" s="3" t="str">
        <f>IFERROR(__xludf.DUMMYFUNCTION("""COMPUTED_VALUE"""),"#N/A")</f>
        <v>#N/A</v>
      </c>
      <c r="AI2005" s="3" t="str">
        <f>IFERROR(__xludf.DUMMYFUNCTION("""COMPUTED_VALUE"""),"Out of warranty")</f>
        <v>Out of warranty</v>
      </c>
      <c r="AJ2005" s="3">
        <f>IFERROR(__xludf.DUMMYFUNCTION("""COMPUTED_VALUE"""),21.0)</f>
        <v>21</v>
      </c>
      <c r="AK2005" s="3"/>
      <c r="AL2005" s="3"/>
    </row>
    <row r="2006" ht="15.75" customHeight="1">
      <c r="A2006" s="1" t="str">
        <f>IFERROR(__xludf.DUMMYFUNCTION("""COMPUTED_VALUE"""),"22694")</f>
        <v>22694</v>
      </c>
      <c r="B2006" s="2">
        <f>IFERROR(__xludf.DUMMYFUNCTION("""COMPUTED_VALUE"""),22694.0)</f>
        <v>22694</v>
      </c>
      <c r="C2006" s="3" t="str">
        <f>IFERROR(__xludf.DUMMYFUNCTION("""COMPUTED_VALUE"""),"BCM ลาดบ้านเสียว กาฬสินธุ์")</f>
        <v>BCM ลาดบ้านเสียว กาฬสินธุ์</v>
      </c>
      <c r="D2006" s="3" t="str">
        <f>IFERROR(__xludf.DUMMYFUNCTION("""COMPUTED_VALUE"""),"BCM TALAD BAN SIAO KALASIN")</f>
        <v>BCM TALAD BAN SIAO KALASIN</v>
      </c>
      <c r="E2006" s="1" t="str">
        <f>IFERROR(__xludf.DUMMYFUNCTION("""COMPUTED_VALUE"""),"บิ๊กซี MINI")</f>
        <v>บิ๊กซี MINI</v>
      </c>
      <c r="F2006" s="1" t="str">
        <f>IFERROR(__xludf.DUMMYFUNCTION("""COMPUTED_VALUE"""),"291105")</f>
        <v>291105</v>
      </c>
      <c r="G2006" s="1" t="str">
        <f>IFERROR(__xludf.DUMMYFUNCTION("""COMPUTED_VALUE"""),"นายสราวุฒิ พณิชยกุล")</f>
        <v>นายสราวุฒิ พณิชยกุล</v>
      </c>
      <c r="H2006" s="1" t="str">
        <f>IFERROR(__xludf.DUMMYFUNCTION("""COMPUTED_VALUE"""),"392433")</f>
        <v>392433</v>
      </c>
      <c r="I2006" s="1" t="str">
        <f>IFERROR(__xludf.DUMMYFUNCTION("""COMPUTED_VALUE"""),"นายพรธิวา ใจอ่อน")</f>
        <v>นายพรธิวา ใจอ่อน</v>
      </c>
      <c r="J2006" s="3">
        <f>IFERROR(__xludf.DUMMYFUNCTION("""COMPUTED_VALUE"""),2454781.0)</f>
        <v>2454781</v>
      </c>
      <c r="K2006" s="3" t="str">
        <f>IFERROR(__xludf.DUMMYFUNCTION("""COMPUTED_VALUE"""),"นายฌานกฤช นันทะโคต")</f>
        <v>นายฌานกฤช นันทะโคต</v>
      </c>
      <c r="L2006" s="1" t="str">
        <f>IFERROR(__xludf.DUMMYFUNCTION("""COMPUTED_VALUE"""),"05 K.Chanakrit N.")</f>
        <v>05 K.Chanakrit N.</v>
      </c>
      <c r="M2006" s="1" t="str">
        <f>IFERROR(__xludf.DUMMYFUNCTION("""COMPUTED_VALUE"""),"090-978-9785 ,065-929-1320")</f>
        <v>090-978-9785 ,065-929-1320</v>
      </c>
      <c r="N2006" s="3">
        <f>IFERROR(__xludf.DUMMYFUNCTION("""COMPUTED_VALUE"""),22195.0)</f>
        <v>22195</v>
      </c>
      <c r="O2006" s="3" t="str">
        <f>IFERROR(__xludf.DUMMYFUNCTION("""COMPUTED_VALUE"""),"MBC กันทรลักษ์ ศรีสะเกษ")</f>
        <v>MBC กันทรลักษ์ ศรีสะเกษ</v>
      </c>
      <c r="P2006" s="4">
        <f>IFERROR(__xludf.DUMMYFUNCTION("""COMPUTED_VALUE"""),45408.0)</f>
        <v>45408</v>
      </c>
      <c r="Q2006" s="3" t="str">
        <f>IFERROR(__xludf.DUMMYFUNCTION("""COMPUTED_VALUE"""),"A")</f>
        <v>A</v>
      </c>
      <c r="R2006" s="3" t="str">
        <f>IFERROR(__xludf.DUMMYFUNCTION("""COMPUTED_VALUE"""),"Small Format")</f>
        <v>Small Format</v>
      </c>
      <c r="S2006" s="3" t="str">
        <f>IFERROR(__xludf.DUMMYFUNCTION("""COMPUTED_VALUE"""),"BCM")</f>
        <v>BCM</v>
      </c>
      <c r="T2006" s="3" t="str">
        <f>IFERROR(__xludf.DUMMYFUNCTION("""COMPUTED_VALUE"""),"#N/A")</f>
        <v>#N/A</v>
      </c>
      <c r="U2006" s="3" t="str">
        <f>IFERROR(__xludf.DUMMYFUNCTION("""COMPUTED_VALUE"""),"#N/A")</f>
        <v>#N/A</v>
      </c>
      <c r="V2006" s="3" t="str">
        <f>IFERROR(__xludf.DUMMYFUNCTION("""COMPUTED_VALUE"""),"N")</f>
        <v>N</v>
      </c>
      <c r="W2006" s="3">
        <f>IFERROR(__xludf.DUMMYFUNCTION("""COMPUTED_VALUE"""),210767.0)</f>
        <v>210767</v>
      </c>
      <c r="X2006" s="3" t="str">
        <f>IFERROR(__xludf.DUMMYFUNCTION("""COMPUTED_VALUE"""),"254 หมู่6 ตำบลหัวงัว อำเภอยางตลาด จังหวัดกาฬสินธุ์ 46120")</f>
        <v>254 หมู่6 ตำบลหัวงัว อำเภอยางตลาด จังหวัดกาฬสินธุ์ 46120</v>
      </c>
      <c r="Y2006" s="3"/>
      <c r="Z2006" s="3" t="str">
        <f>IFERROR(__xludf.DUMMYFUNCTION("""COMPUTED_VALUE"""),"หัวงัว")</f>
        <v>หัวงัว</v>
      </c>
      <c r="AA2006" s="3" t="str">
        <f>IFERROR(__xludf.DUMMYFUNCTION("""COMPUTED_VALUE"""),"ยางตลาด")</f>
        <v>ยางตลาด</v>
      </c>
      <c r="AB2006" s="3" t="str">
        <f>IFERROR(__xludf.DUMMYFUNCTION("""COMPUTED_VALUE"""),"กาฬสินธุ์")</f>
        <v>กาฬสินธุ์</v>
      </c>
      <c r="AC2006" s="3">
        <f>IFERROR(__xludf.DUMMYFUNCTION("""COMPUTED_VALUE"""),46120.0)</f>
        <v>46120</v>
      </c>
      <c r="AD2006" s="3">
        <f>IFERROR(__xludf.DUMMYFUNCTION("""COMPUTED_VALUE"""),16.339149)</f>
        <v>16.339149</v>
      </c>
      <c r="AE2006" s="3">
        <f>IFERROR(__xludf.DUMMYFUNCTION("""COMPUTED_VALUE"""),103.430171)</f>
        <v>103.430171</v>
      </c>
      <c r="AF2006" s="3" t="str">
        <f>IFERROR(__xludf.DUMMYFUNCTION("""COMPUTED_VALUE"""),"BCM ลาดบ้านเสียว กาฬสินธุ์-22694")</f>
        <v>BCM ลาดบ้านเสียว กาฬสินธุ์-22694</v>
      </c>
      <c r="AG2006" s="3" t="str">
        <f>IFERROR(__xludf.DUMMYFUNCTION("""COMPUTED_VALUE"""),"ตะวันออกเฉียงเหนือ")</f>
        <v>ตะวันออกเฉียงเหนือ</v>
      </c>
      <c r="AH2006" s="3" t="str">
        <f>IFERROR(__xludf.DUMMYFUNCTION("""COMPUTED_VALUE"""),"#N/A")</f>
        <v>#N/A</v>
      </c>
      <c r="AI2006" s="3" t="str">
        <f>IFERROR(__xludf.DUMMYFUNCTION("""COMPUTED_VALUE"""),"Out of warranty")</f>
        <v>Out of warranty</v>
      </c>
      <c r="AJ2006" s="3">
        <f>IFERROR(__xludf.DUMMYFUNCTION("""COMPUTED_VALUE"""),21.0)</f>
        <v>21</v>
      </c>
      <c r="AK2006" s="3"/>
      <c r="AL2006" s="3"/>
    </row>
    <row r="2007" ht="15.75" customHeight="1">
      <c r="A2007" s="1" t="str">
        <f>IFERROR(__xludf.DUMMYFUNCTION("""COMPUTED_VALUE"""),"22695")</f>
        <v>22695</v>
      </c>
      <c r="B2007" s="2">
        <f>IFERROR(__xludf.DUMMYFUNCTION("""COMPUTED_VALUE"""),22695.0)</f>
        <v>22695</v>
      </c>
      <c r="C2007" s="3" t="str">
        <f>IFERROR(__xludf.DUMMYFUNCTION("""COMPUTED_VALUE"""),"BCM กระสัง บุรีรัมย์")</f>
        <v>BCM กระสัง บุรีรัมย์</v>
      </c>
      <c r="D2007" s="3" t="str">
        <f>IFERROR(__xludf.DUMMYFUNCTION("""COMPUTED_VALUE"""),"BCM KRASANG BURIRAM")</f>
        <v>BCM KRASANG BURIRAM</v>
      </c>
      <c r="E2007" s="1" t="str">
        <f>IFERROR(__xludf.DUMMYFUNCTION("""COMPUTED_VALUE"""),"บิ๊กซี MINI")</f>
        <v>บิ๊กซี MINI</v>
      </c>
      <c r="F2007" s="1" t="str">
        <f>IFERROR(__xludf.DUMMYFUNCTION("""COMPUTED_VALUE"""),"291105")</f>
        <v>291105</v>
      </c>
      <c r="G2007" s="1" t="str">
        <f>IFERROR(__xludf.DUMMYFUNCTION("""COMPUTED_VALUE"""),"นายสราวุฒิ พณิชยกุล")</f>
        <v>นายสราวุฒิ พณิชยกุล</v>
      </c>
      <c r="H2007" s="1" t="str">
        <f>IFERROR(__xludf.DUMMYFUNCTION("""COMPUTED_VALUE"""),"398136")</f>
        <v>398136</v>
      </c>
      <c r="I2007" s="1" t="str">
        <f>IFERROR(__xludf.DUMMYFUNCTION("""COMPUTED_VALUE"""),"นายประยูร ธาดาวงษา")</f>
        <v>นายประยูร ธาดาวงษา</v>
      </c>
      <c r="J2007" s="3">
        <f>IFERROR(__xludf.DUMMYFUNCTION("""COMPUTED_VALUE"""),15361.0)</f>
        <v>15361</v>
      </c>
      <c r="K2007" s="3" t="str">
        <f>IFERROR(__xludf.DUMMYFUNCTION("""COMPUTED_VALUE"""),"นายสมบูรณ์ พรหมในเมือง")</f>
        <v>นายสมบูรณ์ พรหมในเมือง</v>
      </c>
      <c r="L2007" s="1" t="str">
        <f>IFERROR(__xludf.DUMMYFUNCTION("""COMPUTED_VALUE"""),"04 K.Somboon P.")</f>
        <v>04 K.Somboon P.</v>
      </c>
      <c r="M2007" s="1" t="str">
        <f>IFERROR(__xludf.DUMMYFUNCTION("""COMPUTED_VALUE"""),"087-965-3051")</f>
        <v>087-965-3051</v>
      </c>
      <c r="N2007" s="3">
        <f>IFERROR(__xludf.DUMMYFUNCTION("""COMPUTED_VALUE"""),21869.0)</f>
        <v>21869</v>
      </c>
      <c r="O2007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2007" s="4">
        <f>IFERROR(__xludf.DUMMYFUNCTION("""COMPUTED_VALUE"""),45476.0)</f>
        <v>45476</v>
      </c>
      <c r="Q2007" s="3" t="str">
        <f>IFERROR(__xludf.DUMMYFUNCTION("""COMPUTED_VALUE"""),"A")</f>
        <v>A</v>
      </c>
      <c r="R2007" s="3" t="str">
        <f>IFERROR(__xludf.DUMMYFUNCTION("""COMPUTED_VALUE"""),"Small Format")</f>
        <v>Small Format</v>
      </c>
      <c r="S2007" s="3" t="str">
        <f>IFERROR(__xludf.DUMMYFUNCTION("""COMPUTED_VALUE"""),"BCM")</f>
        <v>BCM</v>
      </c>
      <c r="T2007" s="3" t="str">
        <f>IFERROR(__xludf.DUMMYFUNCTION("""COMPUTED_VALUE"""),"#N/A")</f>
        <v>#N/A</v>
      </c>
      <c r="U2007" s="3" t="str">
        <f>IFERROR(__xludf.DUMMYFUNCTION("""COMPUTED_VALUE"""),"#N/A")</f>
        <v>#N/A</v>
      </c>
      <c r="V2007" s="3" t="str">
        <f>IFERROR(__xludf.DUMMYFUNCTION("""COMPUTED_VALUE"""),"N")</f>
        <v>N</v>
      </c>
      <c r="W2007" s="3">
        <f>IFERROR(__xludf.DUMMYFUNCTION("""COMPUTED_VALUE"""),210708.0)</f>
        <v>210708</v>
      </c>
      <c r="X2007" s="3" t="str">
        <f>IFERROR(__xludf.DUMMYFUNCTION("""COMPUTED_VALUE"""),"7 หมู่9 ตำบลกระสัง อำเภอกระสัง จังหวัดบุรีรัมย์ 31190")</f>
        <v>7 หมู่9 ตำบลกระสัง อำเภอกระสัง จังหวัดบุรีรัมย์ 31190</v>
      </c>
      <c r="Y2007" s="3"/>
      <c r="Z2007" s="3" t="str">
        <f>IFERROR(__xludf.DUMMYFUNCTION("""COMPUTED_VALUE"""),"กระสัง")</f>
        <v>กระสัง</v>
      </c>
      <c r="AA2007" s="3" t="str">
        <f>IFERROR(__xludf.DUMMYFUNCTION("""COMPUTED_VALUE"""),"กระสัง")</f>
        <v>กระสัง</v>
      </c>
      <c r="AB2007" s="3" t="str">
        <f>IFERROR(__xludf.DUMMYFUNCTION("""COMPUTED_VALUE"""),"บุรีรัมย์")</f>
        <v>บุรีรัมย์</v>
      </c>
      <c r="AC2007" s="3">
        <f>IFERROR(__xludf.DUMMYFUNCTION("""COMPUTED_VALUE"""),31190.0)</f>
        <v>31190</v>
      </c>
      <c r="AD2007" s="3">
        <f>IFERROR(__xludf.DUMMYFUNCTION("""COMPUTED_VALUE"""),14.92347)</f>
        <v>14.92347</v>
      </c>
      <c r="AE2007" s="3">
        <f>IFERROR(__xludf.DUMMYFUNCTION("""COMPUTED_VALUE"""),103.303998)</f>
        <v>103.303998</v>
      </c>
      <c r="AF2007" s="3" t="str">
        <f>IFERROR(__xludf.DUMMYFUNCTION("""COMPUTED_VALUE"""),"BCM กระสัง บุรีรัมย์-22695")</f>
        <v>BCM กระสัง บุรีรัมย์-22695</v>
      </c>
      <c r="AG2007" s="3" t="str">
        <f>IFERROR(__xludf.DUMMYFUNCTION("""COMPUTED_VALUE"""),"ตะวันออกเฉียงเหนือ")</f>
        <v>ตะวันออกเฉียงเหนือ</v>
      </c>
      <c r="AH2007" s="3" t="str">
        <f>IFERROR(__xludf.DUMMYFUNCTION("""COMPUTED_VALUE"""),"#N/A")</f>
        <v>#N/A</v>
      </c>
      <c r="AI2007" s="3" t="str">
        <f>IFERROR(__xludf.DUMMYFUNCTION("""COMPUTED_VALUE"""),"Out of warranty")</f>
        <v>Out of warranty</v>
      </c>
      <c r="AJ2007" s="3">
        <f>IFERROR(__xludf.DUMMYFUNCTION("""COMPUTED_VALUE"""),19.0)</f>
        <v>19</v>
      </c>
      <c r="AK2007" s="3"/>
      <c r="AL2007" s="3"/>
    </row>
    <row r="2008" ht="15.75" customHeight="1">
      <c r="A2008" s="1" t="str">
        <f>IFERROR(__xludf.DUMMYFUNCTION("""COMPUTED_VALUE"""),"22696")</f>
        <v>22696</v>
      </c>
      <c r="B2008" s="2">
        <f>IFERROR(__xludf.DUMMYFUNCTION("""COMPUTED_VALUE"""),22696.0)</f>
        <v>22696</v>
      </c>
      <c r="C2008" s="3" t="str">
        <f>IFERROR(__xludf.DUMMYFUNCTION("""COMPUTED_VALUE"""),"BCM BJC1")</f>
        <v>BCM BJC1</v>
      </c>
      <c r="D2008" s="3" t="str">
        <f>IFERROR(__xludf.DUMMYFUNCTION("""COMPUTED_VALUE"""),"BCM MINI BJC1")</f>
        <v>BCM MINI BJC1</v>
      </c>
      <c r="E2008" s="1" t="str">
        <f>IFERROR(__xludf.DUMMYFUNCTION("""COMPUTED_VALUE"""),"บิ๊กซี MINI")</f>
        <v>บิ๊กซี MINI</v>
      </c>
      <c r="F2008" s="1" t="str">
        <f>IFERROR(__xludf.DUMMYFUNCTION("""COMPUTED_VALUE"""),"291008")</f>
        <v>291008</v>
      </c>
      <c r="G2008" s="1" t="str">
        <f>IFERROR(__xludf.DUMMYFUNCTION("""COMPUTED_VALUE"""),"น.ส.รัชดาพร อีศรัตน์")</f>
        <v>น.ส.รัชดาพร อีศรัตน์</v>
      </c>
      <c r="H2008" s="1" t="str">
        <f>IFERROR(__xludf.DUMMYFUNCTION("""COMPUTED_VALUE"""),"359002")</f>
        <v>359002</v>
      </c>
      <c r="I2008" s="1" t="str">
        <f>IFERROR(__xludf.DUMMYFUNCTION("""COMPUTED_VALUE"""),"น.ส.นิตยา สมจิตร")</f>
        <v>น.ส.นิตยา สมจิตร</v>
      </c>
      <c r="J2008" s="3">
        <f>IFERROR(__xludf.DUMMYFUNCTION("""COMPUTED_VALUE"""),3510104.0)</f>
        <v>3510104</v>
      </c>
      <c r="K2008" s="3" t="str">
        <f>IFERROR(__xludf.DUMMYFUNCTION("""COMPUTED_VALUE"""),"นายวิโรจน์ อับดุลสมัด")</f>
        <v>นายวิโรจน์ อับดุลสมัด</v>
      </c>
      <c r="L2008" s="1" t="str">
        <f>IFERROR(__xludf.DUMMYFUNCTION("""COMPUTED_VALUE"""),"09 K.Wirode A")</f>
        <v>09 K.Wirode A</v>
      </c>
      <c r="M2008" s="1" t="str">
        <f>IFERROR(__xludf.DUMMYFUNCTION("""COMPUTED_VALUE"""),"080-235-4465")</f>
        <v>080-235-4465</v>
      </c>
      <c r="N2008" s="3">
        <f>IFERROR(__xludf.DUMMYFUNCTION("""COMPUTED_VALUE"""),21324.0)</f>
        <v>21324</v>
      </c>
      <c r="O2008" s="3" t="str">
        <f>IFERROR(__xludf.DUMMYFUNCTION("""COMPUTED_VALUE"""),"MBC BCP สุวินทวงศ์")</f>
        <v>MBC BCP สุวินทวงศ์</v>
      </c>
      <c r="P2008" s="4">
        <f>IFERROR(__xludf.DUMMYFUNCTION("""COMPUTED_VALUE"""),45561.0)</f>
        <v>45561</v>
      </c>
      <c r="Q2008" s="3" t="str">
        <f>IFERROR(__xludf.DUMMYFUNCTION("""COMPUTED_VALUE"""),"A")</f>
        <v>A</v>
      </c>
      <c r="R2008" s="3" t="str">
        <f>IFERROR(__xludf.DUMMYFUNCTION("""COMPUTED_VALUE"""),"Small Format")</f>
        <v>Small Format</v>
      </c>
      <c r="S2008" s="3" t="str">
        <f>IFERROR(__xludf.DUMMYFUNCTION("""COMPUTED_VALUE"""),"BCM")</f>
        <v>BCM</v>
      </c>
      <c r="T2008" s="3" t="str">
        <f>IFERROR(__xludf.DUMMYFUNCTION("""COMPUTED_VALUE"""),"#N/A")</f>
        <v>#N/A</v>
      </c>
      <c r="U2008" s="3" t="str">
        <f>IFERROR(__xludf.DUMMYFUNCTION("""COMPUTED_VALUE"""),"#N/A")</f>
        <v>#N/A</v>
      </c>
      <c r="V2008" s="3" t="str">
        <f>IFERROR(__xludf.DUMMYFUNCTION("""COMPUTED_VALUE"""),"N")</f>
        <v>N</v>
      </c>
      <c r="W2008" s="3">
        <f>IFERROR(__xludf.DUMMYFUNCTION("""COMPUTED_VALUE"""),210799.0)</f>
        <v>210799</v>
      </c>
      <c r="X2008" s="3" t="str">
        <f>IFERROR(__xludf.DUMMYFUNCTION("""COMPUTED_VALUE"""),"99/1 ซอยแสงจันทร์-รูเบีย แขวงพระโขนง เขตคลองเตย กรุงเทพมหานคร 10110")</f>
        <v>99/1 ซอยแสงจันทร์-รูเบีย แขวงพระโขนง เขตคลองเตย กรุงเทพมหานคร 10110</v>
      </c>
      <c r="Y2008" s="3" t="str">
        <f>IFERROR(__xludf.DUMMYFUNCTION("""COMPUTED_VALUE"""),"แสงจันทร์-รูเบีย")</f>
        <v>แสงจันทร์-รูเบีย</v>
      </c>
      <c r="Z2008" s="3" t="str">
        <f>IFERROR(__xludf.DUMMYFUNCTION("""COMPUTED_VALUE"""),"พระโขนง")</f>
        <v>พระโขนง</v>
      </c>
      <c r="AA2008" s="3" t="str">
        <f>IFERROR(__xludf.DUMMYFUNCTION("""COMPUTED_VALUE"""),"คลองเตย")</f>
        <v>คลองเตย</v>
      </c>
      <c r="AB2008" s="3" t="str">
        <f>IFERROR(__xludf.DUMMYFUNCTION("""COMPUTED_VALUE"""),"กรุงเทพมหานคร")</f>
        <v>กรุงเทพมหานคร</v>
      </c>
      <c r="AC2008" s="3">
        <f>IFERROR(__xludf.DUMMYFUNCTION("""COMPUTED_VALUE"""),10110.0)</f>
        <v>10110</v>
      </c>
      <c r="AD2008" s="3">
        <f>IFERROR(__xludf.DUMMYFUNCTION("""COMPUTED_VALUE"""),13.71508222)</f>
        <v>13.71508222</v>
      </c>
      <c r="AE2008" s="3">
        <f>IFERROR(__xludf.DUMMYFUNCTION("""COMPUTED_VALUE"""),100.5864384)</f>
        <v>100.5864384</v>
      </c>
      <c r="AF2008" s="3" t="str">
        <f>IFERROR(__xludf.DUMMYFUNCTION("""COMPUTED_VALUE"""),"BCM BJC1-22696")</f>
        <v>BCM BJC1-22696</v>
      </c>
      <c r="AG2008" s="3" t="str">
        <f>IFERROR(__xludf.DUMMYFUNCTION("""COMPUTED_VALUE"""),"กลาง")</f>
        <v>กลาง</v>
      </c>
      <c r="AH2008" s="3" t="str">
        <f>IFERROR(__xludf.DUMMYFUNCTION("""COMPUTED_VALUE"""),"#N/A")</f>
        <v>#N/A</v>
      </c>
      <c r="AI2008" s="3" t="str">
        <f>IFERROR(__xludf.DUMMYFUNCTION("""COMPUTED_VALUE"""),"Out of warranty")</f>
        <v>Out of warranty</v>
      </c>
      <c r="AJ2008" s="3">
        <f>IFERROR(__xludf.DUMMYFUNCTION("""COMPUTED_VALUE"""),16.0)</f>
        <v>16</v>
      </c>
      <c r="AK2008" s="3"/>
      <c r="AL2008" s="3"/>
    </row>
    <row r="2009" ht="15.75" customHeight="1">
      <c r="A2009" s="1" t="str">
        <f>IFERROR(__xludf.DUMMYFUNCTION("""COMPUTED_VALUE"""),"22697")</f>
        <v>22697</v>
      </c>
      <c r="B2009" s="2">
        <f>IFERROR(__xludf.DUMMYFUNCTION("""COMPUTED_VALUE"""),22697.0)</f>
        <v>22697</v>
      </c>
      <c r="C2009" s="3" t="str">
        <f>IFERROR(__xludf.DUMMYFUNCTION("""COMPUTED_VALUE"""),"BCM วัน แบงค็อก")</f>
        <v>BCM วัน แบงค็อก</v>
      </c>
      <c r="D2009" s="3" t="str">
        <f>IFERROR(__xludf.DUMMYFUNCTION("""COMPUTED_VALUE"""),"BCM ONE BANGKOK BANGKOK")</f>
        <v>BCM ONE BANGKOK BANGKOK</v>
      </c>
      <c r="E2009" s="1" t="str">
        <f>IFERROR(__xludf.DUMMYFUNCTION("""COMPUTED_VALUE"""),"บิ๊กซี MINI")</f>
        <v>บิ๊กซี MINI</v>
      </c>
      <c r="F2009" s="1" t="str">
        <f>IFERROR(__xludf.DUMMYFUNCTION("""COMPUTED_VALUE"""),"291008")</f>
        <v>291008</v>
      </c>
      <c r="G2009" s="1" t="str">
        <f>IFERROR(__xludf.DUMMYFUNCTION("""COMPUTED_VALUE"""),"น.ส.รัชดาพร อีศรัตน์")</f>
        <v>น.ส.รัชดาพร อีศรัตน์</v>
      </c>
      <c r="H2009" s="1" t="str">
        <f>IFERROR(__xludf.DUMMYFUNCTION("""COMPUTED_VALUE"""),"468773")</f>
        <v>468773</v>
      </c>
      <c r="I2009" s="1" t="str">
        <f>IFERROR(__xludf.DUMMYFUNCTION("""COMPUTED_VALUE"""),"น.ส.พรพรรณ แซ่แต้")</f>
        <v>น.ส.พรพรรณ แซ่แต้</v>
      </c>
      <c r="J2009" s="3">
        <f>IFERROR(__xludf.DUMMYFUNCTION("""COMPUTED_VALUE"""),2452378.0)</f>
        <v>2452378</v>
      </c>
      <c r="K2009" s="3" t="str">
        <f>IFERROR(__xludf.DUMMYFUNCTION("""COMPUTED_VALUE"""),"นายศักดิ์ดา พวงประดับ")</f>
        <v>นายศักดิ์ดา พวงประดับ</v>
      </c>
      <c r="L2009" s="1" t="str">
        <f>IFERROR(__xludf.DUMMYFUNCTION("""COMPUTED_VALUE"""),"11 K.Sakda P.")</f>
        <v>11 K.Sakda P.</v>
      </c>
      <c r="M2009" s="1" t="str">
        <f>IFERROR(__xludf.DUMMYFUNCTION("""COMPUTED_VALUE"""),"065-929-1279")</f>
        <v>065-929-1279</v>
      </c>
      <c r="N2009" s="3">
        <f>IFERROR(__xludf.DUMMYFUNCTION("""COMPUTED_VALUE"""),21002.0)</f>
        <v>21002</v>
      </c>
      <c r="O2009" s="3" t="str">
        <f>IFERROR(__xludf.DUMMYFUNCTION("""COMPUTED_VALUE"""),"MBC อุดมสุข")</f>
        <v>MBC อุดมสุข</v>
      </c>
      <c r="P2009" s="4">
        <f>IFERROR(__xludf.DUMMYFUNCTION("""COMPUTED_VALUE"""),45590.0)</f>
        <v>45590</v>
      </c>
      <c r="Q2009" s="3" t="str">
        <f>IFERROR(__xludf.DUMMYFUNCTION("""COMPUTED_VALUE"""),"A")</f>
        <v>A</v>
      </c>
      <c r="R2009" s="3" t="str">
        <f>IFERROR(__xludf.DUMMYFUNCTION("""COMPUTED_VALUE"""),"Small Format")</f>
        <v>Small Format</v>
      </c>
      <c r="S2009" s="3" t="str">
        <f>IFERROR(__xludf.DUMMYFUNCTION("""COMPUTED_VALUE"""),"BCM")</f>
        <v>BCM</v>
      </c>
      <c r="T2009" s="3" t="str">
        <f>IFERROR(__xludf.DUMMYFUNCTION("""COMPUTED_VALUE"""),"#N/A")</f>
        <v>#N/A</v>
      </c>
      <c r="U2009" s="3" t="str">
        <f>IFERROR(__xludf.DUMMYFUNCTION("""COMPUTED_VALUE"""),"#N/A")</f>
        <v>#N/A</v>
      </c>
      <c r="V2009" s="3" t="str">
        <f>IFERROR(__xludf.DUMMYFUNCTION("""COMPUTED_VALUE"""),"N")</f>
        <v>N</v>
      </c>
      <c r="W2009" s="3">
        <f>IFERROR(__xludf.DUMMYFUNCTION("""COMPUTED_VALUE"""),210800.0)</f>
        <v>210800</v>
      </c>
      <c r="X2009" s="3" t="str">
        <f>IFERROR(__xludf.DUMMYFUNCTION("""COMPUTED_VALUE"""),"อาคาร ฟอรัม ห้องเลขที่ FG01 ชั้นที่ G เลขที่ 197 ถนนวิทยุ แขวงลุมพินี เขตปทุมวัน กรุงเทพมหานคร 10330")</f>
        <v>อาคาร ฟอรัม ห้องเลขที่ FG01 ชั้นที่ G เลขที่ 197 ถนนวิทยุ แขวงลุมพินี เขตปทุมวัน กรุงเทพมหานคร 10330</v>
      </c>
      <c r="Y2009" s="3" t="str">
        <f>IFERROR(__xludf.DUMMYFUNCTION("""COMPUTED_VALUE"""),"วิทยุ")</f>
        <v>วิทยุ</v>
      </c>
      <c r="Z2009" s="3" t="str">
        <f>IFERROR(__xludf.DUMMYFUNCTION("""COMPUTED_VALUE"""),"ลุมพินี")</f>
        <v>ลุมพินี</v>
      </c>
      <c r="AA2009" s="3" t="str">
        <f>IFERROR(__xludf.DUMMYFUNCTION("""COMPUTED_VALUE"""),"ปทุมวัน")</f>
        <v>ปทุมวัน</v>
      </c>
      <c r="AB2009" s="3" t="str">
        <f>IFERROR(__xludf.DUMMYFUNCTION("""COMPUTED_VALUE"""),"กรุงเทพมหานคร")</f>
        <v>กรุงเทพมหานคร</v>
      </c>
      <c r="AC2009" s="3">
        <f>IFERROR(__xludf.DUMMYFUNCTION("""COMPUTED_VALUE"""),10330.0)</f>
        <v>10330</v>
      </c>
      <c r="AD2009" s="3">
        <f>IFERROR(__xludf.DUMMYFUNCTION("""COMPUTED_VALUE"""),13.71508222)</f>
        <v>13.71508222</v>
      </c>
      <c r="AE2009" s="3">
        <f>IFERROR(__xludf.DUMMYFUNCTION("""COMPUTED_VALUE"""),100.5864384)</f>
        <v>100.5864384</v>
      </c>
      <c r="AF2009" s="3" t="str">
        <f>IFERROR(__xludf.DUMMYFUNCTION("""COMPUTED_VALUE"""),"BCM วัน แบงค็อก-22697")</f>
        <v>BCM วัน แบงค็อก-22697</v>
      </c>
      <c r="AG2009" s="3" t="str">
        <f>IFERROR(__xludf.DUMMYFUNCTION("""COMPUTED_VALUE"""),"กลาง")</f>
        <v>กลาง</v>
      </c>
      <c r="AH2009" s="3" t="str">
        <f>IFERROR(__xludf.DUMMYFUNCTION("""COMPUTED_VALUE"""),"#N/A")</f>
        <v>#N/A</v>
      </c>
      <c r="AI2009" s="3" t="str">
        <f>IFERROR(__xludf.DUMMYFUNCTION("""COMPUTED_VALUE"""),"Out of warranty")</f>
        <v>Out of warranty</v>
      </c>
      <c r="AJ2009" s="3">
        <f>IFERROR(__xludf.DUMMYFUNCTION("""COMPUTED_VALUE"""),15.0)</f>
        <v>15</v>
      </c>
      <c r="AK2009" s="3"/>
      <c r="AL2009" s="3"/>
    </row>
    <row r="2010" ht="15.75" customHeight="1">
      <c r="A2010" s="1" t="str">
        <f>IFERROR(__xludf.DUMMYFUNCTION("""COMPUTED_VALUE"""),"22698")</f>
        <v>22698</v>
      </c>
      <c r="B2010" s="2">
        <f>IFERROR(__xludf.DUMMYFUNCTION("""COMPUTED_VALUE"""),22698.0)</f>
        <v>22698</v>
      </c>
      <c r="C2010" s="3" t="str">
        <f>IFERROR(__xludf.DUMMYFUNCTION("""COMPUTED_VALUE"""),"BCM พระแอะ(เกาะลันตา) กระบี่")</f>
        <v>BCM พระแอะ(เกาะลันตา) กระบี่</v>
      </c>
      <c r="D2010" s="3" t="str">
        <f>IFERROR(__xludf.DUMMYFUNCTION("""COMPUTED_VALUE"""),"BCM BAN PHRAAE(KOHLANTA) KRABI")</f>
        <v>BCM BAN PHRAAE(KOHLANTA) KRABI</v>
      </c>
      <c r="E2010" s="1" t="str">
        <f>IFERROR(__xludf.DUMMYFUNCTION("""COMPUTED_VALUE"""),"บิ๊กซี MINI")</f>
        <v>บิ๊กซี MINI</v>
      </c>
      <c r="F2010" s="1" t="str">
        <f>IFERROR(__xludf.DUMMYFUNCTION("""COMPUTED_VALUE"""),"250760")</f>
        <v>250760</v>
      </c>
      <c r="G2010" s="1" t="str">
        <f>IFERROR(__xludf.DUMMYFUNCTION("""COMPUTED_VALUE"""),"นายประทวน สาราบรรณ์")</f>
        <v>นายประทวน สาราบรรณ์</v>
      </c>
      <c r="H2010" s="1" t="str">
        <f>IFERROR(__xludf.DUMMYFUNCTION("""COMPUTED_VALUE"""),"394143")</f>
        <v>394143</v>
      </c>
      <c r="I2010" s="1" t="str">
        <f>IFERROR(__xludf.DUMMYFUNCTION("""COMPUTED_VALUE"""),"นายวิษณุ เพชรหัตถ์")</f>
        <v>นายวิษณุ เพชรหัตถ์</v>
      </c>
      <c r="J2010" s="3">
        <f>IFERROR(__xludf.DUMMYFUNCTION("""COMPUTED_VALUE"""),2.0470331E7)</f>
        <v>20470331</v>
      </c>
      <c r="K2010" s="3" t="str">
        <f>IFERROR(__xludf.DUMMYFUNCTION("""COMPUTED_VALUE"""),"นายสมชาย ลักษณะสุวรรณ")</f>
        <v>นายสมชาย ลักษณะสุวรรณ</v>
      </c>
      <c r="L2010" s="1" t="str">
        <f>IFERROR(__xludf.DUMMYFUNCTION("""COMPUTED_VALUE"""),"15 K.Somchai L")</f>
        <v>15 K.Somchai L</v>
      </c>
      <c r="M2010" s="1" t="str">
        <f>IFERROR(__xludf.DUMMYFUNCTION("""COMPUTED_VALUE"""),"0655107372")</f>
        <v>0655107372</v>
      </c>
      <c r="N2010" s="3">
        <f>IFERROR(__xludf.DUMMYFUNCTION("""COMPUTED_VALUE"""),21723.0)</f>
        <v>21723</v>
      </c>
      <c r="O2010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2010" s="4">
        <f>IFERROR(__xludf.DUMMYFUNCTION("""COMPUTED_VALUE"""),45648.0)</f>
        <v>45648</v>
      </c>
      <c r="Q2010" s="3" t="str">
        <f>IFERROR(__xludf.DUMMYFUNCTION("""COMPUTED_VALUE"""),"A")</f>
        <v>A</v>
      </c>
      <c r="R2010" s="3" t="str">
        <f>IFERROR(__xludf.DUMMYFUNCTION("""COMPUTED_VALUE"""),"Small Format")</f>
        <v>Small Format</v>
      </c>
      <c r="S2010" s="3" t="str">
        <f>IFERROR(__xludf.DUMMYFUNCTION("""COMPUTED_VALUE"""),"BCM")</f>
        <v>BCM</v>
      </c>
      <c r="T2010" s="3" t="str">
        <f>IFERROR(__xludf.DUMMYFUNCTION("""COMPUTED_VALUE"""),"#N/A")</f>
        <v>#N/A</v>
      </c>
      <c r="U2010" s="3" t="str">
        <f>IFERROR(__xludf.DUMMYFUNCTION("""COMPUTED_VALUE"""),"#N/A")</f>
        <v>#N/A</v>
      </c>
      <c r="V2010" s="3" t="str">
        <f>IFERROR(__xludf.DUMMYFUNCTION("""COMPUTED_VALUE"""),"N")</f>
        <v>N</v>
      </c>
      <c r="W2010" s="3">
        <f>IFERROR(__xludf.DUMMYFUNCTION("""COMPUTED_VALUE"""),210688.0)</f>
        <v>210688</v>
      </c>
      <c r="X2010" s="3" t="str">
        <f>IFERROR(__xludf.DUMMYFUNCTION("""COMPUTED_VALUE"""),"1139 หมู่ 2 ตำบลศาลาด่าน อำเภอเกาะลันตา จังหวัดกระบี่ 81150")</f>
        <v>1139 หมู่ 2 ตำบลศาลาด่าน อำเภอเกาะลันตา จังหวัดกระบี่ 81150</v>
      </c>
      <c r="Y2010" s="3"/>
      <c r="Z2010" s="3" t="str">
        <f>IFERROR(__xludf.DUMMYFUNCTION("""COMPUTED_VALUE"""),"ศาลาด่าน")</f>
        <v>ศาลาด่าน</v>
      </c>
      <c r="AA2010" s="3" t="str">
        <f>IFERROR(__xludf.DUMMYFUNCTION("""COMPUTED_VALUE"""),"เกาะลันตา")</f>
        <v>เกาะลันตา</v>
      </c>
      <c r="AB2010" s="3" t="str">
        <f>IFERROR(__xludf.DUMMYFUNCTION("""COMPUTED_VALUE"""),"กระบี่")</f>
        <v>กระบี่</v>
      </c>
      <c r="AC2010" s="3">
        <f>IFERROR(__xludf.DUMMYFUNCTION("""COMPUTED_VALUE"""),81150.0)</f>
        <v>81150</v>
      </c>
      <c r="AD2010" s="3">
        <f>IFERROR(__xludf.DUMMYFUNCTION("""COMPUTED_VALUE"""),7.601207)</f>
        <v>7.601207</v>
      </c>
      <c r="AE2010" s="3" t="str">
        <f>IFERROR(__xludf.DUMMYFUNCTION("""COMPUTED_VALUE"""),"99.03654 7")</f>
        <v>99.03654 7</v>
      </c>
      <c r="AF2010" s="3" t="str">
        <f>IFERROR(__xludf.DUMMYFUNCTION("""COMPUTED_VALUE"""),"BCM พระแอะ(เกาะลันตา) กระบี่-22698")</f>
        <v>BCM พระแอะ(เกาะลันตา) กระบี่-22698</v>
      </c>
      <c r="AG2010" s="3" t="str">
        <f>IFERROR(__xludf.DUMMYFUNCTION("""COMPUTED_VALUE"""),"ใต้")</f>
        <v>ใต้</v>
      </c>
      <c r="AH2010" s="3" t="str">
        <f>IFERROR(__xludf.DUMMYFUNCTION("""COMPUTED_VALUE"""),"#N/A")</f>
        <v>#N/A</v>
      </c>
      <c r="AI2010" s="3" t="str">
        <f>IFERROR(__xludf.DUMMYFUNCTION("""COMPUTED_VALUE"""),"Out of warranty")</f>
        <v>Out of warranty</v>
      </c>
      <c r="AJ2010" s="3">
        <f>IFERROR(__xludf.DUMMYFUNCTION("""COMPUTED_VALUE"""),13.0)</f>
        <v>13</v>
      </c>
      <c r="AK2010" s="3"/>
      <c r="AL2010" s="3"/>
    </row>
    <row r="2011" ht="15.75" customHeight="1">
      <c r="A2011" s="1" t="str">
        <f>IFERROR(__xludf.DUMMYFUNCTION("""COMPUTED_VALUE"""),"22699")</f>
        <v>22699</v>
      </c>
      <c r="B2011" s="2">
        <f>IFERROR(__xludf.DUMMYFUNCTION("""COMPUTED_VALUE"""),22699.0)</f>
        <v>22699</v>
      </c>
      <c r="C2011" s="3" t="str">
        <f>IFERROR(__xludf.DUMMYFUNCTION("""COMPUTED_VALUE"""),"BCM หาดคลองดาว(เกาะลันตา) กระบี่")</f>
        <v>BCM หาดคลองดาว(เกาะลันตา) กระบี่</v>
      </c>
      <c r="D2011" s="3" t="str">
        <f>IFERROR(__xludf.DUMMYFUNCTION("""COMPUTED_VALUE"""),"BCM HADKLONGDAO(KOHLANTA)KRABI")</f>
        <v>BCM HADKLONGDAO(KOHLANTA)KRABI</v>
      </c>
      <c r="E2011" s="1" t="str">
        <f>IFERROR(__xludf.DUMMYFUNCTION("""COMPUTED_VALUE"""),"บิ๊กซี MINI")</f>
        <v>บิ๊กซี MINI</v>
      </c>
      <c r="F2011" s="1" t="str">
        <f>IFERROR(__xludf.DUMMYFUNCTION("""COMPUTED_VALUE"""),"250760")</f>
        <v>250760</v>
      </c>
      <c r="G2011" s="1" t="str">
        <f>IFERROR(__xludf.DUMMYFUNCTION("""COMPUTED_VALUE"""),"นายประทวน สาราบรรณ์")</f>
        <v>นายประทวน สาราบรรณ์</v>
      </c>
      <c r="H2011" s="1" t="str">
        <f>IFERROR(__xludf.DUMMYFUNCTION("""COMPUTED_VALUE"""),"394143")</f>
        <v>394143</v>
      </c>
      <c r="I2011" s="1" t="str">
        <f>IFERROR(__xludf.DUMMYFUNCTION("""COMPUTED_VALUE"""),"นายวิษณุ เพชรหัตถ์")</f>
        <v>นายวิษณุ เพชรหัตถ์</v>
      </c>
      <c r="J2011" s="3">
        <f>IFERROR(__xludf.DUMMYFUNCTION("""COMPUTED_VALUE"""),2.0470331E7)</f>
        <v>20470331</v>
      </c>
      <c r="K2011" s="3" t="str">
        <f>IFERROR(__xludf.DUMMYFUNCTION("""COMPUTED_VALUE"""),"นายสมชาย ลักษณะสุวรรณ")</f>
        <v>นายสมชาย ลักษณะสุวรรณ</v>
      </c>
      <c r="L2011" s="1" t="str">
        <f>IFERROR(__xludf.DUMMYFUNCTION("""COMPUTED_VALUE"""),"15 K.Somchai L")</f>
        <v>15 K.Somchai L</v>
      </c>
      <c r="M2011" s="1" t="str">
        <f>IFERROR(__xludf.DUMMYFUNCTION("""COMPUTED_VALUE"""),"0655107372")</f>
        <v>0655107372</v>
      </c>
      <c r="N2011" s="3">
        <f>IFERROR(__xludf.DUMMYFUNCTION("""COMPUTED_VALUE"""),21723.0)</f>
        <v>21723</v>
      </c>
      <c r="O201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2011" s="4">
        <f>IFERROR(__xludf.DUMMYFUNCTION("""COMPUTED_VALUE"""),45648.0)</f>
        <v>45648</v>
      </c>
      <c r="Q2011" s="3" t="str">
        <f>IFERROR(__xludf.DUMMYFUNCTION("""COMPUTED_VALUE"""),"A")</f>
        <v>A</v>
      </c>
      <c r="R2011" s="3" t="str">
        <f>IFERROR(__xludf.DUMMYFUNCTION("""COMPUTED_VALUE"""),"Small Format")</f>
        <v>Small Format</v>
      </c>
      <c r="S2011" s="3" t="str">
        <f>IFERROR(__xludf.DUMMYFUNCTION("""COMPUTED_VALUE"""),"BCM")</f>
        <v>BCM</v>
      </c>
      <c r="T2011" s="3" t="str">
        <f>IFERROR(__xludf.DUMMYFUNCTION("""COMPUTED_VALUE"""),"#N/A")</f>
        <v>#N/A</v>
      </c>
      <c r="U2011" s="3" t="str">
        <f>IFERROR(__xludf.DUMMYFUNCTION("""COMPUTED_VALUE"""),"#N/A")</f>
        <v>#N/A</v>
      </c>
      <c r="V2011" s="3" t="str">
        <f>IFERROR(__xludf.DUMMYFUNCTION("""COMPUTED_VALUE"""),"N")</f>
        <v>N</v>
      </c>
      <c r="W2011" s="3">
        <f>IFERROR(__xludf.DUMMYFUNCTION("""COMPUTED_VALUE"""),210731.0)</f>
        <v>210731</v>
      </c>
      <c r="X2011" s="3" t="str">
        <f>IFERROR(__xludf.DUMMYFUNCTION("""COMPUTED_VALUE"""),"917 หมู่ 3 ตำบลศาลาด่าน อำเภอเกาะลันตา จังหวัดกระบี่ 81150")</f>
        <v>917 หมู่ 3 ตำบลศาลาด่าน อำเภอเกาะลันตา จังหวัดกระบี่ 81150</v>
      </c>
      <c r="Y2011" s="3"/>
      <c r="Z2011" s="3" t="str">
        <f>IFERROR(__xludf.DUMMYFUNCTION("""COMPUTED_VALUE"""),"ศาลาด่าน")</f>
        <v>ศาลาด่าน</v>
      </c>
      <c r="AA2011" s="3" t="str">
        <f>IFERROR(__xludf.DUMMYFUNCTION("""COMPUTED_VALUE"""),"เกาะลันตา")</f>
        <v>เกาะลันตา</v>
      </c>
      <c r="AB2011" s="3" t="str">
        <f>IFERROR(__xludf.DUMMYFUNCTION("""COMPUTED_VALUE"""),"กระบี่")</f>
        <v>กระบี่</v>
      </c>
      <c r="AC2011" s="3">
        <f>IFERROR(__xludf.DUMMYFUNCTION("""COMPUTED_VALUE"""),81150.0)</f>
        <v>81150</v>
      </c>
      <c r="AD2011" s="3">
        <f>IFERROR(__xludf.DUMMYFUNCTION("""COMPUTED_VALUE"""),7.639829)</f>
        <v>7.639829</v>
      </c>
      <c r="AE2011" s="3">
        <f>IFERROR(__xludf.DUMMYFUNCTION("""COMPUTED_VALUE"""),99.034335)</f>
        <v>99.034335</v>
      </c>
      <c r="AF2011" s="3" t="str">
        <f>IFERROR(__xludf.DUMMYFUNCTION("""COMPUTED_VALUE"""),"BCM หาดคลองดาว(เกาะลันตา) กระบี่-22699")</f>
        <v>BCM หาดคลองดาว(เกาะลันตา) กระบี่-22699</v>
      </c>
      <c r="AG2011" s="3" t="str">
        <f>IFERROR(__xludf.DUMMYFUNCTION("""COMPUTED_VALUE"""),"ใต้")</f>
        <v>ใต้</v>
      </c>
      <c r="AH2011" s="3" t="str">
        <f>IFERROR(__xludf.DUMMYFUNCTION("""COMPUTED_VALUE"""),"#N/A")</f>
        <v>#N/A</v>
      </c>
      <c r="AI2011" s="3" t="str">
        <f>IFERROR(__xludf.DUMMYFUNCTION("""COMPUTED_VALUE"""),"Out of warranty")</f>
        <v>Out of warranty</v>
      </c>
      <c r="AJ2011" s="3">
        <f>IFERROR(__xludf.DUMMYFUNCTION("""COMPUTED_VALUE"""),13.0)</f>
        <v>13</v>
      </c>
      <c r="AK2011" s="3"/>
      <c r="AL2011" s="3"/>
    </row>
    <row r="2012" ht="15.75" customHeight="1">
      <c r="A2012" s="1" t="str">
        <f>IFERROR(__xludf.DUMMYFUNCTION("""COMPUTED_VALUE"""),"22700")</f>
        <v>22700</v>
      </c>
      <c r="B2012" s="2">
        <f>IFERROR(__xludf.DUMMYFUNCTION("""COMPUTED_VALUE"""),22700.0)</f>
        <v>22700</v>
      </c>
      <c r="C2012" s="3" t="str">
        <f>IFERROR(__xludf.DUMMYFUNCTION("""COMPUTED_VALUE"""),"BCM วันบัดเจท บายพาส เชียงราย")</f>
        <v>BCM วันบัดเจท บายพาส เชียงราย</v>
      </c>
      <c r="D2012" s="3" t="str">
        <f>IFERROR(__xludf.DUMMYFUNCTION("""COMPUTED_VALUE"""),"BCM ONE BUDGET BY PASS")</f>
        <v>BCM ONE BUDGET BY PASS</v>
      </c>
      <c r="E2012" s="1" t="str">
        <f>IFERROR(__xludf.DUMMYFUNCTION("""COMPUTED_VALUE"""),"บิ๊กซี MINI")</f>
        <v>บิ๊กซี MINI</v>
      </c>
      <c r="F2012" s="1" t="str">
        <f>IFERROR(__xludf.DUMMYFUNCTION("""COMPUTED_VALUE"""),"296229")</f>
        <v>296229</v>
      </c>
      <c r="G2012" s="1" t="str">
        <f>IFERROR(__xludf.DUMMYFUNCTION("""COMPUTED_VALUE"""),"นายทนงศักดิ์ บุญมา")</f>
        <v>นายทนงศักดิ์ บุญมา</v>
      </c>
      <c r="H2012" s="1" t="str">
        <f>IFERROR(__xludf.DUMMYFUNCTION("""COMPUTED_VALUE"""),"392585")</f>
        <v>392585</v>
      </c>
      <c r="I2012" s="1" t="str">
        <f>IFERROR(__xludf.DUMMYFUNCTION("""COMPUTED_VALUE"""),"นายไชยัณต์ ผิวขัวเรียง")</f>
        <v>นายไชยัณต์ ผิวขัวเรียง</v>
      </c>
      <c r="J2012" s="3">
        <f>IFERROR(__xludf.DUMMYFUNCTION("""COMPUTED_VALUE"""),2010016.0)</f>
        <v>2010016</v>
      </c>
      <c r="K2012" s="3" t="str">
        <f>IFERROR(__xludf.DUMMYFUNCTION("""COMPUTED_VALUE"""),"นายตวงธรรม ใหม่ยศ")</f>
        <v>นายตวงธรรม ใหม่ยศ</v>
      </c>
      <c r="L2012" s="1" t="str">
        <f>IFERROR(__xludf.DUMMYFUNCTION("""COMPUTED_VALUE"""),"01 K.Tuangtham M.")</f>
        <v>01 K.Tuangtham M.</v>
      </c>
      <c r="M2012" s="1" t="str">
        <f>IFERROR(__xludf.DUMMYFUNCTION("""COMPUTED_VALUE"""),"063-976-595")</f>
        <v>063-976-595</v>
      </c>
      <c r="N2012" s="3">
        <f>IFERROR(__xludf.DUMMYFUNCTION("""COMPUTED_VALUE"""),22574.0)</f>
        <v>22574</v>
      </c>
      <c r="O2012" s="3" t="str">
        <f>IFERROR(__xludf.DUMMYFUNCTION("""COMPUTED_VALUE"""),"BCM ชุมชนศรีชุม ลำปาง")</f>
        <v>BCM ชุมชนศรีชุม ลำปาง</v>
      </c>
      <c r="P2012" s="4">
        <f>IFERROR(__xludf.DUMMYFUNCTION("""COMPUTED_VALUE"""),45684.0)</f>
        <v>45684</v>
      </c>
      <c r="Q2012" s="3" t="str">
        <f>IFERROR(__xludf.DUMMYFUNCTION("""COMPUTED_VALUE"""),"A")</f>
        <v>A</v>
      </c>
      <c r="R2012" s="3" t="str">
        <f>IFERROR(__xludf.DUMMYFUNCTION("""COMPUTED_VALUE"""),"Small Format")</f>
        <v>Small Format</v>
      </c>
      <c r="S2012" s="3" t="str">
        <f>IFERROR(__xludf.DUMMYFUNCTION("""COMPUTED_VALUE"""),"BCM")</f>
        <v>BCM</v>
      </c>
      <c r="T2012" s="3" t="str">
        <f>IFERROR(__xludf.DUMMYFUNCTION("""COMPUTED_VALUE"""),"#N/A")</f>
        <v>#N/A</v>
      </c>
      <c r="U2012" s="3" t="str">
        <f>IFERROR(__xludf.DUMMYFUNCTION("""COMPUTED_VALUE"""),"#N/A")</f>
        <v>#N/A</v>
      </c>
      <c r="V2012" s="3" t="str">
        <f>IFERROR(__xludf.DUMMYFUNCTION("""COMPUTED_VALUE"""),"N")</f>
        <v>N</v>
      </c>
      <c r="W2012" s="3">
        <f>IFERROR(__xludf.DUMMYFUNCTION("""COMPUTED_VALUE"""),210603.0)</f>
        <v>210603</v>
      </c>
      <c r="X2012" s="3" t="str">
        <f>IFERROR(__xludf.DUMMYFUNCTION("""COMPUTED_VALUE"""),"368/1 หมู่ 3 ตำบลรอบเวียง อำเภอเมืองเชียงราย จังหวัดเชียงราย 57000")</f>
        <v>368/1 หมู่ 3 ตำบลรอบเวียง อำเภอเมืองเชียงราย จังหวัดเชียงราย 57000</v>
      </c>
      <c r="Y2012" s="3"/>
      <c r="Z2012" s="3" t="str">
        <f>IFERROR(__xludf.DUMMYFUNCTION("""COMPUTED_VALUE"""),"รอบเวียง")</f>
        <v>รอบเวียง</v>
      </c>
      <c r="AA2012" s="3" t="str">
        <f>IFERROR(__xludf.DUMMYFUNCTION("""COMPUTED_VALUE"""),"เมืองเชียงราย")</f>
        <v>เมืองเชียงราย</v>
      </c>
      <c r="AB2012" s="3" t="str">
        <f>IFERROR(__xludf.DUMMYFUNCTION("""COMPUTED_VALUE"""),"เชียงราย")</f>
        <v>เชียงราย</v>
      </c>
      <c r="AC2012" s="3"/>
      <c r="AD2012" s="3">
        <f>IFERROR(__xludf.DUMMYFUNCTION("""COMPUTED_VALUE"""),19.888308)</f>
        <v>19.888308</v>
      </c>
      <c r="AE2012" s="3">
        <f>IFERROR(__xludf.DUMMYFUNCTION("""COMPUTED_VALUE"""),99.853931)</f>
        <v>99.853931</v>
      </c>
      <c r="AF2012" s="3" t="str">
        <f>IFERROR(__xludf.DUMMYFUNCTION("""COMPUTED_VALUE"""),"BCM วันบัดเจท บายพาส เชียงราย-22700")</f>
        <v>BCM วันบัดเจท บายพาส เชียงราย-22700</v>
      </c>
      <c r="AG2012" s="3" t="str">
        <f>IFERROR(__xludf.DUMMYFUNCTION("""COMPUTED_VALUE"""),"เหนือ")</f>
        <v>เหนือ</v>
      </c>
      <c r="AH2012" s="3" t="str">
        <f>IFERROR(__xludf.DUMMYFUNCTION("""COMPUTED_VALUE"""),"#N/A")</f>
        <v>#N/A</v>
      </c>
      <c r="AI2012" s="3" t="str">
        <f>IFERROR(__xludf.DUMMYFUNCTION("""COMPUTED_VALUE"""),"In warranty")</f>
        <v>In warranty</v>
      </c>
      <c r="AJ2012" s="3">
        <f>IFERROR(__xludf.DUMMYFUNCTION("""COMPUTED_VALUE"""),12.0)</f>
        <v>12</v>
      </c>
      <c r="AK2012" s="3"/>
      <c r="AL2012" s="3"/>
    </row>
    <row r="2013" ht="15.75" customHeight="1">
      <c r="A2013" s="1" t="str">
        <f>IFERROR(__xludf.DUMMYFUNCTION("""COMPUTED_VALUE"""),"31001")</f>
        <v>31001</v>
      </c>
      <c r="B2013" s="2">
        <f>IFERROR(__xludf.DUMMYFUNCTION("""COMPUTED_VALUE"""),31001.0)</f>
        <v>31001</v>
      </c>
      <c r="C2013" s="3" t="str">
        <f>IFERROR(__xludf.DUMMYFUNCTION("""COMPUTED_VALUE"""),"BCM FC เดอะสเตชั่น-สมุทรสาคร")</f>
        <v>BCM FC เดอะสเตชั่น-สมุทรสาคร</v>
      </c>
      <c r="D2013" s="3" t="str">
        <f>IFERROR(__xludf.DUMMYFUNCTION("""COMPUTED_VALUE"""),"BCM THE STATION SAMUTSAKORN")</f>
        <v>BCM THE STATION SAMUTSAKORN</v>
      </c>
      <c r="E2013" s="1" t="str">
        <f>IFERROR(__xludf.DUMMYFUNCTION("""COMPUTED_VALUE"""),"บิ๊กซี MINI")</f>
        <v>บิ๊กซี MINI</v>
      </c>
      <c r="F2013" s="1" t="str">
        <f>IFERROR(__xludf.DUMMYFUNCTION("""COMPUTED_VALUE"""),"2083447")</f>
        <v>2083447</v>
      </c>
      <c r="G2013" s="1" t="str">
        <f>IFERROR(__xludf.DUMMYFUNCTION("""COMPUTED_VALUE"""),"นายอนุกูล ศรีลัดดา")</f>
        <v>นายอนุกูล ศรีลัดดา</v>
      </c>
      <c r="H2013" s="1" t="str">
        <f>IFERROR(__xludf.DUMMYFUNCTION("""COMPUTED_VALUE"""),"379022")</f>
        <v>379022</v>
      </c>
      <c r="I2013" s="1" t="str">
        <f>IFERROR(__xludf.DUMMYFUNCTION("""COMPUTED_VALUE"""),"นายพันธ์เทพ นุชเนตร")</f>
        <v>นายพันธ์เทพ นุชเนตร</v>
      </c>
      <c r="J2013" s="3">
        <f>IFERROR(__xludf.DUMMYFUNCTION("""COMPUTED_VALUE"""),295541.0)</f>
        <v>295541</v>
      </c>
      <c r="K2013" s="3" t="str">
        <f>IFERROR(__xludf.DUMMYFUNCTION("""COMPUTED_VALUE"""),"นายรพิพล ศรีมาตย์")</f>
        <v>นายรพิพล ศรีมาตย์</v>
      </c>
      <c r="L2013" s="1" t="str">
        <f>IFERROR(__xludf.DUMMYFUNCTION("""COMPUTED_VALUE"""),"นายรพิพล ศรีมาตย์")</f>
        <v>นายรพิพล ศรีมาตย์</v>
      </c>
      <c r="M2013" s="1" t="str">
        <f>IFERROR(__xludf.DUMMYFUNCTION("""COMPUTED_VALUE"""),"0613966115")</f>
        <v>0613966115</v>
      </c>
      <c r="N2013" s="3">
        <f>IFERROR(__xludf.DUMMYFUNCTION("""COMPUTED_VALUE"""),21175.0)</f>
        <v>21175</v>
      </c>
      <c r="O2013" s="3" t="str">
        <f>IFERROR(__xludf.DUMMYFUNCTION("""COMPUTED_VALUE"""),"MBC BCP กิ่งแก้ว")</f>
        <v>MBC BCP กิ่งแก้ว</v>
      </c>
      <c r="P2013" s="4">
        <f>IFERROR(__xludf.DUMMYFUNCTION("""COMPUTED_VALUE"""),42405.0)</f>
        <v>42405</v>
      </c>
      <c r="Q2013" s="3" t="str">
        <f>IFERROR(__xludf.DUMMYFUNCTION("""COMPUTED_VALUE"""),"I")</f>
        <v>I</v>
      </c>
      <c r="R2013" s="3" t="str">
        <f>IFERROR(__xludf.DUMMYFUNCTION("""COMPUTED_VALUE"""),"Small Format")</f>
        <v>Small Format</v>
      </c>
      <c r="S2013" s="3" t="str">
        <f>IFERROR(__xludf.DUMMYFUNCTION("""COMPUTED_VALUE"""),"BCM(FC)")</f>
        <v>BCM(FC)</v>
      </c>
      <c r="T2013" s="3" t="str">
        <f>IFERROR(__xludf.DUMMYFUNCTION("""COMPUTED_VALUE"""),"#N/A")</f>
        <v>#N/A</v>
      </c>
      <c r="U2013" s="3" t="str">
        <f>IFERROR(__xludf.DUMMYFUNCTION("""COMPUTED_VALUE"""),"#N/A")</f>
        <v>#N/A</v>
      </c>
      <c r="V2013" s="3" t="str">
        <f>IFERROR(__xludf.DUMMYFUNCTION("""COMPUTED_VALUE"""),"Y")</f>
        <v>Y</v>
      </c>
      <c r="W2013" s="3">
        <f>IFERROR(__xludf.DUMMYFUNCTION("""COMPUTED_VALUE"""),811001.0)</f>
        <v>811001</v>
      </c>
      <c r="X2013" s="3" t="str">
        <f>IFERROR(__xludf.DUMMYFUNCTION("""COMPUTED_VALUE"""),"9/19 หมู่ 6 ตำบลบางกระเจ้า อำเภอเมืองสมุทรสาคร จังหวัดสมุทรสาคร 74000")</f>
        <v>9/19 หมู่ 6 ตำบลบางกระเจ้า อำเภอเมืองสมุทรสาคร จังหวัดสมุทรสาคร 74000</v>
      </c>
      <c r="Y2013" s="3"/>
      <c r="Z2013" s="3" t="str">
        <f>IFERROR(__xludf.DUMMYFUNCTION("""COMPUTED_VALUE"""),"บางกระเจ้า")</f>
        <v>บางกระเจ้า</v>
      </c>
      <c r="AA2013" s="3" t="str">
        <f>IFERROR(__xludf.DUMMYFUNCTION("""COMPUTED_VALUE"""),"เมือง")</f>
        <v>เมือง</v>
      </c>
      <c r="AB2013" s="3" t="str">
        <f>IFERROR(__xludf.DUMMYFUNCTION("""COMPUTED_VALUE"""),"สมุทรสาคร")</f>
        <v>สมุทรสาคร</v>
      </c>
      <c r="AC2013" s="3">
        <f>IFERROR(__xludf.DUMMYFUNCTION("""COMPUTED_VALUE"""),74000.0)</f>
        <v>74000</v>
      </c>
      <c r="AD2013" s="3">
        <f>IFERROR(__xludf.DUMMYFUNCTION("""COMPUTED_VALUE"""),13.529961)</f>
        <v>13.529961</v>
      </c>
      <c r="AE2013" s="3">
        <f>IFERROR(__xludf.DUMMYFUNCTION("""COMPUTED_VALUE"""),100.20135)</f>
        <v>100.20135</v>
      </c>
      <c r="AF2013" s="3" t="str">
        <f>IFERROR(__xludf.DUMMYFUNCTION("""COMPUTED_VALUE"""),"BCM FC เดอะสเตชั่น-สมุทรสาคร-31001")</f>
        <v>BCM FC เดอะสเตชั่น-สมุทรสาคร-31001</v>
      </c>
      <c r="AG2013" s="3" t="str">
        <f>IFERROR(__xludf.DUMMYFUNCTION("""COMPUTED_VALUE"""),"กลาง")</f>
        <v>กลาง</v>
      </c>
      <c r="AH2013" s="3" t="str">
        <f>IFERROR(__xludf.DUMMYFUNCTION("""COMPUTED_VALUE"""),"#N/A")</f>
        <v>#N/A</v>
      </c>
      <c r="AI2013" s="3" t="str">
        <f>IFERROR(__xludf.DUMMYFUNCTION("""COMPUTED_VALUE"""),"Out of warranty")</f>
        <v>Out of warranty</v>
      </c>
      <c r="AJ2013" s="3">
        <f>IFERROR(__xludf.DUMMYFUNCTION("""COMPUTED_VALUE"""),120.0)</f>
        <v>120</v>
      </c>
      <c r="AK2013" s="3"/>
      <c r="AL2013" s="3"/>
    </row>
    <row r="2014" ht="15.75" customHeight="1">
      <c r="A2014" s="1" t="str">
        <f>IFERROR(__xludf.DUMMYFUNCTION("""COMPUTED_VALUE"""),"31002")</f>
        <v>31002</v>
      </c>
      <c r="B2014" s="2">
        <f>IFERROR(__xludf.DUMMYFUNCTION("""COMPUTED_VALUE"""),31002.0)</f>
        <v>31002</v>
      </c>
      <c r="C2014" s="3" t="str">
        <f>IFERROR(__xludf.DUMMYFUNCTION("""COMPUTED_VALUE"""),"BCM FC CTX สระบุรี ขาเข้า")</f>
        <v>BCM FC CTX สระบุรี ขาเข้า</v>
      </c>
      <c r="D2014" s="3" t="str">
        <f>IFERROR(__xludf.DUMMYFUNCTION("""COMPUTED_VALUE"""),"BCM CTX-SARABURI (IB)")</f>
        <v>BCM CTX-SARABURI (IB)</v>
      </c>
      <c r="E2014" s="1" t="str">
        <f>IFERROR(__xludf.DUMMYFUNCTION("""COMPUTED_VALUE"""),"บิ๊กซี MINI")</f>
        <v>บิ๊กซี MINI</v>
      </c>
      <c r="F2014" s="1" t="str">
        <f>IFERROR(__xludf.DUMMYFUNCTION("""COMPUTED_VALUE"""),"296229")</f>
        <v>296229</v>
      </c>
      <c r="G2014" s="1" t="str">
        <f>IFERROR(__xludf.DUMMYFUNCTION("""COMPUTED_VALUE"""),"นายทนงศักดิ์ บุญมา")</f>
        <v>นายทนงศักดิ์ บุญมา</v>
      </c>
      <c r="H2014" s="1" t="str">
        <f>IFERROR(__xludf.DUMMYFUNCTION("""COMPUTED_VALUE"""),"318233")</f>
        <v>318233</v>
      </c>
      <c r="I2014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2014" s="3">
        <f>IFERROR(__xludf.DUMMYFUNCTION("""COMPUTED_VALUE"""),46214.0)</f>
        <v>46214</v>
      </c>
      <c r="K2014" s="3" t="str">
        <f>IFERROR(__xludf.DUMMYFUNCTION("""COMPUTED_VALUE"""),"นายศักดิ์ชัย เด็ดดอกฟ้า")</f>
        <v>นายศักดิ์ชัย เด็ดดอกฟ้า</v>
      </c>
      <c r="L2014" s="1" t="str">
        <f>IFERROR(__xludf.DUMMYFUNCTION("""COMPUTED_VALUE"""),"02 K.Sakchai D")</f>
        <v>02 K.Sakchai D</v>
      </c>
      <c r="M2014" s="1" t="str">
        <f>IFERROR(__xludf.DUMMYFUNCTION("""COMPUTED_VALUE"""),"065-510-7376")</f>
        <v>065-510-7376</v>
      </c>
      <c r="N2014" s="3">
        <f>IFERROR(__xludf.DUMMYFUNCTION("""COMPUTED_VALUE"""),21714.0)</f>
        <v>21714</v>
      </c>
      <c r="O2014" s="3" t="str">
        <f>IFERROR(__xludf.DUMMYFUNCTION("""COMPUTED_VALUE"""),"MBC เอสโซ่ วัดโบสถ์")</f>
        <v>MBC เอสโซ่ วัดโบสถ์</v>
      </c>
      <c r="P2014" s="4">
        <f>IFERROR(__xludf.DUMMYFUNCTION("""COMPUTED_VALUE"""),42460.0)</f>
        <v>42460</v>
      </c>
      <c r="Q2014" s="3" t="str">
        <f>IFERROR(__xludf.DUMMYFUNCTION("""COMPUTED_VALUE"""),"A")</f>
        <v>A</v>
      </c>
      <c r="R2014" s="3" t="str">
        <f>IFERROR(__xludf.DUMMYFUNCTION("""COMPUTED_VALUE"""),"Small Format")</f>
        <v>Small Format</v>
      </c>
      <c r="S2014" s="3" t="str">
        <f>IFERROR(__xludf.DUMMYFUNCTION("""COMPUTED_VALUE"""),"BCM(FC)")</f>
        <v>BCM(FC)</v>
      </c>
      <c r="T2014" s="3" t="str">
        <f>IFERROR(__xludf.DUMMYFUNCTION("""COMPUTED_VALUE"""),"#N/A")</f>
        <v>#N/A</v>
      </c>
      <c r="U2014" s="3" t="str">
        <f>IFERROR(__xludf.DUMMYFUNCTION("""COMPUTED_VALUE"""),"#N/A")</f>
        <v>#N/A</v>
      </c>
      <c r="V2014" s="3" t="str">
        <f>IFERROR(__xludf.DUMMYFUNCTION("""COMPUTED_VALUE"""),"Y")</f>
        <v>Y</v>
      </c>
      <c r="W2014" s="3">
        <f>IFERROR(__xludf.DUMMYFUNCTION("""COMPUTED_VALUE"""),811002.0)</f>
        <v>811002</v>
      </c>
      <c r="X2014" s="3" t="str">
        <f>IFERROR(__xludf.DUMMYFUNCTION("""COMPUTED_VALUE"""),"127 หมู่ 1 ถนนพหลโยธิน ตำบาลหนองยาว อำเภอเมืองสระบุรี จังหวัดสระบุรี 18000")</f>
        <v>127 หมู่ 1 ถนนพหลโยธิน ตำบาลหนองยาว อำเภอเมืองสระบุรี จังหวัดสระบุรี 18000</v>
      </c>
      <c r="Y2014" s="3"/>
      <c r="Z2014" s="3" t="str">
        <f>IFERROR(__xludf.DUMMYFUNCTION("""COMPUTED_VALUE"""),"หนองยาว")</f>
        <v>หนองยาว</v>
      </c>
      <c r="AA2014" s="3" t="str">
        <f>IFERROR(__xludf.DUMMYFUNCTION("""COMPUTED_VALUE"""),"เมือง")</f>
        <v>เมือง</v>
      </c>
      <c r="AB2014" s="3" t="str">
        <f>IFERROR(__xludf.DUMMYFUNCTION("""COMPUTED_VALUE"""),"สระบุรี")</f>
        <v>สระบุรี</v>
      </c>
      <c r="AC2014" s="3">
        <f>IFERROR(__xludf.DUMMYFUNCTION("""COMPUTED_VALUE"""),18000.0)</f>
        <v>18000</v>
      </c>
      <c r="AD2014" s="3">
        <f>IFERROR(__xludf.DUMMYFUNCTION("""COMPUTED_VALUE"""),14.466988)</f>
        <v>14.466988</v>
      </c>
      <c r="AE2014" s="3">
        <f>IFERROR(__xludf.DUMMYFUNCTION("""COMPUTED_VALUE"""),100.907924)</f>
        <v>100.907924</v>
      </c>
      <c r="AF2014" s="3" t="str">
        <f>IFERROR(__xludf.DUMMYFUNCTION("""COMPUTED_VALUE"""),"BCM FC CTX สระบุรี ขาเข้า-31002")</f>
        <v>BCM FC CTX สระบุรี ขาเข้า-31002</v>
      </c>
      <c r="AG2014" s="3" t="str">
        <f>IFERROR(__xludf.DUMMYFUNCTION("""COMPUTED_VALUE"""),"กลาง")</f>
        <v>กลาง</v>
      </c>
      <c r="AH2014" s="3" t="str">
        <f>IFERROR(__xludf.DUMMYFUNCTION("""COMPUTED_VALUE"""),"#N/A")</f>
        <v>#N/A</v>
      </c>
      <c r="AI2014" s="3" t="str">
        <f>IFERROR(__xludf.DUMMYFUNCTION("""COMPUTED_VALUE"""),"Out of warranty")</f>
        <v>Out of warranty</v>
      </c>
      <c r="AJ2014" s="3">
        <f>IFERROR(__xludf.DUMMYFUNCTION("""COMPUTED_VALUE"""),118.0)</f>
        <v>118</v>
      </c>
      <c r="AK2014" s="3"/>
      <c r="AL2014" s="3"/>
    </row>
    <row r="2015" ht="15.75" customHeight="1">
      <c r="A2015" s="1" t="str">
        <f>IFERROR(__xludf.DUMMYFUNCTION("""COMPUTED_VALUE"""),"31003")</f>
        <v>31003</v>
      </c>
      <c r="B2015" s="2">
        <f>IFERROR(__xludf.DUMMYFUNCTION("""COMPUTED_VALUE"""),31003.0)</f>
        <v>31003</v>
      </c>
      <c r="C2015" s="3" t="str">
        <f>IFERROR(__xludf.DUMMYFUNCTION("""COMPUTED_VALUE"""),"MFC เทพประสิทธิ์ ซอย 6/1")</f>
        <v>MFC เทพประสิทธิ์ ซอย 6/1</v>
      </c>
      <c r="D2015" s="3" t="str">
        <f>IFERROR(__xludf.DUMMYFUNCTION("""COMPUTED_VALUE"""),"MFC THEPPRASIT SOI 6/1")</f>
        <v>MFC THEPPRASIT SOI 6/1</v>
      </c>
      <c r="E2015" s="1" t="str">
        <f>IFERROR(__xludf.DUMMYFUNCTION("""COMPUTED_VALUE"""),"บิ๊กซี MINI")</f>
        <v>บิ๊กซี MINI</v>
      </c>
      <c r="F2015" s="1" t="str">
        <f>IFERROR(__xludf.DUMMYFUNCTION("""COMPUTED_VALUE"""),"250760")</f>
        <v>250760</v>
      </c>
      <c r="G2015" s="1" t="str">
        <f>IFERROR(__xludf.DUMMYFUNCTION("""COMPUTED_VALUE"""),"นายประทวน สาราบรรณ์")</f>
        <v>นายประทวน สาราบรรณ์</v>
      </c>
      <c r="H2015" s="1" t="str">
        <f>IFERROR(__xludf.DUMMYFUNCTION("""COMPUTED_VALUE"""),"034605")</f>
        <v>034605</v>
      </c>
      <c r="I2015" s="1" t="str">
        <f>IFERROR(__xludf.DUMMYFUNCTION("""COMPUTED_VALUE"""),"นายธรรมรัตน์ สุขเจริญ")</f>
        <v>นายธรรมรัตน์ สุขเจริญ</v>
      </c>
      <c r="J2015" s="3">
        <f>IFERROR(__xludf.DUMMYFUNCTION("""COMPUTED_VALUE"""),295541.0)</f>
        <v>295541</v>
      </c>
      <c r="K2015" s="3" t="str">
        <f>IFERROR(__xludf.DUMMYFUNCTION("""COMPUTED_VALUE"""),"นายรพิพล ศรีมาตย์")</f>
        <v>นายรพิพล ศรีมาตย์</v>
      </c>
      <c r="L2015" s="1" t="str">
        <f>IFERROR(__xludf.DUMMYFUNCTION("""COMPUTED_VALUE"""),"นายรพิพล ศรีมาตย์")</f>
        <v>นายรพิพล ศรีมาตย์</v>
      </c>
      <c r="M2015" s="1" t="str">
        <f>IFERROR(__xludf.DUMMYFUNCTION("""COMPUTED_VALUE"""),"0613966115")</f>
        <v>0613966115</v>
      </c>
      <c r="N2015" s="3">
        <f>IFERROR(__xludf.DUMMYFUNCTION("""COMPUTED_VALUE"""),21175.0)</f>
        <v>21175</v>
      </c>
      <c r="O2015" s="3" t="str">
        <f>IFERROR(__xludf.DUMMYFUNCTION("""COMPUTED_VALUE"""),"MBC BCP กิ่งแก้ว")</f>
        <v>MBC BCP กิ่งแก้ว</v>
      </c>
      <c r="P2015" s="4">
        <f>IFERROR(__xludf.DUMMYFUNCTION("""COMPUTED_VALUE"""),42490.0)</f>
        <v>42490</v>
      </c>
      <c r="Q2015" s="3" t="str">
        <f>IFERROR(__xludf.DUMMYFUNCTION("""COMPUTED_VALUE"""),"I")</f>
        <v>I</v>
      </c>
      <c r="R2015" s="3" t="str">
        <f>IFERROR(__xludf.DUMMYFUNCTION("""COMPUTED_VALUE"""),"Small Format")</f>
        <v>Small Format</v>
      </c>
      <c r="S2015" s="3" t="str">
        <f>IFERROR(__xludf.DUMMYFUNCTION("""COMPUTED_VALUE"""),"BCM(FC)")</f>
        <v>BCM(FC)</v>
      </c>
      <c r="T2015" s="3" t="str">
        <f>IFERROR(__xludf.DUMMYFUNCTION("""COMPUTED_VALUE"""),"#N/A")</f>
        <v>#N/A</v>
      </c>
      <c r="U2015" s="3" t="str">
        <f>IFERROR(__xludf.DUMMYFUNCTION("""COMPUTED_VALUE"""),"#N/A")</f>
        <v>#N/A</v>
      </c>
      <c r="V2015" s="3" t="str">
        <f>IFERROR(__xludf.DUMMYFUNCTION("""COMPUTED_VALUE"""),"Y")</f>
        <v>Y</v>
      </c>
      <c r="W2015" s="3">
        <f>IFERROR(__xludf.DUMMYFUNCTION("""COMPUTED_VALUE"""),0.0)</f>
        <v>0</v>
      </c>
      <c r="X2015" s="3" t="str">
        <f>IFERROR(__xludf.DUMMYFUNCTION("""COMPUTED_VALUE"""),"62/227-228 หมู่ 12 ตำบลหนองปรือ อำเภอบางละมุง จังหวัดชลบุรี 20150")</f>
        <v>62/227-228 หมู่ 12 ตำบลหนองปรือ อำเภอบางละมุง จังหวัดชลบุรี 20150</v>
      </c>
      <c r="Y2015" s="3"/>
      <c r="Z2015" s="3" t="str">
        <f>IFERROR(__xludf.DUMMYFUNCTION("""COMPUTED_VALUE"""),"หนองปรือ")</f>
        <v>หนองปรือ</v>
      </c>
      <c r="AA2015" s="3" t="str">
        <f>IFERROR(__xludf.DUMMYFUNCTION("""COMPUTED_VALUE"""),"บางละมุง")</f>
        <v>บางละมุง</v>
      </c>
      <c r="AB2015" s="3" t="str">
        <f>IFERROR(__xludf.DUMMYFUNCTION("""COMPUTED_VALUE"""),"ชลบุรี")</f>
        <v>ชลบุรี</v>
      </c>
      <c r="AC2015" s="3">
        <f>IFERROR(__xludf.DUMMYFUNCTION("""COMPUTED_VALUE"""),20150.0)</f>
        <v>20150</v>
      </c>
      <c r="AD2015" s="3" t="str">
        <f>IFERROR(__xludf.DUMMYFUNCTION("""COMPUTED_VALUE"""),"#N/A")</f>
        <v>#N/A</v>
      </c>
      <c r="AE2015" s="3" t="str">
        <f>IFERROR(__xludf.DUMMYFUNCTION("""COMPUTED_VALUE"""),"#N/A")</f>
        <v>#N/A</v>
      </c>
      <c r="AF2015" s="3" t="str">
        <f>IFERROR(__xludf.DUMMYFUNCTION("""COMPUTED_VALUE"""),"MFC เทพประสิทธิ์ ซอย 6/1-31003")</f>
        <v>MFC เทพประสิทธิ์ ซอย 6/1-31003</v>
      </c>
      <c r="AG2015" s="3" t="str">
        <f>IFERROR(__xludf.DUMMYFUNCTION("""COMPUTED_VALUE"""),"ตะวันออก")</f>
        <v>ตะวันออก</v>
      </c>
      <c r="AH2015" s="3" t="str">
        <f>IFERROR(__xludf.DUMMYFUNCTION("""COMPUTED_VALUE"""),"#N/A")</f>
        <v>#N/A</v>
      </c>
      <c r="AI2015" s="3" t="str">
        <f>IFERROR(__xludf.DUMMYFUNCTION("""COMPUTED_VALUE"""),"Out of warranty")</f>
        <v>Out of warranty</v>
      </c>
      <c r="AJ2015" s="3">
        <f>IFERROR(__xludf.DUMMYFUNCTION("""COMPUTED_VALUE"""),117.0)</f>
        <v>117</v>
      </c>
      <c r="AK2015" s="3"/>
      <c r="AL2015" s="3"/>
    </row>
    <row r="2016" ht="15.75" customHeight="1">
      <c r="A2016" s="1" t="str">
        <f>IFERROR(__xludf.DUMMYFUNCTION("""COMPUTED_VALUE"""),"31004")</f>
        <v>31004</v>
      </c>
      <c r="B2016" s="2">
        <f>IFERROR(__xludf.DUMMYFUNCTION("""COMPUTED_VALUE"""),31004.0)</f>
        <v>31004</v>
      </c>
      <c r="C2016" s="3" t="str">
        <f>IFERROR(__xludf.DUMMYFUNCTION("""COMPUTED_VALUE"""),"MFC เชลล์ โนนสูง (ขาเข้า)")</f>
        <v>MFC เชลล์ โนนสูง (ขาเข้า)</v>
      </c>
      <c r="D2016" s="3" t="str">
        <f>IFERROR(__xludf.DUMMYFUNCTION("""COMPUTED_VALUE"""),"MFC SHELL NONSUNG (IB)")</f>
        <v>MFC SHELL NONSUNG (IB)</v>
      </c>
      <c r="E2016" s="1" t="str">
        <f>IFERROR(__xludf.DUMMYFUNCTION("""COMPUTED_VALUE"""),"บิ๊กซี MINI")</f>
        <v>บิ๊กซี MINI</v>
      </c>
      <c r="F2016" s="1" t="str">
        <f>IFERROR(__xludf.DUMMYFUNCTION("""COMPUTED_VALUE"""),"291100")</f>
        <v>291100</v>
      </c>
      <c r="G2016" s="1" t="str">
        <f>IFERROR(__xludf.DUMMYFUNCTION("""COMPUTED_VALUE"""),"น.ส.จารุณี ฮวบอินทร์")</f>
        <v>น.ส.จารุณี ฮวบอินทร์</v>
      </c>
      <c r="H2016" s="1" t="str">
        <f>IFERROR(__xludf.DUMMYFUNCTION("""COMPUTED_VALUE"""),"180347")</f>
        <v>180347</v>
      </c>
      <c r="I2016" s="1" t="str">
        <f>IFERROR(__xludf.DUMMYFUNCTION("""COMPUTED_VALUE"""),"นายณัฐพงษ์ สุตะวงค์")</f>
        <v>นายณัฐพงษ์ สุตะวงค์</v>
      </c>
      <c r="J2016" s="3">
        <f>IFERROR(__xludf.DUMMYFUNCTION("""COMPUTED_VALUE"""),295886.0)</f>
        <v>295886</v>
      </c>
      <c r="K2016" s="3" t="str">
        <f>IFERROR(__xludf.DUMMYFUNCTION("""COMPUTED_VALUE"""),"นายจิระพงษ์ โพธิ์นิล")</f>
        <v>นายจิระพงษ์ โพธิ์นิล</v>
      </c>
      <c r="L2016" s="1" t="str">
        <f>IFERROR(__xludf.DUMMYFUNCTION("""COMPUTED_VALUE"""),"นายจิระพงษ์ โพธิ์นิล")</f>
        <v>นายจิระพงษ์ โพธิ์นิล</v>
      </c>
      <c r="M2016" s="1" t="str">
        <f>IFERROR(__xludf.DUMMYFUNCTION("""COMPUTED_VALUE"""),"0933290754")</f>
        <v>0933290754</v>
      </c>
      <c r="N2016" s="3">
        <f>IFERROR(__xludf.DUMMYFUNCTION("""COMPUTED_VALUE"""),21465.0)</f>
        <v>21465</v>
      </c>
      <c r="O2016" s="3" t="str">
        <f>IFERROR(__xludf.DUMMYFUNCTION("""COMPUTED_VALUE"""),"MBC สถานีตำรวจอุดร")</f>
        <v>MBC สถานีตำรวจอุดร</v>
      </c>
      <c r="P2016" s="4">
        <f>IFERROR(__xludf.DUMMYFUNCTION("""COMPUTED_VALUE"""),42460.0)</f>
        <v>42460</v>
      </c>
      <c r="Q2016" s="3" t="str">
        <f>IFERROR(__xludf.DUMMYFUNCTION("""COMPUTED_VALUE"""),"I")</f>
        <v>I</v>
      </c>
      <c r="R2016" s="3" t="str">
        <f>IFERROR(__xludf.DUMMYFUNCTION("""COMPUTED_VALUE"""),"Small Format")</f>
        <v>Small Format</v>
      </c>
      <c r="S2016" s="3" t="str">
        <f>IFERROR(__xludf.DUMMYFUNCTION("""COMPUTED_VALUE"""),"BCM(FC)")</f>
        <v>BCM(FC)</v>
      </c>
      <c r="T2016" s="3" t="str">
        <f>IFERROR(__xludf.DUMMYFUNCTION("""COMPUTED_VALUE"""),"#N/A")</f>
        <v>#N/A</v>
      </c>
      <c r="U2016" s="3" t="str">
        <f>IFERROR(__xludf.DUMMYFUNCTION("""COMPUTED_VALUE"""),"#N/A")</f>
        <v>#N/A</v>
      </c>
      <c r="V2016" s="3" t="str">
        <f>IFERROR(__xludf.DUMMYFUNCTION("""COMPUTED_VALUE"""),"Y")</f>
        <v>Y</v>
      </c>
      <c r="W2016" s="3">
        <f>IFERROR(__xludf.DUMMYFUNCTION("""COMPUTED_VALUE"""),0.0)</f>
        <v>0</v>
      </c>
      <c r="X2016" s="3" t="str">
        <f>IFERROR(__xludf.DUMMYFUNCTION("""COMPUTED_VALUE"""),"95 หมู่ 3 ตำบลหลุมข้าว อำเภอโนนสูง จังหวัดนครราชสีมา 30160")</f>
        <v>95 หมู่ 3 ตำบลหลุมข้าว อำเภอโนนสูง จังหวัดนครราชสีมา 30160</v>
      </c>
      <c r="Y2016" s="3"/>
      <c r="Z2016" s="3" t="str">
        <f>IFERROR(__xludf.DUMMYFUNCTION("""COMPUTED_VALUE"""),"หลุมข้าว")</f>
        <v>หลุมข้าว</v>
      </c>
      <c r="AA2016" s="3" t="str">
        <f>IFERROR(__xludf.DUMMYFUNCTION("""COMPUTED_VALUE"""),"โนนสูง")</f>
        <v>โนนสูง</v>
      </c>
      <c r="AB2016" s="3" t="str">
        <f>IFERROR(__xludf.DUMMYFUNCTION("""COMPUTED_VALUE"""),"นครราชสีมา")</f>
        <v>นครราชสีมา</v>
      </c>
      <c r="AC2016" s="3">
        <f>IFERROR(__xludf.DUMMYFUNCTION("""COMPUTED_VALUE"""),30160.0)</f>
        <v>30160</v>
      </c>
      <c r="AD2016" s="3" t="str">
        <f>IFERROR(__xludf.DUMMYFUNCTION("""COMPUTED_VALUE"""),"#N/A")</f>
        <v>#N/A</v>
      </c>
      <c r="AE2016" s="3" t="str">
        <f>IFERROR(__xludf.DUMMYFUNCTION("""COMPUTED_VALUE"""),"#N/A")</f>
        <v>#N/A</v>
      </c>
      <c r="AF2016" s="3" t="str">
        <f>IFERROR(__xludf.DUMMYFUNCTION("""COMPUTED_VALUE"""),"MFC เชลล์ โนนสูง (ขาเข้า)-31004")</f>
        <v>MFC เชลล์ โนนสูง (ขาเข้า)-31004</v>
      </c>
      <c r="AG2016" s="3" t="str">
        <f>IFERROR(__xludf.DUMMYFUNCTION("""COMPUTED_VALUE"""),"ตะวันออกเฉียงเหนือ")</f>
        <v>ตะวันออกเฉียงเหนือ</v>
      </c>
      <c r="AH2016" s="3" t="str">
        <f>IFERROR(__xludf.DUMMYFUNCTION("""COMPUTED_VALUE"""),"#N/A")</f>
        <v>#N/A</v>
      </c>
      <c r="AI2016" s="3" t="str">
        <f>IFERROR(__xludf.DUMMYFUNCTION("""COMPUTED_VALUE"""),"Out of warranty")</f>
        <v>Out of warranty</v>
      </c>
      <c r="AJ2016" s="3">
        <f>IFERROR(__xludf.DUMMYFUNCTION("""COMPUTED_VALUE"""),118.0)</f>
        <v>118</v>
      </c>
      <c r="AK2016" s="3"/>
      <c r="AL2016" s="3"/>
    </row>
    <row r="2017" ht="15.75" customHeight="1">
      <c r="A2017" s="1" t="str">
        <f>IFERROR(__xludf.DUMMYFUNCTION("""COMPUTED_VALUE"""),"31005")</f>
        <v>31005</v>
      </c>
      <c r="B2017" s="2">
        <f>IFERROR(__xludf.DUMMYFUNCTION("""COMPUTED_VALUE"""),31005.0)</f>
        <v>31005</v>
      </c>
      <c r="C2017" s="3" t="str">
        <f>IFERROR(__xludf.DUMMYFUNCTION("""COMPUTED_VALUE"""),"MFC แอสทร้า ซอยนวลจันทร์")</f>
        <v>MFC แอสทร้า ซอยนวลจันทร์</v>
      </c>
      <c r="D2017" s="3" t="str">
        <f>IFERROR(__xludf.DUMMYFUNCTION("""COMPUTED_VALUE"""),"MFC ASTRAREAL")</f>
        <v>MFC ASTRAREAL</v>
      </c>
      <c r="E2017" s="1" t="str">
        <f>IFERROR(__xludf.DUMMYFUNCTION("""COMPUTED_VALUE"""),"บิ๊กซี MINI")</f>
        <v>บิ๊กซี MINI</v>
      </c>
      <c r="F2017" s="1" t="str">
        <f>IFERROR(__xludf.DUMMYFUNCTION("""COMPUTED_VALUE"""),"291008")</f>
        <v>291008</v>
      </c>
      <c r="G2017" s="1" t="str">
        <f>IFERROR(__xludf.DUMMYFUNCTION("""COMPUTED_VALUE"""),"น.ส.รัชดาพร อีศรัตน์")</f>
        <v>น.ส.รัชดาพร อีศรัตน์</v>
      </c>
      <c r="H2017" s="1" t="str">
        <f>IFERROR(__xludf.DUMMYFUNCTION("""COMPUTED_VALUE"""),"034068")</f>
        <v>034068</v>
      </c>
      <c r="I2017" s="1" t="str">
        <f>IFERROR(__xludf.DUMMYFUNCTION("""COMPUTED_VALUE"""),"นายสมศักดิ์ ฐานทองดี")</f>
        <v>นายสมศักดิ์ ฐานทองดี</v>
      </c>
      <c r="J2017" s="3">
        <f>IFERROR(__xludf.DUMMYFUNCTION("""COMPUTED_VALUE"""),3510104.0)</f>
        <v>3510104</v>
      </c>
      <c r="K2017" s="3" t="str">
        <f>IFERROR(__xludf.DUMMYFUNCTION("""COMPUTED_VALUE"""),"นายวิโรจน์ อับดุลสมัด")</f>
        <v>นายวิโรจน์ อับดุลสมัด</v>
      </c>
      <c r="L2017" s="1" t="str">
        <f>IFERROR(__xludf.DUMMYFUNCTION("""COMPUTED_VALUE"""),"09 K.Wirode A")</f>
        <v>09 K.Wirode A</v>
      </c>
      <c r="M2017" s="1" t="str">
        <f>IFERROR(__xludf.DUMMYFUNCTION("""COMPUTED_VALUE"""),"080-235-4465")</f>
        <v>080-235-4465</v>
      </c>
      <c r="N2017" s="3">
        <f>IFERROR(__xludf.DUMMYFUNCTION("""COMPUTED_VALUE"""),21324.0)</f>
        <v>21324</v>
      </c>
      <c r="O2017" s="3" t="str">
        <f>IFERROR(__xludf.DUMMYFUNCTION("""COMPUTED_VALUE"""),"MBC BCP สุวินทวงศ์")</f>
        <v>MBC BCP สุวินทวงศ์</v>
      </c>
      <c r="P2017" s="4">
        <f>IFERROR(__xludf.DUMMYFUNCTION("""COMPUTED_VALUE"""),42542.0)</f>
        <v>42542</v>
      </c>
      <c r="Q2017" s="3" t="str">
        <f>IFERROR(__xludf.DUMMYFUNCTION("""COMPUTED_VALUE"""),"I")</f>
        <v>I</v>
      </c>
      <c r="R2017" s="3" t="str">
        <f>IFERROR(__xludf.DUMMYFUNCTION("""COMPUTED_VALUE"""),"Small Format")</f>
        <v>Small Format</v>
      </c>
      <c r="S2017" s="3" t="str">
        <f>IFERROR(__xludf.DUMMYFUNCTION("""COMPUTED_VALUE"""),"BCM(FC)")</f>
        <v>BCM(FC)</v>
      </c>
      <c r="T2017" s="3" t="str">
        <f>IFERROR(__xludf.DUMMYFUNCTION("""COMPUTED_VALUE"""),"#N/A")</f>
        <v>#N/A</v>
      </c>
      <c r="U2017" s="3" t="str">
        <f>IFERROR(__xludf.DUMMYFUNCTION("""COMPUTED_VALUE"""),"#N/A")</f>
        <v>#N/A</v>
      </c>
      <c r="V2017" s="3" t="str">
        <f>IFERROR(__xludf.DUMMYFUNCTION("""COMPUTED_VALUE"""),"Y")</f>
        <v>Y</v>
      </c>
      <c r="W2017" s="3">
        <f>IFERROR(__xludf.DUMMYFUNCTION("""COMPUTED_VALUE"""),0.0)</f>
        <v>0</v>
      </c>
      <c r="X2017" s="3" t="str">
        <f>IFERROR(__xludf.DUMMYFUNCTION("""COMPUTED_VALUE"""),"596-599 ถนนนวลจันทร์ แขวงนวลจันทร์ เขตบึงกุ่ม กรุงเทพมหานคร 10230")</f>
        <v>596-599 ถนนนวลจันทร์ แขวงนวลจันทร์ เขตบึงกุ่ม กรุงเทพมหานคร 10230</v>
      </c>
      <c r="Y2017" s="3" t="str">
        <f>IFERROR(__xludf.DUMMYFUNCTION("""COMPUTED_VALUE"""),"ถนนนวลจันทร์")</f>
        <v>ถนนนวลจันทร์</v>
      </c>
      <c r="Z2017" s="3" t="str">
        <f>IFERROR(__xludf.DUMMYFUNCTION("""COMPUTED_VALUE"""),"นวลจันทร์")</f>
        <v>นวลจันทร์</v>
      </c>
      <c r="AA2017" s="3" t="str">
        <f>IFERROR(__xludf.DUMMYFUNCTION("""COMPUTED_VALUE"""),"บึงกุ่ม")</f>
        <v>บึงกุ่ม</v>
      </c>
      <c r="AB2017" s="3" t="str">
        <f>IFERROR(__xludf.DUMMYFUNCTION("""COMPUTED_VALUE"""),"กรุงเทพมหานคร")</f>
        <v>กรุงเทพมหานคร</v>
      </c>
      <c r="AC2017" s="3">
        <f>IFERROR(__xludf.DUMMYFUNCTION("""COMPUTED_VALUE"""),10230.0)</f>
        <v>10230</v>
      </c>
      <c r="AD2017" s="3" t="str">
        <f>IFERROR(__xludf.DUMMYFUNCTION("""COMPUTED_VALUE"""),"#N/A")</f>
        <v>#N/A</v>
      </c>
      <c r="AE2017" s="3" t="str">
        <f>IFERROR(__xludf.DUMMYFUNCTION("""COMPUTED_VALUE"""),"#N/A")</f>
        <v>#N/A</v>
      </c>
      <c r="AF2017" s="3" t="str">
        <f>IFERROR(__xludf.DUMMYFUNCTION("""COMPUTED_VALUE"""),"MFC แอสทร้า ซอยนวลจันทร์-31005")</f>
        <v>MFC แอสทร้า ซอยนวลจันทร์-31005</v>
      </c>
      <c r="AG2017" s="3" t="str">
        <f>IFERROR(__xludf.DUMMYFUNCTION("""COMPUTED_VALUE"""),"กลาง")</f>
        <v>กลาง</v>
      </c>
      <c r="AH2017" s="3" t="str">
        <f>IFERROR(__xludf.DUMMYFUNCTION("""COMPUTED_VALUE"""),"#N/A")</f>
        <v>#N/A</v>
      </c>
      <c r="AI2017" s="3" t="str">
        <f>IFERROR(__xludf.DUMMYFUNCTION("""COMPUTED_VALUE"""),"Out of warranty")</f>
        <v>Out of warranty</v>
      </c>
      <c r="AJ2017" s="3">
        <f>IFERROR(__xludf.DUMMYFUNCTION("""COMPUTED_VALUE"""),115.0)</f>
        <v>115</v>
      </c>
      <c r="AK2017" s="3"/>
      <c r="AL2017" s="3"/>
    </row>
    <row r="2018" ht="15.75" customHeight="1">
      <c r="A2018" s="1" t="str">
        <f>IFERROR(__xludf.DUMMYFUNCTION("""COMPUTED_VALUE"""),"31006")</f>
        <v>31006</v>
      </c>
      <c r="B2018" s="2">
        <f>IFERROR(__xludf.DUMMYFUNCTION("""COMPUTED_VALUE"""),31006.0)</f>
        <v>31006</v>
      </c>
      <c r="C2018" s="3" t="str">
        <f>IFERROR(__xludf.DUMMYFUNCTION("""COMPUTED_VALUE"""),"MFC ปากช่อง 20")</f>
        <v>MFC ปากช่อง 20</v>
      </c>
      <c r="D2018" s="3" t="str">
        <f>IFERROR(__xludf.DUMMYFUNCTION("""COMPUTED_VALUE"""),"MFC PAKCHONG 20")</f>
        <v>MFC PAKCHONG 20</v>
      </c>
      <c r="E2018" s="1" t="str">
        <f>IFERROR(__xludf.DUMMYFUNCTION("""COMPUTED_VALUE"""),"บิ๊กซี MINI")</f>
        <v>บิ๊กซี MINI</v>
      </c>
      <c r="F2018" s="1" t="str">
        <f>IFERROR(__xludf.DUMMYFUNCTION("""COMPUTED_VALUE"""),"291100")</f>
        <v>291100</v>
      </c>
      <c r="G2018" s="1" t="str">
        <f>IFERROR(__xludf.DUMMYFUNCTION("""COMPUTED_VALUE"""),"น.ส.จารุณี ฮวบอินทร์")</f>
        <v>น.ส.จารุณี ฮวบอินทร์</v>
      </c>
      <c r="H2018" s="1" t="str">
        <f>IFERROR(__xludf.DUMMYFUNCTION("""COMPUTED_VALUE"""),"180347")</f>
        <v>180347</v>
      </c>
      <c r="I2018" s="1" t="str">
        <f>IFERROR(__xludf.DUMMYFUNCTION("""COMPUTED_VALUE"""),"นายณัฐพงษ์ สุตะวงค์")</f>
        <v>นายณัฐพงษ์ สุตะวงค์</v>
      </c>
      <c r="J2018" s="3">
        <f>IFERROR(__xludf.DUMMYFUNCTION("""COMPUTED_VALUE"""),295886.0)</f>
        <v>295886</v>
      </c>
      <c r="K2018" s="3" t="str">
        <f>IFERROR(__xludf.DUMMYFUNCTION("""COMPUTED_VALUE"""),"นายจิระพงษ์ โพธิ์นิล")</f>
        <v>นายจิระพงษ์ โพธิ์นิล</v>
      </c>
      <c r="L2018" s="1" t="str">
        <f>IFERROR(__xludf.DUMMYFUNCTION("""COMPUTED_VALUE"""),"นายจิระพงษ์ โพธิ์นิล")</f>
        <v>นายจิระพงษ์ โพธิ์นิล</v>
      </c>
      <c r="M2018" s="1" t="str">
        <f>IFERROR(__xludf.DUMMYFUNCTION("""COMPUTED_VALUE"""),"0933290754")</f>
        <v>0933290754</v>
      </c>
      <c r="N2018" s="3">
        <f>IFERROR(__xludf.DUMMYFUNCTION("""COMPUTED_VALUE"""),21465.0)</f>
        <v>21465</v>
      </c>
      <c r="O2018" s="3" t="str">
        <f>IFERROR(__xludf.DUMMYFUNCTION("""COMPUTED_VALUE"""),"MBC สถานีตำรวจอุดร")</f>
        <v>MBC สถานีตำรวจอุดร</v>
      </c>
      <c r="P2018" s="4">
        <f>IFERROR(__xludf.DUMMYFUNCTION("""COMPUTED_VALUE"""),42551.0)</f>
        <v>42551</v>
      </c>
      <c r="Q2018" s="3" t="str">
        <f>IFERROR(__xludf.DUMMYFUNCTION("""COMPUTED_VALUE"""),"I")</f>
        <v>I</v>
      </c>
      <c r="R2018" s="3" t="str">
        <f>IFERROR(__xludf.DUMMYFUNCTION("""COMPUTED_VALUE"""),"Small Format")</f>
        <v>Small Format</v>
      </c>
      <c r="S2018" s="3" t="str">
        <f>IFERROR(__xludf.DUMMYFUNCTION("""COMPUTED_VALUE"""),"BCM(FC)")</f>
        <v>BCM(FC)</v>
      </c>
      <c r="T2018" s="3" t="str">
        <f>IFERROR(__xludf.DUMMYFUNCTION("""COMPUTED_VALUE"""),"#N/A")</f>
        <v>#N/A</v>
      </c>
      <c r="U2018" s="3" t="str">
        <f>IFERROR(__xludf.DUMMYFUNCTION("""COMPUTED_VALUE"""),"#N/A")</f>
        <v>#N/A</v>
      </c>
      <c r="V2018" s="3" t="str">
        <f>IFERROR(__xludf.DUMMYFUNCTION("""COMPUTED_VALUE"""),"Y")</f>
        <v>Y</v>
      </c>
      <c r="W2018" s="3">
        <f>IFERROR(__xludf.DUMMYFUNCTION("""COMPUTED_VALUE"""),0.0)</f>
        <v>0</v>
      </c>
      <c r="X2018" s="3" t="str">
        <f>IFERROR(__xludf.DUMMYFUNCTION("""COMPUTED_VALUE"""),"736 ถนนมิตรภาพ ตำบลปากช่อง อำเภอปากช่อง จังหวัดนครราชสีมา 30130")</f>
        <v>736 ถนนมิตรภาพ ตำบลปากช่อง อำเภอปากช่อง จังหวัดนครราชสีมา 30130</v>
      </c>
      <c r="Y2018" s="3" t="str">
        <f>IFERROR(__xludf.DUMMYFUNCTION("""COMPUTED_VALUE"""),"ถนนมิตรภาพ")</f>
        <v>ถนนมิตรภาพ</v>
      </c>
      <c r="Z2018" s="3" t="str">
        <f>IFERROR(__xludf.DUMMYFUNCTION("""COMPUTED_VALUE"""),"ปากช่อง")</f>
        <v>ปากช่อง</v>
      </c>
      <c r="AA2018" s="3" t="str">
        <f>IFERROR(__xludf.DUMMYFUNCTION("""COMPUTED_VALUE"""),"ปากช่อง")</f>
        <v>ปากช่อง</v>
      </c>
      <c r="AB2018" s="3" t="str">
        <f>IFERROR(__xludf.DUMMYFUNCTION("""COMPUTED_VALUE"""),"นครราชสีมา")</f>
        <v>นครราชสีมา</v>
      </c>
      <c r="AC2018" s="3">
        <f>IFERROR(__xludf.DUMMYFUNCTION("""COMPUTED_VALUE"""),30130.0)</f>
        <v>30130</v>
      </c>
      <c r="AD2018" s="3" t="str">
        <f>IFERROR(__xludf.DUMMYFUNCTION("""COMPUTED_VALUE"""),"#N/A")</f>
        <v>#N/A</v>
      </c>
      <c r="AE2018" s="3" t="str">
        <f>IFERROR(__xludf.DUMMYFUNCTION("""COMPUTED_VALUE"""),"#N/A")</f>
        <v>#N/A</v>
      </c>
      <c r="AF2018" s="3" t="str">
        <f>IFERROR(__xludf.DUMMYFUNCTION("""COMPUTED_VALUE"""),"MFC ปากช่อง 20-31006")</f>
        <v>MFC ปากช่อง 20-31006</v>
      </c>
      <c r="AG2018" s="3" t="str">
        <f>IFERROR(__xludf.DUMMYFUNCTION("""COMPUTED_VALUE"""),"ตะวันออกเฉียงเหนือ")</f>
        <v>ตะวันออกเฉียงเหนือ</v>
      </c>
      <c r="AH2018" s="3" t="str">
        <f>IFERROR(__xludf.DUMMYFUNCTION("""COMPUTED_VALUE"""),"#N/A")</f>
        <v>#N/A</v>
      </c>
      <c r="AI2018" s="3" t="str">
        <f>IFERROR(__xludf.DUMMYFUNCTION("""COMPUTED_VALUE"""),"Out of warranty")</f>
        <v>Out of warranty</v>
      </c>
      <c r="AJ2018" s="3">
        <f>IFERROR(__xludf.DUMMYFUNCTION("""COMPUTED_VALUE"""),115.0)</f>
        <v>115</v>
      </c>
      <c r="AK2018" s="3"/>
      <c r="AL2018" s="3"/>
    </row>
    <row r="2019" ht="15.75" customHeight="1">
      <c r="A2019" s="1" t="str">
        <f>IFERROR(__xludf.DUMMYFUNCTION("""COMPUTED_VALUE"""),"31007")</f>
        <v>31007</v>
      </c>
      <c r="B2019" s="2">
        <f>IFERROR(__xludf.DUMMYFUNCTION("""COMPUTED_VALUE"""),31007.0)</f>
        <v>31007</v>
      </c>
      <c r="C2019" s="3" t="str">
        <f>IFERROR(__xludf.DUMMYFUNCTION("""COMPUTED_VALUE"""),"BCM FC ปักธงชัย โคราช")</f>
        <v>BCM FC ปักธงชัย โคราช</v>
      </c>
      <c r="D2019" s="3" t="str">
        <f>IFERROR(__xludf.DUMMYFUNCTION("""COMPUTED_VALUE"""),"BCM PAK THONG CHAI (KORAT)")</f>
        <v>BCM PAK THONG CHAI (KORAT)</v>
      </c>
      <c r="E2019" s="1" t="str">
        <f>IFERROR(__xludf.DUMMYFUNCTION("""COMPUTED_VALUE"""),"บิ๊กซี MINI")</f>
        <v>บิ๊กซี MINI</v>
      </c>
      <c r="F2019" s="1" t="str">
        <f>IFERROR(__xludf.DUMMYFUNCTION("""COMPUTED_VALUE"""),"291105")</f>
        <v>291105</v>
      </c>
      <c r="G2019" s="1" t="str">
        <f>IFERROR(__xludf.DUMMYFUNCTION("""COMPUTED_VALUE"""),"นายสราวุฒิ พณิชยกุล")</f>
        <v>นายสราวุฒิ พณิชยกุล</v>
      </c>
      <c r="H2019" s="1" t="str">
        <f>IFERROR(__xludf.DUMMYFUNCTION("""COMPUTED_VALUE"""),"281315")</f>
        <v>281315</v>
      </c>
      <c r="I2019" s="1" t="str">
        <f>IFERROR(__xludf.DUMMYFUNCTION("""COMPUTED_VALUE"""),"นายกิตติพงษ์ มั่นคง")</f>
        <v>นายกิตติพงษ์ มั่นคง</v>
      </c>
      <c r="J2019" s="3">
        <f>IFERROR(__xludf.DUMMYFUNCTION("""COMPUTED_VALUE"""),295886.0)</f>
        <v>295886</v>
      </c>
      <c r="K2019" s="3" t="str">
        <f>IFERROR(__xludf.DUMMYFUNCTION("""COMPUTED_VALUE"""),"นายจิระพงษ์ โพธิ์นิล")</f>
        <v>นายจิระพงษ์ โพธิ์นิล</v>
      </c>
      <c r="L2019" s="1" t="str">
        <f>IFERROR(__xludf.DUMMYFUNCTION("""COMPUTED_VALUE"""),"นายจิระพงษ์ โพธิ์นิล")</f>
        <v>นายจิระพงษ์ โพธิ์นิล</v>
      </c>
      <c r="M2019" s="1" t="str">
        <f>IFERROR(__xludf.DUMMYFUNCTION("""COMPUTED_VALUE"""),"0933290754")</f>
        <v>0933290754</v>
      </c>
      <c r="N2019" s="3">
        <f>IFERROR(__xludf.DUMMYFUNCTION("""COMPUTED_VALUE"""),21622.0)</f>
        <v>21622</v>
      </c>
      <c r="O2019" s="3" t="str">
        <f>IFERROR(__xludf.DUMMYFUNCTION("""COMPUTED_VALUE"""),"MBC ตลาดบ้านดอน")</f>
        <v>MBC ตลาดบ้านดอน</v>
      </c>
      <c r="P2019" s="4">
        <f>IFERROR(__xludf.DUMMYFUNCTION("""COMPUTED_VALUE"""),42581.0)</f>
        <v>42581</v>
      </c>
      <c r="Q2019" s="3" t="str">
        <f>IFERROR(__xludf.DUMMYFUNCTION("""COMPUTED_VALUE"""),"I")</f>
        <v>I</v>
      </c>
      <c r="R2019" s="3" t="str">
        <f>IFERROR(__xludf.DUMMYFUNCTION("""COMPUTED_VALUE"""),"Small Format")</f>
        <v>Small Format</v>
      </c>
      <c r="S2019" s="3" t="str">
        <f>IFERROR(__xludf.DUMMYFUNCTION("""COMPUTED_VALUE"""),"BCM(FC)")</f>
        <v>BCM(FC)</v>
      </c>
      <c r="T2019" s="3" t="str">
        <f>IFERROR(__xludf.DUMMYFUNCTION("""COMPUTED_VALUE"""),"#N/A")</f>
        <v>#N/A</v>
      </c>
      <c r="U2019" s="3" t="str">
        <f>IFERROR(__xludf.DUMMYFUNCTION("""COMPUTED_VALUE"""),"#N/A")</f>
        <v>#N/A</v>
      </c>
      <c r="V2019" s="3" t="str">
        <f>IFERROR(__xludf.DUMMYFUNCTION("""COMPUTED_VALUE"""),"Y")</f>
        <v>Y</v>
      </c>
      <c r="W2019" s="3">
        <f>IFERROR(__xludf.DUMMYFUNCTION("""COMPUTED_VALUE"""),811017.0)</f>
        <v>811017</v>
      </c>
      <c r="X2019" s="3" t="str">
        <f>IFERROR(__xludf.DUMMYFUNCTION("""COMPUTED_VALUE"""),"300 หมู่ 1 ตำบลเมืองปัก อำเภอปักธงชัย จังหวัดนครราชสีมา 30150")</f>
        <v>300 หมู่ 1 ตำบลเมืองปัก อำเภอปักธงชัย จังหวัดนครราชสีมา 30150</v>
      </c>
      <c r="Y2019" s="3"/>
      <c r="Z2019" s="3" t="str">
        <f>IFERROR(__xludf.DUMMYFUNCTION("""COMPUTED_VALUE"""),"เมืองปัก")</f>
        <v>เมืองปัก</v>
      </c>
      <c r="AA2019" s="3" t="str">
        <f>IFERROR(__xludf.DUMMYFUNCTION("""COMPUTED_VALUE"""),"ปักธงชัย")</f>
        <v>ปักธงชัย</v>
      </c>
      <c r="AB2019" s="3" t="str">
        <f>IFERROR(__xludf.DUMMYFUNCTION("""COMPUTED_VALUE"""),"นครราชสีมา")</f>
        <v>นครราชสีมา</v>
      </c>
      <c r="AC2019" s="3">
        <f>IFERROR(__xludf.DUMMYFUNCTION("""COMPUTED_VALUE"""),30150.0)</f>
        <v>30150</v>
      </c>
      <c r="AD2019" s="3">
        <f>IFERROR(__xludf.DUMMYFUNCTION("""COMPUTED_VALUE"""),14.7247793)</f>
        <v>14.7247793</v>
      </c>
      <c r="AE2019" s="3">
        <f>IFERROR(__xludf.DUMMYFUNCTION("""COMPUTED_VALUE"""),102.0196385)</f>
        <v>102.0196385</v>
      </c>
      <c r="AF2019" s="3" t="str">
        <f>IFERROR(__xludf.DUMMYFUNCTION("""COMPUTED_VALUE"""),"BCM FC ปักธงชัย โคราช-31007")</f>
        <v>BCM FC ปักธงชัย โคราช-31007</v>
      </c>
      <c r="AG2019" s="3" t="str">
        <f>IFERROR(__xludf.DUMMYFUNCTION("""COMPUTED_VALUE"""),"ตะวันออกเฉียงเหนือ")</f>
        <v>ตะวันออกเฉียงเหนือ</v>
      </c>
      <c r="AH2019" s="3" t="str">
        <f>IFERROR(__xludf.DUMMYFUNCTION("""COMPUTED_VALUE"""),"#N/A")</f>
        <v>#N/A</v>
      </c>
      <c r="AI2019" s="3" t="str">
        <f>IFERROR(__xludf.DUMMYFUNCTION("""COMPUTED_VALUE"""),"Out of warranty")</f>
        <v>Out of warranty</v>
      </c>
      <c r="AJ2019" s="3">
        <f>IFERROR(__xludf.DUMMYFUNCTION("""COMPUTED_VALUE"""),114.0)</f>
        <v>114</v>
      </c>
      <c r="AK2019" s="3"/>
      <c r="AL2019" s="3"/>
    </row>
    <row r="2020" ht="15.75" customHeight="1">
      <c r="A2020" s="1" t="str">
        <f>IFERROR(__xludf.DUMMYFUNCTION("""COMPUTED_VALUE"""),"31008")</f>
        <v>31008</v>
      </c>
      <c r="B2020" s="2">
        <f>IFERROR(__xludf.DUMMYFUNCTION("""COMPUTED_VALUE"""),31008.0)</f>
        <v>31008</v>
      </c>
      <c r="C2020" s="3" t="str">
        <f>IFERROR(__xludf.DUMMYFUNCTION("""COMPUTED_VALUE"""),"MFC CTX หัวทะเลโคราช")</f>
        <v>MFC CTX หัวทะเลโคราช</v>
      </c>
      <c r="D2020" s="3" t="str">
        <f>IFERROR(__xludf.DUMMYFUNCTION("""COMPUTED_VALUE"""),"MBC FC CTX HUATALE KORAT")</f>
        <v>MBC FC CTX HUATALE KORAT</v>
      </c>
      <c r="E2020" s="1" t="str">
        <f>IFERROR(__xludf.DUMMYFUNCTION("""COMPUTED_VALUE"""),"บิ๊กซี MINI")</f>
        <v>บิ๊กซี MINI</v>
      </c>
      <c r="F2020" s="1" t="str">
        <f>IFERROR(__xludf.DUMMYFUNCTION("""COMPUTED_VALUE"""),"291100")</f>
        <v>291100</v>
      </c>
      <c r="G2020" s="1" t="str">
        <f>IFERROR(__xludf.DUMMYFUNCTION("""COMPUTED_VALUE"""),"น.ส.จารุณี ฮวบอินทร์")</f>
        <v>น.ส.จารุณี ฮวบอินทร์</v>
      </c>
      <c r="H2020" s="1" t="str">
        <f>IFERROR(__xludf.DUMMYFUNCTION("""COMPUTED_VALUE"""),"180347")</f>
        <v>180347</v>
      </c>
      <c r="I2020" s="1" t="str">
        <f>IFERROR(__xludf.DUMMYFUNCTION("""COMPUTED_VALUE"""),"นายณัฐพงษ์ สุตะวงค์")</f>
        <v>นายณัฐพงษ์ สุตะวงค์</v>
      </c>
      <c r="J2020" s="3">
        <f>IFERROR(__xludf.DUMMYFUNCTION("""COMPUTED_VALUE"""),295886.0)</f>
        <v>295886</v>
      </c>
      <c r="K2020" s="3" t="str">
        <f>IFERROR(__xludf.DUMMYFUNCTION("""COMPUTED_VALUE"""),"นายจิระพงษ์ โพธิ์นิล")</f>
        <v>นายจิระพงษ์ โพธิ์นิล</v>
      </c>
      <c r="L2020" s="1" t="str">
        <f>IFERROR(__xludf.DUMMYFUNCTION("""COMPUTED_VALUE"""),"นายจิระพงษ์ โพธิ์นิล")</f>
        <v>นายจิระพงษ์ โพธิ์นิล</v>
      </c>
      <c r="M2020" s="1" t="str">
        <f>IFERROR(__xludf.DUMMYFUNCTION("""COMPUTED_VALUE"""),"0933290754")</f>
        <v>0933290754</v>
      </c>
      <c r="N2020" s="3">
        <f>IFERROR(__xludf.DUMMYFUNCTION("""COMPUTED_VALUE"""),21465.0)</f>
        <v>21465</v>
      </c>
      <c r="O2020" s="3" t="str">
        <f>IFERROR(__xludf.DUMMYFUNCTION("""COMPUTED_VALUE"""),"MBC สถานีตำรวจอุดร")</f>
        <v>MBC สถานีตำรวจอุดร</v>
      </c>
      <c r="P2020" s="4">
        <f>IFERROR(__xludf.DUMMYFUNCTION("""COMPUTED_VALUE"""),42573.0)</f>
        <v>42573</v>
      </c>
      <c r="Q2020" s="3" t="str">
        <f>IFERROR(__xludf.DUMMYFUNCTION("""COMPUTED_VALUE"""),"I")</f>
        <v>I</v>
      </c>
      <c r="R2020" s="3" t="str">
        <f>IFERROR(__xludf.DUMMYFUNCTION("""COMPUTED_VALUE"""),"Small Format")</f>
        <v>Small Format</v>
      </c>
      <c r="S2020" s="3" t="str">
        <f>IFERROR(__xludf.DUMMYFUNCTION("""COMPUTED_VALUE"""),"BCM(FC)")</f>
        <v>BCM(FC)</v>
      </c>
      <c r="T2020" s="3" t="str">
        <f>IFERROR(__xludf.DUMMYFUNCTION("""COMPUTED_VALUE"""),"#N/A")</f>
        <v>#N/A</v>
      </c>
      <c r="U2020" s="3" t="str">
        <f>IFERROR(__xludf.DUMMYFUNCTION("""COMPUTED_VALUE"""),"#N/A")</f>
        <v>#N/A</v>
      </c>
      <c r="V2020" s="3" t="str">
        <f>IFERROR(__xludf.DUMMYFUNCTION("""COMPUTED_VALUE"""),"Y")</f>
        <v>Y</v>
      </c>
      <c r="W2020" s="3">
        <f>IFERROR(__xludf.DUMMYFUNCTION("""COMPUTED_VALUE"""),0.0)</f>
        <v>0</v>
      </c>
      <c r="X2020" s="3" t="str">
        <f>IFERROR(__xludf.DUMMYFUNCTION("""COMPUTED_VALUE"""),"1668 หมู่ 1 ตำบลหัวทะเล อำเภอเมืองนครราชสีมา จังหวัดนครราชสีมา 30000")</f>
        <v>1668 หมู่ 1 ตำบลหัวทะเล อำเภอเมืองนครราชสีมา จังหวัดนครราชสีมา 30000</v>
      </c>
      <c r="Y2020" s="3"/>
      <c r="Z2020" s="3" t="str">
        <f>IFERROR(__xludf.DUMMYFUNCTION("""COMPUTED_VALUE"""),"หัวทะเล")</f>
        <v>หัวทะเล</v>
      </c>
      <c r="AA2020" s="3" t="str">
        <f>IFERROR(__xludf.DUMMYFUNCTION("""COMPUTED_VALUE"""),"เมือง")</f>
        <v>เมือง</v>
      </c>
      <c r="AB2020" s="3" t="str">
        <f>IFERROR(__xludf.DUMMYFUNCTION("""COMPUTED_VALUE"""),"นครราชสีมา")</f>
        <v>นครราชสีมา</v>
      </c>
      <c r="AC2020" s="3">
        <f>IFERROR(__xludf.DUMMYFUNCTION("""COMPUTED_VALUE"""),30000.0)</f>
        <v>30000</v>
      </c>
      <c r="AD2020" s="3" t="str">
        <f>IFERROR(__xludf.DUMMYFUNCTION("""COMPUTED_VALUE"""),"#N/A")</f>
        <v>#N/A</v>
      </c>
      <c r="AE2020" s="3" t="str">
        <f>IFERROR(__xludf.DUMMYFUNCTION("""COMPUTED_VALUE"""),"#N/A")</f>
        <v>#N/A</v>
      </c>
      <c r="AF2020" s="3" t="str">
        <f>IFERROR(__xludf.DUMMYFUNCTION("""COMPUTED_VALUE"""),"MFC CTX หัวทะเลโคราช-31008")</f>
        <v>MFC CTX หัวทะเลโคราช-31008</v>
      </c>
      <c r="AG2020" s="3" t="str">
        <f>IFERROR(__xludf.DUMMYFUNCTION("""COMPUTED_VALUE"""),"ตะวันออกเฉียงเหนือ")</f>
        <v>ตะวันออกเฉียงเหนือ</v>
      </c>
      <c r="AH2020" s="3" t="str">
        <f>IFERROR(__xludf.DUMMYFUNCTION("""COMPUTED_VALUE"""),"#N/A")</f>
        <v>#N/A</v>
      </c>
      <c r="AI2020" s="3" t="str">
        <f>IFERROR(__xludf.DUMMYFUNCTION("""COMPUTED_VALUE"""),"Out of warranty")</f>
        <v>Out of warranty</v>
      </c>
      <c r="AJ2020" s="3">
        <f>IFERROR(__xludf.DUMMYFUNCTION("""COMPUTED_VALUE"""),114.0)</f>
        <v>114</v>
      </c>
      <c r="AK2020" s="3"/>
      <c r="AL2020" s="3"/>
    </row>
    <row r="2021" ht="15.75" customHeight="1">
      <c r="A2021" s="1" t="str">
        <f>IFERROR(__xludf.DUMMYFUNCTION("""COMPUTED_VALUE"""),"31009")</f>
        <v>31009</v>
      </c>
      <c r="B2021" s="2">
        <f>IFERROR(__xludf.DUMMYFUNCTION("""COMPUTED_VALUE"""),31009.0)</f>
        <v>31009</v>
      </c>
      <c r="C2021" s="3" t="str">
        <f>IFERROR(__xludf.DUMMYFUNCTION("""COMPUTED_VALUE"""),"BCM FC CTX โชตนาเชียงใหม่")</f>
        <v>BCM FC CTX โชตนาเชียงใหม่</v>
      </c>
      <c r="D2021" s="3" t="str">
        <f>IFERROR(__xludf.DUMMYFUNCTION("""COMPUTED_VALUE"""),"BCM CTX-CHOTANA (CHIANGMAI)")</f>
        <v>BCM CTX-CHOTANA (CHIANGMAI)</v>
      </c>
      <c r="E2021" s="1" t="str">
        <f>IFERROR(__xludf.DUMMYFUNCTION("""COMPUTED_VALUE"""),"บิ๊กซี MINI")</f>
        <v>บิ๊กซี MINI</v>
      </c>
      <c r="F2021" s="1" t="str">
        <f>IFERROR(__xludf.DUMMYFUNCTION("""COMPUTED_VALUE"""),"296229")</f>
        <v>296229</v>
      </c>
      <c r="G2021" s="1" t="str">
        <f>IFERROR(__xludf.DUMMYFUNCTION("""COMPUTED_VALUE"""),"นายทนงศักดิ์ บุญมา")</f>
        <v>นายทนงศักดิ์ บุญมา</v>
      </c>
      <c r="H2021" s="1" t="str">
        <f>IFERROR(__xludf.DUMMYFUNCTION("""COMPUTED_VALUE"""),"393402")</f>
        <v>393402</v>
      </c>
      <c r="I2021" s="1" t="str">
        <f>IFERROR(__xludf.DUMMYFUNCTION("""COMPUTED_VALUE"""),"น.ส.ปารมิตา ใจตรง")</f>
        <v>น.ส.ปารมิตา ใจตรง</v>
      </c>
      <c r="J2021" s="3">
        <f>IFERROR(__xludf.DUMMYFUNCTION("""COMPUTED_VALUE"""),46214.0)</f>
        <v>46214</v>
      </c>
      <c r="K2021" s="3" t="str">
        <f>IFERROR(__xludf.DUMMYFUNCTION("""COMPUTED_VALUE"""),"นายศักดิ์ชัย เด็ดดอกฟ้า")</f>
        <v>นายศักดิ์ชัย เด็ดดอกฟ้า</v>
      </c>
      <c r="L2021" s="1" t="str">
        <f>IFERROR(__xludf.DUMMYFUNCTION("""COMPUTED_VALUE"""),"02 K.Sakchai D")</f>
        <v>02 K.Sakchai D</v>
      </c>
      <c r="M2021" s="1" t="str">
        <f>IFERROR(__xludf.DUMMYFUNCTION("""COMPUTED_VALUE"""),"065-510-7376")</f>
        <v>065-510-7376</v>
      </c>
      <c r="N2021" s="3">
        <f>IFERROR(__xludf.DUMMYFUNCTION("""COMPUTED_VALUE"""),21714.0)</f>
        <v>21714</v>
      </c>
      <c r="O2021" s="3" t="str">
        <f>IFERROR(__xludf.DUMMYFUNCTION("""COMPUTED_VALUE"""),"MBC เอสโซ่ วัดโบสถ์")</f>
        <v>MBC เอสโซ่ วัดโบสถ์</v>
      </c>
      <c r="P2021" s="4">
        <f>IFERROR(__xludf.DUMMYFUNCTION("""COMPUTED_VALUE"""),42594.0)</f>
        <v>42594</v>
      </c>
      <c r="Q2021" s="3" t="str">
        <f>IFERROR(__xludf.DUMMYFUNCTION("""COMPUTED_VALUE"""),"I")</f>
        <v>I</v>
      </c>
      <c r="R2021" s="3" t="str">
        <f>IFERROR(__xludf.DUMMYFUNCTION("""COMPUTED_VALUE"""),"Small Format")</f>
        <v>Small Format</v>
      </c>
      <c r="S2021" s="3" t="str">
        <f>IFERROR(__xludf.DUMMYFUNCTION("""COMPUTED_VALUE"""),"BCM(FC)")</f>
        <v>BCM(FC)</v>
      </c>
      <c r="T2021" s="3" t="str">
        <f>IFERROR(__xludf.DUMMYFUNCTION("""COMPUTED_VALUE"""),"#N/A")</f>
        <v>#N/A</v>
      </c>
      <c r="U2021" s="3" t="str">
        <f>IFERROR(__xludf.DUMMYFUNCTION("""COMPUTED_VALUE"""),"#N/A")</f>
        <v>#N/A</v>
      </c>
      <c r="V2021" s="3" t="str">
        <f>IFERROR(__xludf.DUMMYFUNCTION("""COMPUTED_VALUE"""),"Y")</f>
        <v>Y</v>
      </c>
      <c r="W2021" s="3">
        <f>IFERROR(__xludf.DUMMYFUNCTION("""COMPUTED_VALUE"""),811012.0)</f>
        <v>811012</v>
      </c>
      <c r="X2021" s="3" t="str">
        <f>IFERROR(__xludf.DUMMYFUNCTION("""COMPUTED_VALUE"""),"52/2 ถนนโชตนา ตำบลช้างเผือก อำเภอเมืองเชียงใหม่ จังหวัดเชียงใหม่ 50300")</f>
        <v>52/2 ถนนโชตนา ตำบลช้างเผือก อำเภอเมืองเชียงใหม่ จังหวัดเชียงใหม่ 50300</v>
      </c>
      <c r="Y2021" s="3" t="str">
        <f>IFERROR(__xludf.DUMMYFUNCTION("""COMPUTED_VALUE"""),"ถนนโชตนา")</f>
        <v>ถนนโชตนา</v>
      </c>
      <c r="Z2021" s="3" t="str">
        <f>IFERROR(__xludf.DUMMYFUNCTION("""COMPUTED_VALUE"""),"ช้างเผือก")</f>
        <v>ช้างเผือก</v>
      </c>
      <c r="AA2021" s="3" t="str">
        <f>IFERROR(__xludf.DUMMYFUNCTION("""COMPUTED_VALUE"""),"เมือง")</f>
        <v>เมือง</v>
      </c>
      <c r="AB2021" s="3" t="str">
        <f>IFERROR(__xludf.DUMMYFUNCTION("""COMPUTED_VALUE"""),"เชียงใหม่")</f>
        <v>เชียงใหม่</v>
      </c>
      <c r="AC2021" s="3">
        <f>IFERROR(__xludf.DUMMYFUNCTION("""COMPUTED_VALUE"""),50300.0)</f>
        <v>50300</v>
      </c>
      <c r="AD2021" s="3">
        <f>IFERROR(__xludf.DUMMYFUNCTION("""COMPUTED_VALUE"""),18.817928)</f>
        <v>18.817928</v>
      </c>
      <c r="AE2021" s="3">
        <f>IFERROR(__xludf.DUMMYFUNCTION("""COMPUTED_VALUE"""),98.982096)</f>
        <v>98.982096</v>
      </c>
      <c r="AF2021" s="3" t="str">
        <f>IFERROR(__xludf.DUMMYFUNCTION("""COMPUTED_VALUE"""),"BCM FC CTX โชตนาเชียงใหม่-31009")</f>
        <v>BCM FC CTX โชตนาเชียงใหม่-31009</v>
      </c>
      <c r="AG2021" s="3" t="str">
        <f>IFERROR(__xludf.DUMMYFUNCTION("""COMPUTED_VALUE"""),"เหนือ")</f>
        <v>เหนือ</v>
      </c>
      <c r="AH2021" s="3" t="str">
        <f>IFERROR(__xludf.DUMMYFUNCTION("""COMPUTED_VALUE"""),"#N/A")</f>
        <v>#N/A</v>
      </c>
      <c r="AI2021" s="3" t="str">
        <f>IFERROR(__xludf.DUMMYFUNCTION("""COMPUTED_VALUE"""),"Out of warranty")</f>
        <v>Out of warranty</v>
      </c>
      <c r="AJ2021" s="3">
        <f>IFERROR(__xludf.DUMMYFUNCTION("""COMPUTED_VALUE"""),114.0)</f>
        <v>114</v>
      </c>
      <c r="AK2021" s="3"/>
      <c r="AL2021" s="3"/>
    </row>
    <row r="2022" ht="15.75" customHeight="1">
      <c r="A2022" s="1" t="str">
        <f>IFERROR(__xludf.DUMMYFUNCTION("""COMPUTED_VALUE"""),"31010")</f>
        <v>31010</v>
      </c>
      <c r="B2022" s="2">
        <f>IFERROR(__xludf.DUMMYFUNCTION("""COMPUTED_VALUE"""),31010.0)</f>
        <v>31010</v>
      </c>
      <c r="C2022" s="3" t="str">
        <f>IFERROR(__xludf.DUMMYFUNCTION("""COMPUTED_VALUE"""),"BCM FC CTX แอร์พอร์ตเชียงใหม่")</f>
        <v>BCM FC CTX แอร์พอร์ตเชียงใหม่</v>
      </c>
      <c r="D2022" s="3" t="str">
        <f>IFERROR(__xludf.DUMMYFUNCTION("""COMPUTED_VALUE"""),"BCM CTX-AIRPORT CHIANGMAI")</f>
        <v>BCM CTX-AIRPORT CHIANGMAI</v>
      </c>
      <c r="E2022" s="1" t="str">
        <f>IFERROR(__xludf.DUMMYFUNCTION("""COMPUTED_VALUE"""),"บิ๊กซี MINI")</f>
        <v>บิ๊กซี MINI</v>
      </c>
      <c r="F2022" s="1" t="str">
        <f>IFERROR(__xludf.DUMMYFUNCTION("""COMPUTED_VALUE"""),"296229")</f>
        <v>296229</v>
      </c>
      <c r="G2022" s="1" t="str">
        <f>IFERROR(__xludf.DUMMYFUNCTION("""COMPUTED_VALUE"""),"นายทนงศักดิ์ บุญมา")</f>
        <v>นายทนงศักดิ์ บุญมา</v>
      </c>
      <c r="H2022" s="1" t="str">
        <f>IFERROR(__xludf.DUMMYFUNCTION("""COMPUTED_VALUE"""),"393402")</f>
        <v>393402</v>
      </c>
      <c r="I2022" s="1" t="str">
        <f>IFERROR(__xludf.DUMMYFUNCTION("""COMPUTED_VALUE"""),"น.ส.ปารมิตา ใจตรง")</f>
        <v>น.ส.ปารมิตา ใจตรง</v>
      </c>
      <c r="J2022" s="3">
        <f>IFERROR(__xludf.DUMMYFUNCTION("""COMPUTED_VALUE"""),46214.0)</f>
        <v>46214</v>
      </c>
      <c r="K2022" s="3" t="str">
        <f>IFERROR(__xludf.DUMMYFUNCTION("""COMPUTED_VALUE"""),"นายศักดิ์ชัย เด็ดดอกฟ้า")</f>
        <v>นายศักดิ์ชัย เด็ดดอกฟ้า</v>
      </c>
      <c r="L2022" s="1" t="str">
        <f>IFERROR(__xludf.DUMMYFUNCTION("""COMPUTED_VALUE"""),"02 K.Sakchai D")</f>
        <v>02 K.Sakchai D</v>
      </c>
      <c r="M2022" s="1" t="str">
        <f>IFERROR(__xludf.DUMMYFUNCTION("""COMPUTED_VALUE"""),"065-510-7376")</f>
        <v>065-510-7376</v>
      </c>
      <c r="N2022" s="3">
        <f>IFERROR(__xludf.DUMMYFUNCTION("""COMPUTED_VALUE"""),21714.0)</f>
        <v>21714</v>
      </c>
      <c r="O2022" s="3" t="str">
        <f>IFERROR(__xludf.DUMMYFUNCTION("""COMPUTED_VALUE"""),"MBC เอสโซ่ วัดโบสถ์")</f>
        <v>MBC เอสโซ่ วัดโบสถ์</v>
      </c>
      <c r="P2022" s="4">
        <f>IFERROR(__xludf.DUMMYFUNCTION("""COMPUTED_VALUE"""),42582.0)</f>
        <v>42582</v>
      </c>
      <c r="Q2022" s="3" t="str">
        <f>IFERROR(__xludf.DUMMYFUNCTION("""COMPUTED_VALUE"""),"I")</f>
        <v>I</v>
      </c>
      <c r="R2022" s="3" t="str">
        <f>IFERROR(__xludf.DUMMYFUNCTION("""COMPUTED_VALUE"""),"Small Format")</f>
        <v>Small Format</v>
      </c>
      <c r="S2022" s="3" t="str">
        <f>IFERROR(__xludf.DUMMYFUNCTION("""COMPUTED_VALUE"""),"BCM(FC)")</f>
        <v>BCM(FC)</v>
      </c>
      <c r="T2022" s="3" t="str">
        <f>IFERROR(__xludf.DUMMYFUNCTION("""COMPUTED_VALUE"""),"#N/A")</f>
        <v>#N/A</v>
      </c>
      <c r="U2022" s="3" t="str">
        <f>IFERROR(__xludf.DUMMYFUNCTION("""COMPUTED_VALUE"""),"#N/A")</f>
        <v>#N/A</v>
      </c>
      <c r="V2022" s="3" t="str">
        <f>IFERROR(__xludf.DUMMYFUNCTION("""COMPUTED_VALUE"""),"Y")</f>
        <v>Y</v>
      </c>
      <c r="W2022" s="3">
        <f>IFERROR(__xludf.DUMMYFUNCTION("""COMPUTED_VALUE"""),811011.0)</f>
        <v>811011</v>
      </c>
      <c r="X2022" s="3" t="str">
        <f>IFERROR(__xludf.DUMMYFUNCTION("""COMPUTED_VALUE"""),"229 ถนนมหิดล ตำบลช้างคลาน อำเภอเมืองเชียงใหม่ จังหวัดเชียงใหม่ 50100")</f>
        <v>229 ถนนมหิดล ตำบลช้างคลาน อำเภอเมืองเชียงใหม่ จังหวัดเชียงใหม่ 50100</v>
      </c>
      <c r="Y2022" s="3" t="str">
        <f>IFERROR(__xludf.DUMMYFUNCTION("""COMPUTED_VALUE"""),"ถนนมหิดล")</f>
        <v>ถนนมหิดล</v>
      </c>
      <c r="Z2022" s="3" t="str">
        <f>IFERROR(__xludf.DUMMYFUNCTION("""COMPUTED_VALUE"""),"ช้างคลาน")</f>
        <v>ช้างคลาน</v>
      </c>
      <c r="AA2022" s="3" t="str">
        <f>IFERROR(__xludf.DUMMYFUNCTION("""COMPUTED_VALUE"""),"เมือง")</f>
        <v>เมือง</v>
      </c>
      <c r="AB2022" s="3" t="str">
        <f>IFERROR(__xludf.DUMMYFUNCTION("""COMPUTED_VALUE"""),"เชียงใหม่")</f>
        <v>เชียงใหม่</v>
      </c>
      <c r="AC2022" s="3">
        <f>IFERROR(__xludf.DUMMYFUNCTION("""COMPUTED_VALUE"""),50100.0)</f>
        <v>50100</v>
      </c>
      <c r="AD2022" s="3">
        <f>IFERROR(__xludf.DUMMYFUNCTION("""COMPUTED_VALUE"""),18.768061)</f>
        <v>18.768061</v>
      </c>
      <c r="AE2022" s="3">
        <f>IFERROR(__xludf.DUMMYFUNCTION("""COMPUTED_VALUE"""),98.982454)</f>
        <v>98.982454</v>
      </c>
      <c r="AF2022" s="3" t="str">
        <f>IFERROR(__xludf.DUMMYFUNCTION("""COMPUTED_VALUE"""),"BCM FC CTX แอร์พอร์ตเชียงใหม่-31010")</f>
        <v>BCM FC CTX แอร์พอร์ตเชียงใหม่-31010</v>
      </c>
      <c r="AG2022" s="3" t="str">
        <f>IFERROR(__xludf.DUMMYFUNCTION("""COMPUTED_VALUE"""),"เหนือ")</f>
        <v>เหนือ</v>
      </c>
      <c r="AH2022" s="3" t="str">
        <f>IFERROR(__xludf.DUMMYFUNCTION("""COMPUTED_VALUE"""),"#N/A")</f>
        <v>#N/A</v>
      </c>
      <c r="AI2022" s="3" t="str">
        <f>IFERROR(__xludf.DUMMYFUNCTION("""COMPUTED_VALUE"""),"Out of warranty")</f>
        <v>Out of warranty</v>
      </c>
      <c r="AJ2022" s="3">
        <f>IFERROR(__xludf.DUMMYFUNCTION("""COMPUTED_VALUE"""),114.0)</f>
        <v>114</v>
      </c>
      <c r="AK2022" s="3"/>
      <c r="AL2022" s="3"/>
    </row>
    <row r="2023" ht="15.75" customHeight="1">
      <c r="A2023" s="1" t="str">
        <f>IFERROR(__xludf.DUMMYFUNCTION("""COMPUTED_VALUE"""),"31011")</f>
        <v>31011</v>
      </c>
      <c r="B2023" s="2">
        <f>IFERROR(__xludf.DUMMYFUNCTION("""COMPUTED_VALUE"""),31011.0)</f>
        <v>31011</v>
      </c>
      <c r="C2023" s="3" t="str">
        <f>IFERROR(__xludf.DUMMYFUNCTION("""COMPUTED_VALUE"""),"BCM FC CTX โนนสะอาด อุดรธานี")</f>
        <v>BCM FC CTX โนนสะอาด อุดรธานี</v>
      </c>
      <c r="D2023" s="3" t="str">
        <f>IFERROR(__xludf.DUMMYFUNCTION("""COMPUTED_VALUE"""),"BCM CTX-NON SA-AT (UDONTANI)")</f>
        <v>BCM CTX-NON SA-AT (UDONTANI)</v>
      </c>
      <c r="E2023" s="1" t="str">
        <f>IFERROR(__xludf.DUMMYFUNCTION("""COMPUTED_VALUE"""),"บิ๊กซี MINI")</f>
        <v>บิ๊กซี MINI</v>
      </c>
      <c r="F2023" s="1" t="str">
        <f>IFERROR(__xludf.DUMMYFUNCTION("""COMPUTED_VALUE"""),"291105")</f>
        <v>291105</v>
      </c>
      <c r="G2023" s="1" t="str">
        <f>IFERROR(__xludf.DUMMYFUNCTION("""COMPUTED_VALUE"""),"นายสราวุฒิ พณิชยกุล")</f>
        <v>นายสราวุฒิ พณิชยกุล</v>
      </c>
      <c r="H2023" s="1" t="str">
        <f>IFERROR(__xludf.DUMMYFUNCTION("""COMPUTED_VALUE"""),"392005")</f>
        <v>392005</v>
      </c>
      <c r="I2023" s="1" t="str">
        <f>IFERROR(__xludf.DUMMYFUNCTION("""COMPUTED_VALUE"""),"นายรัฐพล หาญลำยวง")</f>
        <v>นายรัฐพล หาญลำยวง</v>
      </c>
      <c r="J2023" s="3">
        <f>IFERROR(__xludf.DUMMYFUNCTION("""COMPUTED_VALUE"""),296868.0)</f>
        <v>296868</v>
      </c>
      <c r="K2023" s="3" t="str">
        <f>IFERROR(__xludf.DUMMYFUNCTION("""COMPUTED_VALUE"""),"นายพีระพงษ์ แก้วดวงดี")</f>
        <v>นายพีระพงษ์ แก้วดวงดี</v>
      </c>
      <c r="L2023" s="1" t="str">
        <f>IFERROR(__xludf.DUMMYFUNCTION("""COMPUTED_VALUE"""),"03 K.Peerapong K.")</f>
        <v>03 K.Peerapong K.</v>
      </c>
      <c r="M2023" s="1" t="str">
        <f>IFERROR(__xludf.DUMMYFUNCTION("""COMPUTED_VALUE"""),"089-002-6599")</f>
        <v>089-002-6599</v>
      </c>
      <c r="N2023" s="3">
        <f>IFERROR(__xludf.DUMMYFUNCTION("""COMPUTED_VALUE"""),21946.0)</f>
        <v>21946</v>
      </c>
      <c r="O2023" s="3" t="str">
        <f>IFERROR(__xludf.DUMMYFUNCTION("""COMPUTED_VALUE"""),"MBC เซกา บึงกาฬ")</f>
        <v>MBC เซกา บึงกาฬ</v>
      </c>
      <c r="P2023" s="4">
        <f>IFERROR(__xludf.DUMMYFUNCTION("""COMPUTED_VALUE"""),42611.0)</f>
        <v>42611</v>
      </c>
      <c r="Q2023" s="3" t="str">
        <f>IFERROR(__xludf.DUMMYFUNCTION("""COMPUTED_VALUE"""),"A")</f>
        <v>A</v>
      </c>
      <c r="R2023" s="3" t="str">
        <f>IFERROR(__xludf.DUMMYFUNCTION("""COMPUTED_VALUE"""),"Small Format")</f>
        <v>Small Format</v>
      </c>
      <c r="S2023" s="3" t="str">
        <f>IFERROR(__xludf.DUMMYFUNCTION("""COMPUTED_VALUE"""),"BCM(FC)")</f>
        <v>BCM(FC)</v>
      </c>
      <c r="T2023" s="3" t="str">
        <f>IFERROR(__xludf.DUMMYFUNCTION("""COMPUTED_VALUE"""),"#N/A")</f>
        <v>#N/A</v>
      </c>
      <c r="U2023" s="3" t="str">
        <f>IFERROR(__xludf.DUMMYFUNCTION("""COMPUTED_VALUE"""),"#N/A")</f>
        <v>#N/A</v>
      </c>
      <c r="V2023" s="3" t="str">
        <f>IFERROR(__xludf.DUMMYFUNCTION("""COMPUTED_VALUE"""),"Y")</f>
        <v>Y</v>
      </c>
      <c r="W2023" s="3">
        <f>IFERROR(__xludf.DUMMYFUNCTION("""COMPUTED_VALUE"""),811043.0)</f>
        <v>811043</v>
      </c>
      <c r="X2023" s="3" t="str">
        <f>IFERROR(__xludf.DUMMYFUNCTION("""COMPUTED_VALUE"""),"233 หมู่ 2 ตำบลโนนสะอาด อำเภอโนนสะอาด จังหวัดอุดรธานี 41240")</f>
        <v>233 หมู่ 2 ตำบลโนนสะอาด อำเภอโนนสะอาด จังหวัดอุดรธานี 41240</v>
      </c>
      <c r="Y2023" s="3"/>
      <c r="Z2023" s="3" t="str">
        <f>IFERROR(__xludf.DUMMYFUNCTION("""COMPUTED_VALUE"""),"โนนสะอาด")</f>
        <v>โนนสะอาด</v>
      </c>
      <c r="AA2023" s="3" t="str">
        <f>IFERROR(__xludf.DUMMYFUNCTION("""COMPUTED_VALUE"""),"โนนสะอาด")</f>
        <v>โนนสะอาด</v>
      </c>
      <c r="AB2023" s="3" t="str">
        <f>IFERROR(__xludf.DUMMYFUNCTION("""COMPUTED_VALUE"""),"อุดรธานี")</f>
        <v>อุดรธานี</v>
      </c>
      <c r="AC2023" s="3">
        <f>IFERROR(__xludf.DUMMYFUNCTION("""COMPUTED_VALUE"""),41240.0)</f>
        <v>41240</v>
      </c>
      <c r="AD2023" s="3">
        <f>IFERROR(__xludf.DUMMYFUNCTION("""COMPUTED_VALUE"""),16.987773)</f>
        <v>16.987773</v>
      </c>
      <c r="AE2023" s="3">
        <f>IFERROR(__xludf.DUMMYFUNCTION("""COMPUTED_VALUE"""),102.8929681)</f>
        <v>102.8929681</v>
      </c>
      <c r="AF2023" s="3" t="str">
        <f>IFERROR(__xludf.DUMMYFUNCTION("""COMPUTED_VALUE"""),"BCM FC CTX โนนสะอาด อุดรธานี-31011")</f>
        <v>BCM FC CTX โนนสะอาด อุดรธานี-31011</v>
      </c>
      <c r="AG2023" s="3" t="str">
        <f>IFERROR(__xludf.DUMMYFUNCTION("""COMPUTED_VALUE"""),"ตะวันออกเฉียงเหนือ")</f>
        <v>ตะวันออกเฉียงเหนือ</v>
      </c>
      <c r="AH2023" s="3" t="str">
        <f>IFERROR(__xludf.DUMMYFUNCTION("""COMPUTED_VALUE"""),"#N/A")</f>
        <v>#N/A</v>
      </c>
      <c r="AI2023" s="3" t="str">
        <f>IFERROR(__xludf.DUMMYFUNCTION("""COMPUTED_VALUE"""),"Out of warranty")</f>
        <v>Out of warranty</v>
      </c>
      <c r="AJ2023" s="3">
        <f>IFERROR(__xludf.DUMMYFUNCTION("""COMPUTED_VALUE"""),113.0)</f>
        <v>113</v>
      </c>
      <c r="AK2023" s="3"/>
      <c r="AL2023" s="3"/>
    </row>
    <row r="2024" ht="15.75" customHeight="1">
      <c r="A2024" s="1" t="str">
        <f>IFERROR(__xludf.DUMMYFUNCTION("""COMPUTED_VALUE"""),"31012")</f>
        <v>31012</v>
      </c>
      <c r="B2024" s="2">
        <f>IFERROR(__xludf.DUMMYFUNCTION("""COMPUTED_VALUE"""),31012.0)</f>
        <v>31012</v>
      </c>
      <c r="C2024" s="3" t="str">
        <f>IFERROR(__xludf.DUMMYFUNCTION("""COMPUTED_VALUE"""),"BCM FC CTX หนองหาน อุดรธานี")</f>
        <v>BCM FC CTX หนองหาน อุดรธานี</v>
      </c>
      <c r="D2024" s="3" t="str">
        <f>IFERROR(__xludf.DUMMYFUNCTION("""COMPUTED_VALUE"""),"BCM CTX-NONG HAN (UDONTHANI)")</f>
        <v>BCM CTX-NONG HAN (UDONTHANI)</v>
      </c>
      <c r="E2024" s="1" t="str">
        <f>IFERROR(__xludf.DUMMYFUNCTION("""COMPUTED_VALUE"""),"บิ๊กซี MINI")</f>
        <v>บิ๊กซี MINI</v>
      </c>
      <c r="F2024" s="1" t="str">
        <f>IFERROR(__xludf.DUMMYFUNCTION("""COMPUTED_VALUE"""),"291105")</f>
        <v>291105</v>
      </c>
      <c r="G2024" s="1" t="str">
        <f>IFERROR(__xludf.DUMMYFUNCTION("""COMPUTED_VALUE"""),"นายสราวุฒิ พณิชยกุล")</f>
        <v>นายสราวุฒิ พณิชยกุล</v>
      </c>
      <c r="H2024" s="1" t="str">
        <f>IFERROR(__xludf.DUMMYFUNCTION("""COMPUTED_VALUE"""),"392005")</f>
        <v>392005</v>
      </c>
      <c r="I2024" s="1" t="str">
        <f>IFERROR(__xludf.DUMMYFUNCTION("""COMPUTED_VALUE"""),"นายรัฐพล หาญลำยวง")</f>
        <v>นายรัฐพล หาญลำยวง</v>
      </c>
      <c r="J2024" s="3">
        <f>IFERROR(__xludf.DUMMYFUNCTION("""COMPUTED_VALUE"""),296868.0)</f>
        <v>296868</v>
      </c>
      <c r="K2024" s="3" t="str">
        <f>IFERROR(__xludf.DUMMYFUNCTION("""COMPUTED_VALUE"""),"นายพีระพงษ์ แก้วดวงดี")</f>
        <v>นายพีระพงษ์ แก้วดวงดี</v>
      </c>
      <c r="L2024" s="1" t="str">
        <f>IFERROR(__xludf.DUMMYFUNCTION("""COMPUTED_VALUE"""),"03 K.Peerapong K.")</f>
        <v>03 K.Peerapong K.</v>
      </c>
      <c r="M2024" s="1" t="str">
        <f>IFERROR(__xludf.DUMMYFUNCTION("""COMPUTED_VALUE"""),"089-002-6599")</f>
        <v>089-002-6599</v>
      </c>
      <c r="N2024" s="3">
        <f>IFERROR(__xludf.DUMMYFUNCTION("""COMPUTED_VALUE"""),21946.0)</f>
        <v>21946</v>
      </c>
      <c r="O2024" s="3" t="str">
        <f>IFERROR(__xludf.DUMMYFUNCTION("""COMPUTED_VALUE"""),"MBC เซกา บึงกาฬ")</f>
        <v>MBC เซกา บึงกาฬ</v>
      </c>
      <c r="P2024" s="4">
        <f>IFERROR(__xludf.DUMMYFUNCTION("""COMPUTED_VALUE"""),42611.0)</f>
        <v>42611</v>
      </c>
      <c r="Q2024" s="3" t="str">
        <f>IFERROR(__xludf.DUMMYFUNCTION("""COMPUTED_VALUE"""),"A")</f>
        <v>A</v>
      </c>
      <c r="R2024" s="3" t="str">
        <f>IFERROR(__xludf.DUMMYFUNCTION("""COMPUTED_VALUE"""),"Small Format")</f>
        <v>Small Format</v>
      </c>
      <c r="S2024" s="3" t="str">
        <f>IFERROR(__xludf.DUMMYFUNCTION("""COMPUTED_VALUE"""),"BCM(FC)")</f>
        <v>BCM(FC)</v>
      </c>
      <c r="T2024" s="3" t="str">
        <f>IFERROR(__xludf.DUMMYFUNCTION("""COMPUTED_VALUE"""),"#N/A")</f>
        <v>#N/A</v>
      </c>
      <c r="U2024" s="3" t="str">
        <f>IFERROR(__xludf.DUMMYFUNCTION("""COMPUTED_VALUE"""),"#N/A")</f>
        <v>#N/A</v>
      </c>
      <c r="V2024" s="3" t="str">
        <f>IFERROR(__xludf.DUMMYFUNCTION("""COMPUTED_VALUE"""),"Y")</f>
        <v>Y</v>
      </c>
      <c r="W2024" s="3">
        <f>IFERROR(__xludf.DUMMYFUNCTION("""COMPUTED_VALUE"""),811045.0)</f>
        <v>811045</v>
      </c>
      <c r="X2024" s="3" t="str">
        <f>IFERROR(__xludf.DUMMYFUNCTION("""COMPUTED_VALUE"""),"99 หมู่ 19 ตำบลหนองเม็ก อำเภอหนองหาน จังหวัดอุดรธานี 41130")</f>
        <v>99 หมู่ 19 ตำบลหนองเม็ก อำเภอหนองหาน จังหวัดอุดรธานี 41130</v>
      </c>
      <c r="Y2024" s="3"/>
      <c r="Z2024" s="3" t="str">
        <f>IFERROR(__xludf.DUMMYFUNCTION("""COMPUTED_VALUE"""),"หนองเม็ก")</f>
        <v>หนองเม็ก</v>
      </c>
      <c r="AA2024" s="3" t="str">
        <f>IFERROR(__xludf.DUMMYFUNCTION("""COMPUTED_VALUE"""),"หนองหาน")</f>
        <v>หนองหาน</v>
      </c>
      <c r="AB2024" s="3" t="str">
        <f>IFERROR(__xludf.DUMMYFUNCTION("""COMPUTED_VALUE"""),"อุดรธานี")</f>
        <v>อุดรธานี</v>
      </c>
      <c r="AC2024" s="3">
        <f>IFERROR(__xludf.DUMMYFUNCTION("""COMPUTED_VALUE"""),41130.0)</f>
        <v>41130</v>
      </c>
      <c r="AD2024" s="3">
        <f>IFERROR(__xludf.DUMMYFUNCTION("""COMPUTED_VALUE"""),17.3618511)</f>
        <v>17.3618511</v>
      </c>
      <c r="AE2024" s="3">
        <f>IFERROR(__xludf.DUMMYFUNCTION("""COMPUTED_VALUE"""),103.1522227)</f>
        <v>103.1522227</v>
      </c>
      <c r="AF2024" s="3" t="str">
        <f>IFERROR(__xludf.DUMMYFUNCTION("""COMPUTED_VALUE"""),"BCM FC CTX หนองหาน อุดรธานี-31012")</f>
        <v>BCM FC CTX หนองหาน อุดรธานี-31012</v>
      </c>
      <c r="AG2024" s="3" t="str">
        <f>IFERROR(__xludf.DUMMYFUNCTION("""COMPUTED_VALUE"""),"ตะวันออกเฉียงเหนือ")</f>
        <v>ตะวันออกเฉียงเหนือ</v>
      </c>
      <c r="AH2024" s="3" t="str">
        <f>IFERROR(__xludf.DUMMYFUNCTION("""COMPUTED_VALUE"""),"#N/A")</f>
        <v>#N/A</v>
      </c>
      <c r="AI2024" s="3" t="str">
        <f>IFERROR(__xludf.DUMMYFUNCTION("""COMPUTED_VALUE"""),"Out of warranty")</f>
        <v>Out of warranty</v>
      </c>
      <c r="AJ2024" s="3">
        <f>IFERROR(__xludf.DUMMYFUNCTION("""COMPUTED_VALUE"""),113.0)</f>
        <v>113</v>
      </c>
      <c r="AK2024" s="3"/>
      <c r="AL2024" s="3"/>
    </row>
    <row r="2025" ht="15.75" customHeight="1">
      <c r="A2025" s="1" t="str">
        <f>IFERROR(__xludf.DUMMYFUNCTION("""COMPUTED_VALUE"""),"31013")</f>
        <v>31013</v>
      </c>
      <c r="B2025" s="2">
        <f>IFERROR(__xludf.DUMMYFUNCTION("""COMPUTED_VALUE"""),31013.0)</f>
        <v>31013</v>
      </c>
      <c r="C2025" s="3" t="str">
        <f>IFERROR(__xludf.DUMMYFUNCTION("""COMPUTED_VALUE"""),"BCM FC ตลาดถนอมมิตร วัชรพล")</f>
        <v>BCM FC ตลาดถนอมมิตร วัชรพล</v>
      </c>
      <c r="D2025" s="3" t="str">
        <f>IFERROR(__xludf.DUMMYFUNCTION("""COMPUTED_VALUE"""),"BCM TALAD TANOMIT WACHARAPON")</f>
        <v>BCM TALAD TANOMIT WACHARAPON</v>
      </c>
      <c r="E2025" s="1" t="str">
        <f>IFERROR(__xludf.DUMMYFUNCTION("""COMPUTED_VALUE"""),"บิ๊กซี MINI")</f>
        <v>บิ๊กซี MINI</v>
      </c>
      <c r="F2025" s="1" t="str">
        <f>IFERROR(__xludf.DUMMYFUNCTION("""COMPUTED_VALUE"""),"291008")</f>
        <v>291008</v>
      </c>
      <c r="G2025" s="1" t="str">
        <f>IFERROR(__xludf.DUMMYFUNCTION("""COMPUTED_VALUE"""),"น.ส.รัชดาพร อีศรัตน์")</f>
        <v>น.ส.รัชดาพร อีศรัตน์</v>
      </c>
      <c r="H2025" s="1" t="str">
        <f>IFERROR(__xludf.DUMMYFUNCTION("""COMPUTED_VALUE"""),"288639")</f>
        <v>288639</v>
      </c>
      <c r="I2025" s="1" t="str">
        <f>IFERROR(__xludf.DUMMYFUNCTION("""COMPUTED_VALUE"""),"น.ส.สมหญิง สีชมภู")</f>
        <v>น.ส.สมหญิง สีชมภู</v>
      </c>
      <c r="J2025" s="3">
        <f>IFERROR(__xludf.DUMMYFUNCTION("""COMPUTED_VALUE"""),3510104.0)</f>
        <v>3510104</v>
      </c>
      <c r="K2025" s="3" t="str">
        <f>IFERROR(__xludf.DUMMYFUNCTION("""COMPUTED_VALUE"""),"นายวิโรจน์ อับดุลสมัด")</f>
        <v>นายวิโรจน์ อับดุลสมัด</v>
      </c>
      <c r="L2025" s="1" t="str">
        <f>IFERROR(__xludf.DUMMYFUNCTION("""COMPUTED_VALUE"""),"09 K.Wirode A")</f>
        <v>09 K.Wirode A</v>
      </c>
      <c r="M2025" s="1" t="str">
        <f>IFERROR(__xludf.DUMMYFUNCTION("""COMPUTED_VALUE"""),"080-235-4465")</f>
        <v>080-235-4465</v>
      </c>
      <c r="N2025" s="3">
        <f>IFERROR(__xludf.DUMMYFUNCTION("""COMPUTED_VALUE"""),21324.0)</f>
        <v>21324</v>
      </c>
      <c r="O2025" s="3" t="str">
        <f>IFERROR(__xludf.DUMMYFUNCTION("""COMPUTED_VALUE"""),"MBC BCP สุวินทวงศ์")</f>
        <v>MBC BCP สุวินทวงศ์</v>
      </c>
      <c r="P2025" s="4">
        <f>IFERROR(__xludf.DUMMYFUNCTION("""COMPUTED_VALUE"""),42641.0)</f>
        <v>42641</v>
      </c>
      <c r="Q2025" s="3" t="str">
        <f>IFERROR(__xludf.DUMMYFUNCTION("""COMPUTED_VALUE"""),"A")</f>
        <v>A</v>
      </c>
      <c r="R2025" s="3" t="str">
        <f>IFERROR(__xludf.DUMMYFUNCTION("""COMPUTED_VALUE"""),"Small Format")</f>
        <v>Small Format</v>
      </c>
      <c r="S2025" s="3" t="str">
        <f>IFERROR(__xludf.DUMMYFUNCTION("""COMPUTED_VALUE"""),"BCM(FC)")</f>
        <v>BCM(FC)</v>
      </c>
      <c r="T2025" s="3" t="str">
        <f>IFERROR(__xludf.DUMMYFUNCTION("""COMPUTED_VALUE"""),"#N/A")</f>
        <v>#N/A</v>
      </c>
      <c r="U2025" s="3" t="str">
        <f>IFERROR(__xludf.DUMMYFUNCTION("""COMPUTED_VALUE"""),"#N/A")</f>
        <v>#N/A</v>
      </c>
      <c r="V2025" s="3" t="str">
        <f>IFERROR(__xludf.DUMMYFUNCTION("""COMPUTED_VALUE"""),"Y")</f>
        <v>Y</v>
      </c>
      <c r="W2025" s="3">
        <f>IFERROR(__xludf.DUMMYFUNCTION("""COMPUTED_VALUE"""),811018.0)</f>
        <v>811018</v>
      </c>
      <c r="X2025" s="3" t="str">
        <f>IFERROR(__xludf.DUMMYFUNCTION("""COMPUTED_VALUE"""),"19/134-135 ซอยวัชรพล 2 แขวงท่าแร้ง เขตบางเขน กรุงเทพมหานคร 10230")</f>
        <v>19/134-135 ซอยวัชรพล 2 แขวงท่าแร้ง เขตบางเขน กรุงเทพมหานคร 10230</v>
      </c>
      <c r="Y2025" s="3" t="str">
        <f>IFERROR(__xludf.DUMMYFUNCTION("""COMPUTED_VALUE"""),"ซอยวัชรพล")</f>
        <v>ซอยวัชรพล</v>
      </c>
      <c r="Z2025" s="3" t="str">
        <f>IFERROR(__xludf.DUMMYFUNCTION("""COMPUTED_VALUE"""),"ท่าแร้ง")</f>
        <v>ท่าแร้ง</v>
      </c>
      <c r="AA2025" s="3" t="str">
        <f>IFERROR(__xludf.DUMMYFUNCTION("""COMPUTED_VALUE"""),"บางเขน")</f>
        <v>บางเขน</v>
      </c>
      <c r="AB2025" s="3" t="str">
        <f>IFERROR(__xludf.DUMMYFUNCTION("""COMPUTED_VALUE"""),"กรุงเทพมหานคร")</f>
        <v>กรุงเทพมหานคร</v>
      </c>
      <c r="AC2025" s="3">
        <f>IFERROR(__xludf.DUMMYFUNCTION("""COMPUTED_VALUE"""),10230.0)</f>
        <v>10230</v>
      </c>
      <c r="AD2025" s="3">
        <f>IFERROR(__xludf.DUMMYFUNCTION("""COMPUTED_VALUE"""),13.8554033)</f>
        <v>13.8554033</v>
      </c>
      <c r="AE2025" s="3">
        <f>IFERROR(__xludf.DUMMYFUNCTION("""COMPUTED_VALUE"""),100.6431473)</f>
        <v>100.6431473</v>
      </c>
      <c r="AF2025" s="3" t="str">
        <f>IFERROR(__xludf.DUMMYFUNCTION("""COMPUTED_VALUE"""),"BCM FC ตลาดถนอมมิตร วัชรพล-31013")</f>
        <v>BCM FC ตลาดถนอมมิตร วัชรพล-31013</v>
      </c>
      <c r="AG2025" s="3" t="str">
        <f>IFERROR(__xludf.DUMMYFUNCTION("""COMPUTED_VALUE"""),"กลาง")</f>
        <v>กลาง</v>
      </c>
      <c r="AH2025" s="3" t="str">
        <f>IFERROR(__xludf.DUMMYFUNCTION("""COMPUTED_VALUE"""),"#N/A")</f>
        <v>#N/A</v>
      </c>
      <c r="AI2025" s="3" t="str">
        <f>IFERROR(__xludf.DUMMYFUNCTION("""COMPUTED_VALUE"""),"Out of warranty")</f>
        <v>Out of warranty</v>
      </c>
      <c r="AJ2025" s="3">
        <f>IFERROR(__xludf.DUMMYFUNCTION("""COMPUTED_VALUE"""),112.0)</f>
        <v>112</v>
      </c>
      <c r="AK2025" s="3"/>
      <c r="AL2025" s="3"/>
    </row>
    <row r="2026" ht="15.75" customHeight="1">
      <c r="A2026" s="1" t="str">
        <f>IFERROR(__xludf.DUMMYFUNCTION("""COMPUTED_VALUE"""),"31014")</f>
        <v>31014</v>
      </c>
      <c r="B2026" s="2">
        <f>IFERROR(__xludf.DUMMYFUNCTION("""COMPUTED_VALUE"""),31014.0)</f>
        <v>31014</v>
      </c>
      <c r="C2026" s="3" t="str">
        <f>IFERROR(__xludf.DUMMYFUNCTION("""COMPUTED_VALUE"""),"MFC แกรนด์พาราโน่ เชียงใหม่")</f>
        <v>MFC แกรนด์พาราโน่ เชียงใหม่</v>
      </c>
      <c r="D2026" s="3" t="str">
        <f>IFERROR(__xludf.DUMMYFUNCTION("""COMPUTED_VALUE"""),"MFC GRAND PARANO CHIGNGMAI")</f>
        <v>MFC GRAND PARANO CHIGNGMAI</v>
      </c>
      <c r="E2026" s="1" t="str">
        <f>IFERROR(__xludf.DUMMYFUNCTION("""COMPUTED_VALUE"""),"บิ๊กซี MINI")</f>
        <v>บิ๊กซี MINI</v>
      </c>
      <c r="F2026" s="1" t="str">
        <f>IFERROR(__xludf.DUMMYFUNCTION("""COMPUTED_VALUE"""),"296229")</f>
        <v>296229</v>
      </c>
      <c r="G2026" s="1" t="str">
        <f>IFERROR(__xludf.DUMMYFUNCTION("""COMPUTED_VALUE"""),"นายทนงศักดิ์ บุญมา")</f>
        <v>นายทนงศักดิ์ บุญมา</v>
      </c>
      <c r="H2026" s="1" t="str">
        <f>IFERROR(__xludf.DUMMYFUNCTION("""COMPUTED_VALUE"""),"254905")</f>
        <v>254905</v>
      </c>
      <c r="I2026" s="1" t="str">
        <f>IFERROR(__xludf.DUMMYFUNCTION("""COMPUTED_VALUE"""),"น.ส.เนียรนิภา คงตระกูล")</f>
        <v>น.ส.เนียรนิภา คงตระกูล</v>
      </c>
      <c r="J2026" s="3">
        <f>IFERROR(__xludf.DUMMYFUNCTION("""COMPUTED_VALUE"""),46214.0)</f>
        <v>46214</v>
      </c>
      <c r="K2026" s="3" t="str">
        <f>IFERROR(__xludf.DUMMYFUNCTION("""COMPUTED_VALUE"""),"นายศักดิ์ชัย เด็ดดอกฟ้า")</f>
        <v>นายศักดิ์ชัย เด็ดดอกฟ้า</v>
      </c>
      <c r="L2026" s="1" t="str">
        <f>IFERROR(__xludf.DUMMYFUNCTION("""COMPUTED_VALUE"""),"02 K.Sakchai D")</f>
        <v>02 K.Sakchai D</v>
      </c>
      <c r="M2026" s="1" t="str">
        <f>IFERROR(__xludf.DUMMYFUNCTION("""COMPUTED_VALUE"""),"065-510-7376")</f>
        <v>065-510-7376</v>
      </c>
      <c r="N2026" s="3">
        <f>IFERROR(__xludf.DUMMYFUNCTION("""COMPUTED_VALUE"""),21441.0)</f>
        <v>21441</v>
      </c>
      <c r="O2026" s="3" t="str">
        <f>IFERROR(__xludf.DUMMYFUNCTION("""COMPUTED_VALUE"""),"MBC บ้านกร่าง พิษณุโลก")</f>
        <v>MBC บ้านกร่าง พิษณุโลก</v>
      </c>
      <c r="P2026" s="4">
        <f>IFERROR(__xludf.DUMMYFUNCTION("""COMPUTED_VALUE"""),42664.0)</f>
        <v>42664</v>
      </c>
      <c r="Q2026" s="3" t="str">
        <f>IFERROR(__xludf.DUMMYFUNCTION("""COMPUTED_VALUE"""),"I")</f>
        <v>I</v>
      </c>
      <c r="R2026" s="3" t="str">
        <f>IFERROR(__xludf.DUMMYFUNCTION("""COMPUTED_VALUE"""),"Small Format")</f>
        <v>Small Format</v>
      </c>
      <c r="S2026" s="3" t="str">
        <f>IFERROR(__xludf.DUMMYFUNCTION("""COMPUTED_VALUE"""),"BCM(FC)")</f>
        <v>BCM(FC)</v>
      </c>
      <c r="T2026" s="3" t="str">
        <f>IFERROR(__xludf.DUMMYFUNCTION("""COMPUTED_VALUE"""),"#N/A")</f>
        <v>#N/A</v>
      </c>
      <c r="U2026" s="3" t="str">
        <f>IFERROR(__xludf.DUMMYFUNCTION("""COMPUTED_VALUE"""),"#N/A")</f>
        <v>#N/A</v>
      </c>
      <c r="V2026" s="3" t="str">
        <f>IFERROR(__xludf.DUMMYFUNCTION("""COMPUTED_VALUE"""),"Y")</f>
        <v>Y</v>
      </c>
      <c r="W2026" s="3">
        <f>IFERROR(__xludf.DUMMYFUNCTION("""COMPUTED_VALUE"""),0.0)</f>
        <v>0</v>
      </c>
      <c r="X2026" s="3" t="str">
        <f>IFERROR(__xludf.DUMMYFUNCTION("""COMPUTED_VALUE"""),"65 หมู่ 4 ตำบลท่าศาลา อำเภอเมืองเชียงใหม่ จังหวัดเชียงใหม่ 50000")</f>
        <v>65 หมู่ 4 ตำบลท่าศาลา อำเภอเมืองเชียงใหม่ จังหวัดเชียงใหม่ 50000</v>
      </c>
      <c r="Y2026" s="3"/>
      <c r="Z2026" s="3" t="str">
        <f>IFERROR(__xludf.DUMMYFUNCTION("""COMPUTED_VALUE"""),"ท่าศาลา")</f>
        <v>ท่าศาลา</v>
      </c>
      <c r="AA2026" s="3" t="str">
        <f>IFERROR(__xludf.DUMMYFUNCTION("""COMPUTED_VALUE"""),"เมือง")</f>
        <v>เมือง</v>
      </c>
      <c r="AB2026" s="3" t="str">
        <f>IFERROR(__xludf.DUMMYFUNCTION("""COMPUTED_VALUE"""),"เชียงใหม่")</f>
        <v>เชียงใหม่</v>
      </c>
      <c r="AC2026" s="3">
        <f>IFERROR(__xludf.DUMMYFUNCTION("""COMPUTED_VALUE"""),50000.0)</f>
        <v>50000</v>
      </c>
      <c r="AD2026" s="3" t="str">
        <f>IFERROR(__xludf.DUMMYFUNCTION("""COMPUTED_VALUE"""),"#N/A")</f>
        <v>#N/A</v>
      </c>
      <c r="AE2026" s="3" t="str">
        <f>IFERROR(__xludf.DUMMYFUNCTION("""COMPUTED_VALUE"""),"#N/A")</f>
        <v>#N/A</v>
      </c>
      <c r="AF2026" s="3" t="str">
        <f>IFERROR(__xludf.DUMMYFUNCTION("""COMPUTED_VALUE"""),"MFC แกรนด์พาราโน่ เชียงใหม่-31014")</f>
        <v>MFC แกรนด์พาราโน่ เชียงใหม่-31014</v>
      </c>
      <c r="AG2026" s="3" t="str">
        <f>IFERROR(__xludf.DUMMYFUNCTION("""COMPUTED_VALUE"""),"เหนือ")</f>
        <v>เหนือ</v>
      </c>
      <c r="AH2026" s="3" t="str">
        <f>IFERROR(__xludf.DUMMYFUNCTION("""COMPUTED_VALUE"""),"#N/A")</f>
        <v>#N/A</v>
      </c>
      <c r="AI2026" s="3" t="str">
        <f>IFERROR(__xludf.DUMMYFUNCTION("""COMPUTED_VALUE"""),"Out of warranty")</f>
        <v>Out of warranty</v>
      </c>
      <c r="AJ2026" s="3">
        <f>IFERROR(__xludf.DUMMYFUNCTION("""COMPUTED_VALUE"""),111.0)</f>
        <v>111</v>
      </c>
      <c r="AK2026" s="3"/>
      <c r="AL2026" s="3"/>
    </row>
    <row r="2027" ht="15.75" customHeight="1">
      <c r="A2027" s="1" t="str">
        <f>IFERROR(__xludf.DUMMYFUNCTION("""COMPUTED_VALUE"""),"31015")</f>
        <v>31015</v>
      </c>
      <c r="B2027" s="2">
        <f>IFERROR(__xludf.DUMMYFUNCTION("""COMPUTED_VALUE"""),31015.0)</f>
        <v>31015</v>
      </c>
      <c r="C2027" s="3" t="str">
        <f>IFERROR(__xludf.DUMMYFUNCTION("""COMPUTED_VALUE"""),"MFC ตลาดเลียบคลอง 3")</f>
        <v>MFC ตลาดเลียบคลอง 3</v>
      </c>
      <c r="D2027" s="3" t="str">
        <f>IFERROR(__xludf.DUMMYFUNCTION("""COMPUTED_VALUE"""),"MFC SMT MART")</f>
        <v>MFC SMT MART</v>
      </c>
      <c r="E2027" s="1" t="str">
        <f>IFERROR(__xludf.DUMMYFUNCTION("""COMPUTED_VALUE"""),"บิ๊กซี MINI")</f>
        <v>บิ๊กซี MINI</v>
      </c>
      <c r="F2027" s="1" t="str">
        <f>IFERROR(__xludf.DUMMYFUNCTION("""COMPUTED_VALUE"""),"291008")</f>
        <v>291008</v>
      </c>
      <c r="G2027" s="1" t="str">
        <f>IFERROR(__xludf.DUMMYFUNCTION("""COMPUTED_VALUE"""),"น.ส.รัชดาพร อีศรัตน์")</f>
        <v>น.ส.รัชดาพร อีศรัตน์</v>
      </c>
      <c r="H2027" s="1" t="str">
        <f>IFERROR(__xludf.DUMMYFUNCTION("""COMPUTED_VALUE"""),"288639")</f>
        <v>288639</v>
      </c>
      <c r="I2027" s="1" t="str">
        <f>IFERROR(__xludf.DUMMYFUNCTION("""COMPUTED_VALUE"""),"น.ส.สมหญิง สีชมภู")</f>
        <v>น.ส.สมหญิง สีชมภู</v>
      </c>
      <c r="J2027" s="3">
        <f>IFERROR(__xludf.DUMMYFUNCTION("""COMPUTED_VALUE"""),3510104.0)</f>
        <v>3510104</v>
      </c>
      <c r="K2027" s="3" t="str">
        <f>IFERROR(__xludf.DUMMYFUNCTION("""COMPUTED_VALUE"""),"นายวิโรจน์ อับดุลสมัด")</f>
        <v>นายวิโรจน์ อับดุลสมัด</v>
      </c>
      <c r="L2027" s="1" t="str">
        <f>IFERROR(__xludf.DUMMYFUNCTION("""COMPUTED_VALUE"""),"09 K.Wirode A")</f>
        <v>09 K.Wirode A</v>
      </c>
      <c r="M2027" s="1" t="str">
        <f>IFERROR(__xludf.DUMMYFUNCTION("""COMPUTED_VALUE"""),"080-235-4465")</f>
        <v>080-235-4465</v>
      </c>
      <c r="N2027" s="3">
        <f>IFERROR(__xludf.DUMMYFUNCTION("""COMPUTED_VALUE"""),21324.0)</f>
        <v>21324</v>
      </c>
      <c r="O2027" s="3" t="str">
        <f>IFERROR(__xludf.DUMMYFUNCTION("""COMPUTED_VALUE"""),"MBC BCP สุวินทวงศ์")</f>
        <v>MBC BCP สุวินทวงศ์</v>
      </c>
      <c r="P2027" s="4">
        <f>IFERROR(__xludf.DUMMYFUNCTION("""COMPUTED_VALUE"""),42639.0)</f>
        <v>42639</v>
      </c>
      <c r="Q2027" s="3" t="str">
        <f>IFERROR(__xludf.DUMMYFUNCTION("""COMPUTED_VALUE"""),"I")</f>
        <v>I</v>
      </c>
      <c r="R2027" s="3" t="str">
        <f>IFERROR(__xludf.DUMMYFUNCTION("""COMPUTED_VALUE"""),"Small Format")</f>
        <v>Small Format</v>
      </c>
      <c r="S2027" s="3" t="str">
        <f>IFERROR(__xludf.DUMMYFUNCTION("""COMPUTED_VALUE"""),"BCM(FC)")</f>
        <v>BCM(FC)</v>
      </c>
      <c r="T2027" s="3" t="str">
        <f>IFERROR(__xludf.DUMMYFUNCTION("""COMPUTED_VALUE"""),"#N/A")</f>
        <v>#N/A</v>
      </c>
      <c r="U2027" s="3" t="str">
        <f>IFERROR(__xludf.DUMMYFUNCTION("""COMPUTED_VALUE"""),"#N/A")</f>
        <v>#N/A</v>
      </c>
      <c r="V2027" s="3" t="str">
        <f>IFERROR(__xludf.DUMMYFUNCTION("""COMPUTED_VALUE"""),"Y")</f>
        <v>Y</v>
      </c>
      <c r="W2027" s="3">
        <f>IFERROR(__xludf.DUMMYFUNCTION("""COMPUTED_VALUE"""),0.0)</f>
        <v>0</v>
      </c>
      <c r="X2027" s="3" t="str">
        <f>IFERROR(__xludf.DUMMYFUNCTION("""COMPUTED_VALUE"""),"37/53 หมู่ 2 ตำบลคลองสาม อำเภอคลองหลวง จังหวัดปทุมธานี 12120")</f>
        <v>37/53 หมู่ 2 ตำบลคลองสาม อำเภอคลองหลวง จังหวัดปทุมธานี 12120</v>
      </c>
      <c r="Y2027" s="3"/>
      <c r="Z2027" s="3" t="str">
        <f>IFERROR(__xludf.DUMMYFUNCTION("""COMPUTED_VALUE"""),"คลองสาม")</f>
        <v>คลองสาม</v>
      </c>
      <c r="AA2027" s="3" t="str">
        <f>IFERROR(__xludf.DUMMYFUNCTION("""COMPUTED_VALUE"""),"คลองหลวง")</f>
        <v>คลองหลวง</v>
      </c>
      <c r="AB2027" s="3" t="str">
        <f>IFERROR(__xludf.DUMMYFUNCTION("""COMPUTED_VALUE"""),"ปทุมธานี")</f>
        <v>ปทุมธานี</v>
      </c>
      <c r="AC2027" s="3">
        <f>IFERROR(__xludf.DUMMYFUNCTION("""COMPUTED_VALUE"""),12120.0)</f>
        <v>12120</v>
      </c>
      <c r="AD2027" s="3" t="str">
        <f>IFERROR(__xludf.DUMMYFUNCTION("""COMPUTED_VALUE"""),"#N/A")</f>
        <v>#N/A</v>
      </c>
      <c r="AE2027" s="3" t="str">
        <f>IFERROR(__xludf.DUMMYFUNCTION("""COMPUTED_VALUE"""),"#N/A")</f>
        <v>#N/A</v>
      </c>
      <c r="AF2027" s="3" t="str">
        <f>IFERROR(__xludf.DUMMYFUNCTION("""COMPUTED_VALUE"""),"MFC ตลาดเลียบคลอง 3-31015")</f>
        <v>MFC ตลาดเลียบคลอง 3-31015</v>
      </c>
      <c r="AG2027" s="3" t="str">
        <f>IFERROR(__xludf.DUMMYFUNCTION("""COMPUTED_VALUE"""),"กลาง")</f>
        <v>กลาง</v>
      </c>
      <c r="AH2027" s="3" t="str">
        <f>IFERROR(__xludf.DUMMYFUNCTION("""COMPUTED_VALUE"""),"#N/A")</f>
        <v>#N/A</v>
      </c>
      <c r="AI2027" s="3" t="str">
        <f>IFERROR(__xludf.DUMMYFUNCTION("""COMPUTED_VALUE"""),"Out of warranty")</f>
        <v>Out of warranty</v>
      </c>
      <c r="AJ2027" s="3">
        <f>IFERROR(__xludf.DUMMYFUNCTION("""COMPUTED_VALUE"""),112.0)</f>
        <v>112</v>
      </c>
      <c r="AK2027" s="3"/>
      <c r="AL2027" s="3"/>
    </row>
    <row r="2028" ht="15.75" customHeight="1">
      <c r="A2028" s="1" t="str">
        <f>IFERROR(__xludf.DUMMYFUNCTION("""COMPUTED_VALUE"""),"31016")</f>
        <v>31016</v>
      </c>
      <c r="B2028" s="2">
        <f>IFERROR(__xludf.DUMMYFUNCTION("""COMPUTED_VALUE"""),31016.0)</f>
        <v>31016</v>
      </c>
      <c r="C2028" s="3" t="str">
        <f>IFERROR(__xludf.DUMMYFUNCTION("""COMPUTED_VALUE"""),"BCM FC ชุมแพ ขอนแก่น")</f>
        <v>BCM FC ชุมแพ ขอนแก่น</v>
      </c>
      <c r="D2028" s="3" t="str">
        <f>IFERROR(__xludf.DUMMYFUNCTION("""COMPUTED_VALUE"""),"BCM CHUM PHAE (KHONKAEN)")</f>
        <v>BCM CHUM PHAE (KHONKAEN)</v>
      </c>
      <c r="E2028" s="1" t="str">
        <f>IFERROR(__xludf.DUMMYFUNCTION("""COMPUTED_VALUE"""),"บิ๊กซี MINI")</f>
        <v>บิ๊กซี MINI</v>
      </c>
      <c r="F2028" s="1" t="str">
        <f>IFERROR(__xludf.DUMMYFUNCTION("""COMPUTED_VALUE"""),"291105")</f>
        <v>291105</v>
      </c>
      <c r="G2028" s="1" t="str">
        <f>IFERROR(__xludf.DUMMYFUNCTION("""COMPUTED_VALUE"""),"นายสราวุฒิ พณิชยกุล")</f>
        <v>นายสราวุฒิ พณิชยกุล</v>
      </c>
      <c r="H2028" s="1" t="str">
        <f>IFERROR(__xludf.DUMMYFUNCTION("""COMPUTED_VALUE"""),"371396")</f>
        <v>371396</v>
      </c>
      <c r="I2028" s="1" t="str">
        <f>IFERROR(__xludf.DUMMYFUNCTION("""COMPUTED_VALUE"""),"น.ส.สุภาวดี วิลัยพร")</f>
        <v>น.ส.สุภาวดี วิลัยพร</v>
      </c>
      <c r="J2028" s="3">
        <f>IFERROR(__xludf.DUMMYFUNCTION("""COMPUTED_VALUE"""),15361.0)</f>
        <v>15361</v>
      </c>
      <c r="K2028" s="3" t="str">
        <f>IFERROR(__xludf.DUMMYFUNCTION("""COMPUTED_VALUE"""),"นายสมบูรณ์ พรหมในเมือง")</f>
        <v>นายสมบูรณ์ พรหมในเมือง</v>
      </c>
      <c r="L2028" s="1" t="str">
        <f>IFERROR(__xludf.DUMMYFUNCTION("""COMPUTED_VALUE"""),"04 K.Somboon P.")</f>
        <v>04 K.Somboon P.</v>
      </c>
      <c r="M2028" s="1" t="str">
        <f>IFERROR(__xludf.DUMMYFUNCTION("""COMPUTED_VALUE"""),"087-965-3051")</f>
        <v>087-965-3051</v>
      </c>
      <c r="N2028" s="3">
        <f>IFERROR(__xludf.DUMMYFUNCTION("""COMPUTED_VALUE"""),21869.0)</f>
        <v>21869</v>
      </c>
      <c r="O2028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2028" s="4">
        <f>IFERROR(__xludf.DUMMYFUNCTION("""COMPUTED_VALUE"""),42639.0)</f>
        <v>42639</v>
      </c>
      <c r="Q2028" s="3" t="str">
        <f>IFERROR(__xludf.DUMMYFUNCTION("""COMPUTED_VALUE"""),"I")</f>
        <v>I</v>
      </c>
      <c r="R2028" s="3" t="str">
        <f>IFERROR(__xludf.DUMMYFUNCTION("""COMPUTED_VALUE"""),"Small Format")</f>
        <v>Small Format</v>
      </c>
      <c r="S2028" s="3" t="str">
        <f>IFERROR(__xludf.DUMMYFUNCTION("""COMPUTED_VALUE"""),"BCM(FC)")</f>
        <v>BCM(FC)</v>
      </c>
      <c r="T2028" s="3" t="str">
        <f>IFERROR(__xludf.DUMMYFUNCTION("""COMPUTED_VALUE"""),"#N/A")</f>
        <v>#N/A</v>
      </c>
      <c r="U2028" s="3" t="str">
        <f>IFERROR(__xludf.DUMMYFUNCTION("""COMPUTED_VALUE"""),"#N/A")</f>
        <v>#N/A</v>
      </c>
      <c r="V2028" s="3" t="str">
        <f>IFERROR(__xludf.DUMMYFUNCTION("""COMPUTED_VALUE"""),"Y")</f>
        <v>Y</v>
      </c>
      <c r="W2028" s="3">
        <f>IFERROR(__xludf.DUMMYFUNCTION("""COMPUTED_VALUE"""),811051.0)</f>
        <v>811051</v>
      </c>
      <c r="X2028" s="3" t="str">
        <f>IFERROR(__xludf.DUMMYFUNCTION("""COMPUTED_VALUE"""),"269 หมู่ 16 ตำบลชุมแพ อำเภอชุมแพ จังหวัดขอนแก่น 40130")</f>
        <v>269 หมู่ 16 ตำบลชุมแพ อำเภอชุมแพ จังหวัดขอนแก่น 40130</v>
      </c>
      <c r="Y2028" s="3"/>
      <c r="Z2028" s="3" t="str">
        <f>IFERROR(__xludf.DUMMYFUNCTION("""COMPUTED_VALUE"""),"ชุมแพ")</f>
        <v>ชุมแพ</v>
      </c>
      <c r="AA2028" s="3" t="str">
        <f>IFERROR(__xludf.DUMMYFUNCTION("""COMPUTED_VALUE"""),"ชุมแพ")</f>
        <v>ชุมแพ</v>
      </c>
      <c r="AB2028" s="3" t="str">
        <f>IFERROR(__xludf.DUMMYFUNCTION("""COMPUTED_VALUE"""),"ขอนแก่น")</f>
        <v>ขอนแก่น</v>
      </c>
      <c r="AC2028" s="3">
        <f>IFERROR(__xludf.DUMMYFUNCTION("""COMPUTED_VALUE"""),40130.0)</f>
        <v>40130</v>
      </c>
      <c r="AD2028" s="3">
        <f>IFERROR(__xludf.DUMMYFUNCTION("""COMPUTED_VALUE"""),16.5376894)</f>
        <v>16.5376894</v>
      </c>
      <c r="AE2028" s="3">
        <f>IFERROR(__xludf.DUMMYFUNCTION("""COMPUTED_VALUE"""),102.1016984)</f>
        <v>102.1016984</v>
      </c>
      <c r="AF2028" s="3" t="str">
        <f>IFERROR(__xludf.DUMMYFUNCTION("""COMPUTED_VALUE"""),"BCM FC ชุมแพ ขอนแก่น-31016")</f>
        <v>BCM FC ชุมแพ ขอนแก่น-31016</v>
      </c>
      <c r="AG2028" s="3" t="str">
        <f>IFERROR(__xludf.DUMMYFUNCTION("""COMPUTED_VALUE"""),"ตะวันออกเฉียงเหนือ")</f>
        <v>ตะวันออกเฉียงเหนือ</v>
      </c>
      <c r="AH2028" s="3" t="str">
        <f>IFERROR(__xludf.DUMMYFUNCTION("""COMPUTED_VALUE"""),"#N/A")</f>
        <v>#N/A</v>
      </c>
      <c r="AI2028" s="3" t="str">
        <f>IFERROR(__xludf.DUMMYFUNCTION("""COMPUTED_VALUE"""),"Out of warranty")</f>
        <v>Out of warranty</v>
      </c>
      <c r="AJ2028" s="3">
        <f>IFERROR(__xludf.DUMMYFUNCTION("""COMPUTED_VALUE"""),112.0)</f>
        <v>112</v>
      </c>
      <c r="AK2028" s="3"/>
      <c r="AL2028" s="3"/>
    </row>
    <row r="2029" ht="15.75" customHeight="1">
      <c r="A2029" s="1" t="str">
        <f>IFERROR(__xludf.DUMMYFUNCTION("""COMPUTED_VALUE"""),"31017")</f>
        <v>31017</v>
      </c>
      <c r="B2029" s="2">
        <f>IFERROR(__xludf.DUMMYFUNCTION("""COMPUTED_VALUE"""),31017.0)</f>
        <v>31017</v>
      </c>
      <c r="C2029" s="3" t="str">
        <f>IFERROR(__xludf.DUMMYFUNCTION("""COMPUTED_VALUE"""),"BCM FC CTX ปากช่อง โคราช")</f>
        <v>BCM FC CTX ปากช่อง โคราช</v>
      </c>
      <c r="D2029" s="3" t="str">
        <f>IFERROR(__xludf.DUMMYFUNCTION("""COMPUTED_VALUE"""),"BCM CTX-PAK CHONG (KORAT)")</f>
        <v>BCM CTX-PAK CHONG (KORAT)</v>
      </c>
      <c r="E2029" s="1" t="str">
        <f>IFERROR(__xludf.DUMMYFUNCTION("""COMPUTED_VALUE"""),"บิ๊กซี MINI")</f>
        <v>บิ๊กซี MINI</v>
      </c>
      <c r="F2029" s="1" t="str">
        <f>IFERROR(__xludf.DUMMYFUNCTION("""COMPUTED_VALUE"""),"291105")</f>
        <v>291105</v>
      </c>
      <c r="G2029" s="1" t="str">
        <f>IFERROR(__xludf.DUMMYFUNCTION("""COMPUTED_VALUE"""),"นายสราวุฒิ พณิชยกุล")</f>
        <v>นายสราวุฒิ พณิชยกุล</v>
      </c>
      <c r="H2029" s="1" t="str">
        <f>IFERROR(__xludf.DUMMYFUNCTION("""COMPUTED_VALUE"""),"281315")</f>
        <v>281315</v>
      </c>
      <c r="I2029" s="1" t="str">
        <f>IFERROR(__xludf.DUMMYFUNCTION("""COMPUTED_VALUE"""),"นายกิตติพงษ์ มั่นคง")</f>
        <v>นายกิตติพงษ์ มั่นคง</v>
      </c>
      <c r="J2029" s="3">
        <f>IFERROR(__xludf.DUMMYFUNCTION("""COMPUTED_VALUE"""),15361.0)</f>
        <v>15361</v>
      </c>
      <c r="K2029" s="3" t="str">
        <f>IFERROR(__xludf.DUMMYFUNCTION("""COMPUTED_VALUE"""),"นายสมบูรณ์ พรหมในเมือง")</f>
        <v>นายสมบูรณ์ พรหมในเมือง</v>
      </c>
      <c r="L2029" s="1" t="str">
        <f>IFERROR(__xludf.DUMMYFUNCTION("""COMPUTED_VALUE"""),"04 K.Somboon P.")</f>
        <v>04 K.Somboon P.</v>
      </c>
      <c r="M2029" s="1" t="str">
        <f>IFERROR(__xludf.DUMMYFUNCTION("""COMPUTED_VALUE"""),"087-965-3051")</f>
        <v>087-965-3051</v>
      </c>
      <c r="N2029" s="3">
        <f>IFERROR(__xludf.DUMMYFUNCTION("""COMPUTED_VALUE"""),21869.0)</f>
        <v>21869</v>
      </c>
      <c r="O2029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2029" s="4">
        <f>IFERROR(__xludf.DUMMYFUNCTION("""COMPUTED_VALUE"""),42636.0)</f>
        <v>42636</v>
      </c>
      <c r="Q2029" s="3" t="str">
        <f>IFERROR(__xludf.DUMMYFUNCTION("""COMPUTED_VALUE"""),"A")</f>
        <v>A</v>
      </c>
      <c r="R2029" s="3" t="str">
        <f>IFERROR(__xludf.DUMMYFUNCTION("""COMPUTED_VALUE"""),"Small Format")</f>
        <v>Small Format</v>
      </c>
      <c r="S2029" s="3" t="str">
        <f>IFERROR(__xludf.DUMMYFUNCTION("""COMPUTED_VALUE"""),"BCM(FC)")</f>
        <v>BCM(FC)</v>
      </c>
      <c r="T2029" s="3" t="str">
        <f>IFERROR(__xludf.DUMMYFUNCTION("""COMPUTED_VALUE"""),"#N/A")</f>
        <v>#N/A</v>
      </c>
      <c r="U2029" s="3" t="str">
        <f>IFERROR(__xludf.DUMMYFUNCTION("""COMPUTED_VALUE"""),"#N/A")</f>
        <v>#N/A</v>
      </c>
      <c r="V2029" s="3" t="str">
        <f>IFERROR(__xludf.DUMMYFUNCTION("""COMPUTED_VALUE"""),"Y")</f>
        <v>Y</v>
      </c>
      <c r="W2029" s="3">
        <f>IFERROR(__xludf.DUMMYFUNCTION("""COMPUTED_VALUE"""),811016.0)</f>
        <v>811016</v>
      </c>
      <c r="X2029" s="3" t="str">
        <f>IFERROR(__xludf.DUMMYFUNCTION("""COMPUTED_VALUE"""),"392/1 ถนนมิตรภาพ ตำบลปากช่อง อำเภอปากช่อง จังหวัดนครราชสีมา 30130")</f>
        <v>392/1 ถนนมิตรภาพ ตำบลปากช่อง อำเภอปากช่อง จังหวัดนครราชสีมา 30130</v>
      </c>
      <c r="Y2029" s="3" t="str">
        <f>IFERROR(__xludf.DUMMYFUNCTION("""COMPUTED_VALUE"""),"ถนนมิตรภาพ")</f>
        <v>ถนนมิตรภาพ</v>
      </c>
      <c r="Z2029" s="3" t="str">
        <f>IFERROR(__xludf.DUMMYFUNCTION("""COMPUTED_VALUE"""),"ปากช่อง")</f>
        <v>ปากช่อง</v>
      </c>
      <c r="AA2029" s="3" t="str">
        <f>IFERROR(__xludf.DUMMYFUNCTION("""COMPUTED_VALUE"""),"ปากช่อง")</f>
        <v>ปากช่อง</v>
      </c>
      <c r="AB2029" s="3" t="str">
        <f>IFERROR(__xludf.DUMMYFUNCTION("""COMPUTED_VALUE"""),"นครราชสีมา")</f>
        <v>นครราชสีมา</v>
      </c>
      <c r="AC2029" s="3">
        <f>IFERROR(__xludf.DUMMYFUNCTION("""COMPUTED_VALUE"""),30130.0)</f>
        <v>30130</v>
      </c>
      <c r="AD2029" s="3">
        <f>IFERROR(__xludf.DUMMYFUNCTION("""COMPUTED_VALUE"""),14.69748)</f>
        <v>14.69748</v>
      </c>
      <c r="AE2029" s="3">
        <f>IFERROR(__xludf.DUMMYFUNCTION("""COMPUTED_VALUE"""),101.406959)</f>
        <v>101.406959</v>
      </c>
      <c r="AF2029" s="3" t="str">
        <f>IFERROR(__xludf.DUMMYFUNCTION("""COMPUTED_VALUE"""),"BCM FC CTX ปากช่อง โคราช-31017")</f>
        <v>BCM FC CTX ปากช่อง โคราช-31017</v>
      </c>
      <c r="AG2029" s="3" t="str">
        <f>IFERROR(__xludf.DUMMYFUNCTION("""COMPUTED_VALUE"""),"ตะวันออกเฉียงเหนือ")</f>
        <v>ตะวันออกเฉียงเหนือ</v>
      </c>
      <c r="AH2029" s="3" t="str">
        <f>IFERROR(__xludf.DUMMYFUNCTION("""COMPUTED_VALUE"""),"#N/A")</f>
        <v>#N/A</v>
      </c>
      <c r="AI2029" s="3" t="str">
        <f>IFERROR(__xludf.DUMMYFUNCTION("""COMPUTED_VALUE"""),"Out of warranty")</f>
        <v>Out of warranty</v>
      </c>
      <c r="AJ2029" s="3">
        <f>IFERROR(__xludf.DUMMYFUNCTION("""COMPUTED_VALUE"""),112.0)</f>
        <v>112</v>
      </c>
      <c r="AK2029" s="3"/>
      <c r="AL2029" s="3"/>
    </row>
    <row r="2030" ht="15.75" customHeight="1">
      <c r="A2030" s="1" t="str">
        <f>IFERROR(__xludf.DUMMYFUNCTION("""COMPUTED_VALUE"""),"31018")</f>
        <v>31018</v>
      </c>
      <c r="B2030" s="2">
        <f>IFERROR(__xludf.DUMMYFUNCTION("""COMPUTED_VALUE"""),31018.0)</f>
        <v>31018</v>
      </c>
      <c r="C2030" s="3" t="str">
        <f>IFERROR(__xludf.DUMMYFUNCTION("""COMPUTED_VALUE"""),"MFC ตลาดแม่แตง เชียงใหม่")</f>
        <v>MFC ตลาดแม่แตง เชียงใหม่</v>
      </c>
      <c r="D2030" s="3" t="str">
        <f>IFERROR(__xludf.DUMMYFUNCTION("""COMPUTED_VALUE"""),"MFC TALAD MAE TANG CHIANGMAI")</f>
        <v>MFC TALAD MAE TANG CHIANGMAI</v>
      </c>
      <c r="E2030" s="1" t="str">
        <f>IFERROR(__xludf.DUMMYFUNCTION("""COMPUTED_VALUE"""),"บิ๊กซี MINI")</f>
        <v>บิ๊กซี MINI</v>
      </c>
      <c r="F2030" s="1" t="str">
        <f>IFERROR(__xludf.DUMMYFUNCTION("""COMPUTED_VALUE"""),"296229")</f>
        <v>296229</v>
      </c>
      <c r="G2030" s="1" t="str">
        <f>IFERROR(__xludf.DUMMYFUNCTION("""COMPUTED_VALUE"""),"นายทนงศักดิ์ บุญมา")</f>
        <v>นายทนงศักดิ์ บุญมา</v>
      </c>
      <c r="H2030" s="1" t="str">
        <f>IFERROR(__xludf.DUMMYFUNCTION("""COMPUTED_VALUE"""),"254905")</f>
        <v>254905</v>
      </c>
      <c r="I2030" s="1" t="str">
        <f>IFERROR(__xludf.DUMMYFUNCTION("""COMPUTED_VALUE"""),"น.ส.เนียรนิภา คงตระกูล")</f>
        <v>น.ส.เนียรนิภา คงตระกูล</v>
      </c>
      <c r="J2030" s="3">
        <f>IFERROR(__xludf.DUMMYFUNCTION("""COMPUTED_VALUE"""),46214.0)</f>
        <v>46214</v>
      </c>
      <c r="K2030" s="3" t="str">
        <f>IFERROR(__xludf.DUMMYFUNCTION("""COMPUTED_VALUE"""),"นายศักดิ์ชัย เด็ดดอกฟ้า")</f>
        <v>นายศักดิ์ชัย เด็ดดอกฟ้า</v>
      </c>
      <c r="L2030" s="1" t="str">
        <f>IFERROR(__xludf.DUMMYFUNCTION("""COMPUTED_VALUE"""),"02 K.Sakchai D")</f>
        <v>02 K.Sakchai D</v>
      </c>
      <c r="M2030" s="1" t="str">
        <f>IFERROR(__xludf.DUMMYFUNCTION("""COMPUTED_VALUE"""),"065-510-7376")</f>
        <v>065-510-7376</v>
      </c>
      <c r="N2030" s="3">
        <f>IFERROR(__xludf.DUMMYFUNCTION("""COMPUTED_VALUE"""),21441.0)</f>
        <v>21441</v>
      </c>
      <c r="O2030" s="3" t="str">
        <f>IFERROR(__xludf.DUMMYFUNCTION("""COMPUTED_VALUE"""),"MBC บ้านกร่าง พิษณุโลก")</f>
        <v>MBC บ้านกร่าง พิษณุโลก</v>
      </c>
      <c r="P2030" s="4">
        <f>IFERROR(__xludf.DUMMYFUNCTION("""COMPUTED_VALUE"""),42641.0)</f>
        <v>42641</v>
      </c>
      <c r="Q2030" s="3" t="str">
        <f>IFERROR(__xludf.DUMMYFUNCTION("""COMPUTED_VALUE"""),"I")</f>
        <v>I</v>
      </c>
      <c r="R2030" s="3" t="str">
        <f>IFERROR(__xludf.DUMMYFUNCTION("""COMPUTED_VALUE"""),"Small Format")</f>
        <v>Small Format</v>
      </c>
      <c r="S2030" s="3" t="str">
        <f>IFERROR(__xludf.DUMMYFUNCTION("""COMPUTED_VALUE"""),"BCM(FC)")</f>
        <v>BCM(FC)</v>
      </c>
      <c r="T2030" s="3" t="str">
        <f>IFERROR(__xludf.DUMMYFUNCTION("""COMPUTED_VALUE"""),"#N/A")</f>
        <v>#N/A</v>
      </c>
      <c r="U2030" s="3" t="str">
        <f>IFERROR(__xludf.DUMMYFUNCTION("""COMPUTED_VALUE"""),"#N/A")</f>
        <v>#N/A</v>
      </c>
      <c r="V2030" s="3" t="str">
        <f>IFERROR(__xludf.DUMMYFUNCTION("""COMPUTED_VALUE"""),"Y")</f>
        <v>Y</v>
      </c>
      <c r="W2030" s="3">
        <f>IFERROR(__xludf.DUMMYFUNCTION("""COMPUTED_VALUE"""),0.0)</f>
        <v>0</v>
      </c>
      <c r="X2030" s="3" t="str">
        <f>IFERROR(__xludf.DUMMYFUNCTION("""COMPUTED_VALUE"""),"333/16 หมู่ 2 ตำบลขี้เหล็ก อำเภอแม่แตง จังหวัดเชียงใหม่ 50150")</f>
        <v>333/16 หมู่ 2 ตำบลขี้เหล็ก อำเภอแม่แตง จังหวัดเชียงใหม่ 50150</v>
      </c>
      <c r="Y2030" s="3"/>
      <c r="Z2030" s="3" t="str">
        <f>IFERROR(__xludf.DUMMYFUNCTION("""COMPUTED_VALUE"""),"ขี้เหล็ก")</f>
        <v>ขี้เหล็ก</v>
      </c>
      <c r="AA2030" s="3" t="str">
        <f>IFERROR(__xludf.DUMMYFUNCTION("""COMPUTED_VALUE"""),"แม่แตง")</f>
        <v>แม่แตง</v>
      </c>
      <c r="AB2030" s="3" t="str">
        <f>IFERROR(__xludf.DUMMYFUNCTION("""COMPUTED_VALUE"""),"เชียงใหม่")</f>
        <v>เชียงใหม่</v>
      </c>
      <c r="AC2030" s="3">
        <f>IFERROR(__xludf.DUMMYFUNCTION("""COMPUTED_VALUE"""),50150.0)</f>
        <v>50150</v>
      </c>
      <c r="AD2030" s="3" t="str">
        <f>IFERROR(__xludf.DUMMYFUNCTION("""COMPUTED_VALUE"""),"#N/A")</f>
        <v>#N/A</v>
      </c>
      <c r="AE2030" s="3" t="str">
        <f>IFERROR(__xludf.DUMMYFUNCTION("""COMPUTED_VALUE"""),"#N/A")</f>
        <v>#N/A</v>
      </c>
      <c r="AF2030" s="3" t="str">
        <f>IFERROR(__xludf.DUMMYFUNCTION("""COMPUTED_VALUE"""),"MFC ตลาดแม่แตง เชียงใหม่-31018")</f>
        <v>MFC ตลาดแม่แตง เชียงใหม่-31018</v>
      </c>
      <c r="AG2030" s="3" t="str">
        <f>IFERROR(__xludf.DUMMYFUNCTION("""COMPUTED_VALUE"""),"เหนือ")</f>
        <v>เหนือ</v>
      </c>
      <c r="AH2030" s="3" t="str">
        <f>IFERROR(__xludf.DUMMYFUNCTION("""COMPUTED_VALUE"""),"#N/A")</f>
        <v>#N/A</v>
      </c>
      <c r="AI2030" s="3" t="str">
        <f>IFERROR(__xludf.DUMMYFUNCTION("""COMPUTED_VALUE"""),"Out of warranty")</f>
        <v>Out of warranty</v>
      </c>
      <c r="AJ2030" s="3">
        <f>IFERROR(__xludf.DUMMYFUNCTION("""COMPUTED_VALUE"""),112.0)</f>
        <v>112</v>
      </c>
      <c r="AK2030" s="3"/>
      <c r="AL2030" s="3"/>
    </row>
    <row r="2031" ht="15.75" customHeight="1">
      <c r="A2031" s="1" t="str">
        <f>IFERROR(__xludf.DUMMYFUNCTION("""COMPUTED_VALUE"""),"31019")</f>
        <v>31019</v>
      </c>
      <c r="B2031" s="2">
        <f>IFERROR(__xludf.DUMMYFUNCTION("""COMPUTED_VALUE"""),31019.0)</f>
        <v>31019</v>
      </c>
      <c r="C2031" s="3" t="str">
        <f>IFERROR(__xludf.DUMMYFUNCTION("""COMPUTED_VALUE"""),"BCM FC Shell ลำนารายณ์ ลพบุรี")</f>
        <v>BCM FC Shell ลำนารายณ์ ลพบุรี</v>
      </c>
      <c r="D2031" s="3" t="str">
        <f>IFERROR(__xludf.DUMMYFUNCTION("""COMPUTED_VALUE"""),"BCM SHELL-LUMNARAI (LOPBURI)")</f>
        <v>BCM SHELL-LUMNARAI (LOPBURI)</v>
      </c>
      <c r="E2031" s="1" t="str">
        <f>IFERROR(__xludf.DUMMYFUNCTION("""COMPUTED_VALUE"""),"บิ๊กซี MINI")</f>
        <v>บิ๊กซี MINI</v>
      </c>
      <c r="F2031" s="1" t="str">
        <f>IFERROR(__xludf.DUMMYFUNCTION("""COMPUTED_VALUE"""),"296229")</f>
        <v>296229</v>
      </c>
      <c r="G2031" s="1" t="str">
        <f>IFERROR(__xludf.DUMMYFUNCTION("""COMPUTED_VALUE"""),"นายทนงศักดิ์ บุญมา")</f>
        <v>นายทนงศักดิ์ บุญมา</v>
      </c>
      <c r="H2031" s="1" t="str">
        <f>IFERROR(__xludf.DUMMYFUNCTION("""COMPUTED_VALUE"""),"291082")</f>
        <v>291082</v>
      </c>
      <c r="I2031" s="1" t="str">
        <f>IFERROR(__xludf.DUMMYFUNCTION("""COMPUTED_VALUE"""),"น.ส.วจี กันเกตุ")</f>
        <v>น.ส.วจี กันเกตุ</v>
      </c>
      <c r="J2031" s="3">
        <f>IFERROR(__xludf.DUMMYFUNCTION("""COMPUTED_VALUE"""),46214.0)</f>
        <v>46214</v>
      </c>
      <c r="K2031" s="3" t="str">
        <f>IFERROR(__xludf.DUMMYFUNCTION("""COMPUTED_VALUE"""),"นายศักดิ์ชัย เด็ดดอกฟ้า")</f>
        <v>นายศักดิ์ชัย เด็ดดอกฟ้า</v>
      </c>
      <c r="L2031" s="1" t="str">
        <f>IFERROR(__xludf.DUMMYFUNCTION("""COMPUTED_VALUE"""),"02 K.Sakchai D")</f>
        <v>02 K.Sakchai D</v>
      </c>
      <c r="M2031" s="1" t="str">
        <f>IFERROR(__xludf.DUMMYFUNCTION("""COMPUTED_VALUE"""),"065-510-7376")</f>
        <v>065-510-7376</v>
      </c>
      <c r="N2031" s="3">
        <f>IFERROR(__xludf.DUMMYFUNCTION("""COMPUTED_VALUE"""),21441.0)</f>
        <v>21441</v>
      </c>
      <c r="O2031" s="3" t="str">
        <f>IFERROR(__xludf.DUMMYFUNCTION("""COMPUTED_VALUE"""),"MBC บ้านกร่าง พิษณุโลก")</f>
        <v>MBC บ้านกร่าง พิษณุโลก</v>
      </c>
      <c r="P2031" s="4">
        <f>IFERROR(__xludf.DUMMYFUNCTION("""COMPUTED_VALUE"""),42642.0)</f>
        <v>42642</v>
      </c>
      <c r="Q2031" s="3" t="str">
        <f>IFERROR(__xludf.DUMMYFUNCTION("""COMPUTED_VALUE"""),"I")</f>
        <v>I</v>
      </c>
      <c r="R2031" s="3" t="str">
        <f>IFERROR(__xludf.DUMMYFUNCTION("""COMPUTED_VALUE"""),"Small Format")</f>
        <v>Small Format</v>
      </c>
      <c r="S2031" s="3" t="str">
        <f>IFERROR(__xludf.DUMMYFUNCTION("""COMPUTED_VALUE"""),"BCM(FC)")</f>
        <v>BCM(FC)</v>
      </c>
      <c r="T2031" s="3" t="str">
        <f>IFERROR(__xludf.DUMMYFUNCTION("""COMPUTED_VALUE"""),"#N/A")</f>
        <v>#N/A</v>
      </c>
      <c r="U2031" s="3" t="str">
        <f>IFERROR(__xludf.DUMMYFUNCTION("""COMPUTED_VALUE"""),"#N/A")</f>
        <v>#N/A</v>
      </c>
      <c r="V2031" s="3" t="str">
        <f>IFERROR(__xludf.DUMMYFUNCTION("""COMPUTED_VALUE"""),"Y")</f>
        <v>Y</v>
      </c>
      <c r="W2031" s="3">
        <f>IFERROR(__xludf.DUMMYFUNCTION("""COMPUTED_VALUE"""),811035.0)</f>
        <v>811035</v>
      </c>
      <c r="X2031" s="3" t="str">
        <f>IFERROR(__xludf.DUMMYFUNCTION("""COMPUTED_VALUE"""),"604/2 หมู่ 11 ตำบลลำนารายณ์ อำเภอชัยบาดาล จังหวัดลพบุรี 15130")</f>
        <v>604/2 หมู่ 11 ตำบลลำนารายณ์ อำเภอชัยบาดาล จังหวัดลพบุรี 15130</v>
      </c>
      <c r="Y2031" s="3"/>
      <c r="Z2031" s="3" t="str">
        <f>IFERROR(__xludf.DUMMYFUNCTION("""COMPUTED_VALUE"""),"ลำนารายณ์")</f>
        <v>ลำนารายณ์</v>
      </c>
      <c r="AA2031" s="3" t="str">
        <f>IFERROR(__xludf.DUMMYFUNCTION("""COMPUTED_VALUE"""),"ชัยบาดาล")</f>
        <v>ชัยบาดาล</v>
      </c>
      <c r="AB2031" s="3" t="str">
        <f>IFERROR(__xludf.DUMMYFUNCTION("""COMPUTED_VALUE"""),"ลพบุรี")</f>
        <v>ลพบุรี</v>
      </c>
      <c r="AC2031" s="3">
        <f>IFERROR(__xludf.DUMMYFUNCTION("""COMPUTED_VALUE"""),15130.0)</f>
        <v>15130</v>
      </c>
      <c r="AD2031" s="3">
        <f>IFERROR(__xludf.DUMMYFUNCTION("""COMPUTED_VALUE"""),15.2189043)</f>
        <v>15.2189043</v>
      </c>
      <c r="AE2031" s="3">
        <f>IFERROR(__xludf.DUMMYFUNCTION("""COMPUTED_VALUE"""),101.1447833)</f>
        <v>101.1447833</v>
      </c>
      <c r="AF2031" s="3" t="str">
        <f>IFERROR(__xludf.DUMMYFUNCTION("""COMPUTED_VALUE"""),"BCM FC Shell ลำนารายณ์ ลพบุรี-31019")</f>
        <v>BCM FC Shell ลำนารายณ์ ลพบุรี-31019</v>
      </c>
      <c r="AG2031" s="3" t="str">
        <f>IFERROR(__xludf.DUMMYFUNCTION("""COMPUTED_VALUE"""),"กลาง")</f>
        <v>กลาง</v>
      </c>
      <c r="AH2031" s="3" t="str">
        <f>IFERROR(__xludf.DUMMYFUNCTION("""COMPUTED_VALUE"""),"#N/A")</f>
        <v>#N/A</v>
      </c>
      <c r="AI2031" s="3" t="str">
        <f>IFERROR(__xludf.DUMMYFUNCTION("""COMPUTED_VALUE"""),"Out of warranty")</f>
        <v>Out of warranty</v>
      </c>
      <c r="AJ2031" s="3">
        <f>IFERROR(__xludf.DUMMYFUNCTION("""COMPUTED_VALUE"""),112.0)</f>
        <v>112</v>
      </c>
      <c r="AK2031" s="3"/>
      <c r="AL2031" s="3"/>
    </row>
    <row r="2032" ht="15.75" customHeight="1">
      <c r="A2032" s="1" t="str">
        <f>IFERROR(__xludf.DUMMYFUNCTION("""COMPUTED_VALUE"""),"31020")</f>
        <v>31020</v>
      </c>
      <c r="B2032" s="2">
        <f>IFERROR(__xludf.DUMMYFUNCTION("""COMPUTED_VALUE"""),31020.0)</f>
        <v>31020</v>
      </c>
      <c r="C2032" s="3" t="str">
        <f>IFERROR(__xludf.DUMMYFUNCTION("""COMPUTED_VALUE"""),"BCM FC CTX ศรีธาตุ อุดรธานี")</f>
        <v>BCM FC CTX ศรีธาตุ อุดรธานี</v>
      </c>
      <c r="D2032" s="3" t="str">
        <f>IFERROR(__xludf.DUMMYFUNCTION("""COMPUTED_VALUE"""),"BCM CTX-SRI THAT (UDONTHANI)")</f>
        <v>BCM CTX-SRI THAT (UDONTHANI)</v>
      </c>
      <c r="E2032" s="1" t="str">
        <f>IFERROR(__xludf.DUMMYFUNCTION("""COMPUTED_VALUE"""),"บิ๊กซี MINI")</f>
        <v>บิ๊กซี MINI</v>
      </c>
      <c r="F2032" s="1" t="str">
        <f>IFERROR(__xludf.DUMMYFUNCTION("""COMPUTED_VALUE"""),"291105")</f>
        <v>291105</v>
      </c>
      <c r="G2032" s="1" t="str">
        <f>IFERROR(__xludf.DUMMYFUNCTION("""COMPUTED_VALUE"""),"นายสราวุฒิ พณิชยกุล")</f>
        <v>นายสราวุฒิ พณิชยกุล</v>
      </c>
      <c r="H2032" s="1" t="str">
        <f>IFERROR(__xludf.DUMMYFUNCTION("""COMPUTED_VALUE"""),"392005")</f>
        <v>392005</v>
      </c>
      <c r="I2032" s="1" t="str">
        <f>IFERROR(__xludf.DUMMYFUNCTION("""COMPUTED_VALUE"""),"นายรัฐพล หาญลำยวง")</f>
        <v>นายรัฐพล หาญลำยวง</v>
      </c>
      <c r="J2032" s="3">
        <f>IFERROR(__xludf.DUMMYFUNCTION("""COMPUTED_VALUE"""),296868.0)</f>
        <v>296868</v>
      </c>
      <c r="K2032" s="3" t="str">
        <f>IFERROR(__xludf.DUMMYFUNCTION("""COMPUTED_VALUE"""),"นายพีระพงษ์ แก้วดวงดี")</f>
        <v>นายพีระพงษ์ แก้วดวงดี</v>
      </c>
      <c r="L2032" s="1" t="str">
        <f>IFERROR(__xludf.DUMMYFUNCTION("""COMPUTED_VALUE"""),"03 K.Peerapong K.")</f>
        <v>03 K.Peerapong K.</v>
      </c>
      <c r="M2032" s="1" t="str">
        <f>IFERROR(__xludf.DUMMYFUNCTION("""COMPUTED_VALUE"""),"089-002-6599")</f>
        <v>089-002-6599</v>
      </c>
      <c r="N2032" s="3">
        <f>IFERROR(__xludf.DUMMYFUNCTION("""COMPUTED_VALUE"""),21946.0)</f>
        <v>21946</v>
      </c>
      <c r="O2032" s="3" t="str">
        <f>IFERROR(__xludf.DUMMYFUNCTION("""COMPUTED_VALUE"""),"MBC เซกา บึงกาฬ")</f>
        <v>MBC เซกา บึงกาฬ</v>
      </c>
      <c r="P2032" s="4">
        <f>IFERROR(__xludf.DUMMYFUNCTION("""COMPUTED_VALUE"""),42643.0)</f>
        <v>42643</v>
      </c>
      <c r="Q2032" s="3" t="str">
        <f>IFERROR(__xludf.DUMMYFUNCTION("""COMPUTED_VALUE"""),"A")</f>
        <v>A</v>
      </c>
      <c r="R2032" s="3" t="str">
        <f>IFERROR(__xludf.DUMMYFUNCTION("""COMPUTED_VALUE"""),"Small Format")</f>
        <v>Small Format</v>
      </c>
      <c r="S2032" s="3" t="str">
        <f>IFERROR(__xludf.DUMMYFUNCTION("""COMPUTED_VALUE"""),"BCM(FC)")</f>
        <v>BCM(FC)</v>
      </c>
      <c r="T2032" s="3" t="str">
        <f>IFERROR(__xludf.DUMMYFUNCTION("""COMPUTED_VALUE"""),"#N/A")</f>
        <v>#N/A</v>
      </c>
      <c r="U2032" s="3" t="str">
        <f>IFERROR(__xludf.DUMMYFUNCTION("""COMPUTED_VALUE"""),"#N/A")</f>
        <v>#N/A</v>
      </c>
      <c r="V2032" s="3" t="str">
        <f>IFERROR(__xludf.DUMMYFUNCTION("""COMPUTED_VALUE"""),"Y")</f>
        <v>Y</v>
      </c>
      <c r="W2032" s="3">
        <f>IFERROR(__xludf.DUMMYFUNCTION("""COMPUTED_VALUE"""),811047.0)</f>
        <v>811047</v>
      </c>
      <c r="X2032" s="3" t="str">
        <f>IFERROR(__xludf.DUMMYFUNCTION("""COMPUTED_VALUE"""),"254 หมู่ 3 ตำบลศรีธาตุ อำเภอศรีธาตุ จังหวัดอุดรธานี 41230")</f>
        <v>254 หมู่ 3 ตำบลศรีธาตุ อำเภอศรีธาตุ จังหวัดอุดรธานี 41230</v>
      </c>
      <c r="Y2032" s="3"/>
      <c r="Z2032" s="3" t="str">
        <f>IFERROR(__xludf.DUMMYFUNCTION("""COMPUTED_VALUE"""),"ศรีธาตุ")</f>
        <v>ศรีธาตุ</v>
      </c>
      <c r="AA2032" s="3" t="str">
        <f>IFERROR(__xludf.DUMMYFUNCTION("""COMPUTED_VALUE"""),"ศรีธาตุ")</f>
        <v>ศรีธาตุ</v>
      </c>
      <c r="AB2032" s="3" t="str">
        <f>IFERROR(__xludf.DUMMYFUNCTION("""COMPUTED_VALUE"""),"อุดรธานี")</f>
        <v>อุดรธานี</v>
      </c>
      <c r="AC2032" s="3">
        <f>IFERROR(__xludf.DUMMYFUNCTION("""COMPUTED_VALUE"""),41230.0)</f>
        <v>41230</v>
      </c>
      <c r="AD2032" s="3">
        <f>IFERROR(__xludf.DUMMYFUNCTION("""COMPUTED_VALUE"""),16.974169)</f>
        <v>16.974169</v>
      </c>
      <c r="AE2032" s="3">
        <f>IFERROR(__xludf.DUMMYFUNCTION("""COMPUTED_VALUE"""),103.224741)</f>
        <v>103.224741</v>
      </c>
      <c r="AF2032" s="3" t="str">
        <f>IFERROR(__xludf.DUMMYFUNCTION("""COMPUTED_VALUE"""),"BCM FC CTX ศรีธาตุ อุดรธานี-31020")</f>
        <v>BCM FC CTX ศรีธาตุ อุดรธานี-31020</v>
      </c>
      <c r="AG2032" s="3" t="str">
        <f>IFERROR(__xludf.DUMMYFUNCTION("""COMPUTED_VALUE"""),"ตะวันออกเฉียงเหนือ")</f>
        <v>ตะวันออกเฉียงเหนือ</v>
      </c>
      <c r="AH2032" s="3" t="str">
        <f>IFERROR(__xludf.DUMMYFUNCTION("""COMPUTED_VALUE"""),"#N/A")</f>
        <v>#N/A</v>
      </c>
      <c r="AI2032" s="3" t="str">
        <f>IFERROR(__xludf.DUMMYFUNCTION("""COMPUTED_VALUE"""),"Out of warranty")</f>
        <v>Out of warranty</v>
      </c>
      <c r="AJ2032" s="3">
        <f>IFERROR(__xludf.DUMMYFUNCTION("""COMPUTED_VALUE"""),112.0)</f>
        <v>112</v>
      </c>
      <c r="AK2032" s="3"/>
      <c r="AL2032" s="3"/>
    </row>
    <row r="2033" ht="15.75" customHeight="1">
      <c r="A2033" s="1" t="str">
        <f>IFERROR(__xludf.DUMMYFUNCTION("""COMPUTED_VALUE"""),"31021")</f>
        <v>31021</v>
      </c>
      <c r="B2033" s="2">
        <f>IFERROR(__xludf.DUMMYFUNCTION("""COMPUTED_VALUE"""),31021.0)</f>
        <v>31021</v>
      </c>
      <c r="C2033" s="3" t="str">
        <f>IFERROR(__xludf.DUMMYFUNCTION("""COMPUTED_VALUE"""),"BCM FC CTX กุมภวาปี")</f>
        <v>BCM FC CTX กุมภวาปี</v>
      </c>
      <c r="D2033" s="3" t="str">
        <f>IFERROR(__xludf.DUMMYFUNCTION("""COMPUTED_VALUE"""),"BCM CTX-KUMPAWAPEE(UDONTHANI)")</f>
        <v>BCM CTX-KUMPAWAPEE(UDONTHANI)</v>
      </c>
      <c r="E2033" s="1" t="str">
        <f>IFERROR(__xludf.DUMMYFUNCTION("""COMPUTED_VALUE"""),"บิ๊กซี MINI")</f>
        <v>บิ๊กซี MINI</v>
      </c>
      <c r="F2033" s="1" t="str">
        <f>IFERROR(__xludf.DUMMYFUNCTION("""COMPUTED_VALUE"""),"291105")</f>
        <v>291105</v>
      </c>
      <c r="G2033" s="1" t="str">
        <f>IFERROR(__xludf.DUMMYFUNCTION("""COMPUTED_VALUE"""),"นายสราวุฒิ พณิชยกุล")</f>
        <v>นายสราวุฒิ พณิชยกุล</v>
      </c>
      <c r="H2033" s="1" t="str">
        <f>IFERROR(__xludf.DUMMYFUNCTION("""COMPUTED_VALUE"""),"392005")</f>
        <v>392005</v>
      </c>
      <c r="I2033" s="1" t="str">
        <f>IFERROR(__xludf.DUMMYFUNCTION("""COMPUTED_VALUE"""),"นายรัฐพล หาญลำยวง")</f>
        <v>นายรัฐพล หาญลำยวง</v>
      </c>
      <c r="J2033" s="3">
        <f>IFERROR(__xludf.DUMMYFUNCTION("""COMPUTED_VALUE"""),295886.0)</f>
        <v>295886</v>
      </c>
      <c r="K2033" s="3" t="str">
        <f>IFERROR(__xludf.DUMMYFUNCTION("""COMPUTED_VALUE"""),"นายจิระพงษ์ โพธิ์นิล")</f>
        <v>นายจิระพงษ์ โพธิ์นิล</v>
      </c>
      <c r="L2033" s="1" t="str">
        <f>IFERROR(__xludf.DUMMYFUNCTION("""COMPUTED_VALUE"""),"นายจิระพงษ์ โพธิ์นิล")</f>
        <v>นายจิระพงษ์ โพธิ์นิล</v>
      </c>
      <c r="M2033" s="1" t="str">
        <f>IFERROR(__xludf.DUMMYFUNCTION("""COMPUTED_VALUE"""),"0933290754")</f>
        <v>0933290754</v>
      </c>
      <c r="N2033" s="3">
        <f>IFERROR(__xludf.DUMMYFUNCTION("""COMPUTED_VALUE"""),21622.0)</f>
        <v>21622</v>
      </c>
      <c r="O2033" s="3" t="str">
        <f>IFERROR(__xludf.DUMMYFUNCTION("""COMPUTED_VALUE"""),"MBC ตลาดบ้านดอน")</f>
        <v>MBC ตลาดบ้านดอน</v>
      </c>
      <c r="P2033" s="4">
        <f>IFERROR(__xludf.DUMMYFUNCTION("""COMPUTED_VALUE"""),42643.0)</f>
        <v>42643</v>
      </c>
      <c r="Q2033" s="3" t="str">
        <f>IFERROR(__xludf.DUMMYFUNCTION("""COMPUTED_VALUE"""),"I")</f>
        <v>I</v>
      </c>
      <c r="R2033" s="3" t="str">
        <f>IFERROR(__xludf.DUMMYFUNCTION("""COMPUTED_VALUE"""),"Small Format")</f>
        <v>Small Format</v>
      </c>
      <c r="S2033" s="3" t="str">
        <f>IFERROR(__xludf.DUMMYFUNCTION("""COMPUTED_VALUE"""),"BCM(FC)")</f>
        <v>BCM(FC)</v>
      </c>
      <c r="T2033" s="3" t="str">
        <f>IFERROR(__xludf.DUMMYFUNCTION("""COMPUTED_VALUE"""),"#N/A")</f>
        <v>#N/A</v>
      </c>
      <c r="U2033" s="3" t="str">
        <f>IFERROR(__xludf.DUMMYFUNCTION("""COMPUTED_VALUE"""),"#N/A")</f>
        <v>#N/A</v>
      </c>
      <c r="V2033" s="3" t="str">
        <f>IFERROR(__xludf.DUMMYFUNCTION("""COMPUTED_VALUE"""),"Y")</f>
        <v>Y</v>
      </c>
      <c r="W2033" s="3">
        <f>IFERROR(__xludf.DUMMYFUNCTION("""COMPUTED_VALUE"""),811065.0)</f>
        <v>811065</v>
      </c>
      <c r="X2033" s="3" t="str">
        <f>IFERROR(__xludf.DUMMYFUNCTION("""COMPUTED_VALUE"""),"183 หมู่ 5 ตำบลตูมใต้ อำเภอกุมภวาปี จังหวัดอุดรธานี 41110")</f>
        <v>183 หมู่ 5 ตำบลตูมใต้ อำเภอกุมภวาปี จังหวัดอุดรธานี 41110</v>
      </c>
      <c r="Y2033" s="3"/>
      <c r="Z2033" s="3" t="str">
        <f>IFERROR(__xludf.DUMMYFUNCTION("""COMPUTED_VALUE"""),"ตูมใต้")</f>
        <v>ตูมใต้</v>
      </c>
      <c r="AA2033" s="3" t="str">
        <f>IFERROR(__xludf.DUMMYFUNCTION("""COMPUTED_VALUE"""),"กุมภวาปี")</f>
        <v>กุมภวาปี</v>
      </c>
      <c r="AB2033" s="3" t="str">
        <f>IFERROR(__xludf.DUMMYFUNCTION("""COMPUTED_VALUE"""),"อุดรธานี")</f>
        <v>อุดรธานี</v>
      </c>
      <c r="AC2033" s="3">
        <f>IFERROR(__xludf.DUMMYFUNCTION("""COMPUTED_VALUE"""),41110.0)</f>
        <v>41110</v>
      </c>
      <c r="AD2033" s="3">
        <f>IFERROR(__xludf.DUMMYFUNCTION("""COMPUTED_VALUE"""),17.065292)</f>
        <v>17.065292</v>
      </c>
      <c r="AE2033" s="3">
        <f>IFERROR(__xludf.DUMMYFUNCTION("""COMPUTED_VALUE"""),102.928218)</f>
        <v>102.928218</v>
      </c>
      <c r="AF2033" s="3" t="str">
        <f>IFERROR(__xludf.DUMMYFUNCTION("""COMPUTED_VALUE"""),"BCM FC CTX กุมภวาปี-31021")</f>
        <v>BCM FC CTX กุมภวาปี-31021</v>
      </c>
      <c r="AG2033" s="3" t="str">
        <f>IFERROR(__xludf.DUMMYFUNCTION("""COMPUTED_VALUE"""),"ตะวันออกเฉียงเหนือ")</f>
        <v>ตะวันออกเฉียงเหนือ</v>
      </c>
      <c r="AH2033" s="3" t="str">
        <f>IFERROR(__xludf.DUMMYFUNCTION("""COMPUTED_VALUE"""),"#N/A")</f>
        <v>#N/A</v>
      </c>
      <c r="AI2033" s="3" t="str">
        <f>IFERROR(__xludf.DUMMYFUNCTION("""COMPUTED_VALUE"""),"Out of warranty")</f>
        <v>Out of warranty</v>
      </c>
      <c r="AJ2033" s="3">
        <f>IFERROR(__xludf.DUMMYFUNCTION("""COMPUTED_VALUE"""),112.0)</f>
        <v>112</v>
      </c>
      <c r="AK2033" s="3"/>
      <c r="AL2033" s="3"/>
    </row>
    <row r="2034" ht="15.75" customHeight="1">
      <c r="A2034" s="1" t="str">
        <f>IFERROR(__xludf.DUMMYFUNCTION("""COMPUTED_VALUE"""),"31022")</f>
        <v>31022</v>
      </c>
      <c r="B2034" s="2">
        <f>IFERROR(__xludf.DUMMYFUNCTION("""COMPUTED_VALUE"""),31022.0)</f>
        <v>31022</v>
      </c>
      <c r="C2034" s="3" t="str">
        <f>IFERROR(__xludf.DUMMYFUNCTION("""COMPUTED_VALUE"""),"MFC CTX เมืองอุดรธานี")</f>
        <v>MFC CTX เมืองอุดรธานี</v>
      </c>
      <c r="D2034" s="3" t="str">
        <f>IFERROR(__xludf.DUMMYFUNCTION("""COMPUTED_VALUE"""),"MFC CTX MUEANG UDONTHANI")</f>
        <v>MFC CTX MUEANG UDONTHANI</v>
      </c>
      <c r="E2034" s="1" t="str">
        <f>IFERROR(__xludf.DUMMYFUNCTION("""COMPUTED_VALUE"""),"บิ๊กซี MINI")</f>
        <v>บิ๊กซี MINI</v>
      </c>
      <c r="F2034" s="1" t="str">
        <f>IFERROR(__xludf.DUMMYFUNCTION("""COMPUTED_VALUE"""),"291100")</f>
        <v>291100</v>
      </c>
      <c r="G2034" s="1" t="str">
        <f>IFERROR(__xludf.DUMMYFUNCTION("""COMPUTED_VALUE"""),"น.ส.จารุณี ฮวบอินทร์")</f>
        <v>น.ส.จารุณี ฮวบอินทร์</v>
      </c>
      <c r="H2034" s="1" t="str">
        <f>IFERROR(__xludf.DUMMYFUNCTION("""COMPUTED_VALUE"""),"034043")</f>
        <v>034043</v>
      </c>
      <c r="I2034" s="1" t="str">
        <f>IFERROR(__xludf.DUMMYFUNCTION("""COMPUTED_VALUE"""),"นายพันธ์ทอง จันปลิว")</f>
        <v>นายพันธ์ทอง จันปลิว</v>
      </c>
      <c r="J2034" s="3">
        <f>IFERROR(__xludf.DUMMYFUNCTION("""COMPUTED_VALUE"""),295886.0)</f>
        <v>295886</v>
      </c>
      <c r="K2034" s="3" t="str">
        <f>IFERROR(__xludf.DUMMYFUNCTION("""COMPUTED_VALUE"""),"นายจิระพงษ์ โพธิ์นิล")</f>
        <v>นายจิระพงษ์ โพธิ์นิล</v>
      </c>
      <c r="L2034" s="1" t="str">
        <f>IFERROR(__xludf.DUMMYFUNCTION("""COMPUTED_VALUE"""),"นายจิระพงษ์ โพธิ์นิล")</f>
        <v>นายจิระพงษ์ โพธิ์นิล</v>
      </c>
      <c r="M2034" s="1" t="str">
        <f>IFERROR(__xludf.DUMMYFUNCTION("""COMPUTED_VALUE"""),"0933290754")</f>
        <v>0933290754</v>
      </c>
      <c r="N2034" s="3">
        <f>IFERROR(__xludf.DUMMYFUNCTION("""COMPUTED_VALUE"""),21465.0)</f>
        <v>21465</v>
      </c>
      <c r="O2034" s="3" t="str">
        <f>IFERROR(__xludf.DUMMYFUNCTION("""COMPUTED_VALUE"""),"MBC สถานีตำรวจอุดร")</f>
        <v>MBC สถานีตำรวจอุดร</v>
      </c>
      <c r="P2034" s="4">
        <f>IFERROR(__xludf.DUMMYFUNCTION("""COMPUTED_VALUE"""),42643.0)</f>
        <v>42643</v>
      </c>
      <c r="Q2034" s="3" t="str">
        <f>IFERROR(__xludf.DUMMYFUNCTION("""COMPUTED_VALUE"""),"I")</f>
        <v>I</v>
      </c>
      <c r="R2034" s="3" t="str">
        <f>IFERROR(__xludf.DUMMYFUNCTION("""COMPUTED_VALUE"""),"Small Format")</f>
        <v>Small Format</v>
      </c>
      <c r="S2034" s="3" t="str">
        <f>IFERROR(__xludf.DUMMYFUNCTION("""COMPUTED_VALUE"""),"BCM(FC)")</f>
        <v>BCM(FC)</v>
      </c>
      <c r="T2034" s="3" t="str">
        <f>IFERROR(__xludf.DUMMYFUNCTION("""COMPUTED_VALUE"""),"#N/A")</f>
        <v>#N/A</v>
      </c>
      <c r="U2034" s="3" t="str">
        <f>IFERROR(__xludf.DUMMYFUNCTION("""COMPUTED_VALUE"""),"#N/A")</f>
        <v>#N/A</v>
      </c>
      <c r="V2034" s="3" t="str">
        <f>IFERROR(__xludf.DUMMYFUNCTION("""COMPUTED_VALUE"""),"Y")</f>
        <v>Y</v>
      </c>
      <c r="W2034" s="3">
        <f>IFERROR(__xludf.DUMMYFUNCTION("""COMPUTED_VALUE"""),811046.0)</f>
        <v>811046</v>
      </c>
      <c r="X2034" s="3" t="str">
        <f>IFERROR(__xludf.DUMMYFUNCTION("""COMPUTED_VALUE"""),"439 หมู่ 4 ตำบลบ้านจั่น อำเภอเมืองอุดรธานี จังหวัดอุดรธานี 41000")</f>
        <v>439 หมู่ 4 ตำบลบ้านจั่น อำเภอเมืองอุดรธานี จังหวัดอุดรธานี 41000</v>
      </c>
      <c r="Y2034" s="3"/>
      <c r="Z2034" s="3" t="str">
        <f>IFERROR(__xludf.DUMMYFUNCTION("""COMPUTED_VALUE"""),"บ้านจั่น")</f>
        <v>บ้านจั่น</v>
      </c>
      <c r="AA2034" s="3" t="str">
        <f>IFERROR(__xludf.DUMMYFUNCTION("""COMPUTED_VALUE"""),"เมือง")</f>
        <v>เมือง</v>
      </c>
      <c r="AB2034" s="3" t="str">
        <f>IFERROR(__xludf.DUMMYFUNCTION("""COMPUTED_VALUE"""),"อุดรธานี")</f>
        <v>อุดรธานี</v>
      </c>
      <c r="AC2034" s="3">
        <f>IFERROR(__xludf.DUMMYFUNCTION("""COMPUTED_VALUE"""),41000.0)</f>
        <v>41000</v>
      </c>
      <c r="AD2034" s="3">
        <f>IFERROR(__xludf.DUMMYFUNCTION("""COMPUTED_VALUE"""),17.356657)</f>
        <v>17.356657</v>
      </c>
      <c r="AE2034" s="3">
        <f>IFERROR(__xludf.DUMMYFUNCTION("""COMPUTED_VALUE"""),102.823126)</f>
        <v>102.823126</v>
      </c>
      <c r="AF2034" s="3" t="str">
        <f>IFERROR(__xludf.DUMMYFUNCTION("""COMPUTED_VALUE"""),"MFC CTX เมืองอุดรธานี-31022")</f>
        <v>MFC CTX เมืองอุดรธานี-31022</v>
      </c>
      <c r="AG2034" s="3" t="str">
        <f>IFERROR(__xludf.DUMMYFUNCTION("""COMPUTED_VALUE"""),"ตะวันออกเฉียงเหนือ")</f>
        <v>ตะวันออกเฉียงเหนือ</v>
      </c>
      <c r="AH2034" s="3" t="str">
        <f>IFERROR(__xludf.DUMMYFUNCTION("""COMPUTED_VALUE"""),"#N/A")</f>
        <v>#N/A</v>
      </c>
      <c r="AI2034" s="3" t="str">
        <f>IFERROR(__xludf.DUMMYFUNCTION("""COMPUTED_VALUE"""),"Out of warranty")</f>
        <v>Out of warranty</v>
      </c>
      <c r="AJ2034" s="3">
        <f>IFERROR(__xludf.DUMMYFUNCTION("""COMPUTED_VALUE"""),112.0)</f>
        <v>112</v>
      </c>
      <c r="AK2034" s="3"/>
      <c r="AL2034" s="3"/>
    </row>
    <row r="2035" ht="15.75" customHeight="1">
      <c r="A2035" s="1" t="str">
        <f>IFERROR(__xludf.DUMMYFUNCTION("""COMPUTED_VALUE"""),"31023")</f>
        <v>31023</v>
      </c>
      <c r="B2035" s="2">
        <f>IFERROR(__xludf.DUMMYFUNCTION("""COMPUTED_VALUE"""),31023.0)</f>
        <v>31023</v>
      </c>
      <c r="C2035" s="3" t="str">
        <f>IFERROR(__xludf.DUMMYFUNCTION("""COMPUTED_VALUE"""),"BCM FC เนโกะปาร์ค ลาดกระบัง")</f>
        <v>BCM FC เนโกะปาร์ค ลาดกระบัง</v>
      </c>
      <c r="D2035" s="3" t="str">
        <f>IFERROR(__xludf.DUMMYFUNCTION("""COMPUTED_VALUE"""),"BCM NEKO PARK LADKRABANG")</f>
        <v>BCM NEKO PARK LADKRABANG</v>
      </c>
      <c r="E2035" s="1" t="str">
        <f>IFERROR(__xludf.DUMMYFUNCTION("""COMPUTED_VALUE"""),"บิ๊กซี MINI")</f>
        <v>บิ๊กซี MINI</v>
      </c>
      <c r="F2035" s="1" t="str">
        <f>IFERROR(__xludf.DUMMYFUNCTION("""COMPUTED_VALUE"""),"291008")</f>
        <v>291008</v>
      </c>
      <c r="G2035" s="1" t="str">
        <f>IFERROR(__xludf.DUMMYFUNCTION("""COMPUTED_VALUE"""),"น.ส.รัชดาพร อีศรัตน์")</f>
        <v>น.ส.รัชดาพร อีศรัตน์</v>
      </c>
      <c r="H2035" s="1" t="str">
        <f>IFERROR(__xludf.DUMMYFUNCTION("""COMPUTED_VALUE"""),"359054")</f>
        <v>359054</v>
      </c>
      <c r="I2035" s="1" t="str">
        <f>IFERROR(__xludf.DUMMYFUNCTION("""COMPUTED_VALUE"""),"น.ส.กรรณิการ์ พุทธวงค์")</f>
        <v>น.ส.กรรณิการ์ พุทธวงค์</v>
      </c>
      <c r="J2035" s="3">
        <f>IFERROR(__xludf.DUMMYFUNCTION("""COMPUTED_VALUE"""),2452378.0)</f>
        <v>2452378</v>
      </c>
      <c r="K2035" s="3" t="str">
        <f>IFERROR(__xludf.DUMMYFUNCTION("""COMPUTED_VALUE"""),"นายศักดิ์ดา พวงประดับ")</f>
        <v>นายศักดิ์ดา พวงประดับ</v>
      </c>
      <c r="L2035" s="1" t="str">
        <f>IFERROR(__xludf.DUMMYFUNCTION("""COMPUTED_VALUE"""),"11 K.Sakda P.")</f>
        <v>11 K.Sakda P.</v>
      </c>
      <c r="M2035" s="1" t="str">
        <f>IFERROR(__xludf.DUMMYFUNCTION("""COMPUTED_VALUE"""),"065-929-1279")</f>
        <v>065-929-1279</v>
      </c>
      <c r="N2035" s="3">
        <f>IFERROR(__xludf.DUMMYFUNCTION("""COMPUTED_VALUE"""),21002.0)</f>
        <v>21002</v>
      </c>
      <c r="O2035" s="3" t="str">
        <f>IFERROR(__xludf.DUMMYFUNCTION("""COMPUTED_VALUE"""),"MBC อุดมสุข")</f>
        <v>MBC อุดมสุข</v>
      </c>
      <c r="P2035" s="4">
        <f>IFERROR(__xludf.DUMMYFUNCTION("""COMPUTED_VALUE"""),42658.0)</f>
        <v>42658</v>
      </c>
      <c r="Q2035" s="3" t="str">
        <f>IFERROR(__xludf.DUMMYFUNCTION("""COMPUTED_VALUE"""),"I")</f>
        <v>I</v>
      </c>
      <c r="R2035" s="3" t="str">
        <f>IFERROR(__xludf.DUMMYFUNCTION("""COMPUTED_VALUE"""),"Small Format")</f>
        <v>Small Format</v>
      </c>
      <c r="S2035" s="3" t="str">
        <f>IFERROR(__xludf.DUMMYFUNCTION("""COMPUTED_VALUE"""),"BCM(FC)")</f>
        <v>BCM(FC)</v>
      </c>
      <c r="T2035" s="3" t="str">
        <f>IFERROR(__xludf.DUMMYFUNCTION("""COMPUTED_VALUE"""),"#N/A")</f>
        <v>#N/A</v>
      </c>
      <c r="U2035" s="3" t="str">
        <f>IFERROR(__xludf.DUMMYFUNCTION("""COMPUTED_VALUE"""),"#N/A")</f>
        <v>#N/A</v>
      </c>
      <c r="V2035" s="3" t="str">
        <f>IFERROR(__xludf.DUMMYFUNCTION("""COMPUTED_VALUE"""),"Y")</f>
        <v>Y</v>
      </c>
      <c r="W2035" s="3">
        <f>IFERROR(__xludf.DUMMYFUNCTION("""COMPUTED_VALUE"""),811020.0)</f>
        <v>811020</v>
      </c>
      <c r="X2035" s="3" t="str">
        <f>IFERROR(__xludf.DUMMYFUNCTION("""COMPUTED_VALUE"""),"1105/1 ถนนประชาพัฒนา แขวงทับยาว เขตลาดกระบัง กรุงเทพมหานคร 10520")</f>
        <v>1105/1 ถนนประชาพัฒนา แขวงทับยาว เขตลาดกระบัง กรุงเทพมหานคร 10520</v>
      </c>
      <c r="Y2035" s="3" t="str">
        <f>IFERROR(__xludf.DUMMYFUNCTION("""COMPUTED_VALUE"""),"ถนนประชาพัฒนา")</f>
        <v>ถนนประชาพัฒนา</v>
      </c>
      <c r="Z2035" s="3" t="str">
        <f>IFERROR(__xludf.DUMMYFUNCTION("""COMPUTED_VALUE"""),"ทับยาว")</f>
        <v>ทับยาว</v>
      </c>
      <c r="AA2035" s="3" t="str">
        <f>IFERROR(__xludf.DUMMYFUNCTION("""COMPUTED_VALUE"""),"ลาดกระบัง")</f>
        <v>ลาดกระบัง</v>
      </c>
      <c r="AB2035" s="3" t="str">
        <f>IFERROR(__xludf.DUMMYFUNCTION("""COMPUTED_VALUE"""),"กรุงเทพมหานคร")</f>
        <v>กรุงเทพมหานคร</v>
      </c>
      <c r="AC2035" s="3">
        <f>IFERROR(__xludf.DUMMYFUNCTION("""COMPUTED_VALUE"""),10520.0)</f>
        <v>10520</v>
      </c>
      <c r="AD2035" s="3">
        <f>IFERROR(__xludf.DUMMYFUNCTION("""COMPUTED_VALUE"""),13.714836)</f>
        <v>13.714836</v>
      </c>
      <c r="AE2035" s="3">
        <f>IFERROR(__xludf.DUMMYFUNCTION("""COMPUTED_VALUE"""),100.822058)</f>
        <v>100.822058</v>
      </c>
      <c r="AF2035" s="3" t="str">
        <f>IFERROR(__xludf.DUMMYFUNCTION("""COMPUTED_VALUE"""),"BCM FC เนโกะปาร์ค ลาดกระบัง-31023")</f>
        <v>BCM FC เนโกะปาร์ค ลาดกระบัง-31023</v>
      </c>
      <c r="AG2035" s="3" t="str">
        <f>IFERROR(__xludf.DUMMYFUNCTION("""COMPUTED_VALUE"""),"กลาง")</f>
        <v>กลาง</v>
      </c>
      <c r="AH2035" s="3" t="str">
        <f>IFERROR(__xludf.DUMMYFUNCTION("""COMPUTED_VALUE"""),"#N/A")</f>
        <v>#N/A</v>
      </c>
      <c r="AI2035" s="3" t="str">
        <f>IFERROR(__xludf.DUMMYFUNCTION("""COMPUTED_VALUE"""),"Out of warranty")</f>
        <v>Out of warranty</v>
      </c>
      <c r="AJ2035" s="3">
        <f>IFERROR(__xludf.DUMMYFUNCTION("""COMPUTED_VALUE"""),112.0)</f>
        <v>112</v>
      </c>
      <c r="AK2035" s="3"/>
      <c r="AL2035" s="3"/>
    </row>
    <row r="2036" ht="15.75" customHeight="1">
      <c r="A2036" s="1" t="str">
        <f>IFERROR(__xludf.DUMMYFUNCTION("""COMPUTED_VALUE"""),"31024")</f>
        <v>31024</v>
      </c>
      <c r="B2036" s="2">
        <f>IFERROR(__xludf.DUMMYFUNCTION("""COMPUTED_VALUE"""),31024.0)</f>
        <v>31024</v>
      </c>
      <c r="C2036" s="3" t="str">
        <f>IFERROR(__xludf.DUMMYFUNCTION("""COMPUTED_VALUE"""),"MFC ถนนมหาราช โคราช")</f>
        <v>MFC ถนนมหาราช โคราช</v>
      </c>
      <c r="D2036" s="3" t="str">
        <f>IFERROR(__xludf.DUMMYFUNCTION("""COMPUTED_VALUE"""),"MFC THANON MAHARAT KORAT")</f>
        <v>MFC THANON MAHARAT KORAT</v>
      </c>
      <c r="E2036" s="1" t="str">
        <f>IFERROR(__xludf.DUMMYFUNCTION("""COMPUTED_VALUE"""),"บิ๊กซี MINI")</f>
        <v>บิ๊กซี MINI</v>
      </c>
      <c r="F2036" s="1" t="str">
        <f>IFERROR(__xludf.DUMMYFUNCTION("""COMPUTED_VALUE"""),"291100")</f>
        <v>291100</v>
      </c>
      <c r="G2036" s="1" t="str">
        <f>IFERROR(__xludf.DUMMYFUNCTION("""COMPUTED_VALUE"""),"น.ส.จารุณี ฮวบอินทร์")</f>
        <v>น.ส.จารุณี ฮวบอินทร์</v>
      </c>
      <c r="H2036" s="1" t="str">
        <f>IFERROR(__xludf.DUMMYFUNCTION("""COMPUTED_VALUE"""),"180347")</f>
        <v>180347</v>
      </c>
      <c r="I2036" s="1" t="str">
        <f>IFERROR(__xludf.DUMMYFUNCTION("""COMPUTED_VALUE"""),"นายณัฐพงษ์ สุตะวงค์")</f>
        <v>นายณัฐพงษ์ สุตะวงค์</v>
      </c>
      <c r="J2036" s="3">
        <f>IFERROR(__xludf.DUMMYFUNCTION("""COMPUTED_VALUE"""),295886.0)</f>
        <v>295886</v>
      </c>
      <c r="K2036" s="3" t="str">
        <f>IFERROR(__xludf.DUMMYFUNCTION("""COMPUTED_VALUE"""),"นายจิระพงษ์ โพธิ์นิล")</f>
        <v>นายจิระพงษ์ โพธิ์นิล</v>
      </c>
      <c r="L2036" s="1" t="str">
        <f>IFERROR(__xludf.DUMMYFUNCTION("""COMPUTED_VALUE"""),"นายจิระพงษ์ โพธิ์นิล")</f>
        <v>นายจิระพงษ์ โพธิ์นิล</v>
      </c>
      <c r="M2036" s="1" t="str">
        <f>IFERROR(__xludf.DUMMYFUNCTION("""COMPUTED_VALUE"""),"0933290754")</f>
        <v>0933290754</v>
      </c>
      <c r="N2036" s="3">
        <f>IFERROR(__xludf.DUMMYFUNCTION("""COMPUTED_VALUE"""),21465.0)</f>
        <v>21465</v>
      </c>
      <c r="O2036" s="3" t="str">
        <f>IFERROR(__xludf.DUMMYFUNCTION("""COMPUTED_VALUE"""),"MBC สถานีตำรวจอุดร")</f>
        <v>MBC สถานีตำรวจอุดร</v>
      </c>
      <c r="P2036" s="4">
        <f>IFERROR(__xludf.DUMMYFUNCTION("""COMPUTED_VALUE"""),42698.0)</f>
        <v>42698</v>
      </c>
      <c r="Q2036" s="3" t="str">
        <f>IFERROR(__xludf.DUMMYFUNCTION("""COMPUTED_VALUE"""),"I")</f>
        <v>I</v>
      </c>
      <c r="R2036" s="3" t="str">
        <f>IFERROR(__xludf.DUMMYFUNCTION("""COMPUTED_VALUE"""),"Small Format")</f>
        <v>Small Format</v>
      </c>
      <c r="S2036" s="3" t="str">
        <f>IFERROR(__xludf.DUMMYFUNCTION("""COMPUTED_VALUE"""),"BCM(FC)")</f>
        <v>BCM(FC)</v>
      </c>
      <c r="T2036" s="3" t="str">
        <f>IFERROR(__xludf.DUMMYFUNCTION("""COMPUTED_VALUE"""),"#N/A")</f>
        <v>#N/A</v>
      </c>
      <c r="U2036" s="3" t="str">
        <f>IFERROR(__xludf.DUMMYFUNCTION("""COMPUTED_VALUE"""),"#N/A")</f>
        <v>#N/A</v>
      </c>
      <c r="V2036" s="3" t="str">
        <f>IFERROR(__xludf.DUMMYFUNCTION("""COMPUTED_VALUE"""),"Y")</f>
        <v>Y</v>
      </c>
      <c r="W2036" s="3">
        <f>IFERROR(__xludf.DUMMYFUNCTION("""COMPUTED_VALUE"""),0.0)</f>
        <v>0</v>
      </c>
      <c r="X2036" s="3" t="str">
        <f>IFERROR(__xludf.DUMMYFUNCTION("""COMPUTED_VALUE"""),"183/17,183/18,183/19 ถนนมหาราช ตำบลในเมือง อำเภอเมืองนครราชสีมา จังหวัดนครราชสีมา 30000")</f>
        <v>183/17,183/18,183/19 ถนนมหาราช ตำบลในเมือง อำเภอเมืองนครราชสีมา จังหวัดนครราชสีมา 30000</v>
      </c>
      <c r="Y2036" s="3" t="str">
        <f>IFERROR(__xludf.DUMMYFUNCTION("""COMPUTED_VALUE"""),"ถนนมหาราช")</f>
        <v>ถนนมหาราช</v>
      </c>
      <c r="Z2036" s="3" t="str">
        <f>IFERROR(__xludf.DUMMYFUNCTION("""COMPUTED_VALUE"""),"ในเมือง")</f>
        <v>ในเมือง</v>
      </c>
      <c r="AA2036" s="3" t="str">
        <f>IFERROR(__xludf.DUMMYFUNCTION("""COMPUTED_VALUE"""),"เมือง")</f>
        <v>เมือง</v>
      </c>
      <c r="AB2036" s="3" t="str">
        <f>IFERROR(__xludf.DUMMYFUNCTION("""COMPUTED_VALUE"""),"นครราชสีมา")</f>
        <v>นครราชสีมา</v>
      </c>
      <c r="AC2036" s="3">
        <f>IFERROR(__xludf.DUMMYFUNCTION("""COMPUTED_VALUE"""),30000.0)</f>
        <v>30000</v>
      </c>
      <c r="AD2036" s="3" t="str">
        <f>IFERROR(__xludf.DUMMYFUNCTION("""COMPUTED_VALUE"""),"#N/A")</f>
        <v>#N/A</v>
      </c>
      <c r="AE2036" s="3" t="str">
        <f>IFERROR(__xludf.DUMMYFUNCTION("""COMPUTED_VALUE"""),"#N/A")</f>
        <v>#N/A</v>
      </c>
      <c r="AF2036" s="3" t="str">
        <f>IFERROR(__xludf.DUMMYFUNCTION("""COMPUTED_VALUE"""),"MFC ถนนมหาราช โคราช-31024")</f>
        <v>MFC ถนนมหาราช โคราช-31024</v>
      </c>
      <c r="AG2036" s="3" t="str">
        <f>IFERROR(__xludf.DUMMYFUNCTION("""COMPUTED_VALUE"""),"ตะวันออกเฉียงเหนือ")</f>
        <v>ตะวันออกเฉียงเหนือ</v>
      </c>
      <c r="AH2036" s="3" t="str">
        <f>IFERROR(__xludf.DUMMYFUNCTION("""COMPUTED_VALUE"""),"#N/A")</f>
        <v>#N/A</v>
      </c>
      <c r="AI2036" s="3" t="str">
        <f>IFERROR(__xludf.DUMMYFUNCTION("""COMPUTED_VALUE"""),"Out of warranty")</f>
        <v>Out of warranty</v>
      </c>
      <c r="AJ2036" s="3">
        <f>IFERROR(__xludf.DUMMYFUNCTION("""COMPUTED_VALUE"""),110.0)</f>
        <v>110</v>
      </c>
      <c r="AK2036" s="3"/>
      <c r="AL2036" s="3"/>
    </row>
    <row r="2037" ht="15.75" customHeight="1">
      <c r="A2037" s="1" t="str">
        <f>IFERROR(__xludf.DUMMYFUNCTION("""COMPUTED_VALUE"""),"31025")</f>
        <v>31025</v>
      </c>
      <c r="B2037" s="2">
        <f>IFERROR(__xludf.DUMMYFUNCTION("""COMPUTED_VALUE"""),31025.0)</f>
        <v>31025</v>
      </c>
      <c r="C2037" s="3" t="str">
        <f>IFERROR(__xludf.DUMMYFUNCTION("""COMPUTED_VALUE"""),"BCM FC เดอะเกรท ซ.วัดลาดปลาดุก")</f>
        <v>BCM FC เดอะเกรท ซ.วัดลาดปลาดุก</v>
      </c>
      <c r="D2037" s="3" t="str">
        <f>IFERROR(__xludf.DUMMYFUNCTION("""COMPUTED_VALUE"""),"BCM THE GREAT SOI WATLADPADUK")</f>
        <v>BCM THE GREAT SOI WATLADPADUK</v>
      </c>
      <c r="E2037" s="1" t="str">
        <f>IFERROR(__xludf.DUMMYFUNCTION("""COMPUTED_VALUE"""),"บิ๊กซี MINI")</f>
        <v>บิ๊กซี MINI</v>
      </c>
      <c r="F2037" s="1" t="str">
        <f>IFERROR(__xludf.DUMMYFUNCTION("""COMPUTED_VALUE"""),"291008")</f>
        <v>291008</v>
      </c>
      <c r="G2037" s="1" t="str">
        <f>IFERROR(__xludf.DUMMYFUNCTION("""COMPUTED_VALUE"""),"น.ส.รัชดาพร อีศรัตน์")</f>
        <v>น.ส.รัชดาพร อีศรัตน์</v>
      </c>
      <c r="H2037" s="1" t="str">
        <f>IFERROR(__xludf.DUMMYFUNCTION("""COMPUTED_VALUE"""),"180055")</f>
        <v>180055</v>
      </c>
      <c r="I2037" s="1" t="str">
        <f>IFERROR(__xludf.DUMMYFUNCTION("""COMPUTED_VALUE"""),"น.ส.สุดารัตน์ บุญล้ำ")</f>
        <v>น.ส.สุดารัตน์ บุญล้ำ</v>
      </c>
      <c r="J2037" s="3">
        <f>IFERROR(__xludf.DUMMYFUNCTION("""COMPUTED_VALUE"""),296608.0)</f>
        <v>296608</v>
      </c>
      <c r="K2037" s="3" t="str">
        <f>IFERROR(__xludf.DUMMYFUNCTION("""COMPUTED_VALUE"""),"นายภาคภูมิ เพ็ชรนิล")</f>
        <v>นายภาคภูมิ เพ็ชรนิล</v>
      </c>
      <c r="L2037" s="1" t="str">
        <f>IFERROR(__xludf.DUMMYFUNCTION("""COMPUTED_VALUE"""),"10 K.Phakphoom P.")</f>
        <v>10 K.Phakphoom P.</v>
      </c>
      <c r="M2037" s="1" t="str">
        <f>IFERROR(__xludf.DUMMYFUNCTION("""COMPUTED_VALUE"""),"063-8955329")</f>
        <v>063-8955329</v>
      </c>
      <c r="N2037" s="3">
        <f>IFERROR(__xludf.DUMMYFUNCTION("""COMPUTED_VALUE"""),22584.0)</f>
        <v>22584</v>
      </c>
      <c r="O2037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2037" s="4">
        <f>IFERROR(__xludf.DUMMYFUNCTION("""COMPUTED_VALUE"""),42692.0)</f>
        <v>42692</v>
      </c>
      <c r="Q2037" s="3" t="str">
        <f>IFERROR(__xludf.DUMMYFUNCTION("""COMPUTED_VALUE"""),"A")</f>
        <v>A</v>
      </c>
      <c r="R2037" s="3" t="str">
        <f>IFERROR(__xludf.DUMMYFUNCTION("""COMPUTED_VALUE"""),"Small Format")</f>
        <v>Small Format</v>
      </c>
      <c r="S2037" s="3" t="str">
        <f>IFERROR(__xludf.DUMMYFUNCTION("""COMPUTED_VALUE"""),"BCM(FC)")</f>
        <v>BCM(FC)</v>
      </c>
      <c r="T2037" s="3" t="str">
        <f>IFERROR(__xludf.DUMMYFUNCTION("""COMPUTED_VALUE"""),"#N/A")</f>
        <v>#N/A</v>
      </c>
      <c r="U2037" s="3" t="str">
        <f>IFERROR(__xludf.DUMMYFUNCTION("""COMPUTED_VALUE"""),"#N/A")</f>
        <v>#N/A</v>
      </c>
      <c r="V2037" s="3" t="str">
        <f>IFERROR(__xludf.DUMMYFUNCTION("""COMPUTED_VALUE"""),"Y")</f>
        <v>Y</v>
      </c>
      <c r="W2037" s="3">
        <f>IFERROR(__xludf.DUMMYFUNCTION("""COMPUTED_VALUE"""),811009.0)</f>
        <v>811009</v>
      </c>
      <c r="X2037" s="3" t="str">
        <f>IFERROR(__xludf.DUMMYFUNCTION("""COMPUTED_VALUE"""),"89 หมู่ 11 ตำบลบางแม่นาง อำเภอบางใหญ่ จังหวัดนนทบุรี 11140")</f>
        <v>89 หมู่ 11 ตำบลบางแม่นาง อำเภอบางใหญ่ จังหวัดนนทบุรี 11140</v>
      </c>
      <c r="Y2037" s="3"/>
      <c r="Z2037" s="3" t="str">
        <f>IFERROR(__xludf.DUMMYFUNCTION("""COMPUTED_VALUE"""),"บางแม่นาง")</f>
        <v>บางแม่นาง</v>
      </c>
      <c r="AA2037" s="3" t="str">
        <f>IFERROR(__xludf.DUMMYFUNCTION("""COMPUTED_VALUE"""),"บางใหญ่")</f>
        <v>บางใหญ่</v>
      </c>
      <c r="AB2037" s="3" t="str">
        <f>IFERROR(__xludf.DUMMYFUNCTION("""COMPUTED_VALUE"""),"นนทบุรี")</f>
        <v>นนทบุรี</v>
      </c>
      <c r="AC2037" s="3">
        <f>IFERROR(__xludf.DUMMYFUNCTION("""COMPUTED_VALUE"""),11140.0)</f>
        <v>11140</v>
      </c>
      <c r="AD2037" s="3">
        <f>IFERROR(__xludf.DUMMYFUNCTION("""COMPUTED_VALUE"""),13.902483)</f>
        <v>13.902483</v>
      </c>
      <c r="AE2037" s="3">
        <f>IFERROR(__xludf.DUMMYFUNCTION("""COMPUTED_VALUE"""),100.365328)</f>
        <v>100.365328</v>
      </c>
      <c r="AF2037" s="3" t="str">
        <f>IFERROR(__xludf.DUMMYFUNCTION("""COMPUTED_VALUE"""),"BCM FC เดอะเกรท ซ.วัดลาดปลาดุก-31025")</f>
        <v>BCM FC เดอะเกรท ซ.วัดลาดปลาดุก-31025</v>
      </c>
      <c r="AG2037" s="3" t="str">
        <f>IFERROR(__xludf.DUMMYFUNCTION("""COMPUTED_VALUE"""),"กลาง")</f>
        <v>กลาง</v>
      </c>
      <c r="AH2037" s="3" t="str">
        <f>IFERROR(__xludf.DUMMYFUNCTION("""COMPUTED_VALUE"""),"#N/A")</f>
        <v>#N/A</v>
      </c>
      <c r="AI2037" s="3" t="str">
        <f>IFERROR(__xludf.DUMMYFUNCTION("""COMPUTED_VALUE"""),"Out of warranty")</f>
        <v>Out of warranty</v>
      </c>
      <c r="AJ2037" s="3">
        <f>IFERROR(__xludf.DUMMYFUNCTION("""COMPUTED_VALUE"""),111.0)</f>
        <v>111</v>
      </c>
      <c r="AK2037" s="3"/>
      <c r="AL2037" s="3"/>
    </row>
    <row r="2038" ht="15.75" customHeight="1">
      <c r="A2038" s="1" t="str">
        <f>IFERROR(__xludf.DUMMYFUNCTION("""COMPUTED_VALUE"""),"31026")</f>
        <v>31026</v>
      </c>
      <c r="B2038" s="2">
        <f>IFERROR(__xludf.DUMMYFUNCTION("""COMPUTED_VALUE"""),31026.0)</f>
        <v>31026</v>
      </c>
      <c r="C2038" s="3" t="str">
        <f>IFERROR(__xludf.DUMMYFUNCTION("""COMPUTED_VALUE"""),"BCM FC BCP ไชยสอ ขอนแก่น")</f>
        <v>BCM FC BCP ไชยสอ ขอนแก่น</v>
      </c>
      <c r="D2038" s="3" t="str">
        <f>IFERROR(__xludf.DUMMYFUNCTION("""COMPUTED_VALUE"""),"BCM BCP-CHAI SOR KHONKAEN")</f>
        <v>BCM BCP-CHAI SOR KHONKAEN</v>
      </c>
      <c r="E2038" s="1" t="str">
        <f>IFERROR(__xludf.DUMMYFUNCTION("""COMPUTED_VALUE"""),"บิ๊กซี MINI")</f>
        <v>บิ๊กซี MINI</v>
      </c>
      <c r="F2038" s="1" t="str">
        <f>IFERROR(__xludf.DUMMYFUNCTION("""COMPUTED_VALUE"""),"291105")</f>
        <v>291105</v>
      </c>
      <c r="G2038" s="1" t="str">
        <f>IFERROR(__xludf.DUMMYFUNCTION("""COMPUTED_VALUE"""),"นายสราวุฒิ พณิชยกุล")</f>
        <v>นายสราวุฒิ พณิชยกุล</v>
      </c>
      <c r="H2038" s="1" t="str">
        <f>IFERROR(__xludf.DUMMYFUNCTION("""COMPUTED_VALUE"""),"371396")</f>
        <v>371396</v>
      </c>
      <c r="I2038" s="1" t="str">
        <f>IFERROR(__xludf.DUMMYFUNCTION("""COMPUTED_VALUE"""),"น.ส.สุภาวดี วิลัยพร")</f>
        <v>น.ส.สุภาวดี วิลัยพร</v>
      </c>
      <c r="J2038" s="3">
        <f>IFERROR(__xludf.DUMMYFUNCTION("""COMPUTED_VALUE"""),295886.0)</f>
        <v>295886</v>
      </c>
      <c r="K2038" s="3" t="str">
        <f>IFERROR(__xludf.DUMMYFUNCTION("""COMPUTED_VALUE"""),"นายจิระพงษ์ โพธิ์นิล")</f>
        <v>นายจิระพงษ์ โพธิ์นิล</v>
      </c>
      <c r="L2038" s="1" t="str">
        <f>IFERROR(__xludf.DUMMYFUNCTION("""COMPUTED_VALUE"""),"นายจิระพงษ์ โพธิ์นิล")</f>
        <v>นายจิระพงษ์ โพธิ์นิล</v>
      </c>
      <c r="M2038" s="1" t="str">
        <f>IFERROR(__xludf.DUMMYFUNCTION("""COMPUTED_VALUE"""),"0933290754")</f>
        <v>0933290754</v>
      </c>
      <c r="N2038" s="3">
        <f>IFERROR(__xludf.DUMMYFUNCTION("""COMPUTED_VALUE"""),21622.0)</f>
        <v>21622</v>
      </c>
      <c r="O2038" s="3" t="str">
        <f>IFERROR(__xludf.DUMMYFUNCTION("""COMPUTED_VALUE"""),"MBC ตลาดบ้านดอน")</f>
        <v>MBC ตลาดบ้านดอน</v>
      </c>
      <c r="P2038" s="4">
        <f>IFERROR(__xludf.DUMMYFUNCTION("""COMPUTED_VALUE"""),42720.0)</f>
        <v>42720</v>
      </c>
      <c r="Q2038" s="3" t="str">
        <f>IFERROR(__xludf.DUMMYFUNCTION("""COMPUTED_VALUE"""),"I")</f>
        <v>I</v>
      </c>
      <c r="R2038" s="3" t="str">
        <f>IFERROR(__xludf.DUMMYFUNCTION("""COMPUTED_VALUE"""),"Small Format")</f>
        <v>Small Format</v>
      </c>
      <c r="S2038" s="3" t="str">
        <f>IFERROR(__xludf.DUMMYFUNCTION("""COMPUTED_VALUE"""),"BCM(FC)")</f>
        <v>BCM(FC)</v>
      </c>
      <c r="T2038" s="3" t="str">
        <f>IFERROR(__xludf.DUMMYFUNCTION("""COMPUTED_VALUE"""),"#N/A")</f>
        <v>#N/A</v>
      </c>
      <c r="U2038" s="3" t="str">
        <f>IFERROR(__xludf.DUMMYFUNCTION("""COMPUTED_VALUE"""),"#N/A")</f>
        <v>#N/A</v>
      </c>
      <c r="V2038" s="3" t="str">
        <f>IFERROR(__xludf.DUMMYFUNCTION("""COMPUTED_VALUE"""),"Y")</f>
        <v>Y</v>
      </c>
      <c r="W2038" s="3">
        <f>IFERROR(__xludf.DUMMYFUNCTION("""COMPUTED_VALUE"""),811060.0)</f>
        <v>811060</v>
      </c>
      <c r="X2038" s="3" t="str">
        <f>IFERROR(__xludf.DUMMYFUNCTION("""COMPUTED_VALUE"""),"227/1 หมู่ 3 ตำบลไชยสอ อำเภอชุมแพ จังหวัดขอนแก่น 40130")</f>
        <v>227/1 หมู่ 3 ตำบลไชยสอ อำเภอชุมแพ จังหวัดขอนแก่น 40130</v>
      </c>
      <c r="Y2038" s="3"/>
      <c r="Z2038" s="3" t="str">
        <f>IFERROR(__xludf.DUMMYFUNCTION("""COMPUTED_VALUE"""),"ไชยสอ")</f>
        <v>ไชยสอ</v>
      </c>
      <c r="AA2038" s="3" t="str">
        <f>IFERROR(__xludf.DUMMYFUNCTION("""COMPUTED_VALUE"""),"ชุมแพ")</f>
        <v>ชุมแพ</v>
      </c>
      <c r="AB2038" s="3" t="str">
        <f>IFERROR(__xludf.DUMMYFUNCTION("""COMPUTED_VALUE"""),"ขอนแก่น")</f>
        <v>ขอนแก่น</v>
      </c>
      <c r="AC2038" s="3">
        <f>IFERROR(__xludf.DUMMYFUNCTION("""COMPUTED_VALUE"""),40130.0)</f>
        <v>40130</v>
      </c>
      <c r="AD2038" s="3">
        <f>IFERROR(__xludf.DUMMYFUNCTION("""COMPUTED_VALUE"""),16.519)</f>
        <v>16.519</v>
      </c>
      <c r="AE2038" s="3">
        <f>IFERROR(__xludf.DUMMYFUNCTION("""COMPUTED_VALUE"""),102.116933)</f>
        <v>102.116933</v>
      </c>
      <c r="AF2038" s="3" t="str">
        <f>IFERROR(__xludf.DUMMYFUNCTION("""COMPUTED_VALUE"""),"BCM FC BCP ไชยสอ ขอนแก่น-31026")</f>
        <v>BCM FC BCP ไชยสอ ขอนแก่น-31026</v>
      </c>
      <c r="AG2038" s="3" t="str">
        <f>IFERROR(__xludf.DUMMYFUNCTION("""COMPUTED_VALUE"""),"ตะวันออกเฉียงเหนือ")</f>
        <v>ตะวันออกเฉียงเหนือ</v>
      </c>
      <c r="AH2038" s="3" t="str">
        <f>IFERROR(__xludf.DUMMYFUNCTION("""COMPUTED_VALUE"""),"#N/A")</f>
        <v>#N/A</v>
      </c>
      <c r="AI2038" s="3" t="str">
        <f>IFERROR(__xludf.DUMMYFUNCTION("""COMPUTED_VALUE"""),"Out of warranty")</f>
        <v>Out of warranty</v>
      </c>
      <c r="AJ2038" s="3">
        <f>IFERROR(__xludf.DUMMYFUNCTION("""COMPUTED_VALUE"""),110.0)</f>
        <v>110</v>
      </c>
      <c r="AK2038" s="3"/>
      <c r="AL2038" s="3"/>
    </row>
    <row r="2039" ht="15.75" customHeight="1">
      <c r="A2039" s="1" t="str">
        <f>IFERROR(__xludf.DUMMYFUNCTION("""COMPUTED_VALUE"""),"31027")</f>
        <v>31027</v>
      </c>
      <c r="B2039" s="2">
        <f>IFERROR(__xludf.DUMMYFUNCTION("""COMPUTED_VALUE"""),31027.0)</f>
        <v>31027</v>
      </c>
      <c r="C2039" s="3" t="str">
        <f>IFERROR(__xludf.DUMMYFUNCTION("""COMPUTED_VALUE"""),"BCM FC ปากช่อง 15")</f>
        <v>BCM FC ปากช่อง 15</v>
      </c>
      <c r="D2039" s="3" t="str">
        <f>IFERROR(__xludf.DUMMYFUNCTION("""COMPUTED_VALUE"""),"BCM PAKCHONG 15 (KORAT)")</f>
        <v>BCM PAKCHONG 15 (KORAT)</v>
      </c>
      <c r="E2039" s="1" t="str">
        <f>IFERROR(__xludf.DUMMYFUNCTION("""COMPUTED_VALUE"""),"บิ๊กซี MINI")</f>
        <v>บิ๊กซี MINI</v>
      </c>
      <c r="F2039" s="1" t="str">
        <f>IFERROR(__xludf.DUMMYFUNCTION("""COMPUTED_VALUE"""),"291105")</f>
        <v>291105</v>
      </c>
      <c r="G2039" s="1" t="str">
        <f>IFERROR(__xludf.DUMMYFUNCTION("""COMPUTED_VALUE"""),"นายสราวุฒิ พณิชยกุล")</f>
        <v>นายสราวุฒิ พณิชยกุล</v>
      </c>
      <c r="H2039" s="1" t="str">
        <f>IFERROR(__xludf.DUMMYFUNCTION("""COMPUTED_VALUE"""),"281315")</f>
        <v>281315</v>
      </c>
      <c r="I2039" s="1" t="str">
        <f>IFERROR(__xludf.DUMMYFUNCTION("""COMPUTED_VALUE"""),"นายกิตติพงษ์ มั่นคง")</f>
        <v>นายกิตติพงษ์ มั่นคง</v>
      </c>
      <c r="J2039" s="3">
        <f>IFERROR(__xludf.DUMMYFUNCTION("""COMPUTED_VALUE"""),295886.0)</f>
        <v>295886</v>
      </c>
      <c r="K2039" s="3" t="str">
        <f>IFERROR(__xludf.DUMMYFUNCTION("""COMPUTED_VALUE"""),"นายจิระพงษ์ โพธิ์นิล")</f>
        <v>นายจิระพงษ์ โพธิ์นิล</v>
      </c>
      <c r="L2039" s="1" t="str">
        <f>IFERROR(__xludf.DUMMYFUNCTION("""COMPUTED_VALUE"""),"นายจิระพงษ์ โพธิ์นิล")</f>
        <v>นายจิระพงษ์ โพธิ์นิล</v>
      </c>
      <c r="M2039" s="1" t="str">
        <f>IFERROR(__xludf.DUMMYFUNCTION("""COMPUTED_VALUE"""),"0933290754")</f>
        <v>0933290754</v>
      </c>
      <c r="N2039" s="3">
        <f>IFERROR(__xludf.DUMMYFUNCTION("""COMPUTED_VALUE"""),21622.0)</f>
        <v>21622</v>
      </c>
      <c r="O2039" s="3" t="str">
        <f>IFERROR(__xludf.DUMMYFUNCTION("""COMPUTED_VALUE"""),"MBC ตลาดบ้านดอน")</f>
        <v>MBC ตลาดบ้านดอน</v>
      </c>
      <c r="P2039" s="4">
        <f>IFERROR(__xludf.DUMMYFUNCTION("""COMPUTED_VALUE"""),42703.0)</f>
        <v>42703</v>
      </c>
      <c r="Q2039" s="3" t="str">
        <f>IFERROR(__xludf.DUMMYFUNCTION("""COMPUTED_VALUE"""),"I")</f>
        <v>I</v>
      </c>
      <c r="R2039" s="3" t="str">
        <f>IFERROR(__xludf.DUMMYFUNCTION("""COMPUTED_VALUE"""),"Small Format")</f>
        <v>Small Format</v>
      </c>
      <c r="S2039" s="3" t="str">
        <f>IFERROR(__xludf.DUMMYFUNCTION("""COMPUTED_VALUE"""),"BCM(FC)")</f>
        <v>BCM(FC)</v>
      </c>
      <c r="T2039" s="3" t="str">
        <f>IFERROR(__xludf.DUMMYFUNCTION("""COMPUTED_VALUE"""),"#N/A")</f>
        <v>#N/A</v>
      </c>
      <c r="U2039" s="3" t="str">
        <f>IFERROR(__xludf.DUMMYFUNCTION("""COMPUTED_VALUE"""),"#N/A")</f>
        <v>#N/A</v>
      </c>
      <c r="V2039" s="3" t="str">
        <f>IFERROR(__xludf.DUMMYFUNCTION("""COMPUTED_VALUE"""),"Y")</f>
        <v>Y</v>
      </c>
      <c r="W2039" s="3">
        <f>IFERROR(__xludf.DUMMYFUNCTION("""COMPUTED_VALUE"""),811067.0)</f>
        <v>811067</v>
      </c>
      <c r="X2039" s="3" t="str">
        <f>IFERROR(__xludf.DUMMYFUNCTION("""COMPUTED_VALUE"""),"409,411,413 ถนนมิตรภาพ ตำบลปากช่อง อำเภอปากช่อง จังหวัดนครราชสีมา 30130")</f>
        <v>409,411,413 ถนนมิตรภาพ ตำบลปากช่อง อำเภอปากช่อง จังหวัดนครราชสีมา 30130</v>
      </c>
      <c r="Y2039" s="3" t="str">
        <f>IFERROR(__xludf.DUMMYFUNCTION("""COMPUTED_VALUE"""),"ถนนมิตรภาพ")</f>
        <v>ถนนมิตรภาพ</v>
      </c>
      <c r="Z2039" s="3" t="str">
        <f>IFERROR(__xludf.DUMMYFUNCTION("""COMPUTED_VALUE"""),"ปากช่อง")</f>
        <v>ปากช่อง</v>
      </c>
      <c r="AA2039" s="3" t="str">
        <f>IFERROR(__xludf.DUMMYFUNCTION("""COMPUTED_VALUE"""),"ปากช่อง")</f>
        <v>ปากช่อง</v>
      </c>
      <c r="AB2039" s="3" t="str">
        <f>IFERROR(__xludf.DUMMYFUNCTION("""COMPUTED_VALUE"""),"นครราชสีมา")</f>
        <v>นครราชสีมา</v>
      </c>
      <c r="AC2039" s="3">
        <f>IFERROR(__xludf.DUMMYFUNCTION("""COMPUTED_VALUE"""),30130.0)</f>
        <v>30130</v>
      </c>
      <c r="AD2039" s="3">
        <f>IFERROR(__xludf.DUMMYFUNCTION("""COMPUTED_VALUE"""),14.703288)</f>
        <v>14.703288</v>
      </c>
      <c r="AE2039" s="3">
        <f>IFERROR(__xludf.DUMMYFUNCTION("""COMPUTED_VALUE"""),101.41198)</f>
        <v>101.41198</v>
      </c>
      <c r="AF2039" s="3" t="str">
        <f>IFERROR(__xludf.DUMMYFUNCTION("""COMPUTED_VALUE"""),"BCM FC ปากช่อง 15-31027")</f>
        <v>BCM FC ปากช่อง 15-31027</v>
      </c>
      <c r="AG2039" s="3" t="str">
        <f>IFERROR(__xludf.DUMMYFUNCTION("""COMPUTED_VALUE"""),"ตะวันออกเฉียงเหนือ")</f>
        <v>ตะวันออกเฉียงเหนือ</v>
      </c>
      <c r="AH2039" s="3" t="str">
        <f>IFERROR(__xludf.DUMMYFUNCTION("""COMPUTED_VALUE"""),"#N/A")</f>
        <v>#N/A</v>
      </c>
      <c r="AI2039" s="3" t="str">
        <f>IFERROR(__xludf.DUMMYFUNCTION("""COMPUTED_VALUE"""),"Out of warranty")</f>
        <v>Out of warranty</v>
      </c>
      <c r="AJ2039" s="3">
        <f>IFERROR(__xludf.DUMMYFUNCTION("""COMPUTED_VALUE"""),110.0)</f>
        <v>110</v>
      </c>
      <c r="AK2039" s="3"/>
      <c r="AL2039" s="3"/>
    </row>
    <row r="2040" ht="15.75" customHeight="1">
      <c r="A2040" s="1" t="str">
        <f>IFERROR(__xludf.DUMMYFUNCTION("""COMPUTED_VALUE"""),"31028")</f>
        <v>31028</v>
      </c>
      <c r="B2040" s="2">
        <f>IFERROR(__xludf.DUMMYFUNCTION("""COMPUTED_VALUE"""),31028.0)</f>
        <v>31028</v>
      </c>
      <c r="C2040" s="3" t="str">
        <f>IFERROR(__xludf.DUMMYFUNCTION("""COMPUTED_VALUE"""),"BCM FC อรัญประเทศ สระแก้ว")</f>
        <v>BCM FC อรัญประเทศ สระแก้ว</v>
      </c>
      <c r="D2040" s="3" t="str">
        <f>IFERROR(__xludf.DUMMYFUNCTION("""COMPUTED_VALUE"""),"BCM ARANYAPRATHET (SRA KAEW)")</f>
        <v>BCM ARANYAPRATHET (SRA KAEW)</v>
      </c>
      <c r="E2040" s="1" t="str">
        <f>IFERROR(__xludf.DUMMYFUNCTION("""COMPUTED_VALUE"""),"บิ๊กซี MINI")</f>
        <v>บิ๊กซี MINI</v>
      </c>
      <c r="F2040" s="1" t="str">
        <f>IFERROR(__xludf.DUMMYFUNCTION("""COMPUTED_VALUE"""),"2083447")</f>
        <v>2083447</v>
      </c>
      <c r="G2040" s="1" t="str">
        <f>IFERROR(__xludf.DUMMYFUNCTION("""COMPUTED_VALUE"""),"นายอนุกูล ศรีลัดดา")</f>
        <v>นายอนุกูล ศรีลัดดา</v>
      </c>
      <c r="H2040" s="1" t="str">
        <f>IFERROR(__xludf.DUMMYFUNCTION("""COMPUTED_VALUE"""),"259808")</f>
        <v>259808</v>
      </c>
      <c r="I2040" s="1" t="str">
        <f>IFERROR(__xludf.DUMMYFUNCTION("""COMPUTED_VALUE"""),"น.ส.สกุลรัตน์ พิกุลแก้ว")</f>
        <v>น.ส.สกุลรัตน์ พิกุลแก้ว</v>
      </c>
      <c r="J2040" s="3">
        <f>IFERROR(__xludf.DUMMYFUNCTION("""COMPUTED_VALUE"""),510143.0)</f>
        <v>510143</v>
      </c>
      <c r="K2040" s="3" t="str">
        <f>IFERROR(__xludf.DUMMYFUNCTION("""COMPUTED_VALUE"""),"นายธีระวัฒน์ บุญสิทธิ์")</f>
        <v>นายธีระวัฒน์ บุญสิทธิ์</v>
      </c>
      <c r="L2040" s="1" t="str">
        <f>IFERROR(__xludf.DUMMYFUNCTION("""COMPUTED_VALUE"""),"12 K.Theerawat B.")</f>
        <v>12 K.Theerawat B.</v>
      </c>
      <c r="M2040" s="1" t="str">
        <f>IFERROR(__xludf.DUMMYFUNCTION("""COMPUTED_VALUE"""),"0655107379")</f>
        <v>0655107379</v>
      </c>
      <c r="N2040" s="3">
        <f>IFERROR(__xludf.DUMMYFUNCTION("""COMPUTED_VALUE"""),21062.0)</f>
        <v>21062</v>
      </c>
      <c r="O2040" s="3" t="str">
        <f>IFERROR(__xludf.DUMMYFUNCTION("""COMPUTED_VALUE"""),"MBC นิคมนวนคร")</f>
        <v>MBC นิคมนวนคร</v>
      </c>
      <c r="P2040" s="4">
        <f>IFERROR(__xludf.DUMMYFUNCTION("""COMPUTED_VALUE"""),42732.0)</f>
        <v>42732</v>
      </c>
      <c r="Q2040" s="3" t="str">
        <f>IFERROR(__xludf.DUMMYFUNCTION("""COMPUTED_VALUE"""),"A")</f>
        <v>A</v>
      </c>
      <c r="R2040" s="3" t="str">
        <f>IFERROR(__xludf.DUMMYFUNCTION("""COMPUTED_VALUE"""),"Small Format")</f>
        <v>Small Format</v>
      </c>
      <c r="S2040" s="3" t="str">
        <f>IFERROR(__xludf.DUMMYFUNCTION("""COMPUTED_VALUE"""),"BCM(FC)")</f>
        <v>BCM(FC)</v>
      </c>
      <c r="T2040" s="3" t="str">
        <f>IFERROR(__xludf.DUMMYFUNCTION("""COMPUTED_VALUE"""),"#N/A")</f>
        <v>#N/A</v>
      </c>
      <c r="U2040" s="3" t="str">
        <f>IFERROR(__xludf.DUMMYFUNCTION("""COMPUTED_VALUE"""),"#N/A")</f>
        <v>#N/A</v>
      </c>
      <c r="V2040" s="3" t="str">
        <f>IFERROR(__xludf.DUMMYFUNCTION("""COMPUTED_VALUE"""),"Y")</f>
        <v>Y</v>
      </c>
      <c r="W2040" s="3">
        <f>IFERROR(__xludf.DUMMYFUNCTION("""COMPUTED_VALUE"""),811057.0)</f>
        <v>811057</v>
      </c>
      <c r="X2040" s="3" t="str">
        <f>IFERROR(__xludf.DUMMYFUNCTION("""COMPUTED_VALUE"""),"168 ถนนบ้านน้อยประจันตคาม ตำบลอรัญประเทศ อำเภออรัญประเทศ จังหวัดสระแก้ว 27120")</f>
        <v>168 ถนนบ้านน้อยประจันตคาม ตำบลอรัญประเทศ อำเภออรัญประเทศ จังหวัดสระแก้ว 27120</v>
      </c>
      <c r="Y2040" s="3" t="str">
        <f>IFERROR(__xludf.DUMMYFUNCTION("""COMPUTED_VALUE"""),"ถนนบ้านน้อยประจันตคาม")</f>
        <v>ถนนบ้านน้อยประจันตคาม</v>
      </c>
      <c r="Z2040" s="3" t="str">
        <f>IFERROR(__xludf.DUMMYFUNCTION("""COMPUTED_VALUE"""),"อรัญประเทศ")</f>
        <v>อรัญประเทศ</v>
      </c>
      <c r="AA2040" s="3" t="str">
        <f>IFERROR(__xludf.DUMMYFUNCTION("""COMPUTED_VALUE"""),"อรัญประเทศ")</f>
        <v>อรัญประเทศ</v>
      </c>
      <c r="AB2040" s="3" t="str">
        <f>IFERROR(__xludf.DUMMYFUNCTION("""COMPUTED_VALUE"""),"สระแก้ว")</f>
        <v>สระแก้ว</v>
      </c>
      <c r="AC2040" s="3">
        <f>IFERROR(__xludf.DUMMYFUNCTION("""COMPUTED_VALUE"""),27120.0)</f>
        <v>27120</v>
      </c>
      <c r="AD2040" s="3">
        <f>IFERROR(__xludf.DUMMYFUNCTION("""COMPUTED_VALUE"""),13.6912019)</f>
        <v>13.6912019</v>
      </c>
      <c r="AE2040" s="3">
        <f>IFERROR(__xludf.DUMMYFUNCTION("""COMPUTED_VALUE"""),102.4960953)</f>
        <v>102.4960953</v>
      </c>
      <c r="AF2040" s="3" t="str">
        <f>IFERROR(__xludf.DUMMYFUNCTION("""COMPUTED_VALUE"""),"BCM FC อรัญประเทศ สระแก้ว-31028")</f>
        <v>BCM FC อรัญประเทศ สระแก้ว-31028</v>
      </c>
      <c r="AG2040" s="3" t="str">
        <f>IFERROR(__xludf.DUMMYFUNCTION("""COMPUTED_VALUE"""),"ตะวันออก")</f>
        <v>ตะวันออก</v>
      </c>
      <c r="AH2040" s="3" t="str">
        <f>IFERROR(__xludf.DUMMYFUNCTION("""COMPUTED_VALUE"""),"#N/A")</f>
        <v>#N/A</v>
      </c>
      <c r="AI2040" s="3" t="str">
        <f>IFERROR(__xludf.DUMMYFUNCTION("""COMPUTED_VALUE"""),"Out of warranty")</f>
        <v>Out of warranty</v>
      </c>
      <c r="AJ2040" s="3">
        <f>IFERROR(__xludf.DUMMYFUNCTION("""COMPUTED_VALUE"""),109.0)</f>
        <v>109</v>
      </c>
      <c r="AK2040" s="3"/>
      <c r="AL2040" s="3"/>
    </row>
    <row r="2041" ht="15.75" customHeight="1">
      <c r="A2041" s="1" t="str">
        <f>IFERROR(__xludf.DUMMYFUNCTION("""COMPUTED_VALUE"""),"31029")</f>
        <v>31029</v>
      </c>
      <c r="B2041" s="2">
        <f>IFERROR(__xludf.DUMMYFUNCTION("""COMPUTED_VALUE"""),31029.0)</f>
        <v>31029</v>
      </c>
      <c r="C2041" s="3" t="str">
        <f>IFERROR(__xludf.DUMMYFUNCTION("""COMPUTED_VALUE"""),"BCM FC สีชมพู ขอนแก่น")</f>
        <v>BCM FC สีชมพู ขอนแก่น</v>
      </c>
      <c r="D2041" s="3" t="str">
        <f>IFERROR(__xludf.DUMMYFUNCTION("""COMPUTED_VALUE"""),"BCM SI CHOMPHU (KHONKAEN)")</f>
        <v>BCM SI CHOMPHU (KHONKAEN)</v>
      </c>
      <c r="E2041" s="1" t="str">
        <f>IFERROR(__xludf.DUMMYFUNCTION("""COMPUTED_VALUE"""),"บิ๊กซี MINI")</f>
        <v>บิ๊กซี MINI</v>
      </c>
      <c r="F2041" s="1" t="str">
        <f>IFERROR(__xludf.DUMMYFUNCTION("""COMPUTED_VALUE"""),"291105")</f>
        <v>291105</v>
      </c>
      <c r="G2041" s="1" t="str">
        <f>IFERROR(__xludf.DUMMYFUNCTION("""COMPUTED_VALUE"""),"นายสราวุฒิ พณิชยกุล")</f>
        <v>นายสราวุฒิ พณิชยกุล</v>
      </c>
      <c r="H2041" s="1" t="str">
        <f>IFERROR(__xludf.DUMMYFUNCTION("""COMPUTED_VALUE"""),"371396")</f>
        <v>371396</v>
      </c>
      <c r="I2041" s="1" t="str">
        <f>IFERROR(__xludf.DUMMYFUNCTION("""COMPUTED_VALUE"""),"น.ส.สุภาวดี วิลัยพร")</f>
        <v>น.ส.สุภาวดี วิลัยพร</v>
      </c>
      <c r="J2041" s="3">
        <f>IFERROR(__xludf.DUMMYFUNCTION("""COMPUTED_VALUE"""),15361.0)</f>
        <v>15361</v>
      </c>
      <c r="K2041" s="3" t="str">
        <f>IFERROR(__xludf.DUMMYFUNCTION("""COMPUTED_VALUE"""),"นายสมบูรณ์ พรหมในเมือง")</f>
        <v>นายสมบูรณ์ พรหมในเมือง</v>
      </c>
      <c r="L2041" s="1" t="str">
        <f>IFERROR(__xludf.DUMMYFUNCTION("""COMPUTED_VALUE"""),"04 K.Somboon P.")</f>
        <v>04 K.Somboon P.</v>
      </c>
      <c r="M2041" s="1" t="str">
        <f>IFERROR(__xludf.DUMMYFUNCTION("""COMPUTED_VALUE"""),"087-965-3051")</f>
        <v>087-965-3051</v>
      </c>
      <c r="N2041" s="3">
        <f>IFERROR(__xludf.DUMMYFUNCTION("""COMPUTED_VALUE"""),21869.0)</f>
        <v>21869</v>
      </c>
      <c r="O2041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2041" s="4">
        <f>IFERROR(__xludf.DUMMYFUNCTION("""COMPUTED_VALUE"""),42726.0)</f>
        <v>42726</v>
      </c>
      <c r="Q2041" s="3" t="str">
        <f>IFERROR(__xludf.DUMMYFUNCTION("""COMPUTED_VALUE"""),"I")</f>
        <v>I</v>
      </c>
      <c r="R2041" s="3" t="str">
        <f>IFERROR(__xludf.DUMMYFUNCTION("""COMPUTED_VALUE"""),"Small Format")</f>
        <v>Small Format</v>
      </c>
      <c r="S2041" s="3" t="str">
        <f>IFERROR(__xludf.DUMMYFUNCTION("""COMPUTED_VALUE"""),"BCM(FC)")</f>
        <v>BCM(FC)</v>
      </c>
      <c r="T2041" s="3" t="str">
        <f>IFERROR(__xludf.DUMMYFUNCTION("""COMPUTED_VALUE"""),"#N/A")</f>
        <v>#N/A</v>
      </c>
      <c r="U2041" s="3" t="str">
        <f>IFERROR(__xludf.DUMMYFUNCTION("""COMPUTED_VALUE"""),"#N/A")</f>
        <v>#N/A</v>
      </c>
      <c r="V2041" s="3" t="str">
        <f>IFERROR(__xludf.DUMMYFUNCTION("""COMPUTED_VALUE"""),"Y")</f>
        <v>Y</v>
      </c>
      <c r="W2041" s="3">
        <f>IFERROR(__xludf.DUMMYFUNCTION("""COMPUTED_VALUE"""),811059.0)</f>
        <v>811059</v>
      </c>
      <c r="X2041" s="3" t="str">
        <f>IFERROR(__xludf.DUMMYFUNCTION("""COMPUTED_VALUE"""),"357 หมู่ 10 ตำบลวังเพิ่ม อำเภอสีชมพู จังหวัดขอนแก่น 40220")</f>
        <v>357 หมู่ 10 ตำบลวังเพิ่ม อำเภอสีชมพู จังหวัดขอนแก่น 40220</v>
      </c>
      <c r="Y2041" s="3"/>
      <c r="Z2041" s="3" t="str">
        <f>IFERROR(__xludf.DUMMYFUNCTION("""COMPUTED_VALUE"""),"วังเพิ่ม")</f>
        <v>วังเพิ่ม</v>
      </c>
      <c r="AA2041" s="3" t="str">
        <f>IFERROR(__xludf.DUMMYFUNCTION("""COMPUTED_VALUE"""),"สีชมพู")</f>
        <v>สีชมพู</v>
      </c>
      <c r="AB2041" s="3" t="str">
        <f>IFERROR(__xludf.DUMMYFUNCTION("""COMPUTED_VALUE"""),"ขอนแก่น")</f>
        <v>ขอนแก่น</v>
      </c>
      <c r="AC2041" s="3">
        <f>IFERROR(__xludf.DUMMYFUNCTION("""COMPUTED_VALUE"""),40220.0)</f>
        <v>40220</v>
      </c>
      <c r="AD2041" s="3">
        <f>IFERROR(__xludf.DUMMYFUNCTION("""COMPUTED_VALUE"""),16.802456)</f>
        <v>16.802456</v>
      </c>
      <c r="AE2041" s="3">
        <f>IFERROR(__xludf.DUMMYFUNCTION("""COMPUTED_VALUE"""),102.183996)</f>
        <v>102.183996</v>
      </c>
      <c r="AF2041" s="3" t="str">
        <f>IFERROR(__xludf.DUMMYFUNCTION("""COMPUTED_VALUE"""),"BCM FC สีชมพู ขอนแก่น-31029")</f>
        <v>BCM FC สีชมพู ขอนแก่น-31029</v>
      </c>
      <c r="AG2041" s="3" t="str">
        <f>IFERROR(__xludf.DUMMYFUNCTION("""COMPUTED_VALUE"""),"ตะวันออกเฉียงเหนือ")</f>
        <v>ตะวันออกเฉียงเหนือ</v>
      </c>
      <c r="AH2041" s="3" t="str">
        <f>IFERROR(__xludf.DUMMYFUNCTION("""COMPUTED_VALUE"""),"#N/A")</f>
        <v>#N/A</v>
      </c>
      <c r="AI2041" s="3" t="str">
        <f>IFERROR(__xludf.DUMMYFUNCTION("""COMPUTED_VALUE"""),"Out of warranty")</f>
        <v>Out of warranty</v>
      </c>
      <c r="AJ2041" s="3">
        <f>IFERROR(__xludf.DUMMYFUNCTION("""COMPUTED_VALUE"""),109.0)</f>
        <v>109</v>
      </c>
      <c r="AK2041" s="3"/>
      <c r="AL2041" s="3"/>
    </row>
    <row r="2042" ht="15.75" customHeight="1">
      <c r="A2042" s="1" t="str">
        <f>IFERROR(__xludf.DUMMYFUNCTION("""COMPUTED_VALUE"""),"31030")</f>
        <v>31030</v>
      </c>
      <c r="B2042" s="2">
        <f>IFERROR(__xludf.DUMMYFUNCTION("""COMPUTED_VALUE"""),31030.0)</f>
        <v>31030</v>
      </c>
      <c r="C2042" s="3" t="str">
        <f>IFERROR(__xludf.DUMMYFUNCTION("""COMPUTED_VALUE"""),"MFC จอมบึง ราชบุรี")</f>
        <v>MFC จอมบึง ราชบุรี</v>
      </c>
      <c r="D2042" s="3" t="str">
        <f>IFERROR(__xludf.DUMMYFUNCTION("""COMPUTED_VALUE"""),"MFC JOMBUENG RATCHABURI")</f>
        <v>MFC JOMBUENG RATCHABURI</v>
      </c>
      <c r="E2042" s="1" t="str">
        <f>IFERROR(__xludf.DUMMYFUNCTION("""COMPUTED_VALUE"""),"บิ๊กซี MINI")</f>
        <v>บิ๊กซี MINI</v>
      </c>
      <c r="F2042" s="1" t="str">
        <f>IFERROR(__xludf.DUMMYFUNCTION("""COMPUTED_VALUE"""),"250760")</f>
        <v>250760</v>
      </c>
      <c r="G2042" s="1" t="str">
        <f>IFERROR(__xludf.DUMMYFUNCTION("""COMPUTED_VALUE"""),"นายประทวน สาราบรรณ์")</f>
        <v>นายประทวน สาราบรรณ์</v>
      </c>
      <c r="H2042" s="1" t="str">
        <f>IFERROR(__xludf.DUMMYFUNCTION("""COMPUTED_VALUE"""),"284752")</f>
        <v>284752</v>
      </c>
      <c r="I2042" s="1" t="str">
        <f>IFERROR(__xludf.DUMMYFUNCTION("""COMPUTED_VALUE"""),"น.ส.วีรนันท์ แสงใส")</f>
        <v>น.ส.วีรนันท์ แสงใส</v>
      </c>
      <c r="J2042" s="3">
        <f>IFERROR(__xludf.DUMMYFUNCTION("""COMPUTED_VALUE"""),295541.0)</f>
        <v>295541</v>
      </c>
      <c r="K2042" s="3" t="str">
        <f>IFERROR(__xludf.DUMMYFUNCTION("""COMPUTED_VALUE"""),"นายรพิพล ศรีมาตย์")</f>
        <v>นายรพิพล ศรีมาตย์</v>
      </c>
      <c r="L2042" s="1" t="str">
        <f>IFERROR(__xludf.DUMMYFUNCTION("""COMPUTED_VALUE"""),"นายรพิพล ศรีมาตย์")</f>
        <v>นายรพิพล ศรีมาตย์</v>
      </c>
      <c r="M2042" s="1" t="str">
        <f>IFERROR(__xludf.DUMMYFUNCTION("""COMPUTED_VALUE"""),"0613966115")</f>
        <v>0613966115</v>
      </c>
      <c r="N2042" s="3">
        <f>IFERROR(__xludf.DUMMYFUNCTION("""COMPUTED_VALUE"""),21175.0)</f>
        <v>21175</v>
      </c>
      <c r="O2042" s="3" t="str">
        <f>IFERROR(__xludf.DUMMYFUNCTION("""COMPUTED_VALUE"""),"MBC BCP กิ่งแก้ว")</f>
        <v>MBC BCP กิ่งแก้ว</v>
      </c>
      <c r="P2042" s="4">
        <f>IFERROR(__xludf.DUMMYFUNCTION("""COMPUTED_VALUE"""),42732.0)</f>
        <v>42732</v>
      </c>
      <c r="Q2042" s="3" t="str">
        <f>IFERROR(__xludf.DUMMYFUNCTION("""COMPUTED_VALUE"""),"I")</f>
        <v>I</v>
      </c>
      <c r="R2042" s="3" t="str">
        <f>IFERROR(__xludf.DUMMYFUNCTION("""COMPUTED_VALUE"""),"Small Format")</f>
        <v>Small Format</v>
      </c>
      <c r="S2042" s="3" t="str">
        <f>IFERROR(__xludf.DUMMYFUNCTION("""COMPUTED_VALUE"""),"BCM(FC)")</f>
        <v>BCM(FC)</v>
      </c>
      <c r="T2042" s="3" t="str">
        <f>IFERROR(__xludf.DUMMYFUNCTION("""COMPUTED_VALUE"""),"#N/A")</f>
        <v>#N/A</v>
      </c>
      <c r="U2042" s="3" t="str">
        <f>IFERROR(__xludf.DUMMYFUNCTION("""COMPUTED_VALUE"""),"#N/A")</f>
        <v>#N/A</v>
      </c>
      <c r="V2042" s="3" t="str">
        <f>IFERROR(__xludf.DUMMYFUNCTION("""COMPUTED_VALUE"""),"Y")</f>
        <v>Y</v>
      </c>
      <c r="W2042" s="3">
        <f>IFERROR(__xludf.DUMMYFUNCTION("""COMPUTED_VALUE"""),811068.0)</f>
        <v>811068</v>
      </c>
      <c r="X2042" s="3" t="str">
        <f>IFERROR(__xludf.DUMMYFUNCTION("""COMPUTED_VALUE"""),"33/4 หมู่ 12 ตำบลจอมบึง อำเภอจอมบึง จังหวัดราชบุรี 70150")</f>
        <v>33/4 หมู่ 12 ตำบลจอมบึง อำเภอจอมบึง จังหวัดราชบุรี 70150</v>
      </c>
      <c r="Y2042" s="3"/>
      <c r="Z2042" s="3" t="str">
        <f>IFERROR(__xludf.DUMMYFUNCTION("""COMPUTED_VALUE"""),"จอมบึง")</f>
        <v>จอมบึง</v>
      </c>
      <c r="AA2042" s="3" t="str">
        <f>IFERROR(__xludf.DUMMYFUNCTION("""COMPUTED_VALUE"""),"จอมบึง")</f>
        <v>จอมบึง</v>
      </c>
      <c r="AB2042" s="3" t="str">
        <f>IFERROR(__xludf.DUMMYFUNCTION("""COMPUTED_VALUE"""),"ราชบุรี")</f>
        <v>ราชบุรี</v>
      </c>
      <c r="AC2042" s="3">
        <f>IFERROR(__xludf.DUMMYFUNCTION("""COMPUTED_VALUE"""),70150.0)</f>
        <v>70150</v>
      </c>
      <c r="AD2042" s="3">
        <f>IFERROR(__xludf.DUMMYFUNCTION("""COMPUTED_VALUE"""),13.63056)</f>
        <v>13.63056</v>
      </c>
      <c r="AE2042" s="3">
        <f>IFERROR(__xludf.DUMMYFUNCTION("""COMPUTED_VALUE"""),99.602751)</f>
        <v>99.602751</v>
      </c>
      <c r="AF2042" s="3" t="str">
        <f>IFERROR(__xludf.DUMMYFUNCTION("""COMPUTED_VALUE"""),"MFC จอมบึง ราชบุรี-31030")</f>
        <v>MFC จอมบึง ราชบุรี-31030</v>
      </c>
      <c r="AG2042" s="3" t="str">
        <f>IFERROR(__xludf.DUMMYFUNCTION("""COMPUTED_VALUE"""),"ตะวันตก")</f>
        <v>ตะวันตก</v>
      </c>
      <c r="AH2042" s="3" t="str">
        <f>IFERROR(__xludf.DUMMYFUNCTION("""COMPUTED_VALUE"""),"#N/A")</f>
        <v>#N/A</v>
      </c>
      <c r="AI2042" s="3" t="str">
        <f>IFERROR(__xludf.DUMMYFUNCTION("""COMPUTED_VALUE"""),"Out of warranty")</f>
        <v>Out of warranty</v>
      </c>
      <c r="AJ2042" s="3">
        <f>IFERROR(__xludf.DUMMYFUNCTION("""COMPUTED_VALUE"""),109.0)</f>
        <v>109</v>
      </c>
      <c r="AK2042" s="3"/>
      <c r="AL2042" s="3"/>
    </row>
    <row r="2043" ht="15.75" customHeight="1">
      <c r="A2043" s="1" t="str">
        <f>IFERROR(__xludf.DUMMYFUNCTION("""COMPUTED_VALUE"""),"31031")</f>
        <v>31031</v>
      </c>
      <c r="B2043" s="2">
        <f>IFERROR(__xludf.DUMMYFUNCTION("""COMPUTED_VALUE"""),31031.0)</f>
        <v>31031</v>
      </c>
      <c r="C2043" s="3" t="str">
        <f>IFERROR(__xludf.DUMMYFUNCTION("""COMPUTED_VALUE"""),"MFC เชลล์ พัฒนานิคม")</f>
        <v>MFC เชลล์ พัฒนานิคม</v>
      </c>
      <c r="D2043" s="3" t="str">
        <f>IFERROR(__xludf.DUMMYFUNCTION("""COMPUTED_VALUE"""),"MFC SHELL PATTANANIKOM")</f>
        <v>MFC SHELL PATTANANIKOM</v>
      </c>
      <c r="E2043" s="1" t="str">
        <f>IFERROR(__xludf.DUMMYFUNCTION("""COMPUTED_VALUE"""),"บิ๊กซี MINI")</f>
        <v>บิ๊กซี MINI</v>
      </c>
      <c r="F2043" s="1" t="str">
        <f>IFERROR(__xludf.DUMMYFUNCTION("""COMPUTED_VALUE"""),"296229")</f>
        <v>296229</v>
      </c>
      <c r="G2043" s="1" t="str">
        <f>IFERROR(__xludf.DUMMYFUNCTION("""COMPUTED_VALUE"""),"นายทนงศักดิ์ บุญมา")</f>
        <v>นายทนงศักดิ์ บุญมา</v>
      </c>
      <c r="H2043" s="1" t="str">
        <f>IFERROR(__xludf.DUMMYFUNCTION("""COMPUTED_VALUE"""),"291082")</f>
        <v>291082</v>
      </c>
      <c r="I2043" s="1" t="str">
        <f>IFERROR(__xludf.DUMMYFUNCTION("""COMPUTED_VALUE"""),"น.ส.วจี กันเกตุ")</f>
        <v>น.ส.วจี กันเกตุ</v>
      </c>
      <c r="J2043" s="1" t="str">
        <f>IFERROR(__xludf.DUMMYFUNCTION("""COMPUTED_VALUE"""),"046214")</f>
        <v>046214</v>
      </c>
      <c r="K2043" s="3" t="str">
        <f>IFERROR(__xludf.DUMMYFUNCTION("""COMPUTED_VALUE"""),"นายศักดิ์ชัย เด็ดดอกฟ้า")</f>
        <v>นายศักดิ์ชัย เด็ดดอกฟ้า</v>
      </c>
      <c r="L2043" s="1" t="str">
        <f>IFERROR(__xludf.DUMMYFUNCTION("""COMPUTED_VALUE"""),"02 K.Sakchai D")</f>
        <v>02 K.Sakchai D</v>
      </c>
      <c r="M2043" s="1" t="str">
        <f>IFERROR(__xludf.DUMMYFUNCTION("""COMPUTED_VALUE"""),"065-510-7376")</f>
        <v>065-510-7376</v>
      </c>
      <c r="N2043" s="3">
        <f>IFERROR(__xludf.DUMMYFUNCTION("""COMPUTED_VALUE"""),21441.0)</f>
        <v>21441</v>
      </c>
      <c r="O2043" s="3" t="str">
        <f>IFERROR(__xludf.DUMMYFUNCTION("""COMPUTED_VALUE"""),"MBC บ้านกร่าง พิษณุโลก")</f>
        <v>MBC บ้านกร่าง พิษณุโลก</v>
      </c>
      <c r="P2043" s="4">
        <f>IFERROR(__xludf.DUMMYFUNCTION("""COMPUTED_VALUE"""),42723.0)</f>
        <v>42723</v>
      </c>
      <c r="Q2043" s="3" t="str">
        <f>IFERROR(__xludf.DUMMYFUNCTION("""COMPUTED_VALUE"""),"I")</f>
        <v>I</v>
      </c>
      <c r="R2043" s="3" t="str">
        <f>IFERROR(__xludf.DUMMYFUNCTION("""COMPUTED_VALUE"""),"Small Format")</f>
        <v>Small Format</v>
      </c>
      <c r="S2043" s="3" t="str">
        <f>IFERROR(__xludf.DUMMYFUNCTION("""COMPUTED_VALUE"""),"BCM(FC)")</f>
        <v>BCM(FC)</v>
      </c>
      <c r="T2043" s="3" t="str">
        <f>IFERROR(__xludf.DUMMYFUNCTION("""COMPUTED_VALUE"""),"#N/A")</f>
        <v>#N/A</v>
      </c>
      <c r="U2043" s="3" t="str">
        <f>IFERROR(__xludf.DUMMYFUNCTION("""COMPUTED_VALUE"""),"#N/A")</f>
        <v>#N/A</v>
      </c>
      <c r="V2043" s="3" t="str">
        <f>IFERROR(__xludf.DUMMYFUNCTION("""COMPUTED_VALUE"""),"Y")</f>
        <v>Y</v>
      </c>
      <c r="W2043" s="3">
        <f>IFERROR(__xludf.DUMMYFUNCTION("""COMPUTED_VALUE"""),811032.0)</f>
        <v>811032</v>
      </c>
      <c r="X2043" s="3" t="str">
        <f>IFERROR(__xludf.DUMMYFUNCTION("""COMPUTED_VALUE"""),"214 หมู่ 1 ตำบลดีลัง อำเภอพัฒนานิคม จังหวัดลพบุรี 15220")</f>
        <v>214 หมู่ 1 ตำบลดีลัง อำเภอพัฒนานิคม จังหวัดลพบุรี 15220</v>
      </c>
      <c r="Y2043" s="3"/>
      <c r="Z2043" s="3" t="str">
        <f>IFERROR(__xludf.DUMMYFUNCTION("""COMPUTED_VALUE"""),"ดีลัง")</f>
        <v>ดีลัง</v>
      </c>
      <c r="AA2043" s="3" t="str">
        <f>IFERROR(__xludf.DUMMYFUNCTION("""COMPUTED_VALUE"""),"พัฒนานิคม")</f>
        <v>พัฒนานิคม</v>
      </c>
      <c r="AB2043" s="3" t="str">
        <f>IFERROR(__xludf.DUMMYFUNCTION("""COMPUTED_VALUE"""),"ลพบุรี")</f>
        <v>ลพบุรี</v>
      </c>
      <c r="AC2043" s="3">
        <f>IFERROR(__xludf.DUMMYFUNCTION("""COMPUTED_VALUE"""),15220.0)</f>
        <v>15220</v>
      </c>
      <c r="AD2043" s="3">
        <f>IFERROR(__xludf.DUMMYFUNCTION("""COMPUTED_VALUE"""),14.841591)</f>
        <v>14.841591</v>
      </c>
      <c r="AE2043" s="3">
        <f>IFERROR(__xludf.DUMMYFUNCTION("""COMPUTED_VALUE"""),100.910606)</f>
        <v>100.910606</v>
      </c>
      <c r="AF2043" s="3" t="str">
        <f>IFERROR(__xludf.DUMMYFUNCTION("""COMPUTED_VALUE"""),"MFC เชลล์ พัฒนานิคม-31031")</f>
        <v>MFC เชลล์ พัฒนานิคม-31031</v>
      </c>
      <c r="AG2043" s="3" t="str">
        <f>IFERROR(__xludf.DUMMYFUNCTION("""COMPUTED_VALUE"""),"กลาง")</f>
        <v>กลาง</v>
      </c>
      <c r="AH2043" s="3" t="str">
        <f>IFERROR(__xludf.DUMMYFUNCTION("""COMPUTED_VALUE"""),"#N/A")</f>
        <v>#N/A</v>
      </c>
      <c r="AI2043" s="3" t="str">
        <f>IFERROR(__xludf.DUMMYFUNCTION("""COMPUTED_VALUE"""),"Out of warranty")</f>
        <v>Out of warranty</v>
      </c>
      <c r="AJ2043" s="3">
        <f>IFERROR(__xludf.DUMMYFUNCTION("""COMPUTED_VALUE"""),110.0)</f>
        <v>110</v>
      </c>
      <c r="AK2043" s="3"/>
      <c r="AL2043" s="3"/>
    </row>
    <row r="2044" ht="15.75" customHeight="1">
      <c r="A2044" s="1" t="str">
        <f>IFERROR(__xludf.DUMMYFUNCTION("""COMPUTED_VALUE"""),"31032")</f>
        <v>31032</v>
      </c>
      <c r="B2044" s="2">
        <f>IFERROR(__xludf.DUMMYFUNCTION("""COMPUTED_VALUE"""),31032.0)</f>
        <v>31032</v>
      </c>
      <c r="C2044" s="3" t="str">
        <f>IFERROR(__xludf.DUMMYFUNCTION("""COMPUTED_VALUE"""),"BCM FC หนองบัวแดง อุดรธานี")</f>
        <v>BCM FC หนองบัวแดง อุดรธานี</v>
      </c>
      <c r="D2044" s="3" t="str">
        <f>IFERROR(__xludf.DUMMYFUNCTION("""COMPUTED_VALUE"""),"BCM NONG BUA DAENG(UDONTHANI)")</f>
        <v>BCM NONG BUA DAENG(UDONTHANI)</v>
      </c>
      <c r="E2044" s="1" t="str">
        <f>IFERROR(__xludf.DUMMYFUNCTION("""COMPUTED_VALUE"""),"บิ๊กซี MINI")</f>
        <v>บิ๊กซี MINI</v>
      </c>
      <c r="F2044" s="1" t="str">
        <f>IFERROR(__xludf.DUMMYFUNCTION("""COMPUTED_VALUE"""),"291105")</f>
        <v>291105</v>
      </c>
      <c r="G2044" s="1" t="str">
        <f>IFERROR(__xludf.DUMMYFUNCTION("""COMPUTED_VALUE"""),"นายสราวุฒิ พณิชยกุล")</f>
        <v>นายสราวุฒิ พณิชยกุล</v>
      </c>
      <c r="H2044" s="1" t="str">
        <f>IFERROR(__xludf.DUMMYFUNCTION("""COMPUTED_VALUE"""),"392005")</f>
        <v>392005</v>
      </c>
      <c r="I2044" s="1" t="str">
        <f>IFERROR(__xludf.DUMMYFUNCTION("""COMPUTED_VALUE"""),"นายรัฐพล หาญลำยวง")</f>
        <v>นายรัฐพล หาญลำยวง</v>
      </c>
      <c r="J2044" s="3">
        <f>IFERROR(__xludf.DUMMYFUNCTION("""COMPUTED_VALUE"""),296868.0)</f>
        <v>296868</v>
      </c>
      <c r="K2044" s="3" t="str">
        <f>IFERROR(__xludf.DUMMYFUNCTION("""COMPUTED_VALUE"""),"นายพีระพงษ์ แก้วดวงดี")</f>
        <v>นายพีระพงษ์ แก้วดวงดี</v>
      </c>
      <c r="L2044" s="1" t="str">
        <f>IFERROR(__xludf.DUMMYFUNCTION("""COMPUTED_VALUE"""),"03 K.Peerapong K.")</f>
        <v>03 K.Peerapong K.</v>
      </c>
      <c r="M2044" s="1" t="str">
        <f>IFERROR(__xludf.DUMMYFUNCTION("""COMPUTED_VALUE"""),"089-002-6599")</f>
        <v>089-002-6599</v>
      </c>
      <c r="N2044" s="3">
        <f>IFERROR(__xludf.DUMMYFUNCTION("""COMPUTED_VALUE"""),21946.0)</f>
        <v>21946</v>
      </c>
      <c r="O2044" s="3" t="str">
        <f>IFERROR(__xludf.DUMMYFUNCTION("""COMPUTED_VALUE"""),"MBC เซกา บึงกาฬ")</f>
        <v>MBC เซกา บึงกาฬ</v>
      </c>
      <c r="P2044" s="4">
        <f>IFERROR(__xludf.DUMMYFUNCTION("""COMPUTED_VALUE"""),42727.0)</f>
        <v>42727</v>
      </c>
      <c r="Q2044" s="3" t="str">
        <f>IFERROR(__xludf.DUMMYFUNCTION("""COMPUTED_VALUE"""),"A")</f>
        <v>A</v>
      </c>
      <c r="R2044" s="3" t="str">
        <f>IFERROR(__xludf.DUMMYFUNCTION("""COMPUTED_VALUE"""),"Small Format")</f>
        <v>Small Format</v>
      </c>
      <c r="S2044" s="3" t="str">
        <f>IFERROR(__xludf.DUMMYFUNCTION("""COMPUTED_VALUE"""),"BCM(FC)")</f>
        <v>BCM(FC)</v>
      </c>
      <c r="T2044" s="3" t="str">
        <f>IFERROR(__xludf.DUMMYFUNCTION("""COMPUTED_VALUE"""),"#N/A")</f>
        <v>#N/A</v>
      </c>
      <c r="U2044" s="3" t="str">
        <f>IFERROR(__xludf.DUMMYFUNCTION("""COMPUTED_VALUE"""),"#N/A")</f>
        <v>#N/A</v>
      </c>
      <c r="V2044" s="3" t="str">
        <f>IFERROR(__xludf.DUMMYFUNCTION("""COMPUTED_VALUE"""),"Y")</f>
        <v>Y</v>
      </c>
      <c r="W2044" s="3">
        <f>IFERROR(__xludf.DUMMYFUNCTION("""COMPUTED_VALUE"""),811079.0)</f>
        <v>811079</v>
      </c>
      <c r="X2044" s="3" t="str">
        <f>IFERROR(__xludf.DUMMYFUNCTION("""COMPUTED_VALUE"""),"7/2 หมู่ 12 ตำบลแชแล อำเภอกุมภวาปี จังหวัดอุดรธานี 41110")</f>
        <v>7/2 หมู่ 12 ตำบลแชแล อำเภอกุมภวาปี จังหวัดอุดรธานี 41110</v>
      </c>
      <c r="Y2044" s="3"/>
      <c r="Z2044" s="3" t="str">
        <f>IFERROR(__xludf.DUMMYFUNCTION("""COMPUTED_VALUE"""),"แชแล")</f>
        <v>แชแล</v>
      </c>
      <c r="AA2044" s="3" t="str">
        <f>IFERROR(__xludf.DUMMYFUNCTION("""COMPUTED_VALUE"""),"กุมภวาปี")</f>
        <v>กุมภวาปี</v>
      </c>
      <c r="AB2044" s="3" t="str">
        <f>IFERROR(__xludf.DUMMYFUNCTION("""COMPUTED_VALUE"""),"อุดรธานี")</f>
        <v>อุดรธานี</v>
      </c>
      <c r="AC2044" s="3">
        <f>IFERROR(__xludf.DUMMYFUNCTION("""COMPUTED_VALUE"""),41110.0)</f>
        <v>41110</v>
      </c>
      <c r="AD2044" s="3">
        <f>IFERROR(__xludf.DUMMYFUNCTION("""COMPUTED_VALUE"""),17.12773)</f>
        <v>17.12773</v>
      </c>
      <c r="AE2044" s="3">
        <f>IFERROR(__xludf.DUMMYFUNCTION("""COMPUTED_VALUE"""),103.03313)</f>
        <v>103.03313</v>
      </c>
      <c r="AF2044" s="3" t="str">
        <f>IFERROR(__xludf.DUMMYFUNCTION("""COMPUTED_VALUE"""),"BCM FC หนองบัวแดง อุดรธานี-31032")</f>
        <v>BCM FC หนองบัวแดง อุดรธานี-31032</v>
      </c>
      <c r="AG2044" s="3" t="str">
        <f>IFERROR(__xludf.DUMMYFUNCTION("""COMPUTED_VALUE"""),"ตะวันออกเฉียงเหนือ")</f>
        <v>ตะวันออกเฉียงเหนือ</v>
      </c>
      <c r="AH2044" s="3" t="str">
        <f>IFERROR(__xludf.DUMMYFUNCTION("""COMPUTED_VALUE"""),"#N/A")</f>
        <v>#N/A</v>
      </c>
      <c r="AI2044" s="3" t="str">
        <f>IFERROR(__xludf.DUMMYFUNCTION("""COMPUTED_VALUE"""),"Out of warranty")</f>
        <v>Out of warranty</v>
      </c>
      <c r="AJ2044" s="3">
        <f>IFERROR(__xludf.DUMMYFUNCTION("""COMPUTED_VALUE"""),109.0)</f>
        <v>109</v>
      </c>
      <c r="AK2044" s="3"/>
      <c r="AL2044" s="3"/>
    </row>
    <row r="2045" ht="15.75" customHeight="1">
      <c r="A2045" s="1" t="str">
        <f>IFERROR(__xludf.DUMMYFUNCTION("""COMPUTED_VALUE"""),"31033")</f>
        <v>31033</v>
      </c>
      <c r="B2045" s="2">
        <f>IFERROR(__xludf.DUMMYFUNCTION("""COMPUTED_VALUE"""),31033.0)</f>
        <v>31033</v>
      </c>
      <c r="C2045" s="3" t="str">
        <f>IFERROR(__xludf.DUMMYFUNCTION("""COMPUTED_VALUE"""),"BCM FC หน้า รร.จปร. นครนายก")</f>
        <v>BCM FC หน้า รร.จปร. นครนายก</v>
      </c>
      <c r="D2045" s="3" t="str">
        <f>IFERROR(__xludf.DUMMYFUNCTION("""COMPUTED_VALUE"""),"BCM JORPORROR SCHOOL")</f>
        <v>BCM JORPORROR SCHOOL</v>
      </c>
      <c r="E2045" s="1" t="str">
        <f>IFERROR(__xludf.DUMMYFUNCTION("""COMPUTED_VALUE"""),"บิ๊กซี MINI")</f>
        <v>บิ๊กซี MINI</v>
      </c>
      <c r="F2045" s="1" t="str">
        <f>IFERROR(__xludf.DUMMYFUNCTION("""COMPUTED_VALUE"""),"2083447")</f>
        <v>2083447</v>
      </c>
      <c r="G2045" s="1" t="str">
        <f>IFERROR(__xludf.DUMMYFUNCTION("""COMPUTED_VALUE"""),"นายอนุกูล ศรีลัดดา")</f>
        <v>นายอนุกูล ศรีลัดดา</v>
      </c>
      <c r="H2045" s="1" t="str">
        <f>IFERROR(__xludf.DUMMYFUNCTION("""COMPUTED_VALUE"""),"254957")</f>
        <v>254957</v>
      </c>
      <c r="I2045" s="1" t="str">
        <f>IFERROR(__xludf.DUMMYFUNCTION("""COMPUTED_VALUE"""),"น.ส.ศิริพร รุ่งธัญญา")</f>
        <v>น.ส.ศิริพร รุ่งธัญญา</v>
      </c>
      <c r="J2045" s="3">
        <f>IFERROR(__xludf.DUMMYFUNCTION("""COMPUTED_VALUE"""),2451655.0)</f>
        <v>2451655</v>
      </c>
      <c r="K2045" s="3" t="str">
        <f>IFERROR(__xludf.DUMMYFUNCTION("""COMPUTED_VALUE"""),"นายวิษณุพงษ์ ชินบุตร")</f>
        <v>นายวิษณุพงษ์ ชินบุตร</v>
      </c>
      <c r="L2045" s="1" t="str">
        <f>IFERROR(__xludf.DUMMYFUNCTION("""COMPUTED_VALUE"""),"13 K.Wisanupong Ch")</f>
        <v>13 K.Wisanupong Ch</v>
      </c>
      <c r="M2045" s="1" t="str">
        <f>IFERROR(__xludf.DUMMYFUNCTION("""COMPUTED_VALUE"""),"0843374693")</f>
        <v>0843374693</v>
      </c>
      <c r="N2045" s="3">
        <f>IFERROR(__xludf.DUMMYFUNCTION("""COMPUTED_VALUE"""),21013.0)</f>
        <v>21013</v>
      </c>
      <c r="O2045" s="3" t="str">
        <f>IFERROR(__xludf.DUMMYFUNCTION("""COMPUTED_VALUE"""),"MBC รังสิตคลอง2")</f>
        <v>MBC รังสิตคลอง2</v>
      </c>
      <c r="P2045" s="4">
        <f>IFERROR(__xludf.DUMMYFUNCTION("""COMPUTED_VALUE"""),42732.0)</f>
        <v>42732</v>
      </c>
      <c r="Q2045" s="3" t="str">
        <f>IFERROR(__xludf.DUMMYFUNCTION("""COMPUTED_VALUE"""),"I")</f>
        <v>I</v>
      </c>
      <c r="R2045" s="3" t="str">
        <f>IFERROR(__xludf.DUMMYFUNCTION("""COMPUTED_VALUE"""),"Small Format")</f>
        <v>Small Format</v>
      </c>
      <c r="S2045" s="3" t="str">
        <f>IFERROR(__xludf.DUMMYFUNCTION("""COMPUTED_VALUE"""),"BCM(FC)")</f>
        <v>BCM(FC)</v>
      </c>
      <c r="T2045" s="3" t="str">
        <f>IFERROR(__xludf.DUMMYFUNCTION("""COMPUTED_VALUE"""),"#N/A")</f>
        <v>#N/A</v>
      </c>
      <c r="U2045" s="3" t="str">
        <f>IFERROR(__xludf.DUMMYFUNCTION("""COMPUTED_VALUE"""),"#N/A")</f>
        <v>#N/A</v>
      </c>
      <c r="V2045" s="3" t="str">
        <f>IFERROR(__xludf.DUMMYFUNCTION("""COMPUTED_VALUE"""),"Y")</f>
        <v>Y</v>
      </c>
      <c r="W2045" s="3">
        <f>IFERROR(__xludf.DUMMYFUNCTION("""COMPUTED_VALUE"""),811029.0)</f>
        <v>811029</v>
      </c>
      <c r="X2045" s="3" t="str">
        <f>IFERROR(__xludf.DUMMYFUNCTION("""COMPUTED_VALUE"""),"22 หมู่ 4 ตำบลพรหมณี อำเภอเมืองนครนายก จังหวัดนครนายก 26000")</f>
        <v>22 หมู่ 4 ตำบลพรหมณี อำเภอเมืองนครนายก จังหวัดนครนายก 26000</v>
      </c>
      <c r="Y2045" s="3"/>
      <c r="Z2045" s="3" t="str">
        <f>IFERROR(__xludf.DUMMYFUNCTION("""COMPUTED_VALUE"""),"พรหมณี")</f>
        <v>พรหมณี</v>
      </c>
      <c r="AA2045" s="3" t="str">
        <f>IFERROR(__xludf.DUMMYFUNCTION("""COMPUTED_VALUE"""),"เมือง")</f>
        <v>เมือง</v>
      </c>
      <c r="AB2045" s="3" t="str">
        <f>IFERROR(__xludf.DUMMYFUNCTION("""COMPUTED_VALUE"""),"กรุงเทพมหานคร")</f>
        <v>กรุงเทพมหานคร</v>
      </c>
      <c r="AC2045" s="3">
        <f>IFERROR(__xludf.DUMMYFUNCTION("""COMPUTED_VALUE"""),26000.0)</f>
        <v>26000</v>
      </c>
      <c r="AD2045" s="3">
        <f>IFERROR(__xludf.DUMMYFUNCTION("""COMPUTED_VALUE"""),14.276755)</f>
        <v>14.276755</v>
      </c>
      <c r="AE2045" s="3">
        <f>IFERROR(__xludf.DUMMYFUNCTION("""COMPUTED_VALUE"""),101.16257)</f>
        <v>101.16257</v>
      </c>
      <c r="AF2045" s="3" t="str">
        <f>IFERROR(__xludf.DUMMYFUNCTION("""COMPUTED_VALUE"""),"BCM FC หน้า รร.จปร. นครนายก-31033")</f>
        <v>BCM FC หน้า รร.จปร. นครนายก-31033</v>
      </c>
      <c r="AG2045" s="3" t="str">
        <f>IFERROR(__xludf.DUMMYFUNCTION("""COMPUTED_VALUE"""),"กลาง")</f>
        <v>กลาง</v>
      </c>
      <c r="AH2045" s="3" t="str">
        <f>IFERROR(__xludf.DUMMYFUNCTION("""COMPUTED_VALUE"""),"#N/A")</f>
        <v>#N/A</v>
      </c>
      <c r="AI2045" s="3" t="str">
        <f>IFERROR(__xludf.DUMMYFUNCTION("""COMPUTED_VALUE"""),"Out of warranty")</f>
        <v>Out of warranty</v>
      </c>
      <c r="AJ2045" s="3">
        <f>IFERROR(__xludf.DUMMYFUNCTION("""COMPUTED_VALUE"""),109.0)</f>
        <v>109</v>
      </c>
      <c r="AK2045" s="3"/>
      <c r="AL2045" s="3"/>
    </row>
    <row r="2046" ht="15.75" customHeight="1">
      <c r="A2046" s="1" t="str">
        <f>IFERROR(__xludf.DUMMYFUNCTION("""COMPUTED_VALUE"""),"31034")</f>
        <v>31034</v>
      </c>
      <c r="B2046" s="2">
        <f>IFERROR(__xludf.DUMMYFUNCTION("""COMPUTED_VALUE"""),31034.0)</f>
        <v>31034</v>
      </c>
      <c r="C2046" s="3" t="str">
        <f>IFERROR(__xludf.DUMMYFUNCTION("""COMPUTED_VALUE"""),"MFC เทียนทะเล ซอย 7")</f>
        <v>MFC เทียนทะเล ซอย 7</v>
      </c>
      <c r="D2046" s="3" t="str">
        <f>IFERROR(__xludf.DUMMYFUNCTION("""COMPUTED_VALUE"""),"MFC SIWAWONG(1)")</f>
        <v>MFC SIWAWONG(1)</v>
      </c>
      <c r="E2046" s="1" t="str">
        <f>IFERROR(__xludf.DUMMYFUNCTION("""COMPUTED_VALUE"""),"บิ๊กซี MINI")</f>
        <v>บิ๊กซี MINI</v>
      </c>
      <c r="F2046" s="1" t="str">
        <f>IFERROR(__xludf.DUMMYFUNCTION("""COMPUTED_VALUE"""),"291008")</f>
        <v>291008</v>
      </c>
      <c r="G2046" s="1" t="str">
        <f>IFERROR(__xludf.DUMMYFUNCTION("""COMPUTED_VALUE"""),"น.ส.รัชดาพร อีศรัตน์")</f>
        <v>น.ส.รัชดาพร อีศรัตน์</v>
      </c>
      <c r="H2046" s="1" t="str">
        <f>IFERROR(__xludf.DUMMYFUNCTION("""COMPUTED_VALUE"""),"034068")</f>
        <v>034068</v>
      </c>
      <c r="I2046" s="1" t="str">
        <f>IFERROR(__xludf.DUMMYFUNCTION("""COMPUTED_VALUE"""),"นายสมศักดิ์ ฐานทองดี")</f>
        <v>นายสมศักดิ์ ฐานทองดี</v>
      </c>
      <c r="J2046" s="3">
        <f>IFERROR(__xludf.DUMMYFUNCTION("""COMPUTED_VALUE"""),3510104.0)</f>
        <v>3510104</v>
      </c>
      <c r="K2046" s="3" t="str">
        <f>IFERROR(__xludf.DUMMYFUNCTION("""COMPUTED_VALUE"""),"นายวิโรจน์ อับดุลสมัด")</f>
        <v>นายวิโรจน์ อับดุลสมัด</v>
      </c>
      <c r="L2046" s="1" t="str">
        <f>IFERROR(__xludf.DUMMYFUNCTION("""COMPUTED_VALUE"""),"09 K.Wirode A")</f>
        <v>09 K.Wirode A</v>
      </c>
      <c r="M2046" s="1" t="str">
        <f>IFERROR(__xludf.DUMMYFUNCTION("""COMPUTED_VALUE"""),"080-235-4465")</f>
        <v>080-235-4465</v>
      </c>
      <c r="N2046" s="3">
        <f>IFERROR(__xludf.DUMMYFUNCTION("""COMPUTED_VALUE"""),21324.0)</f>
        <v>21324</v>
      </c>
      <c r="O2046" s="3" t="str">
        <f>IFERROR(__xludf.DUMMYFUNCTION("""COMPUTED_VALUE"""),"MBC BCP สุวินทวงศ์")</f>
        <v>MBC BCP สุวินทวงศ์</v>
      </c>
      <c r="P2046" s="4">
        <f>IFERROR(__xludf.DUMMYFUNCTION("""COMPUTED_VALUE"""),42728.0)</f>
        <v>42728</v>
      </c>
      <c r="Q2046" s="3" t="str">
        <f>IFERROR(__xludf.DUMMYFUNCTION("""COMPUTED_VALUE"""),"I")</f>
        <v>I</v>
      </c>
      <c r="R2046" s="3" t="str">
        <f>IFERROR(__xludf.DUMMYFUNCTION("""COMPUTED_VALUE"""),"Small Format")</f>
        <v>Small Format</v>
      </c>
      <c r="S2046" s="3" t="str">
        <f>IFERROR(__xludf.DUMMYFUNCTION("""COMPUTED_VALUE"""),"BCM(FC)")</f>
        <v>BCM(FC)</v>
      </c>
      <c r="T2046" s="3" t="str">
        <f>IFERROR(__xludf.DUMMYFUNCTION("""COMPUTED_VALUE"""),"#N/A")</f>
        <v>#N/A</v>
      </c>
      <c r="U2046" s="3" t="str">
        <f>IFERROR(__xludf.DUMMYFUNCTION("""COMPUTED_VALUE"""),"#N/A")</f>
        <v>#N/A</v>
      </c>
      <c r="V2046" s="3" t="str">
        <f>IFERROR(__xludf.DUMMYFUNCTION("""COMPUTED_VALUE"""),"Y")</f>
        <v>Y</v>
      </c>
      <c r="W2046" s="3">
        <f>IFERROR(__xludf.DUMMYFUNCTION("""COMPUTED_VALUE"""),0.0)</f>
        <v>0</v>
      </c>
      <c r="X2046" s="3" t="str">
        <f>IFERROR(__xludf.DUMMYFUNCTION("""COMPUTED_VALUE"""),"23/5 ซอยเทียนทะเล7 ถนนบางขุนเทียน-ชายทะเล ตำบลแสมดำ อำเภอบางขุนเทียน กรุงเทพมหานคร 10150")</f>
        <v>23/5 ซอยเทียนทะเล7 ถนนบางขุนเทียน-ชายทะเล ตำบลแสมดำ อำเภอบางขุนเทียน กรุงเทพมหานคร 10150</v>
      </c>
      <c r="Y2046" s="3" t="str">
        <f>IFERROR(__xludf.DUMMYFUNCTION("""COMPUTED_VALUE"""),"ซอยเทียนทะเล7")</f>
        <v>ซอยเทียนทะเล7</v>
      </c>
      <c r="Z2046" s="3" t="str">
        <f>IFERROR(__xludf.DUMMYFUNCTION("""COMPUTED_VALUE"""),"แสมดำ")</f>
        <v>แสมดำ</v>
      </c>
      <c r="AA2046" s="3" t="str">
        <f>IFERROR(__xludf.DUMMYFUNCTION("""COMPUTED_VALUE"""),"บางขุนเทียน")</f>
        <v>บางขุนเทียน</v>
      </c>
      <c r="AB2046" s="3" t="str">
        <f>IFERROR(__xludf.DUMMYFUNCTION("""COMPUTED_VALUE"""),"กรุงเทพมหานคร")</f>
        <v>กรุงเทพมหานคร</v>
      </c>
      <c r="AC2046" s="3">
        <f>IFERROR(__xludf.DUMMYFUNCTION("""COMPUTED_VALUE"""),10150.0)</f>
        <v>10150</v>
      </c>
      <c r="AD2046" s="3" t="str">
        <f>IFERROR(__xludf.DUMMYFUNCTION("""COMPUTED_VALUE"""),"#N/A")</f>
        <v>#N/A</v>
      </c>
      <c r="AE2046" s="3" t="str">
        <f>IFERROR(__xludf.DUMMYFUNCTION("""COMPUTED_VALUE"""),"#N/A")</f>
        <v>#N/A</v>
      </c>
      <c r="AF2046" s="3" t="str">
        <f>IFERROR(__xludf.DUMMYFUNCTION("""COMPUTED_VALUE"""),"MFC เทียนทะเล ซอย 7-31034")</f>
        <v>MFC เทียนทะเล ซอย 7-31034</v>
      </c>
      <c r="AG2046" s="3" t="str">
        <f>IFERROR(__xludf.DUMMYFUNCTION("""COMPUTED_VALUE"""),"กลาง")</f>
        <v>กลาง</v>
      </c>
      <c r="AH2046" s="3" t="str">
        <f>IFERROR(__xludf.DUMMYFUNCTION("""COMPUTED_VALUE"""),"#N/A")</f>
        <v>#N/A</v>
      </c>
      <c r="AI2046" s="3" t="str">
        <f>IFERROR(__xludf.DUMMYFUNCTION("""COMPUTED_VALUE"""),"Out of warranty")</f>
        <v>Out of warranty</v>
      </c>
      <c r="AJ2046" s="3">
        <f>IFERROR(__xludf.DUMMYFUNCTION("""COMPUTED_VALUE"""),109.0)</f>
        <v>109</v>
      </c>
      <c r="AK2046" s="3"/>
      <c r="AL2046" s="3"/>
    </row>
    <row r="2047" ht="15.75" customHeight="1">
      <c r="A2047" s="1" t="str">
        <f>IFERROR(__xludf.DUMMYFUNCTION("""COMPUTED_VALUE"""),"31035")</f>
        <v>31035</v>
      </c>
      <c r="B2047" s="2">
        <f>IFERROR(__xludf.DUMMYFUNCTION("""COMPUTED_VALUE"""),31035.0)</f>
        <v>31035</v>
      </c>
      <c r="C2047" s="3" t="str">
        <f>IFERROR(__xludf.DUMMYFUNCTION("""COMPUTED_VALUE"""),"MFC หนองสาหร่าย")</f>
        <v>MFC หนองสาหร่าย</v>
      </c>
      <c r="D2047" s="3" t="str">
        <f>IFERROR(__xludf.DUMMYFUNCTION("""COMPUTED_VALUE"""),"MFC NONGSARAI")</f>
        <v>MFC NONGSARAI</v>
      </c>
      <c r="E2047" s="1" t="str">
        <f>IFERROR(__xludf.DUMMYFUNCTION("""COMPUTED_VALUE"""),"บิ๊กซี MINI")</f>
        <v>บิ๊กซี MINI</v>
      </c>
      <c r="F2047" s="1" t="str">
        <f>IFERROR(__xludf.DUMMYFUNCTION("""COMPUTED_VALUE"""),"291105")</f>
        <v>291105</v>
      </c>
      <c r="G2047" s="1" t="str">
        <f>IFERROR(__xludf.DUMMYFUNCTION("""COMPUTED_VALUE"""),"นายสราวุฒิ พณิชยกุล")</f>
        <v>นายสราวุฒิ พณิชยกุล</v>
      </c>
      <c r="H2047" s="1" t="str">
        <f>IFERROR(__xludf.DUMMYFUNCTION("""COMPUTED_VALUE"""),"281315")</f>
        <v>281315</v>
      </c>
      <c r="I2047" s="1" t="str">
        <f>IFERROR(__xludf.DUMMYFUNCTION("""COMPUTED_VALUE"""),"นายกิตติพงษ์ มั่นคง")</f>
        <v>นายกิตติพงษ์ มั่นคง</v>
      </c>
      <c r="J2047" s="3">
        <f>IFERROR(__xludf.DUMMYFUNCTION("""COMPUTED_VALUE"""),295886.0)</f>
        <v>295886</v>
      </c>
      <c r="K2047" s="3" t="str">
        <f>IFERROR(__xludf.DUMMYFUNCTION("""COMPUTED_VALUE"""),"นายจิระพงษ์ โพธิ์นิล")</f>
        <v>นายจิระพงษ์ โพธิ์นิล</v>
      </c>
      <c r="L2047" s="1" t="str">
        <f>IFERROR(__xludf.DUMMYFUNCTION("""COMPUTED_VALUE"""),"นายจิระพงษ์ โพธิ์นิล")</f>
        <v>นายจิระพงษ์ โพธิ์นิล</v>
      </c>
      <c r="M2047" s="1" t="str">
        <f>IFERROR(__xludf.DUMMYFUNCTION("""COMPUTED_VALUE"""),"0933290754")</f>
        <v>0933290754</v>
      </c>
      <c r="N2047" s="3">
        <f>IFERROR(__xludf.DUMMYFUNCTION("""COMPUTED_VALUE"""),21622.0)</f>
        <v>21622</v>
      </c>
      <c r="O2047" s="3" t="str">
        <f>IFERROR(__xludf.DUMMYFUNCTION("""COMPUTED_VALUE"""),"MBC ตลาดบ้านดอน")</f>
        <v>MBC ตลาดบ้านดอน</v>
      </c>
      <c r="P2047" s="4">
        <f>IFERROR(__xludf.DUMMYFUNCTION("""COMPUTED_VALUE"""),42732.0)</f>
        <v>42732</v>
      </c>
      <c r="Q2047" s="3" t="str">
        <f>IFERROR(__xludf.DUMMYFUNCTION("""COMPUTED_VALUE"""),"I")</f>
        <v>I</v>
      </c>
      <c r="R2047" s="3" t="str">
        <f>IFERROR(__xludf.DUMMYFUNCTION("""COMPUTED_VALUE"""),"Small Format")</f>
        <v>Small Format</v>
      </c>
      <c r="S2047" s="3" t="str">
        <f>IFERROR(__xludf.DUMMYFUNCTION("""COMPUTED_VALUE"""),"BCM(FC)")</f>
        <v>BCM(FC)</v>
      </c>
      <c r="T2047" s="3" t="str">
        <f>IFERROR(__xludf.DUMMYFUNCTION("""COMPUTED_VALUE"""),"#N/A")</f>
        <v>#N/A</v>
      </c>
      <c r="U2047" s="3" t="str">
        <f>IFERROR(__xludf.DUMMYFUNCTION("""COMPUTED_VALUE"""),"#N/A")</f>
        <v>#N/A</v>
      </c>
      <c r="V2047" s="3" t="str">
        <f>IFERROR(__xludf.DUMMYFUNCTION("""COMPUTED_VALUE"""),"Y")</f>
        <v>Y</v>
      </c>
      <c r="W2047" s="3">
        <f>IFERROR(__xludf.DUMMYFUNCTION("""COMPUTED_VALUE"""),811042.0)</f>
        <v>811042</v>
      </c>
      <c r="X2047" s="3" t="str">
        <f>IFERROR(__xludf.DUMMYFUNCTION("""COMPUTED_VALUE"""),"455 หมู่ 21 ตำบลหนองสาหร่าย อำเภอปากช่อง จังหวัดนครราชสีมา 30130")</f>
        <v>455 หมู่ 21 ตำบลหนองสาหร่าย อำเภอปากช่อง จังหวัดนครราชสีมา 30130</v>
      </c>
      <c r="Y2047" s="3"/>
      <c r="Z2047" s="3" t="str">
        <f>IFERROR(__xludf.DUMMYFUNCTION("""COMPUTED_VALUE"""),"หนองสาหร่าย")</f>
        <v>หนองสาหร่าย</v>
      </c>
      <c r="AA2047" s="3" t="str">
        <f>IFERROR(__xludf.DUMMYFUNCTION("""COMPUTED_VALUE"""),"ปากช่อง")</f>
        <v>ปากช่อง</v>
      </c>
      <c r="AB2047" s="3" t="str">
        <f>IFERROR(__xludf.DUMMYFUNCTION("""COMPUTED_VALUE"""),"นครราชสีมา")</f>
        <v>นครราชสีมา</v>
      </c>
      <c r="AC2047" s="3">
        <f>IFERROR(__xludf.DUMMYFUNCTION("""COMPUTED_VALUE"""),30130.0)</f>
        <v>30130</v>
      </c>
      <c r="AD2047" s="3">
        <f>IFERROR(__xludf.DUMMYFUNCTION("""COMPUTED_VALUE"""),14.6424027)</f>
        <v>14.6424027</v>
      </c>
      <c r="AE2047" s="3">
        <f>IFERROR(__xludf.DUMMYFUNCTION("""COMPUTED_VALUE"""),101.502303)</f>
        <v>101.502303</v>
      </c>
      <c r="AF2047" s="3" t="str">
        <f>IFERROR(__xludf.DUMMYFUNCTION("""COMPUTED_VALUE"""),"MFC หนองสาหร่าย-31035")</f>
        <v>MFC หนองสาหร่าย-31035</v>
      </c>
      <c r="AG2047" s="3" t="str">
        <f>IFERROR(__xludf.DUMMYFUNCTION("""COMPUTED_VALUE"""),"ตะวันออกเฉียงเหนือ")</f>
        <v>ตะวันออกเฉียงเหนือ</v>
      </c>
      <c r="AH2047" s="3" t="str">
        <f>IFERROR(__xludf.DUMMYFUNCTION("""COMPUTED_VALUE"""),"#N/A")</f>
        <v>#N/A</v>
      </c>
      <c r="AI2047" s="3" t="str">
        <f>IFERROR(__xludf.DUMMYFUNCTION("""COMPUTED_VALUE"""),"Out of warranty")</f>
        <v>Out of warranty</v>
      </c>
      <c r="AJ2047" s="3">
        <f>IFERROR(__xludf.DUMMYFUNCTION("""COMPUTED_VALUE"""),109.0)</f>
        <v>109</v>
      </c>
      <c r="AK2047" s="3"/>
      <c r="AL2047" s="3"/>
    </row>
    <row r="2048" ht="15.75" customHeight="1">
      <c r="A2048" s="1" t="str">
        <f>IFERROR(__xludf.DUMMYFUNCTION("""COMPUTED_VALUE"""),"31036")</f>
        <v>31036</v>
      </c>
      <c r="B2048" s="2">
        <f>IFERROR(__xludf.DUMMYFUNCTION("""COMPUTED_VALUE"""),31036.0)</f>
        <v>31036</v>
      </c>
      <c r="C2048" s="3" t="str">
        <f>IFERROR(__xludf.DUMMYFUNCTION("""COMPUTED_VALUE"""),"MFC CTX แกลง ระยอง")</f>
        <v>MFC CTX แกลง ระยอง</v>
      </c>
      <c r="D2048" s="3" t="str">
        <f>IFERROR(__xludf.DUMMYFUNCTION("""COMPUTED_VALUE"""),"MFC SUBCHATREE")</f>
        <v>MFC SUBCHATREE</v>
      </c>
      <c r="E2048" s="1" t="str">
        <f>IFERROR(__xludf.DUMMYFUNCTION("""COMPUTED_VALUE"""),"บิ๊กซี MINI")</f>
        <v>บิ๊กซี MINI</v>
      </c>
      <c r="F2048" s="1" t="str">
        <f>IFERROR(__xludf.DUMMYFUNCTION("""COMPUTED_VALUE"""),"250760")</f>
        <v>250760</v>
      </c>
      <c r="G2048" s="1" t="str">
        <f>IFERROR(__xludf.DUMMYFUNCTION("""COMPUTED_VALUE"""),"นายประทวน สาราบรรณ์")</f>
        <v>นายประทวน สาราบรรณ์</v>
      </c>
      <c r="H2048" s="1" t="str">
        <f>IFERROR(__xludf.DUMMYFUNCTION("""COMPUTED_VALUE"""),"359233")</f>
        <v>359233</v>
      </c>
      <c r="I2048" s="1" t="str">
        <f>IFERROR(__xludf.DUMMYFUNCTION("""COMPUTED_VALUE"""),"น.ส.ปยุดา คำมีอ่อน")</f>
        <v>น.ส.ปยุดา คำมีอ่อน</v>
      </c>
      <c r="J2048" s="3">
        <f>IFERROR(__xludf.DUMMYFUNCTION("""COMPUTED_VALUE"""),295541.0)</f>
        <v>295541</v>
      </c>
      <c r="K2048" s="3" t="str">
        <f>IFERROR(__xludf.DUMMYFUNCTION("""COMPUTED_VALUE"""),"นายรพิพล ศรีมาตย์")</f>
        <v>นายรพิพล ศรีมาตย์</v>
      </c>
      <c r="L2048" s="1" t="str">
        <f>IFERROR(__xludf.DUMMYFUNCTION("""COMPUTED_VALUE"""),"นายรพิพล ศรีมาตย์")</f>
        <v>นายรพิพล ศรีมาตย์</v>
      </c>
      <c r="M2048" s="1" t="str">
        <f>IFERROR(__xludf.DUMMYFUNCTION("""COMPUTED_VALUE"""),"0613966115")</f>
        <v>0613966115</v>
      </c>
      <c r="N2048" s="3">
        <f>IFERROR(__xludf.DUMMYFUNCTION("""COMPUTED_VALUE"""),21175.0)</f>
        <v>21175</v>
      </c>
      <c r="O2048" s="3" t="str">
        <f>IFERROR(__xludf.DUMMYFUNCTION("""COMPUTED_VALUE"""),"MBC BCP กิ่งแก้ว")</f>
        <v>MBC BCP กิ่งแก้ว</v>
      </c>
      <c r="P2048" s="4">
        <f>IFERROR(__xludf.DUMMYFUNCTION("""COMPUTED_VALUE"""),42732.0)</f>
        <v>42732</v>
      </c>
      <c r="Q2048" s="3" t="str">
        <f>IFERROR(__xludf.DUMMYFUNCTION("""COMPUTED_VALUE"""),"I")</f>
        <v>I</v>
      </c>
      <c r="R2048" s="3" t="str">
        <f>IFERROR(__xludf.DUMMYFUNCTION("""COMPUTED_VALUE"""),"Small Format")</f>
        <v>Small Format</v>
      </c>
      <c r="S2048" s="3" t="str">
        <f>IFERROR(__xludf.DUMMYFUNCTION("""COMPUTED_VALUE"""),"BCM(FC)")</f>
        <v>BCM(FC)</v>
      </c>
      <c r="T2048" s="3" t="str">
        <f>IFERROR(__xludf.DUMMYFUNCTION("""COMPUTED_VALUE"""),"#N/A")</f>
        <v>#N/A</v>
      </c>
      <c r="U2048" s="3" t="str">
        <f>IFERROR(__xludf.DUMMYFUNCTION("""COMPUTED_VALUE"""),"#N/A")</f>
        <v>#N/A</v>
      </c>
      <c r="V2048" s="3" t="str">
        <f>IFERROR(__xludf.DUMMYFUNCTION("""COMPUTED_VALUE"""),"Y")</f>
        <v>Y</v>
      </c>
      <c r="W2048" s="3">
        <f>IFERROR(__xludf.DUMMYFUNCTION("""COMPUTED_VALUE"""),0.0)</f>
        <v>0</v>
      </c>
      <c r="X2048" s="3" t="str">
        <f>IFERROR(__xludf.DUMMYFUNCTION("""COMPUTED_VALUE"""),"151/2 หมู่ 8 ตำบลคลองปูน อำเภอแกลง จังหวัดระยอง 21170")</f>
        <v>151/2 หมู่ 8 ตำบลคลองปูน อำเภอแกลง จังหวัดระยอง 21170</v>
      </c>
      <c r="Y2048" s="3"/>
      <c r="Z2048" s="3" t="str">
        <f>IFERROR(__xludf.DUMMYFUNCTION("""COMPUTED_VALUE"""),"คลองปูน")</f>
        <v>คลองปูน</v>
      </c>
      <c r="AA2048" s="3" t="str">
        <f>IFERROR(__xludf.DUMMYFUNCTION("""COMPUTED_VALUE"""),"แกลง")</f>
        <v>แกลง</v>
      </c>
      <c r="AB2048" s="3" t="str">
        <f>IFERROR(__xludf.DUMMYFUNCTION("""COMPUTED_VALUE"""),"ระยอง")</f>
        <v>ระยอง</v>
      </c>
      <c r="AC2048" s="3">
        <f>IFERROR(__xludf.DUMMYFUNCTION("""COMPUTED_VALUE"""),21170.0)</f>
        <v>21170</v>
      </c>
      <c r="AD2048" s="3" t="str">
        <f>IFERROR(__xludf.DUMMYFUNCTION("""COMPUTED_VALUE"""),"#N/A")</f>
        <v>#N/A</v>
      </c>
      <c r="AE2048" s="3" t="str">
        <f>IFERROR(__xludf.DUMMYFUNCTION("""COMPUTED_VALUE"""),"#N/A")</f>
        <v>#N/A</v>
      </c>
      <c r="AF2048" s="3" t="str">
        <f>IFERROR(__xludf.DUMMYFUNCTION("""COMPUTED_VALUE"""),"MFC CTX แกลง ระยอง-31036")</f>
        <v>MFC CTX แกลง ระยอง-31036</v>
      </c>
      <c r="AG2048" s="3" t="str">
        <f>IFERROR(__xludf.DUMMYFUNCTION("""COMPUTED_VALUE"""),"ตะวันออก")</f>
        <v>ตะวันออก</v>
      </c>
      <c r="AH2048" s="3" t="str">
        <f>IFERROR(__xludf.DUMMYFUNCTION("""COMPUTED_VALUE"""),"#N/A")</f>
        <v>#N/A</v>
      </c>
      <c r="AI2048" s="3" t="str">
        <f>IFERROR(__xludf.DUMMYFUNCTION("""COMPUTED_VALUE"""),"Out of warranty")</f>
        <v>Out of warranty</v>
      </c>
      <c r="AJ2048" s="3">
        <f>IFERROR(__xludf.DUMMYFUNCTION("""COMPUTED_VALUE"""),109.0)</f>
        <v>109</v>
      </c>
      <c r="AK2048" s="3"/>
      <c r="AL2048" s="3"/>
    </row>
    <row r="2049" ht="15.75" customHeight="1">
      <c r="A2049" s="1" t="str">
        <f>IFERROR(__xludf.DUMMYFUNCTION("""COMPUTED_VALUE"""),"31037")</f>
        <v>31037</v>
      </c>
      <c r="B2049" s="2">
        <f>IFERROR(__xludf.DUMMYFUNCTION("""COMPUTED_VALUE"""),31037.0)</f>
        <v>31037</v>
      </c>
      <c r="C2049" s="3" t="str">
        <f>IFERROR(__xludf.DUMMYFUNCTION("""COMPUTED_VALUE"""),"BCM FC ตึกคอม อุดรธานี")</f>
        <v>BCM FC ตึกคอม อุดรธานี</v>
      </c>
      <c r="D2049" s="3" t="str">
        <f>IFERROR(__xludf.DUMMYFUNCTION("""COMPUTED_VALUE"""),"BCM TUK COM (UDONTHANI)")</f>
        <v>BCM TUK COM (UDONTHANI)</v>
      </c>
      <c r="E2049" s="1" t="str">
        <f>IFERROR(__xludf.DUMMYFUNCTION("""COMPUTED_VALUE"""),"บิ๊กซี MINI")</f>
        <v>บิ๊กซี MINI</v>
      </c>
      <c r="F2049" s="1" t="str">
        <f>IFERROR(__xludf.DUMMYFUNCTION("""COMPUTED_VALUE"""),"291105")</f>
        <v>291105</v>
      </c>
      <c r="G2049" s="1" t="str">
        <f>IFERROR(__xludf.DUMMYFUNCTION("""COMPUTED_VALUE"""),"นายสราวุฒิ พณิชยกุล")</f>
        <v>นายสราวุฒิ พณิชยกุล</v>
      </c>
      <c r="H2049" s="1" t="str">
        <f>IFERROR(__xludf.DUMMYFUNCTION("""COMPUTED_VALUE"""),"392005")</f>
        <v>392005</v>
      </c>
      <c r="I2049" s="1" t="str">
        <f>IFERROR(__xludf.DUMMYFUNCTION("""COMPUTED_VALUE"""),"นายรัฐพล หาญลำยวง")</f>
        <v>นายรัฐพล หาญลำยวง</v>
      </c>
      <c r="J2049" s="3">
        <f>IFERROR(__xludf.DUMMYFUNCTION("""COMPUTED_VALUE"""),295886.0)</f>
        <v>295886</v>
      </c>
      <c r="K2049" s="3" t="str">
        <f>IFERROR(__xludf.DUMMYFUNCTION("""COMPUTED_VALUE"""),"นายจิระพงษ์ โพธิ์นิล")</f>
        <v>นายจิระพงษ์ โพธิ์นิล</v>
      </c>
      <c r="L2049" s="1" t="str">
        <f>IFERROR(__xludf.DUMMYFUNCTION("""COMPUTED_VALUE"""),"นายจิระพงษ์ โพธิ์นิล")</f>
        <v>นายจิระพงษ์ โพธิ์นิล</v>
      </c>
      <c r="M2049" s="1" t="str">
        <f>IFERROR(__xludf.DUMMYFUNCTION("""COMPUTED_VALUE"""),"0933290754")</f>
        <v>0933290754</v>
      </c>
      <c r="N2049" s="3">
        <f>IFERROR(__xludf.DUMMYFUNCTION("""COMPUTED_VALUE"""),21622.0)</f>
        <v>21622</v>
      </c>
      <c r="O2049" s="3" t="str">
        <f>IFERROR(__xludf.DUMMYFUNCTION("""COMPUTED_VALUE"""),"MBC ตลาดบ้านดอน")</f>
        <v>MBC ตลาดบ้านดอน</v>
      </c>
      <c r="P2049" s="4">
        <f>IFERROR(__xludf.DUMMYFUNCTION("""COMPUTED_VALUE"""),42734.0)</f>
        <v>42734</v>
      </c>
      <c r="Q2049" s="3" t="str">
        <f>IFERROR(__xludf.DUMMYFUNCTION("""COMPUTED_VALUE"""),"I")</f>
        <v>I</v>
      </c>
      <c r="R2049" s="3" t="str">
        <f>IFERROR(__xludf.DUMMYFUNCTION("""COMPUTED_VALUE"""),"Small Format")</f>
        <v>Small Format</v>
      </c>
      <c r="S2049" s="3" t="str">
        <f>IFERROR(__xludf.DUMMYFUNCTION("""COMPUTED_VALUE"""),"BCM(FC)")</f>
        <v>BCM(FC)</v>
      </c>
      <c r="T2049" s="3" t="str">
        <f>IFERROR(__xludf.DUMMYFUNCTION("""COMPUTED_VALUE"""),"#N/A")</f>
        <v>#N/A</v>
      </c>
      <c r="U2049" s="3" t="str">
        <f>IFERROR(__xludf.DUMMYFUNCTION("""COMPUTED_VALUE"""),"#N/A")</f>
        <v>#N/A</v>
      </c>
      <c r="V2049" s="3" t="str">
        <f>IFERROR(__xludf.DUMMYFUNCTION("""COMPUTED_VALUE"""),"Y")</f>
        <v>Y</v>
      </c>
      <c r="W2049" s="3">
        <f>IFERROR(__xludf.DUMMYFUNCTION("""COMPUTED_VALUE"""),811077.0)</f>
        <v>811077</v>
      </c>
      <c r="X2049" s="3" t="str">
        <f>IFERROR(__xludf.DUMMYFUNCTION("""COMPUTED_VALUE"""),"90/32 ถนนอุดรดุษฎี ตำบลหมากแข้ง อำเภอเมืองอุดรธานี จังหวัดอุดรธานี 41000")</f>
        <v>90/32 ถนนอุดรดุษฎี ตำบลหมากแข้ง อำเภอเมืองอุดรธานี จังหวัดอุดรธานี 41000</v>
      </c>
      <c r="Y2049" s="3" t="str">
        <f>IFERROR(__xludf.DUMMYFUNCTION("""COMPUTED_VALUE"""),"ถนนอุดรดุษฎี")</f>
        <v>ถนนอุดรดุษฎี</v>
      </c>
      <c r="Z2049" s="3" t="str">
        <f>IFERROR(__xludf.DUMMYFUNCTION("""COMPUTED_VALUE"""),"หมากแข้ง")</f>
        <v>หมากแข้ง</v>
      </c>
      <c r="AA2049" s="3" t="str">
        <f>IFERROR(__xludf.DUMMYFUNCTION("""COMPUTED_VALUE"""),"เมือง")</f>
        <v>เมือง</v>
      </c>
      <c r="AB2049" s="3" t="str">
        <f>IFERROR(__xludf.DUMMYFUNCTION("""COMPUTED_VALUE"""),"อุดรธานี")</f>
        <v>อุดรธานี</v>
      </c>
      <c r="AC2049" s="3">
        <f>IFERROR(__xludf.DUMMYFUNCTION("""COMPUTED_VALUE"""),41000.0)</f>
        <v>41000</v>
      </c>
      <c r="AD2049" s="3">
        <f>IFERROR(__xludf.DUMMYFUNCTION("""COMPUTED_VALUE"""),17.4104762)</f>
        <v>17.4104762</v>
      </c>
      <c r="AE2049" s="3">
        <f>IFERROR(__xludf.DUMMYFUNCTION("""COMPUTED_VALUE"""),102.7926893)</f>
        <v>102.7926893</v>
      </c>
      <c r="AF2049" s="3" t="str">
        <f>IFERROR(__xludf.DUMMYFUNCTION("""COMPUTED_VALUE"""),"BCM FC ตึกคอม อุดรธานี-31037")</f>
        <v>BCM FC ตึกคอม อุดรธานี-31037</v>
      </c>
      <c r="AG2049" s="3" t="str">
        <f>IFERROR(__xludf.DUMMYFUNCTION("""COMPUTED_VALUE"""),"ตะวันออกเฉียงเหนือ")</f>
        <v>ตะวันออกเฉียงเหนือ</v>
      </c>
      <c r="AH2049" s="3" t="str">
        <f>IFERROR(__xludf.DUMMYFUNCTION("""COMPUTED_VALUE"""),"#N/A")</f>
        <v>#N/A</v>
      </c>
      <c r="AI2049" s="3" t="str">
        <f>IFERROR(__xludf.DUMMYFUNCTION("""COMPUTED_VALUE"""),"Out of warranty")</f>
        <v>Out of warranty</v>
      </c>
      <c r="AJ2049" s="3">
        <f>IFERROR(__xludf.DUMMYFUNCTION("""COMPUTED_VALUE"""),109.0)</f>
        <v>109</v>
      </c>
      <c r="AK2049" s="3"/>
      <c r="AL2049" s="3"/>
    </row>
    <row r="2050" ht="15.75" customHeight="1">
      <c r="A2050" s="1" t="str">
        <f>IFERROR(__xludf.DUMMYFUNCTION("""COMPUTED_VALUE"""),"31038")</f>
        <v>31038</v>
      </c>
      <c r="B2050" s="2">
        <f>IFERROR(__xludf.DUMMYFUNCTION("""COMPUTED_VALUE"""),31038.0)</f>
        <v>31038</v>
      </c>
      <c r="C2050" s="3" t="str">
        <f>IFERROR(__xludf.DUMMYFUNCTION("""COMPUTED_VALUE"""),"BCM FC CTX สันกำแพง")</f>
        <v>BCM FC CTX สันกำแพง</v>
      </c>
      <c r="D2050" s="3" t="str">
        <f>IFERROR(__xludf.DUMMYFUNCTION("""COMPUTED_VALUE"""),"BCM CTX-SAN KAMPHAENG")</f>
        <v>BCM CTX-SAN KAMPHAENG</v>
      </c>
      <c r="E2050" s="1" t="str">
        <f>IFERROR(__xludf.DUMMYFUNCTION("""COMPUTED_VALUE"""),"บิ๊กซี MINI")</f>
        <v>บิ๊กซี MINI</v>
      </c>
      <c r="F2050" s="1" t="str">
        <f>IFERROR(__xludf.DUMMYFUNCTION("""COMPUTED_VALUE"""),"296229")</f>
        <v>296229</v>
      </c>
      <c r="G2050" s="1" t="str">
        <f>IFERROR(__xludf.DUMMYFUNCTION("""COMPUTED_VALUE"""),"นายทนงศักดิ์ บุญมา")</f>
        <v>นายทนงศักดิ์ บุญมา</v>
      </c>
      <c r="H2050" s="1" t="str">
        <f>IFERROR(__xludf.DUMMYFUNCTION("""COMPUTED_VALUE"""),"392003")</f>
        <v>392003</v>
      </c>
      <c r="I2050" s="1" t="str">
        <f>IFERROR(__xludf.DUMMYFUNCTION("""COMPUTED_VALUE"""),"นายวรภพ เศษสูงเนิน")</f>
        <v>นายวรภพ เศษสูงเนิน</v>
      </c>
      <c r="J2050" s="3">
        <f>IFERROR(__xludf.DUMMYFUNCTION("""COMPUTED_VALUE"""),2010016.0)</f>
        <v>2010016</v>
      </c>
      <c r="K2050" s="3" t="str">
        <f>IFERROR(__xludf.DUMMYFUNCTION("""COMPUTED_VALUE"""),"นายตวงธรรม ใหม่ยศ")</f>
        <v>นายตวงธรรม ใหม่ยศ</v>
      </c>
      <c r="L2050" s="1" t="str">
        <f>IFERROR(__xludf.DUMMYFUNCTION("""COMPUTED_VALUE"""),"01 K.Tuangtham M.")</f>
        <v>01 K.Tuangtham M.</v>
      </c>
      <c r="M2050" s="1" t="str">
        <f>IFERROR(__xludf.DUMMYFUNCTION("""COMPUTED_VALUE"""),"063-976-595")</f>
        <v>063-976-595</v>
      </c>
      <c r="N2050" s="3">
        <f>IFERROR(__xludf.DUMMYFUNCTION("""COMPUTED_VALUE"""),22574.0)</f>
        <v>22574</v>
      </c>
      <c r="O2050" s="3" t="str">
        <f>IFERROR(__xludf.DUMMYFUNCTION("""COMPUTED_VALUE"""),"BCM ชุมชนศรีชุม ลำปาง")</f>
        <v>BCM ชุมชนศรีชุม ลำปาง</v>
      </c>
      <c r="P2050" s="4">
        <f>IFERROR(__xludf.DUMMYFUNCTION("""COMPUTED_VALUE"""),42790.0)</f>
        <v>42790</v>
      </c>
      <c r="Q2050" s="3" t="str">
        <f>IFERROR(__xludf.DUMMYFUNCTION("""COMPUTED_VALUE"""),"A")</f>
        <v>A</v>
      </c>
      <c r="R2050" s="3" t="str">
        <f>IFERROR(__xludf.DUMMYFUNCTION("""COMPUTED_VALUE"""),"Small Format")</f>
        <v>Small Format</v>
      </c>
      <c r="S2050" s="3" t="str">
        <f>IFERROR(__xludf.DUMMYFUNCTION("""COMPUTED_VALUE"""),"BCM(FC)")</f>
        <v>BCM(FC)</v>
      </c>
      <c r="T2050" s="3" t="str">
        <f>IFERROR(__xludf.DUMMYFUNCTION("""COMPUTED_VALUE"""),"#N/A")</f>
        <v>#N/A</v>
      </c>
      <c r="U2050" s="3" t="str">
        <f>IFERROR(__xludf.DUMMYFUNCTION("""COMPUTED_VALUE"""),"#N/A")</f>
        <v>#N/A</v>
      </c>
      <c r="V2050" s="3" t="str">
        <f>IFERROR(__xludf.DUMMYFUNCTION("""COMPUTED_VALUE"""),"Y")</f>
        <v>Y</v>
      </c>
      <c r="W2050" s="3">
        <f>IFERROR(__xludf.DUMMYFUNCTION("""COMPUTED_VALUE"""),811014.0)</f>
        <v>811014</v>
      </c>
      <c r="X2050" s="3" t="str">
        <f>IFERROR(__xludf.DUMMYFUNCTION("""COMPUTED_VALUE"""),"36/7 หมู่ 3 ตำบลสันกลาง อำเภอสันกำแพง จังหวัดเชียงใหม่ 50130")</f>
        <v>36/7 หมู่ 3 ตำบลสันกลาง อำเภอสันกำแพง จังหวัดเชียงใหม่ 50130</v>
      </c>
      <c r="Y2050" s="3"/>
      <c r="Z2050" s="3" t="str">
        <f>IFERROR(__xludf.DUMMYFUNCTION("""COMPUTED_VALUE"""),"สันกลาง")</f>
        <v>สันกลาง</v>
      </c>
      <c r="AA2050" s="3" t="str">
        <f>IFERROR(__xludf.DUMMYFUNCTION("""COMPUTED_VALUE"""),"สันกำแพง")</f>
        <v>สันกำแพง</v>
      </c>
      <c r="AB2050" s="3" t="str">
        <f>IFERROR(__xludf.DUMMYFUNCTION("""COMPUTED_VALUE"""),"เชียงใหม่")</f>
        <v>เชียงใหม่</v>
      </c>
      <c r="AC2050" s="3">
        <f>IFERROR(__xludf.DUMMYFUNCTION("""COMPUTED_VALUE"""),50130.0)</f>
        <v>50130</v>
      </c>
      <c r="AD2050" s="3">
        <f>IFERROR(__xludf.DUMMYFUNCTION("""COMPUTED_VALUE"""),18.777348)</f>
        <v>18.777348</v>
      </c>
      <c r="AE2050" s="3">
        <f>IFERROR(__xludf.DUMMYFUNCTION("""COMPUTED_VALUE"""),99.0544938)</f>
        <v>99.0544938</v>
      </c>
      <c r="AF2050" s="3" t="str">
        <f>IFERROR(__xludf.DUMMYFUNCTION("""COMPUTED_VALUE"""),"BCM FC CTX สันกำแพง-31038")</f>
        <v>BCM FC CTX สันกำแพง-31038</v>
      </c>
      <c r="AG2050" s="3" t="str">
        <f>IFERROR(__xludf.DUMMYFUNCTION("""COMPUTED_VALUE"""),"เหนือ")</f>
        <v>เหนือ</v>
      </c>
      <c r="AH2050" s="3" t="str">
        <f>IFERROR(__xludf.DUMMYFUNCTION("""COMPUTED_VALUE"""),"#N/A")</f>
        <v>#N/A</v>
      </c>
      <c r="AI2050" s="3" t="str">
        <f>IFERROR(__xludf.DUMMYFUNCTION("""COMPUTED_VALUE"""),"Out of warranty")</f>
        <v>Out of warranty</v>
      </c>
      <c r="AJ2050" s="3">
        <f>IFERROR(__xludf.DUMMYFUNCTION("""COMPUTED_VALUE"""),107.0)</f>
        <v>107</v>
      </c>
      <c r="AK2050" s="3"/>
      <c r="AL2050" s="3"/>
    </row>
    <row r="2051" ht="15.75" customHeight="1">
      <c r="A2051" s="1" t="str">
        <f>IFERROR(__xludf.DUMMYFUNCTION("""COMPUTED_VALUE"""),"31039")</f>
        <v>31039</v>
      </c>
      <c r="B2051" s="2">
        <f>IFERROR(__xludf.DUMMYFUNCTION("""COMPUTED_VALUE"""),31039.0)</f>
        <v>31039</v>
      </c>
      <c r="C2051" s="3" t="str">
        <f>IFERROR(__xludf.DUMMYFUNCTION("""COMPUTED_VALUE"""),"BCM FC เดอะแคนนาส")</f>
        <v>BCM FC เดอะแคนนาส</v>
      </c>
      <c r="D2051" s="3" t="str">
        <f>IFERROR(__xludf.DUMMYFUNCTION("""COMPUTED_VALUE"""),"BCM THE KANNAS (CHIANGMAI)")</f>
        <v>BCM THE KANNAS (CHIANGMAI)</v>
      </c>
      <c r="E2051" s="1" t="str">
        <f>IFERROR(__xludf.DUMMYFUNCTION("""COMPUTED_VALUE"""),"บิ๊กซี MINI")</f>
        <v>บิ๊กซี MINI</v>
      </c>
      <c r="F2051" s="1" t="str">
        <f>IFERROR(__xludf.DUMMYFUNCTION("""COMPUTED_VALUE"""),"296229")</f>
        <v>296229</v>
      </c>
      <c r="G2051" s="1" t="str">
        <f>IFERROR(__xludf.DUMMYFUNCTION("""COMPUTED_VALUE"""),"นายทนงศักดิ์ บุญมา")</f>
        <v>นายทนงศักดิ์ บุญมา</v>
      </c>
      <c r="H2051" s="1" t="str">
        <f>IFERROR(__xludf.DUMMYFUNCTION("""COMPUTED_VALUE"""),"392003")</f>
        <v>392003</v>
      </c>
      <c r="I2051" s="1" t="str">
        <f>IFERROR(__xludf.DUMMYFUNCTION("""COMPUTED_VALUE"""),"นายวรภพ เศษสูงเนิน")</f>
        <v>นายวรภพ เศษสูงเนิน</v>
      </c>
      <c r="J2051" s="3">
        <f>IFERROR(__xludf.DUMMYFUNCTION("""COMPUTED_VALUE"""),2010016.0)</f>
        <v>2010016</v>
      </c>
      <c r="K2051" s="3" t="str">
        <f>IFERROR(__xludf.DUMMYFUNCTION("""COMPUTED_VALUE"""),"นายตวงธรรม ใหม่ยศ")</f>
        <v>นายตวงธรรม ใหม่ยศ</v>
      </c>
      <c r="L2051" s="1" t="str">
        <f>IFERROR(__xludf.DUMMYFUNCTION("""COMPUTED_VALUE"""),"01 K.Tuangtham M.")</f>
        <v>01 K.Tuangtham M.</v>
      </c>
      <c r="M2051" s="1" t="str">
        <f>IFERROR(__xludf.DUMMYFUNCTION("""COMPUTED_VALUE"""),"063-976-595")</f>
        <v>063-976-595</v>
      </c>
      <c r="N2051" s="3">
        <f>IFERROR(__xludf.DUMMYFUNCTION("""COMPUTED_VALUE"""),22574.0)</f>
        <v>22574</v>
      </c>
      <c r="O2051" s="3" t="str">
        <f>IFERROR(__xludf.DUMMYFUNCTION("""COMPUTED_VALUE"""),"BCM ชุมชนศรีชุม ลำปาง")</f>
        <v>BCM ชุมชนศรีชุม ลำปาง</v>
      </c>
      <c r="P2051" s="4">
        <f>IFERROR(__xludf.DUMMYFUNCTION("""COMPUTED_VALUE"""),42818.0)</f>
        <v>42818</v>
      </c>
      <c r="Q2051" s="3" t="str">
        <f>IFERROR(__xludf.DUMMYFUNCTION("""COMPUTED_VALUE"""),"A")</f>
        <v>A</v>
      </c>
      <c r="R2051" s="3" t="str">
        <f>IFERROR(__xludf.DUMMYFUNCTION("""COMPUTED_VALUE"""),"Small Format")</f>
        <v>Small Format</v>
      </c>
      <c r="S2051" s="3" t="str">
        <f>IFERROR(__xludf.DUMMYFUNCTION("""COMPUTED_VALUE"""),"BCM(FC)")</f>
        <v>BCM(FC)</v>
      </c>
      <c r="T2051" s="3" t="str">
        <f>IFERROR(__xludf.DUMMYFUNCTION("""COMPUTED_VALUE"""),"#N/A")</f>
        <v>#N/A</v>
      </c>
      <c r="U2051" s="3" t="str">
        <f>IFERROR(__xludf.DUMMYFUNCTION("""COMPUTED_VALUE"""),"#N/A")</f>
        <v>#N/A</v>
      </c>
      <c r="V2051" s="3" t="str">
        <f>IFERROR(__xludf.DUMMYFUNCTION("""COMPUTED_VALUE"""),"Y")</f>
        <v>Y</v>
      </c>
      <c r="W2051" s="3">
        <f>IFERROR(__xludf.DUMMYFUNCTION("""COMPUTED_VALUE"""),811078.0)</f>
        <v>811078</v>
      </c>
      <c r="X2051" s="3" t="str">
        <f>IFERROR(__xludf.DUMMYFUNCTION("""COMPUTED_VALUE"""),"8/38 หมู่ 3 ตำบลช้างเผือก อำเภอเมืองเชียงใหม่ จังหวัดเชียงใหม่ 50300")</f>
        <v>8/38 หมู่ 3 ตำบลช้างเผือก อำเภอเมืองเชียงใหม่ จังหวัดเชียงใหม่ 50300</v>
      </c>
      <c r="Y2051" s="3"/>
      <c r="Z2051" s="3" t="str">
        <f>IFERROR(__xludf.DUMMYFUNCTION("""COMPUTED_VALUE"""),"ช้างเผือก")</f>
        <v>ช้างเผือก</v>
      </c>
      <c r="AA2051" s="3" t="str">
        <f>IFERROR(__xludf.DUMMYFUNCTION("""COMPUTED_VALUE"""),"เมือง")</f>
        <v>เมือง</v>
      </c>
      <c r="AB2051" s="3" t="str">
        <f>IFERROR(__xludf.DUMMYFUNCTION("""COMPUTED_VALUE"""),"เชียงใหม่")</f>
        <v>เชียงใหม่</v>
      </c>
      <c r="AC2051" s="3">
        <f>IFERROR(__xludf.DUMMYFUNCTION("""COMPUTED_VALUE"""),50300.0)</f>
        <v>50300</v>
      </c>
      <c r="AD2051" s="3">
        <f>IFERROR(__xludf.DUMMYFUNCTION("""COMPUTED_VALUE"""),18.811241)</f>
        <v>18.811241</v>
      </c>
      <c r="AE2051" s="3">
        <f>IFERROR(__xludf.DUMMYFUNCTION("""COMPUTED_VALUE"""),98.978436)</f>
        <v>98.978436</v>
      </c>
      <c r="AF2051" s="3" t="str">
        <f>IFERROR(__xludf.DUMMYFUNCTION("""COMPUTED_VALUE"""),"BCM FC เดอะแคนนาส-31039")</f>
        <v>BCM FC เดอะแคนนาส-31039</v>
      </c>
      <c r="AG2051" s="3" t="str">
        <f>IFERROR(__xludf.DUMMYFUNCTION("""COMPUTED_VALUE"""),"เหนือ")</f>
        <v>เหนือ</v>
      </c>
      <c r="AH2051" s="3" t="str">
        <f>IFERROR(__xludf.DUMMYFUNCTION("""COMPUTED_VALUE"""),"#N/A")</f>
        <v>#N/A</v>
      </c>
      <c r="AI2051" s="3" t="str">
        <f>IFERROR(__xludf.DUMMYFUNCTION("""COMPUTED_VALUE"""),"Out of warranty")</f>
        <v>Out of warranty</v>
      </c>
      <c r="AJ2051" s="3">
        <f>IFERROR(__xludf.DUMMYFUNCTION("""COMPUTED_VALUE"""),106.0)</f>
        <v>106</v>
      </c>
      <c r="AK2051" s="3"/>
      <c r="AL2051" s="3"/>
    </row>
    <row r="2052" ht="15.75" customHeight="1">
      <c r="A2052" s="1" t="str">
        <f>IFERROR(__xludf.DUMMYFUNCTION("""COMPUTED_VALUE"""),"31040")</f>
        <v>31040</v>
      </c>
      <c r="B2052" s="2">
        <f>IFERROR(__xludf.DUMMYFUNCTION("""COMPUTED_VALUE"""),31040.0)</f>
        <v>31040</v>
      </c>
      <c r="C2052" s="3" t="str">
        <f>IFERROR(__xludf.DUMMYFUNCTION("""COMPUTED_VALUE"""),"MFC แบริ่ง 48/3")</f>
        <v>MFC แบริ่ง 48/3</v>
      </c>
      <c r="D2052" s="3" t="str">
        <f>IFERROR(__xludf.DUMMYFUNCTION("""COMPUTED_VALUE"""),"MFC PK WANICH TRADING")</f>
        <v>MFC PK WANICH TRADING</v>
      </c>
      <c r="E2052" s="1" t="str">
        <f>IFERROR(__xludf.DUMMYFUNCTION("""COMPUTED_VALUE"""),"บิ๊กซี MINI")</f>
        <v>บิ๊กซี MINI</v>
      </c>
      <c r="F2052" s="1" t="str">
        <f>IFERROR(__xludf.DUMMYFUNCTION("""COMPUTED_VALUE"""),"291008")</f>
        <v>291008</v>
      </c>
      <c r="G2052" s="1" t="str">
        <f>IFERROR(__xludf.DUMMYFUNCTION("""COMPUTED_VALUE"""),"น.ส.รัชดาพร อีศรัตน์")</f>
        <v>น.ส.รัชดาพร อีศรัตน์</v>
      </c>
      <c r="H2052" s="1" t="str">
        <f>IFERROR(__xludf.DUMMYFUNCTION("""COMPUTED_VALUE"""),"291105")</f>
        <v>291105</v>
      </c>
      <c r="I2052" s="1" t="str">
        <f>IFERROR(__xludf.DUMMYFUNCTION("""COMPUTED_VALUE"""),"นายสราวุฒิ พณิชยกุล")</f>
        <v>นายสราวุฒิ พณิชยกุล</v>
      </c>
      <c r="J2052" s="3">
        <f>IFERROR(__xludf.DUMMYFUNCTION("""COMPUTED_VALUE"""),3510104.0)</f>
        <v>3510104</v>
      </c>
      <c r="K2052" s="3" t="str">
        <f>IFERROR(__xludf.DUMMYFUNCTION("""COMPUTED_VALUE"""),"นายวิโรจน์ อับดุลสมัด")</f>
        <v>นายวิโรจน์ อับดุลสมัด</v>
      </c>
      <c r="L2052" s="1" t="str">
        <f>IFERROR(__xludf.DUMMYFUNCTION("""COMPUTED_VALUE"""),"09 K.Wirode A")</f>
        <v>09 K.Wirode A</v>
      </c>
      <c r="M2052" s="1" t="str">
        <f>IFERROR(__xludf.DUMMYFUNCTION("""COMPUTED_VALUE"""),"080-235-4465")</f>
        <v>080-235-4465</v>
      </c>
      <c r="N2052" s="3">
        <f>IFERROR(__xludf.DUMMYFUNCTION("""COMPUTED_VALUE"""),21324.0)</f>
        <v>21324</v>
      </c>
      <c r="O2052" s="3" t="str">
        <f>IFERROR(__xludf.DUMMYFUNCTION("""COMPUTED_VALUE"""),"MBC BCP สุวินทวงศ์")</f>
        <v>MBC BCP สุวินทวงศ์</v>
      </c>
      <c r="P2052" s="4">
        <f>IFERROR(__xludf.DUMMYFUNCTION("""COMPUTED_VALUE"""),42793.0)</f>
        <v>42793</v>
      </c>
      <c r="Q2052" s="3" t="str">
        <f>IFERROR(__xludf.DUMMYFUNCTION("""COMPUTED_VALUE"""),"I")</f>
        <v>I</v>
      </c>
      <c r="R2052" s="3" t="str">
        <f>IFERROR(__xludf.DUMMYFUNCTION("""COMPUTED_VALUE"""),"Small Format")</f>
        <v>Small Format</v>
      </c>
      <c r="S2052" s="3" t="str">
        <f>IFERROR(__xludf.DUMMYFUNCTION("""COMPUTED_VALUE"""),"BCM(FC)")</f>
        <v>BCM(FC)</v>
      </c>
      <c r="T2052" s="3" t="str">
        <f>IFERROR(__xludf.DUMMYFUNCTION("""COMPUTED_VALUE"""),"#N/A")</f>
        <v>#N/A</v>
      </c>
      <c r="U2052" s="3" t="str">
        <f>IFERROR(__xludf.DUMMYFUNCTION("""COMPUTED_VALUE"""),"#N/A")</f>
        <v>#N/A</v>
      </c>
      <c r="V2052" s="3" t="str">
        <f>IFERROR(__xludf.DUMMYFUNCTION("""COMPUTED_VALUE"""),"Y")</f>
        <v>Y</v>
      </c>
      <c r="W2052" s="3">
        <f>IFERROR(__xludf.DUMMYFUNCTION("""COMPUTED_VALUE"""),0.0)</f>
        <v>0</v>
      </c>
      <c r="X2052" s="3" t="str">
        <f>IFERROR(__xludf.DUMMYFUNCTION("""COMPUTED_VALUE"""),"865 หมู่ 2 ตำบลสำโรงเหนือ อำเภอเมืองสมุทรปราการ จังหวัดสมุทรปราการ 10270")</f>
        <v>865 หมู่ 2 ตำบลสำโรงเหนือ อำเภอเมืองสมุทรปราการ จังหวัดสมุทรปราการ 10270</v>
      </c>
      <c r="Y2052" s="3"/>
      <c r="Z2052" s="3" t="str">
        <f>IFERROR(__xludf.DUMMYFUNCTION("""COMPUTED_VALUE"""),"สำโรงเหนือ")</f>
        <v>สำโรงเหนือ</v>
      </c>
      <c r="AA2052" s="3" t="str">
        <f>IFERROR(__xludf.DUMMYFUNCTION("""COMPUTED_VALUE"""),"เมืองสมุทรปราการ")</f>
        <v>เมืองสมุทรปราการ</v>
      </c>
      <c r="AB2052" s="3" t="str">
        <f>IFERROR(__xludf.DUMMYFUNCTION("""COMPUTED_VALUE"""),"สมุทรปราการ")</f>
        <v>สมุทรปราการ</v>
      </c>
      <c r="AC2052" s="3">
        <f>IFERROR(__xludf.DUMMYFUNCTION("""COMPUTED_VALUE"""),10270.0)</f>
        <v>10270</v>
      </c>
      <c r="AD2052" s="3" t="str">
        <f>IFERROR(__xludf.DUMMYFUNCTION("""COMPUTED_VALUE"""),"#N/A")</f>
        <v>#N/A</v>
      </c>
      <c r="AE2052" s="3" t="str">
        <f>IFERROR(__xludf.DUMMYFUNCTION("""COMPUTED_VALUE"""),"#N/A")</f>
        <v>#N/A</v>
      </c>
      <c r="AF2052" s="3" t="str">
        <f>IFERROR(__xludf.DUMMYFUNCTION("""COMPUTED_VALUE"""),"MFC แบริ่ง 48/3-31040")</f>
        <v>MFC แบริ่ง 48/3-31040</v>
      </c>
      <c r="AG2052" s="3" t="str">
        <f>IFERROR(__xludf.DUMMYFUNCTION("""COMPUTED_VALUE"""),"กลาง")</f>
        <v>กลาง</v>
      </c>
      <c r="AH2052" s="3" t="str">
        <f>IFERROR(__xludf.DUMMYFUNCTION("""COMPUTED_VALUE"""),"#N/A")</f>
        <v>#N/A</v>
      </c>
      <c r="AI2052" s="3" t="str">
        <f>IFERROR(__xludf.DUMMYFUNCTION("""COMPUTED_VALUE"""),"Out of warranty")</f>
        <v>Out of warranty</v>
      </c>
      <c r="AJ2052" s="3">
        <f>IFERROR(__xludf.DUMMYFUNCTION("""COMPUTED_VALUE"""),107.0)</f>
        <v>107</v>
      </c>
      <c r="AK2052" s="3"/>
      <c r="AL2052" s="3"/>
    </row>
    <row r="2053" ht="15.75" customHeight="1">
      <c r="A2053" s="1" t="str">
        <f>IFERROR(__xludf.DUMMYFUNCTION("""COMPUTED_VALUE"""),"31041")</f>
        <v>31041</v>
      </c>
      <c r="B2053" s="2">
        <f>IFERROR(__xludf.DUMMYFUNCTION("""COMPUTED_VALUE"""),31041.0)</f>
        <v>31041</v>
      </c>
      <c r="C2053" s="3" t="str">
        <f>IFERROR(__xludf.DUMMYFUNCTION("""COMPUTED_VALUE"""),"MFC เชลล์ มิตรภาพ กม.92")</f>
        <v>MFC เชลล์ มิตรภาพ กม.92</v>
      </c>
      <c r="D2053" s="3" t="str">
        <f>IFERROR(__xludf.DUMMYFUNCTION("""COMPUTED_VALUE"""),"MFC SHELL MITTRAPHAP KM.92")</f>
        <v>MFC SHELL MITTRAPHAP KM.92</v>
      </c>
      <c r="E2053" s="1" t="str">
        <f>IFERROR(__xludf.DUMMYFUNCTION("""COMPUTED_VALUE"""),"บิ๊กซี MINI")</f>
        <v>บิ๊กซี MINI</v>
      </c>
      <c r="F2053" s="1" t="str">
        <f>IFERROR(__xludf.DUMMYFUNCTION("""COMPUTED_VALUE"""),"291100")</f>
        <v>291100</v>
      </c>
      <c r="G2053" s="1" t="str">
        <f>IFERROR(__xludf.DUMMYFUNCTION("""COMPUTED_VALUE"""),"น.ส.จารุณี ฮวบอินทร์")</f>
        <v>น.ส.จารุณี ฮวบอินทร์</v>
      </c>
      <c r="H2053" s="1" t="str">
        <f>IFERROR(__xludf.DUMMYFUNCTION("""COMPUTED_VALUE"""),"180347")</f>
        <v>180347</v>
      </c>
      <c r="I2053" s="1" t="str">
        <f>IFERROR(__xludf.DUMMYFUNCTION("""COMPUTED_VALUE"""),"นายณัฐพงษ์ สุตะวงค์")</f>
        <v>นายณัฐพงษ์ สุตะวงค์</v>
      </c>
      <c r="J2053" s="3">
        <f>IFERROR(__xludf.DUMMYFUNCTION("""COMPUTED_VALUE"""),295886.0)</f>
        <v>295886</v>
      </c>
      <c r="K2053" s="3" t="str">
        <f>IFERROR(__xludf.DUMMYFUNCTION("""COMPUTED_VALUE"""),"นายจิระพงษ์ โพธิ์นิล")</f>
        <v>นายจิระพงษ์ โพธิ์นิล</v>
      </c>
      <c r="L2053" s="1" t="str">
        <f>IFERROR(__xludf.DUMMYFUNCTION("""COMPUTED_VALUE"""),"นายจิระพงษ์ โพธิ์นิล")</f>
        <v>นายจิระพงษ์ โพธิ์นิล</v>
      </c>
      <c r="M2053" s="1" t="str">
        <f>IFERROR(__xludf.DUMMYFUNCTION("""COMPUTED_VALUE"""),"0933290754")</f>
        <v>0933290754</v>
      </c>
      <c r="N2053" s="3">
        <f>IFERROR(__xludf.DUMMYFUNCTION("""COMPUTED_VALUE"""),21465.0)</f>
        <v>21465</v>
      </c>
      <c r="O2053" s="3" t="str">
        <f>IFERROR(__xludf.DUMMYFUNCTION("""COMPUTED_VALUE"""),"MBC สถานีตำรวจอุดร")</f>
        <v>MBC สถานีตำรวจอุดร</v>
      </c>
      <c r="P2053" s="4">
        <f>IFERROR(__xludf.DUMMYFUNCTION("""COMPUTED_VALUE"""),42823.0)</f>
        <v>42823</v>
      </c>
      <c r="Q2053" s="3" t="str">
        <f>IFERROR(__xludf.DUMMYFUNCTION("""COMPUTED_VALUE"""),"I")</f>
        <v>I</v>
      </c>
      <c r="R2053" s="3" t="str">
        <f>IFERROR(__xludf.DUMMYFUNCTION("""COMPUTED_VALUE"""),"Small Format")</f>
        <v>Small Format</v>
      </c>
      <c r="S2053" s="3" t="str">
        <f>IFERROR(__xludf.DUMMYFUNCTION("""COMPUTED_VALUE"""),"BCM(FC)")</f>
        <v>BCM(FC)</v>
      </c>
      <c r="T2053" s="3" t="str">
        <f>IFERROR(__xludf.DUMMYFUNCTION("""COMPUTED_VALUE"""),"#N/A")</f>
        <v>#N/A</v>
      </c>
      <c r="U2053" s="3" t="str">
        <f>IFERROR(__xludf.DUMMYFUNCTION("""COMPUTED_VALUE"""),"#N/A")</f>
        <v>#N/A</v>
      </c>
      <c r="V2053" s="3" t="str">
        <f>IFERROR(__xludf.DUMMYFUNCTION("""COMPUTED_VALUE"""),"Y")</f>
        <v>Y</v>
      </c>
      <c r="W2053" s="3">
        <f>IFERROR(__xludf.DUMMYFUNCTION("""COMPUTED_VALUE"""),0.0)</f>
        <v>0</v>
      </c>
      <c r="X2053" s="3" t="str">
        <f>IFERROR(__xludf.DUMMYFUNCTION("""COMPUTED_VALUE"""),"58 หมู่ 12 ตำบลลาดบัวขาว อำเภอสีคิ้ว จังหวัดนครราชสีมา 30340")</f>
        <v>58 หมู่ 12 ตำบลลาดบัวขาว อำเภอสีคิ้ว จังหวัดนครราชสีมา 30340</v>
      </c>
      <c r="Y2053" s="3"/>
      <c r="Z2053" s="3" t="str">
        <f>IFERROR(__xludf.DUMMYFUNCTION("""COMPUTED_VALUE"""),"ลาดบัวขาว")</f>
        <v>ลาดบัวขาว</v>
      </c>
      <c r="AA2053" s="3" t="str">
        <f>IFERROR(__xludf.DUMMYFUNCTION("""COMPUTED_VALUE"""),"สีคิ้ว")</f>
        <v>สีคิ้ว</v>
      </c>
      <c r="AB2053" s="3" t="str">
        <f>IFERROR(__xludf.DUMMYFUNCTION("""COMPUTED_VALUE"""),"นครราชสีมา")</f>
        <v>นครราชสีมา</v>
      </c>
      <c r="AC2053" s="3">
        <f>IFERROR(__xludf.DUMMYFUNCTION("""COMPUTED_VALUE"""),30340.0)</f>
        <v>30340</v>
      </c>
      <c r="AD2053" s="3" t="str">
        <f>IFERROR(__xludf.DUMMYFUNCTION("""COMPUTED_VALUE"""),"#N/A")</f>
        <v>#N/A</v>
      </c>
      <c r="AE2053" s="3" t="str">
        <f>IFERROR(__xludf.DUMMYFUNCTION("""COMPUTED_VALUE"""),"#N/A")</f>
        <v>#N/A</v>
      </c>
      <c r="AF2053" s="3" t="str">
        <f>IFERROR(__xludf.DUMMYFUNCTION("""COMPUTED_VALUE"""),"MFC เชลล์ มิตรภาพ กม.92-31041")</f>
        <v>MFC เชลล์ มิตรภาพ กม.92-31041</v>
      </c>
      <c r="AG2053" s="3" t="str">
        <f>IFERROR(__xludf.DUMMYFUNCTION("""COMPUTED_VALUE"""),"ตะวันออกเฉียงเหนือ")</f>
        <v>ตะวันออกเฉียงเหนือ</v>
      </c>
      <c r="AH2053" s="3" t="str">
        <f>IFERROR(__xludf.DUMMYFUNCTION("""COMPUTED_VALUE"""),"#N/A")</f>
        <v>#N/A</v>
      </c>
      <c r="AI2053" s="3" t="str">
        <f>IFERROR(__xludf.DUMMYFUNCTION("""COMPUTED_VALUE"""),"Out of warranty")</f>
        <v>Out of warranty</v>
      </c>
      <c r="AJ2053" s="3">
        <f>IFERROR(__xludf.DUMMYFUNCTION("""COMPUTED_VALUE"""),106.0)</f>
        <v>106</v>
      </c>
      <c r="AK2053" s="3"/>
      <c r="AL2053" s="3"/>
    </row>
    <row r="2054" ht="15.75" customHeight="1">
      <c r="A2054" s="1" t="str">
        <f>IFERROR(__xludf.DUMMYFUNCTION("""COMPUTED_VALUE"""),"31042")</f>
        <v>31042</v>
      </c>
      <c r="B2054" s="2">
        <f>IFERROR(__xludf.DUMMYFUNCTION("""COMPUTED_VALUE"""),31042.0)</f>
        <v>31042</v>
      </c>
      <c r="C2054" s="3" t="str">
        <f>IFERROR(__xludf.DUMMYFUNCTION("""COMPUTED_VALUE"""),"BCM FC BCP หนองไผ่ ขอนแก่น")</f>
        <v>BCM FC BCP หนองไผ่ ขอนแก่น</v>
      </c>
      <c r="D2054" s="3" t="str">
        <f>IFERROR(__xludf.DUMMYFUNCTION("""COMPUTED_VALUE"""),"BCM BCP-NONGPHAI KHONKAEN")</f>
        <v>BCM BCP-NONGPHAI KHONKAEN</v>
      </c>
      <c r="E2054" s="1" t="str">
        <f>IFERROR(__xludf.DUMMYFUNCTION("""COMPUTED_VALUE"""),"บิ๊กซี MINI")</f>
        <v>บิ๊กซี MINI</v>
      </c>
      <c r="F2054" s="1" t="str">
        <f>IFERROR(__xludf.DUMMYFUNCTION("""COMPUTED_VALUE"""),"291105")</f>
        <v>291105</v>
      </c>
      <c r="G2054" s="1" t="str">
        <f>IFERROR(__xludf.DUMMYFUNCTION("""COMPUTED_VALUE"""),"นายสราวุฒิ พณิชยกุล")</f>
        <v>นายสราวุฒิ พณิชยกุล</v>
      </c>
      <c r="H2054" s="1" t="str">
        <f>IFERROR(__xludf.DUMMYFUNCTION("""COMPUTED_VALUE"""),"371396")</f>
        <v>371396</v>
      </c>
      <c r="I2054" s="1" t="str">
        <f>IFERROR(__xludf.DUMMYFUNCTION("""COMPUTED_VALUE"""),"น.ส.สุภาวดี วิลัยพร")</f>
        <v>น.ส.สุภาวดี วิลัยพร</v>
      </c>
      <c r="J2054" s="3">
        <f>IFERROR(__xludf.DUMMYFUNCTION("""COMPUTED_VALUE"""),15361.0)</f>
        <v>15361</v>
      </c>
      <c r="K2054" s="3" t="str">
        <f>IFERROR(__xludf.DUMMYFUNCTION("""COMPUTED_VALUE"""),"นายสมบูรณ์ พรหมในเมือง")</f>
        <v>นายสมบูรณ์ พรหมในเมือง</v>
      </c>
      <c r="L2054" s="1" t="str">
        <f>IFERROR(__xludf.DUMMYFUNCTION("""COMPUTED_VALUE"""),"04 K.Somboon P.")</f>
        <v>04 K.Somboon P.</v>
      </c>
      <c r="M2054" s="1" t="str">
        <f>IFERROR(__xludf.DUMMYFUNCTION("""COMPUTED_VALUE"""),"087-965-3051")</f>
        <v>087-965-3051</v>
      </c>
      <c r="N2054" s="3">
        <f>IFERROR(__xludf.DUMMYFUNCTION("""COMPUTED_VALUE"""),21869.0)</f>
        <v>21869</v>
      </c>
      <c r="O2054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2054" s="4">
        <f>IFERROR(__xludf.DUMMYFUNCTION("""COMPUTED_VALUE"""),42827.0)</f>
        <v>42827</v>
      </c>
      <c r="Q2054" s="3" t="str">
        <f>IFERROR(__xludf.DUMMYFUNCTION("""COMPUTED_VALUE"""),"A")</f>
        <v>A</v>
      </c>
      <c r="R2054" s="3" t="str">
        <f>IFERROR(__xludf.DUMMYFUNCTION("""COMPUTED_VALUE"""),"Small Format")</f>
        <v>Small Format</v>
      </c>
      <c r="S2054" s="3" t="str">
        <f>IFERROR(__xludf.DUMMYFUNCTION("""COMPUTED_VALUE"""),"BCM(FC)")</f>
        <v>BCM(FC)</v>
      </c>
      <c r="T2054" s="3" t="str">
        <f>IFERROR(__xludf.DUMMYFUNCTION("""COMPUTED_VALUE"""),"#N/A")</f>
        <v>#N/A</v>
      </c>
      <c r="U2054" s="3" t="str">
        <f>IFERROR(__xludf.DUMMYFUNCTION("""COMPUTED_VALUE"""),"#N/A")</f>
        <v>#N/A</v>
      </c>
      <c r="V2054" s="3" t="str">
        <f>IFERROR(__xludf.DUMMYFUNCTION("""COMPUTED_VALUE"""),"Y")</f>
        <v>Y</v>
      </c>
      <c r="W2054" s="3">
        <f>IFERROR(__xludf.DUMMYFUNCTION("""COMPUTED_VALUE"""),811091.0)</f>
        <v>811091</v>
      </c>
      <c r="X2054" s="3" t="str">
        <f>IFERROR(__xludf.DUMMYFUNCTION("""COMPUTED_VALUE"""),"283 หมู่ 7 ตำบลหนองไผ่ อำเภอชุมแพ จังหวัดขอนแก่น 40130")</f>
        <v>283 หมู่ 7 ตำบลหนองไผ่ อำเภอชุมแพ จังหวัดขอนแก่น 40130</v>
      </c>
      <c r="Y2054" s="3"/>
      <c r="Z2054" s="3" t="str">
        <f>IFERROR(__xludf.DUMMYFUNCTION("""COMPUTED_VALUE"""),"หนองไผ่")</f>
        <v>หนองไผ่</v>
      </c>
      <c r="AA2054" s="3" t="str">
        <f>IFERROR(__xludf.DUMMYFUNCTION("""COMPUTED_VALUE"""),"ชุมแพ")</f>
        <v>ชุมแพ</v>
      </c>
      <c r="AB2054" s="3" t="str">
        <f>IFERROR(__xludf.DUMMYFUNCTION("""COMPUTED_VALUE"""),"ขอนแก่น")</f>
        <v>ขอนแก่น</v>
      </c>
      <c r="AC2054" s="3">
        <f>IFERROR(__xludf.DUMMYFUNCTION("""COMPUTED_VALUE"""),40130.0)</f>
        <v>40130</v>
      </c>
      <c r="AD2054" s="3">
        <f>IFERROR(__xludf.DUMMYFUNCTION("""COMPUTED_VALUE"""),16.534271)</f>
        <v>16.534271</v>
      </c>
      <c r="AE2054" s="3">
        <f>IFERROR(__xludf.DUMMYFUNCTION("""COMPUTED_VALUE"""),102.1237973)</f>
        <v>102.1237973</v>
      </c>
      <c r="AF2054" s="3" t="str">
        <f>IFERROR(__xludf.DUMMYFUNCTION("""COMPUTED_VALUE"""),"BCM FC BCP หนองไผ่ ขอนแก่น-31042")</f>
        <v>BCM FC BCP หนองไผ่ ขอนแก่น-31042</v>
      </c>
      <c r="AG2054" s="3" t="str">
        <f>IFERROR(__xludf.DUMMYFUNCTION("""COMPUTED_VALUE"""),"ตะวันออกเฉียงเหนือ")</f>
        <v>ตะวันออกเฉียงเหนือ</v>
      </c>
      <c r="AH2054" s="3" t="str">
        <f>IFERROR(__xludf.DUMMYFUNCTION("""COMPUTED_VALUE"""),"#N/A")</f>
        <v>#N/A</v>
      </c>
      <c r="AI2054" s="3" t="str">
        <f>IFERROR(__xludf.DUMMYFUNCTION("""COMPUTED_VALUE"""),"Out of warranty")</f>
        <v>Out of warranty</v>
      </c>
      <c r="AJ2054" s="3">
        <f>IFERROR(__xludf.DUMMYFUNCTION("""COMPUTED_VALUE"""),106.0)</f>
        <v>106</v>
      </c>
      <c r="AK2054" s="3"/>
      <c r="AL2054" s="3"/>
    </row>
    <row r="2055" ht="15.75" customHeight="1">
      <c r="A2055" s="1" t="str">
        <f>IFERROR(__xludf.DUMMYFUNCTION("""COMPUTED_VALUE"""),"31043")</f>
        <v>31043</v>
      </c>
      <c r="B2055" s="2">
        <f>IFERROR(__xludf.DUMMYFUNCTION("""COMPUTED_VALUE"""),31043.0)</f>
        <v>31043</v>
      </c>
      <c r="C2055" s="3" t="str">
        <f>IFERROR(__xludf.DUMMYFUNCTION("""COMPUTED_VALUE"""),"MFC ประตูน้ำ ขอนแก่น")</f>
        <v>MFC ประตูน้ำ ขอนแก่น</v>
      </c>
      <c r="D2055" s="3" t="str">
        <f>IFERROR(__xludf.DUMMYFUNCTION("""COMPUTED_VALUE"""),"MFC OV TRADING(6)")</f>
        <v>MFC OV TRADING(6)</v>
      </c>
      <c r="E2055" s="1" t="str">
        <f>IFERROR(__xludf.DUMMYFUNCTION("""COMPUTED_VALUE"""),"บิ๊กซี MINI")</f>
        <v>บิ๊กซี MINI</v>
      </c>
      <c r="F2055" s="1" t="str">
        <f>IFERROR(__xludf.DUMMYFUNCTION("""COMPUTED_VALUE"""),"291100")</f>
        <v>291100</v>
      </c>
      <c r="G2055" s="1" t="str">
        <f>IFERROR(__xludf.DUMMYFUNCTION("""COMPUTED_VALUE"""),"น.ส.จารุณี ฮวบอินทร์")</f>
        <v>น.ส.จารุณี ฮวบอินทร์</v>
      </c>
      <c r="H2055" s="1" t="str">
        <f>IFERROR(__xludf.DUMMYFUNCTION("""COMPUTED_VALUE"""),"305119")</f>
        <v>305119</v>
      </c>
      <c r="I2055" s="1" t="str">
        <f>IFERROR(__xludf.DUMMYFUNCTION("""COMPUTED_VALUE"""),"นายไชยกร ลีพิบูลย์สวัสดิ์")</f>
        <v>นายไชยกร ลีพิบูลย์สวัสดิ์</v>
      </c>
      <c r="J2055" s="3">
        <f>IFERROR(__xludf.DUMMYFUNCTION("""COMPUTED_VALUE"""),295886.0)</f>
        <v>295886</v>
      </c>
      <c r="K2055" s="3" t="str">
        <f>IFERROR(__xludf.DUMMYFUNCTION("""COMPUTED_VALUE"""),"นายจิระพงษ์ โพธิ์นิล")</f>
        <v>นายจิระพงษ์ โพธิ์นิล</v>
      </c>
      <c r="L2055" s="1" t="str">
        <f>IFERROR(__xludf.DUMMYFUNCTION("""COMPUTED_VALUE"""),"นายจิระพงษ์ โพธิ์นิล")</f>
        <v>นายจิระพงษ์ โพธิ์นิล</v>
      </c>
      <c r="M2055" s="1" t="str">
        <f>IFERROR(__xludf.DUMMYFUNCTION("""COMPUTED_VALUE"""),"0933290754")</f>
        <v>0933290754</v>
      </c>
      <c r="N2055" s="3">
        <f>IFERROR(__xludf.DUMMYFUNCTION("""COMPUTED_VALUE"""),21465.0)</f>
        <v>21465</v>
      </c>
      <c r="O2055" s="3" t="str">
        <f>IFERROR(__xludf.DUMMYFUNCTION("""COMPUTED_VALUE"""),"MBC สถานีตำรวจอุดร")</f>
        <v>MBC สถานีตำรวจอุดร</v>
      </c>
      <c r="P2055" s="4">
        <f>IFERROR(__xludf.DUMMYFUNCTION("""COMPUTED_VALUE"""),42832.0)</f>
        <v>42832</v>
      </c>
      <c r="Q2055" s="3" t="str">
        <f>IFERROR(__xludf.DUMMYFUNCTION("""COMPUTED_VALUE"""),"I")</f>
        <v>I</v>
      </c>
      <c r="R2055" s="3" t="str">
        <f>IFERROR(__xludf.DUMMYFUNCTION("""COMPUTED_VALUE"""),"Small Format")</f>
        <v>Small Format</v>
      </c>
      <c r="S2055" s="3" t="str">
        <f>IFERROR(__xludf.DUMMYFUNCTION("""COMPUTED_VALUE"""),"BCM(FC)")</f>
        <v>BCM(FC)</v>
      </c>
      <c r="T2055" s="3" t="str">
        <f>IFERROR(__xludf.DUMMYFUNCTION("""COMPUTED_VALUE"""),"#N/A")</f>
        <v>#N/A</v>
      </c>
      <c r="U2055" s="3" t="str">
        <f>IFERROR(__xludf.DUMMYFUNCTION("""COMPUTED_VALUE"""),"#N/A")</f>
        <v>#N/A</v>
      </c>
      <c r="V2055" s="3" t="str">
        <f>IFERROR(__xludf.DUMMYFUNCTION("""COMPUTED_VALUE"""),"Y")</f>
        <v>Y</v>
      </c>
      <c r="W2055" s="3">
        <f>IFERROR(__xludf.DUMMYFUNCTION("""COMPUTED_VALUE"""),0.0)</f>
        <v>0</v>
      </c>
      <c r="X2055" s="3" t="str">
        <f>IFERROR(__xludf.DUMMYFUNCTION("""COMPUTED_VALUE"""),"456/492 หมู่ 12 ตำบลเมืองเก่า อำเภอเมืองขอนแก่น จังหวัดขอนแก่น 40000")</f>
        <v>456/492 หมู่ 12 ตำบลเมืองเก่า อำเภอเมืองขอนแก่น จังหวัดขอนแก่น 40000</v>
      </c>
      <c r="Y2055" s="3"/>
      <c r="Z2055" s="3" t="str">
        <f>IFERROR(__xludf.DUMMYFUNCTION("""COMPUTED_VALUE"""),"เมืองเก่า")</f>
        <v>เมืองเก่า</v>
      </c>
      <c r="AA2055" s="3" t="str">
        <f>IFERROR(__xludf.DUMMYFUNCTION("""COMPUTED_VALUE"""),"เมือง")</f>
        <v>เมือง</v>
      </c>
      <c r="AB2055" s="3" t="str">
        <f>IFERROR(__xludf.DUMMYFUNCTION("""COMPUTED_VALUE"""),"ขอนแก่น")</f>
        <v>ขอนแก่น</v>
      </c>
      <c r="AC2055" s="3">
        <f>IFERROR(__xludf.DUMMYFUNCTION("""COMPUTED_VALUE"""),40000.0)</f>
        <v>40000</v>
      </c>
      <c r="AD2055" s="3" t="str">
        <f>IFERROR(__xludf.DUMMYFUNCTION("""COMPUTED_VALUE"""),"#N/A")</f>
        <v>#N/A</v>
      </c>
      <c r="AE2055" s="3" t="str">
        <f>IFERROR(__xludf.DUMMYFUNCTION("""COMPUTED_VALUE"""),"#N/A")</f>
        <v>#N/A</v>
      </c>
      <c r="AF2055" s="3" t="str">
        <f>IFERROR(__xludf.DUMMYFUNCTION("""COMPUTED_VALUE"""),"MFC ประตูน้ำ ขอนแก่น-31043")</f>
        <v>MFC ประตูน้ำ ขอนแก่น-31043</v>
      </c>
      <c r="AG2055" s="3" t="str">
        <f>IFERROR(__xludf.DUMMYFUNCTION("""COMPUTED_VALUE"""),"ตะวันออกเฉียงเหนือ")</f>
        <v>ตะวันออกเฉียงเหนือ</v>
      </c>
      <c r="AH2055" s="3" t="str">
        <f>IFERROR(__xludf.DUMMYFUNCTION("""COMPUTED_VALUE"""),"#N/A")</f>
        <v>#N/A</v>
      </c>
      <c r="AI2055" s="3" t="str">
        <f>IFERROR(__xludf.DUMMYFUNCTION("""COMPUTED_VALUE"""),"Out of warranty")</f>
        <v>Out of warranty</v>
      </c>
      <c r="AJ2055" s="3">
        <f>IFERROR(__xludf.DUMMYFUNCTION("""COMPUTED_VALUE"""),106.0)</f>
        <v>106</v>
      </c>
      <c r="AK2055" s="3"/>
      <c r="AL2055" s="3"/>
    </row>
    <row r="2056" ht="15.75" customHeight="1">
      <c r="A2056" s="1" t="str">
        <f>IFERROR(__xludf.DUMMYFUNCTION("""COMPUTED_VALUE"""),"31044")</f>
        <v>31044</v>
      </c>
      <c r="B2056" s="2">
        <f>IFERROR(__xludf.DUMMYFUNCTION("""COMPUTED_VALUE"""),31044.0)</f>
        <v>31044</v>
      </c>
      <c r="C2056" s="3" t="str">
        <f>IFERROR(__xludf.DUMMYFUNCTION("""COMPUTED_VALUE"""),"BCM FC Shell นิคมสุรนารี")</f>
        <v>BCM FC Shell นิคมสุรนารี</v>
      </c>
      <c r="D2056" s="3" t="str">
        <f>IFERROR(__xludf.DUMMYFUNCTION("""COMPUTED_VALUE"""),"BCM SHELL-NIKOM SURANAREE")</f>
        <v>BCM SHELL-NIKOM SURANAREE</v>
      </c>
      <c r="E2056" s="1" t="str">
        <f>IFERROR(__xludf.DUMMYFUNCTION("""COMPUTED_VALUE"""),"บิ๊กซี MINI")</f>
        <v>บิ๊กซี MINI</v>
      </c>
      <c r="F2056" s="1" t="str">
        <f>IFERROR(__xludf.DUMMYFUNCTION("""COMPUTED_VALUE"""),"291105")</f>
        <v>291105</v>
      </c>
      <c r="G2056" s="1" t="str">
        <f>IFERROR(__xludf.DUMMYFUNCTION("""COMPUTED_VALUE"""),"นายสราวุฒิ พณิชยกุล")</f>
        <v>นายสราวุฒิ พณิชยกุล</v>
      </c>
      <c r="H2056" s="1" t="str">
        <f>IFERROR(__xludf.DUMMYFUNCTION("""COMPUTED_VALUE"""),"281315")</f>
        <v>281315</v>
      </c>
      <c r="I2056" s="1" t="str">
        <f>IFERROR(__xludf.DUMMYFUNCTION("""COMPUTED_VALUE"""),"นายกิตติพงษ์ มั่นคง")</f>
        <v>นายกิตติพงษ์ มั่นคง</v>
      </c>
      <c r="J2056" s="3">
        <f>IFERROR(__xludf.DUMMYFUNCTION("""COMPUTED_VALUE"""),15361.0)</f>
        <v>15361</v>
      </c>
      <c r="K2056" s="3" t="str">
        <f>IFERROR(__xludf.DUMMYFUNCTION("""COMPUTED_VALUE"""),"นายสมบูรณ์ พรหมในเมือง")</f>
        <v>นายสมบูรณ์ พรหมในเมือง</v>
      </c>
      <c r="L2056" s="1" t="str">
        <f>IFERROR(__xludf.DUMMYFUNCTION("""COMPUTED_VALUE"""),"04 K.Somboon P.")</f>
        <v>04 K.Somboon P.</v>
      </c>
      <c r="M2056" s="1" t="str">
        <f>IFERROR(__xludf.DUMMYFUNCTION("""COMPUTED_VALUE"""),"087-965-3051")</f>
        <v>087-965-3051</v>
      </c>
      <c r="N2056" s="3">
        <f>IFERROR(__xludf.DUMMYFUNCTION("""COMPUTED_VALUE"""),21869.0)</f>
        <v>21869</v>
      </c>
      <c r="O2056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2056" s="4">
        <f>IFERROR(__xludf.DUMMYFUNCTION("""COMPUTED_VALUE"""),42858.0)</f>
        <v>42858</v>
      </c>
      <c r="Q2056" s="3" t="str">
        <f>IFERROR(__xludf.DUMMYFUNCTION("""COMPUTED_VALUE"""),"A")</f>
        <v>A</v>
      </c>
      <c r="R2056" s="3" t="str">
        <f>IFERROR(__xludf.DUMMYFUNCTION("""COMPUTED_VALUE"""),"Small Format")</f>
        <v>Small Format</v>
      </c>
      <c r="S2056" s="3" t="str">
        <f>IFERROR(__xludf.DUMMYFUNCTION("""COMPUTED_VALUE"""),"BCM(FC)")</f>
        <v>BCM(FC)</v>
      </c>
      <c r="T2056" s="3" t="str">
        <f>IFERROR(__xludf.DUMMYFUNCTION("""COMPUTED_VALUE"""),"#N/A")</f>
        <v>#N/A</v>
      </c>
      <c r="U2056" s="3" t="str">
        <f>IFERROR(__xludf.DUMMYFUNCTION("""COMPUTED_VALUE"""),"#N/A")</f>
        <v>#N/A</v>
      </c>
      <c r="V2056" s="3" t="str">
        <f>IFERROR(__xludf.DUMMYFUNCTION("""COMPUTED_VALUE"""),"Y")</f>
        <v>Y</v>
      </c>
      <c r="W2056" s="3">
        <f>IFERROR(__xludf.DUMMYFUNCTION("""COMPUTED_VALUE"""),811075.0)</f>
        <v>811075</v>
      </c>
      <c r="X2056" s="3" t="str">
        <f>IFERROR(__xludf.DUMMYFUNCTION("""COMPUTED_VALUE"""),"888/1 หมู่ 3 ตำบลหนองบัวศาลา อำเภอเมืองนครราชสีมา จังหวัดนครราชสีมา 30000")</f>
        <v>888/1 หมู่ 3 ตำบลหนองบัวศาลา อำเภอเมืองนครราชสีมา จังหวัดนครราชสีมา 30000</v>
      </c>
      <c r="Y2056" s="3"/>
      <c r="Z2056" s="3" t="str">
        <f>IFERROR(__xludf.DUMMYFUNCTION("""COMPUTED_VALUE"""),"หนองบัวศาลา")</f>
        <v>หนองบัวศาลา</v>
      </c>
      <c r="AA2056" s="3" t="str">
        <f>IFERROR(__xludf.DUMMYFUNCTION("""COMPUTED_VALUE"""),"เมือง")</f>
        <v>เมือง</v>
      </c>
      <c r="AB2056" s="3" t="str">
        <f>IFERROR(__xludf.DUMMYFUNCTION("""COMPUTED_VALUE"""),"นครราชสีมา")</f>
        <v>นครราชสีมา</v>
      </c>
      <c r="AC2056" s="3">
        <f>IFERROR(__xludf.DUMMYFUNCTION("""COMPUTED_VALUE"""),30000.0)</f>
        <v>30000</v>
      </c>
      <c r="AD2056" s="3">
        <f>IFERROR(__xludf.DUMMYFUNCTION("""COMPUTED_VALUE"""),14.914651)</f>
        <v>14.914651</v>
      </c>
      <c r="AE2056" s="3">
        <f>IFERROR(__xludf.DUMMYFUNCTION("""COMPUTED_VALUE"""),102.149744)</f>
        <v>102.149744</v>
      </c>
      <c r="AF2056" s="3" t="str">
        <f>IFERROR(__xludf.DUMMYFUNCTION("""COMPUTED_VALUE"""),"BCM FC Shell นิคมสุรนารี-31044")</f>
        <v>BCM FC Shell นิคมสุรนารี-31044</v>
      </c>
      <c r="AG2056" s="3" t="str">
        <f>IFERROR(__xludf.DUMMYFUNCTION("""COMPUTED_VALUE"""),"ตะวันออกเฉียงเหนือ")</f>
        <v>ตะวันออกเฉียงเหนือ</v>
      </c>
      <c r="AH2056" s="3" t="str">
        <f>IFERROR(__xludf.DUMMYFUNCTION("""COMPUTED_VALUE"""),"#N/A")</f>
        <v>#N/A</v>
      </c>
      <c r="AI2056" s="3" t="str">
        <f>IFERROR(__xludf.DUMMYFUNCTION("""COMPUTED_VALUE"""),"Out of warranty")</f>
        <v>Out of warranty</v>
      </c>
      <c r="AJ2056" s="3">
        <f>IFERROR(__xludf.DUMMYFUNCTION("""COMPUTED_VALUE"""),105.0)</f>
        <v>105</v>
      </c>
      <c r="AK2056" s="3"/>
      <c r="AL2056" s="3"/>
    </row>
    <row r="2057" ht="15.75" customHeight="1">
      <c r="A2057" s="1" t="str">
        <f>IFERROR(__xludf.DUMMYFUNCTION("""COMPUTED_VALUE"""),"31045")</f>
        <v>31045</v>
      </c>
      <c r="B2057" s="2">
        <f>IFERROR(__xludf.DUMMYFUNCTION("""COMPUTED_VALUE"""),31045.0)</f>
        <v>31045</v>
      </c>
      <c r="C2057" s="3" t="str">
        <f>IFERROR(__xludf.DUMMYFUNCTION("""COMPUTED_VALUE"""),"BCM FC เลียบคลอง3_2")</f>
        <v>BCM FC เลียบคลอง3_2</v>
      </c>
      <c r="D2057" s="3" t="str">
        <f>IFERROR(__xludf.DUMMYFUNCTION("""COMPUTED_VALUE"""),"BCM LEAB KLONG3_2 (PATHUM)")</f>
        <v>BCM LEAB KLONG3_2 (PATHUM)</v>
      </c>
      <c r="E2057" s="1" t="str">
        <f>IFERROR(__xludf.DUMMYFUNCTION("""COMPUTED_VALUE"""),"บิ๊กซี MINI")</f>
        <v>บิ๊กซี MINI</v>
      </c>
      <c r="F2057" s="1" t="str">
        <f>IFERROR(__xludf.DUMMYFUNCTION("""COMPUTED_VALUE"""),"2083447")</f>
        <v>2083447</v>
      </c>
      <c r="G2057" s="1" t="str">
        <f>IFERROR(__xludf.DUMMYFUNCTION("""COMPUTED_VALUE"""),"นายอนุกูล ศรีลัดดา")</f>
        <v>นายอนุกูล ศรีลัดดา</v>
      </c>
      <c r="H2057" s="1" t="str">
        <f>IFERROR(__xludf.DUMMYFUNCTION("""COMPUTED_VALUE"""),"373849")</f>
        <v>373849</v>
      </c>
      <c r="I2057" s="1" t="str">
        <f>IFERROR(__xludf.DUMMYFUNCTION("""COMPUTED_VALUE"""),"น.ส.อรอุมา นิ่มวิศิษย์")</f>
        <v>น.ส.อรอุมา นิ่มวิศิษย์</v>
      </c>
      <c r="J2057" s="3">
        <f>IFERROR(__xludf.DUMMYFUNCTION("""COMPUTED_VALUE"""),510143.0)</f>
        <v>510143</v>
      </c>
      <c r="K2057" s="3" t="str">
        <f>IFERROR(__xludf.DUMMYFUNCTION("""COMPUTED_VALUE"""),"นายธีระวัฒน์ บุญสิทธิ์")</f>
        <v>นายธีระวัฒน์ บุญสิทธิ์</v>
      </c>
      <c r="L2057" s="1" t="str">
        <f>IFERROR(__xludf.DUMMYFUNCTION("""COMPUTED_VALUE"""),"12 K.Theerawat B.")</f>
        <v>12 K.Theerawat B.</v>
      </c>
      <c r="M2057" s="1" t="str">
        <f>IFERROR(__xludf.DUMMYFUNCTION("""COMPUTED_VALUE"""),"0655107379")</f>
        <v>0655107379</v>
      </c>
      <c r="N2057" s="3">
        <f>IFERROR(__xludf.DUMMYFUNCTION("""COMPUTED_VALUE"""),21062.0)</f>
        <v>21062</v>
      </c>
      <c r="O2057" s="3" t="str">
        <f>IFERROR(__xludf.DUMMYFUNCTION("""COMPUTED_VALUE"""),"MBC นิคมนวนคร")</f>
        <v>MBC นิคมนวนคร</v>
      </c>
      <c r="P2057" s="4">
        <f>IFERROR(__xludf.DUMMYFUNCTION("""COMPUTED_VALUE"""),42825.0)</f>
        <v>42825</v>
      </c>
      <c r="Q2057" s="3" t="str">
        <f>IFERROR(__xludf.DUMMYFUNCTION("""COMPUTED_VALUE"""),"A")</f>
        <v>A</v>
      </c>
      <c r="R2057" s="3" t="str">
        <f>IFERROR(__xludf.DUMMYFUNCTION("""COMPUTED_VALUE"""),"Small Format")</f>
        <v>Small Format</v>
      </c>
      <c r="S2057" s="3" t="str">
        <f>IFERROR(__xludf.DUMMYFUNCTION("""COMPUTED_VALUE"""),"BCM(FC)")</f>
        <v>BCM(FC)</v>
      </c>
      <c r="T2057" s="3" t="str">
        <f>IFERROR(__xludf.DUMMYFUNCTION("""COMPUTED_VALUE"""),"#N/A")</f>
        <v>#N/A</v>
      </c>
      <c r="U2057" s="3" t="str">
        <f>IFERROR(__xludf.DUMMYFUNCTION("""COMPUTED_VALUE"""),"#N/A")</f>
        <v>#N/A</v>
      </c>
      <c r="V2057" s="3" t="str">
        <f>IFERROR(__xludf.DUMMYFUNCTION("""COMPUTED_VALUE"""),"Y")</f>
        <v>Y</v>
      </c>
      <c r="W2057" s="3">
        <f>IFERROR(__xludf.DUMMYFUNCTION("""COMPUTED_VALUE"""),811087.0)</f>
        <v>811087</v>
      </c>
      <c r="X2057" s="3" t="str">
        <f>IFERROR(__xludf.DUMMYFUNCTION("""COMPUTED_VALUE"""),"13/21-24 หมู่ 5 ตำบลคลองสาม อำเภอคลองหลวง จังหวัดปทุมธานี 12120")</f>
        <v>13/21-24 หมู่ 5 ตำบลคลองสาม อำเภอคลองหลวง จังหวัดปทุมธานี 12120</v>
      </c>
      <c r="Y2057" s="3"/>
      <c r="Z2057" s="3" t="str">
        <f>IFERROR(__xludf.DUMMYFUNCTION("""COMPUTED_VALUE"""),"คลองสาม")</f>
        <v>คลองสาม</v>
      </c>
      <c r="AA2057" s="3" t="str">
        <f>IFERROR(__xludf.DUMMYFUNCTION("""COMPUTED_VALUE"""),"คลองหลวง")</f>
        <v>คลองหลวง</v>
      </c>
      <c r="AB2057" s="3" t="str">
        <f>IFERROR(__xludf.DUMMYFUNCTION("""COMPUTED_VALUE"""),"ปทุมธานี")</f>
        <v>ปทุมธานี</v>
      </c>
      <c r="AC2057" s="3">
        <f>IFERROR(__xludf.DUMMYFUNCTION("""COMPUTED_VALUE"""),12120.0)</f>
        <v>12120</v>
      </c>
      <c r="AD2057" s="3">
        <f>IFERROR(__xludf.DUMMYFUNCTION("""COMPUTED_VALUE"""),14.050919)</f>
        <v>14.050919</v>
      </c>
      <c r="AE2057" s="3">
        <f>IFERROR(__xludf.DUMMYFUNCTION("""COMPUTED_VALUE"""),100.6637244)</f>
        <v>100.6637244</v>
      </c>
      <c r="AF2057" s="3" t="str">
        <f>IFERROR(__xludf.DUMMYFUNCTION("""COMPUTED_VALUE"""),"BCM FC เลียบคลอง3_2-31045")</f>
        <v>BCM FC เลียบคลอง3_2-31045</v>
      </c>
      <c r="AG2057" s="3" t="str">
        <f>IFERROR(__xludf.DUMMYFUNCTION("""COMPUTED_VALUE"""),"กลาง")</f>
        <v>กลาง</v>
      </c>
      <c r="AH2057" s="3" t="str">
        <f>IFERROR(__xludf.DUMMYFUNCTION("""COMPUTED_VALUE"""),"#N/A")</f>
        <v>#N/A</v>
      </c>
      <c r="AI2057" s="3" t="str">
        <f>IFERROR(__xludf.DUMMYFUNCTION("""COMPUTED_VALUE"""),"Out of warranty")</f>
        <v>Out of warranty</v>
      </c>
      <c r="AJ2057" s="3">
        <f>IFERROR(__xludf.DUMMYFUNCTION("""COMPUTED_VALUE"""),106.0)</f>
        <v>106</v>
      </c>
      <c r="AK2057" s="3"/>
      <c r="AL2057" s="3"/>
    </row>
    <row r="2058" ht="15.75" customHeight="1">
      <c r="A2058" s="1" t="str">
        <f>IFERROR(__xludf.DUMMYFUNCTION("""COMPUTED_VALUE"""),"31046")</f>
        <v>31046</v>
      </c>
      <c r="B2058" s="2">
        <f>IFERROR(__xludf.DUMMYFUNCTION("""COMPUTED_VALUE"""),31046.0)</f>
        <v>31046</v>
      </c>
      <c r="C2058" s="3" t="str">
        <f>IFERROR(__xludf.DUMMYFUNCTION("""COMPUTED_VALUE"""),"MFC เชลล์ บ้านกรูด")</f>
        <v>MFC เชลล์ บ้านกรูด</v>
      </c>
      <c r="D2058" s="3" t="str">
        <f>IFERROR(__xludf.DUMMYFUNCTION("""COMPUTED_VALUE"""),"MFC SHELL BAN KRUT (OB)")</f>
        <v>MFC SHELL BAN KRUT (OB)</v>
      </c>
      <c r="E2058" s="1" t="str">
        <f>IFERROR(__xludf.DUMMYFUNCTION("""COMPUTED_VALUE"""),"บิ๊กซี MINI")</f>
        <v>บิ๊กซี MINI</v>
      </c>
      <c r="F2058" s="1" t="str">
        <f>IFERROR(__xludf.DUMMYFUNCTION("""COMPUTED_VALUE"""),"2010918")</f>
        <v>2010918</v>
      </c>
      <c r="G2058" s="1" t="str">
        <f>IFERROR(__xludf.DUMMYFUNCTION("""COMPUTED_VALUE"""),"น.ส.สุดารัตน์ รัตนประดิษฐ์")</f>
        <v>น.ส.สุดารัตน์ รัตนประดิษฐ์</v>
      </c>
      <c r="H2058" s="1" t="str">
        <f>IFERROR(__xludf.DUMMYFUNCTION("""COMPUTED_VALUE"""),"391191")</f>
        <v>391191</v>
      </c>
      <c r="I2058" s="1" t="str">
        <f>IFERROR(__xludf.DUMMYFUNCTION("""COMPUTED_VALUE"""),"นายวสันต์ สรงพรมทิพย์")</f>
        <v>นายวสันต์ สรงพรมทิพย์</v>
      </c>
      <c r="J2058" s="3">
        <f>IFERROR(__xludf.DUMMYFUNCTION("""COMPUTED_VALUE"""),2.0470331E7)</f>
        <v>20470331</v>
      </c>
      <c r="K2058" s="3" t="str">
        <f>IFERROR(__xludf.DUMMYFUNCTION("""COMPUTED_VALUE"""),"นายสมชาย ลักษณะสุวรรณ")</f>
        <v>นายสมชาย ลักษณะสุวรรณ</v>
      </c>
      <c r="L2058" s="1" t="str">
        <f>IFERROR(__xludf.DUMMYFUNCTION("""COMPUTED_VALUE"""),"15 K.Somchai L")</f>
        <v>15 K.Somchai L</v>
      </c>
      <c r="M2058" s="1" t="str">
        <f>IFERROR(__xludf.DUMMYFUNCTION("""COMPUTED_VALUE"""),"0655107372")</f>
        <v>0655107372</v>
      </c>
      <c r="N2058" s="3">
        <f>IFERROR(__xludf.DUMMYFUNCTION("""COMPUTED_VALUE"""),21723.0)</f>
        <v>21723</v>
      </c>
      <c r="O2058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2058" s="4">
        <f>IFERROR(__xludf.DUMMYFUNCTION("""COMPUTED_VALUE"""),42835.0)</f>
        <v>42835</v>
      </c>
      <c r="Q2058" s="3" t="str">
        <f>IFERROR(__xludf.DUMMYFUNCTION("""COMPUTED_VALUE"""),"I")</f>
        <v>I</v>
      </c>
      <c r="R2058" s="3" t="str">
        <f>IFERROR(__xludf.DUMMYFUNCTION("""COMPUTED_VALUE"""),"Small Format")</f>
        <v>Small Format</v>
      </c>
      <c r="S2058" s="3" t="str">
        <f>IFERROR(__xludf.DUMMYFUNCTION("""COMPUTED_VALUE"""),"BCM(FC)")</f>
        <v>BCM(FC)</v>
      </c>
      <c r="T2058" s="3" t="str">
        <f>IFERROR(__xludf.DUMMYFUNCTION("""COMPUTED_VALUE"""),"#N/A")</f>
        <v>#N/A</v>
      </c>
      <c r="U2058" s="3" t="str">
        <f>IFERROR(__xludf.DUMMYFUNCTION("""COMPUTED_VALUE"""),"#N/A")</f>
        <v>#N/A</v>
      </c>
      <c r="V2058" s="3" t="str">
        <f>IFERROR(__xludf.DUMMYFUNCTION("""COMPUTED_VALUE"""),"Y")</f>
        <v>Y</v>
      </c>
      <c r="W2058" s="3">
        <f>IFERROR(__xludf.DUMMYFUNCTION("""COMPUTED_VALUE"""),811095.0)</f>
        <v>811095</v>
      </c>
      <c r="X2058" s="3" t="str">
        <f>IFERROR(__xludf.DUMMYFUNCTION("""COMPUTED_VALUE"""),"554 หมู่ 7 ตำบลชัยเกษม อำเภอบางสะพาน จังหวัดประจวบคีรีขันธ์ 77190")</f>
        <v>554 หมู่ 7 ตำบลชัยเกษม อำเภอบางสะพาน จังหวัดประจวบคีรีขันธ์ 77190</v>
      </c>
      <c r="Y2058" s="3"/>
      <c r="Z2058" s="3" t="str">
        <f>IFERROR(__xludf.DUMMYFUNCTION("""COMPUTED_VALUE"""),"ชัยเกษม")</f>
        <v>ชัยเกษม</v>
      </c>
      <c r="AA2058" s="3" t="str">
        <f>IFERROR(__xludf.DUMMYFUNCTION("""COMPUTED_VALUE"""),"บางสะพาน")</f>
        <v>บางสะพาน</v>
      </c>
      <c r="AB2058" s="3" t="str">
        <f>IFERROR(__xludf.DUMMYFUNCTION("""COMPUTED_VALUE"""),"ประจวบคีรีขันธ์")</f>
        <v>ประจวบคีรีขันธ์</v>
      </c>
      <c r="AC2058" s="3">
        <f>IFERROR(__xludf.DUMMYFUNCTION("""COMPUTED_VALUE"""),77190.0)</f>
        <v>77190</v>
      </c>
      <c r="AD2058" s="3">
        <f>IFERROR(__xludf.DUMMYFUNCTION("""COMPUTED_VALUE"""),11.394225)</f>
        <v>11.394225</v>
      </c>
      <c r="AE2058" s="3">
        <f>IFERROR(__xludf.DUMMYFUNCTION("""COMPUTED_VALUE"""),99.513367)</f>
        <v>99.513367</v>
      </c>
      <c r="AF2058" s="3" t="str">
        <f>IFERROR(__xludf.DUMMYFUNCTION("""COMPUTED_VALUE"""),"MFC เชลล์ บ้านกรูด-31046")</f>
        <v>MFC เชลล์ บ้านกรูด-31046</v>
      </c>
      <c r="AG2058" s="3" t="str">
        <f>IFERROR(__xludf.DUMMYFUNCTION("""COMPUTED_VALUE"""),"ตะวันตก")</f>
        <v>ตะวันตก</v>
      </c>
      <c r="AH2058" s="3" t="str">
        <f>IFERROR(__xludf.DUMMYFUNCTION("""COMPUTED_VALUE"""),"#N/A")</f>
        <v>#N/A</v>
      </c>
      <c r="AI2058" s="3" t="str">
        <f>IFERROR(__xludf.DUMMYFUNCTION("""COMPUTED_VALUE"""),"Out of warranty")</f>
        <v>Out of warranty</v>
      </c>
      <c r="AJ2058" s="3">
        <f>IFERROR(__xludf.DUMMYFUNCTION("""COMPUTED_VALUE"""),106.0)</f>
        <v>106</v>
      </c>
      <c r="AK2058" s="3"/>
      <c r="AL2058" s="3"/>
    </row>
    <row r="2059" ht="15.75" customHeight="1">
      <c r="A2059" s="1" t="str">
        <f>IFERROR(__xludf.DUMMYFUNCTION("""COMPUTED_VALUE"""),"31047")</f>
        <v>31047</v>
      </c>
      <c r="B2059" s="2">
        <f>IFERROR(__xludf.DUMMYFUNCTION("""COMPUTED_VALUE"""),31047.0)</f>
        <v>31047</v>
      </c>
      <c r="C2059" s="3" t="str">
        <f>IFERROR(__xludf.DUMMYFUNCTION("""COMPUTED_VALUE"""),"MFC สรงประภา 28")</f>
        <v>MFC สรงประภา 28</v>
      </c>
      <c r="D2059" s="3" t="str">
        <f>IFERROR(__xludf.DUMMYFUNCTION("""COMPUTED_VALUE"""),"MFC CHIDWAN CHAROENKIJPANITCH")</f>
        <v>MFC CHIDWAN CHAROENKIJPANITCH</v>
      </c>
      <c r="E2059" s="1" t="str">
        <f>IFERROR(__xludf.DUMMYFUNCTION("""COMPUTED_VALUE"""),"บิ๊กซี MINI")</f>
        <v>บิ๊กซี MINI</v>
      </c>
      <c r="F2059" s="1" t="str">
        <f>IFERROR(__xludf.DUMMYFUNCTION("""COMPUTED_VALUE"""),"291008")</f>
        <v>291008</v>
      </c>
      <c r="G2059" s="1" t="str">
        <f>IFERROR(__xludf.DUMMYFUNCTION("""COMPUTED_VALUE"""),"น.ส.รัชดาพร อีศรัตน์")</f>
        <v>น.ส.รัชดาพร อีศรัตน์</v>
      </c>
      <c r="H2059" s="1" t="str">
        <f>IFERROR(__xludf.DUMMYFUNCTION("""COMPUTED_VALUE"""),"034068")</f>
        <v>034068</v>
      </c>
      <c r="I2059" s="1" t="str">
        <f>IFERROR(__xludf.DUMMYFUNCTION("""COMPUTED_VALUE"""),"นายสมศักดิ์ ฐานทองดี")</f>
        <v>นายสมศักดิ์ ฐานทองดี</v>
      </c>
      <c r="J2059" s="1" t="str">
        <f>IFERROR(__xludf.DUMMYFUNCTION("""COMPUTED_VALUE"""),"03510104")</f>
        <v>03510104</v>
      </c>
      <c r="K2059" s="3" t="str">
        <f>IFERROR(__xludf.DUMMYFUNCTION("""COMPUTED_VALUE"""),"นายวิโรจน์ อับดุลสมัด")</f>
        <v>นายวิโรจน์ อับดุลสมัด</v>
      </c>
      <c r="L2059" s="1" t="str">
        <f>IFERROR(__xludf.DUMMYFUNCTION("""COMPUTED_VALUE"""),"09 K.Wirode A")</f>
        <v>09 K.Wirode A</v>
      </c>
      <c r="M2059" s="1" t="str">
        <f>IFERROR(__xludf.DUMMYFUNCTION("""COMPUTED_VALUE"""),"080-235-4465")</f>
        <v>080-235-4465</v>
      </c>
      <c r="N2059" s="3">
        <f>IFERROR(__xludf.DUMMYFUNCTION("""COMPUTED_VALUE"""),21324.0)</f>
        <v>21324</v>
      </c>
      <c r="O2059" s="3" t="str">
        <f>IFERROR(__xludf.DUMMYFUNCTION("""COMPUTED_VALUE"""),"MBC BCP สุวินทวงศ์")</f>
        <v>MBC BCP สุวินทวงศ์</v>
      </c>
      <c r="P2059" s="4">
        <f>IFERROR(__xludf.DUMMYFUNCTION("""COMPUTED_VALUE"""),43831.0)</f>
        <v>43831</v>
      </c>
      <c r="Q2059" s="3" t="str">
        <f>IFERROR(__xludf.DUMMYFUNCTION("""COMPUTED_VALUE"""),"I")</f>
        <v>I</v>
      </c>
      <c r="R2059" s="3" t="str">
        <f>IFERROR(__xludf.DUMMYFUNCTION("""COMPUTED_VALUE"""),"Small Format")</f>
        <v>Small Format</v>
      </c>
      <c r="S2059" s="3" t="str">
        <f>IFERROR(__xludf.DUMMYFUNCTION("""COMPUTED_VALUE"""),"BCM(FC)")</f>
        <v>BCM(FC)</v>
      </c>
      <c r="T2059" s="3" t="str">
        <f>IFERROR(__xludf.DUMMYFUNCTION("""COMPUTED_VALUE"""),"#N/A")</f>
        <v>#N/A</v>
      </c>
      <c r="U2059" s="3" t="str">
        <f>IFERROR(__xludf.DUMMYFUNCTION("""COMPUTED_VALUE"""),"#N/A")</f>
        <v>#N/A</v>
      </c>
      <c r="V2059" s="3" t="str">
        <f>IFERROR(__xludf.DUMMYFUNCTION("""COMPUTED_VALUE"""),"Y")</f>
        <v>Y</v>
      </c>
      <c r="W2059" s="3">
        <f>IFERROR(__xludf.DUMMYFUNCTION("""COMPUTED_VALUE"""),0.0)</f>
        <v>0</v>
      </c>
      <c r="X2059" s="3" t="str">
        <f>IFERROR(__xludf.DUMMYFUNCTION("""COMPUTED_VALUE"""),"398,400,402 ถนนสรงประภา แขวงสีกัน เขตดอนเมือง กรุงเทพมหานคร 10210")</f>
        <v>398,400,402 ถนนสรงประภา แขวงสีกัน เขตดอนเมือง กรุงเทพมหานคร 10210</v>
      </c>
      <c r="Y2059" s="3" t="str">
        <f>IFERROR(__xludf.DUMMYFUNCTION("""COMPUTED_VALUE"""),"ถนนสรงประภา")</f>
        <v>ถนนสรงประภา</v>
      </c>
      <c r="Z2059" s="3" t="str">
        <f>IFERROR(__xludf.DUMMYFUNCTION("""COMPUTED_VALUE"""),"สีกัน")</f>
        <v>สีกัน</v>
      </c>
      <c r="AA2059" s="3" t="str">
        <f>IFERROR(__xludf.DUMMYFUNCTION("""COMPUTED_VALUE"""),"ดอนเมือง")</f>
        <v>ดอนเมือง</v>
      </c>
      <c r="AB2059" s="3" t="str">
        <f>IFERROR(__xludf.DUMMYFUNCTION("""COMPUTED_VALUE"""),"กรุงเทพมหานคร")</f>
        <v>กรุงเทพมหานคร</v>
      </c>
      <c r="AC2059" s="3">
        <f>IFERROR(__xludf.DUMMYFUNCTION("""COMPUTED_VALUE"""),10210.0)</f>
        <v>10210</v>
      </c>
      <c r="AD2059" s="3" t="str">
        <f>IFERROR(__xludf.DUMMYFUNCTION("""COMPUTED_VALUE"""),"#N/A")</f>
        <v>#N/A</v>
      </c>
      <c r="AE2059" s="3" t="str">
        <f>IFERROR(__xludf.DUMMYFUNCTION("""COMPUTED_VALUE"""),"#N/A")</f>
        <v>#N/A</v>
      </c>
      <c r="AF2059" s="3" t="str">
        <f>IFERROR(__xludf.DUMMYFUNCTION("""COMPUTED_VALUE"""),"MFC สรงประภา 28-31047")</f>
        <v>MFC สรงประภา 28-31047</v>
      </c>
      <c r="AG2059" s="3" t="str">
        <f>IFERROR(__xludf.DUMMYFUNCTION("""COMPUTED_VALUE"""),"กลาง")</f>
        <v>กลาง</v>
      </c>
      <c r="AH2059" s="3" t="str">
        <f>IFERROR(__xludf.DUMMYFUNCTION("""COMPUTED_VALUE"""),"#N/A")</f>
        <v>#N/A</v>
      </c>
      <c r="AI2059" s="3" t="str">
        <f>IFERROR(__xludf.DUMMYFUNCTION("""COMPUTED_VALUE"""),"Out of warranty")</f>
        <v>Out of warranty</v>
      </c>
      <c r="AJ2059" s="3">
        <f>IFERROR(__xludf.DUMMYFUNCTION("""COMPUTED_VALUE"""),73.0)</f>
        <v>73</v>
      </c>
      <c r="AK2059" s="3"/>
      <c r="AL2059" s="3"/>
    </row>
    <row r="2060" ht="15.75" customHeight="1">
      <c r="A2060" s="1" t="str">
        <f>IFERROR(__xludf.DUMMYFUNCTION("""COMPUTED_VALUE"""),"31048")</f>
        <v>31048</v>
      </c>
      <c r="B2060" s="2">
        <f>IFERROR(__xludf.DUMMYFUNCTION("""COMPUTED_VALUE"""),31048.0)</f>
        <v>31048</v>
      </c>
      <c r="C2060" s="3" t="str">
        <f>IFERROR(__xludf.DUMMYFUNCTION("""COMPUTED_VALUE"""),"MFC บ้านประโดก")</f>
        <v>MFC บ้านประโดก</v>
      </c>
      <c r="D2060" s="3" t="str">
        <f>IFERROR(__xludf.DUMMYFUNCTION("""COMPUTED_VALUE"""),"MFC RUNGRUANGSONGPANSIBSEE(2)")</f>
        <v>MFC RUNGRUANGSONGPANSIBSEE(2)</v>
      </c>
      <c r="E2060" s="1" t="str">
        <f>IFERROR(__xludf.DUMMYFUNCTION("""COMPUTED_VALUE"""),"บิ๊กซี MINI")</f>
        <v>บิ๊กซี MINI</v>
      </c>
      <c r="F2060" s="1" t="str">
        <f>IFERROR(__xludf.DUMMYFUNCTION("""COMPUTED_VALUE"""),"291100")</f>
        <v>291100</v>
      </c>
      <c r="G2060" s="1" t="str">
        <f>IFERROR(__xludf.DUMMYFUNCTION("""COMPUTED_VALUE"""),"น.ส.จารุณี ฮวบอินทร์")</f>
        <v>น.ส.จารุณี ฮวบอินทร์</v>
      </c>
      <c r="H2060" s="1" t="str">
        <f>IFERROR(__xludf.DUMMYFUNCTION("""COMPUTED_VALUE"""),"180347")</f>
        <v>180347</v>
      </c>
      <c r="I2060" s="1" t="str">
        <f>IFERROR(__xludf.DUMMYFUNCTION("""COMPUTED_VALUE"""),"นายณัฐพงษ์ สุตะวงค์")</f>
        <v>นายณัฐพงษ์ สุตะวงค์</v>
      </c>
      <c r="J2060" s="1" t="str">
        <f>IFERROR(__xludf.DUMMYFUNCTION("""COMPUTED_VALUE"""),"295886")</f>
        <v>295886</v>
      </c>
      <c r="K2060" s="3" t="str">
        <f>IFERROR(__xludf.DUMMYFUNCTION("""COMPUTED_VALUE"""),"นายจิระพงษ์ โพธิ์นิล")</f>
        <v>นายจิระพงษ์ โพธิ์นิล</v>
      </c>
      <c r="L2060" s="1" t="str">
        <f>IFERROR(__xludf.DUMMYFUNCTION("""COMPUTED_VALUE"""),"นายจิระพงษ์ โพธิ์นิล")</f>
        <v>นายจิระพงษ์ โพธิ์นิล</v>
      </c>
      <c r="M2060" s="1" t="str">
        <f>IFERROR(__xludf.DUMMYFUNCTION("""COMPUTED_VALUE"""),"0933290754")</f>
        <v>0933290754</v>
      </c>
      <c r="N2060" s="3">
        <f>IFERROR(__xludf.DUMMYFUNCTION("""COMPUTED_VALUE"""),21465.0)</f>
        <v>21465</v>
      </c>
      <c r="O2060" s="3" t="str">
        <f>IFERROR(__xludf.DUMMYFUNCTION("""COMPUTED_VALUE"""),"MBC สถานีตำรวจอุดร")</f>
        <v>MBC สถานีตำรวจอุดร</v>
      </c>
      <c r="P2060" s="4">
        <f>IFERROR(__xludf.DUMMYFUNCTION("""COMPUTED_VALUE"""),42852.0)</f>
        <v>42852</v>
      </c>
      <c r="Q2060" s="3" t="str">
        <f>IFERROR(__xludf.DUMMYFUNCTION("""COMPUTED_VALUE"""),"I")</f>
        <v>I</v>
      </c>
      <c r="R2060" s="3" t="str">
        <f>IFERROR(__xludf.DUMMYFUNCTION("""COMPUTED_VALUE"""),"Small Format")</f>
        <v>Small Format</v>
      </c>
      <c r="S2060" s="3" t="str">
        <f>IFERROR(__xludf.DUMMYFUNCTION("""COMPUTED_VALUE"""),"BCM(FC)")</f>
        <v>BCM(FC)</v>
      </c>
      <c r="T2060" s="3" t="str">
        <f>IFERROR(__xludf.DUMMYFUNCTION("""COMPUTED_VALUE"""),"#N/A")</f>
        <v>#N/A</v>
      </c>
      <c r="U2060" s="3" t="str">
        <f>IFERROR(__xludf.DUMMYFUNCTION("""COMPUTED_VALUE"""),"#N/A")</f>
        <v>#N/A</v>
      </c>
      <c r="V2060" s="3" t="str">
        <f>IFERROR(__xludf.DUMMYFUNCTION("""COMPUTED_VALUE"""),"Y")</f>
        <v>Y</v>
      </c>
      <c r="W2060" s="3">
        <f>IFERROR(__xludf.DUMMYFUNCTION("""COMPUTED_VALUE"""),0.0)</f>
        <v>0</v>
      </c>
      <c r="X2060" s="3" t="str">
        <f>IFERROR(__xludf.DUMMYFUNCTION("""COMPUTED_VALUE"""),"487/5-6,487/7 หมู่ 9 ตำบลหมื่นไวย อำเภอเมืองนครราชสีมา จังหวัดนครราชสีมา 30000")</f>
        <v>487/5-6,487/7 หมู่ 9 ตำบลหมื่นไวย อำเภอเมืองนครราชสีมา จังหวัดนครราชสีมา 30000</v>
      </c>
      <c r="Y2060" s="3"/>
      <c r="Z2060" s="3" t="str">
        <f>IFERROR(__xludf.DUMMYFUNCTION("""COMPUTED_VALUE"""),"หมื่นไวย")</f>
        <v>หมื่นไวย</v>
      </c>
      <c r="AA2060" s="3" t="str">
        <f>IFERROR(__xludf.DUMMYFUNCTION("""COMPUTED_VALUE"""),"เมือง")</f>
        <v>เมือง</v>
      </c>
      <c r="AB2060" s="3" t="str">
        <f>IFERROR(__xludf.DUMMYFUNCTION("""COMPUTED_VALUE"""),"นครราชสีมา")</f>
        <v>นครราชสีมา</v>
      </c>
      <c r="AC2060" s="3">
        <f>IFERROR(__xludf.DUMMYFUNCTION("""COMPUTED_VALUE"""),30000.0)</f>
        <v>30000</v>
      </c>
      <c r="AD2060" s="3" t="str">
        <f>IFERROR(__xludf.DUMMYFUNCTION("""COMPUTED_VALUE"""),"#N/A")</f>
        <v>#N/A</v>
      </c>
      <c r="AE2060" s="3" t="str">
        <f>IFERROR(__xludf.DUMMYFUNCTION("""COMPUTED_VALUE"""),"#N/A")</f>
        <v>#N/A</v>
      </c>
      <c r="AF2060" s="3" t="str">
        <f>IFERROR(__xludf.DUMMYFUNCTION("""COMPUTED_VALUE"""),"MFC บ้านประโดก-31048")</f>
        <v>MFC บ้านประโดก-31048</v>
      </c>
      <c r="AG2060" s="3" t="str">
        <f>IFERROR(__xludf.DUMMYFUNCTION("""COMPUTED_VALUE"""),"ตะวันออกเฉียงเหนือ")</f>
        <v>ตะวันออกเฉียงเหนือ</v>
      </c>
      <c r="AH2060" s="3" t="str">
        <f>IFERROR(__xludf.DUMMYFUNCTION("""COMPUTED_VALUE"""),"#N/A")</f>
        <v>#N/A</v>
      </c>
      <c r="AI2060" s="3" t="str">
        <f>IFERROR(__xludf.DUMMYFUNCTION("""COMPUTED_VALUE"""),"Out of warranty")</f>
        <v>Out of warranty</v>
      </c>
      <c r="AJ2060" s="3">
        <f>IFERROR(__xludf.DUMMYFUNCTION("""COMPUTED_VALUE"""),105.0)</f>
        <v>105</v>
      </c>
      <c r="AK2060" s="3"/>
      <c r="AL2060" s="3"/>
    </row>
    <row r="2061" ht="15.75" customHeight="1">
      <c r="A2061" s="1" t="str">
        <f>IFERROR(__xludf.DUMMYFUNCTION("""COMPUTED_VALUE"""),"31049")</f>
        <v>31049</v>
      </c>
      <c r="B2061" s="2">
        <f>IFERROR(__xludf.DUMMYFUNCTION("""COMPUTED_VALUE"""),31049.0)</f>
        <v>31049</v>
      </c>
      <c r="C2061" s="3" t="str">
        <f>IFERROR(__xludf.DUMMYFUNCTION("""COMPUTED_VALUE"""),"MFC เชลล์ บ้านนาสาร")</f>
        <v>MFC เชลล์ บ้านนาสาร</v>
      </c>
      <c r="D2061" s="3" t="str">
        <f>IFERROR(__xludf.DUMMYFUNCTION("""COMPUTED_VALUE"""),"MFC SHELL BANNASAN")</f>
        <v>MFC SHELL BANNASAN</v>
      </c>
      <c r="E2061" s="1" t="str">
        <f>IFERROR(__xludf.DUMMYFUNCTION("""COMPUTED_VALUE"""),"บิ๊กซี MINI")</f>
        <v>บิ๊กซี MINI</v>
      </c>
      <c r="F2061" s="1" t="str">
        <f>IFERROR(__xludf.DUMMYFUNCTION("""COMPUTED_VALUE"""),"2010918")</f>
        <v>2010918</v>
      </c>
      <c r="G2061" s="1" t="str">
        <f>IFERROR(__xludf.DUMMYFUNCTION("""COMPUTED_VALUE"""),"น.ส.สุดารัตน์ รัตนประดิษฐ์")</f>
        <v>น.ส.สุดารัตน์ รัตนประดิษฐ์</v>
      </c>
      <c r="H2061" s="1" t="str">
        <f>IFERROR(__xludf.DUMMYFUNCTION("""COMPUTED_VALUE"""),"228389")</f>
        <v>228389</v>
      </c>
      <c r="I2061" s="1" t="str">
        <f>IFERROR(__xludf.DUMMYFUNCTION("""COMPUTED_VALUE"""),"นายมณีรันดร์ ชัยชนะ")</f>
        <v>นายมณีรันดร์ ชัยชนะ</v>
      </c>
      <c r="J2061" s="1" t="str">
        <f>IFERROR(__xludf.DUMMYFUNCTION("""COMPUTED_VALUE"""),"20470331")</f>
        <v>20470331</v>
      </c>
      <c r="K2061" s="3" t="str">
        <f>IFERROR(__xludf.DUMMYFUNCTION("""COMPUTED_VALUE"""),"นายสมชาย ลักษณะสุวรรณ")</f>
        <v>นายสมชาย ลักษณะสุวรรณ</v>
      </c>
      <c r="L2061" s="1" t="str">
        <f>IFERROR(__xludf.DUMMYFUNCTION("""COMPUTED_VALUE"""),"15 K.Somchai L")</f>
        <v>15 K.Somchai L</v>
      </c>
      <c r="M2061" s="1" t="str">
        <f>IFERROR(__xludf.DUMMYFUNCTION("""COMPUTED_VALUE"""),"0655107372")</f>
        <v>0655107372</v>
      </c>
      <c r="N2061" s="3">
        <f>IFERROR(__xludf.DUMMYFUNCTION("""COMPUTED_VALUE"""),21723.0)</f>
        <v>21723</v>
      </c>
      <c r="O206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2061" s="4">
        <f>IFERROR(__xludf.DUMMYFUNCTION("""COMPUTED_VALUE"""),42849.0)</f>
        <v>42849</v>
      </c>
      <c r="Q2061" s="3" t="str">
        <f>IFERROR(__xludf.DUMMYFUNCTION("""COMPUTED_VALUE"""),"I")</f>
        <v>I</v>
      </c>
      <c r="R2061" s="3" t="str">
        <f>IFERROR(__xludf.DUMMYFUNCTION("""COMPUTED_VALUE"""),"Small Format")</f>
        <v>Small Format</v>
      </c>
      <c r="S2061" s="3" t="str">
        <f>IFERROR(__xludf.DUMMYFUNCTION("""COMPUTED_VALUE"""),"BCM(FC)")</f>
        <v>BCM(FC)</v>
      </c>
      <c r="T2061" s="3" t="str">
        <f>IFERROR(__xludf.DUMMYFUNCTION("""COMPUTED_VALUE"""),"#N/A")</f>
        <v>#N/A</v>
      </c>
      <c r="U2061" s="3" t="str">
        <f>IFERROR(__xludf.DUMMYFUNCTION("""COMPUTED_VALUE"""),"#N/A")</f>
        <v>#N/A</v>
      </c>
      <c r="V2061" s="3" t="str">
        <f>IFERROR(__xludf.DUMMYFUNCTION("""COMPUTED_VALUE"""),"Y")</f>
        <v>Y</v>
      </c>
      <c r="W2061" s="3">
        <f>IFERROR(__xludf.DUMMYFUNCTION("""COMPUTED_VALUE"""),811112.0)</f>
        <v>811112</v>
      </c>
      <c r="X2061" s="3" t="str">
        <f>IFERROR(__xludf.DUMMYFUNCTION("""COMPUTED_VALUE"""),"17/1 หมู่ 1 ตำบลควนศรี อำเภอบ้านนาสาร จังหวัดสุราษฎร์ธานี 84270")</f>
        <v>17/1 หมู่ 1 ตำบลควนศรี อำเภอบ้านนาสาร จังหวัดสุราษฎร์ธานี 84270</v>
      </c>
      <c r="Y2061" s="3"/>
      <c r="Z2061" s="3" t="str">
        <f>IFERROR(__xludf.DUMMYFUNCTION("""COMPUTED_VALUE"""),"ควนศรี")</f>
        <v>ควนศรี</v>
      </c>
      <c r="AA2061" s="3" t="str">
        <f>IFERROR(__xludf.DUMMYFUNCTION("""COMPUTED_VALUE"""),"บ้านนาสาร")</f>
        <v>บ้านนาสาร</v>
      </c>
      <c r="AB2061" s="3" t="str">
        <f>IFERROR(__xludf.DUMMYFUNCTION("""COMPUTED_VALUE"""),"สุราษฎร์ธานี")</f>
        <v>สุราษฎร์ธานี</v>
      </c>
      <c r="AC2061" s="3">
        <f>IFERROR(__xludf.DUMMYFUNCTION("""COMPUTED_VALUE"""),84270.0)</f>
        <v>84270</v>
      </c>
      <c r="AD2061" s="3">
        <f>IFERROR(__xludf.DUMMYFUNCTION("""COMPUTED_VALUE"""),8.691303)</f>
        <v>8.691303</v>
      </c>
      <c r="AE2061" s="3">
        <f>IFERROR(__xludf.DUMMYFUNCTION("""COMPUTED_VALUE"""),99.334588)</f>
        <v>99.334588</v>
      </c>
      <c r="AF2061" s="3" t="str">
        <f>IFERROR(__xludf.DUMMYFUNCTION("""COMPUTED_VALUE"""),"MFC เชลล์ บ้านนาสาร-31049")</f>
        <v>MFC เชลล์ บ้านนาสาร-31049</v>
      </c>
      <c r="AG2061" s="3" t="str">
        <f>IFERROR(__xludf.DUMMYFUNCTION("""COMPUTED_VALUE"""),"ใต้")</f>
        <v>ใต้</v>
      </c>
      <c r="AH2061" s="3" t="str">
        <f>IFERROR(__xludf.DUMMYFUNCTION("""COMPUTED_VALUE"""),"#N/A")</f>
        <v>#N/A</v>
      </c>
      <c r="AI2061" s="3" t="str">
        <f>IFERROR(__xludf.DUMMYFUNCTION("""COMPUTED_VALUE"""),"Out of warranty")</f>
        <v>Out of warranty</v>
      </c>
      <c r="AJ2061" s="3">
        <f>IFERROR(__xludf.DUMMYFUNCTION("""COMPUTED_VALUE"""),105.0)</f>
        <v>105</v>
      </c>
      <c r="AK2061" s="3"/>
      <c r="AL2061" s="3"/>
    </row>
    <row r="2062" ht="15.75" customHeight="1">
      <c r="A2062" s="1" t="str">
        <f>IFERROR(__xludf.DUMMYFUNCTION("""COMPUTED_VALUE"""),"31050")</f>
        <v>31050</v>
      </c>
      <c r="B2062" s="2">
        <f>IFERROR(__xludf.DUMMYFUNCTION("""COMPUTED_VALUE"""),31050.0)</f>
        <v>31050</v>
      </c>
      <c r="C2062" s="3" t="str">
        <f>IFERROR(__xludf.DUMMYFUNCTION("""COMPUTED_VALUE"""),"BCM FC เอสโซ่ ท่าฉาง")</f>
        <v>BCM FC เอสโซ่ ท่าฉาง</v>
      </c>
      <c r="D2062" s="3" t="str">
        <f>IFERROR(__xludf.DUMMYFUNCTION("""COMPUTED_VALUE"""),"BCM ESSO-THA CHANG (IB)")</f>
        <v>BCM ESSO-THA CHANG (IB)</v>
      </c>
      <c r="E2062" s="1" t="str">
        <f>IFERROR(__xludf.DUMMYFUNCTION("""COMPUTED_VALUE"""),"บิ๊กซี MINI")</f>
        <v>บิ๊กซี MINI</v>
      </c>
      <c r="F2062" s="1" t="str">
        <f>IFERROR(__xludf.DUMMYFUNCTION("""COMPUTED_VALUE"""),"250760")</f>
        <v>250760</v>
      </c>
      <c r="G2062" s="1" t="str">
        <f>IFERROR(__xludf.DUMMYFUNCTION("""COMPUTED_VALUE"""),"นายประทวน สาราบรรณ์")</f>
        <v>นายประทวน สาราบรรณ์</v>
      </c>
      <c r="H2062" s="1" t="str">
        <f>IFERROR(__xludf.DUMMYFUNCTION("""COMPUTED_VALUE"""),"228389")</f>
        <v>228389</v>
      </c>
      <c r="I2062" s="1" t="str">
        <f>IFERROR(__xludf.DUMMYFUNCTION("""COMPUTED_VALUE"""),"นายมณีรันดร์ ชัยชนะ")</f>
        <v>นายมณีรันดร์ ชัยชนะ</v>
      </c>
      <c r="J2062" s="1" t="str">
        <f>IFERROR(__xludf.DUMMYFUNCTION("""COMPUTED_VALUE"""),"025324")</f>
        <v>025324</v>
      </c>
      <c r="K2062" s="3" t="str">
        <f>IFERROR(__xludf.DUMMYFUNCTION("""COMPUTED_VALUE"""),"นายวิเชฎฐ์ ติรัตนะประคม")</f>
        <v>นายวิเชฎฐ์ ติรัตนะประคม</v>
      </c>
      <c r="L2062" s="1" t="str">
        <f>IFERROR(__xludf.DUMMYFUNCTION("""COMPUTED_VALUE"""),"14 K.Wichet T.")</f>
        <v>14 K.Wichet T.</v>
      </c>
      <c r="M2062" s="1" t="str">
        <f>IFERROR(__xludf.DUMMYFUNCTION("""COMPUTED_VALUE"""),"061-417-6569 / 086-445-5636")</f>
        <v>061-417-6569 / 086-445-5636</v>
      </c>
      <c r="N2062" s="3">
        <f>IFERROR(__xludf.DUMMYFUNCTION("""COMPUTED_VALUE"""),22658.0)</f>
        <v>22658</v>
      </c>
      <c r="O2062" s="3" t="str">
        <f>IFERROR(__xludf.DUMMYFUNCTION("""COMPUTED_VALUE"""),"BCM ถ.วิรัชหงษ์หยก ภูเก็ต")</f>
        <v>BCM ถ.วิรัชหงษ์หยก ภูเก็ต</v>
      </c>
      <c r="P2062" s="4">
        <f>IFERROR(__xludf.DUMMYFUNCTION("""COMPUTED_VALUE"""),42849.0)</f>
        <v>42849</v>
      </c>
      <c r="Q2062" s="3" t="str">
        <f>IFERROR(__xludf.DUMMYFUNCTION("""COMPUTED_VALUE"""),"A")</f>
        <v>A</v>
      </c>
      <c r="R2062" s="3" t="str">
        <f>IFERROR(__xludf.DUMMYFUNCTION("""COMPUTED_VALUE"""),"Small Format")</f>
        <v>Small Format</v>
      </c>
      <c r="S2062" s="3" t="str">
        <f>IFERROR(__xludf.DUMMYFUNCTION("""COMPUTED_VALUE"""),"BCM(FC)")</f>
        <v>BCM(FC)</v>
      </c>
      <c r="T2062" s="3" t="str">
        <f>IFERROR(__xludf.DUMMYFUNCTION("""COMPUTED_VALUE"""),"#N/A")</f>
        <v>#N/A</v>
      </c>
      <c r="U2062" s="3" t="str">
        <f>IFERROR(__xludf.DUMMYFUNCTION("""COMPUTED_VALUE"""),"#N/A")</f>
        <v>#N/A</v>
      </c>
      <c r="V2062" s="3" t="str">
        <f>IFERROR(__xludf.DUMMYFUNCTION("""COMPUTED_VALUE"""),"Y")</f>
        <v>Y</v>
      </c>
      <c r="W2062" s="3">
        <f>IFERROR(__xludf.DUMMYFUNCTION("""COMPUTED_VALUE"""),811111.0)</f>
        <v>811111</v>
      </c>
      <c r="X2062" s="3" t="str">
        <f>IFERROR(__xludf.DUMMYFUNCTION("""COMPUTED_VALUE"""),"184/2 หมู่ 4 ตำบลคลองไทร อำเภอท่าฉาง จังหวัดสุราษฎร์ธานี 84150")</f>
        <v>184/2 หมู่ 4 ตำบลคลองไทร อำเภอท่าฉาง จังหวัดสุราษฎร์ธานี 84150</v>
      </c>
      <c r="Y2062" s="3"/>
      <c r="Z2062" s="3" t="str">
        <f>IFERROR(__xludf.DUMMYFUNCTION("""COMPUTED_VALUE"""),"คลองไทร")</f>
        <v>คลองไทร</v>
      </c>
      <c r="AA2062" s="3" t="str">
        <f>IFERROR(__xludf.DUMMYFUNCTION("""COMPUTED_VALUE"""),"ท่าฉาง")</f>
        <v>ท่าฉาง</v>
      </c>
      <c r="AB2062" s="3" t="str">
        <f>IFERROR(__xludf.DUMMYFUNCTION("""COMPUTED_VALUE"""),"สุราษฎร์ธานี")</f>
        <v>สุราษฎร์ธานี</v>
      </c>
      <c r="AC2062" s="3">
        <f>IFERROR(__xludf.DUMMYFUNCTION("""COMPUTED_VALUE"""),84150.0)</f>
        <v>84150</v>
      </c>
      <c r="AD2062" s="3">
        <f>IFERROR(__xludf.DUMMYFUNCTION("""COMPUTED_VALUE"""),9.2202043)</f>
        <v>9.2202043</v>
      </c>
      <c r="AE2062" s="3">
        <f>IFERROR(__xludf.DUMMYFUNCTION("""COMPUTED_VALUE"""),99.1382398)</f>
        <v>99.1382398</v>
      </c>
      <c r="AF2062" s="3" t="str">
        <f>IFERROR(__xludf.DUMMYFUNCTION("""COMPUTED_VALUE"""),"BCM FC เอสโซ่ ท่าฉาง-31050")</f>
        <v>BCM FC เอสโซ่ ท่าฉาง-31050</v>
      </c>
      <c r="AG2062" s="3" t="str">
        <f>IFERROR(__xludf.DUMMYFUNCTION("""COMPUTED_VALUE"""),"ใต้")</f>
        <v>ใต้</v>
      </c>
      <c r="AH2062" s="3" t="str">
        <f>IFERROR(__xludf.DUMMYFUNCTION("""COMPUTED_VALUE"""),"#N/A")</f>
        <v>#N/A</v>
      </c>
      <c r="AI2062" s="3" t="str">
        <f>IFERROR(__xludf.DUMMYFUNCTION("""COMPUTED_VALUE"""),"Out of warranty")</f>
        <v>Out of warranty</v>
      </c>
      <c r="AJ2062" s="3">
        <f>IFERROR(__xludf.DUMMYFUNCTION("""COMPUTED_VALUE"""),105.0)</f>
        <v>105</v>
      </c>
      <c r="AK2062" s="3"/>
      <c r="AL2062" s="3"/>
    </row>
    <row r="2063" ht="15.75" customHeight="1">
      <c r="A2063" s="1" t="str">
        <f>IFERROR(__xludf.DUMMYFUNCTION("""COMPUTED_VALUE"""),"31051")</f>
        <v>31051</v>
      </c>
      <c r="B2063" s="2">
        <f>IFERROR(__xludf.DUMMYFUNCTION("""COMPUTED_VALUE"""),31051.0)</f>
        <v>31051</v>
      </c>
      <c r="C2063" s="3" t="str">
        <f>IFERROR(__xludf.DUMMYFUNCTION("""COMPUTED_VALUE"""),"BCM FC Shell ท่าชนะ")</f>
        <v>BCM FC Shell ท่าชนะ</v>
      </c>
      <c r="D2063" s="3" t="str">
        <f>IFERROR(__xludf.DUMMYFUNCTION("""COMPUTED_VALUE"""),"BCM SHELL-THA CHANA (SURAT)")</f>
        <v>BCM SHELL-THA CHANA (SURAT)</v>
      </c>
      <c r="E2063" s="1" t="str">
        <f>IFERROR(__xludf.DUMMYFUNCTION("""COMPUTED_VALUE"""),"บิ๊กซี MINI")</f>
        <v>บิ๊กซี MINI</v>
      </c>
      <c r="F2063" s="1" t="str">
        <f>IFERROR(__xludf.DUMMYFUNCTION("""COMPUTED_VALUE"""),"250760")</f>
        <v>250760</v>
      </c>
      <c r="G2063" s="1" t="str">
        <f>IFERROR(__xludf.DUMMYFUNCTION("""COMPUTED_VALUE"""),"นายประทวน สาราบรรณ์")</f>
        <v>นายประทวน สาราบรรณ์</v>
      </c>
      <c r="H2063" s="1" t="str">
        <f>IFERROR(__xludf.DUMMYFUNCTION("""COMPUTED_VALUE"""),"228389")</f>
        <v>228389</v>
      </c>
      <c r="I2063" s="1" t="str">
        <f>IFERROR(__xludf.DUMMYFUNCTION("""COMPUTED_VALUE"""),"นายมณีรันดร์ ชัยชนะ")</f>
        <v>นายมณีรันดร์ ชัยชนะ</v>
      </c>
      <c r="J2063" s="1" t="str">
        <f>IFERROR(__xludf.DUMMYFUNCTION("""COMPUTED_VALUE"""),"025324")</f>
        <v>025324</v>
      </c>
      <c r="K2063" s="3" t="str">
        <f>IFERROR(__xludf.DUMMYFUNCTION("""COMPUTED_VALUE"""),"นายวิเชฎฐ์ ติรัตนะประคม")</f>
        <v>นายวิเชฎฐ์ ติรัตนะประคม</v>
      </c>
      <c r="L2063" s="1" t="str">
        <f>IFERROR(__xludf.DUMMYFUNCTION("""COMPUTED_VALUE"""),"14 K.Wichet T.")</f>
        <v>14 K.Wichet T.</v>
      </c>
      <c r="M2063" s="1" t="str">
        <f>IFERROR(__xludf.DUMMYFUNCTION("""COMPUTED_VALUE"""),"061-417-6569 / 086-445-5636")</f>
        <v>061-417-6569 / 086-445-5636</v>
      </c>
      <c r="N2063" s="3">
        <f>IFERROR(__xludf.DUMMYFUNCTION("""COMPUTED_VALUE"""),22658.0)</f>
        <v>22658</v>
      </c>
      <c r="O2063" s="3" t="str">
        <f>IFERROR(__xludf.DUMMYFUNCTION("""COMPUTED_VALUE"""),"BCM ถ.วิรัชหงษ์หยก ภูเก็ต")</f>
        <v>BCM ถ.วิรัชหงษ์หยก ภูเก็ต</v>
      </c>
      <c r="P2063" s="4">
        <f>IFERROR(__xludf.DUMMYFUNCTION("""COMPUTED_VALUE"""),42847.0)</f>
        <v>42847</v>
      </c>
      <c r="Q2063" s="3" t="str">
        <f>IFERROR(__xludf.DUMMYFUNCTION("""COMPUTED_VALUE"""),"A")</f>
        <v>A</v>
      </c>
      <c r="R2063" s="3" t="str">
        <f>IFERROR(__xludf.DUMMYFUNCTION("""COMPUTED_VALUE"""),"Small Format")</f>
        <v>Small Format</v>
      </c>
      <c r="S2063" s="3" t="str">
        <f>IFERROR(__xludf.DUMMYFUNCTION("""COMPUTED_VALUE"""),"BCM(FC)")</f>
        <v>BCM(FC)</v>
      </c>
      <c r="T2063" s="3" t="str">
        <f>IFERROR(__xludf.DUMMYFUNCTION("""COMPUTED_VALUE"""),"#N/A")</f>
        <v>#N/A</v>
      </c>
      <c r="U2063" s="3" t="str">
        <f>IFERROR(__xludf.DUMMYFUNCTION("""COMPUTED_VALUE"""),"#N/A")</f>
        <v>#N/A</v>
      </c>
      <c r="V2063" s="3" t="str">
        <f>IFERROR(__xludf.DUMMYFUNCTION("""COMPUTED_VALUE"""),"Y")</f>
        <v>Y</v>
      </c>
      <c r="W2063" s="3">
        <f>IFERROR(__xludf.DUMMYFUNCTION("""COMPUTED_VALUE"""),811116.0)</f>
        <v>811116</v>
      </c>
      <c r="X2063" s="3" t="str">
        <f>IFERROR(__xludf.DUMMYFUNCTION("""COMPUTED_VALUE"""),"891 หมู่ 3 ตำบลคลองพา อำเภอท่าชนะ จังหวัดสุราษฎร์ธานี 84170")</f>
        <v>891 หมู่ 3 ตำบลคลองพา อำเภอท่าชนะ จังหวัดสุราษฎร์ธานี 84170</v>
      </c>
      <c r="Y2063" s="3"/>
      <c r="Z2063" s="3" t="str">
        <f>IFERROR(__xludf.DUMMYFUNCTION("""COMPUTED_VALUE"""),"คลองพา")</f>
        <v>คลองพา</v>
      </c>
      <c r="AA2063" s="3" t="str">
        <f>IFERROR(__xludf.DUMMYFUNCTION("""COMPUTED_VALUE"""),"ท่าชนะ")</f>
        <v>ท่าชนะ</v>
      </c>
      <c r="AB2063" s="3" t="str">
        <f>IFERROR(__xludf.DUMMYFUNCTION("""COMPUTED_VALUE"""),"สุราษฎร์ธานี")</f>
        <v>สุราษฎร์ธานี</v>
      </c>
      <c r="AC2063" s="3">
        <f>IFERROR(__xludf.DUMMYFUNCTION("""COMPUTED_VALUE"""),84170.0)</f>
        <v>84170</v>
      </c>
      <c r="AD2063" s="3">
        <f>IFERROR(__xludf.DUMMYFUNCTION("""COMPUTED_VALUE"""),9.5877274)</f>
        <v>9.5877274</v>
      </c>
      <c r="AE2063" s="3">
        <f>IFERROR(__xludf.DUMMYFUNCTION("""COMPUTED_VALUE"""),99.1271228)</f>
        <v>99.1271228</v>
      </c>
      <c r="AF2063" s="3" t="str">
        <f>IFERROR(__xludf.DUMMYFUNCTION("""COMPUTED_VALUE"""),"BCM FC Shell ท่าชนะ-31051")</f>
        <v>BCM FC Shell ท่าชนะ-31051</v>
      </c>
      <c r="AG2063" s="3" t="str">
        <f>IFERROR(__xludf.DUMMYFUNCTION("""COMPUTED_VALUE"""),"ใต้")</f>
        <v>ใต้</v>
      </c>
      <c r="AH2063" s="3" t="str">
        <f>IFERROR(__xludf.DUMMYFUNCTION("""COMPUTED_VALUE"""),"#N/A")</f>
        <v>#N/A</v>
      </c>
      <c r="AI2063" s="3" t="str">
        <f>IFERROR(__xludf.DUMMYFUNCTION("""COMPUTED_VALUE"""),"Out of warranty")</f>
        <v>Out of warranty</v>
      </c>
      <c r="AJ2063" s="3">
        <f>IFERROR(__xludf.DUMMYFUNCTION("""COMPUTED_VALUE"""),105.0)</f>
        <v>105</v>
      </c>
      <c r="AK2063" s="3"/>
      <c r="AL2063" s="3"/>
    </row>
    <row r="2064" ht="15.75" customHeight="1">
      <c r="A2064" s="1" t="str">
        <f>IFERROR(__xludf.DUMMYFUNCTION("""COMPUTED_VALUE"""),"31052")</f>
        <v>31052</v>
      </c>
      <c r="B2064" s="2">
        <f>IFERROR(__xludf.DUMMYFUNCTION("""COMPUTED_VALUE"""),31052.0)</f>
        <v>31052</v>
      </c>
      <c r="C2064" s="3" t="str">
        <f>IFERROR(__xludf.DUMMYFUNCTION("""COMPUTED_VALUE"""),"BCM FC Shell วชิรบารมี")</f>
        <v>BCM FC Shell วชิรบารมี</v>
      </c>
      <c r="D2064" s="3" t="str">
        <f>IFERROR(__xludf.DUMMYFUNCTION("""COMPUTED_VALUE"""),"BCM SHELL-WACHIRABARAMI")</f>
        <v>BCM SHELL-WACHIRABARAMI</v>
      </c>
      <c r="E2064" s="1" t="str">
        <f>IFERROR(__xludf.DUMMYFUNCTION("""COMPUTED_VALUE"""),"บิ๊กซี MINI")</f>
        <v>บิ๊กซี MINI</v>
      </c>
      <c r="F2064" s="1" t="str">
        <f>IFERROR(__xludf.DUMMYFUNCTION("""COMPUTED_VALUE"""),"296229")</f>
        <v>296229</v>
      </c>
      <c r="G2064" s="1" t="str">
        <f>IFERROR(__xludf.DUMMYFUNCTION("""COMPUTED_VALUE"""),"นายทนงศักดิ์ บุญมา")</f>
        <v>นายทนงศักดิ์ บุญมา</v>
      </c>
      <c r="H2064" s="1" t="str">
        <f>IFERROR(__xludf.DUMMYFUNCTION("""COMPUTED_VALUE"""),"291082")</f>
        <v>291082</v>
      </c>
      <c r="I2064" s="1" t="str">
        <f>IFERROR(__xludf.DUMMYFUNCTION("""COMPUTED_VALUE"""),"น.ส.วจี กันเกตุ")</f>
        <v>น.ส.วจี กันเกตุ</v>
      </c>
      <c r="J2064" s="1" t="str">
        <f>IFERROR(__xludf.DUMMYFUNCTION("""COMPUTED_VALUE"""),"046214")</f>
        <v>046214</v>
      </c>
      <c r="K2064" s="3" t="str">
        <f>IFERROR(__xludf.DUMMYFUNCTION("""COMPUTED_VALUE"""),"นายศักดิ์ชัย เด็ดดอกฟ้า")</f>
        <v>นายศักดิ์ชัย เด็ดดอกฟ้า</v>
      </c>
      <c r="L2064" s="1" t="str">
        <f>IFERROR(__xludf.DUMMYFUNCTION("""COMPUTED_VALUE"""),"02 K.Sakchai D")</f>
        <v>02 K.Sakchai D</v>
      </c>
      <c r="M2064" s="1" t="str">
        <f>IFERROR(__xludf.DUMMYFUNCTION("""COMPUTED_VALUE"""),"065-510-7376")</f>
        <v>065-510-7376</v>
      </c>
      <c r="N2064" s="3">
        <f>IFERROR(__xludf.DUMMYFUNCTION("""COMPUTED_VALUE"""),21714.0)</f>
        <v>21714</v>
      </c>
      <c r="O2064" s="3" t="str">
        <f>IFERROR(__xludf.DUMMYFUNCTION("""COMPUTED_VALUE"""),"MBC เอสโซ่ วัดโบสถ์")</f>
        <v>MBC เอสโซ่ วัดโบสถ์</v>
      </c>
      <c r="P2064" s="4">
        <f>IFERROR(__xludf.DUMMYFUNCTION("""COMPUTED_VALUE"""),42853.0)</f>
        <v>42853</v>
      </c>
      <c r="Q2064" s="3" t="str">
        <f>IFERROR(__xludf.DUMMYFUNCTION("""COMPUTED_VALUE"""),"A")</f>
        <v>A</v>
      </c>
      <c r="R2064" s="3" t="str">
        <f>IFERROR(__xludf.DUMMYFUNCTION("""COMPUTED_VALUE"""),"Small Format")</f>
        <v>Small Format</v>
      </c>
      <c r="S2064" s="3" t="str">
        <f>IFERROR(__xludf.DUMMYFUNCTION("""COMPUTED_VALUE"""),"BCM(FC)")</f>
        <v>BCM(FC)</v>
      </c>
      <c r="T2064" s="3" t="str">
        <f>IFERROR(__xludf.DUMMYFUNCTION("""COMPUTED_VALUE"""),"#N/A")</f>
        <v>#N/A</v>
      </c>
      <c r="U2064" s="3" t="str">
        <f>IFERROR(__xludf.DUMMYFUNCTION("""COMPUTED_VALUE"""),"#N/A")</f>
        <v>#N/A</v>
      </c>
      <c r="V2064" s="3" t="str">
        <f>IFERROR(__xludf.DUMMYFUNCTION("""COMPUTED_VALUE"""),"Y")</f>
        <v>Y</v>
      </c>
      <c r="W2064" s="3">
        <f>IFERROR(__xludf.DUMMYFUNCTION("""COMPUTED_VALUE"""),811094.0)</f>
        <v>811094</v>
      </c>
      <c r="X2064" s="3" t="str">
        <f>IFERROR(__xludf.DUMMYFUNCTION("""COMPUTED_VALUE"""),"189 หมู่ 5 ตำบลบ้านนา อำเภอวชิรบารมี จังหวัดพิจิตร 66140")</f>
        <v>189 หมู่ 5 ตำบลบ้านนา อำเภอวชิรบารมี จังหวัดพิจิตร 66140</v>
      </c>
      <c r="Y2064" s="3"/>
      <c r="Z2064" s="3" t="str">
        <f>IFERROR(__xludf.DUMMYFUNCTION("""COMPUTED_VALUE"""),"บ้านนา")</f>
        <v>บ้านนา</v>
      </c>
      <c r="AA2064" s="3" t="str">
        <f>IFERROR(__xludf.DUMMYFUNCTION("""COMPUTED_VALUE"""),"วชิรบารมี")</f>
        <v>วชิรบารมี</v>
      </c>
      <c r="AB2064" s="3" t="str">
        <f>IFERROR(__xludf.DUMMYFUNCTION("""COMPUTED_VALUE"""),"พิจิตร")</f>
        <v>พิจิตร</v>
      </c>
      <c r="AC2064" s="3">
        <f>IFERROR(__xludf.DUMMYFUNCTION("""COMPUTED_VALUE"""),66140.0)</f>
        <v>66140</v>
      </c>
      <c r="AD2064" s="3">
        <f>IFERROR(__xludf.DUMMYFUNCTION("""COMPUTED_VALUE"""),16.482687)</f>
        <v>16.482687</v>
      </c>
      <c r="AE2064" s="3">
        <f>IFERROR(__xludf.DUMMYFUNCTION("""COMPUTED_VALUE"""),100.145999)</f>
        <v>100.145999</v>
      </c>
      <c r="AF2064" s="3" t="str">
        <f>IFERROR(__xludf.DUMMYFUNCTION("""COMPUTED_VALUE"""),"BCM FC Shell วชิรบารมี-31052")</f>
        <v>BCM FC Shell วชิรบารมี-31052</v>
      </c>
      <c r="AG2064" s="3" t="str">
        <f>IFERROR(__xludf.DUMMYFUNCTION("""COMPUTED_VALUE"""),"กลาง")</f>
        <v>กลาง</v>
      </c>
      <c r="AH2064" s="3" t="str">
        <f>IFERROR(__xludf.DUMMYFUNCTION("""COMPUTED_VALUE"""),"#N/A")</f>
        <v>#N/A</v>
      </c>
      <c r="AI2064" s="3" t="str">
        <f>IFERROR(__xludf.DUMMYFUNCTION("""COMPUTED_VALUE"""),"Out of warranty")</f>
        <v>Out of warranty</v>
      </c>
      <c r="AJ2064" s="3">
        <f>IFERROR(__xludf.DUMMYFUNCTION("""COMPUTED_VALUE"""),105.0)</f>
        <v>105</v>
      </c>
      <c r="AK2064" s="3"/>
      <c r="AL2064" s="3"/>
    </row>
    <row r="2065" ht="15.75" customHeight="1">
      <c r="A2065" s="1" t="str">
        <f>IFERROR(__xludf.DUMMYFUNCTION("""COMPUTED_VALUE"""),"31053")</f>
        <v>31053</v>
      </c>
      <c r="B2065" s="2">
        <f>IFERROR(__xludf.DUMMYFUNCTION("""COMPUTED_VALUE"""),31053.0)</f>
        <v>31053</v>
      </c>
      <c r="C2065" s="3" t="str">
        <f>IFERROR(__xludf.DUMMYFUNCTION("""COMPUTED_VALUE"""),"BCM FC พรหมประกาย ซ.11")</f>
        <v>BCM FC พรหมประกาย ซ.11</v>
      </c>
      <c r="D2065" s="3" t="str">
        <f>IFERROR(__xludf.DUMMYFUNCTION("""COMPUTED_VALUE"""),"BCM PROM PRAKAI SOI 11 (UDON)")</f>
        <v>BCM PROM PRAKAI SOI 11 (UDON)</v>
      </c>
      <c r="E2065" s="1" t="str">
        <f>IFERROR(__xludf.DUMMYFUNCTION("""COMPUTED_VALUE"""),"บิ๊กซี MINI")</f>
        <v>บิ๊กซี MINI</v>
      </c>
      <c r="F2065" s="1" t="str">
        <f>IFERROR(__xludf.DUMMYFUNCTION("""COMPUTED_VALUE"""),"291105")</f>
        <v>291105</v>
      </c>
      <c r="G2065" s="1" t="str">
        <f>IFERROR(__xludf.DUMMYFUNCTION("""COMPUTED_VALUE"""),"นายสราวุฒิ พณิชยกุล")</f>
        <v>นายสราวุฒิ พณิชยกุล</v>
      </c>
      <c r="H2065" s="1" t="str">
        <f>IFERROR(__xludf.DUMMYFUNCTION("""COMPUTED_VALUE"""),"392005")</f>
        <v>392005</v>
      </c>
      <c r="I2065" s="1" t="str">
        <f>IFERROR(__xludf.DUMMYFUNCTION("""COMPUTED_VALUE"""),"นายรัฐพล หาญลำยวง")</f>
        <v>นายรัฐพล หาญลำยวง</v>
      </c>
      <c r="J2065" s="1" t="str">
        <f>IFERROR(__xludf.DUMMYFUNCTION("""COMPUTED_VALUE"""),"296868")</f>
        <v>296868</v>
      </c>
      <c r="K2065" s="3" t="str">
        <f>IFERROR(__xludf.DUMMYFUNCTION("""COMPUTED_VALUE"""),"นายพีระพงษ์ แก้วดวงดี")</f>
        <v>นายพีระพงษ์ แก้วดวงดี</v>
      </c>
      <c r="L2065" s="1" t="str">
        <f>IFERROR(__xludf.DUMMYFUNCTION("""COMPUTED_VALUE"""),"03 K.Peerapong K.")</f>
        <v>03 K.Peerapong K.</v>
      </c>
      <c r="M2065" s="1" t="str">
        <f>IFERROR(__xludf.DUMMYFUNCTION("""COMPUTED_VALUE"""),"089-002-6599")</f>
        <v>089-002-6599</v>
      </c>
      <c r="N2065" s="3">
        <f>IFERROR(__xludf.DUMMYFUNCTION("""COMPUTED_VALUE"""),21946.0)</f>
        <v>21946</v>
      </c>
      <c r="O2065" s="3" t="str">
        <f>IFERROR(__xludf.DUMMYFUNCTION("""COMPUTED_VALUE"""),"MBC เซกา บึงกาฬ")</f>
        <v>MBC เซกา บึงกาฬ</v>
      </c>
      <c r="P2065" s="4">
        <f>IFERROR(__xludf.DUMMYFUNCTION("""COMPUTED_VALUE"""),42853.0)</f>
        <v>42853</v>
      </c>
      <c r="Q2065" s="3" t="str">
        <f>IFERROR(__xludf.DUMMYFUNCTION("""COMPUTED_VALUE"""),"A")</f>
        <v>A</v>
      </c>
      <c r="R2065" s="3" t="str">
        <f>IFERROR(__xludf.DUMMYFUNCTION("""COMPUTED_VALUE"""),"Small Format")</f>
        <v>Small Format</v>
      </c>
      <c r="S2065" s="3" t="str">
        <f>IFERROR(__xludf.DUMMYFUNCTION("""COMPUTED_VALUE"""),"BCM(FC)")</f>
        <v>BCM(FC)</v>
      </c>
      <c r="T2065" s="3" t="str">
        <f>IFERROR(__xludf.DUMMYFUNCTION("""COMPUTED_VALUE"""),"#N/A")</f>
        <v>#N/A</v>
      </c>
      <c r="U2065" s="3" t="str">
        <f>IFERROR(__xludf.DUMMYFUNCTION("""COMPUTED_VALUE"""),"#N/A")</f>
        <v>#N/A</v>
      </c>
      <c r="V2065" s="3" t="str">
        <f>IFERROR(__xludf.DUMMYFUNCTION("""COMPUTED_VALUE"""),"Y")</f>
        <v>Y</v>
      </c>
      <c r="W2065" s="3">
        <f>IFERROR(__xludf.DUMMYFUNCTION("""COMPUTED_VALUE"""),811099.0)</f>
        <v>811099</v>
      </c>
      <c r="X2065" s="3" t="str">
        <f>IFERROR(__xludf.DUMMYFUNCTION("""COMPUTED_VALUE"""),"391/12-15 หมู่ 5 ซอยบ้านหนองเตาเหล็ก ตำบลหมากแข้ง อำเภอเมืองอุดรธานี จังหวัดอุดรธานี 41000")</f>
        <v>391/12-15 หมู่ 5 ซอยบ้านหนองเตาเหล็ก ตำบลหมากแข้ง อำเภอเมืองอุดรธานี จังหวัดอุดรธานี 41000</v>
      </c>
      <c r="Y2065" s="3"/>
      <c r="Z2065" s="3" t="str">
        <f>IFERROR(__xludf.DUMMYFUNCTION("""COMPUTED_VALUE"""),"หมากแข้ง")</f>
        <v>หมากแข้ง</v>
      </c>
      <c r="AA2065" s="3" t="str">
        <f>IFERROR(__xludf.DUMMYFUNCTION("""COMPUTED_VALUE"""),"เมือง")</f>
        <v>เมือง</v>
      </c>
      <c r="AB2065" s="3" t="str">
        <f>IFERROR(__xludf.DUMMYFUNCTION("""COMPUTED_VALUE"""),"อุดรธานี")</f>
        <v>อุดรธานี</v>
      </c>
      <c r="AC2065" s="3">
        <f>IFERROR(__xludf.DUMMYFUNCTION("""COMPUTED_VALUE"""),41000.0)</f>
        <v>41000</v>
      </c>
      <c r="AD2065" s="3">
        <f>IFERROR(__xludf.DUMMYFUNCTION("""COMPUTED_VALUE"""),17.4051796)</f>
        <v>17.4051796</v>
      </c>
      <c r="AE2065" s="3">
        <f>IFERROR(__xludf.DUMMYFUNCTION("""COMPUTED_VALUE"""),102.7752398)</f>
        <v>102.7752398</v>
      </c>
      <c r="AF2065" s="3" t="str">
        <f>IFERROR(__xludf.DUMMYFUNCTION("""COMPUTED_VALUE"""),"BCM FC พรหมประกาย ซ.11-31053")</f>
        <v>BCM FC พรหมประกาย ซ.11-31053</v>
      </c>
      <c r="AG2065" s="3" t="str">
        <f>IFERROR(__xludf.DUMMYFUNCTION("""COMPUTED_VALUE"""),"ตะวันออกเฉียงเหนือ")</f>
        <v>ตะวันออกเฉียงเหนือ</v>
      </c>
      <c r="AH2065" s="3" t="str">
        <f>IFERROR(__xludf.DUMMYFUNCTION("""COMPUTED_VALUE"""),"#N/A")</f>
        <v>#N/A</v>
      </c>
      <c r="AI2065" s="3" t="str">
        <f>IFERROR(__xludf.DUMMYFUNCTION("""COMPUTED_VALUE"""),"Out of warranty")</f>
        <v>Out of warranty</v>
      </c>
      <c r="AJ2065" s="3">
        <f>IFERROR(__xludf.DUMMYFUNCTION("""COMPUTED_VALUE"""),105.0)</f>
        <v>105</v>
      </c>
      <c r="AK2065" s="3"/>
      <c r="AL2065" s="3"/>
    </row>
    <row r="2066" ht="15.75" customHeight="1">
      <c r="A2066" s="1" t="str">
        <f>IFERROR(__xludf.DUMMYFUNCTION("""COMPUTED_VALUE"""),"31054")</f>
        <v>31054</v>
      </c>
      <c r="B2066" s="2">
        <f>IFERROR(__xludf.DUMMYFUNCTION("""COMPUTED_VALUE"""),31054.0)</f>
        <v>31054</v>
      </c>
      <c r="C2066" s="3" t="str">
        <f>IFERROR(__xludf.DUMMYFUNCTION("""COMPUTED_VALUE"""),"MFC สถานีรถไฟ ทับสะแก")</f>
        <v>MFC สถานีรถไฟ ทับสะแก</v>
      </c>
      <c r="D2066" s="3" t="str">
        <f>IFERROR(__xludf.DUMMYFUNCTION("""COMPUTED_VALUE"""),"MFC THAPSAKAE TRAIN STATION")</f>
        <v>MFC THAPSAKAE TRAIN STATION</v>
      </c>
      <c r="E2066" s="1" t="str">
        <f>IFERROR(__xludf.DUMMYFUNCTION("""COMPUTED_VALUE"""),"บิ๊กซี MINI")</f>
        <v>บิ๊กซี MINI</v>
      </c>
      <c r="F2066" s="1" t="str">
        <f>IFERROR(__xludf.DUMMYFUNCTION("""COMPUTED_VALUE"""),"2010918")</f>
        <v>2010918</v>
      </c>
      <c r="G2066" s="1" t="str">
        <f>IFERROR(__xludf.DUMMYFUNCTION("""COMPUTED_VALUE"""),"น.ส.สุดารัตน์ รัตนประดิษฐ์")</f>
        <v>น.ส.สุดารัตน์ รัตนประดิษฐ์</v>
      </c>
      <c r="H2066" s="1" t="str">
        <f>IFERROR(__xludf.DUMMYFUNCTION("""COMPUTED_VALUE"""),"391191")</f>
        <v>391191</v>
      </c>
      <c r="I2066" s="1" t="str">
        <f>IFERROR(__xludf.DUMMYFUNCTION("""COMPUTED_VALUE"""),"นายวสันต์ สรงพรมทิพย์")</f>
        <v>นายวสันต์ สรงพรมทิพย์</v>
      </c>
      <c r="J2066" s="1" t="str">
        <f>IFERROR(__xludf.DUMMYFUNCTION("""COMPUTED_VALUE"""),"20470331")</f>
        <v>20470331</v>
      </c>
      <c r="K2066" s="3" t="str">
        <f>IFERROR(__xludf.DUMMYFUNCTION("""COMPUTED_VALUE"""),"นายสมชาย ลักษณะสุวรรณ")</f>
        <v>นายสมชาย ลักษณะสุวรรณ</v>
      </c>
      <c r="L2066" s="1" t="str">
        <f>IFERROR(__xludf.DUMMYFUNCTION("""COMPUTED_VALUE"""),"15 K.Somchai L")</f>
        <v>15 K.Somchai L</v>
      </c>
      <c r="M2066" s="1" t="str">
        <f>IFERROR(__xludf.DUMMYFUNCTION("""COMPUTED_VALUE"""),"0655107372")</f>
        <v>0655107372</v>
      </c>
      <c r="N2066" s="3">
        <f>IFERROR(__xludf.DUMMYFUNCTION("""COMPUTED_VALUE"""),21723.0)</f>
        <v>21723</v>
      </c>
      <c r="O2066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2066" s="4">
        <f>IFERROR(__xludf.DUMMYFUNCTION("""COMPUTED_VALUE"""),42876.0)</f>
        <v>42876</v>
      </c>
      <c r="Q2066" s="3" t="str">
        <f>IFERROR(__xludf.DUMMYFUNCTION("""COMPUTED_VALUE"""),"I")</f>
        <v>I</v>
      </c>
      <c r="R2066" s="3" t="str">
        <f>IFERROR(__xludf.DUMMYFUNCTION("""COMPUTED_VALUE"""),"Small Format")</f>
        <v>Small Format</v>
      </c>
      <c r="S2066" s="3" t="str">
        <f>IFERROR(__xludf.DUMMYFUNCTION("""COMPUTED_VALUE"""),"BCM(FC)")</f>
        <v>BCM(FC)</v>
      </c>
      <c r="T2066" s="3" t="str">
        <f>IFERROR(__xludf.DUMMYFUNCTION("""COMPUTED_VALUE"""),"#N/A")</f>
        <v>#N/A</v>
      </c>
      <c r="U2066" s="3" t="str">
        <f>IFERROR(__xludf.DUMMYFUNCTION("""COMPUTED_VALUE"""),"#N/A")</f>
        <v>#N/A</v>
      </c>
      <c r="V2066" s="3" t="str">
        <f>IFERROR(__xludf.DUMMYFUNCTION("""COMPUTED_VALUE"""),"Y")</f>
        <v>Y</v>
      </c>
      <c r="W2066" s="3">
        <f>IFERROR(__xludf.DUMMYFUNCTION("""COMPUTED_VALUE"""),0.0)</f>
        <v>0</v>
      </c>
      <c r="X2066" s="3" t="str">
        <f>IFERROR(__xludf.DUMMYFUNCTION("""COMPUTED_VALUE"""),"375/7-9 หมู่ที่ 4 ตำบลทับสะแก อำเภอทับสะแก จังหวัดประจวบคีรีขันธ์ 77130")</f>
        <v>375/7-9 หมู่ที่ 4 ตำบลทับสะแก อำเภอทับสะแก จังหวัดประจวบคีรีขันธ์ 77130</v>
      </c>
      <c r="Y2066" s="3"/>
      <c r="Z2066" s="3" t="str">
        <f>IFERROR(__xludf.DUMMYFUNCTION("""COMPUTED_VALUE"""),"ทับสะแก")</f>
        <v>ทับสะแก</v>
      </c>
      <c r="AA2066" s="3" t="str">
        <f>IFERROR(__xludf.DUMMYFUNCTION("""COMPUTED_VALUE"""),"ทับสะแก")</f>
        <v>ทับสะแก</v>
      </c>
      <c r="AB2066" s="3" t="str">
        <f>IFERROR(__xludf.DUMMYFUNCTION("""COMPUTED_VALUE"""),"ประจวบคีรีขันธ์")</f>
        <v>ประจวบคีรีขันธ์</v>
      </c>
      <c r="AC2066" s="3">
        <f>IFERROR(__xludf.DUMMYFUNCTION("""COMPUTED_VALUE"""),77130.0)</f>
        <v>77130</v>
      </c>
      <c r="AD2066" s="3" t="str">
        <f>IFERROR(__xludf.DUMMYFUNCTION("""COMPUTED_VALUE"""),"#N/A")</f>
        <v>#N/A</v>
      </c>
      <c r="AE2066" s="3" t="str">
        <f>IFERROR(__xludf.DUMMYFUNCTION("""COMPUTED_VALUE"""),"#N/A")</f>
        <v>#N/A</v>
      </c>
      <c r="AF2066" s="3" t="str">
        <f>IFERROR(__xludf.DUMMYFUNCTION("""COMPUTED_VALUE"""),"MFC สถานีรถไฟ ทับสะแก-31054")</f>
        <v>MFC สถานีรถไฟ ทับสะแก-31054</v>
      </c>
      <c r="AG2066" s="3" t="str">
        <f>IFERROR(__xludf.DUMMYFUNCTION("""COMPUTED_VALUE"""),"ตะวันตก")</f>
        <v>ตะวันตก</v>
      </c>
      <c r="AH2066" s="3" t="str">
        <f>IFERROR(__xludf.DUMMYFUNCTION("""COMPUTED_VALUE"""),"#N/A")</f>
        <v>#N/A</v>
      </c>
      <c r="AI2066" s="3" t="str">
        <f>IFERROR(__xludf.DUMMYFUNCTION("""COMPUTED_VALUE"""),"Out of warranty")</f>
        <v>Out of warranty</v>
      </c>
      <c r="AJ2066" s="3">
        <f>IFERROR(__xludf.DUMMYFUNCTION("""COMPUTED_VALUE"""),104.0)</f>
        <v>104</v>
      </c>
      <c r="AK2066" s="3"/>
      <c r="AL2066" s="3"/>
    </row>
    <row r="2067" ht="15.75" customHeight="1">
      <c r="A2067" s="1" t="str">
        <f>IFERROR(__xludf.DUMMYFUNCTION("""COMPUTED_VALUE"""),"31055")</f>
        <v>31055</v>
      </c>
      <c r="B2067" s="2">
        <f>IFERROR(__xludf.DUMMYFUNCTION("""COMPUTED_VALUE"""),31055.0)</f>
        <v>31055</v>
      </c>
      <c r="C2067" s="3" t="str">
        <f>IFERROR(__xludf.DUMMYFUNCTION("""COMPUTED_VALUE"""),"MFC โรงเรียน นานาชาติ ธาราพัฒนา")</f>
        <v>MFC โรงเรียน นานาชาติ ธาราพัฒนา</v>
      </c>
      <c r="D2067" s="3" t="str">
        <f>IFERROR(__xludf.DUMMYFUNCTION("""COMPUTED_VALUE"""),"MFC TARA PATTANA INTER SCHOOL")</f>
        <v>MFC TARA PATTANA INTER SCHOOL</v>
      </c>
      <c r="E2067" s="1" t="str">
        <f>IFERROR(__xludf.DUMMYFUNCTION("""COMPUTED_VALUE"""),"บิ๊กซี MINI")</f>
        <v>บิ๊กซี MINI</v>
      </c>
      <c r="F2067" s="1" t="str">
        <f>IFERROR(__xludf.DUMMYFUNCTION("""COMPUTED_VALUE"""),"221716")</f>
        <v>221716</v>
      </c>
      <c r="G2067" s="1" t="str">
        <f>IFERROR(__xludf.DUMMYFUNCTION("""COMPUTED_VALUE"""),"น.ส.เบญจพร โพธิสาร")</f>
        <v>น.ส.เบญจพร โพธิสาร</v>
      </c>
      <c r="H2067" s="1" t="str">
        <f>IFERROR(__xludf.DUMMYFUNCTION("""COMPUTED_VALUE"""),"313065")</f>
        <v>313065</v>
      </c>
      <c r="I2067" s="1" t="str">
        <f>IFERROR(__xludf.DUMMYFUNCTION("""COMPUTED_VALUE"""),"นายจิรายุทธ กันทา")</f>
        <v>นายจิรายุทธ กันทา</v>
      </c>
      <c r="J2067" s="1" t="str">
        <f>IFERROR(__xludf.DUMMYFUNCTION("""COMPUTED_VALUE"""),"13461215")</f>
        <v>13461215</v>
      </c>
      <c r="K2067" s="3" t="str">
        <f>IFERROR(__xludf.DUMMYFUNCTION("""COMPUTED_VALUE"""),"นายธีรภัทร สังข์เงิน")</f>
        <v>นายธีรภัทร สังข์เงิน</v>
      </c>
      <c r="L2067" s="1" t="str">
        <f>IFERROR(__xludf.DUMMYFUNCTION("""COMPUTED_VALUE"""),"06 K.Teerapat")</f>
        <v>06 K.Teerapat</v>
      </c>
      <c r="M2067" s="1" t="str">
        <f>IFERROR(__xludf.DUMMYFUNCTION("""COMPUTED_VALUE"""),"063-601-6803")</f>
        <v>063-601-6803</v>
      </c>
      <c r="N2067" s="3">
        <f>IFERROR(__xludf.DUMMYFUNCTION("""COMPUTED_VALUE"""),22115.0)</f>
        <v>22115</v>
      </c>
      <c r="O2067" s="3" t="str">
        <f>IFERROR(__xludf.DUMMYFUNCTION("""COMPUTED_VALUE"""),"MBC เลี่ยงหนองมน ชลบุรี")</f>
        <v>MBC เลี่ยงหนองมน ชลบุรี</v>
      </c>
      <c r="P2067" s="4">
        <f>IFERROR(__xludf.DUMMYFUNCTION("""COMPUTED_VALUE"""),42895.0)</f>
        <v>42895</v>
      </c>
      <c r="Q2067" s="3" t="str">
        <f>IFERROR(__xludf.DUMMYFUNCTION("""COMPUTED_VALUE"""),"A")</f>
        <v>A</v>
      </c>
      <c r="R2067" s="3" t="str">
        <f>IFERROR(__xludf.DUMMYFUNCTION("""COMPUTED_VALUE"""),"Small Format")</f>
        <v>Small Format</v>
      </c>
      <c r="S2067" s="3" t="str">
        <f>IFERROR(__xludf.DUMMYFUNCTION("""COMPUTED_VALUE"""),"BCM(FC)")</f>
        <v>BCM(FC)</v>
      </c>
      <c r="T2067" s="3" t="str">
        <f>IFERROR(__xludf.DUMMYFUNCTION("""COMPUTED_VALUE"""),"#N/A")</f>
        <v>#N/A</v>
      </c>
      <c r="U2067" s="3" t="str">
        <f>IFERROR(__xludf.DUMMYFUNCTION("""COMPUTED_VALUE"""),"#N/A")</f>
        <v>#N/A</v>
      </c>
      <c r="V2067" s="3" t="str">
        <f>IFERROR(__xludf.DUMMYFUNCTION("""COMPUTED_VALUE"""),"Y")</f>
        <v>Y</v>
      </c>
      <c r="W2067" s="3">
        <f>IFERROR(__xludf.DUMMYFUNCTION("""COMPUTED_VALUE"""),811089.0)</f>
        <v>811089</v>
      </c>
      <c r="X2067" s="3" t="str">
        <f>IFERROR(__xludf.DUMMYFUNCTION("""COMPUTED_VALUE"""),"98 หมู่ที่ 13 ตำบลหนองปรือ อำเภอบางละมุง จังหวัดชลบุรี 20150")</f>
        <v>98 หมู่ที่ 13 ตำบลหนองปรือ อำเภอบางละมุง จังหวัดชลบุรี 20150</v>
      </c>
      <c r="Y2067" s="3"/>
      <c r="Z2067" s="3" t="str">
        <f>IFERROR(__xludf.DUMMYFUNCTION("""COMPUTED_VALUE"""),"หนองปรือ")</f>
        <v>หนองปรือ</v>
      </c>
      <c r="AA2067" s="3" t="str">
        <f>IFERROR(__xludf.DUMMYFUNCTION("""COMPUTED_VALUE"""),"บางละมุง")</f>
        <v>บางละมุง</v>
      </c>
      <c r="AB2067" s="3" t="str">
        <f>IFERROR(__xludf.DUMMYFUNCTION("""COMPUTED_VALUE"""),"ชลบุรี")</f>
        <v>ชลบุรี</v>
      </c>
      <c r="AC2067" s="3">
        <f>IFERROR(__xludf.DUMMYFUNCTION("""COMPUTED_VALUE"""),20150.0)</f>
        <v>20150</v>
      </c>
      <c r="AD2067" s="3">
        <f>IFERROR(__xludf.DUMMYFUNCTION("""COMPUTED_VALUE"""),12.90853)</f>
        <v>12.90853</v>
      </c>
      <c r="AE2067" s="3">
        <f>IFERROR(__xludf.DUMMYFUNCTION("""COMPUTED_VALUE"""),100.924141)</f>
        <v>100.924141</v>
      </c>
      <c r="AF2067" s="3" t="str">
        <f>IFERROR(__xludf.DUMMYFUNCTION("""COMPUTED_VALUE"""),"MFC โรงเรียน นานาชาติ ธาราพัฒนา-31055")</f>
        <v>MFC โรงเรียน นานาชาติ ธาราพัฒนา-31055</v>
      </c>
      <c r="AG2067" s="3" t="str">
        <f>IFERROR(__xludf.DUMMYFUNCTION("""COMPUTED_VALUE"""),"ตะวันออก")</f>
        <v>ตะวันออก</v>
      </c>
      <c r="AH2067" s="3" t="str">
        <f>IFERROR(__xludf.DUMMYFUNCTION("""COMPUTED_VALUE"""),"#N/A")</f>
        <v>#N/A</v>
      </c>
      <c r="AI2067" s="3" t="str">
        <f>IFERROR(__xludf.DUMMYFUNCTION("""COMPUTED_VALUE"""),"Out of warranty")</f>
        <v>Out of warranty</v>
      </c>
      <c r="AJ2067" s="3">
        <f>IFERROR(__xludf.DUMMYFUNCTION("""COMPUTED_VALUE"""),104.0)</f>
        <v>104</v>
      </c>
      <c r="AK2067" s="3"/>
      <c r="AL2067" s="3"/>
    </row>
    <row r="2068" ht="15.75" customHeight="1">
      <c r="A2068" s="1" t="str">
        <f>IFERROR(__xludf.DUMMYFUNCTION("""COMPUTED_VALUE"""),"31056")</f>
        <v>31056</v>
      </c>
      <c r="B2068" s="2">
        <f>IFERROR(__xludf.DUMMYFUNCTION("""COMPUTED_VALUE"""),31056.0)</f>
        <v>31056</v>
      </c>
      <c r="C2068" s="3" t="str">
        <f>IFERROR(__xludf.DUMMYFUNCTION("""COMPUTED_VALUE"""),"BCM FC CTX พระราม 2 กม.54 ขาออก")</f>
        <v>BCM FC CTX พระราม 2 กม.54 ขาออก</v>
      </c>
      <c r="D2068" s="3" t="str">
        <f>IFERROR(__xludf.DUMMYFUNCTION("""COMPUTED_VALUE"""),"BCM CTX-RAMA2 KM.54 (OB)")</f>
        <v>BCM CTX-RAMA2 KM.54 (OB)</v>
      </c>
      <c r="E2068" s="1" t="str">
        <f>IFERROR(__xludf.DUMMYFUNCTION("""COMPUTED_VALUE"""),"บิ๊กซี MINI")</f>
        <v>บิ๊กซี MINI</v>
      </c>
      <c r="F2068" s="1" t="str">
        <f>IFERROR(__xludf.DUMMYFUNCTION("""COMPUTED_VALUE"""),"2083447")</f>
        <v>2083447</v>
      </c>
      <c r="G2068" s="1" t="str">
        <f>IFERROR(__xludf.DUMMYFUNCTION("""COMPUTED_VALUE"""),"นายอนุกูล ศรีลัดดา")</f>
        <v>นายอนุกูล ศรีลัดดา</v>
      </c>
      <c r="H2068" s="1" t="str">
        <f>IFERROR(__xludf.DUMMYFUNCTION("""COMPUTED_VALUE"""),"391191")</f>
        <v>391191</v>
      </c>
      <c r="I2068" s="1" t="str">
        <f>IFERROR(__xludf.DUMMYFUNCTION("""COMPUTED_VALUE"""),"นายวสันต์ สรงพรมทิพย์")</f>
        <v>นายวสันต์ สรงพรมทิพย์</v>
      </c>
      <c r="J2068" s="3">
        <f>IFERROR(__xludf.DUMMYFUNCTION("""COMPUTED_VALUE"""),2451655.0)</f>
        <v>2451655</v>
      </c>
      <c r="K2068" s="3" t="str">
        <f>IFERROR(__xludf.DUMMYFUNCTION("""COMPUTED_VALUE"""),"นายวิษณุพงษ์ ชินบุตร")</f>
        <v>นายวิษณุพงษ์ ชินบุตร</v>
      </c>
      <c r="L2068" s="1" t="str">
        <f>IFERROR(__xludf.DUMMYFUNCTION("""COMPUTED_VALUE"""),"13 K.Wisanupong Ch")</f>
        <v>13 K.Wisanupong Ch</v>
      </c>
      <c r="M2068" s="1" t="str">
        <f>IFERROR(__xludf.DUMMYFUNCTION("""COMPUTED_VALUE"""),"0843374693")</f>
        <v>0843374693</v>
      </c>
      <c r="N2068" s="3">
        <f>IFERROR(__xludf.DUMMYFUNCTION("""COMPUTED_VALUE"""),22729.0)</f>
        <v>22729</v>
      </c>
      <c r="O2068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2068" s="4">
        <f>IFERROR(__xludf.DUMMYFUNCTION("""COMPUTED_VALUE"""),42886.0)</f>
        <v>42886</v>
      </c>
      <c r="Q2068" s="3" t="str">
        <f>IFERROR(__xludf.DUMMYFUNCTION("""COMPUTED_VALUE"""),"A")</f>
        <v>A</v>
      </c>
      <c r="R2068" s="3" t="str">
        <f>IFERROR(__xludf.DUMMYFUNCTION("""COMPUTED_VALUE"""),"Small Format")</f>
        <v>Small Format</v>
      </c>
      <c r="S2068" s="3" t="str">
        <f>IFERROR(__xludf.DUMMYFUNCTION("""COMPUTED_VALUE"""),"BCM(FC)")</f>
        <v>BCM(FC)</v>
      </c>
      <c r="T2068" s="3" t="str">
        <f>IFERROR(__xludf.DUMMYFUNCTION("""COMPUTED_VALUE"""),"#N/A")</f>
        <v>#N/A</v>
      </c>
      <c r="U2068" s="3" t="str">
        <f>IFERROR(__xludf.DUMMYFUNCTION("""COMPUTED_VALUE"""),"#N/A")</f>
        <v>#N/A</v>
      </c>
      <c r="V2068" s="3" t="str">
        <f>IFERROR(__xludf.DUMMYFUNCTION("""COMPUTED_VALUE"""),"Y")</f>
        <v>Y</v>
      </c>
      <c r="W2068" s="3">
        <f>IFERROR(__xludf.DUMMYFUNCTION("""COMPUTED_VALUE"""),811124.0)</f>
        <v>811124</v>
      </c>
      <c r="X2068" s="3" t="str">
        <f>IFERROR(__xludf.DUMMYFUNCTION("""COMPUTED_VALUE"""),"92/4 หมู่ 9 ตำบลบางแก้ว อำเภอเมืองสมุทรสงคราม จังหวัดสมุทรสงคราม 75000")</f>
        <v>92/4 หมู่ 9 ตำบลบางแก้ว อำเภอเมืองสมุทรสงคราม จังหวัดสมุทรสงคราม 75000</v>
      </c>
      <c r="Y2068" s="3"/>
      <c r="Z2068" s="3" t="str">
        <f>IFERROR(__xludf.DUMMYFUNCTION("""COMPUTED_VALUE"""),"บางแก้ว")</f>
        <v>บางแก้ว</v>
      </c>
      <c r="AA2068" s="3" t="str">
        <f>IFERROR(__xludf.DUMMYFUNCTION("""COMPUTED_VALUE"""),"เมือง")</f>
        <v>เมือง</v>
      </c>
      <c r="AB2068" s="3" t="str">
        <f>IFERROR(__xludf.DUMMYFUNCTION("""COMPUTED_VALUE"""),"สมุทรสงคราม")</f>
        <v>สมุทรสงคราม</v>
      </c>
      <c r="AC2068" s="3">
        <f>IFERROR(__xludf.DUMMYFUNCTION("""COMPUTED_VALUE"""),75000.0)</f>
        <v>75000</v>
      </c>
      <c r="AD2068" s="3">
        <f>IFERROR(__xludf.DUMMYFUNCTION("""COMPUTED_VALUE"""),13.44367)</f>
        <v>13.44367</v>
      </c>
      <c r="AE2068" s="3">
        <f>IFERROR(__xludf.DUMMYFUNCTION("""COMPUTED_VALUE"""),100.0707)</f>
        <v>100.0707</v>
      </c>
      <c r="AF2068" s="3" t="str">
        <f>IFERROR(__xludf.DUMMYFUNCTION("""COMPUTED_VALUE"""),"BCM FC CTX พระราม 2 กม.54 ขาออก-31056")</f>
        <v>BCM FC CTX พระราม 2 กม.54 ขาออก-31056</v>
      </c>
      <c r="AG2068" s="3" t="str">
        <f>IFERROR(__xludf.DUMMYFUNCTION("""COMPUTED_VALUE"""),"กลาง")</f>
        <v>กลาง</v>
      </c>
      <c r="AH2068" s="3" t="str">
        <f>IFERROR(__xludf.DUMMYFUNCTION("""COMPUTED_VALUE"""),"#N/A")</f>
        <v>#N/A</v>
      </c>
      <c r="AI2068" s="3" t="str">
        <f>IFERROR(__xludf.DUMMYFUNCTION("""COMPUTED_VALUE"""),"Out of warranty")</f>
        <v>Out of warranty</v>
      </c>
      <c r="AJ2068" s="3">
        <f>IFERROR(__xludf.DUMMYFUNCTION("""COMPUTED_VALUE"""),104.0)</f>
        <v>104</v>
      </c>
      <c r="AK2068" s="3"/>
      <c r="AL2068" s="3"/>
    </row>
    <row r="2069" ht="15.75" customHeight="1">
      <c r="A2069" s="1" t="str">
        <f>IFERROR(__xludf.DUMMYFUNCTION("""COMPUTED_VALUE"""),"31057")</f>
        <v>31057</v>
      </c>
      <c r="B2069" s="2">
        <f>IFERROR(__xludf.DUMMYFUNCTION("""COMPUTED_VALUE"""),31057.0)</f>
        <v>31057</v>
      </c>
      <c r="C2069" s="3" t="str">
        <f>IFERROR(__xludf.DUMMYFUNCTION("""COMPUTED_VALUE"""),"BCM FC Shell ปลวกแดง ระยอง")</f>
        <v>BCM FC Shell ปลวกแดง ระยอง</v>
      </c>
      <c r="D2069" s="3" t="str">
        <f>IFERROR(__xludf.DUMMYFUNCTION("""COMPUTED_VALUE"""),"BCM SHELL-PLUAK DAENG(RAYONG)")</f>
        <v>BCM SHELL-PLUAK DAENG(RAYONG)</v>
      </c>
      <c r="E2069" s="1" t="str">
        <f>IFERROR(__xludf.DUMMYFUNCTION("""COMPUTED_VALUE"""),"บิ๊กซี MINI")</f>
        <v>บิ๊กซี MINI</v>
      </c>
      <c r="F2069" s="1" t="str">
        <f>IFERROR(__xludf.DUMMYFUNCTION("""COMPUTED_VALUE"""),"221716")</f>
        <v>221716</v>
      </c>
      <c r="G2069" s="1" t="str">
        <f>IFERROR(__xludf.DUMMYFUNCTION("""COMPUTED_VALUE"""),"น.ส.เบญจพร โพธิสาร")</f>
        <v>น.ส.เบญจพร โพธิสาร</v>
      </c>
      <c r="H2069" s="1" t="str">
        <f>IFERROR(__xludf.DUMMYFUNCTION("""COMPUTED_VALUE"""),"371384")</f>
        <v>371384</v>
      </c>
      <c r="I2069" s="1" t="str">
        <f>IFERROR(__xludf.DUMMYFUNCTION("""COMPUTED_VALUE"""),"น.ส.นิลเนตร สิงห์ทอง")</f>
        <v>น.ส.นิลเนตร สิงห์ทอง</v>
      </c>
      <c r="J2069" s="3">
        <f>IFERROR(__xludf.DUMMYFUNCTION("""COMPUTED_VALUE"""),2452376.0)</f>
        <v>2452376</v>
      </c>
      <c r="K2069" s="3" t="str">
        <f>IFERROR(__xludf.DUMMYFUNCTION("""COMPUTED_VALUE"""),"นายภาคภูมิ ทวีกุล")</f>
        <v>นายภาคภูมิ ทวีกุล</v>
      </c>
      <c r="L2069" s="1" t="str">
        <f>IFERROR(__xludf.DUMMYFUNCTION("""COMPUTED_VALUE"""),"08 K.Parkphum T.")</f>
        <v>08 K.Parkphum T.</v>
      </c>
      <c r="M2069" s="1" t="str">
        <f>IFERROR(__xludf.DUMMYFUNCTION("""COMPUTED_VALUE"""),"097-919-5476")</f>
        <v>097-919-5476</v>
      </c>
      <c r="N2069" s="3">
        <f>IFERROR(__xludf.DUMMYFUNCTION("""COMPUTED_VALUE"""),22028.0)</f>
        <v>22028</v>
      </c>
      <c r="O2069" s="3" t="str">
        <f>IFERROR(__xludf.DUMMYFUNCTION("""COMPUTED_VALUE"""),"MBC ทํบมา ระยอง")</f>
        <v>MBC ทํบมา ระยอง</v>
      </c>
      <c r="P2069" s="4">
        <f>IFERROR(__xludf.DUMMYFUNCTION("""COMPUTED_VALUE"""),42907.0)</f>
        <v>42907</v>
      </c>
      <c r="Q2069" s="3" t="str">
        <f>IFERROR(__xludf.DUMMYFUNCTION("""COMPUTED_VALUE"""),"A")</f>
        <v>A</v>
      </c>
      <c r="R2069" s="3" t="str">
        <f>IFERROR(__xludf.DUMMYFUNCTION("""COMPUTED_VALUE"""),"Small Format")</f>
        <v>Small Format</v>
      </c>
      <c r="S2069" s="3" t="str">
        <f>IFERROR(__xludf.DUMMYFUNCTION("""COMPUTED_VALUE"""),"BCM(FC)")</f>
        <v>BCM(FC)</v>
      </c>
      <c r="T2069" s="3" t="str">
        <f>IFERROR(__xludf.DUMMYFUNCTION("""COMPUTED_VALUE"""),"#N/A")</f>
        <v>#N/A</v>
      </c>
      <c r="U2069" s="3" t="str">
        <f>IFERROR(__xludf.DUMMYFUNCTION("""COMPUTED_VALUE"""),"#N/A")</f>
        <v>#N/A</v>
      </c>
      <c r="V2069" s="3" t="str">
        <f>IFERROR(__xludf.DUMMYFUNCTION("""COMPUTED_VALUE"""),"Y")</f>
        <v>Y</v>
      </c>
      <c r="W2069" s="3">
        <f>IFERROR(__xludf.DUMMYFUNCTION("""COMPUTED_VALUE"""),811093.0)</f>
        <v>811093</v>
      </c>
      <c r="X2069" s="3" t="str">
        <f>IFERROR(__xludf.DUMMYFUNCTION("""COMPUTED_VALUE"""),"432 หมู่ที่ 5 ตำบลแม่น้ำคู้ อำเภอปลวกแดง จังหวัดระยอง 21140")</f>
        <v>432 หมู่ที่ 5 ตำบลแม่น้ำคู้ อำเภอปลวกแดง จังหวัดระยอง 21140</v>
      </c>
      <c r="Y2069" s="3"/>
      <c r="Z2069" s="3" t="str">
        <f>IFERROR(__xludf.DUMMYFUNCTION("""COMPUTED_VALUE"""),"แม่น้ำคู้")</f>
        <v>แม่น้ำคู้</v>
      </c>
      <c r="AA2069" s="3" t="str">
        <f>IFERROR(__xludf.DUMMYFUNCTION("""COMPUTED_VALUE"""),"ปลวกแดง")</f>
        <v>ปลวกแดง</v>
      </c>
      <c r="AB2069" s="3" t="str">
        <f>IFERROR(__xludf.DUMMYFUNCTION("""COMPUTED_VALUE"""),"ระยอง")</f>
        <v>ระยอง</v>
      </c>
      <c r="AC2069" s="3">
        <f>IFERROR(__xludf.DUMMYFUNCTION("""COMPUTED_VALUE"""),21140.0)</f>
        <v>21140</v>
      </c>
      <c r="AD2069" s="3">
        <f>IFERROR(__xludf.DUMMYFUNCTION("""COMPUTED_VALUE"""),12.925296)</f>
        <v>12.925296</v>
      </c>
      <c r="AE2069" s="3">
        <f>IFERROR(__xludf.DUMMYFUNCTION("""COMPUTED_VALUE"""),101.249768)</f>
        <v>101.249768</v>
      </c>
      <c r="AF2069" s="3" t="str">
        <f>IFERROR(__xludf.DUMMYFUNCTION("""COMPUTED_VALUE"""),"BCM FC Shell ปลวกแดง ระยอง-31057")</f>
        <v>BCM FC Shell ปลวกแดง ระยอง-31057</v>
      </c>
      <c r="AG2069" s="3" t="str">
        <f>IFERROR(__xludf.DUMMYFUNCTION("""COMPUTED_VALUE"""),"ตะวันออก")</f>
        <v>ตะวันออก</v>
      </c>
      <c r="AH2069" s="3" t="str">
        <f>IFERROR(__xludf.DUMMYFUNCTION("""COMPUTED_VALUE"""),"#N/A")</f>
        <v>#N/A</v>
      </c>
      <c r="AI2069" s="3" t="str">
        <f>IFERROR(__xludf.DUMMYFUNCTION("""COMPUTED_VALUE"""),"Out of warranty")</f>
        <v>Out of warranty</v>
      </c>
      <c r="AJ2069" s="3">
        <f>IFERROR(__xludf.DUMMYFUNCTION("""COMPUTED_VALUE"""),103.0)</f>
        <v>103</v>
      </c>
      <c r="AK2069" s="3"/>
      <c r="AL2069" s="3"/>
    </row>
    <row r="2070" ht="15.75" customHeight="1">
      <c r="A2070" s="1" t="str">
        <f>IFERROR(__xludf.DUMMYFUNCTION("""COMPUTED_VALUE"""),"31058")</f>
        <v>31058</v>
      </c>
      <c r="B2070" s="2">
        <f>IFERROR(__xludf.DUMMYFUNCTION("""COMPUTED_VALUE"""),31058.0)</f>
        <v>31058</v>
      </c>
      <c r="C2070" s="3" t="str">
        <f>IFERROR(__xludf.DUMMYFUNCTION("""COMPUTED_VALUE"""),"MFC สะพานนวลฉวี")</f>
        <v>MFC สะพานนวลฉวี</v>
      </c>
      <c r="D2070" s="3" t="str">
        <f>IFERROR(__xludf.DUMMYFUNCTION("""COMPUTED_VALUE"""),"MFC SAPHAN NUANCHWEE")</f>
        <v>MFC SAPHAN NUANCHWEE</v>
      </c>
      <c r="E2070" s="1" t="str">
        <f>IFERROR(__xludf.DUMMYFUNCTION("""COMPUTED_VALUE"""),"บิ๊กซี MINI")</f>
        <v>บิ๊กซี MINI</v>
      </c>
      <c r="F2070" s="1" t="str">
        <f>IFERROR(__xludf.DUMMYFUNCTION("""COMPUTED_VALUE"""),"291008")</f>
        <v>291008</v>
      </c>
      <c r="G2070" s="1" t="str">
        <f>IFERROR(__xludf.DUMMYFUNCTION("""COMPUTED_VALUE"""),"น.ส.รัชดาพร อีศรัตน์")</f>
        <v>น.ส.รัชดาพร อีศรัตน์</v>
      </c>
      <c r="H2070" s="1" t="str">
        <f>IFERROR(__xludf.DUMMYFUNCTION("""COMPUTED_VALUE"""),"288639")</f>
        <v>288639</v>
      </c>
      <c r="I2070" s="1" t="str">
        <f>IFERROR(__xludf.DUMMYFUNCTION("""COMPUTED_VALUE"""),"น.ส.สมหญิง สีชมภู")</f>
        <v>น.ส.สมหญิง สีชมภู</v>
      </c>
      <c r="J2070" s="3">
        <f>IFERROR(__xludf.DUMMYFUNCTION("""COMPUTED_VALUE"""),3510104.0)</f>
        <v>3510104</v>
      </c>
      <c r="K2070" s="3" t="str">
        <f>IFERROR(__xludf.DUMMYFUNCTION("""COMPUTED_VALUE"""),"นายวิโรจน์ อับดุลสมัด")</f>
        <v>นายวิโรจน์ อับดุลสมัด</v>
      </c>
      <c r="L2070" s="1" t="str">
        <f>IFERROR(__xludf.DUMMYFUNCTION("""COMPUTED_VALUE"""),"09 K.Wirode A")</f>
        <v>09 K.Wirode A</v>
      </c>
      <c r="M2070" s="1" t="str">
        <f>IFERROR(__xludf.DUMMYFUNCTION("""COMPUTED_VALUE"""),"080-235-4465")</f>
        <v>080-235-4465</v>
      </c>
      <c r="N2070" s="3">
        <f>IFERROR(__xludf.DUMMYFUNCTION("""COMPUTED_VALUE"""),21324.0)</f>
        <v>21324</v>
      </c>
      <c r="O2070" s="3" t="str">
        <f>IFERROR(__xludf.DUMMYFUNCTION("""COMPUTED_VALUE"""),"MBC BCP สุวินทวงศ์")</f>
        <v>MBC BCP สุวินทวงศ์</v>
      </c>
      <c r="P2070" s="4">
        <f>IFERROR(__xludf.DUMMYFUNCTION("""COMPUTED_VALUE"""),42909.0)</f>
        <v>42909</v>
      </c>
      <c r="Q2070" s="3" t="str">
        <f>IFERROR(__xludf.DUMMYFUNCTION("""COMPUTED_VALUE"""),"I")</f>
        <v>I</v>
      </c>
      <c r="R2070" s="3" t="str">
        <f>IFERROR(__xludf.DUMMYFUNCTION("""COMPUTED_VALUE"""),"Small Format")</f>
        <v>Small Format</v>
      </c>
      <c r="S2070" s="3" t="str">
        <f>IFERROR(__xludf.DUMMYFUNCTION("""COMPUTED_VALUE"""),"BCM(FC)")</f>
        <v>BCM(FC)</v>
      </c>
      <c r="T2070" s="3" t="str">
        <f>IFERROR(__xludf.DUMMYFUNCTION("""COMPUTED_VALUE"""),"#N/A")</f>
        <v>#N/A</v>
      </c>
      <c r="U2070" s="3" t="str">
        <f>IFERROR(__xludf.DUMMYFUNCTION("""COMPUTED_VALUE"""),"#N/A")</f>
        <v>#N/A</v>
      </c>
      <c r="V2070" s="3" t="str">
        <f>IFERROR(__xludf.DUMMYFUNCTION("""COMPUTED_VALUE"""),"Y")</f>
        <v>Y</v>
      </c>
      <c r="W2070" s="3">
        <f>IFERROR(__xludf.DUMMYFUNCTION("""COMPUTED_VALUE"""),0.0)</f>
        <v>0</v>
      </c>
      <c r="X2070" s="3" t="str">
        <f>IFERROR(__xludf.DUMMYFUNCTION("""COMPUTED_VALUE"""),"8/21 หมู่ที่ 3 ตำบลบางขะแยง อำเภอเมืองปทุมธานี จังหวัดปทุมธานี 12000")</f>
        <v>8/21 หมู่ที่ 3 ตำบลบางขะแยง อำเภอเมืองปทุมธานี จังหวัดปทุมธานี 12000</v>
      </c>
      <c r="Y2070" s="3"/>
      <c r="Z2070" s="3" t="str">
        <f>IFERROR(__xludf.DUMMYFUNCTION("""COMPUTED_VALUE"""),"บางขะแยง")</f>
        <v>บางขะแยง</v>
      </c>
      <c r="AA2070" s="3" t="str">
        <f>IFERROR(__xludf.DUMMYFUNCTION("""COMPUTED_VALUE"""),"เมือง")</f>
        <v>เมือง</v>
      </c>
      <c r="AB2070" s="3" t="str">
        <f>IFERROR(__xludf.DUMMYFUNCTION("""COMPUTED_VALUE"""),"ปทุมธานี")</f>
        <v>ปทุมธานี</v>
      </c>
      <c r="AC2070" s="3">
        <f>IFERROR(__xludf.DUMMYFUNCTION("""COMPUTED_VALUE"""),12000.0)</f>
        <v>12000</v>
      </c>
      <c r="AD2070" s="3" t="str">
        <f>IFERROR(__xludf.DUMMYFUNCTION("""COMPUTED_VALUE"""),"#N/A")</f>
        <v>#N/A</v>
      </c>
      <c r="AE2070" s="3" t="str">
        <f>IFERROR(__xludf.DUMMYFUNCTION("""COMPUTED_VALUE"""),"#N/A")</f>
        <v>#N/A</v>
      </c>
      <c r="AF2070" s="3" t="str">
        <f>IFERROR(__xludf.DUMMYFUNCTION("""COMPUTED_VALUE"""),"MFC สะพานนวลฉวี-31058")</f>
        <v>MFC สะพานนวลฉวี-31058</v>
      </c>
      <c r="AG2070" s="3" t="str">
        <f>IFERROR(__xludf.DUMMYFUNCTION("""COMPUTED_VALUE"""),"กลาง")</f>
        <v>กลาง</v>
      </c>
      <c r="AH2070" s="3" t="str">
        <f>IFERROR(__xludf.DUMMYFUNCTION("""COMPUTED_VALUE"""),"#N/A")</f>
        <v>#N/A</v>
      </c>
      <c r="AI2070" s="3" t="str">
        <f>IFERROR(__xludf.DUMMYFUNCTION("""COMPUTED_VALUE"""),"Out of warranty")</f>
        <v>Out of warranty</v>
      </c>
      <c r="AJ2070" s="3">
        <f>IFERROR(__xludf.DUMMYFUNCTION("""COMPUTED_VALUE"""),103.0)</f>
        <v>103</v>
      </c>
      <c r="AK2070" s="3"/>
      <c r="AL2070" s="3"/>
    </row>
    <row r="2071" ht="15.75" customHeight="1">
      <c r="A2071" s="1" t="str">
        <f>IFERROR(__xludf.DUMMYFUNCTION("""COMPUTED_VALUE"""),"31059")</f>
        <v>31059</v>
      </c>
      <c r="B2071" s="2">
        <f>IFERROR(__xludf.DUMMYFUNCTION("""COMPUTED_VALUE"""),31059.0)</f>
        <v>31059</v>
      </c>
      <c r="C2071" s="3" t="str">
        <f>IFERROR(__xludf.DUMMYFUNCTION("""COMPUTED_VALUE"""),"BCM FC Esso สะเดา")</f>
        <v>BCM FC Esso สะเดา</v>
      </c>
      <c r="D2071" s="3" t="str">
        <f>IFERROR(__xludf.DUMMYFUNCTION("""COMPUTED_VALUE"""),"BCM ESSO-SADAO (SONGKHA)")</f>
        <v>BCM ESSO-SADAO (SONGKHA)</v>
      </c>
      <c r="E2071" s="1" t="str">
        <f>IFERROR(__xludf.DUMMYFUNCTION("""COMPUTED_VALUE"""),"บิ๊กซี MINI")</f>
        <v>บิ๊กซี MINI</v>
      </c>
      <c r="F2071" s="1" t="str">
        <f>IFERROR(__xludf.DUMMYFUNCTION("""COMPUTED_VALUE"""),"250760")</f>
        <v>250760</v>
      </c>
      <c r="G2071" s="1" t="str">
        <f>IFERROR(__xludf.DUMMYFUNCTION("""COMPUTED_VALUE"""),"นายประทวน สาราบรรณ์")</f>
        <v>นายประทวน สาราบรรณ์</v>
      </c>
      <c r="H2071" s="1" t="str">
        <f>IFERROR(__xludf.DUMMYFUNCTION("""COMPUTED_VALUE"""),"394185")</f>
        <v>394185</v>
      </c>
      <c r="I2071" s="1" t="str">
        <f>IFERROR(__xludf.DUMMYFUNCTION("""COMPUTED_VALUE"""),"น.ส.ฐาปนี สุวรรณรัตน์")</f>
        <v>น.ส.ฐาปนี สุวรรณรัตน์</v>
      </c>
      <c r="J2071" s="3">
        <f>IFERROR(__xludf.DUMMYFUNCTION("""COMPUTED_VALUE"""),2.0470331E7)</f>
        <v>20470331</v>
      </c>
      <c r="K2071" s="3" t="str">
        <f>IFERROR(__xludf.DUMMYFUNCTION("""COMPUTED_VALUE"""),"นายสมชาย ลักษณะสุวรรณ")</f>
        <v>นายสมชาย ลักษณะสุวรรณ</v>
      </c>
      <c r="L2071" s="3" t="str">
        <f>IFERROR(__xludf.DUMMYFUNCTION("""COMPUTED_VALUE"""),"15 K.Somchai L")</f>
        <v>15 K.Somchai L</v>
      </c>
      <c r="M2071" s="1" t="str">
        <f>IFERROR(__xludf.DUMMYFUNCTION("""COMPUTED_VALUE"""),"0655107372")</f>
        <v>0655107372</v>
      </c>
      <c r="N2071" s="3">
        <f>IFERROR(__xludf.DUMMYFUNCTION("""COMPUTED_VALUE"""),21723.0)</f>
        <v>21723</v>
      </c>
      <c r="O207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2071" s="4">
        <f>IFERROR(__xludf.DUMMYFUNCTION("""COMPUTED_VALUE"""),42908.0)</f>
        <v>42908</v>
      </c>
      <c r="Q2071" s="3" t="str">
        <f>IFERROR(__xludf.DUMMYFUNCTION("""COMPUTED_VALUE"""),"A")</f>
        <v>A</v>
      </c>
      <c r="R2071" s="3" t="str">
        <f>IFERROR(__xludf.DUMMYFUNCTION("""COMPUTED_VALUE"""),"Small Format")</f>
        <v>Small Format</v>
      </c>
      <c r="S2071" s="3" t="str">
        <f>IFERROR(__xludf.DUMMYFUNCTION("""COMPUTED_VALUE"""),"BCM(FC)")</f>
        <v>BCM(FC)</v>
      </c>
      <c r="T2071" s="3" t="str">
        <f>IFERROR(__xludf.DUMMYFUNCTION("""COMPUTED_VALUE"""),"#N/A")</f>
        <v>#N/A</v>
      </c>
      <c r="U2071" s="3" t="str">
        <f>IFERROR(__xludf.DUMMYFUNCTION("""COMPUTED_VALUE"""),"#N/A")</f>
        <v>#N/A</v>
      </c>
      <c r="V2071" s="3" t="str">
        <f>IFERROR(__xludf.DUMMYFUNCTION("""COMPUTED_VALUE"""),"Y")</f>
        <v>Y</v>
      </c>
      <c r="W2071" s="3">
        <f>IFERROR(__xludf.DUMMYFUNCTION("""COMPUTED_VALUE"""),811110.0)</f>
        <v>811110</v>
      </c>
      <c r="X2071" s="3" t="str">
        <f>IFERROR(__xludf.DUMMYFUNCTION("""COMPUTED_VALUE"""),"125/10 หมู่ที่ 3 ตำบลปริก อำเภอสะเดา จังหวัดสงขลา 90120")</f>
        <v>125/10 หมู่ที่ 3 ตำบลปริก อำเภอสะเดา จังหวัดสงขลา 90120</v>
      </c>
      <c r="Y2071" s="3"/>
      <c r="Z2071" s="3" t="str">
        <f>IFERROR(__xludf.DUMMYFUNCTION("""COMPUTED_VALUE"""),"ปริก")</f>
        <v>ปริก</v>
      </c>
      <c r="AA2071" s="3" t="str">
        <f>IFERROR(__xludf.DUMMYFUNCTION("""COMPUTED_VALUE"""),"สะเดา")</f>
        <v>สะเดา</v>
      </c>
      <c r="AB2071" s="3" t="str">
        <f>IFERROR(__xludf.DUMMYFUNCTION("""COMPUTED_VALUE"""),"สงขลา")</f>
        <v>สงขลา</v>
      </c>
      <c r="AC2071" s="3">
        <f>IFERROR(__xludf.DUMMYFUNCTION("""COMPUTED_VALUE"""),90120.0)</f>
        <v>90120</v>
      </c>
      <c r="AD2071" s="3">
        <f>IFERROR(__xludf.DUMMYFUNCTION("""COMPUTED_VALUE"""),6.7197027)</f>
        <v>6.7197027</v>
      </c>
      <c r="AE2071" s="3">
        <f>IFERROR(__xludf.DUMMYFUNCTION("""COMPUTED_VALUE"""),100.4466154)</f>
        <v>100.4466154</v>
      </c>
      <c r="AF2071" s="3" t="str">
        <f>IFERROR(__xludf.DUMMYFUNCTION("""COMPUTED_VALUE"""),"BCM FC Esso สะเดา-31059")</f>
        <v>BCM FC Esso สะเดา-31059</v>
      </c>
      <c r="AG2071" s="3" t="str">
        <f>IFERROR(__xludf.DUMMYFUNCTION("""COMPUTED_VALUE"""),"ใต้")</f>
        <v>ใต้</v>
      </c>
      <c r="AH2071" s="3" t="str">
        <f>IFERROR(__xludf.DUMMYFUNCTION("""COMPUTED_VALUE"""),"#N/A")</f>
        <v>#N/A</v>
      </c>
      <c r="AI2071" s="3" t="str">
        <f>IFERROR(__xludf.DUMMYFUNCTION("""COMPUTED_VALUE"""),"Out of warranty")</f>
        <v>Out of warranty</v>
      </c>
      <c r="AJ2071" s="3">
        <f>IFERROR(__xludf.DUMMYFUNCTION("""COMPUTED_VALUE"""),103.0)</f>
        <v>103</v>
      </c>
      <c r="AK2071" s="3"/>
      <c r="AL2071" s="3"/>
    </row>
    <row r="2072" ht="15.75" customHeight="1">
      <c r="A2072" s="1" t="str">
        <f>IFERROR(__xludf.DUMMYFUNCTION("""COMPUTED_VALUE"""),"31060")</f>
        <v>31060</v>
      </c>
      <c r="B2072" s="2">
        <f>IFERROR(__xludf.DUMMYFUNCTION("""COMPUTED_VALUE"""),31060.0)</f>
        <v>31060</v>
      </c>
      <c r="C2072" s="3" t="str">
        <f>IFERROR(__xludf.DUMMYFUNCTION("""COMPUTED_VALUE"""),"BCM FC ม.เกษตร กำแพงแสน")</f>
        <v>BCM FC ม.เกษตร กำแพงแสน</v>
      </c>
      <c r="D2072" s="3" t="str">
        <f>IFERROR(__xludf.DUMMYFUNCTION("""COMPUTED_VALUE"""),"BCM KASETSART U.KAMPHAENGSAEN")</f>
        <v>BCM KASETSART U.KAMPHAENGSAEN</v>
      </c>
      <c r="E2072" s="1" t="str">
        <f>IFERROR(__xludf.DUMMYFUNCTION("""COMPUTED_VALUE"""),"บิ๊กซี MINI")</f>
        <v>บิ๊กซี MINI</v>
      </c>
      <c r="F2072" s="1" t="str">
        <f>IFERROR(__xludf.DUMMYFUNCTION("""COMPUTED_VALUE"""),"296229")</f>
        <v>296229</v>
      </c>
      <c r="G2072" s="1" t="str">
        <f>IFERROR(__xludf.DUMMYFUNCTION("""COMPUTED_VALUE"""),"นายทนงศักดิ์ บุญมา")</f>
        <v>นายทนงศักดิ์ บุญมา</v>
      </c>
      <c r="H2072" s="1" t="str">
        <f>IFERROR(__xludf.DUMMYFUNCTION("""COMPUTED_VALUE"""),"295245")</f>
        <v>295245</v>
      </c>
      <c r="I2072" s="1" t="str">
        <f>IFERROR(__xludf.DUMMYFUNCTION("""COMPUTED_VALUE"""),"นายมานะ วงศ์สุโชโต")</f>
        <v>นายมานะ วงศ์สุโชโต</v>
      </c>
      <c r="J2072" s="3">
        <f>IFERROR(__xludf.DUMMYFUNCTION("""COMPUTED_VALUE"""),46214.0)</f>
        <v>46214</v>
      </c>
      <c r="K2072" s="3" t="str">
        <f>IFERROR(__xludf.DUMMYFUNCTION("""COMPUTED_VALUE"""),"นายศักดิ์ชัย เด็ดดอกฟ้า")</f>
        <v>นายศักดิ์ชัย เด็ดดอกฟ้า</v>
      </c>
      <c r="L2072" s="1" t="str">
        <f>IFERROR(__xludf.DUMMYFUNCTION("""COMPUTED_VALUE"""),"02 K.Sakchai D")</f>
        <v>02 K.Sakchai D</v>
      </c>
      <c r="M2072" s="1" t="str">
        <f>IFERROR(__xludf.DUMMYFUNCTION("""COMPUTED_VALUE"""),"065-510-7376")</f>
        <v>065-510-7376</v>
      </c>
      <c r="N2072" s="3">
        <f>IFERROR(__xludf.DUMMYFUNCTION("""COMPUTED_VALUE"""),21714.0)</f>
        <v>21714</v>
      </c>
      <c r="O2072" s="3" t="str">
        <f>IFERROR(__xludf.DUMMYFUNCTION("""COMPUTED_VALUE"""),"MBC เอสโซ่ วัดโบสถ์")</f>
        <v>MBC เอสโซ่ วัดโบสถ์</v>
      </c>
      <c r="P2072" s="4">
        <f>IFERROR(__xludf.DUMMYFUNCTION("""COMPUTED_VALUE"""),42923.0)</f>
        <v>42923</v>
      </c>
      <c r="Q2072" s="3" t="str">
        <f>IFERROR(__xludf.DUMMYFUNCTION("""COMPUTED_VALUE"""),"A")</f>
        <v>A</v>
      </c>
      <c r="R2072" s="3" t="str">
        <f>IFERROR(__xludf.DUMMYFUNCTION("""COMPUTED_VALUE"""),"Small Format")</f>
        <v>Small Format</v>
      </c>
      <c r="S2072" s="3" t="str">
        <f>IFERROR(__xludf.DUMMYFUNCTION("""COMPUTED_VALUE"""),"BCM(FC)")</f>
        <v>BCM(FC)</v>
      </c>
      <c r="T2072" s="3" t="str">
        <f>IFERROR(__xludf.DUMMYFUNCTION("""COMPUTED_VALUE"""),"#N/A")</f>
        <v>#N/A</v>
      </c>
      <c r="U2072" s="3" t="str">
        <f>IFERROR(__xludf.DUMMYFUNCTION("""COMPUTED_VALUE"""),"#N/A")</f>
        <v>#N/A</v>
      </c>
      <c r="V2072" s="3" t="str">
        <f>IFERROR(__xludf.DUMMYFUNCTION("""COMPUTED_VALUE"""),"Y")</f>
        <v>Y</v>
      </c>
      <c r="W2072" s="3">
        <f>IFERROR(__xludf.DUMMYFUNCTION("""COMPUTED_VALUE"""),811055.0)</f>
        <v>811055</v>
      </c>
      <c r="X2072" s="3" t="str">
        <f>IFERROR(__xludf.DUMMYFUNCTION("""COMPUTED_VALUE"""),"188/2 หมู่ที่ 12 ตำบลกำแพงแสน อำเภอกำแพงแสน จังหวัดนครปฐม 73140")</f>
        <v>188/2 หมู่ที่ 12 ตำบลกำแพงแสน อำเภอกำแพงแสน จังหวัดนครปฐม 73140</v>
      </c>
      <c r="Y2072" s="3"/>
      <c r="Z2072" s="3" t="str">
        <f>IFERROR(__xludf.DUMMYFUNCTION("""COMPUTED_VALUE"""),"กำแพงแสน")</f>
        <v>กำแพงแสน</v>
      </c>
      <c r="AA2072" s="3" t="str">
        <f>IFERROR(__xludf.DUMMYFUNCTION("""COMPUTED_VALUE"""),"กำแพงแสน")</f>
        <v>กำแพงแสน</v>
      </c>
      <c r="AB2072" s="3" t="str">
        <f>IFERROR(__xludf.DUMMYFUNCTION("""COMPUTED_VALUE"""),"นครปฐม")</f>
        <v>นครปฐม</v>
      </c>
      <c r="AC2072" s="3">
        <f>IFERROR(__xludf.DUMMYFUNCTION("""COMPUTED_VALUE"""),73140.0)</f>
        <v>73140</v>
      </c>
      <c r="AD2072" s="3">
        <f>IFERROR(__xludf.DUMMYFUNCTION("""COMPUTED_VALUE"""),14.0204305)</f>
        <v>14.0204305</v>
      </c>
      <c r="AE2072" s="3">
        <f>IFERROR(__xludf.DUMMYFUNCTION("""COMPUTED_VALUE"""),99.9918918)</f>
        <v>99.9918918</v>
      </c>
      <c r="AF2072" s="3" t="str">
        <f>IFERROR(__xludf.DUMMYFUNCTION("""COMPUTED_VALUE"""),"BCM FC ม.เกษตร กำแพงแสน-31060")</f>
        <v>BCM FC ม.เกษตร กำแพงแสน-31060</v>
      </c>
      <c r="AG2072" s="3" t="str">
        <f>IFERROR(__xludf.DUMMYFUNCTION("""COMPUTED_VALUE"""),"กลาง")</f>
        <v>กลาง</v>
      </c>
      <c r="AH2072" s="3" t="str">
        <f>IFERROR(__xludf.DUMMYFUNCTION("""COMPUTED_VALUE"""),"#N/A")</f>
        <v>#N/A</v>
      </c>
      <c r="AI2072" s="3" t="str">
        <f>IFERROR(__xludf.DUMMYFUNCTION("""COMPUTED_VALUE"""),"Out of warranty")</f>
        <v>Out of warranty</v>
      </c>
      <c r="AJ2072" s="3">
        <f>IFERROR(__xludf.DUMMYFUNCTION("""COMPUTED_VALUE"""),103.0)</f>
        <v>103</v>
      </c>
      <c r="AK2072" s="3"/>
      <c r="AL2072" s="3"/>
    </row>
    <row r="2073" ht="15.75" customHeight="1">
      <c r="A2073" s="1" t="str">
        <f>IFERROR(__xludf.DUMMYFUNCTION("""COMPUTED_VALUE"""),"31061")</f>
        <v>31061</v>
      </c>
      <c r="B2073" s="2">
        <f>IFERROR(__xludf.DUMMYFUNCTION("""COMPUTED_VALUE"""),31061.0)</f>
        <v>31061</v>
      </c>
      <c r="C2073" s="3" t="str">
        <f>IFERROR(__xludf.DUMMYFUNCTION("""COMPUTED_VALUE"""),"BCM FC CTX บายพาส 2 สกลนคร")</f>
        <v>BCM FC CTX บายพาส 2 สกลนคร</v>
      </c>
      <c r="D2073" s="3" t="str">
        <f>IFERROR(__xludf.DUMMYFUNCTION("""COMPUTED_VALUE"""),"BCM FC CTX BYPASS 2 SAKHON")</f>
        <v>BCM FC CTX BYPASS 2 SAKHON</v>
      </c>
      <c r="E2073" s="1" t="str">
        <f>IFERROR(__xludf.DUMMYFUNCTION("""COMPUTED_VALUE"""),"บิ๊กซี MINI")</f>
        <v>บิ๊กซี MINI</v>
      </c>
      <c r="F2073" s="1" t="str">
        <f>IFERROR(__xludf.DUMMYFUNCTION("""COMPUTED_VALUE"""),"291105")</f>
        <v>291105</v>
      </c>
      <c r="G2073" s="1" t="str">
        <f>IFERROR(__xludf.DUMMYFUNCTION("""COMPUTED_VALUE"""),"นายสราวุฒิ พณิชยกุล")</f>
        <v>นายสราวุฒิ พณิชยกุล</v>
      </c>
      <c r="H2073" s="1" t="str">
        <f>IFERROR(__xludf.DUMMYFUNCTION("""COMPUTED_VALUE"""),"392885")</f>
        <v>392885</v>
      </c>
      <c r="I2073" s="1" t="str">
        <f>IFERROR(__xludf.DUMMYFUNCTION("""COMPUTED_VALUE"""),"น.ส.วราพร จันปลิว")</f>
        <v>น.ส.วราพร จันปลิว</v>
      </c>
      <c r="J2073" s="3">
        <f>IFERROR(__xludf.DUMMYFUNCTION("""COMPUTED_VALUE"""),296868.0)</f>
        <v>296868</v>
      </c>
      <c r="K2073" s="3" t="str">
        <f>IFERROR(__xludf.DUMMYFUNCTION("""COMPUTED_VALUE"""),"นายพีระพงษ์ แก้วดวงดี")</f>
        <v>นายพีระพงษ์ แก้วดวงดี</v>
      </c>
      <c r="L2073" s="3" t="str">
        <f>IFERROR(__xludf.DUMMYFUNCTION("""COMPUTED_VALUE"""),"03 K.Peerapong K.")</f>
        <v>03 K.Peerapong K.</v>
      </c>
      <c r="M2073" s="1" t="str">
        <f>IFERROR(__xludf.DUMMYFUNCTION("""COMPUTED_VALUE"""),"089-002-6599")</f>
        <v>089-002-6599</v>
      </c>
      <c r="N2073" s="3">
        <f>IFERROR(__xludf.DUMMYFUNCTION("""COMPUTED_VALUE"""),21946.0)</f>
        <v>21946</v>
      </c>
      <c r="O2073" s="3" t="str">
        <f>IFERROR(__xludf.DUMMYFUNCTION("""COMPUTED_VALUE"""),"MBC เซกา บึงกาฬ")</f>
        <v>MBC เซกา บึงกาฬ</v>
      </c>
      <c r="P2073" s="4">
        <f>IFERROR(__xludf.DUMMYFUNCTION("""COMPUTED_VALUE"""),42915.0)</f>
        <v>42915</v>
      </c>
      <c r="Q2073" s="3" t="str">
        <f>IFERROR(__xludf.DUMMYFUNCTION("""COMPUTED_VALUE"""),"A")</f>
        <v>A</v>
      </c>
      <c r="R2073" s="3" t="str">
        <f>IFERROR(__xludf.DUMMYFUNCTION("""COMPUTED_VALUE"""),"Small Format")</f>
        <v>Small Format</v>
      </c>
      <c r="S2073" s="3" t="str">
        <f>IFERROR(__xludf.DUMMYFUNCTION("""COMPUTED_VALUE"""),"BCM(FC)")</f>
        <v>BCM(FC)</v>
      </c>
      <c r="T2073" s="3" t="str">
        <f>IFERROR(__xludf.DUMMYFUNCTION("""COMPUTED_VALUE"""),"#N/A")</f>
        <v>#N/A</v>
      </c>
      <c r="U2073" s="3" t="str">
        <f>IFERROR(__xludf.DUMMYFUNCTION("""COMPUTED_VALUE"""),"#N/A")</f>
        <v>#N/A</v>
      </c>
      <c r="V2073" s="3" t="str">
        <f>IFERROR(__xludf.DUMMYFUNCTION("""COMPUTED_VALUE"""),"Y")</f>
        <v>Y</v>
      </c>
      <c r="W2073" s="3">
        <f>IFERROR(__xludf.DUMMYFUNCTION("""COMPUTED_VALUE"""),811143.0)</f>
        <v>811143</v>
      </c>
      <c r="X2073" s="3" t="str">
        <f>IFERROR(__xludf.DUMMYFUNCTION("""COMPUTED_VALUE"""),"338/24 ถนนเลี่ยงเมือง ตำบลธาตุเชิงชุม อำเภอเมืองสกลนคร จังหวัดสกลนคร 47000")</f>
        <v>338/24 ถนนเลี่ยงเมือง ตำบลธาตุเชิงชุม อำเภอเมืองสกลนคร จังหวัดสกลนคร 47000</v>
      </c>
      <c r="Y2073" s="3" t="str">
        <f>IFERROR(__xludf.DUMMYFUNCTION("""COMPUTED_VALUE"""),"ถนนเลี่ยงเมือง")</f>
        <v>ถนนเลี่ยงเมือง</v>
      </c>
      <c r="Z2073" s="3" t="str">
        <f>IFERROR(__xludf.DUMMYFUNCTION("""COMPUTED_VALUE"""),"ธาตุเชิงชุม")</f>
        <v>ธาตุเชิงชุม</v>
      </c>
      <c r="AA2073" s="3" t="str">
        <f>IFERROR(__xludf.DUMMYFUNCTION("""COMPUTED_VALUE"""),"เมือง")</f>
        <v>เมือง</v>
      </c>
      <c r="AB2073" s="3" t="str">
        <f>IFERROR(__xludf.DUMMYFUNCTION("""COMPUTED_VALUE"""),"สกลนคร")</f>
        <v>สกลนคร</v>
      </c>
      <c r="AC2073" s="3">
        <f>IFERROR(__xludf.DUMMYFUNCTION("""COMPUTED_VALUE"""),47000.0)</f>
        <v>47000</v>
      </c>
      <c r="AD2073" s="3">
        <f>IFERROR(__xludf.DUMMYFUNCTION("""COMPUTED_VALUE"""),17.138549)</f>
        <v>17.138549</v>
      </c>
      <c r="AE2073" s="3">
        <f>IFERROR(__xludf.DUMMYFUNCTION("""COMPUTED_VALUE"""),104.112602)</f>
        <v>104.112602</v>
      </c>
      <c r="AF2073" s="3" t="str">
        <f>IFERROR(__xludf.DUMMYFUNCTION("""COMPUTED_VALUE"""),"BCM FC CTX บายพาส 2 สกลนคร-31061")</f>
        <v>BCM FC CTX บายพาส 2 สกลนคร-31061</v>
      </c>
      <c r="AG2073" s="3" t="str">
        <f>IFERROR(__xludf.DUMMYFUNCTION("""COMPUTED_VALUE"""),"ตะวันออกเฉียงเหนือ")</f>
        <v>ตะวันออกเฉียงเหนือ</v>
      </c>
      <c r="AH2073" s="3" t="str">
        <f>IFERROR(__xludf.DUMMYFUNCTION("""COMPUTED_VALUE"""),"#N/A")</f>
        <v>#N/A</v>
      </c>
      <c r="AI2073" s="3" t="str">
        <f>IFERROR(__xludf.DUMMYFUNCTION("""COMPUTED_VALUE"""),"Out of warranty")</f>
        <v>Out of warranty</v>
      </c>
      <c r="AJ2073" s="3">
        <f>IFERROR(__xludf.DUMMYFUNCTION("""COMPUTED_VALUE"""),103.0)</f>
        <v>103</v>
      </c>
      <c r="AK2073" s="3"/>
      <c r="AL2073" s="3"/>
    </row>
    <row r="2074" ht="15.75" customHeight="1">
      <c r="A2074" s="1" t="str">
        <f>IFERROR(__xludf.DUMMYFUNCTION("""COMPUTED_VALUE"""),"31062")</f>
        <v>31062</v>
      </c>
      <c r="B2074" s="2">
        <f>IFERROR(__xludf.DUMMYFUNCTION("""COMPUTED_VALUE"""),31062.0)</f>
        <v>31062</v>
      </c>
      <c r="C2074" s="3" t="str">
        <f>IFERROR(__xludf.DUMMYFUNCTION("""COMPUTED_VALUE"""),"BCM FC CTX โพนยางคำ สกลนคร")</f>
        <v>BCM FC CTX โพนยางคำ สกลนคร</v>
      </c>
      <c r="D2074" s="3" t="str">
        <f>IFERROR(__xludf.DUMMYFUNCTION("""COMPUTED_VALUE"""),"BCM CTX PHON YANG KHAM")</f>
        <v>BCM CTX PHON YANG KHAM</v>
      </c>
      <c r="E2074" s="1" t="str">
        <f>IFERROR(__xludf.DUMMYFUNCTION("""COMPUTED_VALUE"""),"บิ๊กซี MINI")</f>
        <v>บิ๊กซี MINI</v>
      </c>
      <c r="F2074" s="1" t="str">
        <f>IFERROR(__xludf.DUMMYFUNCTION("""COMPUTED_VALUE"""),"291105")</f>
        <v>291105</v>
      </c>
      <c r="G2074" s="1" t="str">
        <f>IFERROR(__xludf.DUMMYFUNCTION("""COMPUTED_VALUE"""),"นายสราวุฒิ พณิชยกุล")</f>
        <v>นายสราวุฒิ พณิชยกุล</v>
      </c>
      <c r="H2074" s="1" t="str">
        <f>IFERROR(__xludf.DUMMYFUNCTION("""COMPUTED_VALUE"""),"392885")</f>
        <v>392885</v>
      </c>
      <c r="I2074" s="1" t="str">
        <f>IFERROR(__xludf.DUMMYFUNCTION("""COMPUTED_VALUE"""),"น.ส.วราพร จันปลิว")</f>
        <v>น.ส.วราพร จันปลิว</v>
      </c>
      <c r="J2074" s="3">
        <f>IFERROR(__xludf.DUMMYFUNCTION("""COMPUTED_VALUE"""),296868.0)</f>
        <v>296868</v>
      </c>
      <c r="K2074" s="3" t="str">
        <f>IFERROR(__xludf.DUMMYFUNCTION("""COMPUTED_VALUE"""),"นายพีระพงษ์ แก้วดวงดี")</f>
        <v>นายพีระพงษ์ แก้วดวงดี</v>
      </c>
      <c r="L2074" s="3" t="str">
        <f>IFERROR(__xludf.DUMMYFUNCTION("""COMPUTED_VALUE"""),"03 K.Peerapong K.")</f>
        <v>03 K.Peerapong K.</v>
      </c>
      <c r="M2074" s="1" t="str">
        <f>IFERROR(__xludf.DUMMYFUNCTION("""COMPUTED_VALUE"""),"089-002-6599")</f>
        <v>089-002-6599</v>
      </c>
      <c r="N2074" s="3">
        <f>IFERROR(__xludf.DUMMYFUNCTION("""COMPUTED_VALUE"""),21946.0)</f>
        <v>21946</v>
      </c>
      <c r="O2074" s="3" t="str">
        <f>IFERROR(__xludf.DUMMYFUNCTION("""COMPUTED_VALUE"""),"MBC เซกา บึงกาฬ")</f>
        <v>MBC เซกา บึงกาฬ</v>
      </c>
      <c r="P2074" s="4">
        <f>IFERROR(__xludf.DUMMYFUNCTION("""COMPUTED_VALUE"""),42915.0)</f>
        <v>42915</v>
      </c>
      <c r="Q2074" s="3" t="str">
        <f>IFERROR(__xludf.DUMMYFUNCTION("""COMPUTED_VALUE"""),"A")</f>
        <v>A</v>
      </c>
      <c r="R2074" s="3" t="str">
        <f>IFERROR(__xludf.DUMMYFUNCTION("""COMPUTED_VALUE"""),"Small Format")</f>
        <v>Small Format</v>
      </c>
      <c r="S2074" s="3" t="str">
        <f>IFERROR(__xludf.DUMMYFUNCTION("""COMPUTED_VALUE"""),"BCM(FC)")</f>
        <v>BCM(FC)</v>
      </c>
      <c r="T2074" s="3" t="str">
        <f>IFERROR(__xludf.DUMMYFUNCTION("""COMPUTED_VALUE"""),"#N/A")</f>
        <v>#N/A</v>
      </c>
      <c r="U2074" s="3" t="str">
        <f>IFERROR(__xludf.DUMMYFUNCTION("""COMPUTED_VALUE"""),"#N/A")</f>
        <v>#N/A</v>
      </c>
      <c r="V2074" s="3" t="str">
        <f>IFERROR(__xludf.DUMMYFUNCTION("""COMPUTED_VALUE"""),"Y")</f>
        <v>Y</v>
      </c>
      <c r="W2074" s="3">
        <f>IFERROR(__xludf.DUMMYFUNCTION("""COMPUTED_VALUE"""),811145.0)</f>
        <v>811145</v>
      </c>
      <c r="X2074" s="3" t="str">
        <f>IFERROR(__xludf.DUMMYFUNCTION("""COMPUTED_VALUE"""),"58 หมุ่ที่ 5 ถนนสกล-นาแก ตำบลงิ้วด่อน อำเภอเมืองสกลนคร จังหวัดสกลนคร 47000")</f>
        <v>58 หมุ่ที่ 5 ถนนสกล-นาแก ตำบลงิ้วด่อน อำเภอเมืองสกลนคร จังหวัดสกลนคร 47000</v>
      </c>
      <c r="Y2074" s="3"/>
      <c r="Z2074" s="3" t="str">
        <f>IFERROR(__xludf.DUMMYFUNCTION("""COMPUTED_VALUE"""),"งิ้วด่อน")</f>
        <v>งิ้วด่อน</v>
      </c>
      <c r="AA2074" s="3" t="str">
        <f>IFERROR(__xludf.DUMMYFUNCTION("""COMPUTED_VALUE"""),"เมือง")</f>
        <v>เมือง</v>
      </c>
      <c r="AB2074" s="3" t="str">
        <f>IFERROR(__xludf.DUMMYFUNCTION("""COMPUTED_VALUE"""),"สกลนคร")</f>
        <v>สกลนคร</v>
      </c>
      <c r="AC2074" s="3">
        <f>IFERROR(__xludf.DUMMYFUNCTION("""COMPUTED_VALUE"""),47000.0)</f>
        <v>47000</v>
      </c>
      <c r="AD2074" s="3">
        <f>IFERROR(__xludf.DUMMYFUNCTION("""COMPUTED_VALUE"""),17.0461002)</f>
        <v>17.0461002</v>
      </c>
      <c r="AE2074" s="3">
        <f>IFERROR(__xludf.DUMMYFUNCTION("""COMPUTED_VALUE"""),104.2778367)</f>
        <v>104.2778367</v>
      </c>
      <c r="AF2074" s="3" t="str">
        <f>IFERROR(__xludf.DUMMYFUNCTION("""COMPUTED_VALUE"""),"BCM FC CTX โพนยางคำ สกลนคร-31062")</f>
        <v>BCM FC CTX โพนยางคำ สกลนคร-31062</v>
      </c>
      <c r="AG2074" s="3" t="str">
        <f>IFERROR(__xludf.DUMMYFUNCTION("""COMPUTED_VALUE"""),"ตะวันออกเฉียงเหนือ")</f>
        <v>ตะวันออกเฉียงเหนือ</v>
      </c>
      <c r="AH2074" s="3" t="str">
        <f>IFERROR(__xludf.DUMMYFUNCTION("""COMPUTED_VALUE"""),"#N/A")</f>
        <v>#N/A</v>
      </c>
      <c r="AI2074" s="3" t="str">
        <f>IFERROR(__xludf.DUMMYFUNCTION("""COMPUTED_VALUE"""),"Out of warranty")</f>
        <v>Out of warranty</v>
      </c>
      <c r="AJ2074" s="3">
        <f>IFERROR(__xludf.DUMMYFUNCTION("""COMPUTED_VALUE"""),103.0)</f>
        <v>103</v>
      </c>
      <c r="AK2074" s="3"/>
      <c r="AL2074" s="3"/>
    </row>
    <row r="2075" ht="15.75" customHeight="1">
      <c r="A2075" s="1" t="str">
        <f>IFERROR(__xludf.DUMMYFUNCTION("""COMPUTED_VALUE"""),"31063")</f>
        <v>31063</v>
      </c>
      <c r="B2075" s="2">
        <f>IFERROR(__xludf.DUMMYFUNCTION("""COMPUTED_VALUE"""),31063.0)</f>
        <v>31063</v>
      </c>
      <c r="C2075" s="3" t="str">
        <f>IFERROR(__xludf.DUMMYFUNCTION("""COMPUTED_VALUE"""),"BCM FC Esso ขลุง จันทบุรี ขาออก")</f>
        <v>BCM FC Esso ขลุง จันทบุรี ขาออก</v>
      </c>
      <c r="D2075" s="3" t="str">
        <f>IFERROR(__xludf.DUMMYFUNCTION("""COMPUTED_VALUE"""),"BCM ESSO KHLUNG (OB)")</f>
        <v>BCM ESSO KHLUNG (OB)</v>
      </c>
      <c r="E2075" s="1" t="str">
        <f>IFERROR(__xludf.DUMMYFUNCTION("""COMPUTED_VALUE"""),"บิ๊กซี MINI")</f>
        <v>บิ๊กซี MINI</v>
      </c>
      <c r="F2075" s="1" t="str">
        <f>IFERROR(__xludf.DUMMYFUNCTION("""COMPUTED_VALUE"""),"221716")</f>
        <v>221716</v>
      </c>
      <c r="G2075" s="1" t="str">
        <f>IFERROR(__xludf.DUMMYFUNCTION("""COMPUTED_VALUE"""),"น.ส.เบญจพร โพธิสาร")</f>
        <v>น.ส.เบญจพร โพธิสาร</v>
      </c>
      <c r="H2075" s="1" t="str">
        <f>IFERROR(__xludf.DUMMYFUNCTION("""COMPUTED_VALUE"""),"318151")</f>
        <v>318151</v>
      </c>
      <c r="I2075" s="1" t="str">
        <f>IFERROR(__xludf.DUMMYFUNCTION("""COMPUTED_VALUE"""),"นายพลฬกฤตต์ เนตมณี")</f>
        <v>นายพลฬกฤตต์ เนตมณี</v>
      </c>
      <c r="J2075" s="3">
        <f>IFERROR(__xludf.DUMMYFUNCTION("""COMPUTED_VALUE"""),2452376.0)</f>
        <v>2452376</v>
      </c>
      <c r="K2075" s="3" t="str">
        <f>IFERROR(__xludf.DUMMYFUNCTION("""COMPUTED_VALUE"""),"นายภาคภูมิ ทวีกุล")</f>
        <v>นายภาคภูมิ ทวีกุล</v>
      </c>
      <c r="L2075" s="3" t="str">
        <f>IFERROR(__xludf.DUMMYFUNCTION("""COMPUTED_VALUE"""),"08 K.Parkphum T.")</f>
        <v>08 K.Parkphum T.</v>
      </c>
      <c r="M2075" s="1" t="str">
        <f>IFERROR(__xludf.DUMMYFUNCTION("""COMPUTED_VALUE"""),"097-919-5476")</f>
        <v>097-919-5476</v>
      </c>
      <c r="N2075" s="3">
        <f>IFERROR(__xludf.DUMMYFUNCTION("""COMPUTED_VALUE"""),22028.0)</f>
        <v>22028</v>
      </c>
      <c r="O2075" s="3" t="str">
        <f>IFERROR(__xludf.DUMMYFUNCTION("""COMPUTED_VALUE"""),"MBC ทํบมา ระยอง")</f>
        <v>MBC ทํบมา ระยอง</v>
      </c>
      <c r="P2075" s="4">
        <f>IFERROR(__xludf.DUMMYFUNCTION("""COMPUTED_VALUE"""),42916.0)</f>
        <v>42916</v>
      </c>
      <c r="Q2075" s="3" t="str">
        <f>IFERROR(__xludf.DUMMYFUNCTION("""COMPUTED_VALUE"""),"A")</f>
        <v>A</v>
      </c>
      <c r="R2075" s="3" t="str">
        <f>IFERROR(__xludf.DUMMYFUNCTION("""COMPUTED_VALUE"""),"Small Format")</f>
        <v>Small Format</v>
      </c>
      <c r="S2075" s="3" t="str">
        <f>IFERROR(__xludf.DUMMYFUNCTION("""COMPUTED_VALUE"""),"BCM(FC)")</f>
        <v>BCM(FC)</v>
      </c>
      <c r="T2075" s="3" t="str">
        <f>IFERROR(__xludf.DUMMYFUNCTION("""COMPUTED_VALUE"""),"#N/A")</f>
        <v>#N/A</v>
      </c>
      <c r="U2075" s="3" t="str">
        <f>IFERROR(__xludf.DUMMYFUNCTION("""COMPUTED_VALUE"""),"#N/A")</f>
        <v>#N/A</v>
      </c>
      <c r="V2075" s="3" t="str">
        <f>IFERROR(__xludf.DUMMYFUNCTION("""COMPUTED_VALUE"""),"Y")</f>
        <v>Y</v>
      </c>
      <c r="W2075" s="3">
        <f>IFERROR(__xludf.DUMMYFUNCTION("""COMPUTED_VALUE"""),811130.0)</f>
        <v>811130</v>
      </c>
      <c r="X2075" s="3" t="str">
        <f>IFERROR(__xludf.DUMMYFUNCTION("""COMPUTED_VALUE"""),"15/9 หมู่ที่ 6 ตำบลเกวียนหัก อำเภอขลุง จังหวัดจันทบุรี 22110")</f>
        <v>15/9 หมู่ที่ 6 ตำบลเกวียนหัก อำเภอขลุง จังหวัดจันทบุรี 22110</v>
      </c>
      <c r="Y2075" s="3"/>
      <c r="Z2075" s="3" t="str">
        <f>IFERROR(__xludf.DUMMYFUNCTION("""COMPUTED_VALUE"""),"เกวียนหัก")</f>
        <v>เกวียนหัก</v>
      </c>
      <c r="AA2075" s="3" t="str">
        <f>IFERROR(__xludf.DUMMYFUNCTION("""COMPUTED_VALUE"""),"ขลุง")</f>
        <v>ขลุง</v>
      </c>
      <c r="AB2075" s="3" t="str">
        <f>IFERROR(__xludf.DUMMYFUNCTION("""COMPUTED_VALUE"""),"จันทบุรี")</f>
        <v>จันทบุรี</v>
      </c>
      <c r="AC2075" s="3">
        <f>IFERROR(__xludf.DUMMYFUNCTION("""COMPUTED_VALUE"""),22110.0)</f>
        <v>22110</v>
      </c>
      <c r="AD2075" s="3">
        <f>IFERROR(__xludf.DUMMYFUNCTION("""COMPUTED_VALUE"""),12.468)</f>
        <v>12.468</v>
      </c>
      <c r="AE2075" s="3">
        <f>IFERROR(__xludf.DUMMYFUNCTION("""COMPUTED_VALUE"""),102.20125)</f>
        <v>102.20125</v>
      </c>
      <c r="AF2075" s="3" t="str">
        <f>IFERROR(__xludf.DUMMYFUNCTION("""COMPUTED_VALUE"""),"BCM FC Esso ขลุง จันทบุรี ขาออก-31063")</f>
        <v>BCM FC Esso ขลุง จันทบุรี ขาออก-31063</v>
      </c>
      <c r="AG2075" s="3" t="str">
        <f>IFERROR(__xludf.DUMMYFUNCTION("""COMPUTED_VALUE"""),"ตะวันออก")</f>
        <v>ตะวันออก</v>
      </c>
      <c r="AH2075" s="3" t="str">
        <f>IFERROR(__xludf.DUMMYFUNCTION("""COMPUTED_VALUE"""),"#N/A")</f>
        <v>#N/A</v>
      </c>
      <c r="AI2075" s="3" t="str">
        <f>IFERROR(__xludf.DUMMYFUNCTION("""COMPUTED_VALUE"""),"Out of warranty")</f>
        <v>Out of warranty</v>
      </c>
      <c r="AJ2075" s="3">
        <f>IFERROR(__xludf.DUMMYFUNCTION("""COMPUTED_VALUE"""),103.0)</f>
        <v>103</v>
      </c>
      <c r="AK2075" s="3"/>
      <c r="AL2075" s="3"/>
    </row>
    <row r="2076" ht="15.75" customHeight="1">
      <c r="A2076" s="1" t="str">
        <f>IFERROR(__xludf.DUMMYFUNCTION("""COMPUTED_VALUE"""),"31064")</f>
        <v>31064</v>
      </c>
      <c r="B2076" s="2">
        <f>IFERROR(__xludf.DUMMYFUNCTION("""COMPUTED_VALUE"""),31064.0)</f>
        <v>31064</v>
      </c>
      <c r="C2076" s="3" t="str">
        <f>IFERROR(__xludf.DUMMYFUNCTION("""COMPUTED_VALUE"""),"MFC คาลเท็กซ์ โนนสูง อุดรธานี")</f>
        <v>MFC คาลเท็กซ์ โนนสูง อุดรธานี</v>
      </c>
      <c r="D2076" s="3" t="str">
        <f>IFERROR(__xludf.DUMMYFUNCTION("""COMPUTED_VALUE"""),"MFC CTX NONSUNG UDONTHANI")</f>
        <v>MFC CTX NONSUNG UDONTHANI</v>
      </c>
      <c r="E2076" s="1" t="str">
        <f>IFERROR(__xludf.DUMMYFUNCTION("""COMPUTED_VALUE"""),"บิ๊กซี MINI")</f>
        <v>บิ๊กซี MINI</v>
      </c>
      <c r="F2076" s="1" t="str">
        <f>IFERROR(__xludf.DUMMYFUNCTION("""COMPUTED_VALUE"""),"291100")</f>
        <v>291100</v>
      </c>
      <c r="G2076" s="1" t="str">
        <f>IFERROR(__xludf.DUMMYFUNCTION("""COMPUTED_VALUE"""),"น.ส.จารุณี ฮวบอินทร์")</f>
        <v>น.ส.จารุณี ฮวบอินทร์</v>
      </c>
      <c r="H2076" s="1" t="str">
        <f>IFERROR(__xludf.DUMMYFUNCTION("""COMPUTED_VALUE"""),"034043")</f>
        <v>034043</v>
      </c>
      <c r="I2076" s="1" t="str">
        <f>IFERROR(__xludf.DUMMYFUNCTION("""COMPUTED_VALUE"""),"นายพันธ์ทอง จันปลิว")</f>
        <v>นายพันธ์ทอง จันปลิว</v>
      </c>
      <c r="J2076" s="3">
        <f>IFERROR(__xludf.DUMMYFUNCTION("""COMPUTED_VALUE"""),295886.0)</f>
        <v>295886</v>
      </c>
      <c r="K2076" s="3" t="str">
        <f>IFERROR(__xludf.DUMMYFUNCTION("""COMPUTED_VALUE"""),"นายจิระพงษ์ โพธิ์นิล")</f>
        <v>นายจิระพงษ์ โพธิ์นิล</v>
      </c>
      <c r="L2076" s="1" t="str">
        <f>IFERROR(__xludf.DUMMYFUNCTION("""COMPUTED_VALUE"""),"นายจิระพงษ์ โพธิ์นิล")</f>
        <v>นายจิระพงษ์ โพธิ์นิล</v>
      </c>
      <c r="M2076" s="1" t="str">
        <f>IFERROR(__xludf.DUMMYFUNCTION("""COMPUTED_VALUE"""),"0933290754")</f>
        <v>0933290754</v>
      </c>
      <c r="N2076" s="3">
        <f>IFERROR(__xludf.DUMMYFUNCTION("""COMPUTED_VALUE"""),21465.0)</f>
        <v>21465</v>
      </c>
      <c r="O2076" s="3" t="str">
        <f>IFERROR(__xludf.DUMMYFUNCTION("""COMPUTED_VALUE"""),"MBC สถานีตำรวจอุดร")</f>
        <v>MBC สถานีตำรวจอุดร</v>
      </c>
      <c r="P2076" s="4">
        <f>IFERROR(__xludf.DUMMYFUNCTION("""COMPUTED_VALUE"""),42916.0)</f>
        <v>42916</v>
      </c>
      <c r="Q2076" s="3" t="str">
        <f>IFERROR(__xludf.DUMMYFUNCTION("""COMPUTED_VALUE"""),"I")</f>
        <v>I</v>
      </c>
      <c r="R2076" s="3" t="str">
        <f>IFERROR(__xludf.DUMMYFUNCTION("""COMPUTED_VALUE"""),"Small Format")</f>
        <v>Small Format</v>
      </c>
      <c r="S2076" s="3" t="str">
        <f>IFERROR(__xludf.DUMMYFUNCTION("""COMPUTED_VALUE"""),"BCM(FC)")</f>
        <v>BCM(FC)</v>
      </c>
      <c r="T2076" s="3" t="str">
        <f>IFERROR(__xludf.DUMMYFUNCTION("""COMPUTED_VALUE"""),"#N/A")</f>
        <v>#N/A</v>
      </c>
      <c r="U2076" s="3" t="str">
        <f>IFERROR(__xludf.DUMMYFUNCTION("""COMPUTED_VALUE"""),"#N/A")</f>
        <v>#N/A</v>
      </c>
      <c r="V2076" s="3" t="str">
        <f>IFERROR(__xludf.DUMMYFUNCTION("""COMPUTED_VALUE"""),"Y")</f>
        <v>Y</v>
      </c>
      <c r="W2076" s="3">
        <f>IFERROR(__xludf.DUMMYFUNCTION("""COMPUTED_VALUE"""),0.0)</f>
        <v>0</v>
      </c>
      <c r="X2076" s="3" t="str">
        <f>IFERROR(__xludf.DUMMYFUNCTION("""COMPUTED_VALUE"""),"55 หมู่ที่ 11 ตำบลโนนสูง อำเภอเมืองอุดรธานี จังหวัดอุดรธานี 41330")</f>
        <v>55 หมู่ที่ 11 ตำบลโนนสูง อำเภอเมืองอุดรธานี จังหวัดอุดรธานี 41330</v>
      </c>
      <c r="Y2076" s="3"/>
      <c r="Z2076" s="3" t="str">
        <f>IFERROR(__xludf.DUMMYFUNCTION("""COMPUTED_VALUE"""),"โนนสูง")</f>
        <v>โนนสูง</v>
      </c>
      <c r="AA2076" s="3" t="str">
        <f>IFERROR(__xludf.DUMMYFUNCTION("""COMPUTED_VALUE"""),"เมือง")</f>
        <v>เมือง</v>
      </c>
      <c r="AB2076" s="3" t="str">
        <f>IFERROR(__xludf.DUMMYFUNCTION("""COMPUTED_VALUE"""),"อุดรธานี")</f>
        <v>อุดรธานี</v>
      </c>
      <c r="AC2076" s="3">
        <f>IFERROR(__xludf.DUMMYFUNCTION("""COMPUTED_VALUE"""),41330.0)</f>
        <v>41330</v>
      </c>
      <c r="AD2076" s="3" t="str">
        <f>IFERROR(__xludf.DUMMYFUNCTION("""COMPUTED_VALUE"""),"#N/A")</f>
        <v>#N/A</v>
      </c>
      <c r="AE2076" s="3" t="str">
        <f>IFERROR(__xludf.DUMMYFUNCTION("""COMPUTED_VALUE"""),"#N/A")</f>
        <v>#N/A</v>
      </c>
      <c r="AF2076" s="3" t="str">
        <f>IFERROR(__xludf.DUMMYFUNCTION("""COMPUTED_VALUE"""),"MFC คาลเท็กซ์ โนนสูง อุดรธานี-31064")</f>
        <v>MFC คาลเท็กซ์ โนนสูง อุดรธานี-31064</v>
      </c>
      <c r="AG2076" s="3" t="str">
        <f>IFERROR(__xludf.DUMMYFUNCTION("""COMPUTED_VALUE"""),"ตะวันออกเฉียงเหนือ")</f>
        <v>ตะวันออกเฉียงเหนือ</v>
      </c>
      <c r="AH2076" s="3" t="str">
        <f>IFERROR(__xludf.DUMMYFUNCTION("""COMPUTED_VALUE"""),"#N/A")</f>
        <v>#N/A</v>
      </c>
      <c r="AI2076" s="3" t="str">
        <f>IFERROR(__xludf.DUMMYFUNCTION("""COMPUTED_VALUE"""),"Out of warranty")</f>
        <v>Out of warranty</v>
      </c>
      <c r="AJ2076" s="3">
        <f>IFERROR(__xludf.DUMMYFUNCTION("""COMPUTED_VALUE"""),103.0)</f>
        <v>103</v>
      </c>
      <c r="AK2076" s="3"/>
      <c r="AL2076" s="3"/>
    </row>
    <row r="2077" ht="15.75" customHeight="1">
      <c r="A2077" s="1" t="str">
        <f>IFERROR(__xludf.DUMMYFUNCTION("""COMPUTED_VALUE"""),"31065")</f>
        <v>31065</v>
      </c>
      <c r="B2077" s="2">
        <f>IFERROR(__xludf.DUMMYFUNCTION("""COMPUTED_VALUE"""),31065.0)</f>
        <v>31065</v>
      </c>
      <c r="C2077" s="3" t="str">
        <f>IFERROR(__xludf.DUMMYFUNCTION("""COMPUTED_VALUE"""),"BCM FC CTX บายพาส 1 สกลนคร")</f>
        <v>BCM FC CTX บายพาส 1 สกลนคร</v>
      </c>
      <c r="D2077" s="3" t="str">
        <f>IFERROR(__xludf.DUMMYFUNCTION("""COMPUTED_VALUE"""),"BCM CTX BYPASS 1 SAKON NAKHON")</f>
        <v>BCM CTX BYPASS 1 SAKON NAKHON</v>
      </c>
      <c r="E2077" s="1" t="str">
        <f>IFERROR(__xludf.DUMMYFUNCTION("""COMPUTED_VALUE"""),"บิ๊กซี MINI")</f>
        <v>บิ๊กซี MINI</v>
      </c>
      <c r="F2077" s="1" t="str">
        <f>IFERROR(__xludf.DUMMYFUNCTION("""COMPUTED_VALUE"""),"291105")</f>
        <v>291105</v>
      </c>
      <c r="G2077" s="1" t="str">
        <f>IFERROR(__xludf.DUMMYFUNCTION("""COMPUTED_VALUE"""),"นายสราวุฒิ พณิชยกุล")</f>
        <v>นายสราวุฒิ พณิชยกุล</v>
      </c>
      <c r="H2077" s="1" t="str">
        <f>IFERROR(__xludf.DUMMYFUNCTION("""COMPUTED_VALUE"""),"392885")</f>
        <v>392885</v>
      </c>
      <c r="I2077" s="1" t="str">
        <f>IFERROR(__xludf.DUMMYFUNCTION("""COMPUTED_VALUE"""),"น.ส.วราพร จันปลิว")</f>
        <v>น.ส.วราพร จันปลิว</v>
      </c>
      <c r="J2077" s="3">
        <f>IFERROR(__xludf.DUMMYFUNCTION("""COMPUTED_VALUE"""),296868.0)</f>
        <v>296868</v>
      </c>
      <c r="K2077" s="3" t="str">
        <f>IFERROR(__xludf.DUMMYFUNCTION("""COMPUTED_VALUE"""),"นายพีระพงษ์ แก้วดวงดี")</f>
        <v>นายพีระพงษ์ แก้วดวงดี</v>
      </c>
      <c r="L2077" s="1" t="str">
        <f>IFERROR(__xludf.DUMMYFUNCTION("""COMPUTED_VALUE"""),"03 K.Peerapong K.")</f>
        <v>03 K.Peerapong K.</v>
      </c>
      <c r="M2077" s="1" t="str">
        <f>IFERROR(__xludf.DUMMYFUNCTION("""COMPUTED_VALUE"""),"089-002-6599")</f>
        <v>089-002-6599</v>
      </c>
      <c r="N2077" s="3">
        <f>IFERROR(__xludf.DUMMYFUNCTION("""COMPUTED_VALUE"""),21946.0)</f>
        <v>21946</v>
      </c>
      <c r="O2077" s="3" t="str">
        <f>IFERROR(__xludf.DUMMYFUNCTION("""COMPUTED_VALUE"""),"MBC เซกา บึงกาฬ")</f>
        <v>MBC เซกา บึงกาฬ</v>
      </c>
      <c r="P2077" s="4">
        <f>IFERROR(__xludf.DUMMYFUNCTION("""COMPUTED_VALUE"""),42919.0)</f>
        <v>42919</v>
      </c>
      <c r="Q2077" s="3" t="str">
        <f>IFERROR(__xludf.DUMMYFUNCTION("""COMPUTED_VALUE"""),"A")</f>
        <v>A</v>
      </c>
      <c r="R2077" s="3" t="str">
        <f>IFERROR(__xludf.DUMMYFUNCTION("""COMPUTED_VALUE"""),"Small Format")</f>
        <v>Small Format</v>
      </c>
      <c r="S2077" s="3" t="str">
        <f>IFERROR(__xludf.DUMMYFUNCTION("""COMPUTED_VALUE"""),"BCM(FC)")</f>
        <v>BCM(FC)</v>
      </c>
      <c r="T2077" s="3" t="str">
        <f>IFERROR(__xludf.DUMMYFUNCTION("""COMPUTED_VALUE"""),"#N/A")</f>
        <v>#N/A</v>
      </c>
      <c r="U2077" s="3" t="str">
        <f>IFERROR(__xludf.DUMMYFUNCTION("""COMPUTED_VALUE"""),"#N/A")</f>
        <v>#N/A</v>
      </c>
      <c r="V2077" s="3" t="str">
        <f>IFERROR(__xludf.DUMMYFUNCTION("""COMPUTED_VALUE"""),"Y")</f>
        <v>Y</v>
      </c>
      <c r="W2077" s="3">
        <f>IFERROR(__xludf.DUMMYFUNCTION("""COMPUTED_VALUE"""),811142.0)</f>
        <v>811142</v>
      </c>
      <c r="X2077" s="3" t="str">
        <f>IFERROR(__xludf.DUMMYFUNCTION("""COMPUTED_VALUE"""),"79/2 ถนนเลี่ยงเมือง ตำบลธาตุเชิงชุม อำเภอเมืองสกลนคร จังหวัดสกลนคร 47000")</f>
        <v>79/2 ถนนเลี่ยงเมือง ตำบลธาตุเชิงชุม อำเภอเมืองสกลนคร จังหวัดสกลนคร 47000</v>
      </c>
      <c r="Y2077" s="3" t="str">
        <f>IFERROR(__xludf.DUMMYFUNCTION("""COMPUTED_VALUE"""),"ถนนเลี่ยงเมือง")</f>
        <v>ถนนเลี่ยงเมือง</v>
      </c>
      <c r="Z2077" s="3" t="str">
        <f>IFERROR(__xludf.DUMMYFUNCTION("""COMPUTED_VALUE"""),"ธาตุเชิงชุม")</f>
        <v>ธาตุเชิงชุม</v>
      </c>
      <c r="AA2077" s="3" t="str">
        <f>IFERROR(__xludf.DUMMYFUNCTION("""COMPUTED_VALUE"""),"เมือง")</f>
        <v>เมือง</v>
      </c>
      <c r="AB2077" s="3" t="str">
        <f>IFERROR(__xludf.DUMMYFUNCTION("""COMPUTED_VALUE"""),"สกลนคร")</f>
        <v>สกลนคร</v>
      </c>
      <c r="AC2077" s="3">
        <f>IFERROR(__xludf.DUMMYFUNCTION("""COMPUTED_VALUE"""),47000.0)</f>
        <v>47000</v>
      </c>
      <c r="AD2077" s="3">
        <f>IFERROR(__xludf.DUMMYFUNCTION("""COMPUTED_VALUE"""),17.175038)</f>
        <v>17.175038</v>
      </c>
      <c r="AE2077" s="3">
        <f>IFERROR(__xludf.DUMMYFUNCTION("""COMPUTED_VALUE"""),104.097491)</f>
        <v>104.097491</v>
      </c>
      <c r="AF2077" s="3" t="str">
        <f>IFERROR(__xludf.DUMMYFUNCTION("""COMPUTED_VALUE"""),"BCM FC CTX บายพาส 1 สกลนคร-31065")</f>
        <v>BCM FC CTX บายพาส 1 สกลนคร-31065</v>
      </c>
      <c r="AG2077" s="3" t="str">
        <f>IFERROR(__xludf.DUMMYFUNCTION("""COMPUTED_VALUE"""),"ตะวันออกเฉียงเหนือ")</f>
        <v>ตะวันออกเฉียงเหนือ</v>
      </c>
      <c r="AH2077" s="3" t="str">
        <f>IFERROR(__xludf.DUMMYFUNCTION("""COMPUTED_VALUE"""),"#N/A")</f>
        <v>#N/A</v>
      </c>
      <c r="AI2077" s="3" t="str">
        <f>IFERROR(__xludf.DUMMYFUNCTION("""COMPUTED_VALUE"""),"Out of warranty")</f>
        <v>Out of warranty</v>
      </c>
      <c r="AJ2077" s="3">
        <f>IFERROR(__xludf.DUMMYFUNCTION("""COMPUTED_VALUE"""),103.0)</f>
        <v>103</v>
      </c>
      <c r="AK2077" s="3"/>
      <c r="AL2077" s="3"/>
    </row>
    <row r="2078" ht="15.75" customHeight="1">
      <c r="A2078" s="1" t="str">
        <f>IFERROR(__xludf.DUMMYFUNCTION("""COMPUTED_VALUE"""),"31066")</f>
        <v>31066</v>
      </c>
      <c r="B2078" s="2">
        <f>IFERROR(__xludf.DUMMYFUNCTION("""COMPUTED_VALUE"""),31066.0)</f>
        <v>31066</v>
      </c>
      <c r="C2078" s="3" t="str">
        <f>IFERROR(__xludf.DUMMYFUNCTION("""COMPUTED_VALUE"""),"BCM FC CTX ห้วยทราย สกลนคร")</f>
        <v>BCM FC CTX ห้วยทราย สกลนคร</v>
      </c>
      <c r="D2078" s="3" t="str">
        <f>IFERROR(__xludf.DUMMYFUNCTION("""COMPUTED_VALUE"""),"BCM CTX HUAY SAI(SAKONNAKHON)")</f>
        <v>BCM CTX HUAY SAI(SAKONNAKHON)</v>
      </c>
      <c r="E2078" s="1" t="str">
        <f>IFERROR(__xludf.DUMMYFUNCTION("""COMPUTED_VALUE"""),"บิ๊กซี MINI")</f>
        <v>บิ๊กซี MINI</v>
      </c>
      <c r="F2078" s="1" t="str">
        <f>IFERROR(__xludf.DUMMYFUNCTION("""COMPUTED_VALUE"""),"291105")</f>
        <v>291105</v>
      </c>
      <c r="G2078" s="1" t="str">
        <f>IFERROR(__xludf.DUMMYFUNCTION("""COMPUTED_VALUE"""),"นายสราวุฒิ พณิชยกุล")</f>
        <v>นายสราวุฒิ พณิชยกุล</v>
      </c>
      <c r="H2078" s="1" t="str">
        <f>IFERROR(__xludf.DUMMYFUNCTION("""COMPUTED_VALUE"""),"392885")</f>
        <v>392885</v>
      </c>
      <c r="I2078" s="1" t="str">
        <f>IFERROR(__xludf.DUMMYFUNCTION("""COMPUTED_VALUE"""),"น.ส.วราพร จันปลิว")</f>
        <v>น.ส.วราพร จันปลิว</v>
      </c>
      <c r="J2078" s="3">
        <f>IFERROR(__xludf.DUMMYFUNCTION("""COMPUTED_VALUE"""),296868.0)</f>
        <v>296868</v>
      </c>
      <c r="K2078" s="3" t="str">
        <f>IFERROR(__xludf.DUMMYFUNCTION("""COMPUTED_VALUE"""),"นายพีระพงษ์ แก้วดวงดี")</f>
        <v>นายพีระพงษ์ แก้วดวงดี</v>
      </c>
      <c r="L2078" s="1" t="str">
        <f>IFERROR(__xludf.DUMMYFUNCTION("""COMPUTED_VALUE"""),"03 K.Peerapong K.")</f>
        <v>03 K.Peerapong K.</v>
      </c>
      <c r="M2078" s="1" t="str">
        <f>IFERROR(__xludf.DUMMYFUNCTION("""COMPUTED_VALUE"""),"089-002-6599")</f>
        <v>089-002-6599</v>
      </c>
      <c r="N2078" s="3">
        <f>IFERROR(__xludf.DUMMYFUNCTION("""COMPUTED_VALUE"""),21946.0)</f>
        <v>21946</v>
      </c>
      <c r="O2078" s="3" t="str">
        <f>IFERROR(__xludf.DUMMYFUNCTION("""COMPUTED_VALUE"""),"MBC เซกา บึงกาฬ")</f>
        <v>MBC เซกา บึงกาฬ</v>
      </c>
      <c r="P2078" s="4">
        <f>IFERROR(__xludf.DUMMYFUNCTION("""COMPUTED_VALUE"""),42919.0)</f>
        <v>42919</v>
      </c>
      <c r="Q2078" s="3" t="str">
        <f>IFERROR(__xludf.DUMMYFUNCTION("""COMPUTED_VALUE"""),"A")</f>
        <v>A</v>
      </c>
      <c r="R2078" s="3" t="str">
        <f>IFERROR(__xludf.DUMMYFUNCTION("""COMPUTED_VALUE"""),"Small Format")</f>
        <v>Small Format</v>
      </c>
      <c r="S2078" s="3" t="str">
        <f>IFERROR(__xludf.DUMMYFUNCTION("""COMPUTED_VALUE"""),"BCM(FC)")</f>
        <v>BCM(FC)</v>
      </c>
      <c r="T2078" s="3" t="str">
        <f>IFERROR(__xludf.DUMMYFUNCTION("""COMPUTED_VALUE"""),"#N/A")</f>
        <v>#N/A</v>
      </c>
      <c r="U2078" s="3" t="str">
        <f>IFERROR(__xludf.DUMMYFUNCTION("""COMPUTED_VALUE"""),"#N/A")</f>
        <v>#N/A</v>
      </c>
      <c r="V2078" s="3" t="str">
        <f>IFERROR(__xludf.DUMMYFUNCTION("""COMPUTED_VALUE"""),"Y")</f>
        <v>Y</v>
      </c>
      <c r="W2078" s="3">
        <f>IFERROR(__xludf.DUMMYFUNCTION("""COMPUTED_VALUE"""),811144.0)</f>
        <v>811144</v>
      </c>
      <c r="X2078" s="3" t="str">
        <f>IFERROR(__xludf.DUMMYFUNCTION("""COMPUTED_VALUE"""),"55 หมู่ที่ 4 ถนนนิตโย ตำบลพังขว้าง อำเภอเมืองสกลนคร จังหวัดสกลนคร 47000")</f>
        <v>55 หมู่ที่ 4 ถนนนิตโย ตำบลพังขว้าง อำเภอเมืองสกลนคร จังหวัดสกลนคร 47000</v>
      </c>
      <c r="Y2078" s="3"/>
      <c r="Z2078" s="3" t="str">
        <f>IFERROR(__xludf.DUMMYFUNCTION("""COMPUTED_VALUE"""),"พังขว้าง")</f>
        <v>พังขว้าง</v>
      </c>
      <c r="AA2078" s="3" t="str">
        <f>IFERROR(__xludf.DUMMYFUNCTION("""COMPUTED_VALUE"""),"เมือง")</f>
        <v>เมือง</v>
      </c>
      <c r="AB2078" s="3" t="str">
        <f>IFERROR(__xludf.DUMMYFUNCTION("""COMPUTED_VALUE"""),"สกลนคร")</f>
        <v>สกลนคร</v>
      </c>
      <c r="AC2078" s="3">
        <f>IFERROR(__xludf.DUMMYFUNCTION("""COMPUTED_VALUE"""),47000.0)</f>
        <v>47000</v>
      </c>
      <c r="AD2078" s="3">
        <f>IFERROR(__xludf.DUMMYFUNCTION("""COMPUTED_VALUE"""),17.218996)</f>
        <v>17.218996</v>
      </c>
      <c r="AE2078" s="3">
        <f>IFERROR(__xludf.DUMMYFUNCTION("""COMPUTED_VALUE"""),104.042761)</f>
        <v>104.042761</v>
      </c>
      <c r="AF2078" s="3" t="str">
        <f>IFERROR(__xludf.DUMMYFUNCTION("""COMPUTED_VALUE"""),"BCM FC CTX ห้วยทราย สกลนคร-31066")</f>
        <v>BCM FC CTX ห้วยทราย สกลนคร-31066</v>
      </c>
      <c r="AG2078" s="3" t="str">
        <f>IFERROR(__xludf.DUMMYFUNCTION("""COMPUTED_VALUE"""),"ตะวันออกเฉียงเหนือ")</f>
        <v>ตะวันออกเฉียงเหนือ</v>
      </c>
      <c r="AH2078" s="3" t="str">
        <f>IFERROR(__xludf.DUMMYFUNCTION("""COMPUTED_VALUE"""),"#N/A")</f>
        <v>#N/A</v>
      </c>
      <c r="AI2078" s="3" t="str">
        <f>IFERROR(__xludf.DUMMYFUNCTION("""COMPUTED_VALUE"""),"Out of warranty")</f>
        <v>Out of warranty</v>
      </c>
      <c r="AJ2078" s="3">
        <f>IFERROR(__xludf.DUMMYFUNCTION("""COMPUTED_VALUE"""),103.0)</f>
        <v>103</v>
      </c>
      <c r="AK2078" s="3"/>
      <c r="AL2078" s="3"/>
    </row>
    <row r="2079" ht="15.75" customHeight="1">
      <c r="A2079" s="1" t="str">
        <f>IFERROR(__xludf.DUMMYFUNCTION("""COMPUTED_VALUE"""),"31067")</f>
        <v>31067</v>
      </c>
      <c r="B2079" s="2">
        <f>IFERROR(__xludf.DUMMYFUNCTION("""COMPUTED_VALUE"""),31067.0)</f>
        <v>31067</v>
      </c>
      <c r="C2079" s="3" t="str">
        <f>IFERROR(__xludf.DUMMYFUNCTION("""COMPUTED_VALUE"""),"BCM FC BCP คอนสาร")</f>
        <v>BCM FC BCP คอนสาร</v>
      </c>
      <c r="D2079" s="3" t="str">
        <f>IFERROR(__xludf.DUMMYFUNCTION("""COMPUTED_VALUE"""),"BCM BCP KHON SARN(CHAIYAPHUM)")</f>
        <v>BCM BCP KHON SARN(CHAIYAPHUM)</v>
      </c>
      <c r="E2079" s="1" t="str">
        <f>IFERROR(__xludf.DUMMYFUNCTION("""COMPUTED_VALUE"""),"บิ๊กซี MINI")</f>
        <v>บิ๊กซี MINI</v>
      </c>
      <c r="F2079" s="1" t="str">
        <f>IFERROR(__xludf.DUMMYFUNCTION("""COMPUTED_VALUE"""),"291105")</f>
        <v>291105</v>
      </c>
      <c r="G2079" s="1" t="str">
        <f>IFERROR(__xludf.DUMMYFUNCTION("""COMPUTED_VALUE"""),"นายสราวุฒิ พณิชยกุล")</f>
        <v>นายสราวุฒิ พณิชยกุล</v>
      </c>
      <c r="H2079" s="1" t="str">
        <f>IFERROR(__xludf.DUMMYFUNCTION("""COMPUTED_VALUE"""),"371396")</f>
        <v>371396</v>
      </c>
      <c r="I2079" s="1" t="str">
        <f>IFERROR(__xludf.DUMMYFUNCTION("""COMPUTED_VALUE"""),"น.ส.สุภาวดี วิลัยพร")</f>
        <v>น.ส.สุภาวดี วิลัยพร</v>
      </c>
      <c r="J2079" s="3">
        <f>IFERROR(__xludf.DUMMYFUNCTION("""COMPUTED_VALUE"""),15361.0)</f>
        <v>15361</v>
      </c>
      <c r="K2079" s="3" t="str">
        <f>IFERROR(__xludf.DUMMYFUNCTION("""COMPUTED_VALUE"""),"นายสมบูรณ์ พรหมในเมือง")</f>
        <v>นายสมบูรณ์ พรหมในเมือง</v>
      </c>
      <c r="L2079" s="1" t="str">
        <f>IFERROR(__xludf.DUMMYFUNCTION("""COMPUTED_VALUE"""),"04 K.Somboon P.")</f>
        <v>04 K.Somboon P.</v>
      </c>
      <c r="M2079" s="1" t="str">
        <f>IFERROR(__xludf.DUMMYFUNCTION("""COMPUTED_VALUE"""),"087-965-3051")</f>
        <v>087-965-3051</v>
      </c>
      <c r="N2079" s="3">
        <f>IFERROR(__xludf.DUMMYFUNCTION("""COMPUTED_VALUE"""),21869.0)</f>
        <v>21869</v>
      </c>
      <c r="O2079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2079" s="4">
        <f>IFERROR(__xludf.DUMMYFUNCTION("""COMPUTED_VALUE"""),42923.0)</f>
        <v>42923</v>
      </c>
      <c r="Q2079" s="3" t="str">
        <f>IFERROR(__xludf.DUMMYFUNCTION("""COMPUTED_VALUE"""),"A")</f>
        <v>A</v>
      </c>
      <c r="R2079" s="3" t="str">
        <f>IFERROR(__xludf.DUMMYFUNCTION("""COMPUTED_VALUE"""),"Small Format")</f>
        <v>Small Format</v>
      </c>
      <c r="S2079" s="3" t="str">
        <f>IFERROR(__xludf.DUMMYFUNCTION("""COMPUTED_VALUE"""),"BCM(FC)")</f>
        <v>BCM(FC)</v>
      </c>
      <c r="T2079" s="3" t="str">
        <f>IFERROR(__xludf.DUMMYFUNCTION("""COMPUTED_VALUE"""),"#N/A")</f>
        <v>#N/A</v>
      </c>
      <c r="U2079" s="3" t="str">
        <f>IFERROR(__xludf.DUMMYFUNCTION("""COMPUTED_VALUE"""),"#N/A")</f>
        <v>#N/A</v>
      </c>
      <c r="V2079" s="3" t="str">
        <f>IFERROR(__xludf.DUMMYFUNCTION("""COMPUTED_VALUE"""),"Y")</f>
        <v>Y</v>
      </c>
      <c r="W2079" s="3">
        <f>IFERROR(__xludf.DUMMYFUNCTION("""COMPUTED_VALUE"""),811141.0)</f>
        <v>811141</v>
      </c>
      <c r="X2079" s="3" t="str">
        <f>IFERROR(__xludf.DUMMYFUNCTION("""COMPUTED_VALUE"""),"217 หมู่ 3 ตำบลดงบัง อำเภอคอนสาร จังหวัดชัยภูมิ 36180")</f>
        <v>217 หมู่ 3 ตำบลดงบัง อำเภอคอนสาร จังหวัดชัยภูมิ 36180</v>
      </c>
      <c r="Y2079" s="3"/>
      <c r="Z2079" s="3" t="str">
        <f>IFERROR(__xludf.DUMMYFUNCTION("""COMPUTED_VALUE"""),"ดงบัง")</f>
        <v>ดงบัง</v>
      </c>
      <c r="AA2079" s="3" t="str">
        <f>IFERROR(__xludf.DUMMYFUNCTION("""COMPUTED_VALUE"""),"คอนสาร")</f>
        <v>คอนสาร</v>
      </c>
      <c r="AB2079" s="3" t="str">
        <f>IFERROR(__xludf.DUMMYFUNCTION("""COMPUTED_VALUE"""),"ชัยภูมิ")</f>
        <v>ชัยภูมิ</v>
      </c>
      <c r="AC2079" s="3">
        <f>IFERROR(__xludf.DUMMYFUNCTION("""COMPUTED_VALUE"""),36180.0)</f>
        <v>36180</v>
      </c>
      <c r="AD2079" s="3">
        <f>IFERROR(__xludf.DUMMYFUNCTION("""COMPUTED_VALUE"""),16.5941325)</f>
        <v>16.5941325</v>
      </c>
      <c r="AE2079" s="3">
        <f>IFERROR(__xludf.DUMMYFUNCTION("""COMPUTED_VALUE"""),101.9452232)</f>
        <v>101.9452232</v>
      </c>
      <c r="AF2079" s="3" t="str">
        <f>IFERROR(__xludf.DUMMYFUNCTION("""COMPUTED_VALUE"""),"BCM FC BCP คอนสาร-31067")</f>
        <v>BCM FC BCP คอนสาร-31067</v>
      </c>
      <c r="AG2079" s="3" t="str">
        <f>IFERROR(__xludf.DUMMYFUNCTION("""COMPUTED_VALUE"""),"ตะวันออกเฉียงเหนือ")</f>
        <v>ตะวันออกเฉียงเหนือ</v>
      </c>
      <c r="AH2079" s="3" t="str">
        <f>IFERROR(__xludf.DUMMYFUNCTION("""COMPUTED_VALUE"""),"#N/A")</f>
        <v>#N/A</v>
      </c>
      <c r="AI2079" s="3" t="str">
        <f>IFERROR(__xludf.DUMMYFUNCTION("""COMPUTED_VALUE"""),"Out of warranty")</f>
        <v>Out of warranty</v>
      </c>
      <c r="AJ2079" s="3">
        <f>IFERROR(__xludf.DUMMYFUNCTION("""COMPUTED_VALUE"""),103.0)</f>
        <v>103</v>
      </c>
      <c r="AK2079" s="3"/>
      <c r="AL2079" s="3"/>
    </row>
    <row r="2080" ht="15.75" customHeight="1">
      <c r="A2080" s="1" t="str">
        <f>IFERROR(__xludf.DUMMYFUNCTION("""COMPUTED_VALUE"""),"31068")</f>
        <v>31068</v>
      </c>
      <c r="B2080" s="2">
        <f>IFERROR(__xludf.DUMMYFUNCTION("""COMPUTED_VALUE"""),31068.0)</f>
        <v>31068</v>
      </c>
      <c r="C2080" s="3" t="str">
        <f>IFERROR(__xludf.DUMMYFUNCTION("""COMPUTED_VALUE"""),"MFC ปราณบุรี")</f>
        <v>MFC ปราณบุรี</v>
      </c>
      <c r="D2080" s="3" t="str">
        <f>IFERROR(__xludf.DUMMYFUNCTION("""COMPUTED_VALUE"""),"MFC KRIANGKAMOL BIGHENG")</f>
        <v>MFC KRIANGKAMOL BIGHENG</v>
      </c>
      <c r="E2080" s="1" t="str">
        <f>IFERROR(__xludf.DUMMYFUNCTION("""COMPUTED_VALUE"""),"บิ๊กซี MINI")</f>
        <v>บิ๊กซี MINI</v>
      </c>
      <c r="F2080" s="1" t="str">
        <f>IFERROR(__xludf.DUMMYFUNCTION("""COMPUTED_VALUE"""),"2010918")</f>
        <v>2010918</v>
      </c>
      <c r="G2080" s="1" t="str">
        <f>IFERROR(__xludf.DUMMYFUNCTION("""COMPUTED_VALUE"""),"น.ส.สุดารัตน์ รัตนประดิษฐ์")</f>
        <v>น.ส.สุดารัตน์ รัตนประดิษฐ์</v>
      </c>
      <c r="H2080" s="1" t="str">
        <f>IFERROR(__xludf.DUMMYFUNCTION("""COMPUTED_VALUE"""),"391191")</f>
        <v>391191</v>
      </c>
      <c r="I2080" s="1" t="str">
        <f>IFERROR(__xludf.DUMMYFUNCTION("""COMPUTED_VALUE"""),"นายวสันต์ สรงพรมทิพย์")</f>
        <v>นายวสันต์ สรงพรมทิพย์</v>
      </c>
      <c r="J2080" s="3">
        <f>IFERROR(__xludf.DUMMYFUNCTION("""COMPUTED_VALUE"""),2.0470331E7)</f>
        <v>20470331</v>
      </c>
      <c r="K2080" s="3" t="str">
        <f>IFERROR(__xludf.DUMMYFUNCTION("""COMPUTED_VALUE"""),"นายสมชาย ลักษณะสุวรรณ")</f>
        <v>นายสมชาย ลักษณะสุวรรณ</v>
      </c>
      <c r="L2080" s="1" t="str">
        <f>IFERROR(__xludf.DUMMYFUNCTION("""COMPUTED_VALUE"""),"15 K.Somchai L")</f>
        <v>15 K.Somchai L</v>
      </c>
      <c r="M2080" s="1" t="str">
        <f>IFERROR(__xludf.DUMMYFUNCTION("""COMPUTED_VALUE"""),"0655107372")</f>
        <v>0655107372</v>
      </c>
      <c r="N2080" s="3">
        <f>IFERROR(__xludf.DUMMYFUNCTION("""COMPUTED_VALUE"""),21723.0)</f>
        <v>21723</v>
      </c>
      <c r="O2080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2080" s="4">
        <f>IFERROR(__xludf.DUMMYFUNCTION("""COMPUTED_VALUE"""),42928.0)</f>
        <v>42928</v>
      </c>
      <c r="Q2080" s="3" t="str">
        <f>IFERROR(__xludf.DUMMYFUNCTION("""COMPUTED_VALUE"""),"I")</f>
        <v>I</v>
      </c>
      <c r="R2080" s="3" t="str">
        <f>IFERROR(__xludf.DUMMYFUNCTION("""COMPUTED_VALUE"""),"Small Format")</f>
        <v>Small Format</v>
      </c>
      <c r="S2080" s="3" t="str">
        <f>IFERROR(__xludf.DUMMYFUNCTION("""COMPUTED_VALUE"""),"BCM(FC)")</f>
        <v>BCM(FC)</v>
      </c>
      <c r="T2080" s="3" t="str">
        <f>IFERROR(__xludf.DUMMYFUNCTION("""COMPUTED_VALUE"""),"#N/A")</f>
        <v>#N/A</v>
      </c>
      <c r="U2080" s="3" t="str">
        <f>IFERROR(__xludf.DUMMYFUNCTION("""COMPUTED_VALUE"""),"#N/A")</f>
        <v>#N/A</v>
      </c>
      <c r="V2080" s="3" t="str">
        <f>IFERROR(__xludf.DUMMYFUNCTION("""COMPUTED_VALUE"""),"Y")</f>
        <v>Y</v>
      </c>
      <c r="W2080" s="3">
        <f>IFERROR(__xludf.DUMMYFUNCTION("""COMPUTED_VALUE"""),0.0)</f>
        <v>0</v>
      </c>
      <c r="X2080" s="3" t="str">
        <f>IFERROR(__xludf.DUMMYFUNCTION("""COMPUTED_VALUE"""),"200/74 หมู่ 2 ตำบลเขาน้อย อำเภอปราณบุรี จังหวัดประจวบคีรีขันธ์ 77120")</f>
        <v>200/74 หมู่ 2 ตำบลเขาน้อย อำเภอปราณบุรี จังหวัดประจวบคีรีขันธ์ 77120</v>
      </c>
      <c r="Y2080" s="3"/>
      <c r="Z2080" s="3" t="str">
        <f>IFERROR(__xludf.DUMMYFUNCTION("""COMPUTED_VALUE"""),"เขาน้อย")</f>
        <v>เขาน้อย</v>
      </c>
      <c r="AA2080" s="3" t="str">
        <f>IFERROR(__xludf.DUMMYFUNCTION("""COMPUTED_VALUE"""),"ปราณบุรี")</f>
        <v>ปราณบุรี</v>
      </c>
      <c r="AB2080" s="3" t="str">
        <f>IFERROR(__xludf.DUMMYFUNCTION("""COMPUTED_VALUE"""),"ประจวบคีรีขันธ์")</f>
        <v>ประจวบคีรีขันธ์</v>
      </c>
      <c r="AC2080" s="3">
        <f>IFERROR(__xludf.DUMMYFUNCTION("""COMPUTED_VALUE"""),77120.0)</f>
        <v>77120</v>
      </c>
      <c r="AD2080" s="3" t="str">
        <f>IFERROR(__xludf.DUMMYFUNCTION("""COMPUTED_VALUE"""),"#N/A")</f>
        <v>#N/A</v>
      </c>
      <c r="AE2080" s="3" t="str">
        <f>IFERROR(__xludf.DUMMYFUNCTION("""COMPUTED_VALUE"""),"#N/A")</f>
        <v>#N/A</v>
      </c>
      <c r="AF2080" s="3" t="str">
        <f>IFERROR(__xludf.DUMMYFUNCTION("""COMPUTED_VALUE"""),"MFC ปราณบุรี-31068")</f>
        <v>MFC ปราณบุรี-31068</v>
      </c>
      <c r="AG2080" s="3" t="str">
        <f>IFERROR(__xludf.DUMMYFUNCTION("""COMPUTED_VALUE"""),"ตะวันตก")</f>
        <v>ตะวันตก</v>
      </c>
      <c r="AH2080" s="3" t="str">
        <f>IFERROR(__xludf.DUMMYFUNCTION("""COMPUTED_VALUE"""),"#N/A")</f>
        <v>#N/A</v>
      </c>
      <c r="AI2080" s="3" t="str">
        <f>IFERROR(__xludf.DUMMYFUNCTION("""COMPUTED_VALUE"""),"Out of warranty")</f>
        <v>Out of warranty</v>
      </c>
      <c r="AJ2080" s="3">
        <f>IFERROR(__xludf.DUMMYFUNCTION("""COMPUTED_VALUE"""),103.0)</f>
        <v>103</v>
      </c>
      <c r="AK2080" s="3"/>
      <c r="AL2080" s="3"/>
    </row>
    <row r="2081" ht="15.75" customHeight="1">
      <c r="A2081" s="1" t="str">
        <f>IFERROR(__xludf.DUMMYFUNCTION("""COMPUTED_VALUE"""),"31069")</f>
        <v>31069</v>
      </c>
      <c r="B2081" s="2">
        <f>IFERROR(__xludf.DUMMYFUNCTION("""COMPUTED_VALUE"""),31069.0)</f>
        <v>31069</v>
      </c>
      <c r="C2081" s="3" t="str">
        <f>IFERROR(__xludf.DUMMYFUNCTION("""COMPUTED_VALUE"""),"BCM FC CTX วังสามหมอ")</f>
        <v>BCM FC CTX วังสามหมอ</v>
      </c>
      <c r="D2081" s="3" t="str">
        <f>IFERROR(__xludf.DUMMYFUNCTION("""COMPUTED_VALUE"""),"BCM CTX WANG SAM MOR (UDON)")</f>
        <v>BCM CTX WANG SAM MOR (UDON)</v>
      </c>
      <c r="E2081" s="1" t="str">
        <f>IFERROR(__xludf.DUMMYFUNCTION("""COMPUTED_VALUE"""),"บิ๊กซี MINI")</f>
        <v>บิ๊กซี MINI</v>
      </c>
      <c r="F2081" s="1" t="str">
        <f>IFERROR(__xludf.DUMMYFUNCTION("""COMPUTED_VALUE"""),"291105")</f>
        <v>291105</v>
      </c>
      <c r="G2081" s="1" t="str">
        <f>IFERROR(__xludf.DUMMYFUNCTION("""COMPUTED_VALUE"""),"นายสราวุฒิ พณิชยกุล")</f>
        <v>นายสราวุฒิ พณิชยกุล</v>
      </c>
      <c r="H2081" s="1" t="str">
        <f>IFERROR(__xludf.DUMMYFUNCTION("""COMPUTED_VALUE"""),"392005")</f>
        <v>392005</v>
      </c>
      <c r="I2081" s="1" t="str">
        <f>IFERROR(__xludf.DUMMYFUNCTION("""COMPUTED_VALUE"""),"นายรัฐพล หาญลำยวง")</f>
        <v>นายรัฐพล หาญลำยวง</v>
      </c>
      <c r="J2081" s="3">
        <f>IFERROR(__xludf.DUMMYFUNCTION("""COMPUTED_VALUE"""),296868.0)</f>
        <v>296868</v>
      </c>
      <c r="K2081" s="3" t="str">
        <f>IFERROR(__xludf.DUMMYFUNCTION("""COMPUTED_VALUE"""),"นายพีระพงษ์ แก้วดวงดี")</f>
        <v>นายพีระพงษ์ แก้วดวงดี</v>
      </c>
      <c r="L2081" s="1" t="str">
        <f>IFERROR(__xludf.DUMMYFUNCTION("""COMPUTED_VALUE"""),"03 K.Peerapong K.")</f>
        <v>03 K.Peerapong K.</v>
      </c>
      <c r="M2081" s="1" t="str">
        <f>IFERROR(__xludf.DUMMYFUNCTION("""COMPUTED_VALUE"""),"089-002-6599")</f>
        <v>089-002-6599</v>
      </c>
      <c r="N2081" s="3">
        <f>IFERROR(__xludf.DUMMYFUNCTION("""COMPUTED_VALUE"""),21946.0)</f>
        <v>21946</v>
      </c>
      <c r="O2081" s="3" t="str">
        <f>IFERROR(__xludf.DUMMYFUNCTION("""COMPUTED_VALUE"""),"MBC เซกา บึงกาฬ")</f>
        <v>MBC เซกา บึงกาฬ</v>
      </c>
      <c r="P2081" s="4">
        <f>IFERROR(__xludf.DUMMYFUNCTION("""COMPUTED_VALUE"""),42937.0)</f>
        <v>42937</v>
      </c>
      <c r="Q2081" s="3" t="str">
        <f>IFERROR(__xludf.DUMMYFUNCTION("""COMPUTED_VALUE"""),"A")</f>
        <v>A</v>
      </c>
      <c r="R2081" s="3" t="str">
        <f>IFERROR(__xludf.DUMMYFUNCTION("""COMPUTED_VALUE"""),"Small Format")</f>
        <v>Small Format</v>
      </c>
      <c r="S2081" s="3" t="str">
        <f>IFERROR(__xludf.DUMMYFUNCTION("""COMPUTED_VALUE"""),"BCM(FC)")</f>
        <v>BCM(FC)</v>
      </c>
      <c r="T2081" s="3" t="str">
        <f>IFERROR(__xludf.DUMMYFUNCTION("""COMPUTED_VALUE"""),"#N/A")</f>
        <v>#N/A</v>
      </c>
      <c r="U2081" s="3" t="str">
        <f>IFERROR(__xludf.DUMMYFUNCTION("""COMPUTED_VALUE"""),"#N/A")</f>
        <v>#N/A</v>
      </c>
      <c r="V2081" s="3" t="str">
        <f>IFERROR(__xludf.DUMMYFUNCTION("""COMPUTED_VALUE"""),"Y")</f>
        <v>Y</v>
      </c>
      <c r="W2081" s="3">
        <f>IFERROR(__xludf.DUMMYFUNCTION("""COMPUTED_VALUE"""),811149.0)</f>
        <v>811149</v>
      </c>
      <c r="X2081" s="3" t="str">
        <f>IFERROR(__xludf.DUMMYFUNCTION("""COMPUTED_VALUE"""),"159 หมู่ 9 ตำบลวังสามหมอ อำเภอวังสามหมอ จังหวัดอุดรธานี 41280")</f>
        <v>159 หมู่ 9 ตำบลวังสามหมอ อำเภอวังสามหมอ จังหวัดอุดรธานี 41280</v>
      </c>
      <c r="Y2081" s="3"/>
      <c r="Z2081" s="3" t="str">
        <f>IFERROR(__xludf.DUMMYFUNCTION("""COMPUTED_VALUE"""),"วังสามหมอ")</f>
        <v>วังสามหมอ</v>
      </c>
      <c r="AA2081" s="3" t="str">
        <f>IFERROR(__xludf.DUMMYFUNCTION("""COMPUTED_VALUE"""),"วังสามหมอ")</f>
        <v>วังสามหมอ</v>
      </c>
      <c r="AB2081" s="3" t="str">
        <f>IFERROR(__xludf.DUMMYFUNCTION("""COMPUTED_VALUE"""),"อุดรธานี")</f>
        <v>อุดรธานี</v>
      </c>
      <c r="AC2081" s="3">
        <f>IFERROR(__xludf.DUMMYFUNCTION("""COMPUTED_VALUE"""),41280.0)</f>
        <v>41280</v>
      </c>
      <c r="AD2081" s="3">
        <f>IFERROR(__xludf.DUMMYFUNCTION("""COMPUTED_VALUE"""),16.9630077)</f>
        <v>16.9630077</v>
      </c>
      <c r="AE2081" s="3">
        <f>IFERROR(__xludf.DUMMYFUNCTION("""COMPUTED_VALUE"""),103.4357566)</f>
        <v>103.4357566</v>
      </c>
      <c r="AF2081" s="3" t="str">
        <f>IFERROR(__xludf.DUMMYFUNCTION("""COMPUTED_VALUE"""),"BCM FC CTX วังสามหมอ-31069")</f>
        <v>BCM FC CTX วังสามหมอ-31069</v>
      </c>
      <c r="AG2081" s="3" t="str">
        <f>IFERROR(__xludf.DUMMYFUNCTION("""COMPUTED_VALUE"""),"ตะวันออกเฉียงเหนือ")</f>
        <v>ตะวันออกเฉียงเหนือ</v>
      </c>
      <c r="AH2081" s="3" t="str">
        <f>IFERROR(__xludf.DUMMYFUNCTION("""COMPUTED_VALUE"""),"#N/A")</f>
        <v>#N/A</v>
      </c>
      <c r="AI2081" s="3" t="str">
        <f>IFERROR(__xludf.DUMMYFUNCTION("""COMPUTED_VALUE"""),"Out of warranty")</f>
        <v>Out of warranty</v>
      </c>
      <c r="AJ2081" s="3">
        <f>IFERROR(__xludf.DUMMYFUNCTION("""COMPUTED_VALUE"""),102.0)</f>
        <v>102</v>
      </c>
      <c r="AK2081" s="3"/>
      <c r="AL2081" s="3"/>
    </row>
    <row r="2082" ht="15.75" customHeight="1">
      <c r="A2082" s="1" t="str">
        <f>IFERROR(__xludf.DUMMYFUNCTION("""COMPUTED_VALUE"""),"31070")</f>
        <v>31070</v>
      </c>
      <c r="B2082" s="2">
        <f>IFERROR(__xludf.DUMMYFUNCTION("""COMPUTED_VALUE"""),31070.0)</f>
        <v>31070</v>
      </c>
      <c r="C2082" s="3" t="str">
        <f>IFERROR(__xludf.DUMMYFUNCTION("""COMPUTED_VALUE"""),"BCM FC โพธิวราราม")</f>
        <v>BCM FC โพธิวราราม</v>
      </c>
      <c r="D2082" s="3" t="str">
        <f>IFERROR(__xludf.DUMMYFUNCTION("""COMPUTED_VALUE"""),"BCM PHOTHIWARARAM (UDON)")</f>
        <v>BCM PHOTHIWARARAM (UDON)</v>
      </c>
      <c r="E2082" s="1" t="str">
        <f>IFERROR(__xludf.DUMMYFUNCTION("""COMPUTED_VALUE"""),"บิ๊กซี MINI")</f>
        <v>บิ๊กซี MINI</v>
      </c>
      <c r="F2082" s="1" t="str">
        <f>IFERROR(__xludf.DUMMYFUNCTION("""COMPUTED_VALUE"""),"291105")</f>
        <v>291105</v>
      </c>
      <c r="G2082" s="1" t="str">
        <f>IFERROR(__xludf.DUMMYFUNCTION("""COMPUTED_VALUE"""),"นายสราวุฒิ พณิชยกุล")</f>
        <v>นายสราวุฒิ พณิชยกุล</v>
      </c>
      <c r="H2082" s="1" t="str">
        <f>IFERROR(__xludf.DUMMYFUNCTION("""COMPUTED_VALUE"""),"392005")</f>
        <v>392005</v>
      </c>
      <c r="I2082" s="1" t="str">
        <f>IFERROR(__xludf.DUMMYFUNCTION("""COMPUTED_VALUE"""),"นายรัฐพล หาญลำยวง")</f>
        <v>นายรัฐพล หาญลำยวง</v>
      </c>
      <c r="J2082" s="3">
        <f>IFERROR(__xludf.DUMMYFUNCTION("""COMPUTED_VALUE"""),296868.0)</f>
        <v>296868</v>
      </c>
      <c r="K2082" s="3" t="str">
        <f>IFERROR(__xludf.DUMMYFUNCTION("""COMPUTED_VALUE"""),"นายพีระพงษ์ แก้วดวงดี")</f>
        <v>นายพีระพงษ์ แก้วดวงดี</v>
      </c>
      <c r="L2082" s="1" t="str">
        <f>IFERROR(__xludf.DUMMYFUNCTION("""COMPUTED_VALUE"""),"03 K.Peerapong K.")</f>
        <v>03 K.Peerapong K.</v>
      </c>
      <c r="M2082" s="1" t="str">
        <f>IFERROR(__xludf.DUMMYFUNCTION("""COMPUTED_VALUE"""),"089-002-6599")</f>
        <v>089-002-6599</v>
      </c>
      <c r="N2082" s="3">
        <f>IFERROR(__xludf.DUMMYFUNCTION("""COMPUTED_VALUE"""),21946.0)</f>
        <v>21946</v>
      </c>
      <c r="O2082" s="3" t="str">
        <f>IFERROR(__xludf.DUMMYFUNCTION("""COMPUTED_VALUE"""),"MBC เซกา บึงกาฬ")</f>
        <v>MBC เซกา บึงกาฬ</v>
      </c>
      <c r="P2082" s="4">
        <f>IFERROR(__xludf.DUMMYFUNCTION("""COMPUTED_VALUE"""),42930.0)</f>
        <v>42930</v>
      </c>
      <c r="Q2082" s="3" t="str">
        <f>IFERROR(__xludf.DUMMYFUNCTION("""COMPUTED_VALUE"""),"A")</f>
        <v>A</v>
      </c>
      <c r="R2082" s="3" t="str">
        <f>IFERROR(__xludf.DUMMYFUNCTION("""COMPUTED_VALUE"""),"Small Format")</f>
        <v>Small Format</v>
      </c>
      <c r="S2082" s="3" t="str">
        <f>IFERROR(__xludf.DUMMYFUNCTION("""COMPUTED_VALUE"""),"BCM(FC)")</f>
        <v>BCM(FC)</v>
      </c>
      <c r="T2082" s="3" t="str">
        <f>IFERROR(__xludf.DUMMYFUNCTION("""COMPUTED_VALUE"""),"#N/A")</f>
        <v>#N/A</v>
      </c>
      <c r="U2082" s="3" t="str">
        <f>IFERROR(__xludf.DUMMYFUNCTION("""COMPUTED_VALUE"""),"#N/A")</f>
        <v>#N/A</v>
      </c>
      <c r="V2082" s="3" t="str">
        <f>IFERROR(__xludf.DUMMYFUNCTION("""COMPUTED_VALUE"""),"Y")</f>
        <v>Y</v>
      </c>
      <c r="W2082" s="3">
        <f>IFERROR(__xludf.DUMMYFUNCTION("""COMPUTED_VALUE"""),811146.0)</f>
        <v>811146</v>
      </c>
      <c r="X2082" s="3" t="str">
        <f>IFERROR(__xludf.DUMMYFUNCTION("""COMPUTED_VALUE"""),"564/5 ถนนโพศรี ตำบลหมากแข้ง อำเภอเมืองอุดรธานี จังหวัดอุดรธานี 41000")</f>
        <v>564/5 ถนนโพศรี ตำบลหมากแข้ง อำเภอเมืองอุดรธานี จังหวัดอุดรธานี 41000</v>
      </c>
      <c r="Y2082" s="3" t="str">
        <f>IFERROR(__xludf.DUMMYFUNCTION("""COMPUTED_VALUE"""),"ถนนโพศรี")</f>
        <v>ถนนโพศรี</v>
      </c>
      <c r="Z2082" s="3" t="str">
        <f>IFERROR(__xludf.DUMMYFUNCTION("""COMPUTED_VALUE"""),"หมากแข้ง")</f>
        <v>หมากแข้ง</v>
      </c>
      <c r="AA2082" s="3" t="str">
        <f>IFERROR(__xludf.DUMMYFUNCTION("""COMPUTED_VALUE"""),"เมือง")</f>
        <v>เมือง</v>
      </c>
      <c r="AB2082" s="3" t="str">
        <f>IFERROR(__xludf.DUMMYFUNCTION("""COMPUTED_VALUE"""),"อุดรธานี")</f>
        <v>อุดรธานี</v>
      </c>
      <c r="AC2082" s="3">
        <f>IFERROR(__xludf.DUMMYFUNCTION("""COMPUTED_VALUE"""),41000.0)</f>
        <v>41000</v>
      </c>
      <c r="AD2082" s="3">
        <f>IFERROR(__xludf.DUMMYFUNCTION("""COMPUTED_VALUE"""),17.3989451)</f>
        <v>17.3989451</v>
      </c>
      <c r="AE2082" s="3">
        <f>IFERROR(__xludf.DUMMYFUNCTION("""COMPUTED_VALUE"""),102.8012552)</f>
        <v>102.8012552</v>
      </c>
      <c r="AF2082" s="3" t="str">
        <f>IFERROR(__xludf.DUMMYFUNCTION("""COMPUTED_VALUE"""),"BCM FC โพธิวราราม-31070")</f>
        <v>BCM FC โพธิวราราม-31070</v>
      </c>
      <c r="AG2082" s="3" t="str">
        <f>IFERROR(__xludf.DUMMYFUNCTION("""COMPUTED_VALUE"""),"ตะวันออกเฉียงเหนือ")</f>
        <v>ตะวันออกเฉียงเหนือ</v>
      </c>
      <c r="AH2082" s="3" t="str">
        <f>IFERROR(__xludf.DUMMYFUNCTION("""COMPUTED_VALUE"""),"#N/A")</f>
        <v>#N/A</v>
      </c>
      <c r="AI2082" s="3" t="str">
        <f>IFERROR(__xludf.DUMMYFUNCTION("""COMPUTED_VALUE"""),"Out of warranty")</f>
        <v>Out of warranty</v>
      </c>
      <c r="AJ2082" s="3">
        <f>IFERROR(__xludf.DUMMYFUNCTION("""COMPUTED_VALUE"""),103.0)</f>
        <v>103</v>
      </c>
      <c r="AK2082" s="3"/>
      <c r="AL2082" s="3"/>
    </row>
    <row r="2083" ht="15.75" customHeight="1">
      <c r="A2083" s="1" t="str">
        <f>IFERROR(__xludf.DUMMYFUNCTION("""COMPUTED_VALUE"""),"31071")</f>
        <v>31071</v>
      </c>
      <c r="B2083" s="2">
        <f>IFERROR(__xludf.DUMMYFUNCTION("""COMPUTED_VALUE"""),31071.0)</f>
        <v>31071</v>
      </c>
      <c r="C2083" s="3" t="str">
        <f>IFERROR(__xludf.DUMMYFUNCTION("""COMPUTED_VALUE"""),"MFC เถิน ลำปาง")</f>
        <v>MFC เถิน ลำปาง</v>
      </c>
      <c r="D2083" s="3" t="str">
        <f>IFERROR(__xludf.DUMMYFUNCTION("""COMPUTED_VALUE"""),"MFC THOEN LAMPANG")</f>
        <v>MFC THOEN LAMPANG</v>
      </c>
      <c r="E2083" s="1" t="str">
        <f>IFERROR(__xludf.DUMMYFUNCTION("""COMPUTED_VALUE"""),"บิ๊กซี MINI")</f>
        <v>บิ๊กซี MINI</v>
      </c>
      <c r="F2083" s="1" t="str">
        <f>IFERROR(__xludf.DUMMYFUNCTION("""COMPUTED_VALUE"""),"296229")</f>
        <v>296229</v>
      </c>
      <c r="G2083" s="1" t="str">
        <f>IFERROR(__xludf.DUMMYFUNCTION("""COMPUTED_VALUE"""),"นายทนงศักดิ์ บุญมา")</f>
        <v>นายทนงศักดิ์ บุญมา</v>
      </c>
      <c r="H2083" s="1" t="str">
        <f>IFERROR(__xludf.DUMMYFUNCTION("""COMPUTED_VALUE"""),"373680")</f>
        <v>373680</v>
      </c>
      <c r="I2083" s="1" t="str">
        <f>IFERROR(__xludf.DUMMYFUNCTION("""COMPUTED_VALUE"""),"นายวสันต์ พรรณราย")</f>
        <v>นายวสันต์ พรรณราย</v>
      </c>
      <c r="J2083" s="3">
        <f>IFERROR(__xludf.DUMMYFUNCTION("""COMPUTED_VALUE"""),46214.0)</f>
        <v>46214</v>
      </c>
      <c r="K2083" s="3" t="str">
        <f>IFERROR(__xludf.DUMMYFUNCTION("""COMPUTED_VALUE"""),"นายศักดิ์ชัย เด็ดดอกฟ้า")</f>
        <v>นายศักดิ์ชัย เด็ดดอกฟ้า</v>
      </c>
      <c r="L2083" s="1" t="str">
        <f>IFERROR(__xludf.DUMMYFUNCTION("""COMPUTED_VALUE"""),"02 K.Sakchai D")</f>
        <v>02 K.Sakchai D</v>
      </c>
      <c r="M2083" s="1" t="str">
        <f>IFERROR(__xludf.DUMMYFUNCTION("""COMPUTED_VALUE"""),"065-510-7376")</f>
        <v>065-510-7376</v>
      </c>
      <c r="N2083" s="3">
        <f>IFERROR(__xludf.DUMMYFUNCTION("""COMPUTED_VALUE"""),21441.0)</f>
        <v>21441</v>
      </c>
      <c r="O2083" s="3" t="str">
        <f>IFERROR(__xludf.DUMMYFUNCTION("""COMPUTED_VALUE"""),"MBC บ้านกร่าง พิษณุโลก")</f>
        <v>MBC บ้านกร่าง พิษณุโลก</v>
      </c>
      <c r="P2083" s="4">
        <f>IFERROR(__xludf.DUMMYFUNCTION("""COMPUTED_VALUE"""),42936.0)</f>
        <v>42936</v>
      </c>
      <c r="Q2083" s="3" t="str">
        <f>IFERROR(__xludf.DUMMYFUNCTION("""COMPUTED_VALUE"""),"I")</f>
        <v>I</v>
      </c>
      <c r="R2083" s="3" t="str">
        <f>IFERROR(__xludf.DUMMYFUNCTION("""COMPUTED_VALUE"""),"Small Format")</f>
        <v>Small Format</v>
      </c>
      <c r="S2083" s="3" t="str">
        <f>IFERROR(__xludf.DUMMYFUNCTION("""COMPUTED_VALUE"""),"BCM(FC)")</f>
        <v>BCM(FC)</v>
      </c>
      <c r="T2083" s="3" t="str">
        <f>IFERROR(__xludf.DUMMYFUNCTION("""COMPUTED_VALUE"""),"#N/A")</f>
        <v>#N/A</v>
      </c>
      <c r="U2083" s="3" t="str">
        <f>IFERROR(__xludf.DUMMYFUNCTION("""COMPUTED_VALUE"""),"#N/A")</f>
        <v>#N/A</v>
      </c>
      <c r="V2083" s="3" t="str">
        <f>IFERROR(__xludf.DUMMYFUNCTION("""COMPUTED_VALUE"""),"Y")</f>
        <v>Y</v>
      </c>
      <c r="W2083" s="3">
        <f>IFERROR(__xludf.DUMMYFUNCTION("""COMPUTED_VALUE"""),0.0)</f>
        <v>0</v>
      </c>
      <c r="X2083" s="3" t="str">
        <f>IFERROR(__xludf.DUMMYFUNCTION("""COMPUTED_VALUE"""),"245 หมู่ที่ 4 ตำบลล้อมแรด อำเภอเถิน จังหวัดลำปาง 52160")</f>
        <v>245 หมู่ที่ 4 ตำบลล้อมแรด อำเภอเถิน จังหวัดลำปาง 52160</v>
      </c>
      <c r="Y2083" s="3"/>
      <c r="Z2083" s="3" t="str">
        <f>IFERROR(__xludf.DUMMYFUNCTION("""COMPUTED_VALUE"""),"ล้อมแรด")</f>
        <v>ล้อมแรด</v>
      </c>
      <c r="AA2083" s="3" t="str">
        <f>IFERROR(__xludf.DUMMYFUNCTION("""COMPUTED_VALUE"""),"เถิน")</f>
        <v>เถิน</v>
      </c>
      <c r="AB2083" s="3" t="str">
        <f>IFERROR(__xludf.DUMMYFUNCTION("""COMPUTED_VALUE"""),"ลำปาง")</f>
        <v>ลำปาง</v>
      </c>
      <c r="AC2083" s="3">
        <f>IFERROR(__xludf.DUMMYFUNCTION("""COMPUTED_VALUE"""),52160.0)</f>
        <v>52160</v>
      </c>
      <c r="AD2083" s="3" t="str">
        <f>IFERROR(__xludf.DUMMYFUNCTION("""COMPUTED_VALUE"""),"#N/A")</f>
        <v>#N/A</v>
      </c>
      <c r="AE2083" s="3" t="str">
        <f>IFERROR(__xludf.DUMMYFUNCTION("""COMPUTED_VALUE"""),"#N/A")</f>
        <v>#N/A</v>
      </c>
      <c r="AF2083" s="3" t="str">
        <f>IFERROR(__xludf.DUMMYFUNCTION("""COMPUTED_VALUE"""),"MFC เถิน ลำปาง-31071")</f>
        <v>MFC เถิน ลำปาง-31071</v>
      </c>
      <c r="AG2083" s="3" t="str">
        <f>IFERROR(__xludf.DUMMYFUNCTION("""COMPUTED_VALUE"""),"เหนือ")</f>
        <v>เหนือ</v>
      </c>
      <c r="AH2083" s="3" t="str">
        <f>IFERROR(__xludf.DUMMYFUNCTION("""COMPUTED_VALUE"""),"#N/A")</f>
        <v>#N/A</v>
      </c>
      <c r="AI2083" s="3" t="str">
        <f>IFERROR(__xludf.DUMMYFUNCTION("""COMPUTED_VALUE"""),"Out of warranty")</f>
        <v>Out of warranty</v>
      </c>
      <c r="AJ2083" s="3">
        <f>IFERROR(__xludf.DUMMYFUNCTION("""COMPUTED_VALUE"""),103.0)</f>
        <v>103</v>
      </c>
      <c r="AK2083" s="3"/>
      <c r="AL2083" s="3"/>
    </row>
    <row r="2084" ht="15.75" customHeight="1">
      <c r="A2084" s="1" t="str">
        <f>IFERROR(__xludf.DUMMYFUNCTION("""COMPUTED_VALUE"""),"31072")</f>
        <v>31072</v>
      </c>
      <c r="B2084" s="2">
        <f>IFERROR(__xludf.DUMMYFUNCTION("""COMPUTED_VALUE"""),31072.0)</f>
        <v>31072</v>
      </c>
      <c r="C2084" s="3" t="str">
        <f>IFERROR(__xludf.DUMMYFUNCTION("""COMPUTED_VALUE"""),"BCM FC CTX มอเตอร์เวย์ กม.99 ขาเข้า")</f>
        <v>BCM FC CTX มอเตอร์เวย์ กม.99 ขาเข้า</v>
      </c>
      <c r="D2084" s="3" t="str">
        <f>IFERROR(__xludf.DUMMYFUNCTION("""COMPUTED_VALUE"""),"BCM CTX MOTORWAY KM.99 (IB)")</f>
        <v>BCM CTX MOTORWAY KM.99 (IB)</v>
      </c>
      <c r="E2084" s="1" t="str">
        <f>IFERROR(__xludf.DUMMYFUNCTION("""COMPUTED_VALUE"""),"บิ๊กซี MINI")</f>
        <v>บิ๊กซี MINI</v>
      </c>
      <c r="F2084" s="1" t="str">
        <f>IFERROR(__xludf.DUMMYFUNCTION("""COMPUTED_VALUE"""),"221716")</f>
        <v>221716</v>
      </c>
      <c r="G2084" s="1" t="str">
        <f>IFERROR(__xludf.DUMMYFUNCTION("""COMPUTED_VALUE"""),"น.ส.เบญจพร โพธิสาร")</f>
        <v>น.ส.เบญจพร โพธิสาร</v>
      </c>
      <c r="H2084" s="1" t="str">
        <f>IFERROR(__xludf.DUMMYFUNCTION("""COMPUTED_VALUE"""),"376139")</f>
        <v>376139</v>
      </c>
      <c r="I2084" s="1" t="str">
        <f>IFERROR(__xludf.DUMMYFUNCTION("""COMPUTED_VALUE"""),"นายอนุชา อำไพ")</f>
        <v>นายอนุชา อำไพ</v>
      </c>
      <c r="J2084" s="3">
        <f>IFERROR(__xludf.DUMMYFUNCTION("""COMPUTED_VALUE"""),296942.0)</f>
        <v>296942</v>
      </c>
      <c r="K2084" s="3" t="str">
        <f>IFERROR(__xludf.DUMMYFUNCTION("""COMPUTED_VALUE"""),"นายปิยะ รักษากิจ")</f>
        <v>นายปิยะ รักษากิจ</v>
      </c>
      <c r="L2084" s="1" t="str">
        <f>IFERROR(__xludf.DUMMYFUNCTION("""COMPUTED_VALUE"""),"07 K.Piya R.")</f>
        <v>07 K.Piya R.</v>
      </c>
      <c r="M2084" s="1" t="str">
        <f>IFERROR(__xludf.DUMMYFUNCTION("""COMPUTED_VALUE"""),"097-919-5476")</f>
        <v>097-919-5476</v>
      </c>
      <c r="N2084" s="3">
        <f>IFERROR(__xludf.DUMMYFUNCTION("""COMPUTED_VALUE"""),21332.0)</f>
        <v>21332</v>
      </c>
      <c r="O2084" s="3" t="str">
        <f>IFERROR(__xludf.DUMMYFUNCTION("""COMPUTED_VALUE"""),"MBC BCP อ่อนนุช 17/1")</f>
        <v>MBC BCP อ่อนนุช 17/1</v>
      </c>
      <c r="P2084" s="4">
        <f>IFERROR(__xludf.DUMMYFUNCTION("""COMPUTED_VALUE"""),42952.0)</f>
        <v>42952</v>
      </c>
      <c r="Q2084" s="3" t="str">
        <f>IFERROR(__xludf.DUMMYFUNCTION("""COMPUTED_VALUE"""),"A")</f>
        <v>A</v>
      </c>
      <c r="R2084" s="3" t="str">
        <f>IFERROR(__xludf.DUMMYFUNCTION("""COMPUTED_VALUE"""),"Small Format")</f>
        <v>Small Format</v>
      </c>
      <c r="S2084" s="3" t="str">
        <f>IFERROR(__xludf.DUMMYFUNCTION("""COMPUTED_VALUE"""),"BCM(FC)")</f>
        <v>BCM(FC)</v>
      </c>
      <c r="T2084" s="3" t="str">
        <f>IFERROR(__xludf.DUMMYFUNCTION("""COMPUTED_VALUE"""),"#N/A")</f>
        <v>#N/A</v>
      </c>
      <c r="U2084" s="3" t="str">
        <f>IFERROR(__xludf.DUMMYFUNCTION("""COMPUTED_VALUE"""),"#N/A")</f>
        <v>#N/A</v>
      </c>
      <c r="V2084" s="3" t="str">
        <f>IFERROR(__xludf.DUMMYFUNCTION("""COMPUTED_VALUE"""),"Y")</f>
        <v>Y</v>
      </c>
      <c r="W2084" s="3">
        <f>IFERROR(__xludf.DUMMYFUNCTION("""COMPUTED_VALUE"""),811132.0)</f>
        <v>811132</v>
      </c>
      <c r="X2084" s="3" t="str">
        <f>IFERROR(__xludf.DUMMYFUNCTION("""COMPUTED_VALUE"""),"26/37 หมู่ที่ 1 ตำบลหนองขาม อำเภอศรีราชา จังหวัดชลบุรี 20110")</f>
        <v>26/37 หมู่ที่ 1 ตำบลหนองขาม อำเภอศรีราชา จังหวัดชลบุรี 20110</v>
      </c>
      <c r="Y2084" s="3"/>
      <c r="Z2084" s="3" t="str">
        <f>IFERROR(__xludf.DUMMYFUNCTION("""COMPUTED_VALUE"""),"หนองขาม")</f>
        <v>หนองขาม</v>
      </c>
      <c r="AA2084" s="3" t="str">
        <f>IFERROR(__xludf.DUMMYFUNCTION("""COMPUTED_VALUE"""),"ศรีราชา")</f>
        <v>ศรีราชา</v>
      </c>
      <c r="AB2084" s="3" t="str">
        <f>IFERROR(__xludf.DUMMYFUNCTION("""COMPUTED_VALUE"""),"ชลบุรี")</f>
        <v>ชลบุรี</v>
      </c>
      <c r="AC2084" s="3">
        <f>IFERROR(__xludf.DUMMYFUNCTION("""COMPUTED_VALUE"""),20110.0)</f>
        <v>20110</v>
      </c>
      <c r="AD2084" s="3">
        <f>IFERROR(__xludf.DUMMYFUNCTION("""COMPUTED_VALUE"""),13.125999)</f>
        <v>13.125999</v>
      </c>
      <c r="AE2084" s="3">
        <f>IFERROR(__xludf.DUMMYFUNCTION("""COMPUTED_VALUE"""),100.984404)</f>
        <v>100.984404</v>
      </c>
      <c r="AF2084" s="3" t="str">
        <f>IFERROR(__xludf.DUMMYFUNCTION("""COMPUTED_VALUE"""),"BCM FC CTX มอเตอร์เวย์ กม.99 ขาเข้า-31072")</f>
        <v>BCM FC CTX มอเตอร์เวย์ กม.99 ขาเข้า-31072</v>
      </c>
      <c r="AG2084" s="3" t="str">
        <f>IFERROR(__xludf.DUMMYFUNCTION("""COMPUTED_VALUE"""),"ตะวันออก")</f>
        <v>ตะวันออก</v>
      </c>
      <c r="AH2084" s="3" t="str">
        <f>IFERROR(__xludf.DUMMYFUNCTION("""COMPUTED_VALUE"""),"#N/A")</f>
        <v>#N/A</v>
      </c>
      <c r="AI2084" s="3" t="str">
        <f>IFERROR(__xludf.DUMMYFUNCTION("""COMPUTED_VALUE"""),"Out of warranty")</f>
        <v>Out of warranty</v>
      </c>
      <c r="AJ2084" s="3">
        <f>IFERROR(__xludf.DUMMYFUNCTION("""COMPUTED_VALUE"""),102.0)</f>
        <v>102</v>
      </c>
      <c r="AK2084" s="3"/>
      <c r="AL2084" s="3"/>
    </row>
    <row r="2085" ht="15.75" customHeight="1">
      <c r="A2085" s="1" t="str">
        <f>IFERROR(__xludf.DUMMYFUNCTION("""COMPUTED_VALUE"""),"31073")</f>
        <v>31073</v>
      </c>
      <c r="B2085" s="2">
        <f>IFERROR(__xludf.DUMMYFUNCTION("""COMPUTED_VALUE"""),31073.0)</f>
        <v>31073</v>
      </c>
      <c r="C2085" s="3" t="str">
        <f>IFERROR(__xludf.DUMMYFUNCTION("""COMPUTED_VALUE"""),"BCM FC Shell นครศรีธรรมราช")</f>
        <v>BCM FC Shell นครศรีธรรมราช</v>
      </c>
      <c r="D2085" s="3" t="str">
        <f>IFERROR(__xludf.DUMMYFUNCTION("""COMPUTED_VALUE"""),"BCM SHELL NAKHON SRITHAMMARAT")</f>
        <v>BCM SHELL NAKHON SRITHAMMARAT</v>
      </c>
      <c r="E2085" s="1" t="str">
        <f>IFERROR(__xludf.DUMMYFUNCTION("""COMPUTED_VALUE"""),"บิ๊กซี MINI")</f>
        <v>บิ๊กซี MINI</v>
      </c>
      <c r="F2085" s="1" t="str">
        <f>IFERROR(__xludf.DUMMYFUNCTION("""COMPUTED_VALUE"""),"2010918")</f>
        <v>2010918</v>
      </c>
      <c r="G2085" s="1" t="str">
        <f>IFERROR(__xludf.DUMMYFUNCTION("""COMPUTED_VALUE"""),"น.ส.สุดารัตน์ รัตนประดิษฐ์")</f>
        <v>น.ส.สุดารัตน์ รัตนประดิษฐ์</v>
      </c>
      <c r="H2085" s="1" t="str">
        <f>IFERROR(__xludf.DUMMYFUNCTION("""COMPUTED_VALUE"""),"394100")</f>
        <v>394100</v>
      </c>
      <c r="I2085" s="1" t="str">
        <f>IFERROR(__xludf.DUMMYFUNCTION("""COMPUTED_VALUE"""),"นายไพโรจน์ ถิระผะลิกะ")</f>
        <v>นายไพโรจน์ ถิระผะลิกะ</v>
      </c>
      <c r="J2085" s="3">
        <f>IFERROR(__xludf.DUMMYFUNCTION("""COMPUTED_VALUE"""),2.0470331E7)</f>
        <v>20470331</v>
      </c>
      <c r="K2085" s="3" t="str">
        <f>IFERROR(__xludf.DUMMYFUNCTION("""COMPUTED_VALUE"""),"นายสมชาย ลักษณะสุวรรณ")</f>
        <v>นายสมชาย ลักษณะสุวรรณ</v>
      </c>
      <c r="L2085" s="1" t="str">
        <f>IFERROR(__xludf.DUMMYFUNCTION("""COMPUTED_VALUE"""),"15 K.Somchai L")</f>
        <v>15 K.Somchai L</v>
      </c>
      <c r="M2085" s="1" t="str">
        <f>IFERROR(__xludf.DUMMYFUNCTION("""COMPUTED_VALUE"""),"0655107372")</f>
        <v>0655107372</v>
      </c>
      <c r="N2085" s="3">
        <f>IFERROR(__xludf.DUMMYFUNCTION("""COMPUTED_VALUE"""),21723.0)</f>
        <v>21723</v>
      </c>
      <c r="O2085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2085" s="4">
        <f>IFERROR(__xludf.DUMMYFUNCTION("""COMPUTED_VALUE"""),42958.0)</f>
        <v>42958</v>
      </c>
      <c r="Q2085" s="3" t="str">
        <f>IFERROR(__xludf.DUMMYFUNCTION("""COMPUTED_VALUE"""),"I")</f>
        <v>I</v>
      </c>
      <c r="R2085" s="3" t="str">
        <f>IFERROR(__xludf.DUMMYFUNCTION("""COMPUTED_VALUE"""),"Small Format")</f>
        <v>Small Format</v>
      </c>
      <c r="S2085" s="3" t="str">
        <f>IFERROR(__xludf.DUMMYFUNCTION("""COMPUTED_VALUE"""),"BCM(FC)")</f>
        <v>BCM(FC)</v>
      </c>
      <c r="T2085" s="3" t="str">
        <f>IFERROR(__xludf.DUMMYFUNCTION("""COMPUTED_VALUE"""),"#N/A")</f>
        <v>#N/A</v>
      </c>
      <c r="U2085" s="3" t="str">
        <f>IFERROR(__xludf.DUMMYFUNCTION("""COMPUTED_VALUE"""),"#N/A")</f>
        <v>#N/A</v>
      </c>
      <c r="V2085" s="3" t="str">
        <f>IFERROR(__xludf.DUMMYFUNCTION("""COMPUTED_VALUE"""),"Y")</f>
        <v>Y</v>
      </c>
      <c r="W2085" s="3">
        <f>IFERROR(__xludf.DUMMYFUNCTION("""COMPUTED_VALUE"""),811159.0)</f>
        <v>811159</v>
      </c>
      <c r="X2085" s="3" t="str">
        <f>IFERROR(__xludf.DUMMYFUNCTION("""COMPUTED_VALUE"""),"9 หมู่ที่ 2 ตำบลนาพรุ อำเภอพระพรหม จังหวัดนครศรีธรรมราช 80000")</f>
        <v>9 หมู่ที่ 2 ตำบลนาพรุ อำเภอพระพรหม จังหวัดนครศรีธรรมราช 80000</v>
      </c>
      <c r="Y2085" s="3"/>
      <c r="Z2085" s="3" t="str">
        <f>IFERROR(__xludf.DUMMYFUNCTION("""COMPUTED_VALUE"""),"นาพรุ")</f>
        <v>นาพรุ</v>
      </c>
      <c r="AA2085" s="3" t="str">
        <f>IFERROR(__xludf.DUMMYFUNCTION("""COMPUTED_VALUE"""),"พระพรหม")</f>
        <v>พระพรหม</v>
      </c>
      <c r="AB2085" s="3" t="str">
        <f>IFERROR(__xludf.DUMMYFUNCTION("""COMPUTED_VALUE"""),"นครศรีธรรมราช")</f>
        <v>นครศรีธรรมราช</v>
      </c>
      <c r="AC2085" s="3">
        <f>IFERROR(__xludf.DUMMYFUNCTION("""COMPUTED_VALUE"""),80000.0)</f>
        <v>80000</v>
      </c>
      <c r="AD2085" s="3">
        <f>IFERROR(__xludf.DUMMYFUNCTION("""COMPUTED_VALUE"""),8.334603)</f>
        <v>8.334603</v>
      </c>
      <c r="AE2085" s="3">
        <f>IFERROR(__xludf.DUMMYFUNCTION("""COMPUTED_VALUE"""),99.924966)</f>
        <v>99.924966</v>
      </c>
      <c r="AF2085" s="3" t="str">
        <f>IFERROR(__xludf.DUMMYFUNCTION("""COMPUTED_VALUE"""),"BCM FC Shell นครศรีธรรมราช-31073")</f>
        <v>BCM FC Shell นครศรีธรรมราช-31073</v>
      </c>
      <c r="AG2085" s="3" t="str">
        <f>IFERROR(__xludf.DUMMYFUNCTION("""COMPUTED_VALUE"""),"ใต้")</f>
        <v>ใต้</v>
      </c>
      <c r="AH2085" s="3" t="str">
        <f>IFERROR(__xludf.DUMMYFUNCTION("""COMPUTED_VALUE"""),"#N/A")</f>
        <v>#N/A</v>
      </c>
      <c r="AI2085" s="3" t="str">
        <f>IFERROR(__xludf.DUMMYFUNCTION("""COMPUTED_VALUE"""),"Out of warranty")</f>
        <v>Out of warranty</v>
      </c>
      <c r="AJ2085" s="3">
        <f>IFERROR(__xludf.DUMMYFUNCTION("""COMPUTED_VALUE"""),102.0)</f>
        <v>102</v>
      </c>
      <c r="AK2085" s="3"/>
      <c r="AL2085" s="3"/>
    </row>
    <row r="2086" ht="15.75" customHeight="1">
      <c r="A2086" s="1" t="str">
        <f>IFERROR(__xludf.DUMMYFUNCTION("""COMPUTED_VALUE"""),"31074")</f>
        <v>31074</v>
      </c>
      <c r="B2086" s="2">
        <f>IFERROR(__xludf.DUMMYFUNCTION("""COMPUTED_VALUE"""),31074.0)</f>
        <v>31074</v>
      </c>
      <c r="C2086" s="3" t="str">
        <f>IFERROR(__xludf.DUMMYFUNCTION("""COMPUTED_VALUE"""),"MFC มวกเหล็ก")</f>
        <v>MFC มวกเหล็ก</v>
      </c>
      <c r="D2086" s="3" t="str">
        <f>IFERROR(__xludf.DUMMYFUNCTION("""COMPUTED_VALUE"""),"MFC MUAK LEK")</f>
        <v>MFC MUAK LEK</v>
      </c>
      <c r="E2086" s="1" t="str">
        <f>IFERROR(__xludf.DUMMYFUNCTION("""COMPUTED_VALUE"""),"บิ๊กซี MINI")</f>
        <v>บิ๊กซี MINI</v>
      </c>
      <c r="F2086" s="1" t="str">
        <f>IFERROR(__xludf.DUMMYFUNCTION("""COMPUTED_VALUE"""),"296229")</f>
        <v>296229</v>
      </c>
      <c r="G2086" s="1" t="str">
        <f>IFERROR(__xludf.DUMMYFUNCTION("""COMPUTED_VALUE"""),"นายทนงศักดิ์ บุญมา")</f>
        <v>นายทนงศักดิ์ บุญมา</v>
      </c>
      <c r="H2086" s="1" t="str">
        <f>IFERROR(__xludf.DUMMYFUNCTION("""COMPUTED_VALUE"""),"211363")</f>
        <v>211363</v>
      </c>
      <c r="I2086" s="1" t="str">
        <f>IFERROR(__xludf.DUMMYFUNCTION("""COMPUTED_VALUE"""),"นายสามารถ บุญลับ")</f>
        <v>นายสามารถ บุญลับ</v>
      </c>
      <c r="J2086" s="3">
        <f>IFERROR(__xludf.DUMMYFUNCTION("""COMPUTED_VALUE"""),46214.0)</f>
        <v>46214</v>
      </c>
      <c r="K2086" s="3" t="str">
        <f>IFERROR(__xludf.DUMMYFUNCTION("""COMPUTED_VALUE"""),"นายศักดิ์ชัย เด็ดดอกฟ้า")</f>
        <v>นายศักดิ์ชัย เด็ดดอกฟ้า</v>
      </c>
      <c r="L2086" s="1" t="str">
        <f>IFERROR(__xludf.DUMMYFUNCTION("""COMPUTED_VALUE"""),"02 K.Sakchai D")</f>
        <v>02 K.Sakchai D</v>
      </c>
      <c r="M2086" s="1" t="str">
        <f>IFERROR(__xludf.DUMMYFUNCTION("""COMPUTED_VALUE"""),"065-510-7376")</f>
        <v>065-510-7376</v>
      </c>
      <c r="N2086" s="3">
        <f>IFERROR(__xludf.DUMMYFUNCTION("""COMPUTED_VALUE"""),21441.0)</f>
        <v>21441</v>
      </c>
      <c r="O2086" s="3" t="str">
        <f>IFERROR(__xludf.DUMMYFUNCTION("""COMPUTED_VALUE"""),"MBC บ้านกร่าง พิษณุโลก")</f>
        <v>MBC บ้านกร่าง พิษณุโลก</v>
      </c>
      <c r="P2086" s="4">
        <f>IFERROR(__xludf.DUMMYFUNCTION("""COMPUTED_VALUE"""),42970.0)</f>
        <v>42970</v>
      </c>
      <c r="Q2086" s="3" t="str">
        <f>IFERROR(__xludf.DUMMYFUNCTION("""COMPUTED_VALUE"""),"I")</f>
        <v>I</v>
      </c>
      <c r="R2086" s="3" t="str">
        <f>IFERROR(__xludf.DUMMYFUNCTION("""COMPUTED_VALUE"""),"Small Format")</f>
        <v>Small Format</v>
      </c>
      <c r="S2086" s="3" t="str">
        <f>IFERROR(__xludf.DUMMYFUNCTION("""COMPUTED_VALUE"""),"BCM(FC)")</f>
        <v>BCM(FC)</v>
      </c>
      <c r="T2086" s="3" t="str">
        <f>IFERROR(__xludf.DUMMYFUNCTION("""COMPUTED_VALUE"""),"#N/A")</f>
        <v>#N/A</v>
      </c>
      <c r="U2086" s="3" t="str">
        <f>IFERROR(__xludf.DUMMYFUNCTION("""COMPUTED_VALUE"""),"#N/A")</f>
        <v>#N/A</v>
      </c>
      <c r="V2086" s="3" t="str">
        <f>IFERROR(__xludf.DUMMYFUNCTION("""COMPUTED_VALUE"""),"Y")</f>
        <v>Y</v>
      </c>
      <c r="W2086" s="3">
        <f>IFERROR(__xludf.DUMMYFUNCTION("""COMPUTED_VALUE"""),811113.0)</f>
        <v>811113</v>
      </c>
      <c r="X2086" s="3" t="str">
        <f>IFERROR(__xludf.DUMMYFUNCTION("""COMPUTED_VALUE"""),"555-555/1 หมุ่ที่ 2 ตำบลมวกเหล็ก อำเภอมวกเหล็ก จังหวัดสระบุรี 18180")</f>
        <v>555-555/1 หมุ่ที่ 2 ตำบลมวกเหล็ก อำเภอมวกเหล็ก จังหวัดสระบุรี 18180</v>
      </c>
      <c r="Y2086" s="3"/>
      <c r="Z2086" s="3" t="str">
        <f>IFERROR(__xludf.DUMMYFUNCTION("""COMPUTED_VALUE"""),"มวกเหล็ก")</f>
        <v>มวกเหล็ก</v>
      </c>
      <c r="AA2086" s="3" t="str">
        <f>IFERROR(__xludf.DUMMYFUNCTION("""COMPUTED_VALUE"""),"มวกเหล็ก")</f>
        <v>มวกเหล็ก</v>
      </c>
      <c r="AB2086" s="3" t="str">
        <f>IFERROR(__xludf.DUMMYFUNCTION("""COMPUTED_VALUE"""),"สระบุรี")</f>
        <v>สระบุรี</v>
      </c>
      <c r="AC2086" s="3">
        <f>IFERROR(__xludf.DUMMYFUNCTION("""COMPUTED_VALUE"""),18180.0)</f>
        <v>18180</v>
      </c>
      <c r="AD2086" s="3">
        <f>IFERROR(__xludf.DUMMYFUNCTION("""COMPUTED_VALUE"""),14.666079)</f>
        <v>14.666079</v>
      </c>
      <c r="AE2086" s="3">
        <f>IFERROR(__xludf.DUMMYFUNCTION("""COMPUTED_VALUE"""),101.19513)</f>
        <v>101.19513</v>
      </c>
      <c r="AF2086" s="3" t="str">
        <f>IFERROR(__xludf.DUMMYFUNCTION("""COMPUTED_VALUE"""),"MFC มวกเหล็ก-31074")</f>
        <v>MFC มวกเหล็ก-31074</v>
      </c>
      <c r="AG2086" s="3" t="str">
        <f>IFERROR(__xludf.DUMMYFUNCTION("""COMPUTED_VALUE"""),"กลาง")</f>
        <v>กลาง</v>
      </c>
      <c r="AH2086" s="3" t="str">
        <f>IFERROR(__xludf.DUMMYFUNCTION("""COMPUTED_VALUE"""),"#N/A")</f>
        <v>#N/A</v>
      </c>
      <c r="AI2086" s="3" t="str">
        <f>IFERROR(__xludf.DUMMYFUNCTION("""COMPUTED_VALUE"""),"Out of warranty")</f>
        <v>Out of warranty</v>
      </c>
      <c r="AJ2086" s="3">
        <f>IFERROR(__xludf.DUMMYFUNCTION("""COMPUTED_VALUE"""),101.0)</f>
        <v>101</v>
      </c>
      <c r="AK2086" s="3"/>
      <c r="AL2086" s="3"/>
    </row>
    <row r="2087" ht="15.75" customHeight="1">
      <c r="A2087" s="1" t="str">
        <f>IFERROR(__xludf.DUMMYFUNCTION("""COMPUTED_VALUE"""),"31075")</f>
        <v>31075</v>
      </c>
      <c r="B2087" s="2">
        <f>IFERROR(__xludf.DUMMYFUNCTION("""COMPUTED_VALUE"""),31075.0)</f>
        <v>31075</v>
      </c>
      <c r="C2087" s="3" t="str">
        <f>IFERROR(__xludf.DUMMYFUNCTION("""COMPUTED_VALUE"""),"MFC บ้านต้นยาง")</f>
        <v>MFC บ้านต้นยาง</v>
      </c>
      <c r="D2087" s="3" t="str">
        <f>IFERROR(__xludf.DUMMYFUNCTION("""COMPUTED_VALUE"""),"MFC BANTONYANG")</f>
        <v>MFC BANTONYANG</v>
      </c>
      <c r="E2087" s="1" t="str">
        <f>IFERROR(__xludf.DUMMYFUNCTION("""COMPUTED_VALUE"""),"บิ๊กซี MINI")</f>
        <v>บิ๊กซี MINI</v>
      </c>
      <c r="F2087" s="1" t="str">
        <f>IFERROR(__xludf.DUMMYFUNCTION("""COMPUTED_VALUE"""),"296229")</f>
        <v>296229</v>
      </c>
      <c r="G2087" s="1" t="str">
        <f>IFERROR(__xludf.DUMMYFUNCTION("""COMPUTED_VALUE"""),"นายทนงศักดิ์ บุญมา")</f>
        <v>นายทนงศักดิ์ บุญมา</v>
      </c>
      <c r="H2087" s="1" t="str">
        <f>IFERROR(__xludf.DUMMYFUNCTION("""COMPUTED_VALUE"""),"373680")</f>
        <v>373680</v>
      </c>
      <c r="I2087" s="1" t="str">
        <f>IFERROR(__xludf.DUMMYFUNCTION("""COMPUTED_VALUE"""),"นายวสันต์ พรรณราย")</f>
        <v>นายวสันต์ พรรณราย</v>
      </c>
      <c r="J2087" s="3">
        <f>IFERROR(__xludf.DUMMYFUNCTION("""COMPUTED_VALUE"""),46214.0)</f>
        <v>46214</v>
      </c>
      <c r="K2087" s="3" t="str">
        <f>IFERROR(__xludf.DUMMYFUNCTION("""COMPUTED_VALUE"""),"นายศักดิ์ชัย เด็ดดอกฟ้า")</f>
        <v>นายศักดิ์ชัย เด็ดดอกฟ้า</v>
      </c>
      <c r="L2087" s="1" t="str">
        <f>IFERROR(__xludf.DUMMYFUNCTION("""COMPUTED_VALUE"""),"02 K.Sakchai D")</f>
        <v>02 K.Sakchai D</v>
      </c>
      <c r="M2087" s="1" t="str">
        <f>IFERROR(__xludf.DUMMYFUNCTION("""COMPUTED_VALUE"""),"065-510-7376")</f>
        <v>065-510-7376</v>
      </c>
      <c r="N2087" s="3">
        <f>IFERROR(__xludf.DUMMYFUNCTION("""COMPUTED_VALUE"""),21441.0)</f>
        <v>21441</v>
      </c>
      <c r="O2087" s="3" t="str">
        <f>IFERROR(__xludf.DUMMYFUNCTION("""COMPUTED_VALUE"""),"MBC บ้านกร่าง พิษณุโลก")</f>
        <v>MBC บ้านกร่าง พิษณุโลก</v>
      </c>
      <c r="P2087" s="4">
        <f>IFERROR(__xludf.DUMMYFUNCTION("""COMPUTED_VALUE"""),43014.0)</f>
        <v>43014</v>
      </c>
      <c r="Q2087" s="3" t="str">
        <f>IFERROR(__xludf.DUMMYFUNCTION("""COMPUTED_VALUE"""),"I")</f>
        <v>I</v>
      </c>
      <c r="R2087" s="3" t="str">
        <f>IFERROR(__xludf.DUMMYFUNCTION("""COMPUTED_VALUE"""),"Small Format")</f>
        <v>Small Format</v>
      </c>
      <c r="S2087" s="3" t="str">
        <f>IFERROR(__xludf.DUMMYFUNCTION("""COMPUTED_VALUE"""),"BCM(FC)")</f>
        <v>BCM(FC)</v>
      </c>
      <c r="T2087" s="3" t="str">
        <f>IFERROR(__xludf.DUMMYFUNCTION("""COMPUTED_VALUE"""),"#N/A")</f>
        <v>#N/A</v>
      </c>
      <c r="U2087" s="3" t="str">
        <f>IFERROR(__xludf.DUMMYFUNCTION("""COMPUTED_VALUE"""),"#N/A")</f>
        <v>#N/A</v>
      </c>
      <c r="V2087" s="3" t="str">
        <f>IFERROR(__xludf.DUMMYFUNCTION("""COMPUTED_VALUE"""),"Y")</f>
        <v>Y</v>
      </c>
      <c r="W2087" s="3">
        <f>IFERROR(__xludf.DUMMYFUNCTION("""COMPUTED_VALUE"""),0.0)</f>
        <v>0</v>
      </c>
      <c r="X2087" s="3" t="str">
        <f>IFERROR(__xludf.DUMMYFUNCTION("""COMPUTED_VALUE"""),"301/1-3 หมู่ 4 ตำบลพิชัย อำเภอเมืองลำปาง จังหวัดลำปาง 52000")</f>
        <v>301/1-3 หมู่ 4 ตำบลพิชัย อำเภอเมืองลำปาง จังหวัดลำปาง 52000</v>
      </c>
      <c r="Y2087" s="3"/>
      <c r="Z2087" s="3" t="str">
        <f>IFERROR(__xludf.DUMMYFUNCTION("""COMPUTED_VALUE"""),"พิชัย")</f>
        <v>พิชัย</v>
      </c>
      <c r="AA2087" s="3" t="str">
        <f>IFERROR(__xludf.DUMMYFUNCTION("""COMPUTED_VALUE"""),"เมือง")</f>
        <v>เมือง</v>
      </c>
      <c r="AB2087" s="3" t="str">
        <f>IFERROR(__xludf.DUMMYFUNCTION("""COMPUTED_VALUE"""),"ลำปาง")</f>
        <v>ลำปาง</v>
      </c>
      <c r="AC2087" s="3">
        <f>IFERROR(__xludf.DUMMYFUNCTION("""COMPUTED_VALUE"""),52000.0)</f>
        <v>52000</v>
      </c>
      <c r="AD2087" s="3" t="str">
        <f>IFERROR(__xludf.DUMMYFUNCTION("""COMPUTED_VALUE"""),"#N/A")</f>
        <v>#N/A</v>
      </c>
      <c r="AE2087" s="3" t="str">
        <f>IFERROR(__xludf.DUMMYFUNCTION("""COMPUTED_VALUE"""),"#N/A")</f>
        <v>#N/A</v>
      </c>
      <c r="AF2087" s="3" t="str">
        <f>IFERROR(__xludf.DUMMYFUNCTION("""COMPUTED_VALUE"""),"MFC บ้านต้นยาง-31075")</f>
        <v>MFC บ้านต้นยาง-31075</v>
      </c>
      <c r="AG2087" s="3" t="str">
        <f>IFERROR(__xludf.DUMMYFUNCTION("""COMPUTED_VALUE"""),"เหนือ")</f>
        <v>เหนือ</v>
      </c>
      <c r="AH2087" s="3" t="str">
        <f>IFERROR(__xludf.DUMMYFUNCTION("""COMPUTED_VALUE"""),"#N/A")</f>
        <v>#N/A</v>
      </c>
      <c r="AI2087" s="3" t="str">
        <f>IFERROR(__xludf.DUMMYFUNCTION("""COMPUTED_VALUE"""),"Out of warranty")</f>
        <v>Out of warranty</v>
      </c>
      <c r="AJ2087" s="3">
        <f>IFERROR(__xludf.DUMMYFUNCTION("""COMPUTED_VALUE"""),100.0)</f>
        <v>100</v>
      </c>
      <c r="AK2087" s="3"/>
      <c r="AL2087" s="3"/>
    </row>
    <row r="2088" ht="15.75" customHeight="1">
      <c r="A2088" s="1" t="str">
        <f>IFERROR(__xludf.DUMMYFUNCTION("""COMPUTED_VALUE"""),"31076")</f>
        <v>31076</v>
      </c>
      <c r="B2088" s="2">
        <f>IFERROR(__xludf.DUMMYFUNCTION("""COMPUTED_VALUE"""),31076.0)</f>
        <v>31076</v>
      </c>
      <c r="C2088" s="3" t="str">
        <f>IFERROR(__xludf.DUMMYFUNCTION("""COMPUTED_VALUE"""),"MFC แก่งคอย")</f>
        <v>MFC แก่งคอย</v>
      </c>
      <c r="D2088" s="3" t="str">
        <f>IFERROR(__xludf.DUMMYFUNCTION("""COMPUTED_VALUE"""),"MFC KEANGKHOI")</f>
        <v>MFC KEANGKHOI</v>
      </c>
      <c r="E2088" s="1" t="str">
        <f>IFERROR(__xludf.DUMMYFUNCTION("""COMPUTED_VALUE"""),"บิ๊กซี MINI")</f>
        <v>บิ๊กซี MINI</v>
      </c>
      <c r="F2088" s="1" t="str">
        <f>IFERROR(__xludf.DUMMYFUNCTION("""COMPUTED_VALUE"""),"296229")</f>
        <v>296229</v>
      </c>
      <c r="G2088" s="1" t="str">
        <f>IFERROR(__xludf.DUMMYFUNCTION("""COMPUTED_VALUE"""),"นายทนงศักดิ์ บุญมา")</f>
        <v>นายทนงศักดิ์ บุญมา</v>
      </c>
      <c r="H2088" s="1" t="str">
        <f>IFERROR(__xludf.DUMMYFUNCTION("""COMPUTED_VALUE"""),"211363")</f>
        <v>211363</v>
      </c>
      <c r="I2088" s="1" t="str">
        <f>IFERROR(__xludf.DUMMYFUNCTION("""COMPUTED_VALUE"""),"นายสามารถ บุญลับ")</f>
        <v>นายสามารถ บุญลับ</v>
      </c>
      <c r="J2088" s="3">
        <f>IFERROR(__xludf.DUMMYFUNCTION("""COMPUTED_VALUE"""),46214.0)</f>
        <v>46214</v>
      </c>
      <c r="K2088" s="3" t="str">
        <f>IFERROR(__xludf.DUMMYFUNCTION("""COMPUTED_VALUE"""),"นายศักดิ์ชัย เด็ดดอกฟ้า")</f>
        <v>นายศักดิ์ชัย เด็ดดอกฟ้า</v>
      </c>
      <c r="L2088" s="3" t="str">
        <f>IFERROR(__xludf.DUMMYFUNCTION("""COMPUTED_VALUE"""),"02 K.Sakchai D")</f>
        <v>02 K.Sakchai D</v>
      </c>
      <c r="M2088" s="1" t="str">
        <f>IFERROR(__xludf.DUMMYFUNCTION("""COMPUTED_VALUE"""),"065-510-7376")</f>
        <v>065-510-7376</v>
      </c>
      <c r="N2088" s="3">
        <f>IFERROR(__xludf.DUMMYFUNCTION("""COMPUTED_VALUE"""),21441.0)</f>
        <v>21441</v>
      </c>
      <c r="O2088" s="3" t="str">
        <f>IFERROR(__xludf.DUMMYFUNCTION("""COMPUTED_VALUE"""),"MBC บ้านกร่าง พิษณุโลก")</f>
        <v>MBC บ้านกร่าง พิษณุโลก</v>
      </c>
      <c r="P2088" s="4">
        <f>IFERROR(__xludf.DUMMYFUNCTION("""COMPUTED_VALUE"""),43005.0)</f>
        <v>43005</v>
      </c>
      <c r="Q2088" s="3" t="str">
        <f>IFERROR(__xludf.DUMMYFUNCTION("""COMPUTED_VALUE"""),"I")</f>
        <v>I</v>
      </c>
      <c r="R2088" s="3" t="str">
        <f>IFERROR(__xludf.DUMMYFUNCTION("""COMPUTED_VALUE"""),"Small Format")</f>
        <v>Small Format</v>
      </c>
      <c r="S2088" s="3" t="str">
        <f>IFERROR(__xludf.DUMMYFUNCTION("""COMPUTED_VALUE"""),"BCM(FC)")</f>
        <v>BCM(FC)</v>
      </c>
      <c r="T2088" s="3" t="str">
        <f>IFERROR(__xludf.DUMMYFUNCTION("""COMPUTED_VALUE"""),"#N/A")</f>
        <v>#N/A</v>
      </c>
      <c r="U2088" s="3" t="str">
        <f>IFERROR(__xludf.DUMMYFUNCTION("""COMPUTED_VALUE"""),"#N/A")</f>
        <v>#N/A</v>
      </c>
      <c r="V2088" s="3" t="str">
        <f>IFERROR(__xludf.DUMMYFUNCTION("""COMPUTED_VALUE"""),"Y")</f>
        <v>Y</v>
      </c>
      <c r="W2088" s="3">
        <f>IFERROR(__xludf.DUMMYFUNCTION("""COMPUTED_VALUE"""),811117.0)</f>
        <v>811117</v>
      </c>
      <c r="X2088" s="3" t="str">
        <f>IFERROR(__xludf.DUMMYFUNCTION("""COMPUTED_VALUE"""),"79/1 หมู่ 1 ตำบลสองคอน อำเภอแก่งคอย จังหวัดสระบุรี 18110")</f>
        <v>79/1 หมู่ 1 ตำบลสองคอน อำเภอแก่งคอย จังหวัดสระบุรี 18110</v>
      </c>
      <c r="Y2088" s="3"/>
      <c r="Z2088" s="3" t="str">
        <f>IFERROR(__xludf.DUMMYFUNCTION("""COMPUTED_VALUE"""),"สองคอน")</f>
        <v>สองคอน</v>
      </c>
      <c r="AA2088" s="3" t="str">
        <f>IFERROR(__xludf.DUMMYFUNCTION("""COMPUTED_VALUE"""),"แก่งคอย")</f>
        <v>แก่งคอย</v>
      </c>
      <c r="AB2088" s="3" t="str">
        <f>IFERROR(__xludf.DUMMYFUNCTION("""COMPUTED_VALUE"""),"สระบุรี")</f>
        <v>สระบุรี</v>
      </c>
      <c r="AC2088" s="3">
        <f>IFERROR(__xludf.DUMMYFUNCTION("""COMPUTED_VALUE"""),18110.0)</f>
        <v>18110</v>
      </c>
      <c r="AD2088" s="3">
        <f>IFERROR(__xludf.DUMMYFUNCTION("""COMPUTED_VALUE"""),14.595213)</f>
        <v>14.595213</v>
      </c>
      <c r="AE2088" s="3">
        <f>IFERROR(__xludf.DUMMYFUNCTION("""COMPUTED_VALUE"""),101.004823)</f>
        <v>101.004823</v>
      </c>
      <c r="AF2088" s="3" t="str">
        <f>IFERROR(__xludf.DUMMYFUNCTION("""COMPUTED_VALUE"""),"MFC แก่งคอย-31076")</f>
        <v>MFC แก่งคอย-31076</v>
      </c>
      <c r="AG2088" s="3" t="str">
        <f>IFERROR(__xludf.DUMMYFUNCTION("""COMPUTED_VALUE"""),"กลาง")</f>
        <v>กลาง</v>
      </c>
      <c r="AH2088" s="3" t="str">
        <f>IFERROR(__xludf.DUMMYFUNCTION("""COMPUTED_VALUE"""),"#N/A")</f>
        <v>#N/A</v>
      </c>
      <c r="AI2088" s="3" t="str">
        <f>IFERROR(__xludf.DUMMYFUNCTION("""COMPUTED_VALUE"""),"Out of warranty")</f>
        <v>Out of warranty</v>
      </c>
      <c r="AJ2088" s="3">
        <f>IFERROR(__xludf.DUMMYFUNCTION("""COMPUTED_VALUE"""),100.0)</f>
        <v>100</v>
      </c>
      <c r="AK2088" s="3"/>
      <c r="AL2088" s="3"/>
    </row>
    <row r="2089" ht="15.75" customHeight="1">
      <c r="A2089" s="1" t="str">
        <f>IFERROR(__xludf.DUMMYFUNCTION("""COMPUTED_VALUE"""),"31077")</f>
        <v>31077</v>
      </c>
      <c r="B2089" s="2">
        <f>IFERROR(__xludf.DUMMYFUNCTION("""COMPUTED_VALUE"""),31077.0)</f>
        <v>31077</v>
      </c>
      <c r="C2089" s="3" t="str">
        <f>IFERROR(__xludf.DUMMYFUNCTION("""COMPUTED_VALUE"""),"MFC ถนนศรีจันทร์")</f>
        <v>MFC ถนนศรีจันทร์</v>
      </c>
      <c r="D2089" s="3" t="str">
        <f>IFERROR(__xludf.DUMMYFUNCTION("""COMPUTED_VALUE"""),"MFC TANON SRICHAN")</f>
        <v>MFC TANON SRICHAN</v>
      </c>
      <c r="E2089" s="1" t="str">
        <f>IFERROR(__xludf.DUMMYFUNCTION("""COMPUTED_VALUE"""),"บิ๊กซี MINI")</f>
        <v>บิ๊กซี MINI</v>
      </c>
      <c r="F2089" s="1" t="str">
        <f>IFERROR(__xludf.DUMMYFUNCTION("""COMPUTED_VALUE"""),"291100")</f>
        <v>291100</v>
      </c>
      <c r="G2089" s="1" t="str">
        <f>IFERROR(__xludf.DUMMYFUNCTION("""COMPUTED_VALUE"""),"น.ส.จารุณี ฮวบอินทร์")</f>
        <v>น.ส.จารุณี ฮวบอินทร์</v>
      </c>
      <c r="H2089" s="1" t="str">
        <f>IFERROR(__xludf.DUMMYFUNCTION("""COMPUTED_VALUE"""),"305119")</f>
        <v>305119</v>
      </c>
      <c r="I2089" s="1" t="str">
        <f>IFERROR(__xludf.DUMMYFUNCTION("""COMPUTED_VALUE"""),"นายไชยกร ลีพิบูลย์สวัสดิ์")</f>
        <v>นายไชยกร ลีพิบูลย์สวัสดิ์</v>
      </c>
      <c r="J2089" s="3">
        <f>IFERROR(__xludf.DUMMYFUNCTION("""COMPUTED_VALUE"""),295886.0)</f>
        <v>295886</v>
      </c>
      <c r="K2089" s="3" t="str">
        <f>IFERROR(__xludf.DUMMYFUNCTION("""COMPUTED_VALUE"""),"นายจิระพงษ์ โพธิ์นิล")</f>
        <v>นายจิระพงษ์ โพธิ์นิล</v>
      </c>
      <c r="L2089" s="3" t="str">
        <f>IFERROR(__xludf.DUMMYFUNCTION("""COMPUTED_VALUE"""),"นายจิระพงษ์ โพธิ์นิล")</f>
        <v>นายจิระพงษ์ โพธิ์นิล</v>
      </c>
      <c r="M2089" s="1" t="str">
        <f>IFERROR(__xludf.DUMMYFUNCTION("""COMPUTED_VALUE"""),"0933290754")</f>
        <v>0933290754</v>
      </c>
      <c r="N2089" s="3">
        <f>IFERROR(__xludf.DUMMYFUNCTION("""COMPUTED_VALUE"""),21465.0)</f>
        <v>21465</v>
      </c>
      <c r="O2089" s="3" t="str">
        <f>IFERROR(__xludf.DUMMYFUNCTION("""COMPUTED_VALUE"""),"MBC สถานีตำรวจอุดร")</f>
        <v>MBC สถานีตำรวจอุดร</v>
      </c>
      <c r="P2089" s="4">
        <f>IFERROR(__xludf.DUMMYFUNCTION("""COMPUTED_VALUE"""),42947.0)</f>
        <v>42947</v>
      </c>
      <c r="Q2089" s="3" t="str">
        <f>IFERROR(__xludf.DUMMYFUNCTION("""COMPUTED_VALUE"""),"I")</f>
        <v>I</v>
      </c>
      <c r="R2089" s="3" t="str">
        <f>IFERROR(__xludf.DUMMYFUNCTION("""COMPUTED_VALUE"""),"Small Format")</f>
        <v>Small Format</v>
      </c>
      <c r="S2089" s="3" t="str">
        <f>IFERROR(__xludf.DUMMYFUNCTION("""COMPUTED_VALUE"""),"BCM(FC)")</f>
        <v>BCM(FC)</v>
      </c>
      <c r="T2089" s="3" t="str">
        <f>IFERROR(__xludf.DUMMYFUNCTION("""COMPUTED_VALUE"""),"#N/A")</f>
        <v>#N/A</v>
      </c>
      <c r="U2089" s="3" t="str">
        <f>IFERROR(__xludf.DUMMYFUNCTION("""COMPUTED_VALUE"""),"#N/A")</f>
        <v>#N/A</v>
      </c>
      <c r="V2089" s="3" t="str">
        <f>IFERROR(__xludf.DUMMYFUNCTION("""COMPUTED_VALUE"""),"Y")</f>
        <v>Y</v>
      </c>
      <c r="W2089" s="3">
        <f>IFERROR(__xludf.DUMMYFUNCTION("""COMPUTED_VALUE"""),0.0)</f>
        <v>0</v>
      </c>
      <c r="X2089" s="3" t="str">
        <f>IFERROR(__xludf.DUMMYFUNCTION("""COMPUTED_VALUE"""),"687 ถนนศรีจันทร์ ตำบลในเมือง อำเภอเมืองขอนแก่น จังหวัดขอนแก่น 40000")</f>
        <v>687 ถนนศรีจันทร์ ตำบลในเมือง อำเภอเมืองขอนแก่น จังหวัดขอนแก่น 40000</v>
      </c>
      <c r="Y2089" s="3" t="str">
        <f>IFERROR(__xludf.DUMMYFUNCTION("""COMPUTED_VALUE"""),"ถนนศรีจันทร์")</f>
        <v>ถนนศรีจันทร์</v>
      </c>
      <c r="Z2089" s="3" t="str">
        <f>IFERROR(__xludf.DUMMYFUNCTION("""COMPUTED_VALUE"""),"ในเมือง")</f>
        <v>ในเมือง</v>
      </c>
      <c r="AA2089" s="3" t="str">
        <f>IFERROR(__xludf.DUMMYFUNCTION("""COMPUTED_VALUE"""),"เมือง")</f>
        <v>เมือง</v>
      </c>
      <c r="AB2089" s="3" t="str">
        <f>IFERROR(__xludf.DUMMYFUNCTION("""COMPUTED_VALUE"""),"ขอนแก่น")</f>
        <v>ขอนแก่น</v>
      </c>
      <c r="AC2089" s="3">
        <f>IFERROR(__xludf.DUMMYFUNCTION("""COMPUTED_VALUE"""),40000.0)</f>
        <v>40000</v>
      </c>
      <c r="AD2089" s="3" t="str">
        <f>IFERROR(__xludf.DUMMYFUNCTION("""COMPUTED_VALUE"""),"#N/A")</f>
        <v>#N/A</v>
      </c>
      <c r="AE2089" s="3" t="str">
        <f>IFERROR(__xludf.DUMMYFUNCTION("""COMPUTED_VALUE"""),"#N/A")</f>
        <v>#N/A</v>
      </c>
      <c r="AF2089" s="3" t="str">
        <f>IFERROR(__xludf.DUMMYFUNCTION("""COMPUTED_VALUE"""),"MFC ถนนศรีจันทร์-31077")</f>
        <v>MFC ถนนศรีจันทร์-31077</v>
      </c>
      <c r="AG2089" s="3" t="str">
        <f>IFERROR(__xludf.DUMMYFUNCTION("""COMPUTED_VALUE"""),"ตะวันออกเฉียงเหนือ")</f>
        <v>ตะวันออกเฉียงเหนือ</v>
      </c>
      <c r="AH2089" s="3" t="str">
        <f>IFERROR(__xludf.DUMMYFUNCTION("""COMPUTED_VALUE"""),"#N/A")</f>
        <v>#N/A</v>
      </c>
      <c r="AI2089" s="3" t="str">
        <f>IFERROR(__xludf.DUMMYFUNCTION("""COMPUTED_VALUE"""),"Out of warranty")</f>
        <v>Out of warranty</v>
      </c>
      <c r="AJ2089" s="3">
        <f>IFERROR(__xludf.DUMMYFUNCTION("""COMPUTED_VALUE"""),102.0)</f>
        <v>102</v>
      </c>
      <c r="AK2089" s="3"/>
      <c r="AL2089" s="3"/>
    </row>
    <row r="2090" ht="15.75" customHeight="1">
      <c r="A2090" s="1" t="str">
        <f>IFERROR(__xludf.DUMMYFUNCTION("""COMPUTED_VALUE"""),"31078")</f>
        <v>31078</v>
      </c>
      <c r="B2090" s="2">
        <f>IFERROR(__xludf.DUMMYFUNCTION("""COMPUTED_VALUE"""),31078.0)</f>
        <v>31078</v>
      </c>
      <c r="C2090" s="3" t="str">
        <f>IFERROR(__xludf.DUMMYFUNCTION("""COMPUTED_VALUE"""),"BCM FC Shell มิตรภาพ กม.140 ขาเข้า")</f>
        <v>BCM FC Shell มิตรภาพ กม.140 ขาเข้า</v>
      </c>
      <c r="D2090" s="3" t="str">
        <f>IFERROR(__xludf.DUMMYFUNCTION("""COMPUTED_VALUE"""),"BCM SHELL MITTRAPHAP KM.140")</f>
        <v>BCM SHELL MITTRAPHAP KM.140</v>
      </c>
      <c r="E2090" s="1" t="str">
        <f>IFERROR(__xludf.DUMMYFUNCTION("""COMPUTED_VALUE"""),"บิ๊กซี MINI")</f>
        <v>บิ๊กซี MINI</v>
      </c>
      <c r="F2090" s="1" t="str">
        <f>IFERROR(__xludf.DUMMYFUNCTION("""COMPUTED_VALUE"""),"291105")</f>
        <v>291105</v>
      </c>
      <c r="G2090" s="1" t="str">
        <f>IFERROR(__xludf.DUMMYFUNCTION("""COMPUTED_VALUE"""),"นายสราวุฒิ พณิชยกุล")</f>
        <v>นายสราวุฒิ พณิชยกุล</v>
      </c>
      <c r="H2090" s="1" t="str">
        <f>IFERROR(__xludf.DUMMYFUNCTION("""COMPUTED_VALUE"""),"281315")</f>
        <v>281315</v>
      </c>
      <c r="I2090" s="1" t="str">
        <f>IFERROR(__xludf.DUMMYFUNCTION("""COMPUTED_VALUE"""),"นายกิตติพงษ์ มั่นคง")</f>
        <v>นายกิตติพงษ์ มั่นคง</v>
      </c>
      <c r="J2090" s="3">
        <f>IFERROR(__xludf.DUMMYFUNCTION("""COMPUTED_VALUE"""),15361.0)</f>
        <v>15361</v>
      </c>
      <c r="K2090" s="3" t="str">
        <f>IFERROR(__xludf.DUMMYFUNCTION("""COMPUTED_VALUE"""),"นายสมบูรณ์ พรหมในเมือง")</f>
        <v>นายสมบูรณ์ พรหมในเมือง</v>
      </c>
      <c r="L2090" s="1" t="str">
        <f>IFERROR(__xludf.DUMMYFUNCTION("""COMPUTED_VALUE"""),"04 K.Somboon P.")</f>
        <v>04 K.Somboon P.</v>
      </c>
      <c r="M2090" s="1" t="str">
        <f>IFERROR(__xludf.DUMMYFUNCTION("""COMPUTED_VALUE"""),"087-965-3051")</f>
        <v>087-965-3051</v>
      </c>
      <c r="N2090" s="3">
        <f>IFERROR(__xludf.DUMMYFUNCTION("""COMPUTED_VALUE"""),21869.0)</f>
        <v>21869</v>
      </c>
      <c r="O2090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2090" s="4">
        <f>IFERROR(__xludf.DUMMYFUNCTION("""COMPUTED_VALUE"""),43038.0)</f>
        <v>43038</v>
      </c>
      <c r="Q2090" s="3" t="str">
        <f>IFERROR(__xludf.DUMMYFUNCTION("""COMPUTED_VALUE"""),"A")</f>
        <v>A</v>
      </c>
      <c r="R2090" s="3" t="str">
        <f>IFERROR(__xludf.DUMMYFUNCTION("""COMPUTED_VALUE"""),"Small Format")</f>
        <v>Small Format</v>
      </c>
      <c r="S2090" s="3" t="str">
        <f>IFERROR(__xludf.DUMMYFUNCTION("""COMPUTED_VALUE"""),"BCM(FC)")</f>
        <v>BCM(FC)</v>
      </c>
      <c r="T2090" s="3" t="str">
        <f>IFERROR(__xludf.DUMMYFUNCTION("""COMPUTED_VALUE"""),"#N/A")</f>
        <v>#N/A</v>
      </c>
      <c r="U2090" s="3" t="str">
        <f>IFERROR(__xludf.DUMMYFUNCTION("""COMPUTED_VALUE"""),"#N/A")</f>
        <v>#N/A</v>
      </c>
      <c r="V2090" s="3" t="str">
        <f>IFERROR(__xludf.DUMMYFUNCTION("""COMPUTED_VALUE"""),"Y")</f>
        <v>Y</v>
      </c>
      <c r="W2090" s="3">
        <f>IFERROR(__xludf.DUMMYFUNCTION("""COMPUTED_VALUE"""),811162.0)</f>
        <v>811162</v>
      </c>
      <c r="X2090" s="3" t="str">
        <f>IFERROR(__xludf.DUMMYFUNCTION("""COMPUTED_VALUE"""),"7/101 หมู่ 1 ถนนมิตรภาพ ตำบลสุรนารี อำเภอเมืองนครราชสีมา จังหวัดนครราชสีมา 30000")</f>
        <v>7/101 หมู่ 1 ถนนมิตรภาพ ตำบลสุรนารี อำเภอเมืองนครราชสีมา จังหวัดนครราชสีมา 30000</v>
      </c>
      <c r="Y2090" s="3"/>
      <c r="Z2090" s="3" t="str">
        <f>IFERROR(__xludf.DUMMYFUNCTION("""COMPUTED_VALUE"""),"สุรนารี")</f>
        <v>สุรนารี</v>
      </c>
      <c r="AA2090" s="3" t="str">
        <f>IFERROR(__xludf.DUMMYFUNCTION("""COMPUTED_VALUE"""),"เมือง")</f>
        <v>เมือง</v>
      </c>
      <c r="AB2090" s="3" t="str">
        <f>IFERROR(__xludf.DUMMYFUNCTION("""COMPUTED_VALUE"""),"นครราชสีมา")</f>
        <v>นครราชสีมา</v>
      </c>
      <c r="AC2090" s="3">
        <f>IFERROR(__xludf.DUMMYFUNCTION("""COMPUTED_VALUE"""),30000.0)</f>
        <v>30000</v>
      </c>
      <c r="AD2090" s="3">
        <f>IFERROR(__xludf.DUMMYFUNCTION("""COMPUTED_VALUE"""),14.9531099)</f>
        <v>14.9531099</v>
      </c>
      <c r="AE2090" s="3">
        <f>IFERROR(__xludf.DUMMYFUNCTION("""COMPUTED_VALUE"""),102.0286667)</f>
        <v>102.0286667</v>
      </c>
      <c r="AF2090" s="3" t="str">
        <f>IFERROR(__xludf.DUMMYFUNCTION("""COMPUTED_VALUE"""),"BCM FC Shell มิตรภาพ กม.140 ขาเข้า-31078")</f>
        <v>BCM FC Shell มิตรภาพ กม.140 ขาเข้า-31078</v>
      </c>
      <c r="AG2090" s="3" t="str">
        <f>IFERROR(__xludf.DUMMYFUNCTION("""COMPUTED_VALUE"""),"ตะวันออกเฉียงเหนือ")</f>
        <v>ตะวันออกเฉียงเหนือ</v>
      </c>
      <c r="AH2090" s="3" t="str">
        <f>IFERROR(__xludf.DUMMYFUNCTION("""COMPUTED_VALUE"""),"#N/A")</f>
        <v>#N/A</v>
      </c>
      <c r="AI2090" s="3" t="str">
        <f>IFERROR(__xludf.DUMMYFUNCTION("""COMPUTED_VALUE"""),"Out of warranty")</f>
        <v>Out of warranty</v>
      </c>
      <c r="AJ2090" s="3">
        <f>IFERROR(__xludf.DUMMYFUNCTION("""COMPUTED_VALUE"""),99.0)</f>
        <v>99</v>
      </c>
      <c r="AK2090" s="3"/>
      <c r="AL2090" s="3"/>
    </row>
    <row r="2091" ht="15.75" customHeight="1">
      <c r="A2091" s="1" t="str">
        <f>IFERROR(__xludf.DUMMYFUNCTION("""COMPUTED_VALUE"""),"31079")</f>
        <v>31079</v>
      </c>
      <c r="B2091" s="2">
        <f>IFERROR(__xludf.DUMMYFUNCTION("""COMPUTED_VALUE"""),31079.0)</f>
        <v>31079</v>
      </c>
      <c r="C2091" s="3" t="str">
        <f>IFERROR(__xludf.DUMMYFUNCTION("""COMPUTED_VALUE"""),"BCM FC เทคนิคอุดรธานี")</f>
        <v>BCM FC เทคนิคอุดรธานี</v>
      </c>
      <c r="D2091" s="3" t="str">
        <f>IFERROR(__xludf.DUMMYFUNCTION("""COMPUTED_VALUE"""),"BCM TECHNIC UDONTHANI")</f>
        <v>BCM TECHNIC UDONTHANI</v>
      </c>
      <c r="E2091" s="1" t="str">
        <f>IFERROR(__xludf.DUMMYFUNCTION("""COMPUTED_VALUE"""),"บิ๊กซี MINI")</f>
        <v>บิ๊กซี MINI</v>
      </c>
      <c r="F2091" s="1" t="str">
        <f>IFERROR(__xludf.DUMMYFUNCTION("""COMPUTED_VALUE"""),"291105")</f>
        <v>291105</v>
      </c>
      <c r="G2091" s="1" t="str">
        <f>IFERROR(__xludf.DUMMYFUNCTION("""COMPUTED_VALUE"""),"นายสราวุฒิ พณิชยกุล")</f>
        <v>นายสราวุฒิ พณิชยกุล</v>
      </c>
      <c r="H2091" s="1" t="str">
        <f>IFERROR(__xludf.DUMMYFUNCTION("""COMPUTED_VALUE"""),"392005")</f>
        <v>392005</v>
      </c>
      <c r="I2091" s="1" t="str">
        <f>IFERROR(__xludf.DUMMYFUNCTION("""COMPUTED_VALUE"""),"นายรัฐพล หาญลำยวง")</f>
        <v>นายรัฐพล หาญลำยวง</v>
      </c>
      <c r="J2091" s="3">
        <f>IFERROR(__xludf.DUMMYFUNCTION("""COMPUTED_VALUE"""),296868.0)</f>
        <v>296868</v>
      </c>
      <c r="K2091" s="3" t="str">
        <f>IFERROR(__xludf.DUMMYFUNCTION("""COMPUTED_VALUE"""),"นายพีระพงษ์ แก้วดวงดี")</f>
        <v>นายพีระพงษ์ แก้วดวงดี</v>
      </c>
      <c r="L2091" s="3" t="str">
        <f>IFERROR(__xludf.DUMMYFUNCTION("""COMPUTED_VALUE"""),"03 K.Peerapong K.")</f>
        <v>03 K.Peerapong K.</v>
      </c>
      <c r="M2091" s="1" t="str">
        <f>IFERROR(__xludf.DUMMYFUNCTION("""COMPUTED_VALUE"""),"089-002-6599")</f>
        <v>089-002-6599</v>
      </c>
      <c r="N2091" s="3">
        <f>IFERROR(__xludf.DUMMYFUNCTION("""COMPUTED_VALUE"""),21946.0)</f>
        <v>21946</v>
      </c>
      <c r="O2091" s="3" t="str">
        <f>IFERROR(__xludf.DUMMYFUNCTION("""COMPUTED_VALUE"""),"MBC เซกา บึงกาฬ")</f>
        <v>MBC เซกา บึงกาฬ</v>
      </c>
      <c r="P2091" s="4">
        <f>IFERROR(__xludf.DUMMYFUNCTION("""COMPUTED_VALUE"""),43042.0)</f>
        <v>43042</v>
      </c>
      <c r="Q2091" s="3" t="str">
        <f>IFERROR(__xludf.DUMMYFUNCTION("""COMPUTED_VALUE"""),"A")</f>
        <v>A</v>
      </c>
      <c r="R2091" s="3" t="str">
        <f>IFERROR(__xludf.DUMMYFUNCTION("""COMPUTED_VALUE"""),"Small Format")</f>
        <v>Small Format</v>
      </c>
      <c r="S2091" s="3" t="str">
        <f>IFERROR(__xludf.DUMMYFUNCTION("""COMPUTED_VALUE"""),"BCM(FC)")</f>
        <v>BCM(FC)</v>
      </c>
      <c r="T2091" s="3" t="str">
        <f>IFERROR(__xludf.DUMMYFUNCTION("""COMPUTED_VALUE"""),"#N/A")</f>
        <v>#N/A</v>
      </c>
      <c r="U2091" s="3" t="str">
        <f>IFERROR(__xludf.DUMMYFUNCTION("""COMPUTED_VALUE"""),"#N/A")</f>
        <v>#N/A</v>
      </c>
      <c r="V2091" s="3" t="str">
        <f>IFERROR(__xludf.DUMMYFUNCTION("""COMPUTED_VALUE"""),"Y")</f>
        <v>Y</v>
      </c>
      <c r="W2091" s="3">
        <f>IFERROR(__xludf.DUMMYFUNCTION("""COMPUTED_VALUE"""),811108.0)</f>
        <v>811108</v>
      </c>
      <c r="X2091" s="3" t="str">
        <f>IFERROR(__xludf.DUMMYFUNCTION("""COMPUTED_VALUE"""),"3/15 ถนนเบญจางค์ ตำบลหมากแข้ง อำเภอเมืองอุดรธานี จังหวัดอุดรธานี 41000")</f>
        <v>3/15 ถนนเบญจางค์ ตำบลหมากแข้ง อำเภอเมืองอุดรธานี จังหวัดอุดรธานี 41000</v>
      </c>
      <c r="Y2091" s="3" t="str">
        <f>IFERROR(__xludf.DUMMYFUNCTION("""COMPUTED_VALUE"""),"ถนนเบญจางค์")</f>
        <v>ถนนเบญจางค์</v>
      </c>
      <c r="Z2091" s="3" t="str">
        <f>IFERROR(__xludf.DUMMYFUNCTION("""COMPUTED_VALUE"""),"หมากแข้ง")</f>
        <v>หมากแข้ง</v>
      </c>
      <c r="AA2091" s="3" t="str">
        <f>IFERROR(__xludf.DUMMYFUNCTION("""COMPUTED_VALUE"""),"เมือง")</f>
        <v>เมือง</v>
      </c>
      <c r="AB2091" s="3" t="str">
        <f>IFERROR(__xludf.DUMMYFUNCTION("""COMPUTED_VALUE"""),"อุดรธานี")</f>
        <v>อุดรธานี</v>
      </c>
      <c r="AC2091" s="3">
        <f>IFERROR(__xludf.DUMMYFUNCTION("""COMPUTED_VALUE"""),41000.0)</f>
        <v>41000</v>
      </c>
      <c r="AD2091" s="3">
        <f>IFERROR(__xludf.DUMMYFUNCTION("""COMPUTED_VALUE"""),17.4175389)</f>
        <v>17.4175389</v>
      </c>
      <c r="AE2091" s="3">
        <f>IFERROR(__xludf.DUMMYFUNCTION("""COMPUTED_VALUE"""),102.7888919)</f>
        <v>102.7888919</v>
      </c>
      <c r="AF2091" s="3" t="str">
        <f>IFERROR(__xludf.DUMMYFUNCTION("""COMPUTED_VALUE"""),"BCM FC เทคนิคอุดรธานี-31079")</f>
        <v>BCM FC เทคนิคอุดรธานี-31079</v>
      </c>
      <c r="AG2091" s="3" t="str">
        <f>IFERROR(__xludf.DUMMYFUNCTION("""COMPUTED_VALUE"""),"ตะวันออกเฉียงเหนือ")</f>
        <v>ตะวันออกเฉียงเหนือ</v>
      </c>
      <c r="AH2091" s="3" t="str">
        <f>IFERROR(__xludf.DUMMYFUNCTION("""COMPUTED_VALUE"""),"#N/A")</f>
        <v>#N/A</v>
      </c>
      <c r="AI2091" s="3" t="str">
        <f>IFERROR(__xludf.DUMMYFUNCTION("""COMPUTED_VALUE"""),"Out of warranty")</f>
        <v>Out of warranty</v>
      </c>
      <c r="AJ2091" s="3">
        <f>IFERROR(__xludf.DUMMYFUNCTION("""COMPUTED_VALUE"""),99.0)</f>
        <v>99</v>
      </c>
      <c r="AK2091" s="3"/>
      <c r="AL2091" s="3"/>
    </row>
    <row r="2092" ht="15.75" customHeight="1">
      <c r="A2092" s="1" t="str">
        <f>IFERROR(__xludf.DUMMYFUNCTION("""COMPUTED_VALUE"""),"31080")</f>
        <v>31080</v>
      </c>
      <c r="B2092" s="2">
        <f>IFERROR(__xludf.DUMMYFUNCTION("""COMPUTED_VALUE"""),31080.0)</f>
        <v>31080</v>
      </c>
      <c r="C2092" s="3" t="str">
        <f>IFERROR(__xludf.DUMMYFUNCTION("""COMPUTED_VALUE"""),"BCM FC บ้านโป่ง ราชบุรี")</f>
        <v>BCM FC บ้านโป่ง ราชบุรี</v>
      </c>
      <c r="D2092" s="3" t="str">
        <f>IFERROR(__xludf.DUMMYFUNCTION("""COMPUTED_VALUE"""),"BCM BAN PONG (RATCHABURI)")</f>
        <v>BCM BAN PONG (RATCHABURI)</v>
      </c>
      <c r="E2092" s="1" t="str">
        <f>IFERROR(__xludf.DUMMYFUNCTION("""COMPUTED_VALUE"""),"บิ๊กซี MINI")</f>
        <v>บิ๊กซี MINI</v>
      </c>
      <c r="F2092" s="1" t="str">
        <f>IFERROR(__xludf.DUMMYFUNCTION("""COMPUTED_VALUE"""),"2083447")</f>
        <v>2083447</v>
      </c>
      <c r="G2092" s="1" t="str">
        <f>IFERROR(__xludf.DUMMYFUNCTION("""COMPUTED_VALUE"""),"นายอนุกูล ศรีลัดดา")</f>
        <v>นายอนุกูล ศรีลัดดา</v>
      </c>
      <c r="H2092" s="1" t="str">
        <f>IFERROR(__xludf.DUMMYFUNCTION("""COMPUTED_VALUE"""),"391191")</f>
        <v>391191</v>
      </c>
      <c r="I2092" s="1" t="str">
        <f>IFERROR(__xludf.DUMMYFUNCTION("""COMPUTED_VALUE"""),"นายวสันต์ สรงพรมทิพย์")</f>
        <v>นายวสันต์ สรงพรมทิพย์</v>
      </c>
      <c r="J2092" s="3">
        <f>IFERROR(__xludf.DUMMYFUNCTION("""COMPUTED_VALUE"""),2451655.0)</f>
        <v>2451655</v>
      </c>
      <c r="K2092" s="3" t="str">
        <f>IFERROR(__xludf.DUMMYFUNCTION("""COMPUTED_VALUE"""),"นายวิษณุพงษ์ ชินบุตร")</f>
        <v>นายวิษณุพงษ์ ชินบุตร</v>
      </c>
      <c r="L2092" s="1" t="str">
        <f>IFERROR(__xludf.DUMMYFUNCTION("""COMPUTED_VALUE"""),"13 K.Wisanupong Ch")</f>
        <v>13 K.Wisanupong Ch</v>
      </c>
      <c r="M2092" s="1" t="str">
        <f>IFERROR(__xludf.DUMMYFUNCTION("""COMPUTED_VALUE"""),"0843374693")</f>
        <v>0843374693</v>
      </c>
      <c r="N2092" s="3">
        <f>IFERROR(__xludf.DUMMYFUNCTION("""COMPUTED_VALUE"""),22729.0)</f>
        <v>22729</v>
      </c>
      <c r="O2092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2092" s="4">
        <f>IFERROR(__xludf.DUMMYFUNCTION("""COMPUTED_VALUE"""),43062.0)</f>
        <v>43062</v>
      </c>
      <c r="Q2092" s="3" t="str">
        <f>IFERROR(__xludf.DUMMYFUNCTION("""COMPUTED_VALUE"""),"A")</f>
        <v>A</v>
      </c>
      <c r="R2092" s="3" t="str">
        <f>IFERROR(__xludf.DUMMYFUNCTION("""COMPUTED_VALUE"""),"Small Format")</f>
        <v>Small Format</v>
      </c>
      <c r="S2092" s="3" t="str">
        <f>IFERROR(__xludf.DUMMYFUNCTION("""COMPUTED_VALUE"""),"BCM(FC)")</f>
        <v>BCM(FC)</v>
      </c>
      <c r="T2092" s="3" t="str">
        <f>IFERROR(__xludf.DUMMYFUNCTION("""COMPUTED_VALUE"""),"#N/A")</f>
        <v>#N/A</v>
      </c>
      <c r="U2092" s="3" t="str">
        <f>IFERROR(__xludf.DUMMYFUNCTION("""COMPUTED_VALUE"""),"#N/A")</f>
        <v>#N/A</v>
      </c>
      <c r="V2092" s="3" t="str">
        <f>IFERROR(__xludf.DUMMYFUNCTION("""COMPUTED_VALUE"""),"Y")</f>
        <v>Y</v>
      </c>
      <c r="W2092" s="3">
        <f>IFERROR(__xludf.DUMMYFUNCTION("""COMPUTED_VALUE"""),811122.0)</f>
        <v>811122</v>
      </c>
      <c r="X2092" s="3" t="str">
        <f>IFERROR(__xludf.DUMMYFUNCTION("""COMPUTED_VALUE"""),"24/2-24/3 หมู่ที่ 17 ตำบลท่าผา อำเภอบ้านโป่ง จังหวัดราชบุรี 70110")</f>
        <v>24/2-24/3 หมู่ที่ 17 ตำบลท่าผา อำเภอบ้านโป่ง จังหวัดราชบุรี 70110</v>
      </c>
      <c r="Y2092" s="3"/>
      <c r="Z2092" s="3" t="str">
        <f>IFERROR(__xludf.DUMMYFUNCTION("""COMPUTED_VALUE"""),"ท่าผา")</f>
        <v>ท่าผา</v>
      </c>
      <c r="AA2092" s="3" t="str">
        <f>IFERROR(__xludf.DUMMYFUNCTION("""COMPUTED_VALUE"""),"บ้านโป่ง")</f>
        <v>บ้านโป่ง</v>
      </c>
      <c r="AB2092" s="3" t="str">
        <f>IFERROR(__xludf.DUMMYFUNCTION("""COMPUTED_VALUE"""),"ราชบุรี")</f>
        <v>ราชบุรี</v>
      </c>
      <c r="AC2092" s="3">
        <f>IFERROR(__xludf.DUMMYFUNCTION("""COMPUTED_VALUE"""),70110.0)</f>
        <v>70110</v>
      </c>
      <c r="AD2092" s="3">
        <f>IFERROR(__xludf.DUMMYFUNCTION("""COMPUTED_VALUE"""),13.8587684)</f>
        <v>13.8587684</v>
      </c>
      <c r="AE2092" s="3">
        <f>IFERROR(__xludf.DUMMYFUNCTION("""COMPUTED_VALUE"""),99.8341691)</f>
        <v>99.8341691</v>
      </c>
      <c r="AF2092" s="3" t="str">
        <f>IFERROR(__xludf.DUMMYFUNCTION("""COMPUTED_VALUE"""),"BCM FC บ้านโป่ง ราชบุรี-31080")</f>
        <v>BCM FC บ้านโป่ง ราชบุรี-31080</v>
      </c>
      <c r="AG2092" s="3" t="str">
        <f>IFERROR(__xludf.DUMMYFUNCTION("""COMPUTED_VALUE"""),"ตะวันตก")</f>
        <v>ตะวันตก</v>
      </c>
      <c r="AH2092" s="3" t="str">
        <f>IFERROR(__xludf.DUMMYFUNCTION("""COMPUTED_VALUE"""),"#N/A")</f>
        <v>#N/A</v>
      </c>
      <c r="AI2092" s="3" t="str">
        <f>IFERROR(__xludf.DUMMYFUNCTION("""COMPUTED_VALUE"""),"Out of warranty")</f>
        <v>Out of warranty</v>
      </c>
      <c r="AJ2092" s="3">
        <f>IFERROR(__xludf.DUMMYFUNCTION("""COMPUTED_VALUE"""),98.0)</f>
        <v>98</v>
      </c>
      <c r="AK2092" s="3"/>
      <c r="AL2092" s="3"/>
    </row>
    <row r="2093" ht="15.75" customHeight="1">
      <c r="A2093" s="1" t="str">
        <f>IFERROR(__xludf.DUMMYFUNCTION("""COMPUTED_VALUE"""),"31081")</f>
        <v>31081</v>
      </c>
      <c r="B2093" s="2">
        <f>IFERROR(__xludf.DUMMYFUNCTION("""COMPUTED_VALUE"""),31081.0)</f>
        <v>31081</v>
      </c>
      <c r="C2093" s="3" t="str">
        <f>IFERROR(__xludf.DUMMYFUNCTION("""COMPUTED_VALUE"""),"BCM FC ถนนมาลัยแมน")</f>
        <v>BCM FC ถนนมาลัยแมน</v>
      </c>
      <c r="D2093" s="3" t="str">
        <f>IFERROR(__xludf.DUMMYFUNCTION("""COMPUTED_VALUE"""),"BCM THANON MALAIMAN")</f>
        <v>BCM THANON MALAIMAN</v>
      </c>
      <c r="E2093" s="1" t="str">
        <f>IFERROR(__xludf.DUMMYFUNCTION("""COMPUTED_VALUE"""),"บิ๊กซี MINI")</f>
        <v>บิ๊กซี MINI</v>
      </c>
      <c r="F2093" s="1" t="str">
        <f>IFERROR(__xludf.DUMMYFUNCTION("""COMPUTED_VALUE"""),"296229")</f>
        <v>296229</v>
      </c>
      <c r="G2093" s="1" t="str">
        <f>IFERROR(__xludf.DUMMYFUNCTION("""COMPUTED_VALUE"""),"นายทนงศักดิ์ บุญมา")</f>
        <v>นายทนงศักดิ์ บุญมา</v>
      </c>
      <c r="H2093" s="1" t="str">
        <f>IFERROR(__xludf.DUMMYFUNCTION("""COMPUTED_VALUE"""),"295245")</f>
        <v>295245</v>
      </c>
      <c r="I2093" s="1" t="str">
        <f>IFERROR(__xludf.DUMMYFUNCTION("""COMPUTED_VALUE"""),"นายมานะ วงศ์สุโชโต")</f>
        <v>นายมานะ วงศ์สุโชโต</v>
      </c>
      <c r="J2093" s="3">
        <f>IFERROR(__xludf.DUMMYFUNCTION("""COMPUTED_VALUE"""),46214.0)</f>
        <v>46214</v>
      </c>
      <c r="K2093" s="3" t="str">
        <f>IFERROR(__xludf.DUMMYFUNCTION("""COMPUTED_VALUE"""),"นายศักดิ์ชัย เด็ดดอกฟ้า")</f>
        <v>นายศักดิ์ชัย เด็ดดอกฟ้า</v>
      </c>
      <c r="L2093" s="3" t="str">
        <f>IFERROR(__xludf.DUMMYFUNCTION("""COMPUTED_VALUE"""),"02 K.Sakchai D")</f>
        <v>02 K.Sakchai D</v>
      </c>
      <c r="M2093" s="1" t="str">
        <f>IFERROR(__xludf.DUMMYFUNCTION("""COMPUTED_VALUE"""),"065-510-7376")</f>
        <v>065-510-7376</v>
      </c>
      <c r="N2093" s="3">
        <f>IFERROR(__xludf.DUMMYFUNCTION("""COMPUTED_VALUE"""),21714.0)</f>
        <v>21714</v>
      </c>
      <c r="O2093" s="3" t="str">
        <f>IFERROR(__xludf.DUMMYFUNCTION("""COMPUTED_VALUE"""),"MBC เอสโซ่ วัดโบสถ์")</f>
        <v>MBC เอสโซ่ วัดโบสถ์</v>
      </c>
      <c r="P2093" s="4">
        <f>IFERROR(__xludf.DUMMYFUNCTION("""COMPUTED_VALUE"""),43062.0)</f>
        <v>43062</v>
      </c>
      <c r="Q2093" s="3" t="str">
        <f>IFERROR(__xludf.DUMMYFUNCTION("""COMPUTED_VALUE"""),"A")</f>
        <v>A</v>
      </c>
      <c r="R2093" s="3" t="str">
        <f>IFERROR(__xludf.DUMMYFUNCTION("""COMPUTED_VALUE"""),"Small Format")</f>
        <v>Small Format</v>
      </c>
      <c r="S2093" s="3" t="str">
        <f>IFERROR(__xludf.DUMMYFUNCTION("""COMPUTED_VALUE"""),"BCM(FC)")</f>
        <v>BCM(FC)</v>
      </c>
      <c r="T2093" s="3" t="str">
        <f>IFERROR(__xludf.DUMMYFUNCTION("""COMPUTED_VALUE"""),"#N/A")</f>
        <v>#N/A</v>
      </c>
      <c r="U2093" s="3" t="str">
        <f>IFERROR(__xludf.DUMMYFUNCTION("""COMPUTED_VALUE"""),"#N/A")</f>
        <v>#N/A</v>
      </c>
      <c r="V2093" s="3" t="str">
        <f>IFERROR(__xludf.DUMMYFUNCTION("""COMPUTED_VALUE"""),"Y")</f>
        <v>Y</v>
      </c>
      <c r="W2093" s="3">
        <f>IFERROR(__xludf.DUMMYFUNCTION("""COMPUTED_VALUE"""),811123.0)</f>
        <v>811123</v>
      </c>
      <c r="X2093" s="3" t="str">
        <f>IFERROR(__xludf.DUMMYFUNCTION("""COMPUTED_VALUE"""),"45/3 หมู่ที่1 ตำบลวังตะกู อำเภอเมืองนครปฐม จังหวัดนครปฐม 73000")</f>
        <v>45/3 หมู่ที่1 ตำบลวังตะกู อำเภอเมืองนครปฐม จังหวัดนครปฐม 73000</v>
      </c>
      <c r="Y2093" s="3"/>
      <c r="Z2093" s="3" t="str">
        <f>IFERROR(__xludf.DUMMYFUNCTION("""COMPUTED_VALUE"""),"วังตะกู")</f>
        <v>วังตะกู</v>
      </c>
      <c r="AA2093" s="3" t="str">
        <f>IFERROR(__xludf.DUMMYFUNCTION("""COMPUTED_VALUE"""),"เมือง")</f>
        <v>เมือง</v>
      </c>
      <c r="AB2093" s="3" t="str">
        <f>IFERROR(__xludf.DUMMYFUNCTION("""COMPUTED_VALUE"""),"นครปฐม")</f>
        <v>นครปฐม</v>
      </c>
      <c r="AC2093" s="3">
        <f>IFERROR(__xludf.DUMMYFUNCTION("""COMPUTED_VALUE"""),73000.0)</f>
        <v>73000</v>
      </c>
      <c r="AD2093" s="3">
        <f>IFERROR(__xludf.DUMMYFUNCTION("""COMPUTED_VALUE"""),13.8411101)</f>
        <v>13.8411101</v>
      </c>
      <c r="AE2093" s="3">
        <f>IFERROR(__xludf.DUMMYFUNCTION("""COMPUTED_VALUE"""),100.0279708)</f>
        <v>100.0279708</v>
      </c>
      <c r="AF2093" s="3" t="str">
        <f>IFERROR(__xludf.DUMMYFUNCTION("""COMPUTED_VALUE"""),"BCM FC ถนนมาลัยแมน-31081")</f>
        <v>BCM FC ถนนมาลัยแมน-31081</v>
      </c>
      <c r="AG2093" s="3" t="str">
        <f>IFERROR(__xludf.DUMMYFUNCTION("""COMPUTED_VALUE"""),"กลาง")</f>
        <v>กลาง</v>
      </c>
      <c r="AH2093" s="3" t="str">
        <f>IFERROR(__xludf.DUMMYFUNCTION("""COMPUTED_VALUE"""),"#N/A")</f>
        <v>#N/A</v>
      </c>
      <c r="AI2093" s="3" t="str">
        <f>IFERROR(__xludf.DUMMYFUNCTION("""COMPUTED_VALUE"""),"Out of warranty")</f>
        <v>Out of warranty</v>
      </c>
      <c r="AJ2093" s="3">
        <f>IFERROR(__xludf.DUMMYFUNCTION("""COMPUTED_VALUE"""),98.0)</f>
        <v>98</v>
      </c>
      <c r="AK2093" s="3"/>
      <c r="AL2093" s="3"/>
    </row>
    <row r="2094" ht="15.75" customHeight="1">
      <c r="A2094" s="1" t="str">
        <f>IFERROR(__xludf.DUMMYFUNCTION("""COMPUTED_VALUE"""),"31082")</f>
        <v>31082</v>
      </c>
      <c r="B2094" s="2">
        <f>IFERROR(__xludf.DUMMYFUNCTION("""COMPUTED_VALUE"""),31082.0)</f>
        <v>31082</v>
      </c>
      <c r="C2094" s="3" t="str">
        <f>IFERROR(__xludf.DUMMYFUNCTION("""COMPUTED_VALUE"""),"BCM FC CTX ประดิษฐ์มนูธรรม")</f>
        <v>BCM FC CTX ประดิษฐ์มนูธรรม</v>
      </c>
      <c r="D2094" s="3" t="str">
        <f>IFERROR(__xludf.DUMMYFUNCTION("""COMPUTED_VALUE"""),"BCM CTX PRADIT MANUTHAM")</f>
        <v>BCM CTX PRADIT MANUTHAM</v>
      </c>
      <c r="E2094" s="1" t="str">
        <f>IFERROR(__xludf.DUMMYFUNCTION("""COMPUTED_VALUE"""),"บิ๊กซี MINI")</f>
        <v>บิ๊กซี MINI</v>
      </c>
      <c r="F2094" s="1" t="str">
        <f>IFERROR(__xludf.DUMMYFUNCTION("""COMPUTED_VALUE"""),"291008")</f>
        <v>291008</v>
      </c>
      <c r="G2094" s="1" t="str">
        <f>IFERROR(__xludf.DUMMYFUNCTION("""COMPUTED_VALUE"""),"น.ส.รัชดาพร อีศรัตน์")</f>
        <v>น.ส.รัชดาพร อีศรัตน์</v>
      </c>
      <c r="H2094" s="1" t="str">
        <f>IFERROR(__xludf.DUMMYFUNCTION("""COMPUTED_VALUE"""),"034068")</f>
        <v>034068</v>
      </c>
      <c r="I2094" s="1" t="str">
        <f>IFERROR(__xludf.DUMMYFUNCTION("""COMPUTED_VALUE"""),"นายสมศักดิ์ ฐานทองดี")</f>
        <v>นายสมศักดิ์ ฐานทองดี</v>
      </c>
      <c r="J2094" s="3">
        <f>IFERROR(__xludf.DUMMYFUNCTION("""COMPUTED_VALUE"""),3510104.0)</f>
        <v>3510104</v>
      </c>
      <c r="K2094" s="3" t="str">
        <f>IFERROR(__xludf.DUMMYFUNCTION("""COMPUTED_VALUE"""),"นายวิโรจน์ อับดุลสมัด")</f>
        <v>นายวิโรจน์ อับดุลสมัด</v>
      </c>
      <c r="L2094" s="3" t="str">
        <f>IFERROR(__xludf.DUMMYFUNCTION("""COMPUTED_VALUE"""),"09 K.Wirode A")</f>
        <v>09 K.Wirode A</v>
      </c>
      <c r="M2094" s="1" t="str">
        <f>IFERROR(__xludf.DUMMYFUNCTION("""COMPUTED_VALUE"""),"080-235-4465")</f>
        <v>080-235-4465</v>
      </c>
      <c r="N2094" s="3">
        <f>IFERROR(__xludf.DUMMYFUNCTION("""COMPUTED_VALUE"""),21324.0)</f>
        <v>21324</v>
      </c>
      <c r="O2094" s="3" t="str">
        <f>IFERROR(__xludf.DUMMYFUNCTION("""COMPUTED_VALUE"""),"MBC BCP สุวินทวงศ์")</f>
        <v>MBC BCP สุวินทวงศ์</v>
      </c>
      <c r="P2094" s="4">
        <f>IFERROR(__xludf.DUMMYFUNCTION("""COMPUTED_VALUE"""),43066.0)</f>
        <v>43066</v>
      </c>
      <c r="Q2094" s="3" t="str">
        <f>IFERROR(__xludf.DUMMYFUNCTION("""COMPUTED_VALUE"""),"I")</f>
        <v>I</v>
      </c>
      <c r="R2094" s="3" t="str">
        <f>IFERROR(__xludf.DUMMYFUNCTION("""COMPUTED_VALUE"""),"Small Format")</f>
        <v>Small Format</v>
      </c>
      <c r="S2094" s="3" t="str">
        <f>IFERROR(__xludf.DUMMYFUNCTION("""COMPUTED_VALUE"""),"BCM(FC)")</f>
        <v>BCM(FC)</v>
      </c>
      <c r="T2094" s="3" t="str">
        <f>IFERROR(__xludf.DUMMYFUNCTION("""COMPUTED_VALUE"""),"#N/A")</f>
        <v>#N/A</v>
      </c>
      <c r="U2094" s="3" t="str">
        <f>IFERROR(__xludf.DUMMYFUNCTION("""COMPUTED_VALUE"""),"#N/A")</f>
        <v>#N/A</v>
      </c>
      <c r="V2094" s="3" t="str">
        <f>IFERROR(__xludf.DUMMYFUNCTION("""COMPUTED_VALUE"""),"Y")</f>
        <v>Y</v>
      </c>
      <c r="W2094" s="3">
        <f>IFERROR(__xludf.DUMMYFUNCTION("""COMPUTED_VALUE"""),811166.0)</f>
        <v>811166</v>
      </c>
      <c r="X2094" s="3" t="str">
        <f>IFERROR(__xludf.DUMMYFUNCTION("""COMPUTED_VALUE"""),"187 ถนนประดิษฐ์มนูธรรม แขวงลาดพร้าว เขตลาดพร้าว กรุงเทพมหานคร 10230")</f>
        <v>187 ถนนประดิษฐ์มนูธรรม แขวงลาดพร้าว เขตลาดพร้าว กรุงเทพมหานคร 10230</v>
      </c>
      <c r="Y2094" s="3" t="str">
        <f>IFERROR(__xludf.DUMMYFUNCTION("""COMPUTED_VALUE"""),"ถนนเอกมัย-รามอินทรา")</f>
        <v>ถนนเอกมัย-รามอินทรา</v>
      </c>
      <c r="Z2094" s="3" t="str">
        <f>IFERROR(__xludf.DUMMYFUNCTION("""COMPUTED_VALUE"""),"ลาดพร้าว")</f>
        <v>ลาดพร้าว</v>
      </c>
      <c r="AA2094" s="3" t="str">
        <f>IFERROR(__xludf.DUMMYFUNCTION("""COMPUTED_VALUE"""),"ลาดพร้าว")</f>
        <v>ลาดพร้าว</v>
      </c>
      <c r="AB2094" s="3" t="str">
        <f>IFERROR(__xludf.DUMMYFUNCTION("""COMPUTED_VALUE"""),"กรุงเทพมหานคร")</f>
        <v>กรุงเทพมหานคร</v>
      </c>
      <c r="AC2094" s="3">
        <f>IFERROR(__xludf.DUMMYFUNCTION("""COMPUTED_VALUE"""),10230.0)</f>
        <v>10230</v>
      </c>
      <c r="AD2094" s="3">
        <f>IFERROR(__xludf.DUMMYFUNCTION("""COMPUTED_VALUE"""),13.8099749)</f>
        <v>13.8099749</v>
      </c>
      <c r="AE2094" s="3">
        <f>IFERROR(__xludf.DUMMYFUNCTION("""COMPUTED_VALUE"""),100.6194626)</f>
        <v>100.6194626</v>
      </c>
      <c r="AF2094" s="3" t="str">
        <f>IFERROR(__xludf.DUMMYFUNCTION("""COMPUTED_VALUE"""),"BCM FC CTX ประดิษฐ์มนูธรรม-31082")</f>
        <v>BCM FC CTX ประดิษฐ์มนูธรรม-31082</v>
      </c>
      <c r="AG2094" s="3" t="str">
        <f>IFERROR(__xludf.DUMMYFUNCTION("""COMPUTED_VALUE"""),"กลาง")</f>
        <v>กลาง</v>
      </c>
      <c r="AH2094" s="3" t="str">
        <f>IFERROR(__xludf.DUMMYFUNCTION("""COMPUTED_VALUE"""),"#N/A")</f>
        <v>#N/A</v>
      </c>
      <c r="AI2094" s="3" t="str">
        <f>IFERROR(__xludf.DUMMYFUNCTION("""COMPUTED_VALUE"""),"Out of warranty")</f>
        <v>Out of warranty</v>
      </c>
      <c r="AJ2094" s="3">
        <f>IFERROR(__xludf.DUMMYFUNCTION("""COMPUTED_VALUE"""),98.0)</f>
        <v>98</v>
      </c>
      <c r="AK2094" s="3"/>
      <c r="AL2094" s="3"/>
    </row>
    <row r="2095" ht="15.75" customHeight="1">
      <c r="A2095" s="1" t="str">
        <f>IFERROR(__xludf.DUMMYFUNCTION("""COMPUTED_VALUE"""),"31083")</f>
        <v>31083</v>
      </c>
      <c r="B2095" s="2">
        <f>IFERROR(__xludf.DUMMYFUNCTION("""COMPUTED_VALUE"""),31083.0)</f>
        <v>31083</v>
      </c>
      <c r="C2095" s="3" t="str">
        <f>IFERROR(__xludf.DUMMYFUNCTION("""COMPUTED_VALUE"""),"MFC หนองหาน อุดรธานี")</f>
        <v>MFC หนองหาน อุดรธานี</v>
      </c>
      <c r="D2095" s="3" t="str">
        <f>IFERROR(__xludf.DUMMYFUNCTION("""COMPUTED_VALUE"""),"MFC NONGHAN UDONTHANI")</f>
        <v>MFC NONGHAN UDONTHANI</v>
      </c>
      <c r="E2095" s="1" t="str">
        <f>IFERROR(__xludf.DUMMYFUNCTION("""COMPUTED_VALUE"""),"บิ๊กซี MINI")</f>
        <v>บิ๊กซี MINI</v>
      </c>
      <c r="F2095" s="1" t="str">
        <f>IFERROR(__xludf.DUMMYFUNCTION("""COMPUTED_VALUE"""),"291100")</f>
        <v>291100</v>
      </c>
      <c r="G2095" s="1" t="str">
        <f>IFERROR(__xludf.DUMMYFUNCTION("""COMPUTED_VALUE"""),"น.ส.จารุณี ฮวบอินทร์")</f>
        <v>น.ส.จารุณี ฮวบอินทร์</v>
      </c>
      <c r="H2095" s="1" t="str">
        <f>IFERROR(__xludf.DUMMYFUNCTION("""COMPUTED_VALUE"""),"034043")</f>
        <v>034043</v>
      </c>
      <c r="I2095" s="1" t="str">
        <f>IFERROR(__xludf.DUMMYFUNCTION("""COMPUTED_VALUE"""),"นายพันธ์ทอง จันปลิว")</f>
        <v>นายพันธ์ทอง จันปลิว</v>
      </c>
      <c r="J2095" s="3">
        <f>IFERROR(__xludf.DUMMYFUNCTION("""COMPUTED_VALUE"""),295886.0)</f>
        <v>295886</v>
      </c>
      <c r="K2095" s="3" t="str">
        <f>IFERROR(__xludf.DUMMYFUNCTION("""COMPUTED_VALUE"""),"นายจิระพงษ์ โพธิ์นิล")</f>
        <v>นายจิระพงษ์ โพธิ์นิล</v>
      </c>
      <c r="L2095" s="1" t="str">
        <f>IFERROR(__xludf.DUMMYFUNCTION("""COMPUTED_VALUE"""),"นายจิระพงษ์ โพธิ์นิล")</f>
        <v>นายจิระพงษ์ โพธิ์นิล</v>
      </c>
      <c r="M2095" s="1" t="str">
        <f>IFERROR(__xludf.DUMMYFUNCTION("""COMPUTED_VALUE"""),"0933290754")</f>
        <v>0933290754</v>
      </c>
      <c r="N2095" s="3">
        <f>IFERROR(__xludf.DUMMYFUNCTION("""COMPUTED_VALUE"""),21465.0)</f>
        <v>21465</v>
      </c>
      <c r="O2095" s="3" t="str">
        <f>IFERROR(__xludf.DUMMYFUNCTION("""COMPUTED_VALUE"""),"MBC สถานีตำรวจอุดร")</f>
        <v>MBC สถานีตำรวจอุดร</v>
      </c>
      <c r="P2095" s="4">
        <f>IFERROR(__xludf.DUMMYFUNCTION("""COMPUTED_VALUE"""),43074.0)</f>
        <v>43074</v>
      </c>
      <c r="Q2095" s="3" t="str">
        <f>IFERROR(__xludf.DUMMYFUNCTION("""COMPUTED_VALUE"""),"I")</f>
        <v>I</v>
      </c>
      <c r="R2095" s="3" t="str">
        <f>IFERROR(__xludf.DUMMYFUNCTION("""COMPUTED_VALUE"""),"Small Format")</f>
        <v>Small Format</v>
      </c>
      <c r="S2095" s="3" t="str">
        <f>IFERROR(__xludf.DUMMYFUNCTION("""COMPUTED_VALUE"""),"BCM(FC)")</f>
        <v>BCM(FC)</v>
      </c>
      <c r="T2095" s="3" t="str">
        <f>IFERROR(__xludf.DUMMYFUNCTION("""COMPUTED_VALUE"""),"#N/A")</f>
        <v>#N/A</v>
      </c>
      <c r="U2095" s="3" t="str">
        <f>IFERROR(__xludf.DUMMYFUNCTION("""COMPUTED_VALUE"""),"#N/A")</f>
        <v>#N/A</v>
      </c>
      <c r="V2095" s="3" t="str">
        <f>IFERROR(__xludf.DUMMYFUNCTION("""COMPUTED_VALUE"""),"Y")</f>
        <v>Y</v>
      </c>
      <c r="W2095" s="3">
        <f>IFERROR(__xludf.DUMMYFUNCTION("""COMPUTED_VALUE"""),0.0)</f>
        <v>0</v>
      </c>
      <c r="X2095" s="3" t="str">
        <f>IFERROR(__xludf.DUMMYFUNCTION("""COMPUTED_VALUE"""),"239 หมู่ที่2 ตำบลหนองหาน อำเภอหนองหาน จังหวัดอุดรธานี 41130")</f>
        <v>239 หมู่ที่2 ตำบลหนองหาน อำเภอหนองหาน จังหวัดอุดรธานี 41130</v>
      </c>
      <c r="Y2095" s="3"/>
      <c r="Z2095" s="3" t="str">
        <f>IFERROR(__xludf.DUMMYFUNCTION("""COMPUTED_VALUE"""),"หนองหาน")</f>
        <v>หนองหาน</v>
      </c>
      <c r="AA2095" s="3" t="str">
        <f>IFERROR(__xludf.DUMMYFUNCTION("""COMPUTED_VALUE"""),"หนองหาน")</f>
        <v>หนองหาน</v>
      </c>
      <c r="AB2095" s="3" t="str">
        <f>IFERROR(__xludf.DUMMYFUNCTION("""COMPUTED_VALUE"""),"อุดรธานี")</f>
        <v>อุดรธานี</v>
      </c>
      <c r="AC2095" s="3">
        <f>IFERROR(__xludf.DUMMYFUNCTION("""COMPUTED_VALUE"""),41130.0)</f>
        <v>41130</v>
      </c>
      <c r="AD2095" s="3" t="str">
        <f>IFERROR(__xludf.DUMMYFUNCTION("""COMPUTED_VALUE"""),"#N/A")</f>
        <v>#N/A</v>
      </c>
      <c r="AE2095" s="3" t="str">
        <f>IFERROR(__xludf.DUMMYFUNCTION("""COMPUTED_VALUE"""),"#N/A")</f>
        <v>#N/A</v>
      </c>
      <c r="AF2095" s="3" t="str">
        <f>IFERROR(__xludf.DUMMYFUNCTION("""COMPUTED_VALUE"""),"MFC หนองหาน อุดรธานี-31083")</f>
        <v>MFC หนองหาน อุดรธานี-31083</v>
      </c>
      <c r="AG2095" s="3" t="str">
        <f>IFERROR(__xludf.DUMMYFUNCTION("""COMPUTED_VALUE"""),"ตะวันออกเฉียงเหนือ")</f>
        <v>ตะวันออกเฉียงเหนือ</v>
      </c>
      <c r="AH2095" s="3" t="str">
        <f>IFERROR(__xludf.DUMMYFUNCTION("""COMPUTED_VALUE"""),"#N/A")</f>
        <v>#N/A</v>
      </c>
      <c r="AI2095" s="3" t="str">
        <f>IFERROR(__xludf.DUMMYFUNCTION("""COMPUTED_VALUE"""),"Out of warranty")</f>
        <v>Out of warranty</v>
      </c>
      <c r="AJ2095" s="3">
        <f>IFERROR(__xludf.DUMMYFUNCTION("""COMPUTED_VALUE"""),98.0)</f>
        <v>98</v>
      </c>
      <c r="AK2095" s="3"/>
      <c r="AL2095" s="3"/>
    </row>
    <row r="2096" ht="15.75" customHeight="1">
      <c r="A2096" s="1" t="str">
        <f>IFERROR(__xludf.DUMMYFUNCTION("""COMPUTED_VALUE"""),"31084")</f>
        <v>31084</v>
      </c>
      <c r="B2096" s="2">
        <f>IFERROR(__xludf.DUMMYFUNCTION("""COMPUTED_VALUE"""),31084.0)</f>
        <v>31084</v>
      </c>
      <c r="C2096" s="3" t="str">
        <f>IFERROR(__xludf.DUMMYFUNCTION("""COMPUTED_VALUE"""),"MFC บ้านใหม่ โคราช")</f>
        <v>MFC บ้านใหม่ โคราช</v>
      </c>
      <c r="D2096" s="3" t="str">
        <f>IFERROR(__xludf.DUMMYFUNCTION("""COMPUTED_VALUE"""),"MFC BANMAI KORAT")</f>
        <v>MFC BANMAI KORAT</v>
      </c>
      <c r="E2096" s="1" t="str">
        <f>IFERROR(__xludf.DUMMYFUNCTION("""COMPUTED_VALUE"""),"บิ๊กซี MINI")</f>
        <v>บิ๊กซี MINI</v>
      </c>
      <c r="F2096" s="1" t="str">
        <f>IFERROR(__xludf.DUMMYFUNCTION("""COMPUTED_VALUE"""),"291100")</f>
        <v>291100</v>
      </c>
      <c r="G2096" s="1" t="str">
        <f>IFERROR(__xludf.DUMMYFUNCTION("""COMPUTED_VALUE"""),"น.ส.จารุณี ฮวบอินทร์")</f>
        <v>น.ส.จารุณี ฮวบอินทร์</v>
      </c>
      <c r="H2096" s="1" t="str">
        <f>IFERROR(__xludf.DUMMYFUNCTION("""COMPUTED_VALUE"""),"180347")</f>
        <v>180347</v>
      </c>
      <c r="I2096" s="1" t="str">
        <f>IFERROR(__xludf.DUMMYFUNCTION("""COMPUTED_VALUE"""),"นายณัฐพงษ์ สุตะวงค์")</f>
        <v>นายณัฐพงษ์ สุตะวงค์</v>
      </c>
      <c r="J2096" s="3">
        <f>IFERROR(__xludf.DUMMYFUNCTION("""COMPUTED_VALUE"""),295886.0)</f>
        <v>295886</v>
      </c>
      <c r="K2096" s="3" t="str">
        <f>IFERROR(__xludf.DUMMYFUNCTION("""COMPUTED_VALUE"""),"นายจิระพงษ์ โพธิ์นิล")</f>
        <v>นายจิระพงษ์ โพธิ์นิล</v>
      </c>
      <c r="L2096" s="1" t="str">
        <f>IFERROR(__xludf.DUMMYFUNCTION("""COMPUTED_VALUE"""),"นายจิระพงษ์ โพธิ์นิล")</f>
        <v>นายจิระพงษ์ โพธิ์นิล</v>
      </c>
      <c r="M2096" s="1" t="str">
        <f>IFERROR(__xludf.DUMMYFUNCTION("""COMPUTED_VALUE"""),"0933290754")</f>
        <v>0933290754</v>
      </c>
      <c r="N2096" s="3">
        <f>IFERROR(__xludf.DUMMYFUNCTION("""COMPUTED_VALUE"""),21465.0)</f>
        <v>21465</v>
      </c>
      <c r="O2096" s="3" t="str">
        <f>IFERROR(__xludf.DUMMYFUNCTION("""COMPUTED_VALUE"""),"MBC สถานีตำรวจอุดร")</f>
        <v>MBC สถานีตำรวจอุดร</v>
      </c>
      <c r="P2096" s="4">
        <f>IFERROR(__xludf.DUMMYFUNCTION("""COMPUTED_VALUE"""),43077.0)</f>
        <v>43077</v>
      </c>
      <c r="Q2096" s="3" t="str">
        <f>IFERROR(__xludf.DUMMYFUNCTION("""COMPUTED_VALUE"""),"I")</f>
        <v>I</v>
      </c>
      <c r="R2096" s="3" t="str">
        <f>IFERROR(__xludf.DUMMYFUNCTION("""COMPUTED_VALUE"""),"Small Format")</f>
        <v>Small Format</v>
      </c>
      <c r="S2096" s="3" t="str">
        <f>IFERROR(__xludf.DUMMYFUNCTION("""COMPUTED_VALUE"""),"BCM(FC)")</f>
        <v>BCM(FC)</v>
      </c>
      <c r="T2096" s="3" t="str">
        <f>IFERROR(__xludf.DUMMYFUNCTION("""COMPUTED_VALUE"""),"#N/A")</f>
        <v>#N/A</v>
      </c>
      <c r="U2096" s="3" t="str">
        <f>IFERROR(__xludf.DUMMYFUNCTION("""COMPUTED_VALUE"""),"#N/A")</f>
        <v>#N/A</v>
      </c>
      <c r="V2096" s="3" t="str">
        <f>IFERROR(__xludf.DUMMYFUNCTION("""COMPUTED_VALUE"""),"Y")</f>
        <v>Y</v>
      </c>
      <c r="W2096" s="3">
        <f>IFERROR(__xludf.DUMMYFUNCTION("""COMPUTED_VALUE"""),0.0)</f>
        <v>0</v>
      </c>
      <c r="X2096" s="3" t="str">
        <f>IFERROR(__xludf.DUMMYFUNCTION("""COMPUTED_VALUE"""),"728 หมู่ที่5 ตำบลบ้านใหม่ อำเภอเมืองนครราชสีมา จังหวัดนครราชสีมา 30000")</f>
        <v>728 หมู่ที่5 ตำบลบ้านใหม่ อำเภอเมืองนครราชสีมา จังหวัดนครราชสีมา 30000</v>
      </c>
      <c r="Y2096" s="3"/>
      <c r="Z2096" s="3" t="str">
        <f>IFERROR(__xludf.DUMMYFUNCTION("""COMPUTED_VALUE"""),"บ้านใหม่")</f>
        <v>บ้านใหม่</v>
      </c>
      <c r="AA2096" s="3" t="str">
        <f>IFERROR(__xludf.DUMMYFUNCTION("""COMPUTED_VALUE"""),"เมือง")</f>
        <v>เมือง</v>
      </c>
      <c r="AB2096" s="3" t="str">
        <f>IFERROR(__xludf.DUMMYFUNCTION("""COMPUTED_VALUE"""),"นครราชสีมา")</f>
        <v>นครราชสีมา</v>
      </c>
      <c r="AC2096" s="3">
        <f>IFERROR(__xludf.DUMMYFUNCTION("""COMPUTED_VALUE"""),30000.0)</f>
        <v>30000</v>
      </c>
      <c r="AD2096" s="3" t="str">
        <f>IFERROR(__xludf.DUMMYFUNCTION("""COMPUTED_VALUE"""),"#N/A")</f>
        <v>#N/A</v>
      </c>
      <c r="AE2096" s="3" t="str">
        <f>IFERROR(__xludf.DUMMYFUNCTION("""COMPUTED_VALUE"""),"#N/A")</f>
        <v>#N/A</v>
      </c>
      <c r="AF2096" s="3" t="str">
        <f>IFERROR(__xludf.DUMMYFUNCTION("""COMPUTED_VALUE"""),"MFC บ้านใหม่ โคราช-31084")</f>
        <v>MFC บ้านใหม่ โคราช-31084</v>
      </c>
      <c r="AG2096" s="3" t="str">
        <f>IFERROR(__xludf.DUMMYFUNCTION("""COMPUTED_VALUE"""),"ตะวันออกเฉียงเหนือ")</f>
        <v>ตะวันออกเฉียงเหนือ</v>
      </c>
      <c r="AH2096" s="3" t="str">
        <f>IFERROR(__xludf.DUMMYFUNCTION("""COMPUTED_VALUE"""),"#N/A")</f>
        <v>#N/A</v>
      </c>
      <c r="AI2096" s="3" t="str">
        <f>IFERROR(__xludf.DUMMYFUNCTION("""COMPUTED_VALUE"""),"Out of warranty")</f>
        <v>Out of warranty</v>
      </c>
      <c r="AJ2096" s="3">
        <f>IFERROR(__xludf.DUMMYFUNCTION("""COMPUTED_VALUE"""),98.0)</f>
        <v>98</v>
      </c>
      <c r="AK2096" s="3"/>
      <c r="AL2096" s="3"/>
    </row>
    <row r="2097" ht="15.75" customHeight="1">
      <c r="A2097" s="1" t="str">
        <f>IFERROR(__xludf.DUMMYFUNCTION("""COMPUTED_VALUE"""),"31085")</f>
        <v>31085</v>
      </c>
      <c r="B2097" s="2">
        <f>IFERROR(__xludf.DUMMYFUNCTION("""COMPUTED_VALUE"""),31085.0)</f>
        <v>31085</v>
      </c>
      <c r="C2097" s="3" t="str">
        <f>IFERROR(__xludf.DUMMYFUNCTION("""COMPUTED_VALUE"""),"MFC เอื้ออาทร กบินทร์บุรี")</f>
        <v>MFC เอื้ออาทร กบินทร์บุรี</v>
      </c>
      <c r="D2097" s="3" t="str">
        <f>IFERROR(__xludf.DUMMYFUNCTION("""COMPUTED_VALUE"""),"MFC PACHARA MERCHANDISE")</f>
        <v>MFC PACHARA MERCHANDISE</v>
      </c>
      <c r="E2097" s="1" t="str">
        <f>IFERROR(__xludf.DUMMYFUNCTION("""COMPUTED_VALUE"""),"บิ๊กซี MINI")</f>
        <v>บิ๊กซี MINI</v>
      </c>
      <c r="F2097" s="1" t="str">
        <f>IFERROR(__xludf.DUMMYFUNCTION("""COMPUTED_VALUE"""),"250760")</f>
        <v>250760</v>
      </c>
      <c r="G2097" s="1" t="str">
        <f>IFERROR(__xludf.DUMMYFUNCTION("""COMPUTED_VALUE"""),"นายประทวน สาราบรรณ์")</f>
        <v>นายประทวน สาราบรรณ์</v>
      </c>
      <c r="H2097" s="1" t="str">
        <f>IFERROR(__xludf.DUMMYFUNCTION("""COMPUTED_VALUE"""),"002773")</f>
        <v>002773</v>
      </c>
      <c r="I2097" s="1" t="str">
        <f>IFERROR(__xludf.DUMMYFUNCTION("""COMPUTED_VALUE"""),"น.ส.มลิวัลย์ บุญเต็ม")</f>
        <v>น.ส.มลิวัลย์ บุญเต็ม</v>
      </c>
      <c r="J2097" s="3">
        <f>IFERROR(__xludf.DUMMYFUNCTION("""COMPUTED_VALUE"""),295541.0)</f>
        <v>295541</v>
      </c>
      <c r="K2097" s="3" t="str">
        <f>IFERROR(__xludf.DUMMYFUNCTION("""COMPUTED_VALUE"""),"นายรพิพล ศรีมาตย์")</f>
        <v>นายรพิพล ศรีมาตย์</v>
      </c>
      <c r="L2097" s="1" t="str">
        <f>IFERROR(__xludf.DUMMYFUNCTION("""COMPUTED_VALUE"""),"นายรพิพล ศรีมาตย์")</f>
        <v>นายรพิพล ศรีมาตย์</v>
      </c>
      <c r="M2097" s="1" t="str">
        <f>IFERROR(__xludf.DUMMYFUNCTION("""COMPUTED_VALUE"""),"0613966115")</f>
        <v>0613966115</v>
      </c>
      <c r="N2097" s="3">
        <f>IFERROR(__xludf.DUMMYFUNCTION("""COMPUTED_VALUE"""),21175.0)</f>
        <v>21175</v>
      </c>
      <c r="O2097" s="3" t="str">
        <f>IFERROR(__xludf.DUMMYFUNCTION("""COMPUTED_VALUE"""),"MBC BCP กิ่งแก้ว")</f>
        <v>MBC BCP กิ่งแก้ว</v>
      </c>
      <c r="P2097" s="4">
        <f>IFERROR(__xludf.DUMMYFUNCTION("""COMPUTED_VALUE"""),43091.0)</f>
        <v>43091</v>
      </c>
      <c r="Q2097" s="3" t="str">
        <f>IFERROR(__xludf.DUMMYFUNCTION("""COMPUTED_VALUE"""),"I")</f>
        <v>I</v>
      </c>
      <c r="R2097" s="3" t="str">
        <f>IFERROR(__xludf.DUMMYFUNCTION("""COMPUTED_VALUE"""),"Small Format")</f>
        <v>Small Format</v>
      </c>
      <c r="S2097" s="3" t="str">
        <f>IFERROR(__xludf.DUMMYFUNCTION("""COMPUTED_VALUE"""),"BCM(FC)")</f>
        <v>BCM(FC)</v>
      </c>
      <c r="T2097" s="3" t="str">
        <f>IFERROR(__xludf.DUMMYFUNCTION("""COMPUTED_VALUE"""),"#N/A")</f>
        <v>#N/A</v>
      </c>
      <c r="U2097" s="3" t="str">
        <f>IFERROR(__xludf.DUMMYFUNCTION("""COMPUTED_VALUE"""),"#N/A")</f>
        <v>#N/A</v>
      </c>
      <c r="V2097" s="3" t="str">
        <f>IFERROR(__xludf.DUMMYFUNCTION("""COMPUTED_VALUE"""),"Y")</f>
        <v>Y</v>
      </c>
      <c r="W2097" s="3">
        <f>IFERROR(__xludf.DUMMYFUNCTION("""COMPUTED_VALUE"""),0.0)</f>
        <v>0</v>
      </c>
      <c r="X2097" s="3" t="str">
        <f>IFERROR(__xludf.DUMMYFUNCTION("""COMPUTED_VALUE"""),"200/23-24 หมู่ที่9 ตำบลเมืองเก่า อำเภอกบินทร์บุรี จังหวัดปราจีนบุรี 25240")</f>
        <v>200/23-24 หมู่ที่9 ตำบลเมืองเก่า อำเภอกบินทร์บุรี จังหวัดปราจีนบุรี 25240</v>
      </c>
      <c r="Y2097" s="3"/>
      <c r="Z2097" s="3" t="str">
        <f>IFERROR(__xludf.DUMMYFUNCTION("""COMPUTED_VALUE"""),"เมืองเก่า")</f>
        <v>เมืองเก่า</v>
      </c>
      <c r="AA2097" s="3" t="str">
        <f>IFERROR(__xludf.DUMMYFUNCTION("""COMPUTED_VALUE"""),"กบินทร์บุรี")</f>
        <v>กบินทร์บุรี</v>
      </c>
      <c r="AB2097" s="3" t="str">
        <f>IFERROR(__xludf.DUMMYFUNCTION("""COMPUTED_VALUE"""),"ปราจีนบุรี")</f>
        <v>ปราจีนบุรี</v>
      </c>
      <c r="AC2097" s="3">
        <f>IFERROR(__xludf.DUMMYFUNCTION("""COMPUTED_VALUE"""),25240.0)</f>
        <v>25240</v>
      </c>
      <c r="AD2097" s="3" t="str">
        <f>IFERROR(__xludf.DUMMYFUNCTION("""COMPUTED_VALUE"""),"#N/A")</f>
        <v>#N/A</v>
      </c>
      <c r="AE2097" s="3" t="str">
        <f>IFERROR(__xludf.DUMMYFUNCTION("""COMPUTED_VALUE"""),"#N/A")</f>
        <v>#N/A</v>
      </c>
      <c r="AF2097" s="3" t="str">
        <f>IFERROR(__xludf.DUMMYFUNCTION("""COMPUTED_VALUE"""),"MFC เอื้ออาทร กบินทร์บุรี-31085")</f>
        <v>MFC เอื้ออาทร กบินทร์บุรี-31085</v>
      </c>
      <c r="AG2097" s="3" t="str">
        <f>IFERROR(__xludf.DUMMYFUNCTION("""COMPUTED_VALUE"""),"ตะวันออก")</f>
        <v>ตะวันออก</v>
      </c>
      <c r="AH2097" s="3" t="str">
        <f>IFERROR(__xludf.DUMMYFUNCTION("""COMPUTED_VALUE"""),"#N/A")</f>
        <v>#N/A</v>
      </c>
      <c r="AI2097" s="3" t="str">
        <f>IFERROR(__xludf.DUMMYFUNCTION("""COMPUTED_VALUE"""),"Out of warranty")</f>
        <v>Out of warranty</v>
      </c>
      <c r="AJ2097" s="3">
        <f>IFERROR(__xludf.DUMMYFUNCTION("""COMPUTED_VALUE"""),97.0)</f>
        <v>97</v>
      </c>
      <c r="AK2097" s="3"/>
      <c r="AL2097" s="3"/>
    </row>
    <row r="2098" ht="15.75" customHeight="1">
      <c r="A2098" s="1" t="str">
        <f>IFERROR(__xludf.DUMMYFUNCTION("""COMPUTED_VALUE"""),"31086")</f>
        <v>31086</v>
      </c>
      <c r="B2098" s="2">
        <f>IFERROR(__xludf.DUMMYFUNCTION("""COMPUTED_VALUE"""),31086.0)</f>
        <v>31086</v>
      </c>
      <c r="C2098" s="3" t="str">
        <f>IFERROR(__xludf.DUMMYFUNCTION("""COMPUTED_VALUE"""),"BCM FC Esso ชัยนาท")</f>
        <v>BCM FC Esso ชัยนาท</v>
      </c>
      <c r="D2098" s="3" t="str">
        <f>IFERROR(__xludf.DUMMYFUNCTION("""COMPUTED_VALUE"""),"BCM ESSO CHAINAT")</f>
        <v>BCM ESSO CHAINAT</v>
      </c>
      <c r="E2098" s="1" t="str">
        <f>IFERROR(__xludf.DUMMYFUNCTION("""COMPUTED_VALUE"""),"บิ๊กซี MINI")</f>
        <v>บิ๊กซี MINI</v>
      </c>
      <c r="F2098" s="1" t="str">
        <f>IFERROR(__xludf.DUMMYFUNCTION("""COMPUTED_VALUE"""),"296229")</f>
        <v>296229</v>
      </c>
      <c r="G2098" s="1" t="str">
        <f>IFERROR(__xludf.DUMMYFUNCTION("""COMPUTED_VALUE"""),"นายทนงศักดิ์ บุญมา")</f>
        <v>นายทนงศักดิ์ บุญมา</v>
      </c>
      <c r="H2098" s="1" t="str">
        <f>IFERROR(__xludf.DUMMYFUNCTION("""COMPUTED_VALUE"""),"291082")</f>
        <v>291082</v>
      </c>
      <c r="I2098" s="1" t="str">
        <f>IFERROR(__xludf.DUMMYFUNCTION("""COMPUTED_VALUE"""),"น.ส.วจี กันเกตุ")</f>
        <v>น.ส.วจี กันเกตุ</v>
      </c>
      <c r="J2098" s="3">
        <f>IFERROR(__xludf.DUMMYFUNCTION("""COMPUTED_VALUE"""),46214.0)</f>
        <v>46214</v>
      </c>
      <c r="K2098" s="3" t="str">
        <f>IFERROR(__xludf.DUMMYFUNCTION("""COMPUTED_VALUE"""),"นายศักดิ์ชัย เด็ดดอกฟ้า")</f>
        <v>นายศักดิ์ชัย เด็ดดอกฟ้า</v>
      </c>
      <c r="L2098" s="1" t="str">
        <f>IFERROR(__xludf.DUMMYFUNCTION("""COMPUTED_VALUE"""),"02 K.Sakchai D")</f>
        <v>02 K.Sakchai D</v>
      </c>
      <c r="M2098" s="1" t="str">
        <f>IFERROR(__xludf.DUMMYFUNCTION("""COMPUTED_VALUE"""),"065-510-7376")</f>
        <v>065-510-7376</v>
      </c>
      <c r="N2098" s="3">
        <f>IFERROR(__xludf.DUMMYFUNCTION("""COMPUTED_VALUE"""),21441.0)</f>
        <v>21441</v>
      </c>
      <c r="O2098" s="3" t="str">
        <f>IFERROR(__xludf.DUMMYFUNCTION("""COMPUTED_VALUE"""),"MBC บ้านกร่าง พิษณุโลก")</f>
        <v>MBC บ้านกร่าง พิษณุโลก</v>
      </c>
      <c r="P2098" s="4">
        <f>IFERROR(__xludf.DUMMYFUNCTION("""COMPUTED_VALUE"""),43095.0)</f>
        <v>43095</v>
      </c>
      <c r="Q2098" s="3" t="str">
        <f>IFERROR(__xludf.DUMMYFUNCTION("""COMPUTED_VALUE"""),"I")</f>
        <v>I</v>
      </c>
      <c r="R2098" s="3" t="str">
        <f>IFERROR(__xludf.DUMMYFUNCTION("""COMPUTED_VALUE"""),"Small Format")</f>
        <v>Small Format</v>
      </c>
      <c r="S2098" s="3" t="str">
        <f>IFERROR(__xludf.DUMMYFUNCTION("""COMPUTED_VALUE"""),"BCM(FC)")</f>
        <v>BCM(FC)</v>
      </c>
      <c r="T2098" s="3" t="str">
        <f>IFERROR(__xludf.DUMMYFUNCTION("""COMPUTED_VALUE"""),"#N/A")</f>
        <v>#N/A</v>
      </c>
      <c r="U2098" s="3" t="str">
        <f>IFERROR(__xludf.DUMMYFUNCTION("""COMPUTED_VALUE"""),"#N/A")</f>
        <v>#N/A</v>
      </c>
      <c r="V2098" s="3" t="str">
        <f>IFERROR(__xludf.DUMMYFUNCTION("""COMPUTED_VALUE"""),"Y")</f>
        <v>Y</v>
      </c>
      <c r="W2098" s="3">
        <f>IFERROR(__xludf.DUMMYFUNCTION("""COMPUTED_VALUE"""),811170.0)</f>
        <v>811170</v>
      </c>
      <c r="X2098" s="3" t="str">
        <f>IFERROR(__xludf.DUMMYFUNCTION("""COMPUTED_VALUE"""),"456 หมู่ที่3 ถนนชัยนาท-สุพรรณบุรี ตำบลชัยนาท อำเภอเมืองชัยนาท จังหวัดชัยนาท 17000")</f>
        <v>456 หมู่ที่3 ถนนชัยนาท-สุพรรณบุรี ตำบลชัยนาท อำเภอเมืองชัยนาท จังหวัดชัยนาท 17000</v>
      </c>
      <c r="Y2098" s="3"/>
      <c r="Z2098" s="3" t="str">
        <f>IFERROR(__xludf.DUMMYFUNCTION("""COMPUTED_VALUE"""),"ชัยนาท")</f>
        <v>ชัยนาท</v>
      </c>
      <c r="AA2098" s="3" t="str">
        <f>IFERROR(__xludf.DUMMYFUNCTION("""COMPUTED_VALUE"""),"เมือง")</f>
        <v>เมือง</v>
      </c>
      <c r="AB2098" s="3" t="str">
        <f>IFERROR(__xludf.DUMMYFUNCTION("""COMPUTED_VALUE"""),"ชัยนาท")</f>
        <v>ชัยนาท</v>
      </c>
      <c r="AC2098" s="3">
        <f>IFERROR(__xludf.DUMMYFUNCTION("""COMPUTED_VALUE"""),17000.0)</f>
        <v>17000</v>
      </c>
      <c r="AD2098" s="3">
        <f>IFERROR(__xludf.DUMMYFUNCTION("""COMPUTED_VALUE"""),15.1428885)</f>
        <v>15.1428885</v>
      </c>
      <c r="AE2098" s="3">
        <f>IFERROR(__xludf.DUMMYFUNCTION("""COMPUTED_VALUE"""),100.1410695)</f>
        <v>100.1410695</v>
      </c>
      <c r="AF2098" s="3" t="str">
        <f>IFERROR(__xludf.DUMMYFUNCTION("""COMPUTED_VALUE"""),"BCM FC Esso ชัยนาท-31086")</f>
        <v>BCM FC Esso ชัยนาท-31086</v>
      </c>
      <c r="AG2098" s="3" t="str">
        <f>IFERROR(__xludf.DUMMYFUNCTION("""COMPUTED_VALUE"""),"กลาง")</f>
        <v>กลาง</v>
      </c>
      <c r="AH2098" s="3" t="str">
        <f>IFERROR(__xludf.DUMMYFUNCTION("""COMPUTED_VALUE"""),"#N/A")</f>
        <v>#N/A</v>
      </c>
      <c r="AI2098" s="3" t="str">
        <f>IFERROR(__xludf.DUMMYFUNCTION("""COMPUTED_VALUE"""),"Out of warranty")</f>
        <v>Out of warranty</v>
      </c>
      <c r="AJ2098" s="3">
        <f>IFERROR(__xludf.DUMMYFUNCTION("""COMPUTED_VALUE"""),97.0)</f>
        <v>97</v>
      </c>
      <c r="AK2098" s="3"/>
      <c r="AL2098" s="3"/>
    </row>
    <row r="2099" ht="15.75" customHeight="1">
      <c r="A2099" s="1" t="str">
        <f>IFERROR(__xludf.DUMMYFUNCTION("""COMPUTED_VALUE"""),"31087")</f>
        <v>31087</v>
      </c>
      <c r="B2099" s="2">
        <f>IFERROR(__xludf.DUMMYFUNCTION("""COMPUTED_VALUE"""),31087.0)</f>
        <v>31087</v>
      </c>
      <c r="C2099" s="3" t="str">
        <f>IFERROR(__xludf.DUMMYFUNCTION("""COMPUTED_VALUE"""),"BCM FC BCP ชุมแพ ชัยภูมิ")</f>
        <v>BCM FC BCP ชุมแพ ชัยภูมิ</v>
      </c>
      <c r="D2099" s="3" t="str">
        <f>IFERROR(__xludf.DUMMYFUNCTION("""COMPUTED_VALUE"""),"BCM BCP CHUMPHAE (CHAIYAPHUM)")</f>
        <v>BCM BCP CHUMPHAE (CHAIYAPHUM)</v>
      </c>
      <c r="E2099" s="1" t="str">
        <f>IFERROR(__xludf.DUMMYFUNCTION("""COMPUTED_VALUE"""),"บิ๊กซี MINI")</f>
        <v>บิ๊กซี MINI</v>
      </c>
      <c r="F2099" s="1" t="str">
        <f>IFERROR(__xludf.DUMMYFUNCTION("""COMPUTED_VALUE"""),"291105")</f>
        <v>291105</v>
      </c>
      <c r="G2099" s="1" t="str">
        <f>IFERROR(__xludf.DUMMYFUNCTION("""COMPUTED_VALUE"""),"นายสราวุฒิ พณิชยกุล")</f>
        <v>นายสราวุฒิ พณิชยกุล</v>
      </c>
      <c r="H2099" s="1" t="str">
        <f>IFERROR(__xludf.DUMMYFUNCTION("""COMPUTED_VALUE"""),"371396")</f>
        <v>371396</v>
      </c>
      <c r="I2099" s="1" t="str">
        <f>IFERROR(__xludf.DUMMYFUNCTION("""COMPUTED_VALUE"""),"น.ส.สุภาวดี วิลัยพร")</f>
        <v>น.ส.สุภาวดี วิลัยพร</v>
      </c>
      <c r="J2099" s="3">
        <f>IFERROR(__xludf.DUMMYFUNCTION("""COMPUTED_VALUE"""),15361.0)</f>
        <v>15361</v>
      </c>
      <c r="K2099" s="3" t="str">
        <f>IFERROR(__xludf.DUMMYFUNCTION("""COMPUTED_VALUE"""),"นายสมบูรณ์ พรหมในเมือง")</f>
        <v>นายสมบูรณ์ พรหมในเมือง</v>
      </c>
      <c r="L2099" s="1" t="str">
        <f>IFERROR(__xludf.DUMMYFUNCTION("""COMPUTED_VALUE"""),"04 K.Somboon P.")</f>
        <v>04 K.Somboon P.</v>
      </c>
      <c r="M2099" s="1" t="str">
        <f>IFERROR(__xludf.DUMMYFUNCTION("""COMPUTED_VALUE"""),"087-965-3051")</f>
        <v>087-965-3051</v>
      </c>
      <c r="N2099" s="3">
        <f>IFERROR(__xludf.DUMMYFUNCTION("""COMPUTED_VALUE"""),21869.0)</f>
        <v>21869</v>
      </c>
      <c r="O2099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2099" s="4">
        <f>IFERROR(__xludf.DUMMYFUNCTION("""COMPUTED_VALUE"""),43197.0)</f>
        <v>43197</v>
      </c>
      <c r="Q2099" s="3" t="str">
        <f>IFERROR(__xludf.DUMMYFUNCTION("""COMPUTED_VALUE"""),"A")</f>
        <v>A</v>
      </c>
      <c r="R2099" s="3" t="str">
        <f>IFERROR(__xludf.DUMMYFUNCTION("""COMPUTED_VALUE"""),"Small Format")</f>
        <v>Small Format</v>
      </c>
      <c r="S2099" s="3" t="str">
        <f>IFERROR(__xludf.DUMMYFUNCTION("""COMPUTED_VALUE"""),"BCM(FC)")</f>
        <v>BCM(FC)</v>
      </c>
      <c r="T2099" s="3" t="str">
        <f>IFERROR(__xludf.DUMMYFUNCTION("""COMPUTED_VALUE"""),"#N/A")</f>
        <v>#N/A</v>
      </c>
      <c r="U2099" s="3" t="str">
        <f>IFERROR(__xludf.DUMMYFUNCTION("""COMPUTED_VALUE"""),"#N/A")</f>
        <v>#N/A</v>
      </c>
      <c r="V2099" s="3" t="str">
        <f>IFERROR(__xludf.DUMMYFUNCTION("""COMPUTED_VALUE"""),"Y")</f>
        <v>Y</v>
      </c>
      <c r="W2099" s="3">
        <f>IFERROR(__xludf.DUMMYFUNCTION("""COMPUTED_VALUE"""),811181.0)</f>
        <v>811181</v>
      </c>
      <c r="X2099" s="3" t="str">
        <f>IFERROR(__xludf.DUMMYFUNCTION("""COMPUTED_VALUE"""),"111/1 หมู่10 ตำบลโคกสะอาด อำเภอภูเขียว จังหวัดชัยภูมิ 36110")</f>
        <v>111/1 หมู่10 ตำบลโคกสะอาด อำเภอภูเขียว จังหวัดชัยภูมิ 36110</v>
      </c>
      <c r="Y2099" s="3"/>
      <c r="Z2099" s="3" t="str">
        <f>IFERROR(__xludf.DUMMYFUNCTION("""COMPUTED_VALUE"""),"โคกสะอาด")</f>
        <v>โคกสะอาด</v>
      </c>
      <c r="AA2099" s="3" t="str">
        <f>IFERROR(__xludf.DUMMYFUNCTION("""COMPUTED_VALUE"""),"ภูเขียว")</f>
        <v>ภูเขียว</v>
      </c>
      <c r="AB2099" s="3" t="str">
        <f>IFERROR(__xludf.DUMMYFUNCTION("""COMPUTED_VALUE"""),"ชัยภูมิ")</f>
        <v>ชัยภูมิ</v>
      </c>
      <c r="AC2099" s="3">
        <f>IFERROR(__xludf.DUMMYFUNCTION("""COMPUTED_VALUE"""),36110.0)</f>
        <v>36110</v>
      </c>
      <c r="AD2099" s="3">
        <f>IFERROR(__xludf.DUMMYFUNCTION("""COMPUTED_VALUE"""),16.492169)</f>
        <v>16.492169</v>
      </c>
      <c r="AE2099" s="3">
        <f>IFERROR(__xludf.DUMMYFUNCTION("""COMPUTED_VALUE"""),102.124307)</f>
        <v>102.124307</v>
      </c>
      <c r="AF2099" s="3" t="str">
        <f>IFERROR(__xludf.DUMMYFUNCTION("""COMPUTED_VALUE"""),"BCM FC BCP ชุมแพ ชัยภูมิ-31087")</f>
        <v>BCM FC BCP ชุมแพ ชัยภูมิ-31087</v>
      </c>
      <c r="AG2099" s="3" t="str">
        <f>IFERROR(__xludf.DUMMYFUNCTION("""COMPUTED_VALUE"""),"ตะวันออกเฉียงเหนือ")</f>
        <v>ตะวันออกเฉียงเหนือ</v>
      </c>
      <c r="AH2099" s="3" t="str">
        <f>IFERROR(__xludf.DUMMYFUNCTION("""COMPUTED_VALUE"""),"#N/A")</f>
        <v>#N/A</v>
      </c>
      <c r="AI2099" s="3" t="str">
        <f>IFERROR(__xludf.DUMMYFUNCTION("""COMPUTED_VALUE"""),"Out of warranty")</f>
        <v>Out of warranty</v>
      </c>
      <c r="AJ2099" s="3">
        <f>IFERROR(__xludf.DUMMYFUNCTION("""COMPUTED_VALUE"""),94.0)</f>
        <v>94</v>
      </c>
      <c r="AK2099" s="3"/>
      <c r="AL2099" s="3"/>
    </row>
    <row r="2100" ht="15.75" customHeight="1">
      <c r="A2100" s="1" t="str">
        <f>IFERROR(__xludf.DUMMYFUNCTION("""COMPUTED_VALUE"""),"31088")</f>
        <v>31088</v>
      </c>
      <c r="B2100" s="2">
        <f>IFERROR(__xludf.DUMMYFUNCTION("""COMPUTED_VALUE"""),31088.0)</f>
        <v>31088</v>
      </c>
      <c r="C2100" s="3" t="str">
        <f>IFERROR(__xludf.DUMMYFUNCTION("""COMPUTED_VALUE"""),"BCM FC CTX บ้านไผ่ ขอนแก่น")</f>
        <v>BCM FC CTX บ้านไผ่ ขอนแก่น</v>
      </c>
      <c r="D2100" s="3" t="str">
        <f>IFERROR(__xludf.DUMMYFUNCTION("""COMPUTED_VALUE"""),"BCM FC CTX BAN PHAI KHON KAEN")</f>
        <v>BCM FC CTX BAN PHAI KHON KAEN</v>
      </c>
      <c r="E2100" s="1" t="str">
        <f>IFERROR(__xludf.DUMMYFUNCTION("""COMPUTED_VALUE"""),"บิ๊กซี MINI")</f>
        <v>บิ๊กซี MINI</v>
      </c>
      <c r="F2100" s="1" t="str">
        <f>IFERROR(__xludf.DUMMYFUNCTION("""COMPUTED_VALUE"""),"291105")</f>
        <v>291105</v>
      </c>
      <c r="G2100" s="1" t="str">
        <f>IFERROR(__xludf.DUMMYFUNCTION("""COMPUTED_VALUE"""),"นายสราวุฒิ พณิชยกุล")</f>
        <v>นายสราวุฒิ พณิชยกุล</v>
      </c>
      <c r="H2100" s="1" t="str">
        <f>IFERROR(__xludf.DUMMYFUNCTION("""COMPUTED_VALUE"""),"371396")</f>
        <v>371396</v>
      </c>
      <c r="I2100" s="1" t="str">
        <f>IFERROR(__xludf.DUMMYFUNCTION("""COMPUTED_VALUE"""),"น.ส.สุภาวดี วิลัยพร")</f>
        <v>น.ส.สุภาวดี วิลัยพร</v>
      </c>
      <c r="J2100" s="3">
        <f>IFERROR(__xludf.DUMMYFUNCTION("""COMPUTED_VALUE"""),15361.0)</f>
        <v>15361</v>
      </c>
      <c r="K2100" s="3" t="str">
        <f>IFERROR(__xludf.DUMMYFUNCTION("""COMPUTED_VALUE"""),"นายสมบูรณ์ พรหมในเมือง")</f>
        <v>นายสมบูรณ์ พรหมในเมือง</v>
      </c>
      <c r="L2100" s="1" t="str">
        <f>IFERROR(__xludf.DUMMYFUNCTION("""COMPUTED_VALUE"""),"04 K.Somboon P.")</f>
        <v>04 K.Somboon P.</v>
      </c>
      <c r="M2100" s="1" t="str">
        <f>IFERROR(__xludf.DUMMYFUNCTION("""COMPUTED_VALUE"""),"087-965-3051")</f>
        <v>087-965-3051</v>
      </c>
      <c r="N2100" s="3">
        <f>IFERROR(__xludf.DUMMYFUNCTION("""COMPUTED_VALUE"""),21869.0)</f>
        <v>21869</v>
      </c>
      <c r="O2100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2100" s="4">
        <f>IFERROR(__xludf.DUMMYFUNCTION("""COMPUTED_VALUE"""),45229.0)</f>
        <v>45229</v>
      </c>
      <c r="Q2100" s="3" t="str">
        <f>IFERROR(__xludf.DUMMYFUNCTION("""COMPUTED_VALUE"""),"A")</f>
        <v>A</v>
      </c>
      <c r="R2100" s="3" t="str">
        <f>IFERROR(__xludf.DUMMYFUNCTION("""COMPUTED_VALUE"""),"Small Format")</f>
        <v>Small Format</v>
      </c>
      <c r="S2100" s="3" t="str">
        <f>IFERROR(__xludf.DUMMYFUNCTION("""COMPUTED_VALUE"""),"BCM(FC)")</f>
        <v>BCM(FC)</v>
      </c>
      <c r="T2100" s="3" t="str">
        <f>IFERROR(__xludf.DUMMYFUNCTION("""COMPUTED_VALUE"""),"#N/A")</f>
        <v>#N/A</v>
      </c>
      <c r="U2100" s="3" t="str">
        <f>IFERROR(__xludf.DUMMYFUNCTION("""COMPUTED_VALUE"""),"#N/A")</f>
        <v>#N/A</v>
      </c>
      <c r="V2100" s="3" t="str">
        <f>IFERROR(__xludf.DUMMYFUNCTION("""COMPUTED_VALUE"""),"Y")</f>
        <v>Y</v>
      </c>
      <c r="W2100" s="3">
        <f>IFERROR(__xludf.DUMMYFUNCTION("""COMPUTED_VALUE"""),812296.0)</f>
        <v>812296</v>
      </c>
      <c r="X2100" s="3" t="str">
        <f>IFERROR(__xludf.DUMMYFUNCTION("""COMPUTED_VALUE"""),"92 หมู่5 ตำบลโนนแดง อำเภอโนนศิลา จังหวัดขอนแก่น 40110")</f>
        <v>92 หมู่5 ตำบลโนนแดง อำเภอโนนศิลา จังหวัดขอนแก่น 40110</v>
      </c>
      <c r="Y2100" s="3"/>
      <c r="Z2100" s="3" t="str">
        <f>IFERROR(__xludf.DUMMYFUNCTION("""COMPUTED_VALUE"""),"โนนแดง")</f>
        <v>โนนแดง</v>
      </c>
      <c r="AA2100" s="3" t="str">
        <f>IFERROR(__xludf.DUMMYFUNCTION("""COMPUTED_VALUE"""),"โนนศิลา")</f>
        <v>โนนศิลา</v>
      </c>
      <c r="AB2100" s="3" t="str">
        <f>IFERROR(__xludf.DUMMYFUNCTION("""COMPUTED_VALUE"""),"ขอนแก่น")</f>
        <v>ขอนแก่น</v>
      </c>
      <c r="AC2100" s="3">
        <f>IFERROR(__xludf.DUMMYFUNCTION("""COMPUTED_VALUE"""),40110.0)</f>
        <v>40110</v>
      </c>
      <c r="AD2100" s="3">
        <f>IFERROR(__xludf.DUMMYFUNCTION("""COMPUTED_VALUE"""),16.009509)</f>
        <v>16.009509</v>
      </c>
      <c r="AE2100" s="3">
        <f>IFERROR(__xludf.DUMMYFUNCTION("""COMPUTED_VALUE"""),102.704496)</f>
        <v>102.704496</v>
      </c>
      <c r="AF2100" s="3" t="str">
        <f>IFERROR(__xludf.DUMMYFUNCTION("""COMPUTED_VALUE"""),"BCM FC CTX บ้านไผ่ ขอนแก่น-31088")</f>
        <v>BCM FC CTX บ้านไผ่ ขอนแก่น-31088</v>
      </c>
      <c r="AG2100" s="3" t="str">
        <f>IFERROR(__xludf.DUMMYFUNCTION("""COMPUTED_VALUE"""),"ตะวันออกเฉียงเหนือ")</f>
        <v>ตะวันออกเฉียงเหนือ</v>
      </c>
      <c r="AH2100" s="3" t="str">
        <f>IFERROR(__xludf.DUMMYFUNCTION("""COMPUTED_VALUE"""),"#N/A")</f>
        <v>#N/A</v>
      </c>
      <c r="AI2100" s="3" t="str">
        <f>IFERROR(__xludf.DUMMYFUNCTION("""COMPUTED_VALUE"""),"Out of warranty")</f>
        <v>Out of warranty</v>
      </c>
      <c r="AJ2100" s="3">
        <f>IFERROR(__xludf.DUMMYFUNCTION("""COMPUTED_VALUE"""),27.0)</f>
        <v>27</v>
      </c>
      <c r="AK2100" s="3"/>
      <c r="AL2100" s="3"/>
    </row>
    <row r="2101" ht="15.75" customHeight="1">
      <c r="A2101" s="1" t="str">
        <f>IFERROR(__xludf.DUMMYFUNCTION("""COMPUTED_VALUE"""),"31089")</f>
        <v>31089</v>
      </c>
      <c r="B2101" s="2">
        <f>IFERROR(__xludf.DUMMYFUNCTION("""COMPUTED_VALUE"""),31089.0)</f>
        <v>31089</v>
      </c>
      <c r="C2101" s="3" t="str">
        <f>IFERROR(__xludf.DUMMYFUNCTION("""COMPUTED_VALUE"""),"BCM FC CTX เมืองพล ขอนแก่น")</f>
        <v>BCM FC CTX เมืองพล ขอนแก่น</v>
      </c>
      <c r="D2101" s="3" t="str">
        <f>IFERROR(__xludf.DUMMYFUNCTION("""COMPUTED_VALUE"""),"BCM FC CTX MUEANG PHON")</f>
        <v>BCM FC CTX MUEANG PHON</v>
      </c>
      <c r="E2101" s="1" t="str">
        <f>IFERROR(__xludf.DUMMYFUNCTION("""COMPUTED_VALUE"""),"บิ๊กซี MINI")</f>
        <v>บิ๊กซี MINI</v>
      </c>
      <c r="F2101" s="1" t="str">
        <f>IFERROR(__xludf.DUMMYFUNCTION("""COMPUTED_VALUE"""),"291105")</f>
        <v>291105</v>
      </c>
      <c r="G2101" s="1" t="str">
        <f>IFERROR(__xludf.DUMMYFUNCTION("""COMPUTED_VALUE"""),"นายสราวุฒิ พณิชยกุล")</f>
        <v>นายสราวุฒิ พณิชยกุล</v>
      </c>
      <c r="H2101" s="1" t="str">
        <f>IFERROR(__xludf.DUMMYFUNCTION("""COMPUTED_VALUE"""),"371396")</f>
        <v>371396</v>
      </c>
      <c r="I2101" s="1" t="str">
        <f>IFERROR(__xludf.DUMMYFUNCTION("""COMPUTED_VALUE"""),"น.ส.สุภาวดี วิลัยพร")</f>
        <v>น.ส.สุภาวดี วิลัยพร</v>
      </c>
      <c r="J2101" s="3">
        <f>IFERROR(__xludf.DUMMYFUNCTION("""COMPUTED_VALUE"""),15361.0)</f>
        <v>15361</v>
      </c>
      <c r="K2101" s="3" t="str">
        <f>IFERROR(__xludf.DUMMYFUNCTION("""COMPUTED_VALUE"""),"นายสมบูรณ์ พรหมในเมือง")</f>
        <v>นายสมบูรณ์ พรหมในเมือง</v>
      </c>
      <c r="L2101" s="1" t="str">
        <f>IFERROR(__xludf.DUMMYFUNCTION("""COMPUTED_VALUE"""),"04 K.Somboon P.")</f>
        <v>04 K.Somboon P.</v>
      </c>
      <c r="M2101" s="1" t="str">
        <f>IFERROR(__xludf.DUMMYFUNCTION("""COMPUTED_VALUE"""),"087-965-3051")</f>
        <v>087-965-3051</v>
      </c>
      <c r="N2101" s="3">
        <f>IFERROR(__xludf.DUMMYFUNCTION("""COMPUTED_VALUE"""),21869.0)</f>
        <v>21869</v>
      </c>
      <c r="O2101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2101" s="4">
        <f>IFERROR(__xludf.DUMMYFUNCTION("""COMPUTED_VALUE"""),45229.0)</f>
        <v>45229</v>
      </c>
      <c r="Q2101" s="3" t="str">
        <f>IFERROR(__xludf.DUMMYFUNCTION("""COMPUTED_VALUE"""),"A")</f>
        <v>A</v>
      </c>
      <c r="R2101" s="3" t="str">
        <f>IFERROR(__xludf.DUMMYFUNCTION("""COMPUTED_VALUE"""),"Small Format")</f>
        <v>Small Format</v>
      </c>
      <c r="S2101" s="3" t="str">
        <f>IFERROR(__xludf.DUMMYFUNCTION("""COMPUTED_VALUE"""),"BCM(FC)")</f>
        <v>BCM(FC)</v>
      </c>
      <c r="T2101" s="3" t="str">
        <f>IFERROR(__xludf.DUMMYFUNCTION("""COMPUTED_VALUE"""),"#N/A")</f>
        <v>#N/A</v>
      </c>
      <c r="U2101" s="3" t="str">
        <f>IFERROR(__xludf.DUMMYFUNCTION("""COMPUTED_VALUE"""),"#N/A")</f>
        <v>#N/A</v>
      </c>
      <c r="V2101" s="3" t="str">
        <f>IFERROR(__xludf.DUMMYFUNCTION("""COMPUTED_VALUE"""),"Y")</f>
        <v>Y</v>
      </c>
      <c r="W2101" s="3">
        <f>IFERROR(__xludf.DUMMYFUNCTION("""COMPUTED_VALUE"""),812297.0)</f>
        <v>812297</v>
      </c>
      <c r="X2101" s="3" t="str">
        <f>IFERROR(__xludf.DUMMYFUNCTION("""COMPUTED_VALUE"""),"167 หมุ่6 ตำบลเก่างิ้ว อำเภอพล จังหวัดขอนแก่น 40120")</f>
        <v>167 หมุ่6 ตำบลเก่างิ้ว อำเภอพล จังหวัดขอนแก่น 40120</v>
      </c>
      <c r="Y2101" s="3"/>
      <c r="Z2101" s="3" t="str">
        <f>IFERROR(__xludf.DUMMYFUNCTION("""COMPUTED_VALUE"""),"เก่างิ้ว")</f>
        <v>เก่างิ้ว</v>
      </c>
      <c r="AA2101" s="3" t="str">
        <f>IFERROR(__xludf.DUMMYFUNCTION("""COMPUTED_VALUE"""),"พล")</f>
        <v>พล</v>
      </c>
      <c r="AB2101" s="3" t="str">
        <f>IFERROR(__xludf.DUMMYFUNCTION("""COMPUTED_VALUE"""),"ขอนแก่น")</f>
        <v>ขอนแก่น</v>
      </c>
      <c r="AC2101" s="3">
        <f>IFERROR(__xludf.DUMMYFUNCTION("""COMPUTED_VALUE"""),40120.0)</f>
        <v>40120</v>
      </c>
      <c r="AD2101" s="3">
        <f>IFERROR(__xludf.DUMMYFUNCTION("""COMPUTED_VALUE"""),15.856768)</f>
        <v>15.856768</v>
      </c>
      <c r="AE2101" s="3">
        <f>IFERROR(__xludf.DUMMYFUNCTION("""COMPUTED_VALUE"""),102.623354)</f>
        <v>102.623354</v>
      </c>
      <c r="AF2101" s="3" t="str">
        <f>IFERROR(__xludf.DUMMYFUNCTION("""COMPUTED_VALUE"""),"BCM FC CTX เมืองพล ขอนแก่น-31089")</f>
        <v>BCM FC CTX เมืองพล ขอนแก่น-31089</v>
      </c>
      <c r="AG2101" s="3" t="str">
        <f>IFERROR(__xludf.DUMMYFUNCTION("""COMPUTED_VALUE"""),"ตะวันออกเฉียงเหนือ")</f>
        <v>ตะวันออกเฉียงเหนือ</v>
      </c>
      <c r="AH2101" s="3" t="str">
        <f>IFERROR(__xludf.DUMMYFUNCTION("""COMPUTED_VALUE"""),"#N/A")</f>
        <v>#N/A</v>
      </c>
      <c r="AI2101" s="3" t="str">
        <f>IFERROR(__xludf.DUMMYFUNCTION("""COMPUTED_VALUE"""),"Out of warranty")</f>
        <v>Out of warranty</v>
      </c>
      <c r="AJ2101" s="3">
        <f>IFERROR(__xludf.DUMMYFUNCTION("""COMPUTED_VALUE"""),27.0)</f>
        <v>27</v>
      </c>
      <c r="AK2101" s="3"/>
      <c r="AL2101" s="3"/>
    </row>
    <row r="2102" ht="15.75" customHeight="1">
      <c r="A2102" s="1" t="str">
        <f>IFERROR(__xludf.DUMMYFUNCTION("""COMPUTED_VALUE"""),"31090")</f>
        <v>31090</v>
      </c>
      <c r="B2102" s="2">
        <f>IFERROR(__xludf.DUMMYFUNCTION("""COMPUTED_VALUE"""),31090.0)</f>
        <v>31090</v>
      </c>
      <c r="C2102" s="3" t="str">
        <f>IFERROR(__xludf.DUMMYFUNCTION("""COMPUTED_VALUE"""),"BCM FC หนองหาน 2 อุดรธานี")</f>
        <v>BCM FC หนองหาน 2 อุดรธานี</v>
      </c>
      <c r="D2102" s="3" t="str">
        <f>IFERROR(__xludf.DUMMYFUNCTION("""COMPUTED_VALUE"""),"BCM FC NONG HAN 2 UDONTHANI")</f>
        <v>BCM FC NONG HAN 2 UDONTHANI</v>
      </c>
      <c r="E2102" s="1" t="str">
        <f>IFERROR(__xludf.DUMMYFUNCTION("""COMPUTED_VALUE"""),"บิ๊กซี MINI")</f>
        <v>บิ๊กซี MINI</v>
      </c>
      <c r="F2102" s="1" t="str">
        <f>IFERROR(__xludf.DUMMYFUNCTION("""COMPUTED_VALUE"""),"291105")</f>
        <v>291105</v>
      </c>
      <c r="G2102" s="1" t="str">
        <f>IFERROR(__xludf.DUMMYFUNCTION("""COMPUTED_VALUE"""),"นายสราวุฒิ พณิชยกุล")</f>
        <v>นายสราวุฒิ พณิชยกุล</v>
      </c>
      <c r="H2102" s="1" t="str">
        <f>IFERROR(__xludf.DUMMYFUNCTION("""COMPUTED_VALUE"""),"392005")</f>
        <v>392005</v>
      </c>
      <c r="I2102" s="1" t="str">
        <f>IFERROR(__xludf.DUMMYFUNCTION("""COMPUTED_VALUE"""),"นายรัฐพล หาญลำยวง")</f>
        <v>นายรัฐพล หาญลำยวง</v>
      </c>
      <c r="J2102" s="3">
        <f>IFERROR(__xludf.DUMMYFUNCTION("""COMPUTED_VALUE"""),296868.0)</f>
        <v>296868</v>
      </c>
      <c r="K2102" s="3" t="str">
        <f>IFERROR(__xludf.DUMMYFUNCTION("""COMPUTED_VALUE"""),"นายพีระพงษ์ แก้วดวงดี")</f>
        <v>นายพีระพงษ์ แก้วดวงดี</v>
      </c>
      <c r="L2102" s="3" t="str">
        <f>IFERROR(__xludf.DUMMYFUNCTION("""COMPUTED_VALUE"""),"03 K.Peerapong K.")</f>
        <v>03 K.Peerapong K.</v>
      </c>
      <c r="M2102" s="1" t="str">
        <f>IFERROR(__xludf.DUMMYFUNCTION("""COMPUTED_VALUE"""),"089-002-6599")</f>
        <v>089-002-6599</v>
      </c>
      <c r="N2102" s="3">
        <f>IFERROR(__xludf.DUMMYFUNCTION("""COMPUTED_VALUE"""),21946.0)</f>
        <v>21946</v>
      </c>
      <c r="O2102" s="3" t="str">
        <f>IFERROR(__xludf.DUMMYFUNCTION("""COMPUTED_VALUE"""),"MBC เซกา บึงกาฬ")</f>
        <v>MBC เซกา บึงกาฬ</v>
      </c>
      <c r="P2102" s="4">
        <f>IFERROR(__xludf.DUMMYFUNCTION("""COMPUTED_VALUE"""),45275.0)</f>
        <v>45275</v>
      </c>
      <c r="Q2102" s="3" t="str">
        <f>IFERROR(__xludf.DUMMYFUNCTION("""COMPUTED_VALUE"""),"A")</f>
        <v>A</v>
      </c>
      <c r="R2102" s="3" t="str">
        <f>IFERROR(__xludf.DUMMYFUNCTION("""COMPUTED_VALUE"""),"Small Format")</f>
        <v>Small Format</v>
      </c>
      <c r="S2102" s="3" t="str">
        <f>IFERROR(__xludf.DUMMYFUNCTION("""COMPUTED_VALUE"""),"BCM(FC)")</f>
        <v>BCM(FC)</v>
      </c>
      <c r="T2102" s="3" t="str">
        <f>IFERROR(__xludf.DUMMYFUNCTION("""COMPUTED_VALUE"""),"#N/A")</f>
        <v>#N/A</v>
      </c>
      <c r="U2102" s="3" t="str">
        <f>IFERROR(__xludf.DUMMYFUNCTION("""COMPUTED_VALUE"""),"#N/A")</f>
        <v>#N/A</v>
      </c>
      <c r="V2102" s="3" t="str">
        <f>IFERROR(__xludf.DUMMYFUNCTION("""COMPUTED_VALUE"""),"Y")</f>
        <v>Y</v>
      </c>
      <c r="W2102" s="3">
        <f>IFERROR(__xludf.DUMMYFUNCTION("""COMPUTED_VALUE"""),812299.0)</f>
        <v>812299</v>
      </c>
      <c r="X2102" s="3"/>
      <c r="Y2102" s="3"/>
      <c r="Z2102" s="3"/>
      <c r="AA2102" s="3"/>
      <c r="AB2102" s="3"/>
      <c r="AC2102" s="3"/>
      <c r="AD2102" s="3">
        <f>IFERROR(__xludf.DUMMYFUNCTION("""COMPUTED_VALUE"""),17.364585)</f>
        <v>17.364585</v>
      </c>
      <c r="AE2102" s="3">
        <f>IFERROR(__xludf.DUMMYFUNCTION("""COMPUTED_VALUE"""),103.050597)</f>
        <v>103.050597</v>
      </c>
      <c r="AF2102" s="3" t="str">
        <f>IFERROR(__xludf.DUMMYFUNCTION("""COMPUTED_VALUE"""),"BCM FC หนองหาน 2 อุดรธานี-31090")</f>
        <v>BCM FC หนองหาน 2 อุดรธานี-31090</v>
      </c>
      <c r="AG2102" s="3">
        <f>IFERROR(__xludf.DUMMYFUNCTION("""COMPUTED_VALUE"""),0.0)</f>
        <v>0</v>
      </c>
      <c r="AH2102" s="3" t="str">
        <f>IFERROR(__xludf.DUMMYFUNCTION("""COMPUTED_VALUE"""),"#N/A")</f>
        <v>#N/A</v>
      </c>
      <c r="AI2102" s="3" t="str">
        <f>IFERROR(__xludf.DUMMYFUNCTION("""COMPUTED_VALUE"""),"Out of warranty")</f>
        <v>Out of warranty</v>
      </c>
      <c r="AJ2102" s="3">
        <f>IFERROR(__xludf.DUMMYFUNCTION("""COMPUTED_VALUE"""),26.0)</f>
        <v>26</v>
      </c>
      <c r="AK2102" s="3"/>
      <c r="AL2102" s="3"/>
    </row>
    <row r="2103" ht="15.75" customHeight="1">
      <c r="A2103" s="1" t="str">
        <f>IFERROR(__xludf.DUMMYFUNCTION("""COMPUTED_VALUE"""),"31091")</f>
        <v>31091</v>
      </c>
      <c r="B2103" s="2">
        <f>IFERROR(__xludf.DUMMYFUNCTION("""COMPUTED_VALUE"""),31091.0)</f>
        <v>31091</v>
      </c>
      <c r="C2103" s="3" t="str">
        <f>IFERROR(__xludf.DUMMYFUNCTION("""COMPUTED_VALUE"""),"BCM FC CTX นากลาง หนองบัวลำภู")</f>
        <v>BCM FC CTX นากลาง หนองบัวลำภู</v>
      </c>
      <c r="D2103" s="3" t="str">
        <f>IFERROR(__xludf.DUMMYFUNCTION("""COMPUTED_VALUE"""),"BCM FC CTX NAKLANG")</f>
        <v>BCM FC CTX NAKLANG</v>
      </c>
      <c r="E2103" s="1" t="str">
        <f>IFERROR(__xludf.DUMMYFUNCTION("""COMPUTED_VALUE"""),"บิ๊กซี MINI")</f>
        <v>บิ๊กซี MINI</v>
      </c>
      <c r="F2103" s="1" t="str">
        <f>IFERROR(__xludf.DUMMYFUNCTION("""COMPUTED_VALUE"""),"291105")</f>
        <v>291105</v>
      </c>
      <c r="G2103" s="1" t="str">
        <f>IFERROR(__xludf.DUMMYFUNCTION("""COMPUTED_VALUE"""),"นายสราวุฒิ พณิชยกุล")</f>
        <v>นายสราวุฒิ พณิชยกุล</v>
      </c>
      <c r="H2103" s="1" t="str">
        <f>IFERROR(__xludf.DUMMYFUNCTION("""COMPUTED_VALUE"""),"305119")</f>
        <v>305119</v>
      </c>
      <c r="I2103" s="1" t="str">
        <f>IFERROR(__xludf.DUMMYFUNCTION("""COMPUTED_VALUE"""),"นายไชยกร ลีพิบูลย์สวัสดิ์")</f>
        <v>นายไชยกร ลีพิบูลย์สวัสดิ์</v>
      </c>
      <c r="J2103" s="3">
        <f>IFERROR(__xludf.DUMMYFUNCTION("""COMPUTED_VALUE"""),296868.0)</f>
        <v>296868</v>
      </c>
      <c r="K2103" s="3" t="str">
        <f>IFERROR(__xludf.DUMMYFUNCTION("""COMPUTED_VALUE"""),"นายพีระพงษ์ แก้วดวงดี")</f>
        <v>นายพีระพงษ์ แก้วดวงดี</v>
      </c>
      <c r="L2103" s="1" t="str">
        <f>IFERROR(__xludf.DUMMYFUNCTION("""COMPUTED_VALUE"""),"03 K.Peerapong K.")</f>
        <v>03 K.Peerapong K.</v>
      </c>
      <c r="M2103" s="1" t="str">
        <f>IFERROR(__xludf.DUMMYFUNCTION("""COMPUTED_VALUE"""),"089-002-6599")</f>
        <v>089-002-6599</v>
      </c>
      <c r="N2103" s="3">
        <f>IFERROR(__xludf.DUMMYFUNCTION("""COMPUTED_VALUE"""),21946.0)</f>
        <v>21946</v>
      </c>
      <c r="O2103" s="3" t="str">
        <f>IFERROR(__xludf.DUMMYFUNCTION("""COMPUTED_VALUE"""),"MBC เซกา บึงกาฬ")</f>
        <v>MBC เซกา บึงกาฬ</v>
      </c>
      <c r="P2103" s="4">
        <f>IFERROR(__xludf.DUMMYFUNCTION("""COMPUTED_VALUE"""),45279.0)</f>
        <v>45279</v>
      </c>
      <c r="Q2103" s="3" t="str">
        <f>IFERROR(__xludf.DUMMYFUNCTION("""COMPUTED_VALUE"""),"A")</f>
        <v>A</v>
      </c>
      <c r="R2103" s="3" t="str">
        <f>IFERROR(__xludf.DUMMYFUNCTION("""COMPUTED_VALUE"""),"Small Format")</f>
        <v>Small Format</v>
      </c>
      <c r="S2103" s="3" t="str">
        <f>IFERROR(__xludf.DUMMYFUNCTION("""COMPUTED_VALUE"""),"BCM(FC)")</f>
        <v>BCM(FC)</v>
      </c>
      <c r="T2103" s="3" t="str">
        <f>IFERROR(__xludf.DUMMYFUNCTION("""COMPUTED_VALUE"""),"#N/A")</f>
        <v>#N/A</v>
      </c>
      <c r="U2103" s="3" t="str">
        <f>IFERROR(__xludf.DUMMYFUNCTION("""COMPUTED_VALUE"""),"#N/A")</f>
        <v>#N/A</v>
      </c>
      <c r="V2103" s="3" t="str">
        <f>IFERROR(__xludf.DUMMYFUNCTION("""COMPUTED_VALUE"""),"Y")</f>
        <v>Y</v>
      </c>
      <c r="W2103" s="3">
        <f>IFERROR(__xludf.DUMMYFUNCTION("""COMPUTED_VALUE"""),812298.0)</f>
        <v>812298</v>
      </c>
      <c r="X2103" s="3"/>
      <c r="Y2103" s="3"/>
      <c r="Z2103" s="3"/>
      <c r="AA2103" s="3"/>
      <c r="AB2103" s="3"/>
      <c r="AC2103" s="3"/>
      <c r="AD2103" s="3">
        <f>IFERROR(__xludf.DUMMYFUNCTION("""COMPUTED_VALUE"""),17.293042)</f>
        <v>17.293042</v>
      </c>
      <c r="AE2103" s="3">
        <f>IFERROR(__xludf.DUMMYFUNCTION("""COMPUTED_VALUE"""),102.242859)</f>
        <v>102.242859</v>
      </c>
      <c r="AF2103" s="3" t="str">
        <f>IFERROR(__xludf.DUMMYFUNCTION("""COMPUTED_VALUE"""),"BCM FC CTX นากลาง หนองบัวลำภู-31091")</f>
        <v>BCM FC CTX นากลาง หนองบัวลำภู-31091</v>
      </c>
      <c r="AG2103" s="3">
        <f>IFERROR(__xludf.DUMMYFUNCTION("""COMPUTED_VALUE"""),0.0)</f>
        <v>0</v>
      </c>
      <c r="AH2103" s="3" t="str">
        <f>IFERROR(__xludf.DUMMYFUNCTION("""COMPUTED_VALUE"""),"#N/A")</f>
        <v>#N/A</v>
      </c>
      <c r="AI2103" s="3" t="str">
        <f>IFERROR(__xludf.DUMMYFUNCTION("""COMPUTED_VALUE"""),"Out of warranty")</f>
        <v>Out of warranty</v>
      </c>
      <c r="AJ2103" s="3">
        <f>IFERROR(__xludf.DUMMYFUNCTION("""COMPUTED_VALUE"""),26.0)</f>
        <v>26</v>
      </c>
      <c r="AK2103" s="3"/>
      <c r="AL2103" s="3"/>
    </row>
    <row r="2104" ht="15.75" customHeight="1">
      <c r="A2104" s="1" t="str">
        <f>IFERROR(__xludf.DUMMYFUNCTION("""COMPUTED_VALUE"""),"31092")</f>
        <v>31092</v>
      </c>
      <c r="B2104" s="2">
        <f>IFERROR(__xludf.DUMMYFUNCTION("""COMPUTED_VALUE"""),31092.0)</f>
        <v>31092</v>
      </c>
      <c r="C2104" s="3" t="str">
        <f>IFERROR(__xludf.DUMMYFUNCTION("""COMPUTED_VALUE"""),"BCM FC BCP บายพาส ปราณบุรี ประจวบคีรีขันธ์")</f>
        <v>BCM FC BCP บายพาส ปราณบุรี ประจวบคีรีขันธ์</v>
      </c>
      <c r="D2104" s="3" t="str">
        <f>IFERROR(__xludf.DUMMYFUNCTION("""COMPUTED_VALUE"""),"BCM FC BCP BYPASS PRANBURI")</f>
        <v>BCM FC BCP BYPASS PRANBURI</v>
      </c>
      <c r="E2104" s="1" t="str">
        <f>IFERROR(__xludf.DUMMYFUNCTION("""COMPUTED_VALUE"""),"บิ๊กซี MINI")</f>
        <v>บิ๊กซี MINI</v>
      </c>
      <c r="F2104" s="1" t="str">
        <f>IFERROR(__xludf.DUMMYFUNCTION("""COMPUTED_VALUE"""),"250760")</f>
        <v>250760</v>
      </c>
      <c r="G2104" s="1" t="str">
        <f>IFERROR(__xludf.DUMMYFUNCTION("""COMPUTED_VALUE"""),"นายประทวน สาราบรรณ์")</f>
        <v>นายประทวน สาราบรรณ์</v>
      </c>
      <c r="H2104" s="1" t="str">
        <f>IFERROR(__xludf.DUMMYFUNCTION("""COMPUTED_VALUE"""),"311437")</f>
        <v>311437</v>
      </c>
      <c r="I2104" s="1" t="str">
        <f>IFERROR(__xludf.DUMMYFUNCTION("""COMPUTED_VALUE"""),"นายฉัตรทพร รักวิเชียร")</f>
        <v>นายฉัตรทพร รักวิเชียร</v>
      </c>
      <c r="J2104" s="3">
        <f>IFERROR(__xludf.DUMMYFUNCTION("""COMPUTED_VALUE"""),25324.0)</f>
        <v>25324</v>
      </c>
      <c r="K2104" s="3" t="str">
        <f>IFERROR(__xludf.DUMMYFUNCTION("""COMPUTED_VALUE"""),"นายวิเชฎฐ์ ติรัตนะประคม")</f>
        <v>นายวิเชฎฐ์ ติรัตนะประคม</v>
      </c>
      <c r="L2104" s="3" t="str">
        <f>IFERROR(__xludf.DUMMYFUNCTION("""COMPUTED_VALUE"""),"14 K.Wichet T.")</f>
        <v>14 K.Wichet T.</v>
      </c>
      <c r="M2104" s="1" t="str">
        <f>IFERROR(__xludf.DUMMYFUNCTION("""COMPUTED_VALUE"""),"061-417-6569 / 086-445-5636")</f>
        <v>061-417-6569 / 086-445-5636</v>
      </c>
      <c r="N2104" s="3">
        <f>IFERROR(__xludf.DUMMYFUNCTION("""COMPUTED_VALUE"""),22658.0)</f>
        <v>22658</v>
      </c>
      <c r="O2104" s="3" t="str">
        <f>IFERROR(__xludf.DUMMYFUNCTION("""COMPUTED_VALUE"""),"BCM ถ.วิรัชหงษ์หยก ภูเก็ต")</f>
        <v>BCM ถ.วิรัชหงษ์หยก ภูเก็ต</v>
      </c>
      <c r="P2104" s="4">
        <f>IFERROR(__xludf.DUMMYFUNCTION("""COMPUTED_VALUE"""),45374.0)</f>
        <v>45374</v>
      </c>
      <c r="Q2104" s="3" t="str">
        <f>IFERROR(__xludf.DUMMYFUNCTION("""COMPUTED_VALUE"""),"A")</f>
        <v>A</v>
      </c>
      <c r="R2104" s="3" t="str">
        <f>IFERROR(__xludf.DUMMYFUNCTION("""COMPUTED_VALUE"""),"Small Format")</f>
        <v>Small Format</v>
      </c>
      <c r="S2104" s="3" t="str">
        <f>IFERROR(__xludf.DUMMYFUNCTION("""COMPUTED_VALUE"""),"BCM(FC)")</f>
        <v>BCM(FC)</v>
      </c>
      <c r="T2104" s="3" t="str">
        <f>IFERROR(__xludf.DUMMYFUNCTION("""COMPUTED_VALUE"""),"#N/A")</f>
        <v>#N/A</v>
      </c>
      <c r="U2104" s="3" t="str">
        <f>IFERROR(__xludf.DUMMYFUNCTION("""COMPUTED_VALUE"""),"#N/A")</f>
        <v>#N/A</v>
      </c>
      <c r="V2104" s="3" t="str">
        <f>IFERROR(__xludf.DUMMYFUNCTION("""COMPUTED_VALUE"""),"Y")</f>
        <v>Y</v>
      </c>
      <c r="W2104" s="3">
        <f>IFERROR(__xludf.DUMMYFUNCTION("""COMPUTED_VALUE"""),812304.0)</f>
        <v>812304</v>
      </c>
      <c r="X2104" s="3" t="str">
        <f>IFERROR(__xludf.DUMMYFUNCTION("""COMPUTED_VALUE"""),"899 หมู่3 ตำบลวังก์พง อำเภอปราณบุรี จังหวัดประจวบคีรีขันธ์ 77120")</f>
        <v>899 หมู่3 ตำบลวังก์พง อำเภอปราณบุรี จังหวัดประจวบคีรีขันธ์ 77120</v>
      </c>
      <c r="Y2104" s="3"/>
      <c r="Z2104" s="3" t="str">
        <f>IFERROR(__xludf.DUMMYFUNCTION("""COMPUTED_VALUE"""),"วังก์พง")</f>
        <v>วังก์พง</v>
      </c>
      <c r="AA2104" s="3" t="str">
        <f>IFERROR(__xludf.DUMMYFUNCTION("""COMPUTED_VALUE"""),"ปราณบุรี")</f>
        <v>ปราณบุรี</v>
      </c>
      <c r="AB2104" s="3" t="str">
        <f>IFERROR(__xludf.DUMMYFUNCTION("""COMPUTED_VALUE"""),"ประจวบคีรีขันธ์")</f>
        <v>ประจวบคีรีขันธ์</v>
      </c>
      <c r="AC2104" s="3">
        <f>IFERROR(__xludf.DUMMYFUNCTION("""COMPUTED_VALUE"""),77120.0)</f>
        <v>77120</v>
      </c>
      <c r="AD2104" s="3">
        <f>IFERROR(__xludf.DUMMYFUNCTION("""COMPUTED_VALUE"""),12.434915)</f>
        <v>12.434915</v>
      </c>
      <c r="AE2104" s="3">
        <f>IFERROR(__xludf.DUMMYFUNCTION("""COMPUTED_VALUE"""),99.912331)</f>
        <v>99.912331</v>
      </c>
      <c r="AF2104" s="3" t="str">
        <f>IFERROR(__xludf.DUMMYFUNCTION("""COMPUTED_VALUE"""),"BCM FC BCP บายพาส ปราณบุรี ประจวบคีรีขันธ์-31092")</f>
        <v>BCM FC BCP บายพาส ปราณบุรี ประจวบคีรีขันธ์-31092</v>
      </c>
      <c r="AG2104" s="3" t="str">
        <f>IFERROR(__xludf.DUMMYFUNCTION("""COMPUTED_VALUE"""),"ตะวันตก")</f>
        <v>ตะวันตก</v>
      </c>
      <c r="AH2104" s="3" t="str">
        <f>IFERROR(__xludf.DUMMYFUNCTION("""COMPUTED_VALUE"""),"#N/A")</f>
        <v>#N/A</v>
      </c>
      <c r="AI2104" s="3" t="str">
        <f>IFERROR(__xludf.DUMMYFUNCTION("""COMPUTED_VALUE"""),"Out of warranty")</f>
        <v>Out of warranty</v>
      </c>
      <c r="AJ2104" s="3">
        <f>IFERROR(__xludf.DUMMYFUNCTION("""COMPUTED_VALUE"""),22.0)</f>
        <v>22</v>
      </c>
      <c r="AK2104" s="3"/>
      <c r="AL2104" s="3"/>
    </row>
    <row r="2105" ht="15.75" customHeight="1">
      <c r="A2105" s="1" t="str">
        <f>IFERROR(__xludf.DUMMYFUNCTION("""COMPUTED_VALUE"""),"31093")</f>
        <v>31093</v>
      </c>
      <c r="B2105" s="2">
        <f>IFERROR(__xludf.DUMMYFUNCTION("""COMPUTED_VALUE"""),31093.0)</f>
        <v>31093</v>
      </c>
      <c r="C2105" s="3" t="str">
        <f>IFERROR(__xludf.DUMMYFUNCTION("""COMPUTED_VALUE"""),"BCM FC BCP สุวินทวงศ์ ฉะเชิงเทรา")</f>
        <v>BCM FC BCP สุวินทวงศ์ ฉะเชิงเทรา</v>
      </c>
      <c r="D2105" s="3" t="str">
        <f>IFERROR(__xludf.DUMMYFUNCTION("""COMPUTED_VALUE"""),"BCM FC BCP SUWINTHAWONG")</f>
        <v>BCM FC BCP SUWINTHAWONG</v>
      </c>
      <c r="E2105" s="1" t="str">
        <f>IFERROR(__xludf.DUMMYFUNCTION("""COMPUTED_VALUE"""),"บิ๊กซี MINI")</f>
        <v>บิ๊กซี MINI</v>
      </c>
      <c r="F2105" s="1" t="str">
        <f>IFERROR(__xludf.DUMMYFUNCTION("""COMPUTED_VALUE"""),"2083447")</f>
        <v>2083447</v>
      </c>
      <c r="G2105" s="1" t="str">
        <f>IFERROR(__xludf.DUMMYFUNCTION("""COMPUTED_VALUE"""),"นายอนุกูล ศรีลัดดา")</f>
        <v>นายอนุกูล ศรีลัดดา</v>
      </c>
      <c r="H2105" s="1" t="str">
        <f>IFERROR(__xludf.DUMMYFUNCTION("""COMPUTED_VALUE"""),"254957")</f>
        <v>254957</v>
      </c>
      <c r="I2105" s="1" t="str">
        <f>IFERROR(__xludf.DUMMYFUNCTION("""COMPUTED_VALUE"""),"น.ส.ศิริพร รุ่งธัญญา")</f>
        <v>น.ส.ศิริพร รุ่งธัญญา</v>
      </c>
      <c r="J2105" s="3">
        <f>IFERROR(__xludf.DUMMYFUNCTION("""COMPUTED_VALUE"""),510143.0)</f>
        <v>510143</v>
      </c>
      <c r="K2105" s="3" t="str">
        <f>IFERROR(__xludf.DUMMYFUNCTION("""COMPUTED_VALUE"""),"นายธีระวัฒน์ บุญสิทธิ์")</f>
        <v>นายธีระวัฒน์ บุญสิทธิ์</v>
      </c>
      <c r="L2105" s="1" t="str">
        <f>IFERROR(__xludf.DUMMYFUNCTION("""COMPUTED_VALUE"""),"12 K.Theerawat B.")</f>
        <v>12 K.Theerawat B.</v>
      </c>
      <c r="M2105" s="1" t="str">
        <f>IFERROR(__xludf.DUMMYFUNCTION("""COMPUTED_VALUE"""),"0655107379")</f>
        <v>0655107379</v>
      </c>
      <c r="N2105" s="3">
        <f>IFERROR(__xludf.DUMMYFUNCTION("""COMPUTED_VALUE"""),21062.0)</f>
        <v>21062</v>
      </c>
      <c r="O2105" s="3" t="str">
        <f>IFERROR(__xludf.DUMMYFUNCTION("""COMPUTED_VALUE"""),"MBC นิคมนวนคร")</f>
        <v>MBC นิคมนวนคร</v>
      </c>
      <c r="P2105" s="4">
        <f>IFERROR(__xludf.DUMMYFUNCTION("""COMPUTED_VALUE"""),45377.0)</f>
        <v>45377</v>
      </c>
      <c r="Q2105" s="3" t="str">
        <f>IFERROR(__xludf.DUMMYFUNCTION("""COMPUTED_VALUE"""),"A")</f>
        <v>A</v>
      </c>
      <c r="R2105" s="3" t="str">
        <f>IFERROR(__xludf.DUMMYFUNCTION("""COMPUTED_VALUE"""),"Small Format")</f>
        <v>Small Format</v>
      </c>
      <c r="S2105" s="3" t="str">
        <f>IFERROR(__xludf.DUMMYFUNCTION("""COMPUTED_VALUE"""),"BCM(FC)")</f>
        <v>BCM(FC)</v>
      </c>
      <c r="T2105" s="3" t="str">
        <f>IFERROR(__xludf.DUMMYFUNCTION("""COMPUTED_VALUE"""),"#N/A")</f>
        <v>#N/A</v>
      </c>
      <c r="U2105" s="3" t="str">
        <f>IFERROR(__xludf.DUMMYFUNCTION("""COMPUTED_VALUE"""),"#N/A")</f>
        <v>#N/A</v>
      </c>
      <c r="V2105" s="3" t="str">
        <f>IFERROR(__xludf.DUMMYFUNCTION("""COMPUTED_VALUE"""),"Y")</f>
        <v>Y</v>
      </c>
      <c r="W2105" s="3">
        <f>IFERROR(__xludf.DUMMYFUNCTION("""COMPUTED_VALUE"""),812303.0)</f>
        <v>812303</v>
      </c>
      <c r="X2105" s="3" t="str">
        <f>IFERROR(__xludf.DUMMYFUNCTION("""COMPUTED_VALUE"""),"195/1 หมู่20 ตำบลศาลาแดง อำเภอบางน้ำเปรี้ยว จังหวัดฉะเชิงเทรา 24000")</f>
        <v>195/1 หมู่20 ตำบลศาลาแดง อำเภอบางน้ำเปรี้ยว จังหวัดฉะเชิงเทรา 24000</v>
      </c>
      <c r="Y2105" s="3"/>
      <c r="Z2105" s="3" t="str">
        <f>IFERROR(__xludf.DUMMYFUNCTION("""COMPUTED_VALUE"""),"ศาลาแดง")</f>
        <v>ศาลาแดง</v>
      </c>
      <c r="AA2105" s="3" t="str">
        <f>IFERROR(__xludf.DUMMYFUNCTION("""COMPUTED_VALUE"""),"บางน้ำเปรียว")</f>
        <v>บางน้ำเปรียว</v>
      </c>
      <c r="AB2105" s="3" t="str">
        <f>IFERROR(__xludf.DUMMYFUNCTION("""COMPUTED_VALUE"""),"ฉะเชิงเทรา")</f>
        <v>ฉะเชิงเทรา</v>
      </c>
      <c r="AC2105" s="3">
        <f>IFERROR(__xludf.DUMMYFUNCTION("""COMPUTED_VALUE"""),24000.0)</f>
        <v>24000</v>
      </c>
      <c r="AD2105" s="3">
        <f>IFERROR(__xludf.DUMMYFUNCTION("""COMPUTED_VALUE"""),13.78658722)</f>
        <v>13.78658722</v>
      </c>
      <c r="AE2105" s="3">
        <f>IFERROR(__xludf.DUMMYFUNCTION("""COMPUTED_VALUE"""),100.954922)</f>
        <v>100.954922</v>
      </c>
      <c r="AF2105" s="3" t="str">
        <f>IFERROR(__xludf.DUMMYFUNCTION("""COMPUTED_VALUE"""),"BCM FC BCP สุวินทวงศ์ ฉะเชิงเทรา-31093")</f>
        <v>BCM FC BCP สุวินทวงศ์ ฉะเชิงเทรา-31093</v>
      </c>
      <c r="AG2105" s="3" t="str">
        <f>IFERROR(__xludf.DUMMYFUNCTION("""COMPUTED_VALUE"""),"ตะวันออก")</f>
        <v>ตะวันออก</v>
      </c>
      <c r="AH2105" s="3" t="str">
        <f>IFERROR(__xludf.DUMMYFUNCTION("""COMPUTED_VALUE"""),"#N/A")</f>
        <v>#N/A</v>
      </c>
      <c r="AI2105" s="3" t="str">
        <f>IFERROR(__xludf.DUMMYFUNCTION("""COMPUTED_VALUE"""),"Out of warranty")</f>
        <v>Out of warranty</v>
      </c>
      <c r="AJ2105" s="3">
        <f>IFERROR(__xludf.DUMMYFUNCTION("""COMPUTED_VALUE"""),22.0)</f>
        <v>22</v>
      </c>
      <c r="AK2105" s="3"/>
      <c r="AL2105" s="3"/>
    </row>
    <row r="2106" ht="15.75" customHeight="1">
      <c r="A2106" s="1" t="str">
        <f>IFERROR(__xludf.DUMMYFUNCTION("""COMPUTED_VALUE"""),"31094")</f>
        <v>31094</v>
      </c>
      <c r="B2106" s="2">
        <f>IFERROR(__xludf.DUMMYFUNCTION("""COMPUTED_VALUE"""),31094.0)</f>
        <v>31094</v>
      </c>
      <c r="C2106" s="3" t="str">
        <f>IFERROR(__xludf.DUMMYFUNCTION("""COMPUTED_VALUE"""),"BCM FC SHELL หลังสวน2 ชุมพร")</f>
        <v>BCM FC SHELL หลังสวน2 ชุมพร</v>
      </c>
      <c r="D2106" s="3" t="str">
        <f>IFERROR(__xludf.DUMMYFUNCTION("""COMPUTED_VALUE"""),"BCM FC SHELL LUNGSUAN2")</f>
        <v>BCM FC SHELL LUNGSUAN2</v>
      </c>
      <c r="E2106" s="1" t="str">
        <f>IFERROR(__xludf.DUMMYFUNCTION("""COMPUTED_VALUE"""),"บิ๊กซี MINI")</f>
        <v>บิ๊กซี MINI</v>
      </c>
      <c r="F2106" s="1" t="str">
        <f>IFERROR(__xludf.DUMMYFUNCTION("""COMPUTED_VALUE"""),"250760")</f>
        <v>250760</v>
      </c>
      <c r="G2106" s="1" t="str">
        <f>IFERROR(__xludf.DUMMYFUNCTION("""COMPUTED_VALUE"""),"นายประทวน สาราบรรณ์")</f>
        <v>นายประทวน สาราบรรณ์</v>
      </c>
      <c r="H2106" s="1" t="str">
        <f>IFERROR(__xludf.DUMMYFUNCTION("""COMPUTED_VALUE"""),"228389")</f>
        <v>228389</v>
      </c>
      <c r="I2106" s="1" t="str">
        <f>IFERROR(__xludf.DUMMYFUNCTION("""COMPUTED_VALUE"""),"นายมณีรันดร์ ชัยชนะ")</f>
        <v>นายมณีรันดร์ ชัยชนะ</v>
      </c>
      <c r="J2106" s="3">
        <f>IFERROR(__xludf.DUMMYFUNCTION("""COMPUTED_VALUE"""),25324.0)</f>
        <v>25324</v>
      </c>
      <c r="K2106" s="3" t="str">
        <f>IFERROR(__xludf.DUMMYFUNCTION("""COMPUTED_VALUE"""),"นายวิเชฎฐ์ ติรัตนะประคม")</f>
        <v>นายวิเชฎฐ์ ติรัตนะประคม</v>
      </c>
      <c r="L2106" s="1" t="str">
        <f>IFERROR(__xludf.DUMMYFUNCTION("""COMPUTED_VALUE"""),"14 K.Wichet T.")</f>
        <v>14 K.Wichet T.</v>
      </c>
      <c r="M2106" s="1" t="str">
        <f>IFERROR(__xludf.DUMMYFUNCTION("""COMPUTED_VALUE"""),"061-417-6569 / 086-445-5636")</f>
        <v>061-417-6569 / 086-445-5636</v>
      </c>
      <c r="N2106" s="3">
        <f>IFERROR(__xludf.DUMMYFUNCTION("""COMPUTED_VALUE"""),22658.0)</f>
        <v>22658</v>
      </c>
      <c r="O2106" s="3" t="str">
        <f>IFERROR(__xludf.DUMMYFUNCTION("""COMPUTED_VALUE"""),"BCM ถ.วิรัชหงษ์หยก ภูเก็ต")</f>
        <v>BCM ถ.วิรัชหงษ์หยก ภูเก็ต</v>
      </c>
      <c r="P2106" s="4">
        <f>IFERROR(__xludf.DUMMYFUNCTION("""COMPUTED_VALUE"""),45521.0)</f>
        <v>45521</v>
      </c>
      <c r="Q2106" s="3" t="str">
        <f>IFERROR(__xludf.DUMMYFUNCTION("""COMPUTED_VALUE"""),"A")</f>
        <v>A</v>
      </c>
      <c r="R2106" s="3" t="str">
        <f>IFERROR(__xludf.DUMMYFUNCTION("""COMPUTED_VALUE"""),"Small Format")</f>
        <v>Small Format</v>
      </c>
      <c r="S2106" s="3" t="str">
        <f>IFERROR(__xludf.DUMMYFUNCTION("""COMPUTED_VALUE"""),"BCM(FC)")</f>
        <v>BCM(FC)</v>
      </c>
      <c r="T2106" s="3" t="str">
        <f>IFERROR(__xludf.DUMMYFUNCTION("""COMPUTED_VALUE"""),"#N/A")</f>
        <v>#N/A</v>
      </c>
      <c r="U2106" s="3" t="str">
        <f>IFERROR(__xludf.DUMMYFUNCTION("""COMPUTED_VALUE"""),"#N/A")</f>
        <v>#N/A</v>
      </c>
      <c r="V2106" s="3" t="str">
        <f>IFERROR(__xludf.DUMMYFUNCTION("""COMPUTED_VALUE"""),"Y")</f>
        <v>Y</v>
      </c>
      <c r="W2106" s="3">
        <f>IFERROR(__xludf.DUMMYFUNCTION("""COMPUTED_VALUE"""),812302.0)</f>
        <v>812302</v>
      </c>
      <c r="X2106" s="3" t="str">
        <f>IFERROR(__xludf.DUMMYFUNCTION("""COMPUTED_VALUE"""),"111/3 หมู่ 11 ตำบลหลังขา อำเภอหลังสวน จังหวัดชุมพร86110")</f>
        <v>111/3 หมู่ 11 ตำบลหลังขา อำเภอหลังสวน จังหวัดชุมพร86110</v>
      </c>
      <c r="Y2106" s="3"/>
      <c r="Z2106" s="3" t="str">
        <f>IFERROR(__xludf.DUMMYFUNCTION("""COMPUTED_VALUE"""),"หลังขา")</f>
        <v>หลังขา</v>
      </c>
      <c r="AA2106" s="3" t="str">
        <f>IFERROR(__xludf.DUMMYFUNCTION("""COMPUTED_VALUE"""),"หลังสวน")</f>
        <v>หลังสวน</v>
      </c>
      <c r="AB2106" s="3" t="str">
        <f>IFERROR(__xludf.DUMMYFUNCTION("""COMPUTED_VALUE"""),"ชุมพร")</f>
        <v>ชุมพร</v>
      </c>
      <c r="AC2106" s="3">
        <f>IFERROR(__xludf.DUMMYFUNCTION("""COMPUTED_VALUE"""),86110.0)</f>
        <v>86110</v>
      </c>
      <c r="AD2106" s="3">
        <f>IFERROR(__xludf.DUMMYFUNCTION("""COMPUTED_VALUE"""),10.0249733)</f>
        <v>10.0249733</v>
      </c>
      <c r="AE2106" s="3">
        <f>IFERROR(__xludf.DUMMYFUNCTION("""COMPUTED_VALUE"""),99.0671703)</f>
        <v>99.0671703</v>
      </c>
      <c r="AF2106" s="3" t="str">
        <f>IFERROR(__xludf.DUMMYFUNCTION("""COMPUTED_VALUE"""),"BCM FC SHELL หลังสวน2 ชุมพร-31094")</f>
        <v>BCM FC SHELL หลังสวน2 ชุมพร-31094</v>
      </c>
      <c r="AG2106" s="3" t="str">
        <f>IFERROR(__xludf.DUMMYFUNCTION("""COMPUTED_VALUE"""),"ใต้")</f>
        <v>ใต้</v>
      </c>
      <c r="AH2106" s="3" t="str">
        <f>IFERROR(__xludf.DUMMYFUNCTION("""COMPUTED_VALUE"""),"#N/A")</f>
        <v>#N/A</v>
      </c>
      <c r="AI2106" s="3" t="str">
        <f>IFERROR(__xludf.DUMMYFUNCTION("""COMPUTED_VALUE"""),"Out of warranty")</f>
        <v>Out of warranty</v>
      </c>
      <c r="AJ2106" s="3">
        <f>IFERROR(__xludf.DUMMYFUNCTION("""COMPUTED_VALUE"""),18.0)</f>
        <v>18</v>
      </c>
      <c r="AK2106" s="3"/>
      <c r="AL2106" s="3"/>
    </row>
    <row r="2107" ht="15.75" customHeight="1">
      <c r="A2107" s="1" t="str">
        <f>IFERROR(__xludf.DUMMYFUNCTION("""COMPUTED_VALUE"""),"31095")</f>
        <v>31095</v>
      </c>
      <c r="B2107" s="2">
        <f>IFERROR(__xludf.DUMMYFUNCTION("""COMPUTED_VALUE"""),31095.0)</f>
        <v>31095</v>
      </c>
      <c r="C2107" s="3" t="str">
        <f>IFERROR(__xludf.DUMMYFUNCTION("""COMPUTED_VALUE"""),"BCM FC BCP ห้วยยาง ประจวบคีรีขันธ์")</f>
        <v>BCM FC BCP ห้วยยาง ประจวบคีรีขันธ์</v>
      </c>
      <c r="D2107" s="3" t="str">
        <f>IFERROR(__xludf.DUMMYFUNCTION("""COMPUTED_VALUE"""),"BCM FC BCP HUAI YANG PRACHUAP")</f>
        <v>BCM FC BCP HUAI YANG PRACHUAP</v>
      </c>
      <c r="E2107" s="1" t="str">
        <f>IFERROR(__xludf.DUMMYFUNCTION("""COMPUTED_VALUE"""),"บิ๊กซี MINI")</f>
        <v>บิ๊กซี MINI</v>
      </c>
      <c r="F2107" s="1" t="str">
        <f>IFERROR(__xludf.DUMMYFUNCTION("""COMPUTED_VALUE"""),"250760")</f>
        <v>250760</v>
      </c>
      <c r="G2107" s="1" t="str">
        <f>IFERROR(__xludf.DUMMYFUNCTION("""COMPUTED_VALUE"""),"นายประทวน สาราบรรณ์")</f>
        <v>นายประทวน สาราบรรณ์</v>
      </c>
      <c r="H2107" s="1" t="str">
        <f>IFERROR(__xludf.DUMMYFUNCTION("""COMPUTED_VALUE"""),"311437")</f>
        <v>311437</v>
      </c>
      <c r="I2107" s="1" t="str">
        <f>IFERROR(__xludf.DUMMYFUNCTION("""COMPUTED_VALUE"""),"นายฉัตรทพร รักวิเชียร")</f>
        <v>นายฉัตรทพร รักวิเชียร</v>
      </c>
      <c r="J2107" s="3">
        <f>IFERROR(__xludf.DUMMYFUNCTION("""COMPUTED_VALUE"""),25324.0)</f>
        <v>25324</v>
      </c>
      <c r="K2107" s="3" t="str">
        <f>IFERROR(__xludf.DUMMYFUNCTION("""COMPUTED_VALUE"""),"นายวิเชฎฐ์ ติรัตนะประคม")</f>
        <v>นายวิเชฎฐ์ ติรัตนะประคม</v>
      </c>
      <c r="L2107" s="1" t="str">
        <f>IFERROR(__xludf.DUMMYFUNCTION("""COMPUTED_VALUE"""),"14 K.Wichet T.")</f>
        <v>14 K.Wichet T.</v>
      </c>
      <c r="M2107" s="1" t="str">
        <f>IFERROR(__xludf.DUMMYFUNCTION("""COMPUTED_VALUE"""),"061-417-6569 / 086-445-5636")</f>
        <v>061-417-6569 / 086-445-5636</v>
      </c>
      <c r="N2107" s="3">
        <f>IFERROR(__xludf.DUMMYFUNCTION("""COMPUTED_VALUE"""),22658.0)</f>
        <v>22658</v>
      </c>
      <c r="O2107" s="3" t="str">
        <f>IFERROR(__xludf.DUMMYFUNCTION("""COMPUTED_VALUE"""),"BCM ถ.วิรัชหงษ์หยก ภูเก็ต")</f>
        <v>BCM ถ.วิรัชหงษ์หยก ภูเก็ต</v>
      </c>
      <c r="P2107" s="4">
        <f>IFERROR(__xludf.DUMMYFUNCTION("""COMPUTED_VALUE"""),45427.0)</f>
        <v>45427</v>
      </c>
      <c r="Q2107" s="3" t="str">
        <f>IFERROR(__xludf.DUMMYFUNCTION("""COMPUTED_VALUE"""),"A")</f>
        <v>A</v>
      </c>
      <c r="R2107" s="3" t="str">
        <f>IFERROR(__xludf.DUMMYFUNCTION("""COMPUTED_VALUE"""),"Small Format")</f>
        <v>Small Format</v>
      </c>
      <c r="S2107" s="3" t="str">
        <f>IFERROR(__xludf.DUMMYFUNCTION("""COMPUTED_VALUE"""),"BCM(FC)")</f>
        <v>BCM(FC)</v>
      </c>
      <c r="T2107" s="3" t="str">
        <f>IFERROR(__xludf.DUMMYFUNCTION("""COMPUTED_VALUE"""),"#N/A")</f>
        <v>#N/A</v>
      </c>
      <c r="U2107" s="3" t="str">
        <f>IFERROR(__xludf.DUMMYFUNCTION("""COMPUTED_VALUE"""),"#N/A")</f>
        <v>#N/A</v>
      </c>
      <c r="V2107" s="3" t="str">
        <f>IFERROR(__xludf.DUMMYFUNCTION("""COMPUTED_VALUE"""),"Y")</f>
        <v>Y</v>
      </c>
      <c r="W2107" s="3">
        <f>IFERROR(__xludf.DUMMYFUNCTION("""COMPUTED_VALUE"""),812311.0)</f>
        <v>812311</v>
      </c>
      <c r="X2107" s="3" t="str">
        <f>IFERROR(__xludf.DUMMYFUNCTION("""COMPUTED_VALUE"""),"155 หมู่9 ตำบลห้วยยาง อำเภอทับสะแก จังหวัดประจวบคีรีขันธ์ 77130")</f>
        <v>155 หมู่9 ตำบลห้วยยาง อำเภอทับสะแก จังหวัดประจวบคีรีขันธ์ 77130</v>
      </c>
      <c r="Y2107" s="3"/>
      <c r="Z2107" s="3" t="str">
        <f>IFERROR(__xludf.DUMMYFUNCTION("""COMPUTED_VALUE"""),"ห้วยยาง")</f>
        <v>ห้วยยาง</v>
      </c>
      <c r="AA2107" s="3" t="str">
        <f>IFERROR(__xludf.DUMMYFUNCTION("""COMPUTED_VALUE"""),"ทับสะแก")</f>
        <v>ทับสะแก</v>
      </c>
      <c r="AB2107" s="3" t="str">
        <f>IFERROR(__xludf.DUMMYFUNCTION("""COMPUTED_VALUE"""),"ประจวบคีรีขันธ์")</f>
        <v>ประจวบคีรีขันธ์</v>
      </c>
      <c r="AC2107" s="3">
        <f>IFERROR(__xludf.DUMMYFUNCTION("""COMPUTED_VALUE"""),77130.0)</f>
        <v>77130</v>
      </c>
      <c r="AD2107" s="3">
        <f>IFERROR(__xludf.DUMMYFUNCTION("""COMPUTED_VALUE"""),11.624642)</f>
        <v>11.624642</v>
      </c>
      <c r="AE2107" s="3">
        <f>IFERROR(__xludf.DUMMYFUNCTION("""COMPUTED_VALUE"""),99.6691373)</f>
        <v>99.6691373</v>
      </c>
      <c r="AF2107" s="3" t="str">
        <f>IFERROR(__xludf.DUMMYFUNCTION("""COMPUTED_VALUE"""),"BCM FC BCP ห้วยยาง ประจวบคีรีขันธ์-31095")</f>
        <v>BCM FC BCP ห้วยยาง ประจวบคีรีขันธ์-31095</v>
      </c>
      <c r="AG2107" s="3" t="str">
        <f>IFERROR(__xludf.DUMMYFUNCTION("""COMPUTED_VALUE"""),"ตะวันตก")</f>
        <v>ตะวันตก</v>
      </c>
      <c r="AH2107" s="3" t="str">
        <f>IFERROR(__xludf.DUMMYFUNCTION("""COMPUTED_VALUE"""),"#N/A")</f>
        <v>#N/A</v>
      </c>
      <c r="AI2107" s="3" t="str">
        <f>IFERROR(__xludf.DUMMYFUNCTION("""COMPUTED_VALUE"""),"Out of warranty")</f>
        <v>Out of warranty</v>
      </c>
      <c r="AJ2107" s="3">
        <f>IFERROR(__xludf.DUMMYFUNCTION("""COMPUTED_VALUE"""),21.0)</f>
        <v>21</v>
      </c>
      <c r="AK2107" s="3"/>
      <c r="AL2107" s="3"/>
    </row>
    <row r="2108" ht="15.75" customHeight="1">
      <c r="A2108" s="1" t="str">
        <f>IFERROR(__xludf.DUMMYFUNCTION("""COMPUTED_VALUE"""),"31096")</f>
        <v>31096</v>
      </c>
      <c r="B2108" s="2">
        <f>IFERROR(__xludf.DUMMYFUNCTION("""COMPUTED_VALUE"""),31096.0)</f>
        <v>31096</v>
      </c>
      <c r="C2108" s="3" t="str">
        <f>IFERROR(__xludf.DUMMYFUNCTION("""COMPUTED_VALUE"""),"BCM FC BCP ฮาบิแทท มาบตาพุด")</f>
        <v>BCM FC BCP ฮาบิแทท มาบตาพุด</v>
      </c>
      <c r="D2108" s="3" t="str">
        <f>IFERROR(__xludf.DUMMYFUNCTION("""COMPUTED_VALUE"""),"BCM FC BCP HABITAT MAPTAPHUT")</f>
        <v>BCM FC BCP HABITAT MAPTAPHUT</v>
      </c>
      <c r="E2108" s="1" t="str">
        <f>IFERROR(__xludf.DUMMYFUNCTION("""COMPUTED_VALUE"""),"บิ๊กซี MINI")</f>
        <v>บิ๊กซี MINI</v>
      </c>
      <c r="F2108" s="1" t="str">
        <f>IFERROR(__xludf.DUMMYFUNCTION("""COMPUTED_VALUE"""),"221716")</f>
        <v>221716</v>
      </c>
      <c r="G2108" s="1" t="str">
        <f>IFERROR(__xludf.DUMMYFUNCTION("""COMPUTED_VALUE"""),"น.ส.เบญจพร โพธิสาร")</f>
        <v>น.ส.เบญจพร โพธิสาร</v>
      </c>
      <c r="H2108" s="1" t="str">
        <f>IFERROR(__xludf.DUMMYFUNCTION("""COMPUTED_VALUE"""),"359233")</f>
        <v>359233</v>
      </c>
      <c r="I2108" s="1" t="str">
        <f>IFERROR(__xludf.DUMMYFUNCTION("""COMPUTED_VALUE"""),"น.ส.ปยุดา คำมีอ่อน")</f>
        <v>น.ส.ปยุดา คำมีอ่อน</v>
      </c>
      <c r="J2108" s="3">
        <f>IFERROR(__xludf.DUMMYFUNCTION("""COMPUTED_VALUE"""),3510104.0)</f>
        <v>3510104</v>
      </c>
      <c r="K2108" s="3" t="str">
        <f>IFERROR(__xludf.DUMMYFUNCTION("""COMPUTED_VALUE"""),"นายวิโรจน์ อับดุลสมัด")</f>
        <v>นายวิโรจน์ อับดุลสมัด</v>
      </c>
      <c r="L2108" s="3" t="str">
        <f>IFERROR(__xludf.DUMMYFUNCTION("""COMPUTED_VALUE"""),"09 K.Wirode A")</f>
        <v>09 K.Wirode A</v>
      </c>
      <c r="M2108" s="1" t="str">
        <f>IFERROR(__xludf.DUMMYFUNCTION("""COMPUTED_VALUE"""),"080-235-4465")</f>
        <v>080-235-4465</v>
      </c>
      <c r="N2108" s="3">
        <f>IFERROR(__xludf.DUMMYFUNCTION("""COMPUTED_VALUE"""),21324.0)</f>
        <v>21324</v>
      </c>
      <c r="O2108" s="3" t="str">
        <f>IFERROR(__xludf.DUMMYFUNCTION("""COMPUTED_VALUE"""),"MBC BCP สุวินทวงศ์")</f>
        <v>MBC BCP สุวินทวงศ์</v>
      </c>
      <c r="P2108" s="4">
        <f>IFERROR(__xludf.DUMMYFUNCTION("""COMPUTED_VALUE"""),45521.0)</f>
        <v>45521</v>
      </c>
      <c r="Q2108" s="3" t="str">
        <f>IFERROR(__xludf.DUMMYFUNCTION("""COMPUTED_VALUE"""),"I")</f>
        <v>I</v>
      </c>
      <c r="R2108" s="3" t="str">
        <f>IFERROR(__xludf.DUMMYFUNCTION("""COMPUTED_VALUE"""),"Small Format")</f>
        <v>Small Format</v>
      </c>
      <c r="S2108" s="3" t="str">
        <f>IFERROR(__xludf.DUMMYFUNCTION("""COMPUTED_VALUE"""),"BCM(FC)")</f>
        <v>BCM(FC)</v>
      </c>
      <c r="T2108" s="3" t="str">
        <f>IFERROR(__xludf.DUMMYFUNCTION("""COMPUTED_VALUE"""),"#N/A")</f>
        <v>#N/A</v>
      </c>
      <c r="U2108" s="3" t="str">
        <f>IFERROR(__xludf.DUMMYFUNCTION("""COMPUTED_VALUE"""),"#N/A")</f>
        <v>#N/A</v>
      </c>
      <c r="V2108" s="3" t="str">
        <f>IFERROR(__xludf.DUMMYFUNCTION("""COMPUTED_VALUE"""),"Y")</f>
        <v>Y</v>
      </c>
      <c r="W2108" s="3">
        <f>IFERROR(__xludf.DUMMYFUNCTION("""COMPUTED_VALUE"""),812312.0)</f>
        <v>812312</v>
      </c>
      <c r="X2108" s="3" t="str">
        <f>IFERROR(__xludf.DUMMYFUNCTION("""COMPUTED_VALUE"""),"168 ถนนเนินพยอม ตำบลมาบตาพุด อำเภอเมืองระยอง จังหวัดระยอง 21150")</f>
        <v>168 ถนนเนินพยอม ตำบลมาบตาพุด อำเภอเมืองระยอง จังหวัดระยอง 21150</v>
      </c>
      <c r="Y2108" s="3" t="str">
        <f>IFERROR(__xludf.DUMMYFUNCTION("""COMPUTED_VALUE"""),"เนินพยอม")</f>
        <v>เนินพยอม</v>
      </c>
      <c r="Z2108" s="3" t="str">
        <f>IFERROR(__xludf.DUMMYFUNCTION("""COMPUTED_VALUE"""),"มาบตาพุด")</f>
        <v>มาบตาพุด</v>
      </c>
      <c r="AA2108" s="3" t="str">
        <f>IFERROR(__xludf.DUMMYFUNCTION("""COMPUTED_VALUE"""),"เมืองระยอง")</f>
        <v>เมืองระยอง</v>
      </c>
      <c r="AB2108" s="3" t="str">
        <f>IFERROR(__xludf.DUMMYFUNCTION("""COMPUTED_VALUE"""),"ระยอง")</f>
        <v>ระยอง</v>
      </c>
      <c r="AC2108" s="3">
        <f>IFERROR(__xludf.DUMMYFUNCTION("""COMPUTED_VALUE"""),21150.0)</f>
        <v>21150</v>
      </c>
      <c r="AD2108" s="3">
        <f>IFERROR(__xludf.DUMMYFUNCTION("""COMPUTED_VALUE"""),12.74045752)</f>
        <v>12.74045752</v>
      </c>
      <c r="AE2108" s="3">
        <f>IFERROR(__xludf.DUMMYFUNCTION("""COMPUTED_VALUE"""),101.723309)</f>
        <v>101.723309</v>
      </c>
      <c r="AF2108" s="3" t="str">
        <f>IFERROR(__xludf.DUMMYFUNCTION("""COMPUTED_VALUE"""),"BCM FC BCP ฮาบิแทท มาบตาพุด-31096")</f>
        <v>BCM FC BCP ฮาบิแทท มาบตาพุด-31096</v>
      </c>
      <c r="AG2108" s="3" t="str">
        <f>IFERROR(__xludf.DUMMYFUNCTION("""COMPUTED_VALUE"""),"ตะวันออก")</f>
        <v>ตะวันออก</v>
      </c>
      <c r="AH2108" s="3" t="str">
        <f>IFERROR(__xludf.DUMMYFUNCTION("""COMPUTED_VALUE"""),"#N/A")</f>
        <v>#N/A</v>
      </c>
      <c r="AI2108" s="3" t="str">
        <f>IFERROR(__xludf.DUMMYFUNCTION("""COMPUTED_VALUE"""),"Out of warranty")</f>
        <v>Out of warranty</v>
      </c>
      <c r="AJ2108" s="3">
        <f>IFERROR(__xludf.DUMMYFUNCTION("""COMPUTED_VALUE"""),18.0)</f>
        <v>18</v>
      </c>
      <c r="AK2108" s="3"/>
      <c r="AL2108" s="3"/>
    </row>
    <row r="2109" ht="15.75" customHeight="1">
      <c r="A2109" s="1" t="str">
        <f>IFERROR(__xludf.DUMMYFUNCTION("""COMPUTED_VALUE"""),"31097")</f>
        <v>31097</v>
      </c>
      <c r="B2109" s="2">
        <f>IFERROR(__xludf.DUMMYFUNCTION("""COMPUTED_VALUE"""),31097.0)</f>
        <v>31097</v>
      </c>
      <c r="C2109" s="3" t="str">
        <f>IFERROR(__xludf.DUMMYFUNCTION("""COMPUTED_VALUE"""),"BCM FC BCP พระใหญ่ ชุมพร")</f>
        <v>BCM FC BCP พระใหญ่ ชุมพร</v>
      </c>
      <c r="D2109" s="3" t="str">
        <f>IFERROR(__xludf.DUMMYFUNCTION("""COMPUTED_VALUE"""),"BCM FC BCP PRAYAI CHUMPHON")</f>
        <v>BCM FC BCP PRAYAI CHUMPHON</v>
      </c>
      <c r="E2109" s="1" t="str">
        <f>IFERROR(__xludf.DUMMYFUNCTION("""COMPUTED_VALUE"""),"บิ๊กซี MINI")</f>
        <v>บิ๊กซี MINI</v>
      </c>
      <c r="F2109" s="1" t="str">
        <f>IFERROR(__xludf.DUMMYFUNCTION("""COMPUTED_VALUE"""),"250760")</f>
        <v>250760</v>
      </c>
      <c r="G2109" s="1" t="str">
        <f>IFERROR(__xludf.DUMMYFUNCTION("""COMPUTED_VALUE"""),"นายประทวน สาราบรรณ์")</f>
        <v>นายประทวน สาราบรรณ์</v>
      </c>
      <c r="H2109" s="1" t="str">
        <f>IFERROR(__xludf.DUMMYFUNCTION("""COMPUTED_VALUE"""),"228389")</f>
        <v>228389</v>
      </c>
      <c r="I2109" s="1" t="str">
        <f>IFERROR(__xludf.DUMMYFUNCTION("""COMPUTED_VALUE"""),"นายมณีรันดร์ ชัยชนะ")</f>
        <v>นายมณีรันดร์ ชัยชนะ</v>
      </c>
      <c r="J2109" s="3">
        <f>IFERROR(__xludf.DUMMYFUNCTION("""COMPUTED_VALUE"""),25324.0)</f>
        <v>25324</v>
      </c>
      <c r="K2109" s="3" t="str">
        <f>IFERROR(__xludf.DUMMYFUNCTION("""COMPUTED_VALUE"""),"นายวิเชฎฐ์ ติรัตนะประคม")</f>
        <v>นายวิเชฎฐ์ ติรัตนะประคม</v>
      </c>
      <c r="L2109" s="1" t="str">
        <f>IFERROR(__xludf.DUMMYFUNCTION("""COMPUTED_VALUE"""),"14 K.Wichet T.")</f>
        <v>14 K.Wichet T.</v>
      </c>
      <c r="M2109" s="1" t="str">
        <f>IFERROR(__xludf.DUMMYFUNCTION("""COMPUTED_VALUE"""),"061-417-6569 / 086-445-5636")</f>
        <v>061-417-6569 / 086-445-5636</v>
      </c>
      <c r="N2109" s="3">
        <f>IFERROR(__xludf.DUMMYFUNCTION("""COMPUTED_VALUE"""),22658.0)</f>
        <v>22658</v>
      </c>
      <c r="O2109" s="3" t="str">
        <f>IFERROR(__xludf.DUMMYFUNCTION("""COMPUTED_VALUE"""),"BCM ถ.วิรัชหงษ์หยก ภูเก็ต")</f>
        <v>BCM ถ.วิรัชหงษ์หยก ภูเก็ต</v>
      </c>
      <c r="P2109" s="4">
        <f>IFERROR(__xludf.DUMMYFUNCTION("""COMPUTED_VALUE"""),45474.0)</f>
        <v>45474</v>
      </c>
      <c r="Q2109" s="3" t="str">
        <f>IFERROR(__xludf.DUMMYFUNCTION("""COMPUTED_VALUE"""),"A")</f>
        <v>A</v>
      </c>
      <c r="R2109" s="3" t="str">
        <f>IFERROR(__xludf.DUMMYFUNCTION("""COMPUTED_VALUE"""),"Small Format")</f>
        <v>Small Format</v>
      </c>
      <c r="S2109" s="3" t="str">
        <f>IFERROR(__xludf.DUMMYFUNCTION("""COMPUTED_VALUE"""),"BCM(FC)")</f>
        <v>BCM(FC)</v>
      </c>
      <c r="T2109" s="3" t="str">
        <f>IFERROR(__xludf.DUMMYFUNCTION("""COMPUTED_VALUE"""),"#N/A")</f>
        <v>#N/A</v>
      </c>
      <c r="U2109" s="3" t="str">
        <f>IFERROR(__xludf.DUMMYFUNCTION("""COMPUTED_VALUE"""),"#N/A")</f>
        <v>#N/A</v>
      </c>
      <c r="V2109" s="3" t="str">
        <f>IFERROR(__xludf.DUMMYFUNCTION("""COMPUTED_VALUE"""),"Y")</f>
        <v>Y</v>
      </c>
      <c r="W2109" s="3">
        <f>IFERROR(__xludf.DUMMYFUNCTION("""COMPUTED_VALUE"""),812315.0)</f>
        <v>812315</v>
      </c>
      <c r="X2109" s="3" t="str">
        <f>IFERROR(__xludf.DUMMYFUNCTION("""COMPUTED_VALUE"""),"39/11 หมู่1 ตำบลวิสัยเหนือ อำเภอเมืองชุมพร จังหวัดชุมพร 86100")</f>
        <v>39/11 หมู่1 ตำบลวิสัยเหนือ อำเภอเมืองชุมพร จังหวัดชุมพร 86100</v>
      </c>
      <c r="Y2109" s="3"/>
      <c r="Z2109" s="3" t="str">
        <f>IFERROR(__xludf.DUMMYFUNCTION("""COMPUTED_VALUE"""),"วิสัยเหนือ")</f>
        <v>วิสัยเหนือ</v>
      </c>
      <c r="AA2109" s="3" t="str">
        <f>IFERROR(__xludf.DUMMYFUNCTION("""COMPUTED_VALUE"""),"เมืองชุมพร")</f>
        <v>เมืองชุมพร</v>
      </c>
      <c r="AB2109" s="3" t="str">
        <f>IFERROR(__xludf.DUMMYFUNCTION("""COMPUTED_VALUE"""),"ชุมพร")</f>
        <v>ชุมพร</v>
      </c>
      <c r="AC2109" s="3">
        <f>IFERROR(__xludf.DUMMYFUNCTION("""COMPUTED_VALUE"""),86100.0)</f>
        <v>86100</v>
      </c>
      <c r="AD2109" s="3">
        <f>IFERROR(__xludf.DUMMYFUNCTION("""COMPUTED_VALUE"""),10.370322)</f>
        <v>10.370322</v>
      </c>
      <c r="AE2109" s="3">
        <f>IFERROR(__xludf.DUMMYFUNCTION("""COMPUTED_VALUE"""),99.125729)</f>
        <v>99.125729</v>
      </c>
      <c r="AF2109" s="3" t="str">
        <f>IFERROR(__xludf.DUMMYFUNCTION("""COMPUTED_VALUE"""),"BCM FC BCP พระใหญ่ ชุมพร-31097")</f>
        <v>BCM FC BCP พระใหญ่ ชุมพร-31097</v>
      </c>
      <c r="AG2109" s="3" t="str">
        <f>IFERROR(__xludf.DUMMYFUNCTION("""COMPUTED_VALUE"""),"ใต้")</f>
        <v>ใต้</v>
      </c>
      <c r="AH2109" s="3" t="str">
        <f>IFERROR(__xludf.DUMMYFUNCTION("""COMPUTED_VALUE"""),"#N/A")</f>
        <v>#N/A</v>
      </c>
      <c r="AI2109" s="3" t="str">
        <f>IFERROR(__xludf.DUMMYFUNCTION("""COMPUTED_VALUE"""),"Out of warranty")</f>
        <v>Out of warranty</v>
      </c>
      <c r="AJ2109" s="3">
        <f>IFERROR(__xludf.DUMMYFUNCTION("""COMPUTED_VALUE"""),19.0)</f>
        <v>19</v>
      </c>
      <c r="AK2109" s="3"/>
      <c r="AL2109" s="3"/>
    </row>
    <row r="2110" ht="15.75" customHeight="1">
      <c r="A2110" s="1" t="str">
        <f>IFERROR(__xludf.DUMMYFUNCTION("""COMPUTED_VALUE"""),"31098")</f>
        <v>31098</v>
      </c>
      <c r="B2110" s="2">
        <f>IFERROR(__xludf.DUMMYFUNCTION("""COMPUTED_VALUE"""),31098.0)</f>
        <v>31098</v>
      </c>
      <c r="C2110" s="3" t="str">
        <f>IFERROR(__xludf.DUMMYFUNCTION("""COMPUTED_VALUE"""),"BCM FC BCP กมลาไสย กาฬสินธุ์")</f>
        <v>BCM FC BCP กมลาไสย กาฬสินธุ์</v>
      </c>
      <c r="D2110" s="3" t="str">
        <f>IFERROR(__xludf.DUMMYFUNCTION("""COMPUTED_VALUE"""),"BCM FC BCP KAMALASAI KALASIN")</f>
        <v>BCM FC BCP KAMALASAI KALASIN</v>
      </c>
      <c r="E2110" s="1" t="str">
        <f>IFERROR(__xludf.DUMMYFUNCTION("""COMPUTED_VALUE"""),"บิ๊กซี MINI")</f>
        <v>บิ๊กซี MINI</v>
      </c>
      <c r="F2110" s="1" t="str">
        <f>IFERROR(__xludf.DUMMYFUNCTION("""COMPUTED_VALUE"""),"291105")</f>
        <v>291105</v>
      </c>
      <c r="G2110" s="1" t="str">
        <f>IFERROR(__xludf.DUMMYFUNCTION("""COMPUTED_VALUE"""),"นายสราวุฒิ พณิชยกุล")</f>
        <v>นายสราวุฒิ พณิชยกุล</v>
      </c>
      <c r="H2110" s="1" t="str">
        <f>IFERROR(__xludf.DUMMYFUNCTION("""COMPUTED_VALUE"""),"392433")</f>
        <v>392433</v>
      </c>
      <c r="I2110" s="1" t="str">
        <f>IFERROR(__xludf.DUMMYFUNCTION("""COMPUTED_VALUE"""),"นายพรธิวา ใจอ่อน")</f>
        <v>นายพรธิวา ใจอ่อน</v>
      </c>
      <c r="J2110" s="3">
        <f>IFERROR(__xludf.DUMMYFUNCTION("""COMPUTED_VALUE"""),2454781.0)</f>
        <v>2454781</v>
      </c>
      <c r="K2110" s="3" t="str">
        <f>IFERROR(__xludf.DUMMYFUNCTION("""COMPUTED_VALUE"""),"นายฌานกฤช นันทะโคต")</f>
        <v>นายฌานกฤช นันทะโคต</v>
      </c>
      <c r="L2110" s="3" t="str">
        <f>IFERROR(__xludf.DUMMYFUNCTION("""COMPUTED_VALUE"""),"05 K.Chanakrit N.")</f>
        <v>05 K.Chanakrit N.</v>
      </c>
      <c r="M2110" s="1" t="str">
        <f>IFERROR(__xludf.DUMMYFUNCTION("""COMPUTED_VALUE"""),"090-978-9785 ,065-929-1320")</f>
        <v>090-978-9785 ,065-929-1320</v>
      </c>
      <c r="N2110" s="3">
        <f>IFERROR(__xludf.DUMMYFUNCTION("""COMPUTED_VALUE"""),22195.0)</f>
        <v>22195</v>
      </c>
      <c r="O2110" s="3" t="str">
        <f>IFERROR(__xludf.DUMMYFUNCTION("""COMPUTED_VALUE"""),"MBC กันทรลักษ์ ศรีสะเกษ")</f>
        <v>MBC กันทรลักษ์ ศรีสะเกษ</v>
      </c>
      <c r="P2110" s="4">
        <f>IFERROR(__xludf.DUMMYFUNCTION("""COMPUTED_VALUE"""),45477.0)</f>
        <v>45477</v>
      </c>
      <c r="Q2110" s="3" t="str">
        <f>IFERROR(__xludf.DUMMYFUNCTION("""COMPUTED_VALUE"""),"A")</f>
        <v>A</v>
      </c>
      <c r="R2110" s="3" t="str">
        <f>IFERROR(__xludf.DUMMYFUNCTION("""COMPUTED_VALUE"""),"Small Format")</f>
        <v>Small Format</v>
      </c>
      <c r="S2110" s="3" t="str">
        <f>IFERROR(__xludf.DUMMYFUNCTION("""COMPUTED_VALUE"""),"BCM(FC)")</f>
        <v>BCM(FC)</v>
      </c>
      <c r="T2110" s="3" t="str">
        <f>IFERROR(__xludf.DUMMYFUNCTION("""COMPUTED_VALUE"""),"#N/A")</f>
        <v>#N/A</v>
      </c>
      <c r="U2110" s="3" t="str">
        <f>IFERROR(__xludf.DUMMYFUNCTION("""COMPUTED_VALUE"""),"#N/A")</f>
        <v>#N/A</v>
      </c>
      <c r="V2110" s="3" t="str">
        <f>IFERROR(__xludf.DUMMYFUNCTION("""COMPUTED_VALUE"""),"Y")</f>
        <v>Y</v>
      </c>
      <c r="W2110" s="3">
        <f>IFERROR(__xludf.DUMMYFUNCTION("""COMPUTED_VALUE"""),812313.0)</f>
        <v>812313</v>
      </c>
      <c r="X2110" s="3" t="str">
        <f>IFERROR(__xludf.DUMMYFUNCTION("""COMPUTED_VALUE"""),"277 หมู่6 ตำบลหลุบ อำเภอเมืองกาฬสินธุ์ จังหวัดกาฬสินธุ์ 46000")</f>
        <v>277 หมู่6 ตำบลหลุบ อำเภอเมืองกาฬสินธุ์ จังหวัดกาฬสินธุ์ 46000</v>
      </c>
      <c r="Y2110" s="3"/>
      <c r="Z2110" s="3" t="str">
        <f>IFERROR(__xludf.DUMMYFUNCTION("""COMPUTED_VALUE"""),"หลุบ")</f>
        <v>หลุบ</v>
      </c>
      <c r="AA2110" s="3" t="str">
        <f>IFERROR(__xludf.DUMMYFUNCTION("""COMPUTED_VALUE"""),"เมืองกาฬสินธุ์")</f>
        <v>เมืองกาฬสินธุ์</v>
      </c>
      <c r="AB2110" s="3" t="str">
        <f>IFERROR(__xludf.DUMMYFUNCTION("""COMPUTED_VALUE"""),"กาฬสินธุ์")</f>
        <v>กาฬสินธุ์</v>
      </c>
      <c r="AC2110" s="3">
        <f>IFERROR(__xludf.DUMMYFUNCTION("""COMPUTED_VALUE"""),46000.0)</f>
        <v>46000</v>
      </c>
      <c r="AD2110" s="3">
        <f>IFERROR(__xludf.DUMMYFUNCTION("""COMPUTED_VALUE"""),16.397792)</f>
        <v>16.397792</v>
      </c>
      <c r="AE2110" s="3">
        <f>IFERROR(__xludf.DUMMYFUNCTION("""COMPUTED_VALUE"""),103.532782)</f>
        <v>103.532782</v>
      </c>
      <c r="AF2110" s="3" t="str">
        <f>IFERROR(__xludf.DUMMYFUNCTION("""COMPUTED_VALUE"""),"BCM FC BCP กมลาไสย กาฬสินธุ์-31098")</f>
        <v>BCM FC BCP กมลาไสย กาฬสินธุ์-31098</v>
      </c>
      <c r="AG2110" s="3" t="str">
        <f>IFERROR(__xludf.DUMMYFUNCTION("""COMPUTED_VALUE"""),"ตะวันออกเฉียงเหนือ")</f>
        <v>ตะวันออกเฉียงเหนือ</v>
      </c>
      <c r="AH2110" s="3" t="str">
        <f>IFERROR(__xludf.DUMMYFUNCTION("""COMPUTED_VALUE"""),"#N/A")</f>
        <v>#N/A</v>
      </c>
      <c r="AI2110" s="3" t="str">
        <f>IFERROR(__xludf.DUMMYFUNCTION("""COMPUTED_VALUE"""),"Out of warranty")</f>
        <v>Out of warranty</v>
      </c>
      <c r="AJ2110" s="3">
        <f>IFERROR(__xludf.DUMMYFUNCTION("""COMPUTED_VALUE"""),19.0)</f>
        <v>19</v>
      </c>
      <c r="AK2110" s="3"/>
      <c r="AL2110" s="3"/>
    </row>
    <row r="2111" ht="15.75" customHeight="1">
      <c r="A2111" s="1" t="str">
        <f>IFERROR(__xludf.DUMMYFUNCTION("""COMPUTED_VALUE"""),"31099")</f>
        <v>31099</v>
      </c>
      <c r="B2111" s="2">
        <f>IFERROR(__xludf.DUMMYFUNCTION("""COMPUTED_VALUE"""),31099.0)</f>
        <v>31099</v>
      </c>
      <c r="C2111" s="3" t="str">
        <f>IFERROR(__xludf.DUMMYFUNCTION("""COMPUTED_VALUE"""),"BCM FC BCP ถ.กบินทร์บุรี ปราจีนบุรี")</f>
        <v>BCM FC BCP ถ.กบินทร์บุรี ปราจีนบุรี</v>
      </c>
      <c r="D2111" s="3" t="str">
        <f>IFERROR(__xludf.DUMMYFUNCTION("""COMPUTED_VALUE"""),"BCM FC BCP THANON KABINBURI")</f>
        <v>BCM FC BCP THANON KABINBURI</v>
      </c>
      <c r="E2111" s="1" t="str">
        <f>IFERROR(__xludf.DUMMYFUNCTION("""COMPUTED_VALUE"""),"บิ๊กซี MINI")</f>
        <v>บิ๊กซี MINI</v>
      </c>
      <c r="F2111" s="1" t="str">
        <f>IFERROR(__xludf.DUMMYFUNCTION("""COMPUTED_VALUE"""),"2083447")</f>
        <v>2083447</v>
      </c>
      <c r="G2111" s="1" t="str">
        <f>IFERROR(__xludf.DUMMYFUNCTION("""COMPUTED_VALUE"""),"นายอนุกูล ศรีลัดดา")</f>
        <v>นายอนุกูล ศรีลัดดา</v>
      </c>
      <c r="H2111" s="1" t="str">
        <f>IFERROR(__xludf.DUMMYFUNCTION("""COMPUTED_VALUE"""),"259808")</f>
        <v>259808</v>
      </c>
      <c r="I2111" s="1" t="str">
        <f>IFERROR(__xludf.DUMMYFUNCTION("""COMPUTED_VALUE"""),"น.ส.สกุลรัตน์ พิกุลแก้ว")</f>
        <v>น.ส.สกุลรัตน์ พิกุลแก้ว</v>
      </c>
      <c r="J2111" s="3">
        <f>IFERROR(__xludf.DUMMYFUNCTION("""COMPUTED_VALUE"""),510143.0)</f>
        <v>510143</v>
      </c>
      <c r="K2111" s="3" t="str">
        <f>IFERROR(__xludf.DUMMYFUNCTION("""COMPUTED_VALUE"""),"นายธีระวัฒน์ บุญสิทธิ์")</f>
        <v>นายธีระวัฒน์ บุญสิทธิ์</v>
      </c>
      <c r="L2111" s="1" t="str">
        <f>IFERROR(__xludf.DUMMYFUNCTION("""COMPUTED_VALUE"""),"12 K.Theerawat B.")</f>
        <v>12 K.Theerawat B.</v>
      </c>
      <c r="M2111" s="1" t="str">
        <f>IFERROR(__xludf.DUMMYFUNCTION("""COMPUTED_VALUE"""),"0655107379")</f>
        <v>0655107379</v>
      </c>
      <c r="N2111" s="3">
        <f>IFERROR(__xludf.DUMMYFUNCTION("""COMPUTED_VALUE"""),21062.0)</f>
        <v>21062</v>
      </c>
      <c r="O2111" s="3" t="str">
        <f>IFERROR(__xludf.DUMMYFUNCTION("""COMPUTED_VALUE"""),"MBC นิคมนวนคร")</f>
        <v>MBC นิคมนวนคร</v>
      </c>
      <c r="P2111" s="4">
        <f>IFERROR(__xludf.DUMMYFUNCTION("""COMPUTED_VALUE"""),45480.0)</f>
        <v>45480</v>
      </c>
      <c r="Q2111" s="3" t="str">
        <f>IFERROR(__xludf.DUMMYFUNCTION("""COMPUTED_VALUE"""),"A")</f>
        <v>A</v>
      </c>
      <c r="R2111" s="3" t="str">
        <f>IFERROR(__xludf.DUMMYFUNCTION("""COMPUTED_VALUE"""),"Small Format")</f>
        <v>Small Format</v>
      </c>
      <c r="S2111" s="3" t="str">
        <f>IFERROR(__xludf.DUMMYFUNCTION("""COMPUTED_VALUE"""),"BCM(FC)")</f>
        <v>BCM(FC)</v>
      </c>
      <c r="T2111" s="3" t="str">
        <f>IFERROR(__xludf.DUMMYFUNCTION("""COMPUTED_VALUE"""),"#N/A")</f>
        <v>#N/A</v>
      </c>
      <c r="U2111" s="3" t="str">
        <f>IFERROR(__xludf.DUMMYFUNCTION("""COMPUTED_VALUE"""),"#N/A")</f>
        <v>#N/A</v>
      </c>
      <c r="V2111" s="3" t="str">
        <f>IFERROR(__xludf.DUMMYFUNCTION("""COMPUTED_VALUE"""),"Y")</f>
        <v>Y</v>
      </c>
      <c r="W2111" s="3">
        <f>IFERROR(__xludf.DUMMYFUNCTION("""COMPUTED_VALUE"""),812314.0)</f>
        <v>812314</v>
      </c>
      <c r="X2111" s="3" t="str">
        <f>IFERROR(__xludf.DUMMYFUNCTION("""COMPUTED_VALUE"""),"99/2 หมู่2 ตำบลลาดตะเคียน อำเภอกบินทร์บุรี จังหวัดปราจีนบุรี 25110")</f>
        <v>99/2 หมู่2 ตำบลลาดตะเคียน อำเภอกบินทร์บุรี จังหวัดปราจีนบุรี 25110</v>
      </c>
      <c r="Y2111" s="3"/>
      <c r="Z2111" s="3" t="str">
        <f>IFERROR(__xludf.DUMMYFUNCTION("""COMPUTED_VALUE"""),"ลาดตะเคียน")</f>
        <v>ลาดตะเคียน</v>
      </c>
      <c r="AA2111" s="3" t="str">
        <f>IFERROR(__xludf.DUMMYFUNCTION("""COMPUTED_VALUE"""),"กบินทร์บุรี")</f>
        <v>กบินทร์บุรี</v>
      </c>
      <c r="AB2111" s="3" t="str">
        <f>IFERROR(__xludf.DUMMYFUNCTION("""COMPUTED_VALUE"""),"ปราจีนบุรี")</f>
        <v>ปราจีนบุรี</v>
      </c>
      <c r="AC2111" s="3">
        <f>IFERROR(__xludf.DUMMYFUNCTION("""COMPUTED_VALUE"""),25110.0)</f>
        <v>25110</v>
      </c>
      <c r="AD2111" s="3">
        <f>IFERROR(__xludf.DUMMYFUNCTION("""COMPUTED_VALUE"""),13.90454412)</f>
        <v>13.90454412</v>
      </c>
      <c r="AE2111" s="3">
        <f>IFERROR(__xludf.DUMMYFUNCTION("""COMPUTED_VALUE"""),101.658791)</f>
        <v>101.658791</v>
      </c>
      <c r="AF2111" s="3" t="str">
        <f>IFERROR(__xludf.DUMMYFUNCTION("""COMPUTED_VALUE"""),"BCM FC BCP ถ.กบินทร์บุรี ปราจีนบุรี-31099")</f>
        <v>BCM FC BCP ถ.กบินทร์บุรี ปราจีนบุรี-31099</v>
      </c>
      <c r="AG2111" s="3" t="str">
        <f>IFERROR(__xludf.DUMMYFUNCTION("""COMPUTED_VALUE"""),"ตะวันออก")</f>
        <v>ตะวันออก</v>
      </c>
      <c r="AH2111" s="3" t="str">
        <f>IFERROR(__xludf.DUMMYFUNCTION("""COMPUTED_VALUE"""),"#N/A")</f>
        <v>#N/A</v>
      </c>
      <c r="AI2111" s="3" t="str">
        <f>IFERROR(__xludf.DUMMYFUNCTION("""COMPUTED_VALUE"""),"Out of warranty")</f>
        <v>Out of warranty</v>
      </c>
      <c r="AJ2111" s="3">
        <f>IFERROR(__xludf.DUMMYFUNCTION("""COMPUTED_VALUE"""),19.0)</f>
        <v>19</v>
      </c>
      <c r="AK2111" s="3"/>
      <c r="AL2111" s="3"/>
    </row>
    <row r="2112" ht="15.75" customHeight="1">
      <c r="A2112" s="1" t="str">
        <f>IFERROR(__xludf.DUMMYFUNCTION("""COMPUTED_VALUE"""),"31100")</f>
        <v>31100</v>
      </c>
      <c r="B2112" s="2">
        <f>IFERROR(__xludf.DUMMYFUNCTION("""COMPUTED_VALUE"""),31100.0)</f>
        <v>31100</v>
      </c>
      <c r="C2112" s="3" t="str">
        <f>IFERROR(__xludf.DUMMYFUNCTION("""COMPUTED_VALUE"""),"BCM FC BCP เขาปีป ชุมพร")</f>
        <v>BCM FC BCP เขาปีป ชุมพร</v>
      </c>
      <c r="D2112" s="3" t="str">
        <f>IFERROR(__xludf.DUMMYFUNCTION("""COMPUTED_VALUE"""),"BCM FC BCP KHAOPIP CHUMPHORN")</f>
        <v>BCM FC BCP KHAOPIP CHUMPHORN</v>
      </c>
      <c r="E2112" s="1" t="str">
        <f>IFERROR(__xludf.DUMMYFUNCTION("""COMPUTED_VALUE"""),"บิ๊กซี MINI")</f>
        <v>บิ๊กซี MINI</v>
      </c>
      <c r="F2112" s="1" t="str">
        <f>IFERROR(__xludf.DUMMYFUNCTION("""COMPUTED_VALUE"""),"250760")</f>
        <v>250760</v>
      </c>
      <c r="G2112" s="1" t="str">
        <f>IFERROR(__xludf.DUMMYFUNCTION("""COMPUTED_VALUE"""),"นายประทวน สาราบรรณ์")</f>
        <v>นายประทวน สาราบรรณ์</v>
      </c>
      <c r="H2112" s="1" t="str">
        <f>IFERROR(__xludf.DUMMYFUNCTION("""COMPUTED_VALUE"""),"228389")</f>
        <v>228389</v>
      </c>
      <c r="I2112" s="1" t="str">
        <f>IFERROR(__xludf.DUMMYFUNCTION("""COMPUTED_VALUE"""),"นายมณีรันดร์ ชัยชนะ")</f>
        <v>นายมณีรันดร์ ชัยชนะ</v>
      </c>
      <c r="J2112" s="3">
        <f>IFERROR(__xludf.DUMMYFUNCTION("""COMPUTED_VALUE"""),25324.0)</f>
        <v>25324</v>
      </c>
      <c r="K2112" s="3" t="str">
        <f>IFERROR(__xludf.DUMMYFUNCTION("""COMPUTED_VALUE"""),"นายวิเชฎฐ์ ติรัตนะประคม")</f>
        <v>นายวิเชฎฐ์ ติรัตนะประคม</v>
      </c>
      <c r="L2112" s="1" t="str">
        <f>IFERROR(__xludf.DUMMYFUNCTION("""COMPUTED_VALUE"""),"14 K.Wichet T.")</f>
        <v>14 K.Wichet T.</v>
      </c>
      <c r="M2112" s="1" t="str">
        <f>IFERROR(__xludf.DUMMYFUNCTION("""COMPUTED_VALUE"""),"061-417-6569 / 086-445-5636")</f>
        <v>061-417-6569 / 086-445-5636</v>
      </c>
      <c r="N2112" s="3">
        <f>IFERROR(__xludf.DUMMYFUNCTION("""COMPUTED_VALUE"""),22658.0)</f>
        <v>22658</v>
      </c>
      <c r="O2112" s="3" t="str">
        <f>IFERROR(__xludf.DUMMYFUNCTION("""COMPUTED_VALUE"""),"BCM ถ.วิรัชหงษ์หยก ภูเก็ต")</f>
        <v>BCM ถ.วิรัชหงษ์หยก ภูเก็ต</v>
      </c>
      <c r="P2112" s="4">
        <f>IFERROR(__xludf.DUMMYFUNCTION("""COMPUTED_VALUE"""),45485.0)</f>
        <v>45485</v>
      </c>
      <c r="Q2112" s="3" t="str">
        <f>IFERROR(__xludf.DUMMYFUNCTION("""COMPUTED_VALUE"""),"A")</f>
        <v>A</v>
      </c>
      <c r="R2112" s="3" t="str">
        <f>IFERROR(__xludf.DUMMYFUNCTION("""COMPUTED_VALUE"""),"Small Format")</f>
        <v>Small Format</v>
      </c>
      <c r="S2112" s="3" t="str">
        <f>IFERROR(__xludf.DUMMYFUNCTION("""COMPUTED_VALUE"""),"BCM(FC)")</f>
        <v>BCM(FC)</v>
      </c>
      <c r="T2112" s="3" t="str">
        <f>IFERROR(__xludf.DUMMYFUNCTION("""COMPUTED_VALUE"""),"#N/A")</f>
        <v>#N/A</v>
      </c>
      <c r="U2112" s="3" t="str">
        <f>IFERROR(__xludf.DUMMYFUNCTION("""COMPUTED_VALUE"""),"#N/A")</f>
        <v>#N/A</v>
      </c>
      <c r="V2112" s="3" t="str">
        <f>IFERROR(__xludf.DUMMYFUNCTION("""COMPUTED_VALUE"""),"Y")</f>
        <v>Y</v>
      </c>
      <c r="W2112" s="3">
        <f>IFERROR(__xludf.DUMMYFUNCTION("""COMPUTED_VALUE"""),812308.0)</f>
        <v>812308</v>
      </c>
      <c r="X2112" s="3" t="str">
        <f>IFERROR(__xludf.DUMMYFUNCTION("""COMPUTED_VALUE"""),"29/2 หมู่4 ตำบลทุ่งตะไคร้ อำเภอทุ่งตะโก จังหวัดชุมพร 86220")</f>
        <v>29/2 หมู่4 ตำบลทุ่งตะไคร้ อำเภอทุ่งตะโก จังหวัดชุมพร 86220</v>
      </c>
      <c r="Y2112" s="3"/>
      <c r="Z2112" s="3" t="str">
        <f>IFERROR(__xludf.DUMMYFUNCTION("""COMPUTED_VALUE"""),"ทุ่งตะไคร้")</f>
        <v>ทุ่งตะไคร้</v>
      </c>
      <c r="AA2112" s="3" t="str">
        <f>IFERROR(__xludf.DUMMYFUNCTION("""COMPUTED_VALUE"""),"ทุ่งตะโก")</f>
        <v>ทุ่งตะโก</v>
      </c>
      <c r="AB2112" s="3" t="str">
        <f>IFERROR(__xludf.DUMMYFUNCTION("""COMPUTED_VALUE"""),"ชุมพร")</f>
        <v>ชุมพร</v>
      </c>
      <c r="AC2112" s="3">
        <f>IFERROR(__xludf.DUMMYFUNCTION("""COMPUTED_VALUE"""),86220.0)</f>
        <v>86220</v>
      </c>
      <c r="AD2112" s="3">
        <f>IFERROR(__xludf.DUMMYFUNCTION("""COMPUTED_VALUE"""),10.15636851)</f>
        <v>10.15636851</v>
      </c>
      <c r="AE2112" s="3">
        <f>IFERROR(__xludf.DUMMYFUNCTION("""COMPUTED_VALUE"""),99.09636319)</f>
        <v>99.09636319</v>
      </c>
      <c r="AF2112" s="3" t="str">
        <f>IFERROR(__xludf.DUMMYFUNCTION("""COMPUTED_VALUE"""),"BCM FC BCP เขาปีป ชุมพร-31100")</f>
        <v>BCM FC BCP เขาปีป ชุมพร-31100</v>
      </c>
      <c r="AG2112" s="3" t="str">
        <f>IFERROR(__xludf.DUMMYFUNCTION("""COMPUTED_VALUE"""),"ใต้")</f>
        <v>ใต้</v>
      </c>
      <c r="AH2112" s="3" t="str">
        <f>IFERROR(__xludf.DUMMYFUNCTION("""COMPUTED_VALUE"""),"#N/A")</f>
        <v>#N/A</v>
      </c>
      <c r="AI2112" s="3" t="str">
        <f>IFERROR(__xludf.DUMMYFUNCTION("""COMPUTED_VALUE"""),"Out of warranty")</f>
        <v>Out of warranty</v>
      </c>
      <c r="AJ2112" s="3">
        <f>IFERROR(__xludf.DUMMYFUNCTION("""COMPUTED_VALUE"""),19.0)</f>
        <v>19</v>
      </c>
      <c r="AK2112" s="3"/>
      <c r="AL2112" s="3"/>
    </row>
    <row r="2113" ht="15.75" customHeight="1">
      <c r="A2113" s="1" t="str">
        <f>IFERROR(__xludf.DUMMYFUNCTION("""COMPUTED_VALUE"""),"31101")</f>
        <v>31101</v>
      </c>
      <c r="B2113" s="2">
        <f>IFERROR(__xludf.DUMMYFUNCTION("""COMPUTED_VALUE"""),31101.0)</f>
        <v>31101</v>
      </c>
      <c r="C2113" s="3" t="str">
        <f>IFERROR(__xludf.DUMMYFUNCTION("""COMPUTED_VALUE"""),"BCM FC BCP บ้านพระ ปราจีนบุรี")</f>
        <v>BCM FC BCP บ้านพระ ปราจีนบุรี</v>
      </c>
      <c r="D2113" s="3" t="str">
        <f>IFERROR(__xludf.DUMMYFUNCTION("""COMPUTED_VALUE"""),"BCM FC BCP BANPHRA PRACHINBURI")</f>
        <v>BCM FC BCP BANPHRA PRACHINBURI</v>
      </c>
      <c r="E2113" s="1" t="str">
        <f>IFERROR(__xludf.DUMMYFUNCTION("""COMPUTED_VALUE"""),"บิ๊กซี MINI")</f>
        <v>บิ๊กซี MINI</v>
      </c>
      <c r="F2113" s="1" t="str">
        <f>IFERROR(__xludf.DUMMYFUNCTION("""COMPUTED_VALUE"""),"2083447")</f>
        <v>2083447</v>
      </c>
      <c r="G2113" s="1" t="str">
        <f>IFERROR(__xludf.DUMMYFUNCTION("""COMPUTED_VALUE"""),"นายอนุกูล ศรีลัดดา")</f>
        <v>นายอนุกูล ศรีลัดดา</v>
      </c>
      <c r="H2113" s="1" t="str">
        <f>IFERROR(__xludf.DUMMYFUNCTION("""COMPUTED_VALUE"""),"259808")</f>
        <v>259808</v>
      </c>
      <c r="I2113" s="1" t="str">
        <f>IFERROR(__xludf.DUMMYFUNCTION("""COMPUTED_VALUE"""),"น.ส.สกุลรัตน์ พิกุลแก้ว")</f>
        <v>น.ส.สกุลรัตน์ พิกุลแก้ว</v>
      </c>
      <c r="J2113" s="3">
        <f>IFERROR(__xludf.DUMMYFUNCTION("""COMPUTED_VALUE"""),510143.0)</f>
        <v>510143</v>
      </c>
      <c r="K2113" s="3" t="str">
        <f>IFERROR(__xludf.DUMMYFUNCTION("""COMPUTED_VALUE"""),"นายธีระวัฒน์ บุญสิทธิ์")</f>
        <v>นายธีระวัฒน์ บุญสิทธิ์</v>
      </c>
      <c r="L2113" s="1" t="str">
        <f>IFERROR(__xludf.DUMMYFUNCTION("""COMPUTED_VALUE"""),"12 K.Theerawat B.")</f>
        <v>12 K.Theerawat B.</v>
      </c>
      <c r="M2113" s="1" t="str">
        <f>IFERROR(__xludf.DUMMYFUNCTION("""COMPUTED_VALUE"""),"0655107379")</f>
        <v>0655107379</v>
      </c>
      <c r="N2113" s="3">
        <f>IFERROR(__xludf.DUMMYFUNCTION("""COMPUTED_VALUE"""),21062.0)</f>
        <v>21062</v>
      </c>
      <c r="O2113" s="3" t="str">
        <f>IFERROR(__xludf.DUMMYFUNCTION("""COMPUTED_VALUE"""),"MBC นิคมนวนคร")</f>
        <v>MBC นิคมนวนคร</v>
      </c>
      <c r="P2113" s="4">
        <f>IFERROR(__xludf.DUMMYFUNCTION("""COMPUTED_VALUE"""),45485.0)</f>
        <v>45485</v>
      </c>
      <c r="Q2113" s="3" t="str">
        <f>IFERROR(__xludf.DUMMYFUNCTION("""COMPUTED_VALUE"""),"A")</f>
        <v>A</v>
      </c>
      <c r="R2113" s="3" t="str">
        <f>IFERROR(__xludf.DUMMYFUNCTION("""COMPUTED_VALUE"""),"Small Format")</f>
        <v>Small Format</v>
      </c>
      <c r="S2113" s="3" t="str">
        <f>IFERROR(__xludf.DUMMYFUNCTION("""COMPUTED_VALUE"""),"BCM(FC)")</f>
        <v>BCM(FC)</v>
      </c>
      <c r="T2113" s="3" t="str">
        <f>IFERROR(__xludf.DUMMYFUNCTION("""COMPUTED_VALUE"""),"#N/A")</f>
        <v>#N/A</v>
      </c>
      <c r="U2113" s="3" t="str">
        <f>IFERROR(__xludf.DUMMYFUNCTION("""COMPUTED_VALUE"""),"#N/A")</f>
        <v>#N/A</v>
      </c>
      <c r="V2113" s="3" t="str">
        <f>IFERROR(__xludf.DUMMYFUNCTION("""COMPUTED_VALUE"""),"Y")</f>
        <v>Y</v>
      </c>
      <c r="W2113" s="3">
        <f>IFERROR(__xludf.DUMMYFUNCTION("""COMPUTED_VALUE"""),812319.0)</f>
        <v>812319</v>
      </c>
      <c r="X2113" s="3" t="str">
        <f>IFERROR(__xludf.DUMMYFUNCTION("""COMPUTED_VALUE"""),"89 หมู่19 ตำบลบ้านพระ อำเภอเมืองปราจีนบุรี จังหวัดปราจีนบุรี 25230")</f>
        <v>89 หมู่19 ตำบลบ้านพระ อำเภอเมืองปราจีนบุรี จังหวัดปราจีนบุรี 25230</v>
      </c>
      <c r="Y2113" s="3"/>
      <c r="Z2113" s="3" t="str">
        <f>IFERROR(__xludf.DUMMYFUNCTION("""COMPUTED_VALUE"""),"บ้านพระ")</f>
        <v>บ้านพระ</v>
      </c>
      <c r="AA2113" s="3" t="str">
        <f>IFERROR(__xludf.DUMMYFUNCTION("""COMPUTED_VALUE"""),"เมืองปราจีนบุรี")</f>
        <v>เมืองปราจีนบุรี</v>
      </c>
      <c r="AB2113" s="3" t="str">
        <f>IFERROR(__xludf.DUMMYFUNCTION("""COMPUTED_VALUE"""),"ปราจีนบุรี")</f>
        <v>ปราจีนบุรี</v>
      </c>
      <c r="AC2113" s="3">
        <f>IFERROR(__xludf.DUMMYFUNCTION("""COMPUTED_VALUE"""),25230.0)</f>
        <v>25230</v>
      </c>
      <c r="AD2113" s="3">
        <f>IFERROR(__xludf.DUMMYFUNCTION("""COMPUTED_VALUE"""),14.09941007)</f>
        <v>14.09941007</v>
      </c>
      <c r="AE2113" s="3">
        <f>IFERROR(__xludf.DUMMYFUNCTION("""COMPUTED_VALUE"""),101.3915663)</f>
        <v>101.3915663</v>
      </c>
      <c r="AF2113" s="3" t="str">
        <f>IFERROR(__xludf.DUMMYFUNCTION("""COMPUTED_VALUE"""),"BCM FC BCP บ้านพระ ปราจีนบุรี-31101")</f>
        <v>BCM FC BCP บ้านพระ ปราจีนบุรี-31101</v>
      </c>
      <c r="AG2113" s="3" t="str">
        <f>IFERROR(__xludf.DUMMYFUNCTION("""COMPUTED_VALUE"""),"ตะวันออก")</f>
        <v>ตะวันออก</v>
      </c>
      <c r="AH2113" s="3" t="str">
        <f>IFERROR(__xludf.DUMMYFUNCTION("""COMPUTED_VALUE"""),"#N/A")</f>
        <v>#N/A</v>
      </c>
      <c r="AI2113" s="3" t="str">
        <f>IFERROR(__xludf.DUMMYFUNCTION("""COMPUTED_VALUE"""),"Out of warranty")</f>
        <v>Out of warranty</v>
      </c>
      <c r="AJ2113" s="3">
        <f>IFERROR(__xludf.DUMMYFUNCTION("""COMPUTED_VALUE"""),19.0)</f>
        <v>19</v>
      </c>
      <c r="AK2113" s="3"/>
      <c r="AL2113" s="3"/>
    </row>
    <row r="2114" ht="15.75" customHeight="1">
      <c r="A2114" s="1" t="str">
        <f>IFERROR(__xludf.DUMMYFUNCTION("""COMPUTED_VALUE"""),"31102")</f>
        <v>31102</v>
      </c>
      <c r="B2114" s="2">
        <f>IFERROR(__xludf.DUMMYFUNCTION("""COMPUTED_VALUE"""),31102.0)</f>
        <v>31102</v>
      </c>
      <c r="C2114" s="3" t="str">
        <f>IFERROR(__xludf.DUMMYFUNCTION("""COMPUTED_VALUE"""),"BCM FC BCP อนุภาษ ไม้ขาว ภูเก็ต")</f>
        <v>BCM FC BCP อนุภาษ ไม้ขาว ภูเก็ต</v>
      </c>
      <c r="D2114" s="3" t="str">
        <f>IFERROR(__xludf.DUMMYFUNCTION("""COMPUTED_VALUE"""),"BCM FC BCP ANUPASMAIKHAO")</f>
        <v>BCM FC BCP ANUPASMAIKHAO</v>
      </c>
      <c r="E2114" s="1" t="str">
        <f>IFERROR(__xludf.DUMMYFUNCTION("""COMPUTED_VALUE"""),"บิ๊กซี MINI")</f>
        <v>บิ๊กซี MINI</v>
      </c>
      <c r="F2114" s="1" t="str">
        <f>IFERROR(__xludf.DUMMYFUNCTION("""COMPUTED_VALUE"""),"250760")</f>
        <v>250760</v>
      </c>
      <c r="G2114" s="1" t="str">
        <f>IFERROR(__xludf.DUMMYFUNCTION("""COMPUTED_VALUE"""),"นายประทวน สาราบรรณ์")</f>
        <v>นายประทวน สาราบรรณ์</v>
      </c>
      <c r="H2114" s="1" t="str">
        <f>IFERROR(__xludf.DUMMYFUNCTION("""COMPUTED_VALUE"""),"357284")</f>
        <v>357284</v>
      </c>
      <c r="I2114" s="1" t="str">
        <f>IFERROR(__xludf.DUMMYFUNCTION("""COMPUTED_VALUE"""),"น.ส.เบญจวรรณ ปัณฑโมรา")</f>
        <v>น.ส.เบญจวรรณ ปัณฑโมรา</v>
      </c>
      <c r="J2114" s="3">
        <f>IFERROR(__xludf.DUMMYFUNCTION("""COMPUTED_VALUE"""),25324.0)</f>
        <v>25324</v>
      </c>
      <c r="K2114" s="3" t="str">
        <f>IFERROR(__xludf.DUMMYFUNCTION("""COMPUTED_VALUE"""),"นายวิเชฎฐ์ ติรัตนะประคม")</f>
        <v>นายวิเชฎฐ์ ติรัตนะประคม</v>
      </c>
      <c r="L2114" s="1" t="str">
        <f>IFERROR(__xludf.DUMMYFUNCTION("""COMPUTED_VALUE"""),"14 K.Wichet T.")</f>
        <v>14 K.Wichet T.</v>
      </c>
      <c r="M2114" s="1" t="str">
        <f>IFERROR(__xludf.DUMMYFUNCTION("""COMPUTED_VALUE"""),"061-417-6569 / 086-445-5636")</f>
        <v>061-417-6569 / 086-445-5636</v>
      </c>
      <c r="N2114" s="3">
        <f>IFERROR(__xludf.DUMMYFUNCTION("""COMPUTED_VALUE"""),22658.0)</f>
        <v>22658</v>
      </c>
      <c r="O2114" s="3" t="str">
        <f>IFERROR(__xludf.DUMMYFUNCTION("""COMPUTED_VALUE"""),"BCM ถ.วิรัชหงษ์หยก ภูเก็ต")</f>
        <v>BCM ถ.วิรัชหงษ์หยก ภูเก็ต</v>
      </c>
      <c r="P2114" s="4">
        <f>IFERROR(__xludf.DUMMYFUNCTION("""COMPUTED_VALUE"""),45490.0)</f>
        <v>45490</v>
      </c>
      <c r="Q2114" s="3" t="str">
        <f>IFERROR(__xludf.DUMMYFUNCTION("""COMPUTED_VALUE"""),"A")</f>
        <v>A</v>
      </c>
      <c r="R2114" s="3" t="str">
        <f>IFERROR(__xludf.DUMMYFUNCTION("""COMPUTED_VALUE"""),"Small Format")</f>
        <v>Small Format</v>
      </c>
      <c r="S2114" s="3" t="str">
        <f>IFERROR(__xludf.DUMMYFUNCTION("""COMPUTED_VALUE"""),"BCM(FC)")</f>
        <v>BCM(FC)</v>
      </c>
      <c r="T2114" s="3" t="str">
        <f>IFERROR(__xludf.DUMMYFUNCTION("""COMPUTED_VALUE"""),"#N/A")</f>
        <v>#N/A</v>
      </c>
      <c r="U2114" s="3" t="str">
        <f>IFERROR(__xludf.DUMMYFUNCTION("""COMPUTED_VALUE"""),"#N/A")</f>
        <v>#N/A</v>
      </c>
      <c r="V2114" s="3" t="str">
        <f>IFERROR(__xludf.DUMMYFUNCTION("""COMPUTED_VALUE"""),"Y")</f>
        <v>Y</v>
      </c>
      <c r="W2114" s="3">
        <f>IFERROR(__xludf.DUMMYFUNCTION("""COMPUTED_VALUE"""),812307.0)</f>
        <v>812307</v>
      </c>
      <c r="X2114" s="3" t="str">
        <f>IFERROR(__xludf.DUMMYFUNCTION("""COMPUTED_VALUE"""),"82/11-12 หมู่3 ตำบลไม้ขาว อำเภอกลาง จังหวัดภูเก็ต 83109")</f>
        <v>82/11-12 หมู่3 ตำบลไม้ขาว อำเภอกลาง จังหวัดภูเก็ต 83109</v>
      </c>
      <c r="Y2114" s="3"/>
      <c r="Z2114" s="3" t="str">
        <f>IFERROR(__xludf.DUMMYFUNCTION("""COMPUTED_VALUE"""),"ไม้ขาว")</f>
        <v>ไม้ขาว</v>
      </c>
      <c r="AA2114" s="3" t="str">
        <f>IFERROR(__xludf.DUMMYFUNCTION("""COMPUTED_VALUE"""),"กลาง")</f>
        <v>กลาง</v>
      </c>
      <c r="AB2114" s="3" t="str">
        <f>IFERROR(__xludf.DUMMYFUNCTION("""COMPUTED_VALUE"""),"ภูเก็ต")</f>
        <v>ภูเก็ต</v>
      </c>
      <c r="AC2114" s="3">
        <f>IFERROR(__xludf.DUMMYFUNCTION("""COMPUTED_VALUE"""),83109.0)</f>
        <v>83109</v>
      </c>
      <c r="AD2114" s="3">
        <f>IFERROR(__xludf.DUMMYFUNCTION("""COMPUTED_VALUE"""),8.17164989)</f>
        <v>8.17164989</v>
      </c>
      <c r="AE2114" s="3">
        <f>IFERROR(__xludf.DUMMYFUNCTION("""COMPUTED_VALUE"""),98.29854104)</f>
        <v>98.29854104</v>
      </c>
      <c r="AF2114" s="3" t="str">
        <f>IFERROR(__xludf.DUMMYFUNCTION("""COMPUTED_VALUE"""),"BCM FC BCP อนุภาษ ไม้ขาว ภูเก็ต-31102")</f>
        <v>BCM FC BCP อนุภาษ ไม้ขาว ภูเก็ต-31102</v>
      </c>
      <c r="AG2114" s="3" t="str">
        <f>IFERROR(__xludf.DUMMYFUNCTION("""COMPUTED_VALUE"""),"ใต้")</f>
        <v>ใต้</v>
      </c>
      <c r="AH2114" s="3" t="str">
        <f>IFERROR(__xludf.DUMMYFUNCTION("""COMPUTED_VALUE"""),"#N/A")</f>
        <v>#N/A</v>
      </c>
      <c r="AI2114" s="3" t="str">
        <f>IFERROR(__xludf.DUMMYFUNCTION("""COMPUTED_VALUE"""),"Out of warranty")</f>
        <v>Out of warranty</v>
      </c>
      <c r="AJ2114" s="3">
        <f>IFERROR(__xludf.DUMMYFUNCTION("""COMPUTED_VALUE"""),19.0)</f>
        <v>19</v>
      </c>
      <c r="AK2114" s="3"/>
      <c r="AL2114" s="3"/>
    </row>
    <row r="2115" ht="15.75" customHeight="1">
      <c r="A2115" s="1" t="str">
        <f>IFERROR(__xludf.DUMMYFUNCTION("""COMPUTED_VALUE"""),"31103")</f>
        <v>31103</v>
      </c>
      <c r="B2115" s="2">
        <f>IFERROR(__xludf.DUMMYFUNCTION("""COMPUTED_VALUE"""),31103.0)</f>
        <v>31103</v>
      </c>
      <c r="C2115" s="3" t="str">
        <f>IFERROR(__xludf.DUMMYFUNCTION("""COMPUTED_VALUE"""),"BCM FC BCP หลักจันทร์ จันทบุรี")</f>
        <v>BCM FC BCP หลักจันทร์ จันทบุรี</v>
      </c>
      <c r="D2115" s="3" t="str">
        <f>IFERROR(__xludf.DUMMYFUNCTION("""COMPUTED_VALUE"""),"BCM FC BCP LAKCHAN CHANTHABURI")</f>
        <v>BCM FC BCP LAKCHAN CHANTHABURI</v>
      </c>
      <c r="E2115" s="1" t="str">
        <f>IFERROR(__xludf.DUMMYFUNCTION("""COMPUTED_VALUE"""),"บิ๊กซี MINI")</f>
        <v>บิ๊กซี MINI</v>
      </c>
      <c r="F2115" s="1" t="str">
        <f>IFERROR(__xludf.DUMMYFUNCTION("""COMPUTED_VALUE"""),"221716")</f>
        <v>221716</v>
      </c>
      <c r="G2115" s="1" t="str">
        <f>IFERROR(__xludf.DUMMYFUNCTION("""COMPUTED_VALUE"""),"น.ส.เบญจพร โพธิสาร")</f>
        <v>น.ส.เบญจพร โพธิสาร</v>
      </c>
      <c r="H2115" s="1" t="str">
        <f>IFERROR(__xludf.DUMMYFUNCTION("""COMPUTED_VALUE"""),"318151")</f>
        <v>318151</v>
      </c>
      <c r="I2115" s="1" t="str">
        <f>IFERROR(__xludf.DUMMYFUNCTION("""COMPUTED_VALUE"""),"นายพลฬกฤตต์ เนตมณี")</f>
        <v>นายพลฬกฤตต์ เนตมณี</v>
      </c>
      <c r="J2115" s="3">
        <f>IFERROR(__xludf.DUMMYFUNCTION("""COMPUTED_VALUE"""),2452376.0)</f>
        <v>2452376</v>
      </c>
      <c r="K2115" s="3" t="str">
        <f>IFERROR(__xludf.DUMMYFUNCTION("""COMPUTED_VALUE"""),"นายภาคภูมิ ทวีกุล")</f>
        <v>นายภาคภูมิ ทวีกุล</v>
      </c>
      <c r="L2115" s="3" t="str">
        <f>IFERROR(__xludf.DUMMYFUNCTION("""COMPUTED_VALUE"""),"08 K.Parkphum T.")</f>
        <v>08 K.Parkphum T.</v>
      </c>
      <c r="M2115" s="1" t="str">
        <f>IFERROR(__xludf.DUMMYFUNCTION("""COMPUTED_VALUE"""),"097-919-5476")</f>
        <v>097-919-5476</v>
      </c>
      <c r="N2115" s="3">
        <f>IFERROR(__xludf.DUMMYFUNCTION("""COMPUTED_VALUE"""),22028.0)</f>
        <v>22028</v>
      </c>
      <c r="O2115" s="3" t="str">
        <f>IFERROR(__xludf.DUMMYFUNCTION("""COMPUTED_VALUE"""),"MBC ทํบมา ระยอง")</f>
        <v>MBC ทํบมา ระยอง</v>
      </c>
      <c r="P2115" s="4">
        <f>IFERROR(__xludf.DUMMYFUNCTION("""COMPUTED_VALUE"""),45517.0)</f>
        <v>45517</v>
      </c>
      <c r="Q2115" s="3" t="str">
        <f>IFERROR(__xludf.DUMMYFUNCTION("""COMPUTED_VALUE"""),"A")</f>
        <v>A</v>
      </c>
      <c r="R2115" s="3" t="str">
        <f>IFERROR(__xludf.DUMMYFUNCTION("""COMPUTED_VALUE"""),"Small Format")</f>
        <v>Small Format</v>
      </c>
      <c r="S2115" s="3" t="str">
        <f>IFERROR(__xludf.DUMMYFUNCTION("""COMPUTED_VALUE"""),"BCM(FC)")</f>
        <v>BCM(FC)</v>
      </c>
      <c r="T2115" s="3" t="str">
        <f>IFERROR(__xludf.DUMMYFUNCTION("""COMPUTED_VALUE"""),"#N/A")</f>
        <v>#N/A</v>
      </c>
      <c r="U2115" s="3" t="str">
        <f>IFERROR(__xludf.DUMMYFUNCTION("""COMPUTED_VALUE"""),"#N/A")</f>
        <v>#N/A</v>
      </c>
      <c r="V2115" s="3" t="str">
        <f>IFERROR(__xludf.DUMMYFUNCTION("""COMPUTED_VALUE"""),"Y")</f>
        <v>Y</v>
      </c>
      <c r="W2115" s="3">
        <f>IFERROR(__xludf.DUMMYFUNCTION("""COMPUTED_VALUE"""),812318.0)</f>
        <v>812318</v>
      </c>
      <c r="X2115" s="3" t="str">
        <f>IFERROR(__xludf.DUMMYFUNCTION("""COMPUTED_VALUE"""),"99 หมู่2 ตำบลมะขาม อำเภอมะขาม จังหวัดจันทบุรี 22150")</f>
        <v>99 หมู่2 ตำบลมะขาม อำเภอมะขาม จังหวัดจันทบุรี 22150</v>
      </c>
      <c r="Y2115" s="3"/>
      <c r="Z2115" s="3" t="str">
        <f>IFERROR(__xludf.DUMMYFUNCTION("""COMPUTED_VALUE"""),"มะขาม")</f>
        <v>มะขาม</v>
      </c>
      <c r="AA2115" s="3" t="str">
        <f>IFERROR(__xludf.DUMMYFUNCTION("""COMPUTED_VALUE"""),"มะขาม")</f>
        <v>มะขาม</v>
      </c>
      <c r="AB2115" s="3" t="str">
        <f>IFERROR(__xludf.DUMMYFUNCTION("""COMPUTED_VALUE"""),"จันทบุรี")</f>
        <v>จันทบุรี</v>
      </c>
      <c r="AC2115" s="3">
        <f>IFERROR(__xludf.DUMMYFUNCTION("""COMPUTED_VALUE"""),22150.0)</f>
        <v>22150</v>
      </c>
      <c r="AD2115" s="3">
        <f>IFERROR(__xludf.DUMMYFUNCTION("""COMPUTED_VALUE"""),12.66905092)</f>
        <v>12.66905092</v>
      </c>
      <c r="AE2115" s="3">
        <f>IFERROR(__xludf.DUMMYFUNCTION("""COMPUTED_VALUE"""),102.1891558)</f>
        <v>102.1891558</v>
      </c>
      <c r="AF2115" s="3" t="str">
        <f>IFERROR(__xludf.DUMMYFUNCTION("""COMPUTED_VALUE"""),"BCM FC BCP หลักจันทร์ จันทบุรี-31103")</f>
        <v>BCM FC BCP หลักจันทร์ จันทบุรี-31103</v>
      </c>
      <c r="AG2115" s="3" t="str">
        <f>IFERROR(__xludf.DUMMYFUNCTION("""COMPUTED_VALUE"""),"ตะวันออก")</f>
        <v>ตะวันออก</v>
      </c>
      <c r="AH2115" s="3" t="str">
        <f>IFERROR(__xludf.DUMMYFUNCTION("""COMPUTED_VALUE"""),"#N/A")</f>
        <v>#N/A</v>
      </c>
      <c r="AI2115" s="3" t="str">
        <f>IFERROR(__xludf.DUMMYFUNCTION("""COMPUTED_VALUE"""),"Out of warranty")</f>
        <v>Out of warranty</v>
      </c>
      <c r="AJ2115" s="3">
        <f>IFERROR(__xludf.DUMMYFUNCTION("""COMPUTED_VALUE"""),18.0)</f>
        <v>18</v>
      </c>
      <c r="AK2115" s="3"/>
      <c r="AL2115" s="3"/>
    </row>
    <row r="2116" ht="15.75" customHeight="1">
      <c r="A2116" s="1" t="str">
        <f>IFERROR(__xludf.DUMMYFUNCTION("""COMPUTED_VALUE"""),"31104")</f>
        <v>31104</v>
      </c>
      <c r="B2116" s="2">
        <f>IFERROR(__xludf.DUMMYFUNCTION("""COMPUTED_VALUE"""),31104.0)</f>
        <v>31104</v>
      </c>
      <c r="C2116" s="3" t="str">
        <f>IFERROR(__xludf.DUMMYFUNCTION("""COMPUTED_VALUE"""),"BCM FC เกาะไร่ ฉะเชิงเทรา")</f>
        <v>BCM FC เกาะไร่ ฉะเชิงเทรา</v>
      </c>
      <c r="D2116" s="3" t="str">
        <f>IFERROR(__xludf.DUMMYFUNCTION("""COMPUTED_VALUE"""),"BCM FC KOHRAI CHACHOENGSAO")</f>
        <v>BCM FC KOHRAI CHACHOENGSAO</v>
      </c>
      <c r="E2116" s="1" t="str">
        <f>IFERROR(__xludf.DUMMYFUNCTION("""COMPUTED_VALUE"""),"บิ๊กซี MINI")</f>
        <v>บิ๊กซี MINI</v>
      </c>
      <c r="F2116" s="1" t="str">
        <f>IFERROR(__xludf.DUMMYFUNCTION("""COMPUTED_VALUE"""),"2083447")</f>
        <v>2083447</v>
      </c>
      <c r="G2116" s="1" t="str">
        <f>IFERROR(__xludf.DUMMYFUNCTION("""COMPUTED_VALUE"""),"นายอนุกูล ศรีลัดดา")</f>
        <v>นายอนุกูล ศรีลัดดา</v>
      </c>
      <c r="H2116" s="1" t="str">
        <f>IFERROR(__xludf.DUMMYFUNCTION("""COMPUTED_VALUE"""),"254957")</f>
        <v>254957</v>
      </c>
      <c r="I2116" s="1" t="str">
        <f>IFERROR(__xludf.DUMMYFUNCTION("""COMPUTED_VALUE"""),"น.ส.ศิริพร รุ่งธัญญา")</f>
        <v>น.ส.ศิริพร รุ่งธัญญา</v>
      </c>
      <c r="J2116" s="3">
        <f>IFERROR(__xludf.DUMMYFUNCTION("""COMPUTED_VALUE"""),510143.0)</f>
        <v>510143</v>
      </c>
      <c r="K2116" s="3" t="str">
        <f>IFERROR(__xludf.DUMMYFUNCTION("""COMPUTED_VALUE"""),"นายธีระวัฒน์ บุญสิทธิ์")</f>
        <v>นายธีระวัฒน์ บุญสิทธิ์</v>
      </c>
      <c r="L2116" s="1" t="str">
        <f>IFERROR(__xludf.DUMMYFUNCTION("""COMPUTED_VALUE"""),"12 K.Theerawat B.")</f>
        <v>12 K.Theerawat B.</v>
      </c>
      <c r="M2116" s="1" t="str">
        <f>IFERROR(__xludf.DUMMYFUNCTION("""COMPUTED_VALUE"""),"0655107379")</f>
        <v>0655107379</v>
      </c>
      <c r="N2116" s="3">
        <f>IFERROR(__xludf.DUMMYFUNCTION("""COMPUTED_VALUE"""),21062.0)</f>
        <v>21062</v>
      </c>
      <c r="O2116" s="3" t="str">
        <f>IFERROR(__xludf.DUMMYFUNCTION("""COMPUTED_VALUE"""),"MBC นิคมนวนคร")</f>
        <v>MBC นิคมนวนคร</v>
      </c>
      <c r="P2116" s="4">
        <f>IFERROR(__xludf.DUMMYFUNCTION("""COMPUTED_VALUE"""),45556.0)</f>
        <v>45556</v>
      </c>
      <c r="Q2116" s="3" t="str">
        <f>IFERROR(__xludf.DUMMYFUNCTION("""COMPUTED_VALUE"""),"A")</f>
        <v>A</v>
      </c>
      <c r="R2116" s="3" t="str">
        <f>IFERROR(__xludf.DUMMYFUNCTION("""COMPUTED_VALUE"""),"Small Format")</f>
        <v>Small Format</v>
      </c>
      <c r="S2116" s="3" t="str">
        <f>IFERROR(__xludf.DUMMYFUNCTION("""COMPUTED_VALUE"""),"BCM(FC)")</f>
        <v>BCM(FC)</v>
      </c>
      <c r="T2116" s="3" t="str">
        <f>IFERROR(__xludf.DUMMYFUNCTION("""COMPUTED_VALUE"""),"#N/A")</f>
        <v>#N/A</v>
      </c>
      <c r="U2116" s="3" t="str">
        <f>IFERROR(__xludf.DUMMYFUNCTION("""COMPUTED_VALUE"""),"#N/A")</f>
        <v>#N/A</v>
      </c>
      <c r="V2116" s="3" t="str">
        <f>IFERROR(__xludf.DUMMYFUNCTION("""COMPUTED_VALUE"""),"Y")</f>
        <v>Y</v>
      </c>
      <c r="W2116" s="3">
        <f>IFERROR(__xludf.DUMMYFUNCTION("""COMPUTED_VALUE"""),812320.0)</f>
        <v>812320</v>
      </c>
      <c r="X2116" s="3" t="str">
        <f>IFERROR(__xludf.DUMMYFUNCTION("""COMPUTED_VALUE"""),"3/5 หมู่ 4 ตำบลเกาะไร่ อำเภอบ้านโพธิ์ จังหวัดฉะเชิงเทรา 24140")</f>
        <v>3/5 หมู่ 4 ตำบลเกาะไร่ อำเภอบ้านโพธิ์ จังหวัดฉะเชิงเทรา 24140</v>
      </c>
      <c r="Y2116" s="3"/>
      <c r="Z2116" s="3" t="str">
        <f>IFERROR(__xludf.DUMMYFUNCTION("""COMPUTED_VALUE"""),"เกาะไร่")</f>
        <v>เกาะไร่</v>
      </c>
      <c r="AA2116" s="3" t="str">
        <f>IFERROR(__xludf.DUMMYFUNCTION("""COMPUTED_VALUE"""),"บ้านโพธิ์")</f>
        <v>บ้านโพธิ์</v>
      </c>
      <c r="AB2116" s="3" t="str">
        <f>IFERROR(__xludf.DUMMYFUNCTION("""COMPUTED_VALUE"""),"ฉะเชิงเทรา")</f>
        <v>ฉะเชิงเทรา</v>
      </c>
      <c r="AC2116" s="3">
        <f>IFERROR(__xludf.DUMMYFUNCTION("""COMPUTED_VALUE"""),24140.0)</f>
        <v>24140</v>
      </c>
      <c r="AD2116" s="3">
        <f>IFERROR(__xludf.DUMMYFUNCTION("""COMPUTED_VALUE"""),13.66416)</f>
        <v>13.66416</v>
      </c>
      <c r="AE2116" s="3">
        <f>IFERROR(__xludf.DUMMYFUNCTION("""COMPUTED_VALUE"""),100.97136)</f>
        <v>100.97136</v>
      </c>
      <c r="AF2116" s="3" t="str">
        <f>IFERROR(__xludf.DUMMYFUNCTION("""COMPUTED_VALUE"""),"BCM FC เกาะไร่ ฉะเชิงเทรา-31104")</f>
        <v>BCM FC เกาะไร่ ฉะเชิงเทรา-31104</v>
      </c>
      <c r="AG2116" s="3" t="str">
        <f>IFERROR(__xludf.DUMMYFUNCTION("""COMPUTED_VALUE"""),"ตะวันออก")</f>
        <v>ตะวันออก</v>
      </c>
      <c r="AH2116" s="3" t="str">
        <f>IFERROR(__xludf.DUMMYFUNCTION("""COMPUTED_VALUE"""),"#N/A")</f>
        <v>#N/A</v>
      </c>
      <c r="AI2116" s="3" t="str">
        <f>IFERROR(__xludf.DUMMYFUNCTION("""COMPUTED_VALUE"""),"Out of warranty")</f>
        <v>Out of warranty</v>
      </c>
      <c r="AJ2116" s="3">
        <f>IFERROR(__xludf.DUMMYFUNCTION("""COMPUTED_VALUE"""),16.0)</f>
        <v>16</v>
      </c>
      <c r="AK2116" s="3"/>
      <c r="AL2116" s="3"/>
    </row>
    <row r="2117" ht="15.75" customHeight="1">
      <c r="A2117" s="1" t="str">
        <f>IFERROR(__xludf.DUMMYFUNCTION("""COMPUTED_VALUE"""),"31105")</f>
        <v>31105</v>
      </c>
      <c r="B2117" s="2">
        <f>IFERROR(__xludf.DUMMYFUNCTION("""COMPUTED_VALUE"""),31105.0)</f>
        <v>31105</v>
      </c>
      <c r="C2117" s="3" t="str">
        <f>IFERROR(__xludf.DUMMYFUNCTION("""COMPUTED_VALUE"""),"BCM FC BCP โคกกรวด นครราชสีมา")</f>
        <v>BCM FC BCP โคกกรวด นครราชสีมา</v>
      </c>
      <c r="D2117" s="3" t="str">
        <f>IFERROR(__xludf.DUMMYFUNCTION("""COMPUTED_VALUE"""),"BCM FC BCP KHOKKRUAT")</f>
        <v>BCM FC BCP KHOKKRUAT</v>
      </c>
      <c r="E2117" s="1" t="str">
        <f>IFERROR(__xludf.DUMMYFUNCTION("""COMPUTED_VALUE"""),"บิ๊กซี MINI")</f>
        <v>บิ๊กซี MINI</v>
      </c>
      <c r="F2117" s="1" t="str">
        <f>IFERROR(__xludf.DUMMYFUNCTION("""COMPUTED_VALUE"""),"291105")</f>
        <v>291105</v>
      </c>
      <c r="G2117" s="1" t="str">
        <f>IFERROR(__xludf.DUMMYFUNCTION("""COMPUTED_VALUE"""),"นายสราวุฒิ พณิชยกุล")</f>
        <v>นายสราวุฒิ พณิชยกุล</v>
      </c>
      <c r="H2117" s="1" t="str">
        <f>IFERROR(__xludf.DUMMYFUNCTION("""COMPUTED_VALUE"""),"281315")</f>
        <v>281315</v>
      </c>
      <c r="I2117" s="1" t="str">
        <f>IFERROR(__xludf.DUMMYFUNCTION("""COMPUTED_VALUE"""),"นายกิตติพงษ์ มั่นคง")</f>
        <v>นายกิตติพงษ์ มั่นคง</v>
      </c>
      <c r="J2117" s="3">
        <f>IFERROR(__xludf.DUMMYFUNCTION("""COMPUTED_VALUE"""),15361.0)</f>
        <v>15361</v>
      </c>
      <c r="K2117" s="3" t="str">
        <f>IFERROR(__xludf.DUMMYFUNCTION("""COMPUTED_VALUE"""),"นายสมบูรณ์ พรหมในเมือง")</f>
        <v>นายสมบูรณ์ พรหมในเมือง</v>
      </c>
      <c r="L2117" s="1" t="str">
        <f>IFERROR(__xludf.DUMMYFUNCTION("""COMPUTED_VALUE"""),"04 K.Somboon P.")</f>
        <v>04 K.Somboon P.</v>
      </c>
      <c r="M2117" s="1" t="str">
        <f>IFERROR(__xludf.DUMMYFUNCTION("""COMPUTED_VALUE"""),"087-965-3051")</f>
        <v>087-965-3051</v>
      </c>
      <c r="N2117" s="3">
        <f>IFERROR(__xludf.DUMMYFUNCTION("""COMPUTED_VALUE"""),21869.0)</f>
        <v>21869</v>
      </c>
      <c r="O2117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2117" s="4">
        <f>IFERROR(__xludf.DUMMYFUNCTION("""COMPUTED_VALUE"""),45580.0)</f>
        <v>45580</v>
      </c>
      <c r="Q2117" s="3" t="str">
        <f>IFERROR(__xludf.DUMMYFUNCTION("""COMPUTED_VALUE"""),"A")</f>
        <v>A</v>
      </c>
      <c r="R2117" s="3" t="str">
        <f>IFERROR(__xludf.DUMMYFUNCTION("""COMPUTED_VALUE"""),"Small Format")</f>
        <v>Small Format</v>
      </c>
      <c r="S2117" s="3" t="str">
        <f>IFERROR(__xludf.DUMMYFUNCTION("""COMPUTED_VALUE"""),"BCM(FC)")</f>
        <v>BCM(FC)</v>
      </c>
      <c r="T2117" s="3" t="str">
        <f>IFERROR(__xludf.DUMMYFUNCTION("""COMPUTED_VALUE"""),"#N/A")</f>
        <v>#N/A</v>
      </c>
      <c r="U2117" s="3" t="str">
        <f>IFERROR(__xludf.DUMMYFUNCTION("""COMPUTED_VALUE"""),"#N/A")</f>
        <v>#N/A</v>
      </c>
      <c r="V2117" s="3" t="str">
        <f>IFERROR(__xludf.DUMMYFUNCTION("""COMPUTED_VALUE"""),"Y")</f>
        <v>Y</v>
      </c>
      <c r="W2117" s="3">
        <f>IFERROR(__xludf.DUMMYFUNCTION("""COMPUTED_VALUE"""),812328.0)</f>
        <v>812328</v>
      </c>
      <c r="X2117" s="3" t="str">
        <f>IFERROR(__xludf.DUMMYFUNCTION("""COMPUTED_VALUE"""),"ตำบลโคกกรวด อำเภอสูงเนิน จังหวัดนครราชสีมา")</f>
        <v>ตำบลโคกกรวด อำเภอสูงเนิน จังหวัดนครราชสีมา</v>
      </c>
      <c r="Y2117" s="3"/>
      <c r="Z2117" s="3" t="str">
        <f>IFERROR(__xludf.DUMMYFUNCTION("""COMPUTED_VALUE"""),"โคกกรวด")</f>
        <v>โคกกรวด</v>
      </c>
      <c r="AA2117" s="3" t="str">
        <f>IFERROR(__xludf.DUMMYFUNCTION("""COMPUTED_VALUE"""),"สูงเนิน")</f>
        <v>สูงเนิน</v>
      </c>
      <c r="AB2117" s="3" t="str">
        <f>IFERROR(__xludf.DUMMYFUNCTION("""COMPUTED_VALUE"""),"นครราชสีมา")</f>
        <v>นครราชสีมา</v>
      </c>
      <c r="AC2117" s="3"/>
      <c r="AD2117" s="3">
        <f>IFERROR(__xludf.DUMMYFUNCTION("""COMPUTED_VALUE"""),14.91303274)</f>
        <v>14.91303274</v>
      </c>
      <c r="AE2117" s="3">
        <f>IFERROR(__xludf.DUMMYFUNCTION("""COMPUTED_VALUE"""),101.934352)</f>
        <v>101.934352</v>
      </c>
      <c r="AF2117" s="3" t="str">
        <f>IFERROR(__xludf.DUMMYFUNCTION("""COMPUTED_VALUE"""),"BCM FC BCP โคกกรวด นครราชสีมา-31105")</f>
        <v>BCM FC BCP โคกกรวด นครราชสีมา-31105</v>
      </c>
      <c r="AG2117" s="3" t="str">
        <f>IFERROR(__xludf.DUMMYFUNCTION("""COMPUTED_VALUE"""),"ตะวันออกเฉียงเหนือ")</f>
        <v>ตะวันออกเฉียงเหนือ</v>
      </c>
      <c r="AH2117" s="3" t="str">
        <f>IFERROR(__xludf.DUMMYFUNCTION("""COMPUTED_VALUE"""),"#N/A")</f>
        <v>#N/A</v>
      </c>
      <c r="AI2117" s="3" t="str">
        <f>IFERROR(__xludf.DUMMYFUNCTION("""COMPUTED_VALUE"""),"Out of warranty")</f>
        <v>Out of warranty</v>
      </c>
      <c r="AJ2117" s="3">
        <f>IFERROR(__xludf.DUMMYFUNCTION("""COMPUTED_VALUE"""),16.0)</f>
        <v>16</v>
      </c>
      <c r="AK2117" s="3"/>
      <c r="AL2117" s="3"/>
    </row>
    <row r="2118" ht="15.75" customHeight="1">
      <c r="A2118" s="1" t="str">
        <f>IFERROR(__xludf.DUMMYFUNCTION("""COMPUTED_VALUE"""),"31106")</f>
        <v>31106</v>
      </c>
      <c r="B2118" s="2">
        <f>IFERROR(__xludf.DUMMYFUNCTION("""COMPUTED_VALUE"""),31106.0)</f>
        <v>31106</v>
      </c>
      <c r="C2118" s="3" t="str">
        <f>IFERROR(__xludf.DUMMYFUNCTION("""COMPUTED_VALUE"""),"BCM FC BCP สำโรงทาบ สุรินทร์")</f>
        <v>BCM FC BCP สำโรงทาบ สุรินทร์</v>
      </c>
      <c r="D2118" s="3" t="str">
        <f>IFERROR(__xludf.DUMMYFUNCTION("""COMPUTED_VALUE"""),"BCM FC BCP SAMRONGTHAP SURIN")</f>
        <v>BCM FC BCP SAMRONGTHAP SURIN</v>
      </c>
      <c r="E2118" s="1" t="str">
        <f>IFERROR(__xludf.DUMMYFUNCTION("""COMPUTED_VALUE"""),"บิ๊กซี MINI")</f>
        <v>บิ๊กซี MINI</v>
      </c>
      <c r="F2118" s="1" t="str">
        <f>IFERROR(__xludf.DUMMYFUNCTION("""COMPUTED_VALUE"""),"291105")</f>
        <v>291105</v>
      </c>
      <c r="G2118" s="1" t="str">
        <f>IFERROR(__xludf.DUMMYFUNCTION("""COMPUTED_VALUE"""),"นายสราวุฒิ พณิชยกุล")</f>
        <v>นายสราวุฒิ พณิชยกุล</v>
      </c>
      <c r="H2118" s="1" t="str">
        <f>IFERROR(__xludf.DUMMYFUNCTION("""COMPUTED_VALUE"""),"398146")</f>
        <v>398146</v>
      </c>
      <c r="I2118" s="1" t="str">
        <f>IFERROR(__xludf.DUMMYFUNCTION("""COMPUTED_VALUE"""),"น.ส.กนกสิริ สุขหอม")</f>
        <v>น.ส.กนกสิริ สุขหอม</v>
      </c>
      <c r="J2118" s="3">
        <f>IFERROR(__xludf.DUMMYFUNCTION("""COMPUTED_VALUE"""),2454781.0)</f>
        <v>2454781</v>
      </c>
      <c r="K2118" s="3" t="str">
        <f>IFERROR(__xludf.DUMMYFUNCTION("""COMPUTED_VALUE"""),"นายฌานกฤช นันทะโคต")</f>
        <v>นายฌานกฤช นันทะโคต</v>
      </c>
      <c r="L2118" s="1" t="str">
        <f>IFERROR(__xludf.DUMMYFUNCTION("""COMPUTED_VALUE"""),"05 K.Chanakrit N.")</f>
        <v>05 K.Chanakrit N.</v>
      </c>
      <c r="M2118" s="1" t="str">
        <f>IFERROR(__xludf.DUMMYFUNCTION("""COMPUTED_VALUE"""),"090-978-9785 ,065-929-1320")</f>
        <v>090-978-9785 ,065-929-1320</v>
      </c>
      <c r="N2118" s="3">
        <f>IFERROR(__xludf.DUMMYFUNCTION("""COMPUTED_VALUE"""),22195.0)</f>
        <v>22195</v>
      </c>
      <c r="O2118" s="3" t="str">
        <f>IFERROR(__xludf.DUMMYFUNCTION("""COMPUTED_VALUE"""),"MBC กันทรลักษ์ ศรีสะเกษ")</f>
        <v>MBC กันทรลักษ์ ศรีสะเกษ</v>
      </c>
      <c r="P2118" s="4">
        <f>IFERROR(__xludf.DUMMYFUNCTION("""COMPUTED_VALUE"""),45597.0)</f>
        <v>45597</v>
      </c>
      <c r="Q2118" s="3" t="str">
        <f>IFERROR(__xludf.DUMMYFUNCTION("""COMPUTED_VALUE"""),"A")</f>
        <v>A</v>
      </c>
      <c r="R2118" s="3" t="str">
        <f>IFERROR(__xludf.DUMMYFUNCTION("""COMPUTED_VALUE"""),"Small Format")</f>
        <v>Small Format</v>
      </c>
      <c r="S2118" s="3" t="str">
        <f>IFERROR(__xludf.DUMMYFUNCTION("""COMPUTED_VALUE"""),"BCM(FC)")</f>
        <v>BCM(FC)</v>
      </c>
      <c r="T2118" s="3" t="str">
        <f>IFERROR(__xludf.DUMMYFUNCTION("""COMPUTED_VALUE"""),"#N/A")</f>
        <v>#N/A</v>
      </c>
      <c r="U2118" s="3" t="str">
        <f>IFERROR(__xludf.DUMMYFUNCTION("""COMPUTED_VALUE"""),"#N/A")</f>
        <v>#N/A</v>
      </c>
      <c r="V2118" s="3" t="str">
        <f>IFERROR(__xludf.DUMMYFUNCTION("""COMPUTED_VALUE"""),"Y")</f>
        <v>Y</v>
      </c>
      <c r="W2118" s="3">
        <f>IFERROR(__xludf.DUMMYFUNCTION("""COMPUTED_VALUE"""),812327.0)</f>
        <v>812327</v>
      </c>
      <c r="X2118" s="3" t="str">
        <f>IFERROR(__xludf.DUMMYFUNCTION("""COMPUTED_VALUE"""),"188 หมู่ 11 ตำบลสำโรงทาบ อำเภอสำโรงทาบ จังหวัดสุรินทร์ 32170")</f>
        <v>188 หมู่ 11 ตำบลสำโรงทาบ อำเภอสำโรงทาบ จังหวัดสุรินทร์ 32170</v>
      </c>
      <c r="Y2118" s="3"/>
      <c r="Z2118" s="3" t="str">
        <f>IFERROR(__xludf.DUMMYFUNCTION("""COMPUTED_VALUE"""),"สำโรงทาบ")</f>
        <v>สำโรงทาบ</v>
      </c>
      <c r="AA2118" s="3" t="str">
        <f>IFERROR(__xludf.DUMMYFUNCTION("""COMPUTED_VALUE"""),"สำโรงทาบ")</f>
        <v>สำโรงทาบ</v>
      </c>
      <c r="AB2118" s="3" t="str">
        <f>IFERROR(__xludf.DUMMYFUNCTION("""COMPUTED_VALUE"""),"สุรินทร์")</f>
        <v>สุรินทร์</v>
      </c>
      <c r="AC2118" s="3">
        <f>IFERROR(__xludf.DUMMYFUNCTION("""COMPUTED_VALUE"""),32170.0)</f>
        <v>32170</v>
      </c>
      <c r="AD2118" s="3">
        <f>IFERROR(__xludf.DUMMYFUNCTION("""COMPUTED_VALUE"""),15.01476771)</f>
        <v>15.01476771</v>
      </c>
      <c r="AE2118" s="3">
        <f>IFERROR(__xludf.DUMMYFUNCTION("""COMPUTED_VALUE"""),103.9492515)</f>
        <v>103.9492515</v>
      </c>
      <c r="AF2118" s="3" t="str">
        <f>IFERROR(__xludf.DUMMYFUNCTION("""COMPUTED_VALUE"""),"BCM FC BCP สำโรงทาบ สุรินทร์-31106")</f>
        <v>BCM FC BCP สำโรงทาบ สุรินทร์-31106</v>
      </c>
      <c r="AG2118" s="3" t="str">
        <f>IFERROR(__xludf.DUMMYFUNCTION("""COMPUTED_VALUE"""),"ตะวันออกเฉียงเหนือ")</f>
        <v>ตะวันออกเฉียงเหนือ</v>
      </c>
      <c r="AH2118" s="3" t="str">
        <f>IFERROR(__xludf.DUMMYFUNCTION("""COMPUTED_VALUE"""),"#N/A")</f>
        <v>#N/A</v>
      </c>
      <c r="AI2118" s="3" t="str">
        <f>IFERROR(__xludf.DUMMYFUNCTION("""COMPUTED_VALUE"""),"Out of warranty")</f>
        <v>Out of warranty</v>
      </c>
      <c r="AJ2118" s="3">
        <f>IFERROR(__xludf.DUMMYFUNCTION("""COMPUTED_VALUE"""),15.0)</f>
        <v>15</v>
      </c>
      <c r="AK2118" s="3"/>
      <c r="AL2118" s="3"/>
    </row>
    <row r="2119" ht="15.75" customHeight="1">
      <c r="A2119" s="1" t="str">
        <f>IFERROR(__xludf.DUMMYFUNCTION("""COMPUTED_VALUE"""),"31107")</f>
        <v>31107</v>
      </c>
      <c r="B2119" s="2">
        <f>IFERROR(__xludf.DUMMYFUNCTION("""COMPUTED_VALUE"""),31107.0)</f>
        <v>31107</v>
      </c>
      <c r="C2119" s="3" t="str">
        <f>IFERROR(__xludf.DUMMYFUNCTION("""COMPUTED_VALUE"""),"BCM FC BCP นาหม่อม สงขลา")</f>
        <v>BCM FC BCP นาหม่อม สงขลา</v>
      </c>
      <c r="D2119" s="3" t="str">
        <f>IFERROR(__xludf.DUMMYFUNCTION("""COMPUTED_VALUE"""),"BCM FC BCP NAMOM SONGKHLA")</f>
        <v>BCM FC BCP NAMOM SONGKHLA</v>
      </c>
      <c r="E2119" s="1" t="str">
        <f>IFERROR(__xludf.DUMMYFUNCTION("""COMPUTED_VALUE"""),"บิ๊กซี MINI")</f>
        <v>บิ๊กซี MINI</v>
      </c>
      <c r="F2119" s="1" t="str">
        <f>IFERROR(__xludf.DUMMYFUNCTION("""COMPUTED_VALUE"""),"250760")</f>
        <v>250760</v>
      </c>
      <c r="G2119" s="1" t="str">
        <f>IFERROR(__xludf.DUMMYFUNCTION("""COMPUTED_VALUE"""),"นายประทวน สาราบรรณ์")</f>
        <v>นายประทวน สาราบรรณ์</v>
      </c>
      <c r="H2119" s="1" t="str">
        <f>IFERROR(__xludf.DUMMYFUNCTION("""COMPUTED_VALUE"""),"394185")</f>
        <v>394185</v>
      </c>
      <c r="I2119" s="1" t="str">
        <f>IFERROR(__xludf.DUMMYFUNCTION("""COMPUTED_VALUE"""),"น.ส.ฐาปนี สุวรรณรัตน์")</f>
        <v>น.ส.ฐาปนี สุวรรณรัตน์</v>
      </c>
      <c r="J2119" s="3">
        <f>IFERROR(__xludf.DUMMYFUNCTION("""COMPUTED_VALUE"""),2.0470331E7)</f>
        <v>20470331</v>
      </c>
      <c r="K2119" s="3" t="str">
        <f>IFERROR(__xludf.DUMMYFUNCTION("""COMPUTED_VALUE"""),"นายสมชาย ลักษณะสุวรรณ")</f>
        <v>นายสมชาย ลักษณะสุวรรณ</v>
      </c>
      <c r="L2119" s="1" t="str">
        <f>IFERROR(__xludf.DUMMYFUNCTION("""COMPUTED_VALUE"""),"15 K.Somchai L")</f>
        <v>15 K.Somchai L</v>
      </c>
      <c r="M2119" s="1" t="str">
        <f>IFERROR(__xludf.DUMMYFUNCTION("""COMPUTED_VALUE"""),"0655107372")</f>
        <v>0655107372</v>
      </c>
      <c r="N2119" s="3">
        <f>IFERROR(__xludf.DUMMYFUNCTION("""COMPUTED_VALUE"""),21723.0)</f>
        <v>21723</v>
      </c>
      <c r="O2119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2119" s="4">
        <f>IFERROR(__xludf.DUMMYFUNCTION("""COMPUTED_VALUE"""),45601.0)</f>
        <v>45601</v>
      </c>
      <c r="Q2119" s="3" t="str">
        <f>IFERROR(__xludf.DUMMYFUNCTION("""COMPUTED_VALUE"""),"A")</f>
        <v>A</v>
      </c>
      <c r="R2119" s="3" t="str">
        <f>IFERROR(__xludf.DUMMYFUNCTION("""COMPUTED_VALUE"""),"Small Format")</f>
        <v>Small Format</v>
      </c>
      <c r="S2119" s="3" t="str">
        <f>IFERROR(__xludf.DUMMYFUNCTION("""COMPUTED_VALUE"""),"BCM(FC)")</f>
        <v>BCM(FC)</v>
      </c>
      <c r="T2119" s="3" t="str">
        <f>IFERROR(__xludf.DUMMYFUNCTION("""COMPUTED_VALUE"""),"#N/A")</f>
        <v>#N/A</v>
      </c>
      <c r="U2119" s="3" t="str">
        <f>IFERROR(__xludf.DUMMYFUNCTION("""COMPUTED_VALUE"""),"#N/A")</f>
        <v>#N/A</v>
      </c>
      <c r="V2119" s="3" t="str">
        <f>IFERROR(__xludf.DUMMYFUNCTION("""COMPUTED_VALUE"""),"Y")</f>
        <v>Y</v>
      </c>
      <c r="W2119" s="3">
        <f>IFERROR(__xludf.DUMMYFUNCTION("""COMPUTED_VALUE"""),812331.0)</f>
        <v>812331</v>
      </c>
      <c r="X2119" s="3" t="str">
        <f>IFERROR(__xludf.DUMMYFUNCTION("""COMPUTED_VALUE"""),"48 หมู่ที่ 3 ตำบลนาหม่อม อำเภอนาหม่อม จังหวัดสงขลา 90310")</f>
        <v>48 หมู่ที่ 3 ตำบลนาหม่อม อำเภอนาหม่อม จังหวัดสงขลา 90310</v>
      </c>
      <c r="Y2119" s="3"/>
      <c r="Z2119" s="3" t="str">
        <f>IFERROR(__xludf.DUMMYFUNCTION("""COMPUTED_VALUE"""),"นาหม่อม")</f>
        <v>นาหม่อม</v>
      </c>
      <c r="AA2119" s="3" t="str">
        <f>IFERROR(__xludf.DUMMYFUNCTION("""COMPUTED_VALUE"""),"นาหม่อม")</f>
        <v>นาหม่อม</v>
      </c>
      <c r="AB2119" s="3" t="str">
        <f>IFERROR(__xludf.DUMMYFUNCTION("""COMPUTED_VALUE"""),"สงขลา")</f>
        <v>สงขลา</v>
      </c>
      <c r="AC2119" s="3">
        <f>IFERROR(__xludf.DUMMYFUNCTION("""COMPUTED_VALUE"""),90310.0)</f>
        <v>90310</v>
      </c>
      <c r="AD2119" s="3">
        <f>IFERROR(__xludf.DUMMYFUNCTION("""COMPUTED_VALUE"""),6.962268381)</f>
        <v>6.962268381</v>
      </c>
      <c r="AE2119" s="3">
        <f>IFERROR(__xludf.DUMMYFUNCTION("""COMPUTED_VALUE"""),100.5245783)</f>
        <v>100.5245783</v>
      </c>
      <c r="AF2119" s="3" t="str">
        <f>IFERROR(__xludf.DUMMYFUNCTION("""COMPUTED_VALUE"""),"BCM FC BCP นาหม่อม สงขลา-31107")</f>
        <v>BCM FC BCP นาหม่อม สงขลา-31107</v>
      </c>
      <c r="AG2119" s="3" t="str">
        <f>IFERROR(__xludf.DUMMYFUNCTION("""COMPUTED_VALUE"""),"ใต้")</f>
        <v>ใต้</v>
      </c>
      <c r="AH2119" s="3" t="str">
        <f>IFERROR(__xludf.DUMMYFUNCTION("""COMPUTED_VALUE"""),"#N/A")</f>
        <v>#N/A</v>
      </c>
      <c r="AI2119" s="3" t="str">
        <f>IFERROR(__xludf.DUMMYFUNCTION("""COMPUTED_VALUE"""),"Out of warranty")</f>
        <v>Out of warranty</v>
      </c>
      <c r="AJ2119" s="3">
        <f>IFERROR(__xludf.DUMMYFUNCTION("""COMPUTED_VALUE"""),15.0)</f>
        <v>15</v>
      </c>
      <c r="AK2119" s="3"/>
      <c r="AL2119" s="3"/>
    </row>
    <row r="2120" ht="15.75" customHeight="1">
      <c r="A2120" s="1" t="str">
        <f>IFERROR(__xludf.DUMMYFUNCTION("""COMPUTED_VALUE"""),"31108")</f>
        <v>31108</v>
      </c>
      <c r="B2120" s="2">
        <f>IFERROR(__xludf.DUMMYFUNCTION("""COMPUTED_VALUE"""),31108.0)</f>
        <v>31108</v>
      </c>
      <c r="C2120" s="3" t="str">
        <f>IFERROR(__xludf.DUMMYFUNCTION("""COMPUTED_VALUE"""),"BCM FC กมลาไสย กาฬสินธุ์")</f>
        <v>BCM FC กมลาไสย กาฬสินธุ์</v>
      </c>
      <c r="D2120" s="3" t="str">
        <f>IFERROR(__xludf.DUMMYFUNCTION("""COMPUTED_VALUE"""),"BCM FC KAMALASAI KALASIN")</f>
        <v>BCM FC KAMALASAI KALASIN</v>
      </c>
      <c r="E2120" s="1" t="str">
        <f>IFERROR(__xludf.DUMMYFUNCTION("""COMPUTED_VALUE"""),"บิ๊กซี MINI")</f>
        <v>บิ๊กซี MINI</v>
      </c>
      <c r="F2120" s="1" t="str">
        <f>IFERROR(__xludf.DUMMYFUNCTION("""COMPUTED_VALUE"""),"291105")</f>
        <v>291105</v>
      </c>
      <c r="G2120" s="1" t="str">
        <f>IFERROR(__xludf.DUMMYFUNCTION("""COMPUTED_VALUE"""),"นายสราวุฒิ พณิชยกุล")</f>
        <v>นายสราวุฒิ พณิชยกุล</v>
      </c>
      <c r="H2120" s="1" t="str">
        <f>IFERROR(__xludf.DUMMYFUNCTION("""COMPUTED_VALUE"""),"392433")</f>
        <v>392433</v>
      </c>
      <c r="I2120" s="1" t="str">
        <f>IFERROR(__xludf.DUMMYFUNCTION("""COMPUTED_VALUE"""),"นายพรธิวา ใจอ่อน")</f>
        <v>นายพรธิวา ใจอ่อน</v>
      </c>
      <c r="J2120" s="3">
        <f>IFERROR(__xludf.DUMMYFUNCTION("""COMPUTED_VALUE"""),2454781.0)</f>
        <v>2454781</v>
      </c>
      <c r="K2120" s="3" t="str">
        <f>IFERROR(__xludf.DUMMYFUNCTION("""COMPUTED_VALUE"""),"นายฌานกฤช นันทะโคต")</f>
        <v>นายฌานกฤช นันทะโคต</v>
      </c>
      <c r="L2120" s="1" t="str">
        <f>IFERROR(__xludf.DUMMYFUNCTION("""COMPUTED_VALUE"""),"05 K.Chanakrit N.")</f>
        <v>05 K.Chanakrit N.</v>
      </c>
      <c r="M2120" s="1" t="str">
        <f>IFERROR(__xludf.DUMMYFUNCTION("""COMPUTED_VALUE"""),"090-978-9785 ,065-929-1320")</f>
        <v>090-978-9785 ,065-929-1320</v>
      </c>
      <c r="N2120" s="3">
        <f>IFERROR(__xludf.DUMMYFUNCTION("""COMPUTED_VALUE"""),22195.0)</f>
        <v>22195</v>
      </c>
      <c r="O2120" s="3" t="str">
        <f>IFERROR(__xludf.DUMMYFUNCTION("""COMPUTED_VALUE"""),"MBC กันทรลักษ์ ศรีสะเกษ")</f>
        <v>MBC กันทรลักษ์ ศรีสะเกษ</v>
      </c>
      <c r="P2120" s="4">
        <f>IFERROR(__xludf.DUMMYFUNCTION("""COMPUTED_VALUE"""),45608.0)</f>
        <v>45608</v>
      </c>
      <c r="Q2120" s="3" t="str">
        <f>IFERROR(__xludf.DUMMYFUNCTION("""COMPUTED_VALUE"""),"A")</f>
        <v>A</v>
      </c>
      <c r="R2120" s="3" t="str">
        <f>IFERROR(__xludf.DUMMYFUNCTION("""COMPUTED_VALUE"""),"Small Format")</f>
        <v>Small Format</v>
      </c>
      <c r="S2120" s="3" t="str">
        <f>IFERROR(__xludf.DUMMYFUNCTION("""COMPUTED_VALUE"""),"BCM(FC)")</f>
        <v>BCM(FC)</v>
      </c>
      <c r="T2120" s="3" t="str">
        <f>IFERROR(__xludf.DUMMYFUNCTION("""COMPUTED_VALUE"""),"#N/A")</f>
        <v>#N/A</v>
      </c>
      <c r="U2120" s="3" t="str">
        <f>IFERROR(__xludf.DUMMYFUNCTION("""COMPUTED_VALUE"""),"#N/A")</f>
        <v>#N/A</v>
      </c>
      <c r="V2120" s="3" t="str">
        <f>IFERROR(__xludf.DUMMYFUNCTION("""COMPUTED_VALUE"""),"Y")</f>
        <v>Y</v>
      </c>
      <c r="W2120" s="3">
        <f>IFERROR(__xludf.DUMMYFUNCTION("""COMPUTED_VALUE"""),812326.0)</f>
        <v>812326</v>
      </c>
      <c r="X2120" s="3" t="str">
        <f>IFERROR(__xludf.DUMMYFUNCTION("""COMPUTED_VALUE"""),"10 หมู่ที่ 15 ตำบลกมลาไสย อำเภอกมลาไสย จังหวัดกาฬสินธุ์ 46130")</f>
        <v>10 หมู่ที่ 15 ตำบลกมลาไสย อำเภอกมลาไสย จังหวัดกาฬสินธุ์ 46130</v>
      </c>
      <c r="Y2120" s="3"/>
      <c r="Z2120" s="3" t="str">
        <f>IFERROR(__xludf.DUMMYFUNCTION("""COMPUTED_VALUE"""),"กมลาไสย")</f>
        <v>กมลาไสย</v>
      </c>
      <c r="AA2120" s="3" t="str">
        <f>IFERROR(__xludf.DUMMYFUNCTION("""COMPUTED_VALUE"""),"กมลาไสย")</f>
        <v>กมลาไสย</v>
      </c>
      <c r="AB2120" s="3" t="str">
        <f>IFERROR(__xludf.DUMMYFUNCTION("""COMPUTED_VALUE"""),"กาฬสินธุ์")</f>
        <v>กาฬสินธุ์</v>
      </c>
      <c r="AC2120" s="3">
        <f>IFERROR(__xludf.DUMMYFUNCTION("""COMPUTED_VALUE"""),46130.0)</f>
        <v>46130</v>
      </c>
      <c r="AD2120" s="3">
        <f>IFERROR(__xludf.DUMMYFUNCTION("""COMPUTED_VALUE"""),16.33612662)</f>
        <v>16.33612662</v>
      </c>
      <c r="AE2120" s="3">
        <f>IFERROR(__xludf.DUMMYFUNCTION("""COMPUTED_VALUE"""),103.5662123)</f>
        <v>103.5662123</v>
      </c>
      <c r="AF2120" s="3" t="str">
        <f>IFERROR(__xludf.DUMMYFUNCTION("""COMPUTED_VALUE"""),"BCM FC กมลาไสย กาฬสินธุ์-31108")</f>
        <v>BCM FC กมลาไสย กาฬสินธุ์-31108</v>
      </c>
      <c r="AG2120" s="3" t="str">
        <f>IFERROR(__xludf.DUMMYFUNCTION("""COMPUTED_VALUE"""),"ตะวันออกเฉียงเหนือ")</f>
        <v>ตะวันออกเฉียงเหนือ</v>
      </c>
      <c r="AH2120" s="3" t="str">
        <f>IFERROR(__xludf.DUMMYFUNCTION("""COMPUTED_VALUE"""),"#N/A")</f>
        <v>#N/A</v>
      </c>
      <c r="AI2120" s="3" t="str">
        <f>IFERROR(__xludf.DUMMYFUNCTION("""COMPUTED_VALUE"""),"Out of warranty")</f>
        <v>Out of warranty</v>
      </c>
      <c r="AJ2120" s="3">
        <f>IFERROR(__xludf.DUMMYFUNCTION("""COMPUTED_VALUE"""),15.0)</f>
        <v>15</v>
      </c>
      <c r="AK2120" s="3"/>
      <c r="AL2120" s="3"/>
    </row>
    <row r="2121" ht="15.75" customHeight="1">
      <c r="A2121" s="1" t="str">
        <f>IFERROR(__xludf.DUMMYFUNCTION("""COMPUTED_VALUE"""),"31109")</f>
        <v>31109</v>
      </c>
      <c r="B2121" s="2">
        <f>IFERROR(__xludf.DUMMYFUNCTION("""COMPUTED_VALUE"""),31109.0)</f>
        <v>31109</v>
      </c>
      <c r="C2121" s="3" t="str">
        <f>IFERROR(__xludf.DUMMYFUNCTION("""COMPUTED_VALUE"""),"BCM FC BCP สนามบินกระบี่ กระบี่")</f>
        <v>BCM FC BCP สนามบินกระบี่ กระบี่</v>
      </c>
      <c r="D2121" s="3" t="str">
        <f>IFERROR(__xludf.DUMMYFUNCTION("""COMPUTED_VALUE"""),"BCM FC BCP KRABI AIRPORT KRABI")</f>
        <v>BCM FC BCP KRABI AIRPORT KRABI</v>
      </c>
      <c r="E2121" s="1" t="str">
        <f>IFERROR(__xludf.DUMMYFUNCTION("""COMPUTED_VALUE"""),"บิ๊กซี MINI")</f>
        <v>บิ๊กซี MINI</v>
      </c>
      <c r="F2121" s="1" t="str">
        <f>IFERROR(__xludf.DUMMYFUNCTION("""COMPUTED_VALUE"""),"250760")</f>
        <v>250760</v>
      </c>
      <c r="G2121" s="1" t="str">
        <f>IFERROR(__xludf.DUMMYFUNCTION("""COMPUTED_VALUE"""),"นายประทวน สาราบรรณ์")</f>
        <v>นายประทวน สาราบรรณ์</v>
      </c>
      <c r="H2121" s="1" t="str">
        <f>IFERROR(__xludf.DUMMYFUNCTION("""COMPUTED_VALUE"""),"394143")</f>
        <v>394143</v>
      </c>
      <c r="I2121" s="1" t="str">
        <f>IFERROR(__xludf.DUMMYFUNCTION("""COMPUTED_VALUE"""),"นายวิษณุ เพชรหัตถ์")</f>
        <v>นายวิษณุ เพชรหัตถ์</v>
      </c>
      <c r="J2121" s="3">
        <f>IFERROR(__xludf.DUMMYFUNCTION("""COMPUTED_VALUE"""),2.0470331E7)</f>
        <v>20470331</v>
      </c>
      <c r="K2121" s="3" t="str">
        <f>IFERROR(__xludf.DUMMYFUNCTION("""COMPUTED_VALUE"""),"นายสมชาย ลักษณะสุวรรณ")</f>
        <v>นายสมชาย ลักษณะสุวรรณ</v>
      </c>
      <c r="L2121" s="1" t="str">
        <f>IFERROR(__xludf.DUMMYFUNCTION("""COMPUTED_VALUE"""),"15 K.Somchai L")</f>
        <v>15 K.Somchai L</v>
      </c>
      <c r="M2121" s="1" t="str">
        <f>IFERROR(__xludf.DUMMYFUNCTION("""COMPUTED_VALUE"""),"0655107372")</f>
        <v>0655107372</v>
      </c>
      <c r="N2121" s="3">
        <f>IFERROR(__xludf.DUMMYFUNCTION("""COMPUTED_VALUE"""),21723.0)</f>
        <v>21723</v>
      </c>
      <c r="O212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2121" s="4">
        <f>IFERROR(__xludf.DUMMYFUNCTION("""COMPUTED_VALUE"""),45629.0)</f>
        <v>45629</v>
      </c>
      <c r="Q2121" s="3" t="str">
        <f>IFERROR(__xludf.DUMMYFUNCTION("""COMPUTED_VALUE"""),"A")</f>
        <v>A</v>
      </c>
      <c r="R2121" s="3" t="str">
        <f>IFERROR(__xludf.DUMMYFUNCTION("""COMPUTED_VALUE"""),"Small Format")</f>
        <v>Small Format</v>
      </c>
      <c r="S2121" s="3" t="str">
        <f>IFERROR(__xludf.DUMMYFUNCTION("""COMPUTED_VALUE"""),"BCM(FC)")</f>
        <v>BCM(FC)</v>
      </c>
      <c r="T2121" s="3" t="str">
        <f>IFERROR(__xludf.DUMMYFUNCTION("""COMPUTED_VALUE"""),"#N/A")</f>
        <v>#N/A</v>
      </c>
      <c r="U2121" s="3" t="str">
        <f>IFERROR(__xludf.DUMMYFUNCTION("""COMPUTED_VALUE"""),"#N/A")</f>
        <v>#N/A</v>
      </c>
      <c r="V2121" s="3" t="str">
        <f>IFERROR(__xludf.DUMMYFUNCTION("""COMPUTED_VALUE"""),"Y")</f>
        <v>Y</v>
      </c>
      <c r="W2121" s="3">
        <f>IFERROR(__xludf.DUMMYFUNCTION("""COMPUTED_VALUE"""),812324.0)</f>
        <v>812324</v>
      </c>
      <c r="X2121" s="3" t="str">
        <f>IFERROR(__xludf.DUMMYFUNCTION("""COMPUTED_VALUE"""),"555/1 หมู่ที่ 3 ตำบลเหนือคลอง อำเภอเหนือคลอง จังหวัดกระบี่ 81130")</f>
        <v>555/1 หมู่ที่ 3 ตำบลเหนือคลอง อำเภอเหนือคลอง จังหวัดกระบี่ 81130</v>
      </c>
      <c r="Y2121" s="3"/>
      <c r="Z2121" s="3" t="str">
        <f>IFERROR(__xludf.DUMMYFUNCTION("""COMPUTED_VALUE"""),"เหนือคลอง")</f>
        <v>เหนือคลอง</v>
      </c>
      <c r="AA2121" s="3" t="str">
        <f>IFERROR(__xludf.DUMMYFUNCTION("""COMPUTED_VALUE"""),"เหนือคลอง")</f>
        <v>เหนือคลอง</v>
      </c>
      <c r="AB2121" s="3" t="str">
        <f>IFERROR(__xludf.DUMMYFUNCTION("""COMPUTED_VALUE"""),"กระบี่")</f>
        <v>กระบี่</v>
      </c>
      <c r="AC2121" s="3">
        <f>IFERROR(__xludf.DUMMYFUNCTION("""COMPUTED_VALUE"""),81130.0)</f>
        <v>81130</v>
      </c>
      <c r="AD2121" s="3">
        <f>IFERROR(__xludf.DUMMYFUNCTION("""COMPUTED_VALUE"""),8.08906769)</f>
        <v>8.08906769</v>
      </c>
      <c r="AE2121" s="3">
        <f>IFERROR(__xludf.DUMMYFUNCTION("""COMPUTED_VALUE"""),98.98711536)</f>
        <v>98.98711536</v>
      </c>
      <c r="AF2121" s="3" t="str">
        <f>IFERROR(__xludf.DUMMYFUNCTION("""COMPUTED_VALUE"""),"BCM FC BCP สนามบินกระบี่ กระบี่-31109")</f>
        <v>BCM FC BCP สนามบินกระบี่ กระบี่-31109</v>
      </c>
      <c r="AG2121" s="3" t="str">
        <f>IFERROR(__xludf.DUMMYFUNCTION("""COMPUTED_VALUE"""),"ใต้")</f>
        <v>ใต้</v>
      </c>
      <c r="AH2121" s="3" t="str">
        <f>IFERROR(__xludf.DUMMYFUNCTION("""COMPUTED_VALUE"""),"#N/A")</f>
        <v>#N/A</v>
      </c>
      <c r="AI2121" s="3" t="str">
        <f>IFERROR(__xludf.DUMMYFUNCTION("""COMPUTED_VALUE"""),"Out of warranty")</f>
        <v>Out of warranty</v>
      </c>
      <c r="AJ2121" s="3">
        <f>IFERROR(__xludf.DUMMYFUNCTION("""COMPUTED_VALUE"""),14.0)</f>
        <v>14</v>
      </c>
      <c r="AK2121" s="3"/>
      <c r="AL2121" s="3"/>
    </row>
    <row r="2122" ht="15.75" customHeight="1">
      <c r="A2122" s="1" t="str">
        <f>IFERROR(__xludf.DUMMYFUNCTION("""COMPUTED_VALUE"""),"31110")</f>
        <v>31110</v>
      </c>
      <c r="B2122" s="2">
        <f>IFERROR(__xludf.DUMMYFUNCTION("""COMPUTED_VALUE"""),31110.0)</f>
        <v>31110</v>
      </c>
      <c r="C2122" s="3" t="str">
        <f>IFERROR(__xludf.DUMMYFUNCTION("""COMPUTED_VALUE"""),"BCM FC BCP วังสะพุง เลย")</f>
        <v>BCM FC BCP วังสะพุง เลย</v>
      </c>
      <c r="D2122" s="3" t="str">
        <f>IFERROR(__xludf.DUMMYFUNCTION("""COMPUTED_VALUE"""),"BCM FC BCP WANG SAPHUNG LOEI")</f>
        <v>BCM FC BCP WANG SAPHUNG LOEI</v>
      </c>
      <c r="E2122" s="1" t="str">
        <f>IFERROR(__xludf.DUMMYFUNCTION("""COMPUTED_VALUE"""),"บิ๊กซี MINI")</f>
        <v>บิ๊กซี MINI</v>
      </c>
      <c r="F2122" s="1" t="str">
        <f>IFERROR(__xludf.DUMMYFUNCTION("""COMPUTED_VALUE"""),"291105")</f>
        <v>291105</v>
      </c>
      <c r="G2122" s="1" t="str">
        <f>IFERROR(__xludf.DUMMYFUNCTION("""COMPUTED_VALUE"""),"นายสราวุฒิ พณิชยกุล")</f>
        <v>นายสราวุฒิ พณิชยกุล</v>
      </c>
      <c r="H2122" s="1" t="str">
        <f>IFERROR(__xludf.DUMMYFUNCTION("""COMPUTED_VALUE"""),"305119")</f>
        <v>305119</v>
      </c>
      <c r="I2122" s="1" t="str">
        <f>IFERROR(__xludf.DUMMYFUNCTION("""COMPUTED_VALUE"""),"นายไชยกร ลีพิบูลย์สวัสดิ์")</f>
        <v>นายไชยกร ลีพิบูลย์สวัสดิ์</v>
      </c>
      <c r="J2122" s="3">
        <f>IFERROR(__xludf.DUMMYFUNCTION("""COMPUTED_VALUE"""),296868.0)</f>
        <v>296868</v>
      </c>
      <c r="K2122" s="3" t="str">
        <f>IFERROR(__xludf.DUMMYFUNCTION("""COMPUTED_VALUE"""),"นายพีระพงษ์ แก้วดวงดี")</f>
        <v>นายพีระพงษ์ แก้วดวงดี</v>
      </c>
      <c r="L2122" s="1" t="str">
        <f>IFERROR(__xludf.DUMMYFUNCTION("""COMPUTED_VALUE"""),"03 K.Peerapong K.")</f>
        <v>03 K.Peerapong K.</v>
      </c>
      <c r="M2122" s="1" t="str">
        <f>IFERROR(__xludf.DUMMYFUNCTION("""COMPUTED_VALUE"""),"089-002-6599")</f>
        <v>089-002-6599</v>
      </c>
      <c r="N2122" s="3">
        <f>IFERROR(__xludf.DUMMYFUNCTION("""COMPUTED_VALUE"""),21946.0)</f>
        <v>21946</v>
      </c>
      <c r="O2122" s="3" t="str">
        <f>IFERROR(__xludf.DUMMYFUNCTION("""COMPUTED_VALUE"""),"MBC เซกา บึงกาฬ")</f>
        <v>MBC เซกา บึงกาฬ</v>
      </c>
      <c r="P2122" s="4">
        <f>IFERROR(__xludf.DUMMYFUNCTION("""COMPUTED_VALUE"""),45625.0)</f>
        <v>45625</v>
      </c>
      <c r="Q2122" s="3" t="str">
        <f>IFERROR(__xludf.DUMMYFUNCTION("""COMPUTED_VALUE"""),"A")</f>
        <v>A</v>
      </c>
      <c r="R2122" s="3" t="str">
        <f>IFERROR(__xludf.DUMMYFUNCTION("""COMPUTED_VALUE"""),"Small Format")</f>
        <v>Small Format</v>
      </c>
      <c r="S2122" s="3" t="str">
        <f>IFERROR(__xludf.DUMMYFUNCTION("""COMPUTED_VALUE"""),"BCM(FC)")</f>
        <v>BCM(FC)</v>
      </c>
      <c r="T2122" s="3" t="str">
        <f>IFERROR(__xludf.DUMMYFUNCTION("""COMPUTED_VALUE"""),"#N/A")</f>
        <v>#N/A</v>
      </c>
      <c r="U2122" s="3" t="str">
        <f>IFERROR(__xludf.DUMMYFUNCTION("""COMPUTED_VALUE"""),"#N/A")</f>
        <v>#N/A</v>
      </c>
      <c r="V2122" s="3" t="str">
        <f>IFERROR(__xludf.DUMMYFUNCTION("""COMPUTED_VALUE"""),"Y")</f>
        <v>Y</v>
      </c>
      <c r="W2122" s="3">
        <f>IFERROR(__xludf.DUMMYFUNCTION("""COMPUTED_VALUE"""),812329.0)</f>
        <v>812329</v>
      </c>
      <c r="X2122" s="3" t="str">
        <f>IFERROR(__xludf.DUMMYFUNCTION("""COMPUTED_VALUE"""),"116 หมู่ที่ 11 ตำบลศรีสงคราม อำเภอวังสะพุง จังหวัดเลย 42130")</f>
        <v>116 หมู่ที่ 11 ตำบลศรีสงคราม อำเภอวังสะพุง จังหวัดเลย 42130</v>
      </c>
      <c r="Y2122" s="3"/>
      <c r="Z2122" s="3" t="str">
        <f>IFERROR(__xludf.DUMMYFUNCTION("""COMPUTED_VALUE"""),"ศรีสงคราม")</f>
        <v>ศรีสงคราม</v>
      </c>
      <c r="AA2122" s="3" t="str">
        <f>IFERROR(__xludf.DUMMYFUNCTION("""COMPUTED_VALUE"""),"วังสะพุง")</f>
        <v>วังสะพุง</v>
      </c>
      <c r="AB2122" s="3" t="str">
        <f>IFERROR(__xludf.DUMMYFUNCTION("""COMPUTED_VALUE"""),"เลย")</f>
        <v>เลย</v>
      </c>
      <c r="AC2122" s="3">
        <f>IFERROR(__xludf.DUMMYFUNCTION("""COMPUTED_VALUE"""),42130.0)</f>
        <v>42130</v>
      </c>
      <c r="AD2122" s="3">
        <f>IFERROR(__xludf.DUMMYFUNCTION("""COMPUTED_VALUE"""),17.30101409)</f>
        <v>17.30101409</v>
      </c>
      <c r="AE2122" s="3">
        <f>IFERROR(__xludf.DUMMYFUNCTION("""COMPUTED_VALUE"""),101.7813268)</f>
        <v>101.7813268</v>
      </c>
      <c r="AF2122" s="3" t="str">
        <f>IFERROR(__xludf.DUMMYFUNCTION("""COMPUTED_VALUE"""),"BCM FC BCP วังสะพุง เลย-31110")</f>
        <v>BCM FC BCP วังสะพุง เลย-31110</v>
      </c>
      <c r="AG2122" s="3" t="str">
        <f>IFERROR(__xludf.DUMMYFUNCTION("""COMPUTED_VALUE"""),"ตะวันออกเฉียงเหนือ")</f>
        <v>ตะวันออกเฉียงเหนือ</v>
      </c>
      <c r="AH2122" s="3" t="str">
        <f>IFERROR(__xludf.DUMMYFUNCTION("""COMPUTED_VALUE"""),"#N/A")</f>
        <v>#N/A</v>
      </c>
      <c r="AI2122" s="3" t="str">
        <f>IFERROR(__xludf.DUMMYFUNCTION("""COMPUTED_VALUE"""),"Out of warranty")</f>
        <v>Out of warranty</v>
      </c>
      <c r="AJ2122" s="3">
        <f>IFERROR(__xludf.DUMMYFUNCTION("""COMPUTED_VALUE"""),14.0)</f>
        <v>14</v>
      </c>
      <c r="AK2122" s="3"/>
      <c r="AL2122" s="3"/>
    </row>
    <row r="2123" ht="15.75" customHeight="1">
      <c r="A2123" s="1" t="str">
        <f>IFERROR(__xludf.DUMMYFUNCTION("""COMPUTED_VALUE"""),"31111")</f>
        <v>31111</v>
      </c>
      <c r="B2123" s="2">
        <f>IFERROR(__xludf.DUMMYFUNCTION("""COMPUTED_VALUE"""),31111.0)</f>
        <v>31111</v>
      </c>
      <c r="C2123" s="3" t="str">
        <f>IFERROR(__xludf.DUMMYFUNCTION("""COMPUTED_VALUE"""),"BCM FC BCP ท่าโรงช้าง สุราษฎร์ธานี")</f>
        <v>BCM FC BCP ท่าโรงช้าง สุราษฎร์ธานี</v>
      </c>
      <c r="D2123" s="3" t="str">
        <f>IFERROR(__xludf.DUMMYFUNCTION("""COMPUTED_VALUE"""),"BCM FC BCP THARONGCHANG SURAT")</f>
        <v>BCM FC BCP THARONGCHANG SURAT</v>
      </c>
      <c r="E2123" s="1" t="str">
        <f>IFERROR(__xludf.DUMMYFUNCTION("""COMPUTED_VALUE"""),"บิ๊กซี MINI")</f>
        <v>บิ๊กซี MINI</v>
      </c>
      <c r="F2123" s="1" t="str">
        <f>IFERROR(__xludf.DUMMYFUNCTION("""COMPUTED_VALUE"""),"250760")</f>
        <v>250760</v>
      </c>
      <c r="G2123" s="1" t="str">
        <f>IFERROR(__xludf.DUMMYFUNCTION("""COMPUTED_VALUE"""),"นายประทวน สาราบรรณ์")</f>
        <v>นายประทวน สาราบรรณ์</v>
      </c>
      <c r="H2123" s="1" t="str">
        <f>IFERROR(__xludf.DUMMYFUNCTION("""COMPUTED_VALUE"""),"228389")</f>
        <v>228389</v>
      </c>
      <c r="I2123" s="1" t="str">
        <f>IFERROR(__xludf.DUMMYFUNCTION("""COMPUTED_VALUE"""),"นายมณีรันดร์ ชัยชนะ")</f>
        <v>นายมณีรันดร์ ชัยชนะ</v>
      </c>
      <c r="J2123" s="3">
        <f>IFERROR(__xludf.DUMMYFUNCTION("""COMPUTED_VALUE"""),25324.0)</f>
        <v>25324</v>
      </c>
      <c r="K2123" s="3" t="str">
        <f>IFERROR(__xludf.DUMMYFUNCTION("""COMPUTED_VALUE"""),"นายวิเชฎฐ์ ติรัตนะประคม")</f>
        <v>นายวิเชฎฐ์ ติรัตนะประคม</v>
      </c>
      <c r="L2123" s="1" t="str">
        <f>IFERROR(__xludf.DUMMYFUNCTION("""COMPUTED_VALUE"""),"14 K.Wichet T.")</f>
        <v>14 K.Wichet T.</v>
      </c>
      <c r="M2123" s="1" t="str">
        <f>IFERROR(__xludf.DUMMYFUNCTION("""COMPUTED_VALUE"""),"061-417-6569 / 086-445-5636")</f>
        <v>061-417-6569 / 086-445-5636</v>
      </c>
      <c r="N2123" s="3">
        <f>IFERROR(__xludf.DUMMYFUNCTION("""COMPUTED_VALUE"""),22658.0)</f>
        <v>22658</v>
      </c>
      <c r="O2123" s="3" t="str">
        <f>IFERROR(__xludf.DUMMYFUNCTION("""COMPUTED_VALUE"""),"BCM ถ.วิรัชหงษ์หยก ภูเก็ต")</f>
        <v>BCM ถ.วิรัชหงษ์หยก ภูเก็ต</v>
      </c>
      <c r="P2123" s="4">
        <f>IFERROR(__xludf.DUMMYFUNCTION("""COMPUTED_VALUE"""),45635.0)</f>
        <v>45635</v>
      </c>
      <c r="Q2123" s="3" t="str">
        <f>IFERROR(__xludf.DUMMYFUNCTION("""COMPUTED_VALUE"""),"A")</f>
        <v>A</v>
      </c>
      <c r="R2123" s="3" t="str">
        <f>IFERROR(__xludf.DUMMYFUNCTION("""COMPUTED_VALUE"""),"Small Format")</f>
        <v>Small Format</v>
      </c>
      <c r="S2123" s="3" t="str">
        <f>IFERROR(__xludf.DUMMYFUNCTION("""COMPUTED_VALUE"""),"BCM(FC)")</f>
        <v>BCM(FC)</v>
      </c>
      <c r="T2123" s="3" t="str">
        <f>IFERROR(__xludf.DUMMYFUNCTION("""COMPUTED_VALUE"""),"#N/A")</f>
        <v>#N/A</v>
      </c>
      <c r="U2123" s="3" t="str">
        <f>IFERROR(__xludf.DUMMYFUNCTION("""COMPUTED_VALUE"""),"#N/A")</f>
        <v>#N/A</v>
      </c>
      <c r="V2123" s="3" t="str">
        <f>IFERROR(__xludf.DUMMYFUNCTION("""COMPUTED_VALUE"""),"Y")</f>
        <v>Y</v>
      </c>
      <c r="W2123" s="3">
        <f>IFERROR(__xludf.DUMMYFUNCTION("""COMPUTED_VALUE"""),812338.0)</f>
        <v>812338</v>
      </c>
      <c r="X2123" s="3" t="str">
        <f>IFERROR(__xludf.DUMMYFUNCTION("""COMPUTED_VALUE"""),"220 หมู่ที่ 3 ตำบลท่าโรงช้าง อำเภอพุนพิน จังหวัดสุราษฎร์ธานี 84130")</f>
        <v>220 หมู่ที่ 3 ตำบลท่าโรงช้าง อำเภอพุนพิน จังหวัดสุราษฎร์ธานี 84130</v>
      </c>
      <c r="Y2123" s="3"/>
      <c r="Z2123" s="3" t="str">
        <f>IFERROR(__xludf.DUMMYFUNCTION("""COMPUTED_VALUE"""),"ท่าโรงช้าง")</f>
        <v>ท่าโรงช้าง</v>
      </c>
      <c r="AA2123" s="3" t="str">
        <f>IFERROR(__xludf.DUMMYFUNCTION("""COMPUTED_VALUE"""),"พุนพิน")</f>
        <v>พุนพิน</v>
      </c>
      <c r="AB2123" s="3" t="str">
        <f>IFERROR(__xludf.DUMMYFUNCTION("""COMPUTED_VALUE"""),"สุราษฎร์ธานี")</f>
        <v>สุราษฎร์ธานี</v>
      </c>
      <c r="AC2123" s="3">
        <f>IFERROR(__xludf.DUMMYFUNCTION("""COMPUTED_VALUE"""),84130.0)</f>
        <v>84130</v>
      </c>
      <c r="AD2123" s="3">
        <f>IFERROR(__xludf.DUMMYFUNCTION("""COMPUTED_VALUE"""),9.045050499)</f>
        <v>9.045050499</v>
      </c>
      <c r="AE2123" s="3">
        <f>IFERROR(__xludf.DUMMYFUNCTION("""COMPUTED_VALUE"""),99.15322744)</f>
        <v>99.15322744</v>
      </c>
      <c r="AF2123" s="3" t="str">
        <f>IFERROR(__xludf.DUMMYFUNCTION("""COMPUTED_VALUE"""),"BCM FC BCP ท่าโรงช้าง สุราษฎร์ธานี-31111")</f>
        <v>BCM FC BCP ท่าโรงช้าง สุราษฎร์ธานี-31111</v>
      </c>
      <c r="AG2123" s="3" t="str">
        <f>IFERROR(__xludf.DUMMYFUNCTION("""COMPUTED_VALUE"""),"ใต้")</f>
        <v>ใต้</v>
      </c>
      <c r="AH2123" s="3" t="str">
        <f>IFERROR(__xludf.DUMMYFUNCTION("""COMPUTED_VALUE"""),"#N/A")</f>
        <v>#N/A</v>
      </c>
      <c r="AI2123" s="3" t="str">
        <f>IFERROR(__xludf.DUMMYFUNCTION("""COMPUTED_VALUE"""),"Out of warranty")</f>
        <v>Out of warranty</v>
      </c>
      <c r="AJ2123" s="3">
        <f>IFERROR(__xludf.DUMMYFUNCTION("""COMPUTED_VALUE"""),14.0)</f>
        <v>14</v>
      </c>
      <c r="AK2123" s="3"/>
      <c r="AL2123" s="3"/>
    </row>
    <row r="2124" ht="15.75" customHeight="1">
      <c r="A2124" s="1" t="str">
        <f>IFERROR(__xludf.DUMMYFUNCTION("""COMPUTED_VALUE"""),"31112")</f>
        <v>31112</v>
      </c>
      <c r="B2124" s="2">
        <f>IFERROR(__xludf.DUMMYFUNCTION("""COMPUTED_VALUE"""),31112.0)</f>
        <v>31112</v>
      </c>
      <c r="C2124" s="3" t="str">
        <f>IFERROR(__xludf.DUMMYFUNCTION("""COMPUTED_VALUE"""),"BCM FC BCP บ.นาสาร สุราษฎร์ธานี")</f>
        <v>BCM FC BCP บ.นาสาร สุราษฎร์ธานี</v>
      </c>
      <c r="D2124" s="3" t="str">
        <f>IFERROR(__xludf.DUMMYFUNCTION("""COMPUTED_VALUE"""),"BCM FC BCP BAN NASAN SURAT")</f>
        <v>BCM FC BCP BAN NASAN SURAT</v>
      </c>
      <c r="E2124" s="1" t="str">
        <f>IFERROR(__xludf.DUMMYFUNCTION("""COMPUTED_VALUE"""),"บิ๊กซี MINI")</f>
        <v>บิ๊กซี MINI</v>
      </c>
      <c r="F2124" s="1" t="str">
        <f>IFERROR(__xludf.DUMMYFUNCTION("""COMPUTED_VALUE"""),"250760")</f>
        <v>250760</v>
      </c>
      <c r="G2124" s="1" t="str">
        <f>IFERROR(__xludf.DUMMYFUNCTION("""COMPUTED_VALUE"""),"นายประทวน สาราบรรณ์")</f>
        <v>นายประทวน สาราบรรณ์</v>
      </c>
      <c r="H2124" s="1" t="str">
        <f>IFERROR(__xludf.DUMMYFUNCTION("""COMPUTED_VALUE"""),"228389")</f>
        <v>228389</v>
      </c>
      <c r="I2124" s="1" t="str">
        <f>IFERROR(__xludf.DUMMYFUNCTION("""COMPUTED_VALUE"""),"นายมณีรันดร์ ชัยชนะ")</f>
        <v>นายมณีรันดร์ ชัยชนะ</v>
      </c>
      <c r="J2124" s="3">
        <f>IFERROR(__xludf.DUMMYFUNCTION("""COMPUTED_VALUE"""),25324.0)</f>
        <v>25324</v>
      </c>
      <c r="K2124" s="3" t="str">
        <f>IFERROR(__xludf.DUMMYFUNCTION("""COMPUTED_VALUE"""),"นายวิเชฎฐ์ ติรัตนะประคม")</f>
        <v>นายวิเชฎฐ์ ติรัตนะประคม</v>
      </c>
      <c r="L2124" s="1" t="str">
        <f>IFERROR(__xludf.DUMMYFUNCTION("""COMPUTED_VALUE"""),"14 K.Wichet T.")</f>
        <v>14 K.Wichet T.</v>
      </c>
      <c r="M2124" s="1" t="str">
        <f>IFERROR(__xludf.DUMMYFUNCTION("""COMPUTED_VALUE"""),"061-417-6569 / 086-445-5636")</f>
        <v>061-417-6569 / 086-445-5636</v>
      </c>
      <c r="N2124" s="3">
        <f>IFERROR(__xludf.DUMMYFUNCTION("""COMPUTED_VALUE"""),22658.0)</f>
        <v>22658</v>
      </c>
      <c r="O2124" s="3" t="str">
        <f>IFERROR(__xludf.DUMMYFUNCTION("""COMPUTED_VALUE"""),"BCM ถ.วิรัชหงษ์หยก ภูเก็ต")</f>
        <v>BCM ถ.วิรัชหงษ์หยก ภูเก็ต</v>
      </c>
      <c r="P2124" s="4">
        <f>IFERROR(__xludf.DUMMYFUNCTION("""COMPUTED_VALUE"""),45639.0)</f>
        <v>45639</v>
      </c>
      <c r="Q2124" s="3" t="str">
        <f>IFERROR(__xludf.DUMMYFUNCTION("""COMPUTED_VALUE"""),"A")</f>
        <v>A</v>
      </c>
      <c r="R2124" s="3" t="str">
        <f>IFERROR(__xludf.DUMMYFUNCTION("""COMPUTED_VALUE"""),"Small Format")</f>
        <v>Small Format</v>
      </c>
      <c r="S2124" s="3" t="str">
        <f>IFERROR(__xludf.DUMMYFUNCTION("""COMPUTED_VALUE"""),"BCM(FC)")</f>
        <v>BCM(FC)</v>
      </c>
      <c r="T2124" s="3" t="str">
        <f>IFERROR(__xludf.DUMMYFUNCTION("""COMPUTED_VALUE"""),"#N/A")</f>
        <v>#N/A</v>
      </c>
      <c r="U2124" s="3" t="str">
        <f>IFERROR(__xludf.DUMMYFUNCTION("""COMPUTED_VALUE"""),"#N/A")</f>
        <v>#N/A</v>
      </c>
      <c r="V2124" s="3" t="str">
        <f>IFERROR(__xludf.DUMMYFUNCTION("""COMPUTED_VALUE"""),"Y")</f>
        <v>Y</v>
      </c>
      <c r="W2124" s="3">
        <f>IFERROR(__xludf.DUMMYFUNCTION("""COMPUTED_VALUE"""),812337.0)</f>
        <v>812337</v>
      </c>
      <c r="X2124" s="3" t="str">
        <f>IFERROR(__xludf.DUMMYFUNCTION("""COMPUTED_VALUE"""),"58 หมู่ที่ 1 ตำบลน้ำพุ อำเภอบ้านนาสาร จังหวัดสุราษฎร์ธานี 84120")</f>
        <v>58 หมู่ที่ 1 ตำบลน้ำพุ อำเภอบ้านนาสาร จังหวัดสุราษฎร์ธานี 84120</v>
      </c>
      <c r="Y2124" s="3"/>
      <c r="Z2124" s="3" t="str">
        <f>IFERROR(__xludf.DUMMYFUNCTION("""COMPUTED_VALUE"""),"น้ำพุ")</f>
        <v>น้ำพุ</v>
      </c>
      <c r="AA2124" s="3" t="str">
        <f>IFERROR(__xludf.DUMMYFUNCTION("""COMPUTED_VALUE"""),"บ้านนาสาร")</f>
        <v>บ้านนาสาร</v>
      </c>
      <c r="AB2124" s="3" t="str">
        <f>IFERROR(__xludf.DUMMYFUNCTION("""COMPUTED_VALUE"""),"สุราษฎร์ธานี")</f>
        <v>สุราษฎร์ธานี</v>
      </c>
      <c r="AC2124" s="3">
        <f>IFERROR(__xludf.DUMMYFUNCTION("""COMPUTED_VALUE"""),84120.0)</f>
        <v>84120</v>
      </c>
      <c r="AD2124" s="3">
        <f>IFERROR(__xludf.DUMMYFUNCTION("""COMPUTED_VALUE"""),8.786822491)</f>
        <v>8.786822491</v>
      </c>
      <c r="AE2124" s="3">
        <f>IFERROR(__xludf.DUMMYFUNCTION("""COMPUTED_VALUE"""),99.31658125)</f>
        <v>99.31658125</v>
      </c>
      <c r="AF2124" s="3" t="str">
        <f>IFERROR(__xludf.DUMMYFUNCTION("""COMPUTED_VALUE"""),"BCM FC BCP บ.นาสาร สุราษฎร์ธานี-31112")</f>
        <v>BCM FC BCP บ.นาสาร สุราษฎร์ธานี-31112</v>
      </c>
      <c r="AG2124" s="3" t="str">
        <f>IFERROR(__xludf.DUMMYFUNCTION("""COMPUTED_VALUE"""),"ใต้")</f>
        <v>ใต้</v>
      </c>
      <c r="AH2124" s="3" t="str">
        <f>IFERROR(__xludf.DUMMYFUNCTION("""COMPUTED_VALUE"""),"#N/A")</f>
        <v>#N/A</v>
      </c>
      <c r="AI2124" s="3" t="str">
        <f>IFERROR(__xludf.DUMMYFUNCTION("""COMPUTED_VALUE"""),"Out of warranty")</f>
        <v>Out of warranty</v>
      </c>
      <c r="AJ2124" s="3">
        <f>IFERROR(__xludf.DUMMYFUNCTION("""COMPUTED_VALUE"""),14.0)</f>
        <v>14</v>
      </c>
      <c r="AK2124" s="3"/>
      <c r="AL2124" s="3"/>
    </row>
    <row r="2125" ht="15.75" customHeight="1">
      <c r="A2125" s="1" t="str">
        <f>IFERROR(__xludf.DUMMYFUNCTION("""COMPUTED_VALUE"""),"31113")</f>
        <v>31113</v>
      </c>
      <c r="B2125" s="2">
        <f>IFERROR(__xludf.DUMMYFUNCTION("""COMPUTED_VALUE"""),31113.0)</f>
        <v>31113</v>
      </c>
      <c r="C2125" s="3" t="str">
        <f>IFERROR(__xludf.DUMMYFUNCTION("""COMPUTED_VALUE"""),"BCM FC BCP เขาไชยราช ชุมพร")</f>
        <v>BCM FC BCP เขาไชยราช ชุมพร</v>
      </c>
      <c r="D2125" s="3" t="str">
        <f>IFERROR(__xludf.DUMMYFUNCTION("""COMPUTED_VALUE"""),"BCM FC BCP KAOCHAIRAT CHUMPORN")</f>
        <v>BCM FC BCP KAOCHAIRAT CHUMPORN</v>
      </c>
      <c r="E2125" s="1" t="str">
        <f>IFERROR(__xludf.DUMMYFUNCTION("""COMPUTED_VALUE"""),"บิ๊กซี MINI")</f>
        <v>บิ๊กซี MINI</v>
      </c>
      <c r="F2125" s="1" t="str">
        <f>IFERROR(__xludf.DUMMYFUNCTION("""COMPUTED_VALUE"""),"250760")</f>
        <v>250760</v>
      </c>
      <c r="G2125" s="1" t="str">
        <f>IFERROR(__xludf.DUMMYFUNCTION("""COMPUTED_VALUE"""),"นายประทวน สาราบรรณ์")</f>
        <v>นายประทวน สาราบรรณ์</v>
      </c>
      <c r="H2125" s="1" t="str">
        <f>IFERROR(__xludf.DUMMYFUNCTION("""COMPUTED_VALUE"""),"311437")</f>
        <v>311437</v>
      </c>
      <c r="I2125" s="1" t="str">
        <f>IFERROR(__xludf.DUMMYFUNCTION("""COMPUTED_VALUE"""),"นายฉัตรทพร รักวิเชียร")</f>
        <v>นายฉัตรทพร รักวิเชียร</v>
      </c>
      <c r="J2125" s="3">
        <f>IFERROR(__xludf.DUMMYFUNCTION("""COMPUTED_VALUE"""),25324.0)</f>
        <v>25324</v>
      </c>
      <c r="K2125" s="3" t="str">
        <f>IFERROR(__xludf.DUMMYFUNCTION("""COMPUTED_VALUE"""),"นายวิเชฎฐ์ ติรัตนะประคม")</f>
        <v>นายวิเชฎฐ์ ติรัตนะประคม</v>
      </c>
      <c r="L2125" s="1" t="str">
        <f>IFERROR(__xludf.DUMMYFUNCTION("""COMPUTED_VALUE"""),"14 K.Wichet T.")</f>
        <v>14 K.Wichet T.</v>
      </c>
      <c r="M2125" s="1" t="str">
        <f>IFERROR(__xludf.DUMMYFUNCTION("""COMPUTED_VALUE"""),"061-417-6569 / 086-445-5636")</f>
        <v>061-417-6569 / 086-445-5636</v>
      </c>
      <c r="N2125" s="3">
        <f>IFERROR(__xludf.DUMMYFUNCTION("""COMPUTED_VALUE"""),22658.0)</f>
        <v>22658</v>
      </c>
      <c r="O2125" s="3" t="str">
        <f>IFERROR(__xludf.DUMMYFUNCTION("""COMPUTED_VALUE"""),"BCM ถ.วิรัชหงษ์หยก ภูเก็ต")</f>
        <v>BCM ถ.วิรัชหงษ์หยก ภูเก็ต</v>
      </c>
      <c r="P2125" s="4">
        <f>IFERROR(__xludf.DUMMYFUNCTION("""COMPUTED_VALUE"""),45644.0)</f>
        <v>45644</v>
      </c>
      <c r="Q2125" s="3" t="str">
        <f>IFERROR(__xludf.DUMMYFUNCTION("""COMPUTED_VALUE"""),"A")</f>
        <v>A</v>
      </c>
      <c r="R2125" s="3" t="str">
        <f>IFERROR(__xludf.DUMMYFUNCTION("""COMPUTED_VALUE"""),"Small Format")</f>
        <v>Small Format</v>
      </c>
      <c r="S2125" s="3" t="str">
        <f>IFERROR(__xludf.DUMMYFUNCTION("""COMPUTED_VALUE"""),"BCM(FC)")</f>
        <v>BCM(FC)</v>
      </c>
      <c r="T2125" s="3" t="str">
        <f>IFERROR(__xludf.DUMMYFUNCTION("""COMPUTED_VALUE"""),"#N/A")</f>
        <v>#N/A</v>
      </c>
      <c r="U2125" s="3" t="str">
        <f>IFERROR(__xludf.DUMMYFUNCTION("""COMPUTED_VALUE"""),"#N/A")</f>
        <v>#N/A</v>
      </c>
      <c r="V2125" s="3" t="str">
        <f>IFERROR(__xludf.DUMMYFUNCTION("""COMPUTED_VALUE"""),"Y")</f>
        <v>Y</v>
      </c>
      <c r="W2125" s="3">
        <f>IFERROR(__xludf.DUMMYFUNCTION("""COMPUTED_VALUE"""),812336.0)</f>
        <v>812336</v>
      </c>
      <c r="X2125" s="3" t="str">
        <f>IFERROR(__xludf.DUMMYFUNCTION("""COMPUTED_VALUE"""),"111/5 หมู่ที่ 4 ตำบลเขาไชยราช อำเภอปะทิว จังหวัดชุมพร 86210")</f>
        <v>111/5 หมู่ที่ 4 ตำบลเขาไชยราช อำเภอปะทิว จังหวัดชุมพร 86210</v>
      </c>
      <c r="Y2125" s="3"/>
      <c r="Z2125" s="3" t="str">
        <f>IFERROR(__xludf.DUMMYFUNCTION("""COMPUTED_VALUE"""),"เขาไชยราช")</f>
        <v>เขาไชยราช</v>
      </c>
      <c r="AA2125" s="3" t="str">
        <f>IFERROR(__xludf.DUMMYFUNCTION("""COMPUTED_VALUE"""),"ปะทิว")</f>
        <v>ปะทิว</v>
      </c>
      <c r="AB2125" s="3" t="str">
        <f>IFERROR(__xludf.DUMMYFUNCTION("""COMPUTED_VALUE"""),"ชุมพร")</f>
        <v>ชุมพร</v>
      </c>
      <c r="AC2125" s="3">
        <f>IFERROR(__xludf.DUMMYFUNCTION("""COMPUTED_VALUE"""),86210.0)</f>
        <v>86210</v>
      </c>
      <c r="AD2125" s="3">
        <f>IFERROR(__xludf.DUMMYFUNCTION("""COMPUTED_VALUE"""),10.957759)</f>
        <v>10.957759</v>
      </c>
      <c r="AE2125" s="3">
        <f>IFERROR(__xludf.DUMMYFUNCTION("""COMPUTED_VALUE"""),99.3108914)</f>
        <v>99.3108914</v>
      </c>
      <c r="AF2125" s="3" t="str">
        <f>IFERROR(__xludf.DUMMYFUNCTION("""COMPUTED_VALUE"""),"BCM FC BCP เขาไชยราช ชุมพร-31113")</f>
        <v>BCM FC BCP เขาไชยราช ชุมพร-31113</v>
      </c>
      <c r="AG2125" s="3" t="str">
        <f>IFERROR(__xludf.DUMMYFUNCTION("""COMPUTED_VALUE"""),"ใต้")</f>
        <v>ใต้</v>
      </c>
      <c r="AH2125" s="3" t="str">
        <f>IFERROR(__xludf.DUMMYFUNCTION("""COMPUTED_VALUE"""),"#N/A")</f>
        <v>#N/A</v>
      </c>
      <c r="AI2125" s="3" t="str">
        <f>IFERROR(__xludf.DUMMYFUNCTION("""COMPUTED_VALUE"""),"Out of warranty")</f>
        <v>Out of warranty</v>
      </c>
      <c r="AJ2125" s="3">
        <f>IFERROR(__xludf.DUMMYFUNCTION("""COMPUTED_VALUE"""),14.0)</f>
        <v>14</v>
      </c>
      <c r="AK2125" s="3"/>
      <c r="AL2125" s="3"/>
    </row>
    <row r="2126" ht="15.75" customHeight="1">
      <c r="A2126" s="1" t="str">
        <f>IFERROR(__xludf.DUMMYFUNCTION("""COMPUTED_VALUE"""),"31114")</f>
        <v>31114</v>
      </c>
      <c r="B2126" s="2">
        <f>IFERROR(__xludf.DUMMYFUNCTION("""COMPUTED_VALUE"""),31114.0)</f>
        <v>31114</v>
      </c>
      <c r="C2126" s="3" t="str">
        <f>IFERROR(__xludf.DUMMYFUNCTION("""COMPUTED_VALUE"""),"BCM FC BCP โนนสมบูรณ์ บึงกาฬ")</f>
        <v>BCM FC BCP โนนสมบูรณ์ บึงกาฬ</v>
      </c>
      <c r="D2126" s="3" t="str">
        <f>IFERROR(__xludf.DUMMYFUNCTION("""COMPUTED_VALUE"""),"BCM FC BCP NONSOMBUN BUENGKAN")</f>
        <v>BCM FC BCP NONSOMBUN BUENGKAN</v>
      </c>
      <c r="E2126" s="1" t="str">
        <f>IFERROR(__xludf.DUMMYFUNCTION("""COMPUTED_VALUE"""),"บิ๊กซี MINI")</f>
        <v>บิ๊กซี MINI</v>
      </c>
      <c r="F2126" s="1" t="str">
        <f>IFERROR(__xludf.DUMMYFUNCTION("""COMPUTED_VALUE"""),"291105")</f>
        <v>291105</v>
      </c>
      <c r="G2126" s="1" t="str">
        <f>IFERROR(__xludf.DUMMYFUNCTION("""COMPUTED_VALUE"""),"นายสราวุฒิ พณิชยกุล")</f>
        <v>นายสราวุฒิ พณิชยกุล</v>
      </c>
      <c r="H2126" s="1" t="str">
        <f>IFERROR(__xludf.DUMMYFUNCTION("""COMPUTED_VALUE"""),"392885")</f>
        <v>392885</v>
      </c>
      <c r="I2126" s="1" t="str">
        <f>IFERROR(__xludf.DUMMYFUNCTION("""COMPUTED_VALUE"""),"น.ส.วราพร จันปลิว")</f>
        <v>น.ส.วราพร จันปลิว</v>
      </c>
      <c r="J2126" s="3">
        <f>IFERROR(__xludf.DUMMYFUNCTION("""COMPUTED_VALUE"""),296868.0)</f>
        <v>296868</v>
      </c>
      <c r="K2126" s="3" t="str">
        <f>IFERROR(__xludf.DUMMYFUNCTION("""COMPUTED_VALUE"""),"นายพีระพงษ์ แก้วดวงดี")</f>
        <v>นายพีระพงษ์ แก้วดวงดี</v>
      </c>
      <c r="L2126" s="1" t="str">
        <f>IFERROR(__xludf.DUMMYFUNCTION("""COMPUTED_VALUE"""),"03 K.Peerapong K.")</f>
        <v>03 K.Peerapong K.</v>
      </c>
      <c r="M2126" s="1" t="str">
        <f>IFERROR(__xludf.DUMMYFUNCTION("""COMPUTED_VALUE"""),"089-002-6599")</f>
        <v>089-002-6599</v>
      </c>
      <c r="N2126" s="3">
        <f>IFERROR(__xludf.DUMMYFUNCTION("""COMPUTED_VALUE"""),21946.0)</f>
        <v>21946</v>
      </c>
      <c r="O2126" s="3" t="str">
        <f>IFERROR(__xludf.DUMMYFUNCTION("""COMPUTED_VALUE"""),"MBC เซกา บึงกาฬ")</f>
        <v>MBC เซกา บึงกาฬ</v>
      </c>
      <c r="P2126" s="4">
        <f>IFERROR(__xludf.DUMMYFUNCTION("""COMPUTED_VALUE"""),45651.0)</f>
        <v>45651</v>
      </c>
      <c r="Q2126" s="3" t="str">
        <f>IFERROR(__xludf.DUMMYFUNCTION("""COMPUTED_VALUE"""),"A")</f>
        <v>A</v>
      </c>
      <c r="R2126" s="3" t="str">
        <f>IFERROR(__xludf.DUMMYFUNCTION("""COMPUTED_VALUE"""),"Small Format")</f>
        <v>Small Format</v>
      </c>
      <c r="S2126" s="3" t="str">
        <f>IFERROR(__xludf.DUMMYFUNCTION("""COMPUTED_VALUE"""),"BCM(FC)")</f>
        <v>BCM(FC)</v>
      </c>
      <c r="T2126" s="3" t="str">
        <f>IFERROR(__xludf.DUMMYFUNCTION("""COMPUTED_VALUE"""),"#N/A")</f>
        <v>#N/A</v>
      </c>
      <c r="U2126" s="3" t="str">
        <f>IFERROR(__xludf.DUMMYFUNCTION("""COMPUTED_VALUE"""),"#N/A")</f>
        <v>#N/A</v>
      </c>
      <c r="V2126" s="3" t="str">
        <f>IFERROR(__xludf.DUMMYFUNCTION("""COMPUTED_VALUE"""),"Y")</f>
        <v>Y</v>
      </c>
      <c r="W2126" s="3">
        <f>IFERROR(__xludf.DUMMYFUNCTION("""COMPUTED_VALUE"""),812340.0)</f>
        <v>812340</v>
      </c>
      <c r="X2126" s="3" t="str">
        <f>IFERROR(__xludf.DUMMYFUNCTION("""COMPUTED_VALUE"""),"483 หมู่ที่ 2 ตำบลโนนสมบูรณ์ อำเภอเมืองบึงกาฬ จังหวัดบึงกาฬ 38000")</f>
        <v>483 หมู่ที่ 2 ตำบลโนนสมบูรณ์ อำเภอเมืองบึงกาฬ จังหวัดบึงกาฬ 38000</v>
      </c>
      <c r="Y2126" s="3"/>
      <c r="Z2126" s="3" t="str">
        <f>IFERROR(__xludf.DUMMYFUNCTION("""COMPUTED_VALUE"""),"โนนสมบูรณ์")</f>
        <v>โนนสมบูรณ์</v>
      </c>
      <c r="AA2126" s="3" t="str">
        <f>IFERROR(__xludf.DUMMYFUNCTION("""COMPUTED_VALUE"""),"เมืองบึงกาฬ")</f>
        <v>เมืองบึงกาฬ</v>
      </c>
      <c r="AB2126" s="3" t="str">
        <f>IFERROR(__xludf.DUMMYFUNCTION("""COMPUTED_VALUE"""),"บึงกาฬ")</f>
        <v>บึงกาฬ</v>
      </c>
      <c r="AC2126" s="3">
        <f>IFERROR(__xludf.DUMMYFUNCTION("""COMPUTED_VALUE"""),38000.0)</f>
        <v>38000</v>
      </c>
      <c r="AD2126" s="3">
        <f>IFERROR(__xludf.DUMMYFUNCTION("""COMPUTED_VALUE"""),18.30518801)</f>
        <v>18.30518801</v>
      </c>
      <c r="AE2126" s="3">
        <f>IFERROR(__xludf.DUMMYFUNCTION("""COMPUTED_VALUE"""),103.6464703)</f>
        <v>103.6464703</v>
      </c>
      <c r="AF2126" s="3" t="str">
        <f>IFERROR(__xludf.DUMMYFUNCTION("""COMPUTED_VALUE"""),"BCM FC BCP โนนสมบูรณ์ บึงกาฬ-31114")</f>
        <v>BCM FC BCP โนนสมบูรณ์ บึงกาฬ-31114</v>
      </c>
      <c r="AG2126" s="3" t="str">
        <f>IFERROR(__xludf.DUMMYFUNCTION("""COMPUTED_VALUE"""),"ตะวันออกเฉียงเหนือ")</f>
        <v>ตะวันออกเฉียงเหนือ</v>
      </c>
      <c r="AH2126" s="3" t="str">
        <f>IFERROR(__xludf.DUMMYFUNCTION("""COMPUTED_VALUE"""),"#N/A")</f>
        <v>#N/A</v>
      </c>
      <c r="AI2126" s="3" t="str">
        <f>IFERROR(__xludf.DUMMYFUNCTION("""COMPUTED_VALUE"""),"Out of warranty")</f>
        <v>Out of warranty</v>
      </c>
      <c r="AJ2126" s="3">
        <f>IFERROR(__xludf.DUMMYFUNCTION("""COMPUTED_VALUE"""),13.0)</f>
        <v>13</v>
      </c>
      <c r="AK2126" s="3"/>
      <c r="AL2126" s="3"/>
    </row>
    <row r="2127" ht="15.75" customHeight="1">
      <c r="A2127" s="1" t="str">
        <f>IFERROR(__xludf.DUMMYFUNCTION("""COMPUTED_VALUE"""),"31115")</f>
        <v>31115</v>
      </c>
      <c r="B2127" s="2">
        <f>IFERROR(__xludf.DUMMYFUNCTION("""COMPUTED_VALUE"""),31115.0)</f>
        <v>31115</v>
      </c>
      <c r="C2127" s="3" t="str">
        <f>IFERROR(__xludf.DUMMYFUNCTION("""COMPUTED_VALUE"""),"BCM FC BCP กำแพงแสน นครปฐม")</f>
        <v>BCM FC BCP กำแพงแสน นครปฐม</v>
      </c>
      <c r="D2127" s="3" t="str">
        <f>IFERROR(__xludf.DUMMYFUNCTION("""COMPUTED_VALUE"""),"BCM FC BCP KAMPHAENG SAEN")</f>
        <v>BCM FC BCP KAMPHAENG SAEN</v>
      </c>
      <c r="E2127" s="1" t="str">
        <f>IFERROR(__xludf.DUMMYFUNCTION("""COMPUTED_VALUE"""),"บิ๊กซี MINI")</f>
        <v>บิ๊กซี MINI</v>
      </c>
      <c r="F2127" s="1" t="str">
        <f>IFERROR(__xludf.DUMMYFUNCTION("""COMPUTED_VALUE"""),"296229")</f>
        <v>296229</v>
      </c>
      <c r="G2127" s="1" t="str">
        <f>IFERROR(__xludf.DUMMYFUNCTION("""COMPUTED_VALUE"""),"นายทนงศักดิ์ บุญมา")</f>
        <v>นายทนงศักดิ์ บุญมา</v>
      </c>
      <c r="H2127" s="1" t="str">
        <f>IFERROR(__xludf.DUMMYFUNCTION("""COMPUTED_VALUE"""),"295245")</f>
        <v>295245</v>
      </c>
      <c r="I2127" s="1" t="str">
        <f>IFERROR(__xludf.DUMMYFUNCTION("""COMPUTED_VALUE"""),"นายมานะ วงศ์สุโชโต")</f>
        <v>นายมานะ วงศ์สุโชโต</v>
      </c>
      <c r="J2127" s="3">
        <f>IFERROR(__xludf.DUMMYFUNCTION("""COMPUTED_VALUE"""),46214.0)</f>
        <v>46214</v>
      </c>
      <c r="K2127" s="3" t="str">
        <f>IFERROR(__xludf.DUMMYFUNCTION("""COMPUTED_VALUE"""),"นายศักดิ์ชัย เด็ดดอกฟ้า")</f>
        <v>นายศักดิ์ชัย เด็ดดอกฟ้า</v>
      </c>
      <c r="L2127" s="1" t="str">
        <f>IFERROR(__xludf.DUMMYFUNCTION("""COMPUTED_VALUE"""),"02 K.Sakchai D")</f>
        <v>02 K.Sakchai D</v>
      </c>
      <c r="M2127" s="1" t="str">
        <f>IFERROR(__xludf.DUMMYFUNCTION("""COMPUTED_VALUE"""),"065-510-7376")</f>
        <v>065-510-7376</v>
      </c>
      <c r="N2127" s="3">
        <f>IFERROR(__xludf.DUMMYFUNCTION("""COMPUTED_VALUE"""),21714.0)</f>
        <v>21714</v>
      </c>
      <c r="O2127" s="3" t="str">
        <f>IFERROR(__xludf.DUMMYFUNCTION("""COMPUTED_VALUE"""),"MBC เอสโซ่ วัดโบสถ์")</f>
        <v>MBC เอสโซ่ วัดโบสถ์</v>
      </c>
      <c r="P2127" s="4">
        <f>IFERROR(__xludf.DUMMYFUNCTION("""COMPUTED_VALUE"""),45651.0)</f>
        <v>45651</v>
      </c>
      <c r="Q2127" s="3" t="str">
        <f>IFERROR(__xludf.DUMMYFUNCTION("""COMPUTED_VALUE"""),"A")</f>
        <v>A</v>
      </c>
      <c r="R2127" s="3" t="str">
        <f>IFERROR(__xludf.DUMMYFUNCTION("""COMPUTED_VALUE"""),"Small Format")</f>
        <v>Small Format</v>
      </c>
      <c r="S2127" s="3" t="str">
        <f>IFERROR(__xludf.DUMMYFUNCTION("""COMPUTED_VALUE"""),"BCM(FC)")</f>
        <v>BCM(FC)</v>
      </c>
      <c r="T2127" s="3" t="str">
        <f>IFERROR(__xludf.DUMMYFUNCTION("""COMPUTED_VALUE"""),"#N/A")</f>
        <v>#N/A</v>
      </c>
      <c r="U2127" s="3" t="str">
        <f>IFERROR(__xludf.DUMMYFUNCTION("""COMPUTED_VALUE"""),"#N/A")</f>
        <v>#N/A</v>
      </c>
      <c r="V2127" s="3" t="str">
        <f>IFERROR(__xludf.DUMMYFUNCTION("""COMPUTED_VALUE"""),"Y")</f>
        <v>Y</v>
      </c>
      <c r="W2127" s="3">
        <f>IFERROR(__xludf.DUMMYFUNCTION("""COMPUTED_VALUE"""),812339.0)</f>
        <v>812339</v>
      </c>
      <c r="X2127" s="3" t="str">
        <f>IFERROR(__xludf.DUMMYFUNCTION("""COMPUTED_VALUE"""),"599/5 หมู่ที่ 5 ตำบลกำแพงแสน อำเภอกำแพงแสน จังหวัดนครปฐม 73140")</f>
        <v>599/5 หมู่ที่ 5 ตำบลกำแพงแสน อำเภอกำแพงแสน จังหวัดนครปฐม 73140</v>
      </c>
      <c r="Y2127" s="3"/>
      <c r="Z2127" s="3" t="str">
        <f>IFERROR(__xludf.DUMMYFUNCTION("""COMPUTED_VALUE"""),"กำแพงแสน")</f>
        <v>กำแพงแสน</v>
      </c>
      <c r="AA2127" s="3" t="str">
        <f>IFERROR(__xludf.DUMMYFUNCTION("""COMPUTED_VALUE"""),"กำแพงแสน")</f>
        <v>กำแพงแสน</v>
      </c>
      <c r="AB2127" s="3" t="str">
        <f>IFERROR(__xludf.DUMMYFUNCTION("""COMPUTED_VALUE"""),"นครปฐม")</f>
        <v>นครปฐม</v>
      </c>
      <c r="AC2127" s="3">
        <f>IFERROR(__xludf.DUMMYFUNCTION("""COMPUTED_VALUE"""),73140.0)</f>
        <v>73140</v>
      </c>
      <c r="AD2127" s="3">
        <f>IFERROR(__xludf.DUMMYFUNCTION("""COMPUTED_VALUE"""),14.00922)</f>
        <v>14.00922</v>
      </c>
      <c r="AE2127" s="3">
        <f>IFERROR(__xludf.DUMMYFUNCTION("""COMPUTED_VALUE"""),100.004726)</f>
        <v>100.004726</v>
      </c>
      <c r="AF2127" s="3" t="str">
        <f>IFERROR(__xludf.DUMMYFUNCTION("""COMPUTED_VALUE"""),"BCM FC BCP กำแพงแสน นครปฐม-31115")</f>
        <v>BCM FC BCP กำแพงแสน นครปฐม-31115</v>
      </c>
      <c r="AG2127" s="3" t="str">
        <f>IFERROR(__xludf.DUMMYFUNCTION("""COMPUTED_VALUE"""),"กลาง")</f>
        <v>กลาง</v>
      </c>
      <c r="AH2127" s="3" t="str">
        <f>IFERROR(__xludf.DUMMYFUNCTION("""COMPUTED_VALUE"""),"#N/A")</f>
        <v>#N/A</v>
      </c>
      <c r="AI2127" s="3" t="str">
        <f>IFERROR(__xludf.DUMMYFUNCTION("""COMPUTED_VALUE"""),"Out of warranty")</f>
        <v>Out of warranty</v>
      </c>
      <c r="AJ2127" s="3">
        <f>IFERROR(__xludf.DUMMYFUNCTION("""COMPUTED_VALUE"""),13.0)</f>
        <v>13</v>
      </c>
      <c r="AK2127" s="3"/>
      <c r="AL2127" s="3"/>
    </row>
    <row r="2128" ht="15.75" customHeight="1">
      <c r="A2128" s="1" t="str">
        <f>IFERROR(__xludf.DUMMYFUNCTION("""COMPUTED_VALUE"""),"41001")</f>
        <v>41001</v>
      </c>
      <c r="B2128" s="2">
        <f>IFERROR(__xludf.DUMMYFUNCTION("""COMPUTED_VALUE"""),41001.0)</f>
        <v>41001</v>
      </c>
      <c r="C2128" s="3" t="str">
        <f>IFERROR(__xludf.DUMMYFUNCTION("""COMPUTED_VALUE"""),"เพรียวรังสิต")</f>
        <v>เพรียวรังสิต</v>
      </c>
      <c r="D2128" s="3" t="str">
        <f>IFERROR(__xludf.DUMMYFUNCTION("""COMPUTED_VALUE"""),"BIGC RANGSIT PURE")</f>
        <v>BIGC RANGSIT PURE</v>
      </c>
      <c r="E2128" s="1" t="str">
        <f>IFERROR(__xludf.DUMMYFUNCTION("""COMPUTED_VALUE"""),"PURE")</f>
        <v>PURE</v>
      </c>
      <c r="F2128" s="1" t="str">
        <f>IFERROR(__xludf.DUMMYFUNCTION("""COMPUTED_VALUE"""),"2010612")</f>
        <v>2010612</v>
      </c>
      <c r="G2128" s="1" t="str">
        <f>IFERROR(__xludf.DUMMYFUNCTION("""COMPUTED_VALUE"""),"น.ส.วรรณพร เกตุเลิศประเสริฐ")</f>
        <v>น.ส.วรรณพร เกตุเลิศประเสริฐ</v>
      </c>
      <c r="H2128" s="1" t="str">
        <f>IFERROR(__xludf.DUMMYFUNCTION("""COMPUTED_VALUE"""),"2010612")</f>
        <v>2010612</v>
      </c>
      <c r="I2128" s="1" t="str">
        <f>IFERROR(__xludf.DUMMYFUNCTION("""COMPUTED_VALUE"""),"น.ส.วรรณพร เกตุเลิศประเสริฐ")</f>
        <v>น.ส.วรรณพร เกตุเลิศประเสริฐ</v>
      </c>
      <c r="J2128" s="3">
        <f>IFERROR(__xludf.DUMMYFUNCTION("""COMPUTED_VALUE"""),2408546.0)</f>
        <v>2408546</v>
      </c>
      <c r="K2128" s="3" t="str">
        <f>IFERROR(__xludf.DUMMYFUNCTION("""COMPUTED_VALUE"""),"นายเกษมศิษฐ์ ฮดบุญเรือง")</f>
        <v>นายเกษมศิษฐ์ ฮดบุญเรือง</v>
      </c>
      <c r="L2128" s="1" t="str">
        <f>IFERROR(__xludf.DUMMYFUNCTION("""COMPUTED_VALUE"""),"Hub02-BKK 2")</f>
        <v>Hub02-BKK 2</v>
      </c>
      <c r="M2128" s="1" t="str">
        <f>IFERROR(__xludf.DUMMYFUNCTION("""COMPUTED_VALUE"""),"0988580755")</f>
        <v>0988580755</v>
      </c>
      <c r="N2128" s="3">
        <f>IFERROR(__xludf.DUMMYFUNCTION("""COMPUTED_VALUE"""),11194.0)</f>
        <v>11194</v>
      </c>
      <c r="O2128" s="3" t="str">
        <f>IFERROR(__xludf.DUMMYFUNCTION("""COMPUTED_VALUE"""),"รังสิต-2")</f>
        <v>รังสิต-2</v>
      </c>
      <c r="P2128" s="4">
        <f>IFERROR(__xludf.DUMMYFUNCTION("""COMPUTED_VALUE"""),39717.0)</f>
        <v>39717</v>
      </c>
      <c r="Q2128" s="3" t="str">
        <f>IFERROR(__xludf.DUMMYFUNCTION("""COMPUTED_VALUE"""),"A")</f>
        <v>A</v>
      </c>
      <c r="R2128" s="3" t="str">
        <f>IFERROR(__xludf.DUMMYFUNCTION("""COMPUTED_VALUE"""),"Big Format")</f>
        <v>Big Format</v>
      </c>
      <c r="S2128" s="3" t="str">
        <f>IFERROR(__xludf.DUMMYFUNCTION("""COMPUTED_VALUE"""),"PURE")</f>
        <v>PURE</v>
      </c>
      <c r="T2128" s="3" t="str">
        <f>IFERROR(__xludf.DUMMYFUNCTION("""COMPUTED_VALUE"""),"#N/A")</f>
        <v>#N/A</v>
      </c>
      <c r="U2128" s="3" t="str">
        <f>IFERROR(__xludf.DUMMYFUNCTION("""COMPUTED_VALUE"""),"#N/A")</f>
        <v>#N/A</v>
      </c>
      <c r="V2128" s="3" t="str">
        <f>IFERROR(__xludf.DUMMYFUNCTION("""COMPUTED_VALUE"""),"N")</f>
        <v>N</v>
      </c>
      <c r="W2128" s="3">
        <f>IFERROR(__xludf.DUMMYFUNCTION("""COMPUTED_VALUE"""),111108.0)</f>
        <v>111108</v>
      </c>
      <c r="X2128" s="3" t="str">
        <f>IFERROR(__xludf.DUMMYFUNCTION("""COMPUTED_VALUE"""),"94 ถนนพหลโยธิน ตำบลประชาธิปัตย์ อำเภอธัญบุรี จังหวัดปทุมธานี 12130")</f>
        <v>94 ถนนพหลโยธิน ตำบลประชาธิปัตย์ อำเภอธัญบุรี จังหวัดปทุมธานี 12130</v>
      </c>
      <c r="Y2128" s="3" t="str">
        <f>IFERROR(__xludf.DUMMYFUNCTION("""COMPUTED_VALUE"""),"ถนนพหลโยธิน")</f>
        <v>ถนนพหลโยธิน</v>
      </c>
      <c r="Z2128" s="3" t="str">
        <f>IFERROR(__xludf.DUMMYFUNCTION("""COMPUTED_VALUE"""),"ประชาธิปัตย์")</f>
        <v>ประชาธิปัตย์</v>
      </c>
      <c r="AA2128" s="3" t="str">
        <f>IFERROR(__xludf.DUMMYFUNCTION("""COMPUTED_VALUE"""),"ธัญบุรี")</f>
        <v>ธัญบุรี</v>
      </c>
      <c r="AB2128" s="3" t="str">
        <f>IFERROR(__xludf.DUMMYFUNCTION("""COMPUTED_VALUE"""),"ปทุมธานี")</f>
        <v>ปทุมธานี</v>
      </c>
      <c r="AC2128" s="3">
        <f>IFERROR(__xludf.DUMMYFUNCTION("""COMPUTED_VALUE"""),12130.0)</f>
        <v>12130</v>
      </c>
      <c r="AD2128" s="3">
        <f>IFERROR(__xludf.DUMMYFUNCTION("""COMPUTED_VALUE"""),0.0)</f>
        <v>0</v>
      </c>
      <c r="AE2128" s="3">
        <f>IFERROR(__xludf.DUMMYFUNCTION("""COMPUTED_VALUE"""),0.0)</f>
        <v>0</v>
      </c>
      <c r="AF2128" s="3" t="str">
        <f>IFERROR(__xludf.DUMMYFUNCTION("""COMPUTED_VALUE"""),"เพรียวรังสิต-41001")</f>
        <v>เพรียวรังสิต-41001</v>
      </c>
      <c r="AG2128" s="3" t="str">
        <f>IFERROR(__xludf.DUMMYFUNCTION("""COMPUTED_VALUE"""),"กลาง")</f>
        <v>กลาง</v>
      </c>
      <c r="AH2128" s="3" t="str">
        <f>IFERROR(__xludf.DUMMYFUNCTION("""COMPUTED_VALUE"""),"#N/A")</f>
        <v>#N/A</v>
      </c>
      <c r="AI2128" s="3" t="str">
        <f>IFERROR(__xludf.DUMMYFUNCTION("""COMPUTED_VALUE"""),"Out of warranty")</f>
        <v>Out of warranty</v>
      </c>
      <c r="AJ2128" s="3">
        <f>IFERROR(__xludf.DUMMYFUNCTION("""COMPUTED_VALUE"""),208.0)</f>
        <v>208</v>
      </c>
      <c r="AK2128" s="3"/>
      <c r="AL2128" s="3"/>
    </row>
    <row r="2129" ht="15.75" customHeight="1">
      <c r="A2129" s="1" t="str">
        <f>IFERROR(__xludf.DUMMYFUNCTION("""COMPUTED_VALUE"""),"41002")</f>
        <v>41002</v>
      </c>
      <c r="B2129" s="2">
        <f>IFERROR(__xludf.DUMMYFUNCTION("""COMPUTED_VALUE"""),41002.0)</f>
        <v>41002</v>
      </c>
      <c r="C2129" s="3" t="str">
        <f>IFERROR(__xludf.DUMMYFUNCTION("""COMPUTED_VALUE"""),"เพรียววารินทร์ชำราบ")</f>
        <v>เพรียววารินทร์ชำราบ</v>
      </c>
      <c r="D2129" s="3" t="str">
        <f>IFERROR(__xludf.DUMMYFUNCTION("""COMPUTED_VALUE"""),"BIGC VARINCHUMRAB PURE")</f>
        <v>BIGC VARINCHUMRAB PURE</v>
      </c>
      <c r="E2129" s="1" t="str">
        <f>IFERROR(__xludf.DUMMYFUNCTION("""COMPUTED_VALUE"""),"PURE")</f>
        <v>PURE</v>
      </c>
      <c r="F2129" s="1" t="str">
        <f>IFERROR(__xludf.DUMMYFUNCTION("""COMPUTED_VALUE"""),"2083583")</f>
        <v>2083583</v>
      </c>
      <c r="G2129" s="1" t="str">
        <f>IFERROR(__xludf.DUMMYFUNCTION("""COMPUTED_VALUE"""),"นายอรรณพ ศรีแก้ว")</f>
        <v>นายอรรณพ ศรีแก้ว</v>
      </c>
      <c r="H2129" s="1" t="str">
        <f>IFERROR(__xludf.DUMMYFUNCTION("""COMPUTED_VALUE"""),"2083583")</f>
        <v>2083583</v>
      </c>
      <c r="I2129" s="1" t="str">
        <f>IFERROR(__xludf.DUMMYFUNCTION("""COMPUTED_VALUE"""),"นายอรรณพ ศรีแก้ว")</f>
        <v>นายอรรณพ ศรีแก้ว</v>
      </c>
      <c r="J2129" s="3">
        <f>IFERROR(__xludf.DUMMYFUNCTION("""COMPUTED_VALUE"""),33317.0)</f>
        <v>33317</v>
      </c>
      <c r="K2129" s="3" t="str">
        <f>IFERROR(__xludf.DUMMYFUNCTION("""COMPUTED_VALUE"""),"นายอาณัติ เพชรภาน")</f>
        <v>นายอาณัติ เพชรภาน</v>
      </c>
      <c r="L2129" s="1" t="str">
        <f>IFERROR(__xludf.DUMMYFUNCTION("""COMPUTED_VALUE"""),"Hub10-NE 2")</f>
        <v>Hub10-NE 2</v>
      </c>
      <c r="M2129" s="1" t="str">
        <f>IFERROR(__xludf.DUMMYFUNCTION("""COMPUTED_VALUE"""),"0644791409")</f>
        <v>0644791409</v>
      </c>
      <c r="N2129" s="3">
        <f>IFERROR(__xludf.DUMMYFUNCTION("""COMPUTED_VALUE"""),11165.0)</f>
        <v>11165</v>
      </c>
      <c r="O2129" s="3" t="str">
        <f>IFERROR(__xludf.DUMMYFUNCTION("""COMPUTED_VALUE"""),"วารินชำราบ")</f>
        <v>วารินชำราบ</v>
      </c>
      <c r="P2129" s="4">
        <f>IFERROR(__xludf.DUMMYFUNCTION("""COMPUTED_VALUE"""),39751.0)</f>
        <v>39751</v>
      </c>
      <c r="Q2129" s="3" t="str">
        <f>IFERROR(__xludf.DUMMYFUNCTION("""COMPUTED_VALUE"""),"A")</f>
        <v>A</v>
      </c>
      <c r="R2129" s="3" t="str">
        <f>IFERROR(__xludf.DUMMYFUNCTION("""COMPUTED_VALUE"""),"Big Format")</f>
        <v>Big Format</v>
      </c>
      <c r="S2129" s="3" t="str">
        <f>IFERROR(__xludf.DUMMYFUNCTION("""COMPUTED_VALUE"""),"PURE")</f>
        <v>PURE</v>
      </c>
      <c r="T2129" s="3" t="str">
        <f>IFERROR(__xludf.DUMMYFUNCTION("""COMPUTED_VALUE"""),"#N/A")</f>
        <v>#N/A</v>
      </c>
      <c r="U2129" s="3" t="str">
        <f>IFERROR(__xludf.DUMMYFUNCTION("""COMPUTED_VALUE"""),"#N/A")</f>
        <v>#N/A</v>
      </c>
      <c r="V2129" s="3" t="str">
        <f>IFERROR(__xludf.DUMMYFUNCTION("""COMPUTED_VALUE"""),"N")</f>
        <v>N</v>
      </c>
      <c r="W2129" s="3">
        <f>IFERROR(__xludf.DUMMYFUNCTION("""COMPUTED_VALUE"""),111165.0)</f>
        <v>111165</v>
      </c>
      <c r="X2129" s="3" t="str">
        <f>IFERROR(__xludf.DUMMYFUNCTION("""COMPUTED_VALUE"""),"322 หมู่ที่ 8 ตำบลแสนสุข อำเภอวารินชำราบ จังหวัดอุบลราชธานี 34190")</f>
        <v>322 หมู่ที่ 8 ตำบลแสนสุข อำเภอวารินชำราบ จังหวัดอุบลราชธานี 34190</v>
      </c>
      <c r="Y2129" s="3"/>
      <c r="Z2129" s="3" t="str">
        <f>IFERROR(__xludf.DUMMYFUNCTION("""COMPUTED_VALUE"""),"แสนสุข")</f>
        <v>แสนสุข</v>
      </c>
      <c r="AA2129" s="3" t="str">
        <f>IFERROR(__xludf.DUMMYFUNCTION("""COMPUTED_VALUE"""),"วารินชำราบ")</f>
        <v>วารินชำราบ</v>
      </c>
      <c r="AB2129" s="3" t="str">
        <f>IFERROR(__xludf.DUMMYFUNCTION("""COMPUTED_VALUE"""),"อุบลราชธานี")</f>
        <v>อุบลราชธานี</v>
      </c>
      <c r="AC2129" s="3">
        <f>IFERROR(__xludf.DUMMYFUNCTION("""COMPUTED_VALUE"""),34190.0)</f>
        <v>34190</v>
      </c>
      <c r="AD2129" s="3">
        <f>IFERROR(__xludf.DUMMYFUNCTION("""COMPUTED_VALUE"""),0.0)</f>
        <v>0</v>
      </c>
      <c r="AE2129" s="3">
        <f>IFERROR(__xludf.DUMMYFUNCTION("""COMPUTED_VALUE"""),0.0)</f>
        <v>0</v>
      </c>
      <c r="AF2129" s="3" t="str">
        <f>IFERROR(__xludf.DUMMYFUNCTION("""COMPUTED_VALUE"""),"เพรียววารินทร์ชำราบ-41002")</f>
        <v>เพรียววารินทร์ชำราบ-41002</v>
      </c>
      <c r="AG2129" s="3" t="str">
        <f>IFERROR(__xludf.DUMMYFUNCTION("""COMPUTED_VALUE"""),"ตะวันออกเฉียงเหนือ")</f>
        <v>ตะวันออกเฉียงเหนือ</v>
      </c>
      <c r="AH2129" s="3" t="str">
        <f>IFERROR(__xludf.DUMMYFUNCTION("""COMPUTED_VALUE"""),"#N/A")</f>
        <v>#N/A</v>
      </c>
      <c r="AI2129" s="3" t="str">
        <f>IFERROR(__xludf.DUMMYFUNCTION("""COMPUTED_VALUE"""),"Out of warranty")</f>
        <v>Out of warranty</v>
      </c>
      <c r="AJ2129" s="3">
        <f>IFERROR(__xludf.DUMMYFUNCTION("""COMPUTED_VALUE"""),207.0)</f>
        <v>207</v>
      </c>
      <c r="AK2129" s="3"/>
      <c r="AL2129" s="3"/>
    </row>
    <row r="2130" ht="15.75" customHeight="1">
      <c r="A2130" s="1" t="str">
        <f>IFERROR(__xludf.DUMMYFUNCTION("""COMPUTED_VALUE"""),"41003")</f>
        <v>41003</v>
      </c>
      <c r="B2130" s="2">
        <f>IFERROR(__xludf.DUMMYFUNCTION("""COMPUTED_VALUE"""),41003.0)</f>
        <v>41003</v>
      </c>
      <c r="C2130" s="3" t="str">
        <f>IFERROR(__xludf.DUMMYFUNCTION("""COMPUTED_VALUE"""),"เพรียวสุขสวัสดิ์")</f>
        <v>เพรียวสุขสวัสดิ์</v>
      </c>
      <c r="D2130" s="3" t="str">
        <f>IFERROR(__xludf.DUMMYFUNCTION("""COMPUTED_VALUE"""),"BIGC SUKSAWAD PURE")</f>
        <v>BIGC SUKSAWAD PURE</v>
      </c>
      <c r="E2130" s="1" t="str">
        <f>IFERROR(__xludf.DUMMYFUNCTION("""COMPUTED_VALUE"""),"PURE")</f>
        <v>PURE</v>
      </c>
      <c r="F2130" s="1" t="str">
        <f>IFERROR(__xludf.DUMMYFUNCTION("""COMPUTED_VALUE"""),"2010612")</f>
        <v>2010612</v>
      </c>
      <c r="G2130" s="1" t="str">
        <f>IFERROR(__xludf.DUMMYFUNCTION("""COMPUTED_VALUE"""),"น.ส.วรรณพร เกตุเลิศประเสริฐ")</f>
        <v>น.ส.วรรณพร เกตุเลิศประเสริฐ</v>
      </c>
      <c r="H2130" s="1" t="str">
        <f>IFERROR(__xludf.DUMMYFUNCTION("""COMPUTED_VALUE"""),"2010612")</f>
        <v>2010612</v>
      </c>
      <c r="I2130" s="1" t="str">
        <f>IFERROR(__xludf.DUMMYFUNCTION("""COMPUTED_VALUE"""),"น.ส.วรรณพร เกตุเลิศประเสริฐ")</f>
        <v>น.ส.วรรณพร เกตุเลิศประเสริฐ</v>
      </c>
      <c r="J2130" s="3">
        <f>IFERROR(__xludf.DUMMYFUNCTION("""COMPUTED_VALUE"""),2454701.0)</f>
        <v>2454701</v>
      </c>
      <c r="K2130" s="3" t="str">
        <f>IFERROR(__xludf.DUMMYFUNCTION("""COMPUTED_VALUE"""),"นายกานต์ ไชยแสงศรี")</f>
        <v>นายกานต์ ไชยแสงศรี</v>
      </c>
      <c r="L2130" s="1" t="str">
        <f>IFERROR(__xludf.DUMMYFUNCTION("""COMPUTED_VALUE"""),"Hub01-BKK 1")</f>
        <v>Hub01-BKK 1</v>
      </c>
      <c r="M2130" s="1" t="str">
        <f>IFERROR(__xludf.DUMMYFUNCTION("""COMPUTED_VALUE"""),"0909090652")</f>
        <v>0909090652</v>
      </c>
      <c r="N2130" s="3">
        <f>IFERROR(__xludf.DUMMYFUNCTION("""COMPUTED_VALUE"""),11128.0)</f>
        <v>11128</v>
      </c>
      <c r="O2130" s="3" t="str">
        <f>IFERROR(__xludf.DUMMYFUNCTION("""COMPUTED_VALUE"""),"สุขสวัสดิ์")</f>
        <v>สุขสวัสดิ์</v>
      </c>
      <c r="P2130" s="4">
        <f>IFERROR(__xludf.DUMMYFUNCTION("""COMPUTED_VALUE"""),40093.0)</f>
        <v>40093</v>
      </c>
      <c r="Q2130" s="3" t="str">
        <f>IFERROR(__xludf.DUMMYFUNCTION("""COMPUTED_VALUE"""),"A")</f>
        <v>A</v>
      </c>
      <c r="R2130" s="3" t="str">
        <f>IFERROR(__xludf.DUMMYFUNCTION("""COMPUTED_VALUE"""),"Big Format")</f>
        <v>Big Format</v>
      </c>
      <c r="S2130" s="3" t="str">
        <f>IFERROR(__xludf.DUMMYFUNCTION("""COMPUTED_VALUE"""),"PURE")</f>
        <v>PURE</v>
      </c>
      <c r="T2130" s="3" t="str">
        <f>IFERROR(__xludf.DUMMYFUNCTION("""COMPUTED_VALUE"""),"#N/A")</f>
        <v>#N/A</v>
      </c>
      <c r="U2130" s="3" t="str">
        <f>IFERROR(__xludf.DUMMYFUNCTION("""COMPUTED_VALUE"""),"#N/A")</f>
        <v>#N/A</v>
      </c>
      <c r="V2130" s="3" t="str">
        <f>IFERROR(__xludf.DUMMYFUNCTION("""COMPUTED_VALUE"""),"N")</f>
        <v>N</v>
      </c>
      <c r="W2130" s="3">
        <f>IFERROR(__xludf.DUMMYFUNCTION("""COMPUTED_VALUE"""),111128.0)</f>
        <v>111128</v>
      </c>
      <c r="X2130" s="3" t="str">
        <f>IFERROR(__xludf.DUMMYFUNCTION("""COMPUTED_VALUE"""),"94 หมู่ที่ 18 ตำบลบางพึ่ง อำเภอพระประแดง จังหวัดสมุทรปราการ 10130")</f>
        <v>94 หมู่ที่ 18 ตำบลบางพึ่ง อำเภอพระประแดง จังหวัดสมุทรปราการ 10130</v>
      </c>
      <c r="Y2130" s="3"/>
      <c r="Z2130" s="3" t="str">
        <f>IFERROR(__xludf.DUMMYFUNCTION("""COMPUTED_VALUE"""),"บางพึ่ง")</f>
        <v>บางพึ่ง</v>
      </c>
      <c r="AA2130" s="3" t="str">
        <f>IFERROR(__xludf.DUMMYFUNCTION("""COMPUTED_VALUE"""),"พระประแดง")</f>
        <v>พระประแดง</v>
      </c>
      <c r="AB2130" s="3" t="str">
        <f>IFERROR(__xludf.DUMMYFUNCTION("""COMPUTED_VALUE"""),"สมุทรปราการ")</f>
        <v>สมุทรปราการ</v>
      </c>
      <c r="AC2130" s="3">
        <f>IFERROR(__xludf.DUMMYFUNCTION("""COMPUTED_VALUE"""),10130.0)</f>
        <v>10130</v>
      </c>
      <c r="AD2130" s="3">
        <f>IFERROR(__xludf.DUMMYFUNCTION("""COMPUTED_VALUE"""),0.0)</f>
        <v>0</v>
      </c>
      <c r="AE2130" s="3">
        <f>IFERROR(__xludf.DUMMYFUNCTION("""COMPUTED_VALUE"""),0.0)</f>
        <v>0</v>
      </c>
      <c r="AF2130" s="3" t="str">
        <f>IFERROR(__xludf.DUMMYFUNCTION("""COMPUTED_VALUE"""),"เพรียวสุขสวัสดิ์-41003")</f>
        <v>เพรียวสุขสวัสดิ์-41003</v>
      </c>
      <c r="AG2130" s="3" t="str">
        <f>IFERROR(__xludf.DUMMYFUNCTION("""COMPUTED_VALUE"""),"กลาง")</f>
        <v>กลาง</v>
      </c>
      <c r="AH2130" s="3" t="str">
        <f>IFERROR(__xludf.DUMMYFUNCTION("""COMPUTED_VALUE"""),"#N/A")</f>
        <v>#N/A</v>
      </c>
      <c r="AI2130" s="3" t="str">
        <f>IFERROR(__xludf.DUMMYFUNCTION("""COMPUTED_VALUE"""),"Out of warranty")</f>
        <v>Out of warranty</v>
      </c>
      <c r="AJ2130" s="3">
        <f>IFERROR(__xludf.DUMMYFUNCTION("""COMPUTED_VALUE"""),196.0)</f>
        <v>196</v>
      </c>
      <c r="AK2130" s="3"/>
      <c r="AL2130" s="3"/>
    </row>
    <row r="2131" ht="15.75" customHeight="1">
      <c r="A2131" s="1" t="str">
        <f>IFERROR(__xludf.DUMMYFUNCTION("""COMPUTED_VALUE"""),"41004")</f>
        <v>41004</v>
      </c>
      <c r="B2131" s="2">
        <f>IFERROR(__xludf.DUMMYFUNCTION("""COMPUTED_VALUE"""),41004.0)</f>
        <v>41004</v>
      </c>
      <c r="C2131" s="3" t="str">
        <f>IFERROR(__xludf.DUMMYFUNCTION("""COMPUTED_VALUE"""),"เพรียวรัตนาธิเบศร์")</f>
        <v>เพรียวรัตนาธิเบศร์</v>
      </c>
      <c r="D2131" s="3" t="str">
        <f>IFERROR(__xludf.DUMMYFUNCTION("""COMPUTED_VALUE"""),"BIGC RATTANATHIBETH PURE")</f>
        <v>BIGC RATTANATHIBETH PURE</v>
      </c>
      <c r="E2131" s="1" t="str">
        <f>IFERROR(__xludf.DUMMYFUNCTION("""COMPUTED_VALUE"""),"PURE")</f>
        <v>PURE</v>
      </c>
      <c r="F2131" s="1" t="str">
        <f>IFERROR(__xludf.DUMMYFUNCTION("""COMPUTED_VALUE"""),"228469")</f>
        <v>228469</v>
      </c>
      <c r="G2131" s="1" t="str">
        <f>IFERROR(__xludf.DUMMYFUNCTION("""COMPUTED_VALUE"""),"น.ส.บงกช ทำการดี")</f>
        <v>น.ส.บงกช ทำการดี</v>
      </c>
      <c r="H2131" s="1" t="str">
        <f>IFERROR(__xludf.DUMMYFUNCTION("""COMPUTED_VALUE"""),"228469")</f>
        <v>228469</v>
      </c>
      <c r="I2131" s="1" t="str">
        <f>IFERROR(__xludf.DUMMYFUNCTION("""COMPUTED_VALUE"""),"น.ส.บงกช ทำการดี")</f>
        <v>น.ส.บงกช ทำการดี</v>
      </c>
      <c r="J2131" s="3">
        <f>IFERROR(__xludf.DUMMYFUNCTION("""COMPUTED_VALUE"""),295541.0)</f>
        <v>295541</v>
      </c>
      <c r="K2131" s="3" t="str">
        <f>IFERROR(__xludf.DUMMYFUNCTION("""COMPUTED_VALUE"""),"นายรพิพล ศรีมาตย์")</f>
        <v>นายรพิพล ศรีมาตย์</v>
      </c>
      <c r="L2131" s="3" t="str">
        <f>IFERROR(__xludf.DUMMYFUNCTION("""COMPUTED_VALUE"""),"นายรพิพล ศรีมาตย์")</f>
        <v>นายรพิพล ศรีมาตย์</v>
      </c>
      <c r="M2131" s="1" t="str">
        <f>IFERROR(__xludf.DUMMYFUNCTION("""COMPUTED_VALUE"""),"0613966115")</f>
        <v>0613966115</v>
      </c>
      <c r="N2131" s="3">
        <f>IFERROR(__xludf.DUMMYFUNCTION("""COMPUTED_VALUE"""),11114.0)</f>
        <v>11114</v>
      </c>
      <c r="O2131" s="3" t="str">
        <f>IFERROR(__xludf.DUMMYFUNCTION("""COMPUTED_VALUE"""),"รัตนาธิเบศร์")</f>
        <v>รัตนาธิเบศร์</v>
      </c>
      <c r="P2131" s="4">
        <f>IFERROR(__xludf.DUMMYFUNCTION("""COMPUTED_VALUE"""),40094.0)</f>
        <v>40094</v>
      </c>
      <c r="Q2131" s="3" t="str">
        <f>IFERROR(__xludf.DUMMYFUNCTION("""COMPUTED_VALUE"""),"I")</f>
        <v>I</v>
      </c>
      <c r="R2131" s="3" t="str">
        <f>IFERROR(__xludf.DUMMYFUNCTION("""COMPUTED_VALUE"""),"Big Format")</f>
        <v>Big Format</v>
      </c>
      <c r="S2131" s="3" t="str">
        <f>IFERROR(__xludf.DUMMYFUNCTION("""COMPUTED_VALUE"""),"PURE")</f>
        <v>PURE</v>
      </c>
      <c r="T2131" s="3" t="str">
        <f>IFERROR(__xludf.DUMMYFUNCTION("""COMPUTED_VALUE"""),"#N/A")</f>
        <v>#N/A</v>
      </c>
      <c r="U2131" s="3" t="str">
        <f>IFERROR(__xludf.DUMMYFUNCTION("""COMPUTED_VALUE"""),"#N/A")</f>
        <v>#N/A</v>
      </c>
      <c r="V2131" s="3" t="str">
        <f>IFERROR(__xludf.DUMMYFUNCTION("""COMPUTED_VALUE"""),"N")</f>
        <v>N</v>
      </c>
      <c r="W2131" s="3">
        <f>IFERROR(__xludf.DUMMYFUNCTION("""COMPUTED_VALUE"""),111114.0)</f>
        <v>111114</v>
      </c>
      <c r="X2131" s="3" t="str">
        <f>IFERROR(__xludf.DUMMYFUNCTION("""COMPUTED_VALUE"""),"เลขที่ 6 หมู่ที่ 6 ตำบลเสาธงหิน อำเภอบางใหญ่ จังหวัดนนทบุรี 11140")</f>
        <v>เลขที่ 6 หมู่ที่ 6 ตำบลเสาธงหิน อำเภอบางใหญ่ จังหวัดนนทบุรี 11140</v>
      </c>
      <c r="Y2131" s="3"/>
      <c r="Z2131" s="3" t="str">
        <f>IFERROR(__xludf.DUMMYFUNCTION("""COMPUTED_VALUE"""),"หมู่ที่")</f>
        <v>หมู่ที่</v>
      </c>
      <c r="AA2131" s="3" t="str">
        <f>IFERROR(__xludf.DUMMYFUNCTION("""COMPUTED_VALUE"""),"บางใหญ่")</f>
        <v>บางใหญ่</v>
      </c>
      <c r="AB2131" s="3" t="str">
        <f>IFERROR(__xludf.DUMMYFUNCTION("""COMPUTED_VALUE"""),"นนทบุรี")</f>
        <v>นนทบุรี</v>
      </c>
      <c r="AC2131" s="3">
        <f>IFERROR(__xludf.DUMMYFUNCTION("""COMPUTED_VALUE"""),11140.0)</f>
        <v>11140</v>
      </c>
      <c r="AD2131" s="3">
        <f>IFERROR(__xludf.DUMMYFUNCTION("""COMPUTED_VALUE"""),0.0)</f>
        <v>0</v>
      </c>
      <c r="AE2131" s="3">
        <f>IFERROR(__xludf.DUMMYFUNCTION("""COMPUTED_VALUE"""),0.0)</f>
        <v>0</v>
      </c>
      <c r="AF2131" s="3" t="str">
        <f>IFERROR(__xludf.DUMMYFUNCTION("""COMPUTED_VALUE"""),"เพรียวรัตนาธิเบศร์-41004")</f>
        <v>เพรียวรัตนาธิเบศร์-41004</v>
      </c>
      <c r="AG2131" s="3" t="str">
        <f>IFERROR(__xludf.DUMMYFUNCTION("""COMPUTED_VALUE"""),"กลาง")</f>
        <v>กลาง</v>
      </c>
      <c r="AH2131" s="3" t="str">
        <f>IFERROR(__xludf.DUMMYFUNCTION("""COMPUTED_VALUE"""),"#N/A")</f>
        <v>#N/A</v>
      </c>
      <c r="AI2131" s="3" t="str">
        <f>IFERROR(__xludf.DUMMYFUNCTION("""COMPUTED_VALUE"""),"Out of warranty")</f>
        <v>Out of warranty</v>
      </c>
      <c r="AJ2131" s="3">
        <f>IFERROR(__xludf.DUMMYFUNCTION("""COMPUTED_VALUE"""),196.0)</f>
        <v>196</v>
      </c>
      <c r="AK2131" s="3"/>
      <c r="AL2131" s="3"/>
    </row>
    <row r="2132" ht="15.75" customHeight="1">
      <c r="A2132" s="1" t="str">
        <f>IFERROR(__xludf.DUMMYFUNCTION("""COMPUTED_VALUE"""),"41005")</f>
        <v>41005</v>
      </c>
      <c r="B2132" s="2">
        <f>IFERROR(__xludf.DUMMYFUNCTION("""COMPUTED_VALUE"""),41005.0)</f>
        <v>41005</v>
      </c>
      <c r="C2132" s="3" t="str">
        <f>IFERROR(__xludf.DUMMYFUNCTION("""COMPUTED_VALUE"""),"เพรียวสำโรง")</f>
        <v>เพรียวสำโรง</v>
      </c>
      <c r="D2132" s="3" t="str">
        <f>IFERROR(__xludf.DUMMYFUNCTION("""COMPUTED_VALUE"""),"BIGC SAMRONG PURE")</f>
        <v>BIGC SAMRONG PURE</v>
      </c>
      <c r="E2132" s="1" t="str">
        <f>IFERROR(__xludf.DUMMYFUNCTION("""COMPUTED_VALUE"""),"PURE")</f>
        <v>PURE</v>
      </c>
      <c r="F2132" s="1" t="str">
        <f>IFERROR(__xludf.DUMMYFUNCTION("""COMPUTED_VALUE"""),"291435")</f>
        <v>291435</v>
      </c>
      <c r="G2132" s="1" t="str">
        <f>IFERROR(__xludf.DUMMYFUNCTION("""COMPUTED_VALUE"""),"น.ส.สุกัญญา มณีไพโรจน์")</f>
        <v>น.ส.สุกัญญา มณีไพโรจน์</v>
      </c>
      <c r="H2132" s="1" t="str">
        <f>IFERROR(__xludf.DUMMYFUNCTION("""COMPUTED_VALUE"""),"291435")</f>
        <v>291435</v>
      </c>
      <c r="I2132" s="1" t="str">
        <f>IFERROR(__xludf.DUMMYFUNCTION("""COMPUTED_VALUE"""),"น.ส.สุกัญญา มณีไพโรจน์")</f>
        <v>น.ส.สุกัญญา มณีไพโรจน์</v>
      </c>
      <c r="J2132" s="3">
        <f>IFERROR(__xludf.DUMMYFUNCTION("""COMPUTED_VALUE"""),2454716.0)</f>
        <v>2454716</v>
      </c>
      <c r="K2132" s="3" t="str">
        <f>IFERROR(__xludf.DUMMYFUNCTION("""COMPUTED_VALUE"""),"นายโฆษิต วงค์กะโซ่")</f>
        <v>นายโฆษิต วงค์กะโซ่</v>
      </c>
      <c r="L2132" s="1" t="str">
        <f>IFERROR(__xludf.DUMMYFUNCTION("""COMPUTED_VALUE"""),"Hub03-BKK 3")</f>
        <v>Hub03-BKK 3</v>
      </c>
      <c r="M2132" s="1" t="str">
        <f>IFERROR(__xludf.DUMMYFUNCTION("""COMPUTED_VALUE"""),"062-434-5030")</f>
        <v>062-434-5030</v>
      </c>
      <c r="N2132" s="3">
        <f>IFERROR(__xludf.DUMMYFUNCTION("""COMPUTED_VALUE"""),11138.0)</f>
        <v>11138</v>
      </c>
      <c r="O2132" s="3" t="str">
        <f>IFERROR(__xludf.DUMMYFUNCTION("""COMPUTED_VALUE"""),"สำโรง")</f>
        <v>สำโรง</v>
      </c>
      <c r="P2132" s="4">
        <f>IFERROR(__xludf.DUMMYFUNCTION("""COMPUTED_VALUE"""),40095.0)</f>
        <v>40095</v>
      </c>
      <c r="Q2132" s="3" t="str">
        <f>IFERROR(__xludf.DUMMYFUNCTION("""COMPUTED_VALUE"""),"A")</f>
        <v>A</v>
      </c>
      <c r="R2132" s="3" t="str">
        <f>IFERROR(__xludf.DUMMYFUNCTION("""COMPUTED_VALUE"""),"Big Format")</f>
        <v>Big Format</v>
      </c>
      <c r="S2132" s="3" t="str">
        <f>IFERROR(__xludf.DUMMYFUNCTION("""COMPUTED_VALUE"""),"PURE")</f>
        <v>PURE</v>
      </c>
      <c r="T2132" s="3" t="str">
        <f>IFERROR(__xludf.DUMMYFUNCTION("""COMPUTED_VALUE"""),"#N/A")</f>
        <v>#N/A</v>
      </c>
      <c r="U2132" s="3" t="str">
        <f>IFERROR(__xludf.DUMMYFUNCTION("""COMPUTED_VALUE"""),"#N/A")</f>
        <v>#N/A</v>
      </c>
      <c r="V2132" s="3" t="str">
        <f>IFERROR(__xludf.DUMMYFUNCTION("""COMPUTED_VALUE"""),"N")</f>
        <v>N</v>
      </c>
      <c r="W2132" s="3">
        <f>IFERROR(__xludf.DUMMYFUNCTION("""COMPUTED_VALUE"""),111138.0)</f>
        <v>111138</v>
      </c>
      <c r="X2132" s="3" t="str">
        <f>IFERROR(__xludf.DUMMYFUNCTION("""COMPUTED_VALUE"""),"999 หมู่ที่ 1 ถนนสุขุมวิท ตำบลสำโรงเหนือ อำเภอเมืองสมุทรปราการ จังหวัดสมุทรปราการ 10270")</f>
        <v>999 หมู่ที่ 1 ถนนสุขุมวิท ตำบลสำโรงเหนือ อำเภอเมืองสมุทรปราการ จังหวัดสมุทรปราการ 10270</v>
      </c>
      <c r="Y2132" s="3"/>
      <c r="Z2132" s="3" t="str">
        <f>IFERROR(__xludf.DUMMYFUNCTION("""COMPUTED_VALUE"""),"สำโรงเหนือ")</f>
        <v>สำโรงเหนือ</v>
      </c>
      <c r="AA2132" s="3" t="str">
        <f>IFERROR(__xludf.DUMMYFUNCTION("""COMPUTED_VALUE"""),"เมืองสมุทรปราการ")</f>
        <v>เมืองสมุทรปราการ</v>
      </c>
      <c r="AB2132" s="3" t="str">
        <f>IFERROR(__xludf.DUMMYFUNCTION("""COMPUTED_VALUE"""),"สมุทรปราการ")</f>
        <v>สมุทรปราการ</v>
      </c>
      <c r="AC2132" s="3">
        <f>IFERROR(__xludf.DUMMYFUNCTION("""COMPUTED_VALUE"""),10270.0)</f>
        <v>10270</v>
      </c>
      <c r="AD2132" s="3">
        <f>IFERROR(__xludf.DUMMYFUNCTION("""COMPUTED_VALUE"""),0.0)</f>
        <v>0</v>
      </c>
      <c r="AE2132" s="3">
        <f>IFERROR(__xludf.DUMMYFUNCTION("""COMPUTED_VALUE"""),0.0)</f>
        <v>0</v>
      </c>
      <c r="AF2132" s="3" t="str">
        <f>IFERROR(__xludf.DUMMYFUNCTION("""COMPUTED_VALUE"""),"เพรียวสำโรง-41005")</f>
        <v>เพรียวสำโรง-41005</v>
      </c>
      <c r="AG2132" s="3" t="str">
        <f>IFERROR(__xludf.DUMMYFUNCTION("""COMPUTED_VALUE"""),"กลาง")</f>
        <v>กลาง</v>
      </c>
      <c r="AH2132" s="3" t="str">
        <f>IFERROR(__xludf.DUMMYFUNCTION("""COMPUTED_VALUE"""),"#N/A")</f>
        <v>#N/A</v>
      </c>
      <c r="AI2132" s="3" t="str">
        <f>IFERROR(__xludf.DUMMYFUNCTION("""COMPUTED_VALUE"""),"Out of warranty")</f>
        <v>Out of warranty</v>
      </c>
      <c r="AJ2132" s="3">
        <f>IFERROR(__xludf.DUMMYFUNCTION("""COMPUTED_VALUE"""),196.0)</f>
        <v>196</v>
      </c>
      <c r="AK2132" s="3"/>
      <c r="AL2132" s="3"/>
    </row>
    <row r="2133" ht="15.75" customHeight="1">
      <c r="A2133" s="1" t="str">
        <f>IFERROR(__xludf.DUMMYFUNCTION("""COMPUTED_VALUE"""),"41006")</f>
        <v>41006</v>
      </c>
      <c r="B2133" s="2">
        <f>IFERROR(__xludf.DUMMYFUNCTION("""COMPUTED_VALUE"""),41006.0)</f>
        <v>41006</v>
      </c>
      <c r="C2133" s="3" t="str">
        <f>IFERROR(__xludf.DUMMYFUNCTION("""COMPUTED_VALUE"""),"เพรียวธนบุรี-ปากท่อ")</f>
        <v>เพรียวธนบุรี-ปากท่อ</v>
      </c>
      <c r="D2133" s="3" t="str">
        <f>IFERROR(__xludf.DUMMYFUNCTION("""COMPUTED_VALUE"""),"BIGC THONBURI-PAKTOR PURE")</f>
        <v>BIGC THONBURI-PAKTOR PURE</v>
      </c>
      <c r="E2133" s="1" t="str">
        <f>IFERROR(__xludf.DUMMYFUNCTION("""COMPUTED_VALUE"""),"PURE")</f>
        <v>PURE</v>
      </c>
      <c r="F2133" s="1" t="str">
        <f>IFERROR(__xludf.DUMMYFUNCTION("""COMPUTED_VALUE"""),"2010612")</f>
        <v>2010612</v>
      </c>
      <c r="G2133" s="1" t="str">
        <f>IFERROR(__xludf.DUMMYFUNCTION("""COMPUTED_VALUE"""),"น.ส.วรรณพร เกตุเลิศประเสริฐ")</f>
        <v>น.ส.วรรณพร เกตุเลิศประเสริฐ</v>
      </c>
      <c r="H2133" s="1" t="str">
        <f>IFERROR(__xludf.DUMMYFUNCTION("""COMPUTED_VALUE"""),"2010612")</f>
        <v>2010612</v>
      </c>
      <c r="I2133" s="1" t="str">
        <f>IFERROR(__xludf.DUMMYFUNCTION("""COMPUTED_VALUE"""),"น.ส.วรรณพร เกตุเลิศประเสริฐ")</f>
        <v>น.ส.วรรณพร เกตุเลิศประเสริฐ</v>
      </c>
      <c r="J2133" s="3">
        <f>IFERROR(__xludf.DUMMYFUNCTION("""COMPUTED_VALUE"""),2454701.0)</f>
        <v>2454701</v>
      </c>
      <c r="K2133" s="3" t="str">
        <f>IFERROR(__xludf.DUMMYFUNCTION("""COMPUTED_VALUE"""),"นายกานต์ ไชยแสงศรี")</f>
        <v>นายกานต์ ไชยแสงศรี</v>
      </c>
      <c r="L2133" s="1" t="str">
        <f>IFERROR(__xludf.DUMMYFUNCTION("""COMPUTED_VALUE"""),"Hub01-BKK 1")</f>
        <v>Hub01-BKK 1</v>
      </c>
      <c r="M2133" s="1" t="str">
        <f>IFERROR(__xludf.DUMMYFUNCTION("""COMPUTED_VALUE"""),"0909090652")</f>
        <v>0909090652</v>
      </c>
      <c r="N2133" s="3">
        <f>IFERROR(__xludf.DUMMYFUNCTION("""COMPUTED_VALUE"""),11116.0)</f>
        <v>11116</v>
      </c>
      <c r="O2133" s="3" t="str">
        <f>IFERROR(__xludf.DUMMYFUNCTION("""COMPUTED_VALUE"""),"พระราม2")</f>
        <v>พระราม2</v>
      </c>
      <c r="P2133" s="4">
        <f>IFERROR(__xludf.DUMMYFUNCTION("""COMPUTED_VALUE"""),40096.0)</f>
        <v>40096</v>
      </c>
      <c r="Q2133" s="3" t="str">
        <f>IFERROR(__xludf.DUMMYFUNCTION("""COMPUTED_VALUE"""),"A")</f>
        <v>A</v>
      </c>
      <c r="R2133" s="3" t="str">
        <f>IFERROR(__xludf.DUMMYFUNCTION("""COMPUTED_VALUE"""),"Big Format")</f>
        <v>Big Format</v>
      </c>
      <c r="S2133" s="3" t="str">
        <f>IFERROR(__xludf.DUMMYFUNCTION("""COMPUTED_VALUE"""),"PURE")</f>
        <v>PURE</v>
      </c>
      <c r="T2133" s="3" t="str">
        <f>IFERROR(__xludf.DUMMYFUNCTION("""COMPUTED_VALUE"""),"#N/A")</f>
        <v>#N/A</v>
      </c>
      <c r="U2133" s="3" t="str">
        <f>IFERROR(__xludf.DUMMYFUNCTION("""COMPUTED_VALUE"""),"#N/A")</f>
        <v>#N/A</v>
      </c>
      <c r="V2133" s="3" t="str">
        <f>IFERROR(__xludf.DUMMYFUNCTION("""COMPUTED_VALUE"""),"N")</f>
        <v>N</v>
      </c>
      <c r="W2133" s="3">
        <f>IFERROR(__xludf.DUMMYFUNCTION("""COMPUTED_VALUE"""),111116.0)</f>
        <v>111116</v>
      </c>
      <c r="X2133" s="3" t="str">
        <f>IFERROR(__xludf.DUMMYFUNCTION("""COMPUTED_VALUE"""),"127 ถนนพระราม2 แขวงแสมดำ เขตบางขุนเทียน กรุงเทพฯ 10150")</f>
        <v>127 ถนนพระราม2 แขวงแสมดำ เขตบางขุนเทียน กรุงเทพฯ 10150</v>
      </c>
      <c r="Y2133" s="3" t="str">
        <f>IFERROR(__xludf.DUMMYFUNCTION("""COMPUTED_VALUE"""),"ถนนพระราม2")</f>
        <v>ถนนพระราม2</v>
      </c>
      <c r="Z2133" s="3" t="str">
        <f>IFERROR(__xludf.DUMMYFUNCTION("""COMPUTED_VALUE"""),"แสมดำ")</f>
        <v>แสมดำ</v>
      </c>
      <c r="AA2133" s="3" t="str">
        <f>IFERROR(__xludf.DUMMYFUNCTION("""COMPUTED_VALUE"""),"บางขุนเทียน")</f>
        <v>บางขุนเทียน</v>
      </c>
      <c r="AB2133" s="3" t="str">
        <f>IFERROR(__xludf.DUMMYFUNCTION("""COMPUTED_VALUE"""),"กรุงเทพมหานคร")</f>
        <v>กรุงเทพมหานคร</v>
      </c>
      <c r="AC2133" s="3">
        <f>IFERROR(__xludf.DUMMYFUNCTION("""COMPUTED_VALUE"""),10150.0)</f>
        <v>10150</v>
      </c>
      <c r="AD2133" s="3">
        <f>IFERROR(__xludf.DUMMYFUNCTION("""COMPUTED_VALUE"""),0.0)</f>
        <v>0</v>
      </c>
      <c r="AE2133" s="3">
        <f>IFERROR(__xludf.DUMMYFUNCTION("""COMPUTED_VALUE"""),0.0)</f>
        <v>0</v>
      </c>
      <c r="AF2133" s="3" t="str">
        <f>IFERROR(__xludf.DUMMYFUNCTION("""COMPUTED_VALUE"""),"เพรียวธนบุรี-ปากท่อ-41006")</f>
        <v>เพรียวธนบุรี-ปากท่อ-41006</v>
      </c>
      <c r="AG2133" s="3" t="str">
        <f>IFERROR(__xludf.DUMMYFUNCTION("""COMPUTED_VALUE"""),"กลาง")</f>
        <v>กลาง</v>
      </c>
      <c r="AH2133" s="3" t="str">
        <f>IFERROR(__xludf.DUMMYFUNCTION("""COMPUTED_VALUE"""),"#N/A")</f>
        <v>#N/A</v>
      </c>
      <c r="AI2133" s="3" t="str">
        <f>IFERROR(__xludf.DUMMYFUNCTION("""COMPUTED_VALUE"""),"Out of warranty")</f>
        <v>Out of warranty</v>
      </c>
      <c r="AJ2133" s="3">
        <f>IFERROR(__xludf.DUMMYFUNCTION("""COMPUTED_VALUE"""),196.0)</f>
        <v>196</v>
      </c>
      <c r="AK2133" s="3"/>
      <c r="AL2133" s="3"/>
    </row>
    <row r="2134" ht="15.75" customHeight="1">
      <c r="A2134" s="1" t="str">
        <f>IFERROR(__xludf.DUMMYFUNCTION("""COMPUTED_VALUE"""),"41007")</f>
        <v>41007</v>
      </c>
      <c r="B2134" s="2">
        <f>IFERROR(__xludf.DUMMYFUNCTION("""COMPUTED_VALUE"""),41007.0)</f>
        <v>41007</v>
      </c>
      <c r="C2134" s="3" t="str">
        <f>IFERROR(__xludf.DUMMYFUNCTION("""COMPUTED_VALUE"""),"เพรียวโคราช")</f>
        <v>เพรียวโคราช</v>
      </c>
      <c r="D2134" s="3" t="str">
        <f>IFERROR(__xludf.DUMMYFUNCTION("""COMPUTED_VALUE"""),"BIGC KORAT PURE")</f>
        <v>BIGC KORAT PURE</v>
      </c>
      <c r="E2134" s="1" t="str">
        <f>IFERROR(__xludf.DUMMYFUNCTION("""COMPUTED_VALUE"""),"PURE")</f>
        <v>PURE</v>
      </c>
      <c r="F2134" s="1" t="str">
        <f>IFERROR(__xludf.DUMMYFUNCTION("""COMPUTED_VALUE"""),"2083583")</f>
        <v>2083583</v>
      </c>
      <c r="G2134" s="1" t="str">
        <f>IFERROR(__xludf.DUMMYFUNCTION("""COMPUTED_VALUE"""),"นายอรรณพ ศรีแก้ว")</f>
        <v>นายอรรณพ ศรีแก้ว</v>
      </c>
      <c r="H2134" s="1" t="str">
        <f>IFERROR(__xludf.DUMMYFUNCTION("""COMPUTED_VALUE"""),"2083583")</f>
        <v>2083583</v>
      </c>
      <c r="I2134" s="1" t="str">
        <f>IFERROR(__xludf.DUMMYFUNCTION("""COMPUTED_VALUE"""),"นายอรรณพ ศรีแก้ว")</f>
        <v>นายอรรณพ ศรีแก้ว</v>
      </c>
      <c r="J2134" s="3">
        <f>IFERROR(__xludf.DUMMYFUNCTION("""COMPUTED_VALUE"""),33317.0)</f>
        <v>33317</v>
      </c>
      <c r="K2134" s="3" t="str">
        <f>IFERROR(__xludf.DUMMYFUNCTION("""COMPUTED_VALUE"""),"นายอาณัติ เพชรภาน")</f>
        <v>นายอาณัติ เพชรภาน</v>
      </c>
      <c r="L2134" s="1" t="str">
        <f>IFERROR(__xludf.DUMMYFUNCTION("""COMPUTED_VALUE"""),"Hub10-NE 2")</f>
        <v>Hub10-NE 2</v>
      </c>
      <c r="M2134" s="1" t="str">
        <f>IFERROR(__xludf.DUMMYFUNCTION("""COMPUTED_VALUE"""),"0644791409")</f>
        <v>0644791409</v>
      </c>
      <c r="N2134" s="3">
        <f>IFERROR(__xludf.DUMMYFUNCTION("""COMPUTED_VALUE"""),11111.0)</f>
        <v>11111</v>
      </c>
      <c r="O2134" s="3" t="str">
        <f>IFERROR(__xludf.DUMMYFUNCTION("""COMPUTED_VALUE"""),"โคราช")</f>
        <v>โคราช</v>
      </c>
      <c r="P2134" s="4">
        <f>IFERROR(__xludf.DUMMYFUNCTION("""COMPUTED_VALUE"""),40099.0)</f>
        <v>40099</v>
      </c>
      <c r="Q2134" s="3" t="str">
        <f>IFERROR(__xludf.DUMMYFUNCTION("""COMPUTED_VALUE"""),"A")</f>
        <v>A</v>
      </c>
      <c r="R2134" s="3" t="str">
        <f>IFERROR(__xludf.DUMMYFUNCTION("""COMPUTED_VALUE"""),"Big Format")</f>
        <v>Big Format</v>
      </c>
      <c r="S2134" s="3" t="str">
        <f>IFERROR(__xludf.DUMMYFUNCTION("""COMPUTED_VALUE"""),"PURE")</f>
        <v>PURE</v>
      </c>
      <c r="T2134" s="3" t="str">
        <f>IFERROR(__xludf.DUMMYFUNCTION("""COMPUTED_VALUE"""),"#N/A")</f>
        <v>#N/A</v>
      </c>
      <c r="U2134" s="3" t="str">
        <f>IFERROR(__xludf.DUMMYFUNCTION("""COMPUTED_VALUE"""),"#N/A")</f>
        <v>#N/A</v>
      </c>
      <c r="V2134" s="3" t="str">
        <f>IFERROR(__xludf.DUMMYFUNCTION("""COMPUTED_VALUE"""),"N")</f>
        <v>N</v>
      </c>
      <c r="W2134" s="3">
        <f>IFERROR(__xludf.DUMMYFUNCTION("""COMPUTED_VALUE"""),111111.0)</f>
        <v>111111</v>
      </c>
      <c r="X2134" s="3" t="str">
        <f>IFERROR(__xludf.DUMMYFUNCTION("""COMPUTED_VALUE"""),"118 ถ.มิตรภาพ-หนองคาย ต.ในเมือง อ.เมือง จังหวัดนครราชสีมา 30000")</f>
        <v>118 ถ.มิตรภาพ-หนองคาย ต.ในเมือง อ.เมือง จังหวัดนครราชสีมา 30000</v>
      </c>
      <c r="Y2134" s="3" t="str">
        <f>IFERROR(__xludf.DUMMYFUNCTION("""COMPUTED_VALUE"""),"ถ.มิตรภาพ-หนองคาย")</f>
        <v>ถ.มิตรภาพ-หนองคาย</v>
      </c>
      <c r="Z2134" s="3" t="str">
        <f>IFERROR(__xludf.DUMMYFUNCTION("""COMPUTED_VALUE"""),"ในเมือง")</f>
        <v>ในเมือง</v>
      </c>
      <c r="AA2134" s="3" t="str">
        <f>IFERROR(__xludf.DUMMYFUNCTION("""COMPUTED_VALUE"""),"เมือง")</f>
        <v>เมือง</v>
      </c>
      <c r="AB2134" s="3" t="str">
        <f>IFERROR(__xludf.DUMMYFUNCTION("""COMPUTED_VALUE"""),"นครราชสีมา")</f>
        <v>นครราชสีมา</v>
      </c>
      <c r="AC2134" s="3">
        <f>IFERROR(__xludf.DUMMYFUNCTION("""COMPUTED_VALUE"""),30000.0)</f>
        <v>30000</v>
      </c>
      <c r="AD2134" s="3">
        <f>IFERROR(__xludf.DUMMYFUNCTION("""COMPUTED_VALUE"""),0.0)</f>
        <v>0</v>
      </c>
      <c r="AE2134" s="3">
        <f>IFERROR(__xludf.DUMMYFUNCTION("""COMPUTED_VALUE"""),0.0)</f>
        <v>0</v>
      </c>
      <c r="AF2134" s="3" t="str">
        <f>IFERROR(__xludf.DUMMYFUNCTION("""COMPUTED_VALUE"""),"เพรียวโคราช-41007")</f>
        <v>เพรียวโคราช-41007</v>
      </c>
      <c r="AG2134" s="3" t="str">
        <f>IFERROR(__xludf.DUMMYFUNCTION("""COMPUTED_VALUE"""),"ตะวันออกเฉียงเหนือ")</f>
        <v>ตะวันออกเฉียงเหนือ</v>
      </c>
      <c r="AH2134" s="3" t="str">
        <f>IFERROR(__xludf.DUMMYFUNCTION("""COMPUTED_VALUE"""),"#N/A")</f>
        <v>#N/A</v>
      </c>
      <c r="AI2134" s="3" t="str">
        <f>IFERROR(__xludf.DUMMYFUNCTION("""COMPUTED_VALUE"""),"Out of warranty")</f>
        <v>Out of warranty</v>
      </c>
      <c r="AJ2134" s="3">
        <f>IFERROR(__xludf.DUMMYFUNCTION("""COMPUTED_VALUE"""),196.0)</f>
        <v>196</v>
      </c>
      <c r="AK2134" s="3"/>
      <c r="AL2134" s="3"/>
    </row>
    <row r="2135" ht="15.75" customHeight="1">
      <c r="A2135" s="1" t="str">
        <f>IFERROR(__xludf.DUMMYFUNCTION("""COMPUTED_VALUE"""),"41008")</f>
        <v>41008</v>
      </c>
      <c r="B2135" s="2">
        <f>IFERROR(__xludf.DUMMYFUNCTION("""COMPUTED_VALUE"""),41008.0)</f>
        <v>41008</v>
      </c>
      <c r="C2135" s="3" t="str">
        <f>IFERROR(__xludf.DUMMYFUNCTION("""COMPUTED_VALUE"""),"เพรียวอุดรธานี")</f>
        <v>เพรียวอุดรธานี</v>
      </c>
      <c r="D2135" s="3" t="str">
        <f>IFERROR(__xludf.DUMMYFUNCTION("""COMPUTED_VALUE"""),"BIGC UDONTHANI PURE")</f>
        <v>BIGC UDONTHANI PURE</v>
      </c>
      <c r="E2135" s="1" t="str">
        <f>IFERROR(__xludf.DUMMYFUNCTION("""COMPUTED_VALUE"""),"PURE")</f>
        <v>PURE</v>
      </c>
      <c r="F2135" s="1" t="str">
        <f>IFERROR(__xludf.DUMMYFUNCTION("""COMPUTED_VALUE"""),"2083583")</f>
        <v>2083583</v>
      </c>
      <c r="G2135" s="1" t="str">
        <f>IFERROR(__xludf.DUMMYFUNCTION("""COMPUTED_VALUE"""),"นายอรรณพ ศรีแก้ว")</f>
        <v>นายอรรณพ ศรีแก้ว</v>
      </c>
      <c r="H2135" s="1" t="str">
        <f>IFERROR(__xludf.DUMMYFUNCTION("""COMPUTED_VALUE"""),"2083583")</f>
        <v>2083583</v>
      </c>
      <c r="I2135" s="1" t="str">
        <f>IFERROR(__xludf.DUMMYFUNCTION("""COMPUTED_VALUE"""),"นายอรรณพ ศรีแก้ว")</f>
        <v>นายอรรณพ ศรีแก้ว</v>
      </c>
      <c r="J2135" s="3">
        <f>IFERROR(__xludf.DUMMYFUNCTION("""COMPUTED_VALUE"""),295801.0)</f>
        <v>295801</v>
      </c>
      <c r="K2135" s="3" t="str">
        <f>IFERROR(__xludf.DUMMYFUNCTION("""COMPUTED_VALUE"""),"นายอรรถพล เหล่าสุวงศ์")</f>
        <v>นายอรรถพล เหล่าสุวงศ์</v>
      </c>
      <c r="L2135" s="1" t="str">
        <f>IFERROR(__xludf.DUMMYFUNCTION("""COMPUTED_VALUE"""),"Hub09-NE 1")</f>
        <v>Hub09-NE 1</v>
      </c>
      <c r="M2135" s="1" t="str">
        <f>IFERROR(__xludf.DUMMYFUNCTION("""COMPUTED_VALUE"""),"0655090879")</f>
        <v>0655090879</v>
      </c>
      <c r="N2135" s="3">
        <f>IFERROR(__xludf.DUMMYFUNCTION("""COMPUTED_VALUE"""),11109.0)</f>
        <v>11109</v>
      </c>
      <c r="O2135" s="3" t="str">
        <f>IFERROR(__xludf.DUMMYFUNCTION("""COMPUTED_VALUE"""),"อุดรธานี")</f>
        <v>อุดรธานี</v>
      </c>
      <c r="P2135" s="4">
        <f>IFERROR(__xludf.DUMMYFUNCTION("""COMPUTED_VALUE"""),40101.0)</f>
        <v>40101</v>
      </c>
      <c r="Q2135" s="3" t="str">
        <f>IFERROR(__xludf.DUMMYFUNCTION("""COMPUTED_VALUE"""),"A")</f>
        <v>A</v>
      </c>
      <c r="R2135" s="3" t="str">
        <f>IFERROR(__xludf.DUMMYFUNCTION("""COMPUTED_VALUE"""),"Big Format")</f>
        <v>Big Format</v>
      </c>
      <c r="S2135" s="3" t="str">
        <f>IFERROR(__xludf.DUMMYFUNCTION("""COMPUTED_VALUE"""),"PURE")</f>
        <v>PURE</v>
      </c>
      <c r="T2135" s="3" t="str">
        <f>IFERROR(__xludf.DUMMYFUNCTION("""COMPUTED_VALUE"""),"#N/A")</f>
        <v>#N/A</v>
      </c>
      <c r="U2135" s="3" t="str">
        <f>IFERROR(__xludf.DUMMYFUNCTION("""COMPUTED_VALUE"""),"#N/A")</f>
        <v>#N/A</v>
      </c>
      <c r="V2135" s="3" t="str">
        <f>IFERROR(__xludf.DUMMYFUNCTION("""COMPUTED_VALUE"""),"N")</f>
        <v>N</v>
      </c>
      <c r="W2135" s="3">
        <f>IFERROR(__xludf.DUMMYFUNCTION("""COMPUTED_VALUE"""),111109.0)</f>
        <v>111109</v>
      </c>
      <c r="X2135" s="3" t="str">
        <f>IFERROR(__xludf.DUMMYFUNCTION("""COMPUTED_VALUE"""),"415 หมู่ที่ 3 ตำบลหมากแข้ง อำเภอเมืองอุดรธานี จังหวัดอุดรธานี 41000")</f>
        <v>415 หมู่ที่ 3 ตำบลหมากแข้ง อำเภอเมืองอุดรธานี จังหวัดอุดรธานี 41000</v>
      </c>
      <c r="Y2135" s="3"/>
      <c r="Z2135" s="3" t="str">
        <f>IFERROR(__xludf.DUMMYFUNCTION("""COMPUTED_VALUE"""),"หมากแข้ง")</f>
        <v>หมากแข้ง</v>
      </c>
      <c r="AA2135" s="3" t="str">
        <f>IFERROR(__xludf.DUMMYFUNCTION("""COMPUTED_VALUE"""),"เมือง")</f>
        <v>เมือง</v>
      </c>
      <c r="AB2135" s="3" t="str">
        <f>IFERROR(__xludf.DUMMYFUNCTION("""COMPUTED_VALUE"""),"อุดรธานี")</f>
        <v>อุดรธานี</v>
      </c>
      <c r="AC2135" s="3">
        <f>IFERROR(__xludf.DUMMYFUNCTION("""COMPUTED_VALUE"""),41000.0)</f>
        <v>41000</v>
      </c>
      <c r="AD2135" s="3">
        <f>IFERROR(__xludf.DUMMYFUNCTION("""COMPUTED_VALUE"""),0.0)</f>
        <v>0</v>
      </c>
      <c r="AE2135" s="3">
        <f>IFERROR(__xludf.DUMMYFUNCTION("""COMPUTED_VALUE"""),0.0)</f>
        <v>0</v>
      </c>
      <c r="AF2135" s="3" t="str">
        <f>IFERROR(__xludf.DUMMYFUNCTION("""COMPUTED_VALUE"""),"เพรียวอุดรธานี-41008")</f>
        <v>เพรียวอุดรธานี-41008</v>
      </c>
      <c r="AG2135" s="3" t="str">
        <f>IFERROR(__xludf.DUMMYFUNCTION("""COMPUTED_VALUE"""),"ตะวันออกเฉียงเหนือ")</f>
        <v>ตะวันออกเฉียงเหนือ</v>
      </c>
      <c r="AH2135" s="3" t="str">
        <f>IFERROR(__xludf.DUMMYFUNCTION("""COMPUTED_VALUE"""),"#N/A")</f>
        <v>#N/A</v>
      </c>
      <c r="AI2135" s="3" t="str">
        <f>IFERROR(__xludf.DUMMYFUNCTION("""COMPUTED_VALUE"""),"Out of warranty")</f>
        <v>Out of warranty</v>
      </c>
      <c r="AJ2135" s="3">
        <f>IFERROR(__xludf.DUMMYFUNCTION("""COMPUTED_VALUE"""),196.0)</f>
        <v>196</v>
      </c>
      <c r="AK2135" s="3"/>
      <c r="AL2135" s="3"/>
    </row>
    <row r="2136" ht="15.75" customHeight="1">
      <c r="A2136" s="1" t="str">
        <f>IFERROR(__xludf.DUMMYFUNCTION("""COMPUTED_VALUE"""),"41009")</f>
        <v>41009</v>
      </c>
      <c r="B2136" s="2">
        <f>IFERROR(__xludf.DUMMYFUNCTION("""COMPUTED_VALUE"""),41009.0)</f>
        <v>41009</v>
      </c>
      <c r="C2136" s="3" t="str">
        <f>IFERROR(__xludf.DUMMYFUNCTION("""COMPUTED_VALUE"""),"เพรียวขอนแก่น")</f>
        <v>เพรียวขอนแก่น</v>
      </c>
      <c r="D2136" s="3" t="str">
        <f>IFERROR(__xludf.DUMMYFUNCTION("""COMPUTED_VALUE"""),"BIGC KHONKAEN PURE")</f>
        <v>BIGC KHONKAEN PURE</v>
      </c>
      <c r="E2136" s="1" t="str">
        <f>IFERROR(__xludf.DUMMYFUNCTION("""COMPUTED_VALUE"""),"PURE")</f>
        <v>PURE</v>
      </c>
      <c r="F2136" s="1" t="str">
        <f>IFERROR(__xludf.DUMMYFUNCTION("""COMPUTED_VALUE"""),"2083583")</f>
        <v>2083583</v>
      </c>
      <c r="G2136" s="1" t="str">
        <f>IFERROR(__xludf.DUMMYFUNCTION("""COMPUTED_VALUE"""),"นายอรรณพ ศรีแก้ว")</f>
        <v>นายอรรณพ ศรีแก้ว</v>
      </c>
      <c r="H2136" s="1" t="str">
        <f>IFERROR(__xludf.DUMMYFUNCTION("""COMPUTED_VALUE"""),"2083583")</f>
        <v>2083583</v>
      </c>
      <c r="I2136" s="1" t="str">
        <f>IFERROR(__xludf.DUMMYFUNCTION("""COMPUTED_VALUE"""),"นายอรรณพ ศรีแก้ว")</f>
        <v>นายอรรณพ ศรีแก้ว</v>
      </c>
      <c r="J2136" s="3">
        <f>IFERROR(__xludf.DUMMYFUNCTION("""COMPUTED_VALUE"""),295801.0)</f>
        <v>295801</v>
      </c>
      <c r="K2136" s="3" t="str">
        <f>IFERROR(__xludf.DUMMYFUNCTION("""COMPUTED_VALUE"""),"นายอรรถพล เหล่าสุวงศ์")</f>
        <v>นายอรรถพล เหล่าสุวงศ์</v>
      </c>
      <c r="L2136" s="1" t="str">
        <f>IFERROR(__xludf.DUMMYFUNCTION("""COMPUTED_VALUE"""),"Hub09-NE 1")</f>
        <v>Hub09-NE 1</v>
      </c>
      <c r="M2136" s="1" t="str">
        <f>IFERROR(__xludf.DUMMYFUNCTION("""COMPUTED_VALUE"""),"0655090879")</f>
        <v>0655090879</v>
      </c>
      <c r="N2136" s="3">
        <f>IFERROR(__xludf.DUMMYFUNCTION("""COMPUTED_VALUE"""),11110.0)</f>
        <v>11110</v>
      </c>
      <c r="O2136" s="3" t="str">
        <f>IFERROR(__xludf.DUMMYFUNCTION("""COMPUTED_VALUE"""),"ขอนแก่น")</f>
        <v>ขอนแก่น</v>
      </c>
      <c r="P2136" s="4">
        <f>IFERROR(__xludf.DUMMYFUNCTION("""COMPUTED_VALUE"""),40102.0)</f>
        <v>40102</v>
      </c>
      <c r="Q2136" s="3" t="str">
        <f>IFERROR(__xludf.DUMMYFUNCTION("""COMPUTED_VALUE"""),"A")</f>
        <v>A</v>
      </c>
      <c r="R2136" s="3" t="str">
        <f>IFERROR(__xludf.DUMMYFUNCTION("""COMPUTED_VALUE"""),"Big Format")</f>
        <v>Big Format</v>
      </c>
      <c r="S2136" s="3" t="str">
        <f>IFERROR(__xludf.DUMMYFUNCTION("""COMPUTED_VALUE"""),"PURE")</f>
        <v>PURE</v>
      </c>
      <c r="T2136" s="3" t="str">
        <f>IFERROR(__xludf.DUMMYFUNCTION("""COMPUTED_VALUE"""),"#N/A")</f>
        <v>#N/A</v>
      </c>
      <c r="U2136" s="3" t="str">
        <f>IFERROR(__xludf.DUMMYFUNCTION("""COMPUTED_VALUE"""),"#N/A")</f>
        <v>#N/A</v>
      </c>
      <c r="V2136" s="3" t="str">
        <f>IFERROR(__xludf.DUMMYFUNCTION("""COMPUTED_VALUE"""),"N")</f>
        <v>N</v>
      </c>
      <c r="W2136" s="3">
        <f>IFERROR(__xludf.DUMMYFUNCTION("""COMPUTED_VALUE"""),110002.0)</f>
        <v>110002</v>
      </c>
      <c r="X2136" s="3" t="str">
        <f>IFERROR(__xludf.DUMMYFUNCTION("""COMPUTED_VALUE"""),"290/1 หมู่ 17 ต.ในเมือง อ.เมือง จ.ขอนแก่น 40000")</f>
        <v>290/1 หมู่ 17 ต.ในเมือง อ.เมือง จ.ขอนแก่น 40000</v>
      </c>
      <c r="Y2136" s="3"/>
      <c r="Z2136" s="3" t="str">
        <f>IFERROR(__xludf.DUMMYFUNCTION("""COMPUTED_VALUE"""),"ในเมือง")</f>
        <v>ในเมือง</v>
      </c>
      <c r="AA2136" s="3" t="str">
        <f>IFERROR(__xludf.DUMMYFUNCTION("""COMPUTED_VALUE"""),"เมือง")</f>
        <v>เมือง</v>
      </c>
      <c r="AB2136" s="3" t="str">
        <f>IFERROR(__xludf.DUMMYFUNCTION("""COMPUTED_VALUE"""),"ขอนแก่น")</f>
        <v>ขอนแก่น</v>
      </c>
      <c r="AC2136" s="3">
        <f>IFERROR(__xludf.DUMMYFUNCTION("""COMPUTED_VALUE"""),40000.0)</f>
        <v>40000</v>
      </c>
      <c r="AD2136" s="3">
        <f>IFERROR(__xludf.DUMMYFUNCTION("""COMPUTED_VALUE"""),0.0)</f>
        <v>0</v>
      </c>
      <c r="AE2136" s="3">
        <f>IFERROR(__xludf.DUMMYFUNCTION("""COMPUTED_VALUE"""),0.0)</f>
        <v>0</v>
      </c>
      <c r="AF2136" s="3" t="str">
        <f>IFERROR(__xludf.DUMMYFUNCTION("""COMPUTED_VALUE"""),"เพรียวขอนแก่น-41009")</f>
        <v>เพรียวขอนแก่น-41009</v>
      </c>
      <c r="AG2136" s="3" t="str">
        <f>IFERROR(__xludf.DUMMYFUNCTION("""COMPUTED_VALUE"""),"ตะวันออกเฉียงเหนือ")</f>
        <v>ตะวันออกเฉียงเหนือ</v>
      </c>
      <c r="AH2136" s="3" t="str">
        <f>IFERROR(__xludf.DUMMYFUNCTION("""COMPUTED_VALUE"""),"#N/A")</f>
        <v>#N/A</v>
      </c>
      <c r="AI2136" s="3" t="str">
        <f>IFERROR(__xludf.DUMMYFUNCTION("""COMPUTED_VALUE"""),"Out of warranty")</f>
        <v>Out of warranty</v>
      </c>
      <c r="AJ2136" s="3">
        <f>IFERROR(__xludf.DUMMYFUNCTION("""COMPUTED_VALUE"""),196.0)</f>
        <v>196</v>
      </c>
      <c r="AK2136" s="3"/>
      <c r="AL2136" s="3"/>
    </row>
    <row r="2137" ht="15.75" customHeight="1">
      <c r="A2137" s="1" t="str">
        <f>IFERROR(__xludf.DUMMYFUNCTION("""COMPUTED_VALUE"""),"41010")</f>
        <v>41010</v>
      </c>
      <c r="B2137" s="2">
        <f>IFERROR(__xludf.DUMMYFUNCTION("""COMPUTED_VALUE"""),41010.0)</f>
        <v>41010</v>
      </c>
      <c r="C2137" s="3" t="str">
        <f>IFERROR(__xludf.DUMMYFUNCTION("""COMPUTED_VALUE"""),"เพรียวเชียงราย")</f>
        <v>เพรียวเชียงราย</v>
      </c>
      <c r="D2137" s="3" t="str">
        <f>IFERROR(__xludf.DUMMYFUNCTION("""COMPUTED_VALUE"""),"BIGC CHIANG RAI PURE")</f>
        <v>BIGC CHIANG RAI PURE</v>
      </c>
      <c r="E2137" s="1" t="str">
        <f>IFERROR(__xludf.DUMMYFUNCTION("""COMPUTED_VALUE"""),"PURE")</f>
        <v>PURE</v>
      </c>
      <c r="F2137" s="1" t="str">
        <f>IFERROR(__xludf.DUMMYFUNCTION("""COMPUTED_VALUE"""),"2082102")</f>
        <v>2082102</v>
      </c>
      <c r="G2137" s="1" t="str">
        <f>IFERROR(__xludf.DUMMYFUNCTION("""COMPUTED_VALUE"""),"น.ส.วัชรา มหาวันแจ่ม")</f>
        <v>น.ส.วัชรา มหาวันแจ่ม</v>
      </c>
      <c r="H2137" s="1" t="str">
        <f>IFERROR(__xludf.DUMMYFUNCTION("""COMPUTED_VALUE"""),"2082102")</f>
        <v>2082102</v>
      </c>
      <c r="I2137" s="1" t="str">
        <f>IFERROR(__xludf.DUMMYFUNCTION("""COMPUTED_VALUE"""),"น.ส.วัชรา มหาวันแจ่ม")</f>
        <v>น.ส.วัชรา มหาวันแจ่ม</v>
      </c>
      <c r="J2137" s="3">
        <f>IFERROR(__xludf.DUMMYFUNCTION("""COMPUTED_VALUE"""),348.0)</f>
        <v>348</v>
      </c>
      <c r="K2137" s="3" t="str">
        <f>IFERROR(__xludf.DUMMYFUNCTION("""COMPUTED_VALUE"""),"นายธีรนันท์ ไม้สนธิ์")</f>
        <v>นายธีรนันท์ ไม้สนธิ์</v>
      </c>
      <c r="L2137" s="1" t="str">
        <f>IFERROR(__xludf.DUMMYFUNCTION("""COMPUTED_VALUE"""),"Hub07-North")</f>
        <v>Hub07-North</v>
      </c>
      <c r="M2137" s="1" t="str">
        <f>IFERROR(__xludf.DUMMYFUNCTION("""COMPUTED_VALUE"""),"0614175866")</f>
        <v>0614175866</v>
      </c>
      <c r="N2137" s="3">
        <f>IFERROR(__xludf.DUMMYFUNCTION("""COMPUTED_VALUE"""),11117.0)</f>
        <v>11117</v>
      </c>
      <c r="O2137" s="3" t="str">
        <f>IFERROR(__xludf.DUMMYFUNCTION("""COMPUTED_VALUE"""),"เชียงราย")</f>
        <v>เชียงราย</v>
      </c>
      <c r="P2137" s="4">
        <f>IFERROR(__xludf.DUMMYFUNCTION("""COMPUTED_VALUE"""),40108.0)</f>
        <v>40108</v>
      </c>
      <c r="Q2137" s="3" t="str">
        <f>IFERROR(__xludf.DUMMYFUNCTION("""COMPUTED_VALUE"""),"A")</f>
        <v>A</v>
      </c>
      <c r="R2137" s="3" t="str">
        <f>IFERROR(__xludf.DUMMYFUNCTION("""COMPUTED_VALUE"""),"Big Format")</f>
        <v>Big Format</v>
      </c>
      <c r="S2137" s="3" t="str">
        <f>IFERROR(__xludf.DUMMYFUNCTION("""COMPUTED_VALUE"""),"PURE")</f>
        <v>PURE</v>
      </c>
      <c r="T2137" s="3" t="str">
        <f>IFERROR(__xludf.DUMMYFUNCTION("""COMPUTED_VALUE"""),"#N/A")</f>
        <v>#N/A</v>
      </c>
      <c r="U2137" s="3" t="str">
        <f>IFERROR(__xludf.DUMMYFUNCTION("""COMPUTED_VALUE"""),"#N/A")</f>
        <v>#N/A</v>
      </c>
      <c r="V2137" s="3" t="str">
        <f>IFERROR(__xludf.DUMMYFUNCTION("""COMPUTED_VALUE"""),"N")</f>
        <v>N</v>
      </c>
      <c r="W2137" s="3">
        <f>IFERROR(__xludf.DUMMYFUNCTION("""COMPUTED_VALUE"""),111117.0)</f>
        <v>111117</v>
      </c>
      <c r="X2137" s="3" t="str">
        <f>IFERROR(__xludf.DUMMYFUNCTION("""COMPUTED_VALUE"""),"184 หมู่ที่ 25 ตำบลรอบเวียง อำเภอเมืองเชียงราย จังหวัดเชียงราย 57000")</f>
        <v>184 หมู่ที่ 25 ตำบลรอบเวียง อำเภอเมืองเชียงราย จังหวัดเชียงราย 57000</v>
      </c>
      <c r="Y2137" s="3"/>
      <c r="Z2137" s="3" t="str">
        <f>IFERROR(__xludf.DUMMYFUNCTION("""COMPUTED_VALUE"""),"รอบเวียง")</f>
        <v>รอบเวียง</v>
      </c>
      <c r="AA2137" s="3" t="str">
        <f>IFERROR(__xludf.DUMMYFUNCTION("""COMPUTED_VALUE"""),"เมือง")</f>
        <v>เมือง</v>
      </c>
      <c r="AB2137" s="3" t="str">
        <f>IFERROR(__xludf.DUMMYFUNCTION("""COMPUTED_VALUE"""),"เชียงราย")</f>
        <v>เชียงราย</v>
      </c>
      <c r="AC2137" s="3">
        <f>IFERROR(__xludf.DUMMYFUNCTION("""COMPUTED_VALUE"""),57000.0)</f>
        <v>57000</v>
      </c>
      <c r="AD2137" s="3">
        <f>IFERROR(__xludf.DUMMYFUNCTION("""COMPUTED_VALUE"""),0.0)</f>
        <v>0</v>
      </c>
      <c r="AE2137" s="3">
        <f>IFERROR(__xludf.DUMMYFUNCTION("""COMPUTED_VALUE"""),0.0)</f>
        <v>0</v>
      </c>
      <c r="AF2137" s="3" t="str">
        <f>IFERROR(__xludf.DUMMYFUNCTION("""COMPUTED_VALUE"""),"เพรียวเชียงราย-41010")</f>
        <v>เพรียวเชียงราย-41010</v>
      </c>
      <c r="AG2137" s="3" t="str">
        <f>IFERROR(__xludf.DUMMYFUNCTION("""COMPUTED_VALUE"""),"เหนือ")</f>
        <v>เหนือ</v>
      </c>
      <c r="AH2137" s="3" t="str">
        <f>IFERROR(__xludf.DUMMYFUNCTION("""COMPUTED_VALUE"""),"#N/A")</f>
        <v>#N/A</v>
      </c>
      <c r="AI2137" s="3" t="str">
        <f>IFERROR(__xludf.DUMMYFUNCTION("""COMPUTED_VALUE"""),"Out of warranty")</f>
        <v>Out of warranty</v>
      </c>
      <c r="AJ2137" s="3">
        <f>IFERROR(__xludf.DUMMYFUNCTION("""COMPUTED_VALUE"""),195.0)</f>
        <v>195</v>
      </c>
      <c r="AK2137" s="3"/>
      <c r="AL2137" s="3"/>
    </row>
    <row r="2138" ht="15.75" customHeight="1">
      <c r="A2138" s="1" t="str">
        <f>IFERROR(__xludf.DUMMYFUNCTION("""COMPUTED_VALUE"""),"41011")</f>
        <v>41011</v>
      </c>
      <c r="B2138" s="2">
        <f>IFERROR(__xludf.DUMMYFUNCTION("""COMPUTED_VALUE"""),41011.0)</f>
        <v>41011</v>
      </c>
      <c r="C2138" s="3" t="str">
        <f>IFERROR(__xludf.DUMMYFUNCTION("""COMPUTED_VALUE"""),"PURE พิษณุโลก")</f>
        <v>PURE พิษณุโลก</v>
      </c>
      <c r="D2138" s="3" t="str">
        <f>IFERROR(__xludf.DUMMYFUNCTION("""COMPUTED_VALUE"""),"BIGC PHITSANULOK PURE")</f>
        <v>BIGC PHITSANULOK PURE</v>
      </c>
      <c r="E2138" s="1" t="str">
        <f>IFERROR(__xludf.DUMMYFUNCTION("""COMPUTED_VALUE"""),"PURE")</f>
        <v>PURE</v>
      </c>
      <c r="F2138" s="1" t="str">
        <f>IFERROR(__xludf.DUMMYFUNCTION("""COMPUTED_VALUE"""),"2082102")</f>
        <v>2082102</v>
      </c>
      <c r="G2138" s="1" t="str">
        <f>IFERROR(__xludf.DUMMYFUNCTION("""COMPUTED_VALUE"""),"น.ส.วัชรา มหาวันแจ่ม")</f>
        <v>น.ส.วัชรา มหาวันแจ่ม</v>
      </c>
      <c r="H2138" s="1" t="str">
        <f>IFERROR(__xludf.DUMMYFUNCTION("""COMPUTED_VALUE"""),"2082102")</f>
        <v>2082102</v>
      </c>
      <c r="I2138" s="1" t="str">
        <f>IFERROR(__xludf.DUMMYFUNCTION("""COMPUTED_VALUE"""),"น.ส.วัชรา มหาวันแจ่ม")</f>
        <v>น.ส.วัชรา มหาวันแจ่ม</v>
      </c>
      <c r="J2138" s="3">
        <f>IFERROR(__xludf.DUMMYFUNCTION("""COMPUTED_VALUE"""),348.0)</f>
        <v>348</v>
      </c>
      <c r="K2138" s="3" t="str">
        <f>IFERROR(__xludf.DUMMYFUNCTION("""COMPUTED_VALUE"""),"นายธีรนันท์ ไม้สนธิ์")</f>
        <v>นายธีรนันท์ ไม้สนธิ์</v>
      </c>
      <c r="L2138" s="1" t="str">
        <f>IFERROR(__xludf.DUMMYFUNCTION("""COMPUTED_VALUE"""),"Hub07-North")</f>
        <v>Hub07-North</v>
      </c>
      <c r="M2138" s="1" t="str">
        <f>IFERROR(__xludf.DUMMYFUNCTION("""COMPUTED_VALUE"""),"0614175866")</f>
        <v>0614175866</v>
      </c>
      <c r="N2138" s="3">
        <f>IFERROR(__xludf.DUMMYFUNCTION("""COMPUTED_VALUE"""),11113.0)</f>
        <v>11113</v>
      </c>
      <c r="O2138" s="3" t="str">
        <f>IFERROR(__xludf.DUMMYFUNCTION("""COMPUTED_VALUE"""),"สาขาพิษณุโลก")</f>
        <v>สาขาพิษณุโลก</v>
      </c>
      <c r="P2138" s="4">
        <f>IFERROR(__xludf.DUMMYFUNCTION("""COMPUTED_VALUE"""),40116.0)</f>
        <v>40116</v>
      </c>
      <c r="Q2138" s="3" t="str">
        <f>IFERROR(__xludf.DUMMYFUNCTION("""COMPUTED_VALUE"""),"A")</f>
        <v>A</v>
      </c>
      <c r="R2138" s="3" t="str">
        <f>IFERROR(__xludf.DUMMYFUNCTION("""COMPUTED_VALUE"""),"Big Format")</f>
        <v>Big Format</v>
      </c>
      <c r="S2138" s="3" t="str">
        <f>IFERROR(__xludf.DUMMYFUNCTION("""COMPUTED_VALUE"""),"PURE")</f>
        <v>PURE</v>
      </c>
      <c r="T2138" s="3" t="str">
        <f>IFERROR(__xludf.DUMMYFUNCTION("""COMPUTED_VALUE"""),"#N/A")</f>
        <v>#N/A</v>
      </c>
      <c r="U2138" s="3" t="str">
        <f>IFERROR(__xludf.DUMMYFUNCTION("""COMPUTED_VALUE"""),"#N/A")</f>
        <v>#N/A</v>
      </c>
      <c r="V2138" s="3" t="str">
        <f>IFERROR(__xludf.DUMMYFUNCTION("""COMPUTED_VALUE"""),"N")</f>
        <v>N</v>
      </c>
      <c r="W2138" s="3">
        <f>IFERROR(__xludf.DUMMYFUNCTION("""COMPUTED_VALUE"""),410171.0)</f>
        <v>410171</v>
      </c>
      <c r="X2138" s="3" t="str">
        <f>IFERROR(__xludf.DUMMYFUNCTION("""COMPUTED_VALUE"""),"939 ถนนพิชัยสงคราม ตำบลในเมือง อำเภอเมืองพิษณุโลก จังหวัดพิษณุโลก 65000")</f>
        <v>939 ถนนพิชัยสงคราม ตำบลในเมือง อำเภอเมืองพิษณุโลก จังหวัดพิษณุโลก 65000</v>
      </c>
      <c r="Y2138" s="3" t="str">
        <f>IFERROR(__xludf.DUMMYFUNCTION("""COMPUTED_VALUE"""),"ถนนพิชัยสงคราม")</f>
        <v>ถนนพิชัยสงคราม</v>
      </c>
      <c r="Z2138" s="3" t="str">
        <f>IFERROR(__xludf.DUMMYFUNCTION("""COMPUTED_VALUE"""),"ในเมือง")</f>
        <v>ในเมือง</v>
      </c>
      <c r="AA2138" s="3" t="str">
        <f>IFERROR(__xludf.DUMMYFUNCTION("""COMPUTED_VALUE"""),"เมือง")</f>
        <v>เมือง</v>
      </c>
      <c r="AB2138" s="3" t="str">
        <f>IFERROR(__xludf.DUMMYFUNCTION("""COMPUTED_VALUE"""),"พิษณุโลก")</f>
        <v>พิษณุโลก</v>
      </c>
      <c r="AC2138" s="3">
        <f>IFERROR(__xludf.DUMMYFUNCTION("""COMPUTED_VALUE"""),65000.0)</f>
        <v>65000</v>
      </c>
      <c r="AD2138" s="3">
        <f>IFERROR(__xludf.DUMMYFUNCTION("""COMPUTED_VALUE"""),0.0)</f>
        <v>0</v>
      </c>
      <c r="AE2138" s="3">
        <f>IFERROR(__xludf.DUMMYFUNCTION("""COMPUTED_VALUE"""),0.0)</f>
        <v>0</v>
      </c>
      <c r="AF2138" s="3" t="str">
        <f>IFERROR(__xludf.DUMMYFUNCTION("""COMPUTED_VALUE"""),"PURE พิษณุโลก-41011")</f>
        <v>PURE พิษณุโลก-41011</v>
      </c>
      <c r="AG2138" s="3" t="str">
        <f>IFERROR(__xludf.DUMMYFUNCTION("""COMPUTED_VALUE"""),"กลาง")</f>
        <v>กลาง</v>
      </c>
      <c r="AH2138" s="3" t="str">
        <f>IFERROR(__xludf.DUMMYFUNCTION("""COMPUTED_VALUE"""),"#N/A")</f>
        <v>#N/A</v>
      </c>
      <c r="AI2138" s="3" t="str">
        <f>IFERROR(__xludf.DUMMYFUNCTION("""COMPUTED_VALUE"""),"Out of warranty")</f>
        <v>Out of warranty</v>
      </c>
      <c r="AJ2138" s="3">
        <f>IFERROR(__xludf.DUMMYFUNCTION("""COMPUTED_VALUE"""),195.0)</f>
        <v>195</v>
      </c>
      <c r="AK2138" s="3"/>
      <c r="AL2138" s="3"/>
    </row>
    <row r="2139" ht="15.75" customHeight="1">
      <c r="A2139" s="1" t="str">
        <f>IFERROR(__xludf.DUMMYFUNCTION("""COMPUTED_VALUE"""),"41012")</f>
        <v>41012</v>
      </c>
      <c r="B2139" s="2">
        <f>IFERROR(__xludf.DUMMYFUNCTION("""COMPUTED_VALUE"""),41012.0)</f>
        <v>41012</v>
      </c>
      <c r="C2139" s="3" t="str">
        <f>IFERROR(__xludf.DUMMYFUNCTION("""COMPUTED_VALUE"""),"เพรียวนครสวรรค์")</f>
        <v>เพรียวนครสวรรค์</v>
      </c>
      <c r="D2139" s="3" t="str">
        <f>IFERROR(__xludf.DUMMYFUNCTION("""COMPUTED_VALUE"""),"BIGC NAKHONSAWAN PURE")</f>
        <v>BIGC NAKHONSAWAN PURE</v>
      </c>
      <c r="E2139" s="1" t="str">
        <f>IFERROR(__xludf.DUMMYFUNCTION("""COMPUTED_VALUE"""),"PURE")</f>
        <v>PURE</v>
      </c>
      <c r="F2139" s="1" t="str">
        <f>IFERROR(__xludf.DUMMYFUNCTION("""COMPUTED_VALUE"""),"2082102")</f>
        <v>2082102</v>
      </c>
      <c r="G2139" s="1" t="str">
        <f>IFERROR(__xludf.DUMMYFUNCTION("""COMPUTED_VALUE"""),"น.ส.วัชรา มหาวันแจ่ม")</f>
        <v>น.ส.วัชรา มหาวันแจ่ม</v>
      </c>
      <c r="H2139" s="1" t="str">
        <f>IFERROR(__xludf.DUMMYFUNCTION("""COMPUTED_VALUE"""),"2082102")</f>
        <v>2082102</v>
      </c>
      <c r="I2139" s="1" t="str">
        <f>IFERROR(__xludf.DUMMYFUNCTION("""COMPUTED_VALUE"""),"น.ส.วัชรา มหาวันแจ่ม")</f>
        <v>น.ส.วัชรา มหาวันแจ่ม</v>
      </c>
      <c r="J2139" s="3">
        <f>IFERROR(__xludf.DUMMYFUNCTION("""COMPUTED_VALUE"""),2455179.0)</f>
        <v>2455179</v>
      </c>
      <c r="K2139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2139" s="1" t="str">
        <f>IFERROR(__xludf.DUMMYFUNCTION("""COMPUTED_VALUE"""),"Hub06-C&amp;W")</f>
        <v>Hub06-C&amp;W</v>
      </c>
      <c r="M2139" s="1" t="str">
        <f>IFERROR(__xludf.DUMMYFUNCTION("""COMPUTED_VALUE"""),"090-993-6896")</f>
        <v>090-993-6896</v>
      </c>
      <c r="N2139" s="3">
        <f>IFERROR(__xludf.DUMMYFUNCTION("""COMPUTED_VALUE"""),11135.0)</f>
        <v>11135</v>
      </c>
      <c r="O2139" s="3" t="str">
        <f>IFERROR(__xludf.DUMMYFUNCTION("""COMPUTED_VALUE"""),"นครสวรรค์")</f>
        <v>นครสวรรค์</v>
      </c>
      <c r="P2139" s="4">
        <f>IFERROR(__xludf.DUMMYFUNCTION("""COMPUTED_VALUE"""),40119.0)</f>
        <v>40119</v>
      </c>
      <c r="Q2139" s="3" t="str">
        <f>IFERROR(__xludf.DUMMYFUNCTION("""COMPUTED_VALUE"""),"A")</f>
        <v>A</v>
      </c>
      <c r="R2139" s="3" t="str">
        <f>IFERROR(__xludf.DUMMYFUNCTION("""COMPUTED_VALUE"""),"Big Format")</f>
        <v>Big Format</v>
      </c>
      <c r="S2139" s="3" t="str">
        <f>IFERROR(__xludf.DUMMYFUNCTION("""COMPUTED_VALUE"""),"PURE")</f>
        <v>PURE</v>
      </c>
      <c r="T2139" s="3" t="str">
        <f>IFERROR(__xludf.DUMMYFUNCTION("""COMPUTED_VALUE"""),"#N/A")</f>
        <v>#N/A</v>
      </c>
      <c r="U2139" s="3" t="str">
        <f>IFERROR(__xludf.DUMMYFUNCTION("""COMPUTED_VALUE"""),"#N/A")</f>
        <v>#N/A</v>
      </c>
      <c r="V2139" s="3" t="str">
        <f>IFERROR(__xludf.DUMMYFUNCTION("""COMPUTED_VALUE"""),"N")</f>
        <v>N</v>
      </c>
      <c r="W2139" s="3">
        <f>IFERROR(__xludf.DUMMYFUNCTION("""COMPUTED_VALUE"""),111135.0)</f>
        <v>111135</v>
      </c>
      <c r="X2139" s="3" t="str">
        <f>IFERROR(__xludf.DUMMYFUNCTION("""COMPUTED_VALUE"""),"320/10 ถ.สวรรค์วิถี ต.ปากน้ำโพ อ.เมือง จังหวัดนครสวรรค์ 60000")</f>
        <v>320/10 ถ.สวรรค์วิถี ต.ปากน้ำโพ อ.เมือง จังหวัดนครสวรรค์ 60000</v>
      </c>
      <c r="Y2139" s="3" t="str">
        <f>IFERROR(__xludf.DUMMYFUNCTION("""COMPUTED_VALUE"""),"ถ.สวรรค์วิถี")</f>
        <v>ถ.สวรรค์วิถี</v>
      </c>
      <c r="Z2139" s="3" t="str">
        <f>IFERROR(__xludf.DUMMYFUNCTION("""COMPUTED_VALUE"""),"ปากน้ำโพ")</f>
        <v>ปากน้ำโพ</v>
      </c>
      <c r="AA2139" s="3" t="str">
        <f>IFERROR(__xludf.DUMMYFUNCTION("""COMPUTED_VALUE"""),"เมือง")</f>
        <v>เมือง</v>
      </c>
      <c r="AB2139" s="3" t="str">
        <f>IFERROR(__xludf.DUMMYFUNCTION("""COMPUTED_VALUE"""),"นครสวรรค์")</f>
        <v>นครสวรรค์</v>
      </c>
      <c r="AC2139" s="3">
        <f>IFERROR(__xludf.DUMMYFUNCTION("""COMPUTED_VALUE"""),60000.0)</f>
        <v>60000</v>
      </c>
      <c r="AD2139" s="3">
        <f>IFERROR(__xludf.DUMMYFUNCTION("""COMPUTED_VALUE"""),0.0)</f>
        <v>0</v>
      </c>
      <c r="AE2139" s="3">
        <f>IFERROR(__xludf.DUMMYFUNCTION("""COMPUTED_VALUE"""),0.0)</f>
        <v>0</v>
      </c>
      <c r="AF2139" s="3" t="str">
        <f>IFERROR(__xludf.DUMMYFUNCTION("""COMPUTED_VALUE"""),"เพรียวนครสวรรค์-41012")</f>
        <v>เพรียวนครสวรรค์-41012</v>
      </c>
      <c r="AG2139" s="3" t="str">
        <f>IFERROR(__xludf.DUMMYFUNCTION("""COMPUTED_VALUE"""),"กลาง")</f>
        <v>กลาง</v>
      </c>
      <c r="AH2139" s="3" t="str">
        <f>IFERROR(__xludf.DUMMYFUNCTION("""COMPUTED_VALUE"""),"#N/A")</f>
        <v>#N/A</v>
      </c>
      <c r="AI2139" s="3" t="str">
        <f>IFERROR(__xludf.DUMMYFUNCTION("""COMPUTED_VALUE"""),"Out of warranty")</f>
        <v>Out of warranty</v>
      </c>
      <c r="AJ2139" s="3">
        <f>IFERROR(__xludf.DUMMYFUNCTION("""COMPUTED_VALUE"""),195.0)</f>
        <v>195</v>
      </c>
      <c r="AK2139" s="3"/>
      <c r="AL2139" s="3"/>
    </row>
    <row r="2140" ht="15.75" customHeight="1">
      <c r="A2140" s="1" t="str">
        <f>IFERROR(__xludf.DUMMYFUNCTION("""COMPUTED_VALUE"""),"41013")</f>
        <v>41013</v>
      </c>
      <c r="B2140" s="2">
        <f>IFERROR(__xludf.DUMMYFUNCTION("""COMPUTED_VALUE"""),41013.0)</f>
        <v>41013</v>
      </c>
      <c r="C2140" s="3" t="str">
        <f>IFERROR(__xludf.DUMMYFUNCTION("""COMPUTED_VALUE"""),"เพรียวติวานนท์")</f>
        <v>เพรียวติวานนท์</v>
      </c>
      <c r="D2140" s="3" t="str">
        <f>IFERROR(__xludf.DUMMYFUNCTION("""COMPUTED_VALUE"""),"BIGC TIWANON PURE")</f>
        <v>BIGC TIWANON PURE</v>
      </c>
      <c r="E2140" s="1" t="str">
        <f>IFERROR(__xludf.DUMMYFUNCTION("""COMPUTED_VALUE"""),"PURE")</f>
        <v>PURE</v>
      </c>
      <c r="F2140" s="1" t="str">
        <f>IFERROR(__xludf.DUMMYFUNCTION("""COMPUTED_VALUE"""),"228469")</f>
        <v>228469</v>
      </c>
      <c r="G2140" s="1" t="str">
        <f>IFERROR(__xludf.DUMMYFUNCTION("""COMPUTED_VALUE"""),"น.ส.บงกช ทำการดี")</f>
        <v>น.ส.บงกช ทำการดี</v>
      </c>
      <c r="H2140" s="1" t="str">
        <f>IFERROR(__xludf.DUMMYFUNCTION("""COMPUTED_VALUE"""),"228469")</f>
        <v>228469</v>
      </c>
      <c r="I2140" s="1" t="str">
        <f>IFERROR(__xludf.DUMMYFUNCTION("""COMPUTED_VALUE"""),"น.ส.บงกช ทำการดี")</f>
        <v>น.ส.บงกช ทำการดี</v>
      </c>
      <c r="J2140" s="3">
        <f>IFERROR(__xludf.DUMMYFUNCTION("""COMPUTED_VALUE"""),2454701.0)</f>
        <v>2454701</v>
      </c>
      <c r="K2140" s="3" t="str">
        <f>IFERROR(__xludf.DUMMYFUNCTION("""COMPUTED_VALUE"""),"นายกานต์ ไชยแสงศรี")</f>
        <v>นายกานต์ ไชยแสงศรี</v>
      </c>
      <c r="L2140" s="1" t="str">
        <f>IFERROR(__xludf.DUMMYFUNCTION("""COMPUTED_VALUE"""),"Hub01-BKK 1")</f>
        <v>Hub01-BKK 1</v>
      </c>
      <c r="M2140" s="1" t="str">
        <f>IFERROR(__xludf.DUMMYFUNCTION("""COMPUTED_VALUE"""),"0909090652")</f>
        <v>0909090652</v>
      </c>
      <c r="N2140" s="3">
        <f>IFERROR(__xludf.DUMMYFUNCTION("""COMPUTED_VALUE"""),11133.0)</f>
        <v>11133</v>
      </c>
      <c r="O2140" s="3" t="str">
        <f>IFERROR(__xludf.DUMMYFUNCTION("""COMPUTED_VALUE"""),"ติวานนท์")</f>
        <v>ติวานนท์</v>
      </c>
      <c r="P2140" s="4">
        <f>IFERROR(__xludf.DUMMYFUNCTION("""COMPUTED_VALUE"""),40135.0)</f>
        <v>40135</v>
      </c>
      <c r="Q2140" s="3" t="str">
        <f>IFERROR(__xludf.DUMMYFUNCTION("""COMPUTED_VALUE"""),"A")</f>
        <v>A</v>
      </c>
      <c r="R2140" s="3" t="str">
        <f>IFERROR(__xludf.DUMMYFUNCTION("""COMPUTED_VALUE"""),"Big Format")</f>
        <v>Big Format</v>
      </c>
      <c r="S2140" s="3" t="str">
        <f>IFERROR(__xludf.DUMMYFUNCTION("""COMPUTED_VALUE"""),"PURE")</f>
        <v>PURE</v>
      </c>
      <c r="T2140" s="3" t="str">
        <f>IFERROR(__xludf.DUMMYFUNCTION("""COMPUTED_VALUE"""),"#N/A")</f>
        <v>#N/A</v>
      </c>
      <c r="U2140" s="3" t="str">
        <f>IFERROR(__xludf.DUMMYFUNCTION("""COMPUTED_VALUE"""),"#N/A")</f>
        <v>#N/A</v>
      </c>
      <c r="V2140" s="3" t="str">
        <f>IFERROR(__xludf.DUMMYFUNCTION("""COMPUTED_VALUE"""),"N")</f>
        <v>N</v>
      </c>
      <c r="W2140" s="3">
        <f>IFERROR(__xludf.DUMMYFUNCTION("""COMPUTED_VALUE"""),111133.0)</f>
        <v>111133</v>
      </c>
      <c r="X2140" s="3" t="str">
        <f>IFERROR(__xludf.DUMMYFUNCTION("""COMPUTED_VALUE"""),"9/9 หมู่ 5 ต.ตลาดขวัญ อ.เมืองนนทบุรี จ.นนทบุรี 11000")</f>
        <v>9/9 หมู่ 5 ต.ตลาดขวัญ อ.เมืองนนทบุรี จ.นนทบุรี 11000</v>
      </c>
      <c r="Y2140" s="3"/>
      <c r="Z2140" s="3" t="str">
        <f>IFERROR(__xludf.DUMMYFUNCTION("""COMPUTED_VALUE"""),"ตลาดขวัญ")</f>
        <v>ตลาดขวัญ</v>
      </c>
      <c r="AA2140" s="3" t="str">
        <f>IFERROR(__xludf.DUMMYFUNCTION("""COMPUTED_VALUE"""),"เมืองนนทบุรี")</f>
        <v>เมืองนนทบุรี</v>
      </c>
      <c r="AB2140" s="3" t="str">
        <f>IFERROR(__xludf.DUMMYFUNCTION("""COMPUTED_VALUE"""),"นนทบุรี")</f>
        <v>นนทบุรี</v>
      </c>
      <c r="AC2140" s="3">
        <f>IFERROR(__xludf.DUMMYFUNCTION("""COMPUTED_VALUE"""),11000.0)</f>
        <v>11000</v>
      </c>
      <c r="AD2140" s="3">
        <f>IFERROR(__xludf.DUMMYFUNCTION("""COMPUTED_VALUE"""),0.0)</f>
        <v>0</v>
      </c>
      <c r="AE2140" s="3">
        <f>IFERROR(__xludf.DUMMYFUNCTION("""COMPUTED_VALUE"""),0.0)</f>
        <v>0</v>
      </c>
      <c r="AF2140" s="3" t="str">
        <f>IFERROR(__xludf.DUMMYFUNCTION("""COMPUTED_VALUE"""),"เพรียวติวานนท์-41013")</f>
        <v>เพรียวติวานนท์-41013</v>
      </c>
      <c r="AG2140" s="3" t="str">
        <f>IFERROR(__xludf.DUMMYFUNCTION("""COMPUTED_VALUE"""),"กลาง")</f>
        <v>กลาง</v>
      </c>
      <c r="AH2140" s="3" t="str">
        <f>IFERROR(__xludf.DUMMYFUNCTION("""COMPUTED_VALUE"""),"#N/A")</f>
        <v>#N/A</v>
      </c>
      <c r="AI2140" s="3" t="str">
        <f>IFERROR(__xludf.DUMMYFUNCTION("""COMPUTED_VALUE"""),"Out of warranty")</f>
        <v>Out of warranty</v>
      </c>
      <c r="AJ2140" s="3">
        <f>IFERROR(__xludf.DUMMYFUNCTION("""COMPUTED_VALUE"""),195.0)</f>
        <v>195</v>
      </c>
      <c r="AK2140" s="3"/>
      <c r="AL2140" s="3"/>
    </row>
    <row r="2141" ht="15.75" customHeight="1">
      <c r="A2141" s="1" t="str">
        <f>IFERROR(__xludf.DUMMYFUNCTION("""COMPUTED_VALUE"""),"41014")</f>
        <v>41014</v>
      </c>
      <c r="B2141" s="2">
        <f>IFERROR(__xludf.DUMMYFUNCTION("""COMPUTED_VALUE"""),41014.0)</f>
        <v>41014</v>
      </c>
      <c r="C2141" s="3" t="str">
        <f>IFERROR(__xludf.DUMMYFUNCTION("""COMPUTED_VALUE"""),"เพรียวมหาชัย")</f>
        <v>เพรียวมหาชัย</v>
      </c>
      <c r="D2141" s="3" t="str">
        <f>IFERROR(__xludf.DUMMYFUNCTION("""COMPUTED_VALUE"""),"BIGC MAHACHAI PURE")</f>
        <v>BIGC MAHACHAI PURE</v>
      </c>
      <c r="E2141" s="1" t="str">
        <f>IFERROR(__xludf.DUMMYFUNCTION("""COMPUTED_VALUE"""),"PURE")</f>
        <v>PURE</v>
      </c>
      <c r="F2141" s="1" t="str">
        <f>IFERROR(__xludf.DUMMYFUNCTION("""COMPUTED_VALUE"""),"2010612")</f>
        <v>2010612</v>
      </c>
      <c r="G2141" s="1" t="str">
        <f>IFERROR(__xludf.DUMMYFUNCTION("""COMPUTED_VALUE"""),"น.ส.วรรณพร เกตุเลิศประเสริฐ")</f>
        <v>น.ส.วรรณพร เกตุเลิศประเสริฐ</v>
      </c>
      <c r="H2141" s="1" t="str">
        <f>IFERROR(__xludf.DUMMYFUNCTION("""COMPUTED_VALUE"""),"2010612")</f>
        <v>2010612</v>
      </c>
      <c r="I2141" s="1" t="str">
        <f>IFERROR(__xludf.DUMMYFUNCTION("""COMPUTED_VALUE"""),"น.ส.วรรณพร เกตุเลิศประเสริฐ")</f>
        <v>น.ส.วรรณพร เกตุเลิศประเสริฐ</v>
      </c>
      <c r="J2141" s="3">
        <f>IFERROR(__xludf.DUMMYFUNCTION("""COMPUTED_VALUE"""),2454701.0)</f>
        <v>2454701</v>
      </c>
      <c r="K2141" s="3" t="str">
        <f>IFERROR(__xludf.DUMMYFUNCTION("""COMPUTED_VALUE"""),"นายกานต์ ไชยแสงศรี")</f>
        <v>นายกานต์ ไชยแสงศรี</v>
      </c>
      <c r="L2141" s="1" t="str">
        <f>IFERROR(__xludf.DUMMYFUNCTION("""COMPUTED_VALUE"""),"Hub01-BKK 1")</f>
        <v>Hub01-BKK 1</v>
      </c>
      <c r="M2141" s="1" t="str">
        <f>IFERROR(__xludf.DUMMYFUNCTION("""COMPUTED_VALUE"""),"0909090652")</f>
        <v>0909090652</v>
      </c>
      <c r="N2141" s="3">
        <f>IFERROR(__xludf.DUMMYFUNCTION("""COMPUTED_VALUE"""),11168.0)</f>
        <v>11168</v>
      </c>
      <c r="O2141" s="3" t="str">
        <f>IFERROR(__xludf.DUMMYFUNCTION("""COMPUTED_VALUE"""),"มหาชัย")</f>
        <v>มหาชัย</v>
      </c>
      <c r="P2141" s="4">
        <f>IFERROR(__xludf.DUMMYFUNCTION("""COMPUTED_VALUE"""),40269.0)</f>
        <v>40269</v>
      </c>
      <c r="Q2141" s="3" t="str">
        <f>IFERROR(__xludf.DUMMYFUNCTION("""COMPUTED_VALUE"""),"A")</f>
        <v>A</v>
      </c>
      <c r="R2141" s="3" t="str">
        <f>IFERROR(__xludf.DUMMYFUNCTION("""COMPUTED_VALUE"""),"Big Format")</f>
        <v>Big Format</v>
      </c>
      <c r="S2141" s="3" t="str">
        <f>IFERROR(__xludf.DUMMYFUNCTION("""COMPUTED_VALUE"""),"PURE")</f>
        <v>PURE</v>
      </c>
      <c r="T2141" s="3" t="str">
        <f>IFERROR(__xludf.DUMMYFUNCTION("""COMPUTED_VALUE"""),"#N/A")</f>
        <v>#N/A</v>
      </c>
      <c r="U2141" s="3" t="str">
        <f>IFERROR(__xludf.DUMMYFUNCTION("""COMPUTED_VALUE"""),"#N/A")</f>
        <v>#N/A</v>
      </c>
      <c r="V2141" s="3" t="str">
        <f>IFERROR(__xludf.DUMMYFUNCTION("""COMPUTED_VALUE"""),"N")</f>
        <v>N</v>
      </c>
      <c r="W2141" s="3">
        <f>IFERROR(__xludf.DUMMYFUNCTION("""COMPUTED_VALUE"""),111168.0)</f>
        <v>111168</v>
      </c>
      <c r="X2141" s="3" t="str">
        <f>IFERROR(__xludf.DUMMYFUNCTION("""COMPUTED_VALUE"""),"79 หมู่ที่ 8 ตำบลท่าทราย อำเภอเมืองสมุทรสาคร จังหวัดสมุทรสาคร 74000")</f>
        <v>79 หมู่ที่ 8 ตำบลท่าทราย อำเภอเมืองสมุทรสาคร จังหวัดสมุทรสาคร 74000</v>
      </c>
      <c r="Y2141" s="3"/>
      <c r="Z2141" s="3" t="str">
        <f>IFERROR(__xludf.DUMMYFUNCTION("""COMPUTED_VALUE"""),"ท่าทราย")</f>
        <v>ท่าทราย</v>
      </c>
      <c r="AA2141" s="3" t="str">
        <f>IFERROR(__xludf.DUMMYFUNCTION("""COMPUTED_VALUE"""),"เมือง")</f>
        <v>เมือง</v>
      </c>
      <c r="AB2141" s="3" t="str">
        <f>IFERROR(__xludf.DUMMYFUNCTION("""COMPUTED_VALUE"""),"สมุทรสาคร")</f>
        <v>สมุทรสาคร</v>
      </c>
      <c r="AC2141" s="3">
        <f>IFERROR(__xludf.DUMMYFUNCTION("""COMPUTED_VALUE"""),74000.0)</f>
        <v>74000</v>
      </c>
      <c r="AD2141" s="3">
        <f>IFERROR(__xludf.DUMMYFUNCTION("""COMPUTED_VALUE"""),0.0)</f>
        <v>0</v>
      </c>
      <c r="AE2141" s="3">
        <f>IFERROR(__xludf.DUMMYFUNCTION("""COMPUTED_VALUE"""),0.0)</f>
        <v>0</v>
      </c>
      <c r="AF2141" s="3" t="str">
        <f>IFERROR(__xludf.DUMMYFUNCTION("""COMPUTED_VALUE"""),"เพรียวมหาชัย-41014")</f>
        <v>เพรียวมหาชัย-41014</v>
      </c>
      <c r="AG2141" s="3" t="str">
        <f>IFERROR(__xludf.DUMMYFUNCTION("""COMPUTED_VALUE"""),"กลาง")</f>
        <v>กลาง</v>
      </c>
      <c r="AH2141" s="3" t="str">
        <f>IFERROR(__xludf.DUMMYFUNCTION("""COMPUTED_VALUE"""),"#N/A")</f>
        <v>#N/A</v>
      </c>
      <c r="AI2141" s="3" t="str">
        <f>IFERROR(__xludf.DUMMYFUNCTION("""COMPUTED_VALUE"""),"Out of warranty")</f>
        <v>Out of warranty</v>
      </c>
      <c r="AJ2141" s="3">
        <f>IFERROR(__xludf.DUMMYFUNCTION("""COMPUTED_VALUE"""),190.0)</f>
        <v>190</v>
      </c>
      <c r="AK2141" s="3"/>
      <c r="AL2141" s="3"/>
    </row>
    <row r="2142" ht="15.75" customHeight="1">
      <c r="A2142" s="1" t="str">
        <f>IFERROR(__xludf.DUMMYFUNCTION("""COMPUTED_VALUE"""),"41015")</f>
        <v>41015</v>
      </c>
      <c r="B2142" s="2">
        <f>IFERROR(__xludf.DUMMYFUNCTION("""COMPUTED_VALUE"""),41015.0)</f>
        <v>41015</v>
      </c>
      <c r="C2142" s="3" t="str">
        <f>IFERROR(__xludf.DUMMYFUNCTION("""COMPUTED_VALUE"""),"เพรียวกำแพงเพชร")</f>
        <v>เพรียวกำแพงเพชร</v>
      </c>
      <c r="D2142" s="3" t="str">
        <f>IFERROR(__xludf.DUMMYFUNCTION("""COMPUTED_VALUE"""),"BIGC KAMPHAENGPHET PURE")</f>
        <v>BIGC KAMPHAENGPHET PURE</v>
      </c>
      <c r="E2142" s="1" t="str">
        <f>IFERROR(__xludf.DUMMYFUNCTION("""COMPUTED_VALUE"""),"PURE")</f>
        <v>PURE</v>
      </c>
      <c r="F2142" s="1" t="str">
        <f>IFERROR(__xludf.DUMMYFUNCTION("""COMPUTED_VALUE"""),"2082102")</f>
        <v>2082102</v>
      </c>
      <c r="G2142" s="1" t="str">
        <f>IFERROR(__xludf.DUMMYFUNCTION("""COMPUTED_VALUE"""),"น.ส.วัชรา มหาวันแจ่ม")</f>
        <v>น.ส.วัชรา มหาวันแจ่ม</v>
      </c>
      <c r="H2142" s="1" t="str">
        <f>IFERROR(__xludf.DUMMYFUNCTION("""COMPUTED_VALUE"""),"2082102")</f>
        <v>2082102</v>
      </c>
      <c r="I2142" s="1" t="str">
        <f>IFERROR(__xludf.DUMMYFUNCTION("""COMPUTED_VALUE"""),"น.ส.วัชรา มหาวันแจ่ม")</f>
        <v>น.ส.วัชรา มหาวันแจ่ม</v>
      </c>
      <c r="J2142" s="3">
        <f>IFERROR(__xludf.DUMMYFUNCTION("""COMPUTED_VALUE"""),348.0)</f>
        <v>348</v>
      </c>
      <c r="K2142" s="3" t="str">
        <f>IFERROR(__xludf.DUMMYFUNCTION("""COMPUTED_VALUE"""),"นายธีรนันท์ ไม้สนธิ์")</f>
        <v>นายธีรนันท์ ไม้สนธิ์</v>
      </c>
      <c r="L2142" s="1" t="str">
        <f>IFERROR(__xludf.DUMMYFUNCTION("""COMPUTED_VALUE"""),"Hub07-North")</f>
        <v>Hub07-North</v>
      </c>
      <c r="M2142" s="1" t="str">
        <f>IFERROR(__xludf.DUMMYFUNCTION("""COMPUTED_VALUE"""),"0614175866")</f>
        <v>0614175866</v>
      </c>
      <c r="N2142" s="3">
        <f>IFERROR(__xludf.DUMMYFUNCTION("""COMPUTED_VALUE"""),11171.0)</f>
        <v>11171</v>
      </c>
      <c r="O2142" s="3" t="str">
        <f>IFERROR(__xludf.DUMMYFUNCTION("""COMPUTED_VALUE"""),"กำแพงเพชร")</f>
        <v>กำแพงเพชร</v>
      </c>
      <c r="P2142" s="4">
        <f>IFERROR(__xludf.DUMMYFUNCTION("""COMPUTED_VALUE"""),40269.0)</f>
        <v>40269</v>
      </c>
      <c r="Q2142" s="3" t="str">
        <f>IFERROR(__xludf.DUMMYFUNCTION("""COMPUTED_VALUE"""),"A")</f>
        <v>A</v>
      </c>
      <c r="R2142" s="3" t="str">
        <f>IFERROR(__xludf.DUMMYFUNCTION("""COMPUTED_VALUE"""),"Big Format")</f>
        <v>Big Format</v>
      </c>
      <c r="S2142" s="3" t="str">
        <f>IFERROR(__xludf.DUMMYFUNCTION("""COMPUTED_VALUE"""),"PURE")</f>
        <v>PURE</v>
      </c>
      <c r="T2142" s="3" t="str">
        <f>IFERROR(__xludf.DUMMYFUNCTION("""COMPUTED_VALUE"""),"#N/A")</f>
        <v>#N/A</v>
      </c>
      <c r="U2142" s="3" t="str">
        <f>IFERROR(__xludf.DUMMYFUNCTION("""COMPUTED_VALUE"""),"#N/A")</f>
        <v>#N/A</v>
      </c>
      <c r="V2142" s="3" t="str">
        <f>IFERROR(__xludf.DUMMYFUNCTION("""COMPUTED_VALUE"""),"N")</f>
        <v>N</v>
      </c>
      <c r="W2142" s="3">
        <f>IFERROR(__xludf.DUMMYFUNCTION("""COMPUTED_VALUE"""),111171.0)</f>
        <v>111171</v>
      </c>
      <c r="X2142" s="3" t="str">
        <f>IFERROR(__xludf.DUMMYFUNCTION("""COMPUTED_VALUE"""),"613/1 ถนนเจริญสุข ตำบลในเมือง อำเภอเมืองกำแพงเพชร จังหวัดกำแพงเพชร 62000")</f>
        <v>613/1 ถนนเจริญสุข ตำบลในเมือง อำเภอเมืองกำแพงเพชร จังหวัดกำแพงเพชร 62000</v>
      </c>
      <c r="Y2142" s="3" t="str">
        <f>IFERROR(__xludf.DUMMYFUNCTION("""COMPUTED_VALUE"""),"ถนนเจริญสุข")</f>
        <v>ถนนเจริญสุข</v>
      </c>
      <c r="Z2142" s="3" t="str">
        <f>IFERROR(__xludf.DUMMYFUNCTION("""COMPUTED_VALUE"""),"ในเมือง")</f>
        <v>ในเมือง</v>
      </c>
      <c r="AA2142" s="3" t="str">
        <f>IFERROR(__xludf.DUMMYFUNCTION("""COMPUTED_VALUE"""),"เมือง")</f>
        <v>เมือง</v>
      </c>
      <c r="AB2142" s="3" t="str">
        <f>IFERROR(__xludf.DUMMYFUNCTION("""COMPUTED_VALUE"""),"กำแพงเพชร")</f>
        <v>กำแพงเพชร</v>
      </c>
      <c r="AC2142" s="3">
        <f>IFERROR(__xludf.DUMMYFUNCTION("""COMPUTED_VALUE"""),62000.0)</f>
        <v>62000</v>
      </c>
      <c r="AD2142" s="3">
        <f>IFERROR(__xludf.DUMMYFUNCTION("""COMPUTED_VALUE"""),0.0)</f>
        <v>0</v>
      </c>
      <c r="AE2142" s="3">
        <f>IFERROR(__xludf.DUMMYFUNCTION("""COMPUTED_VALUE"""),0.0)</f>
        <v>0</v>
      </c>
      <c r="AF2142" s="3" t="str">
        <f>IFERROR(__xludf.DUMMYFUNCTION("""COMPUTED_VALUE"""),"เพรียวกำแพงเพชร-41015")</f>
        <v>เพรียวกำแพงเพชร-41015</v>
      </c>
      <c r="AG2142" s="3" t="str">
        <f>IFERROR(__xludf.DUMMYFUNCTION("""COMPUTED_VALUE"""),"กลาง")</f>
        <v>กลาง</v>
      </c>
      <c r="AH2142" s="3" t="str">
        <f>IFERROR(__xludf.DUMMYFUNCTION("""COMPUTED_VALUE"""),"#N/A")</f>
        <v>#N/A</v>
      </c>
      <c r="AI2142" s="3" t="str">
        <f>IFERROR(__xludf.DUMMYFUNCTION("""COMPUTED_VALUE"""),"Out of warranty")</f>
        <v>Out of warranty</v>
      </c>
      <c r="AJ2142" s="3">
        <f>IFERROR(__xludf.DUMMYFUNCTION("""COMPUTED_VALUE"""),190.0)</f>
        <v>190</v>
      </c>
      <c r="AK2142" s="3"/>
      <c r="AL2142" s="3"/>
    </row>
    <row r="2143" ht="15.75" customHeight="1">
      <c r="A2143" s="1" t="str">
        <f>IFERROR(__xludf.DUMMYFUNCTION("""COMPUTED_VALUE"""),"41016")</f>
        <v>41016</v>
      </c>
      <c r="B2143" s="2">
        <f>IFERROR(__xludf.DUMMYFUNCTION("""COMPUTED_VALUE"""),41016.0)</f>
        <v>41016</v>
      </c>
      <c r="C2143" s="3" t="str">
        <f>IFERROR(__xludf.DUMMYFUNCTION("""COMPUTED_VALUE"""),"เพรียวสะพานควาย")</f>
        <v>เพรียวสะพานควาย</v>
      </c>
      <c r="D2143" s="3" t="str">
        <f>IFERROR(__xludf.DUMMYFUNCTION("""COMPUTED_VALUE"""),"BIGC SAPHANKWAI PURE")</f>
        <v>BIGC SAPHANKWAI PURE</v>
      </c>
      <c r="E2143" s="1" t="str">
        <f>IFERROR(__xludf.DUMMYFUNCTION("""COMPUTED_VALUE"""),"PURE")</f>
        <v>PURE</v>
      </c>
      <c r="F2143" s="1" t="str">
        <f>IFERROR(__xludf.DUMMYFUNCTION("""COMPUTED_VALUE"""),"211291")</f>
        <v>211291</v>
      </c>
      <c r="G2143" s="1" t="str">
        <f>IFERROR(__xludf.DUMMYFUNCTION("""COMPUTED_VALUE"""),"น.ส.ปนัดดา มากระจันทน์")</f>
        <v>น.ส.ปนัดดา มากระจันทน์</v>
      </c>
      <c r="H2143" s="1" t="str">
        <f>IFERROR(__xludf.DUMMYFUNCTION("""COMPUTED_VALUE"""),"211291")</f>
        <v>211291</v>
      </c>
      <c r="I2143" s="1" t="str">
        <f>IFERROR(__xludf.DUMMYFUNCTION("""COMPUTED_VALUE"""),"น.ส.ปนัดดา มากระจันทน์")</f>
        <v>น.ส.ปนัดดา มากระจันทน์</v>
      </c>
      <c r="J2143" s="3">
        <f>IFERROR(__xludf.DUMMYFUNCTION("""COMPUTED_VALUE"""),2454813.0)</f>
        <v>2454813</v>
      </c>
      <c r="K2143" s="3" t="str">
        <f>IFERROR(__xludf.DUMMYFUNCTION("""COMPUTED_VALUE"""),"นายอนุรักษ์ จั่นเที่ยง")</f>
        <v>นายอนุรักษ์ จั่นเที่ยง</v>
      </c>
      <c r="L2143" s="1" t="str">
        <f>IFERROR(__xludf.DUMMYFUNCTION("""COMPUTED_VALUE"""),"Hub04-BKK 4")</f>
        <v>Hub04-BKK 4</v>
      </c>
      <c r="M2143" s="1" t="str">
        <f>IFERROR(__xludf.DUMMYFUNCTION("""COMPUTED_VALUE"""),"0991964531")</f>
        <v>0991964531</v>
      </c>
      <c r="N2143" s="3">
        <f>IFERROR(__xludf.DUMMYFUNCTION("""COMPUTED_VALUE"""),11136.0)</f>
        <v>11136</v>
      </c>
      <c r="O2143" s="3" t="str">
        <f>IFERROR(__xludf.DUMMYFUNCTION("""COMPUTED_VALUE"""),"สะพานควาย")</f>
        <v>สะพานควาย</v>
      </c>
      <c r="P2143" s="4">
        <f>IFERROR(__xludf.DUMMYFUNCTION("""COMPUTED_VALUE"""),40343.0)</f>
        <v>40343</v>
      </c>
      <c r="Q2143" s="3" t="str">
        <f>IFERROR(__xludf.DUMMYFUNCTION("""COMPUTED_VALUE"""),"A")</f>
        <v>A</v>
      </c>
      <c r="R2143" s="3" t="str">
        <f>IFERROR(__xludf.DUMMYFUNCTION("""COMPUTED_VALUE"""),"Big Format")</f>
        <v>Big Format</v>
      </c>
      <c r="S2143" s="3" t="str">
        <f>IFERROR(__xludf.DUMMYFUNCTION("""COMPUTED_VALUE"""),"PURE")</f>
        <v>PURE</v>
      </c>
      <c r="T2143" s="3" t="str">
        <f>IFERROR(__xludf.DUMMYFUNCTION("""COMPUTED_VALUE"""),"#N/A")</f>
        <v>#N/A</v>
      </c>
      <c r="U2143" s="3" t="str">
        <f>IFERROR(__xludf.DUMMYFUNCTION("""COMPUTED_VALUE"""),"#N/A")</f>
        <v>#N/A</v>
      </c>
      <c r="V2143" s="3" t="str">
        <f>IFERROR(__xludf.DUMMYFUNCTION("""COMPUTED_VALUE"""),"N")</f>
        <v>N</v>
      </c>
      <c r="W2143" s="3">
        <f>IFERROR(__xludf.DUMMYFUNCTION("""COMPUTED_VALUE"""),111136.0)</f>
        <v>111136</v>
      </c>
      <c r="X2143" s="3" t="str">
        <f>IFERROR(__xludf.DUMMYFUNCTION("""COMPUTED_VALUE"""),"618/1 ถ.พหลโยธิน แขวงสามเสนใน เขตพญาไท กรุงเทพฯ 10400")</f>
        <v>618/1 ถ.พหลโยธิน แขวงสามเสนใน เขตพญาไท กรุงเทพฯ 10400</v>
      </c>
      <c r="Y2143" s="3" t="str">
        <f>IFERROR(__xludf.DUMMYFUNCTION("""COMPUTED_VALUE"""),"ถ.พหลโยธิน")</f>
        <v>ถ.พหลโยธิน</v>
      </c>
      <c r="Z2143" s="3" t="str">
        <f>IFERROR(__xludf.DUMMYFUNCTION("""COMPUTED_VALUE"""),"สามเสนใน")</f>
        <v>สามเสนใน</v>
      </c>
      <c r="AA2143" s="3" t="str">
        <f>IFERROR(__xludf.DUMMYFUNCTION("""COMPUTED_VALUE"""),"พญาไท")</f>
        <v>พญาไท</v>
      </c>
      <c r="AB2143" s="3" t="str">
        <f>IFERROR(__xludf.DUMMYFUNCTION("""COMPUTED_VALUE"""),"กรุงเทพมหานคร")</f>
        <v>กรุงเทพมหานคร</v>
      </c>
      <c r="AC2143" s="3">
        <f>IFERROR(__xludf.DUMMYFUNCTION("""COMPUTED_VALUE"""),10400.0)</f>
        <v>10400</v>
      </c>
      <c r="AD2143" s="3">
        <f>IFERROR(__xludf.DUMMYFUNCTION("""COMPUTED_VALUE"""),0.0)</f>
        <v>0</v>
      </c>
      <c r="AE2143" s="3">
        <f>IFERROR(__xludf.DUMMYFUNCTION("""COMPUTED_VALUE"""),0.0)</f>
        <v>0</v>
      </c>
      <c r="AF2143" s="3" t="str">
        <f>IFERROR(__xludf.DUMMYFUNCTION("""COMPUTED_VALUE"""),"เพรียวสะพานควาย-41016")</f>
        <v>เพรียวสะพานควาย-41016</v>
      </c>
      <c r="AG2143" s="3" t="str">
        <f>IFERROR(__xludf.DUMMYFUNCTION("""COMPUTED_VALUE"""),"กลาง")</f>
        <v>กลาง</v>
      </c>
      <c r="AH2143" s="3" t="str">
        <f>IFERROR(__xludf.DUMMYFUNCTION("""COMPUTED_VALUE"""),"#N/A")</f>
        <v>#N/A</v>
      </c>
      <c r="AI2143" s="3" t="str">
        <f>IFERROR(__xludf.DUMMYFUNCTION("""COMPUTED_VALUE"""),"Out of warranty")</f>
        <v>Out of warranty</v>
      </c>
      <c r="AJ2143" s="3">
        <f>IFERROR(__xludf.DUMMYFUNCTION("""COMPUTED_VALUE"""),188.0)</f>
        <v>188</v>
      </c>
      <c r="AK2143" s="3"/>
      <c r="AL2143" s="3"/>
    </row>
    <row r="2144" ht="15.75" customHeight="1">
      <c r="A2144" s="1" t="str">
        <f>IFERROR(__xludf.DUMMYFUNCTION("""COMPUTED_VALUE"""),"41017")</f>
        <v>41017</v>
      </c>
      <c r="B2144" s="2">
        <f>IFERROR(__xludf.DUMMYFUNCTION("""COMPUTED_VALUE"""),41017.0)</f>
        <v>41017</v>
      </c>
      <c r="C2144" s="3" t="str">
        <f>IFERROR(__xludf.DUMMYFUNCTION("""COMPUTED_VALUE"""),"เพรียวหางดง")</f>
        <v>เพรียวหางดง</v>
      </c>
      <c r="D2144" s="3" t="str">
        <f>IFERROR(__xludf.DUMMYFUNCTION("""COMPUTED_VALUE"""),"BIGC HANGDONG PURE")</f>
        <v>BIGC HANGDONG PURE</v>
      </c>
      <c r="E2144" s="1" t="str">
        <f>IFERROR(__xludf.DUMMYFUNCTION("""COMPUTED_VALUE"""),"PURE")</f>
        <v>PURE</v>
      </c>
      <c r="F2144" s="1" t="str">
        <f>IFERROR(__xludf.DUMMYFUNCTION("""COMPUTED_VALUE"""),"2082102")</f>
        <v>2082102</v>
      </c>
      <c r="G2144" s="1" t="str">
        <f>IFERROR(__xludf.DUMMYFUNCTION("""COMPUTED_VALUE"""),"น.ส.วัชรา มหาวันแจ่ม")</f>
        <v>น.ส.วัชรา มหาวันแจ่ม</v>
      </c>
      <c r="H2144" s="1" t="str">
        <f>IFERROR(__xludf.DUMMYFUNCTION("""COMPUTED_VALUE"""),"2082102")</f>
        <v>2082102</v>
      </c>
      <c r="I2144" s="1" t="str">
        <f>IFERROR(__xludf.DUMMYFUNCTION("""COMPUTED_VALUE"""),"น.ส.วัชรา มหาวันแจ่ม")</f>
        <v>น.ส.วัชรา มหาวันแจ่ม</v>
      </c>
      <c r="J2144" s="3">
        <f>IFERROR(__xludf.DUMMYFUNCTION("""COMPUTED_VALUE"""),348.0)</f>
        <v>348</v>
      </c>
      <c r="K2144" s="3" t="str">
        <f>IFERROR(__xludf.DUMMYFUNCTION("""COMPUTED_VALUE"""),"นายธีรนันท์ ไม้สนธิ์")</f>
        <v>นายธีรนันท์ ไม้สนธิ์</v>
      </c>
      <c r="L2144" s="3" t="str">
        <f>IFERROR(__xludf.DUMMYFUNCTION("""COMPUTED_VALUE"""),"Hub07-North")</f>
        <v>Hub07-North</v>
      </c>
      <c r="M2144" s="1" t="str">
        <f>IFERROR(__xludf.DUMMYFUNCTION("""COMPUTED_VALUE"""),"0614175866")</f>
        <v>0614175866</v>
      </c>
      <c r="N2144" s="3">
        <f>IFERROR(__xludf.DUMMYFUNCTION("""COMPUTED_VALUE"""),11154.0)</f>
        <v>11154</v>
      </c>
      <c r="O2144" s="3" t="str">
        <f>IFERROR(__xludf.DUMMYFUNCTION("""COMPUTED_VALUE"""),"หางดง")</f>
        <v>หางดง</v>
      </c>
      <c r="P2144" s="4">
        <f>IFERROR(__xludf.DUMMYFUNCTION("""COMPUTED_VALUE"""),40346.0)</f>
        <v>40346</v>
      </c>
      <c r="Q2144" s="3" t="str">
        <f>IFERROR(__xludf.DUMMYFUNCTION("""COMPUTED_VALUE"""),"A")</f>
        <v>A</v>
      </c>
      <c r="R2144" s="3" t="str">
        <f>IFERROR(__xludf.DUMMYFUNCTION("""COMPUTED_VALUE"""),"Big Format")</f>
        <v>Big Format</v>
      </c>
      <c r="S2144" s="3" t="str">
        <f>IFERROR(__xludf.DUMMYFUNCTION("""COMPUTED_VALUE"""),"PURE")</f>
        <v>PURE</v>
      </c>
      <c r="T2144" s="3" t="str">
        <f>IFERROR(__xludf.DUMMYFUNCTION("""COMPUTED_VALUE"""),"#N/A")</f>
        <v>#N/A</v>
      </c>
      <c r="U2144" s="3" t="str">
        <f>IFERROR(__xludf.DUMMYFUNCTION("""COMPUTED_VALUE"""),"#N/A")</f>
        <v>#N/A</v>
      </c>
      <c r="V2144" s="3" t="str">
        <f>IFERROR(__xludf.DUMMYFUNCTION("""COMPUTED_VALUE"""),"N")</f>
        <v>N</v>
      </c>
      <c r="W2144" s="3">
        <f>IFERROR(__xludf.DUMMYFUNCTION("""COMPUTED_VALUE"""),111154.0)</f>
        <v>111154</v>
      </c>
      <c r="X2144" s="3" t="str">
        <f>IFERROR(__xludf.DUMMYFUNCTION("""COMPUTED_VALUE"""),"433/4-5 หมู่ที่ 7 ตำบลแม่เหียะ อำเภอเมืองเชียงใหม่ จังหวัดเชียงใหม่ 50100")</f>
        <v>433/4-5 หมู่ที่ 7 ตำบลแม่เหียะ อำเภอเมืองเชียงใหม่ จังหวัดเชียงใหม่ 50100</v>
      </c>
      <c r="Y2144" s="3"/>
      <c r="Z2144" s="3" t="str">
        <f>IFERROR(__xludf.DUMMYFUNCTION("""COMPUTED_VALUE"""),"แม่เหียะ")</f>
        <v>แม่เหียะ</v>
      </c>
      <c r="AA2144" s="3" t="str">
        <f>IFERROR(__xludf.DUMMYFUNCTION("""COMPUTED_VALUE"""),"เมือง")</f>
        <v>เมือง</v>
      </c>
      <c r="AB2144" s="3" t="str">
        <f>IFERROR(__xludf.DUMMYFUNCTION("""COMPUTED_VALUE"""),"เชียงใหม่")</f>
        <v>เชียงใหม่</v>
      </c>
      <c r="AC2144" s="3">
        <f>IFERROR(__xludf.DUMMYFUNCTION("""COMPUTED_VALUE"""),50100.0)</f>
        <v>50100</v>
      </c>
      <c r="AD2144" s="3">
        <f>IFERROR(__xludf.DUMMYFUNCTION("""COMPUTED_VALUE"""),0.0)</f>
        <v>0</v>
      </c>
      <c r="AE2144" s="3">
        <f>IFERROR(__xludf.DUMMYFUNCTION("""COMPUTED_VALUE"""),0.0)</f>
        <v>0</v>
      </c>
      <c r="AF2144" s="3" t="str">
        <f>IFERROR(__xludf.DUMMYFUNCTION("""COMPUTED_VALUE"""),"เพรียวหางดง-41017")</f>
        <v>เพรียวหางดง-41017</v>
      </c>
      <c r="AG2144" s="3" t="str">
        <f>IFERROR(__xludf.DUMMYFUNCTION("""COMPUTED_VALUE"""),"เหนือ")</f>
        <v>เหนือ</v>
      </c>
      <c r="AH2144" s="3" t="str">
        <f>IFERROR(__xludf.DUMMYFUNCTION("""COMPUTED_VALUE"""),"#N/A")</f>
        <v>#N/A</v>
      </c>
      <c r="AI2144" s="3" t="str">
        <f>IFERROR(__xludf.DUMMYFUNCTION("""COMPUTED_VALUE"""),"Out of warranty")</f>
        <v>Out of warranty</v>
      </c>
      <c r="AJ2144" s="3">
        <f>IFERROR(__xludf.DUMMYFUNCTION("""COMPUTED_VALUE"""),188.0)</f>
        <v>188</v>
      </c>
      <c r="AK2144" s="3"/>
      <c r="AL2144" s="3"/>
    </row>
    <row r="2145" ht="15.75" customHeight="1">
      <c r="A2145" s="1" t="str">
        <f>IFERROR(__xludf.DUMMYFUNCTION("""COMPUTED_VALUE"""),"41018")</f>
        <v>41018</v>
      </c>
      <c r="B2145" s="2">
        <f>IFERROR(__xludf.DUMMYFUNCTION("""COMPUTED_VALUE"""),41018.0)</f>
        <v>41018</v>
      </c>
      <c r="C2145" s="3" t="str">
        <f>IFERROR(__xludf.DUMMYFUNCTION("""COMPUTED_VALUE"""),"เพรียวลำปาง")</f>
        <v>เพรียวลำปาง</v>
      </c>
      <c r="D2145" s="3" t="str">
        <f>IFERROR(__xludf.DUMMYFUNCTION("""COMPUTED_VALUE"""),"BIGC LAMPANG PURE")</f>
        <v>BIGC LAMPANG PURE</v>
      </c>
      <c r="E2145" s="1" t="str">
        <f>IFERROR(__xludf.DUMMYFUNCTION("""COMPUTED_VALUE"""),"PURE")</f>
        <v>PURE</v>
      </c>
      <c r="F2145" s="1" t="str">
        <f>IFERROR(__xludf.DUMMYFUNCTION("""COMPUTED_VALUE"""),"2082102")</f>
        <v>2082102</v>
      </c>
      <c r="G2145" s="1" t="str">
        <f>IFERROR(__xludf.DUMMYFUNCTION("""COMPUTED_VALUE"""),"น.ส.วัชรา มหาวันแจ่ม")</f>
        <v>น.ส.วัชรา มหาวันแจ่ม</v>
      </c>
      <c r="H2145" s="1" t="str">
        <f>IFERROR(__xludf.DUMMYFUNCTION("""COMPUTED_VALUE"""),"2082102")</f>
        <v>2082102</v>
      </c>
      <c r="I2145" s="1" t="str">
        <f>IFERROR(__xludf.DUMMYFUNCTION("""COMPUTED_VALUE"""),"น.ส.วัชรา มหาวันแจ่ม")</f>
        <v>น.ส.วัชรา มหาวันแจ่ม</v>
      </c>
      <c r="J2145" s="3">
        <f>IFERROR(__xludf.DUMMYFUNCTION("""COMPUTED_VALUE"""),348.0)</f>
        <v>348</v>
      </c>
      <c r="K2145" s="3" t="str">
        <f>IFERROR(__xludf.DUMMYFUNCTION("""COMPUTED_VALUE"""),"นายธีรนันท์ ไม้สนธิ์")</f>
        <v>นายธีรนันท์ ไม้สนธิ์</v>
      </c>
      <c r="L2145" s="1" t="str">
        <f>IFERROR(__xludf.DUMMYFUNCTION("""COMPUTED_VALUE"""),"Hub07-North")</f>
        <v>Hub07-North</v>
      </c>
      <c r="M2145" s="1" t="str">
        <f>IFERROR(__xludf.DUMMYFUNCTION("""COMPUTED_VALUE"""),"0614175866")</f>
        <v>0614175866</v>
      </c>
      <c r="N2145" s="3">
        <f>IFERROR(__xludf.DUMMYFUNCTION("""COMPUTED_VALUE"""),11118.0)</f>
        <v>11118</v>
      </c>
      <c r="O2145" s="3" t="str">
        <f>IFERROR(__xludf.DUMMYFUNCTION("""COMPUTED_VALUE"""),"ลำปาง")</f>
        <v>ลำปาง</v>
      </c>
      <c r="P2145" s="4">
        <f>IFERROR(__xludf.DUMMYFUNCTION("""COMPUTED_VALUE"""),40350.0)</f>
        <v>40350</v>
      </c>
      <c r="Q2145" s="3" t="str">
        <f>IFERROR(__xludf.DUMMYFUNCTION("""COMPUTED_VALUE"""),"A")</f>
        <v>A</v>
      </c>
      <c r="R2145" s="3" t="str">
        <f>IFERROR(__xludf.DUMMYFUNCTION("""COMPUTED_VALUE"""),"Big Format")</f>
        <v>Big Format</v>
      </c>
      <c r="S2145" s="3" t="str">
        <f>IFERROR(__xludf.DUMMYFUNCTION("""COMPUTED_VALUE"""),"PURE")</f>
        <v>PURE</v>
      </c>
      <c r="T2145" s="3" t="str">
        <f>IFERROR(__xludf.DUMMYFUNCTION("""COMPUTED_VALUE"""),"#N/A")</f>
        <v>#N/A</v>
      </c>
      <c r="U2145" s="3" t="str">
        <f>IFERROR(__xludf.DUMMYFUNCTION("""COMPUTED_VALUE"""),"#N/A")</f>
        <v>#N/A</v>
      </c>
      <c r="V2145" s="3" t="str">
        <f>IFERROR(__xludf.DUMMYFUNCTION("""COMPUTED_VALUE"""),"N")</f>
        <v>N</v>
      </c>
      <c r="W2145" s="3">
        <f>IFERROR(__xludf.DUMMYFUNCTION("""COMPUTED_VALUE"""),111118.0)</f>
        <v>111118</v>
      </c>
      <c r="X2145" s="3" t="str">
        <f>IFERROR(__xludf.DUMMYFUNCTION("""COMPUTED_VALUE"""),"65 ถ.ไฮเวย์ลำปาง-งาว ต.สบตุ๋ย อ.เมืองลำปาง จังหวัดลำปาง 52100")</f>
        <v>65 ถ.ไฮเวย์ลำปาง-งาว ต.สบตุ๋ย อ.เมืองลำปาง จังหวัดลำปาง 52100</v>
      </c>
      <c r="Y2145" s="3" t="str">
        <f>IFERROR(__xludf.DUMMYFUNCTION("""COMPUTED_VALUE"""),"ถ.ไฮเวย์ลำปาง-งาว")</f>
        <v>ถ.ไฮเวย์ลำปาง-งาว</v>
      </c>
      <c r="Z2145" s="3" t="str">
        <f>IFERROR(__xludf.DUMMYFUNCTION("""COMPUTED_VALUE"""),"สบตุ๋ย")</f>
        <v>สบตุ๋ย</v>
      </c>
      <c r="AA2145" s="3" t="str">
        <f>IFERROR(__xludf.DUMMYFUNCTION("""COMPUTED_VALUE"""),"ต.สบตุ๋ย")</f>
        <v>ต.สบตุ๋ย</v>
      </c>
      <c r="AB2145" s="3" t="str">
        <f>IFERROR(__xludf.DUMMYFUNCTION("""COMPUTED_VALUE"""),"ลำปาง")</f>
        <v>ลำปาง</v>
      </c>
      <c r="AC2145" s="3">
        <f>IFERROR(__xludf.DUMMYFUNCTION("""COMPUTED_VALUE"""),52100.0)</f>
        <v>52100</v>
      </c>
      <c r="AD2145" s="3">
        <f>IFERROR(__xludf.DUMMYFUNCTION("""COMPUTED_VALUE"""),0.0)</f>
        <v>0</v>
      </c>
      <c r="AE2145" s="3">
        <f>IFERROR(__xludf.DUMMYFUNCTION("""COMPUTED_VALUE"""),0.0)</f>
        <v>0</v>
      </c>
      <c r="AF2145" s="3" t="str">
        <f>IFERROR(__xludf.DUMMYFUNCTION("""COMPUTED_VALUE"""),"เพรียวลำปาง-41018")</f>
        <v>เพรียวลำปาง-41018</v>
      </c>
      <c r="AG2145" s="3" t="str">
        <f>IFERROR(__xludf.DUMMYFUNCTION("""COMPUTED_VALUE"""),"เหนือ")</f>
        <v>เหนือ</v>
      </c>
      <c r="AH2145" s="3" t="str">
        <f>IFERROR(__xludf.DUMMYFUNCTION("""COMPUTED_VALUE"""),"#N/A")</f>
        <v>#N/A</v>
      </c>
      <c r="AI2145" s="3" t="str">
        <f>IFERROR(__xludf.DUMMYFUNCTION("""COMPUTED_VALUE"""),"Out of warranty")</f>
        <v>Out of warranty</v>
      </c>
      <c r="AJ2145" s="3">
        <f>IFERROR(__xludf.DUMMYFUNCTION("""COMPUTED_VALUE"""),187.0)</f>
        <v>187</v>
      </c>
      <c r="AK2145" s="3"/>
      <c r="AL2145" s="3"/>
    </row>
    <row r="2146" ht="15.75" customHeight="1">
      <c r="A2146" s="1" t="str">
        <f>IFERROR(__xludf.DUMMYFUNCTION("""COMPUTED_VALUE"""),"41019")</f>
        <v>41019</v>
      </c>
      <c r="B2146" s="2">
        <f>IFERROR(__xludf.DUMMYFUNCTION("""COMPUTED_VALUE"""),41019.0)</f>
        <v>41019</v>
      </c>
      <c r="C2146" s="3" t="str">
        <f>IFERROR(__xludf.DUMMYFUNCTION("""COMPUTED_VALUE"""),"เพรียวสระบุรี")</f>
        <v>เพรียวสระบุรี</v>
      </c>
      <c r="D2146" s="3" t="str">
        <f>IFERROR(__xludf.DUMMYFUNCTION("""COMPUTED_VALUE"""),"BIGC JUNIOR SARABURI PURE")</f>
        <v>BIGC JUNIOR SARABURI PURE</v>
      </c>
      <c r="E2146" s="1" t="str">
        <f>IFERROR(__xludf.DUMMYFUNCTION("""COMPUTED_VALUE"""),"PURE")</f>
        <v>PURE</v>
      </c>
      <c r="F2146" s="1" t="str">
        <f>IFERROR(__xludf.DUMMYFUNCTION("""COMPUTED_VALUE"""),"2010612")</f>
        <v>2010612</v>
      </c>
      <c r="G2146" s="1" t="str">
        <f>IFERROR(__xludf.DUMMYFUNCTION("""COMPUTED_VALUE"""),"น.ส.วรรณพร เกตุเลิศประเสริฐ")</f>
        <v>น.ส.วรรณพร เกตุเลิศประเสริฐ</v>
      </c>
      <c r="H2146" s="1" t="str">
        <f>IFERROR(__xludf.DUMMYFUNCTION("""COMPUTED_VALUE"""),"2082102")</f>
        <v>2082102</v>
      </c>
      <c r="I2146" s="1" t="str">
        <f>IFERROR(__xludf.DUMMYFUNCTION("""COMPUTED_VALUE"""),"น.ส.วัชรา มหาวันแจ่ม")</f>
        <v>น.ส.วัชรา มหาวันแจ่ม</v>
      </c>
      <c r="J2146" s="3">
        <f>IFERROR(__xludf.DUMMYFUNCTION("""COMPUTED_VALUE"""),510143.0)</f>
        <v>510143</v>
      </c>
      <c r="K2146" s="3" t="str">
        <f>IFERROR(__xludf.DUMMYFUNCTION("""COMPUTED_VALUE"""),"นายธีระวัฒน์ บุญสิทธิ์")</f>
        <v>นายธีระวัฒน์ บุญสิทธิ์</v>
      </c>
      <c r="L2146" s="1" t="str">
        <f>IFERROR(__xludf.DUMMYFUNCTION("""COMPUTED_VALUE"""),"12 K.Theerawat B.")</f>
        <v>12 K.Theerawat B.</v>
      </c>
      <c r="M2146" s="1" t="str">
        <f>IFERROR(__xludf.DUMMYFUNCTION("""COMPUTED_VALUE"""),"0655107379")</f>
        <v>0655107379</v>
      </c>
      <c r="N2146" s="3">
        <f>IFERROR(__xludf.DUMMYFUNCTION("""COMPUTED_VALUE"""),15001.0)</f>
        <v>15001</v>
      </c>
      <c r="O2146" s="3" t="str">
        <f>IFERROR(__xludf.DUMMYFUNCTION("""COMPUTED_VALUE"""),"สระบุรี")</f>
        <v>สระบุรี</v>
      </c>
      <c r="P2146" s="4">
        <f>IFERROR(__xludf.DUMMYFUNCTION("""COMPUTED_VALUE"""),40354.0)</f>
        <v>40354</v>
      </c>
      <c r="Q2146" s="3" t="str">
        <f>IFERROR(__xludf.DUMMYFUNCTION("""COMPUTED_VALUE"""),"I")</f>
        <v>I</v>
      </c>
      <c r="R2146" s="3" t="str">
        <f>IFERROR(__xludf.DUMMYFUNCTION("""COMPUTED_VALUE"""),"Big Format")</f>
        <v>Big Format</v>
      </c>
      <c r="S2146" s="3" t="str">
        <f>IFERROR(__xludf.DUMMYFUNCTION("""COMPUTED_VALUE"""),"PURE")</f>
        <v>PURE</v>
      </c>
      <c r="T2146" s="3" t="str">
        <f>IFERROR(__xludf.DUMMYFUNCTION("""COMPUTED_VALUE"""),"#N/A")</f>
        <v>#N/A</v>
      </c>
      <c r="U2146" s="3" t="str">
        <f>IFERROR(__xludf.DUMMYFUNCTION("""COMPUTED_VALUE"""),"#N/A")</f>
        <v>#N/A</v>
      </c>
      <c r="V2146" s="3" t="str">
        <f>IFERROR(__xludf.DUMMYFUNCTION("""COMPUTED_VALUE"""),"N")</f>
        <v>N</v>
      </c>
      <c r="W2146" s="3">
        <f>IFERROR(__xludf.DUMMYFUNCTION("""COMPUTED_VALUE"""),411017.0)</f>
        <v>411017</v>
      </c>
      <c r="X2146" s="3" t="str">
        <f>IFERROR(__xludf.DUMMYFUNCTION("""COMPUTED_VALUE"""),"57/7 ถนนสุดบรรทัด ตำบลปากเพรียว อำเภอเมืองสระบุรี จังหวัดสระบุรี 18000")</f>
        <v>57/7 ถนนสุดบรรทัด ตำบลปากเพรียว อำเภอเมืองสระบุรี จังหวัดสระบุรี 18000</v>
      </c>
      <c r="Y2146" s="3" t="str">
        <f>IFERROR(__xludf.DUMMYFUNCTION("""COMPUTED_VALUE"""),"ถนนสุดบรรทัด")</f>
        <v>ถนนสุดบรรทัด</v>
      </c>
      <c r="Z2146" s="3" t="str">
        <f>IFERROR(__xludf.DUMMYFUNCTION("""COMPUTED_VALUE"""),"ปากเพรียว")</f>
        <v>ปากเพรียว</v>
      </c>
      <c r="AA2146" s="3" t="str">
        <f>IFERROR(__xludf.DUMMYFUNCTION("""COMPUTED_VALUE"""),"เมือง")</f>
        <v>เมือง</v>
      </c>
      <c r="AB2146" s="3" t="str">
        <f>IFERROR(__xludf.DUMMYFUNCTION("""COMPUTED_VALUE"""),"สระบุรี")</f>
        <v>สระบุรี</v>
      </c>
      <c r="AC2146" s="3">
        <f>IFERROR(__xludf.DUMMYFUNCTION("""COMPUTED_VALUE"""),18000.0)</f>
        <v>18000</v>
      </c>
      <c r="AD2146" s="3">
        <f>IFERROR(__xludf.DUMMYFUNCTION("""COMPUTED_VALUE"""),0.0)</f>
        <v>0</v>
      </c>
      <c r="AE2146" s="3">
        <f>IFERROR(__xludf.DUMMYFUNCTION("""COMPUTED_VALUE"""),0.0)</f>
        <v>0</v>
      </c>
      <c r="AF2146" s="3" t="str">
        <f>IFERROR(__xludf.DUMMYFUNCTION("""COMPUTED_VALUE"""),"เพรียวสระบุรี-41019")</f>
        <v>เพรียวสระบุรี-41019</v>
      </c>
      <c r="AG2146" s="3" t="str">
        <f>IFERROR(__xludf.DUMMYFUNCTION("""COMPUTED_VALUE"""),"กลาง")</f>
        <v>กลาง</v>
      </c>
      <c r="AH2146" s="3" t="str">
        <f>IFERROR(__xludf.DUMMYFUNCTION("""COMPUTED_VALUE"""),"#N/A")</f>
        <v>#N/A</v>
      </c>
      <c r="AI2146" s="3" t="str">
        <f>IFERROR(__xludf.DUMMYFUNCTION("""COMPUTED_VALUE"""),"Out of warranty")</f>
        <v>Out of warranty</v>
      </c>
      <c r="AJ2146" s="3">
        <f>IFERROR(__xludf.DUMMYFUNCTION("""COMPUTED_VALUE"""),187.0)</f>
        <v>187</v>
      </c>
      <c r="AK2146" s="3"/>
      <c r="AL2146" s="3"/>
    </row>
    <row r="2147" ht="15.75" customHeight="1">
      <c r="A2147" s="1" t="str">
        <f>IFERROR(__xludf.DUMMYFUNCTION("""COMPUTED_VALUE"""),"41020")</f>
        <v>41020</v>
      </c>
      <c r="B2147" s="2">
        <f>IFERROR(__xludf.DUMMYFUNCTION("""COMPUTED_VALUE"""),41020.0)</f>
        <v>41020</v>
      </c>
      <c r="C2147" s="3" t="str">
        <f>IFERROR(__xludf.DUMMYFUNCTION("""COMPUTED_VALUE"""),"เพรียวลพบุรี")</f>
        <v>เพรียวลพบุรี</v>
      </c>
      <c r="D2147" s="3" t="str">
        <f>IFERROR(__xludf.DUMMYFUNCTION("""COMPUTED_VALUE"""),"BIGC LOPBURI PURE")</f>
        <v>BIGC LOPBURI PURE</v>
      </c>
      <c r="E2147" s="1" t="str">
        <f>IFERROR(__xludf.DUMMYFUNCTION("""COMPUTED_VALUE"""),"PURE")</f>
        <v>PURE</v>
      </c>
      <c r="F2147" s="1" t="str">
        <f>IFERROR(__xludf.DUMMYFUNCTION("""COMPUTED_VALUE"""),"2082102")</f>
        <v>2082102</v>
      </c>
      <c r="G2147" s="1" t="str">
        <f>IFERROR(__xludf.DUMMYFUNCTION("""COMPUTED_VALUE"""),"น.ส.วัชรา มหาวันแจ่ม")</f>
        <v>น.ส.วัชรา มหาวันแจ่ม</v>
      </c>
      <c r="H2147" s="1" t="str">
        <f>IFERROR(__xludf.DUMMYFUNCTION("""COMPUTED_VALUE"""),"2082102")</f>
        <v>2082102</v>
      </c>
      <c r="I2147" s="1" t="str">
        <f>IFERROR(__xludf.DUMMYFUNCTION("""COMPUTED_VALUE"""),"น.ส.วัชรา มหาวันแจ่ม")</f>
        <v>น.ส.วัชรา มหาวันแจ่ม</v>
      </c>
      <c r="J2147" s="3">
        <f>IFERROR(__xludf.DUMMYFUNCTION("""COMPUTED_VALUE"""),2455179.0)</f>
        <v>2455179</v>
      </c>
      <c r="K2147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2147" s="1" t="str">
        <f>IFERROR(__xludf.DUMMYFUNCTION("""COMPUTED_VALUE"""),"Hub06-C&amp;W")</f>
        <v>Hub06-C&amp;W</v>
      </c>
      <c r="M2147" s="1" t="str">
        <f>IFERROR(__xludf.DUMMYFUNCTION("""COMPUTED_VALUE"""),"090-993-6896")</f>
        <v>090-993-6896</v>
      </c>
      <c r="N2147" s="3">
        <f>IFERROR(__xludf.DUMMYFUNCTION("""COMPUTED_VALUE"""),11119.0)</f>
        <v>11119</v>
      </c>
      <c r="O2147" s="3" t="str">
        <f>IFERROR(__xludf.DUMMYFUNCTION("""COMPUTED_VALUE"""),"ลพบุรี")</f>
        <v>ลพบุรี</v>
      </c>
      <c r="P2147" s="4">
        <f>IFERROR(__xludf.DUMMYFUNCTION("""COMPUTED_VALUE"""),40358.0)</f>
        <v>40358</v>
      </c>
      <c r="Q2147" s="3" t="str">
        <f>IFERROR(__xludf.DUMMYFUNCTION("""COMPUTED_VALUE"""),"A")</f>
        <v>A</v>
      </c>
      <c r="R2147" s="3" t="str">
        <f>IFERROR(__xludf.DUMMYFUNCTION("""COMPUTED_VALUE"""),"Big Format")</f>
        <v>Big Format</v>
      </c>
      <c r="S2147" s="3" t="str">
        <f>IFERROR(__xludf.DUMMYFUNCTION("""COMPUTED_VALUE"""),"PURE")</f>
        <v>PURE</v>
      </c>
      <c r="T2147" s="3" t="str">
        <f>IFERROR(__xludf.DUMMYFUNCTION("""COMPUTED_VALUE"""),"#N/A")</f>
        <v>#N/A</v>
      </c>
      <c r="U2147" s="3" t="str">
        <f>IFERROR(__xludf.DUMMYFUNCTION("""COMPUTED_VALUE"""),"#N/A")</f>
        <v>#N/A</v>
      </c>
      <c r="V2147" s="3" t="str">
        <f>IFERROR(__xludf.DUMMYFUNCTION("""COMPUTED_VALUE"""),"N")</f>
        <v>N</v>
      </c>
      <c r="W2147" s="3">
        <f>IFERROR(__xludf.DUMMYFUNCTION("""COMPUTED_VALUE"""),111119.0)</f>
        <v>111119</v>
      </c>
      <c r="X2147" s="3" t="str">
        <f>IFERROR(__xludf.DUMMYFUNCTION("""COMPUTED_VALUE"""),"2 หมู่ 1 ต.ท่าศาลา อ.เมืองลพบุรี จ.ลพบุรี 15000 จังหวัดลพบุรี 15000")</f>
        <v>2 หมู่ 1 ต.ท่าศาลา อ.เมืองลพบุรี จ.ลพบุรี 15000 จังหวัดลพบุรี 15000</v>
      </c>
      <c r="Y2147" s="3"/>
      <c r="Z2147" s="3" t="str">
        <f>IFERROR(__xludf.DUMMYFUNCTION("""COMPUTED_VALUE"""),"ท่าศาลา")</f>
        <v>ท่าศาลา</v>
      </c>
      <c r="AA2147" s="3" t="str">
        <f>IFERROR(__xludf.DUMMYFUNCTION("""COMPUTED_VALUE"""),"เมือง")</f>
        <v>เมือง</v>
      </c>
      <c r="AB2147" s="3" t="str">
        <f>IFERROR(__xludf.DUMMYFUNCTION("""COMPUTED_VALUE"""),"ลพบุรี")</f>
        <v>ลพบุรี</v>
      </c>
      <c r="AC2147" s="3">
        <f>IFERROR(__xludf.DUMMYFUNCTION("""COMPUTED_VALUE"""),15000.0)</f>
        <v>15000</v>
      </c>
      <c r="AD2147" s="3">
        <f>IFERROR(__xludf.DUMMYFUNCTION("""COMPUTED_VALUE"""),0.0)</f>
        <v>0</v>
      </c>
      <c r="AE2147" s="3">
        <f>IFERROR(__xludf.DUMMYFUNCTION("""COMPUTED_VALUE"""),0.0)</f>
        <v>0</v>
      </c>
      <c r="AF2147" s="3" t="str">
        <f>IFERROR(__xludf.DUMMYFUNCTION("""COMPUTED_VALUE"""),"เพรียวลพบุรี-41020")</f>
        <v>เพรียวลพบุรี-41020</v>
      </c>
      <c r="AG2147" s="3" t="str">
        <f>IFERROR(__xludf.DUMMYFUNCTION("""COMPUTED_VALUE"""),"กลาง")</f>
        <v>กลาง</v>
      </c>
      <c r="AH2147" s="3" t="str">
        <f>IFERROR(__xludf.DUMMYFUNCTION("""COMPUTED_VALUE"""),"#N/A")</f>
        <v>#N/A</v>
      </c>
      <c r="AI2147" s="3" t="str">
        <f>IFERROR(__xludf.DUMMYFUNCTION("""COMPUTED_VALUE"""),"Out of warranty")</f>
        <v>Out of warranty</v>
      </c>
      <c r="AJ2147" s="3">
        <f>IFERROR(__xludf.DUMMYFUNCTION("""COMPUTED_VALUE"""),187.0)</f>
        <v>187</v>
      </c>
      <c r="AK2147" s="3"/>
      <c r="AL2147" s="3"/>
    </row>
    <row r="2148" ht="15.75" customHeight="1">
      <c r="A2148" s="1" t="str">
        <f>IFERROR(__xludf.DUMMYFUNCTION("""COMPUTED_VALUE"""),"41021")</f>
        <v>41021</v>
      </c>
      <c r="B2148" s="2">
        <f>IFERROR(__xludf.DUMMYFUNCTION("""COMPUTED_VALUE"""),41021.0)</f>
        <v>41021</v>
      </c>
      <c r="C2148" s="3" t="str">
        <f>IFERROR(__xludf.DUMMYFUNCTION("""COMPUTED_VALUE"""),"เพรียวนครปฐม")</f>
        <v>เพรียวนครปฐม</v>
      </c>
      <c r="D2148" s="3" t="str">
        <f>IFERROR(__xludf.DUMMYFUNCTION("""COMPUTED_VALUE"""),"BIGC NAKORNPATHOM PURE")</f>
        <v>BIGC NAKORNPATHOM PURE</v>
      </c>
      <c r="E2148" s="1" t="str">
        <f>IFERROR(__xludf.DUMMYFUNCTION("""COMPUTED_VALUE"""),"PURE")</f>
        <v>PURE</v>
      </c>
      <c r="F2148" s="1" t="str">
        <f>IFERROR(__xludf.DUMMYFUNCTION("""COMPUTED_VALUE"""),"2010612")</f>
        <v>2010612</v>
      </c>
      <c r="G2148" s="1" t="str">
        <f>IFERROR(__xludf.DUMMYFUNCTION("""COMPUTED_VALUE"""),"น.ส.วรรณพร เกตุเลิศประเสริฐ")</f>
        <v>น.ส.วรรณพร เกตุเลิศประเสริฐ</v>
      </c>
      <c r="H2148" s="1" t="str">
        <f>IFERROR(__xludf.DUMMYFUNCTION("""COMPUTED_VALUE"""),"2010612")</f>
        <v>2010612</v>
      </c>
      <c r="I2148" s="1" t="str">
        <f>IFERROR(__xludf.DUMMYFUNCTION("""COMPUTED_VALUE"""),"น.ส.วรรณพร เกตุเลิศประเสริฐ")</f>
        <v>น.ส.วรรณพร เกตุเลิศประเสริฐ</v>
      </c>
      <c r="J2148" s="3">
        <f>IFERROR(__xludf.DUMMYFUNCTION("""COMPUTED_VALUE"""),2454701.0)</f>
        <v>2454701</v>
      </c>
      <c r="K2148" s="3" t="str">
        <f>IFERROR(__xludf.DUMMYFUNCTION("""COMPUTED_VALUE"""),"นายกานต์ ไชยแสงศรี")</f>
        <v>นายกานต์ ไชยแสงศรี</v>
      </c>
      <c r="L2148" s="1" t="str">
        <f>IFERROR(__xludf.DUMMYFUNCTION("""COMPUTED_VALUE"""),"Hub01-BKK 1")</f>
        <v>Hub01-BKK 1</v>
      </c>
      <c r="M2148" s="1" t="str">
        <f>IFERROR(__xludf.DUMMYFUNCTION("""COMPUTED_VALUE"""),"0909090652")</f>
        <v>0909090652</v>
      </c>
      <c r="N2148" s="3">
        <f>IFERROR(__xludf.DUMMYFUNCTION("""COMPUTED_VALUE"""),11107.0)</f>
        <v>11107</v>
      </c>
      <c r="O2148" s="3" t="str">
        <f>IFERROR(__xludf.DUMMYFUNCTION("""COMPUTED_VALUE"""),"นครปฐม")</f>
        <v>นครปฐม</v>
      </c>
      <c r="P2148" s="4">
        <f>IFERROR(__xludf.DUMMYFUNCTION("""COMPUTED_VALUE"""),40362.0)</f>
        <v>40362</v>
      </c>
      <c r="Q2148" s="3" t="str">
        <f>IFERROR(__xludf.DUMMYFUNCTION("""COMPUTED_VALUE"""),"A")</f>
        <v>A</v>
      </c>
      <c r="R2148" s="3" t="str">
        <f>IFERROR(__xludf.DUMMYFUNCTION("""COMPUTED_VALUE"""),"Big Format")</f>
        <v>Big Format</v>
      </c>
      <c r="S2148" s="3" t="str">
        <f>IFERROR(__xludf.DUMMYFUNCTION("""COMPUTED_VALUE"""),"PURE")</f>
        <v>PURE</v>
      </c>
      <c r="T2148" s="3" t="str">
        <f>IFERROR(__xludf.DUMMYFUNCTION("""COMPUTED_VALUE"""),"#N/A")</f>
        <v>#N/A</v>
      </c>
      <c r="U2148" s="3" t="str">
        <f>IFERROR(__xludf.DUMMYFUNCTION("""COMPUTED_VALUE"""),"#N/A")</f>
        <v>#N/A</v>
      </c>
      <c r="V2148" s="3" t="str">
        <f>IFERROR(__xludf.DUMMYFUNCTION("""COMPUTED_VALUE"""),"N")</f>
        <v>N</v>
      </c>
      <c r="W2148" s="3">
        <f>IFERROR(__xludf.DUMMYFUNCTION("""COMPUTED_VALUE"""),111107.0)</f>
        <v>111107</v>
      </c>
      <c r="X2148" s="3" t="str">
        <f>IFERROR(__xludf.DUMMYFUNCTION("""COMPUTED_VALUE"""),"754 ถนนเพชรเกษม ตำบลห้วยจรเข้ อำเภอเมืองนครปฐม จังหวัดนครปฐม 73000")</f>
        <v>754 ถนนเพชรเกษม ตำบลห้วยจรเข้ อำเภอเมืองนครปฐม จังหวัดนครปฐม 73000</v>
      </c>
      <c r="Y2148" s="3" t="str">
        <f>IFERROR(__xludf.DUMMYFUNCTION("""COMPUTED_VALUE"""),"ถนนเพชรเกษม")</f>
        <v>ถนนเพชรเกษม</v>
      </c>
      <c r="Z2148" s="3" t="str">
        <f>IFERROR(__xludf.DUMMYFUNCTION("""COMPUTED_VALUE"""),"ห้วยจรเข้")</f>
        <v>ห้วยจรเข้</v>
      </c>
      <c r="AA2148" s="3" t="str">
        <f>IFERROR(__xludf.DUMMYFUNCTION("""COMPUTED_VALUE"""),"เมือง")</f>
        <v>เมือง</v>
      </c>
      <c r="AB2148" s="3" t="str">
        <f>IFERROR(__xludf.DUMMYFUNCTION("""COMPUTED_VALUE"""),"นครปฐม")</f>
        <v>นครปฐม</v>
      </c>
      <c r="AC2148" s="3">
        <f>IFERROR(__xludf.DUMMYFUNCTION("""COMPUTED_VALUE"""),73000.0)</f>
        <v>73000</v>
      </c>
      <c r="AD2148" s="3">
        <f>IFERROR(__xludf.DUMMYFUNCTION("""COMPUTED_VALUE"""),0.0)</f>
        <v>0</v>
      </c>
      <c r="AE2148" s="3">
        <f>IFERROR(__xludf.DUMMYFUNCTION("""COMPUTED_VALUE"""),0.0)</f>
        <v>0</v>
      </c>
      <c r="AF2148" s="3" t="str">
        <f>IFERROR(__xludf.DUMMYFUNCTION("""COMPUTED_VALUE"""),"เพรียวนครปฐม-41021")</f>
        <v>เพรียวนครปฐม-41021</v>
      </c>
      <c r="AG2148" s="3" t="str">
        <f>IFERROR(__xludf.DUMMYFUNCTION("""COMPUTED_VALUE"""),"กลาง")</f>
        <v>กลาง</v>
      </c>
      <c r="AH2148" s="3" t="str">
        <f>IFERROR(__xludf.DUMMYFUNCTION("""COMPUTED_VALUE"""),"#N/A")</f>
        <v>#N/A</v>
      </c>
      <c r="AI2148" s="3" t="str">
        <f>IFERROR(__xludf.DUMMYFUNCTION("""COMPUTED_VALUE"""),"Out of warranty")</f>
        <v>Out of warranty</v>
      </c>
      <c r="AJ2148" s="3">
        <f>IFERROR(__xludf.DUMMYFUNCTION("""COMPUTED_VALUE"""),187.0)</f>
        <v>187</v>
      </c>
      <c r="AK2148" s="3"/>
      <c r="AL2148" s="3"/>
    </row>
    <row r="2149" ht="15.75" customHeight="1">
      <c r="A2149" s="1" t="str">
        <f>IFERROR(__xludf.DUMMYFUNCTION("""COMPUTED_VALUE"""),"41022")</f>
        <v>41022</v>
      </c>
      <c r="B2149" s="2">
        <f>IFERROR(__xludf.DUMMYFUNCTION("""COMPUTED_VALUE"""),41022.0)</f>
        <v>41022</v>
      </c>
      <c r="C2149" s="3" t="str">
        <f>IFERROR(__xludf.DUMMYFUNCTION("""COMPUTED_VALUE"""),"เพรียวอ้อมใหญ่")</f>
        <v>เพรียวอ้อมใหญ่</v>
      </c>
      <c r="D2149" s="3" t="str">
        <f>IFERROR(__xludf.DUMMYFUNCTION("""COMPUTED_VALUE"""),"BIGC OAMYAI PURE")</f>
        <v>BIGC OAMYAI PURE</v>
      </c>
      <c r="E2149" s="1" t="str">
        <f>IFERROR(__xludf.DUMMYFUNCTION("""COMPUTED_VALUE"""),"PURE")</f>
        <v>PURE</v>
      </c>
      <c r="F2149" s="1" t="str">
        <f>IFERROR(__xludf.DUMMYFUNCTION("""COMPUTED_VALUE"""),"2010612")</f>
        <v>2010612</v>
      </c>
      <c r="G2149" s="1" t="str">
        <f>IFERROR(__xludf.DUMMYFUNCTION("""COMPUTED_VALUE"""),"น.ส.วรรณพร เกตุเลิศประเสริฐ")</f>
        <v>น.ส.วรรณพร เกตุเลิศประเสริฐ</v>
      </c>
      <c r="H2149" s="1" t="str">
        <f>IFERROR(__xludf.DUMMYFUNCTION("""COMPUTED_VALUE"""),"2010612")</f>
        <v>2010612</v>
      </c>
      <c r="I2149" s="1" t="str">
        <f>IFERROR(__xludf.DUMMYFUNCTION("""COMPUTED_VALUE"""),"น.ส.วรรณพร เกตุเลิศประเสริฐ")</f>
        <v>น.ส.วรรณพร เกตุเลิศประเสริฐ</v>
      </c>
      <c r="J2149" s="3">
        <f>IFERROR(__xludf.DUMMYFUNCTION("""COMPUTED_VALUE"""),2454701.0)</f>
        <v>2454701</v>
      </c>
      <c r="K2149" s="3" t="str">
        <f>IFERROR(__xludf.DUMMYFUNCTION("""COMPUTED_VALUE"""),"นายกานต์ ไชยแสงศรี")</f>
        <v>นายกานต์ ไชยแสงศรี</v>
      </c>
      <c r="L2149" s="1" t="str">
        <f>IFERROR(__xludf.DUMMYFUNCTION("""COMPUTED_VALUE"""),"Hub01-BKK 1")</f>
        <v>Hub01-BKK 1</v>
      </c>
      <c r="M2149" s="1" t="str">
        <f>IFERROR(__xludf.DUMMYFUNCTION("""COMPUTED_VALUE"""),"0909090652")</f>
        <v>0909090652</v>
      </c>
      <c r="N2149" s="3">
        <f>IFERROR(__xludf.DUMMYFUNCTION("""COMPUTED_VALUE"""),11141.0)</f>
        <v>11141</v>
      </c>
      <c r="O2149" s="3" t="str">
        <f>IFERROR(__xludf.DUMMYFUNCTION("""COMPUTED_VALUE"""),"อ้อมใหญ่")</f>
        <v>อ้อมใหญ่</v>
      </c>
      <c r="P2149" s="4">
        <f>IFERROR(__xludf.DUMMYFUNCTION("""COMPUTED_VALUE"""),40369.0)</f>
        <v>40369</v>
      </c>
      <c r="Q2149" s="3" t="str">
        <f>IFERROR(__xludf.DUMMYFUNCTION("""COMPUTED_VALUE"""),"A")</f>
        <v>A</v>
      </c>
      <c r="R2149" s="3" t="str">
        <f>IFERROR(__xludf.DUMMYFUNCTION("""COMPUTED_VALUE"""),"Big Format")</f>
        <v>Big Format</v>
      </c>
      <c r="S2149" s="3" t="str">
        <f>IFERROR(__xludf.DUMMYFUNCTION("""COMPUTED_VALUE"""),"PURE")</f>
        <v>PURE</v>
      </c>
      <c r="T2149" s="3" t="str">
        <f>IFERROR(__xludf.DUMMYFUNCTION("""COMPUTED_VALUE"""),"#N/A")</f>
        <v>#N/A</v>
      </c>
      <c r="U2149" s="3" t="str">
        <f>IFERROR(__xludf.DUMMYFUNCTION("""COMPUTED_VALUE"""),"#N/A")</f>
        <v>#N/A</v>
      </c>
      <c r="V2149" s="3" t="str">
        <f>IFERROR(__xludf.DUMMYFUNCTION("""COMPUTED_VALUE"""),"N")</f>
        <v>N</v>
      </c>
      <c r="W2149" s="3">
        <f>IFERROR(__xludf.DUMMYFUNCTION("""COMPUTED_VALUE"""),111141.0)</f>
        <v>111141</v>
      </c>
      <c r="X2149" s="3" t="str">
        <f>IFERROR(__xludf.DUMMYFUNCTION("""COMPUTED_VALUE"""),"17/17 หมู่ที่ 8 ตำบลอ้อมใหญ่ อำเภอสามพราน จังหวัดนครปฐม 73160")</f>
        <v>17/17 หมู่ที่ 8 ตำบลอ้อมใหญ่ อำเภอสามพราน จังหวัดนครปฐม 73160</v>
      </c>
      <c r="Y2149" s="3"/>
      <c r="Z2149" s="3" t="str">
        <f>IFERROR(__xludf.DUMMYFUNCTION("""COMPUTED_VALUE"""),"อ้อมใหญ่")</f>
        <v>อ้อมใหญ่</v>
      </c>
      <c r="AA2149" s="3" t="str">
        <f>IFERROR(__xludf.DUMMYFUNCTION("""COMPUTED_VALUE"""),"สามพราน")</f>
        <v>สามพราน</v>
      </c>
      <c r="AB2149" s="3" t="str">
        <f>IFERROR(__xludf.DUMMYFUNCTION("""COMPUTED_VALUE"""),"นครปฐม")</f>
        <v>นครปฐม</v>
      </c>
      <c r="AC2149" s="3">
        <f>IFERROR(__xludf.DUMMYFUNCTION("""COMPUTED_VALUE"""),73160.0)</f>
        <v>73160</v>
      </c>
      <c r="AD2149" s="3">
        <f>IFERROR(__xludf.DUMMYFUNCTION("""COMPUTED_VALUE"""),0.0)</f>
        <v>0</v>
      </c>
      <c r="AE2149" s="3">
        <f>IFERROR(__xludf.DUMMYFUNCTION("""COMPUTED_VALUE"""),0.0)</f>
        <v>0</v>
      </c>
      <c r="AF2149" s="3" t="str">
        <f>IFERROR(__xludf.DUMMYFUNCTION("""COMPUTED_VALUE"""),"เพรียวอ้อมใหญ่-41022")</f>
        <v>เพรียวอ้อมใหญ่-41022</v>
      </c>
      <c r="AG2149" s="3" t="str">
        <f>IFERROR(__xludf.DUMMYFUNCTION("""COMPUTED_VALUE"""),"กลาง")</f>
        <v>กลาง</v>
      </c>
      <c r="AH2149" s="3" t="str">
        <f>IFERROR(__xludf.DUMMYFUNCTION("""COMPUTED_VALUE"""),"#N/A")</f>
        <v>#N/A</v>
      </c>
      <c r="AI2149" s="3" t="str">
        <f>IFERROR(__xludf.DUMMYFUNCTION("""COMPUTED_VALUE"""),"Out of warranty")</f>
        <v>Out of warranty</v>
      </c>
      <c r="AJ2149" s="3">
        <f>IFERROR(__xludf.DUMMYFUNCTION("""COMPUTED_VALUE"""),187.0)</f>
        <v>187</v>
      </c>
      <c r="AK2149" s="3"/>
      <c r="AL2149" s="3"/>
    </row>
    <row r="2150" ht="15.75" customHeight="1">
      <c r="A2150" s="1" t="str">
        <f>IFERROR(__xludf.DUMMYFUNCTION("""COMPUTED_VALUE"""),"41023")</f>
        <v>41023</v>
      </c>
      <c r="B2150" s="2">
        <f>IFERROR(__xludf.DUMMYFUNCTION("""COMPUTED_VALUE"""),41023.0)</f>
        <v>41023</v>
      </c>
      <c r="C2150" s="3" t="str">
        <f>IFERROR(__xludf.DUMMYFUNCTION("""COMPUTED_VALUE"""),"เพรียวระยอง")</f>
        <v>เพรียวระยอง</v>
      </c>
      <c r="D2150" s="3" t="str">
        <f>IFERROR(__xludf.DUMMYFUNCTION("""COMPUTED_VALUE"""),"BIGC RAYONG PURE")</f>
        <v>BIGC RAYONG PURE</v>
      </c>
      <c r="E2150" s="1" t="str">
        <f>IFERROR(__xludf.DUMMYFUNCTION("""COMPUTED_VALUE"""),"PURE")</f>
        <v>PURE</v>
      </c>
      <c r="F2150" s="1" t="str">
        <f>IFERROR(__xludf.DUMMYFUNCTION("""COMPUTED_VALUE"""),"228469")</f>
        <v>228469</v>
      </c>
      <c r="G2150" s="1" t="str">
        <f>IFERROR(__xludf.DUMMYFUNCTION("""COMPUTED_VALUE"""),"น.ส.บงกช ทำการดี")</f>
        <v>น.ส.บงกช ทำการดี</v>
      </c>
      <c r="H2150" s="1" t="str">
        <f>IFERROR(__xludf.DUMMYFUNCTION("""COMPUTED_VALUE"""),"228469")</f>
        <v>228469</v>
      </c>
      <c r="I2150" s="1" t="str">
        <f>IFERROR(__xludf.DUMMYFUNCTION("""COMPUTED_VALUE"""),"น.ส.บงกช ทำการดี")</f>
        <v>น.ส.บงกช ทำการดี</v>
      </c>
      <c r="J2150" s="3">
        <f>IFERROR(__xludf.DUMMYFUNCTION("""COMPUTED_VALUE"""),2455164.0)</f>
        <v>2455164</v>
      </c>
      <c r="K2150" s="3" t="str">
        <f>IFERROR(__xludf.DUMMYFUNCTION("""COMPUTED_VALUE"""),"นายกรวิทย์ เจริญพร")</f>
        <v>นายกรวิทย์ เจริญพร</v>
      </c>
      <c r="L2150" s="3" t="str">
        <f>IFERROR(__xludf.DUMMYFUNCTION("""COMPUTED_VALUE"""),"Hub08-East")</f>
        <v>Hub08-East</v>
      </c>
      <c r="M2150" s="1" t="str">
        <f>IFERROR(__xludf.DUMMYFUNCTION("""COMPUTED_VALUE"""),"092-605-9922")</f>
        <v>092-605-9922</v>
      </c>
      <c r="N2150" s="3">
        <f>IFERROR(__xludf.DUMMYFUNCTION("""COMPUTED_VALUE"""),11115.0)</f>
        <v>11115</v>
      </c>
      <c r="O2150" s="3" t="str">
        <f>IFERROR(__xludf.DUMMYFUNCTION("""COMPUTED_VALUE"""),"ระยอง")</f>
        <v>ระยอง</v>
      </c>
      <c r="P2150" s="4">
        <f>IFERROR(__xludf.DUMMYFUNCTION("""COMPUTED_VALUE"""),40375.0)</f>
        <v>40375</v>
      </c>
      <c r="Q2150" s="3" t="str">
        <f>IFERROR(__xludf.DUMMYFUNCTION("""COMPUTED_VALUE"""),"A")</f>
        <v>A</v>
      </c>
      <c r="R2150" s="3" t="str">
        <f>IFERROR(__xludf.DUMMYFUNCTION("""COMPUTED_VALUE"""),"Big Format")</f>
        <v>Big Format</v>
      </c>
      <c r="S2150" s="3" t="str">
        <f>IFERROR(__xludf.DUMMYFUNCTION("""COMPUTED_VALUE"""),"PURE")</f>
        <v>PURE</v>
      </c>
      <c r="T2150" s="3" t="str">
        <f>IFERROR(__xludf.DUMMYFUNCTION("""COMPUTED_VALUE"""),"#N/A")</f>
        <v>#N/A</v>
      </c>
      <c r="U2150" s="3" t="str">
        <f>IFERROR(__xludf.DUMMYFUNCTION("""COMPUTED_VALUE"""),"#N/A")</f>
        <v>#N/A</v>
      </c>
      <c r="V2150" s="3" t="str">
        <f>IFERROR(__xludf.DUMMYFUNCTION("""COMPUTED_VALUE"""),"N")</f>
        <v>N</v>
      </c>
      <c r="W2150" s="3">
        <f>IFERROR(__xludf.DUMMYFUNCTION("""COMPUTED_VALUE"""),111115.0)</f>
        <v>111115</v>
      </c>
      <c r="X2150" s="3" t="str">
        <f>IFERROR(__xludf.DUMMYFUNCTION("""COMPUTED_VALUE"""),"15/11 ถ.บางนา-ตราด ต.เชิงเนิน อ.เมือง จ.ระยอง 21000")</f>
        <v>15/11 ถ.บางนา-ตราด ต.เชิงเนิน อ.เมือง จ.ระยอง 21000</v>
      </c>
      <c r="Y2150" s="3" t="str">
        <f>IFERROR(__xludf.DUMMYFUNCTION("""COMPUTED_VALUE"""),"ถ.บางนา-ตราด")</f>
        <v>ถ.บางนา-ตราด</v>
      </c>
      <c r="Z2150" s="3" t="str">
        <f>IFERROR(__xludf.DUMMYFUNCTION("""COMPUTED_VALUE"""),"เชิงเนิน")</f>
        <v>เชิงเนิน</v>
      </c>
      <c r="AA2150" s="3" t="str">
        <f>IFERROR(__xludf.DUMMYFUNCTION("""COMPUTED_VALUE"""),"เมือง")</f>
        <v>เมือง</v>
      </c>
      <c r="AB2150" s="3" t="str">
        <f>IFERROR(__xludf.DUMMYFUNCTION("""COMPUTED_VALUE"""),"ระยอง")</f>
        <v>ระยอง</v>
      </c>
      <c r="AC2150" s="3">
        <f>IFERROR(__xludf.DUMMYFUNCTION("""COMPUTED_VALUE"""),21000.0)</f>
        <v>21000</v>
      </c>
      <c r="AD2150" s="3">
        <f>IFERROR(__xludf.DUMMYFUNCTION("""COMPUTED_VALUE"""),0.0)</f>
        <v>0</v>
      </c>
      <c r="AE2150" s="3">
        <f>IFERROR(__xludf.DUMMYFUNCTION("""COMPUTED_VALUE"""),0.0)</f>
        <v>0</v>
      </c>
      <c r="AF2150" s="3" t="str">
        <f>IFERROR(__xludf.DUMMYFUNCTION("""COMPUTED_VALUE"""),"เพรียวระยอง-41023")</f>
        <v>เพรียวระยอง-41023</v>
      </c>
      <c r="AG2150" s="3" t="str">
        <f>IFERROR(__xludf.DUMMYFUNCTION("""COMPUTED_VALUE"""),"ตะวันออก")</f>
        <v>ตะวันออก</v>
      </c>
      <c r="AH2150" s="3" t="str">
        <f>IFERROR(__xludf.DUMMYFUNCTION("""COMPUTED_VALUE"""),"#N/A")</f>
        <v>#N/A</v>
      </c>
      <c r="AI2150" s="3" t="str">
        <f>IFERROR(__xludf.DUMMYFUNCTION("""COMPUTED_VALUE"""),"Out of warranty")</f>
        <v>Out of warranty</v>
      </c>
      <c r="AJ2150" s="3">
        <f>IFERROR(__xludf.DUMMYFUNCTION("""COMPUTED_VALUE"""),187.0)</f>
        <v>187</v>
      </c>
      <c r="AK2150" s="3"/>
      <c r="AL2150" s="3"/>
    </row>
    <row r="2151" ht="15.75" customHeight="1">
      <c r="A2151" s="1" t="str">
        <f>IFERROR(__xludf.DUMMYFUNCTION("""COMPUTED_VALUE"""),"41024")</f>
        <v>41024</v>
      </c>
      <c r="B2151" s="2">
        <f>IFERROR(__xludf.DUMMYFUNCTION("""COMPUTED_VALUE"""),41024.0)</f>
        <v>41024</v>
      </c>
      <c r="C2151" s="3" t="str">
        <f>IFERROR(__xludf.DUMMYFUNCTION("""COMPUTED_VALUE"""),"เพรียวบางพลี")</f>
        <v>เพรียวบางพลี</v>
      </c>
      <c r="D2151" s="3" t="str">
        <f>IFERROR(__xludf.DUMMYFUNCTION("""COMPUTED_VALUE"""),"BIGC BANGPLEE PURE")</f>
        <v>BIGC BANGPLEE PURE</v>
      </c>
      <c r="E2151" s="1" t="str">
        <f>IFERROR(__xludf.DUMMYFUNCTION("""COMPUTED_VALUE"""),"PURE")</f>
        <v>PURE</v>
      </c>
      <c r="F2151" s="1" t="str">
        <f>IFERROR(__xludf.DUMMYFUNCTION("""COMPUTED_VALUE"""),"291435")</f>
        <v>291435</v>
      </c>
      <c r="G2151" s="1" t="str">
        <f>IFERROR(__xludf.DUMMYFUNCTION("""COMPUTED_VALUE"""),"น.ส.สุกัญญา มณีไพโรจน์")</f>
        <v>น.ส.สุกัญญา มณีไพโรจน์</v>
      </c>
      <c r="H2151" s="1" t="str">
        <f>IFERROR(__xludf.DUMMYFUNCTION("""COMPUTED_VALUE"""),"291435")</f>
        <v>291435</v>
      </c>
      <c r="I2151" s="1" t="str">
        <f>IFERROR(__xludf.DUMMYFUNCTION("""COMPUTED_VALUE"""),"น.ส.สุกัญญา มณีไพโรจน์")</f>
        <v>น.ส.สุกัญญา มณีไพโรจน์</v>
      </c>
      <c r="J2151" s="3">
        <f>IFERROR(__xludf.DUMMYFUNCTION("""COMPUTED_VALUE"""),2454813.0)</f>
        <v>2454813</v>
      </c>
      <c r="K2151" s="3" t="str">
        <f>IFERROR(__xludf.DUMMYFUNCTION("""COMPUTED_VALUE"""),"นายอนุรักษ์ จั่นเที่ยง")</f>
        <v>นายอนุรักษ์ จั่นเที่ยง</v>
      </c>
      <c r="L2151" s="3" t="str">
        <f>IFERROR(__xludf.DUMMYFUNCTION("""COMPUTED_VALUE"""),"Hub04-BKK 4")</f>
        <v>Hub04-BKK 4</v>
      </c>
      <c r="M2151" s="1" t="str">
        <f>IFERROR(__xludf.DUMMYFUNCTION("""COMPUTED_VALUE"""),"0991964531")</f>
        <v>0991964531</v>
      </c>
      <c r="N2151" s="3">
        <f>IFERROR(__xludf.DUMMYFUNCTION("""COMPUTED_VALUE"""),11106.0)</f>
        <v>11106</v>
      </c>
      <c r="O2151" s="3" t="str">
        <f>IFERROR(__xludf.DUMMYFUNCTION("""COMPUTED_VALUE"""),"บางพลี")</f>
        <v>บางพลี</v>
      </c>
      <c r="P2151" s="4">
        <f>IFERROR(__xludf.DUMMYFUNCTION("""COMPUTED_VALUE"""),40383.0)</f>
        <v>40383</v>
      </c>
      <c r="Q2151" s="3" t="str">
        <f>IFERROR(__xludf.DUMMYFUNCTION("""COMPUTED_VALUE"""),"A")</f>
        <v>A</v>
      </c>
      <c r="R2151" s="3" t="str">
        <f>IFERROR(__xludf.DUMMYFUNCTION("""COMPUTED_VALUE"""),"Big Format")</f>
        <v>Big Format</v>
      </c>
      <c r="S2151" s="3" t="str">
        <f>IFERROR(__xludf.DUMMYFUNCTION("""COMPUTED_VALUE"""),"PURE")</f>
        <v>PURE</v>
      </c>
      <c r="T2151" s="3" t="str">
        <f>IFERROR(__xludf.DUMMYFUNCTION("""COMPUTED_VALUE"""),"#N/A")</f>
        <v>#N/A</v>
      </c>
      <c r="U2151" s="3" t="str">
        <f>IFERROR(__xludf.DUMMYFUNCTION("""COMPUTED_VALUE"""),"#N/A")</f>
        <v>#N/A</v>
      </c>
      <c r="V2151" s="3" t="str">
        <f>IFERROR(__xludf.DUMMYFUNCTION("""COMPUTED_VALUE"""),"N")</f>
        <v>N</v>
      </c>
      <c r="W2151" s="3">
        <f>IFERROR(__xludf.DUMMYFUNCTION("""COMPUTED_VALUE"""),111106.0)</f>
        <v>111106</v>
      </c>
      <c r="X2151" s="3" t="str">
        <f>IFERROR(__xludf.DUMMYFUNCTION("""COMPUTED_VALUE"""),"89 หมู่ที่ 9 ถนนเทพารักษ์กิโลเมตร13 ตำบลบางพลีใหญ่ อำเภอบางพลี จังหวัดสมุทรปราการ 10540")</f>
        <v>89 หมู่ที่ 9 ถนนเทพารักษ์กิโลเมตร13 ตำบลบางพลีใหญ่ อำเภอบางพลี จังหวัดสมุทรปราการ 10540</v>
      </c>
      <c r="Y2151" s="3"/>
      <c r="Z2151" s="3" t="str">
        <f>IFERROR(__xludf.DUMMYFUNCTION("""COMPUTED_VALUE"""),"บางพลีใหญ่")</f>
        <v>บางพลีใหญ่</v>
      </c>
      <c r="AA2151" s="3" t="str">
        <f>IFERROR(__xludf.DUMMYFUNCTION("""COMPUTED_VALUE"""),"บางพลี")</f>
        <v>บางพลี</v>
      </c>
      <c r="AB2151" s="3" t="str">
        <f>IFERROR(__xludf.DUMMYFUNCTION("""COMPUTED_VALUE"""),"สมุทรปราการ")</f>
        <v>สมุทรปราการ</v>
      </c>
      <c r="AC2151" s="3">
        <f>IFERROR(__xludf.DUMMYFUNCTION("""COMPUTED_VALUE"""),10540.0)</f>
        <v>10540</v>
      </c>
      <c r="AD2151" s="3">
        <f>IFERROR(__xludf.DUMMYFUNCTION("""COMPUTED_VALUE"""),0.0)</f>
        <v>0</v>
      </c>
      <c r="AE2151" s="3">
        <f>IFERROR(__xludf.DUMMYFUNCTION("""COMPUTED_VALUE"""),0.0)</f>
        <v>0</v>
      </c>
      <c r="AF2151" s="3" t="str">
        <f>IFERROR(__xludf.DUMMYFUNCTION("""COMPUTED_VALUE"""),"เพรียวบางพลี-41024")</f>
        <v>เพรียวบางพลี-41024</v>
      </c>
      <c r="AG2151" s="3" t="str">
        <f>IFERROR(__xludf.DUMMYFUNCTION("""COMPUTED_VALUE"""),"กลาง")</f>
        <v>กลาง</v>
      </c>
      <c r="AH2151" s="3" t="str">
        <f>IFERROR(__xludf.DUMMYFUNCTION("""COMPUTED_VALUE"""),"#N/A")</f>
        <v>#N/A</v>
      </c>
      <c r="AI2151" s="3" t="str">
        <f>IFERROR(__xludf.DUMMYFUNCTION("""COMPUTED_VALUE"""),"Out of warranty")</f>
        <v>Out of warranty</v>
      </c>
      <c r="AJ2151" s="3">
        <f>IFERROR(__xludf.DUMMYFUNCTION("""COMPUTED_VALUE"""),186.0)</f>
        <v>186</v>
      </c>
      <c r="AK2151" s="3"/>
      <c r="AL2151" s="3"/>
    </row>
    <row r="2152" ht="15.75" customHeight="1">
      <c r="A2152" s="1" t="str">
        <f>IFERROR(__xludf.DUMMYFUNCTION("""COMPUTED_VALUE"""),"41025")</f>
        <v>41025</v>
      </c>
      <c r="B2152" s="2">
        <f>IFERROR(__xludf.DUMMYFUNCTION("""COMPUTED_VALUE"""),41025.0)</f>
        <v>41025</v>
      </c>
      <c r="C2152" s="3" t="str">
        <f>IFERROR(__xludf.DUMMYFUNCTION("""COMPUTED_VALUE"""),"เพรียวภูเก็ต")</f>
        <v>เพรียวภูเก็ต</v>
      </c>
      <c r="D2152" s="3" t="str">
        <f>IFERROR(__xludf.DUMMYFUNCTION("""COMPUTED_VALUE"""),"BIGC PHUKET PURE")</f>
        <v>BIGC PHUKET PURE</v>
      </c>
      <c r="E2152" s="1" t="str">
        <f>IFERROR(__xludf.DUMMYFUNCTION("""COMPUTED_VALUE"""),"PURE")</f>
        <v>PURE</v>
      </c>
      <c r="F2152" s="1" t="str">
        <f>IFERROR(__xludf.DUMMYFUNCTION("""COMPUTED_VALUE"""),"291435")</f>
        <v>291435</v>
      </c>
      <c r="G2152" s="1" t="str">
        <f>IFERROR(__xludf.DUMMYFUNCTION("""COMPUTED_VALUE"""),"น.ส.สุกัญญา มณีไพโรจน์")</f>
        <v>น.ส.สุกัญญา มณีไพโรจน์</v>
      </c>
      <c r="H2152" s="1" t="str">
        <f>IFERROR(__xludf.DUMMYFUNCTION("""COMPUTED_VALUE"""),"291435")</f>
        <v>291435</v>
      </c>
      <c r="I2152" s="1" t="str">
        <f>IFERROR(__xludf.DUMMYFUNCTION("""COMPUTED_VALUE"""),"น.ส.สุกัญญา มณีไพโรจน์")</f>
        <v>น.ส.สุกัญญา มณีไพโรจน์</v>
      </c>
      <c r="J2152" s="3">
        <f>IFERROR(__xludf.DUMMYFUNCTION("""COMPUTED_VALUE"""),2454709.0)</f>
        <v>2454709</v>
      </c>
      <c r="K2152" s="3" t="str">
        <f>IFERROR(__xludf.DUMMYFUNCTION("""COMPUTED_VALUE"""),"นายประชา เกตุชาติ")</f>
        <v>นายประชา เกตุชาติ</v>
      </c>
      <c r="L2152" s="1" t="str">
        <f>IFERROR(__xludf.DUMMYFUNCTION("""COMPUTED_VALUE"""),"Hub05-South")</f>
        <v>Hub05-South</v>
      </c>
      <c r="M2152" s="1" t="str">
        <f>IFERROR(__xludf.DUMMYFUNCTION("""COMPUTED_VALUE"""),"0659291311")</f>
        <v>0659291311</v>
      </c>
      <c r="N2152" s="3">
        <f>IFERROR(__xludf.DUMMYFUNCTION("""COMPUTED_VALUE"""),11129.0)</f>
        <v>11129</v>
      </c>
      <c r="O2152" s="3" t="str">
        <f>IFERROR(__xludf.DUMMYFUNCTION("""COMPUTED_VALUE"""),"ภูเก็ต")</f>
        <v>ภูเก็ต</v>
      </c>
      <c r="P2152" s="4">
        <f>IFERROR(__xludf.DUMMYFUNCTION("""COMPUTED_VALUE"""),40387.0)</f>
        <v>40387</v>
      </c>
      <c r="Q2152" s="3" t="str">
        <f>IFERROR(__xludf.DUMMYFUNCTION("""COMPUTED_VALUE"""),"A")</f>
        <v>A</v>
      </c>
      <c r="R2152" s="3" t="str">
        <f>IFERROR(__xludf.DUMMYFUNCTION("""COMPUTED_VALUE"""),"Big Format")</f>
        <v>Big Format</v>
      </c>
      <c r="S2152" s="3" t="str">
        <f>IFERROR(__xludf.DUMMYFUNCTION("""COMPUTED_VALUE"""),"PURE")</f>
        <v>PURE</v>
      </c>
      <c r="T2152" s="3" t="str">
        <f>IFERROR(__xludf.DUMMYFUNCTION("""COMPUTED_VALUE"""),"#N/A")</f>
        <v>#N/A</v>
      </c>
      <c r="U2152" s="3" t="str">
        <f>IFERROR(__xludf.DUMMYFUNCTION("""COMPUTED_VALUE"""),"#N/A")</f>
        <v>#N/A</v>
      </c>
      <c r="V2152" s="3" t="str">
        <f>IFERROR(__xludf.DUMMYFUNCTION("""COMPUTED_VALUE"""),"N")</f>
        <v>N</v>
      </c>
      <c r="W2152" s="3">
        <f>IFERROR(__xludf.DUMMYFUNCTION("""COMPUTED_VALUE"""),111129.0)</f>
        <v>111129</v>
      </c>
      <c r="X2152" s="3" t="str">
        <f>IFERROR(__xludf.DUMMYFUNCTION("""COMPUTED_VALUE"""),"72 หมู่ที่ 5 ตำบลวิชิต อำเภอเมืองภูเก็ต จังหวัดภูเก็ต 83000")</f>
        <v>72 หมู่ที่ 5 ตำบลวิชิต อำเภอเมืองภูเก็ต จังหวัดภูเก็ต 83000</v>
      </c>
      <c r="Y2152" s="3"/>
      <c r="Z2152" s="3" t="str">
        <f>IFERROR(__xludf.DUMMYFUNCTION("""COMPUTED_VALUE"""),"วิชิต")</f>
        <v>วิชิต</v>
      </c>
      <c r="AA2152" s="3" t="str">
        <f>IFERROR(__xludf.DUMMYFUNCTION("""COMPUTED_VALUE"""),"เมือง")</f>
        <v>เมือง</v>
      </c>
      <c r="AB2152" s="3" t="str">
        <f>IFERROR(__xludf.DUMMYFUNCTION("""COMPUTED_VALUE"""),"ภูเก็ต")</f>
        <v>ภูเก็ต</v>
      </c>
      <c r="AC2152" s="3">
        <f>IFERROR(__xludf.DUMMYFUNCTION("""COMPUTED_VALUE"""),83000.0)</f>
        <v>83000</v>
      </c>
      <c r="AD2152" s="3">
        <f>IFERROR(__xludf.DUMMYFUNCTION("""COMPUTED_VALUE"""),0.0)</f>
        <v>0</v>
      </c>
      <c r="AE2152" s="3">
        <f>IFERROR(__xludf.DUMMYFUNCTION("""COMPUTED_VALUE"""),0.0)</f>
        <v>0</v>
      </c>
      <c r="AF2152" s="3" t="str">
        <f>IFERROR(__xludf.DUMMYFUNCTION("""COMPUTED_VALUE"""),"เพรียวภูเก็ต-41025")</f>
        <v>เพรียวภูเก็ต-41025</v>
      </c>
      <c r="AG2152" s="3" t="str">
        <f>IFERROR(__xludf.DUMMYFUNCTION("""COMPUTED_VALUE"""),"ใต้")</f>
        <v>ใต้</v>
      </c>
      <c r="AH2152" s="3" t="str">
        <f>IFERROR(__xludf.DUMMYFUNCTION("""COMPUTED_VALUE"""),"#N/A")</f>
        <v>#N/A</v>
      </c>
      <c r="AI2152" s="3" t="str">
        <f>IFERROR(__xludf.DUMMYFUNCTION("""COMPUTED_VALUE"""),"Out of warranty")</f>
        <v>Out of warranty</v>
      </c>
      <c r="AJ2152" s="3">
        <f>IFERROR(__xludf.DUMMYFUNCTION("""COMPUTED_VALUE"""),186.0)</f>
        <v>186</v>
      </c>
      <c r="AK2152" s="3"/>
      <c r="AL2152" s="3"/>
    </row>
    <row r="2153" ht="15.75" customHeight="1">
      <c r="A2153" s="1" t="str">
        <f>IFERROR(__xludf.DUMMYFUNCTION("""COMPUTED_VALUE"""),"41026")</f>
        <v>41026</v>
      </c>
      <c r="B2153" s="2">
        <f>IFERROR(__xludf.DUMMYFUNCTION("""COMPUTED_VALUE"""),41026.0)</f>
        <v>41026</v>
      </c>
      <c r="C2153" s="3" t="str">
        <f>IFERROR(__xludf.DUMMYFUNCTION("""COMPUTED_VALUE"""),"เพรียวหาดใหญ่")</f>
        <v>เพรียวหาดใหญ่</v>
      </c>
      <c r="D2153" s="3" t="str">
        <f>IFERROR(__xludf.DUMMYFUNCTION("""COMPUTED_VALUE"""),"BIGC HATYAI PURE")</f>
        <v>BIGC HATYAI PURE</v>
      </c>
      <c r="E2153" s="1" t="str">
        <f>IFERROR(__xludf.DUMMYFUNCTION("""COMPUTED_VALUE"""),"PURE")</f>
        <v>PURE</v>
      </c>
      <c r="F2153" s="1" t="str">
        <f>IFERROR(__xludf.DUMMYFUNCTION("""COMPUTED_VALUE"""),"291435")</f>
        <v>291435</v>
      </c>
      <c r="G2153" s="1" t="str">
        <f>IFERROR(__xludf.DUMMYFUNCTION("""COMPUTED_VALUE"""),"น.ส.สุกัญญา มณีไพโรจน์")</f>
        <v>น.ส.สุกัญญา มณีไพโรจน์</v>
      </c>
      <c r="H2153" s="1" t="str">
        <f>IFERROR(__xludf.DUMMYFUNCTION("""COMPUTED_VALUE"""),"291435")</f>
        <v>291435</v>
      </c>
      <c r="I2153" s="1" t="str">
        <f>IFERROR(__xludf.DUMMYFUNCTION("""COMPUTED_VALUE"""),"น.ส.สุกัญญา มณีไพโรจน์")</f>
        <v>น.ส.สุกัญญา มณีไพโรจน์</v>
      </c>
      <c r="J2153" s="3">
        <f>IFERROR(__xludf.DUMMYFUNCTION("""COMPUTED_VALUE"""),2454709.0)</f>
        <v>2454709</v>
      </c>
      <c r="K2153" s="3" t="str">
        <f>IFERROR(__xludf.DUMMYFUNCTION("""COMPUTED_VALUE"""),"นายประชา เกตุชาติ")</f>
        <v>นายประชา เกตุชาติ</v>
      </c>
      <c r="L2153" s="1" t="str">
        <f>IFERROR(__xludf.DUMMYFUNCTION("""COMPUTED_VALUE"""),"Hub05-South")</f>
        <v>Hub05-South</v>
      </c>
      <c r="M2153" s="1" t="str">
        <f>IFERROR(__xludf.DUMMYFUNCTION("""COMPUTED_VALUE"""),"0659291311")</f>
        <v>0659291311</v>
      </c>
      <c r="N2153" s="3">
        <f>IFERROR(__xludf.DUMMYFUNCTION("""COMPUTED_VALUE"""),11121.0)</f>
        <v>11121</v>
      </c>
      <c r="O2153" s="3" t="str">
        <f>IFERROR(__xludf.DUMMYFUNCTION("""COMPUTED_VALUE"""),"หาดใหญ่")</f>
        <v>หาดใหญ่</v>
      </c>
      <c r="P2153" s="4">
        <f>IFERROR(__xludf.DUMMYFUNCTION("""COMPUTED_VALUE"""),40391.0)</f>
        <v>40391</v>
      </c>
      <c r="Q2153" s="3" t="str">
        <f>IFERROR(__xludf.DUMMYFUNCTION("""COMPUTED_VALUE"""),"A")</f>
        <v>A</v>
      </c>
      <c r="R2153" s="3" t="str">
        <f>IFERROR(__xludf.DUMMYFUNCTION("""COMPUTED_VALUE"""),"Big Format")</f>
        <v>Big Format</v>
      </c>
      <c r="S2153" s="3" t="str">
        <f>IFERROR(__xludf.DUMMYFUNCTION("""COMPUTED_VALUE"""),"PURE")</f>
        <v>PURE</v>
      </c>
      <c r="T2153" s="3" t="str">
        <f>IFERROR(__xludf.DUMMYFUNCTION("""COMPUTED_VALUE"""),"#N/A")</f>
        <v>#N/A</v>
      </c>
      <c r="U2153" s="3" t="str">
        <f>IFERROR(__xludf.DUMMYFUNCTION("""COMPUTED_VALUE"""),"#N/A")</f>
        <v>#N/A</v>
      </c>
      <c r="V2153" s="3" t="str">
        <f>IFERROR(__xludf.DUMMYFUNCTION("""COMPUTED_VALUE"""),"N")</f>
        <v>N</v>
      </c>
      <c r="W2153" s="3">
        <f>IFERROR(__xludf.DUMMYFUNCTION("""COMPUTED_VALUE"""),111121.0)</f>
        <v>111121</v>
      </c>
      <c r="X2153" s="3" t="str">
        <f>IFERROR(__xludf.DUMMYFUNCTION("""COMPUTED_VALUE"""),"111/19 หมู่ที่ 4 ตำบลคลองแห อำเภอหาดใหญ่ จังหวัดสงขลา 90110")</f>
        <v>111/19 หมู่ที่ 4 ตำบลคลองแห อำเภอหาดใหญ่ จังหวัดสงขลา 90110</v>
      </c>
      <c r="Y2153" s="3"/>
      <c r="Z2153" s="3" t="str">
        <f>IFERROR(__xludf.DUMMYFUNCTION("""COMPUTED_VALUE"""),"คลองแห")</f>
        <v>คลองแห</v>
      </c>
      <c r="AA2153" s="3" t="str">
        <f>IFERROR(__xludf.DUMMYFUNCTION("""COMPUTED_VALUE"""),"หาดใหญ่")</f>
        <v>หาดใหญ่</v>
      </c>
      <c r="AB2153" s="3" t="str">
        <f>IFERROR(__xludf.DUMMYFUNCTION("""COMPUTED_VALUE"""),"สงขลา")</f>
        <v>สงขลา</v>
      </c>
      <c r="AC2153" s="3">
        <f>IFERROR(__xludf.DUMMYFUNCTION("""COMPUTED_VALUE"""),90110.0)</f>
        <v>90110</v>
      </c>
      <c r="AD2153" s="3">
        <f>IFERROR(__xludf.DUMMYFUNCTION("""COMPUTED_VALUE"""),0.0)</f>
        <v>0</v>
      </c>
      <c r="AE2153" s="3">
        <f>IFERROR(__xludf.DUMMYFUNCTION("""COMPUTED_VALUE"""),0.0)</f>
        <v>0</v>
      </c>
      <c r="AF2153" s="3" t="str">
        <f>IFERROR(__xludf.DUMMYFUNCTION("""COMPUTED_VALUE"""),"เพรียวหาดใหญ่-41026")</f>
        <v>เพรียวหาดใหญ่-41026</v>
      </c>
      <c r="AG2153" s="3" t="str">
        <f>IFERROR(__xludf.DUMMYFUNCTION("""COMPUTED_VALUE"""),"ใต้")</f>
        <v>ใต้</v>
      </c>
      <c r="AH2153" s="3" t="str">
        <f>IFERROR(__xludf.DUMMYFUNCTION("""COMPUTED_VALUE"""),"#N/A")</f>
        <v>#N/A</v>
      </c>
      <c r="AI2153" s="3" t="str">
        <f>IFERROR(__xludf.DUMMYFUNCTION("""COMPUTED_VALUE"""),"Out of warranty")</f>
        <v>Out of warranty</v>
      </c>
      <c r="AJ2153" s="3">
        <f>IFERROR(__xludf.DUMMYFUNCTION("""COMPUTED_VALUE"""),186.0)</f>
        <v>186</v>
      </c>
      <c r="AK2153" s="3"/>
      <c r="AL2153" s="3"/>
    </row>
    <row r="2154" ht="15.75" customHeight="1">
      <c r="A2154" s="1" t="str">
        <f>IFERROR(__xludf.DUMMYFUNCTION("""COMPUTED_VALUE"""),"41027")</f>
        <v>41027</v>
      </c>
      <c r="B2154" s="2">
        <f>IFERROR(__xludf.DUMMYFUNCTION("""COMPUTED_VALUE"""),41027.0)</f>
        <v>41027</v>
      </c>
      <c r="C2154" s="3" t="str">
        <f>IFERROR(__xludf.DUMMYFUNCTION("""COMPUTED_VALUE"""),"เพรียวอุบลราชธานี")</f>
        <v>เพรียวอุบลราชธานี</v>
      </c>
      <c r="D2154" s="3" t="str">
        <f>IFERROR(__xludf.DUMMYFUNCTION("""COMPUTED_VALUE"""),"BIGC UBONRATCHATHANI PURE")</f>
        <v>BIGC UBONRATCHATHANI PURE</v>
      </c>
      <c r="E2154" s="1" t="str">
        <f>IFERROR(__xludf.DUMMYFUNCTION("""COMPUTED_VALUE"""),"PURE")</f>
        <v>PURE</v>
      </c>
      <c r="F2154" s="1" t="str">
        <f>IFERROR(__xludf.DUMMYFUNCTION("""COMPUTED_VALUE"""),"2083583")</f>
        <v>2083583</v>
      </c>
      <c r="G2154" s="1" t="str">
        <f>IFERROR(__xludf.DUMMYFUNCTION("""COMPUTED_VALUE"""),"นายอรรณพ ศรีแก้ว")</f>
        <v>นายอรรณพ ศรีแก้ว</v>
      </c>
      <c r="H2154" s="1" t="str">
        <f>IFERROR(__xludf.DUMMYFUNCTION("""COMPUTED_VALUE"""),"2083583")</f>
        <v>2083583</v>
      </c>
      <c r="I2154" s="1" t="str">
        <f>IFERROR(__xludf.DUMMYFUNCTION("""COMPUTED_VALUE"""),"นายอรรณพ ศรีแก้ว")</f>
        <v>นายอรรณพ ศรีแก้ว</v>
      </c>
      <c r="J2154" s="3">
        <f>IFERROR(__xludf.DUMMYFUNCTION("""COMPUTED_VALUE"""),33317.0)</f>
        <v>33317</v>
      </c>
      <c r="K2154" s="3" t="str">
        <f>IFERROR(__xludf.DUMMYFUNCTION("""COMPUTED_VALUE"""),"นายอาณัติ เพชรภาน")</f>
        <v>นายอาณัติ เพชรภาน</v>
      </c>
      <c r="L2154" s="1" t="str">
        <f>IFERROR(__xludf.DUMMYFUNCTION("""COMPUTED_VALUE"""),"Hub10-NE 2")</f>
        <v>Hub10-NE 2</v>
      </c>
      <c r="M2154" s="1" t="str">
        <f>IFERROR(__xludf.DUMMYFUNCTION("""COMPUTED_VALUE"""),"0644791409")</f>
        <v>0644791409</v>
      </c>
      <c r="N2154" s="3">
        <f>IFERROR(__xludf.DUMMYFUNCTION("""COMPUTED_VALUE"""),11124.0)</f>
        <v>11124</v>
      </c>
      <c r="O2154" s="3" t="str">
        <f>IFERROR(__xludf.DUMMYFUNCTION("""COMPUTED_VALUE"""),"อุบลราชธานี")</f>
        <v>อุบลราชธานี</v>
      </c>
      <c r="P2154" s="4">
        <f>IFERROR(__xludf.DUMMYFUNCTION("""COMPUTED_VALUE"""),40399.0)</f>
        <v>40399</v>
      </c>
      <c r="Q2154" s="3" t="str">
        <f>IFERROR(__xludf.DUMMYFUNCTION("""COMPUTED_VALUE"""),"A")</f>
        <v>A</v>
      </c>
      <c r="R2154" s="3" t="str">
        <f>IFERROR(__xludf.DUMMYFUNCTION("""COMPUTED_VALUE"""),"Big Format")</f>
        <v>Big Format</v>
      </c>
      <c r="S2154" s="3" t="str">
        <f>IFERROR(__xludf.DUMMYFUNCTION("""COMPUTED_VALUE"""),"PURE")</f>
        <v>PURE</v>
      </c>
      <c r="T2154" s="3" t="str">
        <f>IFERROR(__xludf.DUMMYFUNCTION("""COMPUTED_VALUE"""),"#N/A")</f>
        <v>#N/A</v>
      </c>
      <c r="U2154" s="3" t="str">
        <f>IFERROR(__xludf.DUMMYFUNCTION("""COMPUTED_VALUE"""),"#N/A")</f>
        <v>#N/A</v>
      </c>
      <c r="V2154" s="3" t="str">
        <f>IFERROR(__xludf.DUMMYFUNCTION("""COMPUTED_VALUE"""),"N")</f>
        <v>N</v>
      </c>
      <c r="W2154" s="3">
        <f>IFERROR(__xludf.DUMMYFUNCTION("""COMPUTED_VALUE"""),111124.0)</f>
        <v>111124</v>
      </c>
      <c r="X2154" s="3" t="str">
        <f>IFERROR(__xludf.DUMMYFUNCTION("""COMPUTED_VALUE"""),"92 ซ.ธรรมวิถี 4 ถ.ธรรมวิถี ต.ในเมือง อ.เมืองอุบลราชธานี จังหวัดอุบลราชธานี 34000")</f>
        <v>92 ซ.ธรรมวิถี 4 ถ.ธรรมวิถี ต.ในเมือง อ.เมืองอุบลราชธานี จังหวัดอุบลราชธานี 34000</v>
      </c>
      <c r="Y2154" s="3" t="str">
        <f>IFERROR(__xludf.DUMMYFUNCTION("""COMPUTED_VALUE"""),"ซ.ธรรมวิถี")</f>
        <v>ซ.ธรรมวิถี</v>
      </c>
      <c r="Z2154" s="3" t="str">
        <f>IFERROR(__xludf.DUMMYFUNCTION("""COMPUTED_VALUE"""),"ในเมือง")</f>
        <v>ในเมือง</v>
      </c>
      <c r="AA2154" s="3" t="str">
        <f>IFERROR(__xludf.DUMMYFUNCTION("""COMPUTED_VALUE"""),"เมือง")</f>
        <v>เมือง</v>
      </c>
      <c r="AB2154" s="3" t="str">
        <f>IFERROR(__xludf.DUMMYFUNCTION("""COMPUTED_VALUE"""),"อุบลราชธานี")</f>
        <v>อุบลราชธานี</v>
      </c>
      <c r="AC2154" s="3">
        <f>IFERROR(__xludf.DUMMYFUNCTION("""COMPUTED_VALUE"""),34000.0)</f>
        <v>34000</v>
      </c>
      <c r="AD2154" s="3">
        <f>IFERROR(__xludf.DUMMYFUNCTION("""COMPUTED_VALUE"""),0.0)</f>
        <v>0</v>
      </c>
      <c r="AE2154" s="3">
        <f>IFERROR(__xludf.DUMMYFUNCTION("""COMPUTED_VALUE"""),0.0)</f>
        <v>0</v>
      </c>
      <c r="AF2154" s="3" t="str">
        <f>IFERROR(__xludf.DUMMYFUNCTION("""COMPUTED_VALUE"""),"เพรียวอุบลราชธานี-41027")</f>
        <v>เพรียวอุบลราชธานี-41027</v>
      </c>
      <c r="AG2154" s="3" t="str">
        <f>IFERROR(__xludf.DUMMYFUNCTION("""COMPUTED_VALUE"""),"ตะวันออกเฉียงเหนือ")</f>
        <v>ตะวันออกเฉียงเหนือ</v>
      </c>
      <c r="AH2154" s="3" t="str">
        <f>IFERROR(__xludf.DUMMYFUNCTION("""COMPUTED_VALUE"""),"#N/A")</f>
        <v>#N/A</v>
      </c>
      <c r="AI2154" s="3" t="str">
        <f>IFERROR(__xludf.DUMMYFUNCTION("""COMPUTED_VALUE"""),"Out of warranty")</f>
        <v>Out of warranty</v>
      </c>
      <c r="AJ2154" s="3">
        <f>IFERROR(__xludf.DUMMYFUNCTION("""COMPUTED_VALUE"""),186.0)</f>
        <v>186</v>
      </c>
      <c r="AK2154" s="3"/>
      <c r="AL2154" s="3"/>
    </row>
    <row r="2155" ht="15.75" customHeight="1">
      <c r="A2155" s="1" t="str">
        <f>IFERROR(__xludf.DUMMYFUNCTION("""COMPUTED_VALUE"""),"41028")</f>
        <v>41028</v>
      </c>
      <c r="B2155" s="2">
        <f>IFERROR(__xludf.DUMMYFUNCTION("""COMPUTED_VALUE"""),41028.0)</f>
        <v>41028</v>
      </c>
      <c r="C2155" s="3" t="str">
        <f>IFERROR(__xludf.DUMMYFUNCTION("""COMPUTED_VALUE"""),"เพรียวพังงา")</f>
        <v>เพรียวพังงา</v>
      </c>
      <c r="D2155" s="3" t="str">
        <f>IFERROR(__xludf.DUMMYFUNCTION("""COMPUTED_VALUE"""),"BIGC JUNIOR PHANGNGA PURE")</f>
        <v>BIGC JUNIOR PHANGNGA PURE</v>
      </c>
      <c r="E2155" s="1" t="str">
        <f>IFERROR(__xludf.DUMMYFUNCTION("""COMPUTED_VALUE"""),"PURE")</f>
        <v>PURE</v>
      </c>
      <c r="F2155" s="1" t="str">
        <f>IFERROR(__xludf.DUMMYFUNCTION("""COMPUTED_VALUE"""),"291435")</f>
        <v>291435</v>
      </c>
      <c r="G2155" s="1" t="str">
        <f>IFERROR(__xludf.DUMMYFUNCTION("""COMPUTED_VALUE"""),"น.ส.สุกัญญา มณีไพโรจน์")</f>
        <v>น.ส.สุกัญญา มณีไพโรจน์</v>
      </c>
      <c r="H2155" s="1" t="str">
        <f>IFERROR(__xludf.DUMMYFUNCTION("""COMPUTED_VALUE"""),"291435")</f>
        <v>291435</v>
      </c>
      <c r="I2155" s="1" t="str">
        <f>IFERROR(__xludf.DUMMYFUNCTION("""COMPUTED_VALUE"""),"น.ส.สุกัญญา มณีไพโรจน์")</f>
        <v>น.ส.สุกัญญา มณีไพโรจน์</v>
      </c>
      <c r="J2155" s="3">
        <f>IFERROR(__xludf.DUMMYFUNCTION("""COMPUTED_VALUE"""),2454709.0)</f>
        <v>2454709</v>
      </c>
      <c r="K2155" s="3" t="str">
        <f>IFERROR(__xludf.DUMMYFUNCTION("""COMPUTED_VALUE"""),"นายประชา เกตุชาติ")</f>
        <v>นายประชา เกตุชาติ</v>
      </c>
      <c r="L2155" s="1" t="str">
        <f>IFERROR(__xludf.DUMMYFUNCTION("""COMPUTED_VALUE"""),"Hub05-South")</f>
        <v>Hub05-South</v>
      </c>
      <c r="M2155" s="1" t="str">
        <f>IFERROR(__xludf.DUMMYFUNCTION("""COMPUTED_VALUE"""),"0659291311")</f>
        <v>0659291311</v>
      </c>
      <c r="N2155" s="3">
        <f>IFERROR(__xludf.DUMMYFUNCTION("""COMPUTED_VALUE"""),15002.0)</f>
        <v>15002</v>
      </c>
      <c r="O2155" s="3" t="str">
        <f>IFERROR(__xludf.DUMMYFUNCTION("""COMPUTED_VALUE"""),"พังงา")</f>
        <v>พังงา</v>
      </c>
      <c r="P2155" s="4">
        <f>IFERROR(__xludf.DUMMYFUNCTION("""COMPUTED_VALUE"""),40466.0)</f>
        <v>40466</v>
      </c>
      <c r="Q2155" s="3" t="str">
        <f>IFERROR(__xludf.DUMMYFUNCTION("""COMPUTED_VALUE"""),"A")</f>
        <v>A</v>
      </c>
      <c r="R2155" s="3" t="str">
        <f>IFERROR(__xludf.DUMMYFUNCTION("""COMPUTED_VALUE"""),"Big Format")</f>
        <v>Big Format</v>
      </c>
      <c r="S2155" s="3" t="str">
        <f>IFERROR(__xludf.DUMMYFUNCTION("""COMPUTED_VALUE"""),"PURE")</f>
        <v>PURE</v>
      </c>
      <c r="T2155" s="3" t="str">
        <f>IFERROR(__xludf.DUMMYFUNCTION("""COMPUTED_VALUE"""),"#N/A")</f>
        <v>#N/A</v>
      </c>
      <c r="U2155" s="3" t="str">
        <f>IFERROR(__xludf.DUMMYFUNCTION("""COMPUTED_VALUE"""),"#N/A")</f>
        <v>#N/A</v>
      </c>
      <c r="V2155" s="3" t="str">
        <f>IFERROR(__xludf.DUMMYFUNCTION("""COMPUTED_VALUE"""),"N")</f>
        <v>N</v>
      </c>
      <c r="W2155" s="3">
        <f>IFERROR(__xludf.DUMMYFUNCTION("""COMPUTED_VALUE"""),411026.0)</f>
        <v>411026</v>
      </c>
      <c r="X2155" s="3" t="str">
        <f>IFERROR(__xludf.DUMMYFUNCTION("""COMPUTED_VALUE"""),"295,297 ถนนเพชรเกษม ตำบลท้ายช้าง อำเภอเมืองพังงา จังหวัดพังงา 82000")</f>
        <v>295,297 ถนนเพชรเกษม ตำบลท้ายช้าง อำเภอเมืองพังงา จังหวัดพังงา 82000</v>
      </c>
      <c r="Y2155" s="3" t="str">
        <f>IFERROR(__xludf.DUMMYFUNCTION("""COMPUTED_VALUE"""),"ถนนเพชรเกษม")</f>
        <v>ถนนเพชรเกษม</v>
      </c>
      <c r="Z2155" s="3" t="str">
        <f>IFERROR(__xludf.DUMMYFUNCTION("""COMPUTED_VALUE"""),"ท้ายช้าง")</f>
        <v>ท้ายช้าง</v>
      </c>
      <c r="AA2155" s="3" t="str">
        <f>IFERROR(__xludf.DUMMYFUNCTION("""COMPUTED_VALUE"""),"เมือง")</f>
        <v>เมือง</v>
      </c>
      <c r="AB2155" s="3" t="str">
        <f>IFERROR(__xludf.DUMMYFUNCTION("""COMPUTED_VALUE"""),"พังงา")</f>
        <v>พังงา</v>
      </c>
      <c r="AC2155" s="3">
        <f>IFERROR(__xludf.DUMMYFUNCTION("""COMPUTED_VALUE"""),82000.0)</f>
        <v>82000</v>
      </c>
      <c r="AD2155" s="3">
        <f>IFERROR(__xludf.DUMMYFUNCTION("""COMPUTED_VALUE"""),0.0)</f>
        <v>0</v>
      </c>
      <c r="AE2155" s="3">
        <f>IFERROR(__xludf.DUMMYFUNCTION("""COMPUTED_VALUE"""),0.0)</f>
        <v>0</v>
      </c>
      <c r="AF2155" s="3" t="str">
        <f>IFERROR(__xludf.DUMMYFUNCTION("""COMPUTED_VALUE"""),"เพรียวพังงา-41028")</f>
        <v>เพรียวพังงา-41028</v>
      </c>
      <c r="AG2155" s="3" t="str">
        <f>IFERROR(__xludf.DUMMYFUNCTION("""COMPUTED_VALUE"""),"ใต้")</f>
        <v>ใต้</v>
      </c>
      <c r="AH2155" s="3" t="str">
        <f>IFERROR(__xludf.DUMMYFUNCTION("""COMPUTED_VALUE"""),"#N/A")</f>
        <v>#N/A</v>
      </c>
      <c r="AI2155" s="3" t="str">
        <f>IFERROR(__xludf.DUMMYFUNCTION("""COMPUTED_VALUE"""),"Out of warranty")</f>
        <v>Out of warranty</v>
      </c>
      <c r="AJ2155" s="3">
        <f>IFERROR(__xludf.DUMMYFUNCTION("""COMPUTED_VALUE"""),184.0)</f>
        <v>184</v>
      </c>
      <c r="AK2155" s="3"/>
      <c r="AL2155" s="3"/>
    </row>
    <row r="2156" ht="15.75" customHeight="1">
      <c r="A2156" s="1" t="str">
        <f>IFERROR(__xludf.DUMMYFUNCTION("""COMPUTED_VALUE"""),"41029")</f>
        <v>41029</v>
      </c>
      <c r="B2156" s="2">
        <f>IFERROR(__xludf.DUMMYFUNCTION("""COMPUTED_VALUE"""),41029.0)</f>
        <v>41029</v>
      </c>
      <c r="C2156" s="3" t="str">
        <f>IFERROR(__xludf.DUMMYFUNCTION("""COMPUTED_VALUE"""),"เพรียวแหลมทอง")</f>
        <v>เพรียวแหลมทอง</v>
      </c>
      <c r="D2156" s="3" t="str">
        <f>IFERROR(__xludf.DUMMYFUNCTION("""COMPUTED_VALUE"""),"BIGC LAEMTHONG PURE")</f>
        <v>BIGC LAEMTHONG PURE</v>
      </c>
      <c r="E2156" s="1" t="str">
        <f>IFERROR(__xludf.DUMMYFUNCTION("""COMPUTED_VALUE"""),"PURE")</f>
        <v>PURE</v>
      </c>
      <c r="F2156" s="1" t="str">
        <f>IFERROR(__xludf.DUMMYFUNCTION("""COMPUTED_VALUE"""),"228469")</f>
        <v>228469</v>
      </c>
      <c r="G2156" s="1" t="str">
        <f>IFERROR(__xludf.DUMMYFUNCTION("""COMPUTED_VALUE"""),"น.ส.บงกช ทำการดี")</f>
        <v>น.ส.บงกช ทำการดี</v>
      </c>
      <c r="H2156" s="1" t="str">
        <f>IFERROR(__xludf.DUMMYFUNCTION("""COMPUTED_VALUE"""),"228469")</f>
        <v>228469</v>
      </c>
      <c r="I2156" s="1" t="str">
        <f>IFERROR(__xludf.DUMMYFUNCTION("""COMPUTED_VALUE"""),"น.ส.บงกช ทำการดี")</f>
        <v>น.ส.บงกช ทำการดี</v>
      </c>
      <c r="J2156" s="3">
        <f>IFERROR(__xludf.DUMMYFUNCTION("""COMPUTED_VALUE"""),2455164.0)</f>
        <v>2455164</v>
      </c>
      <c r="K2156" s="3" t="str">
        <f>IFERROR(__xludf.DUMMYFUNCTION("""COMPUTED_VALUE"""),"นายกรวิทย์ เจริญพร")</f>
        <v>นายกรวิทย์ เจริญพร</v>
      </c>
      <c r="L2156" s="1" t="str">
        <f>IFERROR(__xludf.DUMMYFUNCTION("""COMPUTED_VALUE"""),"Hub08-East")</f>
        <v>Hub08-East</v>
      </c>
      <c r="M2156" s="1" t="str">
        <f>IFERROR(__xludf.DUMMYFUNCTION("""COMPUTED_VALUE"""),"092-605-9922")</f>
        <v>092-605-9922</v>
      </c>
      <c r="N2156" s="3">
        <f>IFERROR(__xludf.DUMMYFUNCTION("""COMPUTED_VALUE"""),11170.0)</f>
        <v>11170</v>
      </c>
      <c r="O2156" s="3" t="str">
        <f>IFERROR(__xludf.DUMMYFUNCTION("""COMPUTED_VALUE"""),"แหลมทอง")</f>
        <v>แหลมทอง</v>
      </c>
      <c r="P2156" s="4">
        <f>IFERROR(__xludf.DUMMYFUNCTION("""COMPUTED_VALUE"""),40499.0)</f>
        <v>40499</v>
      </c>
      <c r="Q2156" s="3" t="str">
        <f>IFERROR(__xludf.DUMMYFUNCTION("""COMPUTED_VALUE"""),"A")</f>
        <v>A</v>
      </c>
      <c r="R2156" s="3" t="str">
        <f>IFERROR(__xludf.DUMMYFUNCTION("""COMPUTED_VALUE"""),"Big Format")</f>
        <v>Big Format</v>
      </c>
      <c r="S2156" s="3" t="str">
        <f>IFERROR(__xludf.DUMMYFUNCTION("""COMPUTED_VALUE"""),"PURE")</f>
        <v>PURE</v>
      </c>
      <c r="T2156" s="3" t="str">
        <f>IFERROR(__xludf.DUMMYFUNCTION("""COMPUTED_VALUE"""),"#N/A")</f>
        <v>#N/A</v>
      </c>
      <c r="U2156" s="3" t="str">
        <f>IFERROR(__xludf.DUMMYFUNCTION("""COMPUTED_VALUE"""),"#N/A")</f>
        <v>#N/A</v>
      </c>
      <c r="V2156" s="3" t="str">
        <f>IFERROR(__xludf.DUMMYFUNCTION("""COMPUTED_VALUE"""),"N")</f>
        <v>N</v>
      </c>
      <c r="W2156" s="3">
        <f>IFERROR(__xludf.DUMMYFUNCTION("""COMPUTED_VALUE"""),111170.0)</f>
        <v>111170</v>
      </c>
      <c r="X2156" s="3" t="str">
        <f>IFERROR(__xludf.DUMMYFUNCTION("""COMPUTED_VALUE"""),"554 ถนนสุขุมวิท ตำบลเนินพระ อำเภอเมืองระยอง จังหวัดระยอง 21000")</f>
        <v>554 ถนนสุขุมวิท ตำบลเนินพระ อำเภอเมืองระยอง จังหวัดระยอง 21000</v>
      </c>
      <c r="Y2156" s="3" t="str">
        <f>IFERROR(__xludf.DUMMYFUNCTION("""COMPUTED_VALUE"""),"ถนนสุขุมวิท")</f>
        <v>ถนนสุขุมวิท</v>
      </c>
      <c r="Z2156" s="3" t="str">
        <f>IFERROR(__xludf.DUMMYFUNCTION("""COMPUTED_VALUE"""),"เนินพระ")</f>
        <v>เนินพระ</v>
      </c>
      <c r="AA2156" s="3" t="str">
        <f>IFERROR(__xludf.DUMMYFUNCTION("""COMPUTED_VALUE"""),"เมือง")</f>
        <v>เมือง</v>
      </c>
      <c r="AB2156" s="3" t="str">
        <f>IFERROR(__xludf.DUMMYFUNCTION("""COMPUTED_VALUE"""),"ระยอง")</f>
        <v>ระยอง</v>
      </c>
      <c r="AC2156" s="3">
        <f>IFERROR(__xludf.DUMMYFUNCTION("""COMPUTED_VALUE"""),21000.0)</f>
        <v>21000</v>
      </c>
      <c r="AD2156" s="3">
        <f>IFERROR(__xludf.DUMMYFUNCTION("""COMPUTED_VALUE"""),0.0)</f>
        <v>0</v>
      </c>
      <c r="AE2156" s="3">
        <f>IFERROR(__xludf.DUMMYFUNCTION("""COMPUTED_VALUE"""),0.0)</f>
        <v>0</v>
      </c>
      <c r="AF2156" s="3" t="str">
        <f>IFERROR(__xludf.DUMMYFUNCTION("""COMPUTED_VALUE"""),"เพรียวแหลมทอง-41029")</f>
        <v>เพรียวแหลมทอง-41029</v>
      </c>
      <c r="AG2156" s="3" t="str">
        <f>IFERROR(__xludf.DUMMYFUNCTION("""COMPUTED_VALUE"""),"ตะวันออก")</f>
        <v>ตะวันออก</v>
      </c>
      <c r="AH2156" s="3" t="str">
        <f>IFERROR(__xludf.DUMMYFUNCTION("""COMPUTED_VALUE"""),"#N/A")</f>
        <v>#N/A</v>
      </c>
      <c r="AI2156" s="3" t="str">
        <f>IFERROR(__xludf.DUMMYFUNCTION("""COMPUTED_VALUE"""),"Out of warranty")</f>
        <v>Out of warranty</v>
      </c>
      <c r="AJ2156" s="3">
        <f>IFERROR(__xludf.DUMMYFUNCTION("""COMPUTED_VALUE"""),183.0)</f>
        <v>183</v>
      </c>
      <c r="AK2156" s="3"/>
      <c r="AL2156" s="3"/>
    </row>
    <row r="2157" ht="15.75" customHeight="1">
      <c r="A2157" s="1" t="str">
        <f>IFERROR(__xludf.DUMMYFUNCTION("""COMPUTED_VALUE"""),"41030")</f>
        <v>41030</v>
      </c>
      <c r="B2157" s="2">
        <f>IFERROR(__xludf.DUMMYFUNCTION("""COMPUTED_VALUE"""),41030.0)</f>
        <v>41030</v>
      </c>
      <c r="C2157" s="3" t="str">
        <f>IFERROR(__xludf.DUMMYFUNCTION("""COMPUTED_VALUE"""),"เพรียวเชียงใหม่")</f>
        <v>เพรียวเชียงใหม่</v>
      </c>
      <c r="D2157" s="3" t="str">
        <f>IFERROR(__xludf.DUMMYFUNCTION("""COMPUTED_VALUE"""),"BIGC CHIANGMAI PURE")</f>
        <v>BIGC CHIANGMAI PURE</v>
      </c>
      <c r="E2157" s="1" t="str">
        <f>IFERROR(__xludf.DUMMYFUNCTION("""COMPUTED_VALUE"""),"PURE")</f>
        <v>PURE</v>
      </c>
      <c r="F2157" s="1" t="str">
        <f>IFERROR(__xludf.DUMMYFUNCTION("""COMPUTED_VALUE"""),"2082102")</f>
        <v>2082102</v>
      </c>
      <c r="G2157" s="1" t="str">
        <f>IFERROR(__xludf.DUMMYFUNCTION("""COMPUTED_VALUE"""),"น.ส.วัชรา มหาวันแจ่ม")</f>
        <v>น.ส.วัชรา มหาวันแจ่ม</v>
      </c>
      <c r="H2157" s="1" t="str">
        <f>IFERROR(__xludf.DUMMYFUNCTION("""COMPUTED_VALUE"""),"2082102")</f>
        <v>2082102</v>
      </c>
      <c r="I2157" s="1" t="str">
        <f>IFERROR(__xludf.DUMMYFUNCTION("""COMPUTED_VALUE"""),"น.ส.วัชรา มหาวันแจ่ม")</f>
        <v>น.ส.วัชรา มหาวันแจ่ม</v>
      </c>
      <c r="J2157" s="3">
        <f>IFERROR(__xludf.DUMMYFUNCTION("""COMPUTED_VALUE"""),348.0)</f>
        <v>348</v>
      </c>
      <c r="K2157" s="3" t="str">
        <f>IFERROR(__xludf.DUMMYFUNCTION("""COMPUTED_VALUE"""),"นายธีรนันท์ ไม้สนธิ์")</f>
        <v>นายธีรนันท์ ไม้สนธิ์</v>
      </c>
      <c r="L2157" s="1" t="str">
        <f>IFERROR(__xludf.DUMMYFUNCTION("""COMPUTED_VALUE"""),"Hub07-North")</f>
        <v>Hub07-North</v>
      </c>
      <c r="M2157" s="1" t="str">
        <f>IFERROR(__xludf.DUMMYFUNCTION("""COMPUTED_VALUE"""),"0614175866")</f>
        <v>0614175866</v>
      </c>
      <c r="N2157" s="3">
        <f>IFERROR(__xludf.DUMMYFUNCTION("""COMPUTED_VALUE"""),11127.0)</f>
        <v>11127</v>
      </c>
      <c r="O2157" s="3" t="str">
        <f>IFERROR(__xludf.DUMMYFUNCTION("""COMPUTED_VALUE"""),"เชียงใหม่")</f>
        <v>เชียงใหม่</v>
      </c>
      <c r="P2157" s="4">
        <f>IFERROR(__xludf.DUMMYFUNCTION("""COMPUTED_VALUE"""),40632.0)</f>
        <v>40632</v>
      </c>
      <c r="Q2157" s="3" t="str">
        <f>IFERROR(__xludf.DUMMYFUNCTION("""COMPUTED_VALUE"""),"A")</f>
        <v>A</v>
      </c>
      <c r="R2157" s="3" t="str">
        <f>IFERROR(__xludf.DUMMYFUNCTION("""COMPUTED_VALUE"""),"Big Format")</f>
        <v>Big Format</v>
      </c>
      <c r="S2157" s="3" t="str">
        <f>IFERROR(__xludf.DUMMYFUNCTION("""COMPUTED_VALUE"""),"PURE")</f>
        <v>PURE</v>
      </c>
      <c r="T2157" s="3" t="str">
        <f>IFERROR(__xludf.DUMMYFUNCTION("""COMPUTED_VALUE"""),"#N/A")</f>
        <v>#N/A</v>
      </c>
      <c r="U2157" s="3" t="str">
        <f>IFERROR(__xludf.DUMMYFUNCTION("""COMPUTED_VALUE"""),"#N/A")</f>
        <v>#N/A</v>
      </c>
      <c r="V2157" s="3" t="str">
        <f>IFERROR(__xludf.DUMMYFUNCTION("""COMPUTED_VALUE"""),"N")</f>
        <v>N</v>
      </c>
      <c r="W2157" s="3">
        <f>IFERROR(__xludf.DUMMYFUNCTION("""COMPUTED_VALUE"""),111127.0)</f>
        <v>111127</v>
      </c>
      <c r="X2157" s="3" t="str">
        <f>IFERROR(__xludf.DUMMYFUNCTION("""COMPUTED_VALUE"""),"208 หมู่ที่ 3 ตำบลท่าศาลา อำเภอเมืองเชียงใหม่ จังหวัดเชียงใหม่ 50000")</f>
        <v>208 หมู่ที่ 3 ตำบลท่าศาลา อำเภอเมืองเชียงใหม่ จังหวัดเชียงใหม่ 50000</v>
      </c>
      <c r="Y2157" s="3"/>
      <c r="Z2157" s="3" t="str">
        <f>IFERROR(__xludf.DUMMYFUNCTION("""COMPUTED_VALUE"""),"ท่าศาลา")</f>
        <v>ท่าศาลา</v>
      </c>
      <c r="AA2157" s="3" t="str">
        <f>IFERROR(__xludf.DUMMYFUNCTION("""COMPUTED_VALUE"""),"เมือง")</f>
        <v>เมือง</v>
      </c>
      <c r="AB2157" s="3" t="str">
        <f>IFERROR(__xludf.DUMMYFUNCTION("""COMPUTED_VALUE"""),"เชียงใหม่")</f>
        <v>เชียงใหม่</v>
      </c>
      <c r="AC2157" s="3">
        <f>IFERROR(__xludf.DUMMYFUNCTION("""COMPUTED_VALUE"""),50000.0)</f>
        <v>50000</v>
      </c>
      <c r="AD2157" s="3">
        <f>IFERROR(__xludf.DUMMYFUNCTION("""COMPUTED_VALUE"""),0.0)</f>
        <v>0</v>
      </c>
      <c r="AE2157" s="3">
        <f>IFERROR(__xludf.DUMMYFUNCTION("""COMPUTED_VALUE"""),0.0)</f>
        <v>0</v>
      </c>
      <c r="AF2157" s="3" t="str">
        <f>IFERROR(__xludf.DUMMYFUNCTION("""COMPUTED_VALUE"""),"เพรียวเชียงใหม่-41030")</f>
        <v>เพรียวเชียงใหม่-41030</v>
      </c>
      <c r="AG2157" s="3" t="str">
        <f>IFERROR(__xludf.DUMMYFUNCTION("""COMPUTED_VALUE"""),"เหนือ")</f>
        <v>เหนือ</v>
      </c>
      <c r="AH2157" s="3" t="str">
        <f>IFERROR(__xludf.DUMMYFUNCTION("""COMPUTED_VALUE"""),"#N/A")</f>
        <v>#N/A</v>
      </c>
      <c r="AI2157" s="3" t="str">
        <f>IFERROR(__xludf.DUMMYFUNCTION("""COMPUTED_VALUE"""),"Out of warranty")</f>
        <v>Out of warranty</v>
      </c>
      <c r="AJ2157" s="3">
        <f>IFERROR(__xludf.DUMMYFUNCTION("""COMPUTED_VALUE"""),178.0)</f>
        <v>178</v>
      </c>
      <c r="AK2157" s="3"/>
      <c r="AL2157" s="3"/>
    </row>
    <row r="2158" ht="15.75" customHeight="1">
      <c r="A2158" s="1" t="str">
        <f>IFERROR(__xludf.DUMMYFUNCTION("""COMPUTED_VALUE"""),"41031")</f>
        <v>41031</v>
      </c>
      <c r="B2158" s="2">
        <f>IFERROR(__xludf.DUMMYFUNCTION("""COMPUTED_VALUE"""),41031.0)</f>
        <v>41031</v>
      </c>
      <c r="C2158" s="3" t="str">
        <f>IFERROR(__xludf.DUMMYFUNCTION("""COMPUTED_VALUE"""),"เพรียวราชดำริ")</f>
        <v>เพรียวราชดำริ</v>
      </c>
      <c r="D2158" s="3" t="str">
        <f>IFERROR(__xludf.DUMMYFUNCTION("""COMPUTED_VALUE"""),"BIGC RAJDUMRI PURE2")</f>
        <v>BIGC RAJDUMRI PURE2</v>
      </c>
      <c r="E2158" s="1" t="str">
        <f>IFERROR(__xludf.DUMMYFUNCTION("""COMPUTED_VALUE"""),"PURE")</f>
        <v>PURE</v>
      </c>
      <c r="F2158" s="1" t="str">
        <f>IFERROR(__xludf.DUMMYFUNCTION("""COMPUTED_VALUE"""),"211291")</f>
        <v>211291</v>
      </c>
      <c r="G2158" s="1" t="str">
        <f>IFERROR(__xludf.DUMMYFUNCTION("""COMPUTED_VALUE"""),"น.ส.ปนัดดา มากระจันทน์")</f>
        <v>น.ส.ปนัดดา มากระจันทน์</v>
      </c>
      <c r="H2158" s="1" t="str">
        <f>IFERROR(__xludf.DUMMYFUNCTION("""COMPUTED_VALUE"""),"211291")</f>
        <v>211291</v>
      </c>
      <c r="I2158" s="1" t="str">
        <f>IFERROR(__xludf.DUMMYFUNCTION("""COMPUTED_VALUE"""),"น.ส.ปนัดดา มากระจันทน์")</f>
        <v>น.ส.ปนัดดา มากระจันทน์</v>
      </c>
      <c r="J2158" s="3">
        <f>IFERROR(__xludf.DUMMYFUNCTION("""COMPUTED_VALUE"""),2408546.0)</f>
        <v>2408546</v>
      </c>
      <c r="K2158" s="3" t="str">
        <f>IFERROR(__xludf.DUMMYFUNCTION("""COMPUTED_VALUE"""),"นายเกษมศิษฐ์ ฮดบุญเรือง")</f>
        <v>นายเกษมศิษฐ์ ฮดบุญเรือง</v>
      </c>
      <c r="L2158" s="1" t="str">
        <f>IFERROR(__xludf.DUMMYFUNCTION("""COMPUTED_VALUE"""),"Hub02-BKK 2")</f>
        <v>Hub02-BKK 2</v>
      </c>
      <c r="M2158" s="1" t="str">
        <f>IFERROR(__xludf.DUMMYFUNCTION("""COMPUTED_VALUE"""),"0988580755")</f>
        <v>0988580755</v>
      </c>
      <c r="N2158" s="3">
        <f>IFERROR(__xludf.DUMMYFUNCTION("""COMPUTED_VALUE"""),11172.0)</f>
        <v>11172</v>
      </c>
      <c r="O2158" s="3" t="str">
        <f>IFERROR(__xludf.DUMMYFUNCTION("""COMPUTED_VALUE"""),"ราชดำริ")</f>
        <v>ราชดำริ</v>
      </c>
      <c r="P2158" s="4">
        <f>IFERROR(__xludf.DUMMYFUNCTION("""COMPUTED_VALUE"""),40635.0)</f>
        <v>40635</v>
      </c>
      <c r="Q2158" s="3" t="str">
        <f>IFERROR(__xludf.DUMMYFUNCTION("""COMPUTED_VALUE"""),"A")</f>
        <v>A</v>
      </c>
      <c r="R2158" s="3" t="str">
        <f>IFERROR(__xludf.DUMMYFUNCTION("""COMPUTED_VALUE"""),"Big Format")</f>
        <v>Big Format</v>
      </c>
      <c r="S2158" s="3" t="str">
        <f>IFERROR(__xludf.DUMMYFUNCTION("""COMPUTED_VALUE"""),"PURE")</f>
        <v>PURE</v>
      </c>
      <c r="T2158" s="3" t="str">
        <f>IFERROR(__xludf.DUMMYFUNCTION("""COMPUTED_VALUE"""),"#N/A")</f>
        <v>#N/A</v>
      </c>
      <c r="U2158" s="3" t="str">
        <f>IFERROR(__xludf.DUMMYFUNCTION("""COMPUTED_VALUE"""),"#N/A")</f>
        <v>#N/A</v>
      </c>
      <c r="V2158" s="3" t="str">
        <f>IFERROR(__xludf.DUMMYFUNCTION("""COMPUTED_VALUE"""),"N")</f>
        <v>N</v>
      </c>
      <c r="W2158" s="3">
        <f>IFERROR(__xludf.DUMMYFUNCTION("""COMPUTED_VALUE"""),111172.0)</f>
        <v>111172</v>
      </c>
      <c r="X2158" s="3" t="str">
        <f>IFERROR(__xludf.DUMMYFUNCTION("""COMPUTED_VALUE"""),"97/11 ถนนราชดำริห์ แขวงลุมพินี เขตปทุมวัน กรุงเทพฯ 10330")</f>
        <v>97/11 ถนนราชดำริห์ แขวงลุมพินี เขตปทุมวัน กรุงเทพฯ 10330</v>
      </c>
      <c r="Y2158" s="3" t="str">
        <f>IFERROR(__xludf.DUMMYFUNCTION("""COMPUTED_VALUE"""),"ถนนราชดำริห์")</f>
        <v>ถนนราชดำริห์</v>
      </c>
      <c r="Z2158" s="3" t="str">
        <f>IFERROR(__xludf.DUMMYFUNCTION("""COMPUTED_VALUE"""),"ลุมพินี")</f>
        <v>ลุมพินี</v>
      </c>
      <c r="AA2158" s="3" t="str">
        <f>IFERROR(__xludf.DUMMYFUNCTION("""COMPUTED_VALUE"""),"ปทุมวัน")</f>
        <v>ปทุมวัน</v>
      </c>
      <c r="AB2158" s="3" t="str">
        <f>IFERROR(__xludf.DUMMYFUNCTION("""COMPUTED_VALUE"""),"กรุงเทพมหานคร")</f>
        <v>กรุงเทพมหานคร</v>
      </c>
      <c r="AC2158" s="3">
        <f>IFERROR(__xludf.DUMMYFUNCTION("""COMPUTED_VALUE"""),10330.0)</f>
        <v>10330</v>
      </c>
      <c r="AD2158" s="3">
        <f>IFERROR(__xludf.DUMMYFUNCTION("""COMPUTED_VALUE"""),0.0)</f>
        <v>0</v>
      </c>
      <c r="AE2158" s="3">
        <f>IFERROR(__xludf.DUMMYFUNCTION("""COMPUTED_VALUE"""),0.0)</f>
        <v>0</v>
      </c>
      <c r="AF2158" s="3" t="str">
        <f>IFERROR(__xludf.DUMMYFUNCTION("""COMPUTED_VALUE"""),"เพรียวราชดำริ-41031")</f>
        <v>เพรียวราชดำริ-41031</v>
      </c>
      <c r="AG2158" s="3" t="str">
        <f>IFERROR(__xludf.DUMMYFUNCTION("""COMPUTED_VALUE"""),"กลาง")</f>
        <v>กลาง</v>
      </c>
      <c r="AH2158" s="3" t="str">
        <f>IFERROR(__xludf.DUMMYFUNCTION("""COMPUTED_VALUE"""),"#N/A")</f>
        <v>#N/A</v>
      </c>
      <c r="AI2158" s="3" t="str">
        <f>IFERROR(__xludf.DUMMYFUNCTION("""COMPUTED_VALUE"""),"Out of warranty")</f>
        <v>Out of warranty</v>
      </c>
      <c r="AJ2158" s="3">
        <f>IFERROR(__xludf.DUMMYFUNCTION("""COMPUTED_VALUE"""),178.0)</f>
        <v>178</v>
      </c>
      <c r="AK2158" s="3"/>
      <c r="AL2158" s="3"/>
    </row>
    <row r="2159" ht="15.75" customHeight="1">
      <c r="A2159" s="1" t="str">
        <f>IFERROR(__xludf.DUMMYFUNCTION("""COMPUTED_VALUE"""),"41032")</f>
        <v>41032</v>
      </c>
      <c r="B2159" s="2">
        <f>IFERROR(__xludf.DUMMYFUNCTION("""COMPUTED_VALUE"""),41032.0)</f>
        <v>41032</v>
      </c>
      <c r="C2159" s="3" t="str">
        <f>IFERROR(__xludf.DUMMYFUNCTION("""COMPUTED_VALUE"""),"เพรียวดาวคะนอง")</f>
        <v>เพรียวดาวคะนอง</v>
      </c>
      <c r="D2159" s="3" t="str">
        <f>IFERROR(__xludf.DUMMYFUNCTION("""COMPUTED_VALUE"""),"BIGC DAOKANONG PURE")</f>
        <v>BIGC DAOKANONG PURE</v>
      </c>
      <c r="E2159" s="1" t="str">
        <f>IFERROR(__xludf.DUMMYFUNCTION("""COMPUTED_VALUE"""),"PURE")</f>
        <v>PURE</v>
      </c>
      <c r="F2159" s="1" t="str">
        <f>IFERROR(__xludf.DUMMYFUNCTION("""COMPUTED_VALUE"""),"2010612")</f>
        <v>2010612</v>
      </c>
      <c r="G2159" s="1" t="str">
        <f>IFERROR(__xludf.DUMMYFUNCTION("""COMPUTED_VALUE"""),"น.ส.วรรณพร เกตุเลิศประเสริฐ")</f>
        <v>น.ส.วรรณพร เกตุเลิศประเสริฐ</v>
      </c>
      <c r="H2159" s="1" t="str">
        <f>IFERROR(__xludf.DUMMYFUNCTION("""COMPUTED_VALUE"""),"2010612")</f>
        <v>2010612</v>
      </c>
      <c r="I2159" s="1" t="str">
        <f>IFERROR(__xludf.DUMMYFUNCTION("""COMPUTED_VALUE"""),"น.ส.วรรณพร เกตุเลิศประเสริฐ")</f>
        <v>น.ส.วรรณพร เกตุเลิศประเสริฐ</v>
      </c>
      <c r="J2159" s="3">
        <f>IFERROR(__xludf.DUMMYFUNCTION("""COMPUTED_VALUE"""),2408546.0)</f>
        <v>2408546</v>
      </c>
      <c r="K2159" s="3" t="str">
        <f>IFERROR(__xludf.DUMMYFUNCTION("""COMPUTED_VALUE"""),"นายเกษมศิษฐ์ ฮดบุญเรือง")</f>
        <v>นายเกษมศิษฐ์ ฮดบุญเรือง</v>
      </c>
      <c r="L2159" s="1" t="str">
        <f>IFERROR(__xludf.DUMMYFUNCTION("""COMPUTED_VALUE"""),"Hub02-BKK 2")</f>
        <v>Hub02-BKK 2</v>
      </c>
      <c r="M2159" s="1" t="str">
        <f>IFERROR(__xludf.DUMMYFUNCTION("""COMPUTED_VALUE"""),"0988580755")</f>
        <v>0988580755</v>
      </c>
      <c r="N2159" s="3">
        <f>IFERROR(__xludf.DUMMYFUNCTION("""COMPUTED_VALUE"""),11132.0)</f>
        <v>11132</v>
      </c>
      <c r="O2159" s="3" t="str">
        <f>IFERROR(__xludf.DUMMYFUNCTION("""COMPUTED_VALUE"""),"ดาวคะนอง")</f>
        <v>ดาวคะนอง</v>
      </c>
      <c r="P2159" s="4">
        <f>IFERROR(__xludf.DUMMYFUNCTION("""COMPUTED_VALUE"""),40661.0)</f>
        <v>40661</v>
      </c>
      <c r="Q2159" s="3" t="str">
        <f>IFERROR(__xludf.DUMMYFUNCTION("""COMPUTED_VALUE"""),"A")</f>
        <v>A</v>
      </c>
      <c r="R2159" s="3" t="str">
        <f>IFERROR(__xludf.DUMMYFUNCTION("""COMPUTED_VALUE"""),"Big Format")</f>
        <v>Big Format</v>
      </c>
      <c r="S2159" s="3" t="str">
        <f>IFERROR(__xludf.DUMMYFUNCTION("""COMPUTED_VALUE"""),"PURE")</f>
        <v>PURE</v>
      </c>
      <c r="T2159" s="3" t="str">
        <f>IFERROR(__xludf.DUMMYFUNCTION("""COMPUTED_VALUE"""),"#N/A")</f>
        <v>#N/A</v>
      </c>
      <c r="U2159" s="3" t="str">
        <f>IFERROR(__xludf.DUMMYFUNCTION("""COMPUTED_VALUE"""),"#N/A")</f>
        <v>#N/A</v>
      </c>
      <c r="V2159" s="3" t="str">
        <f>IFERROR(__xludf.DUMMYFUNCTION("""COMPUTED_VALUE"""),"N")</f>
        <v>N</v>
      </c>
      <c r="W2159" s="3">
        <f>IFERROR(__xludf.DUMMYFUNCTION("""COMPUTED_VALUE"""),111132.0)</f>
        <v>111132</v>
      </c>
      <c r="X2159" s="3" t="str">
        <f>IFERROR(__xludf.DUMMYFUNCTION("""COMPUTED_VALUE"""),"1050 ถ.สมเด็จพระเจ้าตากสิน แขวงดาวคะนอง เขตธนบุรี กรุงเทพฯ 10600")</f>
        <v>1050 ถ.สมเด็จพระเจ้าตากสิน แขวงดาวคะนอง เขตธนบุรี กรุงเทพฯ 10600</v>
      </c>
      <c r="Y2159" s="3" t="str">
        <f>IFERROR(__xludf.DUMMYFUNCTION("""COMPUTED_VALUE"""),"ถ.สมเด็จพระเจ้าตากสิน")</f>
        <v>ถ.สมเด็จพระเจ้าตากสิน</v>
      </c>
      <c r="Z2159" s="3" t="str">
        <f>IFERROR(__xludf.DUMMYFUNCTION("""COMPUTED_VALUE"""),"ดาวคะนอง")</f>
        <v>ดาวคะนอง</v>
      </c>
      <c r="AA2159" s="3" t="str">
        <f>IFERROR(__xludf.DUMMYFUNCTION("""COMPUTED_VALUE"""),"ธนบุรี")</f>
        <v>ธนบุรี</v>
      </c>
      <c r="AB2159" s="3" t="str">
        <f>IFERROR(__xludf.DUMMYFUNCTION("""COMPUTED_VALUE"""),"กรุงเทพมหานคร")</f>
        <v>กรุงเทพมหานคร</v>
      </c>
      <c r="AC2159" s="3">
        <f>IFERROR(__xludf.DUMMYFUNCTION("""COMPUTED_VALUE"""),10600.0)</f>
        <v>10600</v>
      </c>
      <c r="AD2159" s="3">
        <f>IFERROR(__xludf.DUMMYFUNCTION("""COMPUTED_VALUE"""),0.0)</f>
        <v>0</v>
      </c>
      <c r="AE2159" s="3">
        <f>IFERROR(__xludf.DUMMYFUNCTION("""COMPUTED_VALUE"""),0.0)</f>
        <v>0</v>
      </c>
      <c r="AF2159" s="3" t="str">
        <f>IFERROR(__xludf.DUMMYFUNCTION("""COMPUTED_VALUE"""),"เพรียวดาวคะนอง-41032")</f>
        <v>เพรียวดาวคะนอง-41032</v>
      </c>
      <c r="AG2159" s="3" t="str">
        <f>IFERROR(__xludf.DUMMYFUNCTION("""COMPUTED_VALUE"""),"กลาง")</f>
        <v>กลาง</v>
      </c>
      <c r="AH2159" s="3" t="str">
        <f>IFERROR(__xludf.DUMMYFUNCTION("""COMPUTED_VALUE"""),"#N/A")</f>
        <v>#N/A</v>
      </c>
      <c r="AI2159" s="3" t="str">
        <f>IFERROR(__xludf.DUMMYFUNCTION("""COMPUTED_VALUE"""),"Out of warranty")</f>
        <v>Out of warranty</v>
      </c>
      <c r="AJ2159" s="3">
        <f>IFERROR(__xludf.DUMMYFUNCTION("""COMPUTED_VALUE"""),177.0)</f>
        <v>177</v>
      </c>
      <c r="AK2159" s="3"/>
      <c r="AL2159" s="3"/>
    </row>
    <row r="2160" ht="15.75" customHeight="1">
      <c r="A2160" s="1" t="str">
        <f>IFERROR(__xludf.DUMMYFUNCTION("""COMPUTED_VALUE"""),"41033")</f>
        <v>41033</v>
      </c>
      <c r="B2160" s="2">
        <f>IFERROR(__xludf.DUMMYFUNCTION("""COMPUTED_VALUE"""),41033.0)</f>
        <v>41033</v>
      </c>
      <c r="C2160" s="3" t="str">
        <f>IFERROR(__xludf.DUMMYFUNCTION("""COMPUTED_VALUE"""),"เพรียวแจ้งวัฒนะ")</f>
        <v>เพรียวแจ้งวัฒนะ</v>
      </c>
      <c r="D2160" s="3" t="str">
        <f>IFERROR(__xludf.DUMMYFUNCTION("""COMPUTED_VALUE"""),"BIGC CHAENGWATTHANA PURE")</f>
        <v>BIGC CHAENGWATTHANA PURE</v>
      </c>
      <c r="E2160" s="1" t="str">
        <f>IFERROR(__xludf.DUMMYFUNCTION("""COMPUTED_VALUE"""),"PURE")</f>
        <v>PURE</v>
      </c>
      <c r="F2160" s="1" t="str">
        <f>IFERROR(__xludf.DUMMYFUNCTION("""COMPUTED_VALUE"""),"2082102")</f>
        <v>2082102</v>
      </c>
      <c r="G2160" s="1" t="str">
        <f>IFERROR(__xludf.DUMMYFUNCTION("""COMPUTED_VALUE"""),"น.ส.วัชรา มหาวันแจ่ม")</f>
        <v>น.ส.วัชรา มหาวันแจ่ม</v>
      </c>
      <c r="H2160" s="1" t="str">
        <f>IFERROR(__xludf.DUMMYFUNCTION("""COMPUTED_VALUE"""),"2082102")</f>
        <v>2082102</v>
      </c>
      <c r="I2160" s="1" t="str">
        <f>IFERROR(__xludf.DUMMYFUNCTION("""COMPUTED_VALUE"""),"น.ส.วัชรา มหาวันแจ่ม")</f>
        <v>น.ส.วัชรา มหาวันแจ่ม</v>
      </c>
      <c r="J2160" s="3">
        <f>IFERROR(__xludf.DUMMYFUNCTION("""COMPUTED_VALUE"""),2454701.0)</f>
        <v>2454701</v>
      </c>
      <c r="K2160" s="3" t="str">
        <f>IFERROR(__xludf.DUMMYFUNCTION("""COMPUTED_VALUE"""),"นายกานต์ ไชยแสงศรี")</f>
        <v>นายกานต์ ไชยแสงศรี</v>
      </c>
      <c r="L2160" s="1" t="str">
        <f>IFERROR(__xludf.DUMMYFUNCTION("""COMPUTED_VALUE"""),"Hub01-BKK 1")</f>
        <v>Hub01-BKK 1</v>
      </c>
      <c r="M2160" s="1" t="str">
        <f>IFERROR(__xludf.DUMMYFUNCTION("""COMPUTED_VALUE"""),"0909090652")</f>
        <v>0909090652</v>
      </c>
      <c r="N2160" s="3">
        <f>IFERROR(__xludf.DUMMYFUNCTION("""COMPUTED_VALUE"""),11102.0)</f>
        <v>11102</v>
      </c>
      <c r="O2160" s="3" t="str">
        <f>IFERROR(__xludf.DUMMYFUNCTION("""COMPUTED_VALUE"""),"แจ้งวัฒนะ")</f>
        <v>แจ้งวัฒนะ</v>
      </c>
      <c r="P2160" s="4">
        <f>IFERROR(__xludf.DUMMYFUNCTION("""COMPUTED_VALUE"""),40670.0)</f>
        <v>40670</v>
      </c>
      <c r="Q2160" s="3" t="str">
        <f>IFERROR(__xludf.DUMMYFUNCTION("""COMPUTED_VALUE"""),"A")</f>
        <v>A</v>
      </c>
      <c r="R2160" s="3" t="str">
        <f>IFERROR(__xludf.DUMMYFUNCTION("""COMPUTED_VALUE"""),"Big Format")</f>
        <v>Big Format</v>
      </c>
      <c r="S2160" s="3" t="str">
        <f>IFERROR(__xludf.DUMMYFUNCTION("""COMPUTED_VALUE"""),"PURE")</f>
        <v>PURE</v>
      </c>
      <c r="T2160" s="3" t="str">
        <f>IFERROR(__xludf.DUMMYFUNCTION("""COMPUTED_VALUE"""),"#N/A")</f>
        <v>#N/A</v>
      </c>
      <c r="U2160" s="3" t="str">
        <f>IFERROR(__xludf.DUMMYFUNCTION("""COMPUTED_VALUE"""),"#N/A")</f>
        <v>#N/A</v>
      </c>
      <c r="V2160" s="3" t="str">
        <f>IFERROR(__xludf.DUMMYFUNCTION("""COMPUTED_VALUE"""),"N")</f>
        <v>N</v>
      </c>
      <c r="W2160" s="3">
        <f>IFERROR(__xludf.DUMMYFUNCTION("""COMPUTED_VALUE"""),111102.0)</f>
        <v>111102</v>
      </c>
      <c r="X2160" s="3" t="str">
        <f>IFERROR(__xludf.DUMMYFUNCTION("""COMPUTED_VALUE"""),"96 หมู่ที่ 1 แขวงทุ่งสองห้อง เขตหลักสี่ กรุงเทพฯ 10210")</f>
        <v>96 หมู่ที่ 1 แขวงทุ่งสองห้อง เขตหลักสี่ กรุงเทพฯ 10210</v>
      </c>
      <c r="Y2160" s="3"/>
      <c r="Z2160" s="3" t="str">
        <f>IFERROR(__xludf.DUMMYFUNCTION("""COMPUTED_VALUE"""),"ทุ่งสองห้อง")</f>
        <v>ทุ่งสองห้อง</v>
      </c>
      <c r="AA2160" s="3" t="str">
        <f>IFERROR(__xludf.DUMMYFUNCTION("""COMPUTED_VALUE"""),"หลักสี่")</f>
        <v>หลักสี่</v>
      </c>
      <c r="AB2160" s="3" t="str">
        <f>IFERROR(__xludf.DUMMYFUNCTION("""COMPUTED_VALUE"""),"กรุงเทพมหานคร")</f>
        <v>กรุงเทพมหานคร</v>
      </c>
      <c r="AC2160" s="3">
        <f>IFERROR(__xludf.DUMMYFUNCTION("""COMPUTED_VALUE"""),10210.0)</f>
        <v>10210</v>
      </c>
      <c r="AD2160" s="3">
        <f>IFERROR(__xludf.DUMMYFUNCTION("""COMPUTED_VALUE"""),0.0)</f>
        <v>0</v>
      </c>
      <c r="AE2160" s="3">
        <f>IFERROR(__xludf.DUMMYFUNCTION("""COMPUTED_VALUE"""),0.0)</f>
        <v>0</v>
      </c>
      <c r="AF2160" s="3" t="str">
        <f>IFERROR(__xludf.DUMMYFUNCTION("""COMPUTED_VALUE"""),"เพรียวแจ้งวัฒนะ-41033")</f>
        <v>เพรียวแจ้งวัฒนะ-41033</v>
      </c>
      <c r="AG2160" s="3" t="str">
        <f>IFERROR(__xludf.DUMMYFUNCTION("""COMPUTED_VALUE"""),"กลาง")</f>
        <v>กลาง</v>
      </c>
      <c r="AH2160" s="3" t="str">
        <f>IFERROR(__xludf.DUMMYFUNCTION("""COMPUTED_VALUE"""),"#N/A")</f>
        <v>#N/A</v>
      </c>
      <c r="AI2160" s="3" t="str">
        <f>IFERROR(__xludf.DUMMYFUNCTION("""COMPUTED_VALUE"""),"Out of warranty")</f>
        <v>Out of warranty</v>
      </c>
      <c r="AJ2160" s="3">
        <f>IFERROR(__xludf.DUMMYFUNCTION("""COMPUTED_VALUE"""),177.0)</f>
        <v>177</v>
      </c>
      <c r="AK2160" s="3"/>
      <c r="AL2160" s="3"/>
    </row>
    <row r="2161" ht="15.75" customHeight="1">
      <c r="A2161" s="1" t="str">
        <f>IFERROR(__xludf.DUMMYFUNCTION("""COMPUTED_VALUE"""),"41034")</f>
        <v>41034</v>
      </c>
      <c r="B2161" s="2">
        <f>IFERROR(__xludf.DUMMYFUNCTION("""COMPUTED_VALUE"""),41034.0)</f>
        <v>41034</v>
      </c>
      <c r="C2161" s="3" t="str">
        <f>IFERROR(__xludf.DUMMYFUNCTION("""COMPUTED_VALUE"""),"เพรียวราชบุรี")</f>
        <v>เพรียวราชบุรี</v>
      </c>
      <c r="D2161" s="3" t="str">
        <f>IFERROR(__xludf.DUMMYFUNCTION("""COMPUTED_VALUE"""),"BIGC RATCHABURI PURE")</f>
        <v>BIGC RATCHABURI PURE</v>
      </c>
      <c r="E2161" s="1" t="str">
        <f>IFERROR(__xludf.DUMMYFUNCTION("""COMPUTED_VALUE"""),"PURE")</f>
        <v>PURE</v>
      </c>
      <c r="F2161" s="1" t="str">
        <f>IFERROR(__xludf.DUMMYFUNCTION("""COMPUTED_VALUE"""),"2010612")</f>
        <v>2010612</v>
      </c>
      <c r="G2161" s="1" t="str">
        <f>IFERROR(__xludf.DUMMYFUNCTION("""COMPUTED_VALUE"""),"น.ส.วรรณพร เกตุเลิศประเสริฐ")</f>
        <v>น.ส.วรรณพร เกตุเลิศประเสริฐ</v>
      </c>
      <c r="H2161" s="1" t="str">
        <f>IFERROR(__xludf.DUMMYFUNCTION("""COMPUTED_VALUE"""),"2010612")</f>
        <v>2010612</v>
      </c>
      <c r="I2161" s="1" t="str">
        <f>IFERROR(__xludf.DUMMYFUNCTION("""COMPUTED_VALUE"""),"น.ส.วรรณพร เกตุเลิศประเสริฐ")</f>
        <v>น.ส.วรรณพร เกตุเลิศประเสริฐ</v>
      </c>
      <c r="J2161" s="3">
        <f>IFERROR(__xludf.DUMMYFUNCTION("""COMPUTED_VALUE"""),2455179.0)</f>
        <v>2455179</v>
      </c>
      <c r="K2161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2161" s="1" t="str">
        <f>IFERROR(__xludf.DUMMYFUNCTION("""COMPUTED_VALUE"""),"Hub06-C&amp;W")</f>
        <v>Hub06-C&amp;W</v>
      </c>
      <c r="M2161" s="1" t="str">
        <f>IFERROR(__xludf.DUMMYFUNCTION("""COMPUTED_VALUE"""),"090-993-6896")</f>
        <v>090-993-6896</v>
      </c>
      <c r="N2161" s="3">
        <f>IFERROR(__xludf.DUMMYFUNCTION("""COMPUTED_VALUE"""),11147.0)</f>
        <v>11147</v>
      </c>
      <c r="O2161" s="3" t="str">
        <f>IFERROR(__xludf.DUMMYFUNCTION("""COMPUTED_VALUE"""),"ราชบุรี")</f>
        <v>ราชบุรี</v>
      </c>
      <c r="P2161" s="4">
        <f>IFERROR(__xludf.DUMMYFUNCTION("""COMPUTED_VALUE"""),40675.0)</f>
        <v>40675</v>
      </c>
      <c r="Q2161" s="3" t="str">
        <f>IFERROR(__xludf.DUMMYFUNCTION("""COMPUTED_VALUE"""),"A")</f>
        <v>A</v>
      </c>
      <c r="R2161" s="3" t="str">
        <f>IFERROR(__xludf.DUMMYFUNCTION("""COMPUTED_VALUE"""),"Big Format")</f>
        <v>Big Format</v>
      </c>
      <c r="S2161" s="3" t="str">
        <f>IFERROR(__xludf.DUMMYFUNCTION("""COMPUTED_VALUE"""),"PURE")</f>
        <v>PURE</v>
      </c>
      <c r="T2161" s="3" t="str">
        <f>IFERROR(__xludf.DUMMYFUNCTION("""COMPUTED_VALUE"""),"#N/A")</f>
        <v>#N/A</v>
      </c>
      <c r="U2161" s="3" t="str">
        <f>IFERROR(__xludf.DUMMYFUNCTION("""COMPUTED_VALUE"""),"#N/A")</f>
        <v>#N/A</v>
      </c>
      <c r="V2161" s="3" t="str">
        <f>IFERROR(__xludf.DUMMYFUNCTION("""COMPUTED_VALUE"""),"N")</f>
        <v>N</v>
      </c>
      <c r="W2161" s="3">
        <f>IFERROR(__xludf.DUMMYFUNCTION("""COMPUTED_VALUE"""),111147.0)</f>
        <v>111147</v>
      </c>
      <c r="X2161" s="3" t="str">
        <f>IFERROR(__xludf.DUMMYFUNCTION("""COMPUTED_VALUE"""),"534 หมู่ที่ 1 ตำบลโคกหม้อ อำเภอเมืองราชบุรี จังหวัดราชบุรี 70000")</f>
        <v>534 หมู่ที่ 1 ตำบลโคกหม้อ อำเภอเมืองราชบุรี จังหวัดราชบุรี 70000</v>
      </c>
      <c r="Y2161" s="3"/>
      <c r="Z2161" s="3" t="str">
        <f>IFERROR(__xludf.DUMMYFUNCTION("""COMPUTED_VALUE"""),"โคกหม้อ")</f>
        <v>โคกหม้อ</v>
      </c>
      <c r="AA2161" s="3" t="str">
        <f>IFERROR(__xludf.DUMMYFUNCTION("""COMPUTED_VALUE"""),"เมือง")</f>
        <v>เมือง</v>
      </c>
      <c r="AB2161" s="3" t="str">
        <f>IFERROR(__xludf.DUMMYFUNCTION("""COMPUTED_VALUE"""),"ราชบุรี")</f>
        <v>ราชบุรี</v>
      </c>
      <c r="AC2161" s="3">
        <f>IFERROR(__xludf.DUMMYFUNCTION("""COMPUTED_VALUE"""),70000.0)</f>
        <v>70000</v>
      </c>
      <c r="AD2161" s="3">
        <f>IFERROR(__xludf.DUMMYFUNCTION("""COMPUTED_VALUE"""),0.0)</f>
        <v>0</v>
      </c>
      <c r="AE2161" s="3">
        <f>IFERROR(__xludf.DUMMYFUNCTION("""COMPUTED_VALUE"""),0.0)</f>
        <v>0</v>
      </c>
      <c r="AF2161" s="3" t="str">
        <f>IFERROR(__xludf.DUMMYFUNCTION("""COMPUTED_VALUE"""),"เพรียวราชบุรี-41034")</f>
        <v>เพรียวราชบุรี-41034</v>
      </c>
      <c r="AG2161" s="3" t="str">
        <f>IFERROR(__xludf.DUMMYFUNCTION("""COMPUTED_VALUE"""),"ตะวันตก")</f>
        <v>ตะวันตก</v>
      </c>
      <c r="AH2161" s="3" t="str">
        <f>IFERROR(__xludf.DUMMYFUNCTION("""COMPUTED_VALUE"""),"#N/A")</f>
        <v>#N/A</v>
      </c>
      <c r="AI2161" s="3" t="str">
        <f>IFERROR(__xludf.DUMMYFUNCTION("""COMPUTED_VALUE"""),"Out of warranty")</f>
        <v>Out of warranty</v>
      </c>
      <c r="AJ2161" s="3">
        <f>IFERROR(__xludf.DUMMYFUNCTION("""COMPUTED_VALUE"""),177.0)</f>
        <v>177</v>
      </c>
      <c r="AK2161" s="3"/>
      <c r="AL2161" s="3"/>
    </row>
    <row r="2162" ht="15.75" customHeight="1">
      <c r="A2162" s="1" t="str">
        <f>IFERROR(__xludf.DUMMYFUNCTION("""COMPUTED_VALUE"""),"41035")</f>
        <v>41035</v>
      </c>
      <c r="B2162" s="2">
        <f>IFERROR(__xludf.DUMMYFUNCTION("""COMPUTED_VALUE"""),41035.0)</f>
        <v>41035</v>
      </c>
      <c r="C2162" s="3" t="str">
        <f>IFERROR(__xludf.DUMMYFUNCTION("""COMPUTED_VALUE"""),"เพรียวเพชรบุรี")</f>
        <v>เพรียวเพชรบุรี</v>
      </c>
      <c r="D2162" s="3" t="str">
        <f>IFERROR(__xludf.DUMMYFUNCTION("""COMPUTED_VALUE"""),"BIGC PETCHBURI PURE")</f>
        <v>BIGC PETCHBURI PURE</v>
      </c>
      <c r="E2162" s="1" t="str">
        <f>IFERROR(__xludf.DUMMYFUNCTION("""COMPUTED_VALUE"""),"PURE")</f>
        <v>PURE</v>
      </c>
      <c r="F2162" s="1" t="str">
        <f>IFERROR(__xludf.DUMMYFUNCTION("""COMPUTED_VALUE"""),"2010612")</f>
        <v>2010612</v>
      </c>
      <c r="G2162" s="1" t="str">
        <f>IFERROR(__xludf.DUMMYFUNCTION("""COMPUTED_VALUE"""),"น.ส.วรรณพร เกตุเลิศประเสริฐ")</f>
        <v>น.ส.วรรณพร เกตุเลิศประเสริฐ</v>
      </c>
      <c r="H2162" s="1" t="str">
        <f>IFERROR(__xludf.DUMMYFUNCTION("""COMPUTED_VALUE"""),"2010612")</f>
        <v>2010612</v>
      </c>
      <c r="I2162" s="1" t="str">
        <f>IFERROR(__xludf.DUMMYFUNCTION("""COMPUTED_VALUE"""),"น.ส.วรรณพร เกตุเลิศประเสริฐ")</f>
        <v>น.ส.วรรณพร เกตุเลิศประเสริฐ</v>
      </c>
      <c r="J2162" s="3">
        <f>IFERROR(__xludf.DUMMYFUNCTION("""COMPUTED_VALUE"""),2455179.0)</f>
        <v>2455179</v>
      </c>
      <c r="K2162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2162" s="1" t="str">
        <f>IFERROR(__xludf.DUMMYFUNCTION("""COMPUTED_VALUE"""),"Hub06-C&amp;W")</f>
        <v>Hub06-C&amp;W</v>
      </c>
      <c r="M2162" s="1" t="str">
        <f>IFERROR(__xludf.DUMMYFUNCTION("""COMPUTED_VALUE"""),"090-993-6896")</f>
        <v>090-993-6896</v>
      </c>
      <c r="N2162" s="3">
        <f>IFERROR(__xludf.DUMMYFUNCTION("""COMPUTED_VALUE"""),11120.0)</f>
        <v>11120</v>
      </c>
      <c r="O2162" s="3" t="str">
        <f>IFERROR(__xludf.DUMMYFUNCTION("""COMPUTED_VALUE"""),"เพชรบุรี")</f>
        <v>เพชรบุรี</v>
      </c>
      <c r="P2162" s="4">
        <f>IFERROR(__xludf.DUMMYFUNCTION("""COMPUTED_VALUE"""),40685.0)</f>
        <v>40685</v>
      </c>
      <c r="Q2162" s="3" t="str">
        <f>IFERROR(__xludf.DUMMYFUNCTION("""COMPUTED_VALUE"""),"A")</f>
        <v>A</v>
      </c>
      <c r="R2162" s="3" t="str">
        <f>IFERROR(__xludf.DUMMYFUNCTION("""COMPUTED_VALUE"""),"Big Format")</f>
        <v>Big Format</v>
      </c>
      <c r="S2162" s="3" t="str">
        <f>IFERROR(__xludf.DUMMYFUNCTION("""COMPUTED_VALUE"""),"PURE")</f>
        <v>PURE</v>
      </c>
      <c r="T2162" s="3" t="str">
        <f>IFERROR(__xludf.DUMMYFUNCTION("""COMPUTED_VALUE"""),"#N/A")</f>
        <v>#N/A</v>
      </c>
      <c r="U2162" s="3" t="str">
        <f>IFERROR(__xludf.DUMMYFUNCTION("""COMPUTED_VALUE"""),"#N/A")</f>
        <v>#N/A</v>
      </c>
      <c r="V2162" s="3" t="str">
        <f>IFERROR(__xludf.DUMMYFUNCTION("""COMPUTED_VALUE"""),"N")</f>
        <v>N</v>
      </c>
      <c r="W2162" s="3">
        <f>IFERROR(__xludf.DUMMYFUNCTION("""COMPUTED_VALUE"""),111120.0)</f>
        <v>111120</v>
      </c>
      <c r="X2162" s="3" t="str">
        <f>IFERROR(__xludf.DUMMYFUNCTION("""COMPUTED_VALUE"""),"130 ม. 1 ต.ต้นมะม่วง อ.เมืองเพชรบุรี จ.เพชรบุรี 76000")</f>
        <v>130 ม. 1 ต.ต้นมะม่วง อ.เมืองเพชรบุรี จ.เพชรบุรี 76000</v>
      </c>
      <c r="Y2162" s="3"/>
      <c r="Z2162" s="3" t="str">
        <f>IFERROR(__xludf.DUMMYFUNCTION("""COMPUTED_VALUE"""),"ต้นมะม่วง")</f>
        <v>ต้นมะม่วง</v>
      </c>
      <c r="AA2162" s="3" t="str">
        <f>IFERROR(__xludf.DUMMYFUNCTION("""COMPUTED_VALUE"""),"เมือง")</f>
        <v>เมือง</v>
      </c>
      <c r="AB2162" s="3" t="str">
        <f>IFERROR(__xludf.DUMMYFUNCTION("""COMPUTED_VALUE"""),"เพชรบุรี")</f>
        <v>เพชรบุรี</v>
      </c>
      <c r="AC2162" s="3">
        <f>IFERROR(__xludf.DUMMYFUNCTION("""COMPUTED_VALUE"""),76000.0)</f>
        <v>76000</v>
      </c>
      <c r="AD2162" s="3">
        <f>IFERROR(__xludf.DUMMYFUNCTION("""COMPUTED_VALUE"""),0.0)</f>
        <v>0</v>
      </c>
      <c r="AE2162" s="3">
        <f>IFERROR(__xludf.DUMMYFUNCTION("""COMPUTED_VALUE"""),0.0)</f>
        <v>0</v>
      </c>
      <c r="AF2162" s="3" t="str">
        <f>IFERROR(__xludf.DUMMYFUNCTION("""COMPUTED_VALUE"""),"เพรียวเพชรบุรี-41035")</f>
        <v>เพรียวเพชรบุรี-41035</v>
      </c>
      <c r="AG2162" s="3" t="str">
        <f>IFERROR(__xludf.DUMMYFUNCTION("""COMPUTED_VALUE"""),"ตะวันตก")</f>
        <v>ตะวันตก</v>
      </c>
      <c r="AH2162" s="3" t="str">
        <f>IFERROR(__xludf.DUMMYFUNCTION("""COMPUTED_VALUE"""),"#N/A")</f>
        <v>#N/A</v>
      </c>
      <c r="AI2162" s="3" t="str">
        <f>IFERROR(__xludf.DUMMYFUNCTION("""COMPUTED_VALUE"""),"Out of warranty")</f>
        <v>Out of warranty</v>
      </c>
      <c r="AJ2162" s="3">
        <f>IFERROR(__xludf.DUMMYFUNCTION("""COMPUTED_VALUE"""),176.0)</f>
        <v>176</v>
      </c>
      <c r="AK2162" s="3"/>
      <c r="AL2162" s="3"/>
    </row>
    <row r="2163" ht="15.75" customHeight="1">
      <c r="A2163" s="1" t="str">
        <f>IFERROR(__xludf.DUMMYFUNCTION("""COMPUTED_VALUE"""),"41036")</f>
        <v>41036</v>
      </c>
      <c r="B2163" s="2">
        <f>IFERROR(__xludf.DUMMYFUNCTION("""COMPUTED_VALUE"""),41036.0)</f>
        <v>41036</v>
      </c>
      <c r="C2163" s="3" t="str">
        <f>IFERROR(__xludf.DUMMYFUNCTION("""COMPUTED_VALUE"""),"เพรียวสุราษฎร์ธานี")</f>
        <v>เพรียวสุราษฎร์ธานี</v>
      </c>
      <c r="D2163" s="3" t="str">
        <f>IFERROR(__xludf.DUMMYFUNCTION("""COMPUTED_VALUE"""),"BIGC SURATTHANI PURE")</f>
        <v>BIGC SURATTHANI PURE</v>
      </c>
      <c r="E2163" s="1" t="str">
        <f>IFERROR(__xludf.DUMMYFUNCTION("""COMPUTED_VALUE"""),"PURE")</f>
        <v>PURE</v>
      </c>
      <c r="F2163" s="1" t="str">
        <f>IFERROR(__xludf.DUMMYFUNCTION("""COMPUTED_VALUE"""),"291435")</f>
        <v>291435</v>
      </c>
      <c r="G2163" s="1" t="str">
        <f>IFERROR(__xludf.DUMMYFUNCTION("""COMPUTED_VALUE"""),"น.ส.สุกัญญา มณีไพโรจน์")</f>
        <v>น.ส.สุกัญญา มณีไพโรจน์</v>
      </c>
      <c r="H2163" s="1" t="str">
        <f>IFERROR(__xludf.DUMMYFUNCTION("""COMPUTED_VALUE"""),"291435")</f>
        <v>291435</v>
      </c>
      <c r="I2163" s="1" t="str">
        <f>IFERROR(__xludf.DUMMYFUNCTION("""COMPUTED_VALUE"""),"น.ส.สุกัญญา มณีไพโรจน์")</f>
        <v>น.ส.สุกัญญา มณีไพโรจน์</v>
      </c>
      <c r="J2163" s="3">
        <f>IFERROR(__xludf.DUMMYFUNCTION("""COMPUTED_VALUE"""),2454709.0)</f>
        <v>2454709</v>
      </c>
      <c r="K2163" s="3" t="str">
        <f>IFERROR(__xludf.DUMMYFUNCTION("""COMPUTED_VALUE"""),"นายประชา เกตุชาติ")</f>
        <v>นายประชา เกตุชาติ</v>
      </c>
      <c r="L2163" s="1" t="str">
        <f>IFERROR(__xludf.DUMMYFUNCTION("""COMPUTED_VALUE"""),"Hub05-South")</f>
        <v>Hub05-South</v>
      </c>
      <c r="M2163" s="1" t="str">
        <f>IFERROR(__xludf.DUMMYFUNCTION("""COMPUTED_VALUE"""),"0659291311")</f>
        <v>0659291311</v>
      </c>
      <c r="N2163" s="3">
        <f>IFERROR(__xludf.DUMMYFUNCTION("""COMPUTED_VALUE"""),11112.0)</f>
        <v>11112</v>
      </c>
      <c r="O2163" s="3" t="str">
        <f>IFERROR(__xludf.DUMMYFUNCTION("""COMPUTED_VALUE"""),"สุราษฎร์ธานี")</f>
        <v>สุราษฎร์ธานี</v>
      </c>
      <c r="P2163" s="4">
        <f>IFERROR(__xludf.DUMMYFUNCTION("""COMPUTED_VALUE"""),40690.0)</f>
        <v>40690</v>
      </c>
      <c r="Q2163" s="3" t="str">
        <f>IFERROR(__xludf.DUMMYFUNCTION("""COMPUTED_VALUE"""),"A")</f>
        <v>A</v>
      </c>
      <c r="R2163" s="3" t="str">
        <f>IFERROR(__xludf.DUMMYFUNCTION("""COMPUTED_VALUE"""),"Big Format")</f>
        <v>Big Format</v>
      </c>
      <c r="S2163" s="3" t="str">
        <f>IFERROR(__xludf.DUMMYFUNCTION("""COMPUTED_VALUE"""),"PURE")</f>
        <v>PURE</v>
      </c>
      <c r="T2163" s="3" t="str">
        <f>IFERROR(__xludf.DUMMYFUNCTION("""COMPUTED_VALUE"""),"#N/A")</f>
        <v>#N/A</v>
      </c>
      <c r="U2163" s="3" t="str">
        <f>IFERROR(__xludf.DUMMYFUNCTION("""COMPUTED_VALUE"""),"#N/A")</f>
        <v>#N/A</v>
      </c>
      <c r="V2163" s="3" t="str">
        <f>IFERROR(__xludf.DUMMYFUNCTION("""COMPUTED_VALUE"""),"N")</f>
        <v>N</v>
      </c>
      <c r="W2163" s="3">
        <f>IFERROR(__xludf.DUMMYFUNCTION("""COMPUTED_VALUE"""),111112.0)</f>
        <v>111112</v>
      </c>
      <c r="X2163" s="3" t="str">
        <f>IFERROR(__xludf.DUMMYFUNCTION("""COMPUTED_VALUE"""),"130 หมู่ที่ 1 ถนนเลี่ยงเมือง ตำบลบางกุ้ง อำเภอเมือง จังหวัดสุราษฎร์ธานี 84000")</f>
        <v>130 หมู่ที่ 1 ถนนเลี่ยงเมือง ตำบลบางกุ้ง อำเภอเมือง จังหวัดสุราษฎร์ธานี 84000</v>
      </c>
      <c r="Y2163" s="3"/>
      <c r="Z2163" s="3" t="str">
        <f>IFERROR(__xludf.DUMMYFUNCTION("""COMPUTED_VALUE"""),"บางกุ้ง")</f>
        <v>บางกุ้ง</v>
      </c>
      <c r="AA2163" s="3" t="str">
        <f>IFERROR(__xludf.DUMMYFUNCTION("""COMPUTED_VALUE"""),"เมือง")</f>
        <v>เมือง</v>
      </c>
      <c r="AB2163" s="3" t="str">
        <f>IFERROR(__xludf.DUMMYFUNCTION("""COMPUTED_VALUE"""),"สุราษฎร์ธานี")</f>
        <v>สุราษฎร์ธานี</v>
      </c>
      <c r="AC2163" s="3">
        <f>IFERROR(__xludf.DUMMYFUNCTION("""COMPUTED_VALUE"""),84000.0)</f>
        <v>84000</v>
      </c>
      <c r="AD2163" s="3">
        <f>IFERROR(__xludf.DUMMYFUNCTION("""COMPUTED_VALUE"""),0.0)</f>
        <v>0</v>
      </c>
      <c r="AE2163" s="3">
        <f>IFERROR(__xludf.DUMMYFUNCTION("""COMPUTED_VALUE"""),0.0)</f>
        <v>0</v>
      </c>
      <c r="AF2163" s="3" t="str">
        <f>IFERROR(__xludf.DUMMYFUNCTION("""COMPUTED_VALUE"""),"เพรียวสุราษฎร์ธานี-41036")</f>
        <v>เพรียวสุราษฎร์ธานี-41036</v>
      </c>
      <c r="AG2163" s="3" t="str">
        <f>IFERROR(__xludf.DUMMYFUNCTION("""COMPUTED_VALUE"""),"ใต้")</f>
        <v>ใต้</v>
      </c>
      <c r="AH2163" s="3" t="str">
        <f>IFERROR(__xludf.DUMMYFUNCTION("""COMPUTED_VALUE"""),"#N/A")</f>
        <v>#N/A</v>
      </c>
      <c r="AI2163" s="3" t="str">
        <f>IFERROR(__xludf.DUMMYFUNCTION("""COMPUTED_VALUE"""),"Out of warranty")</f>
        <v>Out of warranty</v>
      </c>
      <c r="AJ2163" s="3">
        <f>IFERROR(__xludf.DUMMYFUNCTION("""COMPUTED_VALUE"""),176.0)</f>
        <v>176</v>
      </c>
      <c r="AK2163" s="3"/>
      <c r="AL2163" s="3"/>
    </row>
    <row r="2164" ht="15.75" customHeight="1">
      <c r="A2164" s="1" t="str">
        <f>IFERROR(__xludf.DUMMYFUNCTION("""COMPUTED_VALUE"""),"41037")</f>
        <v>41037</v>
      </c>
      <c r="B2164" s="2">
        <f>IFERROR(__xludf.DUMMYFUNCTION("""COMPUTED_VALUE"""),41037.0)</f>
        <v>41037</v>
      </c>
      <c r="C2164" s="3" t="str">
        <f>IFERROR(__xludf.DUMMYFUNCTION("""COMPUTED_VALUE"""),"เพรียวสมุทรปราการ")</f>
        <v>เพรียวสมุทรปราการ</v>
      </c>
      <c r="D2164" s="3" t="str">
        <f>IFERROR(__xludf.DUMMYFUNCTION("""COMPUTED_VALUE"""),"BIGC SAMUTPRAKARN PURE")</f>
        <v>BIGC SAMUTPRAKARN PURE</v>
      </c>
      <c r="E2164" s="1" t="str">
        <f>IFERROR(__xludf.DUMMYFUNCTION("""COMPUTED_VALUE"""),"PURE")</f>
        <v>PURE</v>
      </c>
      <c r="F2164" s="1" t="str">
        <f>IFERROR(__xludf.DUMMYFUNCTION("""COMPUTED_VALUE"""),"291435")</f>
        <v>291435</v>
      </c>
      <c r="G2164" s="1" t="str">
        <f>IFERROR(__xludf.DUMMYFUNCTION("""COMPUTED_VALUE"""),"น.ส.สุกัญญา มณีไพโรจน์")</f>
        <v>น.ส.สุกัญญา มณีไพโรจน์</v>
      </c>
      <c r="H2164" s="1" t="str">
        <f>IFERROR(__xludf.DUMMYFUNCTION("""COMPUTED_VALUE"""),"291435")</f>
        <v>291435</v>
      </c>
      <c r="I2164" s="1" t="str">
        <f>IFERROR(__xludf.DUMMYFUNCTION("""COMPUTED_VALUE"""),"น.ส.สุกัญญา มณีไพโรจน์")</f>
        <v>น.ส.สุกัญญา มณีไพโรจน์</v>
      </c>
      <c r="J2164" s="3">
        <f>IFERROR(__xludf.DUMMYFUNCTION("""COMPUTED_VALUE"""),2454716.0)</f>
        <v>2454716</v>
      </c>
      <c r="K2164" s="3" t="str">
        <f>IFERROR(__xludf.DUMMYFUNCTION("""COMPUTED_VALUE"""),"นายโฆษิต วงค์กะโซ่")</f>
        <v>นายโฆษิต วงค์กะโซ่</v>
      </c>
      <c r="L2164" s="1" t="str">
        <f>IFERROR(__xludf.DUMMYFUNCTION("""COMPUTED_VALUE"""),"Hub03-BKK 3")</f>
        <v>Hub03-BKK 3</v>
      </c>
      <c r="M2164" s="1" t="str">
        <f>IFERROR(__xludf.DUMMYFUNCTION("""COMPUTED_VALUE"""),"062-434-5030")</f>
        <v>062-434-5030</v>
      </c>
      <c r="N2164" s="3">
        <f>IFERROR(__xludf.DUMMYFUNCTION("""COMPUTED_VALUE"""),11123.0)</f>
        <v>11123</v>
      </c>
      <c r="O2164" s="3" t="str">
        <f>IFERROR(__xludf.DUMMYFUNCTION("""COMPUTED_VALUE"""),"สมุทรปราการ")</f>
        <v>สมุทรปราการ</v>
      </c>
      <c r="P2164" s="4">
        <f>IFERROR(__xludf.DUMMYFUNCTION("""COMPUTED_VALUE"""),40697.0)</f>
        <v>40697</v>
      </c>
      <c r="Q2164" s="3" t="str">
        <f>IFERROR(__xludf.DUMMYFUNCTION("""COMPUTED_VALUE"""),"A")</f>
        <v>A</v>
      </c>
      <c r="R2164" s="3" t="str">
        <f>IFERROR(__xludf.DUMMYFUNCTION("""COMPUTED_VALUE"""),"Big Format")</f>
        <v>Big Format</v>
      </c>
      <c r="S2164" s="3" t="str">
        <f>IFERROR(__xludf.DUMMYFUNCTION("""COMPUTED_VALUE"""),"PURE")</f>
        <v>PURE</v>
      </c>
      <c r="T2164" s="3" t="str">
        <f>IFERROR(__xludf.DUMMYFUNCTION("""COMPUTED_VALUE"""),"#N/A")</f>
        <v>#N/A</v>
      </c>
      <c r="U2164" s="3" t="str">
        <f>IFERROR(__xludf.DUMMYFUNCTION("""COMPUTED_VALUE"""),"#N/A")</f>
        <v>#N/A</v>
      </c>
      <c r="V2164" s="3" t="str">
        <f>IFERROR(__xludf.DUMMYFUNCTION("""COMPUTED_VALUE"""),"N")</f>
        <v>N</v>
      </c>
      <c r="W2164" s="3">
        <f>IFERROR(__xludf.DUMMYFUNCTION("""COMPUTED_VALUE"""),111123.0)</f>
        <v>111123</v>
      </c>
      <c r="X2164" s="3" t="str">
        <f>IFERROR(__xludf.DUMMYFUNCTION("""COMPUTED_VALUE"""),"498/1 ถนนสุขุมวิท ตำบลปากน้ำ อำเภอเมืองสมุทรปราการ จังหวัดสมุทรปราการ 10270")</f>
        <v>498/1 ถนนสุขุมวิท ตำบลปากน้ำ อำเภอเมืองสมุทรปราการ จังหวัดสมุทรปราการ 10270</v>
      </c>
      <c r="Y2164" s="3" t="str">
        <f>IFERROR(__xludf.DUMMYFUNCTION("""COMPUTED_VALUE"""),"ถนนสุขุมวิท")</f>
        <v>ถนนสุขุมวิท</v>
      </c>
      <c r="Z2164" s="3" t="str">
        <f>IFERROR(__xludf.DUMMYFUNCTION("""COMPUTED_VALUE"""),"ปากน้ำ")</f>
        <v>ปากน้ำ</v>
      </c>
      <c r="AA2164" s="3" t="str">
        <f>IFERROR(__xludf.DUMMYFUNCTION("""COMPUTED_VALUE"""),"เมืองสมุทรปราการ")</f>
        <v>เมืองสมุทรปราการ</v>
      </c>
      <c r="AB2164" s="3" t="str">
        <f>IFERROR(__xludf.DUMMYFUNCTION("""COMPUTED_VALUE"""),"สมุทรปราการ")</f>
        <v>สมุทรปราการ</v>
      </c>
      <c r="AC2164" s="3">
        <f>IFERROR(__xludf.DUMMYFUNCTION("""COMPUTED_VALUE"""),10270.0)</f>
        <v>10270</v>
      </c>
      <c r="AD2164" s="3">
        <f>IFERROR(__xludf.DUMMYFUNCTION("""COMPUTED_VALUE"""),0.0)</f>
        <v>0</v>
      </c>
      <c r="AE2164" s="3">
        <f>IFERROR(__xludf.DUMMYFUNCTION("""COMPUTED_VALUE"""),0.0)</f>
        <v>0</v>
      </c>
      <c r="AF2164" s="3" t="str">
        <f>IFERROR(__xludf.DUMMYFUNCTION("""COMPUTED_VALUE"""),"เพรียวสมุทรปราการ-41037")</f>
        <v>เพรียวสมุทรปราการ-41037</v>
      </c>
      <c r="AG2164" s="3" t="str">
        <f>IFERROR(__xludf.DUMMYFUNCTION("""COMPUTED_VALUE"""),"กลาง")</f>
        <v>กลาง</v>
      </c>
      <c r="AH2164" s="3" t="str">
        <f>IFERROR(__xludf.DUMMYFUNCTION("""COMPUTED_VALUE"""),"#N/A")</f>
        <v>#N/A</v>
      </c>
      <c r="AI2164" s="3" t="str">
        <f>IFERROR(__xludf.DUMMYFUNCTION("""COMPUTED_VALUE"""),"Out of warranty")</f>
        <v>Out of warranty</v>
      </c>
      <c r="AJ2164" s="3">
        <f>IFERROR(__xludf.DUMMYFUNCTION("""COMPUTED_VALUE"""),176.0)</f>
        <v>176</v>
      </c>
      <c r="AK2164" s="3"/>
      <c r="AL2164" s="3"/>
    </row>
    <row r="2165" ht="15.75" customHeight="1">
      <c r="A2165" s="1" t="str">
        <f>IFERROR(__xludf.DUMMYFUNCTION("""COMPUTED_VALUE"""),"41038")</f>
        <v>41038</v>
      </c>
      <c r="B2165" s="2">
        <f>IFERROR(__xludf.DUMMYFUNCTION("""COMPUTED_VALUE"""),41038.0)</f>
        <v>41038</v>
      </c>
      <c r="C2165" s="3" t="str">
        <f>IFERROR(__xludf.DUMMYFUNCTION("""COMPUTED_VALUE"""),"เพรียวบางนา")</f>
        <v>เพรียวบางนา</v>
      </c>
      <c r="D2165" s="3" t="str">
        <f>IFERROR(__xludf.DUMMYFUNCTION("""COMPUTED_VALUE"""),"BIGC BANGNA PURE")</f>
        <v>BIGC BANGNA PURE</v>
      </c>
      <c r="E2165" s="1" t="str">
        <f>IFERROR(__xludf.DUMMYFUNCTION("""COMPUTED_VALUE"""),"PURE")</f>
        <v>PURE</v>
      </c>
      <c r="F2165" s="1" t="str">
        <f>IFERROR(__xludf.DUMMYFUNCTION("""COMPUTED_VALUE"""),"291435")</f>
        <v>291435</v>
      </c>
      <c r="G2165" s="1" t="str">
        <f>IFERROR(__xludf.DUMMYFUNCTION("""COMPUTED_VALUE"""),"น.ส.สุกัญญา มณีไพโรจน์")</f>
        <v>น.ส.สุกัญญา มณีไพโรจน์</v>
      </c>
      <c r="H2165" s="1" t="str">
        <f>IFERROR(__xludf.DUMMYFUNCTION("""COMPUTED_VALUE"""),"291435")</f>
        <v>291435</v>
      </c>
      <c r="I2165" s="1" t="str">
        <f>IFERROR(__xludf.DUMMYFUNCTION("""COMPUTED_VALUE"""),"น.ส.สุกัญญา มณีไพโรจน์")</f>
        <v>น.ส.สุกัญญา มณีไพโรจน์</v>
      </c>
      <c r="J2165" s="3">
        <f>IFERROR(__xludf.DUMMYFUNCTION("""COMPUTED_VALUE"""),2408546.0)</f>
        <v>2408546</v>
      </c>
      <c r="K2165" s="3" t="str">
        <f>IFERROR(__xludf.DUMMYFUNCTION("""COMPUTED_VALUE"""),"นายเกษมศิษฐ์ ฮดบุญเรือง")</f>
        <v>นายเกษมศิษฐ์ ฮดบุญเรือง</v>
      </c>
      <c r="L2165" s="1" t="str">
        <f>IFERROR(__xludf.DUMMYFUNCTION("""COMPUTED_VALUE"""),"Hub02-BKK 2")</f>
        <v>Hub02-BKK 2</v>
      </c>
      <c r="M2165" s="1" t="str">
        <f>IFERROR(__xludf.DUMMYFUNCTION("""COMPUTED_VALUE"""),"0988580755")</f>
        <v>0988580755</v>
      </c>
      <c r="N2165" s="3">
        <f>IFERROR(__xludf.DUMMYFUNCTION("""COMPUTED_VALUE"""),11130.0)</f>
        <v>11130</v>
      </c>
      <c r="O2165" s="3" t="str">
        <f>IFERROR(__xludf.DUMMYFUNCTION("""COMPUTED_VALUE"""),"บางนา")</f>
        <v>บางนา</v>
      </c>
      <c r="P2165" s="4">
        <f>IFERROR(__xludf.DUMMYFUNCTION("""COMPUTED_VALUE"""),40704.0)</f>
        <v>40704</v>
      </c>
      <c r="Q2165" s="3" t="str">
        <f>IFERROR(__xludf.DUMMYFUNCTION("""COMPUTED_VALUE"""),"A")</f>
        <v>A</v>
      </c>
      <c r="R2165" s="3" t="str">
        <f>IFERROR(__xludf.DUMMYFUNCTION("""COMPUTED_VALUE"""),"Big Format")</f>
        <v>Big Format</v>
      </c>
      <c r="S2165" s="3" t="str">
        <f>IFERROR(__xludf.DUMMYFUNCTION("""COMPUTED_VALUE"""),"PURE")</f>
        <v>PURE</v>
      </c>
      <c r="T2165" s="3" t="str">
        <f>IFERROR(__xludf.DUMMYFUNCTION("""COMPUTED_VALUE"""),"#N/A")</f>
        <v>#N/A</v>
      </c>
      <c r="U2165" s="3" t="str">
        <f>IFERROR(__xludf.DUMMYFUNCTION("""COMPUTED_VALUE"""),"#N/A")</f>
        <v>#N/A</v>
      </c>
      <c r="V2165" s="3" t="str">
        <f>IFERROR(__xludf.DUMMYFUNCTION("""COMPUTED_VALUE"""),"N")</f>
        <v>N</v>
      </c>
      <c r="W2165" s="3">
        <f>IFERROR(__xludf.DUMMYFUNCTION("""COMPUTED_VALUE"""),111130.0)</f>
        <v>111130</v>
      </c>
      <c r="X2165" s="3" t="str">
        <f>IFERROR(__xludf.DUMMYFUNCTION("""COMPUTED_VALUE"""),"611 ถนนเทพรัตน แขวงบางนาเหนือ เขตบางนา กรุงเทพฯ 10260")</f>
        <v>611 ถนนเทพรัตน แขวงบางนาเหนือ เขตบางนา กรุงเทพฯ 10260</v>
      </c>
      <c r="Y2165" s="3" t="str">
        <f>IFERROR(__xludf.DUMMYFUNCTION("""COMPUTED_VALUE"""),"ถนนเทพรัตน")</f>
        <v>ถนนเทพรัตน</v>
      </c>
      <c r="Z2165" s="3" t="str">
        <f>IFERROR(__xludf.DUMMYFUNCTION("""COMPUTED_VALUE"""),"บางนาเหนือ")</f>
        <v>บางนาเหนือ</v>
      </c>
      <c r="AA2165" s="3" t="str">
        <f>IFERROR(__xludf.DUMMYFUNCTION("""COMPUTED_VALUE"""),"บางนา")</f>
        <v>บางนา</v>
      </c>
      <c r="AB2165" s="3" t="str">
        <f>IFERROR(__xludf.DUMMYFUNCTION("""COMPUTED_VALUE"""),"กรุงเทพมหานคร")</f>
        <v>กรุงเทพมหานคร</v>
      </c>
      <c r="AC2165" s="3">
        <f>IFERROR(__xludf.DUMMYFUNCTION("""COMPUTED_VALUE"""),10260.0)</f>
        <v>10260</v>
      </c>
      <c r="AD2165" s="3">
        <f>IFERROR(__xludf.DUMMYFUNCTION("""COMPUTED_VALUE"""),0.0)</f>
        <v>0</v>
      </c>
      <c r="AE2165" s="3">
        <f>IFERROR(__xludf.DUMMYFUNCTION("""COMPUTED_VALUE"""),0.0)</f>
        <v>0</v>
      </c>
      <c r="AF2165" s="3" t="str">
        <f>IFERROR(__xludf.DUMMYFUNCTION("""COMPUTED_VALUE"""),"เพรียวบางนา-41038")</f>
        <v>เพรียวบางนา-41038</v>
      </c>
      <c r="AG2165" s="3" t="str">
        <f>IFERROR(__xludf.DUMMYFUNCTION("""COMPUTED_VALUE"""),"กลาง")</f>
        <v>กลาง</v>
      </c>
      <c r="AH2165" s="3" t="str">
        <f>IFERROR(__xludf.DUMMYFUNCTION("""COMPUTED_VALUE"""),"#N/A")</f>
        <v>#N/A</v>
      </c>
      <c r="AI2165" s="3" t="str">
        <f>IFERROR(__xludf.DUMMYFUNCTION("""COMPUTED_VALUE"""),"Out of warranty")</f>
        <v>Out of warranty</v>
      </c>
      <c r="AJ2165" s="3">
        <f>IFERROR(__xludf.DUMMYFUNCTION("""COMPUTED_VALUE"""),176.0)</f>
        <v>176</v>
      </c>
      <c r="AK2165" s="3"/>
      <c r="AL2165" s="3"/>
    </row>
    <row r="2166" ht="15.75" customHeight="1">
      <c r="A2166" s="1" t="str">
        <f>IFERROR(__xludf.DUMMYFUNCTION("""COMPUTED_VALUE"""),"41039")</f>
        <v>41039</v>
      </c>
      <c r="B2166" s="2">
        <f>IFERROR(__xludf.DUMMYFUNCTION("""COMPUTED_VALUE"""),41039.0)</f>
        <v>41039</v>
      </c>
      <c r="C2166" s="3" t="str">
        <f>IFERROR(__xludf.DUMMYFUNCTION("""COMPUTED_VALUE"""),"เพรียวดอนเมือง")</f>
        <v>เพรียวดอนเมือง</v>
      </c>
      <c r="D2166" s="3" t="str">
        <f>IFERROR(__xludf.DUMMYFUNCTION("""COMPUTED_VALUE"""),"BIGC DONMUANG PURE")</f>
        <v>BIGC DONMUANG PURE</v>
      </c>
      <c r="E2166" s="1" t="str">
        <f>IFERROR(__xludf.DUMMYFUNCTION("""COMPUTED_VALUE"""),"PURE")</f>
        <v>PURE</v>
      </c>
      <c r="F2166" s="1" t="str">
        <f>IFERROR(__xludf.DUMMYFUNCTION("""COMPUTED_VALUE"""),"211291")</f>
        <v>211291</v>
      </c>
      <c r="G2166" s="1" t="str">
        <f>IFERROR(__xludf.DUMMYFUNCTION("""COMPUTED_VALUE"""),"น.ส.ปนัดดา มากระจันทน์")</f>
        <v>น.ส.ปนัดดา มากระจันทน์</v>
      </c>
      <c r="H2166" s="1" t="str">
        <f>IFERROR(__xludf.DUMMYFUNCTION("""COMPUTED_VALUE"""),"211291")</f>
        <v>211291</v>
      </c>
      <c r="I2166" s="1" t="str">
        <f>IFERROR(__xludf.DUMMYFUNCTION("""COMPUTED_VALUE"""),"น.ส.ปนัดดา มากระจันทน์")</f>
        <v>น.ส.ปนัดดา มากระจันทน์</v>
      </c>
      <c r="J2166" s="3">
        <f>IFERROR(__xludf.DUMMYFUNCTION("""COMPUTED_VALUE"""),2454813.0)</f>
        <v>2454813</v>
      </c>
      <c r="K2166" s="3" t="str">
        <f>IFERROR(__xludf.DUMMYFUNCTION("""COMPUTED_VALUE"""),"นายอนุรักษ์ จั่นเที่ยง")</f>
        <v>นายอนุรักษ์ จั่นเที่ยง</v>
      </c>
      <c r="L2166" s="1" t="str">
        <f>IFERROR(__xludf.DUMMYFUNCTION("""COMPUTED_VALUE"""),"Hub04-BKK 4")</f>
        <v>Hub04-BKK 4</v>
      </c>
      <c r="M2166" s="1" t="str">
        <f>IFERROR(__xludf.DUMMYFUNCTION("""COMPUTED_VALUE"""),"0991964531")</f>
        <v>0991964531</v>
      </c>
      <c r="N2166" s="3">
        <f>IFERROR(__xludf.DUMMYFUNCTION("""COMPUTED_VALUE"""),11125.0)</f>
        <v>11125</v>
      </c>
      <c r="O2166" s="3" t="str">
        <f>IFERROR(__xludf.DUMMYFUNCTION("""COMPUTED_VALUE"""),"ดอนเมือง")</f>
        <v>ดอนเมือง</v>
      </c>
      <c r="P2166" s="4">
        <f>IFERROR(__xludf.DUMMYFUNCTION("""COMPUTED_VALUE"""),40735.0)</f>
        <v>40735</v>
      </c>
      <c r="Q2166" s="3" t="str">
        <f>IFERROR(__xludf.DUMMYFUNCTION("""COMPUTED_VALUE"""),"A")</f>
        <v>A</v>
      </c>
      <c r="R2166" s="3" t="str">
        <f>IFERROR(__xludf.DUMMYFUNCTION("""COMPUTED_VALUE"""),"Big Format")</f>
        <v>Big Format</v>
      </c>
      <c r="S2166" s="3" t="str">
        <f>IFERROR(__xludf.DUMMYFUNCTION("""COMPUTED_VALUE"""),"PURE")</f>
        <v>PURE</v>
      </c>
      <c r="T2166" s="3" t="str">
        <f>IFERROR(__xludf.DUMMYFUNCTION("""COMPUTED_VALUE"""),"#N/A")</f>
        <v>#N/A</v>
      </c>
      <c r="U2166" s="3" t="str">
        <f>IFERROR(__xludf.DUMMYFUNCTION("""COMPUTED_VALUE"""),"#N/A")</f>
        <v>#N/A</v>
      </c>
      <c r="V2166" s="3" t="str">
        <f>IFERROR(__xludf.DUMMYFUNCTION("""COMPUTED_VALUE"""),"N")</f>
        <v>N</v>
      </c>
      <c r="W2166" s="3">
        <f>IFERROR(__xludf.DUMMYFUNCTION("""COMPUTED_VALUE"""),111125.0)</f>
        <v>111125</v>
      </c>
      <c r="X2166" s="3" t="str">
        <f>IFERROR(__xludf.DUMMYFUNCTION("""COMPUTED_VALUE"""),"เลขที่ 1 ซอยพหลโยธิน 50 ถนนพหลโยธิน แขวงอนุสาวรีย์ เขตบางเขน กรุงเทพฯ 10220")</f>
        <v>เลขที่ 1 ซอยพหลโยธิน 50 ถนนพหลโยธิน แขวงอนุสาวรีย์ เขตบางเขน กรุงเทพฯ 10220</v>
      </c>
      <c r="Y2166" s="3" t="str">
        <f>IFERROR(__xludf.DUMMYFUNCTION("""COMPUTED_VALUE"""),"ถนนพหลโยธิน")</f>
        <v>ถนนพหลโยธิน</v>
      </c>
      <c r="Z2166" s="3" t="str">
        <f>IFERROR(__xludf.DUMMYFUNCTION("""COMPUTED_VALUE"""),"อนุสาวรีย์")</f>
        <v>อนุสาวรีย์</v>
      </c>
      <c r="AA2166" s="3" t="str">
        <f>IFERROR(__xludf.DUMMYFUNCTION("""COMPUTED_VALUE"""),"บางเขน")</f>
        <v>บางเขน</v>
      </c>
      <c r="AB2166" s="3" t="str">
        <f>IFERROR(__xludf.DUMMYFUNCTION("""COMPUTED_VALUE"""),"กรุงเทพมหานคร")</f>
        <v>กรุงเทพมหานคร</v>
      </c>
      <c r="AC2166" s="3">
        <f>IFERROR(__xludf.DUMMYFUNCTION("""COMPUTED_VALUE"""),10220.0)</f>
        <v>10220</v>
      </c>
      <c r="AD2166" s="3">
        <f>IFERROR(__xludf.DUMMYFUNCTION("""COMPUTED_VALUE"""),0.0)</f>
        <v>0</v>
      </c>
      <c r="AE2166" s="3">
        <f>IFERROR(__xludf.DUMMYFUNCTION("""COMPUTED_VALUE"""),0.0)</f>
        <v>0</v>
      </c>
      <c r="AF2166" s="3" t="str">
        <f>IFERROR(__xludf.DUMMYFUNCTION("""COMPUTED_VALUE"""),"เพรียวดอนเมือง-41039")</f>
        <v>เพรียวดอนเมือง-41039</v>
      </c>
      <c r="AG2166" s="3" t="str">
        <f>IFERROR(__xludf.DUMMYFUNCTION("""COMPUTED_VALUE"""),"กลาง")</f>
        <v>กลาง</v>
      </c>
      <c r="AH2166" s="3" t="str">
        <f>IFERROR(__xludf.DUMMYFUNCTION("""COMPUTED_VALUE"""),"#N/A")</f>
        <v>#N/A</v>
      </c>
      <c r="AI2166" s="3" t="str">
        <f>IFERROR(__xludf.DUMMYFUNCTION("""COMPUTED_VALUE"""),"Out of warranty")</f>
        <v>Out of warranty</v>
      </c>
      <c r="AJ2166" s="3">
        <f>IFERROR(__xludf.DUMMYFUNCTION("""COMPUTED_VALUE"""),175.0)</f>
        <v>175</v>
      </c>
      <c r="AK2166" s="3"/>
      <c r="AL2166" s="3"/>
    </row>
    <row r="2167" ht="15.75" customHeight="1">
      <c r="A2167" s="1" t="str">
        <f>IFERROR(__xludf.DUMMYFUNCTION("""COMPUTED_VALUE"""),"41040")</f>
        <v>41040</v>
      </c>
      <c r="B2167" s="2">
        <f>IFERROR(__xludf.DUMMYFUNCTION("""COMPUTED_VALUE"""),41040.0)</f>
        <v>41040</v>
      </c>
      <c r="C2167" s="3" t="str">
        <f>IFERROR(__xludf.DUMMYFUNCTION("""COMPUTED_VALUE"""),"เพรียวลำลูกกา")</f>
        <v>เพรียวลำลูกกา</v>
      </c>
      <c r="D2167" s="3" t="str">
        <f>IFERROR(__xludf.DUMMYFUNCTION("""COMPUTED_VALUE"""),"BIGC LAMLUKKA PURE")</f>
        <v>BIGC LAMLUKKA PURE</v>
      </c>
      <c r="E2167" s="1" t="str">
        <f>IFERROR(__xludf.DUMMYFUNCTION("""COMPUTED_VALUE"""),"PURE")</f>
        <v>PURE</v>
      </c>
      <c r="F2167" s="1" t="str">
        <f>IFERROR(__xludf.DUMMYFUNCTION("""COMPUTED_VALUE"""),"211291")</f>
        <v>211291</v>
      </c>
      <c r="G2167" s="1" t="str">
        <f>IFERROR(__xludf.DUMMYFUNCTION("""COMPUTED_VALUE"""),"น.ส.ปนัดดา มากระจันทน์")</f>
        <v>น.ส.ปนัดดา มากระจันทน์</v>
      </c>
      <c r="H2167" s="1" t="str">
        <f>IFERROR(__xludf.DUMMYFUNCTION("""COMPUTED_VALUE"""),"211291")</f>
        <v>211291</v>
      </c>
      <c r="I2167" s="1" t="str">
        <f>IFERROR(__xludf.DUMMYFUNCTION("""COMPUTED_VALUE"""),"น.ส.ปนัดดา มากระจันทน์")</f>
        <v>น.ส.ปนัดดา มากระจันทน์</v>
      </c>
      <c r="J2167" s="3">
        <f>IFERROR(__xludf.DUMMYFUNCTION("""COMPUTED_VALUE"""),2454813.0)</f>
        <v>2454813</v>
      </c>
      <c r="K2167" s="3" t="str">
        <f>IFERROR(__xludf.DUMMYFUNCTION("""COMPUTED_VALUE"""),"นายอนุรักษ์ จั่นเที่ยง")</f>
        <v>นายอนุรักษ์ จั่นเที่ยง</v>
      </c>
      <c r="L2167" s="1" t="str">
        <f>IFERROR(__xludf.DUMMYFUNCTION("""COMPUTED_VALUE"""),"Hub04-BKK 4")</f>
        <v>Hub04-BKK 4</v>
      </c>
      <c r="M2167" s="1" t="str">
        <f>IFERROR(__xludf.DUMMYFUNCTION("""COMPUTED_VALUE"""),"0991964531")</f>
        <v>0991964531</v>
      </c>
      <c r="N2167" s="3">
        <f>IFERROR(__xludf.DUMMYFUNCTION("""COMPUTED_VALUE"""),11148.0)</f>
        <v>11148</v>
      </c>
      <c r="O2167" s="3" t="str">
        <f>IFERROR(__xludf.DUMMYFUNCTION("""COMPUTED_VALUE"""),"ลำลูกกา")</f>
        <v>ลำลูกกา</v>
      </c>
      <c r="P2167" s="4">
        <f>IFERROR(__xludf.DUMMYFUNCTION("""COMPUTED_VALUE"""),40744.0)</f>
        <v>40744</v>
      </c>
      <c r="Q2167" s="3" t="str">
        <f>IFERROR(__xludf.DUMMYFUNCTION("""COMPUTED_VALUE"""),"A")</f>
        <v>A</v>
      </c>
      <c r="R2167" s="3" t="str">
        <f>IFERROR(__xludf.DUMMYFUNCTION("""COMPUTED_VALUE"""),"Big Format")</f>
        <v>Big Format</v>
      </c>
      <c r="S2167" s="3" t="str">
        <f>IFERROR(__xludf.DUMMYFUNCTION("""COMPUTED_VALUE"""),"PURE")</f>
        <v>PURE</v>
      </c>
      <c r="T2167" s="3" t="str">
        <f>IFERROR(__xludf.DUMMYFUNCTION("""COMPUTED_VALUE"""),"#N/A")</f>
        <v>#N/A</v>
      </c>
      <c r="U2167" s="3" t="str">
        <f>IFERROR(__xludf.DUMMYFUNCTION("""COMPUTED_VALUE"""),"#N/A")</f>
        <v>#N/A</v>
      </c>
      <c r="V2167" s="3" t="str">
        <f>IFERROR(__xludf.DUMMYFUNCTION("""COMPUTED_VALUE"""),"N")</f>
        <v>N</v>
      </c>
      <c r="W2167" s="3">
        <f>IFERROR(__xludf.DUMMYFUNCTION("""COMPUTED_VALUE"""),111148.0)</f>
        <v>111148</v>
      </c>
      <c r="X2167" s="3" t="str">
        <f>IFERROR(__xludf.DUMMYFUNCTION("""COMPUTED_VALUE"""),"10 หมู่ที่ 12 ตำบลบึงคำพร้อย อำเภอลำลูกกา จังหวัดปทุมธานี 12150")</f>
        <v>10 หมู่ที่ 12 ตำบลบึงคำพร้อย อำเภอลำลูกกา จังหวัดปทุมธานี 12150</v>
      </c>
      <c r="Y2167" s="3"/>
      <c r="Z2167" s="3" t="str">
        <f>IFERROR(__xludf.DUMMYFUNCTION("""COMPUTED_VALUE"""),"บึงคำพร้อย")</f>
        <v>บึงคำพร้อย</v>
      </c>
      <c r="AA2167" s="3" t="str">
        <f>IFERROR(__xludf.DUMMYFUNCTION("""COMPUTED_VALUE"""),"ลำลูกกา")</f>
        <v>ลำลูกกา</v>
      </c>
      <c r="AB2167" s="3" t="str">
        <f>IFERROR(__xludf.DUMMYFUNCTION("""COMPUTED_VALUE"""),"ปทุมธานี")</f>
        <v>ปทุมธานี</v>
      </c>
      <c r="AC2167" s="3">
        <f>IFERROR(__xludf.DUMMYFUNCTION("""COMPUTED_VALUE"""),12150.0)</f>
        <v>12150</v>
      </c>
      <c r="AD2167" s="3">
        <f>IFERROR(__xludf.DUMMYFUNCTION("""COMPUTED_VALUE"""),0.0)</f>
        <v>0</v>
      </c>
      <c r="AE2167" s="3">
        <f>IFERROR(__xludf.DUMMYFUNCTION("""COMPUTED_VALUE"""),0.0)</f>
        <v>0</v>
      </c>
      <c r="AF2167" s="3" t="str">
        <f>IFERROR(__xludf.DUMMYFUNCTION("""COMPUTED_VALUE"""),"เพรียวลำลูกกา-41040")</f>
        <v>เพรียวลำลูกกา-41040</v>
      </c>
      <c r="AG2167" s="3" t="str">
        <f>IFERROR(__xludf.DUMMYFUNCTION("""COMPUTED_VALUE"""),"กลาง")</f>
        <v>กลาง</v>
      </c>
      <c r="AH2167" s="3" t="str">
        <f>IFERROR(__xludf.DUMMYFUNCTION("""COMPUTED_VALUE"""),"#N/A")</f>
        <v>#N/A</v>
      </c>
      <c r="AI2167" s="3" t="str">
        <f>IFERROR(__xludf.DUMMYFUNCTION("""COMPUTED_VALUE"""),"Out of warranty")</f>
        <v>Out of warranty</v>
      </c>
      <c r="AJ2167" s="3">
        <f>IFERROR(__xludf.DUMMYFUNCTION("""COMPUTED_VALUE"""),175.0)</f>
        <v>175</v>
      </c>
      <c r="AK2167" s="3"/>
      <c r="AL2167" s="3"/>
    </row>
    <row r="2168" ht="15.75" customHeight="1">
      <c r="A2168" s="1" t="str">
        <f>IFERROR(__xludf.DUMMYFUNCTION("""COMPUTED_VALUE"""),"41041")</f>
        <v>41041</v>
      </c>
      <c r="B2168" s="2">
        <f>IFERROR(__xludf.DUMMYFUNCTION("""COMPUTED_VALUE"""),41041.0)</f>
        <v>41041</v>
      </c>
      <c r="C2168" s="3" t="str">
        <f>IFERROR(__xludf.DUMMYFUNCTION("""COMPUTED_VALUE"""),"เพรียวชลบุรี")</f>
        <v>เพรียวชลบุรี</v>
      </c>
      <c r="D2168" s="3" t="str">
        <f>IFERROR(__xludf.DUMMYFUNCTION("""COMPUTED_VALUE"""),"BIGC CHONBURI PURE")</f>
        <v>BIGC CHONBURI PURE</v>
      </c>
      <c r="E2168" s="1" t="str">
        <f>IFERROR(__xludf.DUMMYFUNCTION("""COMPUTED_VALUE"""),"PURE")</f>
        <v>PURE</v>
      </c>
      <c r="F2168" s="1" t="str">
        <f>IFERROR(__xludf.DUMMYFUNCTION("""COMPUTED_VALUE"""),"228469")</f>
        <v>228469</v>
      </c>
      <c r="G2168" s="1" t="str">
        <f>IFERROR(__xludf.DUMMYFUNCTION("""COMPUTED_VALUE"""),"น.ส.บงกช ทำการดี")</f>
        <v>น.ส.บงกช ทำการดี</v>
      </c>
      <c r="H2168" s="1" t="str">
        <f>IFERROR(__xludf.DUMMYFUNCTION("""COMPUTED_VALUE"""),"228469")</f>
        <v>228469</v>
      </c>
      <c r="I2168" s="1" t="str">
        <f>IFERROR(__xludf.DUMMYFUNCTION("""COMPUTED_VALUE"""),"น.ส.บงกช ทำการดี")</f>
        <v>น.ส.บงกช ทำการดี</v>
      </c>
      <c r="J2168" s="3">
        <f>IFERROR(__xludf.DUMMYFUNCTION("""COMPUTED_VALUE"""),2455164.0)</f>
        <v>2455164</v>
      </c>
      <c r="K2168" s="3" t="str">
        <f>IFERROR(__xludf.DUMMYFUNCTION("""COMPUTED_VALUE"""),"นายกรวิทย์ เจริญพร")</f>
        <v>นายกรวิทย์ เจริญพร</v>
      </c>
      <c r="L2168" s="1" t="str">
        <f>IFERROR(__xludf.DUMMYFUNCTION("""COMPUTED_VALUE"""),"Hub08-East")</f>
        <v>Hub08-East</v>
      </c>
      <c r="M2168" s="1" t="str">
        <f>IFERROR(__xludf.DUMMYFUNCTION("""COMPUTED_VALUE"""),"092-605-9922")</f>
        <v>092-605-9922</v>
      </c>
      <c r="N2168" s="3">
        <f>IFERROR(__xludf.DUMMYFUNCTION("""COMPUTED_VALUE"""),11152.0)</f>
        <v>11152</v>
      </c>
      <c r="O2168" s="3" t="str">
        <f>IFERROR(__xludf.DUMMYFUNCTION("""COMPUTED_VALUE"""),"ชลบุรี")</f>
        <v>ชลบุรี</v>
      </c>
      <c r="P2168" s="4">
        <f>IFERROR(__xludf.DUMMYFUNCTION("""COMPUTED_VALUE"""),40747.0)</f>
        <v>40747</v>
      </c>
      <c r="Q2168" s="3" t="str">
        <f>IFERROR(__xludf.DUMMYFUNCTION("""COMPUTED_VALUE"""),"A")</f>
        <v>A</v>
      </c>
      <c r="R2168" s="3" t="str">
        <f>IFERROR(__xludf.DUMMYFUNCTION("""COMPUTED_VALUE"""),"Big Format")</f>
        <v>Big Format</v>
      </c>
      <c r="S2168" s="3" t="str">
        <f>IFERROR(__xludf.DUMMYFUNCTION("""COMPUTED_VALUE"""),"PURE")</f>
        <v>PURE</v>
      </c>
      <c r="T2168" s="3" t="str">
        <f>IFERROR(__xludf.DUMMYFUNCTION("""COMPUTED_VALUE"""),"#N/A")</f>
        <v>#N/A</v>
      </c>
      <c r="U2168" s="3" t="str">
        <f>IFERROR(__xludf.DUMMYFUNCTION("""COMPUTED_VALUE"""),"#N/A")</f>
        <v>#N/A</v>
      </c>
      <c r="V2168" s="3" t="str">
        <f>IFERROR(__xludf.DUMMYFUNCTION("""COMPUTED_VALUE"""),"N")</f>
        <v>N</v>
      </c>
      <c r="W2168" s="3">
        <f>IFERROR(__xludf.DUMMYFUNCTION("""COMPUTED_VALUE"""),111152.0)</f>
        <v>111152</v>
      </c>
      <c r="X2168" s="3" t="str">
        <f>IFERROR(__xludf.DUMMYFUNCTION("""COMPUTED_VALUE"""),"49/1 หมู่ที่ 3 ตำบลห้วยกะปิ อำเภอเมืองชลบุรี จังหวัดชลบุรี 20000")</f>
        <v>49/1 หมู่ที่ 3 ตำบลห้วยกะปิ อำเภอเมืองชลบุรี จังหวัดชลบุรี 20000</v>
      </c>
      <c r="Y2168" s="3"/>
      <c r="Z2168" s="3" t="str">
        <f>IFERROR(__xludf.DUMMYFUNCTION("""COMPUTED_VALUE"""),"ห้วยกะปิ")</f>
        <v>ห้วยกะปิ</v>
      </c>
      <c r="AA2168" s="3" t="str">
        <f>IFERROR(__xludf.DUMMYFUNCTION("""COMPUTED_VALUE"""),"เมือง")</f>
        <v>เมือง</v>
      </c>
      <c r="AB2168" s="3" t="str">
        <f>IFERROR(__xludf.DUMMYFUNCTION("""COMPUTED_VALUE"""),"ชลบุรี")</f>
        <v>ชลบุรี</v>
      </c>
      <c r="AC2168" s="3">
        <f>IFERROR(__xludf.DUMMYFUNCTION("""COMPUTED_VALUE"""),20000.0)</f>
        <v>20000</v>
      </c>
      <c r="AD2168" s="3">
        <f>IFERROR(__xludf.DUMMYFUNCTION("""COMPUTED_VALUE"""),0.0)</f>
        <v>0</v>
      </c>
      <c r="AE2168" s="3">
        <f>IFERROR(__xludf.DUMMYFUNCTION("""COMPUTED_VALUE"""),0.0)</f>
        <v>0</v>
      </c>
      <c r="AF2168" s="3" t="str">
        <f>IFERROR(__xludf.DUMMYFUNCTION("""COMPUTED_VALUE"""),"เพรียวชลบุรี-41041")</f>
        <v>เพรียวชลบุรี-41041</v>
      </c>
      <c r="AG2168" s="3" t="str">
        <f>IFERROR(__xludf.DUMMYFUNCTION("""COMPUTED_VALUE"""),"ตะวันออก")</f>
        <v>ตะวันออก</v>
      </c>
      <c r="AH2168" s="3" t="str">
        <f>IFERROR(__xludf.DUMMYFUNCTION("""COMPUTED_VALUE"""),"#N/A")</f>
        <v>#N/A</v>
      </c>
      <c r="AI2168" s="3" t="str">
        <f>IFERROR(__xludf.DUMMYFUNCTION("""COMPUTED_VALUE"""),"Out of warranty")</f>
        <v>Out of warranty</v>
      </c>
      <c r="AJ2168" s="3">
        <f>IFERROR(__xludf.DUMMYFUNCTION("""COMPUTED_VALUE"""),174.0)</f>
        <v>174</v>
      </c>
      <c r="AK2168" s="3"/>
      <c r="AL2168" s="3"/>
    </row>
    <row r="2169" ht="15.75" customHeight="1">
      <c r="A2169" s="1" t="str">
        <f>IFERROR(__xludf.DUMMYFUNCTION("""COMPUTED_VALUE"""),"41042")</f>
        <v>41042</v>
      </c>
      <c r="B2169" s="2">
        <f>IFERROR(__xludf.DUMMYFUNCTION("""COMPUTED_VALUE"""),41042.0)</f>
        <v>41042</v>
      </c>
      <c r="C2169" s="3" t="str">
        <f>IFERROR(__xludf.DUMMYFUNCTION("""COMPUTED_VALUE"""),"เพรียวพัทยา2")</f>
        <v>เพรียวพัทยา2</v>
      </c>
      <c r="D2169" s="3" t="str">
        <f>IFERROR(__xludf.DUMMYFUNCTION("""COMPUTED_VALUE"""),"BIGC PATTAYA2 PURE")</f>
        <v>BIGC PATTAYA2 PURE</v>
      </c>
      <c r="E2169" s="1" t="str">
        <f>IFERROR(__xludf.DUMMYFUNCTION("""COMPUTED_VALUE"""),"PURE")</f>
        <v>PURE</v>
      </c>
      <c r="F2169" s="1" t="str">
        <f>IFERROR(__xludf.DUMMYFUNCTION("""COMPUTED_VALUE"""),"228469")</f>
        <v>228469</v>
      </c>
      <c r="G2169" s="1" t="str">
        <f>IFERROR(__xludf.DUMMYFUNCTION("""COMPUTED_VALUE"""),"น.ส.บงกช ทำการดี")</f>
        <v>น.ส.บงกช ทำการดี</v>
      </c>
      <c r="H2169" s="1" t="str">
        <f>IFERROR(__xludf.DUMMYFUNCTION("""COMPUTED_VALUE"""),"228469")</f>
        <v>228469</v>
      </c>
      <c r="I2169" s="1" t="str">
        <f>IFERROR(__xludf.DUMMYFUNCTION("""COMPUTED_VALUE"""),"น.ส.บงกช ทำการดี")</f>
        <v>น.ส.บงกช ทำการดี</v>
      </c>
      <c r="J2169" s="3">
        <f>IFERROR(__xludf.DUMMYFUNCTION("""COMPUTED_VALUE"""),2455164.0)</f>
        <v>2455164</v>
      </c>
      <c r="K2169" s="3" t="str">
        <f>IFERROR(__xludf.DUMMYFUNCTION("""COMPUTED_VALUE"""),"นายกรวิทย์ เจริญพร")</f>
        <v>นายกรวิทย์ เจริญพร</v>
      </c>
      <c r="L2169" s="1" t="str">
        <f>IFERROR(__xludf.DUMMYFUNCTION("""COMPUTED_VALUE"""),"Hub08-East")</f>
        <v>Hub08-East</v>
      </c>
      <c r="M2169" s="1" t="str">
        <f>IFERROR(__xludf.DUMMYFUNCTION("""COMPUTED_VALUE"""),"092-605-9922")</f>
        <v>092-605-9922</v>
      </c>
      <c r="N2169" s="3">
        <f>IFERROR(__xludf.DUMMYFUNCTION("""COMPUTED_VALUE"""),11134.0)</f>
        <v>11134</v>
      </c>
      <c r="O2169" s="3" t="str">
        <f>IFERROR(__xludf.DUMMYFUNCTION("""COMPUTED_VALUE"""),"พัทยา2")</f>
        <v>พัทยา2</v>
      </c>
      <c r="P2169" s="4">
        <f>IFERROR(__xludf.DUMMYFUNCTION("""COMPUTED_VALUE"""),40752.0)</f>
        <v>40752</v>
      </c>
      <c r="Q2169" s="3" t="str">
        <f>IFERROR(__xludf.DUMMYFUNCTION("""COMPUTED_VALUE"""),"A")</f>
        <v>A</v>
      </c>
      <c r="R2169" s="3" t="str">
        <f>IFERROR(__xludf.DUMMYFUNCTION("""COMPUTED_VALUE"""),"Big Format")</f>
        <v>Big Format</v>
      </c>
      <c r="S2169" s="3" t="str">
        <f>IFERROR(__xludf.DUMMYFUNCTION("""COMPUTED_VALUE"""),"PURE")</f>
        <v>PURE</v>
      </c>
      <c r="T2169" s="3" t="str">
        <f>IFERROR(__xludf.DUMMYFUNCTION("""COMPUTED_VALUE"""),"#N/A")</f>
        <v>#N/A</v>
      </c>
      <c r="U2169" s="3" t="str">
        <f>IFERROR(__xludf.DUMMYFUNCTION("""COMPUTED_VALUE"""),"#N/A")</f>
        <v>#N/A</v>
      </c>
      <c r="V2169" s="3" t="str">
        <f>IFERROR(__xludf.DUMMYFUNCTION("""COMPUTED_VALUE"""),"N")</f>
        <v>N</v>
      </c>
      <c r="W2169" s="3">
        <f>IFERROR(__xludf.DUMMYFUNCTION("""COMPUTED_VALUE"""),111134.0)</f>
        <v>111134</v>
      </c>
      <c r="X2169" s="3" t="str">
        <f>IFERROR(__xludf.DUMMYFUNCTION("""COMPUTED_VALUE"""),"565/41 ม.10 ต.หนองปรือ อ.บางละมุง จังหวัดชลบุรี 20150")</f>
        <v>565/41 ม.10 ต.หนองปรือ อ.บางละมุง จังหวัดชลบุรี 20150</v>
      </c>
      <c r="Y2169" s="3"/>
      <c r="Z2169" s="3" t="str">
        <f>IFERROR(__xludf.DUMMYFUNCTION("""COMPUTED_VALUE"""),"หนองปรือ")</f>
        <v>หนองปรือ</v>
      </c>
      <c r="AA2169" s="3" t="str">
        <f>IFERROR(__xludf.DUMMYFUNCTION("""COMPUTED_VALUE"""),"บางละมุง")</f>
        <v>บางละมุง</v>
      </c>
      <c r="AB2169" s="3" t="str">
        <f>IFERROR(__xludf.DUMMYFUNCTION("""COMPUTED_VALUE"""),"ชลบุรี")</f>
        <v>ชลบุรี</v>
      </c>
      <c r="AC2169" s="3">
        <f>IFERROR(__xludf.DUMMYFUNCTION("""COMPUTED_VALUE"""),20150.0)</f>
        <v>20150</v>
      </c>
      <c r="AD2169" s="3">
        <f>IFERROR(__xludf.DUMMYFUNCTION("""COMPUTED_VALUE"""),0.0)</f>
        <v>0</v>
      </c>
      <c r="AE2169" s="3">
        <f>IFERROR(__xludf.DUMMYFUNCTION("""COMPUTED_VALUE"""),0.0)</f>
        <v>0</v>
      </c>
      <c r="AF2169" s="3" t="str">
        <f>IFERROR(__xludf.DUMMYFUNCTION("""COMPUTED_VALUE"""),"เพรียวพัทยา2-41042")</f>
        <v>เพรียวพัทยา2-41042</v>
      </c>
      <c r="AG2169" s="3" t="str">
        <f>IFERROR(__xludf.DUMMYFUNCTION("""COMPUTED_VALUE"""),"ตะวันออก")</f>
        <v>ตะวันออก</v>
      </c>
      <c r="AH2169" s="3" t="str">
        <f>IFERROR(__xludf.DUMMYFUNCTION("""COMPUTED_VALUE"""),"#N/A")</f>
        <v>#N/A</v>
      </c>
      <c r="AI2169" s="3" t="str">
        <f>IFERROR(__xludf.DUMMYFUNCTION("""COMPUTED_VALUE"""),"Out of warranty")</f>
        <v>Out of warranty</v>
      </c>
      <c r="AJ2169" s="3">
        <f>IFERROR(__xludf.DUMMYFUNCTION("""COMPUTED_VALUE"""),174.0)</f>
        <v>174</v>
      </c>
      <c r="AK2169" s="3"/>
      <c r="AL2169" s="3"/>
    </row>
    <row r="2170" ht="15.75" customHeight="1">
      <c r="A2170" s="1" t="str">
        <f>IFERROR(__xludf.DUMMYFUNCTION("""COMPUTED_VALUE"""),"41043")</f>
        <v>41043</v>
      </c>
      <c r="B2170" s="2">
        <f>IFERROR(__xludf.DUMMYFUNCTION("""COMPUTED_VALUE"""),41043.0)</f>
        <v>41043</v>
      </c>
      <c r="C2170" s="3" t="str">
        <f>IFERROR(__xludf.DUMMYFUNCTION("""COMPUTED_VALUE"""),"เพรียวหล่มสัก")</f>
        <v>เพรียวหล่มสัก</v>
      </c>
      <c r="D2170" s="3" t="str">
        <f>IFERROR(__xludf.DUMMYFUNCTION("""COMPUTED_VALUE"""),"BIGC MARKET LOMSAK PURE")</f>
        <v>BIGC MARKET LOMSAK PURE</v>
      </c>
      <c r="E2170" s="1" t="str">
        <f>IFERROR(__xludf.DUMMYFUNCTION("""COMPUTED_VALUE"""),"PURE")</f>
        <v>PURE</v>
      </c>
      <c r="F2170" s="1" t="str">
        <f>IFERROR(__xludf.DUMMYFUNCTION("""COMPUTED_VALUE"""),"2082102")</f>
        <v>2082102</v>
      </c>
      <c r="G2170" s="1" t="str">
        <f>IFERROR(__xludf.DUMMYFUNCTION("""COMPUTED_VALUE"""),"น.ส.วัชรา มหาวันแจ่ม")</f>
        <v>น.ส.วัชรา มหาวันแจ่ม</v>
      </c>
      <c r="H2170" s="1" t="str">
        <f>IFERROR(__xludf.DUMMYFUNCTION("""COMPUTED_VALUE"""),"2082102")</f>
        <v>2082102</v>
      </c>
      <c r="I2170" s="1" t="str">
        <f>IFERROR(__xludf.DUMMYFUNCTION("""COMPUTED_VALUE"""),"น.ส.วัชรา มหาวันแจ่ม")</f>
        <v>น.ส.วัชรา มหาวันแจ่ม</v>
      </c>
      <c r="J2170" s="3">
        <f>IFERROR(__xludf.DUMMYFUNCTION("""COMPUTED_VALUE"""),348.0)</f>
        <v>348</v>
      </c>
      <c r="K2170" s="3" t="str">
        <f>IFERROR(__xludf.DUMMYFUNCTION("""COMPUTED_VALUE"""),"นายธีรนันท์ ไม้สนธิ์")</f>
        <v>นายธีรนันท์ ไม้สนธิ์</v>
      </c>
      <c r="L2170" s="1" t="str">
        <f>IFERROR(__xludf.DUMMYFUNCTION("""COMPUTED_VALUE"""),"Hub07-North")</f>
        <v>Hub07-North</v>
      </c>
      <c r="M2170" s="1" t="str">
        <f>IFERROR(__xludf.DUMMYFUNCTION("""COMPUTED_VALUE"""),"0614175866")</f>
        <v>0614175866</v>
      </c>
      <c r="N2170" s="3">
        <f>IFERROR(__xludf.DUMMYFUNCTION("""COMPUTED_VALUE"""),15010.0)</f>
        <v>15010</v>
      </c>
      <c r="O2170" s="3" t="str">
        <f>IFERROR(__xludf.DUMMYFUNCTION("""COMPUTED_VALUE"""),"หล่มสัก")</f>
        <v>หล่มสัก</v>
      </c>
      <c r="P2170" s="4">
        <f>IFERROR(__xludf.DUMMYFUNCTION("""COMPUTED_VALUE"""),40802.0)</f>
        <v>40802</v>
      </c>
      <c r="Q2170" s="3" t="str">
        <f>IFERROR(__xludf.DUMMYFUNCTION("""COMPUTED_VALUE"""),"A")</f>
        <v>A</v>
      </c>
      <c r="R2170" s="3" t="str">
        <f>IFERROR(__xludf.DUMMYFUNCTION("""COMPUTED_VALUE"""),"Big Format")</f>
        <v>Big Format</v>
      </c>
      <c r="S2170" s="3" t="str">
        <f>IFERROR(__xludf.DUMMYFUNCTION("""COMPUTED_VALUE"""),"PURE")</f>
        <v>PURE</v>
      </c>
      <c r="T2170" s="3" t="str">
        <f>IFERROR(__xludf.DUMMYFUNCTION("""COMPUTED_VALUE"""),"#N/A")</f>
        <v>#N/A</v>
      </c>
      <c r="U2170" s="3" t="str">
        <f>IFERROR(__xludf.DUMMYFUNCTION("""COMPUTED_VALUE"""),"#N/A")</f>
        <v>#N/A</v>
      </c>
      <c r="V2170" s="3" t="str">
        <f>IFERROR(__xludf.DUMMYFUNCTION("""COMPUTED_VALUE"""),"N")</f>
        <v>N</v>
      </c>
      <c r="W2170" s="3">
        <f>IFERROR(__xludf.DUMMYFUNCTION("""COMPUTED_VALUE"""),411041.0)</f>
        <v>411041</v>
      </c>
      <c r="X2170" s="3" t="str">
        <f>IFERROR(__xludf.DUMMYFUNCTION("""COMPUTED_VALUE"""),"70 ถนนสามัคคีชัย ตำบลหล่มสัก อำเภอหล่มสัก จังหวัดเพชรบูรณ์ 67110")</f>
        <v>70 ถนนสามัคคีชัย ตำบลหล่มสัก อำเภอหล่มสัก จังหวัดเพชรบูรณ์ 67110</v>
      </c>
      <c r="Y2170" s="3" t="str">
        <f>IFERROR(__xludf.DUMMYFUNCTION("""COMPUTED_VALUE"""),"ถนนสามัคคีชัย")</f>
        <v>ถนนสามัคคีชัย</v>
      </c>
      <c r="Z2170" s="3" t="str">
        <f>IFERROR(__xludf.DUMMYFUNCTION("""COMPUTED_VALUE"""),"หล่มสัก")</f>
        <v>หล่มสัก</v>
      </c>
      <c r="AA2170" s="3" t="str">
        <f>IFERROR(__xludf.DUMMYFUNCTION("""COMPUTED_VALUE"""),"หล่มสัก")</f>
        <v>หล่มสัก</v>
      </c>
      <c r="AB2170" s="3" t="str">
        <f>IFERROR(__xludf.DUMMYFUNCTION("""COMPUTED_VALUE"""),"เพชรบูรณ์")</f>
        <v>เพชรบูรณ์</v>
      </c>
      <c r="AC2170" s="3">
        <f>IFERROR(__xludf.DUMMYFUNCTION("""COMPUTED_VALUE"""),67110.0)</f>
        <v>67110</v>
      </c>
      <c r="AD2170" s="3">
        <f>IFERROR(__xludf.DUMMYFUNCTION("""COMPUTED_VALUE"""),0.0)</f>
        <v>0</v>
      </c>
      <c r="AE2170" s="3">
        <f>IFERROR(__xludf.DUMMYFUNCTION("""COMPUTED_VALUE"""),0.0)</f>
        <v>0</v>
      </c>
      <c r="AF2170" s="3" t="str">
        <f>IFERROR(__xludf.DUMMYFUNCTION("""COMPUTED_VALUE"""),"เพรียวหล่มสัก-41043")</f>
        <v>เพรียวหล่มสัก-41043</v>
      </c>
      <c r="AG2170" s="3" t="str">
        <f>IFERROR(__xludf.DUMMYFUNCTION("""COMPUTED_VALUE"""),"กลาง")</f>
        <v>กลาง</v>
      </c>
      <c r="AH2170" s="3" t="str">
        <f>IFERROR(__xludf.DUMMYFUNCTION("""COMPUTED_VALUE"""),"#N/A")</f>
        <v>#N/A</v>
      </c>
      <c r="AI2170" s="3" t="str">
        <f>IFERROR(__xludf.DUMMYFUNCTION("""COMPUTED_VALUE"""),"Out of warranty")</f>
        <v>Out of warranty</v>
      </c>
      <c r="AJ2170" s="3">
        <f>IFERROR(__xludf.DUMMYFUNCTION("""COMPUTED_VALUE"""),173.0)</f>
        <v>173</v>
      </c>
      <c r="AK2170" s="3"/>
      <c r="AL2170" s="3"/>
    </row>
    <row r="2171" ht="15.75" customHeight="1">
      <c r="A2171" s="1" t="str">
        <f>IFERROR(__xludf.DUMMYFUNCTION("""COMPUTED_VALUE"""),"41045")</f>
        <v>41045</v>
      </c>
      <c r="B2171" s="2">
        <f>IFERROR(__xludf.DUMMYFUNCTION("""COMPUTED_VALUE"""),41045.0)</f>
        <v>41045</v>
      </c>
      <c r="C2171" s="3" t="str">
        <f>IFERROR(__xludf.DUMMYFUNCTION("""COMPUTED_VALUE"""),"เพรียวสุขาภิบาล1")</f>
        <v>เพรียวสุขาภิบาล1</v>
      </c>
      <c r="D2171" s="3" t="str">
        <f>IFERROR(__xludf.DUMMYFUNCTION("""COMPUTED_VALUE"""),"BIGC SUKHAPIBAN-1 PURE")</f>
        <v>BIGC SUKHAPIBAN-1 PURE</v>
      </c>
      <c r="E2171" s="1" t="str">
        <f>IFERROR(__xludf.DUMMYFUNCTION("""COMPUTED_VALUE"""),"PURE")</f>
        <v>PURE</v>
      </c>
      <c r="F2171" s="1" t="str">
        <f>IFERROR(__xludf.DUMMYFUNCTION("""COMPUTED_VALUE"""),"EX0469")</f>
        <v>EX0469</v>
      </c>
      <c r="G2171" s="1" t="str">
        <f>IFERROR(__xludf.DUMMYFUNCTION("""COMPUTED_VALUE"""),"นายเทวฤทธิ์ ฐาปนะสุต")</f>
        <v>นายเทวฤทธิ์ ฐาปนะสุต</v>
      </c>
      <c r="H2171" s="1" t="str">
        <f>IFERROR(__xludf.DUMMYFUNCTION("""COMPUTED_VALUE"""),"295542")</f>
        <v>295542</v>
      </c>
      <c r="I2171" s="1" t="str">
        <f>IFERROR(__xludf.DUMMYFUNCTION("""COMPUTED_VALUE"""),"นายศิระ สมวันดี")</f>
        <v>นายศิระ สมวันดี</v>
      </c>
      <c r="J2171" s="3">
        <f>IFERROR(__xludf.DUMMYFUNCTION("""COMPUTED_VALUE"""),2408546.0)</f>
        <v>2408546</v>
      </c>
      <c r="K2171" s="3" t="str">
        <f>IFERROR(__xludf.DUMMYFUNCTION("""COMPUTED_VALUE"""),"นายเกษมศิษฐ์ ฮดบุญเรือง")</f>
        <v>นายเกษมศิษฐ์ ฮดบุญเรือง</v>
      </c>
      <c r="L2171" s="1" t="str">
        <f>IFERROR(__xludf.DUMMYFUNCTION("""COMPUTED_VALUE"""),"Hub02-BKK 2")</f>
        <v>Hub02-BKK 2</v>
      </c>
      <c r="M2171" s="1" t="str">
        <f>IFERROR(__xludf.DUMMYFUNCTION("""COMPUTED_VALUE"""),"0988580755")</f>
        <v>0988580755</v>
      </c>
      <c r="N2171" s="3">
        <f>IFERROR(__xludf.DUMMYFUNCTION("""COMPUTED_VALUE"""),15005.0)</f>
        <v>15005</v>
      </c>
      <c r="O2171" s="3" t="str">
        <f>IFERROR(__xludf.DUMMYFUNCTION("""COMPUTED_VALUE"""),"สุขาภิบาล1")</f>
        <v>สุขาภิบาล1</v>
      </c>
      <c r="P2171" s="4">
        <f>IFERROR(__xludf.DUMMYFUNCTION("""COMPUTED_VALUE"""),40816.0)</f>
        <v>40816</v>
      </c>
      <c r="Q2171" s="3" t="str">
        <f>IFERROR(__xludf.DUMMYFUNCTION("""COMPUTED_VALUE"""),"I")</f>
        <v>I</v>
      </c>
      <c r="R2171" s="3" t="str">
        <f>IFERROR(__xludf.DUMMYFUNCTION("""COMPUTED_VALUE"""),"Big Format")</f>
        <v>Big Format</v>
      </c>
      <c r="S2171" s="3" t="str">
        <f>IFERROR(__xludf.DUMMYFUNCTION("""COMPUTED_VALUE"""),"PURE")</f>
        <v>PURE</v>
      </c>
      <c r="T2171" s="3" t="str">
        <f>IFERROR(__xludf.DUMMYFUNCTION("""COMPUTED_VALUE"""),"#N/A")</f>
        <v>#N/A</v>
      </c>
      <c r="U2171" s="3" t="str">
        <f>IFERROR(__xludf.DUMMYFUNCTION("""COMPUTED_VALUE"""),"#N/A")</f>
        <v>#N/A</v>
      </c>
      <c r="V2171" s="3" t="str">
        <f>IFERROR(__xludf.DUMMYFUNCTION("""COMPUTED_VALUE"""),"N")</f>
        <v>N</v>
      </c>
      <c r="W2171" s="3">
        <f>IFERROR(__xludf.DUMMYFUNCTION("""COMPUTED_VALUE"""),0.0)</f>
        <v>0</v>
      </c>
      <c r="X2171" s="3" t="str">
        <f>IFERROR(__xludf.DUMMYFUNCTION("""COMPUTED_VALUE"""),"13/40 ถนนนวมินทร์ แขวงนวลจันทร์ เขตบึงกุ่ม กรุงเทพฯ 10230")</f>
        <v>13/40 ถนนนวมินทร์ แขวงนวลจันทร์ เขตบึงกุ่ม กรุงเทพฯ 10230</v>
      </c>
      <c r="Y2171" s="3" t="str">
        <f>IFERROR(__xludf.DUMMYFUNCTION("""COMPUTED_VALUE"""),"ถนนนวมินทร์")</f>
        <v>ถนนนวมินทร์</v>
      </c>
      <c r="Z2171" s="3" t="str">
        <f>IFERROR(__xludf.DUMMYFUNCTION("""COMPUTED_VALUE"""),"นวลจันทร์")</f>
        <v>นวลจันทร์</v>
      </c>
      <c r="AA2171" s="3" t="str">
        <f>IFERROR(__xludf.DUMMYFUNCTION("""COMPUTED_VALUE"""),"บึงกุ่ม")</f>
        <v>บึงกุ่ม</v>
      </c>
      <c r="AB2171" s="3" t="str">
        <f>IFERROR(__xludf.DUMMYFUNCTION("""COMPUTED_VALUE"""),"กรุงเทพมหานคร")</f>
        <v>กรุงเทพมหานคร</v>
      </c>
      <c r="AC2171" s="3">
        <f>IFERROR(__xludf.DUMMYFUNCTION("""COMPUTED_VALUE"""),10230.0)</f>
        <v>10230</v>
      </c>
      <c r="AD2171" s="3">
        <f>IFERROR(__xludf.DUMMYFUNCTION("""COMPUTED_VALUE"""),0.0)</f>
        <v>0</v>
      </c>
      <c r="AE2171" s="3">
        <f>IFERROR(__xludf.DUMMYFUNCTION("""COMPUTED_VALUE"""),0.0)</f>
        <v>0</v>
      </c>
      <c r="AF2171" s="3" t="str">
        <f>IFERROR(__xludf.DUMMYFUNCTION("""COMPUTED_VALUE"""),"เพรียวสุขาภิบาล1-41045")</f>
        <v>เพรียวสุขาภิบาล1-41045</v>
      </c>
      <c r="AG2171" s="3" t="str">
        <f>IFERROR(__xludf.DUMMYFUNCTION("""COMPUTED_VALUE"""),"กลาง")</f>
        <v>กลาง</v>
      </c>
      <c r="AH2171" s="3" t="str">
        <f>IFERROR(__xludf.DUMMYFUNCTION("""COMPUTED_VALUE"""),"#N/A")</f>
        <v>#N/A</v>
      </c>
      <c r="AI2171" s="3" t="str">
        <f>IFERROR(__xludf.DUMMYFUNCTION("""COMPUTED_VALUE"""),"Out of warranty")</f>
        <v>Out of warranty</v>
      </c>
      <c r="AJ2171" s="3">
        <f>IFERROR(__xludf.DUMMYFUNCTION("""COMPUTED_VALUE"""),172.0)</f>
        <v>172</v>
      </c>
      <c r="AK2171" s="3"/>
      <c r="AL2171" s="3"/>
    </row>
    <row r="2172" ht="15.75" customHeight="1">
      <c r="A2172" s="1" t="str">
        <f>IFERROR(__xludf.DUMMYFUNCTION("""COMPUTED_VALUE"""),"41046")</f>
        <v>41046</v>
      </c>
      <c r="B2172" s="2">
        <f>IFERROR(__xludf.DUMMYFUNCTION("""COMPUTED_VALUE"""),41046.0)</f>
        <v>41046</v>
      </c>
      <c r="C2172" s="3" t="str">
        <f>IFERROR(__xludf.DUMMYFUNCTION("""COMPUTED_VALUE"""),"เพรียวสวนหลวง")</f>
        <v>เพรียวสวนหลวง</v>
      </c>
      <c r="D2172" s="3" t="str">
        <f>IFERROR(__xludf.DUMMYFUNCTION("""COMPUTED_VALUE"""),"BIGC SUANLUANG PURE")</f>
        <v>BIGC SUANLUANG PURE</v>
      </c>
      <c r="E2172" s="1" t="str">
        <f>IFERROR(__xludf.DUMMYFUNCTION("""COMPUTED_VALUE"""),"PURE")</f>
        <v>PURE</v>
      </c>
      <c r="F2172" s="1" t="str">
        <f>IFERROR(__xludf.DUMMYFUNCTION("""COMPUTED_VALUE"""),"228469")</f>
        <v>228469</v>
      </c>
      <c r="G2172" s="1" t="str">
        <f>IFERROR(__xludf.DUMMYFUNCTION("""COMPUTED_VALUE"""),"น.ส.บงกช ทำการดี")</f>
        <v>น.ส.บงกช ทำการดี</v>
      </c>
      <c r="H2172" s="1" t="str">
        <f>IFERROR(__xludf.DUMMYFUNCTION("""COMPUTED_VALUE"""),"228469")</f>
        <v>228469</v>
      </c>
      <c r="I2172" s="1" t="str">
        <f>IFERROR(__xludf.DUMMYFUNCTION("""COMPUTED_VALUE"""),"น.ส.บงกช ทำการดี")</f>
        <v>น.ส.บงกช ทำการดี</v>
      </c>
      <c r="J2172" s="3">
        <f>IFERROR(__xludf.DUMMYFUNCTION("""COMPUTED_VALUE"""),2454716.0)</f>
        <v>2454716</v>
      </c>
      <c r="K2172" s="3" t="str">
        <f>IFERROR(__xludf.DUMMYFUNCTION("""COMPUTED_VALUE"""),"นายโฆษิต วงค์กะโซ่")</f>
        <v>นายโฆษิต วงค์กะโซ่</v>
      </c>
      <c r="L2172" s="1" t="str">
        <f>IFERROR(__xludf.DUMMYFUNCTION("""COMPUTED_VALUE"""),"Hub03-BKK 3")</f>
        <v>Hub03-BKK 3</v>
      </c>
      <c r="M2172" s="1" t="str">
        <f>IFERROR(__xludf.DUMMYFUNCTION("""COMPUTED_VALUE"""),"062-434-5030")</f>
        <v>062-434-5030</v>
      </c>
      <c r="N2172" s="3">
        <f>IFERROR(__xludf.DUMMYFUNCTION("""COMPUTED_VALUE"""),15006.0)</f>
        <v>15006</v>
      </c>
      <c r="O2172" s="3" t="str">
        <f>IFERROR(__xludf.DUMMYFUNCTION("""COMPUTED_VALUE"""),"สวนหลวง")</f>
        <v>สวนหลวง</v>
      </c>
      <c r="P2172" s="4">
        <f>IFERROR(__xludf.DUMMYFUNCTION("""COMPUTED_VALUE"""),40831.0)</f>
        <v>40831</v>
      </c>
      <c r="Q2172" s="3" t="str">
        <f>IFERROR(__xludf.DUMMYFUNCTION("""COMPUTED_VALUE"""),"A")</f>
        <v>A</v>
      </c>
      <c r="R2172" s="3" t="str">
        <f>IFERROR(__xludf.DUMMYFUNCTION("""COMPUTED_VALUE"""),"Big Format")</f>
        <v>Big Format</v>
      </c>
      <c r="S2172" s="3" t="str">
        <f>IFERROR(__xludf.DUMMYFUNCTION("""COMPUTED_VALUE"""),"PURE")</f>
        <v>PURE</v>
      </c>
      <c r="T2172" s="3" t="str">
        <f>IFERROR(__xludf.DUMMYFUNCTION("""COMPUTED_VALUE"""),"#N/A")</f>
        <v>#N/A</v>
      </c>
      <c r="U2172" s="3" t="str">
        <f>IFERROR(__xludf.DUMMYFUNCTION("""COMPUTED_VALUE"""),"#N/A")</f>
        <v>#N/A</v>
      </c>
      <c r="V2172" s="3" t="str">
        <f>IFERROR(__xludf.DUMMYFUNCTION("""COMPUTED_VALUE"""),"N")</f>
        <v>N</v>
      </c>
      <c r="W2172" s="3">
        <f>IFERROR(__xludf.DUMMYFUNCTION("""COMPUTED_VALUE"""),411043.0)</f>
        <v>411043</v>
      </c>
      <c r="X2172" s="3" t="str">
        <f>IFERROR(__xludf.DUMMYFUNCTION("""COMPUTED_VALUE"""),"314-314/1-4 ถนนเฉลิมพระเกียรติ ร.9 แขวงหนองบอน เขตประเวศ กรุงเทพฯ 10250")</f>
        <v>314-314/1-4 ถนนเฉลิมพระเกียรติ ร.9 แขวงหนองบอน เขตประเวศ กรุงเทพฯ 10250</v>
      </c>
      <c r="Y2172" s="3" t="str">
        <f>IFERROR(__xludf.DUMMYFUNCTION("""COMPUTED_VALUE"""),"ถนนเฉลิมพระเกียรติ")</f>
        <v>ถนนเฉลิมพระเกียรติ</v>
      </c>
      <c r="Z2172" s="3" t="str">
        <f>IFERROR(__xludf.DUMMYFUNCTION("""COMPUTED_VALUE"""),"ร.9")</f>
        <v>ร.9</v>
      </c>
      <c r="AA2172" s="3" t="str">
        <f>IFERROR(__xludf.DUMMYFUNCTION("""COMPUTED_VALUE"""),"ประเวศ")</f>
        <v>ประเวศ</v>
      </c>
      <c r="AB2172" s="3" t="str">
        <f>IFERROR(__xludf.DUMMYFUNCTION("""COMPUTED_VALUE"""),"กรุงเทพมหานคร")</f>
        <v>กรุงเทพมหานคร</v>
      </c>
      <c r="AC2172" s="3">
        <f>IFERROR(__xludf.DUMMYFUNCTION("""COMPUTED_VALUE"""),10250.0)</f>
        <v>10250</v>
      </c>
      <c r="AD2172" s="3">
        <f>IFERROR(__xludf.DUMMYFUNCTION("""COMPUTED_VALUE"""),0.0)</f>
        <v>0</v>
      </c>
      <c r="AE2172" s="3">
        <f>IFERROR(__xludf.DUMMYFUNCTION("""COMPUTED_VALUE"""),0.0)</f>
        <v>0</v>
      </c>
      <c r="AF2172" s="3" t="str">
        <f>IFERROR(__xludf.DUMMYFUNCTION("""COMPUTED_VALUE"""),"เพรียวสวนหลวง-41046")</f>
        <v>เพรียวสวนหลวง-41046</v>
      </c>
      <c r="AG2172" s="3" t="str">
        <f>IFERROR(__xludf.DUMMYFUNCTION("""COMPUTED_VALUE"""),"กลาง")</f>
        <v>กลาง</v>
      </c>
      <c r="AH2172" s="3" t="str">
        <f>IFERROR(__xludf.DUMMYFUNCTION("""COMPUTED_VALUE"""),"#N/A")</f>
        <v>#N/A</v>
      </c>
      <c r="AI2172" s="3" t="str">
        <f>IFERROR(__xludf.DUMMYFUNCTION("""COMPUTED_VALUE"""),"Out of warranty")</f>
        <v>Out of warranty</v>
      </c>
      <c r="AJ2172" s="3">
        <f>IFERROR(__xludf.DUMMYFUNCTION("""COMPUTED_VALUE"""),172.0)</f>
        <v>172</v>
      </c>
      <c r="AK2172" s="3"/>
      <c r="AL2172" s="3"/>
    </row>
    <row r="2173" ht="15.75" customHeight="1">
      <c r="A2173" s="1" t="str">
        <f>IFERROR(__xludf.DUMMYFUNCTION("""COMPUTED_VALUE"""),"41047")</f>
        <v>41047</v>
      </c>
      <c r="B2173" s="2">
        <f>IFERROR(__xludf.DUMMYFUNCTION("""COMPUTED_VALUE"""),41047.0)</f>
        <v>41047</v>
      </c>
      <c r="C2173" s="3" t="str">
        <f>IFERROR(__xludf.DUMMYFUNCTION("""COMPUTED_VALUE"""),"เพรียวประชาอุทิศ")</f>
        <v>เพรียวประชาอุทิศ</v>
      </c>
      <c r="D2173" s="3" t="str">
        <f>IFERROR(__xludf.DUMMYFUNCTION("""COMPUTED_VALUE"""),"BIGC PRACHA-UTHIT PURE")</f>
        <v>BIGC PRACHA-UTHIT PURE</v>
      </c>
      <c r="E2173" s="1" t="str">
        <f>IFERROR(__xludf.DUMMYFUNCTION("""COMPUTED_VALUE"""),"PURE")</f>
        <v>PURE</v>
      </c>
      <c r="F2173" s="1" t="str">
        <f>IFERROR(__xludf.DUMMYFUNCTION("""COMPUTED_VALUE"""),"2010612")</f>
        <v>2010612</v>
      </c>
      <c r="G2173" s="1" t="str">
        <f>IFERROR(__xludf.DUMMYFUNCTION("""COMPUTED_VALUE"""),"น.ส.วรรณพร เกตุเลิศประเสริฐ")</f>
        <v>น.ส.วรรณพร เกตุเลิศประเสริฐ</v>
      </c>
      <c r="H2173" s="1" t="str">
        <f>IFERROR(__xludf.DUMMYFUNCTION("""COMPUTED_VALUE"""),"2010612")</f>
        <v>2010612</v>
      </c>
      <c r="I2173" s="1" t="str">
        <f>IFERROR(__xludf.DUMMYFUNCTION("""COMPUTED_VALUE"""),"น.ส.วรรณพร เกตุเลิศประเสริฐ")</f>
        <v>น.ส.วรรณพร เกตุเลิศประเสริฐ</v>
      </c>
      <c r="J2173" s="3">
        <f>IFERROR(__xludf.DUMMYFUNCTION("""COMPUTED_VALUE"""),2454701.0)</f>
        <v>2454701</v>
      </c>
      <c r="K2173" s="3" t="str">
        <f>IFERROR(__xludf.DUMMYFUNCTION("""COMPUTED_VALUE"""),"นายกานต์ ไชยแสงศรี")</f>
        <v>นายกานต์ ไชยแสงศรี</v>
      </c>
      <c r="L2173" s="1" t="str">
        <f>IFERROR(__xludf.DUMMYFUNCTION("""COMPUTED_VALUE"""),"Hub01-BKK 1")</f>
        <v>Hub01-BKK 1</v>
      </c>
      <c r="M2173" s="1" t="str">
        <f>IFERROR(__xludf.DUMMYFUNCTION("""COMPUTED_VALUE"""),"0909090652")</f>
        <v>0909090652</v>
      </c>
      <c r="N2173" s="3">
        <f>IFERROR(__xludf.DUMMYFUNCTION("""COMPUTED_VALUE"""),15007.0)</f>
        <v>15007</v>
      </c>
      <c r="O2173" s="3" t="str">
        <f>IFERROR(__xludf.DUMMYFUNCTION("""COMPUTED_VALUE"""),"ประชาอุทิศ")</f>
        <v>ประชาอุทิศ</v>
      </c>
      <c r="P2173" s="4">
        <f>IFERROR(__xludf.DUMMYFUNCTION("""COMPUTED_VALUE"""),40843.0)</f>
        <v>40843</v>
      </c>
      <c r="Q2173" s="3" t="str">
        <f>IFERROR(__xludf.DUMMYFUNCTION("""COMPUTED_VALUE"""),"A")</f>
        <v>A</v>
      </c>
      <c r="R2173" s="3" t="str">
        <f>IFERROR(__xludf.DUMMYFUNCTION("""COMPUTED_VALUE"""),"Big Format")</f>
        <v>Big Format</v>
      </c>
      <c r="S2173" s="3" t="str">
        <f>IFERROR(__xludf.DUMMYFUNCTION("""COMPUTED_VALUE"""),"PURE")</f>
        <v>PURE</v>
      </c>
      <c r="T2173" s="3" t="str">
        <f>IFERROR(__xludf.DUMMYFUNCTION("""COMPUTED_VALUE"""),"#N/A")</f>
        <v>#N/A</v>
      </c>
      <c r="U2173" s="3" t="str">
        <f>IFERROR(__xludf.DUMMYFUNCTION("""COMPUTED_VALUE"""),"#N/A")</f>
        <v>#N/A</v>
      </c>
      <c r="V2173" s="3" t="str">
        <f>IFERROR(__xludf.DUMMYFUNCTION("""COMPUTED_VALUE"""),"N")</f>
        <v>N</v>
      </c>
      <c r="W2173" s="3">
        <f>IFERROR(__xludf.DUMMYFUNCTION("""COMPUTED_VALUE"""),411044.0)</f>
        <v>411044</v>
      </c>
      <c r="X2173" s="3" t="str">
        <f>IFERROR(__xludf.DUMMYFUNCTION("""COMPUTED_VALUE"""),"523-523/3 ถ.ประชาอุทิศ แขวงทุ่งครุ เขตทุ่งครุ กรุงเทพฯ 10140")</f>
        <v>523-523/3 ถ.ประชาอุทิศ แขวงทุ่งครุ เขตทุ่งครุ กรุงเทพฯ 10140</v>
      </c>
      <c r="Y2173" s="3" t="str">
        <f>IFERROR(__xludf.DUMMYFUNCTION("""COMPUTED_VALUE"""),"ถ.ประชาอุทิศ")</f>
        <v>ถ.ประชาอุทิศ</v>
      </c>
      <c r="Z2173" s="3" t="str">
        <f>IFERROR(__xludf.DUMMYFUNCTION("""COMPUTED_VALUE"""),"ทุ่งครุ")</f>
        <v>ทุ่งครุ</v>
      </c>
      <c r="AA2173" s="3" t="str">
        <f>IFERROR(__xludf.DUMMYFUNCTION("""COMPUTED_VALUE"""),"ทุ่งครุ")</f>
        <v>ทุ่งครุ</v>
      </c>
      <c r="AB2173" s="3" t="str">
        <f>IFERROR(__xludf.DUMMYFUNCTION("""COMPUTED_VALUE"""),"กรุงเทพมหานคร")</f>
        <v>กรุงเทพมหานคร</v>
      </c>
      <c r="AC2173" s="3">
        <f>IFERROR(__xludf.DUMMYFUNCTION("""COMPUTED_VALUE"""),10140.0)</f>
        <v>10140</v>
      </c>
      <c r="AD2173" s="3">
        <f>IFERROR(__xludf.DUMMYFUNCTION("""COMPUTED_VALUE"""),0.0)</f>
        <v>0</v>
      </c>
      <c r="AE2173" s="3">
        <f>IFERROR(__xludf.DUMMYFUNCTION("""COMPUTED_VALUE"""),0.0)</f>
        <v>0</v>
      </c>
      <c r="AF2173" s="3" t="str">
        <f>IFERROR(__xludf.DUMMYFUNCTION("""COMPUTED_VALUE"""),"เพรียวประชาอุทิศ-41047")</f>
        <v>เพรียวประชาอุทิศ-41047</v>
      </c>
      <c r="AG2173" s="3" t="str">
        <f>IFERROR(__xludf.DUMMYFUNCTION("""COMPUTED_VALUE"""),"กลาง")</f>
        <v>กลาง</v>
      </c>
      <c r="AH2173" s="3" t="str">
        <f>IFERROR(__xludf.DUMMYFUNCTION("""COMPUTED_VALUE"""),"#N/A")</f>
        <v>#N/A</v>
      </c>
      <c r="AI2173" s="3" t="str">
        <f>IFERROR(__xludf.DUMMYFUNCTION("""COMPUTED_VALUE"""),"Out of warranty")</f>
        <v>Out of warranty</v>
      </c>
      <c r="AJ2173" s="3">
        <f>IFERROR(__xludf.DUMMYFUNCTION("""COMPUTED_VALUE"""),171.0)</f>
        <v>171</v>
      </c>
      <c r="AK2173" s="3"/>
      <c r="AL2173" s="3"/>
    </row>
    <row r="2174" ht="15.75" customHeight="1">
      <c r="A2174" s="1" t="str">
        <f>IFERROR(__xludf.DUMMYFUNCTION("""COMPUTED_VALUE"""),"41048")</f>
        <v>41048</v>
      </c>
      <c r="B2174" s="2">
        <f>IFERROR(__xludf.DUMMYFUNCTION("""COMPUTED_VALUE"""),41048.0)</f>
        <v>41048</v>
      </c>
      <c r="C2174" s="3" t="str">
        <f>IFERROR(__xludf.DUMMYFUNCTION("""COMPUTED_VALUE"""),"เพรียวบ้านบึง")</f>
        <v>เพรียวบ้านบึง</v>
      </c>
      <c r="D2174" s="3" t="str">
        <f>IFERROR(__xludf.DUMMYFUNCTION("""COMPUTED_VALUE"""),"BIGC BANBUENG PURE")</f>
        <v>BIGC BANBUENG PURE</v>
      </c>
      <c r="E2174" s="1" t="str">
        <f>IFERROR(__xludf.DUMMYFUNCTION("""COMPUTED_VALUE"""),"PURE")</f>
        <v>PURE</v>
      </c>
      <c r="F2174" s="1" t="str">
        <f>IFERROR(__xludf.DUMMYFUNCTION("""COMPUTED_VALUE"""),"228469")</f>
        <v>228469</v>
      </c>
      <c r="G2174" s="1" t="str">
        <f>IFERROR(__xludf.DUMMYFUNCTION("""COMPUTED_VALUE"""),"น.ส.บงกช ทำการดี")</f>
        <v>น.ส.บงกช ทำการดี</v>
      </c>
      <c r="H2174" s="1" t="str">
        <f>IFERROR(__xludf.DUMMYFUNCTION("""COMPUTED_VALUE"""),"228469")</f>
        <v>228469</v>
      </c>
      <c r="I2174" s="1" t="str">
        <f>IFERROR(__xludf.DUMMYFUNCTION("""COMPUTED_VALUE"""),"น.ส.บงกช ทำการดี")</f>
        <v>น.ส.บงกช ทำการดี</v>
      </c>
      <c r="J2174" s="3">
        <f>IFERROR(__xludf.DUMMYFUNCTION("""COMPUTED_VALUE"""),2455164.0)</f>
        <v>2455164</v>
      </c>
      <c r="K2174" s="3" t="str">
        <f>IFERROR(__xludf.DUMMYFUNCTION("""COMPUTED_VALUE"""),"นายกรวิทย์ เจริญพร")</f>
        <v>นายกรวิทย์ เจริญพร</v>
      </c>
      <c r="L2174" s="1" t="str">
        <f>IFERROR(__xludf.DUMMYFUNCTION("""COMPUTED_VALUE"""),"Hub08-East")</f>
        <v>Hub08-East</v>
      </c>
      <c r="M2174" s="1" t="str">
        <f>IFERROR(__xludf.DUMMYFUNCTION("""COMPUTED_VALUE"""),"092-605-9922")</f>
        <v>092-605-9922</v>
      </c>
      <c r="N2174" s="3">
        <f>IFERROR(__xludf.DUMMYFUNCTION("""COMPUTED_VALUE"""),11208.0)</f>
        <v>11208</v>
      </c>
      <c r="O2174" s="3" t="str">
        <f>IFERROR(__xludf.DUMMYFUNCTION("""COMPUTED_VALUE"""),"บ้านบึง")</f>
        <v>บ้านบึง</v>
      </c>
      <c r="P2174" s="4">
        <f>IFERROR(__xludf.DUMMYFUNCTION("""COMPUTED_VALUE"""),40867.0)</f>
        <v>40867</v>
      </c>
      <c r="Q2174" s="3" t="str">
        <f>IFERROR(__xludf.DUMMYFUNCTION("""COMPUTED_VALUE"""),"A")</f>
        <v>A</v>
      </c>
      <c r="R2174" s="3" t="str">
        <f>IFERROR(__xludf.DUMMYFUNCTION("""COMPUTED_VALUE"""),"Big Format")</f>
        <v>Big Format</v>
      </c>
      <c r="S2174" s="3" t="str">
        <f>IFERROR(__xludf.DUMMYFUNCTION("""COMPUTED_VALUE"""),"PURE")</f>
        <v>PURE</v>
      </c>
      <c r="T2174" s="3" t="str">
        <f>IFERROR(__xludf.DUMMYFUNCTION("""COMPUTED_VALUE"""),"#N/A")</f>
        <v>#N/A</v>
      </c>
      <c r="U2174" s="3" t="str">
        <f>IFERROR(__xludf.DUMMYFUNCTION("""COMPUTED_VALUE"""),"#N/A")</f>
        <v>#N/A</v>
      </c>
      <c r="V2174" s="3" t="str">
        <f>IFERROR(__xludf.DUMMYFUNCTION("""COMPUTED_VALUE"""),"N")</f>
        <v>N</v>
      </c>
      <c r="W2174" s="3">
        <f>IFERROR(__xludf.DUMMYFUNCTION("""COMPUTED_VALUE"""),111208.0)</f>
        <v>111208</v>
      </c>
      <c r="X2174" s="3" t="str">
        <f>IFERROR(__xludf.DUMMYFUNCTION("""COMPUTED_VALUE"""),"181 ถนนบ้านบึง-แกลง ตำบลบ้านบึง อำเภอบ้านบึง จังหวัดชลบุรี 20170")</f>
        <v>181 ถนนบ้านบึง-แกลง ตำบลบ้านบึง อำเภอบ้านบึง จังหวัดชลบุรี 20170</v>
      </c>
      <c r="Y2174" s="3" t="str">
        <f>IFERROR(__xludf.DUMMYFUNCTION("""COMPUTED_VALUE"""),"ถนนบ้านบึง-แกลง")</f>
        <v>ถนนบ้านบึง-แกลง</v>
      </c>
      <c r="Z2174" s="3" t="str">
        <f>IFERROR(__xludf.DUMMYFUNCTION("""COMPUTED_VALUE"""),"บ้านบึง")</f>
        <v>บ้านบึง</v>
      </c>
      <c r="AA2174" s="3" t="str">
        <f>IFERROR(__xludf.DUMMYFUNCTION("""COMPUTED_VALUE"""),"บ้านบึง")</f>
        <v>บ้านบึง</v>
      </c>
      <c r="AB2174" s="3" t="str">
        <f>IFERROR(__xludf.DUMMYFUNCTION("""COMPUTED_VALUE"""),"ชลบุรี")</f>
        <v>ชลบุรี</v>
      </c>
      <c r="AC2174" s="3">
        <f>IFERROR(__xludf.DUMMYFUNCTION("""COMPUTED_VALUE"""),20170.0)</f>
        <v>20170</v>
      </c>
      <c r="AD2174" s="3">
        <f>IFERROR(__xludf.DUMMYFUNCTION("""COMPUTED_VALUE"""),0.0)</f>
        <v>0</v>
      </c>
      <c r="AE2174" s="3">
        <f>IFERROR(__xludf.DUMMYFUNCTION("""COMPUTED_VALUE"""),0.0)</f>
        <v>0</v>
      </c>
      <c r="AF2174" s="3" t="str">
        <f>IFERROR(__xludf.DUMMYFUNCTION("""COMPUTED_VALUE"""),"เพรียวบ้านบึง-41048")</f>
        <v>เพรียวบ้านบึง-41048</v>
      </c>
      <c r="AG2174" s="3" t="str">
        <f>IFERROR(__xludf.DUMMYFUNCTION("""COMPUTED_VALUE"""),"ตะวันออก")</f>
        <v>ตะวันออก</v>
      </c>
      <c r="AH2174" s="3" t="str">
        <f>IFERROR(__xludf.DUMMYFUNCTION("""COMPUTED_VALUE"""),"#N/A")</f>
        <v>#N/A</v>
      </c>
      <c r="AI2174" s="3" t="str">
        <f>IFERROR(__xludf.DUMMYFUNCTION("""COMPUTED_VALUE"""),"Out of warranty")</f>
        <v>Out of warranty</v>
      </c>
      <c r="AJ2174" s="3">
        <f>IFERROR(__xludf.DUMMYFUNCTION("""COMPUTED_VALUE"""),171.0)</f>
        <v>171</v>
      </c>
      <c r="AK2174" s="3"/>
      <c r="AL2174" s="3"/>
    </row>
    <row r="2175" ht="15.75" customHeight="1">
      <c r="A2175" s="1" t="str">
        <f>IFERROR(__xludf.DUMMYFUNCTION("""COMPUTED_VALUE"""),"41049")</f>
        <v>41049</v>
      </c>
      <c r="B2175" s="2">
        <f>IFERROR(__xludf.DUMMYFUNCTION("""COMPUTED_VALUE"""),41049.0)</f>
        <v>41049</v>
      </c>
      <c r="C2175" s="3" t="str">
        <f>IFERROR(__xludf.DUMMYFUNCTION("""COMPUTED_VALUE"""),"เพรียวเทพกษัตรี")</f>
        <v>เพรียวเทพกษัตรี</v>
      </c>
      <c r="D2175" s="3" t="str">
        <f>IFERROR(__xludf.DUMMYFUNCTION("""COMPUTED_VALUE"""),"BIGC MARKET THEPKASATTRI PURE")</f>
        <v>BIGC MARKET THEPKASATTRI PURE</v>
      </c>
      <c r="E2175" s="1" t="str">
        <f>IFERROR(__xludf.DUMMYFUNCTION("""COMPUTED_VALUE"""),"PURE")</f>
        <v>PURE</v>
      </c>
      <c r="F2175" s="1" t="str">
        <f>IFERROR(__xludf.DUMMYFUNCTION("""COMPUTED_VALUE"""),"291435")</f>
        <v>291435</v>
      </c>
      <c r="G2175" s="1" t="str">
        <f>IFERROR(__xludf.DUMMYFUNCTION("""COMPUTED_VALUE"""),"น.ส.สุกัญญา มณีไพโรจน์")</f>
        <v>น.ส.สุกัญญา มณีไพโรจน์</v>
      </c>
      <c r="H2175" s="1" t="str">
        <f>IFERROR(__xludf.DUMMYFUNCTION("""COMPUTED_VALUE"""),"291435")</f>
        <v>291435</v>
      </c>
      <c r="I2175" s="1" t="str">
        <f>IFERROR(__xludf.DUMMYFUNCTION("""COMPUTED_VALUE"""),"น.ส.สุกัญญา มณีไพโรจน์")</f>
        <v>น.ส.สุกัญญา มณีไพโรจน์</v>
      </c>
      <c r="J2175" s="3">
        <f>IFERROR(__xludf.DUMMYFUNCTION("""COMPUTED_VALUE"""),2454709.0)</f>
        <v>2454709</v>
      </c>
      <c r="K2175" s="3" t="str">
        <f>IFERROR(__xludf.DUMMYFUNCTION("""COMPUTED_VALUE"""),"นายประชา เกตุชาติ")</f>
        <v>นายประชา เกตุชาติ</v>
      </c>
      <c r="L2175" s="1" t="str">
        <f>IFERROR(__xludf.DUMMYFUNCTION("""COMPUTED_VALUE"""),"Hub05-South")</f>
        <v>Hub05-South</v>
      </c>
      <c r="M2175" s="1" t="str">
        <f>IFERROR(__xludf.DUMMYFUNCTION("""COMPUTED_VALUE"""),"0659291311")</f>
        <v>0659291311</v>
      </c>
      <c r="N2175" s="3">
        <f>IFERROR(__xludf.DUMMYFUNCTION("""COMPUTED_VALUE"""),15011.0)</f>
        <v>15011</v>
      </c>
      <c r="O2175" s="3" t="str">
        <f>IFERROR(__xludf.DUMMYFUNCTION("""COMPUTED_VALUE"""),"เทพกษัตรีย์")</f>
        <v>เทพกษัตรีย์</v>
      </c>
      <c r="P2175" s="4">
        <f>IFERROR(__xludf.DUMMYFUNCTION("""COMPUTED_VALUE"""),40872.0)</f>
        <v>40872</v>
      </c>
      <c r="Q2175" s="3" t="str">
        <f>IFERROR(__xludf.DUMMYFUNCTION("""COMPUTED_VALUE"""),"A")</f>
        <v>A</v>
      </c>
      <c r="R2175" s="3" t="str">
        <f>IFERROR(__xludf.DUMMYFUNCTION("""COMPUTED_VALUE"""),"Big Format")</f>
        <v>Big Format</v>
      </c>
      <c r="S2175" s="3" t="str">
        <f>IFERROR(__xludf.DUMMYFUNCTION("""COMPUTED_VALUE"""),"PURE")</f>
        <v>PURE</v>
      </c>
      <c r="T2175" s="3" t="str">
        <f>IFERROR(__xludf.DUMMYFUNCTION("""COMPUTED_VALUE"""),"#N/A")</f>
        <v>#N/A</v>
      </c>
      <c r="U2175" s="3" t="str">
        <f>IFERROR(__xludf.DUMMYFUNCTION("""COMPUTED_VALUE"""),"#N/A")</f>
        <v>#N/A</v>
      </c>
      <c r="V2175" s="3" t="str">
        <f>IFERROR(__xludf.DUMMYFUNCTION("""COMPUTED_VALUE"""),"N")</f>
        <v>N</v>
      </c>
      <c r="W2175" s="3">
        <f>IFERROR(__xludf.DUMMYFUNCTION("""COMPUTED_VALUE"""),411046.0)</f>
        <v>411046</v>
      </c>
      <c r="X2175" s="3" t="str">
        <f>IFERROR(__xludf.DUMMYFUNCTION("""COMPUTED_VALUE"""),"888 หมู่ 2 ตำบลรัษฎา อำเภอเมืองภูเก็ต จังหวัดภูเก็ต 83000")</f>
        <v>888 หมู่ 2 ตำบลรัษฎา อำเภอเมืองภูเก็ต จังหวัดภูเก็ต 83000</v>
      </c>
      <c r="Y2175" s="3"/>
      <c r="Z2175" s="3" t="str">
        <f>IFERROR(__xludf.DUMMYFUNCTION("""COMPUTED_VALUE"""),"รัษฎา")</f>
        <v>รัษฎา</v>
      </c>
      <c r="AA2175" s="3" t="str">
        <f>IFERROR(__xludf.DUMMYFUNCTION("""COMPUTED_VALUE"""),"เมือง")</f>
        <v>เมือง</v>
      </c>
      <c r="AB2175" s="3" t="str">
        <f>IFERROR(__xludf.DUMMYFUNCTION("""COMPUTED_VALUE"""),"ภูเก็ต")</f>
        <v>ภูเก็ต</v>
      </c>
      <c r="AC2175" s="3">
        <f>IFERROR(__xludf.DUMMYFUNCTION("""COMPUTED_VALUE"""),83000.0)</f>
        <v>83000</v>
      </c>
      <c r="AD2175" s="3">
        <f>IFERROR(__xludf.DUMMYFUNCTION("""COMPUTED_VALUE"""),0.0)</f>
        <v>0</v>
      </c>
      <c r="AE2175" s="3">
        <f>IFERROR(__xludf.DUMMYFUNCTION("""COMPUTED_VALUE"""),0.0)</f>
        <v>0</v>
      </c>
      <c r="AF2175" s="3" t="str">
        <f>IFERROR(__xludf.DUMMYFUNCTION("""COMPUTED_VALUE"""),"เพรียวเทพกษัตรี-41049")</f>
        <v>เพรียวเทพกษัตรี-41049</v>
      </c>
      <c r="AG2175" s="3" t="str">
        <f>IFERROR(__xludf.DUMMYFUNCTION("""COMPUTED_VALUE"""),"ใต้")</f>
        <v>ใต้</v>
      </c>
      <c r="AH2175" s="3" t="str">
        <f>IFERROR(__xludf.DUMMYFUNCTION("""COMPUTED_VALUE"""),"#N/A")</f>
        <v>#N/A</v>
      </c>
      <c r="AI2175" s="3" t="str">
        <f>IFERROR(__xludf.DUMMYFUNCTION("""COMPUTED_VALUE"""),"Out of warranty")</f>
        <v>Out of warranty</v>
      </c>
      <c r="AJ2175" s="3">
        <f>IFERROR(__xludf.DUMMYFUNCTION("""COMPUTED_VALUE"""),170.0)</f>
        <v>170</v>
      </c>
      <c r="AK2175" s="3"/>
      <c r="AL2175" s="3"/>
    </row>
    <row r="2176" ht="15.75" customHeight="1">
      <c r="A2176" s="1" t="str">
        <f>IFERROR(__xludf.DUMMYFUNCTION("""COMPUTED_VALUE"""),"41050")</f>
        <v>41050</v>
      </c>
      <c r="B2176" s="2">
        <f>IFERROR(__xludf.DUMMYFUNCTION("""COMPUTED_VALUE"""),41050.0)</f>
        <v>41050</v>
      </c>
      <c r="C2176" s="3" t="str">
        <f>IFERROR(__xludf.DUMMYFUNCTION("""COMPUTED_VALUE"""),"เพรียวจันทบุรี")</f>
        <v>เพรียวจันทบุรี</v>
      </c>
      <c r="D2176" s="3" t="str">
        <f>IFERROR(__xludf.DUMMYFUNCTION("""COMPUTED_VALUE"""),"BIGC CHANTHABURI PURE")</f>
        <v>BIGC CHANTHABURI PURE</v>
      </c>
      <c r="E2176" s="1" t="str">
        <f>IFERROR(__xludf.DUMMYFUNCTION("""COMPUTED_VALUE"""),"PURE")</f>
        <v>PURE</v>
      </c>
      <c r="F2176" s="1" t="str">
        <f>IFERROR(__xludf.DUMMYFUNCTION("""COMPUTED_VALUE"""),"228469")</f>
        <v>228469</v>
      </c>
      <c r="G2176" s="1" t="str">
        <f>IFERROR(__xludf.DUMMYFUNCTION("""COMPUTED_VALUE"""),"น.ส.บงกช ทำการดี")</f>
        <v>น.ส.บงกช ทำการดี</v>
      </c>
      <c r="H2176" s="1" t="str">
        <f>IFERROR(__xludf.DUMMYFUNCTION("""COMPUTED_VALUE"""),"228469")</f>
        <v>228469</v>
      </c>
      <c r="I2176" s="1" t="str">
        <f>IFERROR(__xludf.DUMMYFUNCTION("""COMPUTED_VALUE"""),"น.ส.บงกช ทำการดี")</f>
        <v>น.ส.บงกช ทำการดี</v>
      </c>
      <c r="J2176" s="3">
        <f>IFERROR(__xludf.DUMMYFUNCTION("""COMPUTED_VALUE"""),2455164.0)</f>
        <v>2455164</v>
      </c>
      <c r="K2176" s="3" t="str">
        <f>IFERROR(__xludf.DUMMYFUNCTION("""COMPUTED_VALUE"""),"นายกรวิทย์ เจริญพร")</f>
        <v>นายกรวิทย์ เจริญพร</v>
      </c>
      <c r="L2176" s="1" t="str">
        <f>IFERROR(__xludf.DUMMYFUNCTION("""COMPUTED_VALUE"""),"Hub08-East")</f>
        <v>Hub08-East</v>
      </c>
      <c r="M2176" s="1" t="str">
        <f>IFERROR(__xludf.DUMMYFUNCTION("""COMPUTED_VALUE"""),"092-605-9922")</f>
        <v>092-605-9922</v>
      </c>
      <c r="N2176" s="3">
        <f>IFERROR(__xludf.DUMMYFUNCTION("""COMPUTED_VALUE"""),11209.0)</f>
        <v>11209</v>
      </c>
      <c r="O2176" s="3" t="str">
        <f>IFERROR(__xludf.DUMMYFUNCTION("""COMPUTED_VALUE"""),"จันทบุรี")</f>
        <v>จันทบุรี</v>
      </c>
      <c r="P2176" s="4">
        <f>IFERROR(__xludf.DUMMYFUNCTION("""COMPUTED_VALUE"""),40903.0)</f>
        <v>40903</v>
      </c>
      <c r="Q2176" s="3" t="str">
        <f>IFERROR(__xludf.DUMMYFUNCTION("""COMPUTED_VALUE"""),"A")</f>
        <v>A</v>
      </c>
      <c r="R2176" s="3" t="str">
        <f>IFERROR(__xludf.DUMMYFUNCTION("""COMPUTED_VALUE"""),"Big Format")</f>
        <v>Big Format</v>
      </c>
      <c r="S2176" s="3" t="str">
        <f>IFERROR(__xludf.DUMMYFUNCTION("""COMPUTED_VALUE"""),"PURE")</f>
        <v>PURE</v>
      </c>
      <c r="T2176" s="3" t="str">
        <f>IFERROR(__xludf.DUMMYFUNCTION("""COMPUTED_VALUE"""),"#N/A")</f>
        <v>#N/A</v>
      </c>
      <c r="U2176" s="3" t="str">
        <f>IFERROR(__xludf.DUMMYFUNCTION("""COMPUTED_VALUE"""),"#N/A")</f>
        <v>#N/A</v>
      </c>
      <c r="V2176" s="3" t="str">
        <f>IFERROR(__xludf.DUMMYFUNCTION("""COMPUTED_VALUE"""),"N")</f>
        <v>N</v>
      </c>
      <c r="W2176" s="3">
        <f>IFERROR(__xludf.DUMMYFUNCTION("""COMPUTED_VALUE"""),111209.0)</f>
        <v>111209</v>
      </c>
      <c r="X2176" s="3" t="str">
        <f>IFERROR(__xludf.DUMMYFUNCTION("""COMPUTED_VALUE"""),"1012 ถนนท่าแฉลบ ตำบลตลาด อำเภอเมืองจันทบุรี จังหวัดจันทบุรี 22000")</f>
        <v>1012 ถนนท่าแฉลบ ตำบลตลาด อำเภอเมืองจันทบุรี จังหวัดจันทบุรี 22000</v>
      </c>
      <c r="Y2176" s="3" t="str">
        <f>IFERROR(__xludf.DUMMYFUNCTION("""COMPUTED_VALUE"""),"ถนนท่าแฉลบ")</f>
        <v>ถนนท่าแฉลบ</v>
      </c>
      <c r="Z2176" s="3" t="str">
        <f>IFERROR(__xludf.DUMMYFUNCTION("""COMPUTED_VALUE"""),"ตลาด")</f>
        <v>ตลาด</v>
      </c>
      <c r="AA2176" s="3" t="str">
        <f>IFERROR(__xludf.DUMMYFUNCTION("""COMPUTED_VALUE"""),"เมือง")</f>
        <v>เมือง</v>
      </c>
      <c r="AB2176" s="3" t="str">
        <f>IFERROR(__xludf.DUMMYFUNCTION("""COMPUTED_VALUE"""),"จันทบุรี")</f>
        <v>จันทบุรี</v>
      </c>
      <c r="AC2176" s="3">
        <f>IFERROR(__xludf.DUMMYFUNCTION("""COMPUTED_VALUE"""),22000.0)</f>
        <v>22000</v>
      </c>
      <c r="AD2176" s="3">
        <f>IFERROR(__xludf.DUMMYFUNCTION("""COMPUTED_VALUE"""),0.0)</f>
        <v>0</v>
      </c>
      <c r="AE2176" s="3">
        <f>IFERROR(__xludf.DUMMYFUNCTION("""COMPUTED_VALUE"""),0.0)</f>
        <v>0</v>
      </c>
      <c r="AF2176" s="3" t="str">
        <f>IFERROR(__xludf.DUMMYFUNCTION("""COMPUTED_VALUE"""),"เพรียวจันทบุรี-41050")</f>
        <v>เพรียวจันทบุรี-41050</v>
      </c>
      <c r="AG2176" s="3" t="str">
        <f>IFERROR(__xludf.DUMMYFUNCTION("""COMPUTED_VALUE"""),"ตะวันออก")</f>
        <v>ตะวันออก</v>
      </c>
      <c r="AH2176" s="3" t="str">
        <f>IFERROR(__xludf.DUMMYFUNCTION("""COMPUTED_VALUE"""),"#N/A")</f>
        <v>#N/A</v>
      </c>
      <c r="AI2176" s="3" t="str">
        <f>IFERROR(__xludf.DUMMYFUNCTION("""COMPUTED_VALUE"""),"Out of warranty")</f>
        <v>Out of warranty</v>
      </c>
      <c r="AJ2176" s="3">
        <f>IFERROR(__xludf.DUMMYFUNCTION("""COMPUTED_VALUE"""),169.0)</f>
        <v>169</v>
      </c>
      <c r="AK2176" s="3"/>
      <c r="AL2176" s="3"/>
    </row>
    <row r="2177" ht="15.75" customHeight="1">
      <c r="A2177" s="1" t="str">
        <f>IFERROR(__xludf.DUMMYFUNCTION("""COMPUTED_VALUE"""),"41053")</f>
        <v>41053</v>
      </c>
      <c r="B2177" s="2">
        <f>IFERROR(__xludf.DUMMYFUNCTION("""COMPUTED_VALUE"""),41053.0)</f>
        <v>41053</v>
      </c>
      <c r="C2177" s="3" t="str">
        <f>IFERROR(__xludf.DUMMYFUNCTION("""COMPUTED_VALUE"""),"เพรียวกมลา")</f>
        <v>เพรียวกมลา</v>
      </c>
      <c r="D2177" s="3" t="str">
        <f>IFERROR(__xludf.DUMMYFUNCTION("""COMPUTED_VALUE"""),"BIGC MARKET KAMALA PURE")</f>
        <v>BIGC MARKET KAMALA PURE</v>
      </c>
      <c r="E2177" s="1" t="str">
        <f>IFERROR(__xludf.DUMMYFUNCTION("""COMPUTED_VALUE"""),"PURE")</f>
        <v>PURE</v>
      </c>
      <c r="F2177" s="1" t="str">
        <f>IFERROR(__xludf.DUMMYFUNCTION("""COMPUTED_VALUE"""),"291435")</f>
        <v>291435</v>
      </c>
      <c r="G2177" s="1" t="str">
        <f>IFERROR(__xludf.DUMMYFUNCTION("""COMPUTED_VALUE"""),"น.ส.สุกัญญา มณีไพโรจน์")</f>
        <v>น.ส.สุกัญญา มณีไพโรจน์</v>
      </c>
      <c r="H2177" s="1" t="str">
        <f>IFERROR(__xludf.DUMMYFUNCTION("""COMPUTED_VALUE"""),"291435")</f>
        <v>291435</v>
      </c>
      <c r="I2177" s="1" t="str">
        <f>IFERROR(__xludf.DUMMYFUNCTION("""COMPUTED_VALUE"""),"น.ส.สุกัญญา มณีไพโรจน์")</f>
        <v>น.ส.สุกัญญา มณีไพโรจน์</v>
      </c>
      <c r="J2177" s="3">
        <f>IFERROR(__xludf.DUMMYFUNCTION("""COMPUTED_VALUE"""),2454709.0)</f>
        <v>2454709</v>
      </c>
      <c r="K2177" s="3" t="str">
        <f>IFERROR(__xludf.DUMMYFUNCTION("""COMPUTED_VALUE"""),"นายประชา เกตุชาติ")</f>
        <v>นายประชา เกตุชาติ</v>
      </c>
      <c r="L2177" s="1" t="str">
        <f>IFERROR(__xludf.DUMMYFUNCTION("""COMPUTED_VALUE"""),"Hub05-South")</f>
        <v>Hub05-South</v>
      </c>
      <c r="M2177" s="1" t="str">
        <f>IFERROR(__xludf.DUMMYFUNCTION("""COMPUTED_VALUE"""),"0659291311")</f>
        <v>0659291311</v>
      </c>
      <c r="N2177" s="3">
        <f>IFERROR(__xludf.DUMMYFUNCTION("""COMPUTED_VALUE"""),15013.0)</f>
        <v>15013</v>
      </c>
      <c r="O2177" s="3" t="str">
        <f>IFERROR(__xludf.DUMMYFUNCTION("""COMPUTED_VALUE"""),"กมลา")</f>
        <v>กมลา</v>
      </c>
      <c r="P2177" s="4">
        <f>IFERROR(__xludf.DUMMYFUNCTION("""COMPUTED_VALUE"""),40942.0)</f>
        <v>40942</v>
      </c>
      <c r="Q2177" s="3" t="str">
        <f>IFERROR(__xludf.DUMMYFUNCTION("""COMPUTED_VALUE"""),"A")</f>
        <v>A</v>
      </c>
      <c r="R2177" s="3" t="str">
        <f>IFERROR(__xludf.DUMMYFUNCTION("""COMPUTED_VALUE"""),"Big Format")</f>
        <v>Big Format</v>
      </c>
      <c r="S2177" s="3" t="str">
        <f>IFERROR(__xludf.DUMMYFUNCTION("""COMPUTED_VALUE"""),"PURE")</f>
        <v>PURE</v>
      </c>
      <c r="T2177" s="3" t="str">
        <f>IFERROR(__xludf.DUMMYFUNCTION("""COMPUTED_VALUE"""),"#N/A")</f>
        <v>#N/A</v>
      </c>
      <c r="U2177" s="3" t="str">
        <f>IFERROR(__xludf.DUMMYFUNCTION("""COMPUTED_VALUE"""),"#N/A")</f>
        <v>#N/A</v>
      </c>
      <c r="V2177" s="3" t="str">
        <f>IFERROR(__xludf.DUMMYFUNCTION("""COMPUTED_VALUE"""),"N")</f>
        <v>N</v>
      </c>
      <c r="W2177" s="3">
        <f>IFERROR(__xludf.DUMMYFUNCTION("""COMPUTED_VALUE"""),411048.0)</f>
        <v>411048</v>
      </c>
      <c r="X2177" s="3" t="str">
        <f>IFERROR(__xludf.DUMMYFUNCTION("""COMPUTED_VALUE"""),"78/37 หมู่ 3 ตำบลกมลา อำเภอกะทู้ จังหวัดภูเก็ต 83120")</f>
        <v>78/37 หมู่ 3 ตำบลกมลา อำเภอกะทู้ จังหวัดภูเก็ต 83120</v>
      </c>
      <c r="Y2177" s="3"/>
      <c r="Z2177" s="3" t="str">
        <f>IFERROR(__xludf.DUMMYFUNCTION("""COMPUTED_VALUE"""),"กมลา")</f>
        <v>กมลา</v>
      </c>
      <c r="AA2177" s="3" t="str">
        <f>IFERROR(__xludf.DUMMYFUNCTION("""COMPUTED_VALUE"""),"กะทู้")</f>
        <v>กะทู้</v>
      </c>
      <c r="AB2177" s="3" t="str">
        <f>IFERROR(__xludf.DUMMYFUNCTION("""COMPUTED_VALUE"""),"ภูเก็ต")</f>
        <v>ภูเก็ต</v>
      </c>
      <c r="AC2177" s="3">
        <f>IFERROR(__xludf.DUMMYFUNCTION("""COMPUTED_VALUE"""),83120.0)</f>
        <v>83120</v>
      </c>
      <c r="AD2177" s="3">
        <f>IFERROR(__xludf.DUMMYFUNCTION("""COMPUTED_VALUE"""),0.0)</f>
        <v>0</v>
      </c>
      <c r="AE2177" s="3">
        <f>IFERROR(__xludf.DUMMYFUNCTION("""COMPUTED_VALUE"""),0.0)</f>
        <v>0</v>
      </c>
      <c r="AF2177" s="3" t="str">
        <f>IFERROR(__xludf.DUMMYFUNCTION("""COMPUTED_VALUE"""),"เพรียวกมลา-41053")</f>
        <v>เพรียวกมลา-41053</v>
      </c>
      <c r="AG2177" s="3" t="str">
        <f>IFERROR(__xludf.DUMMYFUNCTION("""COMPUTED_VALUE"""),"ใต้")</f>
        <v>ใต้</v>
      </c>
      <c r="AH2177" s="3" t="str">
        <f>IFERROR(__xludf.DUMMYFUNCTION("""COMPUTED_VALUE"""),"#N/A")</f>
        <v>#N/A</v>
      </c>
      <c r="AI2177" s="3" t="str">
        <f>IFERROR(__xludf.DUMMYFUNCTION("""COMPUTED_VALUE"""),"Out of warranty")</f>
        <v>Out of warranty</v>
      </c>
      <c r="AJ2177" s="3">
        <f>IFERROR(__xludf.DUMMYFUNCTION("""COMPUTED_VALUE"""),168.0)</f>
        <v>168</v>
      </c>
      <c r="AK2177" s="3"/>
      <c r="AL2177" s="3"/>
    </row>
    <row r="2178" ht="15.75" customHeight="1">
      <c r="A2178" s="1" t="str">
        <f>IFERROR(__xludf.DUMMYFUNCTION("""COMPUTED_VALUE"""),"41054")</f>
        <v>41054</v>
      </c>
      <c r="B2178" s="2">
        <f>IFERROR(__xludf.DUMMYFUNCTION("""COMPUTED_VALUE"""),41054.0)</f>
        <v>41054</v>
      </c>
      <c r="C2178" s="3" t="str">
        <f>IFERROR(__xludf.DUMMYFUNCTION("""COMPUTED_VALUE"""),"เพรียวซอยวัชรพล")</f>
        <v>เพรียวซอยวัชรพล</v>
      </c>
      <c r="D2178" s="3" t="str">
        <f>IFERROR(__xludf.DUMMYFUNCTION("""COMPUTED_VALUE"""),"PURE WATCHARAPOL")</f>
        <v>PURE WATCHARAPOL</v>
      </c>
      <c r="E2178" s="1" t="str">
        <f>IFERROR(__xludf.DUMMYFUNCTION("""COMPUTED_VALUE"""),"PURE")</f>
        <v>PURE</v>
      </c>
      <c r="F2178" s="1" t="str">
        <f>IFERROR(__xludf.DUMMYFUNCTION("""COMPUTED_VALUE"""),"EX0469")</f>
        <v>EX0469</v>
      </c>
      <c r="G2178" s="1" t="str">
        <f>IFERROR(__xludf.DUMMYFUNCTION("""COMPUTED_VALUE"""),"นายเทวฤทธิ์ ฐาปนะสุต")</f>
        <v>นายเทวฤทธิ์ ฐาปนะสุต</v>
      </c>
      <c r="H2178" s="1" t="str">
        <f>IFERROR(__xludf.DUMMYFUNCTION("""COMPUTED_VALUE"""),"295542")</f>
        <v>295542</v>
      </c>
      <c r="I2178" s="1" t="str">
        <f>IFERROR(__xludf.DUMMYFUNCTION("""COMPUTED_VALUE"""),"นายศิระ สมวันดี")</f>
        <v>นายศิระ สมวันดี</v>
      </c>
      <c r="J2178" s="3">
        <f>IFERROR(__xludf.DUMMYFUNCTION("""COMPUTED_VALUE"""),1.3461215E7)</f>
        <v>13461215</v>
      </c>
      <c r="K2178" s="3" t="str">
        <f>IFERROR(__xludf.DUMMYFUNCTION("""COMPUTED_VALUE"""),"นายธีรภัทร สังข์เงิน")</f>
        <v>นายธีรภัทร สังข์เงิน</v>
      </c>
      <c r="L2178" s="1" t="str">
        <f>IFERROR(__xludf.DUMMYFUNCTION("""COMPUTED_VALUE"""),"06 K.Teerapat")</f>
        <v>06 K.Teerapat</v>
      </c>
      <c r="M2178" s="1" t="str">
        <f>IFERROR(__xludf.DUMMYFUNCTION("""COMPUTED_VALUE"""),"063-601-6803")</f>
        <v>063-601-6803</v>
      </c>
      <c r="N2178" s="3">
        <f>IFERROR(__xludf.DUMMYFUNCTION("""COMPUTED_VALUE"""),999.0)</f>
        <v>999</v>
      </c>
      <c r="O2178" s="3" t="str">
        <f>IFERROR(__xludf.DUMMYFUNCTION("""COMPUTED_VALUE"""),"สำนักงานใหญ่")</f>
        <v>สำนักงานใหญ่</v>
      </c>
      <c r="P2178" s="4">
        <f>IFERROR(__xludf.DUMMYFUNCTION("""COMPUTED_VALUE"""),40960.0)</f>
        <v>40960</v>
      </c>
      <c r="Q2178" s="3" t="str">
        <f>IFERROR(__xludf.DUMMYFUNCTION("""COMPUTED_VALUE"""),"I")</f>
        <v>I</v>
      </c>
      <c r="R2178" s="3" t="str">
        <f>IFERROR(__xludf.DUMMYFUNCTION("""COMPUTED_VALUE"""),"Big Format")</f>
        <v>Big Format</v>
      </c>
      <c r="S2178" s="3" t="str">
        <f>IFERROR(__xludf.DUMMYFUNCTION("""COMPUTED_VALUE"""),"PURE")</f>
        <v>PURE</v>
      </c>
      <c r="T2178" s="3" t="str">
        <f>IFERROR(__xludf.DUMMYFUNCTION("""COMPUTED_VALUE"""),"#N/A")</f>
        <v>#N/A</v>
      </c>
      <c r="U2178" s="3" t="str">
        <f>IFERROR(__xludf.DUMMYFUNCTION("""COMPUTED_VALUE"""),"#N/A")</f>
        <v>#N/A</v>
      </c>
      <c r="V2178" s="3" t="str">
        <f>IFERROR(__xludf.DUMMYFUNCTION("""COMPUTED_VALUE"""),"N")</f>
        <v>N</v>
      </c>
      <c r="W2178" s="3">
        <f>IFERROR(__xludf.DUMMYFUNCTION("""COMPUTED_VALUE"""),0.0)</f>
        <v>0</v>
      </c>
      <c r="X2178" s="3" t="str">
        <f>IFERROR(__xludf.DUMMYFUNCTION("""COMPUTED_VALUE"""),"16/3 ถนนวัชรพล แขวงคลองถนน เขตสายไหม กรุงเทพฯ 10220")</f>
        <v>16/3 ถนนวัชรพล แขวงคลองถนน เขตสายไหม กรุงเทพฯ 10220</v>
      </c>
      <c r="Y2178" s="3" t="str">
        <f>IFERROR(__xludf.DUMMYFUNCTION("""COMPUTED_VALUE"""),"ถนนวัชรพล")</f>
        <v>ถนนวัชรพล</v>
      </c>
      <c r="Z2178" s="3" t="str">
        <f>IFERROR(__xludf.DUMMYFUNCTION("""COMPUTED_VALUE"""),"คลองถนน")</f>
        <v>คลองถนน</v>
      </c>
      <c r="AA2178" s="3" t="str">
        <f>IFERROR(__xludf.DUMMYFUNCTION("""COMPUTED_VALUE"""),"สายไหม")</f>
        <v>สายไหม</v>
      </c>
      <c r="AB2178" s="3" t="str">
        <f>IFERROR(__xludf.DUMMYFUNCTION("""COMPUTED_VALUE"""),"กรุงเทพมหานคร")</f>
        <v>กรุงเทพมหานคร</v>
      </c>
      <c r="AC2178" s="3">
        <f>IFERROR(__xludf.DUMMYFUNCTION("""COMPUTED_VALUE"""),10220.0)</f>
        <v>10220</v>
      </c>
      <c r="AD2178" s="3">
        <f>IFERROR(__xludf.DUMMYFUNCTION("""COMPUTED_VALUE"""),0.0)</f>
        <v>0</v>
      </c>
      <c r="AE2178" s="3">
        <f>IFERROR(__xludf.DUMMYFUNCTION("""COMPUTED_VALUE"""),0.0)</f>
        <v>0</v>
      </c>
      <c r="AF2178" s="3" t="str">
        <f>IFERROR(__xludf.DUMMYFUNCTION("""COMPUTED_VALUE"""),"เพรียวซอยวัชรพล-41054")</f>
        <v>เพรียวซอยวัชรพล-41054</v>
      </c>
      <c r="AG2178" s="3" t="str">
        <f>IFERROR(__xludf.DUMMYFUNCTION("""COMPUTED_VALUE"""),"กลาง")</f>
        <v>กลาง</v>
      </c>
      <c r="AH2178" s="3" t="str">
        <f>IFERROR(__xludf.DUMMYFUNCTION("""COMPUTED_VALUE"""),"#N/A")</f>
        <v>#N/A</v>
      </c>
      <c r="AI2178" s="3" t="str">
        <f>IFERROR(__xludf.DUMMYFUNCTION("""COMPUTED_VALUE"""),"Out of warranty")</f>
        <v>Out of warranty</v>
      </c>
      <c r="AJ2178" s="3">
        <f>IFERROR(__xludf.DUMMYFUNCTION("""COMPUTED_VALUE"""),167.0)</f>
        <v>167</v>
      </c>
      <c r="AK2178" s="3"/>
      <c r="AL2178" s="3"/>
    </row>
    <row r="2179" ht="15.75" customHeight="1">
      <c r="A2179" s="1" t="str">
        <f>IFERROR(__xludf.DUMMYFUNCTION("""COMPUTED_VALUE"""),"41055")</f>
        <v>41055</v>
      </c>
      <c r="B2179" s="2">
        <f>IFERROR(__xludf.DUMMYFUNCTION("""COMPUTED_VALUE"""),41055.0)</f>
        <v>41055</v>
      </c>
      <c r="C2179" s="3" t="str">
        <f>IFERROR(__xludf.DUMMYFUNCTION("""COMPUTED_VALUE"""),"เพรียวราชพฤกษ์")</f>
        <v>เพรียวราชพฤกษ์</v>
      </c>
      <c r="D2179" s="3" t="str">
        <f>IFERROR(__xludf.DUMMYFUNCTION("""COMPUTED_VALUE"""),"BIGC MARKET RATCHAPREUK PURE")</f>
        <v>BIGC MARKET RATCHAPREUK PURE</v>
      </c>
      <c r="E2179" s="1" t="str">
        <f>IFERROR(__xludf.DUMMYFUNCTION("""COMPUTED_VALUE"""),"PURE")</f>
        <v>PURE</v>
      </c>
      <c r="F2179" s="1" t="str">
        <f>IFERROR(__xludf.DUMMYFUNCTION("""COMPUTED_VALUE"""),"EX0469")</f>
        <v>EX0469</v>
      </c>
      <c r="G2179" s="1" t="str">
        <f>IFERROR(__xludf.DUMMYFUNCTION("""COMPUTED_VALUE"""),"นายเทวฤทธิ์ ฐาปนะสุต")</f>
        <v>นายเทวฤทธิ์ ฐาปนะสุต</v>
      </c>
      <c r="H2179" s="1" t="str">
        <f>IFERROR(__xludf.DUMMYFUNCTION("""COMPUTED_VALUE"""),"295363")</f>
        <v>295363</v>
      </c>
      <c r="I2179" s="1" t="str">
        <f>IFERROR(__xludf.DUMMYFUNCTION("""COMPUTED_VALUE"""),"นายจิรวัฒน์ เจนเจริญ")</f>
        <v>นายจิรวัฒน์ เจนเจริญ</v>
      </c>
      <c r="J2179" s="3">
        <f>IFERROR(__xludf.DUMMYFUNCTION("""COMPUTED_VALUE"""),2408546.0)</f>
        <v>2408546</v>
      </c>
      <c r="K2179" s="3" t="str">
        <f>IFERROR(__xludf.DUMMYFUNCTION("""COMPUTED_VALUE"""),"นายเกษมศิษฐ์ ฮดบุญเรือง")</f>
        <v>นายเกษมศิษฐ์ ฮดบุญเรือง</v>
      </c>
      <c r="L2179" s="1" t="str">
        <f>IFERROR(__xludf.DUMMYFUNCTION("""COMPUTED_VALUE"""),"Hub02-BKK 2")</f>
        <v>Hub02-BKK 2</v>
      </c>
      <c r="M2179" s="1" t="str">
        <f>IFERROR(__xludf.DUMMYFUNCTION("""COMPUTED_VALUE"""),"0988580755")</f>
        <v>0988580755</v>
      </c>
      <c r="N2179" s="3">
        <f>IFERROR(__xludf.DUMMYFUNCTION("""COMPUTED_VALUE"""),15012.0)</f>
        <v>15012</v>
      </c>
      <c r="O2179" s="3" t="str">
        <f>IFERROR(__xludf.DUMMYFUNCTION("""COMPUTED_VALUE"""),"ราชพฤกษ์")</f>
        <v>ราชพฤกษ์</v>
      </c>
      <c r="P2179" s="4">
        <f>IFERROR(__xludf.DUMMYFUNCTION("""COMPUTED_VALUE"""),40962.0)</f>
        <v>40962</v>
      </c>
      <c r="Q2179" s="3" t="str">
        <f>IFERROR(__xludf.DUMMYFUNCTION("""COMPUTED_VALUE"""),"I")</f>
        <v>I</v>
      </c>
      <c r="R2179" s="3" t="str">
        <f>IFERROR(__xludf.DUMMYFUNCTION("""COMPUTED_VALUE"""),"Big Format")</f>
        <v>Big Format</v>
      </c>
      <c r="S2179" s="3" t="str">
        <f>IFERROR(__xludf.DUMMYFUNCTION("""COMPUTED_VALUE"""),"PURE")</f>
        <v>PURE</v>
      </c>
      <c r="T2179" s="3" t="str">
        <f>IFERROR(__xludf.DUMMYFUNCTION("""COMPUTED_VALUE"""),"#N/A")</f>
        <v>#N/A</v>
      </c>
      <c r="U2179" s="3" t="str">
        <f>IFERROR(__xludf.DUMMYFUNCTION("""COMPUTED_VALUE"""),"#N/A")</f>
        <v>#N/A</v>
      </c>
      <c r="V2179" s="3" t="str">
        <f>IFERROR(__xludf.DUMMYFUNCTION("""COMPUTED_VALUE"""),"N")</f>
        <v>N</v>
      </c>
      <c r="W2179" s="3">
        <f>IFERROR(__xludf.DUMMYFUNCTION("""COMPUTED_VALUE"""),0.0)</f>
        <v>0</v>
      </c>
      <c r="X2179" s="3" t="str">
        <f>IFERROR(__xludf.DUMMYFUNCTION("""COMPUTED_VALUE"""),"189 หมู่ 2 ตำบลบางขุนกอง อำเภอบางกรวย จังหวัดนนทบุรี 11130")</f>
        <v>189 หมู่ 2 ตำบลบางขุนกอง อำเภอบางกรวย จังหวัดนนทบุรี 11130</v>
      </c>
      <c r="Y2179" s="3"/>
      <c r="Z2179" s="3" t="str">
        <f>IFERROR(__xludf.DUMMYFUNCTION("""COMPUTED_VALUE"""),"บางขุนกอง")</f>
        <v>บางขุนกอง</v>
      </c>
      <c r="AA2179" s="3" t="str">
        <f>IFERROR(__xludf.DUMMYFUNCTION("""COMPUTED_VALUE"""),"บางกรวย")</f>
        <v>บางกรวย</v>
      </c>
      <c r="AB2179" s="3" t="str">
        <f>IFERROR(__xludf.DUMMYFUNCTION("""COMPUTED_VALUE"""),"นนทบุรี")</f>
        <v>นนทบุรี</v>
      </c>
      <c r="AC2179" s="3">
        <f>IFERROR(__xludf.DUMMYFUNCTION("""COMPUTED_VALUE"""),11130.0)</f>
        <v>11130</v>
      </c>
      <c r="AD2179" s="3">
        <f>IFERROR(__xludf.DUMMYFUNCTION("""COMPUTED_VALUE"""),0.0)</f>
        <v>0</v>
      </c>
      <c r="AE2179" s="3">
        <f>IFERROR(__xludf.DUMMYFUNCTION("""COMPUTED_VALUE"""),0.0)</f>
        <v>0</v>
      </c>
      <c r="AF2179" s="3" t="str">
        <f>IFERROR(__xludf.DUMMYFUNCTION("""COMPUTED_VALUE"""),"เพรียวราชพฤกษ์-41055")</f>
        <v>เพรียวราชพฤกษ์-41055</v>
      </c>
      <c r="AG2179" s="3" t="str">
        <f>IFERROR(__xludf.DUMMYFUNCTION("""COMPUTED_VALUE"""),"กลาง")</f>
        <v>กลาง</v>
      </c>
      <c r="AH2179" s="3" t="str">
        <f>IFERROR(__xludf.DUMMYFUNCTION("""COMPUTED_VALUE"""),"#N/A")</f>
        <v>#N/A</v>
      </c>
      <c r="AI2179" s="3" t="str">
        <f>IFERROR(__xludf.DUMMYFUNCTION("""COMPUTED_VALUE"""),"Out of warranty")</f>
        <v>Out of warranty</v>
      </c>
      <c r="AJ2179" s="3">
        <f>IFERROR(__xludf.DUMMYFUNCTION("""COMPUTED_VALUE"""),167.0)</f>
        <v>167</v>
      </c>
      <c r="AK2179" s="3"/>
      <c r="AL2179" s="3"/>
    </row>
    <row r="2180" ht="15.75" customHeight="1">
      <c r="A2180" s="1" t="str">
        <f>IFERROR(__xludf.DUMMYFUNCTION("""COMPUTED_VALUE"""),"41056")</f>
        <v>41056</v>
      </c>
      <c r="B2180" s="2">
        <f>IFERROR(__xludf.DUMMYFUNCTION("""COMPUTED_VALUE"""),41056.0)</f>
        <v>41056</v>
      </c>
      <c r="C2180" s="3" t="str">
        <f>IFERROR(__xludf.DUMMYFUNCTION("""COMPUTED_VALUE"""),"เพรียวแจ้งวัฒนะ2")</f>
        <v>เพรียวแจ้งวัฒนะ2</v>
      </c>
      <c r="D2180" s="3" t="str">
        <f>IFERROR(__xludf.DUMMYFUNCTION("""COMPUTED_VALUE"""),"BIGC CHAENGWATTANA-2 PURE")</f>
        <v>BIGC CHAENGWATTANA-2 PURE</v>
      </c>
      <c r="E2180" s="1" t="str">
        <f>IFERROR(__xludf.DUMMYFUNCTION("""COMPUTED_VALUE"""),"PURE")</f>
        <v>PURE</v>
      </c>
      <c r="F2180" s="1" t="str">
        <f>IFERROR(__xludf.DUMMYFUNCTION("""COMPUTED_VALUE"""),"2082102")</f>
        <v>2082102</v>
      </c>
      <c r="G2180" s="1" t="str">
        <f>IFERROR(__xludf.DUMMYFUNCTION("""COMPUTED_VALUE"""),"น.ส.วัชรา มหาวันแจ่ม")</f>
        <v>น.ส.วัชรา มหาวันแจ่ม</v>
      </c>
      <c r="H2180" s="1" t="str">
        <f>IFERROR(__xludf.DUMMYFUNCTION("""COMPUTED_VALUE"""),"2082102")</f>
        <v>2082102</v>
      </c>
      <c r="I2180" s="1" t="str">
        <f>IFERROR(__xludf.DUMMYFUNCTION("""COMPUTED_VALUE"""),"น.ส.วัชรา มหาวันแจ่ม")</f>
        <v>น.ส.วัชรา มหาวันแจ่ม</v>
      </c>
      <c r="J2180" s="3">
        <f>IFERROR(__xludf.DUMMYFUNCTION("""COMPUTED_VALUE"""),2454701.0)</f>
        <v>2454701</v>
      </c>
      <c r="K2180" s="3" t="str">
        <f>IFERROR(__xludf.DUMMYFUNCTION("""COMPUTED_VALUE"""),"นายกานต์ ไชยแสงศรี")</f>
        <v>นายกานต์ ไชยแสงศรี</v>
      </c>
      <c r="L2180" s="1" t="str">
        <f>IFERROR(__xludf.DUMMYFUNCTION("""COMPUTED_VALUE"""),"Hub01-BKK 1")</f>
        <v>Hub01-BKK 1</v>
      </c>
      <c r="M2180" s="1" t="str">
        <f>IFERROR(__xludf.DUMMYFUNCTION("""COMPUTED_VALUE"""),"0909090652")</f>
        <v>0909090652</v>
      </c>
      <c r="N2180" s="3">
        <f>IFERROR(__xludf.DUMMYFUNCTION("""COMPUTED_VALUE"""),11185.0)</f>
        <v>11185</v>
      </c>
      <c r="O2180" s="3" t="str">
        <f>IFERROR(__xludf.DUMMYFUNCTION("""COMPUTED_VALUE"""),"แจ้งวัฒนะ-2")</f>
        <v>แจ้งวัฒนะ-2</v>
      </c>
      <c r="P2180" s="4">
        <f>IFERROR(__xludf.DUMMYFUNCTION("""COMPUTED_VALUE"""),40983.0)</f>
        <v>40983</v>
      </c>
      <c r="Q2180" s="3" t="str">
        <f>IFERROR(__xludf.DUMMYFUNCTION("""COMPUTED_VALUE"""),"A")</f>
        <v>A</v>
      </c>
      <c r="R2180" s="3" t="str">
        <f>IFERROR(__xludf.DUMMYFUNCTION("""COMPUTED_VALUE"""),"Big Format")</f>
        <v>Big Format</v>
      </c>
      <c r="S2180" s="3" t="str">
        <f>IFERROR(__xludf.DUMMYFUNCTION("""COMPUTED_VALUE"""),"PURE")</f>
        <v>PURE</v>
      </c>
      <c r="T2180" s="3" t="str">
        <f>IFERROR(__xludf.DUMMYFUNCTION("""COMPUTED_VALUE"""),"#N/A")</f>
        <v>#N/A</v>
      </c>
      <c r="U2180" s="3" t="str">
        <f>IFERROR(__xludf.DUMMYFUNCTION("""COMPUTED_VALUE"""),"#N/A")</f>
        <v>#N/A</v>
      </c>
      <c r="V2180" s="3" t="str">
        <f>IFERROR(__xludf.DUMMYFUNCTION("""COMPUTED_VALUE"""),"N")</f>
        <v>N</v>
      </c>
      <c r="W2180" s="3">
        <f>IFERROR(__xludf.DUMMYFUNCTION("""COMPUTED_VALUE"""),111185.0)</f>
        <v>111185</v>
      </c>
      <c r="X2180" s="3" t="str">
        <f>IFERROR(__xludf.DUMMYFUNCTION("""COMPUTED_VALUE"""),"112 หมู่ที่ 5 ถนนแจ้งวัฒนะ ตำบลปากเกร็ด อำเภอปากเกร็ด จังหวัดนนทบุรี 11120")</f>
        <v>112 หมู่ที่ 5 ถนนแจ้งวัฒนะ ตำบลปากเกร็ด อำเภอปากเกร็ด จังหวัดนนทบุรี 11120</v>
      </c>
      <c r="Y2180" s="3"/>
      <c r="Z2180" s="3" t="str">
        <f>IFERROR(__xludf.DUMMYFUNCTION("""COMPUTED_VALUE"""),"ปากเกร็ด")</f>
        <v>ปากเกร็ด</v>
      </c>
      <c r="AA2180" s="3" t="str">
        <f>IFERROR(__xludf.DUMMYFUNCTION("""COMPUTED_VALUE"""),"ปากเกร็ด")</f>
        <v>ปากเกร็ด</v>
      </c>
      <c r="AB2180" s="3" t="str">
        <f>IFERROR(__xludf.DUMMYFUNCTION("""COMPUTED_VALUE"""),"นนทบุรี")</f>
        <v>นนทบุรี</v>
      </c>
      <c r="AC2180" s="3">
        <f>IFERROR(__xludf.DUMMYFUNCTION("""COMPUTED_VALUE"""),11120.0)</f>
        <v>11120</v>
      </c>
      <c r="AD2180" s="3">
        <f>IFERROR(__xludf.DUMMYFUNCTION("""COMPUTED_VALUE"""),0.0)</f>
        <v>0</v>
      </c>
      <c r="AE2180" s="3">
        <f>IFERROR(__xludf.DUMMYFUNCTION("""COMPUTED_VALUE"""),0.0)</f>
        <v>0</v>
      </c>
      <c r="AF2180" s="3" t="str">
        <f>IFERROR(__xludf.DUMMYFUNCTION("""COMPUTED_VALUE"""),"เพรียวแจ้งวัฒนะ2-41056")</f>
        <v>เพรียวแจ้งวัฒนะ2-41056</v>
      </c>
      <c r="AG2180" s="3" t="str">
        <f>IFERROR(__xludf.DUMMYFUNCTION("""COMPUTED_VALUE"""),"กลาง")</f>
        <v>กลาง</v>
      </c>
      <c r="AH2180" s="3" t="str">
        <f>IFERROR(__xludf.DUMMYFUNCTION("""COMPUTED_VALUE"""),"#N/A")</f>
        <v>#N/A</v>
      </c>
      <c r="AI2180" s="3" t="str">
        <f>IFERROR(__xludf.DUMMYFUNCTION("""COMPUTED_VALUE"""),"Out of warranty")</f>
        <v>Out of warranty</v>
      </c>
      <c r="AJ2180" s="3">
        <f>IFERROR(__xludf.DUMMYFUNCTION("""COMPUTED_VALUE"""),167.0)</f>
        <v>167</v>
      </c>
      <c r="AK2180" s="3"/>
      <c r="AL2180" s="3"/>
    </row>
    <row r="2181" ht="15.75" customHeight="1">
      <c r="A2181" s="1" t="str">
        <f>IFERROR(__xludf.DUMMYFUNCTION("""COMPUTED_VALUE"""),"41057")</f>
        <v>41057</v>
      </c>
      <c r="B2181" s="2">
        <f>IFERROR(__xludf.DUMMYFUNCTION("""COMPUTED_VALUE"""),41057.0)</f>
        <v>41057</v>
      </c>
      <c r="C2181" s="3" t="str">
        <f>IFERROR(__xludf.DUMMYFUNCTION("""COMPUTED_VALUE"""),"เพรียวเมกาบางนา")</f>
        <v>เพรียวเมกาบางนา</v>
      </c>
      <c r="D2181" s="3" t="str">
        <f>IFERROR(__xludf.DUMMYFUNCTION("""COMPUTED_VALUE"""),"BIGC MEGA BANGNA PURE")</f>
        <v>BIGC MEGA BANGNA PURE</v>
      </c>
      <c r="E2181" s="1" t="str">
        <f>IFERROR(__xludf.DUMMYFUNCTION("""COMPUTED_VALUE"""),"PURE")</f>
        <v>PURE</v>
      </c>
      <c r="F2181" s="1" t="str">
        <f>IFERROR(__xludf.DUMMYFUNCTION("""COMPUTED_VALUE"""),"291435")</f>
        <v>291435</v>
      </c>
      <c r="G2181" s="1" t="str">
        <f>IFERROR(__xludf.DUMMYFUNCTION("""COMPUTED_VALUE"""),"น.ส.สุกัญญา มณีไพโรจน์")</f>
        <v>น.ส.สุกัญญา มณีไพโรจน์</v>
      </c>
      <c r="H2181" s="1" t="str">
        <f>IFERROR(__xludf.DUMMYFUNCTION("""COMPUTED_VALUE"""),"291435")</f>
        <v>291435</v>
      </c>
      <c r="I2181" s="1" t="str">
        <f>IFERROR(__xludf.DUMMYFUNCTION("""COMPUTED_VALUE"""),"น.ส.สุกัญญา มณีไพโรจน์")</f>
        <v>น.ส.สุกัญญา มณีไพโรจน์</v>
      </c>
      <c r="J2181" s="3">
        <f>IFERROR(__xludf.DUMMYFUNCTION("""COMPUTED_VALUE"""),2454813.0)</f>
        <v>2454813</v>
      </c>
      <c r="K2181" s="3" t="str">
        <f>IFERROR(__xludf.DUMMYFUNCTION("""COMPUTED_VALUE"""),"นายอนุรักษ์ จั่นเที่ยง")</f>
        <v>นายอนุรักษ์ จั่นเที่ยง</v>
      </c>
      <c r="L2181" s="1" t="str">
        <f>IFERROR(__xludf.DUMMYFUNCTION("""COMPUTED_VALUE"""),"Hub04-BKK 4")</f>
        <v>Hub04-BKK 4</v>
      </c>
      <c r="M2181" s="1" t="str">
        <f>IFERROR(__xludf.DUMMYFUNCTION("""COMPUTED_VALUE"""),"0991964531")</f>
        <v>0991964531</v>
      </c>
      <c r="N2181" s="3">
        <f>IFERROR(__xludf.DUMMYFUNCTION("""COMPUTED_VALUE"""),11210.0)</f>
        <v>11210</v>
      </c>
      <c r="O2181" s="3" t="str">
        <f>IFERROR(__xludf.DUMMYFUNCTION("""COMPUTED_VALUE"""),"เมกาบางนา")</f>
        <v>เมกาบางนา</v>
      </c>
      <c r="P2181" s="4">
        <f>IFERROR(__xludf.DUMMYFUNCTION("""COMPUTED_VALUE"""),41032.0)</f>
        <v>41032</v>
      </c>
      <c r="Q2181" s="3" t="str">
        <f>IFERROR(__xludf.DUMMYFUNCTION("""COMPUTED_VALUE"""),"A")</f>
        <v>A</v>
      </c>
      <c r="R2181" s="3" t="str">
        <f>IFERROR(__xludf.DUMMYFUNCTION("""COMPUTED_VALUE"""),"Big Format")</f>
        <v>Big Format</v>
      </c>
      <c r="S2181" s="3" t="str">
        <f>IFERROR(__xludf.DUMMYFUNCTION("""COMPUTED_VALUE"""),"PURE")</f>
        <v>PURE</v>
      </c>
      <c r="T2181" s="3" t="str">
        <f>IFERROR(__xludf.DUMMYFUNCTION("""COMPUTED_VALUE"""),"#N/A")</f>
        <v>#N/A</v>
      </c>
      <c r="U2181" s="3" t="str">
        <f>IFERROR(__xludf.DUMMYFUNCTION("""COMPUTED_VALUE"""),"#N/A")</f>
        <v>#N/A</v>
      </c>
      <c r="V2181" s="3" t="str">
        <f>IFERROR(__xludf.DUMMYFUNCTION("""COMPUTED_VALUE"""),"N")</f>
        <v>N</v>
      </c>
      <c r="W2181" s="3">
        <f>IFERROR(__xludf.DUMMYFUNCTION("""COMPUTED_VALUE"""),111210.0)</f>
        <v>111210</v>
      </c>
      <c r="X2181" s="3" t="str">
        <f>IFERROR(__xludf.DUMMYFUNCTION("""COMPUTED_VALUE"""),"39 หมู่ 6 ตำบลบางแก้ว อำเภอบางพลี จังหวัดสมุทรปราการ 10540")</f>
        <v>39 หมู่ 6 ตำบลบางแก้ว อำเภอบางพลี จังหวัดสมุทรปราการ 10540</v>
      </c>
      <c r="Y2181" s="3"/>
      <c r="Z2181" s="3" t="str">
        <f>IFERROR(__xludf.DUMMYFUNCTION("""COMPUTED_VALUE"""),"บางแก้ว")</f>
        <v>บางแก้ว</v>
      </c>
      <c r="AA2181" s="3" t="str">
        <f>IFERROR(__xludf.DUMMYFUNCTION("""COMPUTED_VALUE"""),"บางพลี")</f>
        <v>บางพลี</v>
      </c>
      <c r="AB2181" s="3" t="str">
        <f>IFERROR(__xludf.DUMMYFUNCTION("""COMPUTED_VALUE"""),"สมุทรปราการ")</f>
        <v>สมุทรปราการ</v>
      </c>
      <c r="AC2181" s="3">
        <f>IFERROR(__xludf.DUMMYFUNCTION("""COMPUTED_VALUE"""),10540.0)</f>
        <v>10540</v>
      </c>
      <c r="AD2181" s="3">
        <f>IFERROR(__xludf.DUMMYFUNCTION("""COMPUTED_VALUE"""),0.0)</f>
        <v>0</v>
      </c>
      <c r="AE2181" s="3">
        <f>IFERROR(__xludf.DUMMYFUNCTION("""COMPUTED_VALUE"""),0.0)</f>
        <v>0</v>
      </c>
      <c r="AF2181" s="3" t="str">
        <f>IFERROR(__xludf.DUMMYFUNCTION("""COMPUTED_VALUE"""),"เพรียวเมกาบางนา-41057")</f>
        <v>เพรียวเมกาบางนา-41057</v>
      </c>
      <c r="AG2181" s="3" t="str">
        <f>IFERROR(__xludf.DUMMYFUNCTION("""COMPUTED_VALUE"""),"กลาง")</f>
        <v>กลาง</v>
      </c>
      <c r="AH2181" s="3" t="str">
        <f>IFERROR(__xludf.DUMMYFUNCTION("""COMPUTED_VALUE"""),"#N/A")</f>
        <v>#N/A</v>
      </c>
      <c r="AI2181" s="3" t="str">
        <f>IFERROR(__xludf.DUMMYFUNCTION("""COMPUTED_VALUE"""),"Out of warranty")</f>
        <v>Out of warranty</v>
      </c>
      <c r="AJ2181" s="3">
        <f>IFERROR(__xludf.DUMMYFUNCTION("""COMPUTED_VALUE"""),165.0)</f>
        <v>165</v>
      </c>
      <c r="AK2181" s="3"/>
      <c r="AL2181" s="3"/>
    </row>
    <row r="2182" ht="15.75" customHeight="1">
      <c r="A2182" s="1" t="str">
        <f>IFERROR(__xludf.DUMMYFUNCTION("""COMPUTED_VALUE"""),"41058")</f>
        <v>41058</v>
      </c>
      <c r="B2182" s="2">
        <f>IFERROR(__xludf.DUMMYFUNCTION("""COMPUTED_VALUE"""),41058.0)</f>
        <v>41058</v>
      </c>
      <c r="C2182" s="3" t="str">
        <f>IFERROR(__xludf.DUMMYFUNCTION("""COMPUTED_VALUE"""),"เพรียวฉะเชิงเทรา")</f>
        <v>เพรียวฉะเชิงเทรา</v>
      </c>
      <c r="D2182" s="3" t="str">
        <f>IFERROR(__xludf.DUMMYFUNCTION("""COMPUTED_VALUE"""),"BIGC CHACHOENGSAO PURE")</f>
        <v>BIGC CHACHOENGSAO PURE</v>
      </c>
      <c r="E2182" s="1" t="str">
        <f>IFERROR(__xludf.DUMMYFUNCTION("""COMPUTED_VALUE"""),"PURE")</f>
        <v>PURE</v>
      </c>
      <c r="F2182" s="1" t="str">
        <f>IFERROR(__xludf.DUMMYFUNCTION("""COMPUTED_VALUE"""),"228469")</f>
        <v>228469</v>
      </c>
      <c r="G2182" s="1" t="str">
        <f>IFERROR(__xludf.DUMMYFUNCTION("""COMPUTED_VALUE"""),"น.ส.บงกช ทำการดี")</f>
        <v>น.ส.บงกช ทำการดี</v>
      </c>
      <c r="H2182" s="1" t="str">
        <f>IFERROR(__xludf.DUMMYFUNCTION("""COMPUTED_VALUE"""),"228469")</f>
        <v>228469</v>
      </c>
      <c r="I2182" s="1" t="str">
        <f>IFERROR(__xludf.DUMMYFUNCTION("""COMPUTED_VALUE"""),"น.ส.บงกช ทำการดี")</f>
        <v>น.ส.บงกช ทำการดี</v>
      </c>
      <c r="J2182" s="3">
        <f>IFERROR(__xludf.DUMMYFUNCTION("""COMPUTED_VALUE"""),2455164.0)</f>
        <v>2455164</v>
      </c>
      <c r="K2182" s="3" t="str">
        <f>IFERROR(__xludf.DUMMYFUNCTION("""COMPUTED_VALUE"""),"นายกรวิทย์ เจริญพร")</f>
        <v>นายกรวิทย์ เจริญพร</v>
      </c>
      <c r="L2182" s="1" t="str">
        <f>IFERROR(__xludf.DUMMYFUNCTION("""COMPUTED_VALUE"""),"Hub08-East")</f>
        <v>Hub08-East</v>
      </c>
      <c r="M2182" s="1" t="str">
        <f>IFERROR(__xludf.DUMMYFUNCTION("""COMPUTED_VALUE"""),"092-605-9922")</f>
        <v>092-605-9922</v>
      </c>
      <c r="N2182" s="3">
        <f>IFERROR(__xludf.DUMMYFUNCTION("""COMPUTED_VALUE"""),11137.0)</f>
        <v>11137</v>
      </c>
      <c r="O2182" s="3" t="str">
        <f>IFERROR(__xludf.DUMMYFUNCTION("""COMPUTED_VALUE"""),"ฉะเชิงเทรา")</f>
        <v>ฉะเชิงเทรา</v>
      </c>
      <c r="P2182" s="4">
        <f>IFERROR(__xludf.DUMMYFUNCTION("""COMPUTED_VALUE"""),41040.0)</f>
        <v>41040</v>
      </c>
      <c r="Q2182" s="3" t="str">
        <f>IFERROR(__xludf.DUMMYFUNCTION("""COMPUTED_VALUE"""),"A")</f>
        <v>A</v>
      </c>
      <c r="R2182" s="3" t="str">
        <f>IFERROR(__xludf.DUMMYFUNCTION("""COMPUTED_VALUE"""),"Big Format")</f>
        <v>Big Format</v>
      </c>
      <c r="S2182" s="3" t="str">
        <f>IFERROR(__xludf.DUMMYFUNCTION("""COMPUTED_VALUE"""),"PURE")</f>
        <v>PURE</v>
      </c>
      <c r="T2182" s="3" t="str">
        <f>IFERROR(__xludf.DUMMYFUNCTION("""COMPUTED_VALUE"""),"#N/A")</f>
        <v>#N/A</v>
      </c>
      <c r="U2182" s="3" t="str">
        <f>IFERROR(__xludf.DUMMYFUNCTION("""COMPUTED_VALUE"""),"#N/A")</f>
        <v>#N/A</v>
      </c>
      <c r="V2182" s="3" t="str">
        <f>IFERROR(__xludf.DUMMYFUNCTION("""COMPUTED_VALUE"""),"N")</f>
        <v>N</v>
      </c>
      <c r="W2182" s="3">
        <f>IFERROR(__xludf.DUMMYFUNCTION("""COMPUTED_VALUE"""),111137.0)</f>
        <v>111137</v>
      </c>
      <c r="X2182" s="3" t="str">
        <f>IFERROR(__xludf.DUMMYFUNCTION("""COMPUTED_VALUE"""),"9/1 ถนนฉะเชิงเทรา-บางปะกง ตำบลหน้าเมือง อำเภอเมืองฉะเชิงเทรา จังหวัดฉะเชิงเทรา 24000")</f>
        <v>9/1 ถนนฉะเชิงเทรา-บางปะกง ตำบลหน้าเมือง อำเภอเมืองฉะเชิงเทรา จังหวัดฉะเชิงเทรา 24000</v>
      </c>
      <c r="Y2182" s="3" t="str">
        <f>IFERROR(__xludf.DUMMYFUNCTION("""COMPUTED_VALUE"""),"ถนนฉะเชิงเทรา-บางปะกง")</f>
        <v>ถนนฉะเชิงเทรา-บางปะกง</v>
      </c>
      <c r="Z2182" s="3" t="str">
        <f>IFERROR(__xludf.DUMMYFUNCTION("""COMPUTED_VALUE"""),"หน้าเมือง")</f>
        <v>หน้าเมือง</v>
      </c>
      <c r="AA2182" s="3" t="str">
        <f>IFERROR(__xludf.DUMMYFUNCTION("""COMPUTED_VALUE"""),"เมือง")</f>
        <v>เมือง</v>
      </c>
      <c r="AB2182" s="3" t="str">
        <f>IFERROR(__xludf.DUMMYFUNCTION("""COMPUTED_VALUE"""),"ฉะเชิงเทรา")</f>
        <v>ฉะเชิงเทรา</v>
      </c>
      <c r="AC2182" s="3">
        <f>IFERROR(__xludf.DUMMYFUNCTION("""COMPUTED_VALUE"""),24000.0)</f>
        <v>24000</v>
      </c>
      <c r="AD2182" s="3">
        <f>IFERROR(__xludf.DUMMYFUNCTION("""COMPUTED_VALUE"""),0.0)</f>
        <v>0</v>
      </c>
      <c r="AE2182" s="3">
        <f>IFERROR(__xludf.DUMMYFUNCTION("""COMPUTED_VALUE"""),0.0)</f>
        <v>0</v>
      </c>
      <c r="AF2182" s="3" t="str">
        <f>IFERROR(__xludf.DUMMYFUNCTION("""COMPUTED_VALUE"""),"เพรียวฉะเชิงเทรา-41058")</f>
        <v>เพรียวฉะเชิงเทรา-41058</v>
      </c>
      <c r="AG2182" s="3" t="str">
        <f>IFERROR(__xludf.DUMMYFUNCTION("""COMPUTED_VALUE"""),"ตะวันออก")</f>
        <v>ตะวันออก</v>
      </c>
      <c r="AH2182" s="3" t="str">
        <f>IFERROR(__xludf.DUMMYFUNCTION("""COMPUTED_VALUE"""),"#N/A")</f>
        <v>#N/A</v>
      </c>
      <c r="AI2182" s="3" t="str">
        <f>IFERROR(__xludf.DUMMYFUNCTION("""COMPUTED_VALUE"""),"Out of warranty")</f>
        <v>Out of warranty</v>
      </c>
      <c r="AJ2182" s="3">
        <f>IFERROR(__xludf.DUMMYFUNCTION("""COMPUTED_VALUE"""),165.0)</f>
        <v>165</v>
      </c>
      <c r="AK2182" s="3"/>
      <c r="AL2182" s="3"/>
    </row>
    <row r="2183" ht="15.75" customHeight="1">
      <c r="A2183" s="1" t="str">
        <f>IFERROR(__xludf.DUMMYFUNCTION("""COMPUTED_VALUE"""),"41059")</f>
        <v>41059</v>
      </c>
      <c r="B2183" s="2">
        <f>IFERROR(__xludf.DUMMYFUNCTION("""COMPUTED_VALUE"""),41059.0)</f>
        <v>41059</v>
      </c>
      <c r="C2183" s="3" t="str">
        <f>IFERROR(__xludf.DUMMYFUNCTION("""COMPUTED_VALUE"""),"เพรียวราษฎร์บูรณะ")</f>
        <v>เพรียวราษฎร์บูรณะ</v>
      </c>
      <c r="D2183" s="3" t="str">
        <f>IFERROR(__xludf.DUMMYFUNCTION("""COMPUTED_VALUE"""),"BIGC RADBURANA PURE")</f>
        <v>BIGC RADBURANA PURE</v>
      </c>
      <c r="E2183" s="1" t="str">
        <f>IFERROR(__xludf.DUMMYFUNCTION("""COMPUTED_VALUE"""),"PURE")</f>
        <v>PURE</v>
      </c>
      <c r="F2183" s="1" t="str">
        <f>IFERROR(__xludf.DUMMYFUNCTION("""COMPUTED_VALUE"""),"2010612")</f>
        <v>2010612</v>
      </c>
      <c r="G2183" s="1" t="str">
        <f>IFERROR(__xludf.DUMMYFUNCTION("""COMPUTED_VALUE"""),"น.ส.วรรณพร เกตุเลิศประเสริฐ")</f>
        <v>น.ส.วรรณพร เกตุเลิศประเสริฐ</v>
      </c>
      <c r="H2183" s="1" t="str">
        <f>IFERROR(__xludf.DUMMYFUNCTION("""COMPUTED_VALUE"""),"2010612")</f>
        <v>2010612</v>
      </c>
      <c r="I2183" s="1" t="str">
        <f>IFERROR(__xludf.DUMMYFUNCTION("""COMPUTED_VALUE"""),"น.ส.วรรณพร เกตุเลิศประเสริฐ")</f>
        <v>น.ส.วรรณพร เกตุเลิศประเสริฐ</v>
      </c>
      <c r="J2183" s="3">
        <f>IFERROR(__xludf.DUMMYFUNCTION("""COMPUTED_VALUE"""),2408546.0)</f>
        <v>2408546</v>
      </c>
      <c r="K2183" s="3" t="str">
        <f>IFERROR(__xludf.DUMMYFUNCTION("""COMPUTED_VALUE"""),"นายเกษมศิษฐ์ ฮดบุญเรือง")</f>
        <v>นายเกษมศิษฐ์ ฮดบุญเรือง</v>
      </c>
      <c r="L2183" s="1" t="str">
        <f>IFERROR(__xludf.DUMMYFUNCTION("""COMPUTED_VALUE"""),"Hub02-BKK 2")</f>
        <v>Hub02-BKK 2</v>
      </c>
      <c r="M2183" s="1" t="str">
        <f>IFERROR(__xludf.DUMMYFUNCTION("""COMPUTED_VALUE"""),"0988580755")</f>
        <v>0988580755</v>
      </c>
      <c r="N2183" s="3">
        <f>IFERROR(__xludf.DUMMYFUNCTION("""COMPUTED_VALUE"""),11103.0)</f>
        <v>11103</v>
      </c>
      <c r="O2183" s="3" t="str">
        <f>IFERROR(__xludf.DUMMYFUNCTION("""COMPUTED_VALUE"""),"ราษฎร์บูรณะ")</f>
        <v>ราษฎร์บูรณะ</v>
      </c>
      <c r="P2183" s="4">
        <f>IFERROR(__xludf.DUMMYFUNCTION("""COMPUTED_VALUE"""),41040.0)</f>
        <v>41040</v>
      </c>
      <c r="Q2183" s="3" t="str">
        <f>IFERROR(__xludf.DUMMYFUNCTION("""COMPUTED_VALUE"""),"A")</f>
        <v>A</v>
      </c>
      <c r="R2183" s="3" t="str">
        <f>IFERROR(__xludf.DUMMYFUNCTION("""COMPUTED_VALUE"""),"Big Format")</f>
        <v>Big Format</v>
      </c>
      <c r="S2183" s="3" t="str">
        <f>IFERROR(__xludf.DUMMYFUNCTION("""COMPUTED_VALUE"""),"PURE")</f>
        <v>PURE</v>
      </c>
      <c r="T2183" s="3" t="str">
        <f>IFERROR(__xludf.DUMMYFUNCTION("""COMPUTED_VALUE"""),"#N/A")</f>
        <v>#N/A</v>
      </c>
      <c r="U2183" s="3" t="str">
        <f>IFERROR(__xludf.DUMMYFUNCTION("""COMPUTED_VALUE"""),"#N/A")</f>
        <v>#N/A</v>
      </c>
      <c r="V2183" s="3" t="str">
        <f>IFERROR(__xludf.DUMMYFUNCTION("""COMPUTED_VALUE"""),"N")</f>
        <v>N</v>
      </c>
      <c r="W2183" s="3">
        <f>IFERROR(__xludf.DUMMYFUNCTION("""COMPUTED_VALUE"""),111103.0)</f>
        <v>111103</v>
      </c>
      <c r="X2183" s="3" t="str">
        <f>IFERROR(__xludf.DUMMYFUNCTION("""COMPUTED_VALUE"""),"201 ถนนราษฎร์บูรณะ แขวงบางปะกอก เขตราษฏร์บูรณะ กรุงเทพฯ 10140")</f>
        <v>201 ถนนราษฎร์บูรณะ แขวงบางปะกอก เขตราษฏร์บูรณะ กรุงเทพฯ 10140</v>
      </c>
      <c r="Y2183" s="3" t="str">
        <f>IFERROR(__xludf.DUMMYFUNCTION("""COMPUTED_VALUE"""),"ถนนราษฎร์บูรณะ")</f>
        <v>ถนนราษฎร์บูรณะ</v>
      </c>
      <c r="Z2183" s="3" t="str">
        <f>IFERROR(__xludf.DUMMYFUNCTION("""COMPUTED_VALUE"""),"บางปะกอก")</f>
        <v>บางปะกอก</v>
      </c>
      <c r="AA2183" s="3" t="str">
        <f>IFERROR(__xludf.DUMMYFUNCTION("""COMPUTED_VALUE"""),"ราษฏร์บูรณะ")</f>
        <v>ราษฏร์บูรณะ</v>
      </c>
      <c r="AB2183" s="3" t="str">
        <f>IFERROR(__xludf.DUMMYFUNCTION("""COMPUTED_VALUE"""),"กรุงเทพมหานคร")</f>
        <v>กรุงเทพมหานคร</v>
      </c>
      <c r="AC2183" s="3">
        <f>IFERROR(__xludf.DUMMYFUNCTION("""COMPUTED_VALUE"""),10140.0)</f>
        <v>10140</v>
      </c>
      <c r="AD2183" s="3">
        <f>IFERROR(__xludf.DUMMYFUNCTION("""COMPUTED_VALUE"""),0.0)</f>
        <v>0</v>
      </c>
      <c r="AE2183" s="3">
        <f>IFERROR(__xludf.DUMMYFUNCTION("""COMPUTED_VALUE"""),0.0)</f>
        <v>0</v>
      </c>
      <c r="AF2183" s="3" t="str">
        <f>IFERROR(__xludf.DUMMYFUNCTION("""COMPUTED_VALUE"""),"เพรียวราษฎร์บูรณะ-41059")</f>
        <v>เพรียวราษฎร์บูรณะ-41059</v>
      </c>
      <c r="AG2183" s="3" t="str">
        <f>IFERROR(__xludf.DUMMYFUNCTION("""COMPUTED_VALUE"""),"กลาง")</f>
        <v>กลาง</v>
      </c>
      <c r="AH2183" s="3" t="str">
        <f>IFERROR(__xludf.DUMMYFUNCTION("""COMPUTED_VALUE"""),"#N/A")</f>
        <v>#N/A</v>
      </c>
      <c r="AI2183" s="3" t="str">
        <f>IFERROR(__xludf.DUMMYFUNCTION("""COMPUTED_VALUE"""),"Out of warranty")</f>
        <v>Out of warranty</v>
      </c>
      <c r="AJ2183" s="3">
        <f>IFERROR(__xludf.DUMMYFUNCTION("""COMPUTED_VALUE"""),165.0)</f>
        <v>165</v>
      </c>
      <c r="AK2183" s="3"/>
      <c r="AL2183" s="3"/>
    </row>
    <row r="2184" ht="15.75" customHeight="1">
      <c r="A2184" s="1" t="str">
        <f>IFERROR(__xludf.DUMMYFUNCTION("""COMPUTED_VALUE"""),"41060")</f>
        <v>41060</v>
      </c>
      <c r="B2184" s="2">
        <f>IFERROR(__xludf.DUMMYFUNCTION("""COMPUTED_VALUE"""),41060.0)</f>
        <v>41060</v>
      </c>
      <c r="C2184" s="3" t="str">
        <f>IFERROR(__xludf.DUMMYFUNCTION("""COMPUTED_VALUE"""),"เพรียวพิบูลมังสาหาร")</f>
        <v>เพรียวพิบูลมังสาหาร</v>
      </c>
      <c r="D2184" s="3" t="str">
        <f>IFERROR(__xludf.DUMMYFUNCTION("""COMPUTED_VALUE"""),"BIGC PHIBULMANGSAHARN PURE")</f>
        <v>BIGC PHIBULMANGSAHARN PURE</v>
      </c>
      <c r="E2184" s="1" t="str">
        <f>IFERROR(__xludf.DUMMYFUNCTION("""COMPUTED_VALUE"""),"PURE")</f>
        <v>PURE</v>
      </c>
      <c r="F2184" s="1" t="str">
        <f>IFERROR(__xludf.DUMMYFUNCTION("""COMPUTED_VALUE"""),"2083583")</f>
        <v>2083583</v>
      </c>
      <c r="G2184" s="1" t="str">
        <f>IFERROR(__xludf.DUMMYFUNCTION("""COMPUTED_VALUE"""),"นายอรรณพ ศรีแก้ว")</f>
        <v>นายอรรณพ ศรีแก้ว</v>
      </c>
      <c r="H2184" s="1" t="str">
        <f>IFERROR(__xludf.DUMMYFUNCTION("""COMPUTED_VALUE"""),"2083583")</f>
        <v>2083583</v>
      </c>
      <c r="I2184" s="1" t="str">
        <f>IFERROR(__xludf.DUMMYFUNCTION("""COMPUTED_VALUE"""),"นายอรรณพ ศรีแก้ว")</f>
        <v>นายอรรณพ ศรีแก้ว</v>
      </c>
      <c r="J2184" s="3">
        <f>IFERROR(__xludf.DUMMYFUNCTION("""COMPUTED_VALUE"""),33317.0)</f>
        <v>33317</v>
      </c>
      <c r="K2184" s="3" t="str">
        <f>IFERROR(__xludf.DUMMYFUNCTION("""COMPUTED_VALUE"""),"นายอาณัติ เพชรภาน")</f>
        <v>นายอาณัติ เพชรภาน</v>
      </c>
      <c r="L2184" s="1" t="str">
        <f>IFERROR(__xludf.DUMMYFUNCTION("""COMPUTED_VALUE"""),"Hub10-NE 2")</f>
        <v>Hub10-NE 2</v>
      </c>
      <c r="M2184" s="1" t="str">
        <f>IFERROR(__xludf.DUMMYFUNCTION("""COMPUTED_VALUE"""),"0644791409")</f>
        <v>0644791409</v>
      </c>
      <c r="N2184" s="3">
        <f>IFERROR(__xludf.DUMMYFUNCTION("""COMPUTED_VALUE"""),15014.0)</f>
        <v>15014</v>
      </c>
      <c r="O2184" s="3" t="str">
        <f>IFERROR(__xludf.DUMMYFUNCTION("""COMPUTED_VALUE"""),"พิบูลมังสาหาร")</f>
        <v>พิบูลมังสาหาร</v>
      </c>
      <c r="P2184" s="4">
        <f>IFERROR(__xludf.DUMMYFUNCTION("""COMPUTED_VALUE"""),41044.0)</f>
        <v>41044</v>
      </c>
      <c r="Q2184" s="3" t="str">
        <f>IFERROR(__xludf.DUMMYFUNCTION("""COMPUTED_VALUE"""),"A")</f>
        <v>A</v>
      </c>
      <c r="R2184" s="3" t="str">
        <f>IFERROR(__xludf.DUMMYFUNCTION("""COMPUTED_VALUE"""),"Big Format")</f>
        <v>Big Format</v>
      </c>
      <c r="S2184" s="3" t="str">
        <f>IFERROR(__xludf.DUMMYFUNCTION("""COMPUTED_VALUE"""),"PURE")</f>
        <v>PURE</v>
      </c>
      <c r="T2184" s="3" t="str">
        <f>IFERROR(__xludf.DUMMYFUNCTION("""COMPUTED_VALUE"""),"#N/A")</f>
        <v>#N/A</v>
      </c>
      <c r="U2184" s="3" t="str">
        <f>IFERROR(__xludf.DUMMYFUNCTION("""COMPUTED_VALUE"""),"#N/A")</f>
        <v>#N/A</v>
      </c>
      <c r="V2184" s="3" t="str">
        <f>IFERROR(__xludf.DUMMYFUNCTION("""COMPUTED_VALUE"""),"N")</f>
        <v>N</v>
      </c>
      <c r="W2184" s="3">
        <f>IFERROR(__xludf.DUMMYFUNCTION("""COMPUTED_VALUE"""),151014.0)</f>
        <v>151014</v>
      </c>
      <c r="X2184" s="3" t="str">
        <f>IFERROR(__xludf.DUMMYFUNCTION("""COMPUTED_VALUE"""),"41/9 ถนนสถิตย์นิมานการ ตำบลพิบูล อำเภอพิบูลมังสาหาร จังหวัดอุบลราชธานี 34110")</f>
        <v>41/9 ถนนสถิตย์นิมานการ ตำบลพิบูล อำเภอพิบูลมังสาหาร จังหวัดอุบลราชธานี 34110</v>
      </c>
      <c r="Y2184" s="3" t="str">
        <f>IFERROR(__xludf.DUMMYFUNCTION("""COMPUTED_VALUE"""),"ถนนสถิตย์นิมานการ")</f>
        <v>ถนนสถิตย์นิมานการ</v>
      </c>
      <c r="Z2184" s="3" t="str">
        <f>IFERROR(__xludf.DUMMYFUNCTION("""COMPUTED_VALUE"""),"พิบูล")</f>
        <v>พิบูล</v>
      </c>
      <c r="AA2184" s="3" t="str">
        <f>IFERROR(__xludf.DUMMYFUNCTION("""COMPUTED_VALUE"""),"พิบูลมังสาหาร")</f>
        <v>พิบูลมังสาหาร</v>
      </c>
      <c r="AB2184" s="3" t="str">
        <f>IFERROR(__xludf.DUMMYFUNCTION("""COMPUTED_VALUE"""),"อุบลราชธานี")</f>
        <v>อุบลราชธานี</v>
      </c>
      <c r="AC2184" s="3">
        <f>IFERROR(__xludf.DUMMYFUNCTION("""COMPUTED_VALUE"""),34110.0)</f>
        <v>34110</v>
      </c>
      <c r="AD2184" s="3">
        <f>IFERROR(__xludf.DUMMYFUNCTION("""COMPUTED_VALUE"""),0.0)</f>
        <v>0</v>
      </c>
      <c r="AE2184" s="3">
        <f>IFERROR(__xludf.DUMMYFUNCTION("""COMPUTED_VALUE"""),0.0)</f>
        <v>0</v>
      </c>
      <c r="AF2184" s="3" t="str">
        <f>IFERROR(__xludf.DUMMYFUNCTION("""COMPUTED_VALUE"""),"เพรียวพิบูลมังสาหาร-41060")</f>
        <v>เพรียวพิบูลมังสาหาร-41060</v>
      </c>
      <c r="AG2184" s="3" t="str">
        <f>IFERROR(__xludf.DUMMYFUNCTION("""COMPUTED_VALUE"""),"ตะวันออกเฉียงเหนือ")</f>
        <v>ตะวันออกเฉียงเหนือ</v>
      </c>
      <c r="AH2184" s="3" t="str">
        <f>IFERROR(__xludf.DUMMYFUNCTION("""COMPUTED_VALUE"""),"#N/A")</f>
        <v>#N/A</v>
      </c>
      <c r="AI2184" s="3" t="str">
        <f>IFERROR(__xludf.DUMMYFUNCTION("""COMPUTED_VALUE"""),"Out of warranty")</f>
        <v>Out of warranty</v>
      </c>
      <c r="AJ2184" s="3">
        <f>IFERROR(__xludf.DUMMYFUNCTION("""COMPUTED_VALUE"""),165.0)</f>
        <v>165</v>
      </c>
      <c r="AK2184" s="3"/>
      <c r="AL2184" s="3"/>
    </row>
    <row r="2185" ht="15.75" customHeight="1">
      <c r="A2185" s="1" t="str">
        <f>IFERROR(__xludf.DUMMYFUNCTION("""COMPUTED_VALUE"""),"41061")</f>
        <v>41061</v>
      </c>
      <c r="B2185" s="2">
        <f>IFERROR(__xludf.DUMMYFUNCTION("""COMPUTED_VALUE"""),41061.0)</f>
        <v>41061</v>
      </c>
      <c r="C2185" s="3" t="str">
        <f>IFERROR(__xludf.DUMMYFUNCTION("""COMPUTED_VALUE"""),"เพรียวยโสธร")</f>
        <v>เพรียวยโสธร</v>
      </c>
      <c r="D2185" s="3" t="str">
        <f>IFERROR(__xludf.DUMMYFUNCTION("""COMPUTED_VALUE"""),"BIGC YASOTHON PURE")</f>
        <v>BIGC YASOTHON PURE</v>
      </c>
      <c r="E2185" s="1" t="str">
        <f>IFERROR(__xludf.DUMMYFUNCTION("""COMPUTED_VALUE"""),"PURE")</f>
        <v>PURE</v>
      </c>
      <c r="F2185" s="1" t="str">
        <f>IFERROR(__xludf.DUMMYFUNCTION("""COMPUTED_VALUE"""),"2083583")</f>
        <v>2083583</v>
      </c>
      <c r="G2185" s="1" t="str">
        <f>IFERROR(__xludf.DUMMYFUNCTION("""COMPUTED_VALUE"""),"นายอรรณพ ศรีแก้ว")</f>
        <v>นายอรรณพ ศรีแก้ว</v>
      </c>
      <c r="H2185" s="1" t="str">
        <f>IFERROR(__xludf.DUMMYFUNCTION("""COMPUTED_VALUE"""),"2083583")</f>
        <v>2083583</v>
      </c>
      <c r="I2185" s="1" t="str">
        <f>IFERROR(__xludf.DUMMYFUNCTION("""COMPUTED_VALUE"""),"นายอรรณพ ศรีแก้ว")</f>
        <v>นายอรรณพ ศรีแก้ว</v>
      </c>
      <c r="J2185" s="3">
        <f>IFERROR(__xludf.DUMMYFUNCTION("""COMPUTED_VALUE"""),33317.0)</f>
        <v>33317</v>
      </c>
      <c r="K2185" s="3" t="str">
        <f>IFERROR(__xludf.DUMMYFUNCTION("""COMPUTED_VALUE"""),"นายอาณัติ เพชรภาน")</f>
        <v>นายอาณัติ เพชรภาน</v>
      </c>
      <c r="L2185" s="1" t="str">
        <f>IFERROR(__xludf.DUMMYFUNCTION("""COMPUTED_VALUE"""),"Hub10-NE 2")</f>
        <v>Hub10-NE 2</v>
      </c>
      <c r="M2185" s="1" t="str">
        <f>IFERROR(__xludf.DUMMYFUNCTION("""COMPUTED_VALUE"""),"0644791409")</f>
        <v>0644791409</v>
      </c>
      <c r="N2185" s="3">
        <f>IFERROR(__xludf.DUMMYFUNCTION("""COMPUTED_VALUE"""),11163.0)</f>
        <v>11163</v>
      </c>
      <c r="O2185" s="3" t="str">
        <f>IFERROR(__xludf.DUMMYFUNCTION("""COMPUTED_VALUE"""),"ยโสธร")</f>
        <v>ยโสธร</v>
      </c>
      <c r="P2185" s="4">
        <f>IFERROR(__xludf.DUMMYFUNCTION("""COMPUTED_VALUE"""),41051.0)</f>
        <v>41051</v>
      </c>
      <c r="Q2185" s="3" t="str">
        <f>IFERROR(__xludf.DUMMYFUNCTION("""COMPUTED_VALUE"""),"A")</f>
        <v>A</v>
      </c>
      <c r="R2185" s="3" t="str">
        <f>IFERROR(__xludf.DUMMYFUNCTION("""COMPUTED_VALUE"""),"Big Format")</f>
        <v>Big Format</v>
      </c>
      <c r="S2185" s="3" t="str">
        <f>IFERROR(__xludf.DUMMYFUNCTION("""COMPUTED_VALUE"""),"PURE")</f>
        <v>PURE</v>
      </c>
      <c r="T2185" s="3" t="str">
        <f>IFERROR(__xludf.DUMMYFUNCTION("""COMPUTED_VALUE"""),"#N/A")</f>
        <v>#N/A</v>
      </c>
      <c r="U2185" s="3" t="str">
        <f>IFERROR(__xludf.DUMMYFUNCTION("""COMPUTED_VALUE"""),"#N/A")</f>
        <v>#N/A</v>
      </c>
      <c r="V2185" s="3" t="str">
        <f>IFERROR(__xludf.DUMMYFUNCTION("""COMPUTED_VALUE"""),"N")</f>
        <v>N</v>
      </c>
      <c r="W2185" s="3">
        <f>IFERROR(__xludf.DUMMYFUNCTION("""COMPUTED_VALUE"""),111163.0)</f>
        <v>111163</v>
      </c>
      <c r="X2185" s="3" t="str">
        <f>IFERROR(__xludf.DUMMYFUNCTION("""COMPUTED_VALUE"""),"323 หมู่ที่ 2 ตำบลสำราญ อำเภอเมืองยโสธร จังหวัดยโสธร 35000")</f>
        <v>323 หมู่ที่ 2 ตำบลสำราญ อำเภอเมืองยโสธร จังหวัดยโสธร 35000</v>
      </c>
      <c r="Y2185" s="3"/>
      <c r="Z2185" s="3" t="str">
        <f>IFERROR(__xludf.DUMMYFUNCTION("""COMPUTED_VALUE"""),"สำราญ")</f>
        <v>สำราญ</v>
      </c>
      <c r="AA2185" s="3" t="str">
        <f>IFERROR(__xludf.DUMMYFUNCTION("""COMPUTED_VALUE"""),"เมือง")</f>
        <v>เมือง</v>
      </c>
      <c r="AB2185" s="3" t="str">
        <f>IFERROR(__xludf.DUMMYFUNCTION("""COMPUTED_VALUE"""),"ยโสธร")</f>
        <v>ยโสธร</v>
      </c>
      <c r="AC2185" s="3">
        <f>IFERROR(__xludf.DUMMYFUNCTION("""COMPUTED_VALUE"""),35000.0)</f>
        <v>35000</v>
      </c>
      <c r="AD2185" s="3">
        <f>IFERROR(__xludf.DUMMYFUNCTION("""COMPUTED_VALUE"""),0.0)</f>
        <v>0</v>
      </c>
      <c r="AE2185" s="3">
        <f>IFERROR(__xludf.DUMMYFUNCTION("""COMPUTED_VALUE"""),0.0)</f>
        <v>0</v>
      </c>
      <c r="AF2185" s="3" t="str">
        <f>IFERROR(__xludf.DUMMYFUNCTION("""COMPUTED_VALUE"""),"เพรียวยโสธร-41061")</f>
        <v>เพรียวยโสธร-41061</v>
      </c>
      <c r="AG2185" s="3" t="str">
        <f>IFERROR(__xludf.DUMMYFUNCTION("""COMPUTED_VALUE"""),"ตะวันออกเฉียงเหนือ")</f>
        <v>ตะวันออกเฉียงเหนือ</v>
      </c>
      <c r="AH2185" s="3" t="str">
        <f>IFERROR(__xludf.DUMMYFUNCTION("""COMPUTED_VALUE"""),"#N/A")</f>
        <v>#N/A</v>
      </c>
      <c r="AI2185" s="3" t="str">
        <f>IFERROR(__xludf.DUMMYFUNCTION("""COMPUTED_VALUE"""),"Out of warranty")</f>
        <v>Out of warranty</v>
      </c>
      <c r="AJ2185" s="3">
        <f>IFERROR(__xludf.DUMMYFUNCTION("""COMPUTED_VALUE"""),164.0)</f>
        <v>164</v>
      </c>
      <c r="AK2185" s="3"/>
      <c r="AL2185" s="3"/>
    </row>
    <row r="2186" ht="15.75" customHeight="1">
      <c r="A2186" s="1" t="str">
        <f>IFERROR(__xludf.DUMMYFUNCTION("""COMPUTED_VALUE"""),"41062")</f>
        <v>41062</v>
      </c>
      <c r="B2186" s="2">
        <f>IFERROR(__xludf.DUMMYFUNCTION("""COMPUTED_VALUE"""),41062.0)</f>
        <v>41062</v>
      </c>
      <c r="C2186" s="3" t="str">
        <f>IFERROR(__xludf.DUMMYFUNCTION("""COMPUTED_VALUE"""),"เพรียวศรีษะเกษ")</f>
        <v>เพรียวศรีษะเกษ</v>
      </c>
      <c r="D2186" s="3" t="str">
        <f>IFERROR(__xludf.DUMMYFUNCTION("""COMPUTED_VALUE"""),"BIGC SISAKET PURE")</f>
        <v>BIGC SISAKET PURE</v>
      </c>
      <c r="E2186" s="1" t="str">
        <f>IFERROR(__xludf.DUMMYFUNCTION("""COMPUTED_VALUE"""),"PURE")</f>
        <v>PURE</v>
      </c>
      <c r="F2186" s="1" t="str">
        <f>IFERROR(__xludf.DUMMYFUNCTION("""COMPUTED_VALUE"""),"2083583")</f>
        <v>2083583</v>
      </c>
      <c r="G2186" s="1" t="str">
        <f>IFERROR(__xludf.DUMMYFUNCTION("""COMPUTED_VALUE"""),"นายอรรณพ ศรีแก้ว")</f>
        <v>นายอรรณพ ศรีแก้ว</v>
      </c>
      <c r="H2186" s="1" t="str">
        <f>IFERROR(__xludf.DUMMYFUNCTION("""COMPUTED_VALUE"""),"2083583")</f>
        <v>2083583</v>
      </c>
      <c r="I2186" s="1" t="str">
        <f>IFERROR(__xludf.DUMMYFUNCTION("""COMPUTED_VALUE"""),"นายอรรณพ ศรีแก้ว")</f>
        <v>นายอรรณพ ศรีแก้ว</v>
      </c>
      <c r="J2186" s="3">
        <f>IFERROR(__xludf.DUMMYFUNCTION("""COMPUTED_VALUE"""),33317.0)</f>
        <v>33317</v>
      </c>
      <c r="K2186" s="3" t="str">
        <f>IFERROR(__xludf.DUMMYFUNCTION("""COMPUTED_VALUE"""),"นายอาณัติ เพชรภาน")</f>
        <v>นายอาณัติ เพชรภาน</v>
      </c>
      <c r="L2186" s="1" t="str">
        <f>IFERROR(__xludf.DUMMYFUNCTION("""COMPUTED_VALUE"""),"Hub10-NE 2")</f>
        <v>Hub10-NE 2</v>
      </c>
      <c r="M2186" s="1" t="str">
        <f>IFERROR(__xludf.DUMMYFUNCTION("""COMPUTED_VALUE"""),"0644791409")</f>
        <v>0644791409</v>
      </c>
      <c r="N2186" s="3">
        <f>IFERROR(__xludf.DUMMYFUNCTION("""COMPUTED_VALUE"""),11167.0)</f>
        <v>11167</v>
      </c>
      <c r="O2186" s="3" t="str">
        <f>IFERROR(__xludf.DUMMYFUNCTION("""COMPUTED_VALUE"""),"ศรีสะเกษ")</f>
        <v>ศรีสะเกษ</v>
      </c>
      <c r="P2186" s="4">
        <f>IFERROR(__xludf.DUMMYFUNCTION("""COMPUTED_VALUE"""),41056.0)</f>
        <v>41056</v>
      </c>
      <c r="Q2186" s="3" t="str">
        <f>IFERROR(__xludf.DUMMYFUNCTION("""COMPUTED_VALUE"""),"A")</f>
        <v>A</v>
      </c>
      <c r="R2186" s="3" t="str">
        <f>IFERROR(__xludf.DUMMYFUNCTION("""COMPUTED_VALUE"""),"Big Format")</f>
        <v>Big Format</v>
      </c>
      <c r="S2186" s="3" t="str">
        <f>IFERROR(__xludf.DUMMYFUNCTION("""COMPUTED_VALUE"""),"PURE")</f>
        <v>PURE</v>
      </c>
      <c r="T2186" s="3" t="str">
        <f>IFERROR(__xludf.DUMMYFUNCTION("""COMPUTED_VALUE"""),"#N/A")</f>
        <v>#N/A</v>
      </c>
      <c r="U2186" s="3" t="str">
        <f>IFERROR(__xludf.DUMMYFUNCTION("""COMPUTED_VALUE"""),"#N/A")</f>
        <v>#N/A</v>
      </c>
      <c r="V2186" s="3" t="str">
        <f>IFERROR(__xludf.DUMMYFUNCTION("""COMPUTED_VALUE"""),"N")</f>
        <v>N</v>
      </c>
      <c r="W2186" s="3">
        <f>IFERROR(__xludf.DUMMYFUNCTION("""COMPUTED_VALUE"""),111167.0)</f>
        <v>111167</v>
      </c>
      <c r="X2186" s="3" t="str">
        <f>IFERROR(__xludf.DUMMYFUNCTION("""COMPUTED_VALUE"""),"29/49 หมู่ที่ 11 ตำบลหญ้าปล้อง อำเภอเมืองศรีสะเกษ จังหวัดศรีสะเกษ 33000")</f>
        <v>29/49 หมู่ที่ 11 ตำบลหญ้าปล้อง อำเภอเมืองศรีสะเกษ จังหวัดศรีสะเกษ 33000</v>
      </c>
      <c r="Y2186" s="3"/>
      <c r="Z2186" s="3" t="str">
        <f>IFERROR(__xludf.DUMMYFUNCTION("""COMPUTED_VALUE"""),"หญ้าปล้อง")</f>
        <v>หญ้าปล้อง</v>
      </c>
      <c r="AA2186" s="3" t="str">
        <f>IFERROR(__xludf.DUMMYFUNCTION("""COMPUTED_VALUE"""),"เมือง")</f>
        <v>เมือง</v>
      </c>
      <c r="AB2186" s="3" t="str">
        <f>IFERROR(__xludf.DUMMYFUNCTION("""COMPUTED_VALUE"""),"ศรีสะเกษ")</f>
        <v>ศรีสะเกษ</v>
      </c>
      <c r="AC2186" s="3">
        <f>IFERROR(__xludf.DUMMYFUNCTION("""COMPUTED_VALUE"""),33000.0)</f>
        <v>33000</v>
      </c>
      <c r="AD2186" s="3">
        <f>IFERROR(__xludf.DUMMYFUNCTION("""COMPUTED_VALUE"""),0.0)</f>
        <v>0</v>
      </c>
      <c r="AE2186" s="3">
        <f>IFERROR(__xludf.DUMMYFUNCTION("""COMPUTED_VALUE"""),0.0)</f>
        <v>0</v>
      </c>
      <c r="AF2186" s="3" t="str">
        <f>IFERROR(__xludf.DUMMYFUNCTION("""COMPUTED_VALUE"""),"เพรียวศรีษะเกษ-41062")</f>
        <v>เพรียวศรีษะเกษ-41062</v>
      </c>
      <c r="AG2186" s="3" t="str">
        <f>IFERROR(__xludf.DUMMYFUNCTION("""COMPUTED_VALUE"""),"ตะวันออกเฉียงเหนือ")</f>
        <v>ตะวันออกเฉียงเหนือ</v>
      </c>
      <c r="AH2186" s="3" t="str">
        <f>IFERROR(__xludf.DUMMYFUNCTION("""COMPUTED_VALUE"""),"#N/A")</f>
        <v>#N/A</v>
      </c>
      <c r="AI2186" s="3" t="str">
        <f>IFERROR(__xludf.DUMMYFUNCTION("""COMPUTED_VALUE"""),"Out of warranty")</f>
        <v>Out of warranty</v>
      </c>
      <c r="AJ2186" s="3">
        <f>IFERROR(__xludf.DUMMYFUNCTION("""COMPUTED_VALUE"""),164.0)</f>
        <v>164</v>
      </c>
      <c r="AK2186" s="3"/>
      <c r="AL2186" s="3"/>
    </row>
    <row r="2187" ht="15.75" customHeight="1">
      <c r="A2187" s="1" t="str">
        <f>IFERROR(__xludf.DUMMYFUNCTION("""COMPUTED_VALUE"""),"41063")</f>
        <v>41063</v>
      </c>
      <c r="B2187" s="2">
        <f>IFERROR(__xludf.DUMMYFUNCTION("""COMPUTED_VALUE"""),41063.0)</f>
        <v>41063</v>
      </c>
      <c r="C2187" s="3" t="str">
        <f>IFERROR(__xludf.DUMMYFUNCTION("""COMPUTED_VALUE"""),"เพรียวสุรินทร์")</f>
        <v>เพรียวสุรินทร์</v>
      </c>
      <c r="D2187" s="3" t="str">
        <f>IFERROR(__xludf.DUMMYFUNCTION("""COMPUTED_VALUE"""),"BIGC SURIN PURE")</f>
        <v>BIGC SURIN PURE</v>
      </c>
      <c r="E2187" s="1" t="str">
        <f>IFERROR(__xludf.DUMMYFUNCTION("""COMPUTED_VALUE"""),"PURE")</f>
        <v>PURE</v>
      </c>
      <c r="F2187" s="1" t="str">
        <f>IFERROR(__xludf.DUMMYFUNCTION("""COMPUTED_VALUE"""),"2083583")</f>
        <v>2083583</v>
      </c>
      <c r="G2187" s="1" t="str">
        <f>IFERROR(__xludf.DUMMYFUNCTION("""COMPUTED_VALUE"""),"นายอรรณพ ศรีแก้ว")</f>
        <v>นายอรรณพ ศรีแก้ว</v>
      </c>
      <c r="H2187" s="1" t="str">
        <f>IFERROR(__xludf.DUMMYFUNCTION("""COMPUTED_VALUE"""),"2083583")</f>
        <v>2083583</v>
      </c>
      <c r="I2187" s="1" t="str">
        <f>IFERROR(__xludf.DUMMYFUNCTION("""COMPUTED_VALUE"""),"นายอรรณพ ศรีแก้ว")</f>
        <v>นายอรรณพ ศรีแก้ว</v>
      </c>
      <c r="J2187" s="3">
        <f>IFERROR(__xludf.DUMMYFUNCTION("""COMPUTED_VALUE"""),33317.0)</f>
        <v>33317</v>
      </c>
      <c r="K2187" s="3" t="str">
        <f>IFERROR(__xludf.DUMMYFUNCTION("""COMPUTED_VALUE"""),"นายอาณัติ เพชรภาน")</f>
        <v>นายอาณัติ เพชรภาน</v>
      </c>
      <c r="L2187" s="1" t="str">
        <f>IFERROR(__xludf.DUMMYFUNCTION("""COMPUTED_VALUE"""),"Hub10-NE 2")</f>
        <v>Hub10-NE 2</v>
      </c>
      <c r="M2187" s="1" t="str">
        <f>IFERROR(__xludf.DUMMYFUNCTION("""COMPUTED_VALUE"""),"0644791409")</f>
        <v>0644791409</v>
      </c>
      <c r="N2187" s="3">
        <f>IFERROR(__xludf.DUMMYFUNCTION("""COMPUTED_VALUE"""),11140.0)</f>
        <v>11140</v>
      </c>
      <c r="O2187" s="3" t="str">
        <f>IFERROR(__xludf.DUMMYFUNCTION("""COMPUTED_VALUE"""),"สุรินทร์")</f>
        <v>สุรินทร์</v>
      </c>
      <c r="P2187" s="4">
        <f>IFERROR(__xludf.DUMMYFUNCTION("""COMPUTED_VALUE"""),41060.0)</f>
        <v>41060</v>
      </c>
      <c r="Q2187" s="3" t="str">
        <f>IFERROR(__xludf.DUMMYFUNCTION("""COMPUTED_VALUE"""),"A")</f>
        <v>A</v>
      </c>
      <c r="R2187" s="3" t="str">
        <f>IFERROR(__xludf.DUMMYFUNCTION("""COMPUTED_VALUE"""),"Big Format")</f>
        <v>Big Format</v>
      </c>
      <c r="S2187" s="3" t="str">
        <f>IFERROR(__xludf.DUMMYFUNCTION("""COMPUTED_VALUE"""),"PURE")</f>
        <v>PURE</v>
      </c>
      <c r="T2187" s="3" t="str">
        <f>IFERROR(__xludf.DUMMYFUNCTION("""COMPUTED_VALUE"""),"#N/A")</f>
        <v>#N/A</v>
      </c>
      <c r="U2187" s="3" t="str">
        <f>IFERROR(__xludf.DUMMYFUNCTION("""COMPUTED_VALUE"""),"#N/A")</f>
        <v>#N/A</v>
      </c>
      <c r="V2187" s="3" t="str">
        <f>IFERROR(__xludf.DUMMYFUNCTION("""COMPUTED_VALUE"""),"N")</f>
        <v>N</v>
      </c>
      <c r="W2187" s="3">
        <f>IFERROR(__xludf.DUMMYFUNCTION("""COMPUTED_VALUE"""),111140.0)</f>
        <v>111140</v>
      </c>
      <c r="X2187" s="3" t="str">
        <f>IFERROR(__xludf.DUMMYFUNCTION("""COMPUTED_VALUE"""),"8 ถนนหลักเมือง ตำบลในเมือง อำเภอเมืองสุรินทร์ จังหวัดสุรินทร์ 32000")</f>
        <v>8 ถนนหลักเมือง ตำบลในเมือง อำเภอเมืองสุรินทร์ จังหวัดสุรินทร์ 32000</v>
      </c>
      <c r="Y2187" s="3" t="str">
        <f>IFERROR(__xludf.DUMMYFUNCTION("""COMPUTED_VALUE"""),"ถนนหลักเมือง")</f>
        <v>ถนนหลักเมือง</v>
      </c>
      <c r="Z2187" s="3" t="str">
        <f>IFERROR(__xludf.DUMMYFUNCTION("""COMPUTED_VALUE"""),"ในเมือง")</f>
        <v>ในเมือง</v>
      </c>
      <c r="AA2187" s="3" t="str">
        <f>IFERROR(__xludf.DUMMYFUNCTION("""COMPUTED_VALUE"""),"เมือง")</f>
        <v>เมือง</v>
      </c>
      <c r="AB2187" s="3" t="str">
        <f>IFERROR(__xludf.DUMMYFUNCTION("""COMPUTED_VALUE"""),"สุรินทร์")</f>
        <v>สุรินทร์</v>
      </c>
      <c r="AC2187" s="3">
        <f>IFERROR(__xludf.DUMMYFUNCTION("""COMPUTED_VALUE"""),32000.0)</f>
        <v>32000</v>
      </c>
      <c r="AD2187" s="3">
        <f>IFERROR(__xludf.DUMMYFUNCTION("""COMPUTED_VALUE"""),0.0)</f>
        <v>0</v>
      </c>
      <c r="AE2187" s="3">
        <f>IFERROR(__xludf.DUMMYFUNCTION("""COMPUTED_VALUE"""),0.0)</f>
        <v>0</v>
      </c>
      <c r="AF2187" s="3" t="str">
        <f>IFERROR(__xludf.DUMMYFUNCTION("""COMPUTED_VALUE"""),"เพรียวสุรินทร์-41063")</f>
        <v>เพรียวสุรินทร์-41063</v>
      </c>
      <c r="AG2187" s="3" t="str">
        <f>IFERROR(__xludf.DUMMYFUNCTION("""COMPUTED_VALUE"""),"ตะวันออกเฉียงเหนือ")</f>
        <v>ตะวันออกเฉียงเหนือ</v>
      </c>
      <c r="AH2187" s="3" t="str">
        <f>IFERROR(__xludf.DUMMYFUNCTION("""COMPUTED_VALUE"""),"#N/A")</f>
        <v>#N/A</v>
      </c>
      <c r="AI2187" s="3" t="str">
        <f>IFERROR(__xludf.DUMMYFUNCTION("""COMPUTED_VALUE"""),"Out of warranty")</f>
        <v>Out of warranty</v>
      </c>
      <c r="AJ2187" s="3">
        <f>IFERROR(__xludf.DUMMYFUNCTION("""COMPUTED_VALUE"""),164.0)</f>
        <v>164</v>
      </c>
      <c r="AK2187" s="3"/>
      <c r="AL2187" s="3"/>
    </row>
    <row r="2188" ht="15.75" customHeight="1">
      <c r="A2188" s="1" t="str">
        <f>IFERROR(__xludf.DUMMYFUNCTION("""COMPUTED_VALUE"""),"41064")</f>
        <v>41064</v>
      </c>
      <c r="B2188" s="2">
        <f>IFERROR(__xludf.DUMMYFUNCTION("""COMPUTED_VALUE"""),41064.0)</f>
        <v>41064</v>
      </c>
      <c r="C2188" s="3" t="str">
        <f>IFERROR(__xludf.DUMMYFUNCTION("""COMPUTED_VALUE"""),"เพรียวบุรีรัมย์")</f>
        <v>เพรียวบุรีรัมย์</v>
      </c>
      <c r="D2188" s="3" t="str">
        <f>IFERROR(__xludf.DUMMYFUNCTION("""COMPUTED_VALUE"""),"BIGC BURIRAM PURE")</f>
        <v>BIGC BURIRAM PURE</v>
      </c>
      <c r="E2188" s="1" t="str">
        <f>IFERROR(__xludf.DUMMYFUNCTION("""COMPUTED_VALUE"""),"PURE")</f>
        <v>PURE</v>
      </c>
      <c r="F2188" s="1" t="str">
        <f>IFERROR(__xludf.DUMMYFUNCTION("""COMPUTED_VALUE"""),"2083583")</f>
        <v>2083583</v>
      </c>
      <c r="G2188" s="1" t="str">
        <f>IFERROR(__xludf.DUMMYFUNCTION("""COMPUTED_VALUE"""),"นายอรรณพ ศรีแก้ว")</f>
        <v>นายอรรณพ ศรีแก้ว</v>
      </c>
      <c r="H2188" s="1" t="str">
        <f>IFERROR(__xludf.DUMMYFUNCTION("""COMPUTED_VALUE"""),"2083583")</f>
        <v>2083583</v>
      </c>
      <c r="I2188" s="1" t="str">
        <f>IFERROR(__xludf.DUMMYFUNCTION("""COMPUTED_VALUE"""),"นายอรรณพ ศรีแก้ว")</f>
        <v>นายอรรณพ ศรีแก้ว</v>
      </c>
      <c r="J2188" s="3">
        <f>IFERROR(__xludf.DUMMYFUNCTION("""COMPUTED_VALUE"""),33317.0)</f>
        <v>33317</v>
      </c>
      <c r="K2188" s="3" t="str">
        <f>IFERROR(__xludf.DUMMYFUNCTION("""COMPUTED_VALUE"""),"นายอาณัติ เพชรภาน")</f>
        <v>นายอาณัติ เพชรภาน</v>
      </c>
      <c r="L2188" s="1" t="str">
        <f>IFERROR(__xludf.DUMMYFUNCTION("""COMPUTED_VALUE"""),"Hub10-NE 2")</f>
        <v>Hub10-NE 2</v>
      </c>
      <c r="M2188" s="1" t="str">
        <f>IFERROR(__xludf.DUMMYFUNCTION("""COMPUTED_VALUE"""),"0644791409")</f>
        <v>0644791409</v>
      </c>
      <c r="N2188" s="3">
        <f>IFERROR(__xludf.DUMMYFUNCTION("""COMPUTED_VALUE"""),11153.0)</f>
        <v>11153</v>
      </c>
      <c r="O2188" s="3" t="str">
        <f>IFERROR(__xludf.DUMMYFUNCTION("""COMPUTED_VALUE"""),"บุรีรัมย์")</f>
        <v>บุรีรัมย์</v>
      </c>
      <c r="P2188" s="4">
        <f>IFERROR(__xludf.DUMMYFUNCTION("""COMPUTED_VALUE"""),41064.0)</f>
        <v>41064</v>
      </c>
      <c r="Q2188" s="3" t="str">
        <f>IFERROR(__xludf.DUMMYFUNCTION("""COMPUTED_VALUE"""),"A")</f>
        <v>A</v>
      </c>
      <c r="R2188" s="3" t="str">
        <f>IFERROR(__xludf.DUMMYFUNCTION("""COMPUTED_VALUE"""),"Big Format")</f>
        <v>Big Format</v>
      </c>
      <c r="S2188" s="3" t="str">
        <f>IFERROR(__xludf.DUMMYFUNCTION("""COMPUTED_VALUE"""),"PURE")</f>
        <v>PURE</v>
      </c>
      <c r="T2188" s="3" t="str">
        <f>IFERROR(__xludf.DUMMYFUNCTION("""COMPUTED_VALUE"""),"#N/A")</f>
        <v>#N/A</v>
      </c>
      <c r="U2188" s="3" t="str">
        <f>IFERROR(__xludf.DUMMYFUNCTION("""COMPUTED_VALUE"""),"#N/A")</f>
        <v>#N/A</v>
      </c>
      <c r="V2188" s="3" t="str">
        <f>IFERROR(__xludf.DUMMYFUNCTION("""COMPUTED_VALUE"""),"N")</f>
        <v>N</v>
      </c>
      <c r="W2188" s="3">
        <f>IFERROR(__xludf.DUMMYFUNCTION("""COMPUTED_VALUE"""),111153.0)</f>
        <v>111153</v>
      </c>
      <c r="X2188" s="3" t="str">
        <f>IFERROR(__xludf.DUMMYFUNCTION("""COMPUTED_VALUE"""),"150 หมู่ที่ 7 ตำบลอิสาณ อำเภอเมืองบุรีรัมย์ จังหวัดบุรีรัมย์ 31000")</f>
        <v>150 หมู่ที่ 7 ตำบลอิสาณ อำเภอเมืองบุรีรัมย์ จังหวัดบุรีรัมย์ 31000</v>
      </c>
      <c r="Y2188" s="3"/>
      <c r="Z2188" s="3" t="str">
        <f>IFERROR(__xludf.DUMMYFUNCTION("""COMPUTED_VALUE"""),"อิสาณ")</f>
        <v>อิสาณ</v>
      </c>
      <c r="AA2188" s="3" t="str">
        <f>IFERROR(__xludf.DUMMYFUNCTION("""COMPUTED_VALUE"""),"เมือง")</f>
        <v>เมือง</v>
      </c>
      <c r="AB2188" s="3" t="str">
        <f>IFERROR(__xludf.DUMMYFUNCTION("""COMPUTED_VALUE"""),"บุรีรัมย์")</f>
        <v>บุรีรัมย์</v>
      </c>
      <c r="AC2188" s="3">
        <f>IFERROR(__xludf.DUMMYFUNCTION("""COMPUTED_VALUE"""),31000.0)</f>
        <v>31000</v>
      </c>
      <c r="AD2188" s="3">
        <f>IFERROR(__xludf.DUMMYFUNCTION("""COMPUTED_VALUE"""),0.0)</f>
        <v>0</v>
      </c>
      <c r="AE2188" s="3">
        <f>IFERROR(__xludf.DUMMYFUNCTION("""COMPUTED_VALUE"""),0.0)</f>
        <v>0</v>
      </c>
      <c r="AF2188" s="3" t="str">
        <f>IFERROR(__xludf.DUMMYFUNCTION("""COMPUTED_VALUE"""),"เพรียวบุรีรัมย์-41064")</f>
        <v>เพรียวบุรีรัมย์-41064</v>
      </c>
      <c r="AG2188" s="3" t="str">
        <f>IFERROR(__xludf.DUMMYFUNCTION("""COMPUTED_VALUE"""),"ตะวันออกเฉียงเหนือ")</f>
        <v>ตะวันออกเฉียงเหนือ</v>
      </c>
      <c r="AH2188" s="3" t="str">
        <f>IFERROR(__xludf.DUMMYFUNCTION("""COMPUTED_VALUE"""),"#N/A")</f>
        <v>#N/A</v>
      </c>
      <c r="AI2188" s="3" t="str">
        <f>IFERROR(__xludf.DUMMYFUNCTION("""COMPUTED_VALUE"""),"Out of warranty")</f>
        <v>Out of warranty</v>
      </c>
      <c r="AJ2188" s="3">
        <f>IFERROR(__xludf.DUMMYFUNCTION("""COMPUTED_VALUE"""),164.0)</f>
        <v>164</v>
      </c>
      <c r="AK2188" s="3"/>
      <c r="AL2188" s="3"/>
    </row>
    <row r="2189" ht="15.75" customHeight="1">
      <c r="A2189" s="1" t="str">
        <f>IFERROR(__xludf.DUMMYFUNCTION("""COMPUTED_VALUE"""),"41065")</f>
        <v>41065</v>
      </c>
      <c r="B2189" s="2">
        <f>IFERROR(__xludf.DUMMYFUNCTION("""COMPUTED_VALUE"""),41065.0)</f>
        <v>41065</v>
      </c>
      <c r="C2189" s="3" t="str">
        <f>IFERROR(__xludf.DUMMYFUNCTION("""COMPUTED_VALUE"""),"เพรียวรังสิต2")</f>
        <v>เพรียวรังสิต2</v>
      </c>
      <c r="D2189" s="3" t="str">
        <f>IFERROR(__xludf.DUMMYFUNCTION("""COMPUTED_VALUE"""),"BIGC RANGSIT-2 PURE")</f>
        <v>BIGC RANGSIT-2 PURE</v>
      </c>
      <c r="E2189" s="1" t="str">
        <f>IFERROR(__xludf.DUMMYFUNCTION("""COMPUTED_VALUE"""),"PURE")</f>
        <v>PURE</v>
      </c>
      <c r="F2189" s="1" t="str">
        <f>IFERROR(__xludf.DUMMYFUNCTION("""COMPUTED_VALUE"""),"2082102")</f>
        <v>2082102</v>
      </c>
      <c r="G2189" s="1" t="str">
        <f>IFERROR(__xludf.DUMMYFUNCTION("""COMPUTED_VALUE"""),"น.ส.วัชรา มหาวันแจ่ม")</f>
        <v>น.ส.วัชรา มหาวันแจ่ม</v>
      </c>
      <c r="H2189" s="1" t="str">
        <f>IFERROR(__xludf.DUMMYFUNCTION("""COMPUTED_VALUE"""),"2082102")</f>
        <v>2082102</v>
      </c>
      <c r="I2189" s="1" t="str">
        <f>IFERROR(__xludf.DUMMYFUNCTION("""COMPUTED_VALUE"""),"น.ส.วัชรา มหาวันแจ่ม")</f>
        <v>น.ส.วัชรา มหาวันแจ่ม</v>
      </c>
      <c r="J2189" s="1" t="str">
        <f>IFERROR(__xludf.DUMMYFUNCTION("""COMPUTED_VALUE"""),"02408546")</f>
        <v>02408546</v>
      </c>
      <c r="K2189" s="3" t="str">
        <f>IFERROR(__xludf.DUMMYFUNCTION("""COMPUTED_VALUE"""),"นายเกษมศิษฐ์ ฮดบุญเรือง")</f>
        <v>นายเกษมศิษฐ์ ฮดบุญเรือง</v>
      </c>
      <c r="L2189" s="1" t="str">
        <f>IFERROR(__xludf.DUMMYFUNCTION("""COMPUTED_VALUE"""),"Hub02-BKK 2")</f>
        <v>Hub02-BKK 2</v>
      </c>
      <c r="M2189" s="1" t="str">
        <f>IFERROR(__xludf.DUMMYFUNCTION("""COMPUTED_VALUE"""),"0988580755")</f>
        <v>0988580755</v>
      </c>
      <c r="N2189" s="3">
        <f>IFERROR(__xludf.DUMMYFUNCTION("""COMPUTED_VALUE"""),11194.0)</f>
        <v>11194</v>
      </c>
      <c r="O2189" s="3" t="str">
        <f>IFERROR(__xludf.DUMMYFUNCTION("""COMPUTED_VALUE"""),"รังสิต-2")</f>
        <v>รังสิต-2</v>
      </c>
      <c r="P2189" s="4">
        <f>IFERROR(__xludf.DUMMYFUNCTION("""COMPUTED_VALUE"""),41065.0)</f>
        <v>41065</v>
      </c>
      <c r="Q2189" s="3" t="str">
        <f>IFERROR(__xludf.DUMMYFUNCTION("""COMPUTED_VALUE"""),"A")</f>
        <v>A</v>
      </c>
      <c r="R2189" s="3" t="str">
        <f>IFERROR(__xludf.DUMMYFUNCTION("""COMPUTED_VALUE"""),"Big Format")</f>
        <v>Big Format</v>
      </c>
      <c r="S2189" s="3" t="str">
        <f>IFERROR(__xludf.DUMMYFUNCTION("""COMPUTED_VALUE"""),"PURE")</f>
        <v>PURE</v>
      </c>
      <c r="T2189" s="3" t="str">
        <f>IFERROR(__xludf.DUMMYFUNCTION("""COMPUTED_VALUE"""),"#N/A")</f>
        <v>#N/A</v>
      </c>
      <c r="U2189" s="3" t="str">
        <f>IFERROR(__xludf.DUMMYFUNCTION("""COMPUTED_VALUE"""),"#N/A")</f>
        <v>#N/A</v>
      </c>
      <c r="V2189" s="3" t="str">
        <f>IFERROR(__xludf.DUMMYFUNCTION("""COMPUTED_VALUE"""),"N")</f>
        <v>N</v>
      </c>
      <c r="W2189" s="3">
        <f>IFERROR(__xludf.DUMMYFUNCTION("""COMPUTED_VALUE"""),111194.0)</f>
        <v>111194</v>
      </c>
      <c r="X2189" s="3" t="str">
        <f>IFERROR(__xludf.DUMMYFUNCTION("""COMPUTED_VALUE"""),"70/1 หมู่ 15 ถนนพหลโยธิน ตำบลคูคต อำเภอลำลูกกา จังหวัดปทุมธานี 12130")</f>
        <v>70/1 หมู่ 15 ถนนพหลโยธิน ตำบลคูคต อำเภอลำลูกกา จังหวัดปทุมธานี 12130</v>
      </c>
      <c r="Y2189" s="3"/>
      <c r="Z2189" s="3" t="str">
        <f>IFERROR(__xludf.DUMMYFUNCTION("""COMPUTED_VALUE"""),"คูคต")</f>
        <v>คูคต</v>
      </c>
      <c r="AA2189" s="3" t="str">
        <f>IFERROR(__xludf.DUMMYFUNCTION("""COMPUTED_VALUE"""),"ลำลูกกา")</f>
        <v>ลำลูกกา</v>
      </c>
      <c r="AB2189" s="3" t="str">
        <f>IFERROR(__xludf.DUMMYFUNCTION("""COMPUTED_VALUE"""),"ปทุมธานี")</f>
        <v>ปทุมธานี</v>
      </c>
      <c r="AC2189" s="3">
        <f>IFERROR(__xludf.DUMMYFUNCTION("""COMPUTED_VALUE"""),12130.0)</f>
        <v>12130</v>
      </c>
      <c r="AD2189" s="3">
        <f>IFERROR(__xludf.DUMMYFUNCTION("""COMPUTED_VALUE"""),0.0)</f>
        <v>0</v>
      </c>
      <c r="AE2189" s="3">
        <f>IFERROR(__xludf.DUMMYFUNCTION("""COMPUTED_VALUE"""),0.0)</f>
        <v>0</v>
      </c>
      <c r="AF2189" s="3" t="str">
        <f>IFERROR(__xludf.DUMMYFUNCTION("""COMPUTED_VALUE"""),"เพรียวรังสิต2-41065")</f>
        <v>เพรียวรังสิต2-41065</v>
      </c>
      <c r="AG2189" s="3" t="str">
        <f>IFERROR(__xludf.DUMMYFUNCTION("""COMPUTED_VALUE"""),"กลาง")</f>
        <v>กลาง</v>
      </c>
      <c r="AH2189" s="3" t="str">
        <f>IFERROR(__xludf.DUMMYFUNCTION("""COMPUTED_VALUE"""),"#N/A")</f>
        <v>#N/A</v>
      </c>
      <c r="AI2189" s="3" t="str">
        <f>IFERROR(__xludf.DUMMYFUNCTION("""COMPUTED_VALUE"""),"Out of warranty")</f>
        <v>Out of warranty</v>
      </c>
      <c r="AJ2189" s="3">
        <f>IFERROR(__xludf.DUMMYFUNCTION("""COMPUTED_VALUE"""),164.0)</f>
        <v>164</v>
      </c>
      <c r="AK2189" s="3"/>
      <c r="AL2189" s="3"/>
    </row>
    <row r="2190" ht="15.75" customHeight="1">
      <c r="A2190" s="1" t="str">
        <f>IFERROR(__xludf.DUMMYFUNCTION("""COMPUTED_VALUE"""),"41066")</f>
        <v>41066</v>
      </c>
      <c r="B2190" s="2">
        <f>IFERROR(__xludf.DUMMYFUNCTION("""COMPUTED_VALUE"""),41066.0)</f>
        <v>41066</v>
      </c>
      <c r="C2190" s="3" t="str">
        <f>IFERROR(__xludf.DUMMYFUNCTION("""COMPUTED_VALUE"""),"เพรียวมหาสารคาม")</f>
        <v>เพรียวมหาสารคาม</v>
      </c>
      <c r="D2190" s="3" t="str">
        <f>IFERROR(__xludf.DUMMYFUNCTION("""COMPUTED_VALUE"""),"BIGC MAHASARAKHAM PURE")</f>
        <v>BIGC MAHASARAKHAM PURE</v>
      </c>
      <c r="E2190" s="1" t="str">
        <f>IFERROR(__xludf.DUMMYFUNCTION("""COMPUTED_VALUE"""),"PURE")</f>
        <v>PURE</v>
      </c>
      <c r="F2190" s="1" t="str">
        <f>IFERROR(__xludf.DUMMYFUNCTION("""COMPUTED_VALUE"""),"2083583")</f>
        <v>2083583</v>
      </c>
      <c r="G2190" s="1" t="str">
        <f>IFERROR(__xludf.DUMMYFUNCTION("""COMPUTED_VALUE"""),"นายอรรณพ ศรีแก้ว")</f>
        <v>นายอรรณพ ศรีแก้ว</v>
      </c>
      <c r="H2190" s="1" t="str">
        <f>IFERROR(__xludf.DUMMYFUNCTION("""COMPUTED_VALUE"""),"2083583")</f>
        <v>2083583</v>
      </c>
      <c r="I2190" s="1" t="str">
        <f>IFERROR(__xludf.DUMMYFUNCTION("""COMPUTED_VALUE"""),"นายอรรณพ ศรีแก้ว")</f>
        <v>นายอรรณพ ศรีแก้ว</v>
      </c>
      <c r="J2190" s="1" t="str">
        <f>IFERROR(__xludf.DUMMYFUNCTION("""COMPUTED_VALUE"""),"295801")</f>
        <v>295801</v>
      </c>
      <c r="K2190" s="3" t="str">
        <f>IFERROR(__xludf.DUMMYFUNCTION("""COMPUTED_VALUE"""),"นายอรรถพล เหล่าสุวงศ์")</f>
        <v>นายอรรถพล เหล่าสุวงศ์</v>
      </c>
      <c r="L2190" s="1" t="str">
        <f>IFERROR(__xludf.DUMMYFUNCTION("""COMPUTED_VALUE"""),"Hub09-NE 1")</f>
        <v>Hub09-NE 1</v>
      </c>
      <c r="M2190" s="1" t="str">
        <f>IFERROR(__xludf.DUMMYFUNCTION("""COMPUTED_VALUE"""),"0655090879")</f>
        <v>0655090879</v>
      </c>
      <c r="N2190" s="3">
        <f>IFERROR(__xludf.DUMMYFUNCTION("""COMPUTED_VALUE"""),11166.0)</f>
        <v>11166</v>
      </c>
      <c r="O2190" s="3" t="str">
        <f>IFERROR(__xludf.DUMMYFUNCTION("""COMPUTED_VALUE"""),"มหาสารคาม")</f>
        <v>มหาสารคาม</v>
      </c>
      <c r="P2190" s="4">
        <f>IFERROR(__xludf.DUMMYFUNCTION("""COMPUTED_VALUE"""),41068.0)</f>
        <v>41068</v>
      </c>
      <c r="Q2190" s="3" t="str">
        <f>IFERROR(__xludf.DUMMYFUNCTION("""COMPUTED_VALUE"""),"A")</f>
        <v>A</v>
      </c>
      <c r="R2190" s="3" t="str">
        <f>IFERROR(__xludf.DUMMYFUNCTION("""COMPUTED_VALUE"""),"Big Format")</f>
        <v>Big Format</v>
      </c>
      <c r="S2190" s="3" t="str">
        <f>IFERROR(__xludf.DUMMYFUNCTION("""COMPUTED_VALUE"""),"PURE")</f>
        <v>PURE</v>
      </c>
      <c r="T2190" s="3" t="str">
        <f>IFERROR(__xludf.DUMMYFUNCTION("""COMPUTED_VALUE"""),"#N/A")</f>
        <v>#N/A</v>
      </c>
      <c r="U2190" s="3" t="str">
        <f>IFERROR(__xludf.DUMMYFUNCTION("""COMPUTED_VALUE"""),"#N/A")</f>
        <v>#N/A</v>
      </c>
      <c r="V2190" s="3" t="str">
        <f>IFERROR(__xludf.DUMMYFUNCTION("""COMPUTED_VALUE"""),"N")</f>
        <v>N</v>
      </c>
      <c r="W2190" s="3">
        <f>IFERROR(__xludf.DUMMYFUNCTION("""COMPUTED_VALUE"""),111166.0)</f>
        <v>111166</v>
      </c>
      <c r="X2190" s="3" t="str">
        <f>IFERROR(__xludf.DUMMYFUNCTION("""COMPUTED_VALUE"""),"238/1-3 หมู่ที่ 11 ตำบลเกิ้ง อำเภอเมืองมหาสารคาม จังหวัดมหาสารคาม 44000")</f>
        <v>238/1-3 หมู่ที่ 11 ตำบลเกิ้ง อำเภอเมืองมหาสารคาม จังหวัดมหาสารคาม 44000</v>
      </c>
      <c r="Y2190" s="3"/>
      <c r="Z2190" s="3" t="str">
        <f>IFERROR(__xludf.DUMMYFUNCTION("""COMPUTED_VALUE"""),"เกิ้ง")</f>
        <v>เกิ้ง</v>
      </c>
      <c r="AA2190" s="3" t="str">
        <f>IFERROR(__xludf.DUMMYFUNCTION("""COMPUTED_VALUE"""),"เมือง")</f>
        <v>เมือง</v>
      </c>
      <c r="AB2190" s="3" t="str">
        <f>IFERROR(__xludf.DUMMYFUNCTION("""COMPUTED_VALUE"""),"มหาสารคาม")</f>
        <v>มหาสารคาม</v>
      </c>
      <c r="AC2190" s="3">
        <f>IFERROR(__xludf.DUMMYFUNCTION("""COMPUTED_VALUE"""),44000.0)</f>
        <v>44000</v>
      </c>
      <c r="AD2190" s="3">
        <f>IFERROR(__xludf.DUMMYFUNCTION("""COMPUTED_VALUE"""),0.0)</f>
        <v>0</v>
      </c>
      <c r="AE2190" s="3">
        <f>IFERROR(__xludf.DUMMYFUNCTION("""COMPUTED_VALUE"""),0.0)</f>
        <v>0</v>
      </c>
      <c r="AF2190" s="3" t="str">
        <f>IFERROR(__xludf.DUMMYFUNCTION("""COMPUTED_VALUE"""),"เพรียวมหาสารคาม-41066")</f>
        <v>เพรียวมหาสารคาม-41066</v>
      </c>
      <c r="AG2190" s="3" t="str">
        <f>IFERROR(__xludf.DUMMYFUNCTION("""COMPUTED_VALUE"""),"ตะวันออกเฉียงเหนือ")</f>
        <v>ตะวันออกเฉียงเหนือ</v>
      </c>
      <c r="AH2190" s="3" t="str">
        <f>IFERROR(__xludf.DUMMYFUNCTION("""COMPUTED_VALUE"""),"#N/A")</f>
        <v>#N/A</v>
      </c>
      <c r="AI2190" s="3" t="str">
        <f>IFERROR(__xludf.DUMMYFUNCTION("""COMPUTED_VALUE"""),"Out of warranty")</f>
        <v>Out of warranty</v>
      </c>
      <c r="AJ2190" s="3">
        <f>IFERROR(__xludf.DUMMYFUNCTION("""COMPUTED_VALUE"""),164.0)</f>
        <v>164</v>
      </c>
      <c r="AK2190" s="3"/>
      <c r="AL2190" s="3"/>
    </row>
    <row r="2191" ht="15.75" customHeight="1">
      <c r="A2191" s="1" t="str">
        <f>IFERROR(__xludf.DUMMYFUNCTION("""COMPUTED_VALUE"""),"41067")</f>
        <v>41067</v>
      </c>
      <c r="B2191" s="2">
        <f>IFERROR(__xludf.DUMMYFUNCTION("""COMPUTED_VALUE"""),41067.0)</f>
        <v>41067</v>
      </c>
      <c r="C2191" s="3" t="str">
        <f>IFERROR(__xludf.DUMMYFUNCTION("""COMPUTED_VALUE"""),"เพรียวชัยภูมิ")</f>
        <v>เพรียวชัยภูมิ</v>
      </c>
      <c r="D2191" s="3" t="str">
        <f>IFERROR(__xludf.DUMMYFUNCTION("""COMPUTED_VALUE"""),"BIGC CHAIYAPHUM PURE")</f>
        <v>BIGC CHAIYAPHUM PURE</v>
      </c>
      <c r="E2191" s="1" t="str">
        <f>IFERROR(__xludf.DUMMYFUNCTION("""COMPUTED_VALUE"""),"PURE")</f>
        <v>PURE</v>
      </c>
      <c r="F2191" s="1" t="str">
        <f>IFERROR(__xludf.DUMMYFUNCTION("""COMPUTED_VALUE"""),"2083583")</f>
        <v>2083583</v>
      </c>
      <c r="G2191" s="1" t="str">
        <f>IFERROR(__xludf.DUMMYFUNCTION("""COMPUTED_VALUE"""),"นายอรรณพ ศรีแก้ว")</f>
        <v>นายอรรณพ ศรีแก้ว</v>
      </c>
      <c r="H2191" s="1" t="str">
        <f>IFERROR(__xludf.DUMMYFUNCTION("""COMPUTED_VALUE"""),"2083583")</f>
        <v>2083583</v>
      </c>
      <c r="I2191" s="1" t="str">
        <f>IFERROR(__xludf.DUMMYFUNCTION("""COMPUTED_VALUE"""),"นายอรรณพ ศรีแก้ว")</f>
        <v>นายอรรณพ ศรีแก้ว</v>
      </c>
      <c r="J2191" s="1" t="str">
        <f>IFERROR(__xludf.DUMMYFUNCTION("""COMPUTED_VALUE"""),"033317")</f>
        <v>033317</v>
      </c>
      <c r="K2191" s="3" t="str">
        <f>IFERROR(__xludf.DUMMYFUNCTION("""COMPUTED_VALUE"""),"นายอาณัติ เพชรภาน")</f>
        <v>นายอาณัติ เพชรภาน</v>
      </c>
      <c r="L2191" s="1" t="str">
        <f>IFERROR(__xludf.DUMMYFUNCTION("""COMPUTED_VALUE"""),"Hub10-NE 2")</f>
        <v>Hub10-NE 2</v>
      </c>
      <c r="M2191" s="1" t="str">
        <f>IFERROR(__xludf.DUMMYFUNCTION("""COMPUTED_VALUE"""),"0644791409")</f>
        <v>0644791409</v>
      </c>
      <c r="N2191" s="3">
        <f>IFERROR(__xludf.DUMMYFUNCTION("""COMPUTED_VALUE"""),11158.0)</f>
        <v>11158</v>
      </c>
      <c r="O2191" s="3" t="str">
        <f>IFERROR(__xludf.DUMMYFUNCTION("""COMPUTED_VALUE"""),"ชัยภูมิ")</f>
        <v>ชัยภูมิ</v>
      </c>
      <c r="P2191" s="4">
        <f>IFERROR(__xludf.DUMMYFUNCTION("""COMPUTED_VALUE"""),41074.0)</f>
        <v>41074</v>
      </c>
      <c r="Q2191" s="3" t="str">
        <f>IFERROR(__xludf.DUMMYFUNCTION("""COMPUTED_VALUE"""),"A")</f>
        <v>A</v>
      </c>
      <c r="R2191" s="3" t="str">
        <f>IFERROR(__xludf.DUMMYFUNCTION("""COMPUTED_VALUE"""),"Big Format")</f>
        <v>Big Format</v>
      </c>
      <c r="S2191" s="3" t="str">
        <f>IFERROR(__xludf.DUMMYFUNCTION("""COMPUTED_VALUE"""),"PURE")</f>
        <v>PURE</v>
      </c>
      <c r="T2191" s="3" t="str">
        <f>IFERROR(__xludf.DUMMYFUNCTION("""COMPUTED_VALUE"""),"#N/A")</f>
        <v>#N/A</v>
      </c>
      <c r="U2191" s="3" t="str">
        <f>IFERROR(__xludf.DUMMYFUNCTION("""COMPUTED_VALUE"""),"#N/A")</f>
        <v>#N/A</v>
      </c>
      <c r="V2191" s="3" t="str">
        <f>IFERROR(__xludf.DUMMYFUNCTION("""COMPUTED_VALUE"""),"N")</f>
        <v>N</v>
      </c>
      <c r="W2191" s="3">
        <f>IFERROR(__xludf.DUMMYFUNCTION("""COMPUTED_VALUE"""),111158.0)</f>
        <v>111158</v>
      </c>
      <c r="X2191" s="3" t="str">
        <f>IFERROR(__xludf.DUMMYFUNCTION("""COMPUTED_VALUE"""),"99 หมู่ที่ 1 ตำบลบุ่งคล้า อำเภอเมืองชัยภูมิ จังหวัดชัยภูมิ 36000")</f>
        <v>99 หมู่ที่ 1 ตำบลบุ่งคล้า อำเภอเมืองชัยภูมิ จังหวัดชัยภูมิ 36000</v>
      </c>
      <c r="Y2191" s="3"/>
      <c r="Z2191" s="3" t="str">
        <f>IFERROR(__xludf.DUMMYFUNCTION("""COMPUTED_VALUE"""),"บุ่งคล้า")</f>
        <v>บุ่งคล้า</v>
      </c>
      <c r="AA2191" s="3" t="str">
        <f>IFERROR(__xludf.DUMMYFUNCTION("""COMPUTED_VALUE"""),"เมือง")</f>
        <v>เมือง</v>
      </c>
      <c r="AB2191" s="3" t="str">
        <f>IFERROR(__xludf.DUMMYFUNCTION("""COMPUTED_VALUE"""),"ชัยภูมิ")</f>
        <v>ชัยภูมิ</v>
      </c>
      <c r="AC2191" s="3">
        <f>IFERROR(__xludf.DUMMYFUNCTION("""COMPUTED_VALUE"""),36000.0)</f>
        <v>36000</v>
      </c>
      <c r="AD2191" s="3">
        <f>IFERROR(__xludf.DUMMYFUNCTION("""COMPUTED_VALUE"""),0.0)</f>
        <v>0</v>
      </c>
      <c r="AE2191" s="3">
        <f>IFERROR(__xludf.DUMMYFUNCTION("""COMPUTED_VALUE"""),0.0)</f>
        <v>0</v>
      </c>
      <c r="AF2191" s="3" t="str">
        <f>IFERROR(__xludf.DUMMYFUNCTION("""COMPUTED_VALUE"""),"เพรียวชัยภูมิ-41067")</f>
        <v>เพรียวชัยภูมิ-41067</v>
      </c>
      <c r="AG2191" s="3" t="str">
        <f>IFERROR(__xludf.DUMMYFUNCTION("""COMPUTED_VALUE"""),"ตะวันออกเฉียงเหนือ")</f>
        <v>ตะวันออกเฉียงเหนือ</v>
      </c>
      <c r="AH2191" s="3" t="str">
        <f>IFERROR(__xludf.DUMMYFUNCTION("""COMPUTED_VALUE"""),"#N/A")</f>
        <v>#N/A</v>
      </c>
      <c r="AI2191" s="3" t="str">
        <f>IFERROR(__xludf.DUMMYFUNCTION("""COMPUTED_VALUE"""),"Out of warranty")</f>
        <v>Out of warranty</v>
      </c>
      <c r="AJ2191" s="3">
        <f>IFERROR(__xludf.DUMMYFUNCTION("""COMPUTED_VALUE"""),164.0)</f>
        <v>164</v>
      </c>
      <c r="AK2191" s="3"/>
      <c r="AL2191" s="3"/>
    </row>
    <row r="2192" ht="15.75" customHeight="1">
      <c r="A2192" s="1" t="str">
        <f>IFERROR(__xludf.DUMMYFUNCTION("""COMPUTED_VALUE"""),"41069")</f>
        <v>41069</v>
      </c>
      <c r="B2192" s="2">
        <f>IFERROR(__xludf.DUMMYFUNCTION("""COMPUTED_VALUE"""),41069.0)</f>
        <v>41069</v>
      </c>
      <c r="C2192" s="3" t="str">
        <f>IFERROR(__xludf.DUMMYFUNCTION("""COMPUTED_VALUE"""),"เพรียวลำพูน")</f>
        <v>เพรียวลำพูน</v>
      </c>
      <c r="D2192" s="3" t="str">
        <f>IFERROR(__xludf.DUMMYFUNCTION("""COMPUTED_VALUE"""),"BIGC LAMPHUN PURE")</f>
        <v>BIGC LAMPHUN PURE</v>
      </c>
      <c r="E2192" s="1" t="str">
        <f>IFERROR(__xludf.DUMMYFUNCTION("""COMPUTED_VALUE"""),"PURE")</f>
        <v>PURE</v>
      </c>
      <c r="F2192" s="1" t="str">
        <f>IFERROR(__xludf.DUMMYFUNCTION("""COMPUTED_VALUE"""),"2082102")</f>
        <v>2082102</v>
      </c>
      <c r="G2192" s="1" t="str">
        <f>IFERROR(__xludf.DUMMYFUNCTION("""COMPUTED_VALUE"""),"น.ส.วัชรา มหาวันแจ่ม")</f>
        <v>น.ส.วัชรา มหาวันแจ่ม</v>
      </c>
      <c r="H2192" s="1" t="str">
        <f>IFERROR(__xludf.DUMMYFUNCTION("""COMPUTED_VALUE"""),"2082102")</f>
        <v>2082102</v>
      </c>
      <c r="I2192" s="1" t="str">
        <f>IFERROR(__xludf.DUMMYFUNCTION("""COMPUTED_VALUE"""),"น.ส.วัชรา มหาวันแจ่ม")</f>
        <v>น.ส.วัชรา มหาวันแจ่ม</v>
      </c>
      <c r="J2192" s="1" t="str">
        <f>IFERROR(__xludf.DUMMYFUNCTION("""COMPUTED_VALUE"""),"000348")</f>
        <v>000348</v>
      </c>
      <c r="K2192" s="3" t="str">
        <f>IFERROR(__xludf.DUMMYFUNCTION("""COMPUTED_VALUE"""),"นายธีรนันท์ ไม้สนธิ์")</f>
        <v>นายธีรนันท์ ไม้สนธิ์</v>
      </c>
      <c r="L2192" s="1" t="str">
        <f>IFERROR(__xludf.DUMMYFUNCTION("""COMPUTED_VALUE"""),"Hub07-North")</f>
        <v>Hub07-North</v>
      </c>
      <c r="M2192" s="1" t="str">
        <f>IFERROR(__xludf.DUMMYFUNCTION("""COMPUTED_VALUE"""),"0614175866")</f>
        <v>0614175866</v>
      </c>
      <c r="N2192" s="3">
        <f>IFERROR(__xludf.DUMMYFUNCTION("""COMPUTED_VALUE"""),11150.0)</f>
        <v>11150</v>
      </c>
      <c r="O2192" s="3" t="str">
        <f>IFERROR(__xludf.DUMMYFUNCTION("""COMPUTED_VALUE"""),"ลำพูน")</f>
        <v>ลำพูน</v>
      </c>
      <c r="P2192" s="4">
        <f>IFERROR(__xludf.DUMMYFUNCTION("""COMPUTED_VALUE"""),41086.0)</f>
        <v>41086</v>
      </c>
      <c r="Q2192" s="3" t="str">
        <f>IFERROR(__xludf.DUMMYFUNCTION("""COMPUTED_VALUE"""),"A")</f>
        <v>A</v>
      </c>
      <c r="R2192" s="3" t="str">
        <f>IFERROR(__xludf.DUMMYFUNCTION("""COMPUTED_VALUE"""),"Big Format")</f>
        <v>Big Format</v>
      </c>
      <c r="S2192" s="3" t="str">
        <f>IFERROR(__xludf.DUMMYFUNCTION("""COMPUTED_VALUE"""),"PURE")</f>
        <v>PURE</v>
      </c>
      <c r="T2192" s="3" t="str">
        <f>IFERROR(__xludf.DUMMYFUNCTION("""COMPUTED_VALUE"""),"#N/A")</f>
        <v>#N/A</v>
      </c>
      <c r="U2192" s="3" t="str">
        <f>IFERROR(__xludf.DUMMYFUNCTION("""COMPUTED_VALUE"""),"#N/A")</f>
        <v>#N/A</v>
      </c>
      <c r="V2192" s="3" t="str">
        <f>IFERROR(__xludf.DUMMYFUNCTION("""COMPUTED_VALUE"""),"N")</f>
        <v>N</v>
      </c>
      <c r="W2192" s="3">
        <f>IFERROR(__xludf.DUMMYFUNCTION("""COMPUTED_VALUE"""),111150.0)</f>
        <v>111150</v>
      </c>
      <c r="X2192" s="3" t="str">
        <f>IFERROR(__xludf.DUMMYFUNCTION("""COMPUTED_VALUE"""),"200 หมู่ที่ 4 ตำบลบ้านกลาง อำเภอเมืองลำพูน จังหวัดลำพูน 51000")</f>
        <v>200 หมู่ที่ 4 ตำบลบ้านกลาง อำเภอเมืองลำพูน จังหวัดลำพูน 51000</v>
      </c>
      <c r="Y2192" s="3"/>
      <c r="Z2192" s="3" t="str">
        <f>IFERROR(__xludf.DUMMYFUNCTION("""COMPUTED_VALUE"""),"บ้านกลาง")</f>
        <v>บ้านกลาง</v>
      </c>
      <c r="AA2192" s="3" t="str">
        <f>IFERROR(__xludf.DUMMYFUNCTION("""COMPUTED_VALUE"""),"เมือง")</f>
        <v>เมือง</v>
      </c>
      <c r="AB2192" s="3" t="str">
        <f>IFERROR(__xludf.DUMMYFUNCTION("""COMPUTED_VALUE"""),"ลำพูน")</f>
        <v>ลำพูน</v>
      </c>
      <c r="AC2192" s="3">
        <f>IFERROR(__xludf.DUMMYFUNCTION("""COMPUTED_VALUE"""),51000.0)</f>
        <v>51000</v>
      </c>
      <c r="AD2192" s="3">
        <f>IFERROR(__xludf.DUMMYFUNCTION("""COMPUTED_VALUE"""),0.0)</f>
        <v>0</v>
      </c>
      <c r="AE2192" s="3">
        <f>IFERROR(__xludf.DUMMYFUNCTION("""COMPUTED_VALUE"""),0.0)</f>
        <v>0</v>
      </c>
      <c r="AF2192" s="3" t="str">
        <f>IFERROR(__xludf.DUMMYFUNCTION("""COMPUTED_VALUE"""),"เพรียวลำพูน-41069")</f>
        <v>เพรียวลำพูน-41069</v>
      </c>
      <c r="AG2192" s="3" t="str">
        <f>IFERROR(__xludf.DUMMYFUNCTION("""COMPUTED_VALUE"""),"เหนือ")</f>
        <v>เหนือ</v>
      </c>
      <c r="AH2192" s="3" t="str">
        <f>IFERROR(__xludf.DUMMYFUNCTION("""COMPUTED_VALUE"""),"#N/A")</f>
        <v>#N/A</v>
      </c>
      <c r="AI2192" s="3" t="str">
        <f>IFERROR(__xludf.DUMMYFUNCTION("""COMPUTED_VALUE"""),"Out of warranty")</f>
        <v>Out of warranty</v>
      </c>
      <c r="AJ2192" s="3">
        <f>IFERROR(__xludf.DUMMYFUNCTION("""COMPUTED_VALUE"""),163.0)</f>
        <v>163</v>
      </c>
      <c r="AK2192" s="3"/>
      <c r="AL2192" s="3"/>
    </row>
    <row r="2193" ht="15.75" customHeight="1">
      <c r="A2193" s="1" t="str">
        <f>IFERROR(__xludf.DUMMYFUNCTION("""COMPUTED_VALUE"""),"41070")</f>
        <v>41070</v>
      </c>
      <c r="B2193" s="2">
        <f>IFERROR(__xludf.DUMMYFUNCTION("""COMPUTED_VALUE"""),41070.0)</f>
        <v>41070</v>
      </c>
      <c r="C2193" s="3" t="str">
        <f>IFERROR(__xludf.DUMMYFUNCTION("""COMPUTED_VALUE"""),"เพรียวอยุธยา")</f>
        <v>เพรียวอยุธยา</v>
      </c>
      <c r="D2193" s="3" t="str">
        <f>IFERROR(__xludf.DUMMYFUNCTION("""COMPUTED_VALUE"""),"BIGC AYUTTHAYA PURE")</f>
        <v>BIGC AYUTTHAYA PURE</v>
      </c>
      <c r="E2193" s="1" t="str">
        <f>IFERROR(__xludf.DUMMYFUNCTION("""COMPUTED_VALUE"""),"PURE")</f>
        <v>PURE</v>
      </c>
      <c r="F2193" s="1" t="str">
        <f>IFERROR(__xludf.DUMMYFUNCTION("""COMPUTED_VALUE"""),"2082102")</f>
        <v>2082102</v>
      </c>
      <c r="G2193" s="1" t="str">
        <f>IFERROR(__xludf.DUMMYFUNCTION("""COMPUTED_VALUE"""),"น.ส.วัชรา มหาวันแจ่ม")</f>
        <v>น.ส.วัชรา มหาวันแจ่ม</v>
      </c>
      <c r="H2193" s="1" t="str">
        <f>IFERROR(__xludf.DUMMYFUNCTION("""COMPUTED_VALUE"""),"2082102")</f>
        <v>2082102</v>
      </c>
      <c r="I2193" s="1" t="str">
        <f>IFERROR(__xludf.DUMMYFUNCTION("""COMPUTED_VALUE"""),"น.ส.วัชรา มหาวันแจ่ม")</f>
        <v>น.ส.วัชรา มหาวันแจ่ม</v>
      </c>
      <c r="J2193" s="1" t="str">
        <f>IFERROR(__xludf.DUMMYFUNCTION("""COMPUTED_VALUE"""),"2455179")</f>
        <v>2455179</v>
      </c>
      <c r="K2193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2193" s="1" t="str">
        <f>IFERROR(__xludf.DUMMYFUNCTION("""COMPUTED_VALUE"""),"Hub06-C&amp;W")</f>
        <v>Hub06-C&amp;W</v>
      </c>
      <c r="M2193" s="1" t="str">
        <f>IFERROR(__xludf.DUMMYFUNCTION("""COMPUTED_VALUE"""),"090-993-6896")</f>
        <v>090-993-6896</v>
      </c>
      <c r="N2193" s="3">
        <f>IFERROR(__xludf.DUMMYFUNCTION("""COMPUTED_VALUE"""),11155.0)</f>
        <v>11155</v>
      </c>
      <c r="O2193" s="3" t="str">
        <f>IFERROR(__xludf.DUMMYFUNCTION("""COMPUTED_VALUE"""),"อยุธยา")</f>
        <v>อยุธยา</v>
      </c>
      <c r="P2193" s="4">
        <f>IFERROR(__xludf.DUMMYFUNCTION("""COMPUTED_VALUE"""),41093.0)</f>
        <v>41093</v>
      </c>
      <c r="Q2193" s="3" t="str">
        <f>IFERROR(__xludf.DUMMYFUNCTION("""COMPUTED_VALUE"""),"A")</f>
        <v>A</v>
      </c>
      <c r="R2193" s="3" t="str">
        <f>IFERROR(__xludf.DUMMYFUNCTION("""COMPUTED_VALUE"""),"Big Format")</f>
        <v>Big Format</v>
      </c>
      <c r="S2193" s="3" t="str">
        <f>IFERROR(__xludf.DUMMYFUNCTION("""COMPUTED_VALUE"""),"PURE")</f>
        <v>PURE</v>
      </c>
      <c r="T2193" s="3" t="str">
        <f>IFERROR(__xludf.DUMMYFUNCTION("""COMPUTED_VALUE"""),"#N/A")</f>
        <v>#N/A</v>
      </c>
      <c r="U2193" s="3" t="str">
        <f>IFERROR(__xludf.DUMMYFUNCTION("""COMPUTED_VALUE"""),"#N/A")</f>
        <v>#N/A</v>
      </c>
      <c r="V2193" s="3" t="str">
        <f>IFERROR(__xludf.DUMMYFUNCTION("""COMPUTED_VALUE"""),"N")</f>
        <v>N</v>
      </c>
      <c r="W2193" s="3">
        <f>IFERROR(__xludf.DUMMYFUNCTION("""COMPUTED_VALUE"""),111155.0)</f>
        <v>111155</v>
      </c>
      <c r="X2193" s="3" t="str">
        <f>IFERROR(__xludf.DUMMYFUNCTION("""COMPUTED_VALUE"""),"80 หมู่ที่ 2 ตำบลบ้านกรด อำเภอบางปะอิน จังหวัดพระนครศรีอยุธยา 13160")</f>
        <v>80 หมู่ที่ 2 ตำบลบ้านกรด อำเภอบางปะอิน จังหวัดพระนครศรีอยุธยา 13160</v>
      </c>
      <c r="Y2193" s="3"/>
      <c r="Z2193" s="3" t="str">
        <f>IFERROR(__xludf.DUMMYFUNCTION("""COMPUTED_VALUE"""),"บ้านกรด")</f>
        <v>บ้านกรด</v>
      </c>
      <c r="AA2193" s="3" t="str">
        <f>IFERROR(__xludf.DUMMYFUNCTION("""COMPUTED_VALUE"""),"บางปะอิน")</f>
        <v>บางปะอิน</v>
      </c>
      <c r="AB2193" s="3" t="str">
        <f>IFERROR(__xludf.DUMMYFUNCTION("""COMPUTED_VALUE"""),"พระนครศรีอยุธยา")</f>
        <v>พระนครศรีอยุธยา</v>
      </c>
      <c r="AC2193" s="3">
        <f>IFERROR(__xludf.DUMMYFUNCTION("""COMPUTED_VALUE"""),13160.0)</f>
        <v>13160</v>
      </c>
      <c r="AD2193" s="3">
        <f>IFERROR(__xludf.DUMMYFUNCTION("""COMPUTED_VALUE"""),0.0)</f>
        <v>0</v>
      </c>
      <c r="AE2193" s="3">
        <f>IFERROR(__xludf.DUMMYFUNCTION("""COMPUTED_VALUE"""),0.0)</f>
        <v>0</v>
      </c>
      <c r="AF2193" s="3" t="str">
        <f>IFERROR(__xludf.DUMMYFUNCTION("""COMPUTED_VALUE"""),"เพรียวอยุธยา-41070")</f>
        <v>เพรียวอยุธยา-41070</v>
      </c>
      <c r="AG2193" s="3" t="str">
        <f>IFERROR(__xludf.DUMMYFUNCTION("""COMPUTED_VALUE"""),"กลาง")</f>
        <v>กลาง</v>
      </c>
      <c r="AH2193" s="3" t="str">
        <f>IFERROR(__xludf.DUMMYFUNCTION("""COMPUTED_VALUE"""),"#N/A")</f>
        <v>#N/A</v>
      </c>
      <c r="AI2193" s="3" t="str">
        <f>IFERROR(__xludf.DUMMYFUNCTION("""COMPUTED_VALUE"""),"Out of warranty")</f>
        <v>Out of warranty</v>
      </c>
      <c r="AJ2193" s="3">
        <f>IFERROR(__xludf.DUMMYFUNCTION("""COMPUTED_VALUE"""),163.0)</f>
        <v>163</v>
      </c>
      <c r="AK2193" s="3"/>
      <c r="AL2193" s="3"/>
    </row>
    <row r="2194" ht="15.75" customHeight="1">
      <c r="A2194" s="1" t="str">
        <f>IFERROR(__xludf.DUMMYFUNCTION("""COMPUTED_VALUE"""),"41071")</f>
        <v>41071</v>
      </c>
      <c r="B2194" s="2">
        <f>IFERROR(__xludf.DUMMYFUNCTION("""COMPUTED_VALUE"""),41071.0)</f>
        <v>41071</v>
      </c>
      <c r="C2194" s="3" t="str">
        <f>IFERROR(__xludf.DUMMYFUNCTION("""COMPUTED_VALUE"""),"เพรียวรังสิตคลองหก")</f>
        <v>เพรียวรังสิตคลองหก</v>
      </c>
      <c r="D2194" s="3" t="str">
        <f>IFERROR(__xludf.DUMMYFUNCTION("""COMPUTED_VALUE"""),"BIGC RANGSIT KHLONG HOK PURE")</f>
        <v>BIGC RANGSIT KHLONG HOK PURE</v>
      </c>
      <c r="E2194" s="1" t="str">
        <f>IFERROR(__xludf.DUMMYFUNCTION("""COMPUTED_VALUE"""),"PURE")</f>
        <v>PURE</v>
      </c>
      <c r="F2194" s="1" t="str">
        <f>IFERROR(__xludf.DUMMYFUNCTION("""COMPUTED_VALUE"""),"211291")</f>
        <v>211291</v>
      </c>
      <c r="G2194" s="1" t="str">
        <f>IFERROR(__xludf.DUMMYFUNCTION("""COMPUTED_VALUE"""),"น.ส.ปนัดดา มากระจันทน์")</f>
        <v>น.ส.ปนัดดา มากระจันทน์</v>
      </c>
      <c r="H2194" s="1" t="str">
        <f>IFERROR(__xludf.DUMMYFUNCTION("""COMPUTED_VALUE"""),"211291")</f>
        <v>211291</v>
      </c>
      <c r="I2194" s="1" t="str">
        <f>IFERROR(__xludf.DUMMYFUNCTION("""COMPUTED_VALUE"""),"น.ส.ปนัดดา มากระจันทน์")</f>
        <v>น.ส.ปนัดดา มากระจันทน์</v>
      </c>
      <c r="J2194" s="3">
        <f>IFERROR(__xludf.DUMMYFUNCTION("""COMPUTED_VALUE"""),2454813.0)</f>
        <v>2454813</v>
      </c>
      <c r="K2194" s="3" t="str">
        <f>IFERROR(__xludf.DUMMYFUNCTION("""COMPUTED_VALUE"""),"นายอนุรักษ์ จั่นเที่ยง")</f>
        <v>นายอนุรักษ์ จั่นเที่ยง</v>
      </c>
      <c r="L2194" s="1" t="str">
        <f>IFERROR(__xludf.DUMMYFUNCTION("""COMPUTED_VALUE"""),"Hub04-BKK 4")</f>
        <v>Hub04-BKK 4</v>
      </c>
      <c r="M2194" s="1" t="str">
        <f>IFERROR(__xludf.DUMMYFUNCTION("""COMPUTED_VALUE"""),"0991964531")</f>
        <v>0991964531</v>
      </c>
      <c r="N2194" s="3">
        <f>IFERROR(__xludf.DUMMYFUNCTION("""COMPUTED_VALUE"""),11162.0)</f>
        <v>11162</v>
      </c>
      <c r="O2194" s="3" t="str">
        <f>IFERROR(__xludf.DUMMYFUNCTION("""COMPUTED_VALUE"""),"รังสิตคลองหก")</f>
        <v>รังสิตคลองหก</v>
      </c>
      <c r="P2194" s="4">
        <f>IFERROR(__xludf.DUMMYFUNCTION("""COMPUTED_VALUE"""),41100.0)</f>
        <v>41100</v>
      </c>
      <c r="Q2194" s="3" t="str">
        <f>IFERROR(__xludf.DUMMYFUNCTION("""COMPUTED_VALUE"""),"A")</f>
        <v>A</v>
      </c>
      <c r="R2194" s="3" t="str">
        <f>IFERROR(__xludf.DUMMYFUNCTION("""COMPUTED_VALUE"""),"Big Format")</f>
        <v>Big Format</v>
      </c>
      <c r="S2194" s="3" t="str">
        <f>IFERROR(__xludf.DUMMYFUNCTION("""COMPUTED_VALUE"""),"PURE")</f>
        <v>PURE</v>
      </c>
      <c r="T2194" s="3" t="str">
        <f>IFERROR(__xludf.DUMMYFUNCTION("""COMPUTED_VALUE"""),"#N/A")</f>
        <v>#N/A</v>
      </c>
      <c r="U2194" s="3" t="str">
        <f>IFERROR(__xludf.DUMMYFUNCTION("""COMPUTED_VALUE"""),"#N/A")</f>
        <v>#N/A</v>
      </c>
      <c r="V2194" s="3" t="str">
        <f>IFERROR(__xludf.DUMMYFUNCTION("""COMPUTED_VALUE"""),"N")</f>
        <v>N</v>
      </c>
      <c r="W2194" s="3">
        <f>IFERROR(__xludf.DUMMYFUNCTION("""COMPUTED_VALUE"""),111162.0)</f>
        <v>111162</v>
      </c>
      <c r="X2194" s="3" t="str">
        <f>IFERROR(__xludf.DUMMYFUNCTION("""COMPUTED_VALUE"""),"158/17 หมู่ที่ 4 ตำบลรังสิต อำเภอธัญบุรี จังหวัดปทุมธานี 12110")</f>
        <v>158/17 หมู่ที่ 4 ตำบลรังสิต อำเภอธัญบุรี จังหวัดปทุมธานี 12110</v>
      </c>
      <c r="Y2194" s="3"/>
      <c r="Z2194" s="3" t="str">
        <f>IFERROR(__xludf.DUMMYFUNCTION("""COMPUTED_VALUE"""),"รังสิต")</f>
        <v>รังสิต</v>
      </c>
      <c r="AA2194" s="3" t="str">
        <f>IFERROR(__xludf.DUMMYFUNCTION("""COMPUTED_VALUE"""),"ธัญบุรี")</f>
        <v>ธัญบุรี</v>
      </c>
      <c r="AB2194" s="3" t="str">
        <f>IFERROR(__xludf.DUMMYFUNCTION("""COMPUTED_VALUE"""),"ปทุมธานี")</f>
        <v>ปทุมธานี</v>
      </c>
      <c r="AC2194" s="3">
        <f>IFERROR(__xludf.DUMMYFUNCTION("""COMPUTED_VALUE"""),12110.0)</f>
        <v>12110</v>
      </c>
      <c r="AD2194" s="3">
        <f>IFERROR(__xludf.DUMMYFUNCTION("""COMPUTED_VALUE"""),0.0)</f>
        <v>0</v>
      </c>
      <c r="AE2194" s="3">
        <f>IFERROR(__xludf.DUMMYFUNCTION("""COMPUTED_VALUE"""),0.0)</f>
        <v>0</v>
      </c>
      <c r="AF2194" s="3" t="str">
        <f>IFERROR(__xludf.DUMMYFUNCTION("""COMPUTED_VALUE"""),"เพรียวรังสิตคลองหก-41071")</f>
        <v>เพรียวรังสิตคลองหก-41071</v>
      </c>
      <c r="AG2194" s="3" t="str">
        <f>IFERROR(__xludf.DUMMYFUNCTION("""COMPUTED_VALUE"""),"กลาง")</f>
        <v>กลาง</v>
      </c>
      <c r="AH2194" s="3" t="str">
        <f>IFERROR(__xludf.DUMMYFUNCTION("""COMPUTED_VALUE"""),"#N/A")</f>
        <v>#N/A</v>
      </c>
      <c r="AI2194" s="3" t="str">
        <f>IFERROR(__xludf.DUMMYFUNCTION("""COMPUTED_VALUE"""),"Out of warranty")</f>
        <v>Out of warranty</v>
      </c>
      <c r="AJ2194" s="3">
        <f>IFERROR(__xludf.DUMMYFUNCTION("""COMPUTED_VALUE"""),163.0)</f>
        <v>163</v>
      </c>
      <c r="AK2194" s="3"/>
      <c r="AL2194" s="3"/>
    </row>
    <row r="2195" ht="15.75" customHeight="1">
      <c r="A2195" s="1" t="str">
        <f>IFERROR(__xludf.DUMMYFUNCTION("""COMPUTED_VALUE"""),"41072")</f>
        <v>41072</v>
      </c>
      <c r="B2195" s="2">
        <f>IFERROR(__xludf.DUMMYFUNCTION("""COMPUTED_VALUE"""),41072.0)</f>
        <v>41072</v>
      </c>
      <c r="C2195" s="3" t="str">
        <f>IFERROR(__xludf.DUMMYFUNCTION("""COMPUTED_VALUE"""),"เพรียวกระบี่")</f>
        <v>เพรียวกระบี่</v>
      </c>
      <c r="D2195" s="3" t="str">
        <f>IFERROR(__xludf.DUMMYFUNCTION("""COMPUTED_VALUE"""),"BIGC KRABI PURE")</f>
        <v>BIGC KRABI PURE</v>
      </c>
      <c r="E2195" s="1" t="str">
        <f>IFERROR(__xludf.DUMMYFUNCTION("""COMPUTED_VALUE"""),"PURE")</f>
        <v>PURE</v>
      </c>
      <c r="F2195" s="1" t="str">
        <f>IFERROR(__xludf.DUMMYFUNCTION("""COMPUTED_VALUE"""),"291435")</f>
        <v>291435</v>
      </c>
      <c r="G2195" s="1" t="str">
        <f>IFERROR(__xludf.DUMMYFUNCTION("""COMPUTED_VALUE"""),"น.ส.สุกัญญา มณีไพโรจน์")</f>
        <v>น.ส.สุกัญญา มณีไพโรจน์</v>
      </c>
      <c r="H2195" s="1" t="str">
        <f>IFERROR(__xludf.DUMMYFUNCTION("""COMPUTED_VALUE"""),"291435")</f>
        <v>291435</v>
      </c>
      <c r="I2195" s="1" t="str">
        <f>IFERROR(__xludf.DUMMYFUNCTION("""COMPUTED_VALUE"""),"น.ส.สุกัญญา มณีไพโรจน์")</f>
        <v>น.ส.สุกัญญา มณีไพโรจน์</v>
      </c>
      <c r="J2195" s="3">
        <f>IFERROR(__xludf.DUMMYFUNCTION("""COMPUTED_VALUE"""),2454709.0)</f>
        <v>2454709</v>
      </c>
      <c r="K2195" s="3" t="str">
        <f>IFERROR(__xludf.DUMMYFUNCTION("""COMPUTED_VALUE"""),"นายประชา เกตุชาติ")</f>
        <v>นายประชา เกตุชาติ</v>
      </c>
      <c r="L2195" s="1" t="str">
        <f>IFERROR(__xludf.DUMMYFUNCTION("""COMPUTED_VALUE"""),"Hub05-South")</f>
        <v>Hub05-South</v>
      </c>
      <c r="M2195" s="1" t="str">
        <f>IFERROR(__xludf.DUMMYFUNCTION("""COMPUTED_VALUE"""),"0659291311")</f>
        <v>0659291311</v>
      </c>
      <c r="N2195" s="3">
        <f>IFERROR(__xludf.DUMMYFUNCTION("""COMPUTED_VALUE"""),11160.0)</f>
        <v>11160</v>
      </c>
      <c r="O2195" s="3" t="str">
        <f>IFERROR(__xludf.DUMMYFUNCTION("""COMPUTED_VALUE"""),"กระบี่")</f>
        <v>กระบี่</v>
      </c>
      <c r="P2195" s="4">
        <f>IFERROR(__xludf.DUMMYFUNCTION("""COMPUTED_VALUE"""),41107.0)</f>
        <v>41107</v>
      </c>
      <c r="Q2195" s="3" t="str">
        <f>IFERROR(__xludf.DUMMYFUNCTION("""COMPUTED_VALUE"""),"A")</f>
        <v>A</v>
      </c>
      <c r="R2195" s="3" t="str">
        <f>IFERROR(__xludf.DUMMYFUNCTION("""COMPUTED_VALUE"""),"Big Format")</f>
        <v>Big Format</v>
      </c>
      <c r="S2195" s="3" t="str">
        <f>IFERROR(__xludf.DUMMYFUNCTION("""COMPUTED_VALUE"""),"PURE")</f>
        <v>PURE</v>
      </c>
      <c r="T2195" s="3" t="str">
        <f>IFERROR(__xludf.DUMMYFUNCTION("""COMPUTED_VALUE"""),"#N/A")</f>
        <v>#N/A</v>
      </c>
      <c r="U2195" s="3" t="str">
        <f>IFERROR(__xludf.DUMMYFUNCTION("""COMPUTED_VALUE"""),"#N/A")</f>
        <v>#N/A</v>
      </c>
      <c r="V2195" s="3" t="str">
        <f>IFERROR(__xludf.DUMMYFUNCTION("""COMPUTED_VALUE"""),"N")</f>
        <v>N</v>
      </c>
      <c r="W2195" s="3">
        <f>IFERROR(__xludf.DUMMYFUNCTION("""COMPUTED_VALUE"""),111160.0)</f>
        <v>111160</v>
      </c>
      <c r="X2195" s="3" t="str">
        <f>IFERROR(__xludf.DUMMYFUNCTION("""COMPUTED_VALUE"""),"349 หมู่ที่ 11 ตำบลกระบี่น้อย อำเภอเมืองกระบี่ จังหวัดกระบี่ 81000")</f>
        <v>349 หมู่ที่ 11 ตำบลกระบี่น้อย อำเภอเมืองกระบี่ จังหวัดกระบี่ 81000</v>
      </c>
      <c r="Y2195" s="3"/>
      <c r="Z2195" s="3" t="str">
        <f>IFERROR(__xludf.DUMMYFUNCTION("""COMPUTED_VALUE"""),"กระบี่น้อย")</f>
        <v>กระบี่น้อย</v>
      </c>
      <c r="AA2195" s="3" t="str">
        <f>IFERROR(__xludf.DUMMYFUNCTION("""COMPUTED_VALUE"""),"เมือง")</f>
        <v>เมือง</v>
      </c>
      <c r="AB2195" s="3" t="str">
        <f>IFERROR(__xludf.DUMMYFUNCTION("""COMPUTED_VALUE"""),"กระบี่")</f>
        <v>กระบี่</v>
      </c>
      <c r="AC2195" s="3">
        <f>IFERROR(__xludf.DUMMYFUNCTION("""COMPUTED_VALUE"""),81000.0)</f>
        <v>81000</v>
      </c>
      <c r="AD2195" s="3">
        <f>IFERROR(__xludf.DUMMYFUNCTION("""COMPUTED_VALUE"""),0.0)</f>
        <v>0</v>
      </c>
      <c r="AE2195" s="3">
        <f>IFERROR(__xludf.DUMMYFUNCTION("""COMPUTED_VALUE"""),0.0)</f>
        <v>0</v>
      </c>
      <c r="AF2195" s="3" t="str">
        <f>IFERROR(__xludf.DUMMYFUNCTION("""COMPUTED_VALUE"""),"เพรียวกระบี่-41072")</f>
        <v>เพรียวกระบี่-41072</v>
      </c>
      <c r="AG2195" s="3" t="str">
        <f>IFERROR(__xludf.DUMMYFUNCTION("""COMPUTED_VALUE"""),"ใต้")</f>
        <v>ใต้</v>
      </c>
      <c r="AH2195" s="3" t="str">
        <f>IFERROR(__xludf.DUMMYFUNCTION("""COMPUTED_VALUE"""),"#N/A")</f>
        <v>#N/A</v>
      </c>
      <c r="AI2195" s="3" t="str">
        <f>IFERROR(__xludf.DUMMYFUNCTION("""COMPUTED_VALUE"""),"Out of warranty")</f>
        <v>Out of warranty</v>
      </c>
      <c r="AJ2195" s="3">
        <f>IFERROR(__xludf.DUMMYFUNCTION("""COMPUTED_VALUE"""),163.0)</f>
        <v>163</v>
      </c>
      <c r="AK2195" s="3"/>
      <c r="AL2195" s="3"/>
    </row>
    <row r="2196" ht="15.75" customHeight="1">
      <c r="A2196" s="1" t="str">
        <f>IFERROR(__xludf.DUMMYFUNCTION("""COMPUTED_VALUE"""),"41073")</f>
        <v>41073</v>
      </c>
      <c r="B2196" s="2">
        <f>IFERROR(__xludf.DUMMYFUNCTION("""COMPUTED_VALUE"""),41073.0)</f>
        <v>41073</v>
      </c>
      <c r="C2196" s="3" t="str">
        <f>IFERROR(__xludf.DUMMYFUNCTION("""COMPUTED_VALUE"""),"เพรียวเลย")</f>
        <v>เพรียวเลย</v>
      </c>
      <c r="D2196" s="3" t="str">
        <f>IFERROR(__xludf.DUMMYFUNCTION("""COMPUTED_VALUE"""),"BIGC LOEI PURE")</f>
        <v>BIGC LOEI PURE</v>
      </c>
      <c r="E2196" s="1" t="str">
        <f>IFERROR(__xludf.DUMMYFUNCTION("""COMPUTED_VALUE"""),"PURE")</f>
        <v>PURE</v>
      </c>
      <c r="F2196" s="1" t="str">
        <f>IFERROR(__xludf.DUMMYFUNCTION("""COMPUTED_VALUE"""),"2083583")</f>
        <v>2083583</v>
      </c>
      <c r="G2196" s="1" t="str">
        <f>IFERROR(__xludf.DUMMYFUNCTION("""COMPUTED_VALUE"""),"นายอรรณพ ศรีแก้ว")</f>
        <v>นายอรรณพ ศรีแก้ว</v>
      </c>
      <c r="H2196" s="1" t="str">
        <f>IFERROR(__xludf.DUMMYFUNCTION("""COMPUTED_VALUE"""),"2083583")</f>
        <v>2083583</v>
      </c>
      <c r="I2196" s="1" t="str">
        <f>IFERROR(__xludf.DUMMYFUNCTION("""COMPUTED_VALUE"""),"นายอรรณพ ศรีแก้ว")</f>
        <v>นายอรรณพ ศรีแก้ว</v>
      </c>
      <c r="J2196" s="3">
        <f>IFERROR(__xludf.DUMMYFUNCTION("""COMPUTED_VALUE"""),295801.0)</f>
        <v>295801</v>
      </c>
      <c r="K2196" s="3" t="str">
        <f>IFERROR(__xludf.DUMMYFUNCTION("""COMPUTED_VALUE"""),"นายอรรถพล เหล่าสุวงศ์")</f>
        <v>นายอรรถพล เหล่าสุวงศ์</v>
      </c>
      <c r="L2196" s="1" t="str">
        <f>IFERROR(__xludf.DUMMYFUNCTION("""COMPUTED_VALUE"""),"Hub09-NE 1")</f>
        <v>Hub09-NE 1</v>
      </c>
      <c r="M2196" s="1" t="str">
        <f>IFERROR(__xludf.DUMMYFUNCTION("""COMPUTED_VALUE"""),"0655090879")</f>
        <v>0655090879</v>
      </c>
      <c r="N2196" s="3">
        <f>IFERROR(__xludf.DUMMYFUNCTION("""COMPUTED_VALUE"""),11211.0)</f>
        <v>11211</v>
      </c>
      <c r="O2196" s="3" t="str">
        <f>IFERROR(__xludf.DUMMYFUNCTION("""COMPUTED_VALUE"""),"เลย")</f>
        <v>เลย</v>
      </c>
      <c r="P2196" s="4">
        <f>IFERROR(__xludf.DUMMYFUNCTION("""COMPUTED_VALUE"""),41122.0)</f>
        <v>41122</v>
      </c>
      <c r="Q2196" s="3" t="str">
        <f>IFERROR(__xludf.DUMMYFUNCTION("""COMPUTED_VALUE"""),"A")</f>
        <v>A</v>
      </c>
      <c r="R2196" s="3" t="str">
        <f>IFERROR(__xludf.DUMMYFUNCTION("""COMPUTED_VALUE"""),"Big Format")</f>
        <v>Big Format</v>
      </c>
      <c r="S2196" s="3" t="str">
        <f>IFERROR(__xludf.DUMMYFUNCTION("""COMPUTED_VALUE"""),"PURE")</f>
        <v>PURE</v>
      </c>
      <c r="T2196" s="3" t="str">
        <f>IFERROR(__xludf.DUMMYFUNCTION("""COMPUTED_VALUE"""),"#N/A")</f>
        <v>#N/A</v>
      </c>
      <c r="U2196" s="3" t="str">
        <f>IFERROR(__xludf.DUMMYFUNCTION("""COMPUTED_VALUE"""),"#N/A")</f>
        <v>#N/A</v>
      </c>
      <c r="V2196" s="3" t="str">
        <f>IFERROR(__xludf.DUMMYFUNCTION("""COMPUTED_VALUE"""),"N")</f>
        <v>N</v>
      </c>
      <c r="W2196" s="3">
        <f>IFERROR(__xludf.DUMMYFUNCTION("""COMPUTED_VALUE"""),111211.0)</f>
        <v>111211</v>
      </c>
      <c r="X2196" s="3" t="str">
        <f>IFERROR(__xludf.DUMMYFUNCTION("""COMPUTED_VALUE"""),"114 หมู่ 9 ตำบลนาอาน อำเภอเมืองเลย จังหวัดเลย 42000")</f>
        <v>114 หมู่ 9 ตำบลนาอาน อำเภอเมืองเลย จังหวัดเลย 42000</v>
      </c>
      <c r="Y2196" s="3"/>
      <c r="Z2196" s="3" t="str">
        <f>IFERROR(__xludf.DUMMYFUNCTION("""COMPUTED_VALUE"""),"นาอาน")</f>
        <v>นาอาน</v>
      </c>
      <c r="AA2196" s="3" t="str">
        <f>IFERROR(__xludf.DUMMYFUNCTION("""COMPUTED_VALUE"""),"เมือง")</f>
        <v>เมือง</v>
      </c>
      <c r="AB2196" s="3" t="str">
        <f>IFERROR(__xludf.DUMMYFUNCTION("""COMPUTED_VALUE"""),"เลย")</f>
        <v>เลย</v>
      </c>
      <c r="AC2196" s="3">
        <f>IFERROR(__xludf.DUMMYFUNCTION("""COMPUTED_VALUE"""),42000.0)</f>
        <v>42000</v>
      </c>
      <c r="AD2196" s="3">
        <f>IFERROR(__xludf.DUMMYFUNCTION("""COMPUTED_VALUE"""),0.0)</f>
        <v>0</v>
      </c>
      <c r="AE2196" s="3">
        <f>IFERROR(__xludf.DUMMYFUNCTION("""COMPUTED_VALUE"""),0.0)</f>
        <v>0</v>
      </c>
      <c r="AF2196" s="3" t="str">
        <f>IFERROR(__xludf.DUMMYFUNCTION("""COMPUTED_VALUE"""),"เพรียวเลย-41073")</f>
        <v>เพรียวเลย-41073</v>
      </c>
      <c r="AG2196" s="3" t="str">
        <f>IFERROR(__xludf.DUMMYFUNCTION("""COMPUTED_VALUE"""),"ตะวันออกเฉียงเหนือ")</f>
        <v>ตะวันออกเฉียงเหนือ</v>
      </c>
      <c r="AH2196" s="3" t="str">
        <f>IFERROR(__xludf.DUMMYFUNCTION("""COMPUTED_VALUE"""),"#N/A")</f>
        <v>#N/A</v>
      </c>
      <c r="AI2196" s="3" t="str">
        <f>IFERROR(__xludf.DUMMYFUNCTION("""COMPUTED_VALUE"""),"Out of warranty")</f>
        <v>Out of warranty</v>
      </c>
      <c r="AJ2196" s="3">
        <f>IFERROR(__xludf.DUMMYFUNCTION("""COMPUTED_VALUE"""),162.0)</f>
        <v>162</v>
      </c>
      <c r="AK2196" s="3"/>
      <c r="AL2196" s="3"/>
    </row>
    <row r="2197" ht="15.75" customHeight="1">
      <c r="A2197" s="1" t="str">
        <f>IFERROR(__xludf.DUMMYFUNCTION("""COMPUTED_VALUE"""),"41074")</f>
        <v>41074</v>
      </c>
      <c r="B2197" s="2">
        <f>IFERROR(__xludf.DUMMYFUNCTION("""COMPUTED_VALUE"""),41074.0)</f>
        <v>41074</v>
      </c>
      <c r="C2197" s="3" t="str">
        <f>IFERROR(__xludf.DUMMYFUNCTION("""COMPUTED_VALUE"""),"เพรียวเคหะร่มเกล้า")</f>
        <v>เพรียวเคหะร่มเกล้า</v>
      </c>
      <c r="D2197" s="3" t="str">
        <f>IFERROR(__xludf.DUMMYFUNCTION("""COMPUTED_VALUE"""),"BIGC MARKET KEHA-ROMKLAO PURE")</f>
        <v>BIGC MARKET KEHA-ROMKLAO PURE</v>
      </c>
      <c r="E2197" s="1" t="str">
        <f>IFERROR(__xludf.DUMMYFUNCTION("""COMPUTED_VALUE"""),"PURE")</f>
        <v>PURE</v>
      </c>
      <c r="F2197" s="1" t="str">
        <f>IFERROR(__xludf.DUMMYFUNCTION("""COMPUTED_VALUE"""),"211291")</f>
        <v>211291</v>
      </c>
      <c r="G2197" s="1" t="str">
        <f>IFERROR(__xludf.DUMMYFUNCTION("""COMPUTED_VALUE"""),"น.ส.ปนัดดา มากระจันทน์")</f>
        <v>น.ส.ปนัดดา มากระจันทน์</v>
      </c>
      <c r="H2197" s="1" t="str">
        <f>IFERROR(__xludf.DUMMYFUNCTION("""COMPUTED_VALUE"""),"211291")</f>
        <v>211291</v>
      </c>
      <c r="I2197" s="1" t="str">
        <f>IFERROR(__xludf.DUMMYFUNCTION("""COMPUTED_VALUE"""),"น.ส.ปนัดดา มากระจันทน์")</f>
        <v>น.ส.ปนัดดา มากระจันทน์</v>
      </c>
      <c r="J2197" s="3">
        <f>IFERROR(__xludf.DUMMYFUNCTION("""COMPUTED_VALUE"""),2454716.0)</f>
        <v>2454716</v>
      </c>
      <c r="K2197" s="3" t="str">
        <f>IFERROR(__xludf.DUMMYFUNCTION("""COMPUTED_VALUE"""),"นายโฆษิต วงค์กะโซ่")</f>
        <v>นายโฆษิต วงค์กะโซ่</v>
      </c>
      <c r="L2197" s="1" t="str">
        <f>IFERROR(__xludf.DUMMYFUNCTION("""COMPUTED_VALUE"""),"Hub03-BKK 3")</f>
        <v>Hub03-BKK 3</v>
      </c>
      <c r="M2197" s="1" t="str">
        <f>IFERROR(__xludf.DUMMYFUNCTION("""COMPUTED_VALUE"""),"062-434-5030")</f>
        <v>062-434-5030</v>
      </c>
      <c r="N2197" s="3">
        <f>IFERROR(__xludf.DUMMYFUNCTION("""COMPUTED_VALUE"""),15008.0)</f>
        <v>15008</v>
      </c>
      <c r="O2197" s="3" t="str">
        <f>IFERROR(__xludf.DUMMYFUNCTION("""COMPUTED_VALUE"""),"เคหะร่มเกล้า")</f>
        <v>เคหะร่มเกล้า</v>
      </c>
      <c r="P2197" s="4">
        <f>IFERROR(__xludf.DUMMYFUNCTION("""COMPUTED_VALUE"""),41131.0)</f>
        <v>41131</v>
      </c>
      <c r="Q2197" s="3" t="str">
        <f>IFERROR(__xludf.DUMMYFUNCTION("""COMPUTED_VALUE"""),"A")</f>
        <v>A</v>
      </c>
      <c r="R2197" s="3" t="str">
        <f>IFERROR(__xludf.DUMMYFUNCTION("""COMPUTED_VALUE"""),"Big Format")</f>
        <v>Big Format</v>
      </c>
      <c r="S2197" s="3" t="str">
        <f>IFERROR(__xludf.DUMMYFUNCTION("""COMPUTED_VALUE"""),"PURE")</f>
        <v>PURE</v>
      </c>
      <c r="T2197" s="3" t="str">
        <f>IFERROR(__xludf.DUMMYFUNCTION("""COMPUTED_VALUE"""),"#N/A")</f>
        <v>#N/A</v>
      </c>
      <c r="U2197" s="3" t="str">
        <f>IFERROR(__xludf.DUMMYFUNCTION("""COMPUTED_VALUE"""),"#N/A")</f>
        <v>#N/A</v>
      </c>
      <c r="V2197" s="3" t="str">
        <f>IFERROR(__xludf.DUMMYFUNCTION("""COMPUTED_VALUE"""),"N")</f>
        <v>N</v>
      </c>
      <c r="W2197" s="3">
        <f>IFERROR(__xludf.DUMMYFUNCTION("""COMPUTED_VALUE"""),411067.0)</f>
        <v>411067</v>
      </c>
      <c r="X2197" s="3" t="str">
        <f>IFERROR(__xludf.DUMMYFUNCTION("""COMPUTED_VALUE"""),"8/1-3 ถ.เคหะร่มเกล้า แขวงคลองสองต้นนุ่น เขตลาดกระบัง กรุงเทพฯ 10520")</f>
        <v>8/1-3 ถ.เคหะร่มเกล้า แขวงคลองสองต้นนุ่น เขตลาดกระบัง กรุงเทพฯ 10520</v>
      </c>
      <c r="Y2197" s="3" t="str">
        <f>IFERROR(__xludf.DUMMYFUNCTION("""COMPUTED_VALUE"""),"ถ.เคหะร่มเกล้า")</f>
        <v>ถ.เคหะร่มเกล้า</v>
      </c>
      <c r="Z2197" s="3" t="str">
        <f>IFERROR(__xludf.DUMMYFUNCTION("""COMPUTED_VALUE"""),"คลองสองต้นนุ่น")</f>
        <v>คลองสองต้นนุ่น</v>
      </c>
      <c r="AA2197" s="3" t="str">
        <f>IFERROR(__xludf.DUMMYFUNCTION("""COMPUTED_VALUE"""),"ลาดกระบัง")</f>
        <v>ลาดกระบัง</v>
      </c>
      <c r="AB2197" s="3" t="str">
        <f>IFERROR(__xludf.DUMMYFUNCTION("""COMPUTED_VALUE"""),"กรุงเทพมหานคร")</f>
        <v>กรุงเทพมหานคร</v>
      </c>
      <c r="AC2197" s="3">
        <f>IFERROR(__xludf.DUMMYFUNCTION("""COMPUTED_VALUE"""),10520.0)</f>
        <v>10520</v>
      </c>
      <c r="AD2197" s="3">
        <f>IFERROR(__xludf.DUMMYFUNCTION("""COMPUTED_VALUE"""),0.0)</f>
        <v>0</v>
      </c>
      <c r="AE2197" s="3">
        <f>IFERROR(__xludf.DUMMYFUNCTION("""COMPUTED_VALUE"""),0.0)</f>
        <v>0</v>
      </c>
      <c r="AF2197" s="3" t="str">
        <f>IFERROR(__xludf.DUMMYFUNCTION("""COMPUTED_VALUE"""),"เพรียวเคหะร่มเกล้า-41074")</f>
        <v>เพรียวเคหะร่มเกล้า-41074</v>
      </c>
      <c r="AG2197" s="3" t="str">
        <f>IFERROR(__xludf.DUMMYFUNCTION("""COMPUTED_VALUE"""),"กลาง")</f>
        <v>กลาง</v>
      </c>
      <c r="AH2197" s="3" t="str">
        <f>IFERROR(__xludf.DUMMYFUNCTION("""COMPUTED_VALUE"""),"#N/A")</f>
        <v>#N/A</v>
      </c>
      <c r="AI2197" s="3" t="str">
        <f>IFERROR(__xludf.DUMMYFUNCTION("""COMPUTED_VALUE"""),"Out of warranty")</f>
        <v>Out of warranty</v>
      </c>
      <c r="AJ2197" s="3">
        <f>IFERROR(__xludf.DUMMYFUNCTION("""COMPUTED_VALUE"""),162.0)</f>
        <v>162</v>
      </c>
      <c r="AK2197" s="3"/>
      <c r="AL2197" s="3"/>
    </row>
    <row r="2198" ht="15.75" customHeight="1">
      <c r="A2198" s="1" t="str">
        <f>IFERROR(__xludf.DUMMYFUNCTION("""COMPUTED_VALUE"""),"41075")</f>
        <v>41075</v>
      </c>
      <c r="B2198" s="2">
        <f>IFERROR(__xludf.DUMMYFUNCTION("""COMPUTED_VALUE"""),41075.0)</f>
        <v>41075</v>
      </c>
      <c r="C2198" s="3" t="str">
        <f>IFERROR(__xludf.DUMMYFUNCTION("""COMPUTED_VALUE"""),"เพรียวสตูล")</f>
        <v>เพรียวสตูล</v>
      </c>
      <c r="D2198" s="3" t="str">
        <f>IFERROR(__xludf.DUMMYFUNCTION("""COMPUTED_VALUE"""),"BIGC SATUN PURE")</f>
        <v>BIGC SATUN PURE</v>
      </c>
      <c r="E2198" s="1" t="str">
        <f>IFERROR(__xludf.DUMMYFUNCTION("""COMPUTED_VALUE"""),"PURE")</f>
        <v>PURE</v>
      </c>
      <c r="F2198" s="1" t="str">
        <f>IFERROR(__xludf.DUMMYFUNCTION("""COMPUTED_VALUE"""),"291435")</f>
        <v>291435</v>
      </c>
      <c r="G2198" s="1" t="str">
        <f>IFERROR(__xludf.DUMMYFUNCTION("""COMPUTED_VALUE"""),"น.ส.สุกัญญา มณีไพโรจน์")</f>
        <v>น.ส.สุกัญญา มณีไพโรจน์</v>
      </c>
      <c r="H2198" s="1" t="str">
        <f>IFERROR(__xludf.DUMMYFUNCTION("""COMPUTED_VALUE"""),"291435")</f>
        <v>291435</v>
      </c>
      <c r="I2198" s="1" t="str">
        <f>IFERROR(__xludf.DUMMYFUNCTION("""COMPUTED_VALUE"""),"น.ส.สุกัญญา มณีไพโรจน์")</f>
        <v>น.ส.สุกัญญา มณีไพโรจน์</v>
      </c>
      <c r="J2198" s="3">
        <f>IFERROR(__xludf.DUMMYFUNCTION("""COMPUTED_VALUE"""),2454709.0)</f>
        <v>2454709</v>
      </c>
      <c r="K2198" s="3" t="str">
        <f>IFERROR(__xludf.DUMMYFUNCTION("""COMPUTED_VALUE"""),"นายประชา เกตุชาติ")</f>
        <v>นายประชา เกตุชาติ</v>
      </c>
      <c r="L2198" s="1" t="str">
        <f>IFERROR(__xludf.DUMMYFUNCTION("""COMPUTED_VALUE"""),"Hub05-South")</f>
        <v>Hub05-South</v>
      </c>
      <c r="M2198" s="1" t="str">
        <f>IFERROR(__xludf.DUMMYFUNCTION("""COMPUTED_VALUE"""),"0659291311")</f>
        <v>0659291311</v>
      </c>
      <c r="N2198" s="3">
        <f>IFERROR(__xludf.DUMMYFUNCTION("""COMPUTED_VALUE"""),11212.0)</f>
        <v>11212</v>
      </c>
      <c r="O2198" s="3" t="str">
        <f>IFERROR(__xludf.DUMMYFUNCTION("""COMPUTED_VALUE"""),"สตูล")</f>
        <v>สตูล</v>
      </c>
      <c r="P2198" s="4">
        <f>IFERROR(__xludf.DUMMYFUNCTION("""COMPUTED_VALUE"""),41136.0)</f>
        <v>41136</v>
      </c>
      <c r="Q2198" s="3" t="str">
        <f>IFERROR(__xludf.DUMMYFUNCTION("""COMPUTED_VALUE"""),"A")</f>
        <v>A</v>
      </c>
      <c r="R2198" s="3" t="str">
        <f>IFERROR(__xludf.DUMMYFUNCTION("""COMPUTED_VALUE"""),"Big Format")</f>
        <v>Big Format</v>
      </c>
      <c r="S2198" s="3" t="str">
        <f>IFERROR(__xludf.DUMMYFUNCTION("""COMPUTED_VALUE"""),"PURE")</f>
        <v>PURE</v>
      </c>
      <c r="T2198" s="3" t="str">
        <f>IFERROR(__xludf.DUMMYFUNCTION("""COMPUTED_VALUE"""),"#N/A")</f>
        <v>#N/A</v>
      </c>
      <c r="U2198" s="3" t="str">
        <f>IFERROR(__xludf.DUMMYFUNCTION("""COMPUTED_VALUE"""),"#N/A")</f>
        <v>#N/A</v>
      </c>
      <c r="V2198" s="3" t="str">
        <f>IFERROR(__xludf.DUMMYFUNCTION("""COMPUTED_VALUE"""),"N")</f>
        <v>N</v>
      </c>
      <c r="W2198" s="3">
        <f>IFERROR(__xludf.DUMMYFUNCTION("""COMPUTED_VALUE"""),111212.0)</f>
        <v>111212</v>
      </c>
      <c r="X2198" s="3" t="str">
        <f>IFERROR(__xludf.DUMMYFUNCTION("""COMPUTED_VALUE"""),"959 หมู่ 7 ตำบลคลองขุด อำเภอเมืองสตูล จังหวัดสตูล 91000")</f>
        <v>959 หมู่ 7 ตำบลคลองขุด อำเภอเมืองสตูล จังหวัดสตูล 91000</v>
      </c>
      <c r="Y2198" s="3"/>
      <c r="Z2198" s="3" t="str">
        <f>IFERROR(__xludf.DUMMYFUNCTION("""COMPUTED_VALUE"""),"คลองขุด")</f>
        <v>คลองขุด</v>
      </c>
      <c r="AA2198" s="3" t="str">
        <f>IFERROR(__xludf.DUMMYFUNCTION("""COMPUTED_VALUE"""),"เมือง")</f>
        <v>เมือง</v>
      </c>
      <c r="AB2198" s="3" t="str">
        <f>IFERROR(__xludf.DUMMYFUNCTION("""COMPUTED_VALUE"""),"สตูล")</f>
        <v>สตูล</v>
      </c>
      <c r="AC2198" s="3">
        <f>IFERROR(__xludf.DUMMYFUNCTION("""COMPUTED_VALUE"""),91000.0)</f>
        <v>91000</v>
      </c>
      <c r="AD2198" s="3">
        <f>IFERROR(__xludf.DUMMYFUNCTION("""COMPUTED_VALUE"""),0.0)</f>
        <v>0</v>
      </c>
      <c r="AE2198" s="3">
        <f>IFERROR(__xludf.DUMMYFUNCTION("""COMPUTED_VALUE"""),0.0)</f>
        <v>0</v>
      </c>
      <c r="AF2198" s="3" t="str">
        <f>IFERROR(__xludf.DUMMYFUNCTION("""COMPUTED_VALUE"""),"เพรียวสตูล-41075")</f>
        <v>เพรียวสตูล-41075</v>
      </c>
      <c r="AG2198" s="3" t="str">
        <f>IFERROR(__xludf.DUMMYFUNCTION("""COMPUTED_VALUE"""),"ใต้")</f>
        <v>ใต้</v>
      </c>
      <c r="AH2198" s="3" t="str">
        <f>IFERROR(__xludf.DUMMYFUNCTION("""COMPUTED_VALUE"""),"#N/A")</f>
        <v>#N/A</v>
      </c>
      <c r="AI2198" s="3" t="str">
        <f>IFERROR(__xludf.DUMMYFUNCTION("""COMPUTED_VALUE"""),"Out of warranty")</f>
        <v>Out of warranty</v>
      </c>
      <c r="AJ2198" s="3">
        <f>IFERROR(__xludf.DUMMYFUNCTION("""COMPUTED_VALUE"""),162.0)</f>
        <v>162</v>
      </c>
      <c r="AK2198" s="3"/>
      <c r="AL2198" s="3"/>
    </row>
    <row r="2199" ht="15.75" customHeight="1">
      <c r="A2199" s="1" t="str">
        <f>IFERROR(__xludf.DUMMYFUNCTION("""COMPUTED_VALUE"""),"41076")</f>
        <v>41076</v>
      </c>
      <c r="B2199" s="2">
        <f>IFERROR(__xludf.DUMMYFUNCTION("""COMPUTED_VALUE"""),41076.0)</f>
        <v>41076</v>
      </c>
      <c r="C2199" s="3" t="str">
        <f>IFERROR(__xludf.DUMMYFUNCTION("""COMPUTED_VALUE"""),"เพรียวหทัยราษฎร์")</f>
        <v>เพรียวหทัยราษฎร์</v>
      </c>
      <c r="D2199" s="3" t="str">
        <f>IFERROR(__xludf.DUMMYFUNCTION("""COMPUTED_VALUE"""),"BIGC MARKET HATAIRAT PURE")</f>
        <v>BIGC MARKET HATAIRAT PURE</v>
      </c>
      <c r="E2199" s="1" t="str">
        <f>IFERROR(__xludf.DUMMYFUNCTION("""COMPUTED_VALUE"""),"PURE")</f>
        <v>PURE</v>
      </c>
      <c r="F2199" s="1" t="str">
        <f>IFERROR(__xludf.DUMMYFUNCTION("""COMPUTED_VALUE"""),"211291")</f>
        <v>211291</v>
      </c>
      <c r="G2199" s="1" t="str">
        <f>IFERROR(__xludf.DUMMYFUNCTION("""COMPUTED_VALUE"""),"น.ส.ปนัดดา มากระจันทน์")</f>
        <v>น.ส.ปนัดดา มากระจันทน์</v>
      </c>
      <c r="H2199" s="1" t="str">
        <f>IFERROR(__xludf.DUMMYFUNCTION("""COMPUTED_VALUE"""),"211291")</f>
        <v>211291</v>
      </c>
      <c r="I2199" s="1" t="str">
        <f>IFERROR(__xludf.DUMMYFUNCTION("""COMPUTED_VALUE"""),"น.ส.ปนัดดา มากระจันทน์")</f>
        <v>น.ส.ปนัดดา มากระจันทน์</v>
      </c>
      <c r="J2199" s="3">
        <f>IFERROR(__xludf.DUMMYFUNCTION("""COMPUTED_VALUE"""),2454716.0)</f>
        <v>2454716</v>
      </c>
      <c r="K2199" s="3" t="str">
        <f>IFERROR(__xludf.DUMMYFUNCTION("""COMPUTED_VALUE"""),"นายโฆษิต วงค์กะโซ่")</f>
        <v>นายโฆษิต วงค์กะโซ่</v>
      </c>
      <c r="L2199" s="1" t="str">
        <f>IFERROR(__xludf.DUMMYFUNCTION("""COMPUTED_VALUE"""),"Hub03-BKK 3")</f>
        <v>Hub03-BKK 3</v>
      </c>
      <c r="M2199" s="1" t="str">
        <f>IFERROR(__xludf.DUMMYFUNCTION("""COMPUTED_VALUE"""),"062-434-5030")</f>
        <v>062-434-5030</v>
      </c>
      <c r="N2199" s="3">
        <f>IFERROR(__xludf.DUMMYFUNCTION("""COMPUTED_VALUE"""),15009.0)</f>
        <v>15009</v>
      </c>
      <c r="O2199" s="3" t="str">
        <f>IFERROR(__xludf.DUMMYFUNCTION("""COMPUTED_VALUE"""),"หทัยราษฎร์")</f>
        <v>หทัยราษฎร์</v>
      </c>
      <c r="P2199" s="4">
        <f>IFERROR(__xludf.DUMMYFUNCTION("""COMPUTED_VALUE"""),41140.0)</f>
        <v>41140</v>
      </c>
      <c r="Q2199" s="3" t="str">
        <f>IFERROR(__xludf.DUMMYFUNCTION("""COMPUTED_VALUE"""),"A")</f>
        <v>A</v>
      </c>
      <c r="R2199" s="3" t="str">
        <f>IFERROR(__xludf.DUMMYFUNCTION("""COMPUTED_VALUE"""),"Big Format")</f>
        <v>Big Format</v>
      </c>
      <c r="S2199" s="3" t="str">
        <f>IFERROR(__xludf.DUMMYFUNCTION("""COMPUTED_VALUE"""),"PURE")</f>
        <v>PURE</v>
      </c>
      <c r="T2199" s="3" t="str">
        <f>IFERROR(__xludf.DUMMYFUNCTION("""COMPUTED_VALUE"""),"#N/A")</f>
        <v>#N/A</v>
      </c>
      <c r="U2199" s="3" t="str">
        <f>IFERROR(__xludf.DUMMYFUNCTION("""COMPUTED_VALUE"""),"#N/A")</f>
        <v>#N/A</v>
      </c>
      <c r="V2199" s="3" t="str">
        <f>IFERROR(__xludf.DUMMYFUNCTION("""COMPUTED_VALUE"""),"N")</f>
        <v>N</v>
      </c>
      <c r="W2199" s="3">
        <f>IFERROR(__xludf.DUMMYFUNCTION("""COMPUTED_VALUE"""),411069.0)</f>
        <v>411069</v>
      </c>
      <c r="X2199" s="3" t="str">
        <f>IFERROR(__xludf.DUMMYFUNCTION("""COMPUTED_VALUE"""),"458,458/1-2 ถนนเลียบคลองสอง แขวงบางชัน เขตคลองสามวา กรุงเทพฯ 10510")</f>
        <v>458,458/1-2 ถนนเลียบคลองสอง แขวงบางชัน เขตคลองสามวา กรุงเทพฯ 10510</v>
      </c>
      <c r="Y2199" s="3" t="str">
        <f>IFERROR(__xludf.DUMMYFUNCTION("""COMPUTED_VALUE"""),"ถนนเลียบคลองสอง")</f>
        <v>ถนนเลียบคลองสอง</v>
      </c>
      <c r="Z2199" s="3" t="str">
        <f>IFERROR(__xludf.DUMMYFUNCTION("""COMPUTED_VALUE"""),"บางชัน")</f>
        <v>บางชัน</v>
      </c>
      <c r="AA2199" s="3" t="str">
        <f>IFERROR(__xludf.DUMMYFUNCTION("""COMPUTED_VALUE"""),"คลองสามวา")</f>
        <v>คลองสามวา</v>
      </c>
      <c r="AB2199" s="3" t="str">
        <f>IFERROR(__xludf.DUMMYFUNCTION("""COMPUTED_VALUE"""),"กรุงเทพมหานคร")</f>
        <v>กรุงเทพมหานคร</v>
      </c>
      <c r="AC2199" s="3">
        <f>IFERROR(__xludf.DUMMYFUNCTION("""COMPUTED_VALUE"""),10510.0)</f>
        <v>10510</v>
      </c>
      <c r="AD2199" s="3">
        <f>IFERROR(__xludf.DUMMYFUNCTION("""COMPUTED_VALUE"""),0.0)</f>
        <v>0</v>
      </c>
      <c r="AE2199" s="3">
        <f>IFERROR(__xludf.DUMMYFUNCTION("""COMPUTED_VALUE"""),0.0)</f>
        <v>0</v>
      </c>
      <c r="AF2199" s="3" t="str">
        <f>IFERROR(__xludf.DUMMYFUNCTION("""COMPUTED_VALUE"""),"เพรียวหทัยราษฎร์-41076")</f>
        <v>เพรียวหทัยราษฎร์-41076</v>
      </c>
      <c r="AG2199" s="3" t="str">
        <f>IFERROR(__xludf.DUMMYFUNCTION("""COMPUTED_VALUE"""),"กลาง")</f>
        <v>กลาง</v>
      </c>
      <c r="AH2199" s="3" t="str">
        <f>IFERROR(__xludf.DUMMYFUNCTION("""COMPUTED_VALUE"""),"#N/A")</f>
        <v>#N/A</v>
      </c>
      <c r="AI2199" s="3" t="str">
        <f>IFERROR(__xludf.DUMMYFUNCTION("""COMPUTED_VALUE"""),"Out of warranty")</f>
        <v>Out of warranty</v>
      </c>
      <c r="AJ2199" s="3">
        <f>IFERROR(__xludf.DUMMYFUNCTION("""COMPUTED_VALUE"""),162.0)</f>
        <v>162</v>
      </c>
      <c r="AK2199" s="3"/>
      <c r="AL2199" s="3"/>
    </row>
    <row r="2200" ht="15.75" customHeight="1">
      <c r="A2200" s="1" t="str">
        <f>IFERROR(__xludf.DUMMYFUNCTION("""COMPUTED_VALUE"""),"41077")</f>
        <v>41077</v>
      </c>
      <c r="B2200" s="2">
        <f>IFERROR(__xludf.DUMMYFUNCTION("""COMPUTED_VALUE"""),41077.0)</f>
        <v>41077</v>
      </c>
      <c r="C2200" s="3" t="str">
        <f>IFERROR(__xludf.DUMMYFUNCTION("""COMPUTED_VALUE"""),"เพรียวลาดพร้าว107")</f>
        <v>เพรียวลาดพร้าว107</v>
      </c>
      <c r="D2200" s="3" t="str">
        <f>IFERROR(__xludf.DUMMYFUNCTION("""COMPUTED_VALUE"""),"PURE LADPRAO 107")</f>
        <v>PURE LADPRAO 107</v>
      </c>
      <c r="E2200" s="1" t="str">
        <f>IFERROR(__xludf.DUMMYFUNCTION("""COMPUTED_VALUE"""),"PURE")</f>
        <v>PURE</v>
      </c>
      <c r="F2200" s="1" t="str">
        <f>IFERROR(__xludf.DUMMYFUNCTION("""COMPUTED_VALUE"""),"EX0469")</f>
        <v>EX0469</v>
      </c>
      <c r="G2200" s="1" t="str">
        <f>IFERROR(__xludf.DUMMYFUNCTION("""COMPUTED_VALUE"""),"นายเทวฤทธิ์ ฐาปนะสุต")</f>
        <v>นายเทวฤทธิ์ ฐาปนะสุต</v>
      </c>
      <c r="H2200" s="1" t="str">
        <f>IFERROR(__xludf.DUMMYFUNCTION("""COMPUTED_VALUE"""),"291435")</f>
        <v>291435</v>
      </c>
      <c r="I2200" s="1" t="str">
        <f>IFERROR(__xludf.DUMMYFUNCTION("""COMPUTED_VALUE"""),"น.ส.สุกัญญา มณีไพโรจน์")</f>
        <v>น.ส.สุกัญญา มณีไพโรจน์</v>
      </c>
      <c r="J2200" s="3">
        <f>IFERROR(__xludf.DUMMYFUNCTION("""COMPUTED_VALUE"""),1.3461215E7)</f>
        <v>13461215</v>
      </c>
      <c r="K2200" s="3" t="str">
        <f>IFERROR(__xludf.DUMMYFUNCTION("""COMPUTED_VALUE"""),"นายธีรภัทร สังข์เงิน")</f>
        <v>นายธีรภัทร สังข์เงิน</v>
      </c>
      <c r="L2200" s="1" t="str">
        <f>IFERROR(__xludf.DUMMYFUNCTION("""COMPUTED_VALUE"""),"06 K.Teerapat")</f>
        <v>06 K.Teerapat</v>
      </c>
      <c r="M2200" s="1" t="str">
        <f>IFERROR(__xludf.DUMMYFUNCTION("""COMPUTED_VALUE"""),"063-601-6803")</f>
        <v>063-601-6803</v>
      </c>
      <c r="N2200" s="3">
        <f>IFERROR(__xludf.DUMMYFUNCTION("""COMPUTED_VALUE"""),11131.0)</f>
        <v>11131</v>
      </c>
      <c r="O2200" s="3" t="str">
        <f>IFERROR(__xludf.DUMMYFUNCTION("""COMPUTED_VALUE"""),"ลาดพร้าว")</f>
        <v>ลาดพร้าว</v>
      </c>
      <c r="P2200" s="4">
        <f>IFERROR(__xludf.DUMMYFUNCTION("""COMPUTED_VALUE"""),41142.0)</f>
        <v>41142</v>
      </c>
      <c r="Q2200" s="3" t="str">
        <f>IFERROR(__xludf.DUMMYFUNCTION("""COMPUTED_VALUE"""),"I")</f>
        <v>I</v>
      </c>
      <c r="R2200" s="3" t="str">
        <f>IFERROR(__xludf.DUMMYFUNCTION("""COMPUTED_VALUE"""),"Big Format")</f>
        <v>Big Format</v>
      </c>
      <c r="S2200" s="3" t="str">
        <f>IFERROR(__xludf.DUMMYFUNCTION("""COMPUTED_VALUE"""),"PURE")</f>
        <v>PURE</v>
      </c>
      <c r="T2200" s="3" t="str">
        <f>IFERROR(__xludf.DUMMYFUNCTION("""COMPUTED_VALUE"""),"#N/A")</f>
        <v>#N/A</v>
      </c>
      <c r="U2200" s="3" t="str">
        <f>IFERROR(__xludf.DUMMYFUNCTION("""COMPUTED_VALUE"""),"#N/A")</f>
        <v>#N/A</v>
      </c>
      <c r="V2200" s="3" t="str">
        <f>IFERROR(__xludf.DUMMYFUNCTION("""COMPUTED_VALUE"""),"N")</f>
        <v>N</v>
      </c>
      <c r="W2200" s="3">
        <f>IFERROR(__xludf.DUMMYFUNCTION("""COMPUTED_VALUE"""),0.0)</f>
        <v>0</v>
      </c>
      <c r="X2200" s="3" t="str">
        <f>IFERROR(__xludf.DUMMYFUNCTION("""COMPUTED_VALUE"""),"334/14 ซอยลาดพร้าว107(ดีสมโชค) แขวงคลองจั่น เขตบางกะปิ กรุงเทพฯ 10240")</f>
        <v>334/14 ซอยลาดพร้าว107(ดีสมโชค) แขวงคลองจั่น เขตบางกะปิ กรุงเทพฯ 10240</v>
      </c>
      <c r="Y2200" s="3" t="str">
        <f>IFERROR(__xludf.DUMMYFUNCTION("""COMPUTED_VALUE"""),"ซอยลาดพร้าว107(ดีสมโชค)")</f>
        <v>ซอยลาดพร้าว107(ดีสมโชค)</v>
      </c>
      <c r="Z2200" s="3" t="str">
        <f>IFERROR(__xludf.DUMMYFUNCTION("""COMPUTED_VALUE"""),"คลองจั่น")</f>
        <v>คลองจั่น</v>
      </c>
      <c r="AA2200" s="3" t="str">
        <f>IFERROR(__xludf.DUMMYFUNCTION("""COMPUTED_VALUE"""),"บางกะปิ")</f>
        <v>บางกะปิ</v>
      </c>
      <c r="AB2200" s="3" t="str">
        <f>IFERROR(__xludf.DUMMYFUNCTION("""COMPUTED_VALUE"""),"กรุงเทพมหานคร")</f>
        <v>กรุงเทพมหานคร</v>
      </c>
      <c r="AC2200" s="3">
        <f>IFERROR(__xludf.DUMMYFUNCTION("""COMPUTED_VALUE"""),10240.0)</f>
        <v>10240</v>
      </c>
      <c r="AD2200" s="3">
        <f>IFERROR(__xludf.DUMMYFUNCTION("""COMPUTED_VALUE"""),0.0)</f>
        <v>0</v>
      </c>
      <c r="AE2200" s="3">
        <f>IFERROR(__xludf.DUMMYFUNCTION("""COMPUTED_VALUE"""),0.0)</f>
        <v>0</v>
      </c>
      <c r="AF2200" s="3" t="str">
        <f>IFERROR(__xludf.DUMMYFUNCTION("""COMPUTED_VALUE"""),"เพรียวลาดพร้าว107-41077")</f>
        <v>เพรียวลาดพร้าว107-41077</v>
      </c>
      <c r="AG2200" s="3" t="str">
        <f>IFERROR(__xludf.DUMMYFUNCTION("""COMPUTED_VALUE"""),"กลาง")</f>
        <v>กลาง</v>
      </c>
      <c r="AH2200" s="3" t="str">
        <f>IFERROR(__xludf.DUMMYFUNCTION("""COMPUTED_VALUE"""),"#N/A")</f>
        <v>#N/A</v>
      </c>
      <c r="AI2200" s="3" t="str">
        <f>IFERROR(__xludf.DUMMYFUNCTION("""COMPUTED_VALUE"""),"Out of warranty")</f>
        <v>Out of warranty</v>
      </c>
      <c r="AJ2200" s="3">
        <f>IFERROR(__xludf.DUMMYFUNCTION("""COMPUTED_VALUE"""),161.0)</f>
        <v>161</v>
      </c>
      <c r="AK2200" s="3"/>
      <c r="AL2200" s="3"/>
    </row>
    <row r="2201" ht="15.75" customHeight="1">
      <c r="A2201" s="1" t="str">
        <f>IFERROR(__xludf.DUMMYFUNCTION("""COMPUTED_VALUE"""),"41079")</f>
        <v>41079</v>
      </c>
      <c r="B2201" s="2">
        <f>IFERROR(__xludf.DUMMYFUNCTION("""COMPUTED_VALUE"""),41079.0)</f>
        <v>41079</v>
      </c>
      <c r="C2201" s="3" t="str">
        <f>IFERROR(__xludf.DUMMYFUNCTION("""COMPUTED_VALUE"""),"เพรียวมุกดาหาร")</f>
        <v>เพรียวมุกดาหาร</v>
      </c>
      <c r="D2201" s="3" t="str">
        <f>IFERROR(__xludf.DUMMYFUNCTION("""COMPUTED_VALUE"""),"BIGC MUKDAHAN PURE")</f>
        <v>BIGC MUKDAHAN PURE</v>
      </c>
      <c r="E2201" s="1" t="str">
        <f>IFERROR(__xludf.DUMMYFUNCTION("""COMPUTED_VALUE"""),"PURE")</f>
        <v>PURE</v>
      </c>
      <c r="F2201" s="1" t="str">
        <f>IFERROR(__xludf.DUMMYFUNCTION("""COMPUTED_VALUE"""),"2083583")</f>
        <v>2083583</v>
      </c>
      <c r="G2201" s="1" t="str">
        <f>IFERROR(__xludf.DUMMYFUNCTION("""COMPUTED_VALUE"""),"นายอรรณพ ศรีแก้ว")</f>
        <v>นายอรรณพ ศรีแก้ว</v>
      </c>
      <c r="H2201" s="1" t="str">
        <f>IFERROR(__xludf.DUMMYFUNCTION("""COMPUTED_VALUE"""),"2083583")</f>
        <v>2083583</v>
      </c>
      <c r="I2201" s="1" t="str">
        <f>IFERROR(__xludf.DUMMYFUNCTION("""COMPUTED_VALUE"""),"นายอรรณพ ศรีแก้ว")</f>
        <v>นายอรรณพ ศรีแก้ว</v>
      </c>
      <c r="J2201" s="3">
        <f>IFERROR(__xludf.DUMMYFUNCTION("""COMPUTED_VALUE"""),33317.0)</f>
        <v>33317</v>
      </c>
      <c r="K2201" s="3" t="str">
        <f>IFERROR(__xludf.DUMMYFUNCTION("""COMPUTED_VALUE"""),"นายอาณัติ เพชรภาน")</f>
        <v>นายอาณัติ เพชรภาน</v>
      </c>
      <c r="L2201" s="1" t="str">
        <f>IFERROR(__xludf.DUMMYFUNCTION("""COMPUTED_VALUE"""),"Hub10-NE 2")</f>
        <v>Hub10-NE 2</v>
      </c>
      <c r="M2201" s="1" t="str">
        <f>IFERROR(__xludf.DUMMYFUNCTION("""COMPUTED_VALUE"""),"0644791409")</f>
        <v>0644791409</v>
      </c>
      <c r="N2201" s="3">
        <f>IFERROR(__xludf.DUMMYFUNCTION("""COMPUTED_VALUE"""),11213.0)</f>
        <v>11213</v>
      </c>
      <c r="O2201" s="3" t="str">
        <f>IFERROR(__xludf.DUMMYFUNCTION("""COMPUTED_VALUE"""),"มุกดาหาร")</f>
        <v>มุกดาหาร</v>
      </c>
      <c r="P2201" s="4">
        <f>IFERROR(__xludf.DUMMYFUNCTION("""COMPUTED_VALUE"""),41153.0)</f>
        <v>41153</v>
      </c>
      <c r="Q2201" s="3" t="str">
        <f>IFERROR(__xludf.DUMMYFUNCTION("""COMPUTED_VALUE"""),"A")</f>
        <v>A</v>
      </c>
      <c r="R2201" s="3" t="str">
        <f>IFERROR(__xludf.DUMMYFUNCTION("""COMPUTED_VALUE"""),"Big Format")</f>
        <v>Big Format</v>
      </c>
      <c r="S2201" s="3" t="str">
        <f>IFERROR(__xludf.DUMMYFUNCTION("""COMPUTED_VALUE"""),"PURE")</f>
        <v>PURE</v>
      </c>
      <c r="T2201" s="3" t="str">
        <f>IFERROR(__xludf.DUMMYFUNCTION("""COMPUTED_VALUE"""),"#N/A")</f>
        <v>#N/A</v>
      </c>
      <c r="U2201" s="3" t="str">
        <f>IFERROR(__xludf.DUMMYFUNCTION("""COMPUTED_VALUE"""),"#N/A")</f>
        <v>#N/A</v>
      </c>
      <c r="V2201" s="3" t="str">
        <f>IFERROR(__xludf.DUMMYFUNCTION("""COMPUTED_VALUE"""),"N")</f>
        <v>N</v>
      </c>
      <c r="W2201" s="3">
        <f>IFERROR(__xludf.DUMMYFUNCTION("""COMPUTED_VALUE"""),111213.0)</f>
        <v>111213</v>
      </c>
      <c r="X2201" s="3" t="str">
        <f>IFERROR(__xludf.DUMMYFUNCTION("""COMPUTED_VALUE"""),"77/11 ถนนชยางกูร ตำบลมุกดาหาร อำเภอเมืองมุกดาหาร จังหวัดมุกดาหาร 49000")</f>
        <v>77/11 ถนนชยางกูร ตำบลมุกดาหาร อำเภอเมืองมุกดาหาร จังหวัดมุกดาหาร 49000</v>
      </c>
      <c r="Y2201" s="3" t="str">
        <f>IFERROR(__xludf.DUMMYFUNCTION("""COMPUTED_VALUE"""),"ถนนชยางกูร")</f>
        <v>ถนนชยางกูร</v>
      </c>
      <c r="Z2201" s="3" t="str">
        <f>IFERROR(__xludf.DUMMYFUNCTION("""COMPUTED_VALUE"""),"มุกดาหาร")</f>
        <v>มุกดาหาร</v>
      </c>
      <c r="AA2201" s="3" t="str">
        <f>IFERROR(__xludf.DUMMYFUNCTION("""COMPUTED_VALUE"""),"เมือง")</f>
        <v>เมือง</v>
      </c>
      <c r="AB2201" s="3" t="str">
        <f>IFERROR(__xludf.DUMMYFUNCTION("""COMPUTED_VALUE"""),"มุกดาหาร")</f>
        <v>มุกดาหาร</v>
      </c>
      <c r="AC2201" s="3">
        <f>IFERROR(__xludf.DUMMYFUNCTION("""COMPUTED_VALUE"""),49000.0)</f>
        <v>49000</v>
      </c>
      <c r="AD2201" s="3">
        <f>IFERROR(__xludf.DUMMYFUNCTION("""COMPUTED_VALUE"""),0.0)</f>
        <v>0</v>
      </c>
      <c r="AE2201" s="3">
        <f>IFERROR(__xludf.DUMMYFUNCTION("""COMPUTED_VALUE"""),0.0)</f>
        <v>0</v>
      </c>
      <c r="AF2201" s="3" t="str">
        <f>IFERROR(__xludf.DUMMYFUNCTION("""COMPUTED_VALUE"""),"เพรียวมุกดาหาร-41079")</f>
        <v>เพรียวมุกดาหาร-41079</v>
      </c>
      <c r="AG2201" s="3" t="str">
        <f>IFERROR(__xludf.DUMMYFUNCTION("""COMPUTED_VALUE"""),"ตะวันออกเฉียงเหนือ")</f>
        <v>ตะวันออกเฉียงเหนือ</v>
      </c>
      <c r="AH2201" s="3" t="str">
        <f>IFERROR(__xludf.DUMMYFUNCTION("""COMPUTED_VALUE"""),"#N/A")</f>
        <v>#N/A</v>
      </c>
      <c r="AI2201" s="3" t="str">
        <f>IFERROR(__xludf.DUMMYFUNCTION("""COMPUTED_VALUE"""),"Out of warranty")</f>
        <v>Out of warranty</v>
      </c>
      <c r="AJ2201" s="3">
        <f>IFERROR(__xludf.DUMMYFUNCTION("""COMPUTED_VALUE"""),161.0)</f>
        <v>161</v>
      </c>
      <c r="AK2201" s="3"/>
      <c r="AL2201" s="3"/>
    </row>
    <row r="2202" ht="15.75" customHeight="1">
      <c r="A2202" s="1" t="str">
        <f>IFERROR(__xludf.DUMMYFUNCTION("""COMPUTED_VALUE"""),"41080")</f>
        <v>41080</v>
      </c>
      <c r="B2202" s="2">
        <f>IFERROR(__xludf.DUMMYFUNCTION("""COMPUTED_VALUE"""),41080.0)</f>
        <v>41080</v>
      </c>
      <c r="C2202" s="3" t="str">
        <f>IFERROR(__xludf.DUMMYFUNCTION("""COMPUTED_VALUE"""),"เพรียวลาดพร้าว")</f>
        <v>เพรียวลาดพร้าว</v>
      </c>
      <c r="D2202" s="3" t="str">
        <f>IFERROR(__xludf.DUMMYFUNCTION("""COMPUTED_VALUE"""),"BIGC LARDPHRAO PURE")</f>
        <v>BIGC LARDPHRAO PURE</v>
      </c>
      <c r="E2202" s="1" t="str">
        <f>IFERROR(__xludf.DUMMYFUNCTION("""COMPUTED_VALUE"""),"PURE")</f>
        <v>PURE</v>
      </c>
      <c r="F2202" s="1" t="str">
        <f>IFERROR(__xludf.DUMMYFUNCTION("""COMPUTED_VALUE"""),"211291")</f>
        <v>211291</v>
      </c>
      <c r="G2202" s="1" t="str">
        <f>IFERROR(__xludf.DUMMYFUNCTION("""COMPUTED_VALUE"""),"น.ส.ปนัดดา มากระจันทน์")</f>
        <v>น.ส.ปนัดดา มากระจันทน์</v>
      </c>
      <c r="H2202" s="1" t="str">
        <f>IFERROR(__xludf.DUMMYFUNCTION("""COMPUTED_VALUE"""),"211291")</f>
        <v>211291</v>
      </c>
      <c r="I2202" s="1" t="str">
        <f>IFERROR(__xludf.DUMMYFUNCTION("""COMPUTED_VALUE"""),"น.ส.ปนัดดา มากระจันทน์")</f>
        <v>น.ส.ปนัดดา มากระจันทน์</v>
      </c>
      <c r="J2202" s="3">
        <f>IFERROR(__xludf.DUMMYFUNCTION("""COMPUTED_VALUE"""),2454813.0)</f>
        <v>2454813</v>
      </c>
      <c r="K2202" s="3" t="str">
        <f>IFERROR(__xludf.DUMMYFUNCTION("""COMPUTED_VALUE"""),"นายอนุรักษ์ จั่นเที่ยง")</f>
        <v>นายอนุรักษ์ จั่นเที่ยง</v>
      </c>
      <c r="L2202" s="1" t="str">
        <f>IFERROR(__xludf.DUMMYFUNCTION("""COMPUTED_VALUE"""),"Hub04-BKK 4")</f>
        <v>Hub04-BKK 4</v>
      </c>
      <c r="M2202" s="1" t="str">
        <f>IFERROR(__xludf.DUMMYFUNCTION("""COMPUTED_VALUE"""),"0991964531")</f>
        <v>0991964531</v>
      </c>
      <c r="N2202" s="3">
        <f>IFERROR(__xludf.DUMMYFUNCTION("""COMPUTED_VALUE"""),11131.0)</f>
        <v>11131</v>
      </c>
      <c r="O2202" s="3" t="str">
        <f>IFERROR(__xludf.DUMMYFUNCTION("""COMPUTED_VALUE"""),"ลาดพร้าว")</f>
        <v>ลาดพร้าว</v>
      </c>
      <c r="P2202" s="4">
        <f>IFERROR(__xludf.DUMMYFUNCTION("""COMPUTED_VALUE"""),41165.0)</f>
        <v>41165</v>
      </c>
      <c r="Q2202" s="3" t="str">
        <f>IFERROR(__xludf.DUMMYFUNCTION("""COMPUTED_VALUE"""),"A")</f>
        <v>A</v>
      </c>
      <c r="R2202" s="3" t="str">
        <f>IFERROR(__xludf.DUMMYFUNCTION("""COMPUTED_VALUE"""),"Big Format")</f>
        <v>Big Format</v>
      </c>
      <c r="S2202" s="3" t="str">
        <f>IFERROR(__xludf.DUMMYFUNCTION("""COMPUTED_VALUE"""),"PURE")</f>
        <v>PURE</v>
      </c>
      <c r="T2202" s="3" t="str">
        <f>IFERROR(__xludf.DUMMYFUNCTION("""COMPUTED_VALUE"""),"#N/A")</f>
        <v>#N/A</v>
      </c>
      <c r="U2202" s="3" t="str">
        <f>IFERROR(__xludf.DUMMYFUNCTION("""COMPUTED_VALUE"""),"#N/A")</f>
        <v>#N/A</v>
      </c>
      <c r="V2202" s="3" t="str">
        <f>IFERROR(__xludf.DUMMYFUNCTION("""COMPUTED_VALUE"""),"N")</f>
        <v>N</v>
      </c>
      <c r="W2202" s="3">
        <f>IFERROR(__xludf.DUMMYFUNCTION("""COMPUTED_VALUE"""),111131.0)</f>
        <v>111131</v>
      </c>
      <c r="X2202" s="3" t="str">
        <f>IFERROR(__xludf.DUMMYFUNCTION("""COMPUTED_VALUE"""),"2539 ถ.ลาดพร้าว แขวงวังทองหลาง เขตวังทองหลาง กรุงเทพฯ 10310")</f>
        <v>2539 ถ.ลาดพร้าว แขวงวังทองหลาง เขตวังทองหลาง กรุงเทพฯ 10310</v>
      </c>
      <c r="Y2202" s="3" t="str">
        <f>IFERROR(__xludf.DUMMYFUNCTION("""COMPUTED_VALUE"""),"ถ.ลาดพร้าว")</f>
        <v>ถ.ลาดพร้าว</v>
      </c>
      <c r="Z2202" s="3" t="str">
        <f>IFERROR(__xludf.DUMMYFUNCTION("""COMPUTED_VALUE"""),"วังทองหลาง")</f>
        <v>วังทองหลาง</v>
      </c>
      <c r="AA2202" s="3" t="str">
        <f>IFERROR(__xludf.DUMMYFUNCTION("""COMPUTED_VALUE"""),"วังทองหลาง")</f>
        <v>วังทองหลาง</v>
      </c>
      <c r="AB2202" s="3" t="str">
        <f>IFERROR(__xludf.DUMMYFUNCTION("""COMPUTED_VALUE"""),"กรุงเทพมหานคร")</f>
        <v>กรุงเทพมหานคร</v>
      </c>
      <c r="AC2202" s="3">
        <f>IFERROR(__xludf.DUMMYFUNCTION("""COMPUTED_VALUE"""),10310.0)</f>
        <v>10310</v>
      </c>
      <c r="AD2202" s="3">
        <f>IFERROR(__xludf.DUMMYFUNCTION("""COMPUTED_VALUE"""),0.0)</f>
        <v>0</v>
      </c>
      <c r="AE2202" s="3">
        <f>IFERROR(__xludf.DUMMYFUNCTION("""COMPUTED_VALUE"""),0.0)</f>
        <v>0</v>
      </c>
      <c r="AF2202" s="3" t="str">
        <f>IFERROR(__xludf.DUMMYFUNCTION("""COMPUTED_VALUE"""),"เพรียวลาดพร้าว-41080")</f>
        <v>เพรียวลาดพร้าว-41080</v>
      </c>
      <c r="AG2202" s="3" t="str">
        <f>IFERROR(__xludf.DUMMYFUNCTION("""COMPUTED_VALUE"""),"กลาง")</f>
        <v>กลาง</v>
      </c>
      <c r="AH2202" s="3" t="str">
        <f>IFERROR(__xludf.DUMMYFUNCTION("""COMPUTED_VALUE"""),"#N/A")</f>
        <v>#N/A</v>
      </c>
      <c r="AI2202" s="3" t="str">
        <f>IFERROR(__xludf.DUMMYFUNCTION("""COMPUTED_VALUE"""),"Out of warranty")</f>
        <v>Out of warranty</v>
      </c>
      <c r="AJ2202" s="3">
        <f>IFERROR(__xludf.DUMMYFUNCTION("""COMPUTED_VALUE"""),161.0)</f>
        <v>161</v>
      </c>
      <c r="AK2202" s="3"/>
      <c r="AL2202" s="3"/>
    </row>
    <row r="2203" ht="15.75" customHeight="1">
      <c r="A2203" s="1" t="str">
        <f>IFERROR(__xludf.DUMMYFUNCTION("""COMPUTED_VALUE"""),"41081")</f>
        <v>41081</v>
      </c>
      <c r="B2203" s="2">
        <f>IFERROR(__xludf.DUMMYFUNCTION("""COMPUTED_VALUE"""),41081.0)</f>
        <v>41081</v>
      </c>
      <c r="C2203" s="3" t="str">
        <f>IFERROR(__xludf.DUMMYFUNCTION("""COMPUTED_VALUE"""),"เพรียวสกลนคร")</f>
        <v>เพรียวสกลนคร</v>
      </c>
      <c r="D2203" s="3" t="str">
        <f>IFERROR(__xludf.DUMMYFUNCTION("""COMPUTED_VALUE"""),"BIGC SAKOLNAKORN PURE")</f>
        <v>BIGC SAKOLNAKORN PURE</v>
      </c>
      <c r="E2203" s="1" t="str">
        <f>IFERROR(__xludf.DUMMYFUNCTION("""COMPUTED_VALUE"""),"PURE")</f>
        <v>PURE</v>
      </c>
      <c r="F2203" s="1" t="str">
        <f>IFERROR(__xludf.DUMMYFUNCTION("""COMPUTED_VALUE"""),"2083583")</f>
        <v>2083583</v>
      </c>
      <c r="G2203" s="1" t="str">
        <f>IFERROR(__xludf.DUMMYFUNCTION("""COMPUTED_VALUE"""),"นายอรรณพ ศรีแก้ว")</f>
        <v>นายอรรณพ ศรีแก้ว</v>
      </c>
      <c r="H2203" s="1" t="str">
        <f>IFERROR(__xludf.DUMMYFUNCTION("""COMPUTED_VALUE"""),"2083583")</f>
        <v>2083583</v>
      </c>
      <c r="I2203" s="1" t="str">
        <f>IFERROR(__xludf.DUMMYFUNCTION("""COMPUTED_VALUE"""),"นายอรรณพ ศรีแก้ว")</f>
        <v>นายอรรณพ ศรีแก้ว</v>
      </c>
      <c r="J2203" s="3">
        <f>IFERROR(__xludf.DUMMYFUNCTION("""COMPUTED_VALUE"""),33317.0)</f>
        <v>33317</v>
      </c>
      <c r="K2203" s="3" t="str">
        <f>IFERROR(__xludf.DUMMYFUNCTION("""COMPUTED_VALUE"""),"นายอาณัติ เพชรภาน")</f>
        <v>นายอาณัติ เพชรภาน</v>
      </c>
      <c r="L2203" s="1" t="str">
        <f>IFERROR(__xludf.DUMMYFUNCTION("""COMPUTED_VALUE"""),"Hub10-NE 2")</f>
        <v>Hub10-NE 2</v>
      </c>
      <c r="M2203" s="1" t="str">
        <f>IFERROR(__xludf.DUMMYFUNCTION("""COMPUTED_VALUE"""),"0644791409")</f>
        <v>0644791409</v>
      </c>
      <c r="N2203" s="3">
        <f>IFERROR(__xludf.DUMMYFUNCTION("""COMPUTED_VALUE"""),11145.0)</f>
        <v>11145</v>
      </c>
      <c r="O2203" s="3" t="str">
        <f>IFERROR(__xludf.DUMMYFUNCTION("""COMPUTED_VALUE"""),"สกลนคร")</f>
        <v>สกลนคร</v>
      </c>
      <c r="P2203" s="4">
        <f>IFERROR(__xludf.DUMMYFUNCTION("""COMPUTED_VALUE"""),41171.0)</f>
        <v>41171</v>
      </c>
      <c r="Q2203" s="3" t="str">
        <f>IFERROR(__xludf.DUMMYFUNCTION("""COMPUTED_VALUE"""),"A")</f>
        <v>A</v>
      </c>
      <c r="R2203" s="3" t="str">
        <f>IFERROR(__xludf.DUMMYFUNCTION("""COMPUTED_VALUE"""),"Big Format")</f>
        <v>Big Format</v>
      </c>
      <c r="S2203" s="3" t="str">
        <f>IFERROR(__xludf.DUMMYFUNCTION("""COMPUTED_VALUE"""),"PURE")</f>
        <v>PURE</v>
      </c>
      <c r="T2203" s="3" t="str">
        <f>IFERROR(__xludf.DUMMYFUNCTION("""COMPUTED_VALUE"""),"#N/A")</f>
        <v>#N/A</v>
      </c>
      <c r="U2203" s="3" t="str">
        <f>IFERROR(__xludf.DUMMYFUNCTION("""COMPUTED_VALUE"""),"#N/A")</f>
        <v>#N/A</v>
      </c>
      <c r="V2203" s="3" t="str">
        <f>IFERROR(__xludf.DUMMYFUNCTION("""COMPUTED_VALUE"""),"N")</f>
        <v>N</v>
      </c>
      <c r="W2203" s="3">
        <f>IFERROR(__xludf.DUMMYFUNCTION("""COMPUTED_VALUE"""),111145.0)</f>
        <v>111145</v>
      </c>
      <c r="X2203" s="3" t="str">
        <f>IFERROR(__xludf.DUMMYFUNCTION("""COMPUTED_VALUE"""),"1594/16 ถนนรอบเมือง ตำบลธาตุเชิงชุม อำเภอเมืองสกลนคร จังหวัดสกลนคร 47000")</f>
        <v>1594/16 ถนนรอบเมือง ตำบลธาตุเชิงชุม อำเภอเมืองสกลนคร จังหวัดสกลนคร 47000</v>
      </c>
      <c r="Y2203" s="3" t="str">
        <f>IFERROR(__xludf.DUMMYFUNCTION("""COMPUTED_VALUE"""),"ถนนรอบเมือง")</f>
        <v>ถนนรอบเมือง</v>
      </c>
      <c r="Z2203" s="3" t="str">
        <f>IFERROR(__xludf.DUMMYFUNCTION("""COMPUTED_VALUE"""),"ธาตุเชิงชุม")</f>
        <v>ธาตุเชิงชุม</v>
      </c>
      <c r="AA2203" s="3" t="str">
        <f>IFERROR(__xludf.DUMMYFUNCTION("""COMPUTED_VALUE"""),"เมือง")</f>
        <v>เมือง</v>
      </c>
      <c r="AB2203" s="3" t="str">
        <f>IFERROR(__xludf.DUMMYFUNCTION("""COMPUTED_VALUE"""),"สกลนคร")</f>
        <v>สกลนคร</v>
      </c>
      <c r="AC2203" s="3">
        <f>IFERROR(__xludf.DUMMYFUNCTION("""COMPUTED_VALUE"""),47000.0)</f>
        <v>47000</v>
      </c>
      <c r="AD2203" s="3">
        <f>IFERROR(__xludf.DUMMYFUNCTION("""COMPUTED_VALUE"""),0.0)</f>
        <v>0</v>
      </c>
      <c r="AE2203" s="3">
        <f>IFERROR(__xludf.DUMMYFUNCTION("""COMPUTED_VALUE"""),0.0)</f>
        <v>0</v>
      </c>
      <c r="AF2203" s="3" t="str">
        <f>IFERROR(__xludf.DUMMYFUNCTION("""COMPUTED_VALUE"""),"เพรียวสกลนคร-41081")</f>
        <v>เพรียวสกลนคร-41081</v>
      </c>
      <c r="AG2203" s="3" t="str">
        <f>IFERROR(__xludf.DUMMYFUNCTION("""COMPUTED_VALUE"""),"ตะวันออกเฉียงเหนือ")</f>
        <v>ตะวันออกเฉียงเหนือ</v>
      </c>
      <c r="AH2203" s="3" t="str">
        <f>IFERROR(__xludf.DUMMYFUNCTION("""COMPUTED_VALUE"""),"#N/A")</f>
        <v>#N/A</v>
      </c>
      <c r="AI2203" s="3" t="str">
        <f>IFERROR(__xludf.DUMMYFUNCTION("""COMPUTED_VALUE"""),"Out of warranty")</f>
        <v>Out of warranty</v>
      </c>
      <c r="AJ2203" s="3">
        <f>IFERROR(__xludf.DUMMYFUNCTION("""COMPUTED_VALUE"""),161.0)</f>
        <v>161</v>
      </c>
      <c r="AK2203" s="3"/>
      <c r="AL2203" s="3"/>
    </row>
    <row r="2204" ht="15.75" customHeight="1">
      <c r="A2204" s="1" t="str">
        <f>IFERROR(__xludf.DUMMYFUNCTION("""COMPUTED_VALUE"""),"41082")</f>
        <v>41082</v>
      </c>
      <c r="B2204" s="2">
        <f>IFERROR(__xludf.DUMMYFUNCTION("""COMPUTED_VALUE"""),41082.0)</f>
        <v>41082</v>
      </c>
      <c r="C2204" s="3" t="str">
        <f>IFERROR(__xludf.DUMMYFUNCTION("""COMPUTED_VALUE"""),"เพรียวสระแก้ว")</f>
        <v>เพรียวสระแก้ว</v>
      </c>
      <c r="D2204" s="3" t="str">
        <f>IFERROR(__xludf.DUMMYFUNCTION("""COMPUTED_VALUE"""),"BIGC SAKAEO PURE")</f>
        <v>BIGC SAKAEO PURE</v>
      </c>
      <c r="E2204" s="1" t="str">
        <f>IFERROR(__xludf.DUMMYFUNCTION("""COMPUTED_VALUE"""),"PURE")</f>
        <v>PURE</v>
      </c>
      <c r="F2204" s="1" t="str">
        <f>IFERROR(__xludf.DUMMYFUNCTION("""COMPUTED_VALUE"""),"228469")</f>
        <v>228469</v>
      </c>
      <c r="G2204" s="1" t="str">
        <f>IFERROR(__xludf.DUMMYFUNCTION("""COMPUTED_VALUE"""),"น.ส.บงกช ทำการดี")</f>
        <v>น.ส.บงกช ทำการดี</v>
      </c>
      <c r="H2204" s="1" t="str">
        <f>IFERROR(__xludf.DUMMYFUNCTION("""COMPUTED_VALUE"""),"228469")</f>
        <v>228469</v>
      </c>
      <c r="I2204" s="1" t="str">
        <f>IFERROR(__xludf.DUMMYFUNCTION("""COMPUTED_VALUE"""),"น.ส.บงกช ทำการดี")</f>
        <v>น.ส.บงกช ทำการดี</v>
      </c>
      <c r="J2204" s="3">
        <f>IFERROR(__xludf.DUMMYFUNCTION("""COMPUTED_VALUE"""),2455164.0)</f>
        <v>2455164</v>
      </c>
      <c r="K2204" s="3" t="str">
        <f>IFERROR(__xludf.DUMMYFUNCTION("""COMPUTED_VALUE"""),"นายกรวิทย์ เจริญพร")</f>
        <v>นายกรวิทย์ เจริญพร</v>
      </c>
      <c r="L2204" s="1" t="str">
        <f>IFERROR(__xludf.DUMMYFUNCTION("""COMPUTED_VALUE"""),"Hub08-East")</f>
        <v>Hub08-East</v>
      </c>
      <c r="M2204" s="1" t="str">
        <f>IFERROR(__xludf.DUMMYFUNCTION("""COMPUTED_VALUE"""),"092-605-9922")</f>
        <v>092-605-9922</v>
      </c>
      <c r="N2204" s="3">
        <f>IFERROR(__xludf.DUMMYFUNCTION("""COMPUTED_VALUE"""),11164.0)</f>
        <v>11164</v>
      </c>
      <c r="O2204" s="3" t="str">
        <f>IFERROR(__xludf.DUMMYFUNCTION("""COMPUTED_VALUE"""),"สระแก้ว")</f>
        <v>สระแก้ว</v>
      </c>
      <c r="P2204" s="4">
        <f>IFERROR(__xludf.DUMMYFUNCTION("""COMPUTED_VALUE"""),41176.0)</f>
        <v>41176</v>
      </c>
      <c r="Q2204" s="3" t="str">
        <f>IFERROR(__xludf.DUMMYFUNCTION("""COMPUTED_VALUE"""),"A")</f>
        <v>A</v>
      </c>
      <c r="R2204" s="3" t="str">
        <f>IFERROR(__xludf.DUMMYFUNCTION("""COMPUTED_VALUE"""),"Big Format")</f>
        <v>Big Format</v>
      </c>
      <c r="S2204" s="3" t="str">
        <f>IFERROR(__xludf.DUMMYFUNCTION("""COMPUTED_VALUE"""),"PURE")</f>
        <v>PURE</v>
      </c>
      <c r="T2204" s="3" t="str">
        <f>IFERROR(__xludf.DUMMYFUNCTION("""COMPUTED_VALUE"""),"#N/A")</f>
        <v>#N/A</v>
      </c>
      <c r="U2204" s="3" t="str">
        <f>IFERROR(__xludf.DUMMYFUNCTION("""COMPUTED_VALUE"""),"#N/A")</f>
        <v>#N/A</v>
      </c>
      <c r="V2204" s="3" t="str">
        <f>IFERROR(__xludf.DUMMYFUNCTION("""COMPUTED_VALUE"""),"N")</f>
        <v>N</v>
      </c>
      <c r="W2204" s="3">
        <f>IFERROR(__xludf.DUMMYFUNCTION("""COMPUTED_VALUE"""),111164.0)</f>
        <v>111164</v>
      </c>
      <c r="X2204" s="3" t="str">
        <f>IFERROR(__xludf.DUMMYFUNCTION("""COMPUTED_VALUE"""),"352 ถนนสุวรรณศร ตำบลสระแก้ว อำเภอเมืองสระแก้ว จังหวัดสระแก้ว 27000")</f>
        <v>352 ถนนสุวรรณศร ตำบลสระแก้ว อำเภอเมืองสระแก้ว จังหวัดสระแก้ว 27000</v>
      </c>
      <c r="Y2204" s="3" t="str">
        <f>IFERROR(__xludf.DUMMYFUNCTION("""COMPUTED_VALUE"""),"ถนนสุวรรณศร")</f>
        <v>ถนนสุวรรณศร</v>
      </c>
      <c r="Z2204" s="3" t="str">
        <f>IFERROR(__xludf.DUMMYFUNCTION("""COMPUTED_VALUE"""),"สระแก้ว")</f>
        <v>สระแก้ว</v>
      </c>
      <c r="AA2204" s="3" t="str">
        <f>IFERROR(__xludf.DUMMYFUNCTION("""COMPUTED_VALUE"""),"เมือง")</f>
        <v>เมือง</v>
      </c>
      <c r="AB2204" s="3" t="str">
        <f>IFERROR(__xludf.DUMMYFUNCTION("""COMPUTED_VALUE"""),"สระแก้ว")</f>
        <v>สระแก้ว</v>
      </c>
      <c r="AC2204" s="3">
        <f>IFERROR(__xludf.DUMMYFUNCTION("""COMPUTED_VALUE"""),27000.0)</f>
        <v>27000</v>
      </c>
      <c r="AD2204" s="3">
        <f>IFERROR(__xludf.DUMMYFUNCTION("""COMPUTED_VALUE"""),0.0)</f>
        <v>0</v>
      </c>
      <c r="AE2204" s="3">
        <f>IFERROR(__xludf.DUMMYFUNCTION("""COMPUTED_VALUE"""),0.0)</f>
        <v>0</v>
      </c>
      <c r="AF2204" s="3" t="str">
        <f>IFERROR(__xludf.DUMMYFUNCTION("""COMPUTED_VALUE"""),"เพรียวสระแก้ว-41082")</f>
        <v>เพรียวสระแก้ว-41082</v>
      </c>
      <c r="AG2204" s="3" t="str">
        <f>IFERROR(__xludf.DUMMYFUNCTION("""COMPUTED_VALUE"""),"ตะวันออก")</f>
        <v>ตะวันออก</v>
      </c>
      <c r="AH2204" s="3" t="str">
        <f>IFERROR(__xludf.DUMMYFUNCTION("""COMPUTED_VALUE"""),"#N/A")</f>
        <v>#N/A</v>
      </c>
      <c r="AI2204" s="3" t="str">
        <f>IFERROR(__xludf.DUMMYFUNCTION("""COMPUTED_VALUE"""),"Out of warranty")</f>
        <v>Out of warranty</v>
      </c>
      <c r="AJ2204" s="3">
        <f>IFERROR(__xludf.DUMMYFUNCTION("""COMPUTED_VALUE"""),160.0)</f>
        <v>160</v>
      </c>
      <c r="AK2204" s="3"/>
      <c r="AL2204" s="3"/>
    </row>
    <row r="2205" ht="15.75" customHeight="1">
      <c r="A2205" s="1" t="str">
        <f>IFERROR(__xludf.DUMMYFUNCTION("""COMPUTED_VALUE"""),"41083")</f>
        <v>41083</v>
      </c>
      <c r="B2205" s="2">
        <f>IFERROR(__xludf.DUMMYFUNCTION("""COMPUTED_VALUE"""),41083.0)</f>
        <v>41083</v>
      </c>
      <c r="C2205" s="3" t="str">
        <f>IFERROR(__xludf.DUMMYFUNCTION("""COMPUTED_VALUE"""),"เพรียวนวนคร")</f>
        <v>เพรียวนวนคร</v>
      </c>
      <c r="D2205" s="3" t="str">
        <f>IFERROR(__xludf.DUMMYFUNCTION("""COMPUTED_VALUE"""),"BIGC NAVANAKORN PURE")</f>
        <v>BIGC NAVANAKORN PURE</v>
      </c>
      <c r="E2205" s="1" t="str">
        <f>IFERROR(__xludf.DUMMYFUNCTION("""COMPUTED_VALUE"""),"PURE")</f>
        <v>PURE</v>
      </c>
      <c r="F2205" s="1" t="str">
        <f>IFERROR(__xludf.DUMMYFUNCTION("""COMPUTED_VALUE"""),"2082102")</f>
        <v>2082102</v>
      </c>
      <c r="G2205" s="1" t="str">
        <f>IFERROR(__xludf.DUMMYFUNCTION("""COMPUTED_VALUE"""),"น.ส.วัชรา มหาวันแจ่ม")</f>
        <v>น.ส.วัชรา มหาวันแจ่ม</v>
      </c>
      <c r="H2205" s="1" t="str">
        <f>IFERROR(__xludf.DUMMYFUNCTION("""COMPUTED_VALUE"""),"2082102")</f>
        <v>2082102</v>
      </c>
      <c r="I2205" s="1" t="str">
        <f>IFERROR(__xludf.DUMMYFUNCTION("""COMPUTED_VALUE"""),"น.ส.วัชรา มหาวันแจ่ม")</f>
        <v>น.ส.วัชรา มหาวันแจ่ม</v>
      </c>
      <c r="J2205" s="3">
        <f>IFERROR(__xludf.DUMMYFUNCTION("""COMPUTED_VALUE"""),2454813.0)</f>
        <v>2454813</v>
      </c>
      <c r="K2205" s="3" t="str">
        <f>IFERROR(__xludf.DUMMYFUNCTION("""COMPUTED_VALUE"""),"นายอนุรักษ์ จั่นเที่ยง")</f>
        <v>นายอนุรักษ์ จั่นเที่ยง</v>
      </c>
      <c r="L2205" s="1" t="str">
        <f>IFERROR(__xludf.DUMMYFUNCTION("""COMPUTED_VALUE"""),"Hub04-BKK 4")</f>
        <v>Hub04-BKK 4</v>
      </c>
      <c r="M2205" s="1" t="str">
        <f>IFERROR(__xludf.DUMMYFUNCTION("""COMPUTED_VALUE"""),"0991964531")</f>
        <v>0991964531</v>
      </c>
      <c r="N2205" s="3">
        <f>IFERROR(__xludf.DUMMYFUNCTION("""COMPUTED_VALUE"""),11161.0)</f>
        <v>11161</v>
      </c>
      <c r="O2205" s="3" t="str">
        <f>IFERROR(__xludf.DUMMYFUNCTION("""COMPUTED_VALUE"""),"นวนคร")</f>
        <v>นวนคร</v>
      </c>
      <c r="P2205" s="4">
        <f>IFERROR(__xludf.DUMMYFUNCTION("""COMPUTED_VALUE"""),41180.0)</f>
        <v>41180</v>
      </c>
      <c r="Q2205" s="3" t="str">
        <f>IFERROR(__xludf.DUMMYFUNCTION("""COMPUTED_VALUE"""),"A")</f>
        <v>A</v>
      </c>
      <c r="R2205" s="3" t="str">
        <f>IFERROR(__xludf.DUMMYFUNCTION("""COMPUTED_VALUE"""),"Big Format")</f>
        <v>Big Format</v>
      </c>
      <c r="S2205" s="3" t="str">
        <f>IFERROR(__xludf.DUMMYFUNCTION("""COMPUTED_VALUE"""),"PURE")</f>
        <v>PURE</v>
      </c>
      <c r="T2205" s="3" t="str">
        <f>IFERROR(__xludf.DUMMYFUNCTION("""COMPUTED_VALUE"""),"#N/A")</f>
        <v>#N/A</v>
      </c>
      <c r="U2205" s="3" t="str">
        <f>IFERROR(__xludf.DUMMYFUNCTION("""COMPUTED_VALUE"""),"#N/A")</f>
        <v>#N/A</v>
      </c>
      <c r="V2205" s="3" t="str">
        <f>IFERROR(__xludf.DUMMYFUNCTION("""COMPUTED_VALUE"""),"N")</f>
        <v>N</v>
      </c>
      <c r="W2205" s="3">
        <f>IFERROR(__xludf.DUMMYFUNCTION("""COMPUTED_VALUE"""),111161.0)</f>
        <v>111161</v>
      </c>
      <c r="X2205" s="3" t="str">
        <f>IFERROR(__xludf.DUMMYFUNCTION("""COMPUTED_VALUE"""),"98/196 หมู่ที่ 13 ตำบลคลองหนึ่ง อำเภอคลองหลวง จังหวัดปทุมธานี 12120")</f>
        <v>98/196 หมู่ที่ 13 ตำบลคลองหนึ่ง อำเภอคลองหลวง จังหวัดปทุมธานี 12120</v>
      </c>
      <c r="Y2205" s="3"/>
      <c r="Z2205" s="3" t="str">
        <f>IFERROR(__xludf.DUMMYFUNCTION("""COMPUTED_VALUE"""),"คลองหนึ่ง")</f>
        <v>คลองหนึ่ง</v>
      </c>
      <c r="AA2205" s="3" t="str">
        <f>IFERROR(__xludf.DUMMYFUNCTION("""COMPUTED_VALUE"""),"คลองหลวง")</f>
        <v>คลองหลวง</v>
      </c>
      <c r="AB2205" s="3" t="str">
        <f>IFERROR(__xludf.DUMMYFUNCTION("""COMPUTED_VALUE"""),"ปทุมธานี")</f>
        <v>ปทุมธานี</v>
      </c>
      <c r="AC2205" s="3">
        <f>IFERROR(__xludf.DUMMYFUNCTION("""COMPUTED_VALUE"""),12120.0)</f>
        <v>12120</v>
      </c>
      <c r="AD2205" s="3">
        <f>IFERROR(__xludf.DUMMYFUNCTION("""COMPUTED_VALUE"""),0.0)</f>
        <v>0</v>
      </c>
      <c r="AE2205" s="3">
        <f>IFERROR(__xludf.DUMMYFUNCTION("""COMPUTED_VALUE"""),0.0)</f>
        <v>0</v>
      </c>
      <c r="AF2205" s="3" t="str">
        <f>IFERROR(__xludf.DUMMYFUNCTION("""COMPUTED_VALUE"""),"เพรียวนวนคร-41083")</f>
        <v>เพรียวนวนคร-41083</v>
      </c>
      <c r="AG2205" s="3" t="str">
        <f>IFERROR(__xludf.DUMMYFUNCTION("""COMPUTED_VALUE"""),"กลาง")</f>
        <v>กลาง</v>
      </c>
      <c r="AH2205" s="3" t="str">
        <f>IFERROR(__xludf.DUMMYFUNCTION("""COMPUTED_VALUE"""),"#N/A")</f>
        <v>#N/A</v>
      </c>
      <c r="AI2205" s="3" t="str">
        <f>IFERROR(__xludf.DUMMYFUNCTION("""COMPUTED_VALUE"""),"Out of warranty")</f>
        <v>Out of warranty</v>
      </c>
      <c r="AJ2205" s="3">
        <f>IFERROR(__xludf.DUMMYFUNCTION("""COMPUTED_VALUE"""),160.0)</f>
        <v>160</v>
      </c>
      <c r="AK2205" s="3"/>
      <c r="AL2205" s="3"/>
    </row>
    <row r="2206" ht="15.75" customHeight="1">
      <c r="A2206" s="1" t="str">
        <f>IFERROR(__xludf.DUMMYFUNCTION("""COMPUTED_VALUE"""),"41084")</f>
        <v>41084</v>
      </c>
      <c r="B2206" s="2">
        <f>IFERROR(__xludf.DUMMYFUNCTION("""COMPUTED_VALUE"""),41084.0)</f>
        <v>41084</v>
      </c>
      <c r="C2206" s="3" t="str">
        <f>IFERROR(__xludf.DUMMYFUNCTION("""COMPUTED_VALUE"""),"เพรียวคู้บอน")</f>
        <v>เพรียวคู้บอน</v>
      </c>
      <c r="D2206" s="3" t="str">
        <f>IFERROR(__xludf.DUMMYFUNCTION("""COMPUTED_VALUE"""),"BIGC MARKET KHUBON PURE")</f>
        <v>BIGC MARKET KHUBON PURE</v>
      </c>
      <c r="E2206" s="1" t="str">
        <f>IFERROR(__xludf.DUMMYFUNCTION("""COMPUTED_VALUE"""),"PURE")</f>
        <v>PURE</v>
      </c>
      <c r="F2206" s="1" t="str">
        <f>IFERROR(__xludf.DUMMYFUNCTION("""COMPUTED_VALUE"""),"211291")</f>
        <v>211291</v>
      </c>
      <c r="G2206" s="1" t="str">
        <f>IFERROR(__xludf.DUMMYFUNCTION("""COMPUTED_VALUE"""),"น.ส.ปนัดดา มากระจันทน์")</f>
        <v>น.ส.ปนัดดา มากระจันทน์</v>
      </c>
      <c r="H2206" s="1" t="str">
        <f>IFERROR(__xludf.DUMMYFUNCTION("""COMPUTED_VALUE"""),"211291")</f>
        <v>211291</v>
      </c>
      <c r="I2206" s="1" t="str">
        <f>IFERROR(__xludf.DUMMYFUNCTION("""COMPUTED_VALUE"""),"น.ส.ปนัดดา มากระจันทน์")</f>
        <v>น.ส.ปนัดดา มากระจันทน์</v>
      </c>
      <c r="J2206" s="3">
        <f>IFERROR(__xludf.DUMMYFUNCTION("""COMPUTED_VALUE"""),2454716.0)</f>
        <v>2454716</v>
      </c>
      <c r="K2206" s="3" t="str">
        <f>IFERROR(__xludf.DUMMYFUNCTION("""COMPUTED_VALUE"""),"นายโฆษิต วงค์กะโซ่")</f>
        <v>นายโฆษิต วงค์กะโซ่</v>
      </c>
      <c r="L2206" s="1" t="str">
        <f>IFERROR(__xludf.DUMMYFUNCTION("""COMPUTED_VALUE"""),"Hub03-BKK 3")</f>
        <v>Hub03-BKK 3</v>
      </c>
      <c r="M2206" s="1" t="str">
        <f>IFERROR(__xludf.DUMMYFUNCTION("""COMPUTED_VALUE"""),"062-434-5030")</f>
        <v>062-434-5030</v>
      </c>
      <c r="N2206" s="3">
        <f>IFERROR(__xludf.DUMMYFUNCTION("""COMPUTED_VALUE"""),15017.0)</f>
        <v>15017</v>
      </c>
      <c r="O2206" s="3" t="str">
        <f>IFERROR(__xludf.DUMMYFUNCTION("""COMPUTED_VALUE"""),"คู้บอน")</f>
        <v>คู้บอน</v>
      </c>
      <c r="P2206" s="4">
        <f>IFERROR(__xludf.DUMMYFUNCTION("""COMPUTED_VALUE"""),41180.0)</f>
        <v>41180</v>
      </c>
      <c r="Q2206" s="3" t="str">
        <f>IFERROR(__xludf.DUMMYFUNCTION("""COMPUTED_VALUE"""),"A")</f>
        <v>A</v>
      </c>
      <c r="R2206" s="3" t="str">
        <f>IFERROR(__xludf.DUMMYFUNCTION("""COMPUTED_VALUE"""),"Big Format")</f>
        <v>Big Format</v>
      </c>
      <c r="S2206" s="3" t="str">
        <f>IFERROR(__xludf.DUMMYFUNCTION("""COMPUTED_VALUE"""),"PURE")</f>
        <v>PURE</v>
      </c>
      <c r="T2206" s="3" t="str">
        <f>IFERROR(__xludf.DUMMYFUNCTION("""COMPUTED_VALUE"""),"#N/A")</f>
        <v>#N/A</v>
      </c>
      <c r="U2206" s="3" t="str">
        <f>IFERROR(__xludf.DUMMYFUNCTION("""COMPUTED_VALUE"""),"#N/A")</f>
        <v>#N/A</v>
      </c>
      <c r="V2206" s="3" t="str">
        <f>IFERROR(__xludf.DUMMYFUNCTION("""COMPUTED_VALUE"""),"N")</f>
        <v>N</v>
      </c>
      <c r="W2206" s="3">
        <f>IFERROR(__xludf.DUMMYFUNCTION("""COMPUTED_VALUE"""),411076.0)</f>
        <v>411076</v>
      </c>
      <c r="X2206" s="3" t="str">
        <f>IFERROR(__xludf.DUMMYFUNCTION("""COMPUTED_VALUE"""),"47/1 ถนน คู้บอน แขวง รามอินทรา เขต คันนายาว กรุงเทพฯ 10230")</f>
        <v>47/1 ถนน คู้บอน แขวง รามอินทรา เขต คันนายาว กรุงเทพฯ 10230</v>
      </c>
      <c r="Y2206" s="3" t="str">
        <f>IFERROR(__xludf.DUMMYFUNCTION("""COMPUTED_VALUE"""),"ถนน")</f>
        <v>ถนน</v>
      </c>
      <c r="Z2206" s="3" t="str">
        <f>IFERROR(__xludf.DUMMYFUNCTION("""COMPUTED_VALUE"""),"คู้บอน")</f>
        <v>คู้บอน</v>
      </c>
      <c r="AA2206" s="3" t="str">
        <f>IFERROR(__xludf.DUMMYFUNCTION("""COMPUTED_VALUE"""),"คันนายาว")</f>
        <v>คันนายาว</v>
      </c>
      <c r="AB2206" s="3" t="str">
        <f>IFERROR(__xludf.DUMMYFUNCTION("""COMPUTED_VALUE"""),"กรุงเทพมหานคร")</f>
        <v>กรุงเทพมหานคร</v>
      </c>
      <c r="AC2206" s="3">
        <f>IFERROR(__xludf.DUMMYFUNCTION("""COMPUTED_VALUE"""),10230.0)</f>
        <v>10230</v>
      </c>
      <c r="AD2206" s="3">
        <f>IFERROR(__xludf.DUMMYFUNCTION("""COMPUTED_VALUE"""),0.0)</f>
        <v>0</v>
      </c>
      <c r="AE2206" s="3">
        <f>IFERROR(__xludf.DUMMYFUNCTION("""COMPUTED_VALUE"""),0.0)</f>
        <v>0</v>
      </c>
      <c r="AF2206" s="3" t="str">
        <f>IFERROR(__xludf.DUMMYFUNCTION("""COMPUTED_VALUE"""),"เพรียวคู้บอน-41084")</f>
        <v>เพรียวคู้บอน-41084</v>
      </c>
      <c r="AG2206" s="3" t="str">
        <f>IFERROR(__xludf.DUMMYFUNCTION("""COMPUTED_VALUE"""),"กลาง")</f>
        <v>กลาง</v>
      </c>
      <c r="AH2206" s="3" t="str">
        <f>IFERROR(__xludf.DUMMYFUNCTION("""COMPUTED_VALUE"""),"#N/A")</f>
        <v>#N/A</v>
      </c>
      <c r="AI2206" s="3" t="str">
        <f>IFERROR(__xludf.DUMMYFUNCTION("""COMPUTED_VALUE"""),"Out of warranty")</f>
        <v>Out of warranty</v>
      </c>
      <c r="AJ2206" s="3">
        <f>IFERROR(__xludf.DUMMYFUNCTION("""COMPUTED_VALUE"""),160.0)</f>
        <v>160</v>
      </c>
      <c r="AK2206" s="3"/>
      <c r="AL2206" s="3"/>
    </row>
    <row r="2207" ht="15.75" customHeight="1">
      <c r="A2207" s="1" t="str">
        <f>IFERROR(__xludf.DUMMYFUNCTION("""COMPUTED_VALUE"""),"41085")</f>
        <v>41085</v>
      </c>
      <c r="B2207" s="2">
        <f>IFERROR(__xludf.DUMMYFUNCTION("""COMPUTED_VALUE"""),41085.0)</f>
        <v>41085</v>
      </c>
      <c r="C2207" s="3" t="str">
        <f>IFERROR(__xludf.DUMMYFUNCTION("""COMPUTED_VALUE"""),"เพรียวสุวินทวงศ์")</f>
        <v>เพรียวสุวินทวงศ์</v>
      </c>
      <c r="D2207" s="3" t="str">
        <f>IFERROR(__xludf.DUMMYFUNCTION("""COMPUTED_VALUE"""),"BIGC SUWINTAWONG PURE")</f>
        <v>BIGC SUWINTAWONG PURE</v>
      </c>
      <c r="E2207" s="1" t="str">
        <f>IFERROR(__xludf.DUMMYFUNCTION("""COMPUTED_VALUE"""),"PURE")</f>
        <v>PURE</v>
      </c>
      <c r="F2207" s="1" t="str">
        <f>IFERROR(__xludf.DUMMYFUNCTION("""COMPUTED_VALUE"""),"211291")</f>
        <v>211291</v>
      </c>
      <c r="G2207" s="1" t="str">
        <f>IFERROR(__xludf.DUMMYFUNCTION("""COMPUTED_VALUE"""),"น.ส.ปนัดดา มากระจันทน์")</f>
        <v>น.ส.ปนัดดา มากระจันทน์</v>
      </c>
      <c r="H2207" s="1" t="str">
        <f>IFERROR(__xludf.DUMMYFUNCTION("""COMPUTED_VALUE"""),"211291")</f>
        <v>211291</v>
      </c>
      <c r="I2207" s="1" t="str">
        <f>IFERROR(__xludf.DUMMYFUNCTION("""COMPUTED_VALUE"""),"น.ส.ปนัดดา มากระจันทน์")</f>
        <v>น.ส.ปนัดดา มากระจันทน์</v>
      </c>
      <c r="J2207" s="3">
        <f>IFERROR(__xludf.DUMMYFUNCTION("""COMPUTED_VALUE"""),2454716.0)</f>
        <v>2454716</v>
      </c>
      <c r="K2207" s="3" t="str">
        <f>IFERROR(__xludf.DUMMYFUNCTION("""COMPUTED_VALUE"""),"นายโฆษิต วงค์กะโซ่")</f>
        <v>นายโฆษิต วงค์กะโซ่</v>
      </c>
      <c r="L2207" s="1" t="str">
        <f>IFERROR(__xludf.DUMMYFUNCTION("""COMPUTED_VALUE"""),"Hub03-BKK 3")</f>
        <v>Hub03-BKK 3</v>
      </c>
      <c r="M2207" s="1" t="str">
        <f>IFERROR(__xludf.DUMMYFUNCTION("""COMPUTED_VALUE"""),"062-434-5030")</f>
        <v>062-434-5030</v>
      </c>
      <c r="N2207" s="3">
        <f>IFERROR(__xludf.DUMMYFUNCTION("""COMPUTED_VALUE"""),11200.0)</f>
        <v>11200</v>
      </c>
      <c r="O2207" s="3" t="str">
        <f>IFERROR(__xludf.DUMMYFUNCTION("""COMPUTED_VALUE"""),"สุวินทวงศ์")</f>
        <v>สุวินทวงศ์</v>
      </c>
      <c r="P2207" s="4">
        <f>IFERROR(__xludf.DUMMYFUNCTION("""COMPUTED_VALUE"""),41191.0)</f>
        <v>41191</v>
      </c>
      <c r="Q2207" s="3" t="str">
        <f>IFERROR(__xludf.DUMMYFUNCTION("""COMPUTED_VALUE"""),"A")</f>
        <v>A</v>
      </c>
      <c r="R2207" s="3" t="str">
        <f>IFERROR(__xludf.DUMMYFUNCTION("""COMPUTED_VALUE"""),"Big Format")</f>
        <v>Big Format</v>
      </c>
      <c r="S2207" s="3" t="str">
        <f>IFERROR(__xludf.DUMMYFUNCTION("""COMPUTED_VALUE"""),"PURE")</f>
        <v>PURE</v>
      </c>
      <c r="T2207" s="3" t="str">
        <f>IFERROR(__xludf.DUMMYFUNCTION("""COMPUTED_VALUE"""),"#N/A")</f>
        <v>#N/A</v>
      </c>
      <c r="U2207" s="3" t="str">
        <f>IFERROR(__xludf.DUMMYFUNCTION("""COMPUTED_VALUE"""),"#N/A")</f>
        <v>#N/A</v>
      </c>
      <c r="V2207" s="3" t="str">
        <f>IFERROR(__xludf.DUMMYFUNCTION("""COMPUTED_VALUE"""),"N")</f>
        <v>N</v>
      </c>
      <c r="W2207" s="3">
        <f>IFERROR(__xludf.DUMMYFUNCTION("""COMPUTED_VALUE"""),111200.0)</f>
        <v>111200</v>
      </c>
      <c r="X2207" s="3" t="str">
        <f>IFERROR(__xludf.DUMMYFUNCTION("""COMPUTED_VALUE"""),"29 ถนนสุวินทวงศ์ แขวงมีนบุรี เขตมีนบุรี กรุงเทพฯ 10510")</f>
        <v>29 ถนนสุวินทวงศ์ แขวงมีนบุรี เขตมีนบุรี กรุงเทพฯ 10510</v>
      </c>
      <c r="Y2207" s="3" t="str">
        <f>IFERROR(__xludf.DUMMYFUNCTION("""COMPUTED_VALUE"""),"ถนนสุวินทวงศ์")</f>
        <v>ถนนสุวินทวงศ์</v>
      </c>
      <c r="Z2207" s="3" t="str">
        <f>IFERROR(__xludf.DUMMYFUNCTION("""COMPUTED_VALUE"""),"มีนบุรี")</f>
        <v>มีนบุรี</v>
      </c>
      <c r="AA2207" s="3" t="str">
        <f>IFERROR(__xludf.DUMMYFUNCTION("""COMPUTED_VALUE"""),"มีนบุรี")</f>
        <v>มีนบุรี</v>
      </c>
      <c r="AB2207" s="3" t="str">
        <f>IFERROR(__xludf.DUMMYFUNCTION("""COMPUTED_VALUE"""),"กรุงเทพมหานคร")</f>
        <v>กรุงเทพมหานคร</v>
      </c>
      <c r="AC2207" s="3">
        <f>IFERROR(__xludf.DUMMYFUNCTION("""COMPUTED_VALUE"""),10510.0)</f>
        <v>10510</v>
      </c>
      <c r="AD2207" s="3">
        <f>IFERROR(__xludf.DUMMYFUNCTION("""COMPUTED_VALUE"""),0.0)</f>
        <v>0</v>
      </c>
      <c r="AE2207" s="3">
        <f>IFERROR(__xludf.DUMMYFUNCTION("""COMPUTED_VALUE"""),0.0)</f>
        <v>0</v>
      </c>
      <c r="AF2207" s="3" t="str">
        <f>IFERROR(__xludf.DUMMYFUNCTION("""COMPUTED_VALUE"""),"เพรียวสุวินทวงศ์-41085")</f>
        <v>เพรียวสุวินทวงศ์-41085</v>
      </c>
      <c r="AG2207" s="3" t="str">
        <f>IFERROR(__xludf.DUMMYFUNCTION("""COMPUTED_VALUE"""),"กลาง")</f>
        <v>กลาง</v>
      </c>
      <c r="AH2207" s="3" t="str">
        <f>IFERROR(__xludf.DUMMYFUNCTION("""COMPUTED_VALUE"""),"#N/A")</f>
        <v>#N/A</v>
      </c>
      <c r="AI2207" s="3" t="str">
        <f>IFERROR(__xludf.DUMMYFUNCTION("""COMPUTED_VALUE"""),"Out of warranty")</f>
        <v>Out of warranty</v>
      </c>
      <c r="AJ2207" s="3">
        <f>IFERROR(__xludf.DUMMYFUNCTION("""COMPUTED_VALUE"""),160.0)</f>
        <v>160</v>
      </c>
      <c r="AK2207" s="3"/>
      <c r="AL2207" s="3"/>
    </row>
    <row r="2208" ht="15.75" customHeight="1">
      <c r="A2208" s="1" t="str">
        <f>IFERROR(__xludf.DUMMYFUNCTION("""COMPUTED_VALUE"""),"41086")</f>
        <v>41086</v>
      </c>
      <c r="B2208" s="2">
        <f>IFERROR(__xludf.DUMMYFUNCTION("""COMPUTED_VALUE"""),41086.0)</f>
        <v>41086</v>
      </c>
      <c r="C2208" s="3" t="str">
        <f>IFERROR(__xludf.DUMMYFUNCTION("""COMPUTED_VALUE"""),"เพรียวแพร่")</f>
        <v>เพรียวแพร่</v>
      </c>
      <c r="D2208" s="3" t="str">
        <f>IFERROR(__xludf.DUMMYFUNCTION("""COMPUTED_VALUE"""),"BIGC PHRAE PURE")</f>
        <v>BIGC PHRAE PURE</v>
      </c>
      <c r="E2208" s="1" t="str">
        <f>IFERROR(__xludf.DUMMYFUNCTION("""COMPUTED_VALUE"""),"PURE")</f>
        <v>PURE</v>
      </c>
      <c r="F2208" s="1" t="str">
        <f>IFERROR(__xludf.DUMMYFUNCTION("""COMPUTED_VALUE"""),"2082102")</f>
        <v>2082102</v>
      </c>
      <c r="G2208" s="1" t="str">
        <f>IFERROR(__xludf.DUMMYFUNCTION("""COMPUTED_VALUE"""),"น.ส.วัชรา มหาวันแจ่ม")</f>
        <v>น.ส.วัชรา มหาวันแจ่ม</v>
      </c>
      <c r="H2208" s="1" t="str">
        <f>IFERROR(__xludf.DUMMYFUNCTION("""COMPUTED_VALUE"""),"2082102")</f>
        <v>2082102</v>
      </c>
      <c r="I2208" s="1" t="str">
        <f>IFERROR(__xludf.DUMMYFUNCTION("""COMPUTED_VALUE"""),"น.ส.วัชรา มหาวันแจ่ม")</f>
        <v>น.ส.วัชรา มหาวันแจ่ม</v>
      </c>
      <c r="J2208" s="3">
        <f>IFERROR(__xludf.DUMMYFUNCTION("""COMPUTED_VALUE"""),348.0)</f>
        <v>348</v>
      </c>
      <c r="K2208" s="3" t="str">
        <f>IFERROR(__xludf.DUMMYFUNCTION("""COMPUTED_VALUE"""),"นายธีรนันท์ ไม้สนธิ์")</f>
        <v>นายธีรนันท์ ไม้สนธิ์</v>
      </c>
      <c r="L2208" s="1" t="str">
        <f>IFERROR(__xludf.DUMMYFUNCTION("""COMPUTED_VALUE"""),"Hub07-North")</f>
        <v>Hub07-North</v>
      </c>
      <c r="M2208" s="1" t="str">
        <f>IFERROR(__xludf.DUMMYFUNCTION("""COMPUTED_VALUE"""),"0614175866")</f>
        <v>0614175866</v>
      </c>
      <c r="N2208" s="3">
        <f>IFERROR(__xludf.DUMMYFUNCTION("""COMPUTED_VALUE"""),11146.0)</f>
        <v>11146</v>
      </c>
      <c r="O2208" s="3" t="str">
        <f>IFERROR(__xludf.DUMMYFUNCTION("""COMPUTED_VALUE"""),"แพร่")</f>
        <v>แพร่</v>
      </c>
      <c r="P2208" s="4">
        <f>IFERROR(__xludf.DUMMYFUNCTION("""COMPUTED_VALUE"""),41207.0)</f>
        <v>41207</v>
      </c>
      <c r="Q2208" s="3" t="str">
        <f>IFERROR(__xludf.DUMMYFUNCTION("""COMPUTED_VALUE"""),"A")</f>
        <v>A</v>
      </c>
      <c r="R2208" s="3" t="str">
        <f>IFERROR(__xludf.DUMMYFUNCTION("""COMPUTED_VALUE"""),"Big Format")</f>
        <v>Big Format</v>
      </c>
      <c r="S2208" s="3" t="str">
        <f>IFERROR(__xludf.DUMMYFUNCTION("""COMPUTED_VALUE"""),"PURE")</f>
        <v>PURE</v>
      </c>
      <c r="T2208" s="3" t="str">
        <f>IFERROR(__xludf.DUMMYFUNCTION("""COMPUTED_VALUE"""),"#N/A")</f>
        <v>#N/A</v>
      </c>
      <c r="U2208" s="3" t="str">
        <f>IFERROR(__xludf.DUMMYFUNCTION("""COMPUTED_VALUE"""),"#N/A")</f>
        <v>#N/A</v>
      </c>
      <c r="V2208" s="3" t="str">
        <f>IFERROR(__xludf.DUMMYFUNCTION("""COMPUTED_VALUE"""),"N")</f>
        <v>N</v>
      </c>
      <c r="W2208" s="3">
        <f>IFERROR(__xludf.DUMMYFUNCTION("""COMPUTED_VALUE"""),111146.0)</f>
        <v>111146</v>
      </c>
      <c r="X2208" s="3" t="str">
        <f>IFERROR(__xludf.DUMMYFUNCTION("""COMPUTED_VALUE"""),"600 หมู่ที่ 9 ตำบลนาจักร อำเภอเมืองแพร่ จังหวัดแพร่ 54000")</f>
        <v>600 หมู่ที่ 9 ตำบลนาจักร อำเภอเมืองแพร่ จังหวัดแพร่ 54000</v>
      </c>
      <c r="Y2208" s="3"/>
      <c r="Z2208" s="3" t="str">
        <f>IFERROR(__xludf.DUMMYFUNCTION("""COMPUTED_VALUE"""),"นาจักร")</f>
        <v>นาจักร</v>
      </c>
      <c r="AA2208" s="3" t="str">
        <f>IFERROR(__xludf.DUMMYFUNCTION("""COMPUTED_VALUE"""),"เมือง")</f>
        <v>เมือง</v>
      </c>
      <c r="AB2208" s="3" t="str">
        <f>IFERROR(__xludf.DUMMYFUNCTION("""COMPUTED_VALUE"""),"แพร่")</f>
        <v>แพร่</v>
      </c>
      <c r="AC2208" s="3">
        <f>IFERROR(__xludf.DUMMYFUNCTION("""COMPUTED_VALUE"""),54000.0)</f>
        <v>54000</v>
      </c>
      <c r="AD2208" s="3">
        <f>IFERROR(__xludf.DUMMYFUNCTION("""COMPUTED_VALUE"""),0.0)</f>
        <v>0</v>
      </c>
      <c r="AE2208" s="3">
        <f>IFERROR(__xludf.DUMMYFUNCTION("""COMPUTED_VALUE"""),0.0)</f>
        <v>0</v>
      </c>
      <c r="AF2208" s="3" t="str">
        <f>IFERROR(__xludf.DUMMYFUNCTION("""COMPUTED_VALUE"""),"เพรียวแพร่-41086")</f>
        <v>เพรียวแพร่-41086</v>
      </c>
      <c r="AG2208" s="3" t="str">
        <f>IFERROR(__xludf.DUMMYFUNCTION("""COMPUTED_VALUE"""),"เหนือ")</f>
        <v>เหนือ</v>
      </c>
      <c r="AH2208" s="3" t="str">
        <f>IFERROR(__xludf.DUMMYFUNCTION("""COMPUTED_VALUE"""),"#N/A")</f>
        <v>#N/A</v>
      </c>
      <c r="AI2208" s="3" t="str">
        <f>IFERROR(__xludf.DUMMYFUNCTION("""COMPUTED_VALUE"""),"Out of warranty")</f>
        <v>Out of warranty</v>
      </c>
      <c r="AJ2208" s="3">
        <f>IFERROR(__xludf.DUMMYFUNCTION("""COMPUTED_VALUE"""),159.0)</f>
        <v>159</v>
      </c>
      <c r="AK2208" s="3"/>
      <c r="AL2208" s="3"/>
    </row>
    <row r="2209" ht="15.75" customHeight="1">
      <c r="A2209" s="1" t="str">
        <f>IFERROR(__xludf.DUMMYFUNCTION("""COMPUTED_VALUE"""),"41087")</f>
        <v>41087</v>
      </c>
      <c r="B2209" s="2">
        <f>IFERROR(__xludf.DUMMYFUNCTION("""COMPUTED_VALUE"""),41087.0)</f>
        <v>41087</v>
      </c>
      <c r="C2209" s="3" t="str">
        <f>IFERROR(__xludf.DUMMYFUNCTION("""COMPUTED_VALUE"""),"เพรียวสุโขทัย")</f>
        <v>เพรียวสุโขทัย</v>
      </c>
      <c r="D2209" s="3" t="str">
        <f>IFERROR(__xludf.DUMMYFUNCTION("""COMPUTED_VALUE"""),"BIGC SUKHOTHAI PURE")</f>
        <v>BIGC SUKHOTHAI PURE</v>
      </c>
      <c r="E2209" s="1" t="str">
        <f>IFERROR(__xludf.DUMMYFUNCTION("""COMPUTED_VALUE"""),"PURE")</f>
        <v>PURE</v>
      </c>
      <c r="F2209" s="1" t="str">
        <f>IFERROR(__xludf.DUMMYFUNCTION("""COMPUTED_VALUE"""),"2082102")</f>
        <v>2082102</v>
      </c>
      <c r="G2209" s="1" t="str">
        <f>IFERROR(__xludf.DUMMYFUNCTION("""COMPUTED_VALUE"""),"น.ส.วัชรา มหาวันแจ่ม")</f>
        <v>น.ส.วัชรา มหาวันแจ่ม</v>
      </c>
      <c r="H2209" s="1" t="str">
        <f>IFERROR(__xludf.DUMMYFUNCTION("""COMPUTED_VALUE"""),"2082102")</f>
        <v>2082102</v>
      </c>
      <c r="I2209" s="1" t="str">
        <f>IFERROR(__xludf.DUMMYFUNCTION("""COMPUTED_VALUE"""),"น.ส.วัชรา มหาวันแจ่ม")</f>
        <v>น.ส.วัชรา มหาวันแจ่ม</v>
      </c>
      <c r="J2209" s="3">
        <f>IFERROR(__xludf.DUMMYFUNCTION("""COMPUTED_VALUE"""),348.0)</f>
        <v>348</v>
      </c>
      <c r="K2209" s="3" t="str">
        <f>IFERROR(__xludf.DUMMYFUNCTION("""COMPUTED_VALUE"""),"นายธีรนันท์ ไม้สนธิ์")</f>
        <v>นายธีรนันท์ ไม้สนธิ์</v>
      </c>
      <c r="L2209" s="1" t="str">
        <f>IFERROR(__xludf.DUMMYFUNCTION("""COMPUTED_VALUE"""),"Hub07-North")</f>
        <v>Hub07-North</v>
      </c>
      <c r="M2209" s="1" t="str">
        <f>IFERROR(__xludf.DUMMYFUNCTION("""COMPUTED_VALUE"""),"0614175866")</f>
        <v>0614175866</v>
      </c>
      <c r="N2209" s="3">
        <f>IFERROR(__xludf.DUMMYFUNCTION("""COMPUTED_VALUE"""),11156.0)</f>
        <v>11156</v>
      </c>
      <c r="O2209" s="3" t="str">
        <f>IFERROR(__xludf.DUMMYFUNCTION("""COMPUTED_VALUE"""),"สุโขทัย")</f>
        <v>สุโขทัย</v>
      </c>
      <c r="P2209" s="4">
        <f>IFERROR(__xludf.DUMMYFUNCTION("""COMPUTED_VALUE"""),41212.0)</f>
        <v>41212</v>
      </c>
      <c r="Q2209" s="3" t="str">
        <f>IFERROR(__xludf.DUMMYFUNCTION("""COMPUTED_VALUE"""),"A")</f>
        <v>A</v>
      </c>
      <c r="R2209" s="3" t="str">
        <f>IFERROR(__xludf.DUMMYFUNCTION("""COMPUTED_VALUE"""),"Big Format")</f>
        <v>Big Format</v>
      </c>
      <c r="S2209" s="3" t="str">
        <f>IFERROR(__xludf.DUMMYFUNCTION("""COMPUTED_VALUE"""),"PURE")</f>
        <v>PURE</v>
      </c>
      <c r="T2209" s="3" t="str">
        <f>IFERROR(__xludf.DUMMYFUNCTION("""COMPUTED_VALUE"""),"#N/A")</f>
        <v>#N/A</v>
      </c>
      <c r="U2209" s="3" t="str">
        <f>IFERROR(__xludf.DUMMYFUNCTION("""COMPUTED_VALUE"""),"#N/A")</f>
        <v>#N/A</v>
      </c>
      <c r="V2209" s="3" t="str">
        <f>IFERROR(__xludf.DUMMYFUNCTION("""COMPUTED_VALUE"""),"N")</f>
        <v>N</v>
      </c>
      <c r="W2209" s="3">
        <f>IFERROR(__xludf.DUMMYFUNCTION("""COMPUTED_VALUE"""),111156.0)</f>
        <v>111156</v>
      </c>
      <c r="X2209" s="3" t="str">
        <f>IFERROR(__xludf.DUMMYFUNCTION("""COMPUTED_VALUE"""),"68 หมู่ที่ 2 ตำบลบ้านกล้วย อำเภอเมืองสุโขทัย จังหวัดสุโขทัย 64000")</f>
        <v>68 หมู่ที่ 2 ตำบลบ้านกล้วย อำเภอเมืองสุโขทัย จังหวัดสุโขทัย 64000</v>
      </c>
      <c r="Y2209" s="3"/>
      <c r="Z2209" s="3" t="str">
        <f>IFERROR(__xludf.DUMMYFUNCTION("""COMPUTED_VALUE"""),"บ้านกล้วย")</f>
        <v>บ้านกล้วย</v>
      </c>
      <c r="AA2209" s="3" t="str">
        <f>IFERROR(__xludf.DUMMYFUNCTION("""COMPUTED_VALUE"""),"เมือง")</f>
        <v>เมือง</v>
      </c>
      <c r="AB2209" s="3" t="str">
        <f>IFERROR(__xludf.DUMMYFUNCTION("""COMPUTED_VALUE"""),"สุโขทัย")</f>
        <v>สุโขทัย</v>
      </c>
      <c r="AC2209" s="3">
        <f>IFERROR(__xludf.DUMMYFUNCTION("""COMPUTED_VALUE"""),64000.0)</f>
        <v>64000</v>
      </c>
      <c r="AD2209" s="3">
        <f>IFERROR(__xludf.DUMMYFUNCTION("""COMPUTED_VALUE"""),0.0)</f>
        <v>0</v>
      </c>
      <c r="AE2209" s="3">
        <f>IFERROR(__xludf.DUMMYFUNCTION("""COMPUTED_VALUE"""),0.0)</f>
        <v>0</v>
      </c>
      <c r="AF2209" s="3" t="str">
        <f>IFERROR(__xludf.DUMMYFUNCTION("""COMPUTED_VALUE"""),"เพรียวสุโขทัย-41087")</f>
        <v>เพรียวสุโขทัย-41087</v>
      </c>
      <c r="AG2209" s="3" t="str">
        <f>IFERROR(__xludf.DUMMYFUNCTION("""COMPUTED_VALUE"""),"กลาง")</f>
        <v>กลาง</v>
      </c>
      <c r="AH2209" s="3" t="str">
        <f>IFERROR(__xludf.DUMMYFUNCTION("""COMPUTED_VALUE"""),"#N/A")</f>
        <v>#N/A</v>
      </c>
      <c r="AI2209" s="3" t="str">
        <f>IFERROR(__xludf.DUMMYFUNCTION("""COMPUTED_VALUE"""),"Out of warranty")</f>
        <v>Out of warranty</v>
      </c>
      <c r="AJ2209" s="3">
        <f>IFERROR(__xludf.DUMMYFUNCTION("""COMPUTED_VALUE"""),159.0)</f>
        <v>159</v>
      </c>
      <c r="AK2209" s="3"/>
      <c r="AL2209" s="3"/>
    </row>
    <row r="2210" ht="15.75" customHeight="1">
      <c r="A2210" s="1" t="str">
        <f>IFERROR(__xludf.DUMMYFUNCTION("""COMPUTED_VALUE"""),"41088")</f>
        <v>41088</v>
      </c>
      <c r="B2210" s="2">
        <f>IFERROR(__xludf.DUMMYFUNCTION("""COMPUTED_VALUE"""),41088.0)</f>
        <v>41088</v>
      </c>
      <c r="C2210" s="3" t="str">
        <f>IFERROR(__xludf.DUMMYFUNCTION("""COMPUTED_VALUE"""),"เพรียวพัทยา")</f>
        <v>เพรียวพัทยา</v>
      </c>
      <c r="D2210" s="3" t="str">
        <f>IFERROR(__xludf.DUMMYFUNCTION("""COMPUTED_VALUE"""),"BIGC PATTAYA PURE")</f>
        <v>BIGC PATTAYA PURE</v>
      </c>
      <c r="E2210" s="1" t="str">
        <f>IFERROR(__xludf.DUMMYFUNCTION("""COMPUTED_VALUE"""),"PURE")</f>
        <v>PURE</v>
      </c>
      <c r="F2210" s="1" t="str">
        <f>IFERROR(__xludf.DUMMYFUNCTION("""COMPUTED_VALUE"""),"228469")</f>
        <v>228469</v>
      </c>
      <c r="G2210" s="1" t="str">
        <f>IFERROR(__xludf.DUMMYFUNCTION("""COMPUTED_VALUE"""),"น.ส.บงกช ทำการดี")</f>
        <v>น.ส.บงกช ทำการดี</v>
      </c>
      <c r="H2210" s="1" t="str">
        <f>IFERROR(__xludf.DUMMYFUNCTION("""COMPUTED_VALUE"""),"228469")</f>
        <v>228469</v>
      </c>
      <c r="I2210" s="1" t="str">
        <f>IFERROR(__xludf.DUMMYFUNCTION("""COMPUTED_VALUE"""),"น.ส.บงกช ทำการดี")</f>
        <v>น.ส.บงกช ทำการดี</v>
      </c>
      <c r="J2210" s="3">
        <f>IFERROR(__xludf.DUMMYFUNCTION("""COMPUTED_VALUE"""),2455164.0)</f>
        <v>2455164</v>
      </c>
      <c r="K2210" s="3" t="str">
        <f>IFERROR(__xludf.DUMMYFUNCTION("""COMPUTED_VALUE"""),"นายกรวิทย์ เจริญพร")</f>
        <v>นายกรวิทย์ เจริญพร</v>
      </c>
      <c r="L2210" s="1" t="str">
        <f>IFERROR(__xludf.DUMMYFUNCTION("""COMPUTED_VALUE"""),"Hub08-East")</f>
        <v>Hub08-East</v>
      </c>
      <c r="M2210" s="1" t="str">
        <f>IFERROR(__xludf.DUMMYFUNCTION("""COMPUTED_VALUE"""),"092-605-9922")</f>
        <v>092-605-9922</v>
      </c>
      <c r="N2210" s="3">
        <f>IFERROR(__xludf.DUMMYFUNCTION("""COMPUTED_VALUE"""),11104.0)</f>
        <v>11104</v>
      </c>
      <c r="O2210" s="3" t="str">
        <f>IFERROR(__xludf.DUMMYFUNCTION("""COMPUTED_VALUE"""),"พัทยา")</f>
        <v>พัทยา</v>
      </c>
      <c r="P2210" s="4">
        <f>IFERROR(__xludf.DUMMYFUNCTION("""COMPUTED_VALUE"""),41240.0)</f>
        <v>41240</v>
      </c>
      <c r="Q2210" s="3" t="str">
        <f>IFERROR(__xludf.DUMMYFUNCTION("""COMPUTED_VALUE"""),"A")</f>
        <v>A</v>
      </c>
      <c r="R2210" s="3" t="str">
        <f>IFERROR(__xludf.DUMMYFUNCTION("""COMPUTED_VALUE"""),"Big Format")</f>
        <v>Big Format</v>
      </c>
      <c r="S2210" s="3" t="str">
        <f>IFERROR(__xludf.DUMMYFUNCTION("""COMPUTED_VALUE"""),"PURE")</f>
        <v>PURE</v>
      </c>
      <c r="T2210" s="3" t="str">
        <f>IFERROR(__xludf.DUMMYFUNCTION("""COMPUTED_VALUE"""),"#N/A")</f>
        <v>#N/A</v>
      </c>
      <c r="U2210" s="3" t="str">
        <f>IFERROR(__xludf.DUMMYFUNCTION("""COMPUTED_VALUE"""),"#N/A")</f>
        <v>#N/A</v>
      </c>
      <c r="V2210" s="3" t="str">
        <f>IFERROR(__xludf.DUMMYFUNCTION("""COMPUTED_VALUE"""),"N")</f>
        <v>N</v>
      </c>
      <c r="W2210" s="3">
        <f>IFERROR(__xludf.DUMMYFUNCTION("""COMPUTED_VALUE"""),111104.0)</f>
        <v>111104</v>
      </c>
      <c r="X2210" s="3" t="str">
        <f>IFERROR(__xludf.DUMMYFUNCTION("""COMPUTED_VALUE"""),"78/12 หมู่ที่ 9 ถนนพัทยาสาย2 ตำบลหนองปรือ อำเภอบางละมุง จังหวัดชลบุรี 20150")</f>
        <v>78/12 หมู่ที่ 9 ถนนพัทยาสาย2 ตำบลหนองปรือ อำเภอบางละมุง จังหวัดชลบุรี 20150</v>
      </c>
      <c r="Y2210" s="3"/>
      <c r="Z2210" s="3" t="str">
        <f>IFERROR(__xludf.DUMMYFUNCTION("""COMPUTED_VALUE"""),"หนองปรือ")</f>
        <v>หนองปรือ</v>
      </c>
      <c r="AA2210" s="3" t="str">
        <f>IFERROR(__xludf.DUMMYFUNCTION("""COMPUTED_VALUE"""),"บางละมุง")</f>
        <v>บางละมุง</v>
      </c>
      <c r="AB2210" s="3" t="str">
        <f>IFERROR(__xludf.DUMMYFUNCTION("""COMPUTED_VALUE"""),"ชลบุรี")</f>
        <v>ชลบุรี</v>
      </c>
      <c r="AC2210" s="3">
        <f>IFERROR(__xludf.DUMMYFUNCTION("""COMPUTED_VALUE"""),20260.0)</f>
        <v>20260</v>
      </c>
      <c r="AD2210" s="3">
        <f>IFERROR(__xludf.DUMMYFUNCTION("""COMPUTED_VALUE"""),0.0)</f>
        <v>0</v>
      </c>
      <c r="AE2210" s="3">
        <f>IFERROR(__xludf.DUMMYFUNCTION("""COMPUTED_VALUE"""),0.0)</f>
        <v>0</v>
      </c>
      <c r="AF2210" s="3" t="str">
        <f>IFERROR(__xludf.DUMMYFUNCTION("""COMPUTED_VALUE"""),"เพรียวพัทยา-41088")</f>
        <v>เพรียวพัทยา-41088</v>
      </c>
      <c r="AG2210" s="3" t="str">
        <f>IFERROR(__xludf.DUMMYFUNCTION("""COMPUTED_VALUE"""),"ตะวันออก")</f>
        <v>ตะวันออก</v>
      </c>
      <c r="AH2210" s="3" t="str">
        <f>IFERROR(__xludf.DUMMYFUNCTION("""COMPUTED_VALUE"""),"#N/A")</f>
        <v>#N/A</v>
      </c>
      <c r="AI2210" s="3" t="str">
        <f>IFERROR(__xludf.DUMMYFUNCTION("""COMPUTED_VALUE"""),"Out of warranty")</f>
        <v>Out of warranty</v>
      </c>
      <c r="AJ2210" s="3">
        <f>IFERROR(__xludf.DUMMYFUNCTION("""COMPUTED_VALUE"""),158.0)</f>
        <v>158</v>
      </c>
      <c r="AK2210" s="3"/>
      <c r="AL2210" s="3"/>
    </row>
    <row r="2211" ht="15.75" customHeight="1">
      <c r="A2211" s="1" t="str">
        <f>IFERROR(__xludf.DUMMYFUNCTION("""COMPUTED_VALUE"""),"41090")</f>
        <v>41090</v>
      </c>
      <c r="B2211" s="2">
        <f>IFERROR(__xludf.DUMMYFUNCTION("""COMPUTED_VALUE"""),41090.0)</f>
        <v>41090</v>
      </c>
      <c r="C2211" s="3" t="str">
        <f>IFERROR(__xludf.DUMMYFUNCTION("""COMPUTED_VALUE"""),"เพรียวโรงพยาบาลเปาโล")</f>
        <v>เพรียวโรงพยาบาลเปาโล</v>
      </c>
      <c r="D2211" s="3" t="str">
        <f>IFERROR(__xludf.DUMMYFUNCTION("""COMPUTED_VALUE"""),"PURE RONGPAYABAN PAOLO")</f>
        <v>PURE RONGPAYABAN PAOLO</v>
      </c>
      <c r="E2211" s="1" t="str">
        <f>IFERROR(__xludf.DUMMYFUNCTION("""COMPUTED_VALUE"""),"PURE")</f>
        <v>PURE</v>
      </c>
      <c r="F2211" s="1" t="str">
        <f>IFERROR(__xludf.DUMMYFUNCTION("""COMPUTED_VALUE"""),"EX0469")</f>
        <v>EX0469</v>
      </c>
      <c r="G2211" s="1" t="str">
        <f>IFERROR(__xludf.DUMMYFUNCTION("""COMPUTED_VALUE"""),"นายเทวฤทธิ์ ฐาปนะสุต")</f>
        <v>นายเทวฤทธิ์ ฐาปนะสุต</v>
      </c>
      <c r="H2211" s="1" t="str">
        <f>IFERROR(__xludf.DUMMYFUNCTION("""COMPUTED_VALUE"""),"291435")</f>
        <v>291435</v>
      </c>
      <c r="I2211" s="1" t="str">
        <f>IFERROR(__xludf.DUMMYFUNCTION("""COMPUTED_VALUE"""),"น.ส.สุกัญญา มณีไพโรจน์")</f>
        <v>น.ส.สุกัญญา มณีไพโรจน์</v>
      </c>
      <c r="J2211" s="3">
        <f>IFERROR(__xludf.DUMMYFUNCTION("""COMPUTED_VALUE"""),2408546.0)</f>
        <v>2408546</v>
      </c>
      <c r="K2211" s="3" t="str">
        <f>IFERROR(__xludf.DUMMYFUNCTION("""COMPUTED_VALUE"""),"นายเกษมศิษฐ์ ฮดบุญเรือง")</f>
        <v>นายเกษมศิษฐ์ ฮดบุญเรือง</v>
      </c>
      <c r="L2211" s="1" t="str">
        <f>IFERROR(__xludf.DUMMYFUNCTION("""COMPUTED_VALUE"""),"Hub02-BKK 2")</f>
        <v>Hub02-BKK 2</v>
      </c>
      <c r="M2211" s="1" t="str">
        <f>IFERROR(__xludf.DUMMYFUNCTION("""COMPUTED_VALUE"""),"0988580755")</f>
        <v>0988580755</v>
      </c>
      <c r="N2211" s="3">
        <f>IFERROR(__xludf.DUMMYFUNCTION("""COMPUTED_VALUE"""),999.0)</f>
        <v>999</v>
      </c>
      <c r="O2211" s="3" t="str">
        <f>IFERROR(__xludf.DUMMYFUNCTION("""COMPUTED_VALUE"""),"สำนักงานใหญ่")</f>
        <v>สำนักงานใหญ่</v>
      </c>
      <c r="P2211" s="4">
        <f>IFERROR(__xludf.DUMMYFUNCTION("""COMPUTED_VALUE"""),41267.0)</f>
        <v>41267</v>
      </c>
      <c r="Q2211" s="3" t="str">
        <f>IFERROR(__xludf.DUMMYFUNCTION("""COMPUTED_VALUE"""),"I")</f>
        <v>I</v>
      </c>
      <c r="R2211" s="3" t="str">
        <f>IFERROR(__xludf.DUMMYFUNCTION("""COMPUTED_VALUE"""),"Big Format")</f>
        <v>Big Format</v>
      </c>
      <c r="S2211" s="3" t="str">
        <f>IFERROR(__xludf.DUMMYFUNCTION("""COMPUTED_VALUE"""),"PURE")</f>
        <v>PURE</v>
      </c>
      <c r="T2211" s="3" t="str">
        <f>IFERROR(__xludf.DUMMYFUNCTION("""COMPUTED_VALUE"""),"#N/A")</f>
        <v>#N/A</v>
      </c>
      <c r="U2211" s="3" t="str">
        <f>IFERROR(__xludf.DUMMYFUNCTION("""COMPUTED_VALUE"""),"#N/A")</f>
        <v>#N/A</v>
      </c>
      <c r="V2211" s="3" t="str">
        <f>IFERROR(__xludf.DUMMYFUNCTION("""COMPUTED_VALUE"""),"N")</f>
        <v>N</v>
      </c>
      <c r="W2211" s="3">
        <f>IFERROR(__xludf.DUMMYFUNCTION("""COMPUTED_VALUE"""),0.0)</f>
        <v>0</v>
      </c>
      <c r="X2211" s="3" t="str">
        <f>IFERROR(__xludf.DUMMYFUNCTION("""COMPUTED_VALUE"""),"227/20 หมู่ 5 ตำบลบางเมือง อำเภอเมืองสมุทรปราการ จังหวัดสมุทรปราการ 10270")</f>
        <v>227/20 หมู่ 5 ตำบลบางเมือง อำเภอเมืองสมุทรปราการ จังหวัดสมุทรปราการ 10270</v>
      </c>
      <c r="Y2211" s="3"/>
      <c r="Z2211" s="3" t="str">
        <f>IFERROR(__xludf.DUMMYFUNCTION("""COMPUTED_VALUE"""),"บางเมือง")</f>
        <v>บางเมือง</v>
      </c>
      <c r="AA2211" s="3" t="str">
        <f>IFERROR(__xludf.DUMMYFUNCTION("""COMPUTED_VALUE"""),"เมืองสมุทรปราการ")</f>
        <v>เมืองสมุทรปราการ</v>
      </c>
      <c r="AB2211" s="3" t="str">
        <f>IFERROR(__xludf.DUMMYFUNCTION("""COMPUTED_VALUE"""),"สมุทรปราการ")</f>
        <v>สมุทรปราการ</v>
      </c>
      <c r="AC2211" s="3">
        <f>IFERROR(__xludf.DUMMYFUNCTION("""COMPUTED_VALUE"""),10270.0)</f>
        <v>10270</v>
      </c>
      <c r="AD2211" s="3">
        <f>IFERROR(__xludf.DUMMYFUNCTION("""COMPUTED_VALUE"""),0.0)</f>
        <v>0</v>
      </c>
      <c r="AE2211" s="3">
        <f>IFERROR(__xludf.DUMMYFUNCTION("""COMPUTED_VALUE"""),0.0)</f>
        <v>0</v>
      </c>
      <c r="AF2211" s="3" t="str">
        <f>IFERROR(__xludf.DUMMYFUNCTION("""COMPUTED_VALUE"""),"เพรียวโรงพยาบาลเปาโล-41090")</f>
        <v>เพรียวโรงพยาบาลเปาโล-41090</v>
      </c>
      <c r="AG2211" s="3" t="str">
        <f>IFERROR(__xludf.DUMMYFUNCTION("""COMPUTED_VALUE"""),"กลาง")</f>
        <v>กลาง</v>
      </c>
      <c r="AH2211" s="3" t="str">
        <f>IFERROR(__xludf.DUMMYFUNCTION("""COMPUTED_VALUE"""),"#N/A")</f>
        <v>#N/A</v>
      </c>
      <c r="AI2211" s="3" t="str">
        <f>IFERROR(__xludf.DUMMYFUNCTION("""COMPUTED_VALUE"""),"Out of warranty")</f>
        <v>Out of warranty</v>
      </c>
      <c r="AJ2211" s="3">
        <f>IFERROR(__xludf.DUMMYFUNCTION("""COMPUTED_VALUE"""),157.0)</f>
        <v>157</v>
      </c>
      <c r="AK2211" s="3"/>
      <c r="AL2211" s="3"/>
    </row>
    <row r="2212" ht="15.75" customHeight="1">
      <c r="A2212" s="1" t="str">
        <f>IFERROR(__xludf.DUMMYFUNCTION("""COMPUTED_VALUE"""),"41092")</f>
        <v>41092</v>
      </c>
      <c r="B2212" s="2">
        <f>IFERROR(__xludf.DUMMYFUNCTION("""COMPUTED_VALUE"""),41092.0)</f>
        <v>41092</v>
      </c>
      <c r="C2212" s="3" t="str">
        <f>IFERROR(__xludf.DUMMYFUNCTION("""COMPUTED_VALUE"""),"เพรียวร้อยเอ็ด")</f>
        <v>เพรียวร้อยเอ็ด</v>
      </c>
      <c r="D2212" s="3" t="str">
        <f>IFERROR(__xludf.DUMMYFUNCTION("""COMPUTED_VALUE"""),"BIGC ROIET PURE")</f>
        <v>BIGC ROIET PURE</v>
      </c>
      <c r="E2212" s="1" t="str">
        <f>IFERROR(__xludf.DUMMYFUNCTION("""COMPUTED_VALUE"""),"PURE")</f>
        <v>PURE</v>
      </c>
      <c r="F2212" s="1" t="str">
        <f>IFERROR(__xludf.DUMMYFUNCTION("""COMPUTED_VALUE"""),"2083583")</f>
        <v>2083583</v>
      </c>
      <c r="G2212" s="1" t="str">
        <f>IFERROR(__xludf.DUMMYFUNCTION("""COMPUTED_VALUE"""),"นายอรรณพ ศรีแก้ว")</f>
        <v>นายอรรณพ ศรีแก้ว</v>
      </c>
      <c r="H2212" s="1" t="str">
        <f>IFERROR(__xludf.DUMMYFUNCTION("""COMPUTED_VALUE"""),"2083583")</f>
        <v>2083583</v>
      </c>
      <c r="I2212" s="1" t="str">
        <f>IFERROR(__xludf.DUMMYFUNCTION("""COMPUTED_VALUE"""),"นายอรรณพ ศรีแก้ว")</f>
        <v>นายอรรณพ ศรีแก้ว</v>
      </c>
      <c r="J2212" s="3">
        <f>IFERROR(__xludf.DUMMYFUNCTION("""COMPUTED_VALUE"""),295801.0)</f>
        <v>295801</v>
      </c>
      <c r="K2212" s="3" t="str">
        <f>IFERROR(__xludf.DUMMYFUNCTION("""COMPUTED_VALUE"""),"นายอรรถพล เหล่าสุวงศ์")</f>
        <v>นายอรรถพล เหล่าสุวงศ์</v>
      </c>
      <c r="L2212" s="1" t="str">
        <f>IFERROR(__xludf.DUMMYFUNCTION("""COMPUTED_VALUE"""),"Hub09-NE 1")</f>
        <v>Hub09-NE 1</v>
      </c>
      <c r="M2212" s="1" t="str">
        <f>IFERROR(__xludf.DUMMYFUNCTION("""COMPUTED_VALUE"""),"0655090879")</f>
        <v>0655090879</v>
      </c>
      <c r="N2212" s="3">
        <f>IFERROR(__xludf.DUMMYFUNCTION("""COMPUTED_VALUE"""),11215.0)</f>
        <v>11215</v>
      </c>
      <c r="O2212" s="3" t="str">
        <f>IFERROR(__xludf.DUMMYFUNCTION("""COMPUTED_VALUE"""),"ร้อยเอ็ด")</f>
        <v>ร้อยเอ็ด</v>
      </c>
      <c r="P2212" s="4">
        <f>IFERROR(__xludf.DUMMYFUNCTION("""COMPUTED_VALUE"""),41305.0)</f>
        <v>41305</v>
      </c>
      <c r="Q2212" s="3" t="str">
        <f>IFERROR(__xludf.DUMMYFUNCTION("""COMPUTED_VALUE"""),"A")</f>
        <v>A</v>
      </c>
      <c r="R2212" s="3" t="str">
        <f>IFERROR(__xludf.DUMMYFUNCTION("""COMPUTED_VALUE"""),"Big Format")</f>
        <v>Big Format</v>
      </c>
      <c r="S2212" s="3" t="str">
        <f>IFERROR(__xludf.DUMMYFUNCTION("""COMPUTED_VALUE"""),"PURE")</f>
        <v>PURE</v>
      </c>
      <c r="T2212" s="3" t="str">
        <f>IFERROR(__xludf.DUMMYFUNCTION("""COMPUTED_VALUE"""),"#N/A")</f>
        <v>#N/A</v>
      </c>
      <c r="U2212" s="3" t="str">
        <f>IFERROR(__xludf.DUMMYFUNCTION("""COMPUTED_VALUE"""),"#N/A")</f>
        <v>#N/A</v>
      </c>
      <c r="V2212" s="3" t="str">
        <f>IFERROR(__xludf.DUMMYFUNCTION("""COMPUTED_VALUE"""),"N")</f>
        <v>N</v>
      </c>
      <c r="W2212" s="3">
        <f>IFERROR(__xludf.DUMMYFUNCTION("""COMPUTED_VALUE"""),111215.0)</f>
        <v>111215</v>
      </c>
      <c r="X2212" s="3" t="str">
        <f>IFERROR(__xludf.DUMMYFUNCTION("""COMPUTED_VALUE"""),"320 หมู่ 10 ตำบลเหนือเมือง อำเภอเมืองร้อยเอ็ด จังหวัดร้อยเอ็ด 45000")</f>
        <v>320 หมู่ 10 ตำบลเหนือเมือง อำเภอเมืองร้อยเอ็ด จังหวัดร้อยเอ็ด 45000</v>
      </c>
      <c r="Y2212" s="3"/>
      <c r="Z2212" s="3" t="str">
        <f>IFERROR(__xludf.DUMMYFUNCTION("""COMPUTED_VALUE"""),"เหนือเมือง")</f>
        <v>เหนือเมือง</v>
      </c>
      <c r="AA2212" s="3" t="str">
        <f>IFERROR(__xludf.DUMMYFUNCTION("""COMPUTED_VALUE"""),"เมือง")</f>
        <v>เมือง</v>
      </c>
      <c r="AB2212" s="3" t="str">
        <f>IFERROR(__xludf.DUMMYFUNCTION("""COMPUTED_VALUE"""),"ร้อยเอ็ด")</f>
        <v>ร้อยเอ็ด</v>
      </c>
      <c r="AC2212" s="3">
        <f>IFERROR(__xludf.DUMMYFUNCTION("""COMPUTED_VALUE"""),45000.0)</f>
        <v>45000</v>
      </c>
      <c r="AD2212" s="3">
        <f>IFERROR(__xludf.DUMMYFUNCTION("""COMPUTED_VALUE"""),0.0)</f>
        <v>0</v>
      </c>
      <c r="AE2212" s="3">
        <f>IFERROR(__xludf.DUMMYFUNCTION("""COMPUTED_VALUE"""),0.0)</f>
        <v>0</v>
      </c>
      <c r="AF2212" s="3" t="str">
        <f>IFERROR(__xludf.DUMMYFUNCTION("""COMPUTED_VALUE"""),"เพรียวร้อยเอ็ด-41092")</f>
        <v>เพรียวร้อยเอ็ด-41092</v>
      </c>
      <c r="AG2212" s="3" t="str">
        <f>IFERROR(__xludf.DUMMYFUNCTION("""COMPUTED_VALUE"""),"ตะวันออกเฉียงเหนือ")</f>
        <v>ตะวันออกเฉียงเหนือ</v>
      </c>
      <c r="AH2212" s="3" t="str">
        <f>IFERROR(__xludf.DUMMYFUNCTION("""COMPUTED_VALUE"""),"#N/A")</f>
        <v>#N/A</v>
      </c>
      <c r="AI2212" s="3" t="str">
        <f>IFERROR(__xludf.DUMMYFUNCTION("""COMPUTED_VALUE"""),"Out of warranty")</f>
        <v>Out of warranty</v>
      </c>
      <c r="AJ2212" s="3">
        <f>IFERROR(__xludf.DUMMYFUNCTION("""COMPUTED_VALUE"""),156.0)</f>
        <v>156</v>
      </c>
      <c r="AK2212" s="3"/>
      <c r="AL2212" s="3"/>
    </row>
    <row r="2213" ht="15.75" customHeight="1">
      <c r="A2213" s="1" t="str">
        <f>IFERROR(__xludf.DUMMYFUNCTION("""COMPUTED_VALUE"""),"41093")</f>
        <v>41093</v>
      </c>
      <c r="B2213" s="2">
        <f>IFERROR(__xludf.DUMMYFUNCTION("""COMPUTED_VALUE"""),41093.0)</f>
        <v>41093</v>
      </c>
      <c r="C2213" s="3" t="str">
        <f>IFERROR(__xludf.DUMMYFUNCTION("""COMPUTED_VALUE"""),"เพรียวเพชรบูรณ์")</f>
        <v>เพรียวเพชรบูรณ์</v>
      </c>
      <c r="D2213" s="3" t="str">
        <f>IFERROR(__xludf.DUMMYFUNCTION("""COMPUTED_VALUE"""),"BIGC PHETCHABUN PURE")</f>
        <v>BIGC PHETCHABUN PURE</v>
      </c>
      <c r="E2213" s="1" t="str">
        <f>IFERROR(__xludf.DUMMYFUNCTION("""COMPUTED_VALUE"""),"PURE")</f>
        <v>PURE</v>
      </c>
      <c r="F2213" s="1" t="str">
        <f>IFERROR(__xludf.DUMMYFUNCTION("""COMPUTED_VALUE"""),"2082102")</f>
        <v>2082102</v>
      </c>
      <c r="G2213" s="1" t="str">
        <f>IFERROR(__xludf.DUMMYFUNCTION("""COMPUTED_VALUE"""),"น.ส.วัชรา มหาวันแจ่ม")</f>
        <v>น.ส.วัชรา มหาวันแจ่ม</v>
      </c>
      <c r="H2213" s="1" t="str">
        <f>IFERROR(__xludf.DUMMYFUNCTION("""COMPUTED_VALUE"""),"2082102")</f>
        <v>2082102</v>
      </c>
      <c r="I2213" s="1" t="str">
        <f>IFERROR(__xludf.DUMMYFUNCTION("""COMPUTED_VALUE"""),"น.ส.วัชรา มหาวันแจ่ม")</f>
        <v>น.ส.วัชรา มหาวันแจ่ม</v>
      </c>
      <c r="J2213" s="3">
        <f>IFERROR(__xludf.DUMMYFUNCTION("""COMPUTED_VALUE"""),348.0)</f>
        <v>348</v>
      </c>
      <c r="K2213" s="3" t="str">
        <f>IFERROR(__xludf.DUMMYFUNCTION("""COMPUTED_VALUE"""),"นายธีรนันท์ ไม้สนธิ์")</f>
        <v>นายธีรนันท์ ไม้สนธิ์</v>
      </c>
      <c r="L2213" s="1" t="str">
        <f>IFERROR(__xludf.DUMMYFUNCTION("""COMPUTED_VALUE"""),"Hub07-North")</f>
        <v>Hub07-North</v>
      </c>
      <c r="M2213" s="1" t="str">
        <f>IFERROR(__xludf.DUMMYFUNCTION("""COMPUTED_VALUE"""),"0614175866")</f>
        <v>0614175866</v>
      </c>
      <c r="N2213" s="3">
        <f>IFERROR(__xludf.DUMMYFUNCTION("""COMPUTED_VALUE"""),11159.0)</f>
        <v>11159</v>
      </c>
      <c r="O2213" s="3" t="str">
        <f>IFERROR(__xludf.DUMMYFUNCTION("""COMPUTED_VALUE"""),"เพชรบูรณ์")</f>
        <v>เพชรบูรณ์</v>
      </c>
      <c r="P2213" s="4">
        <f>IFERROR(__xludf.DUMMYFUNCTION("""COMPUTED_VALUE"""),41327.0)</f>
        <v>41327</v>
      </c>
      <c r="Q2213" s="3" t="str">
        <f>IFERROR(__xludf.DUMMYFUNCTION("""COMPUTED_VALUE"""),"A")</f>
        <v>A</v>
      </c>
      <c r="R2213" s="3" t="str">
        <f>IFERROR(__xludf.DUMMYFUNCTION("""COMPUTED_VALUE"""),"Big Format")</f>
        <v>Big Format</v>
      </c>
      <c r="S2213" s="3" t="str">
        <f>IFERROR(__xludf.DUMMYFUNCTION("""COMPUTED_VALUE"""),"PURE")</f>
        <v>PURE</v>
      </c>
      <c r="T2213" s="3" t="str">
        <f>IFERROR(__xludf.DUMMYFUNCTION("""COMPUTED_VALUE"""),"#N/A")</f>
        <v>#N/A</v>
      </c>
      <c r="U2213" s="3" t="str">
        <f>IFERROR(__xludf.DUMMYFUNCTION("""COMPUTED_VALUE"""),"#N/A")</f>
        <v>#N/A</v>
      </c>
      <c r="V2213" s="3" t="str">
        <f>IFERROR(__xludf.DUMMYFUNCTION("""COMPUTED_VALUE"""),"N")</f>
        <v>N</v>
      </c>
      <c r="W2213" s="3">
        <f>IFERROR(__xludf.DUMMYFUNCTION("""COMPUTED_VALUE"""),111159.0)</f>
        <v>111159</v>
      </c>
      <c r="X2213" s="3" t="str">
        <f>IFERROR(__xludf.DUMMYFUNCTION("""COMPUTED_VALUE"""),"939 หมู่ที่ 2 ตำบลสะเดียง อำเภอเมืองเพชรบูรณ์ จังหวัดเพชรบูรณ์ 67000")</f>
        <v>939 หมู่ที่ 2 ตำบลสะเดียง อำเภอเมืองเพชรบูรณ์ จังหวัดเพชรบูรณ์ 67000</v>
      </c>
      <c r="Y2213" s="3"/>
      <c r="Z2213" s="3" t="str">
        <f>IFERROR(__xludf.DUMMYFUNCTION("""COMPUTED_VALUE"""),"สะเดียง")</f>
        <v>สะเดียง</v>
      </c>
      <c r="AA2213" s="3" t="str">
        <f>IFERROR(__xludf.DUMMYFUNCTION("""COMPUTED_VALUE"""),"เมือง")</f>
        <v>เมือง</v>
      </c>
      <c r="AB2213" s="3" t="str">
        <f>IFERROR(__xludf.DUMMYFUNCTION("""COMPUTED_VALUE"""),"เพชรบูรณ์")</f>
        <v>เพชรบูรณ์</v>
      </c>
      <c r="AC2213" s="3">
        <f>IFERROR(__xludf.DUMMYFUNCTION("""COMPUTED_VALUE"""),67000.0)</f>
        <v>67000</v>
      </c>
      <c r="AD2213" s="3">
        <f>IFERROR(__xludf.DUMMYFUNCTION("""COMPUTED_VALUE"""),0.0)</f>
        <v>0</v>
      </c>
      <c r="AE2213" s="3">
        <f>IFERROR(__xludf.DUMMYFUNCTION("""COMPUTED_VALUE"""),0.0)</f>
        <v>0</v>
      </c>
      <c r="AF2213" s="3" t="str">
        <f>IFERROR(__xludf.DUMMYFUNCTION("""COMPUTED_VALUE"""),"เพรียวเพชรบูรณ์-41093")</f>
        <v>เพรียวเพชรบูรณ์-41093</v>
      </c>
      <c r="AG2213" s="3" t="str">
        <f>IFERROR(__xludf.DUMMYFUNCTION("""COMPUTED_VALUE"""),"กลาง")</f>
        <v>กลาง</v>
      </c>
      <c r="AH2213" s="3" t="str">
        <f>IFERROR(__xludf.DUMMYFUNCTION("""COMPUTED_VALUE"""),"#N/A")</f>
        <v>#N/A</v>
      </c>
      <c r="AI2213" s="3" t="str">
        <f>IFERROR(__xludf.DUMMYFUNCTION("""COMPUTED_VALUE"""),"Out of warranty")</f>
        <v>Out of warranty</v>
      </c>
      <c r="AJ2213" s="3">
        <f>IFERROR(__xludf.DUMMYFUNCTION("""COMPUTED_VALUE"""),155.0)</f>
        <v>155</v>
      </c>
      <c r="AK2213" s="3"/>
      <c r="AL2213" s="3"/>
    </row>
    <row r="2214" ht="15.75" customHeight="1">
      <c r="A2214" s="1" t="str">
        <f>IFERROR(__xludf.DUMMYFUNCTION("""COMPUTED_VALUE"""),"41095")</f>
        <v>41095</v>
      </c>
      <c r="B2214" s="2">
        <f>IFERROR(__xludf.DUMMYFUNCTION("""COMPUTED_VALUE"""),41095.0)</f>
        <v>41095</v>
      </c>
      <c r="C2214" s="3" t="str">
        <f>IFERROR(__xludf.DUMMYFUNCTION("""COMPUTED_VALUE"""),"เพรียวอำนาจเจริญ")</f>
        <v>เพรียวอำนาจเจริญ</v>
      </c>
      <c r="D2214" s="3" t="str">
        <f>IFERROR(__xludf.DUMMYFUNCTION("""COMPUTED_VALUE"""),"BIGC AMNAT CHAROEN PURE")</f>
        <v>BIGC AMNAT CHAROEN PURE</v>
      </c>
      <c r="E2214" s="1" t="str">
        <f>IFERROR(__xludf.DUMMYFUNCTION("""COMPUTED_VALUE"""),"PURE")</f>
        <v>PURE</v>
      </c>
      <c r="F2214" s="1" t="str">
        <f>IFERROR(__xludf.DUMMYFUNCTION("""COMPUTED_VALUE"""),"2083583")</f>
        <v>2083583</v>
      </c>
      <c r="G2214" s="1" t="str">
        <f>IFERROR(__xludf.DUMMYFUNCTION("""COMPUTED_VALUE"""),"นายอรรณพ ศรีแก้ว")</f>
        <v>นายอรรณพ ศรีแก้ว</v>
      </c>
      <c r="H2214" s="1" t="str">
        <f>IFERROR(__xludf.DUMMYFUNCTION("""COMPUTED_VALUE"""),"2083583")</f>
        <v>2083583</v>
      </c>
      <c r="I2214" s="1" t="str">
        <f>IFERROR(__xludf.DUMMYFUNCTION("""COMPUTED_VALUE"""),"นายอรรณพ ศรีแก้ว")</f>
        <v>นายอรรณพ ศรีแก้ว</v>
      </c>
      <c r="J2214" s="3">
        <f>IFERROR(__xludf.DUMMYFUNCTION("""COMPUTED_VALUE"""),33317.0)</f>
        <v>33317</v>
      </c>
      <c r="K2214" s="3" t="str">
        <f>IFERROR(__xludf.DUMMYFUNCTION("""COMPUTED_VALUE"""),"นายอาณัติ เพชรภาน")</f>
        <v>นายอาณัติ เพชรภาน</v>
      </c>
      <c r="L2214" s="1" t="str">
        <f>IFERROR(__xludf.DUMMYFUNCTION("""COMPUTED_VALUE"""),"Hub10-NE 2")</f>
        <v>Hub10-NE 2</v>
      </c>
      <c r="M2214" s="1" t="str">
        <f>IFERROR(__xludf.DUMMYFUNCTION("""COMPUTED_VALUE"""),"0644791409")</f>
        <v>0644791409</v>
      </c>
      <c r="N2214" s="3">
        <f>IFERROR(__xludf.DUMMYFUNCTION("""COMPUTED_VALUE"""),11169.0)</f>
        <v>11169</v>
      </c>
      <c r="O2214" s="3" t="str">
        <f>IFERROR(__xludf.DUMMYFUNCTION("""COMPUTED_VALUE"""),"อำนาจเจริญ")</f>
        <v>อำนาจเจริญ</v>
      </c>
      <c r="P2214" s="4">
        <f>IFERROR(__xludf.DUMMYFUNCTION("""COMPUTED_VALUE"""),41361.0)</f>
        <v>41361</v>
      </c>
      <c r="Q2214" s="3" t="str">
        <f>IFERROR(__xludf.DUMMYFUNCTION("""COMPUTED_VALUE"""),"A")</f>
        <v>A</v>
      </c>
      <c r="R2214" s="3" t="str">
        <f>IFERROR(__xludf.DUMMYFUNCTION("""COMPUTED_VALUE"""),"Big Format")</f>
        <v>Big Format</v>
      </c>
      <c r="S2214" s="3" t="str">
        <f>IFERROR(__xludf.DUMMYFUNCTION("""COMPUTED_VALUE"""),"PURE")</f>
        <v>PURE</v>
      </c>
      <c r="T2214" s="3" t="str">
        <f>IFERROR(__xludf.DUMMYFUNCTION("""COMPUTED_VALUE"""),"#N/A")</f>
        <v>#N/A</v>
      </c>
      <c r="U2214" s="3" t="str">
        <f>IFERROR(__xludf.DUMMYFUNCTION("""COMPUTED_VALUE"""),"#N/A")</f>
        <v>#N/A</v>
      </c>
      <c r="V2214" s="3" t="str">
        <f>IFERROR(__xludf.DUMMYFUNCTION("""COMPUTED_VALUE"""),"N")</f>
        <v>N</v>
      </c>
      <c r="W2214" s="3">
        <f>IFERROR(__xludf.DUMMYFUNCTION("""COMPUTED_VALUE"""),111169.0)</f>
        <v>111169</v>
      </c>
      <c r="X2214" s="3" t="str">
        <f>IFERROR(__xludf.DUMMYFUNCTION("""COMPUTED_VALUE"""),"477 หมู่ที่ 7 ตำบลบุ่ง อำเภอเมืองอำนาจเจริญ จังหวัดอำนาจเจริญ 37000")</f>
        <v>477 หมู่ที่ 7 ตำบลบุ่ง อำเภอเมืองอำนาจเจริญ จังหวัดอำนาจเจริญ 37000</v>
      </c>
      <c r="Y2214" s="3"/>
      <c r="Z2214" s="3" t="str">
        <f>IFERROR(__xludf.DUMMYFUNCTION("""COMPUTED_VALUE"""),"บุ่ง")</f>
        <v>บุ่ง</v>
      </c>
      <c r="AA2214" s="3" t="str">
        <f>IFERROR(__xludf.DUMMYFUNCTION("""COMPUTED_VALUE"""),"เมือง")</f>
        <v>เมือง</v>
      </c>
      <c r="AB2214" s="3" t="str">
        <f>IFERROR(__xludf.DUMMYFUNCTION("""COMPUTED_VALUE"""),"อำนาจเจริญ")</f>
        <v>อำนาจเจริญ</v>
      </c>
      <c r="AC2214" s="3">
        <f>IFERROR(__xludf.DUMMYFUNCTION("""COMPUTED_VALUE"""),37000.0)</f>
        <v>37000</v>
      </c>
      <c r="AD2214" s="3">
        <f>IFERROR(__xludf.DUMMYFUNCTION("""COMPUTED_VALUE"""),0.0)</f>
        <v>0</v>
      </c>
      <c r="AE2214" s="3">
        <f>IFERROR(__xludf.DUMMYFUNCTION("""COMPUTED_VALUE"""),0.0)</f>
        <v>0</v>
      </c>
      <c r="AF2214" s="3" t="str">
        <f>IFERROR(__xludf.DUMMYFUNCTION("""COMPUTED_VALUE"""),"เพรียวอำนาจเจริญ-41095")</f>
        <v>เพรียวอำนาจเจริญ-41095</v>
      </c>
      <c r="AG2214" s="3" t="str">
        <f>IFERROR(__xludf.DUMMYFUNCTION("""COMPUTED_VALUE"""),"ตะวันออกเฉียงเหนือ")</f>
        <v>ตะวันออกเฉียงเหนือ</v>
      </c>
      <c r="AH2214" s="3" t="str">
        <f>IFERROR(__xludf.DUMMYFUNCTION("""COMPUTED_VALUE"""),"#N/A")</f>
        <v>#N/A</v>
      </c>
      <c r="AI2214" s="3" t="str">
        <f>IFERROR(__xludf.DUMMYFUNCTION("""COMPUTED_VALUE"""),"Out of warranty")</f>
        <v>Out of warranty</v>
      </c>
      <c r="AJ2214" s="3">
        <f>IFERROR(__xludf.DUMMYFUNCTION("""COMPUTED_VALUE"""),154.0)</f>
        <v>154</v>
      </c>
      <c r="AK2214" s="3"/>
      <c r="AL2214" s="3"/>
    </row>
    <row r="2215" ht="15.75" customHeight="1">
      <c r="A2215" s="1" t="str">
        <f>IFERROR(__xludf.DUMMYFUNCTION("""COMPUTED_VALUE"""),"41096")</f>
        <v>41096</v>
      </c>
      <c r="B2215" s="2">
        <f>IFERROR(__xludf.DUMMYFUNCTION("""COMPUTED_VALUE"""),41096.0)</f>
        <v>41096</v>
      </c>
      <c r="C2215" s="3" t="str">
        <f>IFERROR(__xludf.DUMMYFUNCTION("""COMPUTED_VALUE"""),"เพรียวหัวหิน")</f>
        <v>เพรียวหัวหิน</v>
      </c>
      <c r="D2215" s="3" t="str">
        <f>IFERROR(__xludf.DUMMYFUNCTION("""COMPUTED_VALUE"""),"BIGC MARKET HUA HIN PURE")</f>
        <v>BIGC MARKET HUA HIN PURE</v>
      </c>
      <c r="E2215" s="1" t="str">
        <f>IFERROR(__xludf.DUMMYFUNCTION("""COMPUTED_VALUE"""),"PURE")</f>
        <v>PURE</v>
      </c>
      <c r="F2215" s="1" t="str">
        <f>IFERROR(__xludf.DUMMYFUNCTION("""COMPUTED_VALUE"""),"2010612")</f>
        <v>2010612</v>
      </c>
      <c r="G2215" s="1" t="str">
        <f>IFERROR(__xludf.DUMMYFUNCTION("""COMPUTED_VALUE"""),"น.ส.วรรณพร เกตุเลิศประเสริฐ")</f>
        <v>น.ส.วรรณพร เกตุเลิศประเสริฐ</v>
      </c>
      <c r="H2215" s="1" t="str">
        <f>IFERROR(__xludf.DUMMYFUNCTION("""COMPUTED_VALUE"""),"2010612")</f>
        <v>2010612</v>
      </c>
      <c r="I2215" s="1" t="str">
        <f>IFERROR(__xludf.DUMMYFUNCTION("""COMPUTED_VALUE"""),"น.ส.วรรณพร เกตุเลิศประเสริฐ")</f>
        <v>น.ส.วรรณพร เกตุเลิศประเสริฐ</v>
      </c>
      <c r="J2215" s="3">
        <f>IFERROR(__xludf.DUMMYFUNCTION("""COMPUTED_VALUE"""),2455179.0)</f>
        <v>2455179</v>
      </c>
      <c r="K2215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2215" s="1" t="str">
        <f>IFERROR(__xludf.DUMMYFUNCTION("""COMPUTED_VALUE"""),"Hub06-C&amp;W")</f>
        <v>Hub06-C&amp;W</v>
      </c>
      <c r="M2215" s="1" t="str">
        <f>IFERROR(__xludf.DUMMYFUNCTION("""COMPUTED_VALUE"""),"090-993-6896")</f>
        <v>090-993-6896</v>
      </c>
      <c r="N2215" s="3">
        <f>IFERROR(__xludf.DUMMYFUNCTION("""COMPUTED_VALUE"""),15020.0)</f>
        <v>15020</v>
      </c>
      <c r="O2215" s="3" t="str">
        <f>IFERROR(__xludf.DUMMYFUNCTION("""COMPUTED_VALUE"""),"หัวหิน")</f>
        <v>หัวหิน</v>
      </c>
      <c r="P2215" s="4">
        <f>IFERROR(__xludf.DUMMYFUNCTION("""COMPUTED_VALUE"""),41374.0)</f>
        <v>41374</v>
      </c>
      <c r="Q2215" s="3" t="str">
        <f>IFERROR(__xludf.DUMMYFUNCTION("""COMPUTED_VALUE"""),"A")</f>
        <v>A</v>
      </c>
      <c r="R2215" s="3" t="str">
        <f>IFERROR(__xludf.DUMMYFUNCTION("""COMPUTED_VALUE"""),"Big Format")</f>
        <v>Big Format</v>
      </c>
      <c r="S2215" s="3" t="str">
        <f>IFERROR(__xludf.DUMMYFUNCTION("""COMPUTED_VALUE"""),"PURE")</f>
        <v>PURE</v>
      </c>
      <c r="T2215" s="3" t="str">
        <f>IFERROR(__xludf.DUMMYFUNCTION("""COMPUTED_VALUE"""),"#N/A")</f>
        <v>#N/A</v>
      </c>
      <c r="U2215" s="3" t="str">
        <f>IFERROR(__xludf.DUMMYFUNCTION("""COMPUTED_VALUE"""),"#N/A")</f>
        <v>#N/A</v>
      </c>
      <c r="V2215" s="3" t="str">
        <f>IFERROR(__xludf.DUMMYFUNCTION("""COMPUTED_VALUE"""),"N")</f>
        <v>N</v>
      </c>
      <c r="W2215" s="3">
        <f>IFERROR(__xludf.DUMMYFUNCTION("""COMPUTED_VALUE"""),411087.0)</f>
        <v>411087</v>
      </c>
      <c r="X2215" s="3" t="str">
        <f>IFERROR(__xludf.DUMMYFUNCTION("""COMPUTED_VALUE"""),"28/128 ซอยหมู่บ้านเขาน้อย ตำบลหัวหิน อำเภอหัวหิน จังหวัดประจวบคีรีขันธ์ 77110")</f>
        <v>28/128 ซอยหมู่บ้านเขาน้อย ตำบลหัวหิน อำเภอหัวหิน จังหวัดประจวบคีรีขันธ์ 77110</v>
      </c>
      <c r="Y2215" s="3" t="str">
        <f>IFERROR(__xludf.DUMMYFUNCTION("""COMPUTED_VALUE"""),"ซอยหมู่บ้านเขาน้อย")</f>
        <v>ซอยหมู่บ้านเขาน้อย</v>
      </c>
      <c r="Z2215" s="3" t="str">
        <f>IFERROR(__xludf.DUMMYFUNCTION("""COMPUTED_VALUE"""),"หัวหิน")</f>
        <v>หัวหิน</v>
      </c>
      <c r="AA2215" s="3" t="str">
        <f>IFERROR(__xludf.DUMMYFUNCTION("""COMPUTED_VALUE"""),"หัวหิน")</f>
        <v>หัวหิน</v>
      </c>
      <c r="AB2215" s="3" t="str">
        <f>IFERROR(__xludf.DUMMYFUNCTION("""COMPUTED_VALUE"""),"ประจวบคีรีขันธ์")</f>
        <v>ประจวบคีรีขันธ์</v>
      </c>
      <c r="AC2215" s="3">
        <f>IFERROR(__xludf.DUMMYFUNCTION("""COMPUTED_VALUE"""),77110.0)</f>
        <v>77110</v>
      </c>
      <c r="AD2215" s="3">
        <f>IFERROR(__xludf.DUMMYFUNCTION("""COMPUTED_VALUE"""),0.0)</f>
        <v>0</v>
      </c>
      <c r="AE2215" s="3">
        <f>IFERROR(__xludf.DUMMYFUNCTION("""COMPUTED_VALUE"""),0.0)</f>
        <v>0</v>
      </c>
      <c r="AF2215" s="3" t="str">
        <f>IFERROR(__xludf.DUMMYFUNCTION("""COMPUTED_VALUE"""),"เพรียวหัวหิน-41096")</f>
        <v>เพรียวหัวหิน-41096</v>
      </c>
      <c r="AG2215" s="3" t="str">
        <f>IFERROR(__xludf.DUMMYFUNCTION("""COMPUTED_VALUE"""),"ตะวันตก")</f>
        <v>ตะวันตก</v>
      </c>
      <c r="AH2215" s="3" t="str">
        <f>IFERROR(__xludf.DUMMYFUNCTION("""COMPUTED_VALUE"""),"#N/A")</f>
        <v>#N/A</v>
      </c>
      <c r="AI2215" s="3" t="str">
        <f>IFERROR(__xludf.DUMMYFUNCTION("""COMPUTED_VALUE"""),"Out of warranty")</f>
        <v>Out of warranty</v>
      </c>
      <c r="AJ2215" s="3">
        <f>IFERROR(__xludf.DUMMYFUNCTION("""COMPUTED_VALUE"""),154.0)</f>
        <v>154</v>
      </c>
      <c r="AK2215" s="3"/>
      <c r="AL2215" s="3"/>
    </row>
    <row r="2216" ht="15.75" customHeight="1">
      <c r="A2216" s="1" t="str">
        <f>IFERROR(__xludf.DUMMYFUNCTION("""COMPUTED_VALUE"""),"41097")</f>
        <v>41097</v>
      </c>
      <c r="B2216" s="2">
        <f>IFERROR(__xludf.DUMMYFUNCTION("""COMPUTED_VALUE"""),41097.0)</f>
        <v>41097</v>
      </c>
      <c r="C2216" s="3" t="str">
        <f>IFERROR(__xludf.DUMMYFUNCTION("""COMPUTED_VALUE"""),"เพรียวชลบุรีเซ็นทรัล")</f>
        <v>เพรียวชลบุรีเซ็นทรัล</v>
      </c>
      <c r="D2216" s="3" t="str">
        <f>IFERROR(__xludf.DUMMYFUNCTION("""COMPUTED_VALUE"""),"BIGC CHONBURI CENTRAL PURE")</f>
        <v>BIGC CHONBURI CENTRAL PURE</v>
      </c>
      <c r="E2216" s="1" t="str">
        <f>IFERROR(__xludf.DUMMYFUNCTION("""COMPUTED_VALUE"""),"PURE")</f>
        <v>PURE</v>
      </c>
      <c r="F2216" s="1" t="str">
        <f>IFERROR(__xludf.DUMMYFUNCTION("""COMPUTED_VALUE"""),"228469")</f>
        <v>228469</v>
      </c>
      <c r="G2216" s="1" t="str">
        <f>IFERROR(__xludf.DUMMYFUNCTION("""COMPUTED_VALUE"""),"น.ส.บงกช ทำการดี")</f>
        <v>น.ส.บงกช ทำการดี</v>
      </c>
      <c r="H2216" s="1" t="str">
        <f>IFERROR(__xludf.DUMMYFUNCTION("""COMPUTED_VALUE"""),"228469")</f>
        <v>228469</v>
      </c>
      <c r="I2216" s="1" t="str">
        <f>IFERROR(__xludf.DUMMYFUNCTION("""COMPUTED_VALUE"""),"น.ส.บงกช ทำการดี")</f>
        <v>น.ส.บงกช ทำการดี</v>
      </c>
      <c r="J2216" s="3">
        <f>IFERROR(__xludf.DUMMYFUNCTION("""COMPUTED_VALUE"""),2455164.0)</f>
        <v>2455164</v>
      </c>
      <c r="K2216" s="3" t="str">
        <f>IFERROR(__xludf.DUMMYFUNCTION("""COMPUTED_VALUE"""),"นายกรวิทย์ เจริญพร")</f>
        <v>นายกรวิทย์ เจริญพร</v>
      </c>
      <c r="L2216" s="1" t="str">
        <f>IFERROR(__xludf.DUMMYFUNCTION("""COMPUTED_VALUE"""),"Hub08-East")</f>
        <v>Hub08-East</v>
      </c>
      <c r="M2216" s="1" t="str">
        <f>IFERROR(__xludf.DUMMYFUNCTION("""COMPUTED_VALUE"""),"092-605-9922")</f>
        <v>092-605-9922</v>
      </c>
      <c r="N2216" s="3">
        <f>IFERROR(__xludf.DUMMYFUNCTION("""COMPUTED_VALUE"""),11175.0)</f>
        <v>11175</v>
      </c>
      <c r="O2216" s="3" t="str">
        <f>IFERROR(__xludf.DUMMYFUNCTION("""COMPUTED_VALUE"""),"ชลบุรี เซ็นทรัล")</f>
        <v>ชลบุรี เซ็นทรัล</v>
      </c>
      <c r="P2216" s="4">
        <f>IFERROR(__xludf.DUMMYFUNCTION("""COMPUTED_VALUE"""),41375.0)</f>
        <v>41375</v>
      </c>
      <c r="Q2216" s="3" t="str">
        <f>IFERROR(__xludf.DUMMYFUNCTION("""COMPUTED_VALUE"""),"A")</f>
        <v>A</v>
      </c>
      <c r="R2216" s="3" t="str">
        <f>IFERROR(__xludf.DUMMYFUNCTION("""COMPUTED_VALUE"""),"Big Format")</f>
        <v>Big Format</v>
      </c>
      <c r="S2216" s="3" t="str">
        <f>IFERROR(__xludf.DUMMYFUNCTION("""COMPUTED_VALUE"""),"PURE")</f>
        <v>PURE</v>
      </c>
      <c r="T2216" s="3" t="str">
        <f>IFERROR(__xludf.DUMMYFUNCTION("""COMPUTED_VALUE"""),"#N/A")</f>
        <v>#N/A</v>
      </c>
      <c r="U2216" s="3" t="str">
        <f>IFERROR(__xludf.DUMMYFUNCTION("""COMPUTED_VALUE"""),"#N/A")</f>
        <v>#N/A</v>
      </c>
      <c r="V2216" s="3" t="str">
        <f>IFERROR(__xludf.DUMMYFUNCTION("""COMPUTED_VALUE"""),"N")</f>
        <v>N</v>
      </c>
      <c r="W2216" s="3">
        <f>IFERROR(__xludf.DUMMYFUNCTION("""COMPUTED_VALUE"""),111175.0)</f>
        <v>111175</v>
      </c>
      <c r="X2216" s="3" t="str">
        <f>IFERROR(__xludf.DUMMYFUNCTION("""COMPUTED_VALUE"""),"55/92 หมู่ที่ 1 ตำบลเสม็ด อำเภอเมืองชลบุรี จังหวัดชลบุรี 20000")</f>
        <v>55/92 หมู่ที่ 1 ตำบลเสม็ด อำเภอเมืองชลบุรี จังหวัดชลบุรี 20000</v>
      </c>
      <c r="Y2216" s="3"/>
      <c r="Z2216" s="3" t="str">
        <f>IFERROR(__xludf.DUMMYFUNCTION("""COMPUTED_VALUE"""),"เสม็ด")</f>
        <v>เสม็ด</v>
      </c>
      <c r="AA2216" s="3" t="str">
        <f>IFERROR(__xludf.DUMMYFUNCTION("""COMPUTED_VALUE"""),"เมือง")</f>
        <v>เมือง</v>
      </c>
      <c r="AB2216" s="3" t="str">
        <f>IFERROR(__xludf.DUMMYFUNCTION("""COMPUTED_VALUE"""),"ชลบุรี")</f>
        <v>ชลบุรี</v>
      </c>
      <c r="AC2216" s="3">
        <f>IFERROR(__xludf.DUMMYFUNCTION("""COMPUTED_VALUE"""),20000.0)</f>
        <v>20000</v>
      </c>
      <c r="AD2216" s="3">
        <f>IFERROR(__xludf.DUMMYFUNCTION("""COMPUTED_VALUE"""),0.0)</f>
        <v>0</v>
      </c>
      <c r="AE2216" s="3">
        <f>IFERROR(__xludf.DUMMYFUNCTION("""COMPUTED_VALUE"""),0.0)</f>
        <v>0</v>
      </c>
      <c r="AF2216" s="3" t="str">
        <f>IFERROR(__xludf.DUMMYFUNCTION("""COMPUTED_VALUE"""),"เพรียวชลบุรีเซ็นทรัล-41097")</f>
        <v>เพรียวชลบุรีเซ็นทรัล-41097</v>
      </c>
      <c r="AG2216" s="3" t="str">
        <f>IFERROR(__xludf.DUMMYFUNCTION("""COMPUTED_VALUE"""),"ตะวันออก")</f>
        <v>ตะวันออก</v>
      </c>
      <c r="AH2216" s="3" t="str">
        <f>IFERROR(__xludf.DUMMYFUNCTION("""COMPUTED_VALUE"""),"#N/A")</f>
        <v>#N/A</v>
      </c>
      <c r="AI2216" s="3" t="str">
        <f>IFERROR(__xludf.DUMMYFUNCTION("""COMPUTED_VALUE"""),"Out of warranty")</f>
        <v>Out of warranty</v>
      </c>
      <c r="AJ2216" s="3">
        <f>IFERROR(__xludf.DUMMYFUNCTION("""COMPUTED_VALUE"""),154.0)</f>
        <v>154</v>
      </c>
      <c r="AK2216" s="3"/>
      <c r="AL2216" s="3"/>
    </row>
    <row r="2217" ht="15.75" customHeight="1">
      <c r="A2217" s="1" t="str">
        <f>IFERROR(__xludf.DUMMYFUNCTION("""COMPUTED_VALUE"""),"41098")</f>
        <v>41098</v>
      </c>
      <c r="B2217" s="2">
        <f>IFERROR(__xludf.DUMMYFUNCTION("""COMPUTED_VALUE"""),41098.0)</f>
        <v>41098</v>
      </c>
      <c r="C2217" s="3" t="str">
        <f>IFERROR(__xludf.DUMMYFUNCTION("""COMPUTED_VALUE"""),"เพรียวชุมพร")</f>
        <v>เพรียวชุมพร</v>
      </c>
      <c r="D2217" s="3" t="str">
        <f>IFERROR(__xludf.DUMMYFUNCTION("""COMPUTED_VALUE"""),"BIGC CHUMPHON PURE")</f>
        <v>BIGC CHUMPHON PURE</v>
      </c>
      <c r="E2217" s="1" t="str">
        <f>IFERROR(__xludf.DUMMYFUNCTION("""COMPUTED_VALUE"""),"PURE")</f>
        <v>PURE</v>
      </c>
      <c r="F2217" s="1" t="str">
        <f>IFERROR(__xludf.DUMMYFUNCTION("""COMPUTED_VALUE"""),"291435")</f>
        <v>291435</v>
      </c>
      <c r="G2217" s="1" t="str">
        <f>IFERROR(__xludf.DUMMYFUNCTION("""COMPUTED_VALUE"""),"น.ส.สุกัญญา มณีไพโรจน์")</f>
        <v>น.ส.สุกัญญา มณีไพโรจน์</v>
      </c>
      <c r="H2217" s="1" t="str">
        <f>IFERROR(__xludf.DUMMYFUNCTION("""COMPUTED_VALUE"""),"291435")</f>
        <v>291435</v>
      </c>
      <c r="I2217" s="1" t="str">
        <f>IFERROR(__xludf.DUMMYFUNCTION("""COMPUTED_VALUE"""),"น.ส.สุกัญญา มณีไพโรจน์")</f>
        <v>น.ส.สุกัญญา มณีไพโรจน์</v>
      </c>
      <c r="J2217" s="3">
        <f>IFERROR(__xludf.DUMMYFUNCTION("""COMPUTED_VALUE"""),2454709.0)</f>
        <v>2454709</v>
      </c>
      <c r="K2217" s="3" t="str">
        <f>IFERROR(__xludf.DUMMYFUNCTION("""COMPUTED_VALUE"""),"นายประชา เกตุชาติ")</f>
        <v>นายประชา เกตุชาติ</v>
      </c>
      <c r="L2217" s="1" t="str">
        <f>IFERROR(__xludf.DUMMYFUNCTION("""COMPUTED_VALUE"""),"Hub05-South")</f>
        <v>Hub05-South</v>
      </c>
      <c r="M2217" s="1" t="str">
        <f>IFERROR(__xludf.DUMMYFUNCTION("""COMPUTED_VALUE"""),"0659291311")</f>
        <v>0659291311</v>
      </c>
      <c r="N2217" s="3">
        <f>IFERROR(__xludf.DUMMYFUNCTION("""COMPUTED_VALUE"""),11206.0)</f>
        <v>11206</v>
      </c>
      <c r="O2217" s="3" t="str">
        <f>IFERROR(__xludf.DUMMYFUNCTION("""COMPUTED_VALUE"""),"ชุมพร")</f>
        <v>ชุมพร</v>
      </c>
      <c r="P2217" s="4">
        <f>IFERROR(__xludf.DUMMYFUNCTION("""COMPUTED_VALUE"""),41375.0)</f>
        <v>41375</v>
      </c>
      <c r="Q2217" s="3" t="str">
        <f>IFERROR(__xludf.DUMMYFUNCTION("""COMPUTED_VALUE"""),"A")</f>
        <v>A</v>
      </c>
      <c r="R2217" s="3" t="str">
        <f>IFERROR(__xludf.DUMMYFUNCTION("""COMPUTED_VALUE"""),"Big Format")</f>
        <v>Big Format</v>
      </c>
      <c r="S2217" s="3" t="str">
        <f>IFERROR(__xludf.DUMMYFUNCTION("""COMPUTED_VALUE"""),"PURE")</f>
        <v>PURE</v>
      </c>
      <c r="T2217" s="3" t="str">
        <f>IFERROR(__xludf.DUMMYFUNCTION("""COMPUTED_VALUE"""),"#N/A")</f>
        <v>#N/A</v>
      </c>
      <c r="U2217" s="3" t="str">
        <f>IFERROR(__xludf.DUMMYFUNCTION("""COMPUTED_VALUE"""),"#N/A")</f>
        <v>#N/A</v>
      </c>
      <c r="V2217" s="3" t="str">
        <f>IFERROR(__xludf.DUMMYFUNCTION("""COMPUTED_VALUE"""),"N")</f>
        <v>N</v>
      </c>
      <c r="W2217" s="3">
        <f>IFERROR(__xludf.DUMMYFUNCTION("""COMPUTED_VALUE"""),111206.0)</f>
        <v>111206</v>
      </c>
      <c r="X2217" s="3" t="str">
        <f>IFERROR(__xludf.DUMMYFUNCTION("""COMPUTED_VALUE"""),"195 หมู่ที่ 3 ตำบลวังไผ่ อำเภอเมืองชุมพร 86000 จังหวัดชุมพร 86000")</f>
        <v>195 หมู่ที่ 3 ตำบลวังไผ่ อำเภอเมืองชุมพร 86000 จังหวัดชุมพร 86000</v>
      </c>
      <c r="Y2217" s="3"/>
      <c r="Z2217" s="3" t="str">
        <f>IFERROR(__xludf.DUMMYFUNCTION("""COMPUTED_VALUE"""),"วังไผ่")</f>
        <v>วังไผ่</v>
      </c>
      <c r="AA2217" s="3" t="str">
        <f>IFERROR(__xludf.DUMMYFUNCTION("""COMPUTED_VALUE"""),"เมือง")</f>
        <v>เมือง</v>
      </c>
      <c r="AB2217" s="3" t="str">
        <f>IFERROR(__xludf.DUMMYFUNCTION("""COMPUTED_VALUE"""),"ชุมพร")</f>
        <v>ชุมพร</v>
      </c>
      <c r="AC2217" s="3">
        <f>IFERROR(__xludf.DUMMYFUNCTION("""COMPUTED_VALUE"""),86000.0)</f>
        <v>86000</v>
      </c>
      <c r="AD2217" s="3">
        <f>IFERROR(__xludf.DUMMYFUNCTION("""COMPUTED_VALUE"""),0.0)</f>
        <v>0</v>
      </c>
      <c r="AE2217" s="3">
        <f>IFERROR(__xludf.DUMMYFUNCTION("""COMPUTED_VALUE"""),0.0)</f>
        <v>0</v>
      </c>
      <c r="AF2217" s="3" t="str">
        <f>IFERROR(__xludf.DUMMYFUNCTION("""COMPUTED_VALUE"""),"เพรียวชุมพร-41098")</f>
        <v>เพรียวชุมพร-41098</v>
      </c>
      <c r="AG2217" s="3" t="str">
        <f>IFERROR(__xludf.DUMMYFUNCTION("""COMPUTED_VALUE"""),"ใต้")</f>
        <v>ใต้</v>
      </c>
      <c r="AH2217" s="3" t="str">
        <f>IFERROR(__xludf.DUMMYFUNCTION("""COMPUTED_VALUE"""),"#N/A")</f>
        <v>#N/A</v>
      </c>
      <c r="AI2217" s="3" t="str">
        <f>IFERROR(__xludf.DUMMYFUNCTION("""COMPUTED_VALUE"""),"Out of warranty")</f>
        <v>Out of warranty</v>
      </c>
      <c r="AJ2217" s="3">
        <f>IFERROR(__xludf.DUMMYFUNCTION("""COMPUTED_VALUE"""),154.0)</f>
        <v>154</v>
      </c>
      <c r="AK2217" s="3"/>
      <c r="AL2217" s="3"/>
    </row>
    <row r="2218" ht="15.75" customHeight="1">
      <c r="A2218" s="1" t="str">
        <f>IFERROR(__xludf.DUMMYFUNCTION("""COMPUTED_VALUE"""),"41100")</f>
        <v>41100</v>
      </c>
      <c r="B2218" s="2">
        <f>IFERROR(__xludf.DUMMYFUNCTION("""COMPUTED_VALUE"""),41100.0)</f>
        <v>41100</v>
      </c>
      <c r="C2218" s="3" t="str">
        <f>IFERROR(__xludf.DUMMYFUNCTION("""COMPUTED_VALUE"""),"เพรียวชลบุรี2")</f>
        <v>เพรียวชลบุรี2</v>
      </c>
      <c r="D2218" s="3" t="str">
        <f>IFERROR(__xludf.DUMMYFUNCTION("""COMPUTED_VALUE"""),"BIGC CHONBURI-2 PURE")</f>
        <v>BIGC CHONBURI-2 PURE</v>
      </c>
      <c r="E2218" s="1" t="str">
        <f>IFERROR(__xludf.DUMMYFUNCTION("""COMPUTED_VALUE"""),"PURE")</f>
        <v>PURE</v>
      </c>
      <c r="F2218" s="1" t="str">
        <f>IFERROR(__xludf.DUMMYFUNCTION("""COMPUTED_VALUE"""),"228469")</f>
        <v>228469</v>
      </c>
      <c r="G2218" s="1" t="str">
        <f>IFERROR(__xludf.DUMMYFUNCTION("""COMPUTED_VALUE"""),"น.ส.บงกช ทำการดี")</f>
        <v>น.ส.บงกช ทำการดี</v>
      </c>
      <c r="H2218" s="1" t="str">
        <f>IFERROR(__xludf.DUMMYFUNCTION("""COMPUTED_VALUE"""),"228469")</f>
        <v>228469</v>
      </c>
      <c r="I2218" s="1" t="str">
        <f>IFERROR(__xludf.DUMMYFUNCTION("""COMPUTED_VALUE"""),"น.ส.บงกช ทำการดี")</f>
        <v>น.ส.บงกช ทำการดี</v>
      </c>
      <c r="J2218" s="3">
        <f>IFERROR(__xludf.DUMMYFUNCTION("""COMPUTED_VALUE"""),2455164.0)</f>
        <v>2455164</v>
      </c>
      <c r="K2218" s="3" t="str">
        <f>IFERROR(__xludf.DUMMYFUNCTION("""COMPUTED_VALUE"""),"นายกรวิทย์ เจริญพร")</f>
        <v>นายกรวิทย์ เจริญพร</v>
      </c>
      <c r="L2218" s="1" t="str">
        <f>IFERROR(__xludf.DUMMYFUNCTION("""COMPUTED_VALUE"""),"Hub08-East")</f>
        <v>Hub08-East</v>
      </c>
      <c r="M2218" s="1" t="str">
        <f>IFERROR(__xludf.DUMMYFUNCTION("""COMPUTED_VALUE"""),"092-605-9922")</f>
        <v>092-605-9922</v>
      </c>
      <c r="N2218" s="3">
        <f>IFERROR(__xludf.DUMMYFUNCTION("""COMPUTED_VALUE"""),11181.0)</f>
        <v>11181</v>
      </c>
      <c r="O2218" s="3" t="str">
        <f>IFERROR(__xludf.DUMMYFUNCTION("""COMPUTED_VALUE"""),"ชลบุรี-2")</f>
        <v>ชลบุรี-2</v>
      </c>
      <c r="P2218" s="4">
        <f>IFERROR(__xludf.DUMMYFUNCTION("""COMPUTED_VALUE"""),41389.0)</f>
        <v>41389</v>
      </c>
      <c r="Q2218" s="3" t="str">
        <f>IFERROR(__xludf.DUMMYFUNCTION("""COMPUTED_VALUE"""),"A")</f>
        <v>A</v>
      </c>
      <c r="R2218" s="3" t="str">
        <f>IFERROR(__xludf.DUMMYFUNCTION("""COMPUTED_VALUE"""),"Big Format")</f>
        <v>Big Format</v>
      </c>
      <c r="S2218" s="3" t="str">
        <f>IFERROR(__xludf.DUMMYFUNCTION("""COMPUTED_VALUE"""),"PURE")</f>
        <v>PURE</v>
      </c>
      <c r="T2218" s="3" t="str">
        <f>IFERROR(__xludf.DUMMYFUNCTION("""COMPUTED_VALUE"""),"#N/A")</f>
        <v>#N/A</v>
      </c>
      <c r="U2218" s="3" t="str">
        <f>IFERROR(__xludf.DUMMYFUNCTION("""COMPUTED_VALUE"""),"#N/A")</f>
        <v>#N/A</v>
      </c>
      <c r="V2218" s="3" t="str">
        <f>IFERROR(__xludf.DUMMYFUNCTION("""COMPUTED_VALUE"""),"N")</f>
        <v>N</v>
      </c>
      <c r="W2218" s="3">
        <f>IFERROR(__xludf.DUMMYFUNCTION("""COMPUTED_VALUE"""),111181.0)</f>
        <v>111181</v>
      </c>
      <c r="X2218" s="3" t="str">
        <f>IFERROR(__xludf.DUMMYFUNCTION("""COMPUTED_VALUE"""),"15/17 หมู่ที่ 3 ตำบลห้วยกะปิ อำเภอเมืองชลบุรี จังหวัดชลบุรี 20000")</f>
        <v>15/17 หมู่ที่ 3 ตำบลห้วยกะปิ อำเภอเมืองชลบุรี จังหวัดชลบุรี 20000</v>
      </c>
      <c r="Y2218" s="3"/>
      <c r="Z2218" s="3" t="str">
        <f>IFERROR(__xludf.DUMMYFUNCTION("""COMPUTED_VALUE"""),"ห้วยกะปิ")</f>
        <v>ห้วยกะปิ</v>
      </c>
      <c r="AA2218" s="3" t="str">
        <f>IFERROR(__xludf.DUMMYFUNCTION("""COMPUTED_VALUE"""),"เมือง")</f>
        <v>เมือง</v>
      </c>
      <c r="AB2218" s="3" t="str">
        <f>IFERROR(__xludf.DUMMYFUNCTION("""COMPUTED_VALUE"""),"ชลบุรี")</f>
        <v>ชลบุรี</v>
      </c>
      <c r="AC2218" s="3">
        <f>IFERROR(__xludf.DUMMYFUNCTION("""COMPUTED_VALUE"""),20000.0)</f>
        <v>20000</v>
      </c>
      <c r="AD2218" s="3">
        <f>IFERROR(__xludf.DUMMYFUNCTION("""COMPUTED_VALUE"""),0.0)</f>
        <v>0</v>
      </c>
      <c r="AE2218" s="3">
        <f>IFERROR(__xludf.DUMMYFUNCTION("""COMPUTED_VALUE"""),0.0)</f>
        <v>0</v>
      </c>
      <c r="AF2218" s="3" t="str">
        <f>IFERROR(__xludf.DUMMYFUNCTION("""COMPUTED_VALUE"""),"เพรียวชลบุรี2-41100")</f>
        <v>เพรียวชลบุรี2-41100</v>
      </c>
      <c r="AG2218" s="3" t="str">
        <f>IFERROR(__xludf.DUMMYFUNCTION("""COMPUTED_VALUE"""),"ตะวันออก")</f>
        <v>ตะวันออก</v>
      </c>
      <c r="AH2218" s="3" t="str">
        <f>IFERROR(__xludf.DUMMYFUNCTION("""COMPUTED_VALUE"""),"#N/A")</f>
        <v>#N/A</v>
      </c>
      <c r="AI2218" s="3" t="str">
        <f>IFERROR(__xludf.DUMMYFUNCTION("""COMPUTED_VALUE"""),"Out of warranty")</f>
        <v>Out of warranty</v>
      </c>
      <c r="AJ2218" s="3">
        <f>IFERROR(__xludf.DUMMYFUNCTION("""COMPUTED_VALUE"""),153.0)</f>
        <v>153</v>
      </c>
      <c r="AK2218" s="3"/>
      <c r="AL2218" s="3"/>
    </row>
    <row r="2219" ht="15.75" customHeight="1">
      <c r="A2219" s="1" t="str">
        <f>IFERROR(__xludf.DUMMYFUNCTION("""COMPUTED_VALUE"""),"41101")</f>
        <v>41101</v>
      </c>
      <c r="B2219" s="2">
        <f>IFERROR(__xludf.DUMMYFUNCTION("""COMPUTED_VALUE"""),41101.0)</f>
        <v>41101</v>
      </c>
      <c r="C2219" s="3" t="str">
        <f>IFERROR(__xludf.DUMMYFUNCTION("""COMPUTED_VALUE"""),"เพรียวลพบุรี2")</f>
        <v>เพรียวลพบุรี2</v>
      </c>
      <c r="D2219" s="3" t="str">
        <f>IFERROR(__xludf.DUMMYFUNCTION("""COMPUTED_VALUE"""),"BIGC LOPBURI-2 PURE")</f>
        <v>BIGC LOPBURI-2 PURE</v>
      </c>
      <c r="E2219" s="1" t="str">
        <f>IFERROR(__xludf.DUMMYFUNCTION("""COMPUTED_VALUE"""),"PURE")</f>
        <v>PURE</v>
      </c>
      <c r="F2219" s="1" t="str">
        <f>IFERROR(__xludf.DUMMYFUNCTION("""COMPUTED_VALUE"""),"EX0469")</f>
        <v>EX0469</v>
      </c>
      <c r="G2219" s="1" t="str">
        <f>IFERROR(__xludf.DUMMYFUNCTION("""COMPUTED_VALUE"""),"นายเทวฤทธิ์ ฐาปนะสุต")</f>
        <v>นายเทวฤทธิ์ ฐาปนะสุต</v>
      </c>
      <c r="H2219" s="1" t="str">
        <f>IFERROR(__xludf.DUMMYFUNCTION("""COMPUTED_VALUE"""),"291285")</f>
        <v>291285</v>
      </c>
      <c r="I2219" s="1" t="str">
        <f>IFERROR(__xludf.DUMMYFUNCTION("""COMPUTED_VALUE"""),"นายกิตติศักดิ์ แสงลับ")</f>
        <v>นายกิตติศักดิ์ แสงลับ</v>
      </c>
      <c r="J2219" s="3">
        <f>IFERROR(__xludf.DUMMYFUNCTION("""COMPUTED_VALUE"""),348.0)</f>
        <v>348</v>
      </c>
      <c r="K2219" s="3" t="str">
        <f>IFERROR(__xludf.DUMMYFUNCTION("""COMPUTED_VALUE"""),"นายธีรนันท์ ไม้สนธิ์")</f>
        <v>นายธีรนันท์ ไม้สนธิ์</v>
      </c>
      <c r="L2219" s="1" t="str">
        <f>IFERROR(__xludf.DUMMYFUNCTION("""COMPUTED_VALUE"""),"Hub07-North")</f>
        <v>Hub07-North</v>
      </c>
      <c r="M2219" s="1" t="str">
        <f>IFERROR(__xludf.DUMMYFUNCTION("""COMPUTED_VALUE"""),"0614175866")</f>
        <v>0614175866</v>
      </c>
      <c r="N2219" s="3">
        <f>IFERROR(__xludf.DUMMYFUNCTION("""COMPUTED_VALUE"""),11176.0)</f>
        <v>11176</v>
      </c>
      <c r="O2219" s="3" t="str">
        <f>IFERROR(__xludf.DUMMYFUNCTION("""COMPUTED_VALUE"""),"ลพบุรี2")</f>
        <v>ลพบุรี2</v>
      </c>
      <c r="P2219" s="4">
        <f>IFERROR(__xludf.DUMMYFUNCTION("""COMPUTED_VALUE"""),41394.0)</f>
        <v>41394</v>
      </c>
      <c r="Q2219" s="3" t="str">
        <f>IFERROR(__xludf.DUMMYFUNCTION("""COMPUTED_VALUE"""),"I")</f>
        <v>I</v>
      </c>
      <c r="R2219" s="3" t="str">
        <f>IFERROR(__xludf.DUMMYFUNCTION("""COMPUTED_VALUE"""),"Big Format")</f>
        <v>Big Format</v>
      </c>
      <c r="S2219" s="3" t="str">
        <f>IFERROR(__xludf.DUMMYFUNCTION("""COMPUTED_VALUE"""),"PURE")</f>
        <v>PURE</v>
      </c>
      <c r="T2219" s="3" t="str">
        <f>IFERROR(__xludf.DUMMYFUNCTION("""COMPUTED_VALUE"""),"#N/A")</f>
        <v>#N/A</v>
      </c>
      <c r="U2219" s="3" t="str">
        <f>IFERROR(__xludf.DUMMYFUNCTION("""COMPUTED_VALUE"""),"#N/A")</f>
        <v>#N/A</v>
      </c>
      <c r="V2219" s="3" t="str">
        <f>IFERROR(__xludf.DUMMYFUNCTION("""COMPUTED_VALUE"""),"N")</f>
        <v>N</v>
      </c>
      <c r="W2219" s="3">
        <f>IFERROR(__xludf.DUMMYFUNCTION("""COMPUTED_VALUE"""),0.0)</f>
        <v>0</v>
      </c>
      <c r="X2219" s="3" t="str">
        <f>IFERROR(__xludf.DUMMYFUNCTION("""COMPUTED_VALUE"""),"319 หมู่ที่ 2 ตำบลท่าศาลา อำเภอเมืองลพบุรี จังหวัดลพบุรี 15000")</f>
        <v>319 หมู่ที่ 2 ตำบลท่าศาลา อำเภอเมืองลพบุรี จังหวัดลพบุรี 15000</v>
      </c>
      <c r="Y2219" s="3"/>
      <c r="Z2219" s="3" t="str">
        <f>IFERROR(__xludf.DUMMYFUNCTION("""COMPUTED_VALUE"""),"ท่าศาลา")</f>
        <v>ท่าศาลา</v>
      </c>
      <c r="AA2219" s="3" t="str">
        <f>IFERROR(__xludf.DUMMYFUNCTION("""COMPUTED_VALUE"""),"เมือง")</f>
        <v>เมือง</v>
      </c>
      <c r="AB2219" s="3" t="str">
        <f>IFERROR(__xludf.DUMMYFUNCTION("""COMPUTED_VALUE"""),"ลพบุรี")</f>
        <v>ลพบุรี</v>
      </c>
      <c r="AC2219" s="3">
        <f>IFERROR(__xludf.DUMMYFUNCTION("""COMPUTED_VALUE"""),15000.0)</f>
        <v>15000</v>
      </c>
      <c r="AD2219" s="3">
        <f>IFERROR(__xludf.DUMMYFUNCTION("""COMPUTED_VALUE"""),0.0)</f>
        <v>0</v>
      </c>
      <c r="AE2219" s="3">
        <f>IFERROR(__xludf.DUMMYFUNCTION("""COMPUTED_VALUE"""),0.0)</f>
        <v>0</v>
      </c>
      <c r="AF2219" s="3" t="str">
        <f>IFERROR(__xludf.DUMMYFUNCTION("""COMPUTED_VALUE"""),"เพรียวลพบุรี2-41101")</f>
        <v>เพรียวลพบุรี2-41101</v>
      </c>
      <c r="AG2219" s="3" t="str">
        <f>IFERROR(__xludf.DUMMYFUNCTION("""COMPUTED_VALUE"""),"กลาง")</f>
        <v>กลาง</v>
      </c>
      <c r="AH2219" s="3" t="str">
        <f>IFERROR(__xludf.DUMMYFUNCTION("""COMPUTED_VALUE"""),"#N/A")</f>
        <v>#N/A</v>
      </c>
      <c r="AI2219" s="3" t="str">
        <f>IFERROR(__xludf.DUMMYFUNCTION("""COMPUTED_VALUE"""),"Out of warranty")</f>
        <v>Out of warranty</v>
      </c>
      <c r="AJ2219" s="3">
        <f>IFERROR(__xludf.DUMMYFUNCTION("""COMPUTED_VALUE"""),153.0)</f>
        <v>153</v>
      </c>
      <c r="AK2219" s="3"/>
      <c r="AL2219" s="3"/>
    </row>
    <row r="2220" ht="15.75" customHeight="1">
      <c r="A2220" s="1" t="str">
        <f>IFERROR(__xludf.DUMMYFUNCTION("""COMPUTED_VALUE"""),"41102")</f>
        <v>41102</v>
      </c>
      <c r="B2220" s="2">
        <f>IFERROR(__xludf.DUMMYFUNCTION("""COMPUTED_VALUE"""),41102.0)</f>
        <v>41102</v>
      </c>
      <c r="C2220" s="3" t="str">
        <f>IFERROR(__xludf.DUMMYFUNCTION("""COMPUTED_VALUE"""),"เพรียวรัตนาธิเบศร์ 2")</f>
        <v>เพรียวรัตนาธิเบศร์ 2</v>
      </c>
      <c r="D2220" s="3" t="str">
        <f>IFERROR(__xludf.DUMMYFUNCTION("""COMPUTED_VALUE"""),"BIGC RATTANATHIBETH-2 PURE")</f>
        <v>BIGC RATTANATHIBETH-2 PURE</v>
      </c>
      <c r="E2220" s="1" t="str">
        <f>IFERROR(__xludf.DUMMYFUNCTION("""COMPUTED_VALUE"""),"PURE")</f>
        <v>PURE</v>
      </c>
      <c r="F2220" s="1" t="str">
        <f>IFERROR(__xludf.DUMMYFUNCTION("""COMPUTED_VALUE"""),"228469")</f>
        <v>228469</v>
      </c>
      <c r="G2220" s="1" t="str">
        <f>IFERROR(__xludf.DUMMYFUNCTION("""COMPUTED_VALUE"""),"น.ส.บงกช ทำการดี")</f>
        <v>น.ส.บงกช ทำการดี</v>
      </c>
      <c r="H2220" s="1" t="str">
        <f>IFERROR(__xludf.DUMMYFUNCTION("""COMPUTED_VALUE"""),"228469")</f>
        <v>228469</v>
      </c>
      <c r="I2220" s="1" t="str">
        <f>IFERROR(__xludf.DUMMYFUNCTION("""COMPUTED_VALUE"""),"น.ส.บงกช ทำการดี")</f>
        <v>น.ส.บงกช ทำการดี</v>
      </c>
      <c r="J2220" s="3">
        <f>IFERROR(__xludf.DUMMYFUNCTION("""COMPUTED_VALUE"""),2454813.0)</f>
        <v>2454813</v>
      </c>
      <c r="K2220" s="3" t="str">
        <f>IFERROR(__xludf.DUMMYFUNCTION("""COMPUTED_VALUE"""),"นายอนุรักษ์ จั่นเที่ยง")</f>
        <v>นายอนุรักษ์ จั่นเที่ยง</v>
      </c>
      <c r="L2220" s="1" t="str">
        <f>IFERROR(__xludf.DUMMYFUNCTION("""COMPUTED_VALUE"""),"Hub04-BKK 4")</f>
        <v>Hub04-BKK 4</v>
      </c>
      <c r="M2220" s="1" t="str">
        <f>IFERROR(__xludf.DUMMYFUNCTION("""COMPUTED_VALUE"""),"0991964531")</f>
        <v>0991964531</v>
      </c>
      <c r="N2220" s="3">
        <f>IFERROR(__xludf.DUMMYFUNCTION("""COMPUTED_VALUE"""),11189.0)</f>
        <v>11189</v>
      </c>
      <c r="O2220" s="3" t="str">
        <f>IFERROR(__xludf.DUMMYFUNCTION("""COMPUTED_VALUE"""),"รัตนาธิเบศร์-2")</f>
        <v>รัตนาธิเบศร์-2</v>
      </c>
      <c r="P2220" s="4">
        <f>IFERROR(__xludf.DUMMYFUNCTION("""COMPUTED_VALUE"""),41414.0)</f>
        <v>41414</v>
      </c>
      <c r="Q2220" s="3" t="str">
        <f>IFERROR(__xludf.DUMMYFUNCTION("""COMPUTED_VALUE"""),"A")</f>
        <v>A</v>
      </c>
      <c r="R2220" s="3" t="str">
        <f>IFERROR(__xludf.DUMMYFUNCTION("""COMPUTED_VALUE"""),"Big Format")</f>
        <v>Big Format</v>
      </c>
      <c r="S2220" s="3" t="str">
        <f>IFERROR(__xludf.DUMMYFUNCTION("""COMPUTED_VALUE"""),"PURE")</f>
        <v>PURE</v>
      </c>
      <c r="T2220" s="3" t="str">
        <f>IFERROR(__xludf.DUMMYFUNCTION("""COMPUTED_VALUE"""),"#N/A")</f>
        <v>#N/A</v>
      </c>
      <c r="U2220" s="3" t="str">
        <f>IFERROR(__xludf.DUMMYFUNCTION("""COMPUTED_VALUE"""),"#N/A")</f>
        <v>#N/A</v>
      </c>
      <c r="V2220" s="3" t="str">
        <f>IFERROR(__xludf.DUMMYFUNCTION("""COMPUTED_VALUE"""),"N")</f>
        <v>N</v>
      </c>
      <c r="W2220" s="3">
        <f>IFERROR(__xludf.DUMMYFUNCTION("""COMPUTED_VALUE"""),111189.0)</f>
        <v>111189</v>
      </c>
      <c r="X2220" s="3" t="str">
        <f>IFERROR(__xludf.DUMMYFUNCTION("""COMPUTED_VALUE"""),"243 ถนนรัตนาธิเบศร์ ตำบลบางกระสอ อำเภอเมืองนนทบุรี จังหวัดนนทบุรี 11000")</f>
        <v>243 ถนนรัตนาธิเบศร์ ตำบลบางกระสอ อำเภอเมืองนนทบุรี จังหวัดนนทบุรี 11000</v>
      </c>
      <c r="Y2220" s="3" t="str">
        <f>IFERROR(__xludf.DUMMYFUNCTION("""COMPUTED_VALUE"""),"ถนนรัตนาธิเบศร์")</f>
        <v>ถนนรัตนาธิเบศร์</v>
      </c>
      <c r="Z2220" s="3" t="str">
        <f>IFERROR(__xludf.DUMMYFUNCTION("""COMPUTED_VALUE"""),"บางกระสอ")</f>
        <v>บางกระสอ</v>
      </c>
      <c r="AA2220" s="3" t="str">
        <f>IFERROR(__xludf.DUMMYFUNCTION("""COMPUTED_VALUE"""),"เมืองนนทบุรี")</f>
        <v>เมืองนนทบุรี</v>
      </c>
      <c r="AB2220" s="3" t="str">
        <f>IFERROR(__xludf.DUMMYFUNCTION("""COMPUTED_VALUE"""),"นนทบุรี")</f>
        <v>นนทบุรี</v>
      </c>
      <c r="AC2220" s="3">
        <f>IFERROR(__xludf.DUMMYFUNCTION("""COMPUTED_VALUE"""),11000.0)</f>
        <v>11000</v>
      </c>
      <c r="AD2220" s="3">
        <f>IFERROR(__xludf.DUMMYFUNCTION("""COMPUTED_VALUE"""),0.0)</f>
        <v>0</v>
      </c>
      <c r="AE2220" s="3">
        <f>IFERROR(__xludf.DUMMYFUNCTION("""COMPUTED_VALUE"""),0.0)</f>
        <v>0</v>
      </c>
      <c r="AF2220" s="3" t="str">
        <f>IFERROR(__xludf.DUMMYFUNCTION("""COMPUTED_VALUE"""),"เพรียวรัตนาธิเบศร์ 2-41102")</f>
        <v>เพรียวรัตนาธิเบศร์ 2-41102</v>
      </c>
      <c r="AG2220" s="3" t="str">
        <f>IFERROR(__xludf.DUMMYFUNCTION("""COMPUTED_VALUE"""),"กลาง")</f>
        <v>กลาง</v>
      </c>
      <c r="AH2220" s="3" t="str">
        <f>IFERROR(__xludf.DUMMYFUNCTION("""COMPUTED_VALUE"""),"#N/A")</f>
        <v>#N/A</v>
      </c>
      <c r="AI2220" s="3" t="str">
        <f>IFERROR(__xludf.DUMMYFUNCTION("""COMPUTED_VALUE"""),"Out of warranty")</f>
        <v>Out of warranty</v>
      </c>
      <c r="AJ2220" s="3">
        <f>IFERROR(__xludf.DUMMYFUNCTION("""COMPUTED_VALUE"""),153.0)</f>
        <v>153</v>
      </c>
      <c r="AK2220" s="3"/>
      <c r="AL2220" s="3"/>
    </row>
    <row r="2221" ht="15.75" customHeight="1">
      <c r="A2221" s="1" t="str">
        <f>IFERROR(__xludf.DUMMYFUNCTION("""COMPUTED_VALUE"""),"41103")</f>
        <v>41103</v>
      </c>
      <c r="B2221" s="2">
        <f>IFERROR(__xludf.DUMMYFUNCTION("""COMPUTED_VALUE"""),41103.0)</f>
        <v>41103</v>
      </c>
      <c r="C2221" s="3" t="str">
        <f>IFERROR(__xludf.DUMMYFUNCTION("""COMPUTED_VALUE"""),"เพรียวสุขาภิบาล3")</f>
        <v>เพรียวสุขาภิบาล3</v>
      </c>
      <c r="D2221" s="3" t="str">
        <f>IFERROR(__xludf.DUMMYFUNCTION("""COMPUTED_VALUE"""),"BIGC SUKAPIBAL3 PURE")</f>
        <v>BIGC SUKAPIBAL3 PURE</v>
      </c>
      <c r="E2221" s="1" t="str">
        <f>IFERROR(__xludf.DUMMYFUNCTION("""COMPUTED_VALUE"""),"PURE")</f>
        <v>PURE</v>
      </c>
      <c r="F2221" s="1" t="str">
        <f>IFERROR(__xludf.DUMMYFUNCTION("""COMPUTED_VALUE"""),"211291")</f>
        <v>211291</v>
      </c>
      <c r="G2221" s="1" t="str">
        <f>IFERROR(__xludf.DUMMYFUNCTION("""COMPUTED_VALUE"""),"น.ส.ปนัดดา มากระจันทน์")</f>
        <v>น.ส.ปนัดดา มากระจันทน์</v>
      </c>
      <c r="H2221" s="1" t="str">
        <f>IFERROR(__xludf.DUMMYFUNCTION("""COMPUTED_VALUE"""),"211291")</f>
        <v>211291</v>
      </c>
      <c r="I2221" s="1" t="str">
        <f>IFERROR(__xludf.DUMMYFUNCTION("""COMPUTED_VALUE"""),"น.ส.ปนัดดา มากระจันทน์")</f>
        <v>น.ส.ปนัดดา มากระจันทน์</v>
      </c>
      <c r="J2221" s="3">
        <f>IFERROR(__xludf.DUMMYFUNCTION("""COMPUTED_VALUE"""),2454716.0)</f>
        <v>2454716</v>
      </c>
      <c r="K2221" s="3" t="str">
        <f>IFERROR(__xludf.DUMMYFUNCTION("""COMPUTED_VALUE"""),"นายโฆษิต วงค์กะโซ่")</f>
        <v>นายโฆษิต วงค์กะโซ่</v>
      </c>
      <c r="L2221" s="1" t="str">
        <f>IFERROR(__xludf.DUMMYFUNCTION("""COMPUTED_VALUE"""),"Hub03-BKK 3")</f>
        <v>Hub03-BKK 3</v>
      </c>
      <c r="M2221" s="1" t="str">
        <f>IFERROR(__xludf.DUMMYFUNCTION("""COMPUTED_VALUE"""),"062-434-5030")</f>
        <v>062-434-5030</v>
      </c>
      <c r="N2221" s="3">
        <f>IFERROR(__xludf.DUMMYFUNCTION("""COMPUTED_VALUE"""),11143.0)</f>
        <v>11143</v>
      </c>
      <c r="O2221" s="3" t="str">
        <f>IFERROR(__xludf.DUMMYFUNCTION("""COMPUTED_VALUE"""),"สุขาภิบาล3")</f>
        <v>สุขาภิบาล3</v>
      </c>
      <c r="P2221" s="4">
        <f>IFERROR(__xludf.DUMMYFUNCTION("""COMPUTED_VALUE"""),41417.0)</f>
        <v>41417</v>
      </c>
      <c r="Q2221" s="3" t="str">
        <f>IFERROR(__xludf.DUMMYFUNCTION("""COMPUTED_VALUE"""),"A")</f>
        <v>A</v>
      </c>
      <c r="R2221" s="3" t="str">
        <f>IFERROR(__xludf.DUMMYFUNCTION("""COMPUTED_VALUE"""),"Big Format")</f>
        <v>Big Format</v>
      </c>
      <c r="S2221" s="3" t="str">
        <f>IFERROR(__xludf.DUMMYFUNCTION("""COMPUTED_VALUE"""),"PURE")</f>
        <v>PURE</v>
      </c>
      <c r="T2221" s="3" t="str">
        <f>IFERROR(__xludf.DUMMYFUNCTION("""COMPUTED_VALUE"""),"#N/A")</f>
        <v>#N/A</v>
      </c>
      <c r="U2221" s="3" t="str">
        <f>IFERROR(__xludf.DUMMYFUNCTION("""COMPUTED_VALUE"""),"#N/A")</f>
        <v>#N/A</v>
      </c>
      <c r="V2221" s="3" t="str">
        <f>IFERROR(__xludf.DUMMYFUNCTION("""COMPUTED_VALUE"""),"N")</f>
        <v>N</v>
      </c>
      <c r="W2221" s="3">
        <f>IFERROR(__xludf.DUMMYFUNCTION("""COMPUTED_VALUE"""),111143.0)</f>
        <v>111143</v>
      </c>
      <c r="X2221" s="3" t="str">
        <f>IFERROR(__xludf.DUMMYFUNCTION("""COMPUTED_VALUE"""),"103 ถนนรามคำแหง แขวงมีนบุรี เขตมีนบุรี จังหวัดกรุงเทพมหานคร 10510")</f>
        <v>103 ถนนรามคำแหง แขวงมีนบุรี เขตมีนบุรี จังหวัดกรุงเทพมหานคร 10510</v>
      </c>
      <c r="Y2221" s="3" t="str">
        <f>IFERROR(__xludf.DUMMYFUNCTION("""COMPUTED_VALUE"""),"ถนนรามคำแหง")</f>
        <v>ถนนรามคำแหง</v>
      </c>
      <c r="Z2221" s="3" t="str">
        <f>IFERROR(__xludf.DUMMYFUNCTION("""COMPUTED_VALUE"""),"มีนบุรี")</f>
        <v>มีนบุรี</v>
      </c>
      <c r="AA2221" s="3" t="str">
        <f>IFERROR(__xludf.DUMMYFUNCTION("""COMPUTED_VALUE"""),"มีนบุรี")</f>
        <v>มีนบุรี</v>
      </c>
      <c r="AB2221" s="3" t="str">
        <f>IFERROR(__xludf.DUMMYFUNCTION("""COMPUTED_VALUE"""),"กรุงเทพมหานคร")</f>
        <v>กรุงเทพมหานคร</v>
      </c>
      <c r="AC2221" s="3">
        <f>IFERROR(__xludf.DUMMYFUNCTION("""COMPUTED_VALUE"""),10510.0)</f>
        <v>10510</v>
      </c>
      <c r="AD2221" s="3">
        <f>IFERROR(__xludf.DUMMYFUNCTION("""COMPUTED_VALUE"""),0.0)</f>
        <v>0</v>
      </c>
      <c r="AE2221" s="3">
        <f>IFERROR(__xludf.DUMMYFUNCTION("""COMPUTED_VALUE"""),0.0)</f>
        <v>0</v>
      </c>
      <c r="AF2221" s="3" t="str">
        <f>IFERROR(__xludf.DUMMYFUNCTION("""COMPUTED_VALUE"""),"เพรียวสุขาภิบาล3-41103")</f>
        <v>เพรียวสุขาภิบาล3-41103</v>
      </c>
      <c r="AG2221" s="3" t="str">
        <f>IFERROR(__xludf.DUMMYFUNCTION("""COMPUTED_VALUE"""),"กลาง")</f>
        <v>กลาง</v>
      </c>
      <c r="AH2221" s="3" t="str">
        <f>IFERROR(__xludf.DUMMYFUNCTION("""COMPUTED_VALUE"""),"#N/A")</f>
        <v>#N/A</v>
      </c>
      <c r="AI2221" s="3" t="str">
        <f>IFERROR(__xludf.DUMMYFUNCTION("""COMPUTED_VALUE"""),"Out of warranty")</f>
        <v>Out of warranty</v>
      </c>
      <c r="AJ2221" s="3">
        <f>IFERROR(__xludf.DUMMYFUNCTION("""COMPUTED_VALUE"""),152.0)</f>
        <v>152</v>
      </c>
      <c r="AK2221" s="3"/>
      <c r="AL2221" s="3"/>
    </row>
    <row r="2222" ht="15.75" customHeight="1">
      <c r="A2222" s="1" t="str">
        <f>IFERROR(__xludf.DUMMYFUNCTION("""COMPUTED_VALUE"""),"41105")</f>
        <v>41105</v>
      </c>
      <c r="B2222" s="2">
        <f>IFERROR(__xludf.DUMMYFUNCTION("""COMPUTED_VALUE"""),41105.0)</f>
        <v>41105</v>
      </c>
      <c r="C2222" s="3" t="str">
        <f>IFERROR(__xludf.DUMMYFUNCTION("""COMPUTED_VALUE"""),"Pure อ่างทอง")</f>
        <v>Pure อ่างทอง</v>
      </c>
      <c r="D2222" s="3" t="str">
        <f>IFERROR(__xludf.DUMMYFUNCTION("""COMPUTED_VALUE"""),"BIGC ANGTHONG PURE")</f>
        <v>BIGC ANGTHONG PURE</v>
      </c>
      <c r="E2222" s="1" t="str">
        <f>IFERROR(__xludf.DUMMYFUNCTION("""COMPUTED_VALUE"""),"PURE")</f>
        <v>PURE</v>
      </c>
      <c r="F2222" s="1" t="str">
        <f>IFERROR(__xludf.DUMMYFUNCTION("""COMPUTED_VALUE"""),"2082102")</f>
        <v>2082102</v>
      </c>
      <c r="G2222" s="1" t="str">
        <f>IFERROR(__xludf.DUMMYFUNCTION("""COMPUTED_VALUE"""),"น.ส.วัชรา มหาวันแจ่ม")</f>
        <v>น.ส.วัชรา มหาวันแจ่ม</v>
      </c>
      <c r="H2222" s="1" t="str">
        <f>IFERROR(__xludf.DUMMYFUNCTION("""COMPUTED_VALUE"""),"2082102")</f>
        <v>2082102</v>
      </c>
      <c r="I2222" s="1" t="str">
        <f>IFERROR(__xludf.DUMMYFUNCTION("""COMPUTED_VALUE"""),"น.ส.วัชรา มหาวันแจ่ม")</f>
        <v>น.ส.วัชรา มหาวันแจ่ม</v>
      </c>
      <c r="J2222" s="3">
        <f>IFERROR(__xludf.DUMMYFUNCTION("""COMPUTED_VALUE"""),2455179.0)</f>
        <v>2455179</v>
      </c>
      <c r="K2222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2222" s="1" t="str">
        <f>IFERROR(__xludf.DUMMYFUNCTION("""COMPUTED_VALUE"""),"Hub06-C&amp;W")</f>
        <v>Hub06-C&amp;W</v>
      </c>
      <c r="M2222" s="1" t="str">
        <f>IFERROR(__xludf.DUMMYFUNCTION("""COMPUTED_VALUE"""),"090-993-6896")</f>
        <v>090-993-6896</v>
      </c>
      <c r="N2222" s="3">
        <f>IFERROR(__xludf.DUMMYFUNCTION("""COMPUTED_VALUE"""),11216.0)</f>
        <v>11216</v>
      </c>
      <c r="O2222" s="3" t="str">
        <f>IFERROR(__xludf.DUMMYFUNCTION("""COMPUTED_VALUE"""),"อ่างทอง")</f>
        <v>อ่างทอง</v>
      </c>
      <c r="P2222" s="4">
        <f>IFERROR(__xludf.DUMMYFUNCTION("""COMPUTED_VALUE"""),41422.0)</f>
        <v>41422</v>
      </c>
      <c r="Q2222" s="3" t="str">
        <f>IFERROR(__xludf.DUMMYFUNCTION("""COMPUTED_VALUE"""),"A")</f>
        <v>A</v>
      </c>
      <c r="R2222" s="3" t="str">
        <f>IFERROR(__xludf.DUMMYFUNCTION("""COMPUTED_VALUE"""),"Big Format")</f>
        <v>Big Format</v>
      </c>
      <c r="S2222" s="3" t="str">
        <f>IFERROR(__xludf.DUMMYFUNCTION("""COMPUTED_VALUE"""),"PURE")</f>
        <v>PURE</v>
      </c>
      <c r="T2222" s="3" t="str">
        <f>IFERROR(__xludf.DUMMYFUNCTION("""COMPUTED_VALUE"""),"#N/A")</f>
        <v>#N/A</v>
      </c>
      <c r="U2222" s="3" t="str">
        <f>IFERROR(__xludf.DUMMYFUNCTION("""COMPUTED_VALUE"""),"#N/A")</f>
        <v>#N/A</v>
      </c>
      <c r="V2222" s="3" t="str">
        <f>IFERROR(__xludf.DUMMYFUNCTION("""COMPUTED_VALUE"""),"N")</f>
        <v>N</v>
      </c>
      <c r="W2222" s="3">
        <f>IFERROR(__xludf.DUMMYFUNCTION("""COMPUTED_VALUE"""),111216.0)</f>
        <v>111216</v>
      </c>
      <c r="X2222" s="3" t="str">
        <f>IFERROR(__xludf.DUMMYFUNCTION("""COMPUTED_VALUE"""),"24 ถนนโพธิ์พระยา-ท่าเรือ ตำบลโพสะ อำเภอเมืองอ่างทอง จังหวัดอ่างทอง 14000")</f>
        <v>24 ถนนโพธิ์พระยา-ท่าเรือ ตำบลโพสะ อำเภอเมืองอ่างทอง จังหวัดอ่างทอง 14000</v>
      </c>
      <c r="Y2222" s="3" t="str">
        <f>IFERROR(__xludf.DUMMYFUNCTION("""COMPUTED_VALUE"""),"ถนนโพธิ์พระยา-ท่าเรือ")</f>
        <v>ถนนโพธิ์พระยา-ท่าเรือ</v>
      </c>
      <c r="Z2222" s="3" t="str">
        <f>IFERROR(__xludf.DUMMYFUNCTION("""COMPUTED_VALUE"""),"โพสะ")</f>
        <v>โพสะ</v>
      </c>
      <c r="AA2222" s="3" t="str">
        <f>IFERROR(__xludf.DUMMYFUNCTION("""COMPUTED_VALUE"""),"เมือง")</f>
        <v>เมือง</v>
      </c>
      <c r="AB2222" s="3" t="str">
        <f>IFERROR(__xludf.DUMMYFUNCTION("""COMPUTED_VALUE"""),"อ่างทอง")</f>
        <v>อ่างทอง</v>
      </c>
      <c r="AC2222" s="3">
        <f>IFERROR(__xludf.DUMMYFUNCTION("""COMPUTED_VALUE"""),14000.0)</f>
        <v>14000</v>
      </c>
      <c r="AD2222" s="3">
        <f>IFERROR(__xludf.DUMMYFUNCTION("""COMPUTED_VALUE"""),0.0)</f>
        <v>0</v>
      </c>
      <c r="AE2222" s="3">
        <f>IFERROR(__xludf.DUMMYFUNCTION("""COMPUTED_VALUE"""),0.0)</f>
        <v>0</v>
      </c>
      <c r="AF2222" s="3" t="str">
        <f>IFERROR(__xludf.DUMMYFUNCTION("""COMPUTED_VALUE"""),"Pure อ่างทอง-41105")</f>
        <v>Pure อ่างทอง-41105</v>
      </c>
      <c r="AG2222" s="3" t="str">
        <f>IFERROR(__xludf.DUMMYFUNCTION("""COMPUTED_VALUE"""),"กลาง")</f>
        <v>กลาง</v>
      </c>
      <c r="AH2222" s="3" t="str">
        <f>IFERROR(__xludf.DUMMYFUNCTION("""COMPUTED_VALUE"""),"#N/A")</f>
        <v>#N/A</v>
      </c>
      <c r="AI2222" s="3" t="str">
        <f>IFERROR(__xludf.DUMMYFUNCTION("""COMPUTED_VALUE"""),"Out of warranty")</f>
        <v>Out of warranty</v>
      </c>
      <c r="AJ2222" s="3">
        <f>IFERROR(__xludf.DUMMYFUNCTION("""COMPUTED_VALUE"""),152.0)</f>
        <v>152</v>
      </c>
      <c r="AK2222" s="3"/>
      <c r="AL2222" s="3"/>
    </row>
    <row r="2223" ht="15.75" customHeight="1">
      <c r="A2223" s="1" t="str">
        <f>IFERROR(__xludf.DUMMYFUNCTION("""COMPUTED_VALUE"""),"41106")</f>
        <v>41106</v>
      </c>
      <c r="B2223" s="2">
        <f>IFERROR(__xludf.DUMMYFUNCTION("""COMPUTED_VALUE"""),41106.0)</f>
        <v>41106</v>
      </c>
      <c r="C2223" s="3" t="str">
        <f>IFERROR(__xludf.DUMMYFUNCTION("""COMPUTED_VALUE"""),"Pure สมุย")</f>
        <v>Pure สมุย</v>
      </c>
      <c r="D2223" s="3" t="str">
        <f>IFERROR(__xludf.DUMMYFUNCTION("""COMPUTED_VALUE"""),"BIGC SAMUI PURE")</f>
        <v>BIGC SAMUI PURE</v>
      </c>
      <c r="E2223" s="1" t="str">
        <f>IFERROR(__xludf.DUMMYFUNCTION("""COMPUTED_VALUE"""),"PURE")</f>
        <v>PURE</v>
      </c>
      <c r="F2223" s="1" t="str">
        <f>IFERROR(__xludf.DUMMYFUNCTION("""COMPUTED_VALUE"""),"291435")</f>
        <v>291435</v>
      </c>
      <c r="G2223" s="1" t="str">
        <f>IFERROR(__xludf.DUMMYFUNCTION("""COMPUTED_VALUE"""),"น.ส.สุกัญญา มณีไพโรจน์")</f>
        <v>น.ส.สุกัญญา มณีไพโรจน์</v>
      </c>
      <c r="H2223" s="1" t="str">
        <f>IFERROR(__xludf.DUMMYFUNCTION("""COMPUTED_VALUE"""),"291435")</f>
        <v>291435</v>
      </c>
      <c r="I2223" s="1" t="str">
        <f>IFERROR(__xludf.DUMMYFUNCTION("""COMPUTED_VALUE"""),"น.ส.สุกัญญา มณีไพโรจน์")</f>
        <v>น.ส.สุกัญญา มณีไพโรจน์</v>
      </c>
      <c r="J2223" s="3">
        <f>IFERROR(__xludf.DUMMYFUNCTION("""COMPUTED_VALUE"""),2454709.0)</f>
        <v>2454709</v>
      </c>
      <c r="K2223" s="3" t="str">
        <f>IFERROR(__xludf.DUMMYFUNCTION("""COMPUTED_VALUE"""),"นายประชา เกตุชาติ")</f>
        <v>นายประชา เกตุชาติ</v>
      </c>
      <c r="L2223" s="1" t="str">
        <f>IFERROR(__xludf.DUMMYFUNCTION("""COMPUTED_VALUE"""),"Hub05-South")</f>
        <v>Hub05-South</v>
      </c>
      <c r="M2223" s="1" t="str">
        <f>IFERROR(__xludf.DUMMYFUNCTION("""COMPUTED_VALUE"""),"0659291311")</f>
        <v>0659291311</v>
      </c>
      <c r="N2223" s="3">
        <f>IFERROR(__xludf.DUMMYFUNCTION("""COMPUTED_VALUE"""),11151.0)</f>
        <v>11151</v>
      </c>
      <c r="O2223" s="3" t="str">
        <f>IFERROR(__xludf.DUMMYFUNCTION("""COMPUTED_VALUE"""),"สมุย")</f>
        <v>สมุย</v>
      </c>
      <c r="P2223" s="4">
        <f>IFERROR(__xludf.DUMMYFUNCTION("""COMPUTED_VALUE"""),41422.0)</f>
        <v>41422</v>
      </c>
      <c r="Q2223" s="3" t="str">
        <f>IFERROR(__xludf.DUMMYFUNCTION("""COMPUTED_VALUE"""),"A")</f>
        <v>A</v>
      </c>
      <c r="R2223" s="3" t="str">
        <f>IFERROR(__xludf.DUMMYFUNCTION("""COMPUTED_VALUE"""),"Big Format")</f>
        <v>Big Format</v>
      </c>
      <c r="S2223" s="3" t="str">
        <f>IFERROR(__xludf.DUMMYFUNCTION("""COMPUTED_VALUE"""),"PURE")</f>
        <v>PURE</v>
      </c>
      <c r="T2223" s="3" t="str">
        <f>IFERROR(__xludf.DUMMYFUNCTION("""COMPUTED_VALUE"""),"#N/A")</f>
        <v>#N/A</v>
      </c>
      <c r="U2223" s="3" t="str">
        <f>IFERROR(__xludf.DUMMYFUNCTION("""COMPUTED_VALUE"""),"#N/A")</f>
        <v>#N/A</v>
      </c>
      <c r="V2223" s="3" t="str">
        <f>IFERROR(__xludf.DUMMYFUNCTION("""COMPUTED_VALUE"""),"N")</f>
        <v>N</v>
      </c>
      <c r="W2223" s="3">
        <f>IFERROR(__xludf.DUMMYFUNCTION("""COMPUTED_VALUE"""),111151.0)</f>
        <v>111151</v>
      </c>
      <c r="X2223" s="3" t="str">
        <f>IFERROR(__xludf.DUMMYFUNCTION("""COMPUTED_VALUE"""),"129/19 หมู่ที่ 1 ตำบลบ่อผุด อำเภอเกาะสมุย จังหวัดสุราษฎร์ธานี 84320")</f>
        <v>129/19 หมู่ที่ 1 ตำบลบ่อผุด อำเภอเกาะสมุย จังหวัดสุราษฎร์ธานี 84320</v>
      </c>
      <c r="Y2223" s="3"/>
      <c r="Z2223" s="3" t="str">
        <f>IFERROR(__xludf.DUMMYFUNCTION("""COMPUTED_VALUE"""),"บ่อผุด")</f>
        <v>บ่อผุด</v>
      </c>
      <c r="AA2223" s="3" t="str">
        <f>IFERROR(__xludf.DUMMYFUNCTION("""COMPUTED_VALUE"""),"เกาะสมุย")</f>
        <v>เกาะสมุย</v>
      </c>
      <c r="AB2223" s="3" t="str">
        <f>IFERROR(__xludf.DUMMYFUNCTION("""COMPUTED_VALUE"""),"สุราษฎร์ธานี")</f>
        <v>สุราษฎร์ธานี</v>
      </c>
      <c r="AC2223" s="3">
        <f>IFERROR(__xludf.DUMMYFUNCTION("""COMPUTED_VALUE"""),84320.0)</f>
        <v>84320</v>
      </c>
      <c r="AD2223" s="3">
        <f>IFERROR(__xludf.DUMMYFUNCTION("""COMPUTED_VALUE"""),0.0)</f>
        <v>0</v>
      </c>
      <c r="AE2223" s="3">
        <f>IFERROR(__xludf.DUMMYFUNCTION("""COMPUTED_VALUE"""),0.0)</f>
        <v>0</v>
      </c>
      <c r="AF2223" s="3" t="str">
        <f>IFERROR(__xludf.DUMMYFUNCTION("""COMPUTED_VALUE"""),"Pure สมุย-41106")</f>
        <v>Pure สมุย-41106</v>
      </c>
      <c r="AG2223" s="3" t="str">
        <f>IFERROR(__xludf.DUMMYFUNCTION("""COMPUTED_VALUE"""),"ใต้")</f>
        <v>ใต้</v>
      </c>
      <c r="AH2223" s="3" t="str">
        <f>IFERROR(__xludf.DUMMYFUNCTION("""COMPUTED_VALUE"""),"#N/A")</f>
        <v>#N/A</v>
      </c>
      <c r="AI2223" s="3" t="str">
        <f>IFERROR(__xludf.DUMMYFUNCTION("""COMPUTED_VALUE"""),"Out of warranty")</f>
        <v>Out of warranty</v>
      </c>
      <c r="AJ2223" s="3">
        <f>IFERROR(__xludf.DUMMYFUNCTION("""COMPUTED_VALUE"""),152.0)</f>
        <v>152</v>
      </c>
      <c r="AK2223" s="3"/>
      <c r="AL2223" s="3"/>
    </row>
    <row r="2224" ht="15.75" customHeight="1">
      <c r="A2224" s="1" t="str">
        <f>IFERROR(__xludf.DUMMYFUNCTION("""COMPUTED_VALUE"""),"41107")</f>
        <v>41107</v>
      </c>
      <c r="B2224" s="2">
        <f>IFERROR(__xludf.DUMMYFUNCTION("""COMPUTED_VALUE"""),41107.0)</f>
        <v>41107</v>
      </c>
      <c r="C2224" s="3" t="str">
        <f>IFERROR(__xludf.DUMMYFUNCTION("""COMPUTED_VALUE"""),"Pure สุขาภิบาล5")</f>
        <v>Pure สุขาภิบาล5</v>
      </c>
      <c r="D2224" s="3" t="str">
        <f>IFERROR(__xludf.DUMMYFUNCTION("""COMPUTED_VALUE"""),"BIGC MARKET SUKHAPIBAN-5 PURE")</f>
        <v>BIGC MARKET SUKHAPIBAN-5 PURE</v>
      </c>
      <c r="E2224" s="1" t="str">
        <f>IFERROR(__xludf.DUMMYFUNCTION("""COMPUTED_VALUE"""),"PURE")</f>
        <v>PURE</v>
      </c>
      <c r="F2224" s="1" t="str">
        <f>IFERROR(__xludf.DUMMYFUNCTION("""COMPUTED_VALUE"""),"211291")</f>
        <v>211291</v>
      </c>
      <c r="G2224" s="1" t="str">
        <f>IFERROR(__xludf.DUMMYFUNCTION("""COMPUTED_VALUE"""),"น.ส.ปนัดดา มากระจันทน์")</f>
        <v>น.ส.ปนัดดา มากระจันทน์</v>
      </c>
      <c r="H2224" s="1" t="str">
        <f>IFERROR(__xludf.DUMMYFUNCTION("""COMPUTED_VALUE"""),"211291")</f>
        <v>211291</v>
      </c>
      <c r="I2224" s="1" t="str">
        <f>IFERROR(__xludf.DUMMYFUNCTION("""COMPUTED_VALUE"""),"น.ส.ปนัดดา มากระจันทน์")</f>
        <v>น.ส.ปนัดดา มากระจันทน์</v>
      </c>
      <c r="J2224" s="3">
        <f>IFERROR(__xludf.DUMMYFUNCTION("""COMPUTED_VALUE"""),2454813.0)</f>
        <v>2454813</v>
      </c>
      <c r="K2224" s="3" t="str">
        <f>IFERROR(__xludf.DUMMYFUNCTION("""COMPUTED_VALUE"""),"นายอนุรักษ์ จั่นเที่ยง")</f>
        <v>นายอนุรักษ์ จั่นเที่ยง</v>
      </c>
      <c r="L2224" s="1" t="str">
        <f>IFERROR(__xludf.DUMMYFUNCTION("""COMPUTED_VALUE"""),"Hub04-BKK 4")</f>
        <v>Hub04-BKK 4</v>
      </c>
      <c r="M2224" s="1" t="str">
        <f>IFERROR(__xludf.DUMMYFUNCTION("""COMPUTED_VALUE"""),"0991964531")</f>
        <v>0991964531</v>
      </c>
      <c r="N2224" s="3">
        <f>IFERROR(__xludf.DUMMYFUNCTION("""COMPUTED_VALUE"""),15004.0)</f>
        <v>15004</v>
      </c>
      <c r="O2224" s="3" t="str">
        <f>IFERROR(__xludf.DUMMYFUNCTION("""COMPUTED_VALUE"""),"สุขาภิบาล5")</f>
        <v>สุขาภิบาล5</v>
      </c>
      <c r="P2224" s="4">
        <f>IFERROR(__xludf.DUMMYFUNCTION("""COMPUTED_VALUE"""),41422.0)</f>
        <v>41422</v>
      </c>
      <c r="Q2224" s="3" t="str">
        <f>IFERROR(__xludf.DUMMYFUNCTION("""COMPUTED_VALUE"""),"A")</f>
        <v>A</v>
      </c>
      <c r="R2224" s="3" t="str">
        <f>IFERROR(__xludf.DUMMYFUNCTION("""COMPUTED_VALUE"""),"Big Format")</f>
        <v>Big Format</v>
      </c>
      <c r="S2224" s="3" t="str">
        <f>IFERROR(__xludf.DUMMYFUNCTION("""COMPUTED_VALUE"""),"PURE")</f>
        <v>PURE</v>
      </c>
      <c r="T2224" s="3" t="str">
        <f>IFERROR(__xludf.DUMMYFUNCTION("""COMPUTED_VALUE"""),"#N/A")</f>
        <v>#N/A</v>
      </c>
      <c r="U2224" s="3" t="str">
        <f>IFERROR(__xludf.DUMMYFUNCTION("""COMPUTED_VALUE"""),"#N/A")</f>
        <v>#N/A</v>
      </c>
      <c r="V2224" s="3" t="str">
        <f>IFERROR(__xludf.DUMMYFUNCTION("""COMPUTED_VALUE"""),"N")</f>
        <v>N</v>
      </c>
      <c r="W2224" s="3">
        <f>IFERROR(__xludf.DUMMYFUNCTION("""COMPUTED_VALUE"""),411098.0)</f>
        <v>411098</v>
      </c>
      <c r="X2224" s="3" t="str">
        <f>IFERROR(__xludf.DUMMYFUNCTION("""COMPUTED_VALUE"""),"98,98/1-3 ถนนสุขาภิบาล 5 แขวงออเงิน เขตสายไหม กรุงเทพฯ 10220")</f>
        <v>98,98/1-3 ถนนสุขาภิบาล 5 แขวงออเงิน เขตสายไหม กรุงเทพฯ 10220</v>
      </c>
      <c r="Y2224" s="3" t="str">
        <f>IFERROR(__xludf.DUMMYFUNCTION("""COMPUTED_VALUE"""),"ถนนสุขาภิบาล")</f>
        <v>ถนนสุขาภิบาล</v>
      </c>
      <c r="Z2224" s="3" t="str">
        <f>IFERROR(__xludf.DUMMYFUNCTION("""COMPUTED_VALUE"""),"ออเงิน")</f>
        <v>ออเงิน</v>
      </c>
      <c r="AA2224" s="3" t="str">
        <f>IFERROR(__xludf.DUMMYFUNCTION("""COMPUTED_VALUE"""),"สายไหม")</f>
        <v>สายไหม</v>
      </c>
      <c r="AB2224" s="3" t="str">
        <f>IFERROR(__xludf.DUMMYFUNCTION("""COMPUTED_VALUE"""),"กรุงเทพมหานคร")</f>
        <v>กรุงเทพมหานคร</v>
      </c>
      <c r="AC2224" s="3">
        <f>IFERROR(__xludf.DUMMYFUNCTION("""COMPUTED_VALUE"""),10220.0)</f>
        <v>10220</v>
      </c>
      <c r="AD2224" s="3">
        <f>IFERROR(__xludf.DUMMYFUNCTION("""COMPUTED_VALUE"""),0.0)</f>
        <v>0</v>
      </c>
      <c r="AE2224" s="3">
        <f>IFERROR(__xludf.DUMMYFUNCTION("""COMPUTED_VALUE"""),0.0)</f>
        <v>0</v>
      </c>
      <c r="AF2224" s="3" t="str">
        <f>IFERROR(__xludf.DUMMYFUNCTION("""COMPUTED_VALUE"""),"Pure สุขาภิบาล5-41107")</f>
        <v>Pure สุขาภิบาล5-41107</v>
      </c>
      <c r="AG2224" s="3" t="str">
        <f>IFERROR(__xludf.DUMMYFUNCTION("""COMPUTED_VALUE"""),"กลาง")</f>
        <v>กลาง</v>
      </c>
      <c r="AH2224" s="3" t="str">
        <f>IFERROR(__xludf.DUMMYFUNCTION("""COMPUTED_VALUE"""),"#N/A")</f>
        <v>#N/A</v>
      </c>
      <c r="AI2224" s="3" t="str">
        <f>IFERROR(__xludf.DUMMYFUNCTION("""COMPUTED_VALUE"""),"Out of warranty")</f>
        <v>Out of warranty</v>
      </c>
      <c r="AJ2224" s="3">
        <f>IFERROR(__xludf.DUMMYFUNCTION("""COMPUTED_VALUE"""),152.0)</f>
        <v>152</v>
      </c>
      <c r="AK2224" s="3"/>
      <c r="AL2224" s="3"/>
    </row>
    <row r="2225" ht="15.75" customHeight="1">
      <c r="A2225" s="1" t="str">
        <f>IFERROR(__xludf.DUMMYFUNCTION("""COMPUTED_VALUE"""),"41108")</f>
        <v>41108</v>
      </c>
      <c r="B2225" s="2">
        <f>IFERROR(__xludf.DUMMYFUNCTION("""COMPUTED_VALUE"""),41108.0)</f>
        <v>41108</v>
      </c>
      <c r="C2225" s="3" t="str">
        <f>IFERROR(__xludf.DUMMYFUNCTION("""COMPUTED_VALUE"""),"Pure สายไหม")</f>
        <v>Pure สายไหม</v>
      </c>
      <c r="D2225" s="3" t="str">
        <f>IFERROR(__xludf.DUMMYFUNCTION("""COMPUTED_VALUE"""),"BIGC MARKET SAIMAI PURE")</f>
        <v>BIGC MARKET SAIMAI PURE</v>
      </c>
      <c r="E2225" s="1" t="str">
        <f>IFERROR(__xludf.DUMMYFUNCTION("""COMPUTED_VALUE"""),"PURE")</f>
        <v>PURE</v>
      </c>
      <c r="F2225" s="1" t="str">
        <f>IFERROR(__xludf.DUMMYFUNCTION("""COMPUTED_VALUE"""),"211291")</f>
        <v>211291</v>
      </c>
      <c r="G2225" s="1" t="str">
        <f>IFERROR(__xludf.DUMMYFUNCTION("""COMPUTED_VALUE"""),"น.ส.ปนัดดา มากระจันทน์")</f>
        <v>น.ส.ปนัดดา มากระจันทน์</v>
      </c>
      <c r="H2225" s="1" t="str">
        <f>IFERROR(__xludf.DUMMYFUNCTION("""COMPUTED_VALUE"""),"211291")</f>
        <v>211291</v>
      </c>
      <c r="I2225" s="1" t="str">
        <f>IFERROR(__xludf.DUMMYFUNCTION("""COMPUTED_VALUE"""),"น.ส.ปนัดดา มากระจันทน์")</f>
        <v>น.ส.ปนัดดา มากระจันทน์</v>
      </c>
      <c r="J2225" s="3">
        <f>IFERROR(__xludf.DUMMYFUNCTION("""COMPUTED_VALUE"""),2454813.0)</f>
        <v>2454813</v>
      </c>
      <c r="K2225" s="3" t="str">
        <f>IFERROR(__xludf.DUMMYFUNCTION("""COMPUTED_VALUE"""),"นายอนุรักษ์ จั่นเที่ยง")</f>
        <v>นายอนุรักษ์ จั่นเที่ยง</v>
      </c>
      <c r="L2225" s="1" t="str">
        <f>IFERROR(__xludf.DUMMYFUNCTION("""COMPUTED_VALUE"""),"Hub04-BKK 4")</f>
        <v>Hub04-BKK 4</v>
      </c>
      <c r="M2225" s="1" t="str">
        <f>IFERROR(__xludf.DUMMYFUNCTION("""COMPUTED_VALUE"""),"0991964531")</f>
        <v>0991964531</v>
      </c>
      <c r="N2225" s="3">
        <f>IFERROR(__xludf.DUMMYFUNCTION("""COMPUTED_VALUE"""),15003.0)</f>
        <v>15003</v>
      </c>
      <c r="O2225" s="3" t="str">
        <f>IFERROR(__xludf.DUMMYFUNCTION("""COMPUTED_VALUE"""),"สายไหม")</f>
        <v>สายไหม</v>
      </c>
      <c r="P2225" s="4">
        <f>IFERROR(__xludf.DUMMYFUNCTION("""COMPUTED_VALUE"""),41424.0)</f>
        <v>41424</v>
      </c>
      <c r="Q2225" s="3" t="str">
        <f>IFERROR(__xludf.DUMMYFUNCTION("""COMPUTED_VALUE"""),"A")</f>
        <v>A</v>
      </c>
      <c r="R2225" s="3" t="str">
        <f>IFERROR(__xludf.DUMMYFUNCTION("""COMPUTED_VALUE"""),"Big Format")</f>
        <v>Big Format</v>
      </c>
      <c r="S2225" s="3" t="str">
        <f>IFERROR(__xludf.DUMMYFUNCTION("""COMPUTED_VALUE"""),"PURE")</f>
        <v>PURE</v>
      </c>
      <c r="T2225" s="3" t="str">
        <f>IFERROR(__xludf.DUMMYFUNCTION("""COMPUTED_VALUE"""),"#N/A")</f>
        <v>#N/A</v>
      </c>
      <c r="U2225" s="3" t="str">
        <f>IFERROR(__xludf.DUMMYFUNCTION("""COMPUTED_VALUE"""),"#N/A")</f>
        <v>#N/A</v>
      </c>
      <c r="V2225" s="3" t="str">
        <f>IFERROR(__xludf.DUMMYFUNCTION("""COMPUTED_VALUE"""),"N")</f>
        <v>N</v>
      </c>
      <c r="W2225" s="3">
        <f>IFERROR(__xludf.DUMMYFUNCTION("""COMPUTED_VALUE"""),411099.0)</f>
        <v>411099</v>
      </c>
      <c r="X2225" s="3" t="str">
        <f>IFERROR(__xludf.DUMMYFUNCTION("""COMPUTED_VALUE"""),"89-89/3 หมู่ที่ 3 แขวงสายไหม เขตสายไหม กรุงเทพฯ 10220")</f>
        <v>89-89/3 หมู่ที่ 3 แขวงสายไหม เขตสายไหม กรุงเทพฯ 10220</v>
      </c>
      <c r="Y2225" s="3"/>
      <c r="Z2225" s="3" t="str">
        <f>IFERROR(__xludf.DUMMYFUNCTION("""COMPUTED_VALUE"""),"สายไหม")</f>
        <v>สายไหม</v>
      </c>
      <c r="AA2225" s="3" t="str">
        <f>IFERROR(__xludf.DUMMYFUNCTION("""COMPUTED_VALUE"""),"สายไหม")</f>
        <v>สายไหม</v>
      </c>
      <c r="AB2225" s="3" t="str">
        <f>IFERROR(__xludf.DUMMYFUNCTION("""COMPUTED_VALUE"""),"กรุงเทพมหานคร")</f>
        <v>กรุงเทพมหานคร</v>
      </c>
      <c r="AC2225" s="3">
        <f>IFERROR(__xludf.DUMMYFUNCTION("""COMPUTED_VALUE"""),10220.0)</f>
        <v>10220</v>
      </c>
      <c r="AD2225" s="3">
        <f>IFERROR(__xludf.DUMMYFUNCTION("""COMPUTED_VALUE"""),0.0)</f>
        <v>0</v>
      </c>
      <c r="AE2225" s="3">
        <f>IFERROR(__xludf.DUMMYFUNCTION("""COMPUTED_VALUE"""),0.0)</f>
        <v>0</v>
      </c>
      <c r="AF2225" s="3" t="str">
        <f>IFERROR(__xludf.DUMMYFUNCTION("""COMPUTED_VALUE"""),"Pure สายไหม-41108")</f>
        <v>Pure สายไหม-41108</v>
      </c>
      <c r="AG2225" s="3" t="str">
        <f>IFERROR(__xludf.DUMMYFUNCTION("""COMPUTED_VALUE"""),"กลาง")</f>
        <v>กลาง</v>
      </c>
      <c r="AH2225" s="3" t="str">
        <f>IFERROR(__xludf.DUMMYFUNCTION("""COMPUTED_VALUE"""),"#N/A")</f>
        <v>#N/A</v>
      </c>
      <c r="AI2225" s="3" t="str">
        <f>IFERROR(__xludf.DUMMYFUNCTION("""COMPUTED_VALUE"""),"Out of warranty")</f>
        <v>Out of warranty</v>
      </c>
      <c r="AJ2225" s="3">
        <f>IFERROR(__xludf.DUMMYFUNCTION("""COMPUTED_VALUE"""),152.0)</f>
        <v>152</v>
      </c>
      <c r="AK2225" s="3"/>
      <c r="AL2225" s="3"/>
    </row>
    <row r="2226" ht="15.75" customHeight="1">
      <c r="A2226" s="1" t="str">
        <f>IFERROR(__xludf.DUMMYFUNCTION("""COMPUTED_VALUE"""),"41109")</f>
        <v>41109</v>
      </c>
      <c r="B2226" s="2">
        <f>IFERROR(__xludf.DUMMYFUNCTION("""COMPUTED_VALUE"""),41109.0)</f>
        <v>41109</v>
      </c>
      <c r="C2226" s="3" t="str">
        <f>IFERROR(__xludf.DUMMYFUNCTION("""COMPUTED_VALUE"""),"Pure เกาะพะงัน")</f>
        <v>Pure เกาะพะงัน</v>
      </c>
      <c r="D2226" s="3" t="str">
        <f>IFERROR(__xludf.DUMMYFUNCTION("""COMPUTED_VALUE"""),"BIGC MARKET KOH PHANGAN PURE")</f>
        <v>BIGC MARKET KOH PHANGAN PURE</v>
      </c>
      <c r="E2226" s="1" t="str">
        <f>IFERROR(__xludf.DUMMYFUNCTION("""COMPUTED_VALUE"""),"PURE")</f>
        <v>PURE</v>
      </c>
      <c r="F2226" s="1" t="str">
        <f>IFERROR(__xludf.DUMMYFUNCTION("""COMPUTED_VALUE"""),"291435")</f>
        <v>291435</v>
      </c>
      <c r="G2226" s="1" t="str">
        <f>IFERROR(__xludf.DUMMYFUNCTION("""COMPUTED_VALUE"""),"น.ส.สุกัญญา มณีไพโรจน์")</f>
        <v>น.ส.สุกัญญา มณีไพโรจน์</v>
      </c>
      <c r="H2226" s="1" t="str">
        <f>IFERROR(__xludf.DUMMYFUNCTION("""COMPUTED_VALUE"""),"291435")</f>
        <v>291435</v>
      </c>
      <c r="I2226" s="1" t="str">
        <f>IFERROR(__xludf.DUMMYFUNCTION("""COMPUTED_VALUE"""),"น.ส.สุกัญญา มณีไพโรจน์")</f>
        <v>น.ส.สุกัญญา มณีไพโรจน์</v>
      </c>
      <c r="J2226" s="3">
        <f>IFERROR(__xludf.DUMMYFUNCTION("""COMPUTED_VALUE"""),2454709.0)</f>
        <v>2454709</v>
      </c>
      <c r="K2226" s="3" t="str">
        <f>IFERROR(__xludf.DUMMYFUNCTION("""COMPUTED_VALUE"""),"นายประชา เกตุชาติ")</f>
        <v>นายประชา เกตุชาติ</v>
      </c>
      <c r="L2226" s="1" t="str">
        <f>IFERROR(__xludf.DUMMYFUNCTION("""COMPUTED_VALUE"""),"Hub05-South")</f>
        <v>Hub05-South</v>
      </c>
      <c r="M2226" s="1" t="str">
        <f>IFERROR(__xludf.DUMMYFUNCTION("""COMPUTED_VALUE"""),"0659291311")</f>
        <v>0659291311</v>
      </c>
      <c r="N2226" s="3">
        <f>IFERROR(__xludf.DUMMYFUNCTION("""COMPUTED_VALUE"""),15022.0)</f>
        <v>15022</v>
      </c>
      <c r="O2226" s="3" t="str">
        <f>IFERROR(__xludf.DUMMYFUNCTION("""COMPUTED_VALUE"""),"เกาะพะงัน")</f>
        <v>เกาะพะงัน</v>
      </c>
      <c r="P2226" s="4">
        <f>IFERROR(__xludf.DUMMYFUNCTION("""COMPUTED_VALUE"""),41425.0)</f>
        <v>41425</v>
      </c>
      <c r="Q2226" s="3" t="str">
        <f>IFERROR(__xludf.DUMMYFUNCTION("""COMPUTED_VALUE"""),"A")</f>
        <v>A</v>
      </c>
      <c r="R2226" s="3" t="str">
        <f>IFERROR(__xludf.DUMMYFUNCTION("""COMPUTED_VALUE"""),"Big Format")</f>
        <v>Big Format</v>
      </c>
      <c r="S2226" s="3" t="str">
        <f>IFERROR(__xludf.DUMMYFUNCTION("""COMPUTED_VALUE"""),"PURE")</f>
        <v>PURE</v>
      </c>
      <c r="T2226" s="3" t="str">
        <f>IFERROR(__xludf.DUMMYFUNCTION("""COMPUTED_VALUE"""),"#N/A")</f>
        <v>#N/A</v>
      </c>
      <c r="U2226" s="3" t="str">
        <f>IFERROR(__xludf.DUMMYFUNCTION("""COMPUTED_VALUE"""),"#N/A")</f>
        <v>#N/A</v>
      </c>
      <c r="V2226" s="3" t="str">
        <f>IFERROR(__xludf.DUMMYFUNCTION("""COMPUTED_VALUE"""),"N")</f>
        <v>N</v>
      </c>
      <c r="W2226" s="3">
        <f>IFERROR(__xludf.DUMMYFUNCTION("""COMPUTED_VALUE"""),411100.0)</f>
        <v>411100</v>
      </c>
      <c r="X2226" s="3" t="str">
        <f>IFERROR(__xludf.DUMMYFUNCTION("""COMPUTED_VALUE"""),"112/42 หมู่ 1 ตำบลเกาะพะงัน อำเภอเกาะพะงัน จังหวัดสุราษฎร์ธานี 84280")</f>
        <v>112/42 หมู่ 1 ตำบลเกาะพะงัน อำเภอเกาะพะงัน จังหวัดสุราษฎร์ธานี 84280</v>
      </c>
      <c r="Y2226" s="3"/>
      <c r="Z2226" s="3" t="str">
        <f>IFERROR(__xludf.DUMMYFUNCTION("""COMPUTED_VALUE"""),"เกาะพะงัน")</f>
        <v>เกาะพะงัน</v>
      </c>
      <c r="AA2226" s="3" t="str">
        <f>IFERROR(__xludf.DUMMYFUNCTION("""COMPUTED_VALUE"""),"เกาะพะงัน")</f>
        <v>เกาะพะงัน</v>
      </c>
      <c r="AB2226" s="3" t="str">
        <f>IFERROR(__xludf.DUMMYFUNCTION("""COMPUTED_VALUE"""),"สุราษฎร์ธานี")</f>
        <v>สุราษฎร์ธานี</v>
      </c>
      <c r="AC2226" s="3">
        <f>IFERROR(__xludf.DUMMYFUNCTION("""COMPUTED_VALUE"""),84280.0)</f>
        <v>84280</v>
      </c>
      <c r="AD2226" s="3">
        <f>IFERROR(__xludf.DUMMYFUNCTION("""COMPUTED_VALUE"""),0.0)</f>
        <v>0</v>
      </c>
      <c r="AE2226" s="3">
        <f>IFERROR(__xludf.DUMMYFUNCTION("""COMPUTED_VALUE"""),0.0)</f>
        <v>0</v>
      </c>
      <c r="AF2226" s="3" t="str">
        <f>IFERROR(__xludf.DUMMYFUNCTION("""COMPUTED_VALUE"""),"Pure เกาะพะงัน-41109")</f>
        <v>Pure เกาะพะงัน-41109</v>
      </c>
      <c r="AG2226" s="3" t="str">
        <f>IFERROR(__xludf.DUMMYFUNCTION("""COMPUTED_VALUE"""),"ใต้")</f>
        <v>ใต้</v>
      </c>
      <c r="AH2226" s="3" t="str">
        <f>IFERROR(__xludf.DUMMYFUNCTION("""COMPUTED_VALUE"""),"#N/A")</f>
        <v>#N/A</v>
      </c>
      <c r="AI2226" s="3" t="str">
        <f>IFERROR(__xludf.DUMMYFUNCTION("""COMPUTED_VALUE"""),"Out of warranty")</f>
        <v>Out of warranty</v>
      </c>
      <c r="AJ2226" s="3">
        <f>IFERROR(__xludf.DUMMYFUNCTION("""COMPUTED_VALUE"""),152.0)</f>
        <v>152</v>
      </c>
      <c r="AK2226" s="3"/>
      <c r="AL2226" s="3"/>
    </row>
    <row r="2227" ht="15.75" customHeight="1">
      <c r="A2227" s="1" t="str">
        <f>IFERROR(__xludf.DUMMYFUNCTION("""COMPUTED_VALUE"""),"41110")</f>
        <v>41110</v>
      </c>
      <c r="B2227" s="2">
        <f>IFERROR(__xludf.DUMMYFUNCTION("""COMPUTED_VALUE"""),41110.0)</f>
        <v>41110</v>
      </c>
      <c r="C2227" s="3" t="str">
        <f>IFERROR(__xludf.DUMMYFUNCTION("""COMPUTED_VALUE"""),"Pure ตาก")</f>
        <v>Pure ตาก</v>
      </c>
      <c r="D2227" s="3" t="str">
        <f>IFERROR(__xludf.DUMMYFUNCTION("""COMPUTED_VALUE"""),"BIGC TAK PURE")</f>
        <v>BIGC TAK PURE</v>
      </c>
      <c r="E2227" s="1" t="str">
        <f>IFERROR(__xludf.DUMMYFUNCTION("""COMPUTED_VALUE"""),"PURE")</f>
        <v>PURE</v>
      </c>
      <c r="F2227" s="1" t="str">
        <f>IFERROR(__xludf.DUMMYFUNCTION("""COMPUTED_VALUE"""),"2082102")</f>
        <v>2082102</v>
      </c>
      <c r="G2227" s="1" t="str">
        <f>IFERROR(__xludf.DUMMYFUNCTION("""COMPUTED_VALUE"""),"น.ส.วัชรา มหาวันแจ่ม")</f>
        <v>น.ส.วัชรา มหาวันแจ่ม</v>
      </c>
      <c r="H2227" s="1" t="str">
        <f>IFERROR(__xludf.DUMMYFUNCTION("""COMPUTED_VALUE"""),"2082102")</f>
        <v>2082102</v>
      </c>
      <c r="I2227" s="1" t="str">
        <f>IFERROR(__xludf.DUMMYFUNCTION("""COMPUTED_VALUE"""),"น.ส.วัชรา มหาวันแจ่ม")</f>
        <v>น.ส.วัชรา มหาวันแจ่ม</v>
      </c>
      <c r="J2227" s="3">
        <f>IFERROR(__xludf.DUMMYFUNCTION("""COMPUTED_VALUE"""),348.0)</f>
        <v>348</v>
      </c>
      <c r="K2227" s="3" t="str">
        <f>IFERROR(__xludf.DUMMYFUNCTION("""COMPUTED_VALUE"""),"นายธีรนันท์ ไม้สนธิ์")</f>
        <v>นายธีรนันท์ ไม้สนธิ์</v>
      </c>
      <c r="L2227" s="1" t="str">
        <f>IFERROR(__xludf.DUMMYFUNCTION("""COMPUTED_VALUE"""),"Hub07-North")</f>
        <v>Hub07-North</v>
      </c>
      <c r="M2227" s="1" t="str">
        <f>IFERROR(__xludf.DUMMYFUNCTION("""COMPUTED_VALUE"""),"0614175866")</f>
        <v>0614175866</v>
      </c>
      <c r="N2227" s="3">
        <f>IFERROR(__xludf.DUMMYFUNCTION("""COMPUTED_VALUE"""),11207.0)</f>
        <v>11207</v>
      </c>
      <c r="O2227" s="3" t="str">
        <f>IFERROR(__xludf.DUMMYFUNCTION("""COMPUTED_VALUE"""),"ตาก")</f>
        <v>ตาก</v>
      </c>
      <c r="P2227" s="4">
        <f>IFERROR(__xludf.DUMMYFUNCTION("""COMPUTED_VALUE"""),41394.0)</f>
        <v>41394</v>
      </c>
      <c r="Q2227" s="3" t="str">
        <f>IFERROR(__xludf.DUMMYFUNCTION("""COMPUTED_VALUE"""),"A")</f>
        <v>A</v>
      </c>
      <c r="R2227" s="3" t="str">
        <f>IFERROR(__xludf.DUMMYFUNCTION("""COMPUTED_VALUE"""),"Big Format")</f>
        <v>Big Format</v>
      </c>
      <c r="S2227" s="3" t="str">
        <f>IFERROR(__xludf.DUMMYFUNCTION("""COMPUTED_VALUE"""),"PURE")</f>
        <v>PURE</v>
      </c>
      <c r="T2227" s="3" t="str">
        <f>IFERROR(__xludf.DUMMYFUNCTION("""COMPUTED_VALUE"""),"#N/A")</f>
        <v>#N/A</v>
      </c>
      <c r="U2227" s="3" t="str">
        <f>IFERROR(__xludf.DUMMYFUNCTION("""COMPUTED_VALUE"""),"#N/A")</f>
        <v>#N/A</v>
      </c>
      <c r="V2227" s="3" t="str">
        <f>IFERROR(__xludf.DUMMYFUNCTION("""COMPUTED_VALUE"""),"N")</f>
        <v>N</v>
      </c>
      <c r="W2227" s="3">
        <f>IFERROR(__xludf.DUMMYFUNCTION("""COMPUTED_VALUE"""),111207.0)</f>
        <v>111207</v>
      </c>
      <c r="X2227" s="3" t="str">
        <f>IFERROR(__xludf.DUMMYFUNCTION("""COMPUTED_VALUE"""),"18/3 ถนนพหลโยธิน ตำบลระแหง อำเภอเมืองตาก จังหวัดตาก 63000")</f>
        <v>18/3 ถนนพหลโยธิน ตำบลระแหง อำเภอเมืองตาก จังหวัดตาก 63000</v>
      </c>
      <c r="Y2227" s="3" t="str">
        <f>IFERROR(__xludf.DUMMYFUNCTION("""COMPUTED_VALUE"""),"ถนนพหลโยธิน")</f>
        <v>ถนนพหลโยธิน</v>
      </c>
      <c r="Z2227" s="3" t="str">
        <f>IFERROR(__xludf.DUMMYFUNCTION("""COMPUTED_VALUE"""),"ระแหง")</f>
        <v>ระแหง</v>
      </c>
      <c r="AA2227" s="3" t="str">
        <f>IFERROR(__xludf.DUMMYFUNCTION("""COMPUTED_VALUE"""),"เมือง")</f>
        <v>เมือง</v>
      </c>
      <c r="AB2227" s="3" t="str">
        <f>IFERROR(__xludf.DUMMYFUNCTION("""COMPUTED_VALUE"""),"ตาก")</f>
        <v>ตาก</v>
      </c>
      <c r="AC2227" s="3">
        <f>IFERROR(__xludf.DUMMYFUNCTION("""COMPUTED_VALUE"""),63000.0)</f>
        <v>63000</v>
      </c>
      <c r="AD2227" s="3">
        <f>IFERROR(__xludf.DUMMYFUNCTION("""COMPUTED_VALUE"""),0.0)</f>
        <v>0</v>
      </c>
      <c r="AE2227" s="3">
        <f>IFERROR(__xludf.DUMMYFUNCTION("""COMPUTED_VALUE"""),0.0)</f>
        <v>0</v>
      </c>
      <c r="AF2227" s="3" t="str">
        <f>IFERROR(__xludf.DUMMYFUNCTION("""COMPUTED_VALUE"""),"Pure ตาก-41110")</f>
        <v>Pure ตาก-41110</v>
      </c>
      <c r="AG2227" s="3" t="str">
        <f>IFERROR(__xludf.DUMMYFUNCTION("""COMPUTED_VALUE"""),"ตะวันตก")</f>
        <v>ตะวันตก</v>
      </c>
      <c r="AH2227" s="3" t="str">
        <f>IFERROR(__xludf.DUMMYFUNCTION("""COMPUTED_VALUE"""),"#N/A")</f>
        <v>#N/A</v>
      </c>
      <c r="AI2227" s="3" t="str">
        <f>IFERROR(__xludf.DUMMYFUNCTION("""COMPUTED_VALUE"""),"Out of warranty")</f>
        <v>Out of warranty</v>
      </c>
      <c r="AJ2227" s="3">
        <f>IFERROR(__xludf.DUMMYFUNCTION("""COMPUTED_VALUE"""),153.0)</f>
        <v>153</v>
      </c>
      <c r="AK2227" s="3"/>
      <c r="AL2227" s="3"/>
    </row>
    <row r="2228" ht="15.75" customHeight="1">
      <c r="A2228" s="1" t="str">
        <f>IFERROR(__xludf.DUMMYFUNCTION("""COMPUTED_VALUE"""),"41111")</f>
        <v>41111</v>
      </c>
      <c r="B2228" s="2">
        <f>IFERROR(__xludf.DUMMYFUNCTION("""COMPUTED_VALUE"""),41111.0)</f>
        <v>41111</v>
      </c>
      <c r="C2228" s="3" t="str">
        <f>IFERROR(__xludf.DUMMYFUNCTION("""COMPUTED_VALUE"""),"Pure ศรีนครินทร์")</f>
        <v>Pure ศรีนครินทร์</v>
      </c>
      <c r="D2228" s="3" t="str">
        <f>IFERROR(__xludf.DUMMYFUNCTION("""COMPUTED_VALUE"""),"BIGC SRINAKARIN PURE")</f>
        <v>BIGC SRINAKARIN PURE</v>
      </c>
      <c r="E2228" s="1" t="str">
        <f>IFERROR(__xludf.DUMMYFUNCTION("""COMPUTED_VALUE"""),"PURE")</f>
        <v>PURE</v>
      </c>
      <c r="F2228" s="1" t="str">
        <f>IFERROR(__xludf.DUMMYFUNCTION("""COMPUTED_VALUE"""),"291435")</f>
        <v>291435</v>
      </c>
      <c r="G2228" s="1" t="str">
        <f>IFERROR(__xludf.DUMMYFUNCTION("""COMPUTED_VALUE"""),"น.ส.สุกัญญา มณีไพโรจน์")</f>
        <v>น.ส.สุกัญญา มณีไพโรจน์</v>
      </c>
      <c r="H2228" s="1" t="str">
        <f>IFERROR(__xludf.DUMMYFUNCTION("""COMPUTED_VALUE"""),"291435")</f>
        <v>291435</v>
      </c>
      <c r="I2228" s="1" t="str">
        <f>IFERROR(__xludf.DUMMYFUNCTION("""COMPUTED_VALUE"""),"น.ส.สุกัญญา มณีไพโรจน์")</f>
        <v>น.ส.สุกัญญา มณีไพโรจน์</v>
      </c>
      <c r="J2228" s="3">
        <f>IFERROR(__xludf.DUMMYFUNCTION("""COMPUTED_VALUE"""),2454716.0)</f>
        <v>2454716</v>
      </c>
      <c r="K2228" s="3" t="str">
        <f>IFERROR(__xludf.DUMMYFUNCTION("""COMPUTED_VALUE"""),"นายโฆษิต วงค์กะโซ่")</f>
        <v>นายโฆษิต วงค์กะโซ่</v>
      </c>
      <c r="L2228" s="1" t="str">
        <f>IFERROR(__xludf.DUMMYFUNCTION("""COMPUTED_VALUE"""),"Hub03-BKK 3")</f>
        <v>Hub03-BKK 3</v>
      </c>
      <c r="M2228" s="1" t="str">
        <f>IFERROR(__xludf.DUMMYFUNCTION("""COMPUTED_VALUE"""),"062-434-5030")</f>
        <v>062-434-5030</v>
      </c>
      <c r="N2228" s="3">
        <f>IFERROR(__xludf.DUMMYFUNCTION("""COMPUTED_VALUE"""),11178.0)</f>
        <v>11178</v>
      </c>
      <c r="O2228" s="3" t="str">
        <f>IFERROR(__xludf.DUMMYFUNCTION("""COMPUTED_VALUE"""),"ศรีนครินทร์")</f>
        <v>ศรีนครินทร์</v>
      </c>
      <c r="P2228" s="4">
        <f>IFERROR(__xludf.DUMMYFUNCTION("""COMPUTED_VALUE"""),41486.0)</f>
        <v>41486</v>
      </c>
      <c r="Q2228" s="3" t="str">
        <f>IFERROR(__xludf.DUMMYFUNCTION("""COMPUTED_VALUE"""),"A")</f>
        <v>A</v>
      </c>
      <c r="R2228" s="3" t="str">
        <f>IFERROR(__xludf.DUMMYFUNCTION("""COMPUTED_VALUE"""),"Big Format")</f>
        <v>Big Format</v>
      </c>
      <c r="S2228" s="3" t="str">
        <f>IFERROR(__xludf.DUMMYFUNCTION("""COMPUTED_VALUE"""),"PURE")</f>
        <v>PURE</v>
      </c>
      <c r="T2228" s="3" t="str">
        <f>IFERROR(__xludf.DUMMYFUNCTION("""COMPUTED_VALUE"""),"#N/A")</f>
        <v>#N/A</v>
      </c>
      <c r="U2228" s="3" t="str">
        <f>IFERROR(__xludf.DUMMYFUNCTION("""COMPUTED_VALUE"""),"#N/A")</f>
        <v>#N/A</v>
      </c>
      <c r="V2228" s="3" t="str">
        <f>IFERROR(__xludf.DUMMYFUNCTION("""COMPUTED_VALUE"""),"N")</f>
        <v>N</v>
      </c>
      <c r="W2228" s="3">
        <f>IFERROR(__xludf.DUMMYFUNCTION("""COMPUTED_VALUE"""),111178.0)</f>
        <v>111178</v>
      </c>
      <c r="X2228" s="3" t="str">
        <f>IFERROR(__xludf.DUMMYFUNCTION("""COMPUTED_VALUE"""),"425 หมู่ที่ 5 ถนนศรีนครินทร์ ตำบลสำโรงเหนือ อำเภอเมืองสมุทรปราการ จังหวัดสมุทรปราการ 10270")</f>
        <v>425 หมู่ที่ 5 ถนนศรีนครินทร์ ตำบลสำโรงเหนือ อำเภอเมืองสมุทรปราการ จังหวัดสมุทรปราการ 10270</v>
      </c>
      <c r="Y2228" s="3"/>
      <c r="Z2228" s="3" t="str">
        <f>IFERROR(__xludf.DUMMYFUNCTION("""COMPUTED_VALUE"""),"สำโรงเหนือ")</f>
        <v>สำโรงเหนือ</v>
      </c>
      <c r="AA2228" s="3" t="str">
        <f>IFERROR(__xludf.DUMMYFUNCTION("""COMPUTED_VALUE"""),"เมืองสมุทรปราการ")</f>
        <v>เมืองสมุทรปราการ</v>
      </c>
      <c r="AB2228" s="3" t="str">
        <f>IFERROR(__xludf.DUMMYFUNCTION("""COMPUTED_VALUE"""),"สมุทรปราการ")</f>
        <v>สมุทรปราการ</v>
      </c>
      <c r="AC2228" s="3">
        <f>IFERROR(__xludf.DUMMYFUNCTION("""COMPUTED_VALUE"""),10270.0)</f>
        <v>10270</v>
      </c>
      <c r="AD2228" s="3">
        <f>IFERROR(__xludf.DUMMYFUNCTION("""COMPUTED_VALUE"""),0.0)</f>
        <v>0</v>
      </c>
      <c r="AE2228" s="3">
        <f>IFERROR(__xludf.DUMMYFUNCTION("""COMPUTED_VALUE"""),0.0)</f>
        <v>0</v>
      </c>
      <c r="AF2228" s="3" t="str">
        <f>IFERROR(__xludf.DUMMYFUNCTION("""COMPUTED_VALUE"""),"Pure ศรีนครินทร์-41111")</f>
        <v>Pure ศรีนครินทร์-41111</v>
      </c>
      <c r="AG2228" s="3" t="str">
        <f>IFERROR(__xludf.DUMMYFUNCTION("""COMPUTED_VALUE"""),"กลาง")</f>
        <v>กลาง</v>
      </c>
      <c r="AH2228" s="3" t="str">
        <f>IFERROR(__xludf.DUMMYFUNCTION("""COMPUTED_VALUE"""),"#N/A")</f>
        <v>#N/A</v>
      </c>
      <c r="AI2228" s="3" t="str">
        <f>IFERROR(__xludf.DUMMYFUNCTION("""COMPUTED_VALUE"""),"Out of warranty")</f>
        <v>Out of warranty</v>
      </c>
      <c r="AJ2228" s="3">
        <f>IFERROR(__xludf.DUMMYFUNCTION("""COMPUTED_VALUE"""),150.0)</f>
        <v>150</v>
      </c>
      <c r="AK2228" s="3"/>
      <c r="AL2228" s="3"/>
    </row>
    <row r="2229" ht="15.75" customHeight="1">
      <c r="A2229" s="1" t="str">
        <f>IFERROR(__xludf.DUMMYFUNCTION("""COMPUTED_VALUE"""),"41112")</f>
        <v>41112</v>
      </c>
      <c r="B2229" s="2">
        <f>IFERROR(__xludf.DUMMYFUNCTION("""COMPUTED_VALUE"""),41112.0)</f>
        <v>41112</v>
      </c>
      <c r="C2229" s="3" t="str">
        <f>IFERROR(__xludf.DUMMYFUNCTION("""COMPUTED_VALUE"""),"Pure กาฬสินธุ์")</f>
        <v>Pure กาฬสินธุ์</v>
      </c>
      <c r="D2229" s="3" t="str">
        <f>IFERROR(__xludf.DUMMYFUNCTION("""COMPUTED_VALUE"""),"BIGC KALASIN PURE")</f>
        <v>BIGC KALASIN PURE</v>
      </c>
      <c r="E2229" s="1" t="str">
        <f>IFERROR(__xludf.DUMMYFUNCTION("""COMPUTED_VALUE"""),"PURE")</f>
        <v>PURE</v>
      </c>
      <c r="F2229" s="1" t="str">
        <f>IFERROR(__xludf.DUMMYFUNCTION("""COMPUTED_VALUE"""),"2083583")</f>
        <v>2083583</v>
      </c>
      <c r="G2229" s="1" t="str">
        <f>IFERROR(__xludf.DUMMYFUNCTION("""COMPUTED_VALUE"""),"นายอรรณพ ศรีแก้ว")</f>
        <v>นายอรรณพ ศรีแก้ว</v>
      </c>
      <c r="H2229" s="1" t="str">
        <f>IFERROR(__xludf.DUMMYFUNCTION("""COMPUTED_VALUE"""),"2083583")</f>
        <v>2083583</v>
      </c>
      <c r="I2229" s="1" t="str">
        <f>IFERROR(__xludf.DUMMYFUNCTION("""COMPUTED_VALUE"""),"นายอรรณพ ศรีแก้ว")</f>
        <v>นายอรรณพ ศรีแก้ว</v>
      </c>
      <c r="J2229" s="3">
        <f>IFERROR(__xludf.DUMMYFUNCTION("""COMPUTED_VALUE"""),295801.0)</f>
        <v>295801</v>
      </c>
      <c r="K2229" s="3" t="str">
        <f>IFERROR(__xludf.DUMMYFUNCTION("""COMPUTED_VALUE"""),"นายอรรถพล เหล่าสุวงศ์")</f>
        <v>นายอรรถพล เหล่าสุวงศ์</v>
      </c>
      <c r="L2229" s="1" t="str">
        <f>IFERROR(__xludf.DUMMYFUNCTION("""COMPUTED_VALUE"""),"Hub09-NE 1")</f>
        <v>Hub09-NE 1</v>
      </c>
      <c r="M2229" s="1" t="str">
        <f>IFERROR(__xludf.DUMMYFUNCTION("""COMPUTED_VALUE"""),"0655090879")</f>
        <v>0655090879</v>
      </c>
      <c r="N2229" s="3">
        <f>IFERROR(__xludf.DUMMYFUNCTION("""COMPUTED_VALUE"""),11217.0)</f>
        <v>11217</v>
      </c>
      <c r="O2229" s="3" t="str">
        <f>IFERROR(__xludf.DUMMYFUNCTION("""COMPUTED_VALUE"""),"กาฬสินธุ์")</f>
        <v>กาฬสินธุ์</v>
      </c>
      <c r="P2229" s="4">
        <f>IFERROR(__xludf.DUMMYFUNCTION("""COMPUTED_VALUE"""),41487.0)</f>
        <v>41487</v>
      </c>
      <c r="Q2229" s="3" t="str">
        <f>IFERROR(__xludf.DUMMYFUNCTION("""COMPUTED_VALUE"""),"A")</f>
        <v>A</v>
      </c>
      <c r="R2229" s="3" t="str">
        <f>IFERROR(__xludf.DUMMYFUNCTION("""COMPUTED_VALUE"""),"Big Format")</f>
        <v>Big Format</v>
      </c>
      <c r="S2229" s="3" t="str">
        <f>IFERROR(__xludf.DUMMYFUNCTION("""COMPUTED_VALUE"""),"PURE")</f>
        <v>PURE</v>
      </c>
      <c r="T2229" s="3" t="str">
        <f>IFERROR(__xludf.DUMMYFUNCTION("""COMPUTED_VALUE"""),"#N/A")</f>
        <v>#N/A</v>
      </c>
      <c r="U2229" s="3" t="str">
        <f>IFERROR(__xludf.DUMMYFUNCTION("""COMPUTED_VALUE"""),"#N/A")</f>
        <v>#N/A</v>
      </c>
      <c r="V2229" s="3" t="str">
        <f>IFERROR(__xludf.DUMMYFUNCTION("""COMPUTED_VALUE"""),"N")</f>
        <v>N</v>
      </c>
      <c r="W2229" s="3">
        <f>IFERROR(__xludf.DUMMYFUNCTION("""COMPUTED_VALUE"""),111217.0)</f>
        <v>111217</v>
      </c>
      <c r="X2229" s="3" t="str">
        <f>IFERROR(__xludf.DUMMYFUNCTION("""COMPUTED_VALUE"""),"101/2-3 ถนนถีนานนท์ ตำบลกาฬสินธุ์ อำเภอเมืองกาฬสินธุ์ จังหวัดกาฬสินธุ์ 46000")</f>
        <v>101/2-3 ถนนถีนานนท์ ตำบลกาฬสินธุ์ อำเภอเมืองกาฬสินธุ์ จังหวัดกาฬสินธุ์ 46000</v>
      </c>
      <c r="Y2229" s="3" t="str">
        <f>IFERROR(__xludf.DUMMYFUNCTION("""COMPUTED_VALUE"""),"ถนนถีนานนท์")</f>
        <v>ถนนถีนานนท์</v>
      </c>
      <c r="Z2229" s="3" t="str">
        <f>IFERROR(__xludf.DUMMYFUNCTION("""COMPUTED_VALUE"""),"กาฬสินธุ์")</f>
        <v>กาฬสินธุ์</v>
      </c>
      <c r="AA2229" s="3" t="str">
        <f>IFERROR(__xludf.DUMMYFUNCTION("""COMPUTED_VALUE"""),"เมือง")</f>
        <v>เมือง</v>
      </c>
      <c r="AB2229" s="3" t="str">
        <f>IFERROR(__xludf.DUMMYFUNCTION("""COMPUTED_VALUE"""),"กาฬสินธุ์")</f>
        <v>กาฬสินธุ์</v>
      </c>
      <c r="AC2229" s="3">
        <f>IFERROR(__xludf.DUMMYFUNCTION("""COMPUTED_VALUE"""),46000.0)</f>
        <v>46000</v>
      </c>
      <c r="AD2229" s="3">
        <f>IFERROR(__xludf.DUMMYFUNCTION("""COMPUTED_VALUE"""),0.0)</f>
        <v>0</v>
      </c>
      <c r="AE2229" s="3">
        <f>IFERROR(__xludf.DUMMYFUNCTION("""COMPUTED_VALUE"""),0.0)</f>
        <v>0</v>
      </c>
      <c r="AF2229" s="3" t="str">
        <f>IFERROR(__xludf.DUMMYFUNCTION("""COMPUTED_VALUE"""),"Pure กาฬสินธุ์-41112")</f>
        <v>Pure กาฬสินธุ์-41112</v>
      </c>
      <c r="AG2229" s="3" t="str">
        <f>IFERROR(__xludf.DUMMYFUNCTION("""COMPUTED_VALUE"""),"ตะวันออกเฉียงเหนือ")</f>
        <v>ตะวันออกเฉียงเหนือ</v>
      </c>
      <c r="AH2229" s="3" t="str">
        <f>IFERROR(__xludf.DUMMYFUNCTION("""COMPUTED_VALUE"""),"#N/A")</f>
        <v>#N/A</v>
      </c>
      <c r="AI2229" s="3" t="str">
        <f>IFERROR(__xludf.DUMMYFUNCTION("""COMPUTED_VALUE"""),"Out of warranty")</f>
        <v>Out of warranty</v>
      </c>
      <c r="AJ2229" s="3">
        <f>IFERROR(__xludf.DUMMYFUNCTION("""COMPUTED_VALUE"""),150.0)</f>
        <v>150</v>
      </c>
      <c r="AK2229" s="3"/>
      <c r="AL2229" s="3"/>
    </row>
    <row r="2230" ht="15.75" customHeight="1">
      <c r="A2230" s="1" t="str">
        <f>IFERROR(__xludf.DUMMYFUNCTION("""COMPUTED_VALUE"""),"41113")</f>
        <v>41113</v>
      </c>
      <c r="B2230" s="2">
        <f>IFERROR(__xludf.DUMMYFUNCTION("""COMPUTED_VALUE"""),41113.0)</f>
        <v>41113</v>
      </c>
      <c r="C2230" s="3" t="str">
        <f>IFERROR(__xludf.DUMMYFUNCTION("""COMPUTED_VALUE"""),"Pure พัทยา 3")</f>
        <v>Pure พัทยา 3</v>
      </c>
      <c r="D2230" s="3" t="str">
        <f>IFERROR(__xludf.DUMMYFUNCTION("""COMPUTED_VALUE"""),"BIGC PATTAYA-3 PURE")</f>
        <v>BIGC PATTAYA-3 PURE</v>
      </c>
      <c r="E2230" s="1" t="str">
        <f>IFERROR(__xludf.DUMMYFUNCTION("""COMPUTED_VALUE"""),"PURE")</f>
        <v>PURE</v>
      </c>
      <c r="F2230" s="1" t="str">
        <f>IFERROR(__xludf.DUMMYFUNCTION("""COMPUTED_VALUE"""),"228469")</f>
        <v>228469</v>
      </c>
      <c r="G2230" s="1" t="str">
        <f>IFERROR(__xludf.DUMMYFUNCTION("""COMPUTED_VALUE"""),"น.ส.บงกช ทำการดี")</f>
        <v>น.ส.บงกช ทำการดี</v>
      </c>
      <c r="H2230" s="1" t="str">
        <f>IFERROR(__xludf.DUMMYFUNCTION("""COMPUTED_VALUE"""),"228469")</f>
        <v>228469</v>
      </c>
      <c r="I2230" s="1" t="str">
        <f>IFERROR(__xludf.DUMMYFUNCTION("""COMPUTED_VALUE"""),"น.ส.บงกช ทำการดี")</f>
        <v>น.ส.บงกช ทำการดี</v>
      </c>
      <c r="J2230" s="3">
        <f>IFERROR(__xludf.DUMMYFUNCTION("""COMPUTED_VALUE"""),2455164.0)</f>
        <v>2455164</v>
      </c>
      <c r="K2230" s="3" t="str">
        <f>IFERROR(__xludf.DUMMYFUNCTION("""COMPUTED_VALUE"""),"นายกรวิทย์ เจริญพร")</f>
        <v>นายกรวิทย์ เจริญพร</v>
      </c>
      <c r="L2230" s="1" t="str">
        <f>IFERROR(__xludf.DUMMYFUNCTION("""COMPUTED_VALUE"""),"Hub08-East")</f>
        <v>Hub08-East</v>
      </c>
      <c r="M2230" s="1" t="str">
        <f>IFERROR(__xludf.DUMMYFUNCTION("""COMPUTED_VALUE"""),"092-605-9922")</f>
        <v>092-605-9922</v>
      </c>
      <c r="N2230" s="3">
        <f>IFERROR(__xludf.DUMMYFUNCTION("""COMPUTED_VALUE"""),11192.0)</f>
        <v>11192</v>
      </c>
      <c r="O2230" s="3" t="str">
        <f>IFERROR(__xludf.DUMMYFUNCTION("""COMPUTED_VALUE"""),"พัทยา3")</f>
        <v>พัทยา3</v>
      </c>
      <c r="P2230" s="4">
        <f>IFERROR(__xludf.DUMMYFUNCTION("""COMPUTED_VALUE"""),41475.0)</f>
        <v>41475</v>
      </c>
      <c r="Q2230" s="3" t="str">
        <f>IFERROR(__xludf.DUMMYFUNCTION("""COMPUTED_VALUE"""),"A")</f>
        <v>A</v>
      </c>
      <c r="R2230" s="3" t="str">
        <f>IFERROR(__xludf.DUMMYFUNCTION("""COMPUTED_VALUE"""),"Big Format")</f>
        <v>Big Format</v>
      </c>
      <c r="S2230" s="3" t="str">
        <f>IFERROR(__xludf.DUMMYFUNCTION("""COMPUTED_VALUE"""),"PURE")</f>
        <v>PURE</v>
      </c>
      <c r="T2230" s="3" t="str">
        <f>IFERROR(__xludf.DUMMYFUNCTION("""COMPUTED_VALUE"""),"#N/A")</f>
        <v>#N/A</v>
      </c>
      <c r="U2230" s="3" t="str">
        <f>IFERROR(__xludf.DUMMYFUNCTION("""COMPUTED_VALUE"""),"#N/A")</f>
        <v>#N/A</v>
      </c>
      <c r="V2230" s="3" t="str">
        <f>IFERROR(__xludf.DUMMYFUNCTION("""COMPUTED_VALUE"""),"N")</f>
        <v>N</v>
      </c>
      <c r="W2230" s="3">
        <f>IFERROR(__xludf.DUMMYFUNCTION("""COMPUTED_VALUE"""),111192.0)</f>
        <v>111192</v>
      </c>
      <c r="X2230" s="3" t="str">
        <f>IFERROR(__xludf.DUMMYFUNCTION("""COMPUTED_VALUE"""),"333 หมู่ที่ 9 ถนนพัทยากลาง ตำบลหนองปรือ อำเภอบางละมุง จังหวัดชลบุรี 20150")</f>
        <v>333 หมู่ที่ 9 ถนนพัทยากลาง ตำบลหนองปรือ อำเภอบางละมุง จังหวัดชลบุรี 20150</v>
      </c>
      <c r="Y2230" s="3"/>
      <c r="Z2230" s="3" t="str">
        <f>IFERROR(__xludf.DUMMYFUNCTION("""COMPUTED_VALUE"""),"หนองปรือ")</f>
        <v>หนองปรือ</v>
      </c>
      <c r="AA2230" s="3" t="str">
        <f>IFERROR(__xludf.DUMMYFUNCTION("""COMPUTED_VALUE"""),"บางละมุง")</f>
        <v>บางละมุง</v>
      </c>
      <c r="AB2230" s="3" t="str">
        <f>IFERROR(__xludf.DUMMYFUNCTION("""COMPUTED_VALUE"""),"ชลบุรี")</f>
        <v>ชลบุรี</v>
      </c>
      <c r="AC2230" s="3">
        <f>IFERROR(__xludf.DUMMYFUNCTION("""COMPUTED_VALUE"""),20260.0)</f>
        <v>20260</v>
      </c>
      <c r="AD2230" s="3">
        <f>IFERROR(__xludf.DUMMYFUNCTION("""COMPUTED_VALUE"""),0.0)</f>
        <v>0</v>
      </c>
      <c r="AE2230" s="3">
        <f>IFERROR(__xludf.DUMMYFUNCTION("""COMPUTED_VALUE"""),0.0)</f>
        <v>0</v>
      </c>
      <c r="AF2230" s="3" t="str">
        <f>IFERROR(__xludf.DUMMYFUNCTION("""COMPUTED_VALUE"""),"Pure พัทยา 3-41113")</f>
        <v>Pure พัทยา 3-41113</v>
      </c>
      <c r="AG2230" s="3" t="str">
        <f>IFERROR(__xludf.DUMMYFUNCTION("""COMPUTED_VALUE"""),"ตะวันออก")</f>
        <v>ตะวันออก</v>
      </c>
      <c r="AH2230" s="3" t="str">
        <f>IFERROR(__xludf.DUMMYFUNCTION("""COMPUTED_VALUE"""),"#N/A")</f>
        <v>#N/A</v>
      </c>
      <c r="AI2230" s="3" t="str">
        <f>IFERROR(__xludf.DUMMYFUNCTION("""COMPUTED_VALUE"""),"Out of warranty")</f>
        <v>Out of warranty</v>
      </c>
      <c r="AJ2230" s="3">
        <f>IFERROR(__xludf.DUMMYFUNCTION("""COMPUTED_VALUE"""),151.0)</f>
        <v>151</v>
      </c>
      <c r="AK2230" s="3"/>
      <c r="AL2230" s="3"/>
    </row>
    <row r="2231" ht="15.75" customHeight="1">
      <c r="A2231" s="1" t="str">
        <f>IFERROR(__xludf.DUMMYFUNCTION("""COMPUTED_VALUE"""),"41114")</f>
        <v>41114</v>
      </c>
      <c r="B2231" s="2">
        <f>IFERROR(__xludf.DUMMYFUNCTION("""COMPUTED_VALUE"""),41114.0)</f>
        <v>41114</v>
      </c>
      <c r="C2231" s="3" t="str">
        <f>IFERROR(__xludf.DUMMYFUNCTION("""COMPUTED_VALUE"""),"Pure แฟชั่นไอซ์แลนด์")</f>
        <v>Pure แฟชั่นไอซ์แลนด์</v>
      </c>
      <c r="D2231" s="3" t="str">
        <f>IFERROR(__xludf.DUMMYFUNCTION("""COMPUTED_VALUE"""),"BIGC FASHION_ISLAND PURE")</f>
        <v>BIGC FASHION_ISLAND PURE</v>
      </c>
      <c r="E2231" s="1" t="str">
        <f>IFERROR(__xludf.DUMMYFUNCTION("""COMPUTED_VALUE"""),"PURE")</f>
        <v>PURE</v>
      </c>
      <c r="F2231" s="1" t="str">
        <f>IFERROR(__xludf.DUMMYFUNCTION("""COMPUTED_VALUE"""),"211291")</f>
        <v>211291</v>
      </c>
      <c r="G2231" s="1" t="str">
        <f>IFERROR(__xludf.DUMMYFUNCTION("""COMPUTED_VALUE"""),"น.ส.ปนัดดา มากระจันทน์")</f>
        <v>น.ส.ปนัดดา มากระจันทน์</v>
      </c>
      <c r="H2231" s="1" t="str">
        <f>IFERROR(__xludf.DUMMYFUNCTION("""COMPUTED_VALUE"""),"211291")</f>
        <v>211291</v>
      </c>
      <c r="I2231" s="1" t="str">
        <f>IFERROR(__xludf.DUMMYFUNCTION("""COMPUTED_VALUE"""),"น.ส.ปนัดดา มากระจันทน์")</f>
        <v>น.ส.ปนัดดา มากระจันทน์</v>
      </c>
      <c r="J2231" s="3">
        <f>IFERROR(__xludf.DUMMYFUNCTION("""COMPUTED_VALUE"""),2454716.0)</f>
        <v>2454716</v>
      </c>
      <c r="K2231" s="3" t="str">
        <f>IFERROR(__xludf.DUMMYFUNCTION("""COMPUTED_VALUE"""),"นายโฆษิต วงค์กะโซ่")</f>
        <v>นายโฆษิต วงค์กะโซ่</v>
      </c>
      <c r="L2231" s="1" t="str">
        <f>IFERROR(__xludf.DUMMYFUNCTION("""COMPUTED_VALUE"""),"Hub03-BKK 3")</f>
        <v>Hub03-BKK 3</v>
      </c>
      <c r="M2231" s="1" t="str">
        <f>IFERROR(__xludf.DUMMYFUNCTION("""COMPUTED_VALUE"""),"062-434-5030")</f>
        <v>062-434-5030</v>
      </c>
      <c r="N2231" s="3">
        <f>IFERROR(__xludf.DUMMYFUNCTION("""COMPUTED_VALUE"""),11126.0)</f>
        <v>11126</v>
      </c>
      <c r="O2231" s="3" t="str">
        <f>IFERROR(__xludf.DUMMYFUNCTION("""COMPUTED_VALUE"""),"แฟชั่นไอซ์แลนด์")</f>
        <v>แฟชั่นไอซ์แลนด์</v>
      </c>
      <c r="P2231" s="4">
        <f>IFERROR(__xludf.DUMMYFUNCTION("""COMPUTED_VALUE"""),41481.0)</f>
        <v>41481</v>
      </c>
      <c r="Q2231" s="3" t="str">
        <f>IFERROR(__xludf.DUMMYFUNCTION("""COMPUTED_VALUE"""),"A")</f>
        <v>A</v>
      </c>
      <c r="R2231" s="3" t="str">
        <f>IFERROR(__xludf.DUMMYFUNCTION("""COMPUTED_VALUE"""),"Big Format")</f>
        <v>Big Format</v>
      </c>
      <c r="S2231" s="3" t="str">
        <f>IFERROR(__xludf.DUMMYFUNCTION("""COMPUTED_VALUE"""),"PURE")</f>
        <v>PURE</v>
      </c>
      <c r="T2231" s="3" t="str">
        <f>IFERROR(__xludf.DUMMYFUNCTION("""COMPUTED_VALUE"""),"#N/A")</f>
        <v>#N/A</v>
      </c>
      <c r="U2231" s="3" t="str">
        <f>IFERROR(__xludf.DUMMYFUNCTION("""COMPUTED_VALUE"""),"#N/A")</f>
        <v>#N/A</v>
      </c>
      <c r="V2231" s="3" t="str">
        <f>IFERROR(__xludf.DUMMYFUNCTION("""COMPUTED_VALUE"""),"N")</f>
        <v>N</v>
      </c>
      <c r="W2231" s="3">
        <f>IFERROR(__xludf.DUMMYFUNCTION("""COMPUTED_VALUE"""),111126.0)</f>
        <v>111126</v>
      </c>
      <c r="X2231" s="3" t="str">
        <f>IFERROR(__xludf.DUMMYFUNCTION("""COMPUTED_VALUE"""),"เลขที่ 593 ถ.รามอินทรา แขวงคันนายาว เขตคันนายาว กรุงเทพฯ 10230")</f>
        <v>เลขที่ 593 ถ.รามอินทรา แขวงคันนายาว เขตคันนายาว กรุงเทพฯ 10230</v>
      </c>
      <c r="Y2231" s="3" t="str">
        <f>IFERROR(__xludf.DUMMYFUNCTION("""COMPUTED_VALUE"""),"รามอินทรา")</f>
        <v>รามอินทรา</v>
      </c>
      <c r="Z2231" s="3" t="str">
        <f>IFERROR(__xludf.DUMMYFUNCTION("""COMPUTED_VALUE"""),"คันนายาว")</f>
        <v>คันนายาว</v>
      </c>
      <c r="AA2231" s="3" t="str">
        <f>IFERROR(__xludf.DUMMYFUNCTION("""COMPUTED_VALUE"""),"คันนายาว")</f>
        <v>คันนายาว</v>
      </c>
      <c r="AB2231" s="3" t="str">
        <f>IFERROR(__xludf.DUMMYFUNCTION("""COMPUTED_VALUE"""),"กรุงเทพมหานคร")</f>
        <v>กรุงเทพมหานคร</v>
      </c>
      <c r="AC2231" s="3">
        <f>IFERROR(__xludf.DUMMYFUNCTION("""COMPUTED_VALUE"""),10230.0)</f>
        <v>10230</v>
      </c>
      <c r="AD2231" s="3">
        <f>IFERROR(__xludf.DUMMYFUNCTION("""COMPUTED_VALUE"""),0.0)</f>
        <v>0</v>
      </c>
      <c r="AE2231" s="3">
        <f>IFERROR(__xludf.DUMMYFUNCTION("""COMPUTED_VALUE"""),0.0)</f>
        <v>0</v>
      </c>
      <c r="AF2231" s="3" t="str">
        <f>IFERROR(__xludf.DUMMYFUNCTION("""COMPUTED_VALUE"""),"Pure แฟชั่นไอซ์แลนด์-41114")</f>
        <v>Pure แฟชั่นไอซ์แลนด์-41114</v>
      </c>
      <c r="AG2231" s="3" t="str">
        <f>IFERROR(__xludf.DUMMYFUNCTION("""COMPUTED_VALUE"""),"กลาง")</f>
        <v>กลาง</v>
      </c>
      <c r="AH2231" s="3" t="str">
        <f>IFERROR(__xludf.DUMMYFUNCTION("""COMPUTED_VALUE"""),"#N/A")</f>
        <v>#N/A</v>
      </c>
      <c r="AI2231" s="3" t="str">
        <f>IFERROR(__xludf.DUMMYFUNCTION("""COMPUTED_VALUE"""),"Out of warranty")</f>
        <v>Out of warranty</v>
      </c>
      <c r="AJ2231" s="3">
        <f>IFERROR(__xludf.DUMMYFUNCTION("""COMPUTED_VALUE"""),150.0)</f>
        <v>150</v>
      </c>
      <c r="AK2231" s="3"/>
      <c r="AL2231" s="3"/>
    </row>
    <row r="2232" ht="15.75" customHeight="1">
      <c r="A2232" s="1" t="str">
        <f>IFERROR(__xludf.DUMMYFUNCTION("""COMPUTED_VALUE"""),"41115")</f>
        <v>41115</v>
      </c>
      <c r="B2232" s="2">
        <f>IFERROR(__xludf.DUMMYFUNCTION("""COMPUTED_VALUE"""),41115.0)</f>
        <v>41115</v>
      </c>
      <c r="C2232" s="3" t="str">
        <f>IFERROR(__xludf.DUMMYFUNCTION("""COMPUTED_VALUE"""),"Pure สมุทรสงคราม")</f>
        <v>Pure สมุทรสงคราม</v>
      </c>
      <c r="D2232" s="3" t="str">
        <f>IFERROR(__xludf.DUMMYFUNCTION("""COMPUTED_VALUE"""),"BIGC SAMUTSONGKHRAM PURE")</f>
        <v>BIGC SAMUTSONGKHRAM PURE</v>
      </c>
      <c r="E2232" s="1" t="str">
        <f>IFERROR(__xludf.DUMMYFUNCTION("""COMPUTED_VALUE"""),"PURE")</f>
        <v>PURE</v>
      </c>
      <c r="F2232" s="1" t="str">
        <f>IFERROR(__xludf.DUMMYFUNCTION("""COMPUTED_VALUE"""),"2010612")</f>
        <v>2010612</v>
      </c>
      <c r="G2232" s="1" t="str">
        <f>IFERROR(__xludf.DUMMYFUNCTION("""COMPUTED_VALUE"""),"น.ส.วรรณพร เกตุเลิศประเสริฐ")</f>
        <v>น.ส.วรรณพร เกตุเลิศประเสริฐ</v>
      </c>
      <c r="H2232" s="1" t="str">
        <f>IFERROR(__xludf.DUMMYFUNCTION("""COMPUTED_VALUE"""),"2010612")</f>
        <v>2010612</v>
      </c>
      <c r="I2232" s="1" t="str">
        <f>IFERROR(__xludf.DUMMYFUNCTION("""COMPUTED_VALUE"""),"น.ส.วรรณพร เกตุเลิศประเสริฐ")</f>
        <v>น.ส.วรรณพร เกตุเลิศประเสริฐ</v>
      </c>
      <c r="J2232" s="3">
        <f>IFERROR(__xludf.DUMMYFUNCTION("""COMPUTED_VALUE"""),2455179.0)</f>
        <v>2455179</v>
      </c>
      <c r="K2232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2232" s="1" t="str">
        <f>IFERROR(__xludf.DUMMYFUNCTION("""COMPUTED_VALUE"""),"Hub06-C&amp;W")</f>
        <v>Hub06-C&amp;W</v>
      </c>
      <c r="M2232" s="1" t="str">
        <f>IFERROR(__xludf.DUMMYFUNCTION("""COMPUTED_VALUE"""),"090-993-6896")</f>
        <v>090-993-6896</v>
      </c>
      <c r="N2232" s="3">
        <f>IFERROR(__xludf.DUMMYFUNCTION("""COMPUTED_VALUE"""),11218.0)</f>
        <v>11218</v>
      </c>
      <c r="O2232" s="3" t="str">
        <f>IFERROR(__xludf.DUMMYFUNCTION("""COMPUTED_VALUE"""),"สมุทรสงคราม")</f>
        <v>สมุทรสงคราม</v>
      </c>
      <c r="P2232" s="4">
        <f>IFERROR(__xludf.DUMMYFUNCTION("""COMPUTED_VALUE"""),41517.0)</f>
        <v>41517</v>
      </c>
      <c r="Q2232" s="3" t="str">
        <f>IFERROR(__xludf.DUMMYFUNCTION("""COMPUTED_VALUE"""),"A")</f>
        <v>A</v>
      </c>
      <c r="R2232" s="3" t="str">
        <f>IFERROR(__xludf.DUMMYFUNCTION("""COMPUTED_VALUE"""),"Big Format")</f>
        <v>Big Format</v>
      </c>
      <c r="S2232" s="3" t="str">
        <f>IFERROR(__xludf.DUMMYFUNCTION("""COMPUTED_VALUE"""),"PURE")</f>
        <v>PURE</v>
      </c>
      <c r="T2232" s="3" t="str">
        <f>IFERROR(__xludf.DUMMYFUNCTION("""COMPUTED_VALUE"""),"#N/A")</f>
        <v>#N/A</v>
      </c>
      <c r="U2232" s="3" t="str">
        <f>IFERROR(__xludf.DUMMYFUNCTION("""COMPUTED_VALUE"""),"#N/A")</f>
        <v>#N/A</v>
      </c>
      <c r="V2232" s="3" t="str">
        <f>IFERROR(__xludf.DUMMYFUNCTION("""COMPUTED_VALUE"""),"N")</f>
        <v>N</v>
      </c>
      <c r="W2232" s="3">
        <f>IFERROR(__xludf.DUMMYFUNCTION("""COMPUTED_VALUE"""),111218.0)</f>
        <v>111218</v>
      </c>
      <c r="X2232" s="3" t="str">
        <f>IFERROR(__xludf.DUMMYFUNCTION("""COMPUTED_VALUE"""),"2/19 หมู่ 1 ตำบลบางแก้ว อำเภอเมืองสมุทรสงคราม จังหวัดสมุทรสงคราม 75000")</f>
        <v>2/19 หมู่ 1 ตำบลบางแก้ว อำเภอเมืองสมุทรสงคราม จังหวัดสมุทรสงคราม 75000</v>
      </c>
      <c r="Y2232" s="3"/>
      <c r="Z2232" s="3" t="str">
        <f>IFERROR(__xludf.DUMMYFUNCTION("""COMPUTED_VALUE"""),"บางแก้ว")</f>
        <v>บางแก้ว</v>
      </c>
      <c r="AA2232" s="3" t="str">
        <f>IFERROR(__xludf.DUMMYFUNCTION("""COMPUTED_VALUE"""),"เมือง")</f>
        <v>เมือง</v>
      </c>
      <c r="AB2232" s="3" t="str">
        <f>IFERROR(__xludf.DUMMYFUNCTION("""COMPUTED_VALUE"""),"สมุทรสงคราม")</f>
        <v>สมุทรสงคราม</v>
      </c>
      <c r="AC2232" s="3">
        <f>IFERROR(__xludf.DUMMYFUNCTION("""COMPUTED_VALUE"""),75000.0)</f>
        <v>75000</v>
      </c>
      <c r="AD2232" s="3">
        <f>IFERROR(__xludf.DUMMYFUNCTION("""COMPUTED_VALUE"""),0.0)</f>
        <v>0</v>
      </c>
      <c r="AE2232" s="3">
        <f>IFERROR(__xludf.DUMMYFUNCTION("""COMPUTED_VALUE"""),0.0)</f>
        <v>0</v>
      </c>
      <c r="AF2232" s="3" t="str">
        <f>IFERROR(__xludf.DUMMYFUNCTION("""COMPUTED_VALUE"""),"Pure สมุทรสงคราม-41115")</f>
        <v>Pure สมุทรสงคราม-41115</v>
      </c>
      <c r="AG2232" s="3" t="str">
        <f>IFERROR(__xludf.DUMMYFUNCTION("""COMPUTED_VALUE"""),"กลาง")</f>
        <v>กลาง</v>
      </c>
      <c r="AH2232" s="3" t="str">
        <f>IFERROR(__xludf.DUMMYFUNCTION("""COMPUTED_VALUE"""),"#N/A")</f>
        <v>#N/A</v>
      </c>
      <c r="AI2232" s="3" t="str">
        <f>IFERROR(__xludf.DUMMYFUNCTION("""COMPUTED_VALUE"""),"Out of warranty")</f>
        <v>Out of warranty</v>
      </c>
      <c r="AJ2232" s="3">
        <f>IFERROR(__xludf.DUMMYFUNCTION("""COMPUTED_VALUE"""),149.0)</f>
        <v>149</v>
      </c>
      <c r="AK2232" s="3"/>
      <c r="AL2232" s="3"/>
    </row>
    <row r="2233" ht="15.75" customHeight="1">
      <c r="A2233" s="1" t="str">
        <f>IFERROR(__xludf.DUMMYFUNCTION("""COMPUTED_VALUE"""),"41118")</f>
        <v>41118</v>
      </c>
      <c r="B2233" s="2">
        <f>IFERROR(__xludf.DUMMYFUNCTION("""COMPUTED_VALUE"""),41118.0)</f>
        <v>41118</v>
      </c>
      <c r="C2233" s="3" t="str">
        <f>IFERROR(__xludf.DUMMYFUNCTION("""COMPUTED_VALUE"""),"Pure ตระการพืชผล")</f>
        <v>Pure ตระการพืชผล</v>
      </c>
      <c r="D2233" s="3" t="str">
        <f>IFERROR(__xludf.DUMMYFUNCTION("""COMPUTED_VALUE"""),"BIGC MARKET TRAKANPHUETPHON PU")</f>
        <v>BIGC MARKET TRAKANPHUETPHON PU</v>
      </c>
      <c r="E2233" s="1" t="str">
        <f>IFERROR(__xludf.DUMMYFUNCTION("""COMPUTED_VALUE"""),"PURE")</f>
        <v>PURE</v>
      </c>
      <c r="F2233" s="1" t="str">
        <f>IFERROR(__xludf.DUMMYFUNCTION("""COMPUTED_VALUE"""),"EX0469")</f>
        <v>EX0469</v>
      </c>
      <c r="G2233" s="1" t="str">
        <f>IFERROR(__xludf.DUMMYFUNCTION("""COMPUTED_VALUE"""),"นายเทวฤทธิ์ ฐาปนะสุต")</f>
        <v>นายเทวฤทธิ์ ฐาปนะสุต</v>
      </c>
      <c r="H2233" s="1" t="str">
        <f>IFERROR(__xludf.DUMMYFUNCTION("""COMPUTED_VALUE"""),"317316")</f>
        <v>317316</v>
      </c>
      <c r="I2233" s="1" t="str">
        <f>IFERROR(__xludf.DUMMYFUNCTION("""COMPUTED_VALUE"""),"นายเสรี รจนาสม")</f>
        <v>นายเสรี รจนาสม</v>
      </c>
      <c r="J2233" s="3">
        <f>IFERROR(__xludf.DUMMYFUNCTION("""COMPUTED_VALUE"""),33317.0)</f>
        <v>33317</v>
      </c>
      <c r="K2233" s="3" t="str">
        <f>IFERROR(__xludf.DUMMYFUNCTION("""COMPUTED_VALUE"""),"นายอาณัติ เพชรภาน")</f>
        <v>นายอาณัติ เพชรภาน</v>
      </c>
      <c r="L2233" s="1" t="str">
        <f>IFERROR(__xludf.DUMMYFUNCTION("""COMPUTED_VALUE"""),"Hub10-NE 2")</f>
        <v>Hub10-NE 2</v>
      </c>
      <c r="M2233" s="1" t="str">
        <f>IFERROR(__xludf.DUMMYFUNCTION("""COMPUTED_VALUE"""),"0644791409")</f>
        <v>0644791409</v>
      </c>
      <c r="N2233" s="3">
        <f>IFERROR(__xludf.DUMMYFUNCTION("""COMPUTED_VALUE"""),15025.0)</f>
        <v>15025</v>
      </c>
      <c r="O2233" s="3" t="str">
        <f>IFERROR(__xludf.DUMMYFUNCTION("""COMPUTED_VALUE"""),"ตระการพืชผล")</f>
        <v>ตระการพืชผล</v>
      </c>
      <c r="P2233" s="4">
        <f>IFERROR(__xludf.DUMMYFUNCTION("""COMPUTED_VALUE"""),41540.0)</f>
        <v>41540</v>
      </c>
      <c r="Q2233" s="3" t="str">
        <f>IFERROR(__xludf.DUMMYFUNCTION("""COMPUTED_VALUE"""),"I")</f>
        <v>I</v>
      </c>
      <c r="R2233" s="3" t="str">
        <f>IFERROR(__xludf.DUMMYFUNCTION("""COMPUTED_VALUE"""),"Big Format")</f>
        <v>Big Format</v>
      </c>
      <c r="S2233" s="3" t="str">
        <f>IFERROR(__xludf.DUMMYFUNCTION("""COMPUTED_VALUE"""),"PURE")</f>
        <v>PURE</v>
      </c>
      <c r="T2233" s="3" t="str">
        <f>IFERROR(__xludf.DUMMYFUNCTION("""COMPUTED_VALUE"""),"#N/A")</f>
        <v>#N/A</v>
      </c>
      <c r="U2233" s="3" t="str">
        <f>IFERROR(__xludf.DUMMYFUNCTION("""COMPUTED_VALUE"""),"#N/A")</f>
        <v>#N/A</v>
      </c>
      <c r="V2233" s="3" t="str">
        <f>IFERROR(__xludf.DUMMYFUNCTION("""COMPUTED_VALUE"""),"N")</f>
        <v>N</v>
      </c>
      <c r="W2233" s="3">
        <f>IFERROR(__xludf.DUMMYFUNCTION("""COMPUTED_VALUE"""),0.0)</f>
        <v>0</v>
      </c>
      <c r="X2233" s="3" t="str">
        <f>IFERROR(__xludf.DUMMYFUNCTION("""COMPUTED_VALUE"""),"454 หมู่ 4 ตำบลขุหลุ อำเภอตระการพืชผล จังหวัดอุบลราชธานี 34130")</f>
        <v>454 หมู่ 4 ตำบลขุหลุ อำเภอตระการพืชผล จังหวัดอุบลราชธานี 34130</v>
      </c>
      <c r="Y2233" s="3"/>
      <c r="Z2233" s="3" t="str">
        <f>IFERROR(__xludf.DUMMYFUNCTION("""COMPUTED_VALUE"""),"ขุหลุ")</f>
        <v>ขุหลุ</v>
      </c>
      <c r="AA2233" s="3" t="str">
        <f>IFERROR(__xludf.DUMMYFUNCTION("""COMPUTED_VALUE"""),"ตระการพืชผล")</f>
        <v>ตระการพืชผล</v>
      </c>
      <c r="AB2233" s="3" t="str">
        <f>IFERROR(__xludf.DUMMYFUNCTION("""COMPUTED_VALUE"""),"อุบลราชธานี")</f>
        <v>อุบลราชธานี</v>
      </c>
      <c r="AC2233" s="3">
        <f>IFERROR(__xludf.DUMMYFUNCTION("""COMPUTED_VALUE"""),34130.0)</f>
        <v>34130</v>
      </c>
      <c r="AD2233" s="3">
        <f>IFERROR(__xludf.DUMMYFUNCTION("""COMPUTED_VALUE"""),0.0)</f>
        <v>0</v>
      </c>
      <c r="AE2233" s="3">
        <f>IFERROR(__xludf.DUMMYFUNCTION("""COMPUTED_VALUE"""),0.0)</f>
        <v>0</v>
      </c>
      <c r="AF2233" s="3" t="str">
        <f>IFERROR(__xludf.DUMMYFUNCTION("""COMPUTED_VALUE"""),"Pure ตระการพืชผล-41118")</f>
        <v>Pure ตระการพืชผล-41118</v>
      </c>
      <c r="AG2233" s="3" t="str">
        <f>IFERROR(__xludf.DUMMYFUNCTION("""COMPUTED_VALUE"""),"ตะวันออกเฉียงเหนือ")</f>
        <v>ตะวันออกเฉียงเหนือ</v>
      </c>
      <c r="AH2233" s="3" t="str">
        <f>IFERROR(__xludf.DUMMYFUNCTION("""COMPUTED_VALUE"""),"#N/A")</f>
        <v>#N/A</v>
      </c>
      <c r="AI2233" s="3" t="str">
        <f>IFERROR(__xludf.DUMMYFUNCTION("""COMPUTED_VALUE"""),"Out of warranty")</f>
        <v>Out of warranty</v>
      </c>
      <c r="AJ2233" s="3">
        <f>IFERROR(__xludf.DUMMYFUNCTION("""COMPUTED_VALUE"""),148.0)</f>
        <v>148</v>
      </c>
      <c r="AK2233" s="3"/>
      <c r="AL2233" s="3"/>
    </row>
    <row r="2234" ht="15.75" customHeight="1">
      <c r="A2234" s="1" t="str">
        <f>IFERROR(__xludf.DUMMYFUNCTION("""COMPUTED_VALUE"""),"41119")</f>
        <v>41119</v>
      </c>
      <c r="B2234" s="2">
        <f>IFERROR(__xludf.DUMMYFUNCTION("""COMPUTED_VALUE"""),41119.0)</f>
        <v>41119</v>
      </c>
      <c r="C2234" s="3" t="str">
        <f>IFERROR(__xludf.DUMMYFUNCTION("""COMPUTED_VALUE"""),"Pure ลาดพร้าว2")</f>
        <v>Pure ลาดพร้าว2</v>
      </c>
      <c r="D2234" s="3" t="str">
        <f>IFERROR(__xludf.DUMMYFUNCTION("""COMPUTED_VALUE"""),"BIGC LADPRAO-2 PURE")</f>
        <v>BIGC LADPRAO-2 PURE</v>
      </c>
      <c r="E2234" s="1" t="str">
        <f>IFERROR(__xludf.DUMMYFUNCTION("""COMPUTED_VALUE"""),"PURE")</f>
        <v>PURE</v>
      </c>
      <c r="F2234" s="1" t="str">
        <f>IFERROR(__xludf.DUMMYFUNCTION("""COMPUTED_VALUE"""),"211291")</f>
        <v>211291</v>
      </c>
      <c r="G2234" s="1" t="str">
        <f>IFERROR(__xludf.DUMMYFUNCTION("""COMPUTED_VALUE"""),"น.ส.ปนัดดา มากระจันทน์")</f>
        <v>น.ส.ปนัดดา มากระจันทน์</v>
      </c>
      <c r="H2234" s="1" t="str">
        <f>IFERROR(__xludf.DUMMYFUNCTION("""COMPUTED_VALUE"""),"211291")</f>
        <v>211291</v>
      </c>
      <c r="I2234" s="1" t="str">
        <f>IFERROR(__xludf.DUMMYFUNCTION("""COMPUTED_VALUE"""),"น.ส.ปนัดดา มากระจันทน์")</f>
        <v>น.ส.ปนัดดา มากระจันทน์</v>
      </c>
      <c r="J2234" s="3">
        <f>IFERROR(__xludf.DUMMYFUNCTION("""COMPUTED_VALUE"""),2454813.0)</f>
        <v>2454813</v>
      </c>
      <c r="K2234" s="3" t="str">
        <f>IFERROR(__xludf.DUMMYFUNCTION("""COMPUTED_VALUE"""),"นายอนุรักษ์ จั่นเที่ยง")</f>
        <v>นายอนุรักษ์ จั่นเที่ยง</v>
      </c>
      <c r="L2234" s="1" t="str">
        <f>IFERROR(__xludf.DUMMYFUNCTION("""COMPUTED_VALUE"""),"Hub04-BKK 4")</f>
        <v>Hub04-BKK 4</v>
      </c>
      <c r="M2234" s="1" t="str">
        <f>IFERROR(__xludf.DUMMYFUNCTION("""COMPUTED_VALUE"""),"0991964531")</f>
        <v>0991964531</v>
      </c>
      <c r="N2234" s="3">
        <f>IFERROR(__xludf.DUMMYFUNCTION("""COMPUTED_VALUE"""),11174.0)</f>
        <v>11174</v>
      </c>
      <c r="O2234" s="3" t="str">
        <f>IFERROR(__xludf.DUMMYFUNCTION("""COMPUTED_VALUE"""),"ลาดพร้าว-2")</f>
        <v>ลาดพร้าว-2</v>
      </c>
      <c r="P2234" s="4">
        <f>IFERROR(__xludf.DUMMYFUNCTION("""COMPUTED_VALUE"""),41518.0)</f>
        <v>41518</v>
      </c>
      <c r="Q2234" s="3" t="str">
        <f>IFERROR(__xludf.DUMMYFUNCTION("""COMPUTED_VALUE"""),"A")</f>
        <v>A</v>
      </c>
      <c r="R2234" s="3" t="str">
        <f>IFERROR(__xludf.DUMMYFUNCTION("""COMPUTED_VALUE"""),"Big Format")</f>
        <v>Big Format</v>
      </c>
      <c r="S2234" s="3" t="str">
        <f>IFERROR(__xludf.DUMMYFUNCTION("""COMPUTED_VALUE"""),"PURE")</f>
        <v>PURE</v>
      </c>
      <c r="T2234" s="3" t="str">
        <f>IFERROR(__xludf.DUMMYFUNCTION("""COMPUTED_VALUE"""),"#N/A")</f>
        <v>#N/A</v>
      </c>
      <c r="U2234" s="3" t="str">
        <f>IFERROR(__xludf.DUMMYFUNCTION("""COMPUTED_VALUE"""),"#N/A")</f>
        <v>#N/A</v>
      </c>
      <c r="V2234" s="3" t="str">
        <f>IFERROR(__xludf.DUMMYFUNCTION("""COMPUTED_VALUE"""),"N")</f>
        <v>N</v>
      </c>
      <c r="W2234" s="3">
        <f>IFERROR(__xludf.DUMMYFUNCTION("""COMPUTED_VALUE"""),111174.0)</f>
        <v>111174</v>
      </c>
      <c r="X2234" s="3" t="str">
        <f>IFERROR(__xludf.DUMMYFUNCTION("""COMPUTED_VALUE"""),"669 ถนนลาดพร้าว แขวงจอมพล เขตจตุจักร กรุงเทพฯ 10900")</f>
        <v>669 ถนนลาดพร้าว แขวงจอมพล เขตจตุจักร กรุงเทพฯ 10900</v>
      </c>
      <c r="Y2234" s="3" t="str">
        <f>IFERROR(__xludf.DUMMYFUNCTION("""COMPUTED_VALUE"""),"ถนนลาดพร้าว")</f>
        <v>ถนนลาดพร้าว</v>
      </c>
      <c r="Z2234" s="3" t="str">
        <f>IFERROR(__xludf.DUMMYFUNCTION("""COMPUTED_VALUE"""),"จอมพล")</f>
        <v>จอมพล</v>
      </c>
      <c r="AA2234" s="3" t="str">
        <f>IFERROR(__xludf.DUMMYFUNCTION("""COMPUTED_VALUE"""),"จตุจักร")</f>
        <v>จตุจักร</v>
      </c>
      <c r="AB2234" s="3" t="str">
        <f>IFERROR(__xludf.DUMMYFUNCTION("""COMPUTED_VALUE"""),"กรุงเทพมหานคร")</f>
        <v>กรุงเทพมหานคร</v>
      </c>
      <c r="AC2234" s="3">
        <f>IFERROR(__xludf.DUMMYFUNCTION("""COMPUTED_VALUE"""),10900.0)</f>
        <v>10900</v>
      </c>
      <c r="AD2234" s="3">
        <f>IFERROR(__xludf.DUMMYFUNCTION("""COMPUTED_VALUE"""),0.0)</f>
        <v>0</v>
      </c>
      <c r="AE2234" s="3">
        <f>IFERROR(__xludf.DUMMYFUNCTION("""COMPUTED_VALUE"""),0.0)</f>
        <v>0</v>
      </c>
      <c r="AF2234" s="3" t="str">
        <f>IFERROR(__xludf.DUMMYFUNCTION("""COMPUTED_VALUE"""),"Pure ลาดพร้าว2-41119")</f>
        <v>Pure ลาดพร้าว2-41119</v>
      </c>
      <c r="AG2234" s="3" t="str">
        <f>IFERROR(__xludf.DUMMYFUNCTION("""COMPUTED_VALUE"""),"กลาง")</f>
        <v>กลาง</v>
      </c>
      <c r="AH2234" s="3" t="str">
        <f>IFERROR(__xludf.DUMMYFUNCTION("""COMPUTED_VALUE"""),"#N/A")</f>
        <v>#N/A</v>
      </c>
      <c r="AI2234" s="3" t="str">
        <f>IFERROR(__xludf.DUMMYFUNCTION("""COMPUTED_VALUE"""),"Out of warranty")</f>
        <v>Out of warranty</v>
      </c>
      <c r="AJ2234" s="3">
        <f>IFERROR(__xludf.DUMMYFUNCTION("""COMPUTED_VALUE"""),149.0)</f>
        <v>149</v>
      </c>
      <c r="AK2234" s="3"/>
      <c r="AL2234" s="3"/>
    </row>
    <row r="2235" ht="15.75" customHeight="1">
      <c r="A2235" s="1" t="str">
        <f>IFERROR(__xludf.DUMMYFUNCTION("""COMPUTED_VALUE"""),"41120")</f>
        <v>41120</v>
      </c>
      <c r="B2235" s="2">
        <f>IFERROR(__xludf.DUMMYFUNCTION("""COMPUTED_VALUE"""),41120.0)</f>
        <v>41120</v>
      </c>
      <c r="C2235" s="3" t="str">
        <f>IFERROR(__xludf.DUMMYFUNCTION("""COMPUTED_VALUE"""),"Pure สุพรรณบุรี")</f>
        <v>Pure สุพรรณบุรี</v>
      </c>
      <c r="D2235" s="3" t="str">
        <f>IFERROR(__xludf.DUMMYFUNCTION("""COMPUTED_VALUE"""),"BIGC SUPHANBURI PURE")</f>
        <v>BIGC SUPHANBURI PURE</v>
      </c>
      <c r="E2235" s="1" t="str">
        <f>IFERROR(__xludf.DUMMYFUNCTION("""COMPUTED_VALUE"""),"PURE")</f>
        <v>PURE</v>
      </c>
      <c r="F2235" s="1" t="str">
        <f>IFERROR(__xludf.DUMMYFUNCTION("""COMPUTED_VALUE"""),"2010612")</f>
        <v>2010612</v>
      </c>
      <c r="G2235" s="1" t="str">
        <f>IFERROR(__xludf.DUMMYFUNCTION("""COMPUTED_VALUE"""),"น.ส.วรรณพร เกตุเลิศประเสริฐ")</f>
        <v>น.ส.วรรณพร เกตุเลิศประเสริฐ</v>
      </c>
      <c r="H2235" s="1" t="str">
        <f>IFERROR(__xludf.DUMMYFUNCTION("""COMPUTED_VALUE"""),"2010612")</f>
        <v>2010612</v>
      </c>
      <c r="I2235" s="1" t="str">
        <f>IFERROR(__xludf.DUMMYFUNCTION("""COMPUTED_VALUE"""),"น.ส.วรรณพร เกตุเลิศประเสริฐ")</f>
        <v>น.ส.วรรณพร เกตุเลิศประเสริฐ</v>
      </c>
      <c r="J2235" s="3">
        <f>IFERROR(__xludf.DUMMYFUNCTION("""COMPUTED_VALUE"""),2455179.0)</f>
        <v>2455179</v>
      </c>
      <c r="K2235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2235" s="1" t="str">
        <f>IFERROR(__xludf.DUMMYFUNCTION("""COMPUTED_VALUE"""),"Hub06-C&amp;W")</f>
        <v>Hub06-C&amp;W</v>
      </c>
      <c r="M2235" s="1" t="str">
        <f>IFERROR(__xludf.DUMMYFUNCTION("""COMPUTED_VALUE"""),"090-993-6896")</f>
        <v>090-993-6896</v>
      </c>
      <c r="N2235" s="3">
        <f>IFERROR(__xludf.DUMMYFUNCTION("""COMPUTED_VALUE"""),11219.0)</f>
        <v>11219</v>
      </c>
      <c r="O2235" s="3" t="str">
        <f>IFERROR(__xludf.DUMMYFUNCTION("""COMPUTED_VALUE"""),"สุพรรณบุรี")</f>
        <v>สุพรรณบุรี</v>
      </c>
      <c r="P2235" s="4">
        <f>IFERROR(__xludf.DUMMYFUNCTION("""COMPUTED_VALUE"""),41530.0)</f>
        <v>41530</v>
      </c>
      <c r="Q2235" s="3" t="str">
        <f>IFERROR(__xludf.DUMMYFUNCTION("""COMPUTED_VALUE"""),"A")</f>
        <v>A</v>
      </c>
      <c r="R2235" s="3" t="str">
        <f>IFERROR(__xludf.DUMMYFUNCTION("""COMPUTED_VALUE"""),"Big Format")</f>
        <v>Big Format</v>
      </c>
      <c r="S2235" s="3" t="str">
        <f>IFERROR(__xludf.DUMMYFUNCTION("""COMPUTED_VALUE"""),"PURE")</f>
        <v>PURE</v>
      </c>
      <c r="T2235" s="3" t="str">
        <f>IFERROR(__xludf.DUMMYFUNCTION("""COMPUTED_VALUE"""),"#N/A")</f>
        <v>#N/A</v>
      </c>
      <c r="U2235" s="3" t="str">
        <f>IFERROR(__xludf.DUMMYFUNCTION("""COMPUTED_VALUE"""),"#N/A")</f>
        <v>#N/A</v>
      </c>
      <c r="V2235" s="3" t="str">
        <f>IFERROR(__xludf.DUMMYFUNCTION("""COMPUTED_VALUE"""),"N")</f>
        <v>N</v>
      </c>
      <c r="W2235" s="3">
        <f>IFERROR(__xludf.DUMMYFUNCTION("""COMPUTED_VALUE"""),111219.0)</f>
        <v>111219</v>
      </c>
      <c r="X2235" s="3" t="str">
        <f>IFERROR(__xludf.DUMMYFUNCTION("""COMPUTED_VALUE"""),"140/20 ถนนมาลัยแมน ตำบลรั้วใหญ่ อำเภอเมืองสุพรรณบุรี จังหวัดสุพรรณบุรี 72000")</f>
        <v>140/20 ถนนมาลัยแมน ตำบลรั้วใหญ่ อำเภอเมืองสุพรรณบุรี จังหวัดสุพรรณบุรี 72000</v>
      </c>
      <c r="Y2235" s="3" t="str">
        <f>IFERROR(__xludf.DUMMYFUNCTION("""COMPUTED_VALUE"""),"ถนนมาลัยแมน")</f>
        <v>ถนนมาลัยแมน</v>
      </c>
      <c r="Z2235" s="3" t="str">
        <f>IFERROR(__xludf.DUMMYFUNCTION("""COMPUTED_VALUE"""),"รั้วใหญ่")</f>
        <v>รั้วใหญ่</v>
      </c>
      <c r="AA2235" s="3" t="str">
        <f>IFERROR(__xludf.DUMMYFUNCTION("""COMPUTED_VALUE"""),"เมือง")</f>
        <v>เมือง</v>
      </c>
      <c r="AB2235" s="3" t="str">
        <f>IFERROR(__xludf.DUMMYFUNCTION("""COMPUTED_VALUE"""),"สุพรรณบุรี")</f>
        <v>สุพรรณบุรี</v>
      </c>
      <c r="AC2235" s="3">
        <f>IFERROR(__xludf.DUMMYFUNCTION("""COMPUTED_VALUE"""),72000.0)</f>
        <v>72000</v>
      </c>
      <c r="AD2235" s="3">
        <f>IFERROR(__xludf.DUMMYFUNCTION("""COMPUTED_VALUE"""),0.0)</f>
        <v>0</v>
      </c>
      <c r="AE2235" s="3">
        <f>IFERROR(__xludf.DUMMYFUNCTION("""COMPUTED_VALUE"""),0.0)</f>
        <v>0</v>
      </c>
      <c r="AF2235" s="3" t="str">
        <f>IFERROR(__xludf.DUMMYFUNCTION("""COMPUTED_VALUE"""),"Pure สุพรรณบุรี-41120")</f>
        <v>Pure สุพรรณบุรี-41120</v>
      </c>
      <c r="AG2235" s="3" t="str">
        <f>IFERROR(__xludf.DUMMYFUNCTION("""COMPUTED_VALUE"""),"กลาง")</f>
        <v>กลาง</v>
      </c>
      <c r="AH2235" s="3" t="str">
        <f>IFERROR(__xludf.DUMMYFUNCTION("""COMPUTED_VALUE"""),"#N/A")</f>
        <v>#N/A</v>
      </c>
      <c r="AI2235" s="3" t="str">
        <f>IFERROR(__xludf.DUMMYFUNCTION("""COMPUTED_VALUE"""),"Out of warranty")</f>
        <v>Out of warranty</v>
      </c>
      <c r="AJ2235" s="3">
        <f>IFERROR(__xludf.DUMMYFUNCTION("""COMPUTED_VALUE"""),149.0)</f>
        <v>149</v>
      </c>
      <c r="AK2235" s="3"/>
      <c r="AL2235" s="3"/>
    </row>
    <row r="2236" ht="15.75" customHeight="1">
      <c r="A2236" s="1" t="str">
        <f>IFERROR(__xludf.DUMMYFUNCTION("""COMPUTED_VALUE"""),"41125")</f>
        <v>41125</v>
      </c>
      <c r="B2236" s="2">
        <f>IFERROR(__xludf.DUMMYFUNCTION("""COMPUTED_VALUE"""),41125.0)</f>
        <v>41125</v>
      </c>
      <c r="C2236" s="3" t="str">
        <f>IFERROR(__xludf.DUMMYFUNCTION("""COMPUTED_VALUE"""),"PURE พระสมุทรเจดีย์")</f>
        <v>PURE พระสมุทรเจดีย์</v>
      </c>
      <c r="D2236" s="3" t="str">
        <f>IFERROR(__xludf.DUMMYFUNCTION("""COMPUTED_VALUE"""),"PURE PHRASAMUTCHEDI")</f>
        <v>PURE PHRASAMUTCHEDI</v>
      </c>
      <c r="E2236" s="1" t="str">
        <f>IFERROR(__xludf.DUMMYFUNCTION("""COMPUTED_VALUE"""),"PURE")</f>
        <v>PURE</v>
      </c>
      <c r="F2236" s="1" t="str">
        <f>IFERROR(__xludf.DUMMYFUNCTION("""COMPUTED_VALUE"""),"EX0469")</f>
        <v>EX0469</v>
      </c>
      <c r="G2236" s="1" t="str">
        <f>IFERROR(__xludf.DUMMYFUNCTION("""COMPUTED_VALUE"""),"นายเทวฤทธิ์ ฐาปนะสุต")</f>
        <v>นายเทวฤทธิ์ ฐาปนะสุต</v>
      </c>
      <c r="H2236" s="1" t="str">
        <f>IFERROR(__xludf.DUMMYFUNCTION("""COMPUTED_VALUE"""),"295363")</f>
        <v>295363</v>
      </c>
      <c r="I2236" s="1" t="str">
        <f>IFERROR(__xludf.DUMMYFUNCTION("""COMPUTED_VALUE"""),"นายจิรวัฒน์ เจนเจริญ")</f>
        <v>นายจิรวัฒน์ เจนเจริญ</v>
      </c>
      <c r="J2236" s="3">
        <f>IFERROR(__xludf.DUMMYFUNCTION("""COMPUTED_VALUE"""),2408546.0)</f>
        <v>2408546</v>
      </c>
      <c r="K2236" s="3" t="str">
        <f>IFERROR(__xludf.DUMMYFUNCTION("""COMPUTED_VALUE"""),"นายเกษมศิษฐ์ ฮดบุญเรือง")</f>
        <v>นายเกษมศิษฐ์ ฮดบุญเรือง</v>
      </c>
      <c r="L2236" s="1" t="str">
        <f>IFERROR(__xludf.DUMMYFUNCTION("""COMPUTED_VALUE"""),"Hub02-BKK 2")</f>
        <v>Hub02-BKK 2</v>
      </c>
      <c r="M2236" s="1" t="str">
        <f>IFERROR(__xludf.DUMMYFUNCTION("""COMPUTED_VALUE"""),"0988580755")</f>
        <v>0988580755</v>
      </c>
      <c r="N2236" s="3">
        <f>IFERROR(__xludf.DUMMYFUNCTION("""COMPUTED_VALUE"""),999.0)</f>
        <v>999</v>
      </c>
      <c r="O2236" s="3" t="str">
        <f>IFERROR(__xludf.DUMMYFUNCTION("""COMPUTED_VALUE"""),"สำนักงานใหญ่")</f>
        <v>สำนักงานใหญ่</v>
      </c>
      <c r="P2236" s="4">
        <f>IFERROR(__xludf.DUMMYFUNCTION("""COMPUTED_VALUE"""),41578.0)</f>
        <v>41578</v>
      </c>
      <c r="Q2236" s="3" t="str">
        <f>IFERROR(__xludf.DUMMYFUNCTION("""COMPUTED_VALUE"""),"I")</f>
        <v>I</v>
      </c>
      <c r="R2236" s="3" t="str">
        <f>IFERROR(__xludf.DUMMYFUNCTION("""COMPUTED_VALUE"""),"Big Format")</f>
        <v>Big Format</v>
      </c>
      <c r="S2236" s="3" t="str">
        <f>IFERROR(__xludf.DUMMYFUNCTION("""COMPUTED_VALUE"""),"PURE")</f>
        <v>PURE</v>
      </c>
      <c r="T2236" s="3" t="str">
        <f>IFERROR(__xludf.DUMMYFUNCTION("""COMPUTED_VALUE"""),"#N/A")</f>
        <v>#N/A</v>
      </c>
      <c r="U2236" s="3" t="str">
        <f>IFERROR(__xludf.DUMMYFUNCTION("""COMPUTED_VALUE"""),"#N/A")</f>
        <v>#N/A</v>
      </c>
      <c r="V2236" s="3" t="str">
        <f>IFERROR(__xludf.DUMMYFUNCTION("""COMPUTED_VALUE"""),"N")</f>
        <v>N</v>
      </c>
      <c r="W2236" s="3">
        <f>IFERROR(__xludf.DUMMYFUNCTION("""COMPUTED_VALUE"""),0.0)</f>
        <v>0</v>
      </c>
      <c r="X2236" s="3" t="str">
        <f>IFERROR(__xludf.DUMMYFUNCTION("""COMPUTED_VALUE"""),"107/10 หมู่ 3 ตำบลปากคลองบางปลากด อำเภอพระสมุทรเจดีย์ จังหวัดสมุทรปราการ 10290")</f>
        <v>107/10 หมู่ 3 ตำบลปากคลองบางปลากด อำเภอพระสมุทรเจดีย์ จังหวัดสมุทรปราการ 10290</v>
      </c>
      <c r="Y2236" s="3"/>
      <c r="Z2236" s="3" t="str">
        <f>IFERROR(__xludf.DUMMYFUNCTION("""COMPUTED_VALUE"""),"ปากคลองบางปลากด")</f>
        <v>ปากคลองบางปลากด</v>
      </c>
      <c r="AA2236" s="3" t="str">
        <f>IFERROR(__xludf.DUMMYFUNCTION("""COMPUTED_VALUE"""),"พระสมุทรเจดีย์")</f>
        <v>พระสมุทรเจดีย์</v>
      </c>
      <c r="AB2236" s="3" t="str">
        <f>IFERROR(__xludf.DUMMYFUNCTION("""COMPUTED_VALUE"""),"สมุทรปราการ")</f>
        <v>สมุทรปราการ</v>
      </c>
      <c r="AC2236" s="3">
        <f>IFERROR(__xludf.DUMMYFUNCTION("""COMPUTED_VALUE"""),10290.0)</f>
        <v>10290</v>
      </c>
      <c r="AD2236" s="3">
        <f>IFERROR(__xludf.DUMMYFUNCTION("""COMPUTED_VALUE"""),0.0)</f>
        <v>0</v>
      </c>
      <c r="AE2236" s="3">
        <f>IFERROR(__xludf.DUMMYFUNCTION("""COMPUTED_VALUE"""),0.0)</f>
        <v>0</v>
      </c>
      <c r="AF2236" s="3" t="str">
        <f>IFERROR(__xludf.DUMMYFUNCTION("""COMPUTED_VALUE"""),"PURE พระสมุทรเจดีย์-41125")</f>
        <v>PURE พระสมุทรเจดีย์-41125</v>
      </c>
      <c r="AG2236" s="3" t="str">
        <f>IFERROR(__xludf.DUMMYFUNCTION("""COMPUTED_VALUE"""),"กลาง")</f>
        <v>กลาง</v>
      </c>
      <c r="AH2236" s="3" t="str">
        <f>IFERROR(__xludf.DUMMYFUNCTION("""COMPUTED_VALUE"""),"#N/A")</f>
        <v>#N/A</v>
      </c>
      <c r="AI2236" s="3" t="str">
        <f>IFERROR(__xludf.DUMMYFUNCTION("""COMPUTED_VALUE"""),"Out of warranty")</f>
        <v>Out of warranty</v>
      </c>
      <c r="AJ2236" s="3">
        <f>IFERROR(__xludf.DUMMYFUNCTION("""COMPUTED_VALUE"""),147.0)</f>
        <v>147</v>
      </c>
      <c r="AK2236" s="3"/>
      <c r="AL2236" s="3"/>
    </row>
    <row r="2237" ht="15.75" customHeight="1">
      <c r="A2237" s="1" t="str">
        <f>IFERROR(__xludf.DUMMYFUNCTION("""COMPUTED_VALUE"""),"41126")</f>
        <v>41126</v>
      </c>
      <c r="B2237" s="2">
        <f>IFERROR(__xludf.DUMMYFUNCTION("""COMPUTED_VALUE"""),41126.0)</f>
        <v>41126</v>
      </c>
      <c r="C2237" s="3" t="str">
        <f>IFERROR(__xludf.DUMMYFUNCTION("""COMPUTED_VALUE"""),"Pure เอกมัย")</f>
        <v>Pure เอกมัย</v>
      </c>
      <c r="D2237" s="3" t="str">
        <f>IFERROR(__xludf.DUMMYFUNCTION("""COMPUTED_VALUE"""),"BIGC EKAMAI PURE")</f>
        <v>BIGC EKAMAI PURE</v>
      </c>
      <c r="E2237" s="1" t="str">
        <f>IFERROR(__xludf.DUMMYFUNCTION("""COMPUTED_VALUE"""),"PURE")</f>
        <v>PURE</v>
      </c>
      <c r="F2237" s="1" t="str">
        <f>IFERROR(__xludf.DUMMYFUNCTION("""COMPUTED_VALUE"""),"228469")</f>
        <v>228469</v>
      </c>
      <c r="G2237" s="1" t="str">
        <f>IFERROR(__xludf.DUMMYFUNCTION("""COMPUTED_VALUE"""),"น.ส.บงกช ทำการดี")</f>
        <v>น.ส.บงกช ทำการดี</v>
      </c>
      <c r="H2237" s="1" t="str">
        <f>IFERROR(__xludf.DUMMYFUNCTION("""COMPUTED_VALUE"""),"228469")</f>
        <v>228469</v>
      </c>
      <c r="I2237" s="1" t="str">
        <f>IFERROR(__xludf.DUMMYFUNCTION("""COMPUTED_VALUE"""),"น.ส.บงกช ทำการดี")</f>
        <v>น.ส.บงกช ทำการดี</v>
      </c>
      <c r="J2237" s="3">
        <f>IFERROR(__xludf.DUMMYFUNCTION("""COMPUTED_VALUE"""),2454813.0)</f>
        <v>2454813</v>
      </c>
      <c r="K2237" s="3" t="str">
        <f>IFERROR(__xludf.DUMMYFUNCTION("""COMPUTED_VALUE"""),"นายอนุรักษ์ จั่นเที่ยง")</f>
        <v>นายอนุรักษ์ จั่นเที่ยง</v>
      </c>
      <c r="L2237" s="1" t="str">
        <f>IFERROR(__xludf.DUMMYFUNCTION("""COMPUTED_VALUE"""),"Hub04-BKK 4")</f>
        <v>Hub04-BKK 4</v>
      </c>
      <c r="M2237" s="1" t="str">
        <f>IFERROR(__xludf.DUMMYFUNCTION("""COMPUTED_VALUE"""),"0991964531")</f>
        <v>0991964531</v>
      </c>
      <c r="N2237" s="3">
        <f>IFERROR(__xludf.DUMMYFUNCTION("""COMPUTED_VALUE"""),11144.0)</f>
        <v>11144</v>
      </c>
      <c r="O2237" s="3" t="str">
        <f>IFERROR(__xludf.DUMMYFUNCTION("""COMPUTED_VALUE"""),"เอกมัย")</f>
        <v>เอกมัย</v>
      </c>
      <c r="P2237" s="4">
        <f>IFERROR(__xludf.DUMMYFUNCTION("""COMPUTED_VALUE"""),41579.0)</f>
        <v>41579</v>
      </c>
      <c r="Q2237" s="3" t="str">
        <f>IFERROR(__xludf.DUMMYFUNCTION("""COMPUTED_VALUE"""),"A")</f>
        <v>A</v>
      </c>
      <c r="R2237" s="3" t="str">
        <f>IFERROR(__xludf.DUMMYFUNCTION("""COMPUTED_VALUE"""),"Big Format")</f>
        <v>Big Format</v>
      </c>
      <c r="S2237" s="3" t="str">
        <f>IFERROR(__xludf.DUMMYFUNCTION("""COMPUTED_VALUE"""),"PURE")</f>
        <v>PURE</v>
      </c>
      <c r="T2237" s="3" t="str">
        <f>IFERROR(__xludf.DUMMYFUNCTION("""COMPUTED_VALUE"""),"#N/A")</f>
        <v>#N/A</v>
      </c>
      <c r="U2237" s="3" t="str">
        <f>IFERROR(__xludf.DUMMYFUNCTION("""COMPUTED_VALUE"""),"#N/A")</f>
        <v>#N/A</v>
      </c>
      <c r="V2237" s="3" t="str">
        <f>IFERROR(__xludf.DUMMYFUNCTION("""COMPUTED_VALUE"""),"N")</f>
        <v>N</v>
      </c>
      <c r="W2237" s="3">
        <f>IFERROR(__xludf.DUMMYFUNCTION("""COMPUTED_VALUE"""),111144.0)</f>
        <v>111144</v>
      </c>
      <c r="X2237" s="3" t="str">
        <f>IFERROR(__xludf.DUMMYFUNCTION("""COMPUTED_VALUE"""),"78 ซ.สุขุมวิท63(เอกมัย) แขวงพระโขนงเหนือ เขตวัฒนา กรุงเทพฯ 10110")</f>
        <v>78 ซ.สุขุมวิท63(เอกมัย) แขวงพระโขนงเหนือ เขตวัฒนา กรุงเทพฯ 10110</v>
      </c>
      <c r="Y2237" s="3" t="str">
        <f>IFERROR(__xludf.DUMMYFUNCTION("""COMPUTED_VALUE"""),"ซ.สุขุมวิท63(เอกมัย)")</f>
        <v>ซ.สุขุมวิท63(เอกมัย)</v>
      </c>
      <c r="Z2237" s="3" t="str">
        <f>IFERROR(__xludf.DUMMYFUNCTION("""COMPUTED_VALUE"""),"พระโขนงเหนือ")</f>
        <v>พระโขนงเหนือ</v>
      </c>
      <c r="AA2237" s="3" t="str">
        <f>IFERROR(__xludf.DUMMYFUNCTION("""COMPUTED_VALUE"""),"วัฒนา")</f>
        <v>วัฒนา</v>
      </c>
      <c r="AB2237" s="3" t="str">
        <f>IFERROR(__xludf.DUMMYFUNCTION("""COMPUTED_VALUE"""),"กรุงเทพมหานคร")</f>
        <v>กรุงเทพมหานคร</v>
      </c>
      <c r="AC2237" s="3">
        <f>IFERROR(__xludf.DUMMYFUNCTION("""COMPUTED_VALUE"""),10110.0)</f>
        <v>10110</v>
      </c>
      <c r="AD2237" s="3">
        <f>IFERROR(__xludf.DUMMYFUNCTION("""COMPUTED_VALUE"""),0.0)</f>
        <v>0</v>
      </c>
      <c r="AE2237" s="3">
        <f>IFERROR(__xludf.DUMMYFUNCTION("""COMPUTED_VALUE"""),0.0)</f>
        <v>0</v>
      </c>
      <c r="AF2237" s="3" t="str">
        <f>IFERROR(__xludf.DUMMYFUNCTION("""COMPUTED_VALUE"""),"Pure เอกมัย-41126")</f>
        <v>Pure เอกมัย-41126</v>
      </c>
      <c r="AG2237" s="3" t="str">
        <f>IFERROR(__xludf.DUMMYFUNCTION("""COMPUTED_VALUE"""),"กลาง")</f>
        <v>กลาง</v>
      </c>
      <c r="AH2237" s="3" t="str">
        <f>IFERROR(__xludf.DUMMYFUNCTION("""COMPUTED_VALUE"""),"#N/A")</f>
        <v>#N/A</v>
      </c>
      <c r="AI2237" s="3" t="str">
        <f>IFERROR(__xludf.DUMMYFUNCTION("""COMPUTED_VALUE"""),"Out of warranty")</f>
        <v>Out of warranty</v>
      </c>
      <c r="AJ2237" s="3">
        <f>IFERROR(__xludf.DUMMYFUNCTION("""COMPUTED_VALUE"""),147.0)</f>
        <v>147</v>
      </c>
      <c r="AK2237" s="3"/>
      <c r="AL2237" s="3"/>
    </row>
    <row r="2238" ht="15.75" customHeight="1">
      <c r="A2238" s="1" t="str">
        <f>IFERROR(__xludf.DUMMYFUNCTION("""COMPUTED_VALUE"""),"41129")</f>
        <v>41129</v>
      </c>
      <c r="B2238" s="2">
        <f>IFERROR(__xludf.DUMMYFUNCTION("""COMPUTED_VALUE"""),41129.0)</f>
        <v>41129</v>
      </c>
      <c r="C2238" s="3" t="str">
        <f>IFERROR(__xludf.DUMMYFUNCTION("""COMPUTED_VALUE"""),"Pure ตรัง")</f>
        <v>Pure ตรัง</v>
      </c>
      <c r="D2238" s="3" t="str">
        <f>IFERROR(__xludf.DUMMYFUNCTION("""COMPUTED_VALUE"""),"BIGC TRANG PURE")</f>
        <v>BIGC TRANG PURE</v>
      </c>
      <c r="E2238" s="1" t="str">
        <f>IFERROR(__xludf.DUMMYFUNCTION("""COMPUTED_VALUE"""),"PURE")</f>
        <v>PURE</v>
      </c>
      <c r="F2238" s="1" t="str">
        <f>IFERROR(__xludf.DUMMYFUNCTION("""COMPUTED_VALUE"""),"291435")</f>
        <v>291435</v>
      </c>
      <c r="G2238" s="1" t="str">
        <f>IFERROR(__xludf.DUMMYFUNCTION("""COMPUTED_VALUE"""),"น.ส.สุกัญญา มณีไพโรจน์")</f>
        <v>น.ส.สุกัญญา มณีไพโรจน์</v>
      </c>
      <c r="H2238" s="1" t="str">
        <f>IFERROR(__xludf.DUMMYFUNCTION("""COMPUTED_VALUE"""),"291435")</f>
        <v>291435</v>
      </c>
      <c r="I2238" s="1" t="str">
        <f>IFERROR(__xludf.DUMMYFUNCTION("""COMPUTED_VALUE"""),"น.ส.สุกัญญา มณีไพโรจน์")</f>
        <v>น.ส.สุกัญญา มณีไพโรจน์</v>
      </c>
      <c r="J2238" s="3">
        <f>IFERROR(__xludf.DUMMYFUNCTION("""COMPUTED_VALUE"""),2454709.0)</f>
        <v>2454709</v>
      </c>
      <c r="K2238" s="3" t="str">
        <f>IFERROR(__xludf.DUMMYFUNCTION("""COMPUTED_VALUE"""),"นายประชา เกตุชาติ")</f>
        <v>นายประชา เกตุชาติ</v>
      </c>
      <c r="L2238" s="1" t="str">
        <f>IFERROR(__xludf.DUMMYFUNCTION("""COMPUTED_VALUE"""),"Hub05-South")</f>
        <v>Hub05-South</v>
      </c>
      <c r="M2238" s="1" t="str">
        <f>IFERROR(__xludf.DUMMYFUNCTION("""COMPUTED_VALUE"""),"0659291311")</f>
        <v>0659291311</v>
      </c>
      <c r="N2238" s="3">
        <f>IFERROR(__xludf.DUMMYFUNCTION("""COMPUTED_VALUE"""),11220.0)</f>
        <v>11220</v>
      </c>
      <c r="O2238" s="3" t="str">
        <f>IFERROR(__xludf.DUMMYFUNCTION("""COMPUTED_VALUE"""),"ตรัง")</f>
        <v>ตรัง</v>
      </c>
      <c r="P2238" s="4">
        <f>IFERROR(__xludf.DUMMYFUNCTION("""COMPUTED_VALUE"""),41611.0)</f>
        <v>41611</v>
      </c>
      <c r="Q2238" s="3" t="str">
        <f>IFERROR(__xludf.DUMMYFUNCTION("""COMPUTED_VALUE"""),"A")</f>
        <v>A</v>
      </c>
      <c r="R2238" s="3" t="str">
        <f>IFERROR(__xludf.DUMMYFUNCTION("""COMPUTED_VALUE"""),"Big Format")</f>
        <v>Big Format</v>
      </c>
      <c r="S2238" s="3" t="str">
        <f>IFERROR(__xludf.DUMMYFUNCTION("""COMPUTED_VALUE"""),"PURE")</f>
        <v>PURE</v>
      </c>
      <c r="T2238" s="3" t="str">
        <f>IFERROR(__xludf.DUMMYFUNCTION("""COMPUTED_VALUE"""),"#N/A")</f>
        <v>#N/A</v>
      </c>
      <c r="U2238" s="3" t="str">
        <f>IFERROR(__xludf.DUMMYFUNCTION("""COMPUTED_VALUE"""),"#N/A")</f>
        <v>#N/A</v>
      </c>
      <c r="V2238" s="3" t="str">
        <f>IFERROR(__xludf.DUMMYFUNCTION("""COMPUTED_VALUE"""),"N")</f>
        <v>N</v>
      </c>
      <c r="W2238" s="3">
        <f>IFERROR(__xludf.DUMMYFUNCTION("""COMPUTED_VALUE"""),111227.0)</f>
        <v>111227</v>
      </c>
      <c r="X2238" s="3" t="str">
        <f>IFERROR(__xludf.DUMMYFUNCTION("""COMPUTED_VALUE"""),"102/2 ถนนรัษฎา ตำบลทับเที่ยง อำเภอเมืองตรัง จังหวัดตรัง 92000")</f>
        <v>102/2 ถนนรัษฎา ตำบลทับเที่ยง อำเภอเมืองตรัง จังหวัดตรัง 92000</v>
      </c>
      <c r="Y2238" s="3" t="str">
        <f>IFERROR(__xludf.DUMMYFUNCTION("""COMPUTED_VALUE"""),"ถนนรัษฎา")</f>
        <v>ถนนรัษฎา</v>
      </c>
      <c r="Z2238" s="3" t="str">
        <f>IFERROR(__xludf.DUMMYFUNCTION("""COMPUTED_VALUE"""),"ทับเที่ยง")</f>
        <v>ทับเที่ยง</v>
      </c>
      <c r="AA2238" s="3" t="str">
        <f>IFERROR(__xludf.DUMMYFUNCTION("""COMPUTED_VALUE"""),"เมือง")</f>
        <v>เมือง</v>
      </c>
      <c r="AB2238" s="3" t="str">
        <f>IFERROR(__xludf.DUMMYFUNCTION("""COMPUTED_VALUE"""),"ตรัง")</f>
        <v>ตรัง</v>
      </c>
      <c r="AC2238" s="3">
        <f>IFERROR(__xludf.DUMMYFUNCTION("""COMPUTED_VALUE"""),92000.0)</f>
        <v>92000</v>
      </c>
      <c r="AD2238" s="3">
        <f>IFERROR(__xludf.DUMMYFUNCTION("""COMPUTED_VALUE"""),0.0)</f>
        <v>0</v>
      </c>
      <c r="AE2238" s="3">
        <f>IFERROR(__xludf.DUMMYFUNCTION("""COMPUTED_VALUE"""),0.0)</f>
        <v>0</v>
      </c>
      <c r="AF2238" s="3" t="str">
        <f>IFERROR(__xludf.DUMMYFUNCTION("""COMPUTED_VALUE"""),"Pure ตรัง-41129")</f>
        <v>Pure ตรัง-41129</v>
      </c>
      <c r="AG2238" s="3" t="str">
        <f>IFERROR(__xludf.DUMMYFUNCTION("""COMPUTED_VALUE"""),"ใต้")</f>
        <v>ใต้</v>
      </c>
      <c r="AH2238" s="3" t="str">
        <f>IFERROR(__xludf.DUMMYFUNCTION("""COMPUTED_VALUE"""),"#N/A")</f>
        <v>#N/A</v>
      </c>
      <c r="AI2238" s="3" t="str">
        <f>IFERROR(__xludf.DUMMYFUNCTION("""COMPUTED_VALUE"""),"Out of warranty")</f>
        <v>Out of warranty</v>
      </c>
      <c r="AJ2238" s="3">
        <f>IFERROR(__xludf.DUMMYFUNCTION("""COMPUTED_VALUE"""),146.0)</f>
        <v>146</v>
      </c>
      <c r="AK2238" s="3"/>
      <c r="AL2238" s="3"/>
    </row>
    <row r="2239" ht="15.75" customHeight="1">
      <c r="A2239" s="1" t="str">
        <f>IFERROR(__xludf.DUMMYFUNCTION("""COMPUTED_VALUE"""),"41133")</f>
        <v>41133</v>
      </c>
      <c r="B2239" s="2">
        <f>IFERROR(__xludf.DUMMYFUNCTION("""COMPUTED_VALUE"""),41133.0)</f>
        <v>41133</v>
      </c>
      <c r="C2239" s="3" t="str">
        <f>IFERROR(__xludf.DUMMYFUNCTION("""COMPUTED_VALUE"""),"Pure นครพนม")</f>
        <v>Pure นครพนม</v>
      </c>
      <c r="D2239" s="3" t="str">
        <f>IFERROR(__xludf.DUMMYFUNCTION("""COMPUTED_VALUE"""),"BIGC NAKHONPHANOM PURE")</f>
        <v>BIGC NAKHONPHANOM PURE</v>
      </c>
      <c r="E2239" s="1" t="str">
        <f>IFERROR(__xludf.DUMMYFUNCTION("""COMPUTED_VALUE"""),"PURE")</f>
        <v>PURE</v>
      </c>
      <c r="F2239" s="1" t="str">
        <f>IFERROR(__xludf.DUMMYFUNCTION("""COMPUTED_VALUE"""),"2083583")</f>
        <v>2083583</v>
      </c>
      <c r="G2239" s="1" t="str">
        <f>IFERROR(__xludf.DUMMYFUNCTION("""COMPUTED_VALUE"""),"นายอรรณพ ศรีแก้ว")</f>
        <v>นายอรรณพ ศรีแก้ว</v>
      </c>
      <c r="H2239" s="1" t="str">
        <f>IFERROR(__xludf.DUMMYFUNCTION("""COMPUTED_VALUE"""),"2083583")</f>
        <v>2083583</v>
      </c>
      <c r="I2239" s="1" t="str">
        <f>IFERROR(__xludf.DUMMYFUNCTION("""COMPUTED_VALUE"""),"นายอรรณพ ศรีแก้ว")</f>
        <v>นายอรรณพ ศรีแก้ว</v>
      </c>
      <c r="J2239" s="3">
        <f>IFERROR(__xludf.DUMMYFUNCTION("""COMPUTED_VALUE"""),33317.0)</f>
        <v>33317</v>
      </c>
      <c r="K2239" s="3" t="str">
        <f>IFERROR(__xludf.DUMMYFUNCTION("""COMPUTED_VALUE"""),"นายอาณัติ เพชรภาน")</f>
        <v>นายอาณัติ เพชรภาน</v>
      </c>
      <c r="L2239" s="1" t="str">
        <f>IFERROR(__xludf.DUMMYFUNCTION("""COMPUTED_VALUE"""),"Hub10-NE 2")</f>
        <v>Hub10-NE 2</v>
      </c>
      <c r="M2239" s="1" t="str">
        <f>IFERROR(__xludf.DUMMYFUNCTION("""COMPUTED_VALUE"""),"0644791409")</f>
        <v>0644791409</v>
      </c>
      <c r="N2239" s="3">
        <f>IFERROR(__xludf.DUMMYFUNCTION("""COMPUTED_VALUE"""),11223.0)</f>
        <v>11223</v>
      </c>
      <c r="O2239" s="3" t="str">
        <f>IFERROR(__xludf.DUMMYFUNCTION("""COMPUTED_VALUE"""),"นครพนม")</f>
        <v>นครพนม</v>
      </c>
      <c r="P2239" s="4">
        <f>IFERROR(__xludf.DUMMYFUNCTION("""COMPUTED_VALUE"""),41724.0)</f>
        <v>41724</v>
      </c>
      <c r="Q2239" s="3" t="str">
        <f>IFERROR(__xludf.DUMMYFUNCTION("""COMPUTED_VALUE"""),"A")</f>
        <v>A</v>
      </c>
      <c r="R2239" s="3" t="str">
        <f>IFERROR(__xludf.DUMMYFUNCTION("""COMPUTED_VALUE"""),"Big Format")</f>
        <v>Big Format</v>
      </c>
      <c r="S2239" s="3" t="str">
        <f>IFERROR(__xludf.DUMMYFUNCTION("""COMPUTED_VALUE"""),"PURE")</f>
        <v>PURE</v>
      </c>
      <c r="T2239" s="3" t="str">
        <f>IFERROR(__xludf.DUMMYFUNCTION("""COMPUTED_VALUE"""),"#N/A")</f>
        <v>#N/A</v>
      </c>
      <c r="U2239" s="3" t="str">
        <f>IFERROR(__xludf.DUMMYFUNCTION("""COMPUTED_VALUE"""),"#N/A")</f>
        <v>#N/A</v>
      </c>
      <c r="V2239" s="3" t="str">
        <f>IFERROR(__xludf.DUMMYFUNCTION("""COMPUTED_VALUE"""),"N")</f>
        <v>N</v>
      </c>
      <c r="W2239" s="3">
        <f>IFERROR(__xludf.DUMMYFUNCTION("""COMPUTED_VALUE"""),111223.0)</f>
        <v>111223</v>
      </c>
      <c r="X2239" s="3" t="str">
        <f>IFERROR(__xludf.DUMMYFUNCTION("""COMPUTED_VALUE"""),"9/2 ซอยร่วมมิตร ถนนนิตโย ตำบลหนองญาติ อำเภอเมืองนครพนม จังหวัดนครพนม 48000")</f>
        <v>9/2 ซอยร่วมมิตร ถนนนิตโย ตำบลหนองญาติ อำเภอเมืองนครพนม จังหวัดนครพนม 48000</v>
      </c>
      <c r="Y2239" s="3" t="str">
        <f>IFERROR(__xludf.DUMMYFUNCTION("""COMPUTED_VALUE"""),"ซอยร่วมมิตร")</f>
        <v>ซอยร่วมมิตร</v>
      </c>
      <c r="Z2239" s="3" t="str">
        <f>IFERROR(__xludf.DUMMYFUNCTION("""COMPUTED_VALUE"""),"หนองญาติ")</f>
        <v>หนองญาติ</v>
      </c>
      <c r="AA2239" s="3" t="str">
        <f>IFERROR(__xludf.DUMMYFUNCTION("""COMPUTED_VALUE"""),"เมือง")</f>
        <v>เมือง</v>
      </c>
      <c r="AB2239" s="3" t="str">
        <f>IFERROR(__xludf.DUMMYFUNCTION("""COMPUTED_VALUE"""),"นครพนม")</f>
        <v>นครพนม</v>
      </c>
      <c r="AC2239" s="3">
        <f>IFERROR(__xludf.DUMMYFUNCTION("""COMPUTED_VALUE"""),48000.0)</f>
        <v>48000</v>
      </c>
      <c r="AD2239" s="3">
        <f>IFERROR(__xludf.DUMMYFUNCTION("""COMPUTED_VALUE"""),0.0)</f>
        <v>0</v>
      </c>
      <c r="AE2239" s="3">
        <f>IFERROR(__xludf.DUMMYFUNCTION("""COMPUTED_VALUE"""),0.0)</f>
        <v>0</v>
      </c>
      <c r="AF2239" s="3" t="str">
        <f>IFERROR(__xludf.DUMMYFUNCTION("""COMPUTED_VALUE"""),"Pure นครพนม-41133")</f>
        <v>Pure นครพนม-41133</v>
      </c>
      <c r="AG2239" s="3" t="str">
        <f>IFERROR(__xludf.DUMMYFUNCTION("""COMPUTED_VALUE"""),"ตะวันออกเฉียงเหนือ")</f>
        <v>ตะวันออกเฉียงเหนือ</v>
      </c>
      <c r="AH2239" s="3" t="str">
        <f>IFERROR(__xludf.DUMMYFUNCTION("""COMPUTED_VALUE"""),"#N/A")</f>
        <v>#N/A</v>
      </c>
      <c r="AI2239" s="3" t="str">
        <f>IFERROR(__xludf.DUMMYFUNCTION("""COMPUTED_VALUE"""),"Out of warranty")</f>
        <v>Out of warranty</v>
      </c>
      <c r="AJ2239" s="3">
        <f>IFERROR(__xludf.DUMMYFUNCTION("""COMPUTED_VALUE"""),142.0)</f>
        <v>142</v>
      </c>
      <c r="AK2239" s="3"/>
      <c r="AL2239" s="3"/>
    </row>
    <row r="2240" ht="15.75" customHeight="1">
      <c r="A2240" s="1" t="str">
        <f>IFERROR(__xludf.DUMMYFUNCTION("""COMPUTED_VALUE"""),"41134")</f>
        <v>41134</v>
      </c>
      <c r="B2240" s="2">
        <f>IFERROR(__xludf.DUMMYFUNCTION("""COMPUTED_VALUE"""),41134.0)</f>
        <v>41134</v>
      </c>
      <c r="C2240" s="3" t="str">
        <f>IFERROR(__xludf.DUMMYFUNCTION("""COMPUTED_VALUE"""),"Pure กาญจนบุรี")</f>
        <v>Pure กาญจนบุรี</v>
      </c>
      <c r="D2240" s="3" t="str">
        <f>IFERROR(__xludf.DUMMYFUNCTION("""COMPUTED_VALUE"""),"BIGC KANCHANABURI PURE")</f>
        <v>BIGC KANCHANABURI PURE</v>
      </c>
      <c r="E2240" s="1" t="str">
        <f>IFERROR(__xludf.DUMMYFUNCTION("""COMPUTED_VALUE"""),"PURE")</f>
        <v>PURE</v>
      </c>
      <c r="F2240" s="1" t="str">
        <f>IFERROR(__xludf.DUMMYFUNCTION("""COMPUTED_VALUE"""),"2010612")</f>
        <v>2010612</v>
      </c>
      <c r="G2240" s="1" t="str">
        <f>IFERROR(__xludf.DUMMYFUNCTION("""COMPUTED_VALUE"""),"น.ส.วรรณพร เกตุเลิศประเสริฐ")</f>
        <v>น.ส.วรรณพร เกตุเลิศประเสริฐ</v>
      </c>
      <c r="H2240" s="1" t="str">
        <f>IFERROR(__xludf.DUMMYFUNCTION("""COMPUTED_VALUE"""),"2010612")</f>
        <v>2010612</v>
      </c>
      <c r="I2240" s="1" t="str">
        <f>IFERROR(__xludf.DUMMYFUNCTION("""COMPUTED_VALUE"""),"น.ส.วรรณพร เกตุเลิศประเสริฐ")</f>
        <v>น.ส.วรรณพร เกตุเลิศประเสริฐ</v>
      </c>
      <c r="J2240" s="3">
        <f>IFERROR(__xludf.DUMMYFUNCTION("""COMPUTED_VALUE"""),2455179.0)</f>
        <v>2455179</v>
      </c>
      <c r="K2240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2240" s="1" t="str">
        <f>IFERROR(__xludf.DUMMYFUNCTION("""COMPUTED_VALUE"""),"Hub06-C&amp;W")</f>
        <v>Hub06-C&amp;W</v>
      </c>
      <c r="M2240" s="1" t="str">
        <f>IFERROR(__xludf.DUMMYFUNCTION("""COMPUTED_VALUE"""),"090-993-6896")</f>
        <v>090-993-6896</v>
      </c>
      <c r="N2240" s="3">
        <f>IFERROR(__xludf.DUMMYFUNCTION("""COMPUTED_VALUE"""),11224.0)</f>
        <v>11224</v>
      </c>
      <c r="O2240" s="3" t="str">
        <f>IFERROR(__xludf.DUMMYFUNCTION("""COMPUTED_VALUE"""),"กาญจนบุรี")</f>
        <v>กาญจนบุรี</v>
      </c>
      <c r="P2240" s="4">
        <f>IFERROR(__xludf.DUMMYFUNCTION("""COMPUTED_VALUE"""),41727.0)</f>
        <v>41727</v>
      </c>
      <c r="Q2240" s="3" t="str">
        <f>IFERROR(__xludf.DUMMYFUNCTION("""COMPUTED_VALUE"""),"A")</f>
        <v>A</v>
      </c>
      <c r="R2240" s="3" t="str">
        <f>IFERROR(__xludf.DUMMYFUNCTION("""COMPUTED_VALUE"""),"Big Format")</f>
        <v>Big Format</v>
      </c>
      <c r="S2240" s="3" t="str">
        <f>IFERROR(__xludf.DUMMYFUNCTION("""COMPUTED_VALUE"""),"PURE")</f>
        <v>PURE</v>
      </c>
      <c r="T2240" s="3" t="str">
        <f>IFERROR(__xludf.DUMMYFUNCTION("""COMPUTED_VALUE"""),"#N/A")</f>
        <v>#N/A</v>
      </c>
      <c r="U2240" s="3" t="str">
        <f>IFERROR(__xludf.DUMMYFUNCTION("""COMPUTED_VALUE"""),"#N/A")</f>
        <v>#N/A</v>
      </c>
      <c r="V2240" s="3" t="str">
        <f>IFERROR(__xludf.DUMMYFUNCTION("""COMPUTED_VALUE"""),"N")</f>
        <v>N</v>
      </c>
      <c r="W2240" s="3">
        <f>IFERROR(__xludf.DUMMYFUNCTION("""COMPUTED_VALUE"""),111230.0)</f>
        <v>111230</v>
      </c>
      <c r="X2240" s="3" t="str">
        <f>IFERROR(__xludf.DUMMYFUNCTION("""COMPUTED_VALUE"""),"786/8 ถนนแสงชูโตเหนือ ตำบลท่ามะขาม อำเภอเมืองกาญจนบุรี จังหวัดกาญจนบุรี 71000")</f>
        <v>786/8 ถนนแสงชูโตเหนือ ตำบลท่ามะขาม อำเภอเมืองกาญจนบุรี จังหวัดกาญจนบุรี 71000</v>
      </c>
      <c r="Y2240" s="3" t="str">
        <f>IFERROR(__xludf.DUMMYFUNCTION("""COMPUTED_VALUE"""),"ถนนแสงชูโตเหนือ")</f>
        <v>ถนนแสงชูโตเหนือ</v>
      </c>
      <c r="Z2240" s="3" t="str">
        <f>IFERROR(__xludf.DUMMYFUNCTION("""COMPUTED_VALUE"""),"ท่ามะขาม")</f>
        <v>ท่ามะขาม</v>
      </c>
      <c r="AA2240" s="3" t="str">
        <f>IFERROR(__xludf.DUMMYFUNCTION("""COMPUTED_VALUE"""),"เมือง")</f>
        <v>เมือง</v>
      </c>
      <c r="AB2240" s="3" t="str">
        <f>IFERROR(__xludf.DUMMYFUNCTION("""COMPUTED_VALUE"""),"กาญจนบุรี")</f>
        <v>กาญจนบุรี</v>
      </c>
      <c r="AC2240" s="3">
        <f>IFERROR(__xludf.DUMMYFUNCTION("""COMPUTED_VALUE"""),71000.0)</f>
        <v>71000</v>
      </c>
      <c r="AD2240" s="3">
        <f>IFERROR(__xludf.DUMMYFUNCTION("""COMPUTED_VALUE"""),0.0)</f>
        <v>0</v>
      </c>
      <c r="AE2240" s="3">
        <f>IFERROR(__xludf.DUMMYFUNCTION("""COMPUTED_VALUE"""),0.0)</f>
        <v>0</v>
      </c>
      <c r="AF2240" s="3" t="str">
        <f>IFERROR(__xludf.DUMMYFUNCTION("""COMPUTED_VALUE"""),"Pure กาญจนบุรี-41134")</f>
        <v>Pure กาญจนบุรี-41134</v>
      </c>
      <c r="AG2240" s="3" t="str">
        <f>IFERROR(__xludf.DUMMYFUNCTION("""COMPUTED_VALUE"""),"ตะวันตก")</f>
        <v>ตะวันตก</v>
      </c>
      <c r="AH2240" s="3" t="str">
        <f>IFERROR(__xludf.DUMMYFUNCTION("""COMPUTED_VALUE"""),"#N/A")</f>
        <v>#N/A</v>
      </c>
      <c r="AI2240" s="3" t="str">
        <f>IFERROR(__xludf.DUMMYFUNCTION("""COMPUTED_VALUE"""),"Out of warranty")</f>
        <v>Out of warranty</v>
      </c>
      <c r="AJ2240" s="3">
        <f>IFERROR(__xludf.DUMMYFUNCTION("""COMPUTED_VALUE"""),142.0)</f>
        <v>142</v>
      </c>
      <c r="AK2240" s="3"/>
      <c r="AL2240" s="3"/>
    </row>
    <row r="2241" ht="15.75" customHeight="1">
      <c r="A2241" s="1" t="str">
        <f>IFERROR(__xludf.DUMMYFUNCTION("""COMPUTED_VALUE"""),"41135")</f>
        <v>41135</v>
      </c>
      <c r="B2241" s="2">
        <f>IFERROR(__xludf.DUMMYFUNCTION("""COMPUTED_VALUE"""),41135.0)</f>
        <v>41135</v>
      </c>
      <c r="C2241" s="3" t="str">
        <f>IFERROR(__xludf.DUMMYFUNCTION("""COMPUTED_VALUE"""),"Pure บางปะกอก")</f>
        <v>Pure บางปะกอก</v>
      </c>
      <c r="D2241" s="3" t="str">
        <f>IFERROR(__xludf.DUMMYFUNCTION("""COMPUTED_VALUE"""),"BIGC BANGPAKOK PURE")</f>
        <v>BIGC BANGPAKOK PURE</v>
      </c>
      <c r="E2241" s="1" t="str">
        <f>IFERROR(__xludf.DUMMYFUNCTION("""COMPUTED_VALUE"""),"PURE")</f>
        <v>PURE</v>
      </c>
      <c r="F2241" s="1" t="str">
        <f>IFERROR(__xludf.DUMMYFUNCTION("""COMPUTED_VALUE"""),"2010612")</f>
        <v>2010612</v>
      </c>
      <c r="G2241" s="1" t="str">
        <f>IFERROR(__xludf.DUMMYFUNCTION("""COMPUTED_VALUE"""),"น.ส.วรรณพร เกตุเลิศประเสริฐ")</f>
        <v>น.ส.วรรณพร เกตุเลิศประเสริฐ</v>
      </c>
      <c r="H2241" s="1" t="str">
        <f>IFERROR(__xludf.DUMMYFUNCTION("""COMPUTED_VALUE"""),"2010612")</f>
        <v>2010612</v>
      </c>
      <c r="I2241" s="1" t="str">
        <f>IFERROR(__xludf.DUMMYFUNCTION("""COMPUTED_VALUE"""),"น.ส.วรรณพร เกตุเลิศประเสริฐ")</f>
        <v>น.ส.วรรณพร เกตุเลิศประเสริฐ</v>
      </c>
      <c r="J2241" s="3">
        <f>IFERROR(__xludf.DUMMYFUNCTION("""COMPUTED_VALUE"""),2408546.0)</f>
        <v>2408546</v>
      </c>
      <c r="K2241" s="3" t="str">
        <f>IFERROR(__xludf.DUMMYFUNCTION("""COMPUTED_VALUE"""),"นายเกษมศิษฐ์ ฮดบุญเรือง")</f>
        <v>นายเกษมศิษฐ์ ฮดบุญเรือง</v>
      </c>
      <c r="L2241" s="1" t="str">
        <f>IFERROR(__xludf.DUMMYFUNCTION("""COMPUTED_VALUE"""),"Hub02-BKK 2")</f>
        <v>Hub02-BKK 2</v>
      </c>
      <c r="M2241" s="1" t="str">
        <f>IFERROR(__xludf.DUMMYFUNCTION("""COMPUTED_VALUE"""),"0988580755")</f>
        <v>0988580755</v>
      </c>
      <c r="N2241" s="3">
        <f>IFERROR(__xludf.DUMMYFUNCTION("""COMPUTED_VALUE"""),11196.0)</f>
        <v>11196</v>
      </c>
      <c r="O2241" s="3" t="str">
        <f>IFERROR(__xludf.DUMMYFUNCTION("""COMPUTED_VALUE"""),"บางปะกอก")</f>
        <v>บางปะกอก</v>
      </c>
      <c r="P2241" s="4">
        <f>IFERROR(__xludf.DUMMYFUNCTION("""COMPUTED_VALUE"""),41741.0)</f>
        <v>41741</v>
      </c>
      <c r="Q2241" s="3" t="str">
        <f>IFERROR(__xludf.DUMMYFUNCTION("""COMPUTED_VALUE"""),"A")</f>
        <v>A</v>
      </c>
      <c r="R2241" s="3" t="str">
        <f>IFERROR(__xludf.DUMMYFUNCTION("""COMPUTED_VALUE"""),"Big Format")</f>
        <v>Big Format</v>
      </c>
      <c r="S2241" s="3" t="str">
        <f>IFERROR(__xludf.DUMMYFUNCTION("""COMPUTED_VALUE"""),"PURE")</f>
        <v>PURE</v>
      </c>
      <c r="T2241" s="3" t="str">
        <f>IFERROR(__xludf.DUMMYFUNCTION("""COMPUTED_VALUE"""),"#N/A")</f>
        <v>#N/A</v>
      </c>
      <c r="U2241" s="3" t="str">
        <f>IFERROR(__xludf.DUMMYFUNCTION("""COMPUTED_VALUE"""),"#N/A")</f>
        <v>#N/A</v>
      </c>
      <c r="V2241" s="3" t="str">
        <f>IFERROR(__xludf.DUMMYFUNCTION("""COMPUTED_VALUE"""),"N")</f>
        <v>N</v>
      </c>
      <c r="W2241" s="3">
        <f>IFERROR(__xludf.DUMMYFUNCTION("""COMPUTED_VALUE"""),111196.0)</f>
        <v>111196</v>
      </c>
      <c r="X2241" s="3" t="str">
        <f>IFERROR(__xludf.DUMMYFUNCTION("""COMPUTED_VALUE"""),"278 หมู่ที่ 1 ถนนสุขสวัสดิ์ แขวงบางปะกอก เขตราษฎร์บูรณะ กรุงเทพฯ 10140")</f>
        <v>278 หมู่ที่ 1 ถนนสุขสวัสดิ์ แขวงบางปะกอก เขตราษฎร์บูรณะ กรุงเทพฯ 10140</v>
      </c>
      <c r="Y2241" s="3" t="str">
        <f>IFERROR(__xludf.DUMMYFUNCTION("""COMPUTED_VALUE"""),"ถนนสุขสวัสดิ์")</f>
        <v>ถนนสุขสวัสดิ์</v>
      </c>
      <c r="Z2241" s="3" t="str">
        <f>IFERROR(__xludf.DUMMYFUNCTION("""COMPUTED_VALUE"""),"บางปะกอก")</f>
        <v>บางปะกอก</v>
      </c>
      <c r="AA2241" s="3" t="str">
        <f>IFERROR(__xludf.DUMMYFUNCTION("""COMPUTED_VALUE"""),"ราษฎร์บูรณะ")</f>
        <v>ราษฎร์บูรณะ</v>
      </c>
      <c r="AB2241" s="3" t="str">
        <f>IFERROR(__xludf.DUMMYFUNCTION("""COMPUTED_VALUE"""),"กรุงเทพมหานคร")</f>
        <v>กรุงเทพมหานคร</v>
      </c>
      <c r="AC2241" s="3">
        <f>IFERROR(__xludf.DUMMYFUNCTION("""COMPUTED_VALUE"""),10140.0)</f>
        <v>10140</v>
      </c>
      <c r="AD2241" s="3">
        <f>IFERROR(__xludf.DUMMYFUNCTION("""COMPUTED_VALUE"""),0.0)</f>
        <v>0</v>
      </c>
      <c r="AE2241" s="3">
        <f>IFERROR(__xludf.DUMMYFUNCTION("""COMPUTED_VALUE"""),0.0)</f>
        <v>0</v>
      </c>
      <c r="AF2241" s="3" t="str">
        <f>IFERROR(__xludf.DUMMYFUNCTION("""COMPUTED_VALUE"""),"Pure บางปะกอก-41135")</f>
        <v>Pure บางปะกอก-41135</v>
      </c>
      <c r="AG2241" s="3" t="str">
        <f>IFERROR(__xludf.DUMMYFUNCTION("""COMPUTED_VALUE"""),"กลาง")</f>
        <v>กลาง</v>
      </c>
      <c r="AH2241" s="3" t="str">
        <f>IFERROR(__xludf.DUMMYFUNCTION("""COMPUTED_VALUE"""),"#N/A")</f>
        <v>#N/A</v>
      </c>
      <c r="AI2241" s="3" t="str">
        <f>IFERROR(__xludf.DUMMYFUNCTION("""COMPUTED_VALUE"""),"Out of warranty")</f>
        <v>Out of warranty</v>
      </c>
      <c r="AJ2241" s="3">
        <f>IFERROR(__xludf.DUMMYFUNCTION("""COMPUTED_VALUE"""),142.0)</f>
        <v>142</v>
      </c>
      <c r="AK2241" s="3"/>
      <c r="AL2241" s="3"/>
    </row>
    <row r="2242" ht="15.75" customHeight="1">
      <c r="A2242" s="1" t="str">
        <f>IFERROR(__xludf.DUMMYFUNCTION("""COMPUTED_VALUE"""),"41136")</f>
        <v>41136</v>
      </c>
      <c r="B2242" s="2">
        <f>IFERROR(__xludf.DUMMYFUNCTION("""COMPUTED_VALUE"""),41136.0)</f>
        <v>41136</v>
      </c>
      <c r="C2242" s="3" t="str">
        <f>IFERROR(__xludf.DUMMYFUNCTION("""COMPUTED_VALUE"""),"Pure กัลปพฤกษ์")</f>
        <v>Pure กัลปพฤกษ์</v>
      </c>
      <c r="D2242" s="3" t="str">
        <f>IFERROR(__xludf.DUMMYFUNCTION("""COMPUTED_VALUE"""),"BIGC KANLAPAPHRUEK PURE")</f>
        <v>BIGC KANLAPAPHRUEK PURE</v>
      </c>
      <c r="E2242" s="1" t="str">
        <f>IFERROR(__xludf.DUMMYFUNCTION("""COMPUTED_VALUE"""),"PURE")</f>
        <v>PURE</v>
      </c>
      <c r="F2242" s="1" t="str">
        <f>IFERROR(__xludf.DUMMYFUNCTION("""COMPUTED_VALUE"""),"2010612")</f>
        <v>2010612</v>
      </c>
      <c r="G2242" s="1" t="str">
        <f>IFERROR(__xludf.DUMMYFUNCTION("""COMPUTED_VALUE"""),"น.ส.วรรณพร เกตุเลิศประเสริฐ")</f>
        <v>น.ส.วรรณพร เกตุเลิศประเสริฐ</v>
      </c>
      <c r="H2242" s="1" t="str">
        <f>IFERROR(__xludf.DUMMYFUNCTION("""COMPUTED_VALUE"""),"2010612")</f>
        <v>2010612</v>
      </c>
      <c r="I2242" s="1" t="str">
        <f>IFERROR(__xludf.DUMMYFUNCTION("""COMPUTED_VALUE"""),"น.ส.วรรณพร เกตุเลิศประเสริฐ")</f>
        <v>น.ส.วรรณพร เกตุเลิศประเสริฐ</v>
      </c>
      <c r="J2242" s="3">
        <f>IFERROR(__xludf.DUMMYFUNCTION("""COMPUTED_VALUE"""),2454701.0)</f>
        <v>2454701</v>
      </c>
      <c r="K2242" s="3" t="str">
        <f>IFERROR(__xludf.DUMMYFUNCTION("""COMPUTED_VALUE"""),"นายกานต์ ไชยแสงศรี")</f>
        <v>นายกานต์ ไชยแสงศรี</v>
      </c>
      <c r="L2242" s="1" t="str">
        <f>IFERROR(__xludf.DUMMYFUNCTION("""COMPUTED_VALUE"""),"Hub01-BKK 1")</f>
        <v>Hub01-BKK 1</v>
      </c>
      <c r="M2242" s="1" t="str">
        <f>IFERROR(__xludf.DUMMYFUNCTION("""COMPUTED_VALUE"""),"0909090652")</f>
        <v>0909090652</v>
      </c>
      <c r="N2242" s="3">
        <f>IFERROR(__xludf.DUMMYFUNCTION("""COMPUTED_VALUE"""),11221.0)</f>
        <v>11221</v>
      </c>
      <c r="O2242" s="3" t="str">
        <f>IFERROR(__xludf.DUMMYFUNCTION("""COMPUTED_VALUE"""),"กัลปพฤกษ์")</f>
        <v>กัลปพฤกษ์</v>
      </c>
      <c r="P2242" s="4">
        <f>IFERROR(__xludf.DUMMYFUNCTION("""COMPUTED_VALUE"""),41754.0)</f>
        <v>41754</v>
      </c>
      <c r="Q2242" s="3" t="str">
        <f>IFERROR(__xludf.DUMMYFUNCTION("""COMPUTED_VALUE"""),"A")</f>
        <v>A</v>
      </c>
      <c r="R2242" s="3" t="str">
        <f>IFERROR(__xludf.DUMMYFUNCTION("""COMPUTED_VALUE"""),"Big Format")</f>
        <v>Big Format</v>
      </c>
      <c r="S2242" s="3" t="str">
        <f>IFERROR(__xludf.DUMMYFUNCTION("""COMPUTED_VALUE"""),"PURE")</f>
        <v>PURE</v>
      </c>
      <c r="T2242" s="3" t="str">
        <f>IFERROR(__xludf.DUMMYFUNCTION("""COMPUTED_VALUE"""),"#N/A")</f>
        <v>#N/A</v>
      </c>
      <c r="U2242" s="3" t="str">
        <f>IFERROR(__xludf.DUMMYFUNCTION("""COMPUTED_VALUE"""),"#N/A")</f>
        <v>#N/A</v>
      </c>
      <c r="V2242" s="3" t="str">
        <f>IFERROR(__xludf.DUMMYFUNCTION("""COMPUTED_VALUE"""),"N")</f>
        <v>N</v>
      </c>
      <c r="W2242" s="3">
        <f>IFERROR(__xludf.DUMMYFUNCTION("""COMPUTED_VALUE"""),111228.0)</f>
        <v>111228</v>
      </c>
      <c r="X2242" s="3" t="str">
        <f>IFERROR(__xludf.DUMMYFUNCTION("""COMPUTED_VALUE"""),"25 ถนนกัลปพฤกษ์ แขวงคลองบางพราน เขตบางบอน กรุงเทพมหานคร 10150")</f>
        <v>25 ถนนกัลปพฤกษ์ แขวงคลองบางพราน เขตบางบอน กรุงเทพมหานคร 10150</v>
      </c>
      <c r="Y2242" s="3" t="str">
        <f>IFERROR(__xludf.DUMMYFUNCTION("""COMPUTED_VALUE"""),"ถนนกัลปพฤกษ์")</f>
        <v>ถนนกัลปพฤกษ์</v>
      </c>
      <c r="Z2242" s="3" t="str">
        <f>IFERROR(__xludf.DUMMYFUNCTION("""COMPUTED_VALUE"""),"บางบอน")</f>
        <v>บางบอน</v>
      </c>
      <c r="AA2242" s="3" t="str">
        <f>IFERROR(__xludf.DUMMYFUNCTION("""COMPUTED_VALUE"""),"บางบอน")</f>
        <v>บางบอน</v>
      </c>
      <c r="AB2242" s="3" t="str">
        <f>IFERROR(__xludf.DUMMYFUNCTION("""COMPUTED_VALUE"""),"กรุงเทพมหานคร")</f>
        <v>กรุงเทพมหานคร</v>
      </c>
      <c r="AC2242" s="3">
        <f>IFERROR(__xludf.DUMMYFUNCTION("""COMPUTED_VALUE"""),10150.0)</f>
        <v>10150</v>
      </c>
      <c r="AD2242" s="3">
        <f>IFERROR(__xludf.DUMMYFUNCTION("""COMPUTED_VALUE"""),0.0)</f>
        <v>0</v>
      </c>
      <c r="AE2242" s="3">
        <f>IFERROR(__xludf.DUMMYFUNCTION("""COMPUTED_VALUE"""),0.0)</f>
        <v>0</v>
      </c>
      <c r="AF2242" s="3" t="str">
        <f>IFERROR(__xludf.DUMMYFUNCTION("""COMPUTED_VALUE"""),"Pure กัลปพฤกษ์-41136")</f>
        <v>Pure กัลปพฤกษ์-41136</v>
      </c>
      <c r="AG2242" s="3" t="str">
        <f>IFERROR(__xludf.DUMMYFUNCTION("""COMPUTED_VALUE"""),"กลาง")</f>
        <v>กลาง</v>
      </c>
      <c r="AH2242" s="3" t="str">
        <f>IFERROR(__xludf.DUMMYFUNCTION("""COMPUTED_VALUE"""),"#N/A")</f>
        <v>#N/A</v>
      </c>
      <c r="AI2242" s="3" t="str">
        <f>IFERROR(__xludf.DUMMYFUNCTION("""COMPUTED_VALUE"""),"Out of warranty")</f>
        <v>Out of warranty</v>
      </c>
      <c r="AJ2242" s="3">
        <f>IFERROR(__xludf.DUMMYFUNCTION("""COMPUTED_VALUE"""),141.0)</f>
        <v>141</v>
      </c>
      <c r="AK2242" s="3"/>
      <c r="AL2242" s="3"/>
    </row>
    <row r="2243" ht="15.75" customHeight="1">
      <c r="A2243" s="1" t="str">
        <f>IFERROR(__xludf.DUMMYFUNCTION("""COMPUTED_VALUE"""),"41137")</f>
        <v>41137</v>
      </c>
      <c r="B2243" s="2">
        <f>IFERROR(__xludf.DUMMYFUNCTION("""COMPUTED_VALUE"""),41137.0)</f>
        <v>41137</v>
      </c>
      <c r="C2243" s="3" t="str">
        <f>IFERROR(__xludf.DUMMYFUNCTION("""COMPUTED_VALUE"""),"Pure ศรีมหาโพธิ")</f>
        <v>Pure ศรีมหาโพธิ</v>
      </c>
      <c r="D2243" s="3" t="str">
        <f>IFERROR(__xludf.DUMMYFUNCTION("""COMPUTED_VALUE"""),"BIGC SRIMAHAPHO PURE")</f>
        <v>BIGC SRIMAHAPHO PURE</v>
      </c>
      <c r="E2243" s="1" t="str">
        <f>IFERROR(__xludf.DUMMYFUNCTION("""COMPUTED_VALUE"""),"PURE")</f>
        <v>PURE</v>
      </c>
      <c r="F2243" s="1" t="str">
        <f>IFERROR(__xludf.DUMMYFUNCTION("""COMPUTED_VALUE"""),"228469")</f>
        <v>228469</v>
      </c>
      <c r="G2243" s="1" t="str">
        <f>IFERROR(__xludf.DUMMYFUNCTION("""COMPUTED_VALUE"""),"น.ส.บงกช ทำการดี")</f>
        <v>น.ส.บงกช ทำการดี</v>
      </c>
      <c r="H2243" s="1" t="str">
        <f>IFERROR(__xludf.DUMMYFUNCTION("""COMPUTED_VALUE"""),"228469")</f>
        <v>228469</v>
      </c>
      <c r="I2243" s="1" t="str">
        <f>IFERROR(__xludf.DUMMYFUNCTION("""COMPUTED_VALUE"""),"น.ส.บงกช ทำการดี")</f>
        <v>น.ส.บงกช ทำการดี</v>
      </c>
      <c r="J2243" s="3">
        <f>IFERROR(__xludf.DUMMYFUNCTION("""COMPUTED_VALUE"""),2455164.0)</f>
        <v>2455164</v>
      </c>
      <c r="K2243" s="3" t="str">
        <f>IFERROR(__xludf.DUMMYFUNCTION("""COMPUTED_VALUE"""),"นายกรวิทย์ เจริญพร")</f>
        <v>นายกรวิทย์ เจริญพร</v>
      </c>
      <c r="L2243" s="1" t="str">
        <f>IFERROR(__xludf.DUMMYFUNCTION("""COMPUTED_VALUE"""),"Hub08-East")</f>
        <v>Hub08-East</v>
      </c>
      <c r="M2243" s="1" t="str">
        <f>IFERROR(__xludf.DUMMYFUNCTION("""COMPUTED_VALUE"""),"092-605-9922")</f>
        <v>092-605-9922</v>
      </c>
      <c r="N2243" s="3">
        <f>IFERROR(__xludf.DUMMYFUNCTION("""COMPUTED_VALUE"""),11222.0)</f>
        <v>11222</v>
      </c>
      <c r="O2243" s="3" t="str">
        <f>IFERROR(__xludf.DUMMYFUNCTION("""COMPUTED_VALUE"""),"ศรีมหาโพธิ")</f>
        <v>ศรีมหาโพธิ</v>
      </c>
      <c r="P2243" s="4">
        <f>IFERROR(__xludf.DUMMYFUNCTION("""COMPUTED_VALUE"""),41760.0)</f>
        <v>41760</v>
      </c>
      <c r="Q2243" s="3" t="str">
        <f>IFERROR(__xludf.DUMMYFUNCTION("""COMPUTED_VALUE"""),"A")</f>
        <v>A</v>
      </c>
      <c r="R2243" s="3" t="str">
        <f>IFERROR(__xludf.DUMMYFUNCTION("""COMPUTED_VALUE"""),"Big Format")</f>
        <v>Big Format</v>
      </c>
      <c r="S2243" s="3" t="str">
        <f>IFERROR(__xludf.DUMMYFUNCTION("""COMPUTED_VALUE"""),"PURE")</f>
        <v>PURE</v>
      </c>
      <c r="T2243" s="3" t="str">
        <f>IFERROR(__xludf.DUMMYFUNCTION("""COMPUTED_VALUE"""),"#N/A")</f>
        <v>#N/A</v>
      </c>
      <c r="U2243" s="3" t="str">
        <f>IFERROR(__xludf.DUMMYFUNCTION("""COMPUTED_VALUE"""),"#N/A")</f>
        <v>#N/A</v>
      </c>
      <c r="V2243" s="3" t="str">
        <f>IFERROR(__xludf.DUMMYFUNCTION("""COMPUTED_VALUE"""),"N")</f>
        <v>N</v>
      </c>
      <c r="W2243" s="3">
        <f>IFERROR(__xludf.DUMMYFUNCTION("""COMPUTED_VALUE"""),111229.0)</f>
        <v>111229</v>
      </c>
      <c r="X2243" s="3" t="str">
        <f>IFERROR(__xludf.DUMMYFUNCTION("""COMPUTED_VALUE"""),"618 หมู่ 7 ตำบลท่าตูม อำเภอศรีมหาโพธิ จังหวัดปราจีนบุรี 25140")</f>
        <v>618 หมู่ 7 ตำบลท่าตูม อำเภอศรีมหาโพธิ จังหวัดปราจีนบุรี 25140</v>
      </c>
      <c r="Y2243" s="3"/>
      <c r="Z2243" s="3" t="str">
        <f>IFERROR(__xludf.DUMMYFUNCTION("""COMPUTED_VALUE"""),"ท่าตูม")</f>
        <v>ท่าตูม</v>
      </c>
      <c r="AA2243" s="3" t="str">
        <f>IFERROR(__xludf.DUMMYFUNCTION("""COMPUTED_VALUE"""),"ศรีมหาโพธิ")</f>
        <v>ศรีมหาโพธิ</v>
      </c>
      <c r="AB2243" s="3" t="str">
        <f>IFERROR(__xludf.DUMMYFUNCTION("""COMPUTED_VALUE"""),"ปราจีนบุรี")</f>
        <v>ปราจีนบุรี</v>
      </c>
      <c r="AC2243" s="3">
        <f>IFERROR(__xludf.DUMMYFUNCTION("""COMPUTED_VALUE"""),25140.0)</f>
        <v>25140</v>
      </c>
      <c r="AD2243" s="3">
        <f>IFERROR(__xludf.DUMMYFUNCTION("""COMPUTED_VALUE"""),0.0)</f>
        <v>0</v>
      </c>
      <c r="AE2243" s="3">
        <f>IFERROR(__xludf.DUMMYFUNCTION("""COMPUTED_VALUE"""),0.0)</f>
        <v>0</v>
      </c>
      <c r="AF2243" s="3" t="str">
        <f>IFERROR(__xludf.DUMMYFUNCTION("""COMPUTED_VALUE"""),"Pure ศรีมหาโพธิ-41137")</f>
        <v>Pure ศรีมหาโพธิ-41137</v>
      </c>
      <c r="AG2243" s="3" t="str">
        <f>IFERROR(__xludf.DUMMYFUNCTION("""COMPUTED_VALUE"""),"ตะวันออก")</f>
        <v>ตะวันออก</v>
      </c>
      <c r="AH2243" s="3" t="str">
        <f>IFERROR(__xludf.DUMMYFUNCTION("""COMPUTED_VALUE"""),"#N/A")</f>
        <v>#N/A</v>
      </c>
      <c r="AI2243" s="3" t="str">
        <f>IFERROR(__xludf.DUMMYFUNCTION("""COMPUTED_VALUE"""),"Out of warranty")</f>
        <v>Out of warranty</v>
      </c>
      <c r="AJ2243" s="3">
        <f>IFERROR(__xludf.DUMMYFUNCTION("""COMPUTED_VALUE"""),141.0)</f>
        <v>141</v>
      </c>
      <c r="AK2243" s="3"/>
      <c r="AL2243" s="3"/>
    </row>
    <row r="2244" ht="15.75" customHeight="1">
      <c r="A2244" s="1" t="str">
        <f>IFERROR(__xludf.DUMMYFUNCTION("""COMPUTED_VALUE"""),"41138")</f>
        <v>41138</v>
      </c>
      <c r="B2244" s="2">
        <f>IFERROR(__xludf.DUMMYFUNCTION("""COMPUTED_VALUE"""),41138.0)</f>
        <v>41138</v>
      </c>
      <c r="C2244" s="3" t="str">
        <f>IFERROR(__xludf.DUMMYFUNCTION("""COMPUTED_VALUE"""),"Pure สุขาภิบาล3(2)")</f>
        <v>Pure สุขาภิบาล3(2)</v>
      </c>
      <c r="D2244" s="3" t="str">
        <f>IFERROR(__xludf.DUMMYFUNCTION("""COMPUTED_VALUE"""),"BIGC SUKAPIBAL3_2 PURE")</f>
        <v>BIGC SUKAPIBAL3_2 PURE</v>
      </c>
      <c r="E2244" s="1" t="str">
        <f>IFERROR(__xludf.DUMMYFUNCTION("""COMPUTED_VALUE"""),"PURE")</f>
        <v>PURE</v>
      </c>
      <c r="F2244" s="1" t="str">
        <f>IFERROR(__xludf.DUMMYFUNCTION("""COMPUTED_VALUE"""),"211291")</f>
        <v>211291</v>
      </c>
      <c r="G2244" s="1" t="str">
        <f>IFERROR(__xludf.DUMMYFUNCTION("""COMPUTED_VALUE"""),"น.ส.ปนัดดา มากระจันทน์")</f>
        <v>น.ส.ปนัดดา มากระจันทน์</v>
      </c>
      <c r="H2244" s="1" t="str">
        <f>IFERROR(__xludf.DUMMYFUNCTION("""COMPUTED_VALUE"""),"211291")</f>
        <v>211291</v>
      </c>
      <c r="I2244" s="1" t="str">
        <f>IFERROR(__xludf.DUMMYFUNCTION("""COMPUTED_VALUE"""),"น.ส.ปนัดดา มากระจันทน์")</f>
        <v>น.ส.ปนัดดา มากระจันทน์</v>
      </c>
      <c r="J2244" s="3">
        <f>IFERROR(__xludf.DUMMYFUNCTION("""COMPUTED_VALUE"""),1.3461215E7)</f>
        <v>13461215</v>
      </c>
      <c r="K2244" s="3" t="str">
        <f>IFERROR(__xludf.DUMMYFUNCTION("""COMPUTED_VALUE"""),"นายธีรภัทร สังข์เงิน")</f>
        <v>นายธีรภัทร สังข์เงิน</v>
      </c>
      <c r="L2244" s="1" t="str">
        <f>IFERROR(__xludf.DUMMYFUNCTION("""COMPUTED_VALUE"""),"06 K.Teerapat")</f>
        <v>06 K.Teerapat</v>
      </c>
      <c r="M2244" s="1" t="str">
        <f>IFERROR(__xludf.DUMMYFUNCTION("""COMPUTED_VALUE"""),"063-601-6803")</f>
        <v>063-601-6803</v>
      </c>
      <c r="N2244" s="3">
        <f>IFERROR(__xludf.DUMMYFUNCTION("""COMPUTED_VALUE"""),11177.0)</f>
        <v>11177</v>
      </c>
      <c r="O2244" s="3" t="str">
        <f>IFERROR(__xludf.DUMMYFUNCTION("""COMPUTED_VALUE"""),"สุขาภิบาล3-2")</f>
        <v>สุขาภิบาล3-2</v>
      </c>
      <c r="P2244" s="4">
        <f>IFERROR(__xludf.DUMMYFUNCTION("""COMPUTED_VALUE"""),41766.0)</f>
        <v>41766</v>
      </c>
      <c r="Q2244" s="3" t="str">
        <f>IFERROR(__xludf.DUMMYFUNCTION("""COMPUTED_VALUE"""),"A")</f>
        <v>A</v>
      </c>
      <c r="R2244" s="3" t="str">
        <f>IFERROR(__xludf.DUMMYFUNCTION("""COMPUTED_VALUE"""),"Big Format")</f>
        <v>Big Format</v>
      </c>
      <c r="S2244" s="3" t="str">
        <f>IFERROR(__xludf.DUMMYFUNCTION("""COMPUTED_VALUE"""),"PURE")</f>
        <v>PURE</v>
      </c>
      <c r="T2244" s="3" t="str">
        <f>IFERROR(__xludf.DUMMYFUNCTION("""COMPUTED_VALUE"""),"#N/A")</f>
        <v>#N/A</v>
      </c>
      <c r="U2244" s="3" t="str">
        <f>IFERROR(__xludf.DUMMYFUNCTION("""COMPUTED_VALUE"""),"#N/A")</f>
        <v>#N/A</v>
      </c>
      <c r="V2244" s="3" t="str">
        <f>IFERROR(__xludf.DUMMYFUNCTION("""COMPUTED_VALUE"""),"N")</f>
        <v>N</v>
      </c>
      <c r="W2244" s="3">
        <f>IFERROR(__xludf.DUMMYFUNCTION("""COMPUTED_VALUE"""),111177.0)</f>
        <v>111177</v>
      </c>
      <c r="X2244" s="3" t="str">
        <f>IFERROR(__xludf.DUMMYFUNCTION("""COMPUTED_VALUE"""),"1245 ถนนรามคำแหง แขวงหัวหมาก เขตบางกะปิ กรุงเทพฯ 10240")</f>
        <v>1245 ถนนรามคำแหง แขวงหัวหมาก เขตบางกะปิ กรุงเทพฯ 10240</v>
      </c>
      <c r="Y2244" s="3" t="str">
        <f>IFERROR(__xludf.DUMMYFUNCTION("""COMPUTED_VALUE"""),"ถนนรามคำแหง")</f>
        <v>ถนนรามคำแหง</v>
      </c>
      <c r="Z2244" s="3" t="str">
        <f>IFERROR(__xludf.DUMMYFUNCTION("""COMPUTED_VALUE"""),"หัวหมาก")</f>
        <v>หัวหมาก</v>
      </c>
      <c r="AA2244" s="3" t="str">
        <f>IFERROR(__xludf.DUMMYFUNCTION("""COMPUTED_VALUE"""),"บางกะปิ")</f>
        <v>บางกะปิ</v>
      </c>
      <c r="AB2244" s="3" t="str">
        <f>IFERROR(__xludf.DUMMYFUNCTION("""COMPUTED_VALUE"""),"กรุงเทพมหานคร")</f>
        <v>กรุงเทพมหานคร</v>
      </c>
      <c r="AC2244" s="3">
        <f>IFERROR(__xludf.DUMMYFUNCTION("""COMPUTED_VALUE"""),10240.0)</f>
        <v>10240</v>
      </c>
      <c r="AD2244" s="3">
        <f>IFERROR(__xludf.DUMMYFUNCTION("""COMPUTED_VALUE"""),0.0)</f>
        <v>0</v>
      </c>
      <c r="AE2244" s="3">
        <f>IFERROR(__xludf.DUMMYFUNCTION("""COMPUTED_VALUE"""),0.0)</f>
        <v>0</v>
      </c>
      <c r="AF2244" s="3" t="str">
        <f>IFERROR(__xludf.DUMMYFUNCTION("""COMPUTED_VALUE"""),"Pure สุขาภิบาล3(2)-41138")</f>
        <v>Pure สุขาภิบาล3(2)-41138</v>
      </c>
      <c r="AG2244" s="3" t="str">
        <f>IFERROR(__xludf.DUMMYFUNCTION("""COMPUTED_VALUE"""),"กลาง")</f>
        <v>กลาง</v>
      </c>
      <c r="AH2244" s="3" t="str">
        <f>IFERROR(__xludf.DUMMYFUNCTION("""COMPUTED_VALUE"""),"#N/A")</f>
        <v>#N/A</v>
      </c>
      <c r="AI2244" s="3" t="str">
        <f>IFERROR(__xludf.DUMMYFUNCTION("""COMPUTED_VALUE"""),"Out of warranty")</f>
        <v>Out of warranty</v>
      </c>
      <c r="AJ2244" s="3">
        <f>IFERROR(__xludf.DUMMYFUNCTION("""COMPUTED_VALUE"""),141.0)</f>
        <v>141</v>
      </c>
      <c r="AK2244" s="3"/>
      <c r="AL2244" s="3"/>
    </row>
    <row r="2245" ht="15.75" customHeight="1">
      <c r="A2245" s="1" t="str">
        <f>IFERROR(__xludf.DUMMYFUNCTION("""COMPUTED_VALUE"""),"41139")</f>
        <v>41139</v>
      </c>
      <c r="B2245" s="2">
        <f>IFERROR(__xludf.DUMMYFUNCTION("""COMPUTED_VALUE"""),41139.0)</f>
        <v>41139</v>
      </c>
      <c r="C2245" s="3" t="str">
        <f>IFERROR(__xludf.DUMMYFUNCTION("""COMPUTED_VALUE"""),"Pure รามอินทรา")</f>
        <v>Pure รามอินทรา</v>
      </c>
      <c r="D2245" s="3" t="str">
        <f>IFERROR(__xludf.DUMMYFUNCTION("""COMPUTED_VALUE"""),"BIGC RAMINTRA PURE")</f>
        <v>BIGC RAMINTRA PURE</v>
      </c>
      <c r="E2245" s="1" t="str">
        <f>IFERROR(__xludf.DUMMYFUNCTION("""COMPUTED_VALUE"""),"PURE")</f>
        <v>PURE</v>
      </c>
      <c r="F2245" s="1" t="str">
        <f>IFERROR(__xludf.DUMMYFUNCTION("""COMPUTED_VALUE"""),"211291")</f>
        <v>211291</v>
      </c>
      <c r="G2245" s="1" t="str">
        <f>IFERROR(__xludf.DUMMYFUNCTION("""COMPUTED_VALUE"""),"น.ส.ปนัดดา มากระจันทน์")</f>
        <v>น.ส.ปนัดดา มากระจันทน์</v>
      </c>
      <c r="H2245" s="1" t="str">
        <f>IFERROR(__xludf.DUMMYFUNCTION("""COMPUTED_VALUE"""),"211291")</f>
        <v>211291</v>
      </c>
      <c r="I2245" s="1" t="str">
        <f>IFERROR(__xludf.DUMMYFUNCTION("""COMPUTED_VALUE"""),"น.ส.ปนัดดา มากระจันทน์")</f>
        <v>น.ส.ปนัดดา มากระจันทน์</v>
      </c>
      <c r="J2245" s="3">
        <f>IFERROR(__xludf.DUMMYFUNCTION("""COMPUTED_VALUE"""),2408546.0)</f>
        <v>2408546</v>
      </c>
      <c r="K2245" s="3" t="str">
        <f>IFERROR(__xludf.DUMMYFUNCTION("""COMPUTED_VALUE"""),"นายเกษมศิษฐ์ ฮดบุญเรือง")</f>
        <v>นายเกษมศิษฐ์ ฮดบุญเรือง</v>
      </c>
      <c r="L2245" s="1" t="str">
        <f>IFERROR(__xludf.DUMMYFUNCTION("""COMPUTED_VALUE"""),"Hub02-BKK 2")</f>
        <v>Hub02-BKK 2</v>
      </c>
      <c r="M2245" s="1" t="str">
        <f>IFERROR(__xludf.DUMMYFUNCTION("""COMPUTED_VALUE"""),"0988580755")</f>
        <v>0988580755</v>
      </c>
      <c r="N2245" s="3">
        <f>IFERROR(__xludf.DUMMYFUNCTION("""COMPUTED_VALUE"""),11180.0)</f>
        <v>11180</v>
      </c>
      <c r="O2245" s="3" t="str">
        <f>IFERROR(__xludf.DUMMYFUNCTION("""COMPUTED_VALUE"""),"รามอินทรา")</f>
        <v>รามอินทรา</v>
      </c>
      <c r="P2245" s="4">
        <f>IFERROR(__xludf.DUMMYFUNCTION("""COMPUTED_VALUE"""),41768.0)</f>
        <v>41768</v>
      </c>
      <c r="Q2245" s="3" t="str">
        <f>IFERROR(__xludf.DUMMYFUNCTION("""COMPUTED_VALUE"""),"A")</f>
        <v>A</v>
      </c>
      <c r="R2245" s="3" t="str">
        <f>IFERROR(__xludf.DUMMYFUNCTION("""COMPUTED_VALUE"""),"Big Format")</f>
        <v>Big Format</v>
      </c>
      <c r="S2245" s="3" t="str">
        <f>IFERROR(__xludf.DUMMYFUNCTION("""COMPUTED_VALUE"""),"PURE")</f>
        <v>PURE</v>
      </c>
      <c r="T2245" s="3" t="str">
        <f>IFERROR(__xludf.DUMMYFUNCTION("""COMPUTED_VALUE"""),"#N/A")</f>
        <v>#N/A</v>
      </c>
      <c r="U2245" s="3" t="str">
        <f>IFERROR(__xludf.DUMMYFUNCTION("""COMPUTED_VALUE"""),"#N/A")</f>
        <v>#N/A</v>
      </c>
      <c r="V2245" s="3" t="str">
        <f>IFERROR(__xludf.DUMMYFUNCTION("""COMPUTED_VALUE"""),"N")</f>
        <v>N</v>
      </c>
      <c r="W2245" s="3">
        <f>IFERROR(__xludf.DUMMYFUNCTION("""COMPUTED_VALUE"""),111180.0)</f>
        <v>111180</v>
      </c>
      <c r="X2245" s="3" t="str">
        <f>IFERROR(__xludf.DUMMYFUNCTION("""COMPUTED_VALUE"""),"59 หมู่ที่ 4 แขวงอนุสาวรีย์ เขตบางเขน กรุงเทพฯ 10220")</f>
        <v>59 หมู่ที่ 4 แขวงอนุสาวรีย์ เขตบางเขน กรุงเทพฯ 10220</v>
      </c>
      <c r="Y2245" s="3"/>
      <c r="Z2245" s="3" t="str">
        <f>IFERROR(__xludf.DUMMYFUNCTION("""COMPUTED_VALUE"""),"อนุสาวรีย์")</f>
        <v>อนุสาวรีย์</v>
      </c>
      <c r="AA2245" s="3" t="str">
        <f>IFERROR(__xludf.DUMMYFUNCTION("""COMPUTED_VALUE"""),"บางเขน")</f>
        <v>บางเขน</v>
      </c>
      <c r="AB2245" s="3" t="str">
        <f>IFERROR(__xludf.DUMMYFUNCTION("""COMPUTED_VALUE"""),"กรุงเทพมหานคร")</f>
        <v>กรุงเทพมหานคร</v>
      </c>
      <c r="AC2245" s="3">
        <f>IFERROR(__xludf.DUMMYFUNCTION("""COMPUTED_VALUE"""),10220.0)</f>
        <v>10220</v>
      </c>
      <c r="AD2245" s="3">
        <f>IFERROR(__xludf.DUMMYFUNCTION("""COMPUTED_VALUE"""),0.0)</f>
        <v>0</v>
      </c>
      <c r="AE2245" s="3">
        <f>IFERROR(__xludf.DUMMYFUNCTION("""COMPUTED_VALUE"""),0.0)</f>
        <v>0</v>
      </c>
      <c r="AF2245" s="3" t="str">
        <f>IFERROR(__xludf.DUMMYFUNCTION("""COMPUTED_VALUE"""),"Pure รามอินทรา-41139")</f>
        <v>Pure รามอินทรา-41139</v>
      </c>
      <c r="AG2245" s="3" t="str">
        <f>IFERROR(__xludf.DUMMYFUNCTION("""COMPUTED_VALUE"""),"กลาง")</f>
        <v>กลาง</v>
      </c>
      <c r="AH2245" s="3" t="str">
        <f>IFERROR(__xludf.DUMMYFUNCTION("""COMPUTED_VALUE"""),"#N/A")</f>
        <v>#N/A</v>
      </c>
      <c r="AI2245" s="3" t="str">
        <f>IFERROR(__xludf.DUMMYFUNCTION("""COMPUTED_VALUE"""),"Out of warranty")</f>
        <v>Out of warranty</v>
      </c>
      <c r="AJ2245" s="3">
        <f>IFERROR(__xludf.DUMMYFUNCTION("""COMPUTED_VALUE"""),141.0)</f>
        <v>141</v>
      </c>
      <c r="AK2245" s="3"/>
      <c r="AL2245" s="3"/>
    </row>
    <row r="2246" ht="15.75" customHeight="1">
      <c r="A2246" s="1" t="str">
        <f>IFERROR(__xludf.DUMMYFUNCTION("""COMPUTED_VALUE"""),"41140")</f>
        <v>41140</v>
      </c>
      <c r="B2246" s="2">
        <f>IFERROR(__xludf.DUMMYFUNCTION("""COMPUTED_VALUE"""),41140.0)</f>
        <v>41140</v>
      </c>
      <c r="C2246" s="3" t="str">
        <f>IFERROR(__xludf.DUMMYFUNCTION("""COMPUTED_VALUE"""),"Pure นครศรีธรรมราช")</f>
        <v>Pure นครศรีธรรมราช</v>
      </c>
      <c r="D2246" s="3" t="str">
        <f>IFERROR(__xludf.DUMMYFUNCTION("""COMPUTED_VALUE"""),"BIGC NAKORNSRITHAMMARAT PURE")</f>
        <v>BIGC NAKORNSRITHAMMARAT PURE</v>
      </c>
      <c r="E2246" s="1" t="str">
        <f>IFERROR(__xludf.DUMMYFUNCTION("""COMPUTED_VALUE"""),"PURE")</f>
        <v>PURE</v>
      </c>
      <c r="F2246" s="1" t="str">
        <f>IFERROR(__xludf.DUMMYFUNCTION("""COMPUTED_VALUE"""),"EX0469")</f>
        <v>EX0469</v>
      </c>
      <c r="G2246" s="1" t="str">
        <f>IFERROR(__xludf.DUMMYFUNCTION("""COMPUTED_VALUE"""),"นายเทวฤทธิ์ ฐาปนะสุต")</f>
        <v>นายเทวฤทธิ์ ฐาปนะสุต</v>
      </c>
      <c r="H2246" s="1" t="str">
        <f>IFERROR(__xludf.DUMMYFUNCTION("""COMPUTED_VALUE"""),"291435")</f>
        <v>291435</v>
      </c>
      <c r="I2246" s="1" t="str">
        <f>IFERROR(__xludf.DUMMYFUNCTION("""COMPUTED_VALUE"""),"น.ส.สุกัญญา มณีไพโรจน์")</f>
        <v>น.ส.สุกัญญา มณีไพโรจน์</v>
      </c>
      <c r="J2246" s="3">
        <f>IFERROR(__xludf.DUMMYFUNCTION("""COMPUTED_VALUE"""),295093.0)</f>
        <v>295093</v>
      </c>
      <c r="K2246" s="3" t="str">
        <f>IFERROR(__xludf.DUMMYFUNCTION("""COMPUTED_VALUE"""),"นายธนทร แก้วอนุรักษ์")</f>
        <v>นายธนทร แก้วอนุรักษ์</v>
      </c>
      <c r="L2246" s="1" t="str">
        <f>IFERROR(__xludf.DUMMYFUNCTION("""COMPUTED_VALUE"""),"0")</f>
        <v>0</v>
      </c>
      <c r="M2246" s="1" t="str">
        <f>IFERROR(__xludf.DUMMYFUNCTION("""COMPUTED_VALUE"""),"0")</f>
        <v>0</v>
      </c>
      <c r="N2246" s="3">
        <f>IFERROR(__xludf.DUMMYFUNCTION("""COMPUTED_VALUE"""),11203.0)</f>
        <v>11203</v>
      </c>
      <c r="O2246" s="3" t="str">
        <f>IFERROR(__xludf.DUMMYFUNCTION("""COMPUTED_VALUE"""),"นครศรีธรรมาราช")</f>
        <v>นครศรีธรรมาราช</v>
      </c>
      <c r="P2246" s="4">
        <f>IFERROR(__xludf.DUMMYFUNCTION("""COMPUTED_VALUE"""),41774.0)</f>
        <v>41774</v>
      </c>
      <c r="Q2246" s="3" t="str">
        <f>IFERROR(__xludf.DUMMYFUNCTION("""COMPUTED_VALUE"""),"I")</f>
        <v>I</v>
      </c>
      <c r="R2246" s="3" t="str">
        <f>IFERROR(__xludf.DUMMYFUNCTION("""COMPUTED_VALUE"""),"Big Format")</f>
        <v>Big Format</v>
      </c>
      <c r="S2246" s="3" t="str">
        <f>IFERROR(__xludf.DUMMYFUNCTION("""COMPUTED_VALUE"""),"PURE")</f>
        <v>PURE</v>
      </c>
      <c r="T2246" s="3" t="str">
        <f>IFERROR(__xludf.DUMMYFUNCTION("""COMPUTED_VALUE"""),"#N/A")</f>
        <v>#N/A</v>
      </c>
      <c r="U2246" s="3" t="str">
        <f>IFERROR(__xludf.DUMMYFUNCTION("""COMPUTED_VALUE"""),"#N/A")</f>
        <v>#N/A</v>
      </c>
      <c r="V2246" s="3" t="str">
        <f>IFERROR(__xludf.DUMMYFUNCTION("""COMPUTED_VALUE"""),"N")</f>
        <v>N</v>
      </c>
      <c r="W2246" s="3">
        <f>IFERROR(__xludf.DUMMYFUNCTION("""COMPUTED_VALUE"""),0.0)</f>
        <v>0</v>
      </c>
      <c r="X2246" s="3" t="str">
        <f>IFERROR(__xludf.DUMMYFUNCTION("""COMPUTED_VALUE"""),"1392 ถนนศรีปราชญ์ ตำบลท่าวัง อำเภอเมืองนครศรีธรรมราช จังหวัดนครศรีธรรมราช 80000")</f>
        <v>1392 ถนนศรีปราชญ์ ตำบลท่าวัง อำเภอเมืองนครศรีธรรมราช จังหวัดนครศรีธรรมราช 80000</v>
      </c>
      <c r="Y2246" s="3" t="str">
        <f>IFERROR(__xludf.DUMMYFUNCTION("""COMPUTED_VALUE"""),"ถนนศรีปราชญ์")</f>
        <v>ถนนศรีปราชญ์</v>
      </c>
      <c r="Z2246" s="3" t="str">
        <f>IFERROR(__xludf.DUMMYFUNCTION("""COMPUTED_VALUE"""),"ท่าวัง")</f>
        <v>ท่าวัง</v>
      </c>
      <c r="AA2246" s="3" t="str">
        <f>IFERROR(__xludf.DUMMYFUNCTION("""COMPUTED_VALUE"""),"เมือง")</f>
        <v>เมือง</v>
      </c>
      <c r="AB2246" s="3" t="str">
        <f>IFERROR(__xludf.DUMMYFUNCTION("""COMPUTED_VALUE"""),"นครศรีธรรมราช")</f>
        <v>นครศรีธรรมราช</v>
      </c>
      <c r="AC2246" s="3">
        <f>IFERROR(__xludf.DUMMYFUNCTION("""COMPUTED_VALUE"""),80000.0)</f>
        <v>80000</v>
      </c>
      <c r="AD2246" s="3">
        <f>IFERROR(__xludf.DUMMYFUNCTION("""COMPUTED_VALUE"""),0.0)</f>
        <v>0</v>
      </c>
      <c r="AE2246" s="3">
        <f>IFERROR(__xludf.DUMMYFUNCTION("""COMPUTED_VALUE"""),0.0)</f>
        <v>0</v>
      </c>
      <c r="AF2246" s="3" t="str">
        <f>IFERROR(__xludf.DUMMYFUNCTION("""COMPUTED_VALUE"""),"Pure นครศรีธรรมราช-41140")</f>
        <v>Pure นครศรีธรรมราช-41140</v>
      </c>
      <c r="AG2246" s="3" t="str">
        <f>IFERROR(__xludf.DUMMYFUNCTION("""COMPUTED_VALUE"""),"ใต้")</f>
        <v>ใต้</v>
      </c>
      <c r="AH2246" s="3" t="str">
        <f>IFERROR(__xludf.DUMMYFUNCTION("""COMPUTED_VALUE"""),"#N/A")</f>
        <v>#N/A</v>
      </c>
      <c r="AI2246" s="3" t="str">
        <f>IFERROR(__xludf.DUMMYFUNCTION("""COMPUTED_VALUE"""),"Out of warranty")</f>
        <v>Out of warranty</v>
      </c>
      <c r="AJ2246" s="3">
        <f>IFERROR(__xludf.DUMMYFUNCTION("""COMPUTED_VALUE"""),141.0)</f>
        <v>141</v>
      </c>
      <c r="AK2246" s="3"/>
      <c r="AL2246" s="3"/>
    </row>
    <row r="2247" ht="15.75" customHeight="1">
      <c r="A2247" s="1" t="str">
        <f>IFERROR(__xludf.DUMMYFUNCTION("""COMPUTED_VALUE"""),"41141")</f>
        <v>41141</v>
      </c>
      <c r="B2247" s="2">
        <f>IFERROR(__xludf.DUMMYFUNCTION("""COMPUTED_VALUE"""),41141.0)</f>
        <v>41141</v>
      </c>
      <c r="C2247" s="3" t="str">
        <f>IFERROR(__xludf.DUMMYFUNCTION("""COMPUTED_VALUE"""),"Pure ร่มเกล้า")</f>
        <v>Pure ร่มเกล้า</v>
      </c>
      <c r="D2247" s="3" t="str">
        <f>IFERROR(__xludf.DUMMYFUNCTION("""COMPUTED_VALUE"""),"BIGC ROMKLAO PURE")</f>
        <v>BIGC ROMKLAO PURE</v>
      </c>
      <c r="E2247" s="1" t="str">
        <f>IFERROR(__xludf.DUMMYFUNCTION("""COMPUTED_VALUE"""),"PURE")</f>
        <v>PURE</v>
      </c>
      <c r="F2247" s="1" t="str">
        <f>IFERROR(__xludf.DUMMYFUNCTION("""COMPUTED_VALUE"""),"211291")</f>
        <v>211291</v>
      </c>
      <c r="G2247" s="1" t="str">
        <f>IFERROR(__xludf.DUMMYFUNCTION("""COMPUTED_VALUE"""),"น.ส.ปนัดดา มากระจันทน์")</f>
        <v>น.ส.ปนัดดา มากระจันทน์</v>
      </c>
      <c r="H2247" s="1" t="str">
        <f>IFERROR(__xludf.DUMMYFUNCTION("""COMPUTED_VALUE"""),"211291")</f>
        <v>211291</v>
      </c>
      <c r="I2247" s="1" t="str">
        <f>IFERROR(__xludf.DUMMYFUNCTION("""COMPUTED_VALUE"""),"น.ส.ปนัดดา มากระจันทน์")</f>
        <v>น.ส.ปนัดดา มากระจันทน์</v>
      </c>
      <c r="J2247" s="3">
        <f>IFERROR(__xludf.DUMMYFUNCTION("""COMPUTED_VALUE"""),2454716.0)</f>
        <v>2454716</v>
      </c>
      <c r="K2247" s="3" t="str">
        <f>IFERROR(__xludf.DUMMYFUNCTION("""COMPUTED_VALUE"""),"นายโฆษิต วงค์กะโซ่")</f>
        <v>นายโฆษิต วงค์กะโซ่</v>
      </c>
      <c r="L2247" s="1" t="str">
        <f>IFERROR(__xludf.DUMMYFUNCTION("""COMPUTED_VALUE"""),"Hub03-BKK 3")</f>
        <v>Hub03-BKK 3</v>
      </c>
      <c r="M2247" s="1" t="str">
        <f>IFERROR(__xludf.DUMMYFUNCTION("""COMPUTED_VALUE"""),"062-434-5030")</f>
        <v>062-434-5030</v>
      </c>
      <c r="N2247" s="3">
        <f>IFERROR(__xludf.DUMMYFUNCTION("""COMPUTED_VALUE"""),11202.0)</f>
        <v>11202</v>
      </c>
      <c r="O2247" s="3" t="str">
        <f>IFERROR(__xludf.DUMMYFUNCTION("""COMPUTED_VALUE"""),"ร่มเกล้า")</f>
        <v>ร่มเกล้า</v>
      </c>
      <c r="P2247" s="4">
        <f>IFERROR(__xludf.DUMMYFUNCTION("""COMPUTED_VALUE"""),41782.0)</f>
        <v>41782</v>
      </c>
      <c r="Q2247" s="3" t="str">
        <f>IFERROR(__xludf.DUMMYFUNCTION("""COMPUTED_VALUE"""),"A")</f>
        <v>A</v>
      </c>
      <c r="R2247" s="3" t="str">
        <f>IFERROR(__xludf.DUMMYFUNCTION("""COMPUTED_VALUE"""),"Big Format")</f>
        <v>Big Format</v>
      </c>
      <c r="S2247" s="3" t="str">
        <f>IFERROR(__xludf.DUMMYFUNCTION("""COMPUTED_VALUE"""),"PURE")</f>
        <v>PURE</v>
      </c>
      <c r="T2247" s="3" t="str">
        <f>IFERROR(__xludf.DUMMYFUNCTION("""COMPUTED_VALUE"""),"#N/A")</f>
        <v>#N/A</v>
      </c>
      <c r="U2247" s="3" t="str">
        <f>IFERROR(__xludf.DUMMYFUNCTION("""COMPUTED_VALUE"""),"#N/A")</f>
        <v>#N/A</v>
      </c>
      <c r="V2247" s="3" t="str">
        <f>IFERROR(__xludf.DUMMYFUNCTION("""COMPUTED_VALUE"""),"N")</f>
        <v>N</v>
      </c>
      <c r="W2247" s="3">
        <f>IFERROR(__xludf.DUMMYFUNCTION("""COMPUTED_VALUE"""),111202.0)</f>
        <v>111202</v>
      </c>
      <c r="X2247" s="3" t="str">
        <f>IFERROR(__xludf.DUMMYFUNCTION("""COMPUTED_VALUE"""),"42,44 ถ.ร่มเกล้า แขวงมีนบุรี เขตมีนบุรี กรุงเทพฯ 10510")</f>
        <v>42,44 ถ.ร่มเกล้า แขวงมีนบุรี เขตมีนบุรี กรุงเทพฯ 10510</v>
      </c>
      <c r="Y2247" s="3" t="str">
        <f>IFERROR(__xludf.DUMMYFUNCTION("""COMPUTED_VALUE"""),"ถ.ร่มเกล้า")</f>
        <v>ถ.ร่มเกล้า</v>
      </c>
      <c r="Z2247" s="3" t="str">
        <f>IFERROR(__xludf.DUMMYFUNCTION("""COMPUTED_VALUE"""),"มีนบุรี")</f>
        <v>มีนบุรี</v>
      </c>
      <c r="AA2247" s="3" t="str">
        <f>IFERROR(__xludf.DUMMYFUNCTION("""COMPUTED_VALUE"""),"มีนบุรี")</f>
        <v>มีนบุรี</v>
      </c>
      <c r="AB2247" s="3" t="str">
        <f>IFERROR(__xludf.DUMMYFUNCTION("""COMPUTED_VALUE"""),"กรุงเทพมหานคร")</f>
        <v>กรุงเทพมหานคร</v>
      </c>
      <c r="AC2247" s="3">
        <f>IFERROR(__xludf.DUMMYFUNCTION("""COMPUTED_VALUE"""),10510.0)</f>
        <v>10510</v>
      </c>
      <c r="AD2247" s="3">
        <f>IFERROR(__xludf.DUMMYFUNCTION("""COMPUTED_VALUE"""),0.0)</f>
        <v>0</v>
      </c>
      <c r="AE2247" s="3">
        <f>IFERROR(__xludf.DUMMYFUNCTION("""COMPUTED_VALUE"""),0.0)</f>
        <v>0</v>
      </c>
      <c r="AF2247" s="3" t="str">
        <f>IFERROR(__xludf.DUMMYFUNCTION("""COMPUTED_VALUE"""),"Pure ร่มเกล้า-41141")</f>
        <v>Pure ร่มเกล้า-41141</v>
      </c>
      <c r="AG2247" s="3" t="str">
        <f>IFERROR(__xludf.DUMMYFUNCTION("""COMPUTED_VALUE"""),"กลาง")</f>
        <v>กลาง</v>
      </c>
      <c r="AH2247" s="3" t="str">
        <f>IFERROR(__xludf.DUMMYFUNCTION("""COMPUTED_VALUE"""),"#N/A")</f>
        <v>#N/A</v>
      </c>
      <c r="AI2247" s="3" t="str">
        <f>IFERROR(__xludf.DUMMYFUNCTION("""COMPUTED_VALUE"""),"Out of warranty")</f>
        <v>Out of warranty</v>
      </c>
      <c r="AJ2247" s="3">
        <f>IFERROR(__xludf.DUMMYFUNCTION("""COMPUTED_VALUE"""),140.0)</f>
        <v>140</v>
      </c>
      <c r="AK2247" s="3"/>
      <c r="AL2247" s="3"/>
    </row>
    <row r="2248" ht="15.75" customHeight="1">
      <c r="A2248" s="1" t="str">
        <f>IFERROR(__xludf.DUMMYFUNCTION("""COMPUTED_VALUE"""),"41142")</f>
        <v>41142</v>
      </c>
      <c r="B2248" s="2">
        <f>IFERROR(__xludf.DUMMYFUNCTION("""COMPUTED_VALUE"""),41142.0)</f>
        <v>41142</v>
      </c>
      <c r="C2248" s="3" t="str">
        <f>IFERROR(__xludf.DUMMYFUNCTION("""COMPUTED_VALUE"""),"Pure บางบอน")</f>
        <v>Pure บางบอน</v>
      </c>
      <c r="D2248" s="3" t="str">
        <f>IFERROR(__xludf.DUMMYFUNCTION("""COMPUTED_VALUE"""),"BIGC BANGBON PURE")</f>
        <v>BIGC BANGBON PURE</v>
      </c>
      <c r="E2248" s="1" t="str">
        <f>IFERROR(__xludf.DUMMYFUNCTION("""COMPUTED_VALUE"""),"PURE")</f>
        <v>PURE</v>
      </c>
      <c r="F2248" s="1" t="str">
        <f>IFERROR(__xludf.DUMMYFUNCTION("""COMPUTED_VALUE"""),"2010612")</f>
        <v>2010612</v>
      </c>
      <c r="G2248" s="1" t="str">
        <f>IFERROR(__xludf.DUMMYFUNCTION("""COMPUTED_VALUE"""),"น.ส.วรรณพร เกตุเลิศประเสริฐ")</f>
        <v>น.ส.วรรณพร เกตุเลิศประเสริฐ</v>
      </c>
      <c r="H2248" s="1" t="str">
        <f>IFERROR(__xludf.DUMMYFUNCTION("""COMPUTED_VALUE"""),"2010612")</f>
        <v>2010612</v>
      </c>
      <c r="I2248" s="1" t="str">
        <f>IFERROR(__xludf.DUMMYFUNCTION("""COMPUTED_VALUE"""),"น.ส.วรรณพร เกตุเลิศประเสริฐ")</f>
        <v>น.ส.วรรณพร เกตุเลิศประเสริฐ</v>
      </c>
      <c r="J2248" s="3">
        <f>IFERROR(__xludf.DUMMYFUNCTION("""COMPUTED_VALUE"""),2454701.0)</f>
        <v>2454701</v>
      </c>
      <c r="K2248" s="3" t="str">
        <f>IFERROR(__xludf.DUMMYFUNCTION("""COMPUTED_VALUE"""),"นายกานต์ ไชยแสงศรี")</f>
        <v>นายกานต์ ไชยแสงศรี</v>
      </c>
      <c r="L2248" s="1" t="str">
        <f>IFERROR(__xludf.DUMMYFUNCTION("""COMPUTED_VALUE"""),"Hub01-BKK 1")</f>
        <v>Hub01-BKK 1</v>
      </c>
      <c r="M2248" s="1" t="str">
        <f>IFERROR(__xludf.DUMMYFUNCTION("""COMPUTED_VALUE"""),"0909090652")</f>
        <v>0909090652</v>
      </c>
      <c r="N2248" s="3">
        <f>IFERROR(__xludf.DUMMYFUNCTION("""COMPUTED_VALUE"""),11195.0)</f>
        <v>11195</v>
      </c>
      <c r="O2248" s="3" t="str">
        <f>IFERROR(__xludf.DUMMYFUNCTION("""COMPUTED_VALUE"""),"บางบอน")</f>
        <v>บางบอน</v>
      </c>
      <c r="P2248" s="4">
        <f>IFERROR(__xludf.DUMMYFUNCTION("""COMPUTED_VALUE"""),41786.0)</f>
        <v>41786</v>
      </c>
      <c r="Q2248" s="3" t="str">
        <f>IFERROR(__xludf.DUMMYFUNCTION("""COMPUTED_VALUE"""),"A")</f>
        <v>A</v>
      </c>
      <c r="R2248" s="3" t="str">
        <f>IFERROR(__xludf.DUMMYFUNCTION("""COMPUTED_VALUE"""),"Big Format")</f>
        <v>Big Format</v>
      </c>
      <c r="S2248" s="3" t="str">
        <f>IFERROR(__xludf.DUMMYFUNCTION("""COMPUTED_VALUE"""),"PURE")</f>
        <v>PURE</v>
      </c>
      <c r="T2248" s="3" t="str">
        <f>IFERROR(__xludf.DUMMYFUNCTION("""COMPUTED_VALUE"""),"#N/A")</f>
        <v>#N/A</v>
      </c>
      <c r="U2248" s="3" t="str">
        <f>IFERROR(__xludf.DUMMYFUNCTION("""COMPUTED_VALUE"""),"#N/A")</f>
        <v>#N/A</v>
      </c>
      <c r="V2248" s="3" t="str">
        <f>IFERROR(__xludf.DUMMYFUNCTION("""COMPUTED_VALUE"""),"N")</f>
        <v>N</v>
      </c>
      <c r="W2248" s="3">
        <f>IFERROR(__xludf.DUMMYFUNCTION("""COMPUTED_VALUE"""),111195.0)</f>
        <v>111195</v>
      </c>
      <c r="X2248" s="3" t="str">
        <f>IFERROR(__xludf.DUMMYFUNCTION("""COMPUTED_VALUE"""),"371 ถนนเอกชัย แขวงบางบอน เขตบางบอน กรุงเทพฯ 10150")</f>
        <v>371 ถนนเอกชัย แขวงบางบอน เขตบางบอน กรุงเทพฯ 10150</v>
      </c>
      <c r="Y2248" s="3" t="str">
        <f>IFERROR(__xludf.DUMMYFUNCTION("""COMPUTED_VALUE"""),"ถนนเอกชัย")</f>
        <v>ถนนเอกชัย</v>
      </c>
      <c r="Z2248" s="3" t="str">
        <f>IFERROR(__xludf.DUMMYFUNCTION("""COMPUTED_VALUE"""),"บางบอน")</f>
        <v>บางบอน</v>
      </c>
      <c r="AA2248" s="3" t="str">
        <f>IFERROR(__xludf.DUMMYFUNCTION("""COMPUTED_VALUE"""),"บางบอน")</f>
        <v>บางบอน</v>
      </c>
      <c r="AB2248" s="3" t="str">
        <f>IFERROR(__xludf.DUMMYFUNCTION("""COMPUTED_VALUE"""),"กรุงเทพมหานคร")</f>
        <v>กรุงเทพมหานคร</v>
      </c>
      <c r="AC2248" s="3">
        <f>IFERROR(__xludf.DUMMYFUNCTION("""COMPUTED_VALUE"""),10150.0)</f>
        <v>10150</v>
      </c>
      <c r="AD2248" s="3">
        <f>IFERROR(__xludf.DUMMYFUNCTION("""COMPUTED_VALUE"""),0.0)</f>
        <v>0</v>
      </c>
      <c r="AE2248" s="3">
        <f>IFERROR(__xludf.DUMMYFUNCTION("""COMPUTED_VALUE"""),0.0)</f>
        <v>0</v>
      </c>
      <c r="AF2248" s="3" t="str">
        <f>IFERROR(__xludf.DUMMYFUNCTION("""COMPUTED_VALUE"""),"Pure บางบอน-41142")</f>
        <v>Pure บางบอน-41142</v>
      </c>
      <c r="AG2248" s="3" t="str">
        <f>IFERROR(__xludf.DUMMYFUNCTION("""COMPUTED_VALUE"""),"กลาง")</f>
        <v>กลาง</v>
      </c>
      <c r="AH2248" s="3" t="str">
        <f>IFERROR(__xludf.DUMMYFUNCTION("""COMPUTED_VALUE"""),"#N/A")</f>
        <v>#N/A</v>
      </c>
      <c r="AI2248" s="3" t="str">
        <f>IFERROR(__xludf.DUMMYFUNCTION("""COMPUTED_VALUE"""),"Out of warranty")</f>
        <v>Out of warranty</v>
      </c>
      <c r="AJ2248" s="3">
        <f>IFERROR(__xludf.DUMMYFUNCTION("""COMPUTED_VALUE"""),140.0)</f>
        <v>140</v>
      </c>
      <c r="AK2248" s="3"/>
      <c r="AL2248" s="3"/>
    </row>
    <row r="2249" ht="15.75" customHeight="1">
      <c r="A2249" s="1" t="str">
        <f>IFERROR(__xludf.DUMMYFUNCTION("""COMPUTED_VALUE"""),"41143")</f>
        <v>41143</v>
      </c>
      <c r="B2249" s="2">
        <f>IFERROR(__xludf.DUMMYFUNCTION("""COMPUTED_VALUE"""),41143.0)</f>
        <v>41143</v>
      </c>
      <c r="C2249" s="3" t="str">
        <f>IFERROR(__xludf.DUMMYFUNCTION("""COMPUTED_VALUE"""),"Pure หาดใหญ่ 2")</f>
        <v>Pure หาดใหญ่ 2</v>
      </c>
      <c r="D2249" s="3" t="str">
        <f>IFERROR(__xludf.DUMMYFUNCTION("""COMPUTED_VALUE"""),"BIGC HATYAI-2 PURE")</f>
        <v>BIGC HATYAI-2 PURE</v>
      </c>
      <c r="E2249" s="1" t="str">
        <f>IFERROR(__xludf.DUMMYFUNCTION("""COMPUTED_VALUE"""),"PURE")</f>
        <v>PURE</v>
      </c>
      <c r="F2249" s="1" t="str">
        <f>IFERROR(__xludf.DUMMYFUNCTION("""COMPUTED_VALUE"""),"291435")</f>
        <v>291435</v>
      </c>
      <c r="G2249" s="1" t="str">
        <f>IFERROR(__xludf.DUMMYFUNCTION("""COMPUTED_VALUE"""),"น.ส.สุกัญญา มณีไพโรจน์")</f>
        <v>น.ส.สุกัญญา มณีไพโรจน์</v>
      </c>
      <c r="H2249" s="1" t="str">
        <f>IFERROR(__xludf.DUMMYFUNCTION("""COMPUTED_VALUE"""),"291435")</f>
        <v>291435</v>
      </c>
      <c r="I2249" s="1" t="str">
        <f>IFERROR(__xludf.DUMMYFUNCTION("""COMPUTED_VALUE"""),"น.ส.สุกัญญา มณีไพโรจน์")</f>
        <v>น.ส.สุกัญญา มณีไพโรจน์</v>
      </c>
      <c r="J2249" s="3">
        <f>IFERROR(__xludf.DUMMYFUNCTION("""COMPUTED_VALUE"""),2454709.0)</f>
        <v>2454709</v>
      </c>
      <c r="K2249" s="3" t="str">
        <f>IFERROR(__xludf.DUMMYFUNCTION("""COMPUTED_VALUE"""),"นายประชา เกตุชาติ")</f>
        <v>นายประชา เกตุชาติ</v>
      </c>
      <c r="L2249" s="1" t="str">
        <f>IFERROR(__xludf.DUMMYFUNCTION("""COMPUTED_VALUE"""),"Hub05-South")</f>
        <v>Hub05-South</v>
      </c>
      <c r="M2249" s="1" t="str">
        <f>IFERROR(__xludf.DUMMYFUNCTION("""COMPUTED_VALUE"""),"0659291311")</f>
        <v>0659291311</v>
      </c>
      <c r="N2249" s="3">
        <f>IFERROR(__xludf.DUMMYFUNCTION("""COMPUTED_VALUE"""),11186.0)</f>
        <v>11186</v>
      </c>
      <c r="O2249" s="3" t="str">
        <f>IFERROR(__xludf.DUMMYFUNCTION("""COMPUTED_VALUE"""),"หาดใหญ่-2")</f>
        <v>หาดใหญ่-2</v>
      </c>
      <c r="P2249" s="4">
        <f>IFERROR(__xludf.DUMMYFUNCTION("""COMPUTED_VALUE"""),41788.0)</f>
        <v>41788</v>
      </c>
      <c r="Q2249" s="3" t="str">
        <f>IFERROR(__xludf.DUMMYFUNCTION("""COMPUTED_VALUE"""),"A")</f>
        <v>A</v>
      </c>
      <c r="R2249" s="3" t="str">
        <f>IFERROR(__xludf.DUMMYFUNCTION("""COMPUTED_VALUE"""),"Big Format")</f>
        <v>Big Format</v>
      </c>
      <c r="S2249" s="3" t="str">
        <f>IFERROR(__xludf.DUMMYFUNCTION("""COMPUTED_VALUE"""),"PURE")</f>
        <v>PURE</v>
      </c>
      <c r="T2249" s="3" t="str">
        <f>IFERROR(__xludf.DUMMYFUNCTION("""COMPUTED_VALUE"""),"#N/A")</f>
        <v>#N/A</v>
      </c>
      <c r="U2249" s="3" t="str">
        <f>IFERROR(__xludf.DUMMYFUNCTION("""COMPUTED_VALUE"""),"#N/A")</f>
        <v>#N/A</v>
      </c>
      <c r="V2249" s="3" t="str">
        <f>IFERROR(__xludf.DUMMYFUNCTION("""COMPUTED_VALUE"""),"N")</f>
        <v>N</v>
      </c>
      <c r="W2249" s="3">
        <f>IFERROR(__xludf.DUMMYFUNCTION("""COMPUTED_VALUE"""),111186.0)</f>
        <v>111186</v>
      </c>
      <c r="X2249" s="3" t="str">
        <f>IFERROR(__xludf.DUMMYFUNCTION("""COMPUTED_VALUE"""),"677 ถนนเพชรเกษม ตำบลหาดใหญ่ อำเภอหาดใหญ่ จังหวัดสงขลา 90110")</f>
        <v>677 ถนนเพชรเกษม ตำบลหาดใหญ่ อำเภอหาดใหญ่ จังหวัดสงขลา 90110</v>
      </c>
      <c r="Y2249" s="3" t="str">
        <f>IFERROR(__xludf.DUMMYFUNCTION("""COMPUTED_VALUE"""),"ถนนเพชรเกษม")</f>
        <v>ถนนเพชรเกษม</v>
      </c>
      <c r="Z2249" s="3" t="str">
        <f>IFERROR(__xludf.DUMMYFUNCTION("""COMPUTED_VALUE"""),"หาดใหญ่")</f>
        <v>หาดใหญ่</v>
      </c>
      <c r="AA2249" s="3" t="str">
        <f>IFERROR(__xludf.DUMMYFUNCTION("""COMPUTED_VALUE"""),"หาดใหญ่")</f>
        <v>หาดใหญ่</v>
      </c>
      <c r="AB2249" s="3" t="str">
        <f>IFERROR(__xludf.DUMMYFUNCTION("""COMPUTED_VALUE"""),"สงขลา")</f>
        <v>สงขลา</v>
      </c>
      <c r="AC2249" s="3">
        <f>IFERROR(__xludf.DUMMYFUNCTION("""COMPUTED_VALUE"""),90110.0)</f>
        <v>90110</v>
      </c>
      <c r="AD2249" s="3">
        <f>IFERROR(__xludf.DUMMYFUNCTION("""COMPUTED_VALUE"""),0.0)</f>
        <v>0</v>
      </c>
      <c r="AE2249" s="3">
        <f>IFERROR(__xludf.DUMMYFUNCTION("""COMPUTED_VALUE"""),0.0)</f>
        <v>0</v>
      </c>
      <c r="AF2249" s="3" t="str">
        <f>IFERROR(__xludf.DUMMYFUNCTION("""COMPUTED_VALUE"""),"Pure หาดใหญ่ 2-41143")</f>
        <v>Pure หาดใหญ่ 2-41143</v>
      </c>
      <c r="AG2249" s="3" t="str">
        <f>IFERROR(__xludf.DUMMYFUNCTION("""COMPUTED_VALUE"""),"ใต้")</f>
        <v>ใต้</v>
      </c>
      <c r="AH2249" s="3" t="str">
        <f>IFERROR(__xludf.DUMMYFUNCTION("""COMPUTED_VALUE"""),"#N/A")</f>
        <v>#N/A</v>
      </c>
      <c r="AI2249" s="3" t="str">
        <f>IFERROR(__xludf.DUMMYFUNCTION("""COMPUTED_VALUE"""),"Out of warranty")</f>
        <v>Out of warranty</v>
      </c>
      <c r="AJ2249" s="3">
        <f>IFERROR(__xludf.DUMMYFUNCTION("""COMPUTED_VALUE"""),140.0)</f>
        <v>140</v>
      </c>
      <c r="AK2249" s="3"/>
      <c r="AL2249" s="3"/>
    </row>
    <row r="2250" ht="15.75" customHeight="1">
      <c r="A2250" s="1" t="str">
        <f>IFERROR(__xludf.DUMMYFUNCTION("""COMPUTED_VALUE"""),"41144")</f>
        <v>41144</v>
      </c>
      <c r="B2250" s="2">
        <f>IFERROR(__xludf.DUMMYFUNCTION("""COMPUTED_VALUE"""),41144.0)</f>
        <v>41144</v>
      </c>
      <c r="C2250" s="3" t="str">
        <f>IFERROR(__xludf.DUMMYFUNCTION("""COMPUTED_VALUE"""),"Pure เพชรเกษม 2")</f>
        <v>Pure เพชรเกษม 2</v>
      </c>
      <c r="D2250" s="3" t="str">
        <f>IFERROR(__xludf.DUMMYFUNCTION("""COMPUTED_VALUE"""),"BIGC PHETCHAKASEM-2 PURE")</f>
        <v>BIGC PHETCHAKASEM-2 PURE</v>
      </c>
      <c r="E2250" s="1" t="str">
        <f>IFERROR(__xludf.DUMMYFUNCTION("""COMPUTED_VALUE"""),"PURE")</f>
        <v>PURE</v>
      </c>
      <c r="F2250" s="1" t="str">
        <f>IFERROR(__xludf.DUMMYFUNCTION("""COMPUTED_VALUE"""),"2010612")</f>
        <v>2010612</v>
      </c>
      <c r="G2250" s="1" t="str">
        <f>IFERROR(__xludf.DUMMYFUNCTION("""COMPUTED_VALUE"""),"น.ส.วรรณพร เกตุเลิศประเสริฐ")</f>
        <v>น.ส.วรรณพร เกตุเลิศประเสริฐ</v>
      </c>
      <c r="H2250" s="1" t="str">
        <f>IFERROR(__xludf.DUMMYFUNCTION("""COMPUTED_VALUE"""),"2010612")</f>
        <v>2010612</v>
      </c>
      <c r="I2250" s="1" t="str">
        <f>IFERROR(__xludf.DUMMYFUNCTION("""COMPUTED_VALUE"""),"น.ส.วรรณพร เกตุเลิศประเสริฐ")</f>
        <v>น.ส.วรรณพร เกตุเลิศประเสริฐ</v>
      </c>
      <c r="J2250" s="3">
        <f>IFERROR(__xludf.DUMMYFUNCTION("""COMPUTED_VALUE"""),2454701.0)</f>
        <v>2454701</v>
      </c>
      <c r="K2250" s="3" t="str">
        <f>IFERROR(__xludf.DUMMYFUNCTION("""COMPUTED_VALUE"""),"นายกานต์ ไชยแสงศรี")</f>
        <v>นายกานต์ ไชยแสงศรี</v>
      </c>
      <c r="L2250" s="1" t="str">
        <f>IFERROR(__xludf.DUMMYFUNCTION("""COMPUTED_VALUE"""),"Hub01-BKK 1")</f>
        <v>Hub01-BKK 1</v>
      </c>
      <c r="M2250" s="1" t="str">
        <f>IFERROR(__xludf.DUMMYFUNCTION("""COMPUTED_VALUE"""),"0909090652")</f>
        <v>0909090652</v>
      </c>
      <c r="N2250" s="3">
        <f>IFERROR(__xludf.DUMMYFUNCTION("""COMPUTED_VALUE"""),11179.0)</f>
        <v>11179</v>
      </c>
      <c r="O2250" s="3" t="str">
        <f>IFERROR(__xludf.DUMMYFUNCTION("""COMPUTED_VALUE"""),"เพชรเกษม-2")</f>
        <v>เพชรเกษม-2</v>
      </c>
      <c r="P2250" s="4">
        <f>IFERROR(__xludf.DUMMYFUNCTION("""COMPUTED_VALUE"""),41802.0)</f>
        <v>41802</v>
      </c>
      <c r="Q2250" s="3" t="str">
        <f>IFERROR(__xludf.DUMMYFUNCTION("""COMPUTED_VALUE"""),"A")</f>
        <v>A</v>
      </c>
      <c r="R2250" s="3" t="str">
        <f>IFERROR(__xludf.DUMMYFUNCTION("""COMPUTED_VALUE"""),"Big Format")</f>
        <v>Big Format</v>
      </c>
      <c r="S2250" s="3" t="str">
        <f>IFERROR(__xludf.DUMMYFUNCTION("""COMPUTED_VALUE"""),"PURE")</f>
        <v>PURE</v>
      </c>
      <c r="T2250" s="3" t="str">
        <f>IFERROR(__xludf.DUMMYFUNCTION("""COMPUTED_VALUE"""),"#N/A")</f>
        <v>#N/A</v>
      </c>
      <c r="U2250" s="3" t="str">
        <f>IFERROR(__xludf.DUMMYFUNCTION("""COMPUTED_VALUE"""),"#N/A")</f>
        <v>#N/A</v>
      </c>
      <c r="V2250" s="3" t="str">
        <f>IFERROR(__xludf.DUMMYFUNCTION("""COMPUTED_VALUE"""),"N")</f>
        <v>N</v>
      </c>
      <c r="W2250" s="3">
        <f>IFERROR(__xludf.DUMMYFUNCTION("""COMPUTED_VALUE"""),111179.0)</f>
        <v>111179</v>
      </c>
      <c r="X2250" s="3" t="str">
        <f>IFERROR(__xludf.DUMMYFUNCTION("""COMPUTED_VALUE"""),"178 ถนนเพชรเกษม แขวงหนองค้างพลู เขตหนองแขม กรุงเทพฯ 10160")</f>
        <v>178 ถนนเพชรเกษม แขวงหนองค้างพลู เขตหนองแขม กรุงเทพฯ 10160</v>
      </c>
      <c r="Y2250" s="3" t="str">
        <f>IFERROR(__xludf.DUMMYFUNCTION("""COMPUTED_VALUE"""),"ถนนเพชรเกษม")</f>
        <v>ถนนเพชรเกษม</v>
      </c>
      <c r="Z2250" s="3" t="str">
        <f>IFERROR(__xludf.DUMMYFUNCTION("""COMPUTED_VALUE"""),"หนองค้างพลู")</f>
        <v>หนองค้างพลู</v>
      </c>
      <c r="AA2250" s="3" t="str">
        <f>IFERROR(__xludf.DUMMYFUNCTION("""COMPUTED_VALUE"""),"หนองแขม")</f>
        <v>หนองแขม</v>
      </c>
      <c r="AB2250" s="3" t="str">
        <f>IFERROR(__xludf.DUMMYFUNCTION("""COMPUTED_VALUE"""),"กรุงเทพมหานคร")</f>
        <v>กรุงเทพมหานคร</v>
      </c>
      <c r="AC2250" s="3">
        <f>IFERROR(__xludf.DUMMYFUNCTION("""COMPUTED_VALUE"""),10160.0)</f>
        <v>10160</v>
      </c>
      <c r="AD2250" s="3">
        <f>IFERROR(__xludf.DUMMYFUNCTION("""COMPUTED_VALUE"""),0.0)</f>
        <v>0</v>
      </c>
      <c r="AE2250" s="3">
        <f>IFERROR(__xludf.DUMMYFUNCTION("""COMPUTED_VALUE"""),0.0)</f>
        <v>0</v>
      </c>
      <c r="AF2250" s="3" t="str">
        <f>IFERROR(__xludf.DUMMYFUNCTION("""COMPUTED_VALUE"""),"Pure เพชรเกษม 2-41144")</f>
        <v>Pure เพชรเกษม 2-41144</v>
      </c>
      <c r="AG2250" s="3" t="str">
        <f>IFERROR(__xludf.DUMMYFUNCTION("""COMPUTED_VALUE"""),"กลาง")</f>
        <v>กลาง</v>
      </c>
      <c r="AH2250" s="3" t="str">
        <f>IFERROR(__xludf.DUMMYFUNCTION("""COMPUTED_VALUE"""),"#N/A")</f>
        <v>#N/A</v>
      </c>
      <c r="AI2250" s="3" t="str">
        <f>IFERROR(__xludf.DUMMYFUNCTION("""COMPUTED_VALUE"""),"Out of warranty")</f>
        <v>Out of warranty</v>
      </c>
      <c r="AJ2250" s="3">
        <f>IFERROR(__xludf.DUMMYFUNCTION("""COMPUTED_VALUE"""),140.0)</f>
        <v>140</v>
      </c>
      <c r="AK2250" s="3"/>
      <c r="AL2250" s="3"/>
    </row>
    <row r="2251" ht="15.75" customHeight="1">
      <c r="A2251" s="1" t="str">
        <f>IFERROR(__xludf.DUMMYFUNCTION("""COMPUTED_VALUE"""),"41145")</f>
        <v>41145</v>
      </c>
      <c r="B2251" s="2">
        <f>IFERROR(__xludf.DUMMYFUNCTION("""COMPUTED_VALUE"""),41145.0)</f>
        <v>41145</v>
      </c>
      <c r="C2251" s="3" t="str">
        <f>IFERROR(__xludf.DUMMYFUNCTION("""COMPUTED_VALUE"""),"Pure อิสรภาพ")</f>
        <v>Pure อิสรภาพ</v>
      </c>
      <c r="D2251" s="3" t="str">
        <f>IFERROR(__xludf.DUMMYFUNCTION("""COMPUTED_VALUE"""),"BIGC ISSARAPHAP PURE")</f>
        <v>BIGC ISSARAPHAP PURE</v>
      </c>
      <c r="E2251" s="1" t="str">
        <f>IFERROR(__xludf.DUMMYFUNCTION("""COMPUTED_VALUE"""),"PURE")</f>
        <v>PURE</v>
      </c>
      <c r="F2251" s="1" t="str">
        <f>IFERROR(__xludf.DUMMYFUNCTION("""COMPUTED_VALUE"""),"2010612")</f>
        <v>2010612</v>
      </c>
      <c r="G2251" s="1" t="str">
        <f>IFERROR(__xludf.DUMMYFUNCTION("""COMPUTED_VALUE"""),"น.ส.วรรณพร เกตุเลิศประเสริฐ")</f>
        <v>น.ส.วรรณพร เกตุเลิศประเสริฐ</v>
      </c>
      <c r="H2251" s="1" t="str">
        <f>IFERROR(__xludf.DUMMYFUNCTION("""COMPUTED_VALUE"""),"2010612")</f>
        <v>2010612</v>
      </c>
      <c r="I2251" s="1" t="str">
        <f>IFERROR(__xludf.DUMMYFUNCTION("""COMPUTED_VALUE"""),"น.ส.วรรณพร เกตุเลิศประเสริฐ")</f>
        <v>น.ส.วรรณพร เกตุเลิศประเสริฐ</v>
      </c>
      <c r="J2251" s="3">
        <f>IFERROR(__xludf.DUMMYFUNCTION("""COMPUTED_VALUE"""),2408546.0)</f>
        <v>2408546</v>
      </c>
      <c r="K2251" s="3" t="str">
        <f>IFERROR(__xludf.DUMMYFUNCTION("""COMPUTED_VALUE"""),"นายเกษมศิษฐ์ ฮดบุญเรือง")</f>
        <v>นายเกษมศิษฐ์ ฮดบุญเรือง</v>
      </c>
      <c r="L2251" s="1" t="str">
        <f>IFERROR(__xludf.DUMMYFUNCTION("""COMPUTED_VALUE"""),"Hub02-BKK 2")</f>
        <v>Hub02-BKK 2</v>
      </c>
      <c r="M2251" s="1" t="str">
        <f>IFERROR(__xludf.DUMMYFUNCTION("""COMPUTED_VALUE"""),"0988580755")</f>
        <v>0988580755</v>
      </c>
      <c r="N2251" s="3">
        <f>IFERROR(__xludf.DUMMYFUNCTION("""COMPUTED_VALUE"""),11199.0)</f>
        <v>11199</v>
      </c>
      <c r="O2251" s="3" t="str">
        <f>IFERROR(__xludf.DUMMYFUNCTION("""COMPUTED_VALUE"""),"อิสรภาพ")</f>
        <v>อิสรภาพ</v>
      </c>
      <c r="P2251" s="4">
        <f>IFERROR(__xludf.DUMMYFUNCTION("""COMPUTED_VALUE"""),41803.0)</f>
        <v>41803</v>
      </c>
      <c r="Q2251" s="3" t="str">
        <f>IFERROR(__xludf.DUMMYFUNCTION("""COMPUTED_VALUE"""),"A")</f>
        <v>A</v>
      </c>
      <c r="R2251" s="3" t="str">
        <f>IFERROR(__xludf.DUMMYFUNCTION("""COMPUTED_VALUE"""),"Big Format")</f>
        <v>Big Format</v>
      </c>
      <c r="S2251" s="3" t="str">
        <f>IFERROR(__xludf.DUMMYFUNCTION("""COMPUTED_VALUE"""),"PURE")</f>
        <v>PURE</v>
      </c>
      <c r="T2251" s="3" t="str">
        <f>IFERROR(__xludf.DUMMYFUNCTION("""COMPUTED_VALUE"""),"#N/A")</f>
        <v>#N/A</v>
      </c>
      <c r="U2251" s="3" t="str">
        <f>IFERROR(__xludf.DUMMYFUNCTION("""COMPUTED_VALUE"""),"#N/A")</f>
        <v>#N/A</v>
      </c>
      <c r="V2251" s="3" t="str">
        <f>IFERROR(__xludf.DUMMYFUNCTION("""COMPUTED_VALUE"""),"N")</f>
        <v>N</v>
      </c>
      <c r="W2251" s="3">
        <f>IFERROR(__xludf.DUMMYFUNCTION("""COMPUTED_VALUE"""),111199.0)</f>
        <v>111199</v>
      </c>
      <c r="X2251" s="3" t="str">
        <f>IFERROR(__xludf.DUMMYFUNCTION("""COMPUTED_VALUE"""),"2 ถนนอิสรภาพ แขวงวัดกัลยาณ์ อำเภอธนบุรี กรุงเทพฯ 10600")</f>
        <v>2 ถนนอิสรภาพ แขวงวัดกัลยาณ์ อำเภอธนบุรี กรุงเทพฯ 10600</v>
      </c>
      <c r="Y2251" s="3" t="str">
        <f>IFERROR(__xludf.DUMMYFUNCTION("""COMPUTED_VALUE"""),"ถนนอิสรภาพ")</f>
        <v>ถนนอิสรภาพ</v>
      </c>
      <c r="Z2251" s="3" t="str">
        <f>IFERROR(__xludf.DUMMYFUNCTION("""COMPUTED_VALUE"""),"วัดกัลยาณ์")</f>
        <v>วัดกัลยาณ์</v>
      </c>
      <c r="AA2251" s="3" t="str">
        <f>IFERROR(__xludf.DUMMYFUNCTION("""COMPUTED_VALUE"""),"ธนบุรี")</f>
        <v>ธนบุรี</v>
      </c>
      <c r="AB2251" s="3" t="str">
        <f>IFERROR(__xludf.DUMMYFUNCTION("""COMPUTED_VALUE"""),"กรุงเทพมหานคร")</f>
        <v>กรุงเทพมหานคร</v>
      </c>
      <c r="AC2251" s="3">
        <f>IFERROR(__xludf.DUMMYFUNCTION("""COMPUTED_VALUE"""),10600.0)</f>
        <v>10600</v>
      </c>
      <c r="AD2251" s="3">
        <f>IFERROR(__xludf.DUMMYFUNCTION("""COMPUTED_VALUE"""),0.0)</f>
        <v>0</v>
      </c>
      <c r="AE2251" s="3">
        <f>IFERROR(__xludf.DUMMYFUNCTION("""COMPUTED_VALUE"""),0.0)</f>
        <v>0</v>
      </c>
      <c r="AF2251" s="3" t="str">
        <f>IFERROR(__xludf.DUMMYFUNCTION("""COMPUTED_VALUE"""),"Pure อิสรภาพ-41145")</f>
        <v>Pure อิสรภาพ-41145</v>
      </c>
      <c r="AG2251" s="3" t="str">
        <f>IFERROR(__xludf.DUMMYFUNCTION("""COMPUTED_VALUE"""),"กลาง")</f>
        <v>กลาง</v>
      </c>
      <c r="AH2251" s="3" t="str">
        <f>IFERROR(__xludf.DUMMYFUNCTION("""COMPUTED_VALUE"""),"#N/A")</f>
        <v>#N/A</v>
      </c>
      <c r="AI2251" s="3" t="str">
        <f>IFERROR(__xludf.DUMMYFUNCTION("""COMPUTED_VALUE"""),"Out of warranty")</f>
        <v>Out of warranty</v>
      </c>
      <c r="AJ2251" s="3">
        <f>IFERROR(__xludf.DUMMYFUNCTION("""COMPUTED_VALUE"""),140.0)</f>
        <v>140</v>
      </c>
      <c r="AK2251" s="3"/>
      <c r="AL2251" s="3"/>
    </row>
    <row r="2252" ht="15.75" customHeight="1">
      <c r="A2252" s="1" t="str">
        <f>IFERROR(__xludf.DUMMYFUNCTION("""COMPUTED_VALUE"""),"41146")</f>
        <v>41146</v>
      </c>
      <c r="B2252" s="2">
        <f>IFERROR(__xludf.DUMMYFUNCTION("""COMPUTED_VALUE"""),41146.0)</f>
        <v>41146</v>
      </c>
      <c r="C2252" s="3" t="str">
        <f>IFERROR(__xludf.DUMMYFUNCTION("""COMPUTED_VALUE"""),"Pure อ่อนนุช")</f>
        <v>Pure อ่อนนุช</v>
      </c>
      <c r="D2252" s="3" t="str">
        <f>IFERROR(__xludf.DUMMYFUNCTION("""COMPUTED_VALUE"""),"BIGC ON NUCH PURE")</f>
        <v>BIGC ON NUCH PURE</v>
      </c>
      <c r="E2252" s="1" t="str">
        <f>IFERROR(__xludf.DUMMYFUNCTION("""COMPUTED_VALUE"""),"PURE")</f>
        <v>PURE</v>
      </c>
      <c r="F2252" s="1" t="str">
        <f>IFERROR(__xludf.DUMMYFUNCTION("""COMPUTED_VALUE"""),"228469")</f>
        <v>228469</v>
      </c>
      <c r="G2252" s="1" t="str">
        <f>IFERROR(__xludf.DUMMYFUNCTION("""COMPUTED_VALUE"""),"น.ส.บงกช ทำการดี")</f>
        <v>น.ส.บงกช ทำการดี</v>
      </c>
      <c r="H2252" s="1" t="str">
        <f>IFERROR(__xludf.DUMMYFUNCTION("""COMPUTED_VALUE"""),"228469")</f>
        <v>228469</v>
      </c>
      <c r="I2252" s="1" t="str">
        <f>IFERROR(__xludf.DUMMYFUNCTION("""COMPUTED_VALUE"""),"น.ส.บงกช ทำการดี")</f>
        <v>น.ส.บงกช ทำการดี</v>
      </c>
      <c r="J2252" s="3">
        <f>IFERROR(__xludf.DUMMYFUNCTION("""COMPUTED_VALUE"""),2408546.0)</f>
        <v>2408546</v>
      </c>
      <c r="K2252" s="3" t="str">
        <f>IFERROR(__xludf.DUMMYFUNCTION("""COMPUTED_VALUE"""),"นายเกษมศิษฐ์ ฮดบุญเรือง")</f>
        <v>นายเกษมศิษฐ์ ฮดบุญเรือง</v>
      </c>
      <c r="L2252" s="1" t="str">
        <f>IFERROR(__xludf.DUMMYFUNCTION("""COMPUTED_VALUE"""),"Hub02-BKK 2")</f>
        <v>Hub02-BKK 2</v>
      </c>
      <c r="M2252" s="1" t="str">
        <f>IFERROR(__xludf.DUMMYFUNCTION("""COMPUTED_VALUE"""),"0988580755")</f>
        <v>0988580755</v>
      </c>
      <c r="N2252" s="3">
        <f>IFERROR(__xludf.DUMMYFUNCTION("""COMPUTED_VALUE"""),11182.0)</f>
        <v>11182</v>
      </c>
      <c r="O2252" s="3" t="str">
        <f>IFERROR(__xludf.DUMMYFUNCTION("""COMPUTED_VALUE"""),"อ่อนนุช")</f>
        <v>อ่อนนุช</v>
      </c>
      <c r="P2252" s="4">
        <f>IFERROR(__xludf.DUMMYFUNCTION("""COMPUTED_VALUE"""),41808.0)</f>
        <v>41808</v>
      </c>
      <c r="Q2252" s="3" t="str">
        <f>IFERROR(__xludf.DUMMYFUNCTION("""COMPUTED_VALUE"""),"A")</f>
        <v>A</v>
      </c>
      <c r="R2252" s="3" t="str">
        <f>IFERROR(__xludf.DUMMYFUNCTION("""COMPUTED_VALUE"""),"Big Format")</f>
        <v>Big Format</v>
      </c>
      <c r="S2252" s="3" t="str">
        <f>IFERROR(__xludf.DUMMYFUNCTION("""COMPUTED_VALUE"""),"PURE")</f>
        <v>PURE</v>
      </c>
      <c r="T2252" s="3" t="str">
        <f>IFERROR(__xludf.DUMMYFUNCTION("""COMPUTED_VALUE"""),"#N/A")</f>
        <v>#N/A</v>
      </c>
      <c r="U2252" s="3" t="str">
        <f>IFERROR(__xludf.DUMMYFUNCTION("""COMPUTED_VALUE"""),"#N/A")</f>
        <v>#N/A</v>
      </c>
      <c r="V2252" s="3" t="str">
        <f>IFERROR(__xludf.DUMMYFUNCTION("""COMPUTED_VALUE"""),"N")</f>
        <v>N</v>
      </c>
      <c r="W2252" s="3">
        <f>IFERROR(__xludf.DUMMYFUNCTION("""COMPUTED_VALUE"""),111182.0)</f>
        <v>111182</v>
      </c>
      <c r="X2252" s="3" t="str">
        <f>IFERROR(__xludf.DUMMYFUNCTION("""COMPUTED_VALUE"""),"114 ซอยสุขุมวิท 77 (อ่อนนุช 1) แขวงพระโขนงเหนือ เขตวัฒนา กรุงเทพมหานคร 10110")</f>
        <v>114 ซอยสุขุมวิท 77 (อ่อนนุช 1) แขวงพระโขนงเหนือ เขตวัฒนา กรุงเทพมหานคร 10110</v>
      </c>
      <c r="Y2252" s="3" t="str">
        <f>IFERROR(__xludf.DUMMYFUNCTION("""COMPUTED_VALUE"""),"ซอยสุขุมวิท")</f>
        <v>ซอยสุขุมวิท</v>
      </c>
      <c r="Z2252" s="3" t="str">
        <f>IFERROR(__xludf.DUMMYFUNCTION("""COMPUTED_VALUE"""),"พระโขนงเหนือ")</f>
        <v>พระโขนงเหนือ</v>
      </c>
      <c r="AA2252" s="3" t="str">
        <f>IFERROR(__xludf.DUMMYFUNCTION("""COMPUTED_VALUE"""),"วัฒนา")</f>
        <v>วัฒนา</v>
      </c>
      <c r="AB2252" s="3" t="str">
        <f>IFERROR(__xludf.DUMMYFUNCTION("""COMPUTED_VALUE"""),"กรุงเทพมหานคร")</f>
        <v>กรุงเทพมหานคร</v>
      </c>
      <c r="AC2252" s="3">
        <f>IFERROR(__xludf.DUMMYFUNCTION("""COMPUTED_VALUE"""),10250.0)</f>
        <v>10250</v>
      </c>
      <c r="AD2252" s="3">
        <f>IFERROR(__xludf.DUMMYFUNCTION("""COMPUTED_VALUE"""),0.0)</f>
        <v>0</v>
      </c>
      <c r="AE2252" s="3">
        <f>IFERROR(__xludf.DUMMYFUNCTION("""COMPUTED_VALUE"""),0.0)</f>
        <v>0</v>
      </c>
      <c r="AF2252" s="3" t="str">
        <f>IFERROR(__xludf.DUMMYFUNCTION("""COMPUTED_VALUE"""),"Pure อ่อนนุช-41146")</f>
        <v>Pure อ่อนนุช-41146</v>
      </c>
      <c r="AG2252" s="3" t="str">
        <f>IFERROR(__xludf.DUMMYFUNCTION("""COMPUTED_VALUE"""),"กลาง")</f>
        <v>กลาง</v>
      </c>
      <c r="AH2252" s="3" t="str">
        <f>IFERROR(__xludf.DUMMYFUNCTION("""COMPUTED_VALUE"""),"#N/A")</f>
        <v>#N/A</v>
      </c>
      <c r="AI2252" s="3" t="str">
        <f>IFERROR(__xludf.DUMMYFUNCTION("""COMPUTED_VALUE"""),"Out of warranty")</f>
        <v>Out of warranty</v>
      </c>
      <c r="AJ2252" s="3">
        <f>IFERROR(__xludf.DUMMYFUNCTION("""COMPUTED_VALUE"""),140.0)</f>
        <v>140</v>
      </c>
      <c r="AK2252" s="3"/>
      <c r="AL2252" s="3"/>
    </row>
    <row r="2253" ht="15.75" customHeight="1">
      <c r="A2253" s="1" t="str">
        <f>IFERROR(__xludf.DUMMYFUNCTION("""COMPUTED_VALUE"""),"41153")</f>
        <v>41153</v>
      </c>
      <c r="B2253" s="2">
        <f>IFERROR(__xludf.DUMMYFUNCTION("""COMPUTED_VALUE"""),41153.0)</f>
        <v>41153</v>
      </c>
      <c r="C2253" s="3" t="str">
        <f>IFERROR(__xludf.DUMMYFUNCTION("""COMPUTED_VALUE"""),"Pure บางใหญ่")</f>
        <v>Pure บางใหญ่</v>
      </c>
      <c r="D2253" s="3" t="str">
        <f>IFERROR(__xludf.DUMMYFUNCTION("""COMPUTED_VALUE"""),"BIGC BANGYAI PURE")</f>
        <v>BIGC BANGYAI PURE</v>
      </c>
      <c r="E2253" s="1" t="str">
        <f>IFERROR(__xludf.DUMMYFUNCTION("""COMPUTED_VALUE"""),"PURE")</f>
        <v>PURE</v>
      </c>
      <c r="F2253" s="1" t="str">
        <f>IFERROR(__xludf.DUMMYFUNCTION("""COMPUTED_VALUE"""),"228469")</f>
        <v>228469</v>
      </c>
      <c r="G2253" s="1" t="str">
        <f>IFERROR(__xludf.DUMMYFUNCTION("""COMPUTED_VALUE"""),"น.ส.บงกช ทำการดี")</f>
        <v>น.ส.บงกช ทำการดี</v>
      </c>
      <c r="H2253" s="1" t="str">
        <f>IFERROR(__xludf.DUMMYFUNCTION("""COMPUTED_VALUE"""),"228469")</f>
        <v>228469</v>
      </c>
      <c r="I2253" s="1" t="str">
        <f>IFERROR(__xludf.DUMMYFUNCTION("""COMPUTED_VALUE"""),"น.ส.บงกช ทำการดี")</f>
        <v>น.ส.บงกช ทำการดี</v>
      </c>
      <c r="J2253" s="3">
        <f>IFERROR(__xludf.DUMMYFUNCTION("""COMPUTED_VALUE"""),2454813.0)</f>
        <v>2454813</v>
      </c>
      <c r="K2253" s="3" t="str">
        <f>IFERROR(__xludf.DUMMYFUNCTION("""COMPUTED_VALUE"""),"นายอนุรักษ์ จั่นเที่ยง")</f>
        <v>นายอนุรักษ์ จั่นเที่ยง</v>
      </c>
      <c r="L2253" s="1" t="str">
        <f>IFERROR(__xludf.DUMMYFUNCTION("""COMPUTED_VALUE"""),"Hub04-BKK 4")</f>
        <v>Hub04-BKK 4</v>
      </c>
      <c r="M2253" s="1" t="str">
        <f>IFERROR(__xludf.DUMMYFUNCTION("""COMPUTED_VALUE"""),"0991964531")</f>
        <v>0991964531</v>
      </c>
      <c r="N2253" s="3">
        <f>IFERROR(__xludf.DUMMYFUNCTION("""COMPUTED_VALUE"""),11183.0)</f>
        <v>11183</v>
      </c>
      <c r="O2253" s="3" t="str">
        <f>IFERROR(__xludf.DUMMYFUNCTION("""COMPUTED_VALUE"""),"บางใหญ่")</f>
        <v>บางใหญ่</v>
      </c>
      <c r="P2253" s="4">
        <f>IFERROR(__xludf.DUMMYFUNCTION("""COMPUTED_VALUE"""),42016.0)</f>
        <v>42016</v>
      </c>
      <c r="Q2253" s="3" t="str">
        <f>IFERROR(__xludf.DUMMYFUNCTION("""COMPUTED_VALUE"""),"A")</f>
        <v>A</v>
      </c>
      <c r="R2253" s="3" t="str">
        <f>IFERROR(__xludf.DUMMYFUNCTION("""COMPUTED_VALUE"""),"Big Format")</f>
        <v>Big Format</v>
      </c>
      <c r="S2253" s="3" t="str">
        <f>IFERROR(__xludf.DUMMYFUNCTION("""COMPUTED_VALUE"""),"PURE")</f>
        <v>PURE</v>
      </c>
      <c r="T2253" s="3" t="str">
        <f>IFERROR(__xludf.DUMMYFUNCTION("""COMPUTED_VALUE"""),"#N/A")</f>
        <v>#N/A</v>
      </c>
      <c r="U2253" s="3" t="str">
        <f>IFERROR(__xludf.DUMMYFUNCTION("""COMPUTED_VALUE"""),"#N/A")</f>
        <v>#N/A</v>
      </c>
      <c r="V2253" s="3" t="str">
        <f>IFERROR(__xludf.DUMMYFUNCTION("""COMPUTED_VALUE"""),"N")</f>
        <v>N</v>
      </c>
      <c r="W2253" s="3">
        <f>IFERROR(__xludf.DUMMYFUNCTION("""COMPUTED_VALUE"""),111183.0)</f>
        <v>111183</v>
      </c>
      <c r="X2253" s="3" t="str">
        <f>IFERROR(__xludf.DUMMYFUNCTION("""COMPUTED_VALUE"""),"9/9 หมู่ที่ 11 ถนนตลิ่งชัน-สุพรรณบุรี ตำบลบางรักพัฒนา อำเภอบางบัวทอง จังหวัดนนทบุรี 11110")</f>
        <v>9/9 หมู่ที่ 11 ถนนตลิ่งชัน-สุพรรณบุรี ตำบลบางรักพัฒนา อำเภอบางบัวทอง จังหวัดนนทบุรี 11110</v>
      </c>
      <c r="Y2253" s="3"/>
      <c r="Z2253" s="3" t="str">
        <f>IFERROR(__xludf.DUMMYFUNCTION("""COMPUTED_VALUE"""),"บางรักพัฒนา")</f>
        <v>บางรักพัฒนา</v>
      </c>
      <c r="AA2253" s="3" t="str">
        <f>IFERROR(__xludf.DUMMYFUNCTION("""COMPUTED_VALUE"""),"บางบัวทอง")</f>
        <v>บางบัวทอง</v>
      </c>
      <c r="AB2253" s="3" t="str">
        <f>IFERROR(__xludf.DUMMYFUNCTION("""COMPUTED_VALUE"""),"นนทบุรี")</f>
        <v>นนทบุรี</v>
      </c>
      <c r="AC2253" s="3">
        <f>IFERROR(__xludf.DUMMYFUNCTION("""COMPUTED_VALUE"""),11110.0)</f>
        <v>11110</v>
      </c>
      <c r="AD2253" s="3">
        <f>IFERROR(__xludf.DUMMYFUNCTION("""COMPUTED_VALUE"""),0.0)</f>
        <v>0</v>
      </c>
      <c r="AE2253" s="3">
        <f>IFERROR(__xludf.DUMMYFUNCTION("""COMPUTED_VALUE"""),0.0)</f>
        <v>0</v>
      </c>
      <c r="AF2253" s="3" t="str">
        <f>IFERROR(__xludf.DUMMYFUNCTION("""COMPUTED_VALUE"""),"Pure บางใหญ่-41153")</f>
        <v>Pure บางใหญ่-41153</v>
      </c>
      <c r="AG2253" s="3" t="str">
        <f>IFERROR(__xludf.DUMMYFUNCTION("""COMPUTED_VALUE"""),"กลาง")</f>
        <v>กลาง</v>
      </c>
      <c r="AH2253" s="3" t="str">
        <f>IFERROR(__xludf.DUMMYFUNCTION("""COMPUTED_VALUE"""),"#N/A")</f>
        <v>#N/A</v>
      </c>
      <c r="AI2253" s="3" t="str">
        <f>IFERROR(__xludf.DUMMYFUNCTION("""COMPUTED_VALUE"""),"Out of warranty")</f>
        <v>Out of warranty</v>
      </c>
      <c r="AJ2253" s="3">
        <f>IFERROR(__xludf.DUMMYFUNCTION("""COMPUTED_VALUE"""),133.0)</f>
        <v>133</v>
      </c>
      <c r="AK2253" s="3"/>
      <c r="AL2253" s="3"/>
    </row>
    <row r="2254" ht="15.75" customHeight="1">
      <c r="A2254" s="1" t="str">
        <f>IFERROR(__xludf.DUMMYFUNCTION("""COMPUTED_VALUE"""),"41154")</f>
        <v>41154</v>
      </c>
      <c r="B2254" s="2">
        <f>IFERROR(__xludf.DUMMYFUNCTION("""COMPUTED_VALUE"""),41154.0)</f>
        <v>41154</v>
      </c>
      <c r="C2254" s="3" t="str">
        <f>IFERROR(__xludf.DUMMYFUNCTION("""COMPUTED_VALUE"""),"Pure ฉะเชิงเทรา 2")</f>
        <v>Pure ฉะเชิงเทรา 2</v>
      </c>
      <c r="D2254" s="3" t="str">
        <f>IFERROR(__xludf.DUMMYFUNCTION("""COMPUTED_VALUE"""),"BIGC CHACHOENGSAO-2 PURE")</f>
        <v>BIGC CHACHOENGSAO-2 PURE</v>
      </c>
      <c r="E2254" s="1" t="str">
        <f>IFERROR(__xludf.DUMMYFUNCTION("""COMPUTED_VALUE"""),"PURE")</f>
        <v>PURE</v>
      </c>
      <c r="F2254" s="1" t="str">
        <f>IFERROR(__xludf.DUMMYFUNCTION("""COMPUTED_VALUE"""),"228469")</f>
        <v>228469</v>
      </c>
      <c r="G2254" s="1" t="str">
        <f>IFERROR(__xludf.DUMMYFUNCTION("""COMPUTED_VALUE"""),"น.ส.บงกช ทำการดี")</f>
        <v>น.ส.บงกช ทำการดี</v>
      </c>
      <c r="H2254" s="1" t="str">
        <f>IFERROR(__xludf.DUMMYFUNCTION("""COMPUTED_VALUE"""),"228469")</f>
        <v>228469</v>
      </c>
      <c r="I2254" s="1" t="str">
        <f>IFERROR(__xludf.DUMMYFUNCTION("""COMPUTED_VALUE"""),"น.ส.บงกช ทำการดี")</f>
        <v>น.ส.บงกช ทำการดี</v>
      </c>
      <c r="J2254" s="3">
        <f>IFERROR(__xludf.DUMMYFUNCTION("""COMPUTED_VALUE"""),2455164.0)</f>
        <v>2455164</v>
      </c>
      <c r="K2254" s="3" t="str">
        <f>IFERROR(__xludf.DUMMYFUNCTION("""COMPUTED_VALUE"""),"นายกรวิทย์ เจริญพร")</f>
        <v>นายกรวิทย์ เจริญพร</v>
      </c>
      <c r="L2254" s="1" t="str">
        <f>IFERROR(__xludf.DUMMYFUNCTION("""COMPUTED_VALUE"""),"Hub08-East")</f>
        <v>Hub08-East</v>
      </c>
      <c r="M2254" s="1" t="str">
        <f>IFERROR(__xludf.DUMMYFUNCTION("""COMPUTED_VALUE"""),"092-605-9922")</f>
        <v>092-605-9922</v>
      </c>
      <c r="N2254" s="3">
        <f>IFERROR(__xludf.DUMMYFUNCTION("""COMPUTED_VALUE"""),11204.0)</f>
        <v>11204</v>
      </c>
      <c r="O2254" s="3" t="str">
        <f>IFERROR(__xludf.DUMMYFUNCTION("""COMPUTED_VALUE"""),"ฉะเชิงเทรา2")</f>
        <v>ฉะเชิงเทรา2</v>
      </c>
      <c r="P2254" s="4">
        <f>IFERROR(__xludf.DUMMYFUNCTION("""COMPUTED_VALUE"""),42017.0)</f>
        <v>42017</v>
      </c>
      <c r="Q2254" s="3" t="str">
        <f>IFERROR(__xludf.DUMMYFUNCTION("""COMPUTED_VALUE"""),"A")</f>
        <v>A</v>
      </c>
      <c r="R2254" s="3" t="str">
        <f>IFERROR(__xludf.DUMMYFUNCTION("""COMPUTED_VALUE"""),"Big Format")</f>
        <v>Big Format</v>
      </c>
      <c r="S2254" s="3" t="str">
        <f>IFERROR(__xludf.DUMMYFUNCTION("""COMPUTED_VALUE"""),"PURE")</f>
        <v>PURE</v>
      </c>
      <c r="T2254" s="3" t="str">
        <f>IFERROR(__xludf.DUMMYFUNCTION("""COMPUTED_VALUE"""),"#N/A")</f>
        <v>#N/A</v>
      </c>
      <c r="U2254" s="3" t="str">
        <f>IFERROR(__xludf.DUMMYFUNCTION("""COMPUTED_VALUE"""),"#N/A")</f>
        <v>#N/A</v>
      </c>
      <c r="V2254" s="3" t="str">
        <f>IFERROR(__xludf.DUMMYFUNCTION("""COMPUTED_VALUE"""),"N")</f>
        <v>N</v>
      </c>
      <c r="W2254" s="3">
        <f>IFERROR(__xludf.DUMMYFUNCTION("""COMPUTED_VALUE"""),111204.0)</f>
        <v>111204</v>
      </c>
      <c r="X2254" s="3" t="str">
        <f>IFERROR(__xludf.DUMMYFUNCTION("""COMPUTED_VALUE"""),"28/73 ถนนศรีโสธรตัดใหม่ ตำบลหน้าเมือง อำเภอเมืองฉะเชิงเทรา จังหวัดฉะเชิงเทรา 24000")</f>
        <v>28/73 ถนนศรีโสธรตัดใหม่ ตำบลหน้าเมือง อำเภอเมืองฉะเชิงเทรา จังหวัดฉะเชิงเทรา 24000</v>
      </c>
      <c r="Y2254" s="3" t="str">
        <f>IFERROR(__xludf.DUMMYFUNCTION("""COMPUTED_VALUE"""),"ถนนศรีโสธรตัดใหม่")</f>
        <v>ถนนศรีโสธรตัดใหม่</v>
      </c>
      <c r="Z2254" s="3" t="str">
        <f>IFERROR(__xludf.DUMMYFUNCTION("""COMPUTED_VALUE"""),"หน้าเมือง")</f>
        <v>หน้าเมือง</v>
      </c>
      <c r="AA2254" s="3" t="str">
        <f>IFERROR(__xludf.DUMMYFUNCTION("""COMPUTED_VALUE"""),"เมือง")</f>
        <v>เมือง</v>
      </c>
      <c r="AB2254" s="3" t="str">
        <f>IFERROR(__xludf.DUMMYFUNCTION("""COMPUTED_VALUE"""),"ฉะเชิงเทรา")</f>
        <v>ฉะเชิงเทรา</v>
      </c>
      <c r="AC2254" s="3">
        <f>IFERROR(__xludf.DUMMYFUNCTION("""COMPUTED_VALUE"""),24000.0)</f>
        <v>24000</v>
      </c>
      <c r="AD2254" s="3">
        <f>IFERROR(__xludf.DUMMYFUNCTION("""COMPUTED_VALUE"""),0.0)</f>
        <v>0</v>
      </c>
      <c r="AE2254" s="3">
        <f>IFERROR(__xludf.DUMMYFUNCTION("""COMPUTED_VALUE"""),0.0)</f>
        <v>0</v>
      </c>
      <c r="AF2254" s="3" t="str">
        <f>IFERROR(__xludf.DUMMYFUNCTION("""COMPUTED_VALUE"""),"Pure ฉะเชิงเทรา 2-41154")</f>
        <v>Pure ฉะเชิงเทรา 2-41154</v>
      </c>
      <c r="AG2254" s="3" t="str">
        <f>IFERROR(__xludf.DUMMYFUNCTION("""COMPUTED_VALUE"""),"ตะวันออก")</f>
        <v>ตะวันออก</v>
      </c>
      <c r="AH2254" s="3" t="str">
        <f>IFERROR(__xludf.DUMMYFUNCTION("""COMPUTED_VALUE"""),"#N/A")</f>
        <v>#N/A</v>
      </c>
      <c r="AI2254" s="3" t="str">
        <f>IFERROR(__xludf.DUMMYFUNCTION("""COMPUTED_VALUE"""),"Out of warranty")</f>
        <v>Out of warranty</v>
      </c>
      <c r="AJ2254" s="3">
        <f>IFERROR(__xludf.DUMMYFUNCTION("""COMPUTED_VALUE"""),133.0)</f>
        <v>133</v>
      </c>
      <c r="AK2254" s="3"/>
      <c r="AL2254" s="3"/>
    </row>
    <row r="2255" ht="15.75" customHeight="1">
      <c r="A2255" s="1" t="str">
        <f>IFERROR(__xludf.DUMMYFUNCTION("""COMPUTED_VALUE"""),"41155")</f>
        <v>41155</v>
      </c>
      <c r="B2255" s="2">
        <f>IFERROR(__xludf.DUMMYFUNCTION("""COMPUTED_VALUE"""),41155.0)</f>
        <v>41155</v>
      </c>
      <c r="C2255" s="3" t="str">
        <f>IFERROR(__xludf.DUMMYFUNCTION("""COMPUTED_VALUE"""),"Pure เชียงใหม่ 2")</f>
        <v>Pure เชียงใหม่ 2</v>
      </c>
      <c r="D2255" s="3" t="str">
        <f>IFERROR(__xludf.DUMMYFUNCTION("""COMPUTED_VALUE"""),"BIGC CHIANGMAI-2 PURE")</f>
        <v>BIGC CHIANGMAI-2 PURE</v>
      </c>
      <c r="E2255" s="1" t="str">
        <f>IFERROR(__xludf.DUMMYFUNCTION("""COMPUTED_VALUE"""),"PURE")</f>
        <v>PURE</v>
      </c>
      <c r="F2255" s="1" t="str">
        <f>IFERROR(__xludf.DUMMYFUNCTION("""COMPUTED_VALUE"""),"2082102")</f>
        <v>2082102</v>
      </c>
      <c r="G2255" s="1" t="str">
        <f>IFERROR(__xludf.DUMMYFUNCTION("""COMPUTED_VALUE"""),"น.ส.วัชรา มหาวันแจ่ม")</f>
        <v>น.ส.วัชรา มหาวันแจ่ม</v>
      </c>
      <c r="H2255" s="1" t="str">
        <f>IFERROR(__xludf.DUMMYFUNCTION("""COMPUTED_VALUE"""),"2082102")</f>
        <v>2082102</v>
      </c>
      <c r="I2255" s="1" t="str">
        <f>IFERROR(__xludf.DUMMYFUNCTION("""COMPUTED_VALUE"""),"น.ส.วัชรา มหาวันแจ่ม")</f>
        <v>น.ส.วัชรา มหาวันแจ่ม</v>
      </c>
      <c r="J2255" s="3">
        <f>IFERROR(__xludf.DUMMYFUNCTION("""COMPUTED_VALUE"""),348.0)</f>
        <v>348</v>
      </c>
      <c r="K2255" s="3" t="str">
        <f>IFERROR(__xludf.DUMMYFUNCTION("""COMPUTED_VALUE"""),"นายธีรนันท์ ไม้สนธิ์")</f>
        <v>นายธีรนันท์ ไม้สนธิ์</v>
      </c>
      <c r="L2255" s="1" t="str">
        <f>IFERROR(__xludf.DUMMYFUNCTION("""COMPUTED_VALUE"""),"Hub07-North")</f>
        <v>Hub07-North</v>
      </c>
      <c r="M2255" s="1" t="str">
        <f>IFERROR(__xludf.DUMMYFUNCTION("""COMPUTED_VALUE"""),"0614175866")</f>
        <v>0614175866</v>
      </c>
      <c r="N2255" s="3">
        <f>IFERROR(__xludf.DUMMYFUNCTION("""COMPUTED_VALUE"""),11184.0)</f>
        <v>11184</v>
      </c>
      <c r="O2255" s="3" t="str">
        <f>IFERROR(__xludf.DUMMYFUNCTION("""COMPUTED_VALUE"""),"เชียงใหม่-2")</f>
        <v>เชียงใหม่-2</v>
      </c>
      <c r="P2255" s="4">
        <f>IFERROR(__xludf.DUMMYFUNCTION("""COMPUTED_VALUE"""),42022.0)</f>
        <v>42022</v>
      </c>
      <c r="Q2255" s="3" t="str">
        <f>IFERROR(__xludf.DUMMYFUNCTION("""COMPUTED_VALUE"""),"A")</f>
        <v>A</v>
      </c>
      <c r="R2255" s="3" t="str">
        <f>IFERROR(__xludf.DUMMYFUNCTION("""COMPUTED_VALUE"""),"Big Format")</f>
        <v>Big Format</v>
      </c>
      <c r="S2255" s="3" t="str">
        <f>IFERROR(__xludf.DUMMYFUNCTION("""COMPUTED_VALUE"""),"PURE")</f>
        <v>PURE</v>
      </c>
      <c r="T2255" s="3" t="str">
        <f>IFERROR(__xludf.DUMMYFUNCTION("""COMPUTED_VALUE"""),"#N/A")</f>
        <v>#N/A</v>
      </c>
      <c r="U2255" s="3" t="str">
        <f>IFERROR(__xludf.DUMMYFUNCTION("""COMPUTED_VALUE"""),"#N/A")</f>
        <v>#N/A</v>
      </c>
      <c r="V2255" s="3" t="str">
        <f>IFERROR(__xludf.DUMMYFUNCTION("""COMPUTED_VALUE"""),"N")</f>
        <v>N</v>
      </c>
      <c r="W2255" s="3">
        <f>IFERROR(__xludf.DUMMYFUNCTION("""COMPUTED_VALUE"""),111184.0)</f>
        <v>111184</v>
      </c>
      <c r="X2255" s="3" t="str">
        <f>IFERROR(__xludf.DUMMYFUNCTION("""COMPUTED_VALUE"""),"94 หมู่ 4 ถนนเชียงใหม่-ลำปาง ตำบลหนองป่าครั่ง อำเภอเมือง จังหวัดเชียงใหม่ 50000")</f>
        <v>94 หมู่ 4 ถนนเชียงใหม่-ลำปาง ตำบลหนองป่าครั่ง อำเภอเมือง จังหวัดเชียงใหม่ 50000</v>
      </c>
      <c r="Y2255" s="3"/>
      <c r="Z2255" s="3" t="str">
        <f>IFERROR(__xludf.DUMMYFUNCTION("""COMPUTED_VALUE"""),"หนองป่าครั่ง")</f>
        <v>หนองป่าครั่ง</v>
      </c>
      <c r="AA2255" s="3" t="str">
        <f>IFERROR(__xludf.DUMMYFUNCTION("""COMPUTED_VALUE"""),"เมือง")</f>
        <v>เมือง</v>
      </c>
      <c r="AB2255" s="3" t="str">
        <f>IFERROR(__xludf.DUMMYFUNCTION("""COMPUTED_VALUE"""),"เชียงใหม่")</f>
        <v>เชียงใหม่</v>
      </c>
      <c r="AC2255" s="3">
        <f>IFERROR(__xludf.DUMMYFUNCTION("""COMPUTED_VALUE"""),50000.0)</f>
        <v>50000</v>
      </c>
      <c r="AD2255" s="3">
        <f>IFERROR(__xludf.DUMMYFUNCTION("""COMPUTED_VALUE"""),0.0)</f>
        <v>0</v>
      </c>
      <c r="AE2255" s="3">
        <f>IFERROR(__xludf.DUMMYFUNCTION("""COMPUTED_VALUE"""),0.0)</f>
        <v>0</v>
      </c>
      <c r="AF2255" s="3" t="str">
        <f>IFERROR(__xludf.DUMMYFUNCTION("""COMPUTED_VALUE"""),"Pure เชียงใหม่ 2-41155")</f>
        <v>Pure เชียงใหม่ 2-41155</v>
      </c>
      <c r="AG2255" s="3" t="str">
        <f>IFERROR(__xludf.DUMMYFUNCTION("""COMPUTED_VALUE"""),"เหนือ")</f>
        <v>เหนือ</v>
      </c>
      <c r="AH2255" s="3" t="str">
        <f>IFERROR(__xludf.DUMMYFUNCTION("""COMPUTED_VALUE"""),"#N/A")</f>
        <v>#N/A</v>
      </c>
      <c r="AI2255" s="3" t="str">
        <f>IFERROR(__xludf.DUMMYFUNCTION("""COMPUTED_VALUE"""),"Out of warranty")</f>
        <v>Out of warranty</v>
      </c>
      <c r="AJ2255" s="3">
        <f>IFERROR(__xludf.DUMMYFUNCTION("""COMPUTED_VALUE"""),133.0)</f>
        <v>133</v>
      </c>
      <c r="AK2255" s="3"/>
      <c r="AL2255" s="3"/>
    </row>
    <row r="2256" ht="15.75" customHeight="1">
      <c r="A2256" s="1" t="str">
        <f>IFERROR(__xludf.DUMMYFUNCTION("""COMPUTED_VALUE"""),"41156")</f>
        <v>41156</v>
      </c>
      <c r="B2256" s="2">
        <f>IFERROR(__xludf.DUMMYFUNCTION("""COMPUTED_VALUE"""),41156.0)</f>
        <v>41156</v>
      </c>
      <c r="C2256" s="3" t="str">
        <f>IFERROR(__xludf.DUMMYFUNCTION("""COMPUTED_VALUE"""),"Pure พระราม 4")</f>
        <v>Pure พระราม 4</v>
      </c>
      <c r="D2256" s="3" t="str">
        <f>IFERROR(__xludf.DUMMYFUNCTION("""COMPUTED_VALUE"""),"BIGC RAMA4 PURE")</f>
        <v>BIGC RAMA4 PURE</v>
      </c>
      <c r="E2256" s="1" t="str">
        <f>IFERROR(__xludf.DUMMYFUNCTION("""COMPUTED_VALUE"""),"PURE")</f>
        <v>PURE</v>
      </c>
      <c r="F2256" s="1" t="str">
        <f>IFERROR(__xludf.DUMMYFUNCTION("""COMPUTED_VALUE"""),"211291")</f>
        <v>211291</v>
      </c>
      <c r="G2256" s="1" t="str">
        <f>IFERROR(__xludf.DUMMYFUNCTION("""COMPUTED_VALUE"""),"น.ส.ปนัดดา มากระจันทน์")</f>
        <v>น.ส.ปนัดดา มากระจันทน์</v>
      </c>
      <c r="H2256" s="1" t="str">
        <f>IFERROR(__xludf.DUMMYFUNCTION("""COMPUTED_VALUE"""),"211291")</f>
        <v>211291</v>
      </c>
      <c r="I2256" s="1" t="str">
        <f>IFERROR(__xludf.DUMMYFUNCTION("""COMPUTED_VALUE"""),"น.ส.ปนัดดา มากระจันทน์")</f>
        <v>น.ส.ปนัดดา มากระจันทน์</v>
      </c>
      <c r="J2256" s="3">
        <f>IFERROR(__xludf.DUMMYFUNCTION("""COMPUTED_VALUE"""),2454813.0)</f>
        <v>2454813</v>
      </c>
      <c r="K2256" s="3" t="str">
        <f>IFERROR(__xludf.DUMMYFUNCTION("""COMPUTED_VALUE"""),"นายอนุรักษ์ จั่นเที่ยง")</f>
        <v>นายอนุรักษ์ จั่นเที่ยง</v>
      </c>
      <c r="L2256" s="1" t="str">
        <f>IFERROR(__xludf.DUMMYFUNCTION("""COMPUTED_VALUE"""),"Hub04-BKK 4")</f>
        <v>Hub04-BKK 4</v>
      </c>
      <c r="M2256" s="1" t="str">
        <f>IFERROR(__xludf.DUMMYFUNCTION("""COMPUTED_VALUE"""),"0991964531")</f>
        <v>0991964531</v>
      </c>
      <c r="N2256" s="3">
        <f>IFERROR(__xludf.DUMMYFUNCTION("""COMPUTED_VALUE"""),11190.0)</f>
        <v>11190</v>
      </c>
      <c r="O2256" s="3" t="str">
        <f>IFERROR(__xludf.DUMMYFUNCTION("""COMPUTED_VALUE"""),"พระราม4")</f>
        <v>พระราม4</v>
      </c>
      <c r="P2256" s="4">
        <f>IFERROR(__xludf.DUMMYFUNCTION("""COMPUTED_VALUE"""),42024.0)</f>
        <v>42024</v>
      </c>
      <c r="Q2256" s="3" t="str">
        <f>IFERROR(__xludf.DUMMYFUNCTION("""COMPUTED_VALUE"""),"A")</f>
        <v>A</v>
      </c>
      <c r="R2256" s="3" t="str">
        <f>IFERROR(__xludf.DUMMYFUNCTION("""COMPUTED_VALUE"""),"Big Format")</f>
        <v>Big Format</v>
      </c>
      <c r="S2256" s="3" t="str">
        <f>IFERROR(__xludf.DUMMYFUNCTION("""COMPUTED_VALUE"""),"PURE")</f>
        <v>PURE</v>
      </c>
      <c r="T2256" s="3" t="str">
        <f>IFERROR(__xludf.DUMMYFUNCTION("""COMPUTED_VALUE"""),"#N/A")</f>
        <v>#N/A</v>
      </c>
      <c r="U2256" s="3" t="str">
        <f>IFERROR(__xludf.DUMMYFUNCTION("""COMPUTED_VALUE"""),"#N/A")</f>
        <v>#N/A</v>
      </c>
      <c r="V2256" s="3" t="str">
        <f>IFERROR(__xludf.DUMMYFUNCTION("""COMPUTED_VALUE"""),"N")</f>
        <v>N</v>
      </c>
      <c r="W2256" s="3">
        <f>IFERROR(__xludf.DUMMYFUNCTION("""COMPUTED_VALUE"""),111190.0)</f>
        <v>111190</v>
      </c>
      <c r="X2256" s="3" t="str">
        <f>IFERROR(__xludf.DUMMYFUNCTION("""COMPUTED_VALUE"""),"2929 ถนนพระราม 4 แขวงคลองตัน เขตคลองเตย กรุงเทพฯ 10110")</f>
        <v>2929 ถนนพระราม 4 แขวงคลองตัน เขตคลองเตย กรุงเทพฯ 10110</v>
      </c>
      <c r="Y2256" s="3" t="str">
        <f>IFERROR(__xludf.DUMMYFUNCTION("""COMPUTED_VALUE"""),"ถนนพระราม")</f>
        <v>ถนนพระราม</v>
      </c>
      <c r="Z2256" s="3" t="str">
        <f>IFERROR(__xludf.DUMMYFUNCTION("""COMPUTED_VALUE"""),"คลองตัน")</f>
        <v>คลองตัน</v>
      </c>
      <c r="AA2256" s="3" t="str">
        <f>IFERROR(__xludf.DUMMYFUNCTION("""COMPUTED_VALUE"""),"คลองเตย")</f>
        <v>คลองเตย</v>
      </c>
      <c r="AB2256" s="3" t="str">
        <f>IFERROR(__xludf.DUMMYFUNCTION("""COMPUTED_VALUE"""),"กรุงเทพมหานคร")</f>
        <v>กรุงเทพมหานคร</v>
      </c>
      <c r="AC2256" s="3">
        <f>IFERROR(__xludf.DUMMYFUNCTION("""COMPUTED_VALUE"""),10110.0)</f>
        <v>10110</v>
      </c>
      <c r="AD2256" s="3">
        <f>IFERROR(__xludf.DUMMYFUNCTION("""COMPUTED_VALUE"""),0.0)</f>
        <v>0</v>
      </c>
      <c r="AE2256" s="3">
        <f>IFERROR(__xludf.DUMMYFUNCTION("""COMPUTED_VALUE"""),0.0)</f>
        <v>0</v>
      </c>
      <c r="AF2256" s="3" t="str">
        <f>IFERROR(__xludf.DUMMYFUNCTION("""COMPUTED_VALUE"""),"Pure พระราม 4-41156")</f>
        <v>Pure พระราม 4-41156</v>
      </c>
      <c r="AG2256" s="3" t="str">
        <f>IFERROR(__xludf.DUMMYFUNCTION("""COMPUTED_VALUE"""),"กลาง")</f>
        <v>กลาง</v>
      </c>
      <c r="AH2256" s="3" t="str">
        <f>IFERROR(__xludf.DUMMYFUNCTION("""COMPUTED_VALUE"""),"#N/A")</f>
        <v>#N/A</v>
      </c>
      <c r="AI2256" s="3" t="str">
        <f>IFERROR(__xludf.DUMMYFUNCTION("""COMPUTED_VALUE"""),"Out of warranty")</f>
        <v>Out of warranty</v>
      </c>
      <c r="AJ2256" s="3">
        <f>IFERROR(__xludf.DUMMYFUNCTION("""COMPUTED_VALUE"""),133.0)</f>
        <v>133</v>
      </c>
      <c r="AK2256" s="3"/>
      <c r="AL2256" s="3"/>
    </row>
    <row r="2257" ht="15.75" customHeight="1">
      <c r="A2257" s="1" t="str">
        <f>IFERROR(__xludf.DUMMYFUNCTION("""COMPUTED_VALUE"""),"41157")</f>
        <v>41157</v>
      </c>
      <c r="B2257" s="2">
        <f>IFERROR(__xludf.DUMMYFUNCTION("""COMPUTED_VALUE"""),41157.0)</f>
        <v>41157</v>
      </c>
      <c r="C2257" s="3" t="str">
        <f>IFERROR(__xludf.DUMMYFUNCTION("""COMPUTED_VALUE"""),"Pure รัชดาภิเษก")</f>
        <v>Pure รัชดาภิเษก</v>
      </c>
      <c r="D2257" s="3" t="str">
        <f>IFERROR(__xludf.DUMMYFUNCTION("""COMPUTED_VALUE"""),"BIGC RATCHADAPISEK PURE")</f>
        <v>BIGC RATCHADAPISEK PURE</v>
      </c>
      <c r="E2257" s="1" t="str">
        <f>IFERROR(__xludf.DUMMYFUNCTION("""COMPUTED_VALUE"""),"PURE")</f>
        <v>PURE</v>
      </c>
      <c r="F2257" s="1" t="str">
        <f>IFERROR(__xludf.DUMMYFUNCTION("""COMPUTED_VALUE"""),"211291")</f>
        <v>211291</v>
      </c>
      <c r="G2257" s="1" t="str">
        <f>IFERROR(__xludf.DUMMYFUNCTION("""COMPUTED_VALUE"""),"น.ส.ปนัดดา มากระจันทน์")</f>
        <v>น.ส.ปนัดดา มากระจันทน์</v>
      </c>
      <c r="H2257" s="1" t="str">
        <f>IFERROR(__xludf.DUMMYFUNCTION("""COMPUTED_VALUE"""),"211291")</f>
        <v>211291</v>
      </c>
      <c r="I2257" s="1" t="str">
        <f>IFERROR(__xludf.DUMMYFUNCTION("""COMPUTED_VALUE"""),"น.ส.ปนัดดา มากระจันทน์")</f>
        <v>น.ส.ปนัดดา มากระจันทน์</v>
      </c>
      <c r="J2257" s="3">
        <f>IFERROR(__xludf.DUMMYFUNCTION("""COMPUTED_VALUE"""),2408546.0)</f>
        <v>2408546</v>
      </c>
      <c r="K2257" s="3" t="str">
        <f>IFERROR(__xludf.DUMMYFUNCTION("""COMPUTED_VALUE"""),"นายเกษมศิษฐ์ ฮดบุญเรือง")</f>
        <v>นายเกษมศิษฐ์ ฮดบุญเรือง</v>
      </c>
      <c r="L2257" s="1" t="str">
        <f>IFERROR(__xludf.DUMMYFUNCTION("""COMPUTED_VALUE"""),"Hub02-BKK 2")</f>
        <v>Hub02-BKK 2</v>
      </c>
      <c r="M2257" s="1" t="str">
        <f>IFERROR(__xludf.DUMMYFUNCTION("""COMPUTED_VALUE"""),"0988580755")</f>
        <v>0988580755</v>
      </c>
      <c r="N2257" s="3">
        <f>IFERROR(__xludf.DUMMYFUNCTION("""COMPUTED_VALUE"""),11191.0)</f>
        <v>11191</v>
      </c>
      <c r="O2257" s="3" t="str">
        <f>IFERROR(__xludf.DUMMYFUNCTION("""COMPUTED_VALUE"""),"รัชดาภิเษก")</f>
        <v>รัชดาภิเษก</v>
      </c>
      <c r="P2257" s="4">
        <f>IFERROR(__xludf.DUMMYFUNCTION("""COMPUTED_VALUE"""),42038.0)</f>
        <v>42038</v>
      </c>
      <c r="Q2257" s="3" t="str">
        <f>IFERROR(__xludf.DUMMYFUNCTION("""COMPUTED_VALUE"""),"A")</f>
        <v>A</v>
      </c>
      <c r="R2257" s="3" t="str">
        <f>IFERROR(__xludf.DUMMYFUNCTION("""COMPUTED_VALUE"""),"Big Format")</f>
        <v>Big Format</v>
      </c>
      <c r="S2257" s="3" t="str">
        <f>IFERROR(__xludf.DUMMYFUNCTION("""COMPUTED_VALUE"""),"PURE")</f>
        <v>PURE</v>
      </c>
      <c r="T2257" s="3" t="str">
        <f>IFERROR(__xludf.DUMMYFUNCTION("""COMPUTED_VALUE"""),"#N/A")</f>
        <v>#N/A</v>
      </c>
      <c r="U2257" s="3" t="str">
        <f>IFERROR(__xludf.DUMMYFUNCTION("""COMPUTED_VALUE"""),"#N/A")</f>
        <v>#N/A</v>
      </c>
      <c r="V2257" s="3" t="str">
        <f>IFERROR(__xludf.DUMMYFUNCTION("""COMPUTED_VALUE"""),"N")</f>
        <v>N</v>
      </c>
      <c r="W2257" s="3">
        <f>IFERROR(__xludf.DUMMYFUNCTION("""COMPUTED_VALUE"""),111191.0)</f>
        <v>111191</v>
      </c>
      <c r="X2257" s="3" t="str">
        <f>IFERROR(__xludf.DUMMYFUNCTION("""COMPUTED_VALUE"""),"125 ถนนรัชดาภิเษก แขวงดินแดง เขตดินแดง กรุงเทพฯ 10400")</f>
        <v>125 ถนนรัชดาภิเษก แขวงดินแดง เขตดินแดง กรุงเทพฯ 10400</v>
      </c>
      <c r="Y2257" s="3" t="str">
        <f>IFERROR(__xludf.DUMMYFUNCTION("""COMPUTED_VALUE"""),"ถนนรัชดาภิเษก")</f>
        <v>ถนนรัชดาภิเษก</v>
      </c>
      <c r="Z2257" s="3" t="str">
        <f>IFERROR(__xludf.DUMMYFUNCTION("""COMPUTED_VALUE"""),"ดินแดง")</f>
        <v>ดินแดง</v>
      </c>
      <c r="AA2257" s="3" t="str">
        <f>IFERROR(__xludf.DUMMYFUNCTION("""COMPUTED_VALUE"""),"ดินแดง")</f>
        <v>ดินแดง</v>
      </c>
      <c r="AB2257" s="3" t="str">
        <f>IFERROR(__xludf.DUMMYFUNCTION("""COMPUTED_VALUE"""),"กรุงเทพมหานคร")</f>
        <v>กรุงเทพมหานคร</v>
      </c>
      <c r="AC2257" s="3">
        <f>IFERROR(__xludf.DUMMYFUNCTION("""COMPUTED_VALUE"""),10400.0)</f>
        <v>10400</v>
      </c>
      <c r="AD2257" s="3">
        <f>IFERROR(__xludf.DUMMYFUNCTION("""COMPUTED_VALUE"""),0.0)</f>
        <v>0</v>
      </c>
      <c r="AE2257" s="3">
        <f>IFERROR(__xludf.DUMMYFUNCTION("""COMPUTED_VALUE"""),0.0)</f>
        <v>0</v>
      </c>
      <c r="AF2257" s="3" t="str">
        <f>IFERROR(__xludf.DUMMYFUNCTION("""COMPUTED_VALUE"""),"Pure รัชดาภิเษก-41157")</f>
        <v>Pure รัชดาภิเษก-41157</v>
      </c>
      <c r="AG2257" s="3" t="str">
        <f>IFERROR(__xludf.DUMMYFUNCTION("""COMPUTED_VALUE"""),"กลาง")</f>
        <v>กลาง</v>
      </c>
      <c r="AH2257" s="3" t="str">
        <f>IFERROR(__xludf.DUMMYFUNCTION("""COMPUTED_VALUE"""),"#N/A")</f>
        <v>#N/A</v>
      </c>
      <c r="AI2257" s="3" t="str">
        <f>IFERROR(__xludf.DUMMYFUNCTION("""COMPUTED_VALUE"""),"Out of warranty")</f>
        <v>Out of warranty</v>
      </c>
      <c r="AJ2257" s="3">
        <f>IFERROR(__xludf.DUMMYFUNCTION("""COMPUTED_VALUE"""),132.0)</f>
        <v>132</v>
      </c>
      <c r="AK2257" s="3"/>
      <c r="AL2257" s="3"/>
    </row>
    <row r="2258" ht="15.75" customHeight="1">
      <c r="A2258" s="1" t="str">
        <f>IFERROR(__xludf.DUMMYFUNCTION("""COMPUTED_VALUE"""),"41158")</f>
        <v>41158</v>
      </c>
      <c r="B2258" s="2">
        <f>IFERROR(__xludf.DUMMYFUNCTION("""COMPUTED_VALUE"""),41158.0)</f>
        <v>41158</v>
      </c>
      <c r="C2258" s="3" t="str">
        <f>IFERROR(__xludf.DUMMYFUNCTION("""COMPUTED_VALUE"""),"Pure สีคิ้ว")</f>
        <v>Pure สีคิ้ว</v>
      </c>
      <c r="D2258" s="3" t="str">
        <f>IFERROR(__xludf.DUMMYFUNCTION("""COMPUTED_VALUE"""),"BIGC MARKET SIKHIO PURE")</f>
        <v>BIGC MARKET SIKHIO PURE</v>
      </c>
      <c r="E2258" s="1" t="str">
        <f>IFERROR(__xludf.DUMMYFUNCTION("""COMPUTED_VALUE"""),"PURE")</f>
        <v>PURE</v>
      </c>
      <c r="F2258" s="1" t="str">
        <f>IFERROR(__xludf.DUMMYFUNCTION("""COMPUTED_VALUE"""),"2083583")</f>
        <v>2083583</v>
      </c>
      <c r="G2258" s="1" t="str">
        <f>IFERROR(__xludf.DUMMYFUNCTION("""COMPUTED_VALUE"""),"นายอรรณพ ศรีแก้ว")</f>
        <v>นายอรรณพ ศรีแก้ว</v>
      </c>
      <c r="H2258" s="1" t="str">
        <f>IFERROR(__xludf.DUMMYFUNCTION("""COMPUTED_VALUE"""),"2083583")</f>
        <v>2083583</v>
      </c>
      <c r="I2258" s="1" t="str">
        <f>IFERROR(__xludf.DUMMYFUNCTION("""COMPUTED_VALUE"""),"นายอรรณพ ศรีแก้ว")</f>
        <v>นายอรรณพ ศรีแก้ว</v>
      </c>
      <c r="J2258" s="3">
        <f>IFERROR(__xludf.DUMMYFUNCTION("""COMPUTED_VALUE"""),33317.0)</f>
        <v>33317</v>
      </c>
      <c r="K2258" s="3" t="str">
        <f>IFERROR(__xludf.DUMMYFUNCTION("""COMPUTED_VALUE"""),"นายอาณัติ เพชรภาน")</f>
        <v>นายอาณัติ เพชรภาน</v>
      </c>
      <c r="L2258" s="1" t="str">
        <f>IFERROR(__xludf.DUMMYFUNCTION("""COMPUTED_VALUE"""),"Hub10-NE 2")</f>
        <v>Hub10-NE 2</v>
      </c>
      <c r="M2258" s="1" t="str">
        <f>IFERROR(__xludf.DUMMYFUNCTION("""COMPUTED_VALUE"""),"0644791409")</f>
        <v>0644791409</v>
      </c>
      <c r="N2258" s="3">
        <f>IFERROR(__xludf.DUMMYFUNCTION("""COMPUTED_VALUE"""),15038.0)</f>
        <v>15038</v>
      </c>
      <c r="O2258" s="3" t="str">
        <f>IFERROR(__xludf.DUMMYFUNCTION("""COMPUTED_VALUE"""),"สีคิ้ว")</f>
        <v>สีคิ้ว</v>
      </c>
      <c r="P2258" s="4">
        <f>IFERROR(__xludf.DUMMYFUNCTION("""COMPUTED_VALUE"""),42125.0)</f>
        <v>42125</v>
      </c>
      <c r="Q2258" s="3" t="str">
        <f>IFERROR(__xludf.DUMMYFUNCTION("""COMPUTED_VALUE"""),"A")</f>
        <v>A</v>
      </c>
      <c r="R2258" s="3" t="str">
        <f>IFERROR(__xludf.DUMMYFUNCTION("""COMPUTED_VALUE"""),"Big Format")</f>
        <v>Big Format</v>
      </c>
      <c r="S2258" s="3" t="str">
        <f>IFERROR(__xludf.DUMMYFUNCTION("""COMPUTED_VALUE"""),"PURE")</f>
        <v>PURE</v>
      </c>
      <c r="T2258" s="3" t="str">
        <f>IFERROR(__xludf.DUMMYFUNCTION("""COMPUTED_VALUE"""),"#N/A")</f>
        <v>#N/A</v>
      </c>
      <c r="U2258" s="3" t="str">
        <f>IFERROR(__xludf.DUMMYFUNCTION("""COMPUTED_VALUE"""),"#N/A")</f>
        <v>#N/A</v>
      </c>
      <c r="V2258" s="3" t="str">
        <f>IFERROR(__xludf.DUMMYFUNCTION("""COMPUTED_VALUE"""),"N")</f>
        <v>N</v>
      </c>
      <c r="W2258" s="3">
        <f>IFERROR(__xludf.DUMMYFUNCTION("""COMPUTED_VALUE"""),411159.0)</f>
        <v>411159</v>
      </c>
      <c r="X2258" s="3" t="str">
        <f>IFERROR(__xludf.DUMMYFUNCTION("""COMPUTED_VALUE"""),"307 หมู่ 9 ตำบลสีคิ้ว อำเภอสีคิ้ว จังหวัดนครราชสีมา 30140")</f>
        <v>307 หมู่ 9 ตำบลสีคิ้ว อำเภอสีคิ้ว จังหวัดนครราชสีมา 30140</v>
      </c>
      <c r="Y2258" s="3"/>
      <c r="Z2258" s="3" t="str">
        <f>IFERROR(__xludf.DUMMYFUNCTION("""COMPUTED_VALUE"""),"สีคิ้ว")</f>
        <v>สีคิ้ว</v>
      </c>
      <c r="AA2258" s="3" t="str">
        <f>IFERROR(__xludf.DUMMYFUNCTION("""COMPUTED_VALUE"""),"สีคิ้ว")</f>
        <v>สีคิ้ว</v>
      </c>
      <c r="AB2258" s="3" t="str">
        <f>IFERROR(__xludf.DUMMYFUNCTION("""COMPUTED_VALUE"""),"นครราชสีมา")</f>
        <v>นครราชสีมา</v>
      </c>
      <c r="AC2258" s="3">
        <f>IFERROR(__xludf.DUMMYFUNCTION("""COMPUTED_VALUE"""),30140.0)</f>
        <v>30140</v>
      </c>
      <c r="AD2258" s="3">
        <f>IFERROR(__xludf.DUMMYFUNCTION("""COMPUTED_VALUE"""),0.0)</f>
        <v>0</v>
      </c>
      <c r="AE2258" s="3">
        <f>IFERROR(__xludf.DUMMYFUNCTION("""COMPUTED_VALUE"""),0.0)</f>
        <v>0</v>
      </c>
      <c r="AF2258" s="3" t="str">
        <f>IFERROR(__xludf.DUMMYFUNCTION("""COMPUTED_VALUE"""),"Pure สีคิ้ว-41158")</f>
        <v>Pure สีคิ้ว-41158</v>
      </c>
      <c r="AG2258" s="3" t="str">
        <f>IFERROR(__xludf.DUMMYFUNCTION("""COMPUTED_VALUE"""),"ตะวันออกเฉียงเหนือ")</f>
        <v>ตะวันออกเฉียงเหนือ</v>
      </c>
      <c r="AH2258" s="3" t="str">
        <f>IFERROR(__xludf.DUMMYFUNCTION("""COMPUTED_VALUE"""),"#N/A")</f>
        <v>#N/A</v>
      </c>
      <c r="AI2258" s="3" t="str">
        <f>IFERROR(__xludf.DUMMYFUNCTION("""COMPUTED_VALUE"""),"Out of warranty")</f>
        <v>Out of warranty</v>
      </c>
      <c r="AJ2258" s="3">
        <f>IFERROR(__xludf.DUMMYFUNCTION("""COMPUTED_VALUE"""),129.0)</f>
        <v>129</v>
      </c>
      <c r="AK2258" s="3"/>
      <c r="AL2258" s="3"/>
    </row>
    <row r="2259" ht="15.75" customHeight="1">
      <c r="A2259" s="1" t="str">
        <f>IFERROR(__xludf.DUMMYFUNCTION("""COMPUTED_VALUE"""),"41159")</f>
        <v>41159</v>
      </c>
      <c r="B2259" s="2">
        <f>IFERROR(__xludf.DUMMYFUNCTION("""COMPUTED_VALUE"""),41159.0)</f>
        <v>41159</v>
      </c>
      <c r="C2259" s="3" t="str">
        <f>IFERROR(__xludf.DUMMYFUNCTION("""COMPUTED_VALUE"""),"Pure น่าน")</f>
        <v>Pure น่าน</v>
      </c>
      <c r="D2259" s="3" t="str">
        <f>IFERROR(__xludf.DUMMYFUNCTION("""COMPUTED_VALUE"""),"BIGC NAN PURE")</f>
        <v>BIGC NAN PURE</v>
      </c>
      <c r="E2259" s="1" t="str">
        <f>IFERROR(__xludf.DUMMYFUNCTION("""COMPUTED_VALUE"""),"PURE")</f>
        <v>PURE</v>
      </c>
      <c r="F2259" s="1" t="str">
        <f>IFERROR(__xludf.DUMMYFUNCTION("""COMPUTED_VALUE"""),"2082102")</f>
        <v>2082102</v>
      </c>
      <c r="G2259" s="1" t="str">
        <f>IFERROR(__xludf.DUMMYFUNCTION("""COMPUTED_VALUE"""),"น.ส.วัชรา มหาวันแจ่ม")</f>
        <v>น.ส.วัชรา มหาวันแจ่ม</v>
      </c>
      <c r="H2259" s="1" t="str">
        <f>IFERROR(__xludf.DUMMYFUNCTION("""COMPUTED_VALUE"""),"2082102")</f>
        <v>2082102</v>
      </c>
      <c r="I2259" s="1" t="str">
        <f>IFERROR(__xludf.DUMMYFUNCTION("""COMPUTED_VALUE"""),"น.ส.วัชรา มหาวันแจ่ม")</f>
        <v>น.ส.วัชรา มหาวันแจ่ม</v>
      </c>
      <c r="J2259" s="3">
        <f>IFERROR(__xludf.DUMMYFUNCTION("""COMPUTED_VALUE"""),348.0)</f>
        <v>348</v>
      </c>
      <c r="K2259" s="3" t="str">
        <f>IFERROR(__xludf.DUMMYFUNCTION("""COMPUTED_VALUE"""),"นายธีรนันท์ ไม้สนธิ์")</f>
        <v>นายธีรนันท์ ไม้สนธิ์</v>
      </c>
      <c r="L2259" s="1" t="str">
        <f>IFERROR(__xludf.DUMMYFUNCTION("""COMPUTED_VALUE"""),"Hub07-North")</f>
        <v>Hub07-North</v>
      </c>
      <c r="M2259" s="1" t="str">
        <f>IFERROR(__xludf.DUMMYFUNCTION("""COMPUTED_VALUE"""),"0614175866")</f>
        <v>0614175866</v>
      </c>
      <c r="N2259" s="3">
        <f>IFERROR(__xludf.DUMMYFUNCTION("""COMPUTED_VALUE"""),11225.0)</f>
        <v>11225</v>
      </c>
      <c r="O2259" s="3" t="str">
        <f>IFERROR(__xludf.DUMMYFUNCTION("""COMPUTED_VALUE"""),"น่าน")</f>
        <v>น่าน</v>
      </c>
      <c r="P2259" s="4">
        <f>IFERROR(__xludf.DUMMYFUNCTION("""COMPUTED_VALUE"""),42153.0)</f>
        <v>42153</v>
      </c>
      <c r="Q2259" s="3" t="str">
        <f>IFERROR(__xludf.DUMMYFUNCTION("""COMPUTED_VALUE"""),"A")</f>
        <v>A</v>
      </c>
      <c r="R2259" s="3" t="str">
        <f>IFERROR(__xludf.DUMMYFUNCTION("""COMPUTED_VALUE"""),"Big Format")</f>
        <v>Big Format</v>
      </c>
      <c r="S2259" s="3" t="str">
        <f>IFERROR(__xludf.DUMMYFUNCTION("""COMPUTED_VALUE"""),"PURE")</f>
        <v>PURE</v>
      </c>
      <c r="T2259" s="3" t="str">
        <f>IFERROR(__xludf.DUMMYFUNCTION("""COMPUTED_VALUE"""),"#N/A")</f>
        <v>#N/A</v>
      </c>
      <c r="U2259" s="3" t="str">
        <f>IFERROR(__xludf.DUMMYFUNCTION("""COMPUTED_VALUE"""),"#N/A")</f>
        <v>#N/A</v>
      </c>
      <c r="V2259" s="3" t="str">
        <f>IFERROR(__xludf.DUMMYFUNCTION("""COMPUTED_VALUE"""),"N")</f>
        <v>N</v>
      </c>
      <c r="W2259" s="3">
        <f>IFERROR(__xludf.DUMMYFUNCTION("""COMPUTED_VALUE"""),111231.0)</f>
        <v>111231</v>
      </c>
      <c r="X2259" s="3" t="str">
        <f>IFERROR(__xludf.DUMMYFUNCTION("""COMPUTED_VALUE"""),"708 หมู่ 4 ตำบลไชยสถาน อำเภอเมืองน่าน จังหวัดน่าน 55000")</f>
        <v>708 หมู่ 4 ตำบลไชยสถาน อำเภอเมืองน่าน จังหวัดน่าน 55000</v>
      </c>
      <c r="Y2259" s="3"/>
      <c r="Z2259" s="3" t="str">
        <f>IFERROR(__xludf.DUMMYFUNCTION("""COMPUTED_VALUE"""),"ไชยสถาน")</f>
        <v>ไชยสถาน</v>
      </c>
      <c r="AA2259" s="3" t="str">
        <f>IFERROR(__xludf.DUMMYFUNCTION("""COMPUTED_VALUE"""),"เมือง")</f>
        <v>เมือง</v>
      </c>
      <c r="AB2259" s="3" t="str">
        <f>IFERROR(__xludf.DUMMYFUNCTION("""COMPUTED_VALUE"""),"น่าน")</f>
        <v>น่าน</v>
      </c>
      <c r="AC2259" s="3">
        <f>IFERROR(__xludf.DUMMYFUNCTION("""COMPUTED_VALUE"""),55000.0)</f>
        <v>55000</v>
      </c>
      <c r="AD2259" s="3">
        <f>IFERROR(__xludf.DUMMYFUNCTION("""COMPUTED_VALUE"""),0.0)</f>
        <v>0</v>
      </c>
      <c r="AE2259" s="3">
        <f>IFERROR(__xludf.DUMMYFUNCTION("""COMPUTED_VALUE"""),0.0)</f>
        <v>0</v>
      </c>
      <c r="AF2259" s="3" t="str">
        <f>IFERROR(__xludf.DUMMYFUNCTION("""COMPUTED_VALUE"""),"Pure น่าน-41159")</f>
        <v>Pure น่าน-41159</v>
      </c>
      <c r="AG2259" s="3" t="str">
        <f>IFERROR(__xludf.DUMMYFUNCTION("""COMPUTED_VALUE"""),"เหนือ")</f>
        <v>เหนือ</v>
      </c>
      <c r="AH2259" s="3" t="str">
        <f>IFERROR(__xludf.DUMMYFUNCTION("""COMPUTED_VALUE"""),"#N/A")</f>
        <v>#N/A</v>
      </c>
      <c r="AI2259" s="3" t="str">
        <f>IFERROR(__xludf.DUMMYFUNCTION("""COMPUTED_VALUE"""),"Out of warranty")</f>
        <v>Out of warranty</v>
      </c>
      <c r="AJ2259" s="3">
        <f>IFERROR(__xludf.DUMMYFUNCTION("""COMPUTED_VALUE"""),128.0)</f>
        <v>128</v>
      </c>
      <c r="AK2259" s="3"/>
      <c r="AL2259" s="3"/>
    </row>
    <row r="2260" ht="15.75" customHeight="1">
      <c r="A2260" s="1" t="str">
        <f>IFERROR(__xludf.DUMMYFUNCTION("""COMPUTED_VALUE"""),"41161")</f>
        <v>41161</v>
      </c>
      <c r="B2260" s="2">
        <f>IFERROR(__xludf.DUMMYFUNCTION("""COMPUTED_VALUE"""),41161.0)</f>
        <v>41161</v>
      </c>
      <c r="C2260" s="3" t="str">
        <f>IFERROR(__xludf.DUMMYFUNCTION("""COMPUTED_VALUE"""),"Pure วิเศษชัยชาญ")</f>
        <v>Pure วิเศษชัยชาญ</v>
      </c>
      <c r="D2260" s="3" t="str">
        <f>IFERROR(__xludf.DUMMYFUNCTION("""COMPUTED_VALUE"""),"BIGC MARKET WISET CHAICHAN PUR")</f>
        <v>BIGC MARKET WISET CHAICHAN PUR</v>
      </c>
      <c r="E2260" s="1" t="str">
        <f>IFERROR(__xludf.DUMMYFUNCTION("""COMPUTED_VALUE"""),"PURE")</f>
        <v>PURE</v>
      </c>
      <c r="F2260" s="1" t="str">
        <f>IFERROR(__xludf.DUMMYFUNCTION("""COMPUTED_VALUE"""),"EX0469")</f>
        <v>EX0469</v>
      </c>
      <c r="G2260" s="1" t="str">
        <f>IFERROR(__xludf.DUMMYFUNCTION("""COMPUTED_VALUE"""),"นายเทวฤทธิ์ ฐาปนะสุต")</f>
        <v>นายเทวฤทธิ์ ฐาปนะสุต</v>
      </c>
      <c r="H2260" s="1" t="str">
        <f>IFERROR(__xludf.DUMMYFUNCTION("""COMPUTED_VALUE"""),"291285")</f>
        <v>291285</v>
      </c>
      <c r="I2260" s="1" t="str">
        <f>IFERROR(__xludf.DUMMYFUNCTION("""COMPUTED_VALUE"""),"นายกิตติศักดิ์ แสงลับ")</f>
        <v>นายกิตติศักดิ์ แสงลับ</v>
      </c>
      <c r="J2260" s="3">
        <f>IFERROR(__xludf.DUMMYFUNCTION("""COMPUTED_VALUE"""),348.0)</f>
        <v>348</v>
      </c>
      <c r="K2260" s="3" t="str">
        <f>IFERROR(__xludf.DUMMYFUNCTION("""COMPUTED_VALUE"""),"นายธีรนันท์ ไม้สนธิ์")</f>
        <v>นายธีรนันท์ ไม้สนธิ์</v>
      </c>
      <c r="L2260" s="1" t="str">
        <f>IFERROR(__xludf.DUMMYFUNCTION("""COMPUTED_VALUE"""),"Hub07-North")</f>
        <v>Hub07-North</v>
      </c>
      <c r="M2260" s="1" t="str">
        <f>IFERROR(__xludf.DUMMYFUNCTION("""COMPUTED_VALUE"""),"0614175866")</f>
        <v>0614175866</v>
      </c>
      <c r="N2260" s="3">
        <f>IFERROR(__xludf.DUMMYFUNCTION("""COMPUTED_VALUE"""),15040.0)</f>
        <v>15040</v>
      </c>
      <c r="O2260" s="3" t="str">
        <f>IFERROR(__xludf.DUMMYFUNCTION("""COMPUTED_VALUE"""),"วิเศษชัยชาญ")</f>
        <v>วิเศษชัยชาญ</v>
      </c>
      <c r="P2260" s="4">
        <f>IFERROR(__xludf.DUMMYFUNCTION("""COMPUTED_VALUE"""),42182.0)</f>
        <v>42182</v>
      </c>
      <c r="Q2260" s="3" t="str">
        <f>IFERROR(__xludf.DUMMYFUNCTION("""COMPUTED_VALUE"""),"I")</f>
        <v>I</v>
      </c>
      <c r="R2260" s="3" t="str">
        <f>IFERROR(__xludf.DUMMYFUNCTION("""COMPUTED_VALUE"""),"Big Format")</f>
        <v>Big Format</v>
      </c>
      <c r="S2260" s="3" t="str">
        <f>IFERROR(__xludf.DUMMYFUNCTION("""COMPUTED_VALUE"""),"PURE")</f>
        <v>PURE</v>
      </c>
      <c r="T2260" s="3" t="str">
        <f>IFERROR(__xludf.DUMMYFUNCTION("""COMPUTED_VALUE"""),"#N/A")</f>
        <v>#N/A</v>
      </c>
      <c r="U2260" s="3" t="str">
        <f>IFERROR(__xludf.DUMMYFUNCTION("""COMPUTED_VALUE"""),"#N/A")</f>
        <v>#N/A</v>
      </c>
      <c r="V2260" s="3" t="str">
        <f>IFERROR(__xludf.DUMMYFUNCTION("""COMPUTED_VALUE"""),"N")</f>
        <v>N</v>
      </c>
      <c r="W2260" s="3">
        <f>IFERROR(__xludf.DUMMYFUNCTION("""COMPUTED_VALUE"""),0.0)</f>
        <v>0</v>
      </c>
      <c r="X2260" s="3" t="str">
        <f>IFERROR(__xludf.DUMMYFUNCTION("""COMPUTED_VALUE"""),"387 หมู่ 7 ตำบลศาลเจ้าโรงทอง อำเภอวิเศษชัยชาญ จังหวัดอ่างทอง 14110")</f>
        <v>387 หมู่ 7 ตำบลศาลเจ้าโรงทอง อำเภอวิเศษชัยชาญ จังหวัดอ่างทอง 14110</v>
      </c>
      <c r="Y2260" s="3"/>
      <c r="Z2260" s="3" t="str">
        <f>IFERROR(__xludf.DUMMYFUNCTION("""COMPUTED_VALUE"""),"ศาลเจ้าโรงทอง")</f>
        <v>ศาลเจ้าโรงทอง</v>
      </c>
      <c r="AA2260" s="3" t="str">
        <f>IFERROR(__xludf.DUMMYFUNCTION("""COMPUTED_VALUE"""),"วิเศษชัยชาญ")</f>
        <v>วิเศษชัยชาญ</v>
      </c>
      <c r="AB2260" s="3" t="str">
        <f>IFERROR(__xludf.DUMMYFUNCTION("""COMPUTED_VALUE"""),"อ่างทอง")</f>
        <v>อ่างทอง</v>
      </c>
      <c r="AC2260" s="3">
        <f>IFERROR(__xludf.DUMMYFUNCTION("""COMPUTED_VALUE"""),14110.0)</f>
        <v>14110</v>
      </c>
      <c r="AD2260" s="3">
        <f>IFERROR(__xludf.DUMMYFUNCTION("""COMPUTED_VALUE"""),0.0)</f>
        <v>0</v>
      </c>
      <c r="AE2260" s="3">
        <f>IFERROR(__xludf.DUMMYFUNCTION("""COMPUTED_VALUE"""),0.0)</f>
        <v>0</v>
      </c>
      <c r="AF2260" s="3" t="str">
        <f>IFERROR(__xludf.DUMMYFUNCTION("""COMPUTED_VALUE"""),"Pure วิเศษชัยชาญ-41161")</f>
        <v>Pure วิเศษชัยชาญ-41161</v>
      </c>
      <c r="AG2260" s="3" t="str">
        <f>IFERROR(__xludf.DUMMYFUNCTION("""COMPUTED_VALUE"""),"กลาง")</f>
        <v>กลาง</v>
      </c>
      <c r="AH2260" s="3" t="str">
        <f>IFERROR(__xludf.DUMMYFUNCTION("""COMPUTED_VALUE"""),"#N/A")</f>
        <v>#N/A</v>
      </c>
      <c r="AI2260" s="3" t="str">
        <f>IFERROR(__xludf.DUMMYFUNCTION("""COMPUTED_VALUE"""),"Out of warranty")</f>
        <v>Out of warranty</v>
      </c>
      <c r="AJ2260" s="3">
        <f>IFERROR(__xludf.DUMMYFUNCTION("""COMPUTED_VALUE"""),127.0)</f>
        <v>127</v>
      </c>
      <c r="AK2260" s="3"/>
      <c r="AL2260" s="3"/>
    </row>
    <row r="2261" ht="15.75" customHeight="1">
      <c r="A2261" s="1" t="str">
        <f>IFERROR(__xludf.DUMMYFUNCTION("""COMPUTED_VALUE"""),"41162")</f>
        <v>41162</v>
      </c>
      <c r="B2261" s="2">
        <f>IFERROR(__xludf.DUMMYFUNCTION("""COMPUTED_VALUE"""),41162.0)</f>
        <v>41162</v>
      </c>
      <c r="C2261" s="3" t="str">
        <f>IFERROR(__xludf.DUMMYFUNCTION("""COMPUTED_VALUE"""),"Pure ปาล์ม ไอส์แลนด์")</f>
        <v>Pure ปาล์ม ไอส์แลนด์</v>
      </c>
      <c r="D2261" s="3" t="str">
        <f>IFERROR(__xludf.DUMMYFUNCTION("""COMPUTED_VALUE"""),"BIGC MARKET PALM ISLAND PURE")</f>
        <v>BIGC MARKET PALM ISLAND PURE</v>
      </c>
      <c r="E2261" s="1" t="str">
        <f>IFERROR(__xludf.DUMMYFUNCTION("""COMPUTED_VALUE"""),"PURE")</f>
        <v>PURE</v>
      </c>
      <c r="F2261" s="1" t="str">
        <f>IFERROR(__xludf.DUMMYFUNCTION("""COMPUTED_VALUE"""),"EX0469")</f>
        <v>EX0469</v>
      </c>
      <c r="G2261" s="1" t="str">
        <f>IFERROR(__xludf.DUMMYFUNCTION("""COMPUTED_VALUE"""),"นายเทวฤทธิ์ ฐาปนะสุต")</f>
        <v>นายเทวฤทธิ์ ฐาปนะสุต</v>
      </c>
      <c r="H2261" s="1" t="str">
        <f>IFERROR(__xludf.DUMMYFUNCTION("""COMPUTED_VALUE"""),"295363")</f>
        <v>295363</v>
      </c>
      <c r="I2261" s="1" t="str">
        <f>IFERROR(__xludf.DUMMYFUNCTION("""COMPUTED_VALUE"""),"นายจิรวัฒน์ เจนเจริญ")</f>
        <v>นายจิรวัฒน์ เจนเจริญ</v>
      </c>
      <c r="J2261" s="3">
        <f>IFERROR(__xludf.DUMMYFUNCTION("""COMPUTED_VALUE"""),1.3461215E7)</f>
        <v>13461215</v>
      </c>
      <c r="K2261" s="3" t="str">
        <f>IFERROR(__xludf.DUMMYFUNCTION("""COMPUTED_VALUE"""),"นายธีรภัทร สังข์เงิน")</f>
        <v>นายธีรภัทร สังข์เงิน</v>
      </c>
      <c r="L2261" s="1" t="str">
        <f>IFERROR(__xludf.DUMMYFUNCTION("""COMPUTED_VALUE"""),"06 K.Teerapat")</f>
        <v>06 K.Teerapat</v>
      </c>
      <c r="M2261" s="1" t="str">
        <f>IFERROR(__xludf.DUMMYFUNCTION("""COMPUTED_VALUE"""),"063-601-6803")</f>
        <v>063-601-6803</v>
      </c>
      <c r="N2261" s="3">
        <f>IFERROR(__xludf.DUMMYFUNCTION("""COMPUTED_VALUE"""),15042.0)</f>
        <v>15042</v>
      </c>
      <c r="O2261" s="3" t="str">
        <f>IFERROR(__xludf.DUMMYFUNCTION("""COMPUTED_VALUE"""),"ปาล์ม ไอส์แลนด์")</f>
        <v>ปาล์ม ไอส์แลนด์</v>
      </c>
      <c r="P2261" s="4">
        <f>IFERROR(__xludf.DUMMYFUNCTION("""COMPUTED_VALUE"""),42236.0)</f>
        <v>42236</v>
      </c>
      <c r="Q2261" s="3" t="str">
        <f>IFERROR(__xludf.DUMMYFUNCTION("""COMPUTED_VALUE"""),"I")</f>
        <v>I</v>
      </c>
      <c r="R2261" s="3" t="str">
        <f>IFERROR(__xludf.DUMMYFUNCTION("""COMPUTED_VALUE"""),"Big Format")</f>
        <v>Big Format</v>
      </c>
      <c r="S2261" s="3" t="str">
        <f>IFERROR(__xludf.DUMMYFUNCTION("""COMPUTED_VALUE"""),"PURE")</f>
        <v>PURE</v>
      </c>
      <c r="T2261" s="3" t="str">
        <f>IFERROR(__xludf.DUMMYFUNCTION("""COMPUTED_VALUE"""),"#N/A")</f>
        <v>#N/A</v>
      </c>
      <c r="U2261" s="3" t="str">
        <f>IFERROR(__xludf.DUMMYFUNCTION("""COMPUTED_VALUE"""),"#N/A")</f>
        <v>#N/A</v>
      </c>
      <c r="V2261" s="3" t="str">
        <f>IFERROR(__xludf.DUMMYFUNCTION("""COMPUTED_VALUE"""),"N")</f>
        <v>N</v>
      </c>
      <c r="W2261" s="3">
        <f>IFERROR(__xludf.DUMMYFUNCTION("""COMPUTED_VALUE"""),0.0)</f>
        <v>0</v>
      </c>
      <c r="X2261" s="3" t="str">
        <f>IFERROR(__xludf.DUMMYFUNCTION("""COMPUTED_VALUE"""),"1010/51 หมู่ 3 ตำบลเทพารักษ์ อำเภอเมืองสมุทรปราการ จังหวัดสมุทรปราการ 10270")</f>
        <v>1010/51 หมู่ 3 ตำบลเทพารักษ์ อำเภอเมืองสมุทรปราการ จังหวัดสมุทรปราการ 10270</v>
      </c>
      <c r="Y2261" s="3"/>
      <c r="Z2261" s="3" t="str">
        <f>IFERROR(__xludf.DUMMYFUNCTION("""COMPUTED_VALUE"""),"เทพารักษ์")</f>
        <v>เทพารักษ์</v>
      </c>
      <c r="AA2261" s="3" t="str">
        <f>IFERROR(__xludf.DUMMYFUNCTION("""COMPUTED_VALUE"""),"เมืองสมุทรปราการ")</f>
        <v>เมืองสมุทรปราการ</v>
      </c>
      <c r="AB2261" s="3" t="str">
        <f>IFERROR(__xludf.DUMMYFUNCTION("""COMPUTED_VALUE"""),"สมุทรปราการ")</f>
        <v>สมุทรปราการ</v>
      </c>
      <c r="AC2261" s="3">
        <f>IFERROR(__xludf.DUMMYFUNCTION("""COMPUTED_VALUE"""),10270.0)</f>
        <v>10270</v>
      </c>
      <c r="AD2261" s="3">
        <f>IFERROR(__xludf.DUMMYFUNCTION("""COMPUTED_VALUE"""),0.0)</f>
        <v>0</v>
      </c>
      <c r="AE2261" s="3">
        <f>IFERROR(__xludf.DUMMYFUNCTION("""COMPUTED_VALUE"""),0.0)</f>
        <v>0</v>
      </c>
      <c r="AF2261" s="3" t="str">
        <f>IFERROR(__xludf.DUMMYFUNCTION("""COMPUTED_VALUE"""),"Pure ปาล์ม ไอส์แลนด์-41162")</f>
        <v>Pure ปาล์ม ไอส์แลนด์-41162</v>
      </c>
      <c r="AG2261" s="3" t="str">
        <f>IFERROR(__xludf.DUMMYFUNCTION("""COMPUTED_VALUE"""),"กลาง")</f>
        <v>กลาง</v>
      </c>
      <c r="AH2261" s="3" t="str">
        <f>IFERROR(__xludf.DUMMYFUNCTION("""COMPUTED_VALUE"""),"#N/A")</f>
        <v>#N/A</v>
      </c>
      <c r="AI2261" s="3" t="str">
        <f>IFERROR(__xludf.DUMMYFUNCTION("""COMPUTED_VALUE"""),"Out of warranty")</f>
        <v>Out of warranty</v>
      </c>
      <c r="AJ2261" s="3">
        <f>IFERROR(__xludf.DUMMYFUNCTION("""COMPUTED_VALUE"""),126.0)</f>
        <v>126</v>
      </c>
      <c r="AK2261" s="3"/>
      <c r="AL2261" s="3"/>
    </row>
    <row r="2262" ht="15.75" customHeight="1">
      <c r="A2262" s="1" t="str">
        <f>IFERROR(__xludf.DUMMYFUNCTION("""COMPUTED_VALUE"""),"41163")</f>
        <v>41163</v>
      </c>
      <c r="B2262" s="2">
        <f>IFERROR(__xludf.DUMMYFUNCTION("""COMPUTED_VALUE"""),41163.0)</f>
        <v>41163</v>
      </c>
      <c r="C2262" s="3" t="str">
        <f>IFERROR(__xludf.DUMMYFUNCTION("""COMPUTED_VALUE"""),"Pure นาป่า")</f>
        <v>Pure นาป่า</v>
      </c>
      <c r="D2262" s="3" t="str">
        <f>IFERROR(__xludf.DUMMYFUNCTION("""COMPUTED_VALUE"""),"BIGC MARKET NAPA PURE")</f>
        <v>BIGC MARKET NAPA PURE</v>
      </c>
      <c r="E2262" s="1" t="str">
        <f>IFERROR(__xludf.DUMMYFUNCTION("""COMPUTED_VALUE"""),"PURE")</f>
        <v>PURE</v>
      </c>
      <c r="F2262" s="1" t="str">
        <f>IFERROR(__xludf.DUMMYFUNCTION("""COMPUTED_VALUE"""),"EX0469")</f>
        <v>EX0469</v>
      </c>
      <c r="G2262" s="1" t="str">
        <f>IFERROR(__xludf.DUMMYFUNCTION("""COMPUTED_VALUE"""),"นายเทวฤทธิ์ ฐาปนะสุต")</f>
        <v>นายเทวฤทธิ์ ฐาปนะสุต</v>
      </c>
      <c r="H2262" s="1" t="str">
        <f>IFERROR(__xludf.DUMMYFUNCTION("""COMPUTED_VALUE"""),"228469")</f>
        <v>228469</v>
      </c>
      <c r="I2262" s="1" t="str">
        <f>IFERROR(__xludf.DUMMYFUNCTION("""COMPUTED_VALUE"""),"น.ส.บงกช ทำการดี")</f>
        <v>น.ส.บงกช ทำการดี</v>
      </c>
      <c r="J2262" s="3">
        <f>IFERROR(__xludf.DUMMYFUNCTION("""COMPUTED_VALUE"""),1.3461215E7)</f>
        <v>13461215</v>
      </c>
      <c r="K2262" s="3" t="str">
        <f>IFERROR(__xludf.DUMMYFUNCTION("""COMPUTED_VALUE"""),"นายธีรภัทร สังข์เงิน")</f>
        <v>นายธีรภัทร สังข์เงิน</v>
      </c>
      <c r="L2262" s="1" t="str">
        <f>IFERROR(__xludf.DUMMYFUNCTION("""COMPUTED_VALUE"""),"06 K.Teerapat")</f>
        <v>06 K.Teerapat</v>
      </c>
      <c r="M2262" s="1" t="str">
        <f>IFERROR(__xludf.DUMMYFUNCTION("""COMPUTED_VALUE"""),"063-601-6803")</f>
        <v>063-601-6803</v>
      </c>
      <c r="N2262" s="3">
        <f>IFERROR(__xludf.DUMMYFUNCTION("""COMPUTED_VALUE"""),15043.0)</f>
        <v>15043</v>
      </c>
      <c r="O2262" s="3" t="str">
        <f>IFERROR(__xludf.DUMMYFUNCTION("""COMPUTED_VALUE"""),"นาป่า")</f>
        <v>นาป่า</v>
      </c>
      <c r="P2262" s="4">
        <f>IFERROR(__xludf.DUMMYFUNCTION("""COMPUTED_VALUE"""),42244.0)</f>
        <v>42244</v>
      </c>
      <c r="Q2262" s="3" t="str">
        <f>IFERROR(__xludf.DUMMYFUNCTION("""COMPUTED_VALUE"""),"I")</f>
        <v>I</v>
      </c>
      <c r="R2262" s="3" t="str">
        <f>IFERROR(__xludf.DUMMYFUNCTION("""COMPUTED_VALUE"""),"Big Format")</f>
        <v>Big Format</v>
      </c>
      <c r="S2262" s="3" t="str">
        <f>IFERROR(__xludf.DUMMYFUNCTION("""COMPUTED_VALUE"""),"PURE")</f>
        <v>PURE</v>
      </c>
      <c r="T2262" s="3" t="str">
        <f>IFERROR(__xludf.DUMMYFUNCTION("""COMPUTED_VALUE"""),"#N/A")</f>
        <v>#N/A</v>
      </c>
      <c r="U2262" s="3" t="str">
        <f>IFERROR(__xludf.DUMMYFUNCTION("""COMPUTED_VALUE"""),"#N/A")</f>
        <v>#N/A</v>
      </c>
      <c r="V2262" s="3" t="str">
        <f>IFERROR(__xludf.DUMMYFUNCTION("""COMPUTED_VALUE"""),"N")</f>
        <v>N</v>
      </c>
      <c r="W2262" s="3">
        <f>IFERROR(__xludf.DUMMYFUNCTION("""COMPUTED_VALUE"""),0.0)</f>
        <v>0</v>
      </c>
      <c r="X2262" s="3" t="str">
        <f>IFERROR(__xludf.DUMMYFUNCTION("""COMPUTED_VALUE"""),"108 หมู่ 12 ตำบลนาป่า อำเภอเมืองชลบุรี จังหวัดชลบุรี 20000")</f>
        <v>108 หมู่ 12 ตำบลนาป่า อำเภอเมืองชลบุรี จังหวัดชลบุรี 20000</v>
      </c>
      <c r="Y2262" s="3"/>
      <c r="Z2262" s="3" t="str">
        <f>IFERROR(__xludf.DUMMYFUNCTION("""COMPUTED_VALUE"""),"นาป่า")</f>
        <v>นาป่า</v>
      </c>
      <c r="AA2262" s="3" t="str">
        <f>IFERROR(__xludf.DUMMYFUNCTION("""COMPUTED_VALUE"""),"เมือง")</f>
        <v>เมือง</v>
      </c>
      <c r="AB2262" s="3" t="str">
        <f>IFERROR(__xludf.DUMMYFUNCTION("""COMPUTED_VALUE"""),"ชลบุรี")</f>
        <v>ชลบุรี</v>
      </c>
      <c r="AC2262" s="3">
        <f>IFERROR(__xludf.DUMMYFUNCTION("""COMPUTED_VALUE"""),20000.0)</f>
        <v>20000</v>
      </c>
      <c r="AD2262" s="3">
        <f>IFERROR(__xludf.DUMMYFUNCTION("""COMPUTED_VALUE"""),0.0)</f>
        <v>0</v>
      </c>
      <c r="AE2262" s="3">
        <f>IFERROR(__xludf.DUMMYFUNCTION("""COMPUTED_VALUE"""),0.0)</f>
        <v>0</v>
      </c>
      <c r="AF2262" s="3" t="str">
        <f>IFERROR(__xludf.DUMMYFUNCTION("""COMPUTED_VALUE"""),"Pure นาป่า-41163")</f>
        <v>Pure นาป่า-41163</v>
      </c>
      <c r="AG2262" s="3" t="str">
        <f>IFERROR(__xludf.DUMMYFUNCTION("""COMPUTED_VALUE"""),"ตะวันออก")</f>
        <v>ตะวันออก</v>
      </c>
      <c r="AH2262" s="3" t="str">
        <f>IFERROR(__xludf.DUMMYFUNCTION("""COMPUTED_VALUE"""),"#N/A")</f>
        <v>#N/A</v>
      </c>
      <c r="AI2262" s="3" t="str">
        <f>IFERROR(__xludf.DUMMYFUNCTION("""COMPUTED_VALUE"""),"Out of warranty")</f>
        <v>Out of warranty</v>
      </c>
      <c r="AJ2262" s="3">
        <f>IFERROR(__xludf.DUMMYFUNCTION("""COMPUTED_VALUE"""),125.0)</f>
        <v>125</v>
      </c>
      <c r="AK2262" s="3"/>
      <c r="AL2262" s="3"/>
    </row>
    <row r="2263" ht="15.75" customHeight="1">
      <c r="A2263" s="1" t="str">
        <f>IFERROR(__xludf.DUMMYFUNCTION("""COMPUTED_VALUE"""),"41164")</f>
        <v>41164</v>
      </c>
      <c r="B2263" s="2">
        <f>IFERROR(__xludf.DUMMYFUNCTION("""COMPUTED_VALUE"""),41164.0)</f>
        <v>41164</v>
      </c>
      <c r="C2263" s="3" t="str">
        <f>IFERROR(__xludf.DUMMYFUNCTION("""COMPUTED_VALUE"""),"Pure พุทธมณฑลสาย 5")</f>
        <v>Pure พุทธมณฑลสาย 5</v>
      </c>
      <c r="D2263" s="3" t="str">
        <f>IFERROR(__xludf.DUMMYFUNCTION("""COMPUTED_VALUE"""),"BIGC MARKET PHUTTHAMONTHON S.5")</f>
        <v>BIGC MARKET PHUTTHAMONTHON S.5</v>
      </c>
      <c r="E2263" s="1" t="str">
        <f>IFERROR(__xludf.DUMMYFUNCTION("""COMPUTED_VALUE"""),"PURE")</f>
        <v>PURE</v>
      </c>
      <c r="F2263" s="1" t="str">
        <f>IFERROR(__xludf.DUMMYFUNCTION("""COMPUTED_VALUE"""),"EX0469")</f>
        <v>EX0469</v>
      </c>
      <c r="G2263" s="1" t="str">
        <f>IFERROR(__xludf.DUMMYFUNCTION("""COMPUTED_VALUE"""),"นายเทวฤทธิ์ ฐาปนะสุต")</f>
        <v>นายเทวฤทธิ์ ฐาปนะสุต</v>
      </c>
      <c r="H2263" s="1" t="str">
        <f>IFERROR(__xludf.DUMMYFUNCTION("""COMPUTED_VALUE"""),"291285")</f>
        <v>291285</v>
      </c>
      <c r="I2263" s="1" t="str">
        <f>IFERROR(__xludf.DUMMYFUNCTION("""COMPUTED_VALUE"""),"นายกิตติศักดิ์ แสงลับ")</f>
        <v>นายกิตติศักดิ์ แสงลับ</v>
      </c>
      <c r="J2263" s="3">
        <f>IFERROR(__xludf.DUMMYFUNCTION("""COMPUTED_VALUE"""),295093.0)</f>
        <v>295093</v>
      </c>
      <c r="K2263" s="3" t="str">
        <f>IFERROR(__xludf.DUMMYFUNCTION("""COMPUTED_VALUE"""),"นายธนทร แก้วอนุรักษ์")</f>
        <v>นายธนทร แก้วอนุรักษ์</v>
      </c>
      <c r="L2263" s="1" t="str">
        <f>IFERROR(__xludf.DUMMYFUNCTION("""COMPUTED_VALUE"""),"0")</f>
        <v>0</v>
      </c>
      <c r="M2263" s="1" t="str">
        <f>IFERROR(__xludf.DUMMYFUNCTION("""COMPUTED_VALUE"""),"0")</f>
        <v>0</v>
      </c>
      <c r="N2263" s="3">
        <f>IFERROR(__xludf.DUMMYFUNCTION("""COMPUTED_VALUE"""),15050.0)</f>
        <v>15050</v>
      </c>
      <c r="O2263" s="3" t="str">
        <f>IFERROR(__xludf.DUMMYFUNCTION("""COMPUTED_VALUE"""),"พุทธมณฑลสาย 5")</f>
        <v>พุทธมณฑลสาย 5</v>
      </c>
      <c r="P2263" s="4">
        <f>IFERROR(__xludf.DUMMYFUNCTION("""COMPUTED_VALUE"""),42349.0)</f>
        <v>42349</v>
      </c>
      <c r="Q2263" s="3" t="str">
        <f>IFERROR(__xludf.DUMMYFUNCTION("""COMPUTED_VALUE"""),"I")</f>
        <v>I</v>
      </c>
      <c r="R2263" s="3" t="str">
        <f>IFERROR(__xludf.DUMMYFUNCTION("""COMPUTED_VALUE"""),"Big Format")</f>
        <v>Big Format</v>
      </c>
      <c r="S2263" s="3" t="str">
        <f>IFERROR(__xludf.DUMMYFUNCTION("""COMPUTED_VALUE"""),"PURE")</f>
        <v>PURE</v>
      </c>
      <c r="T2263" s="3" t="str">
        <f>IFERROR(__xludf.DUMMYFUNCTION("""COMPUTED_VALUE"""),"#N/A")</f>
        <v>#N/A</v>
      </c>
      <c r="U2263" s="3" t="str">
        <f>IFERROR(__xludf.DUMMYFUNCTION("""COMPUTED_VALUE"""),"#N/A")</f>
        <v>#N/A</v>
      </c>
      <c r="V2263" s="3" t="str">
        <f>IFERROR(__xludf.DUMMYFUNCTION("""COMPUTED_VALUE"""),"N")</f>
        <v>N</v>
      </c>
      <c r="W2263" s="3">
        <f>IFERROR(__xludf.DUMMYFUNCTION("""COMPUTED_VALUE"""),0.0)</f>
        <v>0</v>
      </c>
      <c r="X2263" s="3" t="str">
        <f>IFERROR(__xludf.DUMMYFUNCTION("""COMPUTED_VALUE"""),"49/6 หมุ่ 13 ตำบลไร่ขิง อำเภอสามพราน จังหวัดนครปฐม 73210")</f>
        <v>49/6 หมุ่ 13 ตำบลไร่ขิง อำเภอสามพราน จังหวัดนครปฐม 73210</v>
      </c>
      <c r="Y2263" s="3"/>
      <c r="Z2263" s="3" t="str">
        <f>IFERROR(__xludf.DUMMYFUNCTION("""COMPUTED_VALUE"""),"ไร่ขิง")</f>
        <v>ไร่ขิง</v>
      </c>
      <c r="AA2263" s="3" t="str">
        <f>IFERROR(__xludf.DUMMYFUNCTION("""COMPUTED_VALUE"""),"สามพราน")</f>
        <v>สามพราน</v>
      </c>
      <c r="AB2263" s="3" t="str">
        <f>IFERROR(__xludf.DUMMYFUNCTION("""COMPUTED_VALUE"""),"นครปฐม")</f>
        <v>นครปฐม</v>
      </c>
      <c r="AC2263" s="3">
        <f>IFERROR(__xludf.DUMMYFUNCTION("""COMPUTED_VALUE"""),73210.0)</f>
        <v>73210</v>
      </c>
      <c r="AD2263" s="3">
        <f>IFERROR(__xludf.DUMMYFUNCTION("""COMPUTED_VALUE"""),0.0)</f>
        <v>0</v>
      </c>
      <c r="AE2263" s="3">
        <f>IFERROR(__xludf.DUMMYFUNCTION("""COMPUTED_VALUE"""),0.0)</f>
        <v>0</v>
      </c>
      <c r="AF2263" s="3" t="str">
        <f>IFERROR(__xludf.DUMMYFUNCTION("""COMPUTED_VALUE"""),"Pure พุทธมณฑลสาย 5-41164")</f>
        <v>Pure พุทธมณฑลสาย 5-41164</v>
      </c>
      <c r="AG2263" s="3" t="str">
        <f>IFERROR(__xludf.DUMMYFUNCTION("""COMPUTED_VALUE"""),"กลาง")</f>
        <v>กลาง</v>
      </c>
      <c r="AH2263" s="3" t="str">
        <f>IFERROR(__xludf.DUMMYFUNCTION("""COMPUTED_VALUE"""),"#N/A")</f>
        <v>#N/A</v>
      </c>
      <c r="AI2263" s="3" t="str">
        <f>IFERROR(__xludf.DUMMYFUNCTION("""COMPUTED_VALUE"""),"Out of warranty")</f>
        <v>Out of warranty</v>
      </c>
      <c r="AJ2263" s="3">
        <f>IFERROR(__xludf.DUMMYFUNCTION("""COMPUTED_VALUE"""),122.0)</f>
        <v>122</v>
      </c>
      <c r="AK2263" s="3"/>
      <c r="AL2263" s="3"/>
    </row>
    <row r="2264" ht="15.75" customHeight="1">
      <c r="A2264" s="1" t="str">
        <f>IFERROR(__xludf.DUMMYFUNCTION("""COMPUTED_VALUE"""),"41165")</f>
        <v>41165</v>
      </c>
      <c r="B2264" s="2">
        <f>IFERROR(__xludf.DUMMYFUNCTION("""COMPUTED_VALUE"""),41165.0)</f>
        <v>41165</v>
      </c>
      <c r="C2264" s="3" t="str">
        <f>IFERROR(__xludf.DUMMYFUNCTION("""COMPUTED_VALUE"""),"Pure กระนวน")</f>
        <v>Pure กระนวน</v>
      </c>
      <c r="D2264" s="3" t="str">
        <f>IFERROR(__xludf.DUMMYFUNCTION("""COMPUTED_VALUE"""),"BIGC KRANUAN PURE")</f>
        <v>BIGC KRANUAN PURE</v>
      </c>
      <c r="E2264" s="1" t="str">
        <f>IFERROR(__xludf.DUMMYFUNCTION("""COMPUTED_VALUE"""),"PURE")</f>
        <v>PURE</v>
      </c>
      <c r="F2264" s="1" t="str">
        <f>IFERROR(__xludf.DUMMYFUNCTION("""COMPUTED_VALUE"""),"2083583")</f>
        <v>2083583</v>
      </c>
      <c r="G2264" s="1" t="str">
        <f>IFERROR(__xludf.DUMMYFUNCTION("""COMPUTED_VALUE"""),"นายอรรณพ ศรีแก้ว")</f>
        <v>นายอรรณพ ศรีแก้ว</v>
      </c>
      <c r="H2264" s="1" t="str">
        <f>IFERROR(__xludf.DUMMYFUNCTION("""COMPUTED_VALUE"""),"2083583")</f>
        <v>2083583</v>
      </c>
      <c r="I2264" s="1" t="str">
        <f>IFERROR(__xludf.DUMMYFUNCTION("""COMPUTED_VALUE"""),"นายอรรณพ ศรีแก้ว")</f>
        <v>นายอรรณพ ศรีแก้ว</v>
      </c>
      <c r="J2264" s="3">
        <f>IFERROR(__xludf.DUMMYFUNCTION("""COMPUTED_VALUE"""),295801.0)</f>
        <v>295801</v>
      </c>
      <c r="K2264" s="3" t="str">
        <f>IFERROR(__xludf.DUMMYFUNCTION("""COMPUTED_VALUE"""),"นายอรรถพล เหล่าสุวงศ์")</f>
        <v>นายอรรถพล เหล่าสุวงศ์</v>
      </c>
      <c r="L2264" s="1" t="str">
        <f>IFERROR(__xludf.DUMMYFUNCTION("""COMPUTED_VALUE"""),"Hub09-NE 1")</f>
        <v>Hub09-NE 1</v>
      </c>
      <c r="M2264" s="1" t="str">
        <f>IFERROR(__xludf.DUMMYFUNCTION("""COMPUTED_VALUE"""),"0655090879")</f>
        <v>0655090879</v>
      </c>
      <c r="N2264" s="3">
        <f>IFERROR(__xludf.DUMMYFUNCTION("""COMPUTED_VALUE"""),11226.0)</f>
        <v>11226</v>
      </c>
      <c r="O2264" s="3" t="str">
        <f>IFERROR(__xludf.DUMMYFUNCTION("""COMPUTED_VALUE"""),"กระนวน")</f>
        <v>กระนวน</v>
      </c>
      <c r="P2264" s="4">
        <f>IFERROR(__xludf.DUMMYFUNCTION("""COMPUTED_VALUE"""),42366.0)</f>
        <v>42366</v>
      </c>
      <c r="Q2264" s="3" t="str">
        <f>IFERROR(__xludf.DUMMYFUNCTION("""COMPUTED_VALUE"""),"A")</f>
        <v>A</v>
      </c>
      <c r="R2264" s="3" t="str">
        <f>IFERROR(__xludf.DUMMYFUNCTION("""COMPUTED_VALUE"""),"Big Format")</f>
        <v>Big Format</v>
      </c>
      <c r="S2264" s="3" t="str">
        <f>IFERROR(__xludf.DUMMYFUNCTION("""COMPUTED_VALUE"""),"PURE")</f>
        <v>PURE</v>
      </c>
      <c r="T2264" s="3" t="str">
        <f>IFERROR(__xludf.DUMMYFUNCTION("""COMPUTED_VALUE"""),"#N/A")</f>
        <v>#N/A</v>
      </c>
      <c r="U2264" s="3" t="str">
        <f>IFERROR(__xludf.DUMMYFUNCTION("""COMPUTED_VALUE"""),"#N/A")</f>
        <v>#N/A</v>
      </c>
      <c r="V2264" s="3" t="str">
        <f>IFERROR(__xludf.DUMMYFUNCTION("""COMPUTED_VALUE"""),"N")</f>
        <v>N</v>
      </c>
      <c r="W2264" s="3">
        <f>IFERROR(__xludf.DUMMYFUNCTION("""COMPUTED_VALUE"""),111232.0)</f>
        <v>111232</v>
      </c>
      <c r="X2264" s="3" t="str">
        <f>IFERROR(__xludf.DUMMYFUNCTION("""COMPUTED_VALUE"""),"559 หมู่ 10 ตำบลหนองโก อำเภอกระนวน จังหวัดขอนแก่น 40170")</f>
        <v>559 หมู่ 10 ตำบลหนองโก อำเภอกระนวน จังหวัดขอนแก่น 40170</v>
      </c>
      <c r="Y2264" s="3"/>
      <c r="Z2264" s="3" t="str">
        <f>IFERROR(__xludf.DUMMYFUNCTION("""COMPUTED_VALUE"""),"หนองโก")</f>
        <v>หนองโก</v>
      </c>
      <c r="AA2264" s="3" t="str">
        <f>IFERROR(__xludf.DUMMYFUNCTION("""COMPUTED_VALUE"""),"กระนวน")</f>
        <v>กระนวน</v>
      </c>
      <c r="AB2264" s="3" t="str">
        <f>IFERROR(__xludf.DUMMYFUNCTION("""COMPUTED_VALUE"""),"ขอนแก่น")</f>
        <v>ขอนแก่น</v>
      </c>
      <c r="AC2264" s="3">
        <f>IFERROR(__xludf.DUMMYFUNCTION("""COMPUTED_VALUE"""),40170.0)</f>
        <v>40170</v>
      </c>
      <c r="AD2264" s="3">
        <f>IFERROR(__xludf.DUMMYFUNCTION("""COMPUTED_VALUE"""),0.0)</f>
        <v>0</v>
      </c>
      <c r="AE2264" s="3">
        <f>IFERROR(__xludf.DUMMYFUNCTION("""COMPUTED_VALUE"""),0.0)</f>
        <v>0</v>
      </c>
      <c r="AF2264" s="3" t="str">
        <f>IFERROR(__xludf.DUMMYFUNCTION("""COMPUTED_VALUE"""),"Pure กระนวน-41165")</f>
        <v>Pure กระนวน-41165</v>
      </c>
      <c r="AG2264" s="3" t="str">
        <f>IFERROR(__xludf.DUMMYFUNCTION("""COMPUTED_VALUE"""),"ตะวันออกเฉียงเหนือ")</f>
        <v>ตะวันออกเฉียงเหนือ</v>
      </c>
      <c r="AH2264" s="3" t="str">
        <f>IFERROR(__xludf.DUMMYFUNCTION("""COMPUTED_VALUE"""),"#N/A")</f>
        <v>#N/A</v>
      </c>
      <c r="AI2264" s="3" t="str">
        <f>IFERROR(__xludf.DUMMYFUNCTION("""COMPUTED_VALUE"""),"Out of warranty")</f>
        <v>Out of warranty</v>
      </c>
      <c r="AJ2264" s="3">
        <f>IFERROR(__xludf.DUMMYFUNCTION("""COMPUTED_VALUE"""),121.0)</f>
        <v>121</v>
      </c>
      <c r="AK2264" s="3"/>
      <c r="AL2264" s="3"/>
    </row>
    <row r="2265" ht="15.75" customHeight="1">
      <c r="A2265" s="1" t="str">
        <f>IFERROR(__xludf.DUMMYFUNCTION("""COMPUTED_VALUE"""),"41166")</f>
        <v>41166</v>
      </c>
      <c r="B2265" s="2">
        <f>IFERROR(__xludf.DUMMYFUNCTION("""COMPUTED_VALUE"""),41166.0)</f>
        <v>41166</v>
      </c>
      <c r="C2265" s="3" t="str">
        <f>IFERROR(__xludf.DUMMYFUNCTION("""COMPUTED_VALUE"""),"Pure เพชรเกษม")</f>
        <v>Pure เพชรเกษม</v>
      </c>
      <c r="D2265" s="3" t="str">
        <f>IFERROR(__xludf.DUMMYFUNCTION("""COMPUTED_VALUE"""),"BIGC PHETCHAKASEM PURE")</f>
        <v>BIGC PHETCHAKASEM PURE</v>
      </c>
      <c r="E2265" s="1" t="str">
        <f>IFERROR(__xludf.DUMMYFUNCTION("""COMPUTED_VALUE"""),"PURE")</f>
        <v>PURE</v>
      </c>
      <c r="F2265" s="1" t="str">
        <f>IFERROR(__xludf.DUMMYFUNCTION("""COMPUTED_VALUE"""),"2010612")</f>
        <v>2010612</v>
      </c>
      <c r="G2265" s="1" t="str">
        <f>IFERROR(__xludf.DUMMYFUNCTION("""COMPUTED_VALUE"""),"น.ส.วรรณพร เกตุเลิศประเสริฐ")</f>
        <v>น.ส.วรรณพร เกตุเลิศประเสริฐ</v>
      </c>
      <c r="H2265" s="1" t="str">
        <f>IFERROR(__xludf.DUMMYFUNCTION("""COMPUTED_VALUE"""),"2010612")</f>
        <v>2010612</v>
      </c>
      <c r="I2265" s="1" t="str">
        <f>IFERROR(__xludf.DUMMYFUNCTION("""COMPUTED_VALUE"""),"น.ส.วรรณพร เกตุเลิศประเสริฐ")</f>
        <v>น.ส.วรรณพร เกตุเลิศประเสริฐ</v>
      </c>
      <c r="J2265" s="3">
        <f>IFERROR(__xludf.DUMMYFUNCTION("""COMPUTED_VALUE"""),2454701.0)</f>
        <v>2454701</v>
      </c>
      <c r="K2265" s="3" t="str">
        <f>IFERROR(__xludf.DUMMYFUNCTION("""COMPUTED_VALUE"""),"นายกานต์ ไชยแสงศรี")</f>
        <v>นายกานต์ ไชยแสงศรี</v>
      </c>
      <c r="L2265" s="1" t="str">
        <f>IFERROR(__xludf.DUMMYFUNCTION("""COMPUTED_VALUE"""),"Hub01-BKK 1")</f>
        <v>Hub01-BKK 1</v>
      </c>
      <c r="M2265" s="1" t="str">
        <f>IFERROR(__xludf.DUMMYFUNCTION("""COMPUTED_VALUE"""),"0909090652")</f>
        <v>0909090652</v>
      </c>
      <c r="N2265" s="3">
        <f>IFERROR(__xludf.DUMMYFUNCTION("""COMPUTED_VALUE"""),11142.0)</f>
        <v>11142</v>
      </c>
      <c r="O2265" s="3" t="str">
        <f>IFERROR(__xludf.DUMMYFUNCTION("""COMPUTED_VALUE"""),"เพชรเกษม")</f>
        <v>เพชรเกษม</v>
      </c>
      <c r="P2265" s="4">
        <f>IFERROR(__xludf.DUMMYFUNCTION("""COMPUTED_VALUE"""),42412.0)</f>
        <v>42412</v>
      </c>
      <c r="Q2265" s="3" t="str">
        <f>IFERROR(__xludf.DUMMYFUNCTION("""COMPUTED_VALUE"""),"A")</f>
        <v>A</v>
      </c>
      <c r="R2265" s="3" t="str">
        <f>IFERROR(__xludf.DUMMYFUNCTION("""COMPUTED_VALUE"""),"Big Format")</f>
        <v>Big Format</v>
      </c>
      <c r="S2265" s="3" t="str">
        <f>IFERROR(__xludf.DUMMYFUNCTION("""COMPUTED_VALUE"""),"PURE")</f>
        <v>PURE</v>
      </c>
      <c r="T2265" s="3" t="str">
        <f>IFERROR(__xludf.DUMMYFUNCTION("""COMPUTED_VALUE"""),"#N/A")</f>
        <v>#N/A</v>
      </c>
      <c r="U2265" s="3" t="str">
        <f>IFERROR(__xludf.DUMMYFUNCTION("""COMPUTED_VALUE"""),"#N/A")</f>
        <v>#N/A</v>
      </c>
      <c r="V2265" s="3" t="str">
        <f>IFERROR(__xludf.DUMMYFUNCTION("""COMPUTED_VALUE"""),"N")</f>
        <v>N</v>
      </c>
      <c r="W2265" s="3">
        <f>IFERROR(__xludf.DUMMYFUNCTION("""COMPUTED_VALUE"""),111142.0)</f>
        <v>111142</v>
      </c>
      <c r="X2265" s="3" t="str">
        <f>IFERROR(__xludf.DUMMYFUNCTION("""COMPUTED_VALUE"""),"1759 ถนนเพชรเกษม แขวงหลักสอง เขตบางแค กรุงเทพฯ 10160")</f>
        <v>1759 ถนนเพชรเกษม แขวงหลักสอง เขตบางแค กรุงเทพฯ 10160</v>
      </c>
      <c r="Y2265" s="3" t="str">
        <f>IFERROR(__xludf.DUMMYFUNCTION("""COMPUTED_VALUE"""),"ถนนเพชรเกษม")</f>
        <v>ถนนเพชรเกษม</v>
      </c>
      <c r="Z2265" s="3" t="str">
        <f>IFERROR(__xludf.DUMMYFUNCTION("""COMPUTED_VALUE"""),"หลักสอง")</f>
        <v>หลักสอง</v>
      </c>
      <c r="AA2265" s="3" t="str">
        <f>IFERROR(__xludf.DUMMYFUNCTION("""COMPUTED_VALUE"""),"บางแค")</f>
        <v>บางแค</v>
      </c>
      <c r="AB2265" s="3" t="str">
        <f>IFERROR(__xludf.DUMMYFUNCTION("""COMPUTED_VALUE"""),"กรุงเทพมหานคร")</f>
        <v>กรุงเทพมหานคร</v>
      </c>
      <c r="AC2265" s="3">
        <f>IFERROR(__xludf.DUMMYFUNCTION("""COMPUTED_VALUE"""),10160.0)</f>
        <v>10160</v>
      </c>
      <c r="AD2265" s="3">
        <f>IFERROR(__xludf.DUMMYFUNCTION("""COMPUTED_VALUE"""),0.0)</f>
        <v>0</v>
      </c>
      <c r="AE2265" s="3">
        <f>IFERROR(__xludf.DUMMYFUNCTION("""COMPUTED_VALUE"""),0.0)</f>
        <v>0</v>
      </c>
      <c r="AF2265" s="3" t="str">
        <f>IFERROR(__xludf.DUMMYFUNCTION("""COMPUTED_VALUE"""),"Pure เพชรเกษม-41166")</f>
        <v>Pure เพชรเกษม-41166</v>
      </c>
      <c r="AG2265" s="3" t="str">
        <f>IFERROR(__xludf.DUMMYFUNCTION("""COMPUTED_VALUE"""),"กลาง")</f>
        <v>กลาง</v>
      </c>
      <c r="AH2265" s="3" t="str">
        <f>IFERROR(__xludf.DUMMYFUNCTION("""COMPUTED_VALUE"""),"#N/A")</f>
        <v>#N/A</v>
      </c>
      <c r="AI2265" s="3" t="str">
        <f>IFERROR(__xludf.DUMMYFUNCTION("""COMPUTED_VALUE"""),"Out of warranty")</f>
        <v>Out of warranty</v>
      </c>
      <c r="AJ2265" s="3">
        <f>IFERROR(__xludf.DUMMYFUNCTION("""COMPUTED_VALUE"""),120.0)</f>
        <v>120</v>
      </c>
      <c r="AK2265" s="3"/>
      <c r="AL2265" s="3"/>
    </row>
    <row r="2266" ht="15.75" customHeight="1">
      <c r="A2266" s="1" t="str">
        <f>IFERROR(__xludf.DUMMYFUNCTION("""COMPUTED_VALUE"""),"41167")</f>
        <v>41167</v>
      </c>
      <c r="B2266" s="2">
        <f>IFERROR(__xludf.DUMMYFUNCTION("""COMPUTED_VALUE"""),41167.0)</f>
        <v>41167</v>
      </c>
      <c r="C2266" s="3" t="str">
        <f>IFERROR(__xludf.DUMMYFUNCTION("""COMPUTED_VALUE"""),"Pure หัวหมาก")</f>
        <v>Pure หัวหมาก</v>
      </c>
      <c r="D2266" s="3" t="str">
        <f>IFERROR(__xludf.DUMMYFUNCTION("""COMPUTED_VALUE"""),"BIGC HUAMARK PURE")</f>
        <v>BIGC HUAMARK PURE</v>
      </c>
      <c r="E2266" s="1" t="str">
        <f>IFERROR(__xludf.DUMMYFUNCTION("""COMPUTED_VALUE"""),"PURE")</f>
        <v>PURE</v>
      </c>
      <c r="F2266" s="1" t="str">
        <f>IFERROR(__xludf.DUMMYFUNCTION("""COMPUTED_VALUE"""),"211291")</f>
        <v>211291</v>
      </c>
      <c r="G2266" s="1" t="str">
        <f>IFERROR(__xludf.DUMMYFUNCTION("""COMPUTED_VALUE"""),"น.ส.ปนัดดา มากระจันทน์")</f>
        <v>น.ส.ปนัดดา มากระจันทน์</v>
      </c>
      <c r="H2266" s="1" t="str">
        <f>IFERROR(__xludf.DUMMYFUNCTION("""COMPUTED_VALUE"""),"211291")</f>
        <v>211291</v>
      </c>
      <c r="I2266" s="1" t="str">
        <f>IFERROR(__xludf.DUMMYFUNCTION("""COMPUTED_VALUE"""),"น.ส.ปนัดดา มากระจันทน์")</f>
        <v>น.ส.ปนัดดา มากระจันทน์</v>
      </c>
      <c r="J2266" s="3">
        <f>IFERROR(__xludf.DUMMYFUNCTION("""COMPUTED_VALUE"""),2454716.0)</f>
        <v>2454716</v>
      </c>
      <c r="K2266" s="3" t="str">
        <f>IFERROR(__xludf.DUMMYFUNCTION("""COMPUTED_VALUE"""),"นายโฆษิต วงค์กะโซ่")</f>
        <v>นายโฆษิต วงค์กะโซ่</v>
      </c>
      <c r="L2266" s="1" t="str">
        <f>IFERROR(__xludf.DUMMYFUNCTION("""COMPUTED_VALUE"""),"Hub03-BKK 3")</f>
        <v>Hub03-BKK 3</v>
      </c>
      <c r="M2266" s="1" t="str">
        <f>IFERROR(__xludf.DUMMYFUNCTION("""COMPUTED_VALUE"""),"062-434-5030")</f>
        <v>062-434-5030</v>
      </c>
      <c r="N2266" s="3">
        <f>IFERROR(__xludf.DUMMYFUNCTION("""COMPUTED_VALUE"""),11122.0)</f>
        <v>11122</v>
      </c>
      <c r="O2266" s="3" t="str">
        <f>IFERROR(__xludf.DUMMYFUNCTION("""COMPUTED_VALUE"""),"หัวหมาก")</f>
        <v>หัวหมาก</v>
      </c>
      <c r="P2266" s="4">
        <f>IFERROR(__xludf.DUMMYFUNCTION("""COMPUTED_VALUE"""),42465.0)</f>
        <v>42465</v>
      </c>
      <c r="Q2266" s="3" t="str">
        <f>IFERROR(__xludf.DUMMYFUNCTION("""COMPUTED_VALUE"""),"A")</f>
        <v>A</v>
      </c>
      <c r="R2266" s="3" t="str">
        <f>IFERROR(__xludf.DUMMYFUNCTION("""COMPUTED_VALUE"""),"Big Format")</f>
        <v>Big Format</v>
      </c>
      <c r="S2266" s="3" t="str">
        <f>IFERROR(__xludf.DUMMYFUNCTION("""COMPUTED_VALUE"""),"PURE")</f>
        <v>PURE</v>
      </c>
      <c r="T2266" s="3" t="str">
        <f>IFERROR(__xludf.DUMMYFUNCTION("""COMPUTED_VALUE"""),"#N/A")</f>
        <v>#N/A</v>
      </c>
      <c r="U2266" s="3" t="str">
        <f>IFERROR(__xludf.DUMMYFUNCTION("""COMPUTED_VALUE"""),"#N/A")</f>
        <v>#N/A</v>
      </c>
      <c r="V2266" s="3" t="str">
        <f>IFERROR(__xludf.DUMMYFUNCTION("""COMPUTED_VALUE"""),"N")</f>
        <v>N</v>
      </c>
      <c r="W2266" s="3">
        <f>IFERROR(__xludf.DUMMYFUNCTION("""COMPUTED_VALUE"""),111122.0)</f>
        <v>111122</v>
      </c>
      <c r="X2266" s="3" t="str">
        <f>IFERROR(__xludf.DUMMYFUNCTION("""COMPUTED_VALUE"""),"177 ถนนรามคำแหง แขวงหัวหมาก เขตบางกะปิ กรุงเทพฯ 10240")</f>
        <v>177 ถนนรามคำแหง แขวงหัวหมาก เขตบางกะปิ กรุงเทพฯ 10240</v>
      </c>
      <c r="Y2266" s="3" t="str">
        <f>IFERROR(__xludf.DUMMYFUNCTION("""COMPUTED_VALUE"""),"ถนนรามคำแหง")</f>
        <v>ถนนรามคำแหง</v>
      </c>
      <c r="Z2266" s="3" t="str">
        <f>IFERROR(__xludf.DUMMYFUNCTION("""COMPUTED_VALUE"""),"หัวหมาก")</f>
        <v>หัวหมาก</v>
      </c>
      <c r="AA2266" s="3" t="str">
        <f>IFERROR(__xludf.DUMMYFUNCTION("""COMPUTED_VALUE"""),"บางกะปิ")</f>
        <v>บางกะปิ</v>
      </c>
      <c r="AB2266" s="3" t="str">
        <f>IFERROR(__xludf.DUMMYFUNCTION("""COMPUTED_VALUE"""),"กรุงเทพมหานคร")</f>
        <v>กรุงเทพมหานคร</v>
      </c>
      <c r="AC2266" s="3">
        <f>IFERROR(__xludf.DUMMYFUNCTION("""COMPUTED_VALUE"""),10240.0)</f>
        <v>10240</v>
      </c>
      <c r="AD2266" s="3">
        <f>IFERROR(__xludf.DUMMYFUNCTION("""COMPUTED_VALUE"""),0.0)</f>
        <v>0</v>
      </c>
      <c r="AE2266" s="3">
        <f>IFERROR(__xludf.DUMMYFUNCTION("""COMPUTED_VALUE"""),0.0)</f>
        <v>0</v>
      </c>
      <c r="AF2266" s="3" t="str">
        <f>IFERROR(__xludf.DUMMYFUNCTION("""COMPUTED_VALUE"""),"Pure หัวหมาก-41167")</f>
        <v>Pure หัวหมาก-41167</v>
      </c>
      <c r="AG2266" s="3" t="str">
        <f>IFERROR(__xludf.DUMMYFUNCTION("""COMPUTED_VALUE"""),"กลาง")</f>
        <v>กลาง</v>
      </c>
      <c r="AH2266" s="3" t="str">
        <f>IFERROR(__xludf.DUMMYFUNCTION("""COMPUTED_VALUE"""),"#N/A")</f>
        <v>#N/A</v>
      </c>
      <c r="AI2266" s="3" t="str">
        <f>IFERROR(__xludf.DUMMYFUNCTION("""COMPUTED_VALUE"""),"Out of warranty")</f>
        <v>Out of warranty</v>
      </c>
      <c r="AJ2266" s="3">
        <f>IFERROR(__xludf.DUMMYFUNCTION("""COMPUTED_VALUE"""),118.0)</f>
        <v>118</v>
      </c>
      <c r="AK2266" s="3"/>
      <c r="AL2266" s="3"/>
    </row>
    <row r="2267" ht="15.75" customHeight="1">
      <c r="A2267" s="1" t="str">
        <f>IFERROR(__xludf.DUMMYFUNCTION("""COMPUTED_VALUE"""),"41170")</f>
        <v>41170</v>
      </c>
      <c r="B2267" s="2">
        <f>IFERROR(__xludf.DUMMYFUNCTION("""COMPUTED_VALUE"""),41170.0)</f>
        <v>41170</v>
      </c>
      <c r="C2267" s="3" t="str">
        <f>IFERROR(__xludf.DUMMYFUNCTION("""COMPUTED_VALUE"""),"Pure Jumbo สำโรง")</f>
        <v>Pure Jumbo สำโรง</v>
      </c>
      <c r="D2267" s="3" t="str">
        <f>IFERROR(__xludf.DUMMYFUNCTION("""COMPUTED_VALUE"""),"BIGC JUMBO SAMROMG-2 PURE")</f>
        <v>BIGC JUMBO SAMROMG-2 PURE</v>
      </c>
      <c r="E2267" s="1" t="str">
        <f>IFERROR(__xludf.DUMMYFUNCTION("""COMPUTED_VALUE"""),"PURE")</f>
        <v>PURE</v>
      </c>
      <c r="F2267" s="1" t="str">
        <f>IFERROR(__xludf.DUMMYFUNCTION("""COMPUTED_VALUE"""),"291435")</f>
        <v>291435</v>
      </c>
      <c r="G2267" s="1" t="str">
        <f>IFERROR(__xludf.DUMMYFUNCTION("""COMPUTED_VALUE"""),"น.ส.สุกัญญา มณีไพโรจน์")</f>
        <v>น.ส.สุกัญญา มณีไพโรจน์</v>
      </c>
      <c r="H2267" s="1" t="str">
        <f>IFERROR(__xludf.DUMMYFUNCTION("""COMPUTED_VALUE"""),"291435")</f>
        <v>291435</v>
      </c>
      <c r="I2267" s="1" t="str">
        <f>IFERROR(__xludf.DUMMYFUNCTION("""COMPUTED_VALUE"""),"น.ส.สุกัญญา มณีไพโรจน์")</f>
        <v>น.ส.สุกัญญา มณีไพโรจน์</v>
      </c>
      <c r="J2267" s="3">
        <f>IFERROR(__xludf.DUMMYFUNCTION("""COMPUTED_VALUE"""),2454716.0)</f>
        <v>2454716</v>
      </c>
      <c r="K2267" s="3" t="str">
        <f>IFERROR(__xludf.DUMMYFUNCTION("""COMPUTED_VALUE"""),"นายโฆษิต วงค์กะโซ่")</f>
        <v>นายโฆษิต วงค์กะโซ่</v>
      </c>
      <c r="L2267" s="1" t="str">
        <f>IFERROR(__xludf.DUMMYFUNCTION("""COMPUTED_VALUE"""),"Hub03-BKK 3")</f>
        <v>Hub03-BKK 3</v>
      </c>
      <c r="M2267" s="1" t="str">
        <f>IFERROR(__xludf.DUMMYFUNCTION("""COMPUTED_VALUE"""),"062-434-5030")</f>
        <v>062-434-5030</v>
      </c>
      <c r="N2267" s="3">
        <f>IFERROR(__xludf.DUMMYFUNCTION("""COMPUTED_VALUE"""),14001.0)</f>
        <v>14001</v>
      </c>
      <c r="O2267" s="3" t="str">
        <f>IFERROR(__xludf.DUMMYFUNCTION("""COMPUTED_VALUE"""),"Jumbo สำโรง2")</f>
        <v>Jumbo สำโรง2</v>
      </c>
      <c r="P2267" s="4">
        <f>IFERROR(__xludf.DUMMYFUNCTION("""COMPUTED_VALUE"""),42367.0)</f>
        <v>42367</v>
      </c>
      <c r="Q2267" s="3" t="str">
        <f>IFERROR(__xludf.DUMMYFUNCTION("""COMPUTED_VALUE"""),"A")</f>
        <v>A</v>
      </c>
      <c r="R2267" s="3" t="str">
        <f>IFERROR(__xludf.DUMMYFUNCTION("""COMPUTED_VALUE"""),"Big Format")</f>
        <v>Big Format</v>
      </c>
      <c r="S2267" s="3" t="str">
        <f>IFERROR(__xludf.DUMMYFUNCTION("""COMPUTED_VALUE"""),"PURE")</f>
        <v>PURE</v>
      </c>
      <c r="T2267" s="3" t="str">
        <f>IFERROR(__xludf.DUMMYFUNCTION("""COMPUTED_VALUE"""),"#N/A")</f>
        <v>#N/A</v>
      </c>
      <c r="U2267" s="3" t="str">
        <f>IFERROR(__xludf.DUMMYFUNCTION("""COMPUTED_VALUE"""),"#N/A")</f>
        <v>#N/A</v>
      </c>
      <c r="V2267" s="3" t="str">
        <f>IFERROR(__xludf.DUMMYFUNCTION("""COMPUTED_VALUE"""),"N")</f>
        <v>N</v>
      </c>
      <c r="W2267" s="3">
        <f>IFERROR(__xludf.DUMMYFUNCTION("""COMPUTED_VALUE"""),141001.0)</f>
        <v>141001</v>
      </c>
      <c r="X2267" s="3" t="str">
        <f>IFERROR(__xludf.DUMMYFUNCTION("""COMPUTED_VALUE"""),"1293 หมู่ที่ 4 ตำบลเทพารักษ์ อำเภอเมืองสมุทรปราการ จังหวัดสมุทรปราการ 10270")</f>
        <v>1293 หมู่ที่ 4 ตำบลเทพารักษ์ อำเภอเมืองสมุทรปราการ จังหวัดสมุทรปราการ 10270</v>
      </c>
      <c r="Y2267" s="3"/>
      <c r="Z2267" s="3" t="str">
        <f>IFERROR(__xludf.DUMMYFUNCTION("""COMPUTED_VALUE"""),"เทพารักษ์")</f>
        <v>เทพารักษ์</v>
      </c>
      <c r="AA2267" s="3" t="str">
        <f>IFERROR(__xludf.DUMMYFUNCTION("""COMPUTED_VALUE"""),"เมืองสมุทรปราการ")</f>
        <v>เมืองสมุทรปราการ</v>
      </c>
      <c r="AB2267" s="3" t="str">
        <f>IFERROR(__xludf.DUMMYFUNCTION("""COMPUTED_VALUE"""),"สมุทรปราการ")</f>
        <v>สมุทรปราการ</v>
      </c>
      <c r="AC2267" s="3">
        <f>IFERROR(__xludf.DUMMYFUNCTION("""COMPUTED_VALUE"""),10270.0)</f>
        <v>10270</v>
      </c>
      <c r="AD2267" s="3">
        <f>IFERROR(__xludf.DUMMYFUNCTION("""COMPUTED_VALUE"""),0.0)</f>
        <v>0</v>
      </c>
      <c r="AE2267" s="3">
        <f>IFERROR(__xludf.DUMMYFUNCTION("""COMPUTED_VALUE"""),0.0)</f>
        <v>0</v>
      </c>
      <c r="AF2267" s="3" t="str">
        <f>IFERROR(__xludf.DUMMYFUNCTION("""COMPUTED_VALUE"""),"Pure Jumbo สำโรง-41170")</f>
        <v>Pure Jumbo สำโรง-41170</v>
      </c>
      <c r="AG2267" s="3" t="str">
        <f>IFERROR(__xludf.DUMMYFUNCTION("""COMPUTED_VALUE"""),"กลาง")</f>
        <v>กลาง</v>
      </c>
      <c r="AH2267" s="3" t="str">
        <f>IFERROR(__xludf.DUMMYFUNCTION("""COMPUTED_VALUE"""),"#N/A")</f>
        <v>#N/A</v>
      </c>
      <c r="AI2267" s="3" t="str">
        <f>IFERROR(__xludf.DUMMYFUNCTION("""COMPUTED_VALUE"""),"Out of warranty")</f>
        <v>Out of warranty</v>
      </c>
      <c r="AJ2267" s="3">
        <f>IFERROR(__xludf.DUMMYFUNCTION("""COMPUTED_VALUE"""),121.0)</f>
        <v>121</v>
      </c>
      <c r="AK2267" s="3"/>
      <c r="AL2267" s="3"/>
    </row>
    <row r="2268" ht="15.75" customHeight="1">
      <c r="A2268" s="1" t="str">
        <f>IFERROR(__xludf.DUMMYFUNCTION("""COMPUTED_VALUE"""),"41171")</f>
        <v>41171</v>
      </c>
      <c r="B2268" s="2">
        <f>IFERROR(__xludf.DUMMYFUNCTION("""COMPUTED_VALUE"""),41171.0)</f>
        <v>41171</v>
      </c>
      <c r="C2268" s="3" t="str">
        <f>IFERROR(__xludf.DUMMYFUNCTION("""COMPUTED_VALUE"""),"Pure ระนอง")</f>
        <v>Pure ระนอง</v>
      </c>
      <c r="D2268" s="3" t="str">
        <f>IFERROR(__xludf.DUMMYFUNCTION("""COMPUTED_VALUE"""),"BIGC RANONG PURE")</f>
        <v>BIGC RANONG PURE</v>
      </c>
      <c r="E2268" s="1" t="str">
        <f>IFERROR(__xludf.DUMMYFUNCTION("""COMPUTED_VALUE"""),"PURE")</f>
        <v>PURE</v>
      </c>
      <c r="F2268" s="1" t="str">
        <f>IFERROR(__xludf.DUMMYFUNCTION("""COMPUTED_VALUE"""),"291435")</f>
        <v>291435</v>
      </c>
      <c r="G2268" s="1" t="str">
        <f>IFERROR(__xludf.DUMMYFUNCTION("""COMPUTED_VALUE"""),"น.ส.สุกัญญา มณีไพโรจน์")</f>
        <v>น.ส.สุกัญญา มณีไพโรจน์</v>
      </c>
      <c r="H2268" s="1" t="str">
        <f>IFERROR(__xludf.DUMMYFUNCTION("""COMPUTED_VALUE"""),"291435")</f>
        <v>291435</v>
      </c>
      <c r="I2268" s="1" t="str">
        <f>IFERROR(__xludf.DUMMYFUNCTION("""COMPUTED_VALUE"""),"น.ส.สุกัญญา มณีไพโรจน์")</f>
        <v>น.ส.สุกัญญา มณีไพโรจน์</v>
      </c>
      <c r="J2268" s="3">
        <f>IFERROR(__xludf.DUMMYFUNCTION("""COMPUTED_VALUE"""),2454709.0)</f>
        <v>2454709</v>
      </c>
      <c r="K2268" s="3" t="str">
        <f>IFERROR(__xludf.DUMMYFUNCTION("""COMPUTED_VALUE"""),"นายประชา เกตุชาติ")</f>
        <v>นายประชา เกตุชาติ</v>
      </c>
      <c r="L2268" s="1" t="str">
        <f>IFERROR(__xludf.DUMMYFUNCTION("""COMPUTED_VALUE"""),"Hub05-South")</f>
        <v>Hub05-South</v>
      </c>
      <c r="M2268" s="1" t="str">
        <f>IFERROR(__xludf.DUMMYFUNCTION("""COMPUTED_VALUE"""),"0659291311")</f>
        <v>0659291311</v>
      </c>
      <c r="N2268" s="3">
        <f>IFERROR(__xludf.DUMMYFUNCTION("""COMPUTED_VALUE"""),11227.0)</f>
        <v>11227</v>
      </c>
      <c r="O2268" s="3" t="str">
        <f>IFERROR(__xludf.DUMMYFUNCTION("""COMPUTED_VALUE"""),"ระนอง")</f>
        <v>ระนอง</v>
      </c>
      <c r="P2268" s="4">
        <f>IFERROR(__xludf.DUMMYFUNCTION("""COMPUTED_VALUE"""),42503.0)</f>
        <v>42503</v>
      </c>
      <c r="Q2268" s="3" t="str">
        <f>IFERROR(__xludf.DUMMYFUNCTION("""COMPUTED_VALUE"""),"A")</f>
        <v>A</v>
      </c>
      <c r="R2268" s="3" t="str">
        <f>IFERROR(__xludf.DUMMYFUNCTION("""COMPUTED_VALUE"""),"Big Format")</f>
        <v>Big Format</v>
      </c>
      <c r="S2268" s="3" t="str">
        <f>IFERROR(__xludf.DUMMYFUNCTION("""COMPUTED_VALUE"""),"PURE")</f>
        <v>PURE</v>
      </c>
      <c r="T2268" s="3" t="str">
        <f>IFERROR(__xludf.DUMMYFUNCTION("""COMPUTED_VALUE"""),"#N/A")</f>
        <v>#N/A</v>
      </c>
      <c r="U2268" s="3" t="str">
        <f>IFERROR(__xludf.DUMMYFUNCTION("""COMPUTED_VALUE"""),"#N/A")</f>
        <v>#N/A</v>
      </c>
      <c r="V2268" s="3" t="str">
        <f>IFERROR(__xludf.DUMMYFUNCTION("""COMPUTED_VALUE"""),"N")</f>
        <v>N</v>
      </c>
      <c r="W2268" s="3">
        <f>IFERROR(__xludf.DUMMYFUNCTION("""COMPUTED_VALUE"""),111233.0)</f>
        <v>111233</v>
      </c>
      <c r="X2268" s="3" t="str">
        <f>IFERROR(__xludf.DUMMYFUNCTION("""COMPUTED_VALUE"""),"666/1 หมู่ 4 ตำบลบางนอน อำเภอเมืองระนอง จังหวัดระนอง 85000")</f>
        <v>666/1 หมู่ 4 ตำบลบางนอน อำเภอเมืองระนอง จังหวัดระนอง 85000</v>
      </c>
      <c r="Y2268" s="3"/>
      <c r="Z2268" s="3" t="str">
        <f>IFERROR(__xludf.DUMMYFUNCTION("""COMPUTED_VALUE"""),"บางนอน")</f>
        <v>บางนอน</v>
      </c>
      <c r="AA2268" s="3" t="str">
        <f>IFERROR(__xludf.DUMMYFUNCTION("""COMPUTED_VALUE"""),"เมือง")</f>
        <v>เมือง</v>
      </c>
      <c r="AB2268" s="3" t="str">
        <f>IFERROR(__xludf.DUMMYFUNCTION("""COMPUTED_VALUE"""),"ระนอง")</f>
        <v>ระนอง</v>
      </c>
      <c r="AC2268" s="3">
        <f>IFERROR(__xludf.DUMMYFUNCTION("""COMPUTED_VALUE"""),85000.0)</f>
        <v>85000</v>
      </c>
      <c r="AD2268" s="3">
        <f>IFERROR(__xludf.DUMMYFUNCTION("""COMPUTED_VALUE"""),0.0)</f>
        <v>0</v>
      </c>
      <c r="AE2268" s="3">
        <f>IFERROR(__xludf.DUMMYFUNCTION("""COMPUTED_VALUE"""),0.0)</f>
        <v>0</v>
      </c>
      <c r="AF2268" s="3" t="str">
        <f>IFERROR(__xludf.DUMMYFUNCTION("""COMPUTED_VALUE"""),"Pure ระนอง-41171")</f>
        <v>Pure ระนอง-41171</v>
      </c>
      <c r="AG2268" s="3" t="str">
        <f>IFERROR(__xludf.DUMMYFUNCTION("""COMPUTED_VALUE"""),"ใต้")</f>
        <v>ใต้</v>
      </c>
      <c r="AH2268" s="3" t="str">
        <f>IFERROR(__xludf.DUMMYFUNCTION("""COMPUTED_VALUE"""),"#N/A")</f>
        <v>#N/A</v>
      </c>
      <c r="AI2268" s="3" t="str">
        <f>IFERROR(__xludf.DUMMYFUNCTION("""COMPUTED_VALUE"""),"Out of warranty")</f>
        <v>Out of warranty</v>
      </c>
      <c r="AJ2268" s="3">
        <f>IFERROR(__xludf.DUMMYFUNCTION("""COMPUTED_VALUE"""),117.0)</f>
        <v>117</v>
      </c>
      <c r="AK2268" s="3"/>
      <c r="AL2268" s="3"/>
    </row>
    <row r="2269" ht="15.75" customHeight="1">
      <c r="A2269" s="1" t="str">
        <f>IFERROR(__xludf.DUMMYFUNCTION("""COMPUTED_VALUE"""),"41172")</f>
        <v>41172</v>
      </c>
      <c r="B2269" s="2">
        <f>IFERROR(__xludf.DUMMYFUNCTION("""COMPUTED_VALUE"""),41172.0)</f>
        <v>41172</v>
      </c>
      <c r="C2269" s="3" t="str">
        <f>IFERROR(__xludf.DUMMYFUNCTION("""COMPUTED_VALUE"""),"Pure ภูเก็ต 2")</f>
        <v>Pure ภูเก็ต 2</v>
      </c>
      <c r="D2269" s="3" t="str">
        <f>IFERROR(__xludf.DUMMYFUNCTION("""COMPUTED_VALUE"""),"BIGC PHUKET-2 PURE")</f>
        <v>BIGC PHUKET-2 PURE</v>
      </c>
      <c r="E2269" s="1" t="str">
        <f>IFERROR(__xludf.DUMMYFUNCTION("""COMPUTED_VALUE"""),"PURE")</f>
        <v>PURE</v>
      </c>
      <c r="F2269" s="1" t="str">
        <f>IFERROR(__xludf.DUMMYFUNCTION("""COMPUTED_VALUE"""),"291435")</f>
        <v>291435</v>
      </c>
      <c r="G2269" s="1" t="str">
        <f>IFERROR(__xludf.DUMMYFUNCTION("""COMPUTED_VALUE"""),"น.ส.สุกัญญา มณีไพโรจน์")</f>
        <v>น.ส.สุกัญญา มณีไพโรจน์</v>
      </c>
      <c r="H2269" s="1" t="str">
        <f>IFERROR(__xludf.DUMMYFUNCTION("""COMPUTED_VALUE"""),"291435")</f>
        <v>291435</v>
      </c>
      <c r="I2269" s="1" t="str">
        <f>IFERROR(__xludf.DUMMYFUNCTION("""COMPUTED_VALUE"""),"น.ส.สุกัญญา มณีไพโรจน์")</f>
        <v>น.ส.สุกัญญา มณีไพโรจน์</v>
      </c>
      <c r="J2269" s="3">
        <f>IFERROR(__xludf.DUMMYFUNCTION("""COMPUTED_VALUE"""),2454709.0)</f>
        <v>2454709</v>
      </c>
      <c r="K2269" s="3" t="str">
        <f>IFERROR(__xludf.DUMMYFUNCTION("""COMPUTED_VALUE"""),"นายประชา เกตุชาติ")</f>
        <v>นายประชา เกตุชาติ</v>
      </c>
      <c r="L2269" s="1" t="str">
        <f>IFERROR(__xludf.DUMMYFUNCTION("""COMPUTED_VALUE"""),"Hub05-South")</f>
        <v>Hub05-South</v>
      </c>
      <c r="M2269" s="1" t="str">
        <f>IFERROR(__xludf.DUMMYFUNCTION("""COMPUTED_VALUE"""),"0659291311")</f>
        <v>0659291311</v>
      </c>
      <c r="N2269" s="3">
        <f>IFERROR(__xludf.DUMMYFUNCTION("""COMPUTED_VALUE"""),11187.0)</f>
        <v>11187</v>
      </c>
      <c r="O2269" s="3" t="str">
        <f>IFERROR(__xludf.DUMMYFUNCTION("""COMPUTED_VALUE"""),"ภูเก็ต-2")</f>
        <v>ภูเก็ต-2</v>
      </c>
      <c r="P2269" s="4">
        <f>IFERROR(__xludf.DUMMYFUNCTION("""COMPUTED_VALUE"""),42629.0)</f>
        <v>42629</v>
      </c>
      <c r="Q2269" s="3" t="str">
        <f>IFERROR(__xludf.DUMMYFUNCTION("""COMPUTED_VALUE"""),"A")</f>
        <v>A</v>
      </c>
      <c r="R2269" s="3" t="str">
        <f>IFERROR(__xludf.DUMMYFUNCTION("""COMPUTED_VALUE"""),"Big Format")</f>
        <v>Big Format</v>
      </c>
      <c r="S2269" s="3" t="str">
        <f>IFERROR(__xludf.DUMMYFUNCTION("""COMPUTED_VALUE"""),"PURE")</f>
        <v>PURE</v>
      </c>
      <c r="T2269" s="3" t="str">
        <f>IFERROR(__xludf.DUMMYFUNCTION("""COMPUTED_VALUE"""),"#N/A")</f>
        <v>#N/A</v>
      </c>
      <c r="U2269" s="3" t="str">
        <f>IFERROR(__xludf.DUMMYFUNCTION("""COMPUTED_VALUE"""),"#N/A")</f>
        <v>#N/A</v>
      </c>
      <c r="V2269" s="3" t="str">
        <f>IFERROR(__xludf.DUMMYFUNCTION("""COMPUTED_VALUE"""),"N")</f>
        <v>N</v>
      </c>
      <c r="W2269" s="3">
        <f>IFERROR(__xludf.DUMMYFUNCTION("""COMPUTED_VALUE"""),111187.0)</f>
        <v>111187</v>
      </c>
      <c r="X2269" s="3" t="str">
        <f>IFERROR(__xludf.DUMMYFUNCTION("""COMPUTED_VALUE"""),"201 ถนนราษฎร์อุทิศ 200 ปี ตำบลป่าตอง อำเภอกะทู้ จังหวัดภูเก็ต 83150")</f>
        <v>201 ถนนราษฎร์อุทิศ 200 ปี ตำบลป่าตอง อำเภอกะทู้ จังหวัดภูเก็ต 83150</v>
      </c>
      <c r="Y2269" s="3" t="str">
        <f>IFERROR(__xludf.DUMMYFUNCTION("""COMPUTED_VALUE"""),"ถนนราษฎร์อุทิศ")</f>
        <v>ถนนราษฎร์อุทิศ</v>
      </c>
      <c r="Z2269" s="3" t="str">
        <f>IFERROR(__xludf.DUMMYFUNCTION("""COMPUTED_VALUE"""),"ปี")</f>
        <v>ปี</v>
      </c>
      <c r="AA2269" s="3" t="str">
        <f>IFERROR(__xludf.DUMMYFUNCTION("""COMPUTED_VALUE"""),"กะทู้")</f>
        <v>กะทู้</v>
      </c>
      <c r="AB2269" s="3" t="str">
        <f>IFERROR(__xludf.DUMMYFUNCTION("""COMPUTED_VALUE"""),"ภูเก็ต")</f>
        <v>ภูเก็ต</v>
      </c>
      <c r="AC2269" s="3">
        <f>IFERROR(__xludf.DUMMYFUNCTION("""COMPUTED_VALUE"""),83150.0)</f>
        <v>83150</v>
      </c>
      <c r="AD2269" s="3">
        <f>IFERROR(__xludf.DUMMYFUNCTION("""COMPUTED_VALUE"""),0.0)</f>
        <v>0</v>
      </c>
      <c r="AE2269" s="3">
        <f>IFERROR(__xludf.DUMMYFUNCTION("""COMPUTED_VALUE"""),0.0)</f>
        <v>0</v>
      </c>
      <c r="AF2269" s="3" t="str">
        <f>IFERROR(__xludf.DUMMYFUNCTION("""COMPUTED_VALUE"""),"Pure ภูเก็ต 2-41172")</f>
        <v>Pure ภูเก็ต 2-41172</v>
      </c>
      <c r="AG2269" s="3" t="str">
        <f>IFERROR(__xludf.DUMMYFUNCTION("""COMPUTED_VALUE"""),"ใต้")</f>
        <v>ใต้</v>
      </c>
      <c r="AH2269" s="3" t="str">
        <f>IFERROR(__xludf.DUMMYFUNCTION("""COMPUTED_VALUE"""),"#N/A")</f>
        <v>#N/A</v>
      </c>
      <c r="AI2269" s="3" t="str">
        <f>IFERROR(__xludf.DUMMYFUNCTION("""COMPUTED_VALUE"""),"Out of warranty")</f>
        <v>Out of warranty</v>
      </c>
      <c r="AJ2269" s="3">
        <f>IFERROR(__xludf.DUMMYFUNCTION("""COMPUTED_VALUE"""),113.0)</f>
        <v>113</v>
      </c>
      <c r="AK2269" s="3"/>
      <c r="AL2269" s="3"/>
    </row>
    <row r="2270" ht="15.75" customHeight="1">
      <c r="A2270" s="1" t="str">
        <f>IFERROR(__xludf.DUMMYFUNCTION("""COMPUTED_VALUE"""),"41173")</f>
        <v>41173</v>
      </c>
      <c r="B2270" s="2">
        <f>IFERROR(__xludf.DUMMYFUNCTION("""COMPUTED_VALUE"""),41173.0)</f>
        <v>41173</v>
      </c>
      <c r="C2270" s="3" t="str">
        <f>IFERROR(__xludf.DUMMYFUNCTION("""COMPUTED_VALUE"""),"Pure อรัญประเทศ")</f>
        <v>Pure อรัญประเทศ</v>
      </c>
      <c r="D2270" s="3" t="str">
        <f>IFERROR(__xludf.DUMMYFUNCTION("""COMPUTED_VALUE"""),"BIGC ARANYAPRATHET PURE")</f>
        <v>BIGC ARANYAPRATHET PURE</v>
      </c>
      <c r="E2270" s="1" t="str">
        <f>IFERROR(__xludf.DUMMYFUNCTION("""COMPUTED_VALUE"""),"PURE")</f>
        <v>PURE</v>
      </c>
      <c r="F2270" s="1" t="str">
        <f>IFERROR(__xludf.DUMMYFUNCTION("""COMPUTED_VALUE"""),"EX0469")</f>
        <v>EX0469</v>
      </c>
      <c r="G2270" s="1" t="str">
        <f>IFERROR(__xludf.DUMMYFUNCTION("""COMPUTED_VALUE"""),"นายเทวฤทธิ์ ฐาปนะสุต")</f>
        <v>นายเทวฤทธิ์ ฐาปนะสุต</v>
      </c>
      <c r="H2270" s="1" t="str">
        <f>IFERROR(__xludf.DUMMYFUNCTION("""COMPUTED_VALUE"""),"EX0469")</f>
        <v>EX0469</v>
      </c>
      <c r="I2270" s="1" t="str">
        <f>IFERROR(__xludf.DUMMYFUNCTION("""COMPUTED_VALUE"""),"นายเทวฤทธิ์ ฐาปนะสุต")</f>
        <v>นายเทวฤทธิ์ ฐาปนะสุต</v>
      </c>
      <c r="J2270" s="3">
        <f>IFERROR(__xludf.DUMMYFUNCTION("""COMPUTED_VALUE"""),33317.0)</f>
        <v>33317</v>
      </c>
      <c r="K2270" s="3" t="str">
        <f>IFERROR(__xludf.DUMMYFUNCTION("""COMPUTED_VALUE"""),"นายอาณัติ เพชรภาน")</f>
        <v>นายอาณัติ เพชรภาน</v>
      </c>
      <c r="L2270" s="1" t="str">
        <f>IFERROR(__xludf.DUMMYFUNCTION("""COMPUTED_VALUE"""),"Hub10-NE 2")</f>
        <v>Hub10-NE 2</v>
      </c>
      <c r="M2270" s="1" t="str">
        <f>IFERROR(__xludf.DUMMYFUNCTION("""COMPUTED_VALUE"""),"0644791409")</f>
        <v>0644791409</v>
      </c>
      <c r="N2270" s="3">
        <f>IFERROR(__xludf.DUMMYFUNCTION("""COMPUTED_VALUE"""),11232.0)</f>
        <v>11232</v>
      </c>
      <c r="O2270" s="3" t="str">
        <f>IFERROR(__xludf.DUMMYFUNCTION("""COMPUTED_VALUE"""),"อรัญประเทศ")</f>
        <v>อรัญประเทศ</v>
      </c>
      <c r="P2270" s="4">
        <f>IFERROR(__xludf.DUMMYFUNCTION("""COMPUTED_VALUE"""),43831.0)</f>
        <v>43831</v>
      </c>
      <c r="Q2270" s="3" t="str">
        <f>IFERROR(__xludf.DUMMYFUNCTION("""COMPUTED_VALUE"""),"I")</f>
        <v>I</v>
      </c>
      <c r="R2270" s="3" t="str">
        <f>IFERROR(__xludf.DUMMYFUNCTION("""COMPUTED_VALUE"""),"Big Format")</f>
        <v>Big Format</v>
      </c>
      <c r="S2270" s="3" t="str">
        <f>IFERROR(__xludf.DUMMYFUNCTION("""COMPUTED_VALUE"""),"PURE")</f>
        <v>PURE</v>
      </c>
      <c r="T2270" s="3" t="str">
        <f>IFERROR(__xludf.DUMMYFUNCTION("""COMPUTED_VALUE"""),"#N/A")</f>
        <v>#N/A</v>
      </c>
      <c r="U2270" s="3" t="str">
        <f>IFERROR(__xludf.DUMMYFUNCTION("""COMPUTED_VALUE"""),"#N/A")</f>
        <v>#N/A</v>
      </c>
      <c r="V2270" s="3" t="str">
        <f>IFERROR(__xludf.DUMMYFUNCTION("""COMPUTED_VALUE"""),"N")</f>
        <v>N</v>
      </c>
      <c r="W2270" s="3">
        <f>IFERROR(__xludf.DUMMYFUNCTION("""COMPUTED_VALUE"""),111242.0)</f>
        <v>111242</v>
      </c>
      <c r="X2270" s="3" t="str">
        <f>IFERROR(__xludf.DUMMYFUNCTION("""COMPUTED_VALUE"""),"189 หมู่ที่ 7 ตำบลป่าไร่ อำเภออรัญประเทศ จังหวัดสระแก้ว 27120")</f>
        <v>189 หมู่ที่ 7 ตำบลป่าไร่ อำเภออรัญประเทศ จังหวัดสระแก้ว 27120</v>
      </c>
      <c r="Y2270" s="3"/>
      <c r="Z2270" s="3" t="str">
        <f>IFERROR(__xludf.DUMMYFUNCTION("""COMPUTED_VALUE"""),"ป่าไร่")</f>
        <v>ป่าไร่</v>
      </c>
      <c r="AA2270" s="3" t="str">
        <f>IFERROR(__xludf.DUMMYFUNCTION("""COMPUTED_VALUE"""),"อรัญประเทศ")</f>
        <v>อรัญประเทศ</v>
      </c>
      <c r="AB2270" s="3" t="str">
        <f>IFERROR(__xludf.DUMMYFUNCTION("""COMPUTED_VALUE"""),"สระแก้ว")</f>
        <v>สระแก้ว</v>
      </c>
      <c r="AC2270" s="3">
        <f>IFERROR(__xludf.DUMMYFUNCTION("""COMPUTED_VALUE"""),27120.0)</f>
        <v>27120</v>
      </c>
      <c r="AD2270" s="3">
        <f>IFERROR(__xludf.DUMMYFUNCTION("""COMPUTED_VALUE"""),0.0)</f>
        <v>0</v>
      </c>
      <c r="AE2270" s="3">
        <f>IFERROR(__xludf.DUMMYFUNCTION("""COMPUTED_VALUE"""),0.0)</f>
        <v>0</v>
      </c>
      <c r="AF2270" s="3" t="str">
        <f>IFERROR(__xludf.DUMMYFUNCTION("""COMPUTED_VALUE"""),"Pure อรัญประเทศ-41173")</f>
        <v>Pure อรัญประเทศ-41173</v>
      </c>
      <c r="AG2270" s="3" t="str">
        <f>IFERROR(__xludf.DUMMYFUNCTION("""COMPUTED_VALUE"""),"ตะวันออก")</f>
        <v>ตะวันออก</v>
      </c>
      <c r="AH2270" s="3" t="str">
        <f>IFERROR(__xludf.DUMMYFUNCTION("""COMPUTED_VALUE"""),"#N/A")</f>
        <v>#N/A</v>
      </c>
      <c r="AI2270" s="3" t="str">
        <f>IFERROR(__xludf.DUMMYFUNCTION("""COMPUTED_VALUE"""),"Out of warranty")</f>
        <v>Out of warranty</v>
      </c>
      <c r="AJ2270" s="3">
        <f>IFERROR(__xludf.DUMMYFUNCTION("""COMPUTED_VALUE"""),73.0)</f>
        <v>73</v>
      </c>
      <c r="AK2270" s="3"/>
      <c r="AL2270" s="3"/>
    </row>
    <row r="2271" ht="15.75" customHeight="1">
      <c r="A2271" s="1" t="str">
        <f>IFERROR(__xludf.DUMMYFUNCTION("""COMPUTED_VALUE"""),"41174")</f>
        <v>41174</v>
      </c>
      <c r="B2271" s="2">
        <f>IFERROR(__xludf.DUMMYFUNCTION("""COMPUTED_VALUE"""),41174.0)</f>
        <v>41174</v>
      </c>
      <c r="C2271" s="3" t="str">
        <f>IFERROR(__xludf.DUMMYFUNCTION("""COMPUTED_VALUE"""),"Pure โคราช 2")</f>
        <v>Pure โคราช 2</v>
      </c>
      <c r="D2271" s="3" t="str">
        <f>IFERROR(__xludf.DUMMYFUNCTION("""COMPUTED_VALUE"""),"BIGC KORAT 2 PURE")</f>
        <v>BIGC KORAT 2 PURE</v>
      </c>
      <c r="E2271" s="1" t="str">
        <f>IFERROR(__xludf.DUMMYFUNCTION("""COMPUTED_VALUE"""),"PURE")</f>
        <v>PURE</v>
      </c>
      <c r="F2271" s="1" t="str">
        <f>IFERROR(__xludf.DUMMYFUNCTION("""COMPUTED_VALUE"""),"2083583")</f>
        <v>2083583</v>
      </c>
      <c r="G2271" s="1" t="str">
        <f>IFERROR(__xludf.DUMMYFUNCTION("""COMPUTED_VALUE"""),"นายอรรณพ ศรีแก้ว")</f>
        <v>นายอรรณพ ศรีแก้ว</v>
      </c>
      <c r="H2271" s="1" t="str">
        <f>IFERROR(__xludf.DUMMYFUNCTION("""COMPUTED_VALUE"""),"2083583")</f>
        <v>2083583</v>
      </c>
      <c r="I2271" s="1" t="str">
        <f>IFERROR(__xludf.DUMMYFUNCTION("""COMPUTED_VALUE"""),"นายอรรณพ ศรีแก้ว")</f>
        <v>นายอรรณพ ศรีแก้ว</v>
      </c>
      <c r="J2271" s="3">
        <f>IFERROR(__xludf.DUMMYFUNCTION("""COMPUTED_VALUE"""),33317.0)</f>
        <v>33317</v>
      </c>
      <c r="K2271" s="3" t="str">
        <f>IFERROR(__xludf.DUMMYFUNCTION("""COMPUTED_VALUE"""),"นายอาณัติ เพชรภาน")</f>
        <v>นายอาณัติ เพชรภาน</v>
      </c>
      <c r="L2271" s="1" t="str">
        <f>IFERROR(__xludf.DUMMYFUNCTION("""COMPUTED_VALUE"""),"Hub10-NE 2")</f>
        <v>Hub10-NE 2</v>
      </c>
      <c r="M2271" s="1" t="str">
        <f>IFERROR(__xludf.DUMMYFUNCTION("""COMPUTED_VALUE"""),"0644791409")</f>
        <v>0644791409</v>
      </c>
      <c r="N2271" s="3">
        <f>IFERROR(__xludf.DUMMYFUNCTION("""COMPUTED_VALUE"""),11233.0)</f>
        <v>11233</v>
      </c>
      <c r="O2271" s="3" t="str">
        <f>IFERROR(__xludf.DUMMYFUNCTION("""COMPUTED_VALUE"""),"โคราช 2")</f>
        <v>โคราช 2</v>
      </c>
      <c r="P2271" s="4">
        <f>IFERROR(__xludf.DUMMYFUNCTION("""COMPUTED_VALUE"""),42894.0)</f>
        <v>42894</v>
      </c>
      <c r="Q2271" s="3" t="str">
        <f>IFERROR(__xludf.DUMMYFUNCTION("""COMPUTED_VALUE"""),"A")</f>
        <v>A</v>
      </c>
      <c r="R2271" s="3" t="str">
        <f>IFERROR(__xludf.DUMMYFUNCTION("""COMPUTED_VALUE"""),"Big Format")</f>
        <v>Big Format</v>
      </c>
      <c r="S2271" s="3" t="str">
        <f>IFERROR(__xludf.DUMMYFUNCTION("""COMPUTED_VALUE"""),"PURE")</f>
        <v>PURE</v>
      </c>
      <c r="T2271" s="3" t="str">
        <f>IFERROR(__xludf.DUMMYFUNCTION("""COMPUTED_VALUE"""),"#N/A")</f>
        <v>#N/A</v>
      </c>
      <c r="U2271" s="3" t="str">
        <f>IFERROR(__xludf.DUMMYFUNCTION("""COMPUTED_VALUE"""),"#N/A")</f>
        <v>#N/A</v>
      </c>
      <c r="V2271" s="3" t="str">
        <f>IFERROR(__xludf.DUMMYFUNCTION("""COMPUTED_VALUE"""),"N")</f>
        <v>N</v>
      </c>
      <c r="W2271" s="3">
        <f>IFERROR(__xludf.DUMMYFUNCTION("""COMPUTED_VALUE"""),111240.0)</f>
        <v>111240</v>
      </c>
      <c r="X2271" s="3" t="str">
        <f>IFERROR(__xludf.DUMMYFUNCTION("""COMPUTED_VALUE"""),"103 ถนนปักธงชัย ตำบลในเมือง อำเภอเมืองนครราชสีมา จังหวัดนครราชสีมา 30000")</f>
        <v>103 ถนนปักธงชัย ตำบลในเมือง อำเภอเมืองนครราชสีมา จังหวัดนครราชสีมา 30000</v>
      </c>
      <c r="Y2271" s="3" t="str">
        <f>IFERROR(__xludf.DUMMYFUNCTION("""COMPUTED_VALUE"""),"ถนนปักธงชัย")</f>
        <v>ถนนปักธงชัย</v>
      </c>
      <c r="Z2271" s="3" t="str">
        <f>IFERROR(__xludf.DUMMYFUNCTION("""COMPUTED_VALUE"""),"ในเมือง")</f>
        <v>ในเมือง</v>
      </c>
      <c r="AA2271" s="3" t="str">
        <f>IFERROR(__xludf.DUMMYFUNCTION("""COMPUTED_VALUE"""),"เมือง")</f>
        <v>เมือง</v>
      </c>
      <c r="AB2271" s="3" t="str">
        <f>IFERROR(__xludf.DUMMYFUNCTION("""COMPUTED_VALUE"""),"นครราชสีมา")</f>
        <v>นครราชสีมา</v>
      </c>
      <c r="AC2271" s="3">
        <f>IFERROR(__xludf.DUMMYFUNCTION("""COMPUTED_VALUE"""),30000.0)</f>
        <v>30000</v>
      </c>
      <c r="AD2271" s="3">
        <f>IFERROR(__xludf.DUMMYFUNCTION("""COMPUTED_VALUE"""),0.0)</f>
        <v>0</v>
      </c>
      <c r="AE2271" s="3">
        <f>IFERROR(__xludf.DUMMYFUNCTION("""COMPUTED_VALUE"""),0.0)</f>
        <v>0</v>
      </c>
      <c r="AF2271" s="3" t="str">
        <f>IFERROR(__xludf.DUMMYFUNCTION("""COMPUTED_VALUE"""),"Pure โคราช 2-41174")</f>
        <v>Pure โคราช 2-41174</v>
      </c>
      <c r="AG2271" s="3" t="str">
        <f>IFERROR(__xludf.DUMMYFUNCTION("""COMPUTED_VALUE"""),"ตะวันออกเฉียงเหนือ")</f>
        <v>ตะวันออกเฉียงเหนือ</v>
      </c>
      <c r="AH2271" s="3" t="str">
        <f>IFERROR(__xludf.DUMMYFUNCTION("""COMPUTED_VALUE"""),"#N/A")</f>
        <v>#N/A</v>
      </c>
      <c r="AI2271" s="3" t="str">
        <f>IFERROR(__xludf.DUMMYFUNCTION("""COMPUTED_VALUE"""),"Out of warranty")</f>
        <v>Out of warranty</v>
      </c>
      <c r="AJ2271" s="3">
        <f>IFERROR(__xludf.DUMMYFUNCTION("""COMPUTED_VALUE"""),104.0)</f>
        <v>104</v>
      </c>
      <c r="AK2271" s="3"/>
      <c r="AL2271" s="3"/>
    </row>
    <row r="2272" ht="15.75" customHeight="1">
      <c r="A2272" s="1" t="str">
        <f>IFERROR(__xludf.DUMMYFUNCTION("""COMPUTED_VALUE"""),"41175")</f>
        <v>41175</v>
      </c>
      <c r="B2272" s="2">
        <f>IFERROR(__xludf.DUMMYFUNCTION("""COMPUTED_VALUE"""),41175.0)</f>
        <v>41175</v>
      </c>
      <c r="C2272" s="3" t="str">
        <f>IFERROR(__xludf.DUMMYFUNCTION("""COMPUTED_VALUE"""),"Pure ปทุมธานี")</f>
        <v>Pure ปทุมธานี</v>
      </c>
      <c r="D2272" s="3" t="str">
        <f>IFERROR(__xludf.DUMMYFUNCTION("""COMPUTED_VALUE"""),"BIGC PATHUMTHANI PURE")</f>
        <v>BIGC PATHUMTHANI PURE</v>
      </c>
      <c r="E2272" s="1" t="str">
        <f>IFERROR(__xludf.DUMMYFUNCTION("""COMPUTED_VALUE"""),"PURE")</f>
        <v>PURE</v>
      </c>
      <c r="F2272" s="1" t="str">
        <f>IFERROR(__xludf.DUMMYFUNCTION("""COMPUTED_VALUE"""),"2010612")</f>
        <v>2010612</v>
      </c>
      <c r="G2272" s="1" t="str">
        <f>IFERROR(__xludf.DUMMYFUNCTION("""COMPUTED_VALUE"""),"น.ส.วรรณพร เกตุเลิศประเสริฐ")</f>
        <v>น.ส.วรรณพร เกตุเลิศประเสริฐ</v>
      </c>
      <c r="H2272" s="1" t="str">
        <f>IFERROR(__xludf.DUMMYFUNCTION("""COMPUTED_VALUE"""),"2010612")</f>
        <v>2010612</v>
      </c>
      <c r="I2272" s="1" t="str">
        <f>IFERROR(__xludf.DUMMYFUNCTION("""COMPUTED_VALUE"""),"น.ส.วรรณพร เกตุเลิศประเสริฐ")</f>
        <v>น.ส.วรรณพร เกตุเลิศประเสริฐ</v>
      </c>
      <c r="J2272" s="3">
        <f>IFERROR(__xludf.DUMMYFUNCTION("""COMPUTED_VALUE"""),2454813.0)</f>
        <v>2454813</v>
      </c>
      <c r="K2272" s="3" t="str">
        <f>IFERROR(__xludf.DUMMYFUNCTION("""COMPUTED_VALUE"""),"นายอนุรักษ์ จั่นเที่ยง")</f>
        <v>นายอนุรักษ์ จั่นเที่ยง</v>
      </c>
      <c r="L2272" s="1" t="str">
        <f>IFERROR(__xludf.DUMMYFUNCTION("""COMPUTED_VALUE"""),"Hub04-BKK 4")</f>
        <v>Hub04-BKK 4</v>
      </c>
      <c r="M2272" s="1" t="str">
        <f>IFERROR(__xludf.DUMMYFUNCTION("""COMPUTED_VALUE"""),"0991964531")</f>
        <v>0991964531</v>
      </c>
      <c r="N2272" s="3">
        <f>IFERROR(__xludf.DUMMYFUNCTION("""COMPUTED_VALUE"""),11234.0)</f>
        <v>11234</v>
      </c>
      <c r="O2272" s="3" t="str">
        <f>IFERROR(__xludf.DUMMYFUNCTION("""COMPUTED_VALUE"""),"ปทุมธานี")</f>
        <v>ปทุมธานี</v>
      </c>
      <c r="P2272" s="4">
        <f>IFERROR(__xludf.DUMMYFUNCTION("""COMPUTED_VALUE"""),42922.0)</f>
        <v>42922</v>
      </c>
      <c r="Q2272" s="3" t="str">
        <f>IFERROR(__xludf.DUMMYFUNCTION("""COMPUTED_VALUE"""),"A")</f>
        <v>A</v>
      </c>
      <c r="R2272" s="3" t="str">
        <f>IFERROR(__xludf.DUMMYFUNCTION("""COMPUTED_VALUE"""),"Big Format")</f>
        <v>Big Format</v>
      </c>
      <c r="S2272" s="3" t="str">
        <f>IFERROR(__xludf.DUMMYFUNCTION("""COMPUTED_VALUE"""),"PURE")</f>
        <v>PURE</v>
      </c>
      <c r="T2272" s="3" t="str">
        <f>IFERROR(__xludf.DUMMYFUNCTION("""COMPUTED_VALUE"""),"#N/A")</f>
        <v>#N/A</v>
      </c>
      <c r="U2272" s="3" t="str">
        <f>IFERROR(__xludf.DUMMYFUNCTION("""COMPUTED_VALUE"""),"#N/A")</f>
        <v>#N/A</v>
      </c>
      <c r="V2272" s="3" t="str">
        <f>IFERROR(__xludf.DUMMYFUNCTION("""COMPUTED_VALUE"""),"N")</f>
        <v>N</v>
      </c>
      <c r="W2272" s="3">
        <f>IFERROR(__xludf.DUMMYFUNCTION("""COMPUTED_VALUE"""),111239.0)</f>
        <v>111239</v>
      </c>
      <c r="X2272" s="3" t="str">
        <f>IFERROR(__xludf.DUMMYFUNCTION("""COMPUTED_VALUE"""),"41/10 หมู่ 3 ตำบลบ้านฉาง อำเภอเมืองปทุมธานี จังหวัดปทุมธานี 12000")</f>
        <v>41/10 หมู่ 3 ตำบลบ้านฉาง อำเภอเมืองปทุมธานี จังหวัดปทุมธานี 12000</v>
      </c>
      <c r="Y2272" s="3"/>
      <c r="Z2272" s="3" t="str">
        <f>IFERROR(__xludf.DUMMYFUNCTION("""COMPUTED_VALUE"""),"บ้านฉาง")</f>
        <v>บ้านฉาง</v>
      </c>
      <c r="AA2272" s="3" t="str">
        <f>IFERROR(__xludf.DUMMYFUNCTION("""COMPUTED_VALUE"""),"เมือง")</f>
        <v>เมือง</v>
      </c>
      <c r="AB2272" s="3" t="str">
        <f>IFERROR(__xludf.DUMMYFUNCTION("""COMPUTED_VALUE"""),"ปทุมธานี")</f>
        <v>ปทุมธานี</v>
      </c>
      <c r="AC2272" s="3">
        <f>IFERROR(__xludf.DUMMYFUNCTION("""COMPUTED_VALUE"""),12000.0)</f>
        <v>12000</v>
      </c>
      <c r="AD2272" s="3">
        <f>IFERROR(__xludf.DUMMYFUNCTION("""COMPUTED_VALUE"""),0.0)</f>
        <v>0</v>
      </c>
      <c r="AE2272" s="3">
        <f>IFERROR(__xludf.DUMMYFUNCTION("""COMPUTED_VALUE"""),0.0)</f>
        <v>0</v>
      </c>
      <c r="AF2272" s="3" t="str">
        <f>IFERROR(__xludf.DUMMYFUNCTION("""COMPUTED_VALUE"""),"Pure ปทุมธานี-41175")</f>
        <v>Pure ปทุมธานี-41175</v>
      </c>
      <c r="AG2272" s="3" t="str">
        <f>IFERROR(__xludf.DUMMYFUNCTION("""COMPUTED_VALUE"""),"กลาง")</f>
        <v>กลาง</v>
      </c>
      <c r="AH2272" s="3" t="str">
        <f>IFERROR(__xludf.DUMMYFUNCTION("""COMPUTED_VALUE"""),"#N/A")</f>
        <v>#N/A</v>
      </c>
      <c r="AI2272" s="3" t="str">
        <f>IFERROR(__xludf.DUMMYFUNCTION("""COMPUTED_VALUE"""),"Out of warranty")</f>
        <v>Out of warranty</v>
      </c>
      <c r="AJ2272" s="3">
        <f>IFERROR(__xludf.DUMMYFUNCTION("""COMPUTED_VALUE"""),103.0)</f>
        <v>103</v>
      </c>
      <c r="AK2272" s="3"/>
      <c r="AL2272" s="3"/>
    </row>
    <row r="2273" ht="15.75" customHeight="1">
      <c r="A2273" s="1" t="str">
        <f>IFERROR(__xludf.DUMMYFUNCTION("""COMPUTED_VALUE"""),"41176")</f>
        <v>41176</v>
      </c>
      <c r="B2273" s="2">
        <f>IFERROR(__xludf.DUMMYFUNCTION("""COMPUTED_VALUE"""),41176.0)</f>
        <v>41176</v>
      </c>
      <c r="C2273" s="3" t="str">
        <f>IFERROR(__xludf.DUMMYFUNCTION("""COMPUTED_VALUE"""),"Pure สัตหีบ")</f>
        <v>Pure สัตหีบ</v>
      </c>
      <c r="D2273" s="3" t="str">
        <f>IFERROR(__xludf.DUMMYFUNCTION("""COMPUTED_VALUE"""),"BIGC SATAHIB PURE")</f>
        <v>BIGC SATAHIB PURE</v>
      </c>
      <c r="E2273" s="1" t="str">
        <f>IFERROR(__xludf.DUMMYFUNCTION("""COMPUTED_VALUE"""),"PURE")</f>
        <v>PURE</v>
      </c>
      <c r="F2273" s="1" t="str">
        <f>IFERROR(__xludf.DUMMYFUNCTION("""COMPUTED_VALUE"""),"228469")</f>
        <v>228469</v>
      </c>
      <c r="G2273" s="1" t="str">
        <f>IFERROR(__xludf.DUMMYFUNCTION("""COMPUTED_VALUE"""),"น.ส.บงกช ทำการดี")</f>
        <v>น.ส.บงกช ทำการดี</v>
      </c>
      <c r="H2273" s="1" t="str">
        <f>IFERROR(__xludf.DUMMYFUNCTION("""COMPUTED_VALUE"""),"228469")</f>
        <v>228469</v>
      </c>
      <c r="I2273" s="1" t="str">
        <f>IFERROR(__xludf.DUMMYFUNCTION("""COMPUTED_VALUE"""),"น.ส.บงกช ทำการดี")</f>
        <v>น.ส.บงกช ทำการดี</v>
      </c>
      <c r="J2273" s="3">
        <f>IFERROR(__xludf.DUMMYFUNCTION("""COMPUTED_VALUE"""),2455164.0)</f>
        <v>2455164</v>
      </c>
      <c r="K2273" s="3" t="str">
        <f>IFERROR(__xludf.DUMMYFUNCTION("""COMPUTED_VALUE"""),"นายกรวิทย์ เจริญพร")</f>
        <v>นายกรวิทย์ เจริญพร</v>
      </c>
      <c r="L2273" s="1" t="str">
        <f>IFERROR(__xludf.DUMMYFUNCTION("""COMPUTED_VALUE"""),"Hub08-East")</f>
        <v>Hub08-East</v>
      </c>
      <c r="M2273" s="1" t="str">
        <f>IFERROR(__xludf.DUMMYFUNCTION("""COMPUTED_VALUE"""),"092-605-9922")</f>
        <v>092-605-9922</v>
      </c>
      <c r="N2273" s="3">
        <f>IFERROR(__xludf.DUMMYFUNCTION("""COMPUTED_VALUE"""),11244.0)</f>
        <v>11244</v>
      </c>
      <c r="O2273" s="3" t="str">
        <f>IFERROR(__xludf.DUMMYFUNCTION("""COMPUTED_VALUE"""),"สัตหีบ")</f>
        <v>สัตหีบ</v>
      </c>
      <c r="P2273" s="4">
        <f>IFERROR(__xludf.DUMMYFUNCTION("""COMPUTED_VALUE"""),43230.0)</f>
        <v>43230</v>
      </c>
      <c r="Q2273" s="3" t="str">
        <f>IFERROR(__xludf.DUMMYFUNCTION("""COMPUTED_VALUE"""),"A")</f>
        <v>A</v>
      </c>
      <c r="R2273" s="3" t="str">
        <f>IFERROR(__xludf.DUMMYFUNCTION("""COMPUTED_VALUE"""),"Big Format")</f>
        <v>Big Format</v>
      </c>
      <c r="S2273" s="3" t="str">
        <f>IFERROR(__xludf.DUMMYFUNCTION("""COMPUTED_VALUE"""),"PURE")</f>
        <v>PURE</v>
      </c>
      <c r="T2273" s="3" t="str">
        <f>IFERROR(__xludf.DUMMYFUNCTION("""COMPUTED_VALUE"""),"#N/A")</f>
        <v>#N/A</v>
      </c>
      <c r="U2273" s="3" t="str">
        <f>IFERROR(__xludf.DUMMYFUNCTION("""COMPUTED_VALUE"""),"#N/A")</f>
        <v>#N/A</v>
      </c>
      <c r="V2273" s="3" t="str">
        <f>IFERROR(__xludf.DUMMYFUNCTION("""COMPUTED_VALUE"""),"N")</f>
        <v>N</v>
      </c>
      <c r="W2273" s="3">
        <f>IFERROR(__xludf.DUMMYFUNCTION("""COMPUTED_VALUE"""),111244.0)</f>
        <v>111244</v>
      </c>
      <c r="X2273" s="3" t="str">
        <f>IFERROR(__xludf.DUMMYFUNCTION("""COMPUTED_VALUE"""),"88/18 หมู่3 ตำบลสัตหีบ อำเภอสัตหีบ จังหวัดชลบุรี 20180")</f>
        <v>88/18 หมู่3 ตำบลสัตหีบ อำเภอสัตหีบ จังหวัดชลบุรี 20180</v>
      </c>
      <c r="Y2273" s="3"/>
      <c r="Z2273" s="3" t="str">
        <f>IFERROR(__xludf.DUMMYFUNCTION("""COMPUTED_VALUE"""),"สัตหีบ")</f>
        <v>สัตหีบ</v>
      </c>
      <c r="AA2273" s="3" t="str">
        <f>IFERROR(__xludf.DUMMYFUNCTION("""COMPUTED_VALUE"""),"สัตหีบ")</f>
        <v>สัตหีบ</v>
      </c>
      <c r="AB2273" s="3" t="str">
        <f>IFERROR(__xludf.DUMMYFUNCTION("""COMPUTED_VALUE"""),"ชลบุรี")</f>
        <v>ชลบุรี</v>
      </c>
      <c r="AC2273" s="3">
        <f>IFERROR(__xludf.DUMMYFUNCTION("""COMPUTED_VALUE"""),20180.0)</f>
        <v>20180</v>
      </c>
      <c r="AD2273" s="3">
        <f>IFERROR(__xludf.DUMMYFUNCTION("""COMPUTED_VALUE"""),0.0)</f>
        <v>0</v>
      </c>
      <c r="AE2273" s="3">
        <f>IFERROR(__xludf.DUMMYFUNCTION("""COMPUTED_VALUE"""),0.0)</f>
        <v>0</v>
      </c>
      <c r="AF2273" s="3" t="str">
        <f>IFERROR(__xludf.DUMMYFUNCTION("""COMPUTED_VALUE"""),"Pure สัตหีบ-41176")</f>
        <v>Pure สัตหีบ-41176</v>
      </c>
      <c r="AG2273" s="3" t="str">
        <f>IFERROR(__xludf.DUMMYFUNCTION("""COMPUTED_VALUE"""),"ตะวันออก")</f>
        <v>ตะวันออก</v>
      </c>
      <c r="AH2273" s="3" t="str">
        <f>IFERROR(__xludf.DUMMYFUNCTION("""COMPUTED_VALUE"""),"#N/A")</f>
        <v>#N/A</v>
      </c>
      <c r="AI2273" s="3" t="str">
        <f>IFERROR(__xludf.DUMMYFUNCTION("""COMPUTED_VALUE"""),"Out of warranty")</f>
        <v>Out of warranty</v>
      </c>
      <c r="AJ2273" s="3">
        <f>IFERROR(__xludf.DUMMYFUNCTION("""COMPUTED_VALUE"""),93.0)</f>
        <v>93</v>
      </c>
      <c r="AK2273" s="3"/>
      <c r="AL2273" s="3"/>
    </row>
    <row r="2274" ht="15.75" customHeight="1">
      <c r="A2274" s="1" t="str">
        <f>IFERROR(__xludf.DUMMYFUNCTION("""COMPUTED_VALUE"""),"41177")</f>
        <v>41177</v>
      </c>
      <c r="B2274" s="2">
        <f>IFERROR(__xludf.DUMMYFUNCTION("""COMPUTED_VALUE"""),41177.0)</f>
        <v>41177</v>
      </c>
      <c r="C2274" s="3" t="str">
        <f>IFERROR(__xludf.DUMMYFUNCTION("""COMPUTED_VALUE"""),"Pure ราชดำริ 3")</f>
        <v>Pure ราชดำริ 3</v>
      </c>
      <c r="D2274" s="3" t="str">
        <f>IFERROR(__xludf.DUMMYFUNCTION("""COMPUTED_VALUE"""),"BIGC RAJDUMRI PURE3")</f>
        <v>BIGC RAJDUMRI PURE3</v>
      </c>
      <c r="E2274" s="1" t="str">
        <f>IFERROR(__xludf.DUMMYFUNCTION("""COMPUTED_VALUE"""),"PURE")</f>
        <v>PURE</v>
      </c>
      <c r="F2274" s="1" t="str">
        <f>IFERROR(__xludf.DUMMYFUNCTION("""COMPUTED_VALUE"""),"211291")</f>
        <v>211291</v>
      </c>
      <c r="G2274" s="1" t="str">
        <f>IFERROR(__xludf.DUMMYFUNCTION("""COMPUTED_VALUE"""),"น.ส.ปนัดดา มากระจันทน์")</f>
        <v>น.ส.ปนัดดา มากระจันทน์</v>
      </c>
      <c r="H2274" s="1" t="str">
        <f>IFERROR(__xludf.DUMMYFUNCTION("""COMPUTED_VALUE"""),"211291")</f>
        <v>211291</v>
      </c>
      <c r="I2274" s="1" t="str">
        <f>IFERROR(__xludf.DUMMYFUNCTION("""COMPUTED_VALUE"""),"น.ส.ปนัดดา มากระจันทน์")</f>
        <v>น.ส.ปนัดดา มากระจันทน์</v>
      </c>
      <c r="J2274" s="3">
        <f>IFERROR(__xludf.DUMMYFUNCTION("""COMPUTED_VALUE"""),2408546.0)</f>
        <v>2408546</v>
      </c>
      <c r="K2274" s="3" t="str">
        <f>IFERROR(__xludf.DUMMYFUNCTION("""COMPUTED_VALUE"""),"นายเกษมศิษฐ์ ฮดบุญเรือง")</f>
        <v>นายเกษมศิษฐ์ ฮดบุญเรือง</v>
      </c>
      <c r="L2274" s="1" t="str">
        <f>IFERROR(__xludf.DUMMYFUNCTION("""COMPUTED_VALUE"""),"Hub02-BKK 2")</f>
        <v>Hub02-BKK 2</v>
      </c>
      <c r="M2274" s="1" t="str">
        <f>IFERROR(__xludf.DUMMYFUNCTION("""COMPUTED_VALUE"""),"0988580755")</f>
        <v>0988580755</v>
      </c>
      <c r="N2274" s="3">
        <f>IFERROR(__xludf.DUMMYFUNCTION("""COMPUTED_VALUE"""),11172.0)</f>
        <v>11172</v>
      </c>
      <c r="O2274" s="3" t="str">
        <f>IFERROR(__xludf.DUMMYFUNCTION("""COMPUTED_VALUE"""),"ราชดำริ")</f>
        <v>ราชดำริ</v>
      </c>
      <c r="P2274" s="4">
        <f>IFERROR(__xludf.DUMMYFUNCTION("""COMPUTED_VALUE"""),43189.0)</f>
        <v>43189</v>
      </c>
      <c r="Q2274" s="3" t="str">
        <f>IFERROR(__xludf.DUMMYFUNCTION("""COMPUTED_VALUE"""),"A")</f>
        <v>A</v>
      </c>
      <c r="R2274" s="3" t="str">
        <f>IFERROR(__xludf.DUMMYFUNCTION("""COMPUTED_VALUE"""),"Big Format")</f>
        <v>Big Format</v>
      </c>
      <c r="S2274" s="3" t="str">
        <f>IFERROR(__xludf.DUMMYFUNCTION("""COMPUTED_VALUE"""),"PURE")</f>
        <v>PURE</v>
      </c>
      <c r="T2274" s="3" t="str">
        <f>IFERROR(__xludf.DUMMYFUNCTION("""COMPUTED_VALUE"""),"#N/A")</f>
        <v>#N/A</v>
      </c>
      <c r="U2274" s="3" t="str">
        <f>IFERROR(__xludf.DUMMYFUNCTION("""COMPUTED_VALUE"""),"#N/A")</f>
        <v>#N/A</v>
      </c>
      <c r="V2274" s="3" t="str">
        <f>IFERROR(__xludf.DUMMYFUNCTION("""COMPUTED_VALUE"""),"N")</f>
        <v>N</v>
      </c>
      <c r="W2274" s="3">
        <f>IFERROR(__xludf.DUMMYFUNCTION("""COMPUTED_VALUE"""),111172.0)</f>
        <v>111172</v>
      </c>
      <c r="X2274" s="3" t="str">
        <f>IFERROR(__xludf.DUMMYFUNCTION("""COMPUTED_VALUE"""),"97/11 ถนนราชดำริห์ แขวงลุมพินี เขตปทุมวัน กรุงเทพมหานคร 10330")</f>
        <v>97/11 ถนนราชดำริห์ แขวงลุมพินี เขตปทุมวัน กรุงเทพมหานคร 10330</v>
      </c>
      <c r="Y2274" s="3" t="str">
        <f>IFERROR(__xludf.DUMMYFUNCTION("""COMPUTED_VALUE"""),"ถนนราชดำริห์")</f>
        <v>ถนนราชดำริห์</v>
      </c>
      <c r="Z2274" s="3" t="str">
        <f>IFERROR(__xludf.DUMMYFUNCTION("""COMPUTED_VALUE"""),"ลุมพินี")</f>
        <v>ลุมพินี</v>
      </c>
      <c r="AA2274" s="3" t="str">
        <f>IFERROR(__xludf.DUMMYFUNCTION("""COMPUTED_VALUE"""),"ปทุมวัน")</f>
        <v>ปทุมวัน</v>
      </c>
      <c r="AB2274" s="3" t="str">
        <f>IFERROR(__xludf.DUMMYFUNCTION("""COMPUTED_VALUE"""),"กรุงเทพมหานคร")</f>
        <v>กรุงเทพมหานคร</v>
      </c>
      <c r="AC2274" s="3">
        <f>IFERROR(__xludf.DUMMYFUNCTION("""COMPUTED_VALUE"""),10330.0)</f>
        <v>10330</v>
      </c>
      <c r="AD2274" s="3">
        <f>IFERROR(__xludf.DUMMYFUNCTION("""COMPUTED_VALUE"""),0.0)</f>
        <v>0</v>
      </c>
      <c r="AE2274" s="3">
        <f>IFERROR(__xludf.DUMMYFUNCTION("""COMPUTED_VALUE"""),0.0)</f>
        <v>0</v>
      </c>
      <c r="AF2274" s="3" t="str">
        <f>IFERROR(__xludf.DUMMYFUNCTION("""COMPUTED_VALUE"""),"Pure ราชดำริ 3-41177")</f>
        <v>Pure ราชดำริ 3-41177</v>
      </c>
      <c r="AG2274" s="3" t="str">
        <f>IFERROR(__xludf.DUMMYFUNCTION("""COMPUTED_VALUE"""),"กลาง")</f>
        <v>กลาง</v>
      </c>
      <c r="AH2274" s="3" t="str">
        <f>IFERROR(__xludf.DUMMYFUNCTION("""COMPUTED_VALUE"""),"#N/A")</f>
        <v>#N/A</v>
      </c>
      <c r="AI2274" s="3" t="str">
        <f>IFERROR(__xludf.DUMMYFUNCTION("""COMPUTED_VALUE"""),"Out of warranty")</f>
        <v>Out of warranty</v>
      </c>
      <c r="AJ2274" s="3">
        <f>IFERROR(__xludf.DUMMYFUNCTION("""COMPUTED_VALUE"""),94.0)</f>
        <v>94</v>
      </c>
      <c r="AK2274" s="3"/>
      <c r="AL2274" s="3"/>
    </row>
    <row r="2275" ht="15.75" customHeight="1">
      <c r="A2275" s="1" t="str">
        <f>IFERROR(__xludf.DUMMYFUNCTION("""COMPUTED_VALUE"""),"41178")</f>
        <v>41178</v>
      </c>
      <c r="B2275" s="2">
        <f>IFERROR(__xludf.DUMMYFUNCTION("""COMPUTED_VALUE"""),41178.0)</f>
        <v>41178</v>
      </c>
      <c r="C2275" s="3" t="str">
        <f>IFERROR(__xludf.DUMMYFUNCTION("""COMPUTED_VALUE"""),"Pure เกตเวย์ บางโพ(บางซื่อ)")</f>
        <v>Pure เกตเวย์ บางโพ(บางซื่อ)</v>
      </c>
      <c r="D2275" s="3" t="str">
        <f>IFERROR(__xludf.DUMMYFUNCTION("""COMPUTED_VALUE"""),"BIGC GATEWAY BANGSUE PURE")</f>
        <v>BIGC GATEWAY BANGSUE PURE</v>
      </c>
      <c r="E2275" s="1" t="str">
        <f>IFERROR(__xludf.DUMMYFUNCTION("""COMPUTED_VALUE"""),"PURE")</f>
        <v>PURE</v>
      </c>
      <c r="F2275" s="1" t="str">
        <f>IFERROR(__xludf.DUMMYFUNCTION("""COMPUTED_VALUE"""),"211291")</f>
        <v>211291</v>
      </c>
      <c r="G2275" s="1" t="str">
        <f>IFERROR(__xludf.DUMMYFUNCTION("""COMPUTED_VALUE"""),"น.ส.ปนัดดา มากระจันทน์")</f>
        <v>น.ส.ปนัดดา มากระจันทน์</v>
      </c>
      <c r="H2275" s="1" t="str">
        <f>IFERROR(__xludf.DUMMYFUNCTION("""COMPUTED_VALUE"""),"211291")</f>
        <v>211291</v>
      </c>
      <c r="I2275" s="1" t="str">
        <f>IFERROR(__xludf.DUMMYFUNCTION("""COMPUTED_VALUE"""),"น.ส.ปนัดดา มากระจันทน์")</f>
        <v>น.ส.ปนัดดา มากระจันทน์</v>
      </c>
      <c r="J2275" s="3">
        <f>IFERROR(__xludf.DUMMYFUNCTION("""COMPUTED_VALUE"""),2454701.0)</f>
        <v>2454701</v>
      </c>
      <c r="K2275" s="3" t="str">
        <f>IFERROR(__xludf.DUMMYFUNCTION("""COMPUTED_VALUE"""),"นายกานต์ ไชยแสงศรี")</f>
        <v>นายกานต์ ไชยแสงศรี</v>
      </c>
      <c r="L2275" s="1" t="str">
        <f>IFERROR(__xludf.DUMMYFUNCTION("""COMPUTED_VALUE"""),"Hub01-BKK 1")</f>
        <v>Hub01-BKK 1</v>
      </c>
      <c r="M2275" s="1" t="str">
        <f>IFERROR(__xludf.DUMMYFUNCTION("""COMPUTED_VALUE"""),"0909090652")</f>
        <v>0909090652</v>
      </c>
      <c r="N2275" s="3">
        <f>IFERROR(__xludf.DUMMYFUNCTION("""COMPUTED_VALUE"""),15061.0)</f>
        <v>15061</v>
      </c>
      <c r="O2275" s="3" t="str">
        <f>IFERROR(__xludf.DUMMYFUNCTION("""COMPUTED_VALUE"""),"เกตเวย์ บางโพ(บางซื่อ)")</f>
        <v>เกตเวย์ บางโพ(บางซื่อ)</v>
      </c>
      <c r="P2275" s="4">
        <f>IFERROR(__xludf.DUMMYFUNCTION("""COMPUTED_VALUE"""),43434.0)</f>
        <v>43434</v>
      </c>
      <c r="Q2275" s="3" t="str">
        <f>IFERROR(__xludf.DUMMYFUNCTION("""COMPUTED_VALUE"""),"A")</f>
        <v>A</v>
      </c>
      <c r="R2275" s="3" t="str">
        <f>IFERROR(__xludf.DUMMYFUNCTION("""COMPUTED_VALUE"""),"Big Format")</f>
        <v>Big Format</v>
      </c>
      <c r="S2275" s="3" t="str">
        <f>IFERROR(__xludf.DUMMYFUNCTION("""COMPUTED_VALUE"""),"PURE")</f>
        <v>PURE</v>
      </c>
      <c r="T2275" s="3" t="str">
        <f>IFERROR(__xludf.DUMMYFUNCTION("""COMPUTED_VALUE"""),"#N/A")</f>
        <v>#N/A</v>
      </c>
      <c r="U2275" s="3" t="str">
        <f>IFERROR(__xludf.DUMMYFUNCTION("""COMPUTED_VALUE"""),"#N/A")</f>
        <v>#N/A</v>
      </c>
      <c r="V2275" s="3" t="str">
        <f>IFERROR(__xludf.DUMMYFUNCTION("""COMPUTED_VALUE"""),"N")</f>
        <v>N</v>
      </c>
      <c r="W2275" s="3">
        <f>IFERROR(__xludf.DUMMYFUNCTION("""COMPUTED_VALUE"""),151067.0)</f>
        <v>151067</v>
      </c>
      <c r="X2275" s="3" t="str">
        <f>IFERROR(__xludf.DUMMYFUNCTION("""COMPUTED_VALUE"""),"อาคารศูนย์การค้าเกตเวย์ แอท บางซื่อ ห้องเลขที่ G001 ชั้น G 162/1-2,168/10 ถนนประชาราษฎร์2 แขวงบางซื่อ เขตบางซื่อ กรุงเทพมหานคร 10800")</f>
        <v>อาคารศูนย์การค้าเกตเวย์ แอท บางซื่อ ห้องเลขที่ G001 ชั้น G 162/1-2,168/10 ถนนประชาราษฎร์2 แขวงบางซื่อ เขตบางซื่อ กรุงเทพมหานคร 10800</v>
      </c>
      <c r="Y2275" s="3" t="str">
        <f>IFERROR(__xludf.DUMMYFUNCTION("""COMPUTED_VALUE"""),"ถนนประชาราษฎร์")</f>
        <v>ถนนประชาราษฎร์</v>
      </c>
      <c r="Z2275" s="3" t="str">
        <f>IFERROR(__xludf.DUMMYFUNCTION("""COMPUTED_VALUE"""),"บางซื่อ")</f>
        <v>บางซื่อ</v>
      </c>
      <c r="AA2275" s="3" t="str">
        <f>IFERROR(__xludf.DUMMYFUNCTION("""COMPUTED_VALUE"""),"แขวงบางซื่อ")</f>
        <v>แขวงบางซื่อ</v>
      </c>
      <c r="AB2275" s="3" t="str">
        <f>IFERROR(__xludf.DUMMYFUNCTION("""COMPUTED_VALUE"""),"กรุงเทพมหานคร")</f>
        <v>กรุงเทพมหานคร</v>
      </c>
      <c r="AC2275" s="3">
        <f>IFERROR(__xludf.DUMMYFUNCTION("""COMPUTED_VALUE"""),10800.0)</f>
        <v>10800</v>
      </c>
      <c r="AD2275" s="3">
        <f>IFERROR(__xludf.DUMMYFUNCTION("""COMPUTED_VALUE"""),0.0)</f>
        <v>0</v>
      </c>
      <c r="AE2275" s="3">
        <f>IFERROR(__xludf.DUMMYFUNCTION("""COMPUTED_VALUE"""),0.0)</f>
        <v>0</v>
      </c>
      <c r="AF2275" s="3" t="str">
        <f>IFERROR(__xludf.DUMMYFUNCTION("""COMPUTED_VALUE"""),"Pure เกตเวย์ บางโพ(บางซื่อ)-41178")</f>
        <v>Pure เกตเวย์ บางโพ(บางซื่อ)-41178</v>
      </c>
      <c r="AG2275" s="3" t="str">
        <f>IFERROR(__xludf.DUMMYFUNCTION("""COMPUTED_VALUE"""),"กลาง")</f>
        <v>กลาง</v>
      </c>
      <c r="AH2275" s="3" t="str">
        <f>IFERROR(__xludf.DUMMYFUNCTION("""COMPUTED_VALUE"""),"#N/A")</f>
        <v>#N/A</v>
      </c>
      <c r="AI2275" s="3" t="str">
        <f>IFERROR(__xludf.DUMMYFUNCTION("""COMPUTED_VALUE"""),"Out of warranty")</f>
        <v>Out of warranty</v>
      </c>
      <c r="AJ2275" s="3">
        <f>IFERROR(__xludf.DUMMYFUNCTION("""COMPUTED_VALUE"""),86.0)</f>
        <v>86</v>
      </c>
      <c r="AK2275" s="3"/>
      <c r="AL2275" s="3"/>
    </row>
    <row r="2276" ht="15.75" customHeight="1">
      <c r="A2276" s="1" t="str">
        <f>IFERROR(__xludf.DUMMYFUNCTION("""COMPUTED_VALUE"""),"41179")</f>
        <v>41179</v>
      </c>
      <c r="B2276" s="2">
        <f>IFERROR(__xludf.DUMMYFUNCTION("""COMPUTED_VALUE"""),41179.0)</f>
        <v>41179</v>
      </c>
      <c r="C2276" s="3" t="str">
        <f>IFERROR(__xludf.DUMMYFUNCTION("""COMPUTED_VALUE"""),"Pure นครศรีธรรมราช")</f>
        <v>Pure นครศรีธรรมราช</v>
      </c>
      <c r="D2276" s="3" t="str">
        <f>IFERROR(__xludf.DUMMYFUNCTION("""COMPUTED_VALUE"""),"BIGC NAKHON SI THAMMARAT PURE")</f>
        <v>BIGC NAKHON SI THAMMARAT PURE</v>
      </c>
      <c r="E2276" s="1" t="str">
        <f>IFERROR(__xludf.DUMMYFUNCTION("""COMPUTED_VALUE"""),"PURE")</f>
        <v>PURE</v>
      </c>
      <c r="F2276" s="1" t="str">
        <f>IFERROR(__xludf.DUMMYFUNCTION("""COMPUTED_VALUE"""),"291435")</f>
        <v>291435</v>
      </c>
      <c r="G2276" s="1" t="str">
        <f>IFERROR(__xludf.DUMMYFUNCTION("""COMPUTED_VALUE"""),"น.ส.สุกัญญา มณีไพโรจน์")</f>
        <v>น.ส.สุกัญญา มณีไพโรจน์</v>
      </c>
      <c r="H2276" s="1" t="str">
        <f>IFERROR(__xludf.DUMMYFUNCTION("""COMPUTED_VALUE"""),"291435")</f>
        <v>291435</v>
      </c>
      <c r="I2276" s="1" t="str">
        <f>IFERROR(__xludf.DUMMYFUNCTION("""COMPUTED_VALUE"""),"น.ส.สุกัญญา มณีไพโรจน์")</f>
        <v>น.ส.สุกัญญา มณีไพโรจน์</v>
      </c>
      <c r="J2276" s="3">
        <f>IFERROR(__xludf.DUMMYFUNCTION("""COMPUTED_VALUE"""),2454709.0)</f>
        <v>2454709</v>
      </c>
      <c r="K2276" s="3" t="str">
        <f>IFERROR(__xludf.DUMMYFUNCTION("""COMPUTED_VALUE"""),"นายประชา เกตุชาติ")</f>
        <v>นายประชา เกตุชาติ</v>
      </c>
      <c r="L2276" s="1" t="str">
        <f>IFERROR(__xludf.DUMMYFUNCTION("""COMPUTED_VALUE"""),"Hub05-South")</f>
        <v>Hub05-South</v>
      </c>
      <c r="M2276" s="1" t="str">
        <f>IFERROR(__xludf.DUMMYFUNCTION("""COMPUTED_VALUE"""),"0659291311")</f>
        <v>0659291311</v>
      </c>
      <c r="N2276" s="3">
        <f>IFERROR(__xludf.DUMMYFUNCTION("""COMPUTED_VALUE"""),11249.0)</f>
        <v>11249</v>
      </c>
      <c r="O2276" s="3" t="str">
        <f>IFERROR(__xludf.DUMMYFUNCTION("""COMPUTED_VALUE"""),"นครศรีธรรมาราช2")</f>
        <v>นครศรีธรรมาราช2</v>
      </c>
      <c r="P2276" s="4">
        <f>IFERROR(__xludf.DUMMYFUNCTION("""COMPUTED_VALUE"""),43430.0)</f>
        <v>43430</v>
      </c>
      <c r="Q2276" s="3" t="str">
        <f>IFERROR(__xludf.DUMMYFUNCTION("""COMPUTED_VALUE"""),"A")</f>
        <v>A</v>
      </c>
      <c r="R2276" s="3" t="str">
        <f>IFERROR(__xludf.DUMMYFUNCTION("""COMPUTED_VALUE"""),"Big Format")</f>
        <v>Big Format</v>
      </c>
      <c r="S2276" s="3" t="str">
        <f>IFERROR(__xludf.DUMMYFUNCTION("""COMPUTED_VALUE"""),"PURE")</f>
        <v>PURE</v>
      </c>
      <c r="T2276" s="3" t="str">
        <f>IFERROR(__xludf.DUMMYFUNCTION("""COMPUTED_VALUE"""),"#N/A")</f>
        <v>#N/A</v>
      </c>
      <c r="U2276" s="3" t="str">
        <f>IFERROR(__xludf.DUMMYFUNCTION("""COMPUTED_VALUE"""),"#N/A")</f>
        <v>#N/A</v>
      </c>
      <c r="V2276" s="3" t="str">
        <f>IFERROR(__xludf.DUMMYFUNCTION("""COMPUTED_VALUE"""),"N")</f>
        <v>N</v>
      </c>
      <c r="W2276" s="3">
        <f>IFERROR(__xludf.DUMMYFUNCTION("""COMPUTED_VALUE"""),111257.0)</f>
        <v>111257</v>
      </c>
      <c r="X2276" s="3" t="str">
        <f>IFERROR(__xludf.DUMMYFUNCTION("""COMPUTED_VALUE"""),"22 หมู่5 ตำบลปากพูน อำเภอเมืองนครศรีธรรมราช จังหวัดนครศรีธรรมราช 80000")</f>
        <v>22 หมู่5 ตำบลปากพูน อำเภอเมืองนครศรีธรรมราช จังหวัดนครศรีธรรมราช 80000</v>
      </c>
      <c r="Y2276" s="3"/>
      <c r="Z2276" s="3" t="str">
        <f>IFERROR(__xludf.DUMMYFUNCTION("""COMPUTED_VALUE"""),"ปากพูน")</f>
        <v>ปากพูน</v>
      </c>
      <c r="AA2276" s="3" t="str">
        <f>IFERROR(__xludf.DUMMYFUNCTION("""COMPUTED_VALUE"""),"เมือง")</f>
        <v>เมือง</v>
      </c>
      <c r="AB2276" s="3" t="str">
        <f>IFERROR(__xludf.DUMMYFUNCTION("""COMPUTED_VALUE"""),"นครศรีธรรมราช")</f>
        <v>นครศรีธรรมราช</v>
      </c>
      <c r="AC2276" s="3">
        <f>IFERROR(__xludf.DUMMYFUNCTION("""COMPUTED_VALUE"""),80000.0)</f>
        <v>80000</v>
      </c>
      <c r="AD2276" s="3">
        <f>IFERROR(__xludf.DUMMYFUNCTION("""COMPUTED_VALUE"""),0.0)</f>
        <v>0</v>
      </c>
      <c r="AE2276" s="3">
        <f>IFERROR(__xludf.DUMMYFUNCTION("""COMPUTED_VALUE"""),0.0)</f>
        <v>0</v>
      </c>
      <c r="AF2276" s="3" t="str">
        <f>IFERROR(__xludf.DUMMYFUNCTION("""COMPUTED_VALUE"""),"Pure นครศรีธรรมราช-41179")</f>
        <v>Pure นครศรีธรรมราช-41179</v>
      </c>
      <c r="AG2276" s="3" t="str">
        <f>IFERROR(__xludf.DUMMYFUNCTION("""COMPUTED_VALUE"""),"ใต้")</f>
        <v>ใต้</v>
      </c>
      <c r="AH2276" s="3" t="str">
        <f>IFERROR(__xludf.DUMMYFUNCTION("""COMPUTED_VALUE"""),"#N/A")</f>
        <v>#N/A</v>
      </c>
      <c r="AI2276" s="3" t="str">
        <f>IFERROR(__xludf.DUMMYFUNCTION("""COMPUTED_VALUE"""),"Out of warranty")</f>
        <v>Out of warranty</v>
      </c>
      <c r="AJ2276" s="3">
        <f>IFERROR(__xludf.DUMMYFUNCTION("""COMPUTED_VALUE"""),86.0)</f>
        <v>86</v>
      </c>
      <c r="AK2276" s="3"/>
      <c r="AL2276" s="3"/>
    </row>
    <row r="2277" ht="15.75" customHeight="1">
      <c r="A2277" s="1" t="str">
        <f>IFERROR(__xludf.DUMMYFUNCTION("""COMPUTED_VALUE"""),"41180")</f>
        <v>41180</v>
      </c>
      <c r="B2277" s="2">
        <f>IFERROR(__xludf.DUMMYFUNCTION("""COMPUTED_VALUE"""),41180.0)</f>
        <v>41180</v>
      </c>
      <c r="C2277" s="3" t="str">
        <f>IFERROR(__xludf.DUMMYFUNCTION("""COMPUTED_VALUE"""),"Pure เชียงราย 2")</f>
        <v>Pure เชียงราย 2</v>
      </c>
      <c r="D2277" s="3" t="str">
        <f>IFERROR(__xludf.DUMMYFUNCTION("""COMPUTED_VALUE"""),"BIGC CHAINGRAI2 PURE")</f>
        <v>BIGC CHAINGRAI2 PURE</v>
      </c>
      <c r="E2277" s="1" t="str">
        <f>IFERROR(__xludf.DUMMYFUNCTION("""COMPUTED_VALUE"""),"PURE")</f>
        <v>PURE</v>
      </c>
      <c r="F2277" s="1" t="str">
        <f>IFERROR(__xludf.DUMMYFUNCTION("""COMPUTED_VALUE"""),"2082102")</f>
        <v>2082102</v>
      </c>
      <c r="G2277" s="1" t="str">
        <f>IFERROR(__xludf.DUMMYFUNCTION("""COMPUTED_VALUE"""),"น.ส.วัชรา มหาวันแจ่ม")</f>
        <v>น.ส.วัชรา มหาวันแจ่ม</v>
      </c>
      <c r="H2277" s="1" t="str">
        <f>IFERROR(__xludf.DUMMYFUNCTION("""COMPUTED_VALUE"""),"2082102")</f>
        <v>2082102</v>
      </c>
      <c r="I2277" s="1" t="str">
        <f>IFERROR(__xludf.DUMMYFUNCTION("""COMPUTED_VALUE"""),"น.ส.วัชรา มหาวันแจ่ม")</f>
        <v>น.ส.วัชรา มหาวันแจ่ม</v>
      </c>
      <c r="J2277" s="3">
        <f>IFERROR(__xludf.DUMMYFUNCTION("""COMPUTED_VALUE"""),348.0)</f>
        <v>348</v>
      </c>
      <c r="K2277" s="3" t="str">
        <f>IFERROR(__xludf.DUMMYFUNCTION("""COMPUTED_VALUE"""),"นายธีรนันท์ ไม้สนธิ์")</f>
        <v>นายธีรนันท์ ไม้สนธิ์</v>
      </c>
      <c r="L2277" s="1" t="str">
        <f>IFERROR(__xludf.DUMMYFUNCTION("""COMPUTED_VALUE"""),"Hub07-North")</f>
        <v>Hub07-North</v>
      </c>
      <c r="M2277" s="1" t="str">
        <f>IFERROR(__xludf.DUMMYFUNCTION("""COMPUTED_VALUE"""),"0614175866")</f>
        <v>0614175866</v>
      </c>
      <c r="N2277" s="3">
        <f>IFERROR(__xludf.DUMMYFUNCTION("""COMPUTED_VALUE"""),11250.0)</f>
        <v>11250</v>
      </c>
      <c r="O2277" s="3" t="str">
        <f>IFERROR(__xludf.DUMMYFUNCTION("""COMPUTED_VALUE"""),"เชียงราย2")</f>
        <v>เชียงราย2</v>
      </c>
      <c r="P2277" s="4">
        <f>IFERROR(__xludf.DUMMYFUNCTION("""COMPUTED_VALUE"""),43448.0)</f>
        <v>43448</v>
      </c>
      <c r="Q2277" s="3" t="str">
        <f>IFERROR(__xludf.DUMMYFUNCTION("""COMPUTED_VALUE"""),"A")</f>
        <v>A</v>
      </c>
      <c r="R2277" s="3" t="str">
        <f>IFERROR(__xludf.DUMMYFUNCTION("""COMPUTED_VALUE"""),"Big Format")</f>
        <v>Big Format</v>
      </c>
      <c r="S2277" s="3" t="str">
        <f>IFERROR(__xludf.DUMMYFUNCTION("""COMPUTED_VALUE"""),"PURE")</f>
        <v>PURE</v>
      </c>
      <c r="T2277" s="3" t="str">
        <f>IFERROR(__xludf.DUMMYFUNCTION("""COMPUTED_VALUE"""),"#N/A")</f>
        <v>#N/A</v>
      </c>
      <c r="U2277" s="3" t="str">
        <f>IFERROR(__xludf.DUMMYFUNCTION("""COMPUTED_VALUE"""),"#N/A")</f>
        <v>#N/A</v>
      </c>
      <c r="V2277" s="3" t="str">
        <f>IFERROR(__xludf.DUMMYFUNCTION("""COMPUTED_VALUE"""),"N")</f>
        <v>N</v>
      </c>
      <c r="W2277" s="3">
        <f>IFERROR(__xludf.DUMMYFUNCTION("""COMPUTED_VALUE"""),111258.0)</f>
        <v>111258</v>
      </c>
      <c r="X2277" s="3" t="str">
        <f>IFERROR(__xludf.DUMMYFUNCTION("""COMPUTED_VALUE"""),"58 หมู่17 ตำบลบ้านดู่ อำเภอเมืองเชียงราย จังหวัดเชียงราย 57100")</f>
        <v>58 หมู่17 ตำบลบ้านดู่ อำเภอเมืองเชียงราย จังหวัดเชียงราย 57100</v>
      </c>
      <c r="Y2277" s="3"/>
      <c r="Z2277" s="3" t="str">
        <f>IFERROR(__xludf.DUMMYFUNCTION("""COMPUTED_VALUE"""),"บ้านดู่")</f>
        <v>บ้านดู่</v>
      </c>
      <c r="AA2277" s="3" t="str">
        <f>IFERROR(__xludf.DUMMYFUNCTION("""COMPUTED_VALUE"""),"เมือง")</f>
        <v>เมือง</v>
      </c>
      <c r="AB2277" s="3" t="str">
        <f>IFERROR(__xludf.DUMMYFUNCTION("""COMPUTED_VALUE"""),"เชียงราย")</f>
        <v>เชียงราย</v>
      </c>
      <c r="AC2277" s="3">
        <f>IFERROR(__xludf.DUMMYFUNCTION("""COMPUTED_VALUE"""),57100.0)</f>
        <v>57100</v>
      </c>
      <c r="AD2277" s="3">
        <f>IFERROR(__xludf.DUMMYFUNCTION("""COMPUTED_VALUE"""),0.0)</f>
        <v>0</v>
      </c>
      <c r="AE2277" s="3">
        <f>IFERROR(__xludf.DUMMYFUNCTION("""COMPUTED_VALUE"""),0.0)</f>
        <v>0</v>
      </c>
      <c r="AF2277" s="3" t="str">
        <f>IFERROR(__xludf.DUMMYFUNCTION("""COMPUTED_VALUE"""),"Pure เชียงราย 2-41180")</f>
        <v>Pure เชียงราย 2-41180</v>
      </c>
      <c r="AG2277" s="3" t="str">
        <f>IFERROR(__xludf.DUMMYFUNCTION("""COMPUTED_VALUE"""),"เหนือ")</f>
        <v>เหนือ</v>
      </c>
      <c r="AH2277" s="3" t="str">
        <f>IFERROR(__xludf.DUMMYFUNCTION("""COMPUTED_VALUE"""),"#N/A")</f>
        <v>#N/A</v>
      </c>
      <c r="AI2277" s="3" t="str">
        <f>IFERROR(__xludf.DUMMYFUNCTION("""COMPUTED_VALUE"""),"Out of warranty")</f>
        <v>Out of warranty</v>
      </c>
      <c r="AJ2277" s="3">
        <f>IFERROR(__xludf.DUMMYFUNCTION("""COMPUTED_VALUE"""),86.0)</f>
        <v>86</v>
      </c>
      <c r="AK2277" s="3"/>
      <c r="AL2277" s="3"/>
    </row>
    <row r="2278" ht="15.75" customHeight="1">
      <c r="A2278" s="1" t="str">
        <f>IFERROR(__xludf.DUMMYFUNCTION("""COMPUTED_VALUE"""),"41181")</f>
        <v>41181</v>
      </c>
      <c r="B2278" s="2">
        <f>IFERROR(__xludf.DUMMYFUNCTION("""COMPUTED_VALUE"""),41181.0)</f>
        <v>41181</v>
      </c>
      <c r="C2278" s="3" t="str">
        <f>IFERROR(__xludf.DUMMYFUNCTION("""COMPUTED_VALUE"""),"เพรียวพัทยา1_2")</f>
        <v>เพรียวพัทยา1_2</v>
      </c>
      <c r="D2278" s="3" t="str">
        <f>IFERROR(__xludf.DUMMYFUNCTION("""COMPUTED_VALUE"""),"BIGC PATTAYA PURE2")</f>
        <v>BIGC PATTAYA PURE2</v>
      </c>
      <c r="E2278" s="1" t="str">
        <f>IFERROR(__xludf.DUMMYFUNCTION("""COMPUTED_VALUE"""),"PURE")</f>
        <v>PURE</v>
      </c>
      <c r="F2278" s="1" t="str">
        <f>IFERROR(__xludf.DUMMYFUNCTION("""COMPUTED_VALUE"""),"228469")</f>
        <v>228469</v>
      </c>
      <c r="G2278" s="1" t="str">
        <f>IFERROR(__xludf.DUMMYFUNCTION("""COMPUTED_VALUE"""),"น.ส.บงกช ทำการดี")</f>
        <v>น.ส.บงกช ทำการดี</v>
      </c>
      <c r="H2278" s="1" t="str">
        <f>IFERROR(__xludf.DUMMYFUNCTION("""COMPUTED_VALUE"""),"228469")</f>
        <v>228469</v>
      </c>
      <c r="I2278" s="1" t="str">
        <f>IFERROR(__xludf.DUMMYFUNCTION("""COMPUTED_VALUE"""),"น.ส.บงกช ทำการดี")</f>
        <v>น.ส.บงกช ทำการดี</v>
      </c>
      <c r="J2278" s="3">
        <f>IFERROR(__xludf.DUMMYFUNCTION("""COMPUTED_VALUE"""),2455164.0)</f>
        <v>2455164</v>
      </c>
      <c r="K2278" s="3" t="str">
        <f>IFERROR(__xludf.DUMMYFUNCTION("""COMPUTED_VALUE"""),"นายกรวิทย์ เจริญพร")</f>
        <v>นายกรวิทย์ เจริญพร</v>
      </c>
      <c r="L2278" s="1" t="str">
        <f>IFERROR(__xludf.DUMMYFUNCTION("""COMPUTED_VALUE"""),"Hub08-East")</f>
        <v>Hub08-East</v>
      </c>
      <c r="M2278" s="1" t="str">
        <f>IFERROR(__xludf.DUMMYFUNCTION("""COMPUTED_VALUE"""),"092-605-9922")</f>
        <v>092-605-9922</v>
      </c>
      <c r="N2278" s="3">
        <f>IFERROR(__xludf.DUMMYFUNCTION("""COMPUTED_VALUE"""),11104.0)</f>
        <v>11104</v>
      </c>
      <c r="O2278" s="3" t="str">
        <f>IFERROR(__xludf.DUMMYFUNCTION("""COMPUTED_VALUE"""),"พัทยา")</f>
        <v>พัทยา</v>
      </c>
      <c r="P2278" s="4">
        <f>IFERROR(__xludf.DUMMYFUNCTION("""COMPUTED_VALUE"""),43650.0)</f>
        <v>43650</v>
      </c>
      <c r="Q2278" s="3" t="str">
        <f>IFERROR(__xludf.DUMMYFUNCTION("""COMPUTED_VALUE"""),"A")</f>
        <v>A</v>
      </c>
      <c r="R2278" s="3" t="str">
        <f>IFERROR(__xludf.DUMMYFUNCTION("""COMPUTED_VALUE"""),"Big Format")</f>
        <v>Big Format</v>
      </c>
      <c r="S2278" s="3" t="str">
        <f>IFERROR(__xludf.DUMMYFUNCTION("""COMPUTED_VALUE"""),"PURE")</f>
        <v>PURE</v>
      </c>
      <c r="T2278" s="3" t="str">
        <f>IFERROR(__xludf.DUMMYFUNCTION("""COMPUTED_VALUE"""),"#N/A")</f>
        <v>#N/A</v>
      </c>
      <c r="U2278" s="3" t="str">
        <f>IFERROR(__xludf.DUMMYFUNCTION("""COMPUTED_VALUE"""),"#N/A")</f>
        <v>#N/A</v>
      </c>
      <c r="V2278" s="3" t="str">
        <f>IFERROR(__xludf.DUMMYFUNCTION("""COMPUTED_VALUE"""),"N")</f>
        <v>N</v>
      </c>
      <c r="W2278" s="3">
        <f>IFERROR(__xludf.DUMMYFUNCTION("""COMPUTED_VALUE"""),111104.0)</f>
        <v>111104</v>
      </c>
      <c r="X2278" s="3" t="str">
        <f>IFERROR(__xludf.DUMMYFUNCTION("""COMPUTED_VALUE"""),"78/12 หมู่ที่ 9 ถนนพัทยาสาย2 ตำบลหนองปรือ อำเภอบางละมุง จังหวัดชลบุรี 20150")</f>
        <v>78/12 หมู่ที่ 9 ถนนพัทยาสาย2 ตำบลหนองปรือ อำเภอบางละมุง จังหวัดชลบุรี 20150</v>
      </c>
      <c r="Y2278" s="3"/>
      <c r="Z2278" s="3" t="str">
        <f>IFERROR(__xludf.DUMMYFUNCTION("""COMPUTED_VALUE"""),"หนองปรือ")</f>
        <v>หนองปรือ</v>
      </c>
      <c r="AA2278" s="3" t="str">
        <f>IFERROR(__xludf.DUMMYFUNCTION("""COMPUTED_VALUE"""),"บางละมุง")</f>
        <v>บางละมุง</v>
      </c>
      <c r="AB2278" s="3" t="str">
        <f>IFERROR(__xludf.DUMMYFUNCTION("""COMPUTED_VALUE"""),"ชลบุรี")</f>
        <v>ชลบุรี</v>
      </c>
      <c r="AC2278" s="3">
        <f>IFERROR(__xludf.DUMMYFUNCTION("""COMPUTED_VALUE"""),20260.0)</f>
        <v>20260</v>
      </c>
      <c r="AD2278" s="3">
        <f>IFERROR(__xludf.DUMMYFUNCTION("""COMPUTED_VALUE"""),0.0)</f>
        <v>0</v>
      </c>
      <c r="AE2278" s="3">
        <f>IFERROR(__xludf.DUMMYFUNCTION("""COMPUTED_VALUE"""),0.0)</f>
        <v>0</v>
      </c>
      <c r="AF2278" s="3" t="str">
        <f>IFERROR(__xludf.DUMMYFUNCTION("""COMPUTED_VALUE"""),"เพรียวพัทยา1_2-41181")</f>
        <v>เพรียวพัทยา1_2-41181</v>
      </c>
      <c r="AG2278" s="3" t="str">
        <f>IFERROR(__xludf.DUMMYFUNCTION("""COMPUTED_VALUE"""),"ตะวันออก")</f>
        <v>ตะวันออก</v>
      </c>
      <c r="AH2278" s="3" t="str">
        <f>IFERROR(__xludf.DUMMYFUNCTION("""COMPUTED_VALUE"""),"#N/A")</f>
        <v>#N/A</v>
      </c>
      <c r="AI2278" s="3" t="str">
        <f>IFERROR(__xludf.DUMMYFUNCTION("""COMPUTED_VALUE"""),"Out of warranty")</f>
        <v>Out of warranty</v>
      </c>
      <c r="AJ2278" s="3">
        <f>IFERROR(__xludf.DUMMYFUNCTION("""COMPUTED_VALUE"""),79.0)</f>
        <v>79</v>
      </c>
      <c r="AK2278" s="3"/>
      <c r="AL2278" s="3"/>
    </row>
    <row r="2279" ht="15.75" customHeight="1">
      <c r="A2279" s="1" t="str">
        <f>IFERROR(__xludf.DUMMYFUNCTION("""COMPUTED_VALUE"""),"41182")</f>
        <v>41182</v>
      </c>
      <c r="B2279" s="2">
        <f>IFERROR(__xludf.DUMMYFUNCTION("""COMPUTED_VALUE"""),41182.0)</f>
        <v>41182</v>
      </c>
      <c r="C2279" s="3" t="str">
        <f>IFERROR(__xludf.DUMMYFUNCTION("""COMPUTED_VALUE"""),"Pure สามย่านมิตรทาวน์")</f>
        <v>Pure สามย่านมิตรทาวน์</v>
      </c>
      <c r="D2279" s="3" t="str">
        <f>IFERROR(__xludf.DUMMYFUNCTION("""COMPUTED_VALUE"""),"BIGC SAMYAN MITRTOWN PURE")</f>
        <v>BIGC SAMYAN MITRTOWN PURE</v>
      </c>
      <c r="E2279" s="1" t="str">
        <f>IFERROR(__xludf.DUMMYFUNCTION("""COMPUTED_VALUE"""),"PURE")</f>
        <v>PURE</v>
      </c>
      <c r="F2279" s="1" t="str">
        <f>IFERROR(__xludf.DUMMYFUNCTION("""COMPUTED_VALUE"""),"211291")</f>
        <v>211291</v>
      </c>
      <c r="G2279" s="1" t="str">
        <f>IFERROR(__xludf.DUMMYFUNCTION("""COMPUTED_VALUE"""),"น.ส.ปนัดดา มากระจันทน์")</f>
        <v>น.ส.ปนัดดา มากระจันทน์</v>
      </c>
      <c r="H2279" s="1" t="str">
        <f>IFERROR(__xludf.DUMMYFUNCTION("""COMPUTED_VALUE"""),"211291")</f>
        <v>211291</v>
      </c>
      <c r="I2279" s="1" t="str">
        <f>IFERROR(__xludf.DUMMYFUNCTION("""COMPUTED_VALUE"""),"น.ส.ปนัดดา มากระจันทน์")</f>
        <v>น.ส.ปนัดดา มากระจันทน์</v>
      </c>
      <c r="J2279" s="3">
        <f>IFERROR(__xludf.DUMMYFUNCTION("""COMPUTED_VALUE"""),2408546.0)</f>
        <v>2408546</v>
      </c>
      <c r="K2279" s="3" t="str">
        <f>IFERROR(__xludf.DUMMYFUNCTION("""COMPUTED_VALUE"""),"นายเกษมศิษฐ์ ฮดบุญเรือง")</f>
        <v>นายเกษมศิษฐ์ ฮดบุญเรือง</v>
      </c>
      <c r="L2279" s="1" t="str">
        <f>IFERROR(__xludf.DUMMYFUNCTION("""COMPUTED_VALUE"""),"Hub02-BKK 2")</f>
        <v>Hub02-BKK 2</v>
      </c>
      <c r="M2279" s="1" t="str">
        <f>IFERROR(__xludf.DUMMYFUNCTION("""COMPUTED_VALUE"""),"0988580755")</f>
        <v>0988580755</v>
      </c>
      <c r="N2279" s="3">
        <f>IFERROR(__xludf.DUMMYFUNCTION("""COMPUTED_VALUE"""),15062.0)</f>
        <v>15062</v>
      </c>
      <c r="O2279" s="3" t="str">
        <f>IFERROR(__xludf.DUMMYFUNCTION("""COMPUTED_VALUE"""),"สามย่านมิตรทาวน์")</f>
        <v>สามย่านมิตรทาวน์</v>
      </c>
      <c r="P2279" s="4">
        <f>IFERROR(__xludf.DUMMYFUNCTION("""COMPUTED_VALUE"""),43728.0)</f>
        <v>43728</v>
      </c>
      <c r="Q2279" s="3" t="str">
        <f>IFERROR(__xludf.DUMMYFUNCTION("""COMPUTED_VALUE"""),"A")</f>
        <v>A</v>
      </c>
      <c r="R2279" s="3" t="str">
        <f>IFERROR(__xludf.DUMMYFUNCTION("""COMPUTED_VALUE"""),"Big Format")</f>
        <v>Big Format</v>
      </c>
      <c r="S2279" s="3" t="str">
        <f>IFERROR(__xludf.DUMMYFUNCTION("""COMPUTED_VALUE"""),"PURE")</f>
        <v>PURE</v>
      </c>
      <c r="T2279" s="3" t="str">
        <f>IFERROR(__xludf.DUMMYFUNCTION("""COMPUTED_VALUE"""),"#N/A")</f>
        <v>#N/A</v>
      </c>
      <c r="U2279" s="3" t="str">
        <f>IFERROR(__xludf.DUMMYFUNCTION("""COMPUTED_VALUE"""),"#N/A")</f>
        <v>#N/A</v>
      </c>
      <c r="V2279" s="3" t="str">
        <f>IFERROR(__xludf.DUMMYFUNCTION("""COMPUTED_VALUE"""),"N")</f>
        <v>N</v>
      </c>
      <c r="W2279" s="3">
        <f>IFERROR(__xludf.DUMMYFUNCTION("""COMPUTED_VALUE"""),151068.0)</f>
        <v>151068</v>
      </c>
      <c r="X2279" s="3" t="str">
        <f>IFERROR(__xludf.DUMMYFUNCTION("""COMPUTED_VALUE"""),"994/1, ห้องB1U001, ชั้นB1, ถนนพระราม4 แขวงวังใหม่ เขตปทุมวัน กรุงเทพมหานคร 10330")</f>
        <v>994/1, ห้องB1U001, ชั้นB1, ถนนพระราม4 แขวงวังใหม่ เขตปทุมวัน กรุงเทพมหานคร 10330</v>
      </c>
      <c r="Y2279" s="3" t="str">
        <f>IFERROR(__xludf.DUMMYFUNCTION("""COMPUTED_VALUE"""),"ถนนพระราม4")</f>
        <v>ถนนพระราม4</v>
      </c>
      <c r="Z2279" s="3" t="str">
        <f>IFERROR(__xludf.DUMMYFUNCTION("""COMPUTED_VALUE"""),"วังใหม่")</f>
        <v>วังใหม่</v>
      </c>
      <c r="AA2279" s="3" t="str">
        <f>IFERROR(__xludf.DUMMYFUNCTION("""COMPUTED_VALUE"""),"ปทุมวัน")</f>
        <v>ปทุมวัน</v>
      </c>
      <c r="AB2279" s="3" t="str">
        <f>IFERROR(__xludf.DUMMYFUNCTION("""COMPUTED_VALUE"""),"กรุงเทพมหานคร")</f>
        <v>กรุงเทพมหานคร</v>
      </c>
      <c r="AC2279" s="3">
        <f>IFERROR(__xludf.DUMMYFUNCTION("""COMPUTED_VALUE"""),10330.0)</f>
        <v>10330</v>
      </c>
      <c r="AD2279" s="3">
        <f>IFERROR(__xludf.DUMMYFUNCTION("""COMPUTED_VALUE"""),0.0)</f>
        <v>0</v>
      </c>
      <c r="AE2279" s="3">
        <f>IFERROR(__xludf.DUMMYFUNCTION("""COMPUTED_VALUE"""),0.0)</f>
        <v>0</v>
      </c>
      <c r="AF2279" s="3" t="str">
        <f>IFERROR(__xludf.DUMMYFUNCTION("""COMPUTED_VALUE"""),"Pure สามย่านมิตรทาวน์-41182")</f>
        <v>Pure สามย่านมิตรทาวน์-41182</v>
      </c>
      <c r="AG2279" s="3" t="str">
        <f>IFERROR(__xludf.DUMMYFUNCTION("""COMPUTED_VALUE"""),"กลาง")</f>
        <v>กลาง</v>
      </c>
      <c r="AH2279" s="3" t="str">
        <f>IFERROR(__xludf.DUMMYFUNCTION("""COMPUTED_VALUE"""),"#N/A")</f>
        <v>#N/A</v>
      </c>
      <c r="AI2279" s="3" t="str">
        <f>IFERROR(__xludf.DUMMYFUNCTION("""COMPUTED_VALUE"""),"Out of warranty")</f>
        <v>Out of warranty</v>
      </c>
      <c r="AJ2279" s="3">
        <f>IFERROR(__xludf.DUMMYFUNCTION("""COMPUTED_VALUE"""),77.0)</f>
        <v>77</v>
      </c>
      <c r="AK2279" s="3"/>
      <c r="AL2279" s="3"/>
    </row>
    <row r="2280" ht="15.75" customHeight="1">
      <c r="A2280" s="1" t="str">
        <f>IFERROR(__xludf.DUMMYFUNCTION("""COMPUTED_VALUE"""),"41183")</f>
        <v>41183</v>
      </c>
      <c r="B2280" s="2">
        <f>IFERROR(__xludf.DUMMYFUNCTION("""COMPUTED_VALUE"""),41183.0)</f>
        <v>41183</v>
      </c>
      <c r="C2280" s="3" t="str">
        <f>IFERROR(__xludf.DUMMYFUNCTION("""COMPUTED_VALUE"""),"Pure ขอนแก่น 2")</f>
        <v>Pure ขอนแก่น 2</v>
      </c>
      <c r="D2280" s="3" t="str">
        <f>IFERROR(__xludf.DUMMYFUNCTION("""COMPUTED_VALUE"""),"BIGC KHONKAEN2 PURE")</f>
        <v>BIGC KHONKAEN2 PURE</v>
      </c>
      <c r="E2280" s="1" t="str">
        <f>IFERROR(__xludf.DUMMYFUNCTION("""COMPUTED_VALUE"""),"PURE")</f>
        <v>PURE</v>
      </c>
      <c r="F2280" s="1" t="str">
        <f>IFERROR(__xludf.DUMMYFUNCTION("""COMPUTED_VALUE"""),"2083583")</f>
        <v>2083583</v>
      </c>
      <c r="G2280" s="1" t="str">
        <f>IFERROR(__xludf.DUMMYFUNCTION("""COMPUTED_VALUE"""),"นายอรรณพ ศรีแก้ว")</f>
        <v>นายอรรณพ ศรีแก้ว</v>
      </c>
      <c r="H2280" s="1" t="str">
        <f>IFERROR(__xludf.DUMMYFUNCTION("""COMPUTED_VALUE"""),"2083583")</f>
        <v>2083583</v>
      </c>
      <c r="I2280" s="1" t="str">
        <f>IFERROR(__xludf.DUMMYFUNCTION("""COMPUTED_VALUE"""),"นายอรรณพ ศรีแก้ว")</f>
        <v>นายอรรณพ ศรีแก้ว</v>
      </c>
      <c r="J2280" s="3">
        <f>IFERROR(__xludf.DUMMYFUNCTION("""COMPUTED_VALUE"""),295801.0)</f>
        <v>295801</v>
      </c>
      <c r="K2280" s="3" t="str">
        <f>IFERROR(__xludf.DUMMYFUNCTION("""COMPUTED_VALUE"""),"นายอรรถพล เหล่าสุวงศ์")</f>
        <v>นายอรรถพล เหล่าสุวงศ์</v>
      </c>
      <c r="L2280" s="1" t="str">
        <f>IFERROR(__xludf.DUMMYFUNCTION("""COMPUTED_VALUE"""),"Hub09-NE 1")</f>
        <v>Hub09-NE 1</v>
      </c>
      <c r="M2280" s="1" t="str">
        <f>IFERROR(__xludf.DUMMYFUNCTION("""COMPUTED_VALUE"""),"0655090879")</f>
        <v>0655090879</v>
      </c>
      <c r="N2280" s="3">
        <f>IFERROR(__xludf.DUMMYFUNCTION("""COMPUTED_VALUE"""),11251.0)</f>
        <v>11251</v>
      </c>
      <c r="O2280" s="3" t="str">
        <f>IFERROR(__xludf.DUMMYFUNCTION("""COMPUTED_VALUE"""),"ขอนแก่น2")</f>
        <v>ขอนแก่น2</v>
      </c>
      <c r="P2280" s="4">
        <f>IFERROR(__xludf.DUMMYFUNCTION("""COMPUTED_VALUE"""),44452.0)</f>
        <v>44452</v>
      </c>
      <c r="Q2280" s="3" t="str">
        <f>IFERROR(__xludf.DUMMYFUNCTION("""COMPUTED_VALUE"""),"A")</f>
        <v>A</v>
      </c>
      <c r="R2280" s="3" t="str">
        <f>IFERROR(__xludf.DUMMYFUNCTION("""COMPUTED_VALUE"""),"Big Format")</f>
        <v>Big Format</v>
      </c>
      <c r="S2280" s="3" t="str">
        <f>IFERROR(__xludf.DUMMYFUNCTION("""COMPUTED_VALUE"""),"PURE")</f>
        <v>PURE</v>
      </c>
      <c r="T2280" s="3" t="str">
        <f>IFERROR(__xludf.DUMMYFUNCTION("""COMPUTED_VALUE"""),"#N/A")</f>
        <v>#N/A</v>
      </c>
      <c r="U2280" s="3" t="str">
        <f>IFERROR(__xludf.DUMMYFUNCTION("""COMPUTED_VALUE"""),"#N/A")</f>
        <v>#N/A</v>
      </c>
      <c r="V2280" s="3" t="str">
        <f>IFERROR(__xludf.DUMMYFUNCTION("""COMPUTED_VALUE"""),"N")</f>
        <v>N</v>
      </c>
      <c r="W2280" s="3">
        <f>IFERROR(__xludf.DUMMYFUNCTION("""COMPUTED_VALUE"""),111262.0)</f>
        <v>111262</v>
      </c>
      <c r="X2280" s="3" t="str">
        <f>IFERROR(__xludf.DUMMYFUNCTION("""COMPUTED_VALUE"""),"177 หมู่9 ตำบลเมืองเก่า อำเภอเมืองขอนแก่น จังหวัดขอนแก่น 40000")</f>
        <v>177 หมู่9 ตำบลเมืองเก่า อำเภอเมืองขอนแก่น จังหวัดขอนแก่น 40000</v>
      </c>
      <c r="Y2280" s="3"/>
      <c r="Z2280" s="3" t="str">
        <f>IFERROR(__xludf.DUMMYFUNCTION("""COMPUTED_VALUE"""),"เมืองเก่า")</f>
        <v>เมืองเก่า</v>
      </c>
      <c r="AA2280" s="3" t="str">
        <f>IFERROR(__xludf.DUMMYFUNCTION("""COMPUTED_VALUE"""),"เมือง")</f>
        <v>เมือง</v>
      </c>
      <c r="AB2280" s="3" t="str">
        <f>IFERROR(__xludf.DUMMYFUNCTION("""COMPUTED_VALUE"""),"ขอนแก่น")</f>
        <v>ขอนแก่น</v>
      </c>
      <c r="AC2280" s="3">
        <f>IFERROR(__xludf.DUMMYFUNCTION("""COMPUTED_VALUE"""),40000.0)</f>
        <v>40000</v>
      </c>
      <c r="AD2280" s="3">
        <f>IFERROR(__xludf.DUMMYFUNCTION("""COMPUTED_VALUE"""),0.0)</f>
        <v>0</v>
      </c>
      <c r="AE2280" s="3">
        <f>IFERROR(__xludf.DUMMYFUNCTION("""COMPUTED_VALUE"""),0.0)</f>
        <v>0</v>
      </c>
      <c r="AF2280" s="3" t="str">
        <f>IFERROR(__xludf.DUMMYFUNCTION("""COMPUTED_VALUE"""),"Pure ขอนแก่น 2-41183")</f>
        <v>Pure ขอนแก่น 2-41183</v>
      </c>
      <c r="AG2280" s="3" t="str">
        <f>IFERROR(__xludf.DUMMYFUNCTION("""COMPUTED_VALUE"""),"ตะวันออกเฉียงเหนือ")</f>
        <v>ตะวันออกเฉียงเหนือ</v>
      </c>
      <c r="AH2280" s="3" t="str">
        <f>IFERROR(__xludf.DUMMYFUNCTION("""COMPUTED_VALUE"""),"#N/A")</f>
        <v>#N/A</v>
      </c>
      <c r="AI2280" s="3" t="str">
        <f>IFERROR(__xludf.DUMMYFUNCTION("""COMPUTED_VALUE"""),"Out of warranty")</f>
        <v>Out of warranty</v>
      </c>
      <c r="AJ2280" s="3">
        <f>IFERROR(__xludf.DUMMYFUNCTION("""COMPUTED_VALUE"""),53.0)</f>
        <v>53</v>
      </c>
      <c r="AK2280" s="3"/>
      <c r="AL2280" s="3"/>
    </row>
    <row r="2281" ht="15.75" customHeight="1">
      <c r="A2281" s="1" t="str">
        <f>IFERROR(__xludf.DUMMYFUNCTION("""COMPUTED_VALUE"""),"41184")</f>
        <v>41184</v>
      </c>
      <c r="B2281" s="2">
        <f>IFERROR(__xludf.DUMMYFUNCTION("""COMPUTED_VALUE"""),41184.0)</f>
        <v>41184</v>
      </c>
      <c r="C2281" s="3" t="str">
        <f>IFERROR(__xludf.DUMMYFUNCTION("""COMPUTED_VALUE"""),"Pure ไทรน้อย")</f>
        <v>Pure ไทรน้อย</v>
      </c>
      <c r="D2281" s="3" t="str">
        <f>IFERROR(__xludf.DUMMYFUNCTION("""COMPUTED_VALUE"""),"BIGC SAINOI PURE")</f>
        <v>BIGC SAINOI PURE</v>
      </c>
      <c r="E2281" s="1" t="str">
        <f>IFERROR(__xludf.DUMMYFUNCTION("""COMPUTED_VALUE"""),"PURE")</f>
        <v>PURE</v>
      </c>
      <c r="F2281" s="1" t="str">
        <f>IFERROR(__xludf.DUMMYFUNCTION("""COMPUTED_VALUE"""),"2010612")</f>
        <v>2010612</v>
      </c>
      <c r="G2281" s="1" t="str">
        <f>IFERROR(__xludf.DUMMYFUNCTION("""COMPUTED_VALUE"""),"น.ส.วรรณพร เกตุเลิศประเสริฐ")</f>
        <v>น.ส.วรรณพร เกตุเลิศประเสริฐ</v>
      </c>
      <c r="H2281" s="1" t="str">
        <f>IFERROR(__xludf.DUMMYFUNCTION("""COMPUTED_VALUE"""),"2010612")</f>
        <v>2010612</v>
      </c>
      <c r="I2281" s="1" t="str">
        <f>IFERROR(__xludf.DUMMYFUNCTION("""COMPUTED_VALUE"""),"น.ส.วรรณพร เกตุเลิศประเสริฐ")</f>
        <v>น.ส.วรรณพร เกตุเลิศประเสริฐ</v>
      </c>
      <c r="J2281" s="3">
        <f>IFERROR(__xludf.DUMMYFUNCTION("""COMPUTED_VALUE"""),2454813.0)</f>
        <v>2454813</v>
      </c>
      <c r="K2281" s="3" t="str">
        <f>IFERROR(__xludf.DUMMYFUNCTION("""COMPUTED_VALUE"""),"นายอนุรักษ์ จั่นเที่ยง")</f>
        <v>นายอนุรักษ์ จั่นเที่ยง</v>
      </c>
      <c r="L2281" s="1" t="str">
        <f>IFERROR(__xludf.DUMMYFUNCTION("""COMPUTED_VALUE"""),"Hub04-BKK 4")</f>
        <v>Hub04-BKK 4</v>
      </c>
      <c r="M2281" s="1" t="str">
        <f>IFERROR(__xludf.DUMMYFUNCTION("""COMPUTED_VALUE"""),"0991964531")</f>
        <v>0991964531</v>
      </c>
      <c r="N2281" s="3">
        <f>IFERROR(__xludf.DUMMYFUNCTION("""COMPUTED_VALUE"""),11252.0)</f>
        <v>11252</v>
      </c>
      <c r="O2281" s="3" t="str">
        <f>IFERROR(__xludf.DUMMYFUNCTION("""COMPUTED_VALUE"""),"ไทรน้อย")</f>
        <v>ไทรน้อย</v>
      </c>
      <c r="P2281" s="4">
        <f>IFERROR(__xludf.DUMMYFUNCTION("""COMPUTED_VALUE"""),43761.0)</f>
        <v>43761</v>
      </c>
      <c r="Q2281" s="3" t="str">
        <f>IFERROR(__xludf.DUMMYFUNCTION("""COMPUTED_VALUE"""),"A")</f>
        <v>A</v>
      </c>
      <c r="R2281" s="3" t="str">
        <f>IFERROR(__xludf.DUMMYFUNCTION("""COMPUTED_VALUE"""),"Big Format")</f>
        <v>Big Format</v>
      </c>
      <c r="S2281" s="3" t="str">
        <f>IFERROR(__xludf.DUMMYFUNCTION("""COMPUTED_VALUE"""),"PURE")</f>
        <v>PURE</v>
      </c>
      <c r="T2281" s="3" t="str">
        <f>IFERROR(__xludf.DUMMYFUNCTION("""COMPUTED_VALUE"""),"#N/A")</f>
        <v>#N/A</v>
      </c>
      <c r="U2281" s="3" t="str">
        <f>IFERROR(__xludf.DUMMYFUNCTION("""COMPUTED_VALUE"""),"#N/A")</f>
        <v>#N/A</v>
      </c>
      <c r="V2281" s="3" t="str">
        <f>IFERROR(__xludf.DUMMYFUNCTION("""COMPUTED_VALUE"""),"N")</f>
        <v>N</v>
      </c>
      <c r="W2281" s="3">
        <f>IFERROR(__xludf.DUMMYFUNCTION("""COMPUTED_VALUE"""),111263.0)</f>
        <v>111263</v>
      </c>
      <c r="X2281" s="3" t="str">
        <f>IFERROR(__xludf.DUMMYFUNCTION("""COMPUTED_VALUE"""),"1 หมู่6 ตำบลไทรน้อย อำเภอไทรน้อย จังหวัดนนทบุรี 11150")</f>
        <v>1 หมู่6 ตำบลไทรน้อย อำเภอไทรน้อย จังหวัดนนทบุรี 11150</v>
      </c>
      <c r="Y2281" s="3"/>
      <c r="Z2281" s="3" t="str">
        <f>IFERROR(__xludf.DUMMYFUNCTION("""COMPUTED_VALUE"""),"ไทรน้อย")</f>
        <v>ไทรน้อย</v>
      </c>
      <c r="AA2281" s="3" t="str">
        <f>IFERROR(__xludf.DUMMYFUNCTION("""COMPUTED_VALUE"""),"ไทรน้อย")</f>
        <v>ไทรน้อย</v>
      </c>
      <c r="AB2281" s="3" t="str">
        <f>IFERROR(__xludf.DUMMYFUNCTION("""COMPUTED_VALUE"""),"นนทบุรี")</f>
        <v>นนทบุรี</v>
      </c>
      <c r="AC2281" s="3">
        <f>IFERROR(__xludf.DUMMYFUNCTION("""COMPUTED_VALUE"""),11150.0)</f>
        <v>11150</v>
      </c>
      <c r="AD2281" s="3">
        <f>IFERROR(__xludf.DUMMYFUNCTION("""COMPUTED_VALUE"""),0.0)</f>
        <v>0</v>
      </c>
      <c r="AE2281" s="3">
        <f>IFERROR(__xludf.DUMMYFUNCTION("""COMPUTED_VALUE"""),0.0)</f>
        <v>0</v>
      </c>
      <c r="AF2281" s="3" t="str">
        <f>IFERROR(__xludf.DUMMYFUNCTION("""COMPUTED_VALUE"""),"Pure ไทรน้อย-41184")</f>
        <v>Pure ไทรน้อย-41184</v>
      </c>
      <c r="AG2281" s="3" t="str">
        <f>IFERROR(__xludf.DUMMYFUNCTION("""COMPUTED_VALUE"""),"กลาง")</f>
        <v>กลาง</v>
      </c>
      <c r="AH2281" s="3" t="str">
        <f>IFERROR(__xludf.DUMMYFUNCTION("""COMPUTED_VALUE"""),"#N/A")</f>
        <v>#N/A</v>
      </c>
      <c r="AI2281" s="3" t="str">
        <f>IFERROR(__xludf.DUMMYFUNCTION("""COMPUTED_VALUE"""),"Out of warranty")</f>
        <v>Out of warranty</v>
      </c>
      <c r="AJ2281" s="3">
        <f>IFERROR(__xludf.DUMMYFUNCTION("""COMPUTED_VALUE"""),75.0)</f>
        <v>75</v>
      </c>
      <c r="AK2281" s="3"/>
      <c r="AL2281" s="3"/>
    </row>
    <row r="2282" ht="15.75" customHeight="1">
      <c r="A2282" s="1" t="str">
        <f>IFERROR(__xludf.DUMMYFUNCTION("""COMPUTED_VALUE"""),"41185")</f>
        <v>41185</v>
      </c>
      <c r="B2282" s="2">
        <f>IFERROR(__xludf.DUMMYFUNCTION("""COMPUTED_VALUE"""),41185.0)</f>
        <v>41185</v>
      </c>
      <c r="C2282" s="3" t="str">
        <f>IFERROR(__xludf.DUMMYFUNCTION("""COMPUTED_VALUE"""),"Pure ปากช่อง")</f>
        <v>Pure ปากช่อง</v>
      </c>
      <c r="D2282" s="3" t="str">
        <f>IFERROR(__xludf.DUMMYFUNCTION("""COMPUTED_VALUE"""),"BIGC PAKCHONG PURE")</f>
        <v>BIGC PAKCHONG PURE</v>
      </c>
      <c r="E2282" s="1" t="str">
        <f>IFERROR(__xludf.DUMMYFUNCTION("""COMPUTED_VALUE"""),"PURE")</f>
        <v>PURE</v>
      </c>
      <c r="F2282" s="1" t="str">
        <f>IFERROR(__xludf.DUMMYFUNCTION("""COMPUTED_VALUE"""),"2083583")</f>
        <v>2083583</v>
      </c>
      <c r="G2282" s="1" t="str">
        <f>IFERROR(__xludf.DUMMYFUNCTION("""COMPUTED_VALUE"""),"นายอรรณพ ศรีแก้ว")</f>
        <v>นายอรรณพ ศรีแก้ว</v>
      </c>
      <c r="H2282" s="1" t="str">
        <f>IFERROR(__xludf.DUMMYFUNCTION("""COMPUTED_VALUE"""),"2083583")</f>
        <v>2083583</v>
      </c>
      <c r="I2282" s="1" t="str">
        <f>IFERROR(__xludf.DUMMYFUNCTION("""COMPUTED_VALUE"""),"นายอรรณพ ศรีแก้ว")</f>
        <v>นายอรรณพ ศรีแก้ว</v>
      </c>
      <c r="J2282" s="3">
        <f>IFERROR(__xludf.DUMMYFUNCTION("""COMPUTED_VALUE"""),33317.0)</f>
        <v>33317</v>
      </c>
      <c r="K2282" s="3" t="str">
        <f>IFERROR(__xludf.DUMMYFUNCTION("""COMPUTED_VALUE"""),"นายอาณัติ เพชรภาน")</f>
        <v>นายอาณัติ เพชรภาน</v>
      </c>
      <c r="L2282" s="1" t="str">
        <f>IFERROR(__xludf.DUMMYFUNCTION("""COMPUTED_VALUE"""),"Hub10-NE 2")</f>
        <v>Hub10-NE 2</v>
      </c>
      <c r="M2282" s="1" t="str">
        <f>IFERROR(__xludf.DUMMYFUNCTION("""COMPUTED_VALUE"""),"0644791409")</f>
        <v>0644791409</v>
      </c>
      <c r="N2282" s="3">
        <f>IFERROR(__xludf.DUMMYFUNCTION("""COMPUTED_VALUE"""),11253.0)</f>
        <v>11253</v>
      </c>
      <c r="O2282" s="3" t="str">
        <f>IFERROR(__xludf.DUMMYFUNCTION("""COMPUTED_VALUE"""),"ปากช่อง")</f>
        <v>ปากช่อง</v>
      </c>
      <c r="P2282" s="4">
        <f>IFERROR(__xludf.DUMMYFUNCTION("""COMPUTED_VALUE"""),43792.0)</f>
        <v>43792</v>
      </c>
      <c r="Q2282" s="3" t="str">
        <f>IFERROR(__xludf.DUMMYFUNCTION("""COMPUTED_VALUE"""),"A")</f>
        <v>A</v>
      </c>
      <c r="R2282" s="3" t="str">
        <f>IFERROR(__xludf.DUMMYFUNCTION("""COMPUTED_VALUE"""),"Big Format")</f>
        <v>Big Format</v>
      </c>
      <c r="S2282" s="3" t="str">
        <f>IFERROR(__xludf.DUMMYFUNCTION("""COMPUTED_VALUE"""),"PURE")</f>
        <v>PURE</v>
      </c>
      <c r="T2282" s="3" t="str">
        <f>IFERROR(__xludf.DUMMYFUNCTION("""COMPUTED_VALUE"""),"#N/A")</f>
        <v>#N/A</v>
      </c>
      <c r="U2282" s="3" t="str">
        <f>IFERROR(__xludf.DUMMYFUNCTION("""COMPUTED_VALUE"""),"#N/A")</f>
        <v>#N/A</v>
      </c>
      <c r="V2282" s="3" t="str">
        <f>IFERROR(__xludf.DUMMYFUNCTION("""COMPUTED_VALUE"""),"N")</f>
        <v>N</v>
      </c>
      <c r="W2282" s="3">
        <f>IFERROR(__xludf.DUMMYFUNCTION("""COMPUTED_VALUE"""),111265.0)</f>
        <v>111265</v>
      </c>
      <c r="X2282" s="3" t="str">
        <f>IFERROR(__xludf.DUMMYFUNCTION("""COMPUTED_VALUE"""),"28 ถนนมิตรภาพ ตำบลปากช่อง อำเภอปากช่อง จังหวัดนครราชสีมา 30130")</f>
        <v>28 ถนนมิตรภาพ ตำบลปากช่อง อำเภอปากช่อง จังหวัดนครราชสีมา 30130</v>
      </c>
      <c r="Y2282" s="3" t="str">
        <f>IFERROR(__xludf.DUMMYFUNCTION("""COMPUTED_VALUE"""),"ถนนมิตรภาพ")</f>
        <v>ถนนมิตรภาพ</v>
      </c>
      <c r="Z2282" s="3" t="str">
        <f>IFERROR(__xludf.DUMMYFUNCTION("""COMPUTED_VALUE"""),"ปากช่อง")</f>
        <v>ปากช่อง</v>
      </c>
      <c r="AA2282" s="3" t="str">
        <f>IFERROR(__xludf.DUMMYFUNCTION("""COMPUTED_VALUE"""),"ปากช่อง")</f>
        <v>ปากช่อง</v>
      </c>
      <c r="AB2282" s="3" t="str">
        <f>IFERROR(__xludf.DUMMYFUNCTION("""COMPUTED_VALUE"""),"นครราชสีมา")</f>
        <v>นครราชสีมา</v>
      </c>
      <c r="AC2282" s="3">
        <f>IFERROR(__xludf.DUMMYFUNCTION("""COMPUTED_VALUE"""),30130.0)</f>
        <v>30130</v>
      </c>
      <c r="AD2282" s="3">
        <f>IFERROR(__xludf.DUMMYFUNCTION("""COMPUTED_VALUE"""),0.0)</f>
        <v>0</v>
      </c>
      <c r="AE2282" s="3">
        <f>IFERROR(__xludf.DUMMYFUNCTION("""COMPUTED_VALUE"""),0.0)</f>
        <v>0</v>
      </c>
      <c r="AF2282" s="3" t="str">
        <f>IFERROR(__xludf.DUMMYFUNCTION("""COMPUTED_VALUE"""),"Pure ปากช่อง-41185")</f>
        <v>Pure ปากช่อง-41185</v>
      </c>
      <c r="AG2282" s="3" t="str">
        <f>IFERROR(__xludf.DUMMYFUNCTION("""COMPUTED_VALUE"""),"ตะวันออกเฉียงเหนือ")</f>
        <v>ตะวันออกเฉียงเหนือ</v>
      </c>
      <c r="AH2282" s="3" t="str">
        <f>IFERROR(__xludf.DUMMYFUNCTION("""COMPUTED_VALUE"""),"#N/A")</f>
        <v>#N/A</v>
      </c>
      <c r="AI2282" s="3" t="str">
        <f>IFERROR(__xludf.DUMMYFUNCTION("""COMPUTED_VALUE"""),"Out of warranty")</f>
        <v>Out of warranty</v>
      </c>
      <c r="AJ2282" s="3">
        <f>IFERROR(__xludf.DUMMYFUNCTION("""COMPUTED_VALUE"""),74.0)</f>
        <v>74</v>
      </c>
      <c r="AK2282" s="3"/>
      <c r="AL2282" s="3"/>
    </row>
    <row r="2283" ht="15.75" customHeight="1">
      <c r="A2283" s="1" t="str">
        <f>IFERROR(__xludf.DUMMYFUNCTION("""COMPUTED_VALUE"""),"41186")</f>
        <v>41186</v>
      </c>
      <c r="B2283" s="2">
        <f>IFERROR(__xludf.DUMMYFUNCTION("""COMPUTED_VALUE"""),41186.0)</f>
        <v>41186</v>
      </c>
      <c r="C2283" s="3" t="str">
        <f>IFERROR(__xludf.DUMMYFUNCTION("""COMPUTED_VALUE"""),"Pure ท่าอิฐ")</f>
        <v>Pure ท่าอิฐ</v>
      </c>
      <c r="D2283" s="3" t="str">
        <f>IFERROR(__xludf.DUMMYFUNCTION("""COMPUTED_VALUE"""),"BIGC TAIT PURE")</f>
        <v>BIGC TAIT PURE</v>
      </c>
      <c r="E2283" s="1" t="str">
        <f>IFERROR(__xludf.DUMMYFUNCTION("""COMPUTED_VALUE"""),"PURE")</f>
        <v>PURE</v>
      </c>
      <c r="F2283" s="1" t="str">
        <f>IFERROR(__xludf.DUMMYFUNCTION("""COMPUTED_VALUE"""),"228469")</f>
        <v>228469</v>
      </c>
      <c r="G2283" s="1" t="str">
        <f>IFERROR(__xludf.DUMMYFUNCTION("""COMPUTED_VALUE"""),"น.ส.บงกช ทำการดี")</f>
        <v>น.ส.บงกช ทำการดี</v>
      </c>
      <c r="H2283" s="1" t="str">
        <f>IFERROR(__xludf.DUMMYFUNCTION("""COMPUTED_VALUE"""),"228469")</f>
        <v>228469</v>
      </c>
      <c r="I2283" s="1" t="str">
        <f>IFERROR(__xludf.DUMMYFUNCTION("""COMPUTED_VALUE"""),"น.ส.บงกช ทำการดี")</f>
        <v>น.ส.บงกช ทำการดี</v>
      </c>
      <c r="J2283" s="3">
        <f>IFERROR(__xludf.DUMMYFUNCTION("""COMPUTED_VALUE"""),2454701.0)</f>
        <v>2454701</v>
      </c>
      <c r="K2283" s="3" t="str">
        <f>IFERROR(__xludf.DUMMYFUNCTION("""COMPUTED_VALUE"""),"นายกานต์ ไชยแสงศรี")</f>
        <v>นายกานต์ ไชยแสงศรี</v>
      </c>
      <c r="L2283" s="1" t="str">
        <f>IFERROR(__xludf.DUMMYFUNCTION("""COMPUTED_VALUE"""),"Hub01-BKK 1")</f>
        <v>Hub01-BKK 1</v>
      </c>
      <c r="M2283" s="1" t="str">
        <f>IFERROR(__xludf.DUMMYFUNCTION("""COMPUTED_VALUE"""),"0909090652")</f>
        <v>0909090652</v>
      </c>
      <c r="N2283" s="3">
        <f>IFERROR(__xludf.DUMMYFUNCTION("""COMPUTED_VALUE"""),15063.0)</f>
        <v>15063</v>
      </c>
      <c r="O2283" s="3" t="str">
        <f>IFERROR(__xludf.DUMMYFUNCTION("""COMPUTED_VALUE"""),"ท่าอิฐ")</f>
        <v>ท่าอิฐ</v>
      </c>
      <c r="P2283" s="4">
        <f>IFERROR(__xludf.DUMMYFUNCTION("""COMPUTED_VALUE"""),44028.0)</f>
        <v>44028</v>
      </c>
      <c r="Q2283" s="3" t="str">
        <f>IFERROR(__xludf.DUMMYFUNCTION("""COMPUTED_VALUE"""),"A")</f>
        <v>A</v>
      </c>
      <c r="R2283" s="3" t="str">
        <f>IFERROR(__xludf.DUMMYFUNCTION("""COMPUTED_VALUE"""),"Big Format")</f>
        <v>Big Format</v>
      </c>
      <c r="S2283" s="3" t="str">
        <f>IFERROR(__xludf.DUMMYFUNCTION("""COMPUTED_VALUE"""),"PURE")</f>
        <v>PURE</v>
      </c>
      <c r="T2283" s="3" t="str">
        <f>IFERROR(__xludf.DUMMYFUNCTION("""COMPUTED_VALUE"""),"#N/A")</f>
        <v>#N/A</v>
      </c>
      <c r="U2283" s="3" t="str">
        <f>IFERROR(__xludf.DUMMYFUNCTION("""COMPUTED_VALUE"""),"#N/A")</f>
        <v>#N/A</v>
      </c>
      <c r="V2283" s="3" t="str">
        <f>IFERROR(__xludf.DUMMYFUNCTION("""COMPUTED_VALUE"""),"N")</f>
        <v>N</v>
      </c>
      <c r="W2283" s="3">
        <f>IFERROR(__xludf.DUMMYFUNCTION("""COMPUTED_VALUE"""),411202.0)</f>
        <v>411202</v>
      </c>
      <c r="X2283" s="3" t="str">
        <f>IFERROR(__xludf.DUMMYFUNCTION("""COMPUTED_VALUE"""),"49/12 หมู่2 ตำบลไทรม้า อำเภอเมืองนนทบุรี จังหวัดนนทบุรี 11000")</f>
        <v>49/12 หมู่2 ตำบลไทรม้า อำเภอเมืองนนทบุรี จังหวัดนนทบุรี 11000</v>
      </c>
      <c r="Y2283" s="3"/>
      <c r="Z2283" s="3" t="str">
        <f>IFERROR(__xludf.DUMMYFUNCTION("""COMPUTED_VALUE"""),"ไทรม้า")</f>
        <v>ไทรม้า</v>
      </c>
      <c r="AA2283" s="3" t="str">
        <f>IFERROR(__xludf.DUMMYFUNCTION("""COMPUTED_VALUE"""),"เมืองนนทบุรี")</f>
        <v>เมืองนนทบุรี</v>
      </c>
      <c r="AB2283" s="3" t="str">
        <f>IFERROR(__xludf.DUMMYFUNCTION("""COMPUTED_VALUE"""),"นนทบุรี")</f>
        <v>นนทบุรี</v>
      </c>
      <c r="AC2283" s="3">
        <f>IFERROR(__xludf.DUMMYFUNCTION("""COMPUTED_VALUE"""),11000.0)</f>
        <v>11000</v>
      </c>
      <c r="AD2283" s="3">
        <f>IFERROR(__xludf.DUMMYFUNCTION("""COMPUTED_VALUE"""),0.0)</f>
        <v>0</v>
      </c>
      <c r="AE2283" s="3">
        <f>IFERROR(__xludf.DUMMYFUNCTION("""COMPUTED_VALUE"""),0.0)</f>
        <v>0</v>
      </c>
      <c r="AF2283" s="3" t="str">
        <f>IFERROR(__xludf.DUMMYFUNCTION("""COMPUTED_VALUE"""),"Pure ท่าอิฐ-41186")</f>
        <v>Pure ท่าอิฐ-41186</v>
      </c>
      <c r="AG2283" s="3" t="str">
        <f>IFERROR(__xludf.DUMMYFUNCTION("""COMPUTED_VALUE"""),"กลาง")</f>
        <v>กลาง</v>
      </c>
      <c r="AH2283" s="3" t="str">
        <f>IFERROR(__xludf.DUMMYFUNCTION("""COMPUTED_VALUE"""),"#N/A")</f>
        <v>#N/A</v>
      </c>
      <c r="AI2283" s="3" t="str">
        <f>IFERROR(__xludf.DUMMYFUNCTION("""COMPUTED_VALUE"""),"Out of warranty")</f>
        <v>Out of warranty</v>
      </c>
      <c r="AJ2283" s="3">
        <f>IFERROR(__xludf.DUMMYFUNCTION("""COMPUTED_VALUE"""),67.0)</f>
        <v>67</v>
      </c>
      <c r="AK2283" s="3"/>
      <c r="AL2283" s="3"/>
    </row>
    <row r="2284" ht="15.75" customHeight="1">
      <c r="A2284" s="1" t="str">
        <f>IFERROR(__xludf.DUMMYFUNCTION("""COMPUTED_VALUE"""),"41187")</f>
        <v>41187</v>
      </c>
      <c r="B2284" s="2">
        <f>IFERROR(__xludf.DUMMYFUNCTION("""COMPUTED_VALUE"""),41187.0)</f>
        <v>41187</v>
      </c>
      <c r="C2284" s="3" t="str">
        <f>IFERROR(__xludf.DUMMYFUNCTION("""COMPUTED_VALUE"""),"Pure หนามแดง")</f>
        <v>Pure หนามแดง</v>
      </c>
      <c r="D2284" s="3" t="str">
        <f>IFERROR(__xludf.DUMMYFUNCTION("""COMPUTED_VALUE"""),"BIGC NAMDANG PURE")</f>
        <v>BIGC NAMDANG PURE</v>
      </c>
      <c r="E2284" s="1" t="str">
        <f>IFERROR(__xludf.DUMMYFUNCTION("""COMPUTED_VALUE"""),"PURE")</f>
        <v>PURE</v>
      </c>
      <c r="F2284" s="1" t="str">
        <f>IFERROR(__xludf.DUMMYFUNCTION("""COMPUTED_VALUE"""),"291435")</f>
        <v>291435</v>
      </c>
      <c r="G2284" s="1" t="str">
        <f>IFERROR(__xludf.DUMMYFUNCTION("""COMPUTED_VALUE"""),"น.ส.สุกัญญา มณีไพโรจน์")</f>
        <v>น.ส.สุกัญญา มณีไพโรจน์</v>
      </c>
      <c r="H2284" s="1" t="str">
        <f>IFERROR(__xludf.DUMMYFUNCTION("""COMPUTED_VALUE"""),"291435")</f>
        <v>291435</v>
      </c>
      <c r="I2284" s="1" t="str">
        <f>IFERROR(__xludf.DUMMYFUNCTION("""COMPUTED_VALUE"""),"น.ส.สุกัญญา มณีไพโรจน์")</f>
        <v>น.ส.สุกัญญา มณีไพโรจน์</v>
      </c>
      <c r="J2284" s="3">
        <f>IFERROR(__xludf.DUMMYFUNCTION("""COMPUTED_VALUE"""),2454716.0)</f>
        <v>2454716</v>
      </c>
      <c r="K2284" s="3" t="str">
        <f>IFERROR(__xludf.DUMMYFUNCTION("""COMPUTED_VALUE"""),"นายโฆษิต วงค์กะโซ่")</f>
        <v>นายโฆษิต วงค์กะโซ่</v>
      </c>
      <c r="L2284" s="1" t="str">
        <f>IFERROR(__xludf.DUMMYFUNCTION("""COMPUTED_VALUE"""),"Hub03-BKK 3")</f>
        <v>Hub03-BKK 3</v>
      </c>
      <c r="M2284" s="1" t="str">
        <f>IFERROR(__xludf.DUMMYFUNCTION("""COMPUTED_VALUE"""),"062-434-5030")</f>
        <v>062-434-5030</v>
      </c>
      <c r="N2284" s="3">
        <f>IFERROR(__xludf.DUMMYFUNCTION("""COMPUTED_VALUE"""),15064.0)</f>
        <v>15064</v>
      </c>
      <c r="O2284" s="3" t="str">
        <f>IFERROR(__xludf.DUMMYFUNCTION("""COMPUTED_VALUE"""),"หนามแดง")</f>
        <v>หนามแดง</v>
      </c>
      <c r="P2284" s="4">
        <f>IFERROR(__xludf.DUMMYFUNCTION("""COMPUTED_VALUE"""),44067.0)</f>
        <v>44067</v>
      </c>
      <c r="Q2284" s="3" t="str">
        <f>IFERROR(__xludf.DUMMYFUNCTION("""COMPUTED_VALUE"""),"A")</f>
        <v>A</v>
      </c>
      <c r="R2284" s="3" t="str">
        <f>IFERROR(__xludf.DUMMYFUNCTION("""COMPUTED_VALUE"""),"Big Format")</f>
        <v>Big Format</v>
      </c>
      <c r="S2284" s="3" t="str">
        <f>IFERROR(__xludf.DUMMYFUNCTION("""COMPUTED_VALUE"""),"PURE")</f>
        <v>PURE</v>
      </c>
      <c r="T2284" s="3" t="str">
        <f>IFERROR(__xludf.DUMMYFUNCTION("""COMPUTED_VALUE"""),"#N/A")</f>
        <v>#N/A</v>
      </c>
      <c r="U2284" s="3" t="str">
        <f>IFERROR(__xludf.DUMMYFUNCTION("""COMPUTED_VALUE"""),"#N/A")</f>
        <v>#N/A</v>
      </c>
      <c r="V2284" s="3" t="str">
        <f>IFERROR(__xludf.DUMMYFUNCTION("""COMPUTED_VALUE"""),"N")</f>
        <v>N</v>
      </c>
      <c r="W2284" s="3">
        <f>IFERROR(__xludf.DUMMYFUNCTION("""COMPUTED_VALUE"""),411200.0)</f>
        <v>411200</v>
      </c>
      <c r="X2284" s="3" t="str">
        <f>IFERROR(__xludf.DUMMYFUNCTION("""COMPUTED_VALUE"""),"25/17 หมู่2 ตำบลบางแก้ว อำเภอบางพลี จังหวัดสมุทรปราการ 10540")</f>
        <v>25/17 หมู่2 ตำบลบางแก้ว อำเภอบางพลี จังหวัดสมุทรปราการ 10540</v>
      </c>
      <c r="Y2284" s="3"/>
      <c r="Z2284" s="3" t="str">
        <f>IFERROR(__xludf.DUMMYFUNCTION("""COMPUTED_VALUE"""),"บางแก้ว")</f>
        <v>บางแก้ว</v>
      </c>
      <c r="AA2284" s="3" t="str">
        <f>IFERROR(__xludf.DUMMYFUNCTION("""COMPUTED_VALUE"""),"บางพลี")</f>
        <v>บางพลี</v>
      </c>
      <c r="AB2284" s="3" t="str">
        <f>IFERROR(__xludf.DUMMYFUNCTION("""COMPUTED_VALUE"""),"สมุทรปราการ")</f>
        <v>สมุทรปราการ</v>
      </c>
      <c r="AC2284" s="3">
        <f>IFERROR(__xludf.DUMMYFUNCTION("""COMPUTED_VALUE"""),10540.0)</f>
        <v>10540</v>
      </c>
      <c r="AD2284" s="3">
        <f>IFERROR(__xludf.DUMMYFUNCTION("""COMPUTED_VALUE"""),0.0)</f>
        <v>0</v>
      </c>
      <c r="AE2284" s="3">
        <f>IFERROR(__xludf.DUMMYFUNCTION("""COMPUTED_VALUE"""),0.0)</f>
        <v>0</v>
      </c>
      <c r="AF2284" s="3" t="str">
        <f>IFERROR(__xludf.DUMMYFUNCTION("""COMPUTED_VALUE"""),"Pure หนามแดง-41187")</f>
        <v>Pure หนามแดง-41187</v>
      </c>
      <c r="AG2284" s="3" t="str">
        <f>IFERROR(__xludf.DUMMYFUNCTION("""COMPUTED_VALUE"""),"กลาง")</f>
        <v>กลาง</v>
      </c>
      <c r="AH2284" s="3" t="str">
        <f>IFERROR(__xludf.DUMMYFUNCTION("""COMPUTED_VALUE"""),"#N/A")</f>
        <v>#N/A</v>
      </c>
      <c r="AI2284" s="3" t="str">
        <f>IFERROR(__xludf.DUMMYFUNCTION("""COMPUTED_VALUE"""),"Out of warranty")</f>
        <v>Out of warranty</v>
      </c>
      <c r="AJ2284" s="3">
        <f>IFERROR(__xludf.DUMMYFUNCTION("""COMPUTED_VALUE"""),65.0)</f>
        <v>65</v>
      </c>
      <c r="AK2284" s="3"/>
      <c r="AL2284" s="3"/>
    </row>
    <row r="2285" ht="15.75" customHeight="1">
      <c r="A2285" s="1" t="str">
        <f>IFERROR(__xludf.DUMMYFUNCTION("""COMPUTED_VALUE"""),"41188")</f>
        <v>41188</v>
      </c>
      <c r="B2285" s="2">
        <f>IFERROR(__xludf.DUMMYFUNCTION("""COMPUTED_VALUE"""),41188.0)</f>
        <v>41188</v>
      </c>
      <c r="C2285" s="3" t="str">
        <f>IFERROR(__xludf.DUMMYFUNCTION("""COMPUTED_VALUE"""),"Pure มหาชัย 2")</f>
        <v>Pure มหาชัย 2</v>
      </c>
      <c r="D2285" s="3" t="str">
        <f>IFERROR(__xludf.DUMMYFUNCTION("""COMPUTED_VALUE"""),"BIGC MAHACHAI2 PURE")</f>
        <v>BIGC MAHACHAI2 PURE</v>
      </c>
      <c r="E2285" s="1" t="str">
        <f>IFERROR(__xludf.DUMMYFUNCTION("""COMPUTED_VALUE"""),"PURE")</f>
        <v>PURE</v>
      </c>
      <c r="F2285" s="1" t="str">
        <f>IFERROR(__xludf.DUMMYFUNCTION("""COMPUTED_VALUE"""),"2010612")</f>
        <v>2010612</v>
      </c>
      <c r="G2285" s="1" t="str">
        <f>IFERROR(__xludf.DUMMYFUNCTION("""COMPUTED_VALUE"""),"น.ส.วรรณพร เกตุเลิศประเสริฐ")</f>
        <v>น.ส.วรรณพร เกตุเลิศประเสริฐ</v>
      </c>
      <c r="H2285" s="1" t="str">
        <f>IFERROR(__xludf.DUMMYFUNCTION("""COMPUTED_VALUE"""),"2010612")</f>
        <v>2010612</v>
      </c>
      <c r="I2285" s="1" t="str">
        <f>IFERROR(__xludf.DUMMYFUNCTION("""COMPUTED_VALUE"""),"น.ส.วรรณพร เกตุเลิศประเสริฐ")</f>
        <v>น.ส.วรรณพร เกตุเลิศประเสริฐ</v>
      </c>
      <c r="J2285" s="3">
        <f>IFERROR(__xludf.DUMMYFUNCTION("""COMPUTED_VALUE"""),2454701.0)</f>
        <v>2454701</v>
      </c>
      <c r="K2285" s="3" t="str">
        <f>IFERROR(__xludf.DUMMYFUNCTION("""COMPUTED_VALUE"""),"นายกานต์ ไชยแสงศรี")</f>
        <v>นายกานต์ ไชยแสงศรี</v>
      </c>
      <c r="L2285" s="1" t="str">
        <f>IFERROR(__xludf.DUMMYFUNCTION("""COMPUTED_VALUE"""),"Hub01-BKK 1")</f>
        <v>Hub01-BKK 1</v>
      </c>
      <c r="M2285" s="1" t="str">
        <f>IFERROR(__xludf.DUMMYFUNCTION("""COMPUTED_VALUE"""),"0909090652")</f>
        <v>0909090652</v>
      </c>
      <c r="N2285" s="3">
        <f>IFERROR(__xludf.DUMMYFUNCTION("""COMPUTED_VALUE"""),11254.0)</f>
        <v>11254</v>
      </c>
      <c r="O2285" s="3" t="str">
        <f>IFERROR(__xludf.DUMMYFUNCTION("""COMPUTED_VALUE"""),"มหาชัย2")</f>
        <v>มหาชัย2</v>
      </c>
      <c r="P2285" s="4">
        <f>IFERROR(__xludf.DUMMYFUNCTION("""COMPUTED_VALUE"""),44100.0)</f>
        <v>44100</v>
      </c>
      <c r="Q2285" s="3" t="str">
        <f>IFERROR(__xludf.DUMMYFUNCTION("""COMPUTED_VALUE"""),"A")</f>
        <v>A</v>
      </c>
      <c r="R2285" s="3" t="str">
        <f>IFERROR(__xludf.DUMMYFUNCTION("""COMPUTED_VALUE"""),"Big Format")</f>
        <v>Big Format</v>
      </c>
      <c r="S2285" s="3" t="str">
        <f>IFERROR(__xludf.DUMMYFUNCTION("""COMPUTED_VALUE"""),"PURE")</f>
        <v>PURE</v>
      </c>
      <c r="T2285" s="3" t="str">
        <f>IFERROR(__xludf.DUMMYFUNCTION("""COMPUTED_VALUE"""),"#N/A")</f>
        <v>#N/A</v>
      </c>
      <c r="U2285" s="3" t="str">
        <f>IFERROR(__xludf.DUMMYFUNCTION("""COMPUTED_VALUE"""),"#N/A")</f>
        <v>#N/A</v>
      </c>
      <c r="V2285" s="3" t="str">
        <f>IFERROR(__xludf.DUMMYFUNCTION("""COMPUTED_VALUE"""),"N")</f>
        <v>N</v>
      </c>
      <c r="W2285" s="3">
        <f>IFERROR(__xludf.DUMMYFUNCTION("""COMPUTED_VALUE"""),111266.0)</f>
        <v>111266</v>
      </c>
      <c r="X2285" s="3" t="str">
        <f>IFERROR(__xludf.DUMMYFUNCTION("""COMPUTED_VALUE"""),"67/534 หมู่4 ตำบลโคกขาม อำเภอเมืองสมุทรสาคร จังหวัดสมุทรสาคร 74000")</f>
        <v>67/534 หมู่4 ตำบลโคกขาม อำเภอเมืองสมุทรสาคร จังหวัดสมุทรสาคร 74000</v>
      </c>
      <c r="Y2285" s="3"/>
      <c r="Z2285" s="3" t="str">
        <f>IFERROR(__xludf.DUMMYFUNCTION("""COMPUTED_VALUE"""),"โคกขาม")</f>
        <v>โคกขาม</v>
      </c>
      <c r="AA2285" s="3" t="str">
        <f>IFERROR(__xludf.DUMMYFUNCTION("""COMPUTED_VALUE"""),"เมือง")</f>
        <v>เมือง</v>
      </c>
      <c r="AB2285" s="3" t="str">
        <f>IFERROR(__xludf.DUMMYFUNCTION("""COMPUTED_VALUE"""),"สมุทรสาคร")</f>
        <v>สมุทรสาคร</v>
      </c>
      <c r="AC2285" s="3">
        <f>IFERROR(__xludf.DUMMYFUNCTION("""COMPUTED_VALUE"""),74000.0)</f>
        <v>74000</v>
      </c>
      <c r="AD2285" s="3">
        <f>IFERROR(__xludf.DUMMYFUNCTION("""COMPUTED_VALUE"""),0.0)</f>
        <v>0</v>
      </c>
      <c r="AE2285" s="3">
        <f>IFERROR(__xludf.DUMMYFUNCTION("""COMPUTED_VALUE"""),0.0)</f>
        <v>0</v>
      </c>
      <c r="AF2285" s="3" t="str">
        <f>IFERROR(__xludf.DUMMYFUNCTION("""COMPUTED_VALUE"""),"Pure มหาชัย 2-41188")</f>
        <v>Pure มหาชัย 2-41188</v>
      </c>
      <c r="AG2285" s="3" t="str">
        <f>IFERROR(__xludf.DUMMYFUNCTION("""COMPUTED_VALUE"""),"กลาง")</f>
        <v>กลาง</v>
      </c>
      <c r="AH2285" s="3" t="str">
        <f>IFERROR(__xludf.DUMMYFUNCTION("""COMPUTED_VALUE"""),"#N/A")</f>
        <v>#N/A</v>
      </c>
      <c r="AI2285" s="3" t="str">
        <f>IFERROR(__xludf.DUMMYFUNCTION("""COMPUTED_VALUE"""),"Out of warranty")</f>
        <v>Out of warranty</v>
      </c>
      <c r="AJ2285" s="3">
        <f>IFERROR(__xludf.DUMMYFUNCTION("""COMPUTED_VALUE"""),64.0)</f>
        <v>64</v>
      </c>
      <c r="AK2285" s="3"/>
      <c r="AL2285" s="3"/>
    </row>
    <row r="2286" ht="15.75" customHeight="1">
      <c r="A2286" s="1" t="str">
        <f>IFERROR(__xludf.DUMMYFUNCTION("""COMPUTED_VALUE"""),"41189")</f>
        <v>41189</v>
      </c>
      <c r="B2286" s="2">
        <f>IFERROR(__xludf.DUMMYFUNCTION("""COMPUTED_VALUE"""),41189.0)</f>
        <v>41189</v>
      </c>
      <c r="C2286" s="3" t="str">
        <f>IFERROR(__xludf.DUMMYFUNCTION("""COMPUTED_VALUE"""),"PURE บ่อวิน")</f>
        <v>PURE บ่อวิน</v>
      </c>
      <c r="D2286" s="3" t="str">
        <f>IFERROR(__xludf.DUMMYFUNCTION("""COMPUTED_VALUE"""),"BIGC BOWIN PURE")</f>
        <v>BIGC BOWIN PURE</v>
      </c>
      <c r="E2286" s="1" t="str">
        <f>IFERROR(__xludf.DUMMYFUNCTION("""COMPUTED_VALUE"""),"PURE")</f>
        <v>PURE</v>
      </c>
      <c r="F2286" s="1" t="str">
        <f>IFERROR(__xludf.DUMMYFUNCTION("""COMPUTED_VALUE"""),"228469")</f>
        <v>228469</v>
      </c>
      <c r="G2286" s="1" t="str">
        <f>IFERROR(__xludf.DUMMYFUNCTION("""COMPUTED_VALUE"""),"น.ส.บงกช ทำการดี")</f>
        <v>น.ส.บงกช ทำการดี</v>
      </c>
      <c r="H2286" s="1" t="str">
        <f>IFERROR(__xludf.DUMMYFUNCTION("""COMPUTED_VALUE"""),"228469")</f>
        <v>228469</v>
      </c>
      <c r="I2286" s="1" t="str">
        <f>IFERROR(__xludf.DUMMYFUNCTION("""COMPUTED_VALUE"""),"น.ส.บงกช ทำการดี")</f>
        <v>น.ส.บงกช ทำการดี</v>
      </c>
      <c r="J2286" s="3">
        <f>IFERROR(__xludf.DUMMYFUNCTION("""COMPUTED_VALUE"""),2455164.0)</f>
        <v>2455164</v>
      </c>
      <c r="K2286" s="3" t="str">
        <f>IFERROR(__xludf.DUMMYFUNCTION("""COMPUTED_VALUE"""),"นายกรวิทย์ เจริญพร")</f>
        <v>นายกรวิทย์ เจริญพร</v>
      </c>
      <c r="L2286" s="1" t="str">
        <f>IFERROR(__xludf.DUMMYFUNCTION("""COMPUTED_VALUE"""),"Hub08-East")</f>
        <v>Hub08-East</v>
      </c>
      <c r="M2286" s="1" t="str">
        <f>IFERROR(__xludf.DUMMYFUNCTION("""COMPUTED_VALUE"""),"092-605-9922")</f>
        <v>092-605-9922</v>
      </c>
      <c r="N2286" s="3">
        <f>IFERROR(__xludf.DUMMYFUNCTION("""COMPUTED_VALUE"""),11255.0)</f>
        <v>11255</v>
      </c>
      <c r="O2286" s="3" t="str">
        <f>IFERROR(__xludf.DUMMYFUNCTION("""COMPUTED_VALUE"""),"บ่อวิน")</f>
        <v>บ่อวิน</v>
      </c>
      <c r="P2286" s="4">
        <f>IFERROR(__xludf.DUMMYFUNCTION("""COMPUTED_VALUE"""),44516.0)</f>
        <v>44516</v>
      </c>
      <c r="Q2286" s="3" t="str">
        <f>IFERROR(__xludf.DUMMYFUNCTION("""COMPUTED_VALUE"""),"A")</f>
        <v>A</v>
      </c>
      <c r="R2286" s="3" t="str">
        <f>IFERROR(__xludf.DUMMYFUNCTION("""COMPUTED_VALUE"""),"Big Format")</f>
        <v>Big Format</v>
      </c>
      <c r="S2286" s="3" t="str">
        <f>IFERROR(__xludf.DUMMYFUNCTION("""COMPUTED_VALUE"""),"PURE")</f>
        <v>PURE</v>
      </c>
      <c r="T2286" s="3" t="str">
        <f>IFERROR(__xludf.DUMMYFUNCTION("""COMPUTED_VALUE"""),"#N/A")</f>
        <v>#N/A</v>
      </c>
      <c r="U2286" s="3" t="str">
        <f>IFERROR(__xludf.DUMMYFUNCTION("""COMPUTED_VALUE"""),"#N/A")</f>
        <v>#N/A</v>
      </c>
      <c r="V2286" s="3" t="str">
        <f>IFERROR(__xludf.DUMMYFUNCTION("""COMPUTED_VALUE"""),"N")</f>
        <v>N</v>
      </c>
      <c r="W2286" s="3">
        <f>IFERROR(__xludf.DUMMYFUNCTION("""COMPUTED_VALUE"""),411209.0)</f>
        <v>411209</v>
      </c>
      <c r="X2286" s="3" t="str">
        <f>IFERROR(__xludf.DUMMYFUNCTION("""COMPUTED_VALUE"""),"351 หมู่4 ตำบลมาบยางพร อำเภอปลวกแดง จังหวัดระยอง 21140")</f>
        <v>351 หมู่4 ตำบลมาบยางพร อำเภอปลวกแดง จังหวัดระยอง 21140</v>
      </c>
      <c r="Y2286" s="3"/>
      <c r="Z2286" s="3" t="str">
        <f>IFERROR(__xludf.DUMMYFUNCTION("""COMPUTED_VALUE"""),"มาบยางพร")</f>
        <v>มาบยางพร</v>
      </c>
      <c r="AA2286" s="3" t="str">
        <f>IFERROR(__xludf.DUMMYFUNCTION("""COMPUTED_VALUE"""),"ปลวดแดง")</f>
        <v>ปลวดแดง</v>
      </c>
      <c r="AB2286" s="3" t="str">
        <f>IFERROR(__xludf.DUMMYFUNCTION("""COMPUTED_VALUE"""),"ระยอง")</f>
        <v>ระยอง</v>
      </c>
      <c r="AC2286" s="3">
        <f>IFERROR(__xludf.DUMMYFUNCTION("""COMPUTED_VALUE"""),21140.0)</f>
        <v>21140</v>
      </c>
      <c r="AD2286" s="3">
        <f>IFERROR(__xludf.DUMMYFUNCTION("""COMPUTED_VALUE"""),13.02585155)</f>
        <v>13.02585155</v>
      </c>
      <c r="AE2286" s="3">
        <f>IFERROR(__xludf.DUMMYFUNCTION("""COMPUTED_VALUE"""),101.1087122)</f>
        <v>101.1087122</v>
      </c>
      <c r="AF2286" s="3" t="str">
        <f>IFERROR(__xludf.DUMMYFUNCTION("""COMPUTED_VALUE"""),"PURE บ่อวิน-41189")</f>
        <v>PURE บ่อวิน-41189</v>
      </c>
      <c r="AG2286" s="3" t="str">
        <f>IFERROR(__xludf.DUMMYFUNCTION("""COMPUTED_VALUE"""),"ตะวันออก")</f>
        <v>ตะวันออก</v>
      </c>
      <c r="AH2286" s="3" t="str">
        <f>IFERROR(__xludf.DUMMYFUNCTION("""COMPUTED_VALUE"""),"#N/A")</f>
        <v>#N/A</v>
      </c>
      <c r="AI2286" s="3" t="str">
        <f>IFERROR(__xludf.DUMMYFUNCTION("""COMPUTED_VALUE"""),"Out of warranty")</f>
        <v>Out of warranty</v>
      </c>
      <c r="AJ2286" s="3">
        <f>IFERROR(__xludf.DUMMYFUNCTION("""COMPUTED_VALUE"""),51.0)</f>
        <v>51</v>
      </c>
      <c r="AK2286" s="3"/>
      <c r="AL2286" s="3"/>
    </row>
    <row r="2287" ht="15.75" customHeight="1">
      <c r="A2287" s="1" t="str">
        <f>IFERROR(__xludf.DUMMYFUNCTION("""COMPUTED_VALUE"""),"41190")</f>
        <v>41190</v>
      </c>
      <c r="B2287" s="2">
        <f>IFERROR(__xludf.DUMMYFUNCTION("""COMPUTED_VALUE"""),41190.0)</f>
        <v>41190</v>
      </c>
      <c r="C2287" s="3" t="str">
        <f>IFERROR(__xludf.DUMMYFUNCTION("""COMPUTED_VALUE"""),"PURE นราธิวาส")</f>
        <v>PURE นราธิวาส</v>
      </c>
      <c r="D2287" s="3" t="str">
        <f>IFERROR(__xludf.DUMMYFUNCTION("""COMPUTED_VALUE"""),"BIGC NARATHIWAT PURE")</f>
        <v>BIGC NARATHIWAT PURE</v>
      </c>
      <c r="E2287" s="1" t="str">
        <f>IFERROR(__xludf.DUMMYFUNCTION("""COMPUTED_VALUE"""),"PURE")</f>
        <v>PURE</v>
      </c>
      <c r="F2287" s="1" t="str">
        <f>IFERROR(__xludf.DUMMYFUNCTION("""COMPUTED_VALUE"""),"291435")</f>
        <v>291435</v>
      </c>
      <c r="G2287" s="1" t="str">
        <f>IFERROR(__xludf.DUMMYFUNCTION("""COMPUTED_VALUE"""),"น.ส.สุกัญญา มณีไพโรจน์")</f>
        <v>น.ส.สุกัญญา มณีไพโรจน์</v>
      </c>
      <c r="H2287" s="1" t="str">
        <f>IFERROR(__xludf.DUMMYFUNCTION("""COMPUTED_VALUE"""),"291435")</f>
        <v>291435</v>
      </c>
      <c r="I2287" s="1" t="str">
        <f>IFERROR(__xludf.DUMMYFUNCTION("""COMPUTED_VALUE"""),"น.ส.สุกัญญา มณีไพโรจน์")</f>
        <v>น.ส.สุกัญญา มณีไพโรจน์</v>
      </c>
      <c r="J2287" s="3">
        <f>IFERROR(__xludf.DUMMYFUNCTION("""COMPUTED_VALUE"""),2454709.0)</f>
        <v>2454709</v>
      </c>
      <c r="K2287" s="3" t="str">
        <f>IFERROR(__xludf.DUMMYFUNCTION("""COMPUTED_VALUE"""),"นายประชา เกตุชาติ")</f>
        <v>นายประชา เกตุชาติ</v>
      </c>
      <c r="L2287" s="1" t="str">
        <f>IFERROR(__xludf.DUMMYFUNCTION("""COMPUTED_VALUE"""),"Hub05-South")</f>
        <v>Hub05-South</v>
      </c>
      <c r="M2287" s="1" t="str">
        <f>IFERROR(__xludf.DUMMYFUNCTION("""COMPUTED_VALUE"""),"0659291311")</f>
        <v>0659291311</v>
      </c>
      <c r="N2287" s="3">
        <f>IFERROR(__xludf.DUMMYFUNCTION("""COMPUTED_VALUE"""),11256.0)</f>
        <v>11256</v>
      </c>
      <c r="O2287" s="3" t="str">
        <f>IFERROR(__xludf.DUMMYFUNCTION("""COMPUTED_VALUE"""),"นราธิวาส")</f>
        <v>นราธิวาส</v>
      </c>
      <c r="P2287" s="4">
        <f>IFERROR(__xludf.DUMMYFUNCTION("""COMPUTED_VALUE"""),44483.0)</f>
        <v>44483</v>
      </c>
      <c r="Q2287" s="3" t="str">
        <f>IFERROR(__xludf.DUMMYFUNCTION("""COMPUTED_VALUE"""),"A")</f>
        <v>A</v>
      </c>
      <c r="R2287" s="3" t="str">
        <f>IFERROR(__xludf.DUMMYFUNCTION("""COMPUTED_VALUE"""),"Big Format")</f>
        <v>Big Format</v>
      </c>
      <c r="S2287" s="3" t="str">
        <f>IFERROR(__xludf.DUMMYFUNCTION("""COMPUTED_VALUE"""),"PURE")</f>
        <v>PURE</v>
      </c>
      <c r="T2287" s="3" t="str">
        <f>IFERROR(__xludf.DUMMYFUNCTION("""COMPUTED_VALUE"""),"#N/A")</f>
        <v>#N/A</v>
      </c>
      <c r="U2287" s="3" t="str">
        <f>IFERROR(__xludf.DUMMYFUNCTION("""COMPUTED_VALUE"""),"#N/A")</f>
        <v>#N/A</v>
      </c>
      <c r="V2287" s="3" t="str">
        <f>IFERROR(__xludf.DUMMYFUNCTION("""COMPUTED_VALUE"""),"N")</f>
        <v>N</v>
      </c>
      <c r="W2287" s="3">
        <f>IFERROR(__xludf.DUMMYFUNCTION("""COMPUTED_VALUE"""),411209.0)</f>
        <v>411209</v>
      </c>
      <c r="X2287" s="3" t="str">
        <f>IFERROR(__xludf.DUMMYFUNCTION("""COMPUTED_VALUE"""),"143/32 ถนนสุริยะประดิษฐ์ ตำบลบางนาค อำเภอเมืองนราธิวาส จังหวัดนราธิวาส 96000")</f>
        <v>143/32 ถนนสุริยะประดิษฐ์ ตำบลบางนาค อำเภอเมืองนราธิวาส จังหวัดนราธิวาส 96000</v>
      </c>
      <c r="Y2287" s="3" t="str">
        <f>IFERROR(__xludf.DUMMYFUNCTION("""COMPUTED_VALUE"""),"สุริยะประดิษฐ์")</f>
        <v>สุริยะประดิษฐ์</v>
      </c>
      <c r="Z2287" s="3" t="str">
        <f>IFERROR(__xludf.DUMMYFUNCTION("""COMPUTED_VALUE"""),"บางนาค")</f>
        <v>บางนาค</v>
      </c>
      <c r="AA2287" s="3" t="str">
        <f>IFERROR(__xludf.DUMMYFUNCTION("""COMPUTED_VALUE"""),"เมือง")</f>
        <v>เมือง</v>
      </c>
      <c r="AB2287" s="3" t="str">
        <f>IFERROR(__xludf.DUMMYFUNCTION("""COMPUTED_VALUE"""),"นราธิวาส")</f>
        <v>นราธิวาส</v>
      </c>
      <c r="AC2287" s="3">
        <f>IFERROR(__xludf.DUMMYFUNCTION("""COMPUTED_VALUE"""),96000.0)</f>
        <v>96000</v>
      </c>
      <c r="AD2287" s="3">
        <f>IFERROR(__xludf.DUMMYFUNCTION("""COMPUTED_VALUE"""),6.416614981)</f>
        <v>6.416614981</v>
      </c>
      <c r="AE2287" s="3">
        <f>IFERROR(__xludf.DUMMYFUNCTION("""COMPUTED_VALUE"""),101.8140632)</f>
        <v>101.8140632</v>
      </c>
      <c r="AF2287" s="3" t="str">
        <f>IFERROR(__xludf.DUMMYFUNCTION("""COMPUTED_VALUE"""),"PURE นราธิวาส-41190")</f>
        <v>PURE นราธิวาส-41190</v>
      </c>
      <c r="AG2287" s="3" t="str">
        <f>IFERROR(__xludf.DUMMYFUNCTION("""COMPUTED_VALUE"""),"ใต้")</f>
        <v>ใต้</v>
      </c>
      <c r="AH2287" s="3" t="str">
        <f>IFERROR(__xludf.DUMMYFUNCTION("""COMPUTED_VALUE"""),"#N/A")</f>
        <v>#N/A</v>
      </c>
      <c r="AI2287" s="3" t="str">
        <f>IFERROR(__xludf.DUMMYFUNCTION("""COMPUTED_VALUE"""),"Out of warranty")</f>
        <v>Out of warranty</v>
      </c>
      <c r="AJ2287" s="3">
        <f>IFERROR(__xludf.DUMMYFUNCTION("""COMPUTED_VALUE"""),52.0)</f>
        <v>52</v>
      </c>
      <c r="AK2287" s="3"/>
      <c r="AL2287" s="3"/>
    </row>
    <row r="2288" ht="15.75" customHeight="1">
      <c r="A2288" s="1" t="str">
        <f>IFERROR(__xludf.DUMMYFUNCTION("""COMPUTED_VALUE"""),"41191")</f>
        <v>41191</v>
      </c>
      <c r="B2288" s="2">
        <f>IFERROR(__xludf.DUMMYFUNCTION("""COMPUTED_VALUE"""),41191.0)</f>
        <v>41191</v>
      </c>
      <c r="C2288" s="3" t="str">
        <f>IFERROR(__xludf.DUMMYFUNCTION("""COMPUTED_VALUE"""),"PURE พันธุ์ทิพย์ งามวงศ์วาน")</f>
        <v>PURE พันธุ์ทิพย์ งามวงศ์วาน</v>
      </c>
      <c r="D2288" s="3" t="str">
        <f>IFERROR(__xludf.DUMMYFUNCTION("""COMPUTED_VALUE"""),"BIGC PANTIP NGAMWONGWAN PURE")</f>
        <v>BIGC PANTIP NGAMWONGWAN PURE</v>
      </c>
      <c r="E2288" s="1" t="str">
        <f>IFERROR(__xludf.DUMMYFUNCTION("""COMPUTED_VALUE"""),"PURE")</f>
        <v>PURE</v>
      </c>
      <c r="F2288" s="1" t="str">
        <f>IFERROR(__xludf.DUMMYFUNCTION("""COMPUTED_VALUE"""),"2082102")</f>
        <v>2082102</v>
      </c>
      <c r="G2288" s="1" t="str">
        <f>IFERROR(__xludf.DUMMYFUNCTION("""COMPUTED_VALUE"""),"น.ส.วัชรา มหาวันแจ่ม")</f>
        <v>น.ส.วัชรา มหาวันแจ่ม</v>
      </c>
      <c r="H2288" s="1" t="str">
        <f>IFERROR(__xludf.DUMMYFUNCTION("""COMPUTED_VALUE"""),"2082102")</f>
        <v>2082102</v>
      </c>
      <c r="I2288" s="1" t="str">
        <f>IFERROR(__xludf.DUMMYFUNCTION("""COMPUTED_VALUE"""),"น.ส.วัชรา มหาวันแจ่ม")</f>
        <v>น.ส.วัชรา มหาวันแจ่ม</v>
      </c>
      <c r="J2288" s="3">
        <f>IFERROR(__xludf.DUMMYFUNCTION("""COMPUTED_VALUE"""),2454701.0)</f>
        <v>2454701</v>
      </c>
      <c r="K2288" s="3" t="str">
        <f>IFERROR(__xludf.DUMMYFUNCTION("""COMPUTED_VALUE"""),"นายกานต์ ไชยแสงศรี")</f>
        <v>นายกานต์ ไชยแสงศรี</v>
      </c>
      <c r="L2288" s="1" t="str">
        <f>IFERROR(__xludf.DUMMYFUNCTION("""COMPUTED_VALUE"""),"Hub01-BKK 1")</f>
        <v>Hub01-BKK 1</v>
      </c>
      <c r="M2288" s="1" t="str">
        <f>IFERROR(__xludf.DUMMYFUNCTION("""COMPUTED_VALUE"""),"0909090652")</f>
        <v>0909090652</v>
      </c>
      <c r="N2288" s="3">
        <f>IFERROR(__xludf.DUMMYFUNCTION("""COMPUTED_VALUE"""),15066.0)</f>
        <v>15066</v>
      </c>
      <c r="O2288" s="3" t="str">
        <f>IFERROR(__xludf.DUMMYFUNCTION("""COMPUTED_VALUE"""),"พันธุ์ทิพย์ งามวงศ์วาน")</f>
        <v>พันธุ์ทิพย์ งามวงศ์วาน</v>
      </c>
      <c r="P2288" s="4">
        <f>IFERROR(__xludf.DUMMYFUNCTION("""COMPUTED_VALUE"""),44986.0)</f>
        <v>44986</v>
      </c>
      <c r="Q2288" s="3" t="str">
        <f>IFERROR(__xludf.DUMMYFUNCTION("""COMPUTED_VALUE"""),"A")</f>
        <v>A</v>
      </c>
      <c r="R2288" s="3" t="str">
        <f>IFERROR(__xludf.DUMMYFUNCTION("""COMPUTED_VALUE"""),"Big Format")</f>
        <v>Big Format</v>
      </c>
      <c r="S2288" s="3" t="str">
        <f>IFERROR(__xludf.DUMMYFUNCTION("""COMPUTED_VALUE"""),"PURE")</f>
        <v>PURE</v>
      </c>
      <c r="T2288" s="3" t="str">
        <f>IFERROR(__xludf.DUMMYFUNCTION("""COMPUTED_VALUE"""),"#N/A")</f>
        <v>#N/A</v>
      </c>
      <c r="U2288" s="3" t="str">
        <f>IFERROR(__xludf.DUMMYFUNCTION("""COMPUTED_VALUE"""),"#N/A")</f>
        <v>#N/A</v>
      </c>
      <c r="V2288" s="3" t="str">
        <f>IFERROR(__xludf.DUMMYFUNCTION("""COMPUTED_VALUE"""),"N")</f>
        <v>N</v>
      </c>
      <c r="W2288" s="3"/>
      <c r="X2288" s="3" t="str">
        <f>IFERROR(__xludf.DUMMYFUNCTION("""COMPUTED_VALUE"""),"ห้องเลขที่ 1006 ชั้น1 เลขที่ 217 ถนนงามวงศ์วาน ตำบลบางเขน อำเภอเมืองนนทบุรี จังหวัดนนทบุรี 11000")</f>
        <v>ห้องเลขที่ 1006 ชั้น1 เลขที่ 217 ถนนงามวงศ์วาน ตำบลบางเขน อำเภอเมืองนนทบุรี จังหวัดนนทบุรี 11000</v>
      </c>
      <c r="Y2288" s="3" t="str">
        <f>IFERROR(__xludf.DUMMYFUNCTION("""COMPUTED_VALUE"""),"งามวงศ์วาน")</f>
        <v>งามวงศ์วาน</v>
      </c>
      <c r="Z2288" s="3" t="str">
        <f>IFERROR(__xludf.DUMMYFUNCTION("""COMPUTED_VALUE"""),"บางเขน")</f>
        <v>บางเขน</v>
      </c>
      <c r="AA2288" s="3" t="str">
        <f>IFERROR(__xludf.DUMMYFUNCTION("""COMPUTED_VALUE"""),"เมืองนนทบุรี")</f>
        <v>เมืองนนทบุรี</v>
      </c>
      <c r="AB2288" s="3" t="str">
        <f>IFERROR(__xludf.DUMMYFUNCTION("""COMPUTED_VALUE"""),"นนทบุรี")</f>
        <v>นนทบุรี</v>
      </c>
      <c r="AC2288" s="3">
        <f>IFERROR(__xludf.DUMMYFUNCTION("""COMPUTED_VALUE"""),11000.0)</f>
        <v>11000</v>
      </c>
      <c r="AD2288" s="3">
        <f>IFERROR(__xludf.DUMMYFUNCTION("""COMPUTED_VALUE"""),13.8579128)</f>
        <v>13.8579128</v>
      </c>
      <c r="AE2288" s="3">
        <f>IFERROR(__xludf.DUMMYFUNCTION("""COMPUTED_VALUE"""),100.5369723)</f>
        <v>100.5369723</v>
      </c>
      <c r="AF2288" s="3" t="str">
        <f>IFERROR(__xludf.DUMMYFUNCTION("""COMPUTED_VALUE"""),"PURE พันธุ์ทิพย์ งามวงศ์วาน-41191")</f>
        <v>PURE พันธุ์ทิพย์ งามวงศ์วาน-41191</v>
      </c>
      <c r="AG2288" s="3" t="str">
        <f>IFERROR(__xludf.DUMMYFUNCTION("""COMPUTED_VALUE"""),"กลาง")</f>
        <v>กลาง</v>
      </c>
      <c r="AH2288" s="3" t="str">
        <f>IFERROR(__xludf.DUMMYFUNCTION("""COMPUTED_VALUE"""),"#N/A")</f>
        <v>#N/A</v>
      </c>
      <c r="AI2288" s="3" t="str">
        <f>IFERROR(__xludf.DUMMYFUNCTION("""COMPUTED_VALUE"""),"Out of warranty")</f>
        <v>Out of warranty</v>
      </c>
      <c r="AJ2288" s="3">
        <f>IFERROR(__xludf.DUMMYFUNCTION("""COMPUTED_VALUE"""),35.0)</f>
        <v>35</v>
      </c>
      <c r="AK2288" s="3"/>
      <c r="AL2288" s="3"/>
    </row>
    <row r="2289" ht="15.75" customHeight="1">
      <c r="A2289" s="1" t="str">
        <f>IFERROR(__xludf.DUMMYFUNCTION("""COMPUTED_VALUE"""),"41192")</f>
        <v>41192</v>
      </c>
      <c r="B2289" s="2">
        <f>IFERROR(__xludf.DUMMYFUNCTION("""COMPUTED_VALUE"""),41192.0)</f>
        <v>41192</v>
      </c>
      <c r="C2289" s="3" t="str">
        <f>IFERROR(__xludf.DUMMYFUNCTION("""COMPUTED_VALUE"""),"PURE สุไหงโก-ลก")</f>
        <v>PURE สุไหงโก-ลก</v>
      </c>
      <c r="D2289" s="3" t="str">
        <f>IFERROR(__xludf.DUMMYFUNCTION("""COMPUTED_VALUE"""),"BIGC SU-NGAI-KOLOK PURE")</f>
        <v>BIGC SU-NGAI-KOLOK PURE</v>
      </c>
      <c r="E2289" s="1" t="str">
        <f>IFERROR(__xludf.DUMMYFUNCTION("""COMPUTED_VALUE"""),"PURE")</f>
        <v>PURE</v>
      </c>
      <c r="F2289" s="1" t="str">
        <f>IFERROR(__xludf.DUMMYFUNCTION("""COMPUTED_VALUE"""),"291435")</f>
        <v>291435</v>
      </c>
      <c r="G2289" s="1" t="str">
        <f>IFERROR(__xludf.DUMMYFUNCTION("""COMPUTED_VALUE"""),"น.ส.สุกัญญา มณีไพโรจน์")</f>
        <v>น.ส.สุกัญญา มณีไพโรจน์</v>
      </c>
      <c r="H2289" s="1" t="str">
        <f>IFERROR(__xludf.DUMMYFUNCTION("""COMPUTED_VALUE"""),"291435")</f>
        <v>291435</v>
      </c>
      <c r="I2289" s="1" t="str">
        <f>IFERROR(__xludf.DUMMYFUNCTION("""COMPUTED_VALUE"""),"น.ส.สุกัญญา มณีไพโรจน์")</f>
        <v>น.ส.สุกัญญา มณีไพโรจน์</v>
      </c>
      <c r="J2289" s="3">
        <f>IFERROR(__xludf.DUMMYFUNCTION("""COMPUTED_VALUE"""),2454701.0)</f>
        <v>2454701</v>
      </c>
      <c r="K2289" s="3" t="str">
        <f>IFERROR(__xludf.DUMMYFUNCTION("""COMPUTED_VALUE"""),"นายกานต์ ไชยแสงศรี")</f>
        <v>นายกานต์ ไชยแสงศรี</v>
      </c>
      <c r="L2289" s="1" t="str">
        <f>IFERROR(__xludf.DUMMYFUNCTION("""COMPUTED_VALUE"""),"Hub01-BKK 1")</f>
        <v>Hub01-BKK 1</v>
      </c>
      <c r="M2289" s="1" t="str">
        <f>IFERROR(__xludf.DUMMYFUNCTION("""COMPUTED_VALUE"""),"0909090652")</f>
        <v>0909090652</v>
      </c>
      <c r="N2289" s="3">
        <f>IFERROR(__xludf.DUMMYFUNCTION("""COMPUTED_VALUE"""),11101.0)</f>
        <v>11101</v>
      </c>
      <c r="O2289" s="3" t="str">
        <f>IFERROR(__xludf.DUMMYFUNCTION("""COMPUTED_VALUE"""),"วงศ์สว่าง")</f>
        <v>วงศ์สว่าง</v>
      </c>
      <c r="P2289" s="4">
        <f>IFERROR(__xludf.DUMMYFUNCTION("""COMPUTED_VALUE"""),45138.0)</f>
        <v>45138</v>
      </c>
      <c r="Q2289" s="3" t="str">
        <f>IFERROR(__xludf.DUMMYFUNCTION("""COMPUTED_VALUE"""),"A")</f>
        <v>A</v>
      </c>
      <c r="R2289" s="3" t="str">
        <f>IFERROR(__xludf.DUMMYFUNCTION("""COMPUTED_VALUE"""),"Big Format")</f>
        <v>Big Format</v>
      </c>
      <c r="S2289" s="3" t="str">
        <f>IFERROR(__xludf.DUMMYFUNCTION("""COMPUTED_VALUE"""),"PURE")</f>
        <v>PURE</v>
      </c>
      <c r="T2289" s="3" t="str">
        <f>IFERROR(__xludf.DUMMYFUNCTION("""COMPUTED_VALUE"""),"#N/A")</f>
        <v>#N/A</v>
      </c>
      <c r="U2289" s="3" t="str">
        <f>IFERROR(__xludf.DUMMYFUNCTION("""COMPUTED_VALUE"""),"#N/A")</f>
        <v>#N/A</v>
      </c>
      <c r="V2289" s="3" t="str">
        <f>IFERROR(__xludf.DUMMYFUNCTION("""COMPUTED_VALUE"""),"N")</f>
        <v>N</v>
      </c>
      <c r="W2289" s="3">
        <f>IFERROR(__xludf.DUMMYFUNCTION("""COMPUTED_VALUE"""),411214.0)</f>
        <v>411214</v>
      </c>
      <c r="X2289" s="3" t="str">
        <f>IFERROR(__xludf.DUMMYFUNCTION("""COMPUTED_VALUE"""),"867 ถนนประชาวิวัฒน์ ตำบลสุไหงโก-ลก อำเภอสุไหงโก-ลก จังหวัดนราธิวาส 96120")</f>
        <v>867 ถนนประชาวิวัฒน์ ตำบลสุไหงโก-ลก อำเภอสุไหงโก-ลก จังหวัดนราธิวาส 96120</v>
      </c>
      <c r="Y2289" s="3" t="str">
        <f>IFERROR(__xludf.DUMMYFUNCTION("""COMPUTED_VALUE"""),"ประชาวิวัฒน์")</f>
        <v>ประชาวิวัฒน์</v>
      </c>
      <c r="Z2289" s="3" t="str">
        <f>IFERROR(__xludf.DUMMYFUNCTION("""COMPUTED_VALUE"""),"สุไหงโก-ลก")</f>
        <v>สุไหงโก-ลก</v>
      </c>
      <c r="AA2289" s="3" t="str">
        <f>IFERROR(__xludf.DUMMYFUNCTION("""COMPUTED_VALUE"""),"สุไหงโก-ลก")</f>
        <v>สุไหงโก-ลก</v>
      </c>
      <c r="AB2289" s="3" t="str">
        <f>IFERROR(__xludf.DUMMYFUNCTION("""COMPUTED_VALUE"""),"นราธิวาส")</f>
        <v>นราธิวาส</v>
      </c>
      <c r="AC2289" s="3">
        <f>IFERROR(__xludf.DUMMYFUNCTION("""COMPUTED_VALUE"""),96120.0)</f>
        <v>96120</v>
      </c>
      <c r="AD2289" s="3">
        <f>IFERROR(__xludf.DUMMYFUNCTION("""COMPUTED_VALUE"""),6.020109357)</f>
        <v>6.020109357</v>
      </c>
      <c r="AE2289" s="3">
        <f>IFERROR(__xludf.DUMMYFUNCTION("""COMPUTED_VALUE"""),101.9414047)</f>
        <v>101.9414047</v>
      </c>
      <c r="AF2289" s="3" t="str">
        <f>IFERROR(__xludf.DUMMYFUNCTION("""COMPUTED_VALUE"""),"PURE สุไหงโก-ลก-41192")</f>
        <v>PURE สุไหงโก-ลก-41192</v>
      </c>
      <c r="AG2289" s="3" t="str">
        <f>IFERROR(__xludf.DUMMYFUNCTION("""COMPUTED_VALUE"""),"ใต้")</f>
        <v>ใต้</v>
      </c>
      <c r="AH2289" s="3" t="str">
        <f>IFERROR(__xludf.DUMMYFUNCTION("""COMPUTED_VALUE"""),"#N/A")</f>
        <v>#N/A</v>
      </c>
      <c r="AI2289" s="3" t="str">
        <f>IFERROR(__xludf.DUMMYFUNCTION("""COMPUTED_VALUE"""),"Out of warranty")</f>
        <v>Out of warranty</v>
      </c>
      <c r="AJ2289" s="3">
        <f>IFERROR(__xludf.DUMMYFUNCTION("""COMPUTED_VALUE"""),30.0)</f>
        <v>30</v>
      </c>
      <c r="AK2289" s="3"/>
      <c r="AL2289" s="3"/>
    </row>
    <row r="2290" ht="15.75" customHeight="1">
      <c r="A2290" s="1" t="str">
        <f>IFERROR(__xludf.DUMMYFUNCTION("""COMPUTED_VALUE"""),"41193")</f>
        <v>41193</v>
      </c>
      <c r="B2290" s="2">
        <f>IFERROR(__xludf.DUMMYFUNCTION("""COMPUTED_VALUE"""),41193.0)</f>
        <v>41193</v>
      </c>
      <c r="C2290" s="3" t="str">
        <f>IFERROR(__xludf.DUMMYFUNCTION("""COMPUTED_VALUE"""),"PURE ไฮเปอร์ สระบุรี")</f>
        <v>PURE ไฮเปอร์ สระบุรี</v>
      </c>
      <c r="D2290" s="3" t="str">
        <f>IFERROR(__xludf.DUMMYFUNCTION("""COMPUTED_VALUE"""),"BIGC HYPER SARABURI PURE")</f>
        <v>BIGC HYPER SARABURI PURE</v>
      </c>
      <c r="E2290" s="1" t="str">
        <f>IFERROR(__xludf.DUMMYFUNCTION("""COMPUTED_VALUE"""),"PURE")</f>
        <v>PURE</v>
      </c>
      <c r="F2290" s="1" t="str">
        <f>IFERROR(__xludf.DUMMYFUNCTION("""COMPUTED_VALUE"""),"2082102")</f>
        <v>2082102</v>
      </c>
      <c r="G2290" s="1" t="str">
        <f>IFERROR(__xludf.DUMMYFUNCTION("""COMPUTED_VALUE"""),"น.ส.วัชรา มหาวันแจ่ม")</f>
        <v>น.ส.วัชรา มหาวันแจ่ม</v>
      </c>
      <c r="H2290" s="1" t="str">
        <f>IFERROR(__xludf.DUMMYFUNCTION("""COMPUTED_VALUE"""),"2082102")</f>
        <v>2082102</v>
      </c>
      <c r="I2290" s="1" t="str">
        <f>IFERROR(__xludf.DUMMYFUNCTION("""COMPUTED_VALUE"""),"น.ส.วัชรา มหาวันแจ่ม")</f>
        <v>น.ส.วัชรา มหาวันแจ่ม</v>
      </c>
      <c r="J2290" s="3">
        <f>IFERROR(__xludf.DUMMYFUNCTION("""COMPUTED_VALUE"""),2455179.0)</f>
        <v>2455179</v>
      </c>
      <c r="K2290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2290" s="1" t="str">
        <f>IFERROR(__xludf.DUMMYFUNCTION("""COMPUTED_VALUE"""),"Hub06-C&amp;W")</f>
        <v>Hub06-C&amp;W</v>
      </c>
      <c r="M2290" s="1" t="str">
        <f>IFERROR(__xludf.DUMMYFUNCTION("""COMPUTED_VALUE"""),"090-993-6896")</f>
        <v>090-993-6896</v>
      </c>
      <c r="N2290" s="3">
        <f>IFERROR(__xludf.DUMMYFUNCTION("""COMPUTED_VALUE"""),11258.0)</f>
        <v>11258</v>
      </c>
      <c r="O2290" s="3" t="str">
        <f>IFERROR(__xludf.DUMMYFUNCTION("""COMPUTED_VALUE"""),"ไฮเปอร์ สระบุรี")</f>
        <v>ไฮเปอร์ สระบุรี</v>
      </c>
      <c r="P2290" s="4">
        <f>IFERROR(__xludf.DUMMYFUNCTION("""COMPUTED_VALUE"""),45230.0)</f>
        <v>45230</v>
      </c>
      <c r="Q2290" s="3" t="str">
        <f>IFERROR(__xludf.DUMMYFUNCTION("""COMPUTED_VALUE"""),"A")</f>
        <v>A</v>
      </c>
      <c r="R2290" s="3" t="str">
        <f>IFERROR(__xludf.DUMMYFUNCTION("""COMPUTED_VALUE"""),"Big Format")</f>
        <v>Big Format</v>
      </c>
      <c r="S2290" s="3" t="str">
        <f>IFERROR(__xludf.DUMMYFUNCTION("""COMPUTED_VALUE"""),"PURE")</f>
        <v>PURE</v>
      </c>
      <c r="T2290" s="3" t="str">
        <f>IFERROR(__xludf.DUMMYFUNCTION("""COMPUTED_VALUE"""),"#N/A")</f>
        <v>#N/A</v>
      </c>
      <c r="U2290" s="3" t="str">
        <f>IFERROR(__xludf.DUMMYFUNCTION("""COMPUTED_VALUE"""),"#N/A")</f>
        <v>#N/A</v>
      </c>
      <c r="V2290" s="3" t="str">
        <f>IFERROR(__xludf.DUMMYFUNCTION("""COMPUTED_VALUE"""),"N")</f>
        <v>N</v>
      </c>
      <c r="W2290" s="3">
        <f>IFERROR(__xludf.DUMMYFUNCTION("""COMPUTED_VALUE"""),411217.0)</f>
        <v>411217</v>
      </c>
      <c r="X2290" s="3" t="str">
        <f>IFERROR(__xludf.DUMMYFUNCTION("""COMPUTED_VALUE"""),"510/53 ถนนพหลโยธิน ตำบลปากเพรียว อำเภอเมืองสระบุรี จังหวัดสระบุรี 18000")</f>
        <v>510/53 ถนนพหลโยธิน ตำบลปากเพรียว อำเภอเมืองสระบุรี จังหวัดสระบุรี 18000</v>
      </c>
      <c r="Y2290" s="3" t="str">
        <f>IFERROR(__xludf.DUMMYFUNCTION("""COMPUTED_VALUE"""),"พหลโยธิน")</f>
        <v>พหลโยธิน</v>
      </c>
      <c r="Z2290" s="3" t="str">
        <f>IFERROR(__xludf.DUMMYFUNCTION("""COMPUTED_VALUE"""),"ปากเพรียว")</f>
        <v>ปากเพรียว</v>
      </c>
      <c r="AA2290" s="3" t="str">
        <f>IFERROR(__xludf.DUMMYFUNCTION("""COMPUTED_VALUE"""),"เมืองสระบุรี")</f>
        <v>เมืองสระบุรี</v>
      </c>
      <c r="AB2290" s="3" t="str">
        <f>IFERROR(__xludf.DUMMYFUNCTION("""COMPUTED_VALUE"""),"สระบุรี")</f>
        <v>สระบุรี</v>
      </c>
      <c r="AC2290" s="3">
        <f>IFERROR(__xludf.DUMMYFUNCTION("""COMPUTED_VALUE"""),18000.0)</f>
        <v>18000</v>
      </c>
      <c r="AD2290" s="3">
        <f>IFERROR(__xludf.DUMMYFUNCTION("""COMPUTED_VALUE"""),14.54014579)</f>
        <v>14.54014579</v>
      </c>
      <c r="AE2290" s="3">
        <f>IFERROR(__xludf.DUMMYFUNCTION("""COMPUTED_VALUE"""),100.9110361)</f>
        <v>100.9110361</v>
      </c>
      <c r="AF2290" s="3" t="str">
        <f>IFERROR(__xludf.DUMMYFUNCTION("""COMPUTED_VALUE"""),"PURE ไฮเปอร์ สระบุรี-41193")</f>
        <v>PURE ไฮเปอร์ สระบุรี-41193</v>
      </c>
      <c r="AG2290" s="3" t="str">
        <f>IFERROR(__xludf.DUMMYFUNCTION("""COMPUTED_VALUE"""),"กลาง")</f>
        <v>กลาง</v>
      </c>
      <c r="AH2290" s="3" t="str">
        <f>IFERROR(__xludf.DUMMYFUNCTION("""COMPUTED_VALUE"""),"#N/A")</f>
        <v>#N/A</v>
      </c>
      <c r="AI2290" s="3" t="str">
        <f>IFERROR(__xludf.DUMMYFUNCTION("""COMPUTED_VALUE"""),"Out of warranty")</f>
        <v>Out of warranty</v>
      </c>
      <c r="AJ2290" s="3">
        <f>IFERROR(__xludf.DUMMYFUNCTION("""COMPUTED_VALUE"""),27.0)</f>
        <v>27</v>
      </c>
      <c r="AK2290" s="3"/>
      <c r="AL2290" s="3"/>
    </row>
    <row r="2291" ht="15.75" customHeight="1">
      <c r="A2291" s="1" t="str">
        <f>IFERROR(__xludf.DUMMYFUNCTION("""COMPUTED_VALUE"""),"41194")</f>
        <v>41194</v>
      </c>
      <c r="B2291" s="2">
        <f>IFERROR(__xludf.DUMMYFUNCTION("""COMPUTED_VALUE"""),41194.0)</f>
        <v>41194</v>
      </c>
      <c r="C2291" s="3" t="str">
        <f>IFERROR(__xludf.DUMMYFUNCTION("""COMPUTED_VALUE"""),"PURE รัชดาภิเษก 2")</f>
        <v>PURE รัชดาภิเษก 2</v>
      </c>
      <c r="D2291" s="3" t="str">
        <f>IFERROR(__xludf.DUMMYFUNCTION("""COMPUTED_VALUE"""),"BIGC RATCHADAPISEK PURE2")</f>
        <v>BIGC RATCHADAPISEK PURE2</v>
      </c>
      <c r="E2291" s="1" t="str">
        <f>IFERROR(__xludf.DUMMYFUNCTION("""COMPUTED_VALUE"""),"PURE")</f>
        <v>PURE</v>
      </c>
      <c r="F2291" s="1" t="str">
        <f>IFERROR(__xludf.DUMMYFUNCTION("""COMPUTED_VALUE"""),"211291")</f>
        <v>211291</v>
      </c>
      <c r="G2291" s="1" t="str">
        <f>IFERROR(__xludf.DUMMYFUNCTION("""COMPUTED_VALUE"""),"น.ส.ปนัดดา มากระจันทน์")</f>
        <v>น.ส.ปนัดดา มากระจันทน์</v>
      </c>
      <c r="H2291" s="1" t="str">
        <f>IFERROR(__xludf.DUMMYFUNCTION("""COMPUTED_VALUE"""),"211291")</f>
        <v>211291</v>
      </c>
      <c r="I2291" s="1" t="str">
        <f>IFERROR(__xludf.DUMMYFUNCTION("""COMPUTED_VALUE"""),"น.ส.ปนัดดา มากระจันทน์")</f>
        <v>น.ส.ปนัดดา มากระจันทน์</v>
      </c>
      <c r="J2291" s="3">
        <f>IFERROR(__xludf.DUMMYFUNCTION("""COMPUTED_VALUE"""),2408546.0)</f>
        <v>2408546</v>
      </c>
      <c r="K2291" s="3" t="str">
        <f>IFERROR(__xludf.DUMMYFUNCTION("""COMPUTED_VALUE"""),"นายเกษมศิษฐ์ ฮดบุญเรือง")</f>
        <v>นายเกษมศิษฐ์ ฮดบุญเรือง</v>
      </c>
      <c r="L2291" s="1" t="str">
        <f>IFERROR(__xludf.DUMMYFUNCTION("""COMPUTED_VALUE"""),"Hub02-BKK 2")</f>
        <v>Hub02-BKK 2</v>
      </c>
      <c r="M2291" s="1" t="str">
        <f>IFERROR(__xludf.DUMMYFUNCTION("""COMPUTED_VALUE"""),"0988580755")</f>
        <v>0988580755</v>
      </c>
      <c r="N2291" s="3">
        <f>IFERROR(__xludf.DUMMYFUNCTION("""COMPUTED_VALUE"""),11191.0)</f>
        <v>11191</v>
      </c>
      <c r="O2291" s="3" t="str">
        <f>IFERROR(__xludf.DUMMYFUNCTION("""COMPUTED_VALUE"""),"รัชดาภิเษก")</f>
        <v>รัชดาภิเษก</v>
      </c>
      <c r="P2291" s="4">
        <f>IFERROR(__xludf.DUMMYFUNCTION("""COMPUTED_VALUE"""),45275.0)</f>
        <v>45275</v>
      </c>
      <c r="Q2291" s="3" t="str">
        <f>IFERROR(__xludf.DUMMYFUNCTION("""COMPUTED_VALUE"""),"A")</f>
        <v>A</v>
      </c>
      <c r="R2291" s="3" t="str">
        <f>IFERROR(__xludf.DUMMYFUNCTION("""COMPUTED_VALUE"""),"Big Format")</f>
        <v>Big Format</v>
      </c>
      <c r="S2291" s="3" t="str">
        <f>IFERROR(__xludf.DUMMYFUNCTION("""COMPUTED_VALUE"""),"PURE")</f>
        <v>PURE</v>
      </c>
      <c r="T2291" s="3" t="str">
        <f>IFERROR(__xludf.DUMMYFUNCTION("""COMPUTED_VALUE"""),"#N/A")</f>
        <v>#N/A</v>
      </c>
      <c r="U2291" s="3" t="str">
        <f>IFERROR(__xludf.DUMMYFUNCTION("""COMPUTED_VALUE"""),"#N/A")</f>
        <v>#N/A</v>
      </c>
      <c r="V2291" s="3" t="str">
        <f>IFERROR(__xludf.DUMMYFUNCTION("""COMPUTED_VALUE"""),"N")</f>
        <v>N</v>
      </c>
      <c r="W2291" s="3">
        <f>IFERROR(__xludf.DUMMYFUNCTION("""COMPUTED_VALUE"""),411218.0)</f>
        <v>411218</v>
      </c>
      <c r="X2291" s="3" t="str">
        <f>IFERROR(__xludf.DUMMYFUNCTION("""COMPUTED_VALUE"""),"125 ถนนรัชดาภิเษก แขวงดินแดง เขตดินแดง กรุงเทพฯ 10400")</f>
        <v>125 ถนนรัชดาภิเษก แขวงดินแดง เขตดินแดง กรุงเทพฯ 10400</v>
      </c>
      <c r="Y2291" s="3" t="str">
        <f>IFERROR(__xludf.DUMMYFUNCTION("""COMPUTED_VALUE"""),"รัชดาภิเษก")</f>
        <v>รัชดาภิเษก</v>
      </c>
      <c r="Z2291" s="3" t="str">
        <f>IFERROR(__xludf.DUMMYFUNCTION("""COMPUTED_VALUE"""),"ดินแดง")</f>
        <v>ดินแดง</v>
      </c>
      <c r="AA2291" s="3" t="str">
        <f>IFERROR(__xludf.DUMMYFUNCTION("""COMPUTED_VALUE"""),"ดินแดง")</f>
        <v>ดินแดง</v>
      </c>
      <c r="AB2291" s="3" t="str">
        <f>IFERROR(__xludf.DUMMYFUNCTION("""COMPUTED_VALUE"""),"กรุงเทพมหานคร")</f>
        <v>กรุงเทพมหานคร</v>
      </c>
      <c r="AC2291" s="3">
        <f>IFERROR(__xludf.DUMMYFUNCTION("""COMPUTED_VALUE"""),10400.0)</f>
        <v>10400</v>
      </c>
      <c r="AD2291" s="3">
        <f>IFERROR(__xludf.DUMMYFUNCTION("""COMPUTED_VALUE"""),13.76927621)</f>
        <v>13.76927621</v>
      </c>
      <c r="AE2291" s="3">
        <f>IFERROR(__xludf.DUMMYFUNCTION("""COMPUTED_VALUE"""),100.5712917)</f>
        <v>100.5712917</v>
      </c>
      <c r="AF2291" s="3" t="str">
        <f>IFERROR(__xludf.DUMMYFUNCTION("""COMPUTED_VALUE"""),"PURE รัชดาภิเษก 2-41194")</f>
        <v>PURE รัชดาภิเษก 2-41194</v>
      </c>
      <c r="AG2291" s="3" t="str">
        <f>IFERROR(__xludf.DUMMYFUNCTION("""COMPUTED_VALUE"""),"กลาง")</f>
        <v>กลาง</v>
      </c>
      <c r="AH2291" s="3" t="str">
        <f>IFERROR(__xludf.DUMMYFUNCTION("""COMPUTED_VALUE"""),"#N/A")</f>
        <v>#N/A</v>
      </c>
      <c r="AI2291" s="3" t="str">
        <f>IFERROR(__xludf.DUMMYFUNCTION("""COMPUTED_VALUE"""),"Out of warranty")</f>
        <v>Out of warranty</v>
      </c>
      <c r="AJ2291" s="3">
        <f>IFERROR(__xludf.DUMMYFUNCTION("""COMPUTED_VALUE"""),26.0)</f>
        <v>26</v>
      </c>
      <c r="AK2291" s="3"/>
      <c r="AL2291" s="3"/>
    </row>
    <row r="2292" ht="15.75" customHeight="1">
      <c r="A2292" s="1" t="str">
        <f>IFERROR(__xludf.DUMMYFUNCTION("""COMPUTED_VALUE"""),"41195")</f>
        <v>41195</v>
      </c>
      <c r="B2292" s="2">
        <f>IFERROR(__xludf.DUMMYFUNCTION("""COMPUTED_VALUE"""),41195.0)</f>
        <v>41195</v>
      </c>
      <c r="C2292" s="3" t="str">
        <f>IFERROR(__xludf.DUMMYFUNCTION("""COMPUTED_VALUE"""),"PURE รังสิตคลอง3")</f>
        <v>PURE รังสิตคลอง3</v>
      </c>
      <c r="D2292" s="3" t="str">
        <f>IFERROR(__xludf.DUMMYFUNCTION("""COMPUTED_VALUE"""),"BIGC RANGSITKLONG3 PURE")</f>
        <v>BIGC RANGSITKLONG3 PURE</v>
      </c>
      <c r="E2292" s="1" t="str">
        <f>IFERROR(__xludf.DUMMYFUNCTION("""COMPUTED_VALUE"""),"PURE")</f>
        <v>PURE</v>
      </c>
      <c r="F2292" s="1" t="str">
        <f>IFERROR(__xludf.DUMMYFUNCTION("""COMPUTED_VALUE"""),"2010612")</f>
        <v>2010612</v>
      </c>
      <c r="G2292" s="1" t="str">
        <f>IFERROR(__xludf.DUMMYFUNCTION("""COMPUTED_VALUE"""),"น.ส.วรรณพร เกตุเลิศประเสริฐ")</f>
        <v>น.ส.วรรณพร เกตุเลิศประเสริฐ</v>
      </c>
      <c r="H2292" s="1" t="str">
        <f>IFERROR(__xludf.DUMMYFUNCTION("""COMPUTED_VALUE"""),"2010612")</f>
        <v>2010612</v>
      </c>
      <c r="I2292" s="1" t="str">
        <f>IFERROR(__xludf.DUMMYFUNCTION("""COMPUTED_VALUE"""),"น.ส.วรรณพร เกตุเลิศประเสริฐ")</f>
        <v>น.ส.วรรณพร เกตุเลิศประเสริฐ</v>
      </c>
      <c r="J2292" s="3">
        <f>IFERROR(__xludf.DUMMYFUNCTION("""COMPUTED_VALUE"""),2454813.0)</f>
        <v>2454813</v>
      </c>
      <c r="K2292" s="3" t="str">
        <f>IFERROR(__xludf.DUMMYFUNCTION("""COMPUTED_VALUE"""),"นายอนุรักษ์ จั่นเที่ยง")</f>
        <v>นายอนุรักษ์ จั่นเที่ยง</v>
      </c>
      <c r="L2292" s="1" t="str">
        <f>IFERROR(__xludf.DUMMYFUNCTION("""COMPUTED_VALUE"""),"Hub04-BKK 4")</f>
        <v>Hub04-BKK 4</v>
      </c>
      <c r="M2292" s="1" t="str">
        <f>IFERROR(__xludf.DUMMYFUNCTION("""COMPUTED_VALUE"""),"0991964531")</f>
        <v>0991964531</v>
      </c>
      <c r="N2292" s="3">
        <f>IFERROR(__xludf.DUMMYFUNCTION("""COMPUTED_VALUE"""),11198.0)</f>
        <v>11198</v>
      </c>
      <c r="O2292" s="3" t="str">
        <f>IFERROR(__xludf.DUMMYFUNCTION("""COMPUTED_VALUE"""),"คลอง3")</f>
        <v>คลอง3</v>
      </c>
      <c r="P2292" s="4">
        <f>IFERROR(__xludf.DUMMYFUNCTION("""COMPUTED_VALUE"""),45435.0)</f>
        <v>45435</v>
      </c>
      <c r="Q2292" s="3" t="str">
        <f>IFERROR(__xludf.DUMMYFUNCTION("""COMPUTED_VALUE"""),"A")</f>
        <v>A</v>
      </c>
      <c r="R2292" s="3" t="str">
        <f>IFERROR(__xludf.DUMMYFUNCTION("""COMPUTED_VALUE"""),"Big Format")</f>
        <v>Big Format</v>
      </c>
      <c r="S2292" s="3" t="str">
        <f>IFERROR(__xludf.DUMMYFUNCTION("""COMPUTED_VALUE"""),"PURE")</f>
        <v>PURE</v>
      </c>
      <c r="T2292" s="3" t="str">
        <f>IFERROR(__xludf.DUMMYFUNCTION("""COMPUTED_VALUE"""),"#N/A")</f>
        <v>#N/A</v>
      </c>
      <c r="U2292" s="3" t="str">
        <f>IFERROR(__xludf.DUMMYFUNCTION("""COMPUTED_VALUE"""),"#N/A")</f>
        <v>#N/A</v>
      </c>
      <c r="V2292" s="3" t="str">
        <f>IFERROR(__xludf.DUMMYFUNCTION("""COMPUTED_VALUE"""),"N")</f>
        <v>N</v>
      </c>
      <c r="W2292" s="3">
        <f>IFERROR(__xludf.DUMMYFUNCTION("""COMPUTED_VALUE"""),411219.0)</f>
        <v>411219</v>
      </c>
      <c r="X2292" s="3" t="str">
        <f>IFERROR(__xludf.DUMMYFUNCTION("""COMPUTED_VALUE"""),"99 หมู่3 ตำบลคลองสาม อำเภอคลองหลวง จังหวัดปทุมธานี 12120")</f>
        <v>99 หมู่3 ตำบลคลองสาม อำเภอคลองหลวง จังหวัดปทุมธานี 12120</v>
      </c>
      <c r="Y2292" s="3"/>
      <c r="Z2292" s="3" t="str">
        <f>IFERROR(__xludf.DUMMYFUNCTION("""COMPUTED_VALUE"""),"คลองสาม")</f>
        <v>คลองสาม</v>
      </c>
      <c r="AA2292" s="3" t="str">
        <f>IFERROR(__xludf.DUMMYFUNCTION("""COMPUTED_VALUE"""),"คลองหลวง")</f>
        <v>คลองหลวง</v>
      </c>
      <c r="AB2292" s="3" t="str">
        <f>IFERROR(__xludf.DUMMYFUNCTION("""COMPUTED_VALUE"""),"ปทุมธานี")</f>
        <v>ปทุมธานี</v>
      </c>
      <c r="AC2292" s="3">
        <f>IFERROR(__xludf.DUMMYFUNCTION("""COMPUTED_VALUE"""),12120.0)</f>
        <v>12120</v>
      </c>
      <c r="AD2292" s="3">
        <f>IFERROR(__xludf.DUMMYFUNCTION("""COMPUTED_VALUE"""),14.03264795)</f>
        <v>14.03264795</v>
      </c>
      <c r="AE2292" s="3">
        <f>IFERROR(__xludf.DUMMYFUNCTION("""COMPUTED_VALUE"""),100.6627464)</f>
        <v>100.6627464</v>
      </c>
      <c r="AF2292" s="3" t="str">
        <f>IFERROR(__xludf.DUMMYFUNCTION("""COMPUTED_VALUE"""),"PURE รังสิตคลอง3-41195")</f>
        <v>PURE รังสิตคลอง3-41195</v>
      </c>
      <c r="AG2292" s="3" t="str">
        <f>IFERROR(__xludf.DUMMYFUNCTION("""COMPUTED_VALUE"""),"กลาง")</f>
        <v>กลาง</v>
      </c>
      <c r="AH2292" s="3" t="str">
        <f>IFERROR(__xludf.DUMMYFUNCTION("""COMPUTED_VALUE"""),"#N/A")</f>
        <v>#N/A</v>
      </c>
      <c r="AI2292" s="3" t="str">
        <f>IFERROR(__xludf.DUMMYFUNCTION("""COMPUTED_VALUE"""),"Out of warranty")</f>
        <v>Out of warranty</v>
      </c>
      <c r="AJ2292" s="3">
        <f>IFERROR(__xludf.DUMMYFUNCTION("""COMPUTED_VALUE"""),20.0)</f>
        <v>20</v>
      </c>
      <c r="AK2292" s="3"/>
      <c r="AL2292" s="3"/>
    </row>
    <row r="2293" ht="15.75" customHeight="1">
      <c r="A2293" s="1" t="str">
        <f>IFERROR(__xludf.DUMMYFUNCTION("""COMPUTED_VALUE"""),"41196")</f>
        <v>41196</v>
      </c>
      <c r="B2293" s="2">
        <f>IFERROR(__xludf.DUMMYFUNCTION("""COMPUTED_VALUE"""),41196.0)</f>
        <v>41196</v>
      </c>
      <c r="C2293" s="3" t="str">
        <f>IFERROR(__xludf.DUMMYFUNCTION("""COMPUTED_VALUE"""),"PURE ยะลา")</f>
        <v>PURE ยะลา</v>
      </c>
      <c r="D2293" s="3" t="str">
        <f>IFERROR(__xludf.DUMMYFUNCTION("""COMPUTED_VALUE"""),"BIGC YALA PURE")</f>
        <v>BIGC YALA PURE</v>
      </c>
      <c r="E2293" s="1" t="str">
        <f>IFERROR(__xludf.DUMMYFUNCTION("""COMPUTED_VALUE"""),"PURE")</f>
        <v>PURE</v>
      </c>
      <c r="F2293" s="1" t="str">
        <f>IFERROR(__xludf.DUMMYFUNCTION("""COMPUTED_VALUE"""),"291435")</f>
        <v>291435</v>
      </c>
      <c r="G2293" s="1" t="str">
        <f>IFERROR(__xludf.DUMMYFUNCTION("""COMPUTED_VALUE"""),"น.ส.สุกัญญา มณีไพโรจน์")</f>
        <v>น.ส.สุกัญญา มณีไพโรจน์</v>
      </c>
      <c r="H2293" s="1" t="str">
        <f>IFERROR(__xludf.DUMMYFUNCTION("""COMPUTED_VALUE"""),"291435")</f>
        <v>291435</v>
      </c>
      <c r="I2293" s="1" t="str">
        <f>IFERROR(__xludf.DUMMYFUNCTION("""COMPUTED_VALUE"""),"น.ส.สุกัญญา มณีไพโรจน์")</f>
        <v>น.ส.สุกัญญา มณีไพโรจน์</v>
      </c>
      <c r="J2293" s="3">
        <f>IFERROR(__xludf.DUMMYFUNCTION("""COMPUTED_VALUE"""),2454709.0)</f>
        <v>2454709</v>
      </c>
      <c r="K2293" s="3" t="str">
        <f>IFERROR(__xludf.DUMMYFUNCTION("""COMPUTED_VALUE"""),"นายประชา เกตุชาติ")</f>
        <v>นายประชา เกตุชาติ</v>
      </c>
      <c r="L2293" s="1" t="str">
        <f>IFERROR(__xludf.DUMMYFUNCTION("""COMPUTED_VALUE"""),"Hub05-South")</f>
        <v>Hub05-South</v>
      </c>
      <c r="M2293" s="1" t="str">
        <f>IFERROR(__xludf.DUMMYFUNCTION("""COMPUTED_VALUE"""),"0659291311")</f>
        <v>0659291311</v>
      </c>
      <c r="N2293" s="3">
        <f>IFERROR(__xludf.DUMMYFUNCTION("""COMPUTED_VALUE"""),11259.0)</f>
        <v>11259</v>
      </c>
      <c r="O2293" s="3" t="str">
        <f>IFERROR(__xludf.DUMMYFUNCTION("""COMPUTED_VALUE"""),"ยะลา")</f>
        <v>ยะลา</v>
      </c>
      <c r="P2293" s="4">
        <f>IFERROR(__xludf.DUMMYFUNCTION("""COMPUTED_VALUE"""),45504.0)</f>
        <v>45504</v>
      </c>
      <c r="Q2293" s="3" t="str">
        <f>IFERROR(__xludf.DUMMYFUNCTION("""COMPUTED_VALUE"""),"A")</f>
        <v>A</v>
      </c>
      <c r="R2293" s="3" t="str">
        <f>IFERROR(__xludf.DUMMYFUNCTION("""COMPUTED_VALUE"""),"Big Format")</f>
        <v>Big Format</v>
      </c>
      <c r="S2293" s="3" t="str">
        <f>IFERROR(__xludf.DUMMYFUNCTION("""COMPUTED_VALUE"""),"PURE")</f>
        <v>PURE</v>
      </c>
      <c r="T2293" s="3" t="str">
        <f>IFERROR(__xludf.DUMMYFUNCTION("""COMPUTED_VALUE"""),"#N/A")</f>
        <v>#N/A</v>
      </c>
      <c r="U2293" s="3" t="str">
        <f>IFERROR(__xludf.DUMMYFUNCTION("""COMPUTED_VALUE"""),"#N/A")</f>
        <v>#N/A</v>
      </c>
      <c r="V2293" s="3" t="str">
        <f>IFERROR(__xludf.DUMMYFUNCTION("""COMPUTED_VALUE"""),"N")</f>
        <v>N</v>
      </c>
      <c r="W2293" s="3">
        <f>IFERROR(__xludf.DUMMYFUNCTION("""COMPUTED_VALUE"""),411221.0)</f>
        <v>411221</v>
      </c>
      <c r="X2293" s="3" t="str">
        <f>IFERROR(__xludf.DUMMYFUNCTION("""COMPUTED_VALUE"""),"4,12 ถนนเทศบาล1 ตำบลสะเตง อำเภอเมืองยะลา จังหวัดยะลา 95000")</f>
        <v>4,12 ถนนเทศบาล1 ตำบลสะเตง อำเภอเมืองยะลา จังหวัดยะลา 95000</v>
      </c>
      <c r="Y2293" s="3" t="str">
        <f>IFERROR(__xludf.DUMMYFUNCTION("""COMPUTED_VALUE"""),"เทศบาล1")</f>
        <v>เทศบาล1</v>
      </c>
      <c r="Z2293" s="3" t="str">
        <f>IFERROR(__xludf.DUMMYFUNCTION("""COMPUTED_VALUE"""),"สะเตง")</f>
        <v>สะเตง</v>
      </c>
      <c r="AA2293" s="3" t="str">
        <f>IFERROR(__xludf.DUMMYFUNCTION("""COMPUTED_VALUE"""),"เมืองยะลา")</f>
        <v>เมืองยะลา</v>
      </c>
      <c r="AB2293" s="3" t="str">
        <f>IFERROR(__xludf.DUMMYFUNCTION("""COMPUTED_VALUE"""),"ยะลา")</f>
        <v>ยะลา</v>
      </c>
      <c r="AC2293" s="3">
        <f>IFERROR(__xludf.DUMMYFUNCTION("""COMPUTED_VALUE"""),95000.0)</f>
        <v>95000</v>
      </c>
      <c r="AD2293" s="3">
        <f>IFERROR(__xludf.DUMMYFUNCTION("""COMPUTED_VALUE"""),6.55120486)</f>
        <v>6.55120486</v>
      </c>
      <c r="AE2293" s="3">
        <f>IFERROR(__xludf.DUMMYFUNCTION("""COMPUTED_VALUE"""),101.2711113)</f>
        <v>101.2711113</v>
      </c>
      <c r="AF2293" s="3" t="str">
        <f>IFERROR(__xludf.DUMMYFUNCTION("""COMPUTED_VALUE"""),"PURE ยะลา-41196")</f>
        <v>PURE ยะลา-41196</v>
      </c>
      <c r="AG2293" s="3" t="str">
        <f>IFERROR(__xludf.DUMMYFUNCTION("""COMPUTED_VALUE"""),"ใต้")</f>
        <v>ใต้</v>
      </c>
      <c r="AH2293" s="3" t="str">
        <f>IFERROR(__xludf.DUMMYFUNCTION("""COMPUTED_VALUE"""),"#N/A")</f>
        <v>#N/A</v>
      </c>
      <c r="AI2293" s="3" t="str">
        <f>IFERROR(__xludf.DUMMYFUNCTION("""COMPUTED_VALUE"""),"Out of warranty")</f>
        <v>Out of warranty</v>
      </c>
      <c r="AJ2293" s="3">
        <f>IFERROR(__xludf.DUMMYFUNCTION("""COMPUTED_VALUE"""),18.0)</f>
        <v>18</v>
      </c>
      <c r="AK2293" s="3"/>
      <c r="AL2293" s="3"/>
    </row>
    <row r="2294" ht="15.75" customHeight="1">
      <c r="A2294" s="1" t="str">
        <f>IFERROR(__xludf.DUMMYFUNCTION("""COMPUTED_VALUE"""),"41197")</f>
        <v>41197</v>
      </c>
      <c r="B2294" s="2">
        <f>IFERROR(__xludf.DUMMYFUNCTION("""COMPUTED_VALUE"""),41197.0)</f>
        <v>41197</v>
      </c>
      <c r="C2294" s="3" t="str">
        <f>IFERROR(__xludf.DUMMYFUNCTION("""COMPUTED_VALUE"""),"PURE ปัตตานี")</f>
        <v>PURE ปัตตานี</v>
      </c>
      <c r="D2294" s="3" t="str">
        <f>IFERROR(__xludf.DUMMYFUNCTION("""COMPUTED_VALUE"""),"BIGC PATTANI PURE")</f>
        <v>BIGC PATTANI PURE</v>
      </c>
      <c r="E2294" s="1" t="str">
        <f>IFERROR(__xludf.DUMMYFUNCTION("""COMPUTED_VALUE"""),"PURE")</f>
        <v>PURE</v>
      </c>
      <c r="F2294" s="1" t="str">
        <f>IFERROR(__xludf.DUMMYFUNCTION("""COMPUTED_VALUE"""),"291435")</f>
        <v>291435</v>
      </c>
      <c r="G2294" s="1" t="str">
        <f>IFERROR(__xludf.DUMMYFUNCTION("""COMPUTED_VALUE"""),"น.ส.สุกัญญา มณีไพโรจน์")</f>
        <v>น.ส.สุกัญญา มณีไพโรจน์</v>
      </c>
      <c r="H2294" s="1" t="str">
        <f>IFERROR(__xludf.DUMMYFUNCTION("""COMPUTED_VALUE"""),"291435")</f>
        <v>291435</v>
      </c>
      <c r="I2294" s="1" t="str">
        <f>IFERROR(__xludf.DUMMYFUNCTION("""COMPUTED_VALUE"""),"น.ส.สุกัญญา มณีไพโรจน์")</f>
        <v>น.ส.สุกัญญา มณีไพโรจน์</v>
      </c>
      <c r="J2294" s="3">
        <f>IFERROR(__xludf.DUMMYFUNCTION("""COMPUTED_VALUE"""),2454709.0)</f>
        <v>2454709</v>
      </c>
      <c r="K2294" s="3" t="str">
        <f>IFERROR(__xludf.DUMMYFUNCTION("""COMPUTED_VALUE"""),"นายประชา เกตุชาติ")</f>
        <v>นายประชา เกตุชาติ</v>
      </c>
      <c r="L2294" s="1" t="str">
        <f>IFERROR(__xludf.DUMMYFUNCTION("""COMPUTED_VALUE"""),"Hub05-South")</f>
        <v>Hub05-South</v>
      </c>
      <c r="M2294" s="1" t="str">
        <f>IFERROR(__xludf.DUMMYFUNCTION("""COMPUTED_VALUE"""),"0659291311")</f>
        <v>0659291311</v>
      </c>
      <c r="N2294" s="3">
        <f>IFERROR(__xludf.DUMMYFUNCTION("""COMPUTED_VALUE"""),11139.0)</f>
        <v>11139</v>
      </c>
      <c r="O2294" s="3" t="str">
        <f>IFERROR(__xludf.DUMMYFUNCTION("""COMPUTED_VALUE"""),"ปัตตานี")</f>
        <v>ปัตตานี</v>
      </c>
      <c r="P2294" s="4">
        <f>IFERROR(__xludf.DUMMYFUNCTION("""COMPUTED_VALUE"""),45532.0)</f>
        <v>45532</v>
      </c>
      <c r="Q2294" s="3" t="str">
        <f>IFERROR(__xludf.DUMMYFUNCTION("""COMPUTED_VALUE"""),"A")</f>
        <v>A</v>
      </c>
      <c r="R2294" s="3" t="str">
        <f>IFERROR(__xludf.DUMMYFUNCTION("""COMPUTED_VALUE"""),"Big Format")</f>
        <v>Big Format</v>
      </c>
      <c r="S2294" s="3" t="str">
        <f>IFERROR(__xludf.DUMMYFUNCTION("""COMPUTED_VALUE"""),"PURE")</f>
        <v>PURE</v>
      </c>
      <c r="T2294" s="3" t="str">
        <f>IFERROR(__xludf.DUMMYFUNCTION("""COMPUTED_VALUE"""),"#N/A")</f>
        <v>#N/A</v>
      </c>
      <c r="U2294" s="3" t="str">
        <f>IFERROR(__xludf.DUMMYFUNCTION("""COMPUTED_VALUE"""),"#N/A")</f>
        <v>#N/A</v>
      </c>
      <c r="V2294" s="3" t="str">
        <f>IFERROR(__xludf.DUMMYFUNCTION("""COMPUTED_VALUE"""),"N")</f>
        <v>N</v>
      </c>
      <c r="W2294" s="3">
        <f>IFERROR(__xludf.DUMMYFUNCTION("""COMPUTED_VALUE"""),411223.0)</f>
        <v>411223</v>
      </c>
      <c r="X2294" s="3" t="str">
        <f>IFERROR(__xludf.DUMMYFUNCTION("""COMPUTED_VALUE"""),"301 หมู่4 ตำบลรูสะมิแล อำเภอเมืองปัตตานี จังหวัดปัตตานี 94000")</f>
        <v>301 หมู่4 ตำบลรูสะมิแล อำเภอเมืองปัตตานี จังหวัดปัตตานี 94000</v>
      </c>
      <c r="Y2294" s="3"/>
      <c r="Z2294" s="3" t="str">
        <f>IFERROR(__xludf.DUMMYFUNCTION("""COMPUTED_VALUE"""),"รูสะมิแล")</f>
        <v>รูสะมิแล</v>
      </c>
      <c r="AA2294" s="3" t="str">
        <f>IFERROR(__xludf.DUMMYFUNCTION("""COMPUTED_VALUE"""),"เมืองปัตตานี")</f>
        <v>เมืองปัตตานี</v>
      </c>
      <c r="AB2294" s="3" t="str">
        <f>IFERROR(__xludf.DUMMYFUNCTION("""COMPUTED_VALUE"""),"ปัตตานี")</f>
        <v>ปัตตานี</v>
      </c>
      <c r="AC2294" s="3">
        <f>IFERROR(__xludf.DUMMYFUNCTION("""COMPUTED_VALUE"""),94000.0)</f>
        <v>94000</v>
      </c>
      <c r="AD2294" s="3">
        <f>IFERROR(__xludf.DUMMYFUNCTION("""COMPUTED_VALUE"""),6.86344)</f>
        <v>6.86344</v>
      </c>
      <c r="AE2294" s="3">
        <f>IFERROR(__xludf.DUMMYFUNCTION("""COMPUTED_VALUE"""),101.232)</f>
        <v>101.232</v>
      </c>
      <c r="AF2294" s="3" t="str">
        <f>IFERROR(__xludf.DUMMYFUNCTION("""COMPUTED_VALUE"""),"PURE ปัตตานี-41197")</f>
        <v>PURE ปัตตานี-41197</v>
      </c>
      <c r="AG2294" s="3" t="str">
        <f>IFERROR(__xludf.DUMMYFUNCTION("""COMPUTED_VALUE"""),"ใต้")</f>
        <v>ใต้</v>
      </c>
      <c r="AH2294" s="3" t="str">
        <f>IFERROR(__xludf.DUMMYFUNCTION("""COMPUTED_VALUE"""),"#N/A")</f>
        <v>#N/A</v>
      </c>
      <c r="AI2294" s="3" t="str">
        <f>IFERROR(__xludf.DUMMYFUNCTION("""COMPUTED_VALUE"""),"Out of warranty")</f>
        <v>Out of warranty</v>
      </c>
      <c r="AJ2294" s="3">
        <f>IFERROR(__xludf.DUMMYFUNCTION("""COMPUTED_VALUE"""),17.0)</f>
        <v>17</v>
      </c>
      <c r="AK2294" s="3"/>
      <c r="AL2294" s="3"/>
    </row>
    <row r="2295" ht="15.75" customHeight="1">
      <c r="A2295" s="1" t="str">
        <f>IFERROR(__xludf.DUMMYFUNCTION("""COMPUTED_VALUE"""),"41198")</f>
        <v>41198</v>
      </c>
      <c r="B2295" s="2">
        <f>IFERROR(__xludf.DUMMYFUNCTION("""COMPUTED_VALUE"""),41198.0)</f>
        <v>41198</v>
      </c>
      <c r="C2295" s="3" t="str">
        <f>IFERROR(__xludf.DUMMYFUNCTION("""COMPUTED_VALUE"""),"PURE เอเชียทีค")</f>
        <v>PURE เอเชียทีค</v>
      </c>
      <c r="D2295" s="3" t="str">
        <f>IFERROR(__xludf.DUMMYFUNCTION("""COMPUTED_VALUE"""),"BIGC ASIATIQUE PURE")</f>
        <v>BIGC ASIATIQUE PURE</v>
      </c>
      <c r="E2295" s="1" t="str">
        <f>IFERROR(__xludf.DUMMYFUNCTION("""COMPUTED_VALUE"""),"PURE")</f>
        <v>PURE</v>
      </c>
      <c r="F2295" s="1" t="str">
        <f>IFERROR(__xludf.DUMMYFUNCTION("""COMPUTED_VALUE"""),"211291")</f>
        <v>211291</v>
      </c>
      <c r="G2295" s="1" t="str">
        <f>IFERROR(__xludf.DUMMYFUNCTION("""COMPUTED_VALUE"""),"น.ส.ปนัดดา มากระจันทน์")</f>
        <v>น.ส.ปนัดดา มากระจันทน์</v>
      </c>
      <c r="H2295" s="1" t="str">
        <f>IFERROR(__xludf.DUMMYFUNCTION("""COMPUTED_VALUE"""),"211291")</f>
        <v>211291</v>
      </c>
      <c r="I2295" s="1" t="str">
        <f>IFERROR(__xludf.DUMMYFUNCTION("""COMPUTED_VALUE"""),"น.ส.ปนัดดา มากระจันทน์")</f>
        <v>น.ส.ปนัดดา มากระจันทน์</v>
      </c>
      <c r="J2295" s="3">
        <f>IFERROR(__xludf.DUMMYFUNCTION("""COMPUTED_VALUE"""),2408546.0)</f>
        <v>2408546</v>
      </c>
      <c r="K2295" s="3" t="str">
        <f>IFERROR(__xludf.DUMMYFUNCTION("""COMPUTED_VALUE"""),"นายเกษมศิษฐ์ ฮดบุญเรือง")</f>
        <v>นายเกษมศิษฐ์ ฮดบุญเรือง</v>
      </c>
      <c r="L2295" s="1" t="str">
        <f>IFERROR(__xludf.DUMMYFUNCTION("""COMPUTED_VALUE"""),"Hub02-BKK 2")</f>
        <v>Hub02-BKK 2</v>
      </c>
      <c r="M2295" s="1" t="str">
        <f>IFERROR(__xludf.DUMMYFUNCTION("""COMPUTED_VALUE"""),"0988580755")</f>
        <v>0988580755</v>
      </c>
      <c r="N2295" s="3">
        <f>IFERROR(__xludf.DUMMYFUNCTION("""COMPUTED_VALUE"""),15067.0)</f>
        <v>15067</v>
      </c>
      <c r="O2295" s="3" t="str">
        <f>IFERROR(__xludf.DUMMYFUNCTION("""COMPUTED_VALUE"""),"เอเชียทีค")</f>
        <v>เอเชียทีค</v>
      </c>
      <c r="P2295" s="4">
        <f>IFERROR(__xludf.DUMMYFUNCTION("""COMPUTED_VALUE"""),45533.0)</f>
        <v>45533</v>
      </c>
      <c r="Q2295" s="3" t="str">
        <f>IFERROR(__xludf.DUMMYFUNCTION("""COMPUTED_VALUE"""),"A")</f>
        <v>A</v>
      </c>
      <c r="R2295" s="3" t="str">
        <f>IFERROR(__xludf.DUMMYFUNCTION("""COMPUTED_VALUE"""),"Big Format")</f>
        <v>Big Format</v>
      </c>
      <c r="S2295" s="3" t="str">
        <f>IFERROR(__xludf.DUMMYFUNCTION("""COMPUTED_VALUE"""),"PURE")</f>
        <v>PURE</v>
      </c>
      <c r="T2295" s="3" t="str">
        <f>IFERROR(__xludf.DUMMYFUNCTION("""COMPUTED_VALUE"""),"#N/A")</f>
        <v>#N/A</v>
      </c>
      <c r="U2295" s="3" t="str">
        <f>IFERROR(__xludf.DUMMYFUNCTION("""COMPUTED_VALUE"""),"#N/A")</f>
        <v>#N/A</v>
      </c>
      <c r="V2295" s="3" t="str">
        <f>IFERROR(__xludf.DUMMYFUNCTION("""COMPUTED_VALUE"""),"N")</f>
        <v>N</v>
      </c>
      <c r="W2295" s="3">
        <f>IFERROR(__xludf.DUMMYFUNCTION("""COMPUTED_VALUE"""),411225.0)</f>
        <v>411225</v>
      </c>
      <c r="X2295" s="3" t="str">
        <f>IFERROR(__xludf.DUMMYFUNCTION("""COMPUTED_VALUE"""),"อาคาร E ห้องเลขที่ BC01 ชั้น 1/Warehouse 1 2194,2194/98 ถนนเจริญกรุง แขวงวัดพระยาไกร เขดบางคอแหลม กรุงเทพมหานคร 10120")</f>
        <v>อาคาร E ห้องเลขที่ BC01 ชั้น 1/Warehouse 1 2194,2194/98 ถนนเจริญกรุง แขวงวัดพระยาไกร เขดบางคอแหลม กรุงเทพมหานคร 10120</v>
      </c>
      <c r="Y2295" s="3" t="str">
        <f>IFERROR(__xludf.DUMMYFUNCTION("""COMPUTED_VALUE"""),"เจริญกรุง")</f>
        <v>เจริญกรุง</v>
      </c>
      <c r="Z2295" s="3" t="str">
        <f>IFERROR(__xludf.DUMMYFUNCTION("""COMPUTED_VALUE"""),"วัดพระยาไกร")</f>
        <v>วัดพระยาไกร</v>
      </c>
      <c r="AA2295" s="3" t="str">
        <f>IFERROR(__xludf.DUMMYFUNCTION("""COMPUTED_VALUE"""),"บางคอแหลม")</f>
        <v>บางคอแหลม</v>
      </c>
      <c r="AB2295" s="3" t="str">
        <f>IFERROR(__xludf.DUMMYFUNCTION("""COMPUTED_VALUE"""),"กรุงเทพมหานคร")</f>
        <v>กรุงเทพมหานคร</v>
      </c>
      <c r="AC2295" s="3">
        <f>IFERROR(__xludf.DUMMYFUNCTION("""COMPUTED_VALUE"""),10120.0)</f>
        <v>10120</v>
      </c>
      <c r="AD2295" s="3">
        <f>IFERROR(__xludf.DUMMYFUNCTION("""COMPUTED_VALUE"""),13.70460389)</f>
        <v>13.70460389</v>
      </c>
      <c r="AE2295" s="3">
        <f>IFERROR(__xludf.DUMMYFUNCTION("""COMPUTED_VALUE"""),100.5075312)</f>
        <v>100.5075312</v>
      </c>
      <c r="AF2295" s="3" t="str">
        <f>IFERROR(__xludf.DUMMYFUNCTION("""COMPUTED_VALUE"""),"PURE เอเชียทีค-41198")</f>
        <v>PURE เอเชียทีค-41198</v>
      </c>
      <c r="AG2295" s="3" t="str">
        <f>IFERROR(__xludf.DUMMYFUNCTION("""COMPUTED_VALUE"""),"กลาง")</f>
        <v>กลาง</v>
      </c>
      <c r="AH2295" s="3" t="str">
        <f>IFERROR(__xludf.DUMMYFUNCTION("""COMPUTED_VALUE"""),"#N/A")</f>
        <v>#N/A</v>
      </c>
      <c r="AI2295" s="3" t="str">
        <f>IFERROR(__xludf.DUMMYFUNCTION("""COMPUTED_VALUE"""),"Out of warranty")</f>
        <v>Out of warranty</v>
      </c>
      <c r="AJ2295" s="3">
        <f>IFERROR(__xludf.DUMMYFUNCTION("""COMPUTED_VALUE"""),17.0)</f>
        <v>17</v>
      </c>
      <c r="AK2295" s="3"/>
      <c r="AL2295" s="3"/>
    </row>
    <row r="2296" ht="15.75" customHeight="1">
      <c r="A2296" s="1" t="str">
        <f>IFERROR(__xludf.DUMMYFUNCTION("""COMPUTED_VALUE"""),"41199")</f>
        <v>41199</v>
      </c>
      <c r="B2296" s="2">
        <f>IFERROR(__xludf.DUMMYFUNCTION("""COMPUTED_VALUE"""),41199.0)</f>
        <v>41199</v>
      </c>
      <c r="C2296" s="3" t="str">
        <f>IFERROR(__xludf.DUMMYFUNCTION("""COMPUTED_VALUE"""),"PURE พันธุ์ทิพย์เชียงใหม่")</f>
        <v>PURE พันธุ์ทิพย์เชียงใหม่</v>
      </c>
      <c r="D2296" s="3" t="str">
        <f>IFERROR(__xludf.DUMMYFUNCTION("""COMPUTED_VALUE"""),"BIGC PANTIPCHIANGMAI PURE")</f>
        <v>BIGC PANTIPCHIANGMAI PURE</v>
      </c>
      <c r="E2296" s="1" t="str">
        <f>IFERROR(__xludf.DUMMYFUNCTION("""COMPUTED_VALUE"""),"PURE")</f>
        <v>PURE</v>
      </c>
      <c r="F2296" s="1" t="str">
        <f>IFERROR(__xludf.DUMMYFUNCTION("""COMPUTED_VALUE"""),"2082102")</f>
        <v>2082102</v>
      </c>
      <c r="G2296" s="1" t="str">
        <f>IFERROR(__xludf.DUMMYFUNCTION("""COMPUTED_VALUE"""),"น.ส.วัชรา มหาวันแจ่ม")</f>
        <v>น.ส.วัชรา มหาวันแจ่ม</v>
      </c>
      <c r="H2296" s="1" t="str">
        <f>IFERROR(__xludf.DUMMYFUNCTION("""COMPUTED_VALUE"""),"2082102")</f>
        <v>2082102</v>
      </c>
      <c r="I2296" s="1" t="str">
        <f>IFERROR(__xludf.DUMMYFUNCTION("""COMPUTED_VALUE"""),"น.ส.วัชรา มหาวันแจ่ม")</f>
        <v>น.ส.วัชรา มหาวันแจ่ม</v>
      </c>
      <c r="J2296" s="3">
        <f>IFERROR(__xludf.DUMMYFUNCTION("""COMPUTED_VALUE"""),348.0)</f>
        <v>348</v>
      </c>
      <c r="K2296" s="3" t="str">
        <f>IFERROR(__xludf.DUMMYFUNCTION("""COMPUTED_VALUE"""),"นายธีรนันท์ ไม้สนธิ์")</f>
        <v>นายธีรนันท์ ไม้สนธิ์</v>
      </c>
      <c r="L2296" s="1" t="str">
        <f>IFERROR(__xludf.DUMMYFUNCTION("""COMPUTED_VALUE"""),"Hub07-North")</f>
        <v>Hub07-North</v>
      </c>
      <c r="M2296" s="1" t="str">
        <f>IFERROR(__xludf.DUMMYFUNCTION("""COMPUTED_VALUE"""),"0614175866")</f>
        <v>0614175866</v>
      </c>
      <c r="N2296" s="3">
        <f>IFERROR(__xludf.DUMMYFUNCTION("""COMPUTED_VALUE"""),15059.0)</f>
        <v>15059</v>
      </c>
      <c r="O2296" s="3" t="str">
        <f>IFERROR(__xludf.DUMMYFUNCTION("""COMPUTED_VALUE"""),"พันธุ์ทิพย์ เชียงใหม่")</f>
        <v>พันธุ์ทิพย์ เชียงใหม่</v>
      </c>
      <c r="P2296" s="4">
        <f>IFERROR(__xludf.DUMMYFUNCTION("""COMPUTED_VALUE"""),45533.0)</f>
        <v>45533</v>
      </c>
      <c r="Q2296" s="3" t="str">
        <f>IFERROR(__xludf.DUMMYFUNCTION("""COMPUTED_VALUE"""),"A")</f>
        <v>A</v>
      </c>
      <c r="R2296" s="3" t="str">
        <f>IFERROR(__xludf.DUMMYFUNCTION("""COMPUTED_VALUE"""),"Big Format")</f>
        <v>Big Format</v>
      </c>
      <c r="S2296" s="3" t="str">
        <f>IFERROR(__xludf.DUMMYFUNCTION("""COMPUTED_VALUE"""),"PURE")</f>
        <v>PURE</v>
      </c>
      <c r="T2296" s="3" t="str">
        <f>IFERROR(__xludf.DUMMYFUNCTION("""COMPUTED_VALUE"""),"#N/A")</f>
        <v>#N/A</v>
      </c>
      <c r="U2296" s="3" t="str">
        <f>IFERROR(__xludf.DUMMYFUNCTION("""COMPUTED_VALUE"""),"#N/A")</f>
        <v>#N/A</v>
      </c>
      <c r="V2296" s="3" t="str">
        <f>IFERROR(__xludf.DUMMYFUNCTION("""COMPUTED_VALUE"""),"N")</f>
        <v>N</v>
      </c>
      <c r="W2296" s="3">
        <f>IFERROR(__xludf.DUMMYFUNCTION("""COMPUTED_VALUE"""),411226.0)</f>
        <v>411226</v>
      </c>
      <c r="X2296" s="3" t="str">
        <f>IFERROR(__xludf.DUMMYFUNCTION("""COMPUTED_VALUE"""),"152/1 ห้องเลขที่ 101 ชั้น 1 ถนนช้างคลาน ตำบลช้างคลาน อำเภอเมืองเชียงใหม่ จังหวัดเชียงใหม่ 50100")</f>
        <v>152/1 ห้องเลขที่ 101 ชั้น 1 ถนนช้างคลาน ตำบลช้างคลาน อำเภอเมืองเชียงใหม่ จังหวัดเชียงใหม่ 50100</v>
      </c>
      <c r="Y2296" s="3" t="str">
        <f>IFERROR(__xludf.DUMMYFUNCTION("""COMPUTED_VALUE"""),"ช้างคลาน")</f>
        <v>ช้างคลาน</v>
      </c>
      <c r="Z2296" s="3" t="str">
        <f>IFERROR(__xludf.DUMMYFUNCTION("""COMPUTED_VALUE"""),"ช้างคลาน")</f>
        <v>ช้างคลาน</v>
      </c>
      <c r="AA2296" s="3" t="str">
        <f>IFERROR(__xludf.DUMMYFUNCTION("""COMPUTED_VALUE"""),"เมืองเชียงใหม่")</f>
        <v>เมืองเชียงใหม่</v>
      </c>
      <c r="AB2296" s="3" t="str">
        <f>IFERROR(__xludf.DUMMYFUNCTION("""COMPUTED_VALUE"""),"เชียงใหม่")</f>
        <v>เชียงใหม่</v>
      </c>
      <c r="AC2296" s="3">
        <f>IFERROR(__xludf.DUMMYFUNCTION("""COMPUTED_VALUE"""),50100.0)</f>
        <v>50100</v>
      </c>
      <c r="AD2296" s="3">
        <f>IFERROR(__xludf.DUMMYFUNCTION("""COMPUTED_VALUE"""),18.781933)</f>
        <v>18.781933</v>
      </c>
      <c r="AE2296" s="3">
        <f>IFERROR(__xludf.DUMMYFUNCTION("""COMPUTED_VALUE"""),98.9974556)</f>
        <v>98.9974556</v>
      </c>
      <c r="AF2296" s="3" t="str">
        <f>IFERROR(__xludf.DUMMYFUNCTION("""COMPUTED_VALUE"""),"PURE พันธุ์ทิพย์เชียงใหม่-41199")</f>
        <v>PURE พันธุ์ทิพย์เชียงใหม่-41199</v>
      </c>
      <c r="AG2296" s="3" t="str">
        <f>IFERROR(__xludf.DUMMYFUNCTION("""COMPUTED_VALUE"""),"เหนือ")</f>
        <v>เหนือ</v>
      </c>
      <c r="AH2296" s="3" t="str">
        <f>IFERROR(__xludf.DUMMYFUNCTION("""COMPUTED_VALUE"""),"#N/A")</f>
        <v>#N/A</v>
      </c>
      <c r="AI2296" s="3" t="str">
        <f>IFERROR(__xludf.DUMMYFUNCTION("""COMPUTED_VALUE"""),"Out of warranty")</f>
        <v>Out of warranty</v>
      </c>
      <c r="AJ2296" s="3">
        <f>IFERROR(__xludf.DUMMYFUNCTION("""COMPUTED_VALUE"""),17.0)</f>
        <v>17</v>
      </c>
      <c r="AK2296" s="3"/>
      <c r="AL2296" s="3"/>
    </row>
    <row r="2297" ht="15.75" customHeight="1">
      <c r="A2297" s="1" t="str">
        <f>IFERROR(__xludf.DUMMYFUNCTION("""COMPUTED_VALUE"""),"41200")</f>
        <v>41200</v>
      </c>
      <c r="B2297" s="2">
        <f>IFERROR(__xludf.DUMMYFUNCTION("""COMPUTED_VALUE"""),41200.0)</f>
        <v>41200</v>
      </c>
      <c r="C2297" s="3" t="str">
        <f>IFERROR(__xludf.DUMMYFUNCTION("""COMPUTED_VALUE"""),"PURE วัน แบงค็อก")</f>
        <v>PURE วัน แบงค็อก</v>
      </c>
      <c r="D2297" s="3" t="str">
        <f>IFERROR(__xludf.DUMMYFUNCTION("""COMPUTED_VALUE"""),"BIGC ONE BANGKOK PURE")</f>
        <v>BIGC ONE BANGKOK PURE</v>
      </c>
      <c r="E2297" s="1" t="str">
        <f>IFERROR(__xludf.DUMMYFUNCTION("""COMPUTED_VALUE"""),"PURE")</f>
        <v>PURE</v>
      </c>
      <c r="F2297" s="1" t="str">
        <f>IFERROR(__xludf.DUMMYFUNCTION("""COMPUTED_VALUE"""),"211291")</f>
        <v>211291</v>
      </c>
      <c r="G2297" s="1" t="str">
        <f>IFERROR(__xludf.DUMMYFUNCTION("""COMPUTED_VALUE"""),"น.ส.ปนัดดา มากระจันทน์")</f>
        <v>น.ส.ปนัดดา มากระจันทน์</v>
      </c>
      <c r="H2297" s="1" t="str">
        <f>IFERROR(__xludf.DUMMYFUNCTION("""COMPUTED_VALUE"""),"211291")</f>
        <v>211291</v>
      </c>
      <c r="I2297" s="1" t="str">
        <f>IFERROR(__xludf.DUMMYFUNCTION("""COMPUTED_VALUE"""),"น.ส.ปนัดดา มากระจันทน์")</f>
        <v>น.ส.ปนัดดา มากระจันทน์</v>
      </c>
      <c r="J2297" s="3">
        <f>IFERROR(__xludf.DUMMYFUNCTION("""COMPUTED_VALUE"""),2408546.0)</f>
        <v>2408546</v>
      </c>
      <c r="K2297" s="3" t="str">
        <f>IFERROR(__xludf.DUMMYFUNCTION("""COMPUTED_VALUE"""),"นายเกษมศิษฐ์ ฮดบุญเรือง")</f>
        <v>นายเกษมศิษฐ์ ฮดบุญเรือง</v>
      </c>
      <c r="L2297" s="1" t="str">
        <f>IFERROR(__xludf.DUMMYFUNCTION("""COMPUTED_VALUE"""),"Hub02-BKK 2")</f>
        <v>Hub02-BKK 2</v>
      </c>
      <c r="M2297" s="1" t="str">
        <f>IFERROR(__xludf.DUMMYFUNCTION("""COMPUTED_VALUE"""),"0988580755")</f>
        <v>0988580755</v>
      </c>
      <c r="N2297" s="3">
        <f>IFERROR(__xludf.DUMMYFUNCTION("""COMPUTED_VALUE"""),15068.0)</f>
        <v>15068</v>
      </c>
      <c r="O2297" s="3" t="str">
        <f>IFERROR(__xludf.DUMMYFUNCTION("""COMPUTED_VALUE"""),"วัน แบงค็อก")</f>
        <v>วัน แบงค็อก</v>
      </c>
      <c r="P2297" s="4">
        <f>IFERROR(__xludf.DUMMYFUNCTION("""COMPUTED_VALUE"""),45590.0)</f>
        <v>45590</v>
      </c>
      <c r="Q2297" s="3" t="str">
        <f>IFERROR(__xludf.DUMMYFUNCTION("""COMPUTED_VALUE"""),"A")</f>
        <v>A</v>
      </c>
      <c r="R2297" s="3" t="str">
        <f>IFERROR(__xludf.DUMMYFUNCTION("""COMPUTED_VALUE"""),"Big Format")</f>
        <v>Big Format</v>
      </c>
      <c r="S2297" s="3" t="str">
        <f>IFERROR(__xludf.DUMMYFUNCTION("""COMPUTED_VALUE"""),"PURE")</f>
        <v>PURE</v>
      </c>
      <c r="T2297" s="3" t="str">
        <f>IFERROR(__xludf.DUMMYFUNCTION("""COMPUTED_VALUE"""),"#N/A")</f>
        <v>#N/A</v>
      </c>
      <c r="U2297" s="3" t="str">
        <f>IFERROR(__xludf.DUMMYFUNCTION("""COMPUTED_VALUE"""),"#N/A")</f>
        <v>#N/A</v>
      </c>
      <c r="V2297" s="3" t="str">
        <f>IFERROR(__xludf.DUMMYFUNCTION("""COMPUTED_VALUE"""),"N")</f>
        <v>N</v>
      </c>
      <c r="W2297" s="3">
        <f>IFERROR(__xludf.DUMMYFUNCTION("""COMPUTED_VALUE"""),411227.0)</f>
        <v>411227</v>
      </c>
      <c r="X2297" s="3" t="str">
        <f>IFERROR(__xludf.DUMMYFUNCTION("""COMPUTED_VALUE"""),"อาคาร ฟอรัม ห้องเลขที่ FG01 ชั้นที่ G เลขที่ 197 ถนนวิทยุ แขวงลุมพินี เขตปทุมวัน กรุงเทพมหานคร 10330")</f>
        <v>อาคาร ฟอรัม ห้องเลขที่ FG01 ชั้นที่ G เลขที่ 197 ถนนวิทยุ แขวงลุมพินี เขตปทุมวัน กรุงเทพมหานคร 10330</v>
      </c>
      <c r="Y2297" s="3" t="str">
        <f>IFERROR(__xludf.DUMMYFUNCTION("""COMPUTED_VALUE"""),"วิทยุ")</f>
        <v>วิทยุ</v>
      </c>
      <c r="Z2297" s="3" t="str">
        <f>IFERROR(__xludf.DUMMYFUNCTION("""COMPUTED_VALUE"""),"ลุมพินี")</f>
        <v>ลุมพินี</v>
      </c>
      <c r="AA2297" s="3" t="str">
        <f>IFERROR(__xludf.DUMMYFUNCTION("""COMPUTED_VALUE"""),"ปทุมวัน")</f>
        <v>ปทุมวัน</v>
      </c>
      <c r="AB2297" s="3" t="str">
        <f>IFERROR(__xludf.DUMMYFUNCTION("""COMPUTED_VALUE"""),"กรุงเทพมหานคร")</f>
        <v>กรุงเทพมหานคร</v>
      </c>
      <c r="AC2297" s="3">
        <f>IFERROR(__xludf.DUMMYFUNCTION("""COMPUTED_VALUE"""),10330.0)</f>
        <v>10330</v>
      </c>
      <c r="AD2297" s="3">
        <f>IFERROR(__xludf.DUMMYFUNCTION("""COMPUTED_VALUE"""),13.72782449)</f>
        <v>13.72782449</v>
      </c>
      <c r="AE2297" s="3">
        <f>IFERROR(__xludf.DUMMYFUNCTION("""COMPUTED_VALUE"""),100.548338)</f>
        <v>100.548338</v>
      </c>
      <c r="AF2297" s="3" t="str">
        <f>IFERROR(__xludf.DUMMYFUNCTION("""COMPUTED_VALUE"""),"PURE วัน แบงค็อก-41200")</f>
        <v>PURE วัน แบงค็อก-41200</v>
      </c>
      <c r="AG2297" s="3" t="str">
        <f>IFERROR(__xludf.DUMMYFUNCTION("""COMPUTED_VALUE"""),"กลาง")</f>
        <v>กลาง</v>
      </c>
      <c r="AH2297" s="3" t="str">
        <f>IFERROR(__xludf.DUMMYFUNCTION("""COMPUTED_VALUE"""),"#N/A")</f>
        <v>#N/A</v>
      </c>
      <c r="AI2297" s="3" t="str">
        <f>IFERROR(__xludf.DUMMYFUNCTION("""COMPUTED_VALUE"""),"Out of warranty")</f>
        <v>Out of warranty</v>
      </c>
      <c r="AJ2297" s="3">
        <f>IFERROR(__xludf.DUMMYFUNCTION("""COMPUTED_VALUE"""),15.0)</f>
        <v>15</v>
      </c>
      <c r="AK2297" s="3"/>
      <c r="AL2297" s="3"/>
    </row>
    <row r="2298" ht="15.75" customHeight="1">
      <c r="A2298" s="1" t="str">
        <f>IFERROR(__xludf.DUMMYFUNCTION("""COMPUTED_VALUE"""),"61001")</f>
        <v>61001</v>
      </c>
      <c r="B2298" s="2">
        <f>IFERROR(__xludf.DUMMYFUNCTION("""COMPUTED_VALUE"""),61001.0)</f>
        <v>61001</v>
      </c>
      <c r="C2298" s="3" t="str">
        <f>IFERROR(__xludf.DUMMYFUNCTION("""COMPUTED_VALUE"""),"โบลาเวน_บิ๊กซีเอ็กซ์ตร้าพระราม4")</f>
        <v>โบลาเวน_บิ๊กซีเอ็กซ์ตร้าพระราม4</v>
      </c>
      <c r="D2298" s="3" t="str">
        <f>IFERROR(__xludf.DUMMYFUNCTION("""COMPUTED_VALUE"""),"BIGC RAMA4 BOLAVEN")</f>
        <v>BIGC RAMA4 BOLAVEN</v>
      </c>
      <c r="E2298" s="1" t="str">
        <f>IFERROR(__xludf.DUMMYFUNCTION("""COMPUTED_VALUE"""),"WAWEE")</f>
        <v>WAWEE</v>
      </c>
      <c r="F2298" s="3"/>
      <c r="G2298" s="3"/>
      <c r="H2298" s="3"/>
      <c r="I2298" s="3"/>
      <c r="J2298" s="3">
        <f>IFERROR(__xludf.DUMMYFUNCTION("""COMPUTED_VALUE"""),296319.0)</f>
        <v>296319</v>
      </c>
      <c r="K2298" s="3" t="str">
        <f>IFERROR(__xludf.DUMMYFUNCTION("""COMPUTED_VALUE"""),"นายรัฐภูมิ กิตติอิชฌติ")</f>
        <v>นายรัฐภูมิ กิตติอิชฌติ</v>
      </c>
      <c r="L2298" s="1" t="str">
        <f>IFERROR(__xludf.DUMMYFUNCTION("""COMPUTED_VALUE"""),"0")</f>
        <v>0</v>
      </c>
      <c r="M2298" s="1" t="str">
        <f>IFERROR(__xludf.DUMMYFUNCTION("""COMPUTED_VALUE"""),"0")</f>
        <v>0</v>
      </c>
      <c r="N2298" s="3">
        <f>IFERROR(__xludf.DUMMYFUNCTION("""COMPUTED_VALUE"""),61001.0)</f>
        <v>61001</v>
      </c>
      <c r="O2298" s="3" t="str">
        <f>IFERROR(__xludf.DUMMYFUNCTION("""COMPUTED_VALUE"""),"โบลาเวน_บิ๊กซีเอ็กซ์ตร้าพระราม4")</f>
        <v>โบลาเวน_บิ๊กซีเอ็กซ์ตร้าพระราม4</v>
      </c>
      <c r="P2298" s="4">
        <f>IFERROR(__xludf.DUMMYFUNCTION("""COMPUTED_VALUE"""),43273.0)</f>
        <v>43273</v>
      </c>
      <c r="Q2298" s="3" t="str">
        <f>IFERROR(__xludf.DUMMYFUNCTION("""COMPUTED_VALUE"""),"I")</f>
        <v>I</v>
      </c>
      <c r="R2298" s="3" t="str">
        <f>IFERROR(__xludf.DUMMYFUNCTION("""COMPUTED_VALUE"""),"Small Format")</f>
        <v>Small Format</v>
      </c>
      <c r="S2298" s="3" t="str">
        <f>IFERROR(__xludf.DUMMYFUNCTION("""COMPUTED_VALUE"""),"WAWEE")</f>
        <v>WAWEE</v>
      </c>
      <c r="T2298" s="3" t="str">
        <f>IFERROR(__xludf.DUMMYFUNCTION("""COMPUTED_VALUE"""),"#N/A")</f>
        <v>#N/A</v>
      </c>
      <c r="U2298" s="3" t="str">
        <f>IFERROR(__xludf.DUMMYFUNCTION("""COMPUTED_VALUE"""),"#N/A")</f>
        <v>#N/A</v>
      </c>
      <c r="V2298" s="3" t="str">
        <f>IFERROR(__xludf.DUMMYFUNCTION("""COMPUTED_VALUE"""),"N")</f>
        <v>N</v>
      </c>
      <c r="W2298" s="3">
        <f>IFERROR(__xludf.DUMMYFUNCTION("""COMPUTED_VALUE"""),0.0)</f>
        <v>0</v>
      </c>
      <c r="X2298" s="3" t="str">
        <f>IFERROR(__xludf.DUMMYFUNCTION("""COMPUTED_VALUE"""),"2929 ถนนพระราม4 แขวงคลองตัน เขตคลองเตย กรุงเทพมหานคร 10110")</f>
        <v>2929 ถนนพระราม4 แขวงคลองตัน เขตคลองเตย กรุงเทพมหานคร 10110</v>
      </c>
      <c r="Y2298" s="3" t="str">
        <f>IFERROR(__xludf.DUMMYFUNCTION("""COMPUTED_VALUE"""),"ถนนพระราม4")</f>
        <v>ถนนพระราม4</v>
      </c>
      <c r="Z2298" s="3" t="str">
        <f>IFERROR(__xludf.DUMMYFUNCTION("""COMPUTED_VALUE"""),"คลองตัน")</f>
        <v>คลองตัน</v>
      </c>
      <c r="AA2298" s="3" t="str">
        <f>IFERROR(__xludf.DUMMYFUNCTION("""COMPUTED_VALUE"""),"คลองเตย")</f>
        <v>คลองเตย</v>
      </c>
      <c r="AB2298" s="3" t="str">
        <f>IFERROR(__xludf.DUMMYFUNCTION("""COMPUTED_VALUE"""),"กรุงเทพมหานคร")</f>
        <v>กรุงเทพมหานคร</v>
      </c>
      <c r="AC2298" s="3">
        <f>IFERROR(__xludf.DUMMYFUNCTION("""COMPUTED_VALUE"""),10110.0)</f>
        <v>10110</v>
      </c>
      <c r="AD2298" s="3">
        <f>IFERROR(__xludf.DUMMYFUNCTION("""COMPUTED_VALUE"""),0.0)</f>
        <v>0</v>
      </c>
      <c r="AE2298" s="3">
        <f>IFERROR(__xludf.DUMMYFUNCTION("""COMPUTED_VALUE"""),0.0)</f>
        <v>0</v>
      </c>
      <c r="AF2298" s="3" t="str">
        <f>IFERROR(__xludf.DUMMYFUNCTION("""COMPUTED_VALUE"""),"โบลาเวน_บิ๊กซีเอ็กซ์ตร้าพระราม4-61001")</f>
        <v>โบลาเวน_บิ๊กซีเอ็กซ์ตร้าพระราม4-61001</v>
      </c>
      <c r="AG2298" s="3" t="str">
        <f>IFERROR(__xludf.DUMMYFUNCTION("""COMPUTED_VALUE"""),"กลาง")</f>
        <v>กลาง</v>
      </c>
      <c r="AH2298" s="3" t="str">
        <f>IFERROR(__xludf.DUMMYFUNCTION("""COMPUTED_VALUE"""),"#N/A")</f>
        <v>#N/A</v>
      </c>
      <c r="AI2298" s="3" t="str">
        <f>IFERROR(__xludf.DUMMYFUNCTION("""COMPUTED_VALUE"""),"Out of warranty")</f>
        <v>Out of warranty</v>
      </c>
      <c r="AJ2298" s="3">
        <f>IFERROR(__xludf.DUMMYFUNCTION("""COMPUTED_VALUE"""),91.0)</f>
        <v>91</v>
      </c>
      <c r="AK2298" s="3"/>
      <c r="AL2298" s="3"/>
    </row>
    <row r="2299" ht="15.75" customHeight="1">
      <c r="A2299" s="1" t="str">
        <f>IFERROR(__xludf.DUMMYFUNCTION("""COMPUTED_VALUE"""),"61002")</f>
        <v>61002</v>
      </c>
      <c r="B2299" s="2">
        <f>IFERROR(__xludf.DUMMYFUNCTION("""COMPUTED_VALUE"""),61002.0)</f>
        <v>61002</v>
      </c>
      <c r="C2299" s="3" t="str">
        <f>IFERROR(__xludf.DUMMYFUNCTION("""COMPUTED_VALUE"""),"โบลาเวน_บิ๊กซีราชดำริ")</f>
        <v>โบลาเวน_บิ๊กซีราชดำริ</v>
      </c>
      <c r="D2299" s="3" t="str">
        <f>IFERROR(__xludf.DUMMYFUNCTION("""COMPUTED_VALUE"""),"BIGC RAJDUMRI BOLAVEN")</f>
        <v>BIGC RAJDUMRI BOLAVEN</v>
      </c>
      <c r="E2299" s="1" t="str">
        <f>IFERROR(__xludf.DUMMYFUNCTION("""COMPUTED_VALUE"""),"WAWEE")</f>
        <v>WAWEE</v>
      </c>
      <c r="F2299" s="3"/>
      <c r="G2299" s="3"/>
      <c r="H2299" s="3"/>
      <c r="I2299" s="3"/>
      <c r="J2299" s="3">
        <f>IFERROR(__xludf.DUMMYFUNCTION("""COMPUTED_VALUE"""),296319.0)</f>
        <v>296319</v>
      </c>
      <c r="K2299" s="3" t="str">
        <f>IFERROR(__xludf.DUMMYFUNCTION("""COMPUTED_VALUE"""),"นายรัฐภูมิ กิตติอิชฌติ")</f>
        <v>นายรัฐภูมิ กิตติอิชฌติ</v>
      </c>
      <c r="L2299" s="1" t="str">
        <f>IFERROR(__xludf.DUMMYFUNCTION("""COMPUTED_VALUE"""),"0")</f>
        <v>0</v>
      </c>
      <c r="M2299" s="1" t="str">
        <f>IFERROR(__xludf.DUMMYFUNCTION("""COMPUTED_VALUE"""),"0")</f>
        <v>0</v>
      </c>
      <c r="N2299" s="3">
        <f>IFERROR(__xludf.DUMMYFUNCTION("""COMPUTED_VALUE"""),61002.0)</f>
        <v>61002</v>
      </c>
      <c r="O2299" s="3" t="str">
        <f>IFERROR(__xludf.DUMMYFUNCTION("""COMPUTED_VALUE"""),"โบลาเวน_บิ๊กซีราชดำริ")</f>
        <v>โบลาเวน_บิ๊กซีราชดำริ</v>
      </c>
      <c r="P2299" s="4">
        <f>IFERROR(__xludf.DUMMYFUNCTION("""COMPUTED_VALUE"""),45099.0)</f>
        <v>45099</v>
      </c>
      <c r="Q2299" s="3" t="str">
        <f>IFERROR(__xludf.DUMMYFUNCTION("""COMPUTED_VALUE"""),"I")</f>
        <v>I</v>
      </c>
      <c r="R2299" s="3" t="str">
        <f>IFERROR(__xludf.DUMMYFUNCTION("""COMPUTED_VALUE"""),"Small Format")</f>
        <v>Small Format</v>
      </c>
      <c r="S2299" s="3" t="str">
        <f>IFERROR(__xludf.DUMMYFUNCTION("""COMPUTED_VALUE"""),"WAWEE")</f>
        <v>WAWEE</v>
      </c>
      <c r="T2299" s="3" t="str">
        <f>IFERROR(__xludf.DUMMYFUNCTION("""COMPUTED_VALUE"""),"#N/A")</f>
        <v>#N/A</v>
      </c>
      <c r="U2299" s="3" t="str">
        <f>IFERROR(__xludf.DUMMYFUNCTION("""COMPUTED_VALUE"""),"#N/A")</f>
        <v>#N/A</v>
      </c>
      <c r="V2299" s="3" t="str">
        <f>IFERROR(__xludf.DUMMYFUNCTION("""COMPUTED_VALUE"""),"N")</f>
        <v>N</v>
      </c>
      <c r="W2299" s="3">
        <f>IFERROR(__xludf.DUMMYFUNCTION("""COMPUTED_VALUE"""),0.0)</f>
        <v>0</v>
      </c>
      <c r="X2299" s="3" t="str">
        <f>IFERROR(__xludf.DUMMYFUNCTION("""COMPUTED_VALUE"""),"97/11 ถนนราชดำริห์ แขวงลุมพินี เขตปทุมวัน กรุงเทพมหานคร 10330")</f>
        <v>97/11 ถนนราชดำริห์ แขวงลุมพินี เขตปทุมวัน กรุงเทพมหานคร 10330</v>
      </c>
      <c r="Y2299" s="3" t="str">
        <f>IFERROR(__xludf.DUMMYFUNCTION("""COMPUTED_VALUE"""),"ถนนราชดำริห์")</f>
        <v>ถนนราชดำริห์</v>
      </c>
      <c r="Z2299" s="3" t="str">
        <f>IFERROR(__xludf.DUMMYFUNCTION("""COMPUTED_VALUE"""),"ลุมพินี")</f>
        <v>ลุมพินี</v>
      </c>
      <c r="AA2299" s="3" t="str">
        <f>IFERROR(__xludf.DUMMYFUNCTION("""COMPUTED_VALUE"""),"ปทุมวัน")</f>
        <v>ปทุมวัน</v>
      </c>
      <c r="AB2299" s="3" t="str">
        <f>IFERROR(__xludf.DUMMYFUNCTION("""COMPUTED_VALUE"""),"กรุงเทพมหานคร")</f>
        <v>กรุงเทพมหานคร</v>
      </c>
      <c r="AC2299" s="3">
        <f>IFERROR(__xludf.DUMMYFUNCTION("""COMPUTED_VALUE"""),10330.0)</f>
        <v>10330</v>
      </c>
      <c r="AD2299" s="3">
        <f>IFERROR(__xludf.DUMMYFUNCTION("""COMPUTED_VALUE"""),0.0)</f>
        <v>0</v>
      </c>
      <c r="AE2299" s="3">
        <f>IFERROR(__xludf.DUMMYFUNCTION("""COMPUTED_VALUE"""),0.0)</f>
        <v>0</v>
      </c>
      <c r="AF2299" s="3" t="str">
        <f>IFERROR(__xludf.DUMMYFUNCTION("""COMPUTED_VALUE"""),"โบลาเวน_บิ๊กซีราชดำริ-61002")</f>
        <v>โบลาเวน_บิ๊กซีราชดำริ-61002</v>
      </c>
      <c r="AG2299" s="3" t="str">
        <f>IFERROR(__xludf.DUMMYFUNCTION("""COMPUTED_VALUE"""),"กลาง")</f>
        <v>กลาง</v>
      </c>
      <c r="AH2299" s="3" t="str">
        <f>IFERROR(__xludf.DUMMYFUNCTION("""COMPUTED_VALUE"""),"#N/A")</f>
        <v>#N/A</v>
      </c>
      <c r="AI2299" s="3" t="str">
        <f>IFERROR(__xludf.DUMMYFUNCTION("""COMPUTED_VALUE"""),"Out of warranty")</f>
        <v>Out of warranty</v>
      </c>
      <c r="AJ2299" s="3">
        <f>IFERROR(__xludf.DUMMYFUNCTION("""COMPUTED_VALUE"""),31.0)</f>
        <v>31</v>
      </c>
      <c r="AK2299" s="3"/>
      <c r="AL2299" s="3"/>
    </row>
    <row r="2300" ht="15.75" customHeight="1">
      <c r="A2300" s="1" t="str">
        <f>IFERROR(__xludf.DUMMYFUNCTION("""COMPUTED_VALUE"""),"61003")</f>
        <v>61003</v>
      </c>
      <c r="B2300" s="2">
        <f>IFERROR(__xludf.DUMMYFUNCTION("""COMPUTED_VALUE"""),61003.0)</f>
        <v>61003</v>
      </c>
      <c r="C2300" s="3" t="str">
        <f>IFERROR(__xludf.DUMMYFUNCTION("""COMPUTED_VALUE"""),"โบลาเวน_บิ๊กซีราชดำริ ชั้น 6")</f>
        <v>โบลาเวน_บิ๊กซีราชดำริ ชั้น 6</v>
      </c>
      <c r="D2300" s="3" t="str">
        <f>IFERROR(__xludf.DUMMYFUNCTION("""COMPUTED_VALUE"""),"BIGC RAJDUMRI BOLAVEN 6 Fl")</f>
        <v>BIGC RAJDUMRI BOLAVEN 6 Fl</v>
      </c>
      <c r="E2300" s="1" t="str">
        <f>IFERROR(__xludf.DUMMYFUNCTION("""COMPUTED_VALUE"""),"WAWEE")</f>
        <v>WAWEE</v>
      </c>
      <c r="F2300" s="3"/>
      <c r="G2300" s="3"/>
      <c r="H2300" s="3"/>
      <c r="I2300" s="3"/>
      <c r="J2300" s="3">
        <f>IFERROR(__xludf.DUMMYFUNCTION("""COMPUTED_VALUE"""),296319.0)</f>
        <v>296319</v>
      </c>
      <c r="K2300" s="3" t="str">
        <f>IFERROR(__xludf.DUMMYFUNCTION("""COMPUTED_VALUE"""),"นายรัฐภูมิ กิตติอิชฌติ")</f>
        <v>นายรัฐภูมิ กิตติอิชฌติ</v>
      </c>
      <c r="L2300" s="1" t="str">
        <f>IFERROR(__xludf.DUMMYFUNCTION("""COMPUTED_VALUE"""),"0")</f>
        <v>0</v>
      </c>
      <c r="M2300" s="1" t="str">
        <f>IFERROR(__xludf.DUMMYFUNCTION("""COMPUTED_VALUE"""),"0")</f>
        <v>0</v>
      </c>
      <c r="N2300" s="3">
        <f>IFERROR(__xludf.DUMMYFUNCTION("""COMPUTED_VALUE"""),61003.0)</f>
        <v>61003</v>
      </c>
      <c r="O2300" s="3" t="str">
        <f>IFERROR(__xludf.DUMMYFUNCTION("""COMPUTED_VALUE"""),"โบลาเวน_บิ๊กซีราชดำริ ชั้น 6")</f>
        <v>โบลาเวน_บิ๊กซีราชดำริ ชั้น 6</v>
      </c>
      <c r="P2300" s="4">
        <f>IFERROR(__xludf.DUMMYFUNCTION("""COMPUTED_VALUE"""),43273.0)</f>
        <v>43273</v>
      </c>
      <c r="Q2300" s="3" t="str">
        <f>IFERROR(__xludf.DUMMYFUNCTION("""COMPUTED_VALUE"""),"I")</f>
        <v>I</v>
      </c>
      <c r="R2300" s="3" t="str">
        <f>IFERROR(__xludf.DUMMYFUNCTION("""COMPUTED_VALUE"""),"Small Format")</f>
        <v>Small Format</v>
      </c>
      <c r="S2300" s="3" t="str">
        <f>IFERROR(__xludf.DUMMYFUNCTION("""COMPUTED_VALUE"""),"WAWEE")</f>
        <v>WAWEE</v>
      </c>
      <c r="T2300" s="3" t="str">
        <f>IFERROR(__xludf.DUMMYFUNCTION("""COMPUTED_VALUE"""),"#N/A")</f>
        <v>#N/A</v>
      </c>
      <c r="U2300" s="3" t="str">
        <f>IFERROR(__xludf.DUMMYFUNCTION("""COMPUTED_VALUE"""),"#N/A")</f>
        <v>#N/A</v>
      </c>
      <c r="V2300" s="3" t="str">
        <f>IFERROR(__xludf.DUMMYFUNCTION("""COMPUTED_VALUE"""),"N")</f>
        <v>N</v>
      </c>
      <c r="W2300" s="3">
        <f>IFERROR(__xludf.DUMMYFUNCTION("""COMPUTED_VALUE"""),0.0)</f>
        <v>0</v>
      </c>
      <c r="X2300" s="3" t="str">
        <f>IFERROR(__xludf.DUMMYFUNCTION("""COMPUTED_VALUE"""),"97/11 ถนนราชดำริห์ แขวงลุมพินี เขตปทุมวัน กรุงเทพมหานคร 10330")</f>
        <v>97/11 ถนนราชดำริห์ แขวงลุมพินี เขตปทุมวัน กรุงเทพมหานคร 10330</v>
      </c>
      <c r="Y2300" s="3" t="str">
        <f>IFERROR(__xludf.DUMMYFUNCTION("""COMPUTED_VALUE"""),"ถนนราชดำริห์")</f>
        <v>ถนนราชดำริห์</v>
      </c>
      <c r="Z2300" s="3" t="str">
        <f>IFERROR(__xludf.DUMMYFUNCTION("""COMPUTED_VALUE"""),"ลุมพินี")</f>
        <v>ลุมพินี</v>
      </c>
      <c r="AA2300" s="3" t="str">
        <f>IFERROR(__xludf.DUMMYFUNCTION("""COMPUTED_VALUE"""),"ปทุมวัน")</f>
        <v>ปทุมวัน</v>
      </c>
      <c r="AB2300" s="3" t="str">
        <f>IFERROR(__xludf.DUMMYFUNCTION("""COMPUTED_VALUE"""),"กรุงเทพมหานคร")</f>
        <v>กรุงเทพมหานคร</v>
      </c>
      <c r="AC2300" s="3">
        <f>IFERROR(__xludf.DUMMYFUNCTION("""COMPUTED_VALUE"""),10330.0)</f>
        <v>10330</v>
      </c>
      <c r="AD2300" s="3">
        <f>IFERROR(__xludf.DUMMYFUNCTION("""COMPUTED_VALUE"""),0.0)</f>
        <v>0</v>
      </c>
      <c r="AE2300" s="3">
        <f>IFERROR(__xludf.DUMMYFUNCTION("""COMPUTED_VALUE"""),0.0)</f>
        <v>0</v>
      </c>
      <c r="AF2300" s="3" t="str">
        <f>IFERROR(__xludf.DUMMYFUNCTION("""COMPUTED_VALUE"""),"โบลาเวน_บิ๊กซีราชดำริ ชั้น 6-61003")</f>
        <v>โบลาเวน_บิ๊กซีราชดำริ ชั้น 6-61003</v>
      </c>
      <c r="AG2300" s="3" t="str">
        <f>IFERROR(__xludf.DUMMYFUNCTION("""COMPUTED_VALUE"""),"กลาง")</f>
        <v>กลาง</v>
      </c>
      <c r="AH2300" s="3" t="str">
        <f>IFERROR(__xludf.DUMMYFUNCTION("""COMPUTED_VALUE"""),"#N/A")</f>
        <v>#N/A</v>
      </c>
      <c r="AI2300" s="3" t="str">
        <f>IFERROR(__xludf.DUMMYFUNCTION("""COMPUTED_VALUE"""),"Out of warranty")</f>
        <v>Out of warranty</v>
      </c>
      <c r="AJ2300" s="3">
        <f>IFERROR(__xludf.DUMMYFUNCTION("""COMPUTED_VALUE"""),91.0)</f>
        <v>91</v>
      </c>
      <c r="AK2300" s="3"/>
      <c r="AL2300" s="3"/>
    </row>
    <row r="2301" ht="15.75" customHeight="1">
      <c r="A2301" s="1" t="str">
        <f>IFERROR(__xludf.DUMMYFUNCTION("""COMPUTED_VALUE"""),"62000")</f>
        <v>62000</v>
      </c>
      <c r="B2301" s="2">
        <f>IFERROR(__xludf.DUMMYFUNCTION("""COMPUTED_VALUE"""),62000.0)</f>
        <v>62000</v>
      </c>
      <c r="C2301" s="3" t="str">
        <f>IFERROR(__xludf.DUMMYFUNCTION("""COMPUTED_VALUE"""),"วาวี_บิ๊กซี ราชดำริชั้น 2")</f>
        <v>วาวี_บิ๊กซี ราชดำริชั้น 2</v>
      </c>
      <c r="D2301" s="3" t="str">
        <f>IFERROR(__xludf.DUMMYFUNCTION("""COMPUTED_VALUE"""),"BJC MEGAMARKET HEAD OFFICE")</f>
        <v>BJC MEGAMARKET HEAD OFFICE</v>
      </c>
      <c r="E2301" s="1" t="str">
        <f>IFERROR(__xludf.DUMMYFUNCTION("""COMPUTED_VALUE"""),"WAWEE")</f>
        <v>WAWEE</v>
      </c>
      <c r="F2301" s="3"/>
      <c r="G2301" s="3"/>
      <c r="H2301" s="3"/>
      <c r="I2301" s="3"/>
      <c r="J2301" s="3"/>
      <c r="K2301" s="3"/>
      <c r="L2301" s="1" t="str">
        <f>IFERROR(__xludf.DUMMYFUNCTION("""COMPUTED_VALUE"""),"0")</f>
        <v>0</v>
      </c>
      <c r="M2301" s="1" t="str">
        <f>IFERROR(__xludf.DUMMYFUNCTION("""COMPUTED_VALUE"""),"0")</f>
        <v>0</v>
      </c>
      <c r="N2301" s="3"/>
      <c r="O2301" s="3"/>
      <c r="P2301" s="3" t="str">
        <f>IFERROR(__xludf.DUMMYFUNCTION("""COMPUTED_VALUE"""),"0/1/1900")</f>
        <v>0/1/1900</v>
      </c>
      <c r="Q2301" s="3" t="str">
        <f>IFERROR(__xludf.DUMMYFUNCTION("""COMPUTED_VALUE"""),"I")</f>
        <v>I</v>
      </c>
      <c r="R2301" s="3" t="str">
        <f>IFERROR(__xludf.DUMMYFUNCTION("""COMPUTED_VALUE"""),"Small Format")</f>
        <v>Small Format</v>
      </c>
      <c r="S2301" s="3" t="str">
        <f>IFERROR(__xludf.DUMMYFUNCTION("""COMPUTED_VALUE"""),"WAWEE")</f>
        <v>WAWEE</v>
      </c>
      <c r="T2301" s="3" t="str">
        <f>IFERROR(__xludf.DUMMYFUNCTION("""COMPUTED_VALUE"""),"#N/A")</f>
        <v>#N/A</v>
      </c>
      <c r="U2301" s="3" t="str">
        <f>IFERROR(__xludf.DUMMYFUNCTION("""COMPUTED_VALUE"""),"#N/A")</f>
        <v>#N/A</v>
      </c>
      <c r="V2301" s="3" t="str">
        <f>IFERROR(__xludf.DUMMYFUNCTION("""COMPUTED_VALUE"""),"N")</f>
        <v>N</v>
      </c>
      <c r="W2301" s="3">
        <f>IFERROR(__xludf.DUMMYFUNCTION("""COMPUTED_VALUE"""),0.0)</f>
        <v>0</v>
      </c>
      <c r="X2301" s="3" t="str">
        <f>IFERROR(__xludf.DUMMYFUNCTION("""COMPUTED_VALUE"""),"97/11 ชั้น6 ถนนราชดำริห์ แขวงลุมพินี เขตปทุมวัน กรุงเทพมหานคร 10330")</f>
        <v>97/11 ชั้น6 ถนนราชดำริห์ แขวงลุมพินี เขตปทุมวัน กรุงเทพมหานคร 10330</v>
      </c>
      <c r="Y2301" s="3" t="str">
        <f>IFERROR(__xludf.DUMMYFUNCTION("""COMPUTED_VALUE"""),"ราชดำริห์")</f>
        <v>ราชดำริห์</v>
      </c>
      <c r="Z2301" s="3" t="str">
        <f>IFERROR(__xludf.DUMMYFUNCTION("""COMPUTED_VALUE"""),"ลุมพินี")</f>
        <v>ลุมพินี</v>
      </c>
      <c r="AA2301" s="3" t="str">
        <f>IFERROR(__xludf.DUMMYFUNCTION("""COMPUTED_VALUE"""),"ปทุมวัน")</f>
        <v>ปทุมวัน</v>
      </c>
      <c r="AB2301" s="3" t="str">
        <f>IFERROR(__xludf.DUMMYFUNCTION("""COMPUTED_VALUE"""),"กรุงเทพมหานคร")</f>
        <v>กรุงเทพมหานคร</v>
      </c>
      <c r="AC2301" s="3">
        <f>IFERROR(__xludf.DUMMYFUNCTION("""COMPUTED_VALUE"""),10330.0)</f>
        <v>10330</v>
      </c>
      <c r="AD2301" s="3">
        <f>IFERROR(__xludf.DUMMYFUNCTION("""COMPUTED_VALUE"""),0.0)</f>
        <v>0</v>
      </c>
      <c r="AE2301" s="3">
        <f>IFERROR(__xludf.DUMMYFUNCTION("""COMPUTED_VALUE"""),0.0)</f>
        <v>0</v>
      </c>
      <c r="AF2301" s="3" t="str">
        <f>IFERROR(__xludf.DUMMYFUNCTION("""COMPUTED_VALUE"""),"วาวี_บิ๊กซี ราชดำริชั้น 2-62000")</f>
        <v>วาวี_บิ๊กซี ราชดำริชั้น 2-62000</v>
      </c>
      <c r="AG2301" s="3" t="str">
        <f>IFERROR(__xludf.DUMMYFUNCTION("""COMPUTED_VALUE"""),"กลาง")</f>
        <v>กลาง</v>
      </c>
      <c r="AH2301" s="3" t="str">
        <f>IFERROR(__xludf.DUMMYFUNCTION("""COMPUTED_VALUE"""),"#N/A")</f>
        <v>#N/A</v>
      </c>
      <c r="AI2301" s="3" t="str">
        <f>IFERROR(__xludf.DUMMYFUNCTION("""COMPUTED_VALUE"""),"Out of warranty")</f>
        <v>Out of warranty</v>
      </c>
      <c r="AJ2301" s="3">
        <f>IFERROR(__xludf.DUMMYFUNCTION("""COMPUTED_VALUE"""),1513.0)</f>
        <v>1513</v>
      </c>
      <c r="AK2301" s="3"/>
      <c r="AL2301" s="3"/>
    </row>
    <row r="2302" ht="15.75" customHeight="1">
      <c r="A2302" s="1" t="str">
        <f>IFERROR(__xludf.DUMMYFUNCTION("""COMPUTED_VALUE"""),"62001")</f>
        <v>62001</v>
      </c>
      <c r="B2302" s="2">
        <f>IFERROR(__xludf.DUMMYFUNCTION("""COMPUTED_VALUE"""),62001.0)</f>
        <v>62001</v>
      </c>
      <c r="C2302" s="3" t="str">
        <f>IFERROR(__xludf.DUMMYFUNCTION("""COMPUTED_VALUE"""),"วาวี_บิ๊กซี ราชดำริชั้น 2")</f>
        <v>วาวี_บิ๊กซี ราชดำริชั้น 2</v>
      </c>
      <c r="D2302" s="3" t="str">
        <f>IFERROR(__xludf.DUMMYFUNCTION("""COMPUTED_VALUE"""),"BIGC RAJDAMRI2 FL WAWEE")</f>
        <v>BIGC RAJDAMRI2 FL WAWEE</v>
      </c>
      <c r="E2302" s="1" t="str">
        <f>IFERROR(__xludf.DUMMYFUNCTION("""COMPUTED_VALUE"""),"WAWEE")</f>
        <v>WAWEE</v>
      </c>
      <c r="F2302" s="1" t="str">
        <f>IFERROR(__xludf.DUMMYFUNCTION("""COMPUTED_VALUE"""),"296850")</f>
        <v>296850</v>
      </c>
      <c r="G2302" s="1" t="str">
        <f>IFERROR(__xludf.DUMMYFUNCTION("""COMPUTED_VALUE"""),"นายชุติเทพ โศภิษฐ์ปริวัฒน์")</f>
        <v>นายชุติเทพ โศภิษฐ์ปริวัฒน์</v>
      </c>
      <c r="H2302" s="1" t="str">
        <f>IFERROR(__xludf.DUMMYFUNCTION("""COMPUTED_VALUE"""),"296300")</f>
        <v>296300</v>
      </c>
      <c r="I2302" s="1" t="str">
        <f>IFERROR(__xludf.DUMMYFUNCTION("""COMPUTED_VALUE"""),"น.ส.วันเพ็ญ วันแสน")</f>
        <v>น.ส.วันเพ็ญ วันแสน</v>
      </c>
      <c r="J2302" s="3">
        <f>IFERROR(__xludf.DUMMYFUNCTION("""COMPUTED_VALUE"""),296319.0)</f>
        <v>296319</v>
      </c>
      <c r="K2302" s="3" t="str">
        <f>IFERROR(__xludf.DUMMYFUNCTION("""COMPUTED_VALUE"""),"นายรัฐภูมิ กิตติอิชฌติ")</f>
        <v>นายรัฐภูมิ กิตติอิชฌติ</v>
      </c>
      <c r="L2302" s="1" t="str">
        <f>IFERROR(__xludf.DUMMYFUNCTION("""COMPUTED_VALUE"""),"0")</f>
        <v>0</v>
      </c>
      <c r="M2302" s="1" t="str">
        <f>IFERROR(__xludf.DUMMYFUNCTION("""COMPUTED_VALUE"""),"0")</f>
        <v>0</v>
      </c>
      <c r="N2302" s="3">
        <f>IFERROR(__xludf.DUMMYFUNCTION("""COMPUTED_VALUE"""),62001.0)</f>
        <v>62001</v>
      </c>
      <c r="O2302" s="3" t="str">
        <f>IFERROR(__xludf.DUMMYFUNCTION("""COMPUTED_VALUE"""),"วาวี_บิ๊กซี ราชดำริชั้น 2")</f>
        <v>วาวี_บิ๊กซี ราชดำริชั้น 2</v>
      </c>
      <c r="P2302" s="4">
        <f>IFERROR(__xludf.DUMMYFUNCTION("""COMPUTED_VALUE"""),43273.0)</f>
        <v>43273</v>
      </c>
      <c r="Q2302" s="3" t="str">
        <f>IFERROR(__xludf.DUMMYFUNCTION("""COMPUTED_VALUE"""),"I")</f>
        <v>I</v>
      </c>
      <c r="R2302" s="3" t="str">
        <f>IFERROR(__xludf.DUMMYFUNCTION("""COMPUTED_VALUE"""),"Small Format")</f>
        <v>Small Format</v>
      </c>
      <c r="S2302" s="3" t="str">
        <f>IFERROR(__xludf.DUMMYFUNCTION("""COMPUTED_VALUE"""),"WAWEE")</f>
        <v>WAWEE</v>
      </c>
      <c r="T2302" s="3" t="str">
        <f>IFERROR(__xludf.DUMMYFUNCTION("""COMPUTED_VALUE"""),"#N/A")</f>
        <v>#N/A</v>
      </c>
      <c r="U2302" s="3" t="str">
        <f>IFERROR(__xludf.DUMMYFUNCTION("""COMPUTED_VALUE"""),"#N/A")</f>
        <v>#N/A</v>
      </c>
      <c r="V2302" s="3" t="str">
        <f>IFERROR(__xludf.DUMMYFUNCTION("""COMPUTED_VALUE"""),"N")</f>
        <v>N</v>
      </c>
      <c r="W2302" s="3">
        <f>IFERROR(__xludf.DUMMYFUNCTION("""COMPUTED_VALUE"""),181045.0)</f>
        <v>181045</v>
      </c>
      <c r="X2302" s="3" t="str">
        <f>IFERROR(__xludf.DUMMYFUNCTION("""COMPUTED_VALUE"""),"97/11 ชั้น2 ถนนราชดำริห์ แขวงลุมพินี เขตปทุมวัน กรุงเทพมหานคร 10330")</f>
        <v>97/11 ชั้น2 ถนนราชดำริห์ แขวงลุมพินี เขตปทุมวัน กรุงเทพมหานคร 10330</v>
      </c>
      <c r="Y2302" s="3" t="str">
        <f>IFERROR(__xludf.DUMMYFUNCTION("""COMPUTED_VALUE"""),"ราชดำริห์")</f>
        <v>ราชดำริห์</v>
      </c>
      <c r="Z2302" s="3" t="str">
        <f>IFERROR(__xludf.DUMMYFUNCTION("""COMPUTED_VALUE"""),"ลุมพินี")</f>
        <v>ลุมพินี</v>
      </c>
      <c r="AA2302" s="3" t="str">
        <f>IFERROR(__xludf.DUMMYFUNCTION("""COMPUTED_VALUE"""),"ปทุมวัน")</f>
        <v>ปทุมวัน</v>
      </c>
      <c r="AB2302" s="3" t="str">
        <f>IFERROR(__xludf.DUMMYFUNCTION("""COMPUTED_VALUE"""),"กรุงเทพมหานคร")</f>
        <v>กรุงเทพมหานคร</v>
      </c>
      <c r="AC2302" s="3">
        <f>IFERROR(__xludf.DUMMYFUNCTION("""COMPUTED_VALUE"""),10330.0)</f>
        <v>10330</v>
      </c>
      <c r="AD2302" s="3">
        <f>IFERROR(__xludf.DUMMYFUNCTION("""COMPUTED_VALUE"""),0.0)</f>
        <v>0</v>
      </c>
      <c r="AE2302" s="3">
        <f>IFERROR(__xludf.DUMMYFUNCTION("""COMPUTED_VALUE"""),0.0)</f>
        <v>0</v>
      </c>
      <c r="AF2302" s="3" t="str">
        <f>IFERROR(__xludf.DUMMYFUNCTION("""COMPUTED_VALUE"""),"วาวี_บิ๊กซี ราชดำริชั้น 2-62001")</f>
        <v>วาวี_บิ๊กซี ราชดำริชั้น 2-62001</v>
      </c>
      <c r="AG2302" s="3" t="str">
        <f>IFERROR(__xludf.DUMMYFUNCTION("""COMPUTED_VALUE"""),"กลาง")</f>
        <v>กลาง</v>
      </c>
      <c r="AH2302" s="3" t="str">
        <f>IFERROR(__xludf.DUMMYFUNCTION("""COMPUTED_VALUE"""),"#N/A")</f>
        <v>#N/A</v>
      </c>
      <c r="AI2302" s="3" t="str">
        <f>IFERROR(__xludf.DUMMYFUNCTION("""COMPUTED_VALUE"""),"Out of warranty")</f>
        <v>Out of warranty</v>
      </c>
      <c r="AJ2302" s="3">
        <f>IFERROR(__xludf.DUMMYFUNCTION("""COMPUTED_VALUE"""),91.0)</f>
        <v>91</v>
      </c>
      <c r="AK2302" s="3"/>
      <c r="AL2302" s="3"/>
    </row>
    <row r="2303" ht="15.75" customHeight="1">
      <c r="A2303" s="1" t="str">
        <f>IFERROR(__xludf.DUMMYFUNCTION("""COMPUTED_VALUE"""),"62002")</f>
        <v>62002</v>
      </c>
      <c r="B2303" s="2">
        <f>IFERROR(__xludf.DUMMYFUNCTION("""COMPUTED_VALUE"""),62002.0)</f>
        <v>62002</v>
      </c>
      <c r="C2303" s="3" t="str">
        <f>IFERROR(__xludf.DUMMYFUNCTION("""COMPUTED_VALUE"""),"วาวี_โรงคั่ว")</f>
        <v>วาวี_โรงคั่ว</v>
      </c>
      <c r="D2303" s="3" t="str">
        <f>IFERROR(__xludf.DUMMYFUNCTION("""COMPUTED_VALUE"""),"BJC MEGAMARKET CO FACTORY")</f>
        <v>BJC MEGAMARKET CO FACTORY</v>
      </c>
      <c r="E2303" s="1" t="str">
        <f>IFERROR(__xludf.DUMMYFUNCTION("""COMPUTED_VALUE"""),"WAWEE")</f>
        <v>WAWEE</v>
      </c>
      <c r="F2303" s="1" t="str">
        <f>IFERROR(__xludf.DUMMYFUNCTION("""COMPUTED_VALUE"""),"2083032")</f>
        <v>2083032</v>
      </c>
      <c r="G2303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03" s="1" t="str">
        <f>IFERROR(__xludf.DUMMYFUNCTION("""COMPUTED_VALUE"""),"2136555")</f>
        <v>2136555</v>
      </c>
      <c r="I2303" s="1" t="str">
        <f>IFERROR(__xludf.DUMMYFUNCTION("""COMPUTED_VALUE"""),"น.ส.ทาลินี ปาละตึง")</f>
        <v>น.ส.ทาลินี ปาละตึง</v>
      </c>
      <c r="J2303" s="3">
        <f>IFERROR(__xludf.DUMMYFUNCTION("""COMPUTED_VALUE"""),2083032.0)</f>
        <v>2083032</v>
      </c>
      <c r="K2303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03" s="1" t="str">
        <f>IFERROR(__xludf.DUMMYFUNCTION("""COMPUTED_VALUE"""),"WAWEE")</f>
        <v>WAWEE</v>
      </c>
      <c r="M2303" s="1" t="str">
        <f>IFERROR(__xludf.DUMMYFUNCTION("""COMPUTED_VALUE"""),"065-505-7642")</f>
        <v>065-505-7642</v>
      </c>
      <c r="N2303" s="3">
        <f>IFERROR(__xludf.DUMMYFUNCTION("""COMPUTED_VALUE"""),62004.0)</f>
        <v>62004</v>
      </c>
      <c r="O2303" s="3" t="str">
        <f>IFERROR(__xludf.DUMMYFUNCTION("""COMPUTED_VALUE"""),"วาวี_ท่ากระดาษริมเหมือง")</f>
        <v>วาวี_ท่ากระดาษริมเหมือง</v>
      </c>
      <c r="P2303" s="4">
        <f>IFERROR(__xludf.DUMMYFUNCTION("""COMPUTED_VALUE"""),41671.0)</f>
        <v>41671</v>
      </c>
      <c r="Q2303" s="3" t="str">
        <f>IFERROR(__xludf.DUMMYFUNCTION("""COMPUTED_VALUE"""),"A")</f>
        <v>A</v>
      </c>
      <c r="R2303" s="3" t="str">
        <f>IFERROR(__xludf.DUMMYFUNCTION("""COMPUTED_VALUE"""),"Small Format")</f>
        <v>Small Format</v>
      </c>
      <c r="S2303" s="3" t="str">
        <f>IFERROR(__xludf.DUMMYFUNCTION("""COMPUTED_VALUE"""),"WAWEE")</f>
        <v>WAWEE</v>
      </c>
      <c r="T2303" s="3" t="str">
        <f>IFERROR(__xludf.DUMMYFUNCTION("""COMPUTED_VALUE"""),"WAWEE")</f>
        <v>WAWEE</v>
      </c>
      <c r="U2303" s="3" t="str">
        <f>IFERROR(__xludf.DUMMYFUNCTION("""COMPUTED_VALUE"""),"#N/A")</f>
        <v>#N/A</v>
      </c>
      <c r="V2303" s="3" t="str">
        <f>IFERROR(__xludf.DUMMYFUNCTION("""COMPUTED_VALUE"""),"N")</f>
        <v>N</v>
      </c>
      <c r="W2303" s="3">
        <f>IFERROR(__xludf.DUMMYFUNCTION("""COMPUTED_VALUE"""),0.0)</f>
        <v>0</v>
      </c>
      <c r="X2303" s="3" t="str">
        <f>IFERROR(__xludf.DUMMYFUNCTION("""COMPUTED_VALUE"""),"88/8 หมู่2 ตำบลสันผีเสื้อ อำเภอเมืองเชียงใหม่ จังหวัดเชียงใหม่ 50300")</f>
        <v>88/8 หมู่2 ตำบลสันผีเสื้อ อำเภอเมืองเชียงใหม่ จังหวัดเชียงใหม่ 50300</v>
      </c>
      <c r="Y2303" s="3"/>
      <c r="Z2303" s="3" t="str">
        <f>IFERROR(__xludf.DUMMYFUNCTION("""COMPUTED_VALUE"""),"สันผีเสื้อ")</f>
        <v>สันผีเสื้อ</v>
      </c>
      <c r="AA2303" s="3" t="str">
        <f>IFERROR(__xludf.DUMMYFUNCTION("""COMPUTED_VALUE"""),"เมือง")</f>
        <v>เมือง</v>
      </c>
      <c r="AB2303" s="3" t="str">
        <f>IFERROR(__xludf.DUMMYFUNCTION("""COMPUTED_VALUE"""),"เชียงใหม่")</f>
        <v>เชียงใหม่</v>
      </c>
      <c r="AC2303" s="3">
        <f>IFERROR(__xludf.DUMMYFUNCTION("""COMPUTED_VALUE"""),50300.0)</f>
        <v>50300</v>
      </c>
      <c r="AD2303" s="3">
        <f>IFERROR(__xludf.DUMMYFUNCTION("""COMPUTED_VALUE"""),0.0)</f>
        <v>0</v>
      </c>
      <c r="AE2303" s="3">
        <f>IFERROR(__xludf.DUMMYFUNCTION("""COMPUTED_VALUE"""),0.0)</f>
        <v>0</v>
      </c>
      <c r="AF2303" s="3" t="str">
        <f>IFERROR(__xludf.DUMMYFUNCTION("""COMPUTED_VALUE"""),"วาวี_โรงคั่ว-62002")</f>
        <v>วาวี_โรงคั่ว-62002</v>
      </c>
      <c r="AG2303" s="3" t="str">
        <f>IFERROR(__xludf.DUMMYFUNCTION("""COMPUTED_VALUE"""),"เหนือ")</f>
        <v>เหนือ</v>
      </c>
      <c r="AH2303" s="3" t="str">
        <f>IFERROR(__xludf.DUMMYFUNCTION("""COMPUTED_VALUE"""),"#N/A")</f>
        <v>#N/A</v>
      </c>
      <c r="AI2303" s="3" t="str">
        <f>IFERROR(__xludf.DUMMYFUNCTION("""COMPUTED_VALUE"""),"Out of warranty")</f>
        <v>Out of warranty</v>
      </c>
      <c r="AJ2303" s="3">
        <f>IFERROR(__xludf.DUMMYFUNCTION("""COMPUTED_VALUE"""),144.0)</f>
        <v>144</v>
      </c>
      <c r="AK2303" s="3"/>
      <c r="AL2303" s="3"/>
    </row>
    <row r="2304" ht="15.75" customHeight="1">
      <c r="A2304" s="1" t="str">
        <f>IFERROR(__xludf.DUMMYFUNCTION("""COMPUTED_VALUE"""),"62003")</f>
        <v>62003</v>
      </c>
      <c r="B2304" s="2">
        <f>IFERROR(__xludf.DUMMYFUNCTION("""COMPUTED_VALUE"""),62003.0)</f>
        <v>62003</v>
      </c>
      <c r="C2304" s="3" t="str">
        <f>IFERROR(__xludf.DUMMYFUNCTION("""COMPUTED_VALUE"""),"วาวี_ท่ากระดาษริมเหมือง(คลัง)")</f>
        <v>วาวี_ท่ากระดาษริมเหมือง(คลัง)</v>
      </c>
      <c r="D2304" s="3" t="str">
        <f>IFERROR(__xludf.DUMMYFUNCTION("""COMPUTED_VALUE"""),"BJC MEGAMARKET RIM MUANG(DC)")</f>
        <v>BJC MEGAMARKET RIM MUANG(DC)</v>
      </c>
      <c r="E2304" s="1" t="str">
        <f>IFERROR(__xludf.DUMMYFUNCTION("""COMPUTED_VALUE"""),"WAWEE")</f>
        <v>WAWEE</v>
      </c>
      <c r="F2304" s="1" t="str">
        <f>IFERROR(__xludf.DUMMYFUNCTION("""COMPUTED_VALUE"""),"2083032")</f>
        <v>2083032</v>
      </c>
      <c r="G2304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04" s="1" t="str">
        <f>IFERROR(__xludf.DUMMYFUNCTION("""COMPUTED_VALUE"""),"2136555")</f>
        <v>2136555</v>
      </c>
      <c r="I2304" s="1" t="str">
        <f>IFERROR(__xludf.DUMMYFUNCTION("""COMPUTED_VALUE"""),"น.ส.ทาลินี ปาละตึง")</f>
        <v>น.ส.ทาลินี ปาละตึง</v>
      </c>
      <c r="J2304" s="3">
        <f>IFERROR(__xludf.DUMMYFUNCTION("""COMPUTED_VALUE"""),2083032.0)</f>
        <v>2083032</v>
      </c>
      <c r="K2304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04" s="1" t="str">
        <f>IFERROR(__xludf.DUMMYFUNCTION("""COMPUTED_VALUE"""),"WAWEE")</f>
        <v>WAWEE</v>
      </c>
      <c r="M2304" s="1" t="str">
        <f>IFERROR(__xludf.DUMMYFUNCTION("""COMPUTED_VALUE"""),"065-505-7642")</f>
        <v>065-505-7642</v>
      </c>
      <c r="N2304" s="3">
        <f>IFERROR(__xludf.DUMMYFUNCTION("""COMPUTED_VALUE"""),62004.0)</f>
        <v>62004</v>
      </c>
      <c r="O2304" s="3" t="str">
        <f>IFERROR(__xludf.DUMMYFUNCTION("""COMPUTED_VALUE"""),"วาวี_ท่ากระดาษริมเหมือง")</f>
        <v>วาวี_ท่ากระดาษริมเหมือง</v>
      </c>
      <c r="P2304" s="4">
        <f>IFERROR(__xludf.DUMMYFUNCTION("""COMPUTED_VALUE"""),43284.0)</f>
        <v>43284</v>
      </c>
      <c r="Q2304" s="3" t="str">
        <f>IFERROR(__xludf.DUMMYFUNCTION("""COMPUTED_VALUE"""),"A")</f>
        <v>A</v>
      </c>
      <c r="R2304" s="3" t="str">
        <f>IFERROR(__xludf.DUMMYFUNCTION("""COMPUTED_VALUE"""),"Small Format")</f>
        <v>Small Format</v>
      </c>
      <c r="S2304" s="3" t="str">
        <f>IFERROR(__xludf.DUMMYFUNCTION("""COMPUTED_VALUE"""),"WAWEE")</f>
        <v>WAWEE</v>
      </c>
      <c r="T2304" s="3" t="str">
        <f>IFERROR(__xludf.DUMMYFUNCTION("""COMPUTED_VALUE"""),"WAWEE")</f>
        <v>WAWEE</v>
      </c>
      <c r="U2304" s="3" t="str">
        <f>IFERROR(__xludf.DUMMYFUNCTION("""COMPUTED_VALUE"""),"#N/A")</f>
        <v>#N/A</v>
      </c>
      <c r="V2304" s="3" t="str">
        <f>IFERROR(__xludf.DUMMYFUNCTION("""COMPUTED_VALUE"""),"N")</f>
        <v>N</v>
      </c>
      <c r="W2304" s="3">
        <f>IFERROR(__xludf.DUMMYFUNCTION("""COMPUTED_VALUE"""),771002.0)</f>
        <v>771002</v>
      </c>
      <c r="X2304" s="3" t="str">
        <f>IFERROR(__xludf.DUMMYFUNCTION("""COMPUTED_VALUE"""),"183/2 หมู่6 ตำบลฟ้าฮ่าม อำเภอเมืองเชียงใหม่ จังหวัดเชียงใหม่ 50000")</f>
        <v>183/2 หมู่6 ตำบลฟ้าฮ่าม อำเภอเมืองเชียงใหม่ จังหวัดเชียงใหม่ 50000</v>
      </c>
      <c r="Y2304" s="3"/>
      <c r="Z2304" s="3" t="str">
        <f>IFERROR(__xludf.DUMMYFUNCTION("""COMPUTED_VALUE"""),"ฟ้าฮ่าม")</f>
        <v>ฟ้าฮ่าม</v>
      </c>
      <c r="AA2304" s="3" t="str">
        <f>IFERROR(__xludf.DUMMYFUNCTION("""COMPUTED_VALUE"""),"เมือง")</f>
        <v>เมือง</v>
      </c>
      <c r="AB2304" s="3" t="str">
        <f>IFERROR(__xludf.DUMMYFUNCTION("""COMPUTED_VALUE"""),"เชียงใหม่")</f>
        <v>เชียงใหม่</v>
      </c>
      <c r="AC2304" s="3">
        <f>IFERROR(__xludf.DUMMYFUNCTION("""COMPUTED_VALUE"""),50000.0)</f>
        <v>50000</v>
      </c>
      <c r="AD2304" s="3">
        <f>IFERROR(__xludf.DUMMYFUNCTION("""COMPUTED_VALUE"""),0.0)</f>
        <v>0</v>
      </c>
      <c r="AE2304" s="3">
        <f>IFERROR(__xludf.DUMMYFUNCTION("""COMPUTED_VALUE"""),0.0)</f>
        <v>0</v>
      </c>
      <c r="AF2304" s="3" t="str">
        <f>IFERROR(__xludf.DUMMYFUNCTION("""COMPUTED_VALUE"""),"วาวี_ท่ากระดาษริมเหมือง(คลัง)-62003")</f>
        <v>วาวี_ท่ากระดาษริมเหมือง(คลัง)-62003</v>
      </c>
      <c r="AG2304" s="3" t="str">
        <f>IFERROR(__xludf.DUMMYFUNCTION("""COMPUTED_VALUE"""),"เหนือ")</f>
        <v>เหนือ</v>
      </c>
      <c r="AH2304" s="3" t="str">
        <f>IFERROR(__xludf.DUMMYFUNCTION("""COMPUTED_VALUE"""),"#N/A")</f>
        <v>#N/A</v>
      </c>
      <c r="AI2304" s="3" t="str">
        <f>IFERROR(__xludf.DUMMYFUNCTION("""COMPUTED_VALUE"""),"Out of warranty")</f>
        <v>Out of warranty</v>
      </c>
      <c r="AJ2304" s="3">
        <f>IFERROR(__xludf.DUMMYFUNCTION("""COMPUTED_VALUE"""),91.0)</f>
        <v>91</v>
      </c>
      <c r="AK2304" s="3"/>
      <c r="AL2304" s="3"/>
    </row>
    <row r="2305" ht="15.75" customHeight="1">
      <c r="A2305" s="1" t="str">
        <f>IFERROR(__xludf.DUMMYFUNCTION("""COMPUTED_VALUE"""),"62004")</f>
        <v>62004</v>
      </c>
      <c r="B2305" s="2">
        <f>IFERROR(__xludf.DUMMYFUNCTION("""COMPUTED_VALUE"""),62004.0)</f>
        <v>62004</v>
      </c>
      <c r="C2305" s="3" t="str">
        <f>IFERROR(__xludf.DUMMYFUNCTION("""COMPUTED_VALUE"""),"วาวี_ท่ากระดาษริมเหมือง")</f>
        <v>วาวี_ท่ากระดาษริมเหมือง</v>
      </c>
      <c r="D2305" s="3" t="str">
        <f>IFERROR(__xludf.DUMMYFUNCTION("""COMPUTED_VALUE"""),"BIGC RIM MUANG WAWEE")</f>
        <v>BIGC RIM MUANG WAWEE</v>
      </c>
      <c r="E2305" s="1" t="str">
        <f>IFERROR(__xludf.DUMMYFUNCTION("""COMPUTED_VALUE"""),"WAWEE")</f>
        <v>WAWEE</v>
      </c>
      <c r="F2305" s="1" t="str">
        <f>IFERROR(__xludf.DUMMYFUNCTION("""COMPUTED_VALUE"""),"2083032")</f>
        <v>2083032</v>
      </c>
      <c r="G2305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05" s="1" t="str">
        <f>IFERROR(__xludf.DUMMYFUNCTION("""COMPUTED_VALUE"""),"2136555")</f>
        <v>2136555</v>
      </c>
      <c r="I2305" s="1" t="str">
        <f>IFERROR(__xludf.DUMMYFUNCTION("""COMPUTED_VALUE"""),"น.ส.ทาลินี ปาละตึง")</f>
        <v>น.ส.ทาลินี ปาละตึง</v>
      </c>
      <c r="J2305" s="3">
        <f>IFERROR(__xludf.DUMMYFUNCTION("""COMPUTED_VALUE"""),2083032.0)</f>
        <v>2083032</v>
      </c>
      <c r="K2305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05" s="1" t="str">
        <f>IFERROR(__xludf.DUMMYFUNCTION("""COMPUTED_VALUE"""),"WAWEE")</f>
        <v>WAWEE</v>
      </c>
      <c r="M2305" s="1" t="str">
        <f>IFERROR(__xludf.DUMMYFUNCTION("""COMPUTED_VALUE"""),"065-505-7642")</f>
        <v>065-505-7642</v>
      </c>
      <c r="N2305" s="3">
        <f>IFERROR(__xludf.DUMMYFUNCTION("""COMPUTED_VALUE"""),62004.0)</f>
        <v>62004</v>
      </c>
      <c r="O2305" s="3" t="str">
        <f>IFERROR(__xludf.DUMMYFUNCTION("""COMPUTED_VALUE"""),"วาวี_ท่ากระดาษริมเหมือง")</f>
        <v>วาวี_ท่ากระดาษริมเหมือง</v>
      </c>
      <c r="P2305" s="4">
        <f>IFERROR(__xludf.DUMMYFUNCTION("""COMPUTED_VALUE"""),43318.0)</f>
        <v>43318</v>
      </c>
      <c r="Q2305" s="3" t="str">
        <f>IFERROR(__xludf.DUMMYFUNCTION("""COMPUTED_VALUE"""),"A")</f>
        <v>A</v>
      </c>
      <c r="R2305" s="3" t="str">
        <f>IFERROR(__xludf.DUMMYFUNCTION("""COMPUTED_VALUE"""),"Small Format")</f>
        <v>Small Format</v>
      </c>
      <c r="S2305" s="3" t="str">
        <f>IFERROR(__xludf.DUMMYFUNCTION("""COMPUTED_VALUE"""),"WAWEE")</f>
        <v>WAWEE</v>
      </c>
      <c r="T2305" s="3" t="str">
        <f>IFERROR(__xludf.DUMMYFUNCTION("""COMPUTED_VALUE"""),"WAWEE")</f>
        <v>WAWEE</v>
      </c>
      <c r="U2305" s="3" t="str">
        <f>IFERROR(__xludf.DUMMYFUNCTION("""COMPUTED_VALUE"""),"#N/A")</f>
        <v>#N/A</v>
      </c>
      <c r="V2305" s="3" t="str">
        <f>IFERROR(__xludf.DUMMYFUNCTION("""COMPUTED_VALUE"""),"N")</f>
        <v>N</v>
      </c>
      <c r="W2305" s="3">
        <f>IFERROR(__xludf.DUMMYFUNCTION("""COMPUTED_VALUE"""),181041.0)</f>
        <v>181041</v>
      </c>
      <c r="X2305" s="3" t="str">
        <f>IFERROR(__xludf.DUMMYFUNCTION("""COMPUTED_VALUE"""),"183/2 หมู่6 ตำบลฟ้าฮ่าม อำเภอเมืองเชียงใหม่ จังหวัดเชียงใหม่ 50000")</f>
        <v>183/2 หมู่6 ตำบลฟ้าฮ่าม อำเภอเมืองเชียงใหม่ จังหวัดเชียงใหม่ 50000</v>
      </c>
      <c r="Y2305" s="3"/>
      <c r="Z2305" s="3" t="str">
        <f>IFERROR(__xludf.DUMMYFUNCTION("""COMPUTED_VALUE"""),"ฟ้าฮ่าม")</f>
        <v>ฟ้าฮ่าม</v>
      </c>
      <c r="AA2305" s="3" t="str">
        <f>IFERROR(__xludf.DUMMYFUNCTION("""COMPUTED_VALUE"""),"เมือง")</f>
        <v>เมือง</v>
      </c>
      <c r="AB2305" s="3" t="str">
        <f>IFERROR(__xludf.DUMMYFUNCTION("""COMPUTED_VALUE"""),"เชียงใหม่")</f>
        <v>เชียงใหม่</v>
      </c>
      <c r="AC2305" s="3">
        <f>IFERROR(__xludf.DUMMYFUNCTION("""COMPUTED_VALUE"""),50000.0)</f>
        <v>50000</v>
      </c>
      <c r="AD2305" s="3">
        <f>IFERROR(__xludf.DUMMYFUNCTION("""COMPUTED_VALUE"""),0.0)</f>
        <v>0</v>
      </c>
      <c r="AE2305" s="3">
        <f>IFERROR(__xludf.DUMMYFUNCTION("""COMPUTED_VALUE"""),0.0)</f>
        <v>0</v>
      </c>
      <c r="AF2305" s="3" t="str">
        <f>IFERROR(__xludf.DUMMYFUNCTION("""COMPUTED_VALUE"""),"วาวี_ท่ากระดาษริมเหมือง-62004")</f>
        <v>วาวี_ท่ากระดาษริมเหมือง-62004</v>
      </c>
      <c r="AG2305" s="3" t="str">
        <f>IFERROR(__xludf.DUMMYFUNCTION("""COMPUTED_VALUE"""),"เหนือ")</f>
        <v>เหนือ</v>
      </c>
      <c r="AH2305" s="3" t="str">
        <f>IFERROR(__xludf.DUMMYFUNCTION("""COMPUTED_VALUE"""),"#N/A")</f>
        <v>#N/A</v>
      </c>
      <c r="AI2305" s="3" t="str">
        <f>IFERROR(__xludf.DUMMYFUNCTION("""COMPUTED_VALUE"""),"Out of warranty")</f>
        <v>Out of warranty</v>
      </c>
      <c r="AJ2305" s="3">
        <f>IFERROR(__xludf.DUMMYFUNCTION("""COMPUTED_VALUE"""),90.0)</f>
        <v>90</v>
      </c>
      <c r="AK2305" s="3"/>
      <c r="AL2305" s="3"/>
    </row>
    <row r="2306" ht="15.75" customHeight="1">
      <c r="A2306" s="1" t="str">
        <f>IFERROR(__xludf.DUMMYFUNCTION("""COMPUTED_VALUE"""),"62005")</f>
        <v>62005</v>
      </c>
      <c r="B2306" s="2">
        <f>IFERROR(__xludf.DUMMYFUNCTION("""COMPUTED_VALUE"""),62005.0)</f>
        <v>62005</v>
      </c>
      <c r="C2306" s="3" t="str">
        <f>IFERROR(__xludf.DUMMYFUNCTION("""COMPUTED_VALUE"""),"วาวี_แอดเคิร์ฟ")</f>
        <v>วาวี_แอดเคิร์ฟ</v>
      </c>
      <c r="D2306" s="3" t="str">
        <f>IFERROR(__xludf.DUMMYFUNCTION("""COMPUTED_VALUE"""),"BJC MEGAMARKET AT CURVE")</f>
        <v>BJC MEGAMARKET AT CURVE</v>
      </c>
      <c r="E2306" s="1" t="str">
        <f>IFERROR(__xludf.DUMMYFUNCTION("""COMPUTED_VALUE"""),"WAWEE")</f>
        <v>WAWEE</v>
      </c>
      <c r="F2306" s="1" t="str">
        <f>IFERROR(__xludf.DUMMYFUNCTION("""COMPUTED_VALUE"""),"2083032")</f>
        <v>2083032</v>
      </c>
      <c r="G2306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06" s="1" t="str">
        <f>IFERROR(__xludf.DUMMYFUNCTION("""COMPUTED_VALUE"""),"2136555")</f>
        <v>2136555</v>
      </c>
      <c r="I2306" s="1" t="str">
        <f>IFERROR(__xludf.DUMMYFUNCTION("""COMPUTED_VALUE"""),"น.ส.ทาลินี ปาละตึง")</f>
        <v>น.ส.ทาลินี ปาละตึง</v>
      </c>
      <c r="J2306" s="3">
        <f>IFERROR(__xludf.DUMMYFUNCTION("""COMPUTED_VALUE"""),2083032.0)</f>
        <v>2083032</v>
      </c>
      <c r="K2306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06" s="1" t="str">
        <f>IFERROR(__xludf.DUMMYFUNCTION("""COMPUTED_VALUE"""),"WAWEE")</f>
        <v>WAWEE</v>
      </c>
      <c r="M2306" s="1" t="str">
        <f>IFERROR(__xludf.DUMMYFUNCTION("""COMPUTED_VALUE"""),"065-505-7642")</f>
        <v>065-505-7642</v>
      </c>
      <c r="N2306" s="3">
        <f>IFERROR(__xludf.DUMMYFUNCTION("""COMPUTED_VALUE"""),62004.0)</f>
        <v>62004</v>
      </c>
      <c r="O2306" s="3" t="str">
        <f>IFERROR(__xludf.DUMMYFUNCTION("""COMPUTED_VALUE"""),"วาวี_ท่ากระดาษริมเหมือง")</f>
        <v>วาวี_ท่ากระดาษริมเหมือง</v>
      </c>
      <c r="P2306" s="4">
        <f>IFERROR(__xludf.DUMMYFUNCTION("""COMPUTED_VALUE"""),43318.0)</f>
        <v>43318</v>
      </c>
      <c r="Q2306" s="3" t="str">
        <f>IFERROR(__xludf.DUMMYFUNCTION("""COMPUTED_VALUE"""),"A")</f>
        <v>A</v>
      </c>
      <c r="R2306" s="3" t="str">
        <f>IFERROR(__xludf.DUMMYFUNCTION("""COMPUTED_VALUE"""),"Small Format")</f>
        <v>Small Format</v>
      </c>
      <c r="S2306" s="3" t="str">
        <f>IFERROR(__xludf.DUMMYFUNCTION("""COMPUTED_VALUE"""),"WAWEE")</f>
        <v>WAWEE</v>
      </c>
      <c r="T2306" s="3" t="str">
        <f>IFERROR(__xludf.DUMMYFUNCTION("""COMPUTED_VALUE"""),"WAWEE")</f>
        <v>WAWEE</v>
      </c>
      <c r="U2306" s="3" t="str">
        <f>IFERROR(__xludf.DUMMYFUNCTION("""COMPUTED_VALUE"""),"#N/A")</f>
        <v>#N/A</v>
      </c>
      <c r="V2306" s="3" t="str">
        <f>IFERROR(__xludf.DUMMYFUNCTION("""COMPUTED_VALUE"""),"N")</f>
        <v>N</v>
      </c>
      <c r="W2306" s="3">
        <f>IFERROR(__xludf.DUMMYFUNCTION("""COMPUTED_VALUE"""),771004.0)</f>
        <v>771004</v>
      </c>
      <c r="X2306" s="3" t="str">
        <f>IFERROR(__xludf.DUMMYFUNCTION("""COMPUTED_VALUE"""),"215/2 ถนนช้างคลาน ตำบลช้างคลาน อำเภอเมืองเชียงใหม่ จังหวัดเชียงใหม่ 50100")</f>
        <v>215/2 ถนนช้างคลาน ตำบลช้างคลาน อำเภอเมืองเชียงใหม่ จังหวัดเชียงใหม่ 50100</v>
      </c>
      <c r="Y2306" s="3" t="str">
        <f>IFERROR(__xludf.DUMMYFUNCTION("""COMPUTED_VALUE"""),"ถนนช้างคลาน")</f>
        <v>ถนนช้างคลาน</v>
      </c>
      <c r="Z2306" s="3" t="str">
        <f>IFERROR(__xludf.DUMMYFUNCTION("""COMPUTED_VALUE"""),"ช้างคลาน")</f>
        <v>ช้างคลาน</v>
      </c>
      <c r="AA2306" s="3" t="str">
        <f>IFERROR(__xludf.DUMMYFUNCTION("""COMPUTED_VALUE"""),"เมือง")</f>
        <v>เมือง</v>
      </c>
      <c r="AB2306" s="3" t="str">
        <f>IFERROR(__xludf.DUMMYFUNCTION("""COMPUTED_VALUE"""),"เชียงใหม่")</f>
        <v>เชียงใหม่</v>
      </c>
      <c r="AC2306" s="3">
        <f>IFERROR(__xludf.DUMMYFUNCTION("""COMPUTED_VALUE"""),50100.0)</f>
        <v>50100</v>
      </c>
      <c r="AD2306" s="3">
        <f>IFERROR(__xludf.DUMMYFUNCTION("""COMPUTED_VALUE"""),0.0)</f>
        <v>0</v>
      </c>
      <c r="AE2306" s="3">
        <f>IFERROR(__xludf.DUMMYFUNCTION("""COMPUTED_VALUE"""),0.0)</f>
        <v>0</v>
      </c>
      <c r="AF2306" s="3" t="str">
        <f>IFERROR(__xludf.DUMMYFUNCTION("""COMPUTED_VALUE"""),"วาวี_แอดเคิร์ฟ-62005")</f>
        <v>วาวี_แอดเคิร์ฟ-62005</v>
      </c>
      <c r="AG2306" s="3" t="str">
        <f>IFERROR(__xludf.DUMMYFUNCTION("""COMPUTED_VALUE"""),"เหนือ")</f>
        <v>เหนือ</v>
      </c>
      <c r="AH2306" s="3" t="str">
        <f>IFERROR(__xludf.DUMMYFUNCTION("""COMPUTED_VALUE"""),"#N/A")</f>
        <v>#N/A</v>
      </c>
      <c r="AI2306" s="3" t="str">
        <f>IFERROR(__xludf.DUMMYFUNCTION("""COMPUTED_VALUE"""),"Out of warranty")</f>
        <v>Out of warranty</v>
      </c>
      <c r="AJ2306" s="3">
        <f>IFERROR(__xludf.DUMMYFUNCTION("""COMPUTED_VALUE"""),90.0)</f>
        <v>90</v>
      </c>
      <c r="AK2306" s="3"/>
      <c r="AL2306" s="3"/>
    </row>
    <row r="2307" ht="15.75" customHeight="1">
      <c r="A2307" s="1" t="str">
        <f>IFERROR(__xludf.DUMMYFUNCTION("""COMPUTED_VALUE"""),"62006")</f>
        <v>62006</v>
      </c>
      <c r="B2307" s="2">
        <f>IFERROR(__xludf.DUMMYFUNCTION("""COMPUTED_VALUE"""),62006.0)</f>
        <v>62006</v>
      </c>
      <c r="C2307" s="3" t="str">
        <f>IFERROR(__xludf.DUMMYFUNCTION("""COMPUTED_VALUE"""),"วาวี_เจเจ มาร์เก็ต")</f>
        <v>วาวี_เจเจ มาร์เก็ต</v>
      </c>
      <c r="D2307" s="3" t="str">
        <f>IFERROR(__xludf.DUMMYFUNCTION("""COMPUTED_VALUE"""),"BJC MEGAMARKET JJ MARKET")</f>
        <v>BJC MEGAMARKET JJ MARKET</v>
      </c>
      <c r="E2307" s="1" t="str">
        <f>IFERROR(__xludf.DUMMYFUNCTION("""COMPUTED_VALUE"""),"WAWEE")</f>
        <v>WAWEE</v>
      </c>
      <c r="F2307" s="1" t="str">
        <f>IFERROR(__xludf.DUMMYFUNCTION("""COMPUTED_VALUE"""),"2083032")</f>
        <v>2083032</v>
      </c>
      <c r="G2307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07" s="1" t="str">
        <f>IFERROR(__xludf.DUMMYFUNCTION("""COMPUTED_VALUE"""),"2136555")</f>
        <v>2136555</v>
      </c>
      <c r="I2307" s="1" t="str">
        <f>IFERROR(__xludf.DUMMYFUNCTION("""COMPUTED_VALUE"""),"น.ส.ทาลินี ปาละตึง")</f>
        <v>น.ส.ทาลินี ปาละตึง</v>
      </c>
      <c r="J2307" s="3">
        <f>IFERROR(__xludf.DUMMYFUNCTION("""COMPUTED_VALUE"""),2083032.0)</f>
        <v>2083032</v>
      </c>
      <c r="K2307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07" s="1" t="str">
        <f>IFERROR(__xludf.DUMMYFUNCTION("""COMPUTED_VALUE"""),"WAWEE")</f>
        <v>WAWEE</v>
      </c>
      <c r="M2307" s="1" t="str">
        <f>IFERROR(__xludf.DUMMYFUNCTION("""COMPUTED_VALUE"""),"065-505-7642")</f>
        <v>065-505-7642</v>
      </c>
      <c r="N2307" s="3">
        <f>IFERROR(__xludf.DUMMYFUNCTION("""COMPUTED_VALUE"""),62004.0)</f>
        <v>62004</v>
      </c>
      <c r="O2307" s="3" t="str">
        <f>IFERROR(__xludf.DUMMYFUNCTION("""COMPUTED_VALUE"""),"วาวี_ท่ากระดาษริมเหมือง")</f>
        <v>วาวี_ท่ากระดาษริมเหมือง</v>
      </c>
      <c r="P2307" s="4">
        <f>IFERROR(__xludf.DUMMYFUNCTION("""COMPUTED_VALUE"""),43366.0)</f>
        <v>43366</v>
      </c>
      <c r="Q2307" s="3" t="str">
        <f>IFERROR(__xludf.DUMMYFUNCTION("""COMPUTED_VALUE"""),"A")</f>
        <v>A</v>
      </c>
      <c r="R2307" s="3" t="str">
        <f>IFERROR(__xludf.DUMMYFUNCTION("""COMPUTED_VALUE"""),"Small Format")</f>
        <v>Small Format</v>
      </c>
      <c r="S2307" s="3" t="str">
        <f>IFERROR(__xludf.DUMMYFUNCTION("""COMPUTED_VALUE"""),"WAWEE")</f>
        <v>WAWEE</v>
      </c>
      <c r="T2307" s="3" t="str">
        <f>IFERROR(__xludf.DUMMYFUNCTION("""COMPUTED_VALUE"""),"WAWEE")</f>
        <v>WAWEE</v>
      </c>
      <c r="U2307" s="3" t="str">
        <f>IFERROR(__xludf.DUMMYFUNCTION("""COMPUTED_VALUE"""),"#N/A")</f>
        <v>#N/A</v>
      </c>
      <c r="V2307" s="3" t="str">
        <f>IFERROR(__xludf.DUMMYFUNCTION("""COMPUTED_VALUE"""),"N")</f>
        <v>N</v>
      </c>
      <c r="W2307" s="3">
        <f>IFERROR(__xludf.DUMMYFUNCTION("""COMPUTED_VALUE"""),771005.0)</f>
        <v>771005</v>
      </c>
      <c r="X2307" s="3" t="str">
        <f>IFERROR(__xludf.DUMMYFUNCTION("""COMPUTED_VALUE"""),"ห้องเลขที่ A04 เลขที่ 45 ถนนอัษฎาธร ตำบลป่าตัน อำเภอเมืองเชียงใหม่ จังหวัดเชียงใหม่ 50300")</f>
        <v>ห้องเลขที่ A04 เลขที่ 45 ถนนอัษฎาธร ตำบลป่าตัน อำเภอเมืองเชียงใหม่ จังหวัดเชียงใหม่ 50300</v>
      </c>
      <c r="Y2307" s="3"/>
      <c r="Z2307" s="3" t="str">
        <f>IFERROR(__xludf.DUMMYFUNCTION("""COMPUTED_VALUE"""),"ป่าตัน")</f>
        <v>ป่าตัน</v>
      </c>
      <c r="AA2307" s="3" t="str">
        <f>IFERROR(__xludf.DUMMYFUNCTION("""COMPUTED_VALUE"""),"เมือง")</f>
        <v>เมือง</v>
      </c>
      <c r="AB2307" s="3" t="str">
        <f>IFERROR(__xludf.DUMMYFUNCTION("""COMPUTED_VALUE"""),"เชียงใหม่")</f>
        <v>เชียงใหม่</v>
      </c>
      <c r="AC2307" s="3">
        <f>IFERROR(__xludf.DUMMYFUNCTION("""COMPUTED_VALUE"""),50300.0)</f>
        <v>50300</v>
      </c>
      <c r="AD2307" s="3">
        <f>IFERROR(__xludf.DUMMYFUNCTION("""COMPUTED_VALUE"""),0.0)</f>
        <v>0</v>
      </c>
      <c r="AE2307" s="3">
        <f>IFERROR(__xludf.DUMMYFUNCTION("""COMPUTED_VALUE"""),0.0)</f>
        <v>0</v>
      </c>
      <c r="AF2307" s="3" t="str">
        <f>IFERROR(__xludf.DUMMYFUNCTION("""COMPUTED_VALUE"""),"วาวี_เจเจ มาร์เก็ต-62006")</f>
        <v>วาวี_เจเจ มาร์เก็ต-62006</v>
      </c>
      <c r="AG2307" s="3" t="str">
        <f>IFERROR(__xludf.DUMMYFUNCTION("""COMPUTED_VALUE"""),"เหนือ")</f>
        <v>เหนือ</v>
      </c>
      <c r="AH2307" s="3" t="str">
        <f>IFERROR(__xludf.DUMMYFUNCTION("""COMPUTED_VALUE"""),"#N/A")</f>
        <v>#N/A</v>
      </c>
      <c r="AI2307" s="3" t="str">
        <f>IFERROR(__xludf.DUMMYFUNCTION("""COMPUTED_VALUE"""),"Out of warranty")</f>
        <v>Out of warranty</v>
      </c>
      <c r="AJ2307" s="3">
        <f>IFERROR(__xludf.DUMMYFUNCTION("""COMPUTED_VALUE"""),88.0)</f>
        <v>88</v>
      </c>
      <c r="AK2307" s="3"/>
      <c r="AL2307" s="3"/>
    </row>
    <row r="2308" ht="15.75" customHeight="1">
      <c r="A2308" s="1" t="str">
        <f>IFERROR(__xludf.DUMMYFUNCTION("""COMPUTED_VALUE"""),"62007")</f>
        <v>62007</v>
      </c>
      <c r="B2308" s="2">
        <f>IFERROR(__xludf.DUMMYFUNCTION("""COMPUTED_VALUE"""),62007.0)</f>
        <v>62007</v>
      </c>
      <c r="C2308" s="3" t="str">
        <f>IFERROR(__xludf.DUMMYFUNCTION("""COMPUTED_VALUE"""),"วาวี_ศรีดอนไชย")</f>
        <v>วาวี_ศรีดอนไชย</v>
      </c>
      <c r="D2308" s="3" t="str">
        <f>IFERROR(__xludf.DUMMYFUNCTION("""COMPUTED_VALUE"""),"BJC MEGAMARKET SRIDONCHAI")</f>
        <v>BJC MEGAMARKET SRIDONCHAI</v>
      </c>
      <c r="E2308" s="1" t="str">
        <f>IFERROR(__xludf.DUMMYFUNCTION("""COMPUTED_VALUE"""),"WAWEE")</f>
        <v>WAWEE</v>
      </c>
      <c r="F2308" s="1" t="str">
        <f>IFERROR(__xludf.DUMMYFUNCTION("""COMPUTED_VALUE"""),"2083032")</f>
        <v>2083032</v>
      </c>
      <c r="G2308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08" s="1" t="str">
        <f>IFERROR(__xludf.DUMMYFUNCTION("""COMPUTED_VALUE"""),"2136555")</f>
        <v>2136555</v>
      </c>
      <c r="I2308" s="1" t="str">
        <f>IFERROR(__xludf.DUMMYFUNCTION("""COMPUTED_VALUE"""),"น.ส.ทาลินี ปาละตึง")</f>
        <v>น.ส.ทาลินี ปาละตึง</v>
      </c>
      <c r="J2308" s="3">
        <f>IFERROR(__xludf.DUMMYFUNCTION("""COMPUTED_VALUE"""),2083032.0)</f>
        <v>2083032</v>
      </c>
      <c r="K2308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08" s="1" t="str">
        <f>IFERROR(__xludf.DUMMYFUNCTION("""COMPUTED_VALUE"""),"WAWEE")</f>
        <v>WAWEE</v>
      </c>
      <c r="M2308" s="1" t="str">
        <f>IFERROR(__xludf.DUMMYFUNCTION("""COMPUTED_VALUE"""),"065-505-7642")</f>
        <v>065-505-7642</v>
      </c>
      <c r="N2308" s="3">
        <f>IFERROR(__xludf.DUMMYFUNCTION("""COMPUTED_VALUE"""),62004.0)</f>
        <v>62004</v>
      </c>
      <c r="O2308" s="3" t="str">
        <f>IFERROR(__xludf.DUMMYFUNCTION("""COMPUTED_VALUE"""),"วาวี_ท่ากระดาษริมเหมือง")</f>
        <v>วาวี_ท่ากระดาษริมเหมือง</v>
      </c>
      <c r="P2308" s="4">
        <f>IFERROR(__xludf.DUMMYFUNCTION("""COMPUTED_VALUE"""),43349.0)</f>
        <v>43349</v>
      </c>
      <c r="Q2308" s="3" t="str">
        <f>IFERROR(__xludf.DUMMYFUNCTION("""COMPUTED_VALUE"""),"A")</f>
        <v>A</v>
      </c>
      <c r="R2308" s="3" t="str">
        <f>IFERROR(__xludf.DUMMYFUNCTION("""COMPUTED_VALUE"""),"Small Format")</f>
        <v>Small Format</v>
      </c>
      <c r="S2308" s="3" t="str">
        <f>IFERROR(__xludf.DUMMYFUNCTION("""COMPUTED_VALUE"""),"WAWEE")</f>
        <v>WAWEE</v>
      </c>
      <c r="T2308" s="3" t="str">
        <f>IFERROR(__xludf.DUMMYFUNCTION("""COMPUTED_VALUE"""),"WAWEE")</f>
        <v>WAWEE</v>
      </c>
      <c r="U2308" s="3" t="str">
        <f>IFERROR(__xludf.DUMMYFUNCTION("""COMPUTED_VALUE"""),"#N/A")</f>
        <v>#N/A</v>
      </c>
      <c r="V2308" s="3" t="str">
        <f>IFERROR(__xludf.DUMMYFUNCTION("""COMPUTED_VALUE"""),"N")</f>
        <v>N</v>
      </c>
      <c r="W2308" s="3">
        <f>IFERROR(__xludf.DUMMYFUNCTION("""COMPUTED_VALUE"""),771006.0)</f>
        <v>771006</v>
      </c>
      <c r="X2308" s="3" t="str">
        <f>IFERROR(__xludf.DUMMYFUNCTION("""COMPUTED_VALUE"""),"99/1-2 ถนนศรีดอนไชย ตำบลช้างคลาน อำเภอเมืองเชียงใหม่ จังหวัดเชียงใหม่ 50100")</f>
        <v>99/1-2 ถนนศรีดอนไชย ตำบลช้างคลาน อำเภอเมืองเชียงใหม่ จังหวัดเชียงใหม่ 50100</v>
      </c>
      <c r="Y2308" s="3" t="str">
        <f>IFERROR(__xludf.DUMMYFUNCTION("""COMPUTED_VALUE"""),"ถนนศรีดอนไชย")</f>
        <v>ถนนศรีดอนไชย</v>
      </c>
      <c r="Z2308" s="3" t="str">
        <f>IFERROR(__xludf.DUMMYFUNCTION("""COMPUTED_VALUE"""),"ช้างคลาน")</f>
        <v>ช้างคลาน</v>
      </c>
      <c r="AA2308" s="3" t="str">
        <f>IFERROR(__xludf.DUMMYFUNCTION("""COMPUTED_VALUE"""),"เมือง")</f>
        <v>เมือง</v>
      </c>
      <c r="AB2308" s="3" t="str">
        <f>IFERROR(__xludf.DUMMYFUNCTION("""COMPUTED_VALUE"""),"เชียงใหม่")</f>
        <v>เชียงใหม่</v>
      </c>
      <c r="AC2308" s="3">
        <f>IFERROR(__xludf.DUMMYFUNCTION("""COMPUTED_VALUE"""),50100.0)</f>
        <v>50100</v>
      </c>
      <c r="AD2308" s="3">
        <f>IFERROR(__xludf.DUMMYFUNCTION("""COMPUTED_VALUE"""),0.0)</f>
        <v>0</v>
      </c>
      <c r="AE2308" s="3">
        <f>IFERROR(__xludf.DUMMYFUNCTION("""COMPUTED_VALUE"""),0.0)</f>
        <v>0</v>
      </c>
      <c r="AF2308" s="3" t="str">
        <f>IFERROR(__xludf.DUMMYFUNCTION("""COMPUTED_VALUE"""),"วาวี_ศรีดอนไชย-62007")</f>
        <v>วาวี_ศรีดอนไชย-62007</v>
      </c>
      <c r="AG2308" s="3" t="str">
        <f>IFERROR(__xludf.DUMMYFUNCTION("""COMPUTED_VALUE"""),"เหนือ")</f>
        <v>เหนือ</v>
      </c>
      <c r="AH2308" s="3" t="str">
        <f>IFERROR(__xludf.DUMMYFUNCTION("""COMPUTED_VALUE"""),"#N/A")</f>
        <v>#N/A</v>
      </c>
      <c r="AI2308" s="3" t="str">
        <f>IFERROR(__xludf.DUMMYFUNCTION("""COMPUTED_VALUE"""),"Out of warranty")</f>
        <v>Out of warranty</v>
      </c>
      <c r="AJ2308" s="3">
        <f>IFERROR(__xludf.DUMMYFUNCTION("""COMPUTED_VALUE"""),89.0)</f>
        <v>89</v>
      </c>
      <c r="AK2308" s="3"/>
      <c r="AL2308" s="3"/>
    </row>
    <row r="2309" ht="15.75" customHeight="1">
      <c r="A2309" s="1" t="str">
        <f>IFERROR(__xludf.DUMMYFUNCTION("""COMPUTED_VALUE"""),"62008")</f>
        <v>62008</v>
      </c>
      <c r="B2309" s="2">
        <f>IFERROR(__xludf.DUMMYFUNCTION("""COMPUTED_VALUE"""),62008.0)</f>
        <v>62008</v>
      </c>
      <c r="C2309" s="3" t="str">
        <f>IFERROR(__xludf.DUMMYFUNCTION("""COMPUTED_VALUE"""),"วาวี_สนามบินเชียงใหม่ ชั้น1")</f>
        <v>วาวี_สนามบินเชียงใหม่ ชั้น1</v>
      </c>
      <c r="D2309" s="3" t="str">
        <f>IFERROR(__xludf.DUMMYFUNCTION("""COMPUTED_VALUE"""),"BIGC CHIANG MAI AIRPORT WAWEE")</f>
        <v>BIGC CHIANG MAI AIRPORT WAWEE</v>
      </c>
      <c r="E2309" s="1" t="str">
        <f>IFERROR(__xludf.DUMMYFUNCTION("""COMPUTED_VALUE"""),"WAWEE")</f>
        <v>WAWEE</v>
      </c>
      <c r="F2309" s="1" t="str">
        <f>IFERROR(__xludf.DUMMYFUNCTION("""COMPUTED_VALUE"""),"2083032")</f>
        <v>2083032</v>
      </c>
      <c r="G2309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09" s="1" t="str">
        <f>IFERROR(__xludf.DUMMYFUNCTION("""COMPUTED_VALUE"""),"2136555")</f>
        <v>2136555</v>
      </c>
      <c r="I2309" s="1" t="str">
        <f>IFERROR(__xludf.DUMMYFUNCTION("""COMPUTED_VALUE"""),"น.ส.ทาลินี ปาละตึง")</f>
        <v>น.ส.ทาลินี ปาละตึง</v>
      </c>
      <c r="J2309" s="3">
        <f>IFERROR(__xludf.DUMMYFUNCTION("""COMPUTED_VALUE"""),2083032.0)</f>
        <v>2083032</v>
      </c>
      <c r="K2309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09" s="1" t="str">
        <f>IFERROR(__xludf.DUMMYFUNCTION("""COMPUTED_VALUE"""),"WAWEE")</f>
        <v>WAWEE</v>
      </c>
      <c r="M2309" s="1" t="str">
        <f>IFERROR(__xludf.DUMMYFUNCTION("""COMPUTED_VALUE"""),"065-505-7642")</f>
        <v>065-505-7642</v>
      </c>
      <c r="N2309" s="3">
        <f>IFERROR(__xludf.DUMMYFUNCTION("""COMPUTED_VALUE"""),62004.0)</f>
        <v>62004</v>
      </c>
      <c r="O2309" s="3" t="str">
        <f>IFERROR(__xludf.DUMMYFUNCTION("""COMPUTED_VALUE"""),"วาวี_ท่ากระดาษริมเหมือง")</f>
        <v>วาวี_ท่ากระดาษริมเหมือง</v>
      </c>
      <c r="P2309" s="4">
        <f>IFERROR(__xludf.DUMMYFUNCTION("""COMPUTED_VALUE"""),43318.0)</f>
        <v>43318</v>
      </c>
      <c r="Q2309" s="3" t="str">
        <f>IFERROR(__xludf.DUMMYFUNCTION("""COMPUTED_VALUE"""),"A")</f>
        <v>A</v>
      </c>
      <c r="R2309" s="3" t="str">
        <f>IFERROR(__xludf.DUMMYFUNCTION("""COMPUTED_VALUE"""),"Small Format")</f>
        <v>Small Format</v>
      </c>
      <c r="S2309" s="3" t="str">
        <f>IFERROR(__xludf.DUMMYFUNCTION("""COMPUTED_VALUE"""),"WAWEE")</f>
        <v>WAWEE</v>
      </c>
      <c r="T2309" s="3" t="str">
        <f>IFERROR(__xludf.DUMMYFUNCTION("""COMPUTED_VALUE"""),"WAWEE")</f>
        <v>WAWEE</v>
      </c>
      <c r="U2309" s="3" t="str">
        <f>IFERROR(__xludf.DUMMYFUNCTION("""COMPUTED_VALUE"""),"#N/A")</f>
        <v>#N/A</v>
      </c>
      <c r="V2309" s="3" t="str">
        <f>IFERROR(__xludf.DUMMYFUNCTION("""COMPUTED_VALUE"""),"N")</f>
        <v>N</v>
      </c>
      <c r="W2309" s="3">
        <f>IFERROR(__xludf.DUMMYFUNCTION("""COMPUTED_VALUE"""),181050.0)</f>
        <v>181050</v>
      </c>
      <c r="X2309" s="3" t="str">
        <f>IFERROR(__xludf.DUMMYFUNCTION("""COMPUTED_VALUE"""),"60 หมู่ที่3 ตำบลสุเทพ อำเภอเมืองเชียงใหม่ จังหวัดเชียงใหม่ 50200")</f>
        <v>60 หมู่ที่3 ตำบลสุเทพ อำเภอเมืองเชียงใหม่ จังหวัดเชียงใหม่ 50200</v>
      </c>
      <c r="Y2309" s="3"/>
      <c r="Z2309" s="3" t="str">
        <f>IFERROR(__xludf.DUMMYFUNCTION("""COMPUTED_VALUE"""),"สุเทพ")</f>
        <v>สุเทพ</v>
      </c>
      <c r="AA2309" s="3" t="str">
        <f>IFERROR(__xludf.DUMMYFUNCTION("""COMPUTED_VALUE"""),"เมือง")</f>
        <v>เมือง</v>
      </c>
      <c r="AB2309" s="3" t="str">
        <f>IFERROR(__xludf.DUMMYFUNCTION("""COMPUTED_VALUE"""),"เชียงใหม่")</f>
        <v>เชียงใหม่</v>
      </c>
      <c r="AC2309" s="3">
        <f>IFERROR(__xludf.DUMMYFUNCTION("""COMPUTED_VALUE"""),50200.0)</f>
        <v>50200</v>
      </c>
      <c r="AD2309" s="3">
        <f>IFERROR(__xludf.DUMMYFUNCTION("""COMPUTED_VALUE"""),0.0)</f>
        <v>0</v>
      </c>
      <c r="AE2309" s="3">
        <f>IFERROR(__xludf.DUMMYFUNCTION("""COMPUTED_VALUE"""),0.0)</f>
        <v>0</v>
      </c>
      <c r="AF2309" s="3" t="str">
        <f>IFERROR(__xludf.DUMMYFUNCTION("""COMPUTED_VALUE"""),"วาวี_สนามบินเชียงใหม่ ชั้น1-62008")</f>
        <v>วาวี_สนามบินเชียงใหม่ ชั้น1-62008</v>
      </c>
      <c r="AG2309" s="3" t="str">
        <f>IFERROR(__xludf.DUMMYFUNCTION("""COMPUTED_VALUE"""),"เหนือ")</f>
        <v>เหนือ</v>
      </c>
      <c r="AH2309" s="3" t="str">
        <f>IFERROR(__xludf.DUMMYFUNCTION("""COMPUTED_VALUE"""),"#N/A")</f>
        <v>#N/A</v>
      </c>
      <c r="AI2309" s="3" t="str">
        <f>IFERROR(__xludf.DUMMYFUNCTION("""COMPUTED_VALUE"""),"Out of warranty")</f>
        <v>Out of warranty</v>
      </c>
      <c r="AJ2309" s="3">
        <f>IFERROR(__xludf.DUMMYFUNCTION("""COMPUTED_VALUE"""),90.0)</f>
        <v>90</v>
      </c>
      <c r="AK2309" s="3"/>
      <c r="AL2309" s="3"/>
    </row>
    <row r="2310" ht="15.75" customHeight="1">
      <c r="A2310" s="1" t="str">
        <f>IFERROR(__xludf.DUMMYFUNCTION("""COMPUTED_VALUE"""),"62009")</f>
        <v>62009</v>
      </c>
      <c r="B2310" s="2">
        <f>IFERROR(__xludf.DUMMYFUNCTION("""COMPUTED_VALUE"""),62009.0)</f>
        <v>62009</v>
      </c>
      <c r="C2310" s="3" t="str">
        <f>IFERROR(__xludf.DUMMYFUNCTION("""COMPUTED_VALUE"""),"วาวี_กลางเวียง")</f>
        <v>วาวี_กลางเวียง</v>
      </c>
      <c r="D2310" s="3" t="str">
        <f>IFERROR(__xludf.DUMMYFUNCTION("""COMPUTED_VALUE"""),"BIGC KLANG WIANG WAWEE")</f>
        <v>BIGC KLANG WIANG WAWEE</v>
      </c>
      <c r="E2310" s="1" t="str">
        <f>IFERROR(__xludf.DUMMYFUNCTION("""COMPUTED_VALUE"""),"WAWEE")</f>
        <v>WAWEE</v>
      </c>
      <c r="F2310" s="1" t="str">
        <f>IFERROR(__xludf.DUMMYFUNCTION("""COMPUTED_VALUE"""),"296850")</f>
        <v>296850</v>
      </c>
      <c r="G2310" s="1" t="str">
        <f>IFERROR(__xludf.DUMMYFUNCTION("""COMPUTED_VALUE"""),"นายชุติเทพ โศภิษฐ์ปริวัฒน์")</f>
        <v>นายชุติเทพ โศภิษฐ์ปริวัฒน์</v>
      </c>
      <c r="H2310" s="1" t="str">
        <f>IFERROR(__xludf.DUMMYFUNCTION("""COMPUTED_VALUE"""),"455013")</f>
        <v>455013</v>
      </c>
      <c r="I2310" s="1" t="str">
        <f>IFERROR(__xludf.DUMMYFUNCTION("""COMPUTED_VALUE"""),"น.ส.ภาวดี ปั้นงา")</f>
        <v>น.ส.ภาวดี ปั้นงา</v>
      </c>
      <c r="J2310" s="3">
        <f>IFERROR(__xludf.DUMMYFUNCTION("""COMPUTED_VALUE"""),296319.0)</f>
        <v>296319</v>
      </c>
      <c r="K2310" s="3" t="str">
        <f>IFERROR(__xludf.DUMMYFUNCTION("""COMPUTED_VALUE"""),"นายรัฐภูมิ กิตติอิชฌติ")</f>
        <v>นายรัฐภูมิ กิตติอิชฌติ</v>
      </c>
      <c r="L2310" s="1" t="str">
        <f>IFERROR(__xludf.DUMMYFUNCTION("""COMPUTED_VALUE"""),"0")</f>
        <v>0</v>
      </c>
      <c r="M2310" s="1" t="str">
        <f>IFERROR(__xludf.DUMMYFUNCTION("""COMPUTED_VALUE"""),"0")</f>
        <v>0</v>
      </c>
      <c r="N2310" s="3">
        <f>IFERROR(__xludf.DUMMYFUNCTION("""COMPUTED_VALUE"""),62004.0)</f>
        <v>62004</v>
      </c>
      <c r="O2310" s="3" t="str">
        <f>IFERROR(__xludf.DUMMYFUNCTION("""COMPUTED_VALUE"""),"วาวี_ท่ากระดาษริมเหมือง")</f>
        <v>วาวี_ท่ากระดาษริมเหมือง</v>
      </c>
      <c r="P2310" s="4">
        <f>IFERROR(__xludf.DUMMYFUNCTION("""COMPUTED_VALUE"""),43399.0)</f>
        <v>43399</v>
      </c>
      <c r="Q2310" s="3" t="str">
        <f>IFERROR(__xludf.DUMMYFUNCTION("""COMPUTED_VALUE"""),"I")</f>
        <v>I</v>
      </c>
      <c r="R2310" s="3" t="str">
        <f>IFERROR(__xludf.DUMMYFUNCTION("""COMPUTED_VALUE"""),"Small Format")</f>
        <v>Small Format</v>
      </c>
      <c r="S2310" s="3" t="str">
        <f>IFERROR(__xludf.DUMMYFUNCTION("""COMPUTED_VALUE"""),"WAWEE")</f>
        <v>WAWEE</v>
      </c>
      <c r="T2310" s="3" t="str">
        <f>IFERROR(__xludf.DUMMYFUNCTION("""COMPUTED_VALUE"""),"#N/A")</f>
        <v>#N/A</v>
      </c>
      <c r="U2310" s="3" t="str">
        <f>IFERROR(__xludf.DUMMYFUNCTION("""COMPUTED_VALUE"""),"#N/A")</f>
        <v>#N/A</v>
      </c>
      <c r="V2310" s="3" t="str">
        <f>IFERROR(__xludf.DUMMYFUNCTION("""COMPUTED_VALUE"""),"N")</f>
        <v>N</v>
      </c>
      <c r="W2310" s="3">
        <f>IFERROR(__xludf.DUMMYFUNCTION("""COMPUTED_VALUE"""),181046.0)</f>
        <v>181046</v>
      </c>
      <c r="X2310" s="3" t="str">
        <f>IFERROR(__xludf.DUMMYFUNCTION("""COMPUTED_VALUE"""),"ห้องเลขที่1-6 เลขที่71 ยูนิต1-6 ถนนราชดำเนิน ตำบลพระสิงห์ อำเภอเมืองเชียงใหม่ จังหวัดเชียงใหม่ 50200")</f>
        <v>ห้องเลขที่1-6 เลขที่71 ยูนิต1-6 ถนนราชดำเนิน ตำบลพระสิงห์ อำเภอเมืองเชียงใหม่ จังหวัดเชียงใหม่ 50200</v>
      </c>
      <c r="Y2310" s="3"/>
      <c r="Z2310" s="3" t="str">
        <f>IFERROR(__xludf.DUMMYFUNCTION("""COMPUTED_VALUE"""),"พระสิงห์")</f>
        <v>พระสิงห์</v>
      </c>
      <c r="AA2310" s="3" t="str">
        <f>IFERROR(__xludf.DUMMYFUNCTION("""COMPUTED_VALUE"""),"เมือง")</f>
        <v>เมือง</v>
      </c>
      <c r="AB2310" s="3" t="str">
        <f>IFERROR(__xludf.DUMMYFUNCTION("""COMPUTED_VALUE"""),"เชียงใหม่")</f>
        <v>เชียงใหม่</v>
      </c>
      <c r="AC2310" s="3">
        <f>IFERROR(__xludf.DUMMYFUNCTION("""COMPUTED_VALUE"""),50200.0)</f>
        <v>50200</v>
      </c>
      <c r="AD2310" s="3">
        <f>IFERROR(__xludf.DUMMYFUNCTION("""COMPUTED_VALUE"""),0.0)</f>
        <v>0</v>
      </c>
      <c r="AE2310" s="3">
        <f>IFERROR(__xludf.DUMMYFUNCTION("""COMPUTED_VALUE"""),0.0)</f>
        <v>0</v>
      </c>
      <c r="AF2310" s="3" t="str">
        <f>IFERROR(__xludf.DUMMYFUNCTION("""COMPUTED_VALUE"""),"วาวี_กลางเวียง-62009")</f>
        <v>วาวี_กลางเวียง-62009</v>
      </c>
      <c r="AG2310" s="3" t="str">
        <f>IFERROR(__xludf.DUMMYFUNCTION("""COMPUTED_VALUE"""),"เหนือ")</f>
        <v>เหนือ</v>
      </c>
      <c r="AH2310" s="3" t="str">
        <f>IFERROR(__xludf.DUMMYFUNCTION("""COMPUTED_VALUE"""),"#N/A")</f>
        <v>#N/A</v>
      </c>
      <c r="AI2310" s="3" t="str">
        <f>IFERROR(__xludf.DUMMYFUNCTION("""COMPUTED_VALUE"""),"Out of warranty")</f>
        <v>Out of warranty</v>
      </c>
      <c r="AJ2310" s="3">
        <f>IFERROR(__xludf.DUMMYFUNCTION("""COMPUTED_VALUE"""),87.0)</f>
        <v>87</v>
      </c>
      <c r="AK2310" s="3"/>
      <c r="AL2310" s="3"/>
    </row>
    <row r="2311" ht="15.75" customHeight="1">
      <c r="A2311" s="1" t="str">
        <f>IFERROR(__xludf.DUMMYFUNCTION("""COMPUTED_VALUE"""),"62010")</f>
        <v>62010</v>
      </c>
      <c r="B2311" s="2">
        <f>IFERROR(__xludf.DUMMYFUNCTION("""COMPUTED_VALUE"""),62010.0)</f>
        <v>62010</v>
      </c>
      <c r="C2311" s="3" t="str">
        <f>IFERROR(__xludf.DUMMYFUNCTION("""COMPUTED_VALUE"""),"วาวี_กาดหลวง")</f>
        <v>วาวี_กาดหลวง</v>
      </c>
      <c r="D2311" s="3" t="str">
        <f>IFERROR(__xludf.DUMMYFUNCTION("""COMPUTED_VALUE"""),"BIGC KADLUANG WAWEE")</f>
        <v>BIGC KADLUANG WAWEE</v>
      </c>
      <c r="E2311" s="1" t="str">
        <f>IFERROR(__xludf.DUMMYFUNCTION("""COMPUTED_VALUE"""),"WAWEE")</f>
        <v>WAWEE</v>
      </c>
      <c r="F2311" s="1" t="str">
        <f>IFERROR(__xludf.DUMMYFUNCTION("""COMPUTED_VALUE"""),"2083032")</f>
        <v>2083032</v>
      </c>
      <c r="G2311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11" s="1" t="str">
        <f>IFERROR(__xludf.DUMMYFUNCTION("""COMPUTED_VALUE"""),"2136555")</f>
        <v>2136555</v>
      </c>
      <c r="I2311" s="1" t="str">
        <f>IFERROR(__xludf.DUMMYFUNCTION("""COMPUTED_VALUE"""),"น.ส.ทาลินี ปาละตึง")</f>
        <v>น.ส.ทาลินี ปาละตึง</v>
      </c>
      <c r="J2311" s="3">
        <f>IFERROR(__xludf.DUMMYFUNCTION("""COMPUTED_VALUE"""),2083032.0)</f>
        <v>2083032</v>
      </c>
      <c r="K2311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11" s="1" t="str">
        <f>IFERROR(__xludf.DUMMYFUNCTION("""COMPUTED_VALUE"""),"WAWEE")</f>
        <v>WAWEE</v>
      </c>
      <c r="M2311" s="1" t="str">
        <f>IFERROR(__xludf.DUMMYFUNCTION("""COMPUTED_VALUE"""),"065-505-7642")</f>
        <v>065-505-7642</v>
      </c>
      <c r="N2311" s="3">
        <f>IFERROR(__xludf.DUMMYFUNCTION("""COMPUTED_VALUE"""),62004.0)</f>
        <v>62004</v>
      </c>
      <c r="O2311" s="3" t="str">
        <f>IFERROR(__xludf.DUMMYFUNCTION("""COMPUTED_VALUE"""),"วาวี_ท่ากระดาษริมเหมือง")</f>
        <v>วาวี_ท่ากระดาษริมเหมือง</v>
      </c>
      <c r="P2311" s="4">
        <f>IFERROR(__xludf.DUMMYFUNCTION("""COMPUTED_VALUE"""),43532.0)</f>
        <v>43532</v>
      </c>
      <c r="Q2311" s="3" t="str">
        <f>IFERROR(__xludf.DUMMYFUNCTION("""COMPUTED_VALUE"""),"A")</f>
        <v>A</v>
      </c>
      <c r="R2311" s="3" t="str">
        <f>IFERROR(__xludf.DUMMYFUNCTION("""COMPUTED_VALUE"""),"Small Format")</f>
        <v>Small Format</v>
      </c>
      <c r="S2311" s="3" t="str">
        <f>IFERROR(__xludf.DUMMYFUNCTION("""COMPUTED_VALUE"""),"WAWEE")</f>
        <v>WAWEE</v>
      </c>
      <c r="T2311" s="3" t="str">
        <f>IFERROR(__xludf.DUMMYFUNCTION("""COMPUTED_VALUE"""),"WAWEE")</f>
        <v>WAWEE</v>
      </c>
      <c r="U2311" s="3" t="str">
        <f>IFERROR(__xludf.DUMMYFUNCTION("""COMPUTED_VALUE"""),"#N/A")</f>
        <v>#N/A</v>
      </c>
      <c r="V2311" s="3" t="str">
        <f>IFERROR(__xludf.DUMMYFUNCTION("""COMPUTED_VALUE"""),"N")</f>
        <v>N</v>
      </c>
      <c r="W2311" s="3">
        <f>IFERROR(__xludf.DUMMYFUNCTION("""COMPUTED_VALUE"""),181047.0)</f>
        <v>181047</v>
      </c>
      <c r="X2311" s="3" t="str">
        <f>IFERROR(__xludf.DUMMYFUNCTION("""COMPUTED_VALUE"""),"30 ถนนไปรษณีย์ ตำบลช้างม่อย อำเภอเมืองเชียงใหม่ จังหวัดเชียงใหม่ 50300")</f>
        <v>30 ถนนไปรษณีย์ ตำบลช้างม่อย อำเภอเมืองเชียงใหม่ จังหวัดเชียงใหม่ 50300</v>
      </c>
      <c r="Y2311" s="3" t="str">
        <f>IFERROR(__xludf.DUMMYFUNCTION("""COMPUTED_VALUE"""),"ถนนไปรษณีย์")</f>
        <v>ถนนไปรษณีย์</v>
      </c>
      <c r="Z2311" s="3" t="str">
        <f>IFERROR(__xludf.DUMMYFUNCTION("""COMPUTED_VALUE"""),"ช้างม่อย")</f>
        <v>ช้างม่อย</v>
      </c>
      <c r="AA2311" s="3" t="str">
        <f>IFERROR(__xludf.DUMMYFUNCTION("""COMPUTED_VALUE"""),"เมือง")</f>
        <v>เมือง</v>
      </c>
      <c r="AB2311" s="3" t="str">
        <f>IFERROR(__xludf.DUMMYFUNCTION("""COMPUTED_VALUE"""),"เชียงใหม่")</f>
        <v>เชียงใหม่</v>
      </c>
      <c r="AC2311" s="3">
        <f>IFERROR(__xludf.DUMMYFUNCTION("""COMPUTED_VALUE"""),50300.0)</f>
        <v>50300</v>
      </c>
      <c r="AD2311" s="3">
        <f>IFERROR(__xludf.DUMMYFUNCTION("""COMPUTED_VALUE"""),0.0)</f>
        <v>0</v>
      </c>
      <c r="AE2311" s="3">
        <f>IFERROR(__xludf.DUMMYFUNCTION("""COMPUTED_VALUE"""),0.0)</f>
        <v>0</v>
      </c>
      <c r="AF2311" s="3" t="str">
        <f>IFERROR(__xludf.DUMMYFUNCTION("""COMPUTED_VALUE"""),"วาวี_กาดหลวง-62010")</f>
        <v>วาวี_กาดหลวง-62010</v>
      </c>
      <c r="AG2311" s="3" t="str">
        <f>IFERROR(__xludf.DUMMYFUNCTION("""COMPUTED_VALUE"""),"เหนือ")</f>
        <v>เหนือ</v>
      </c>
      <c r="AH2311" s="3" t="str">
        <f>IFERROR(__xludf.DUMMYFUNCTION("""COMPUTED_VALUE"""),"#N/A")</f>
        <v>#N/A</v>
      </c>
      <c r="AI2311" s="3" t="str">
        <f>IFERROR(__xludf.DUMMYFUNCTION("""COMPUTED_VALUE"""),"Out of warranty")</f>
        <v>Out of warranty</v>
      </c>
      <c r="AJ2311" s="3">
        <f>IFERROR(__xludf.DUMMYFUNCTION("""COMPUTED_VALUE"""),83.0)</f>
        <v>83</v>
      </c>
      <c r="AK2311" s="3"/>
      <c r="AL2311" s="3"/>
    </row>
    <row r="2312" ht="15.75" customHeight="1">
      <c r="A2312" s="1" t="str">
        <f>IFERROR(__xludf.DUMMYFUNCTION("""COMPUTED_VALUE"""),"62011")</f>
        <v>62011</v>
      </c>
      <c r="B2312" s="2">
        <f>IFERROR(__xludf.DUMMYFUNCTION("""COMPUTED_VALUE"""),62011.0)</f>
        <v>62011</v>
      </c>
      <c r="C2312" s="3" t="str">
        <f>IFERROR(__xludf.DUMMYFUNCTION("""COMPUTED_VALUE"""),"วาวี_บิ๊กซี ราชดำริชั้น6")</f>
        <v>วาวี_บิ๊กซี ราชดำริชั้น6</v>
      </c>
      <c r="D2312" s="3" t="str">
        <f>IFERROR(__xludf.DUMMYFUNCTION("""COMPUTED_VALUE"""),"BIGC RAJDAMRI6 FL WAWEE")</f>
        <v>BIGC RAJDAMRI6 FL WAWEE</v>
      </c>
      <c r="E2312" s="1" t="str">
        <f>IFERROR(__xludf.DUMMYFUNCTION("""COMPUTED_VALUE"""),"WAWEE")</f>
        <v>WAWEE</v>
      </c>
      <c r="F2312" s="1" t="str">
        <f>IFERROR(__xludf.DUMMYFUNCTION("""COMPUTED_VALUE"""),"2083032")</f>
        <v>2083032</v>
      </c>
      <c r="G2312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12" s="1" t="str">
        <f>IFERROR(__xludf.DUMMYFUNCTION("""COMPUTED_VALUE"""),"2136555")</f>
        <v>2136555</v>
      </c>
      <c r="I2312" s="1" t="str">
        <f>IFERROR(__xludf.DUMMYFUNCTION("""COMPUTED_VALUE"""),"น.ส.ทาลินี ปาละตึง")</f>
        <v>น.ส.ทาลินี ปาละตึง</v>
      </c>
      <c r="J2312" s="3">
        <f>IFERROR(__xludf.DUMMYFUNCTION("""COMPUTED_VALUE"""),2083032.0)</f>
        <v>2083032</v>
      </c>
      <c r="K2312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12" s="1" t="str">
        <f>IFERROR(__xludf.DUMMYFUNCTION("""COMPUTED_VALUE"""),"WAWEE")</f>
        <v>WAWEE</v>
      </c>
      <c r="M2312" s="1" t="str">
        <f>IFERROR(__xludf.DUMMYFUNCTION("""COMPUTED_VALUE"""),"065-505-7642")</f>
        <v>065-505-7642</v>
      </c>
      <c r="N2312" s="3">
        <f>IFERROR(__xludf.DUMMYFUNCTION("""COMPUTED_VALUE"""),62001.0)</f>
        <v>62001</v>
      </c>
      <c r="O2312" s="3" t="str">
        <f>IFERROR(__xludf.DUMMYFUNCTION("""COMPUTED_VALUE"""),"วาวี_บิ๊กซี ราชดำริชั้น 2")</f>
        <v>วาวี_บิ๊กซี ราชดำริชั้น 2</v>
      </c>
      <c r="P2312" s="4">
        <f>IFERROR(__xludf.DUMMYFUNCTION("""COMPUTED_VALUE"""),43467.0)</f>
        <v>43467</v>
      </c>
      <c r="Q2312" s="3" t="str">
        <f>IFERROR(__xludf.DUMMYFUNCTION("""COMPUTED_VALUE"""),"A")</f>
        <v>A</v>
      </c>
      <c r="R2312" s="3" t="str">
        <f>IFERROR(__xludf.DUMMYFUNCTION("""COMPUTED_VALUE"""),"Small Format")</f>
        <v>Small Format</v>
      </c>
      <c r="S2312" s="3" t="str">
        <f>IFERROR(__xludf.DUMMYFUNCTION("""COMPUTED_VALUE"""),"WAWEE")</f>
        <v>WAWEE</v>
      </c>
      <c r="T2312" s="3" t="str">
        <f>IFERROR(__xludf.DUMMYFUNCTION("""COMPUTED_VALUE"""),"WAWEE")</f>
        <v>WAWEE</v>
      </c>
      <c r="U2312" s="3" t="str">
        <f>IFERROR(__xludf.DUMMYFUNCTION("""COMPUTED_VALUE"""),"#N/A")</f>
        <v>#N/A</v>
      </c>
      <c r="V2312" s="3" t="str">
        <f>IFERROR(__xludf.DUMMYFUNCTION("""COMPUTED_VALUE"""),"N")</f>
        <v>N</v>
      </c>
      <c r="W2312" s="3">
        <f>IFERROR(__xludf.DUMMYFUNCTION("""COMPUTED_VALUE"""),181048.0)</f>
        <v>181048</v>
      </c>
      <c r="X2312" s="3" t="str">
        <f>IFERROR(__xludf.DUMMYFUNCTION("""COMPUTED_VALUE"""),"97/11 ชั้น6 ถนนราชดำริห์ แขวงลุมพินี เขตปทุมวัน กรุงเทพมหานคร 10330")</f>
        <v>97/11 ชั้น6 ถนนราชดำริห์ แขวงลุมพินี เขตปทุมวัน กรุงเทพมหานคร 10330</v>
      </c>
      <c r="Y2312" s="3" t="str">
        <f>IFERROR(__xludf.DUMMYFUNCTION("""COMPUTED_VALUE"""),"ราชดำริห์")</f>
        <v>ราชดำริห์</v>
      </c>
      <c r="Z2312" s="3" t="str">
        <f>IFERROR(__xludf.DUMMYFUNCTION("""COMPUTED_VALUE"""),"ลุมพินี")</f>
        <v>ลุมพินี</v>
      </c>
      <c r="AA2312" s="3" t="str">
        <f>IFERROR(__xludf.DUMMYFUNCTION("""COMPUTED_VALUE"""),"ปทุมวัน")</f>
        <v>ปทุมวัน</v>
      </c>
      <c r="AB2312" s="3" t="str">
        <f>IFERROR(__xludf.DUMMYFUNCTION("""COMPUTED_VALUE"""),"กรุงเทพมหานคร")</f>
        <v>กรุงเทพมหานคร</v>
      </c>
      <c r="AC2312" s="3">
        <f>IFERROR(__xludf.DUMMYFUNCTION("""COMPUTED_VALUE"""),10330.0)</f>
        <v>10330</v>
      </c>
      <c r="AD2312" s="3">
        <f>IFERROR(__xludf.DUMMYFUNCTION("""COMPUTED_VALUE"""),0.0)</f>
        <v>0</v>
      </c>
      <c r="AE2312" s="3">
        <f>IFERROR(__xludf.DUMMYFUNCTION("""COMPUTED_VALUE"""),0.0)</f>
        <v>0</v>
      </c>
      <c r="AF2312" s="3" t="str">
        <f>IFERROR(__xludf.DUMMYFUNCTION("""COMPUTED_VALUE"""),"วาวี_บิ๊กซี ราชดำริชั้น6-62011")</f>
        <v>วาวี_บิ๊กซี ราชดำริชั้น6-62011</v>
      </c>
      <c r="AG2312" s="3" t="str">
        <f>IFERROR(__xludf.DUMMYFUNCTION("""COMPUTED_VALUE"""),"กลาง")</f>
        <v>กลาง</v>
      </c>
      <c r="AH2312" s="3" t="str">
        <f>IFERROR(__xludf.DUMMYFUNCTION("""COMPUTED_VALUE"""),"#N/A")</f>
        <v>#N/A</v>
      </c>
      <c r="AI2312" s="3" t="str">
        <f>IFERROR(__xludf.DUMMYFUNCTION("""COMPUTED_VALUE"""),"Out of warranty")</f>
        <v>Out of warranty</v>
      </c>
      <c r="AJ2312" s="3">
        <f>IFERROR(__xludf.DUMMYFUNCTION("""COMPUTED_VALUE"""),85.0)</f>
        <v>85</v>
      </c>
      <c r="AK2312" s="3"/>
      <c r="AL2312" s="3"/>
    </row>
    <row r="2313" ht="15.75" customHeight="1">
      <c r="A2313" s="1" t="str">
        <f>IFERROR(__xludf.DUMMYFUNCTION("""COMPUTED_VALUE"""),"62012")</f>
        <v>62012</v>
      </c>
      <c r="B2313" s="2">
        <f>IFERROR(__xludf.DUMMYFUNCTION("""COMPUTED_VALUE"""),62012.0)</f>
        <v>62012</v>
      </c>
      <c r="C2313" s="3" t="str">
        <f>IFERROR(__xludf.DUMMYFUNCTION("""COMPUTED_VALUE"""),"วาวี_บิ๊กซี สุขาภิบาล 5")</f>
        <v>วาวี_บิ๊กซี สุขาภิบาล 5</v>
      </c>
      <c r="D2313" s="3" t="str">
        <f>IFERROR(__xludf.DUMMYFUNCTION("""COMPUTED_VALUE"""),"BIGC MARKET SUKHAPIBAN-5 WAWEE")</f>
        <v>BIGC MARKET SUKHAPIBAN-5 WAWEE</v>
      </c>
      <c r="E2313" s="1" t="str">
        <f>IFERROR(__xludf.DUMMYFUNCTION("""COMPUTED_VALUE"""),"WAWEE")</f>
        <v>WAWEE</v>
      </c>
      <c r="F2313" s="1" t="str">
        <f>IFERROR(__xludf.DUMMYFUNCTION("""COMPUTED_VALUE"""),"296850")</f>
        <v>296850</v>
      </c>
      <c r="G2313" s="1" t="str">
        <f>IFERROR(__xludf.DUMMYFUNCTION("""COMPUTED_VALUE"""),"นายชุติเทพ โศภิษฐ์ปริวัฒน์")</f>
        <v>นายชุติเทพ โศภิษฐ์ปริวัฒน์</v>
      </c>
      <c r="H2313" s="1" t="str">
        <f>IFERROR(__xludf.DUMMYFUNCTION("""COMPUTED_VALUE"""),"296300")</f>
        <v>296300</v>
      </c>
      <c r="I2313" s="1" t="str">
        <f>IFERROR(__xludf.DUMMYFUNCTION("""COMPUTED_VALUE"""),"น.ส.วันเพ็ญ วันแสน")</f>
        <v>น.ส.วันเพ็ญ วันแสน</v>
      </c>
      <c r="J2313" s="3">
        <f>IFERROR(__xludf.DUMMYFUNCTION("""COMPUTED_VALUE"""),296319.0)</f>
        <v>296319</v>
      </c>
      <c r="K2313" s="3" t="str">
        <f>IFERROR(__xludf.DUMMYFUNCTION("""COMPUTED_VALUE"""),"นายรัฐภูมิ กิตติอิชฌติ")</f>
        <v>นายรัฐภูมิ กิตติอิชฌติ</v>
      </c>
      <c r="L2313" s="1" t="str">
        <f>IFERROR(__xludf.DUMMYFUNCTION("""COMPUTED_VALUE"""),"0")</f>
        <v>0</v>
      </c>
      <c r="M2313" s="1" t="str">
        <f>IFERROR(__xludf.DUMMYFUNCTION("""COMPUTED_VALUE"""),"0")</f>
        <v>0</v>
      </c>
      <c r="N2313" s="3">
        <f>IFERROR(__xludf.DUMMYFUNCTION("""COMPUTED_VALUE"""),62001.0)</f>
        <v>62001</v>
      </c>
      <c r="O2313" s="3" t="str">
        <f>IFERROR(__xludf.DUMMYFUNCTION("""COMPUTED_VALUE"""),"วาวี_บิ๊กซี ราชดำริชั้น 2")</f>
        <v>วาวี_บิ๊กซี ราชดำริชั้น 2</v>
      </c>
      <c r="P2313" s="4">
        <f>IFERROR(__xludf.DUMMYFUNCTION("""COMPUTED_VALUE"""),43719.0)</f>
        <v>43719</v>
      </c>
      <c r="Q2313" s="3" t="str">
        <f>IFERROR(__xludf.DUMMYFUNCTION("""COMPUTED_VALUE"""),"I")</f>
        <v>I</v>
      </c>
      <c r="R2313" s="3" t="str">
        <f>IFERROR(__xludf.DUMMYFUNCTION("""COMPUTED_VALUE"""),"Small Format")</f>
        <v>Small Format</v>
      </c>
      <c r="S2313" s="3" t="str">
        <f>IFERROR(__xludf.DUMMYFUNCTION("""COMPUTED_VALUE"""),"WAWEE")</f>
        <v>WAWEE</v>
      </c>
      <c r="T2313" s="3" t="str">
        <f>IFERROR(__xludf.DUMMYFUNCTION("""COMPUTED_VALUE"""),"#N/A")</f>
        <v>#N/A</v>
      </c>
      <c r="U2313" s="3" t="str">
        <f>IFERROR(__xludf.DUMMYFUNCTION("""COMPUTED_VALUE"""),"#N/A")</f>
        <v>#N/A</v>
      </c>
      <c r="V2313" s="3" t="str">
        <f>IFERROR(__xludf.DUMMYFUNCTION("""COMPUTED_VALUE"""),"N")</f>
        <v>N</v>
      </c>
      <c r="W2313" s="3">
        <f>IFERROR(__xludf.DUMMYFUNCTION("""COMPUTED_VALUE"""),181049.0)</f>
        <v>181049</v>
      </c>
      <c r="X2313" s="3" t="str">
        <f>IFERROR(__xludf.DUMMYFUNCTION("""COMPUTED_VALUE"""),"98,98/1-3 ถนนสุขาภิบาล 5 แขวงออเงิน เขตสายไหม กรุงเทพฯ 10220")</f>
        <v>98,98/1-3 ถนนสุขาภิบาล 5 แขวงออเงิน เขตสายไหม กรุงเทพฯ 10220</v>
      </c>
      <c r="Y2313" s="3" t="str">
        <f>IFERROR(__xludf.DUMMYFUNCTION("""COMPUTED_VALUE"""),"ถนนสุขาภิบาล")</f>
        <v>ถนนสุขาภิบาล</v>
      </c>
      <c r="Z2313" s="3" t="str">
        <f>IFERROR(__xludf.DUMMYFUNCTION("""COMPUTED_VALUE"""),"ออเงิน")</f>
        <v>ออเงิน</v>
      </c>
      <c r="AA2313" s="3" t="str">
        <f>IFERROR(__xludf.DUMMYFUNCTION("""COMPUTED_VALUE"""),"สายไหม")</f>
        <v>สายไหม</v>
      </c>
      <c r="AB2313" s="3" t="str">
        <f>IFERROR(__xludf.DUMMYFUNCTION("""COMPUTED_VALUE"""),"กรุงเทพมหานคร")</f>
        <v>กรุงเทพมหานคร</v>
      </c>
      <c r="AC2313" s="3">
        <f>IFERROR(__xludf.DUMMYFUNCTION("""COMPUTED_VALUE"""),10220.0)</f>
        <v>10220</v>
      </c>
      <c r="AD2313" s="3">
        <f>IFERROR(__xludf.DUMMYFUNCTION("""COMPUTED_VALUE"""),0.0)</f>
        <v>0</v>
      </c>
      <c r="AE2313" s="3">
        <f>IFERROR(__xludf.DUMMYFUNCTION("""COMPUTED_VALUE"""),0.0)</f>
        <v>0</v>
      </c>
      <c r="AF2313" s="3" t="str">
        <f>IFERROR(__xludf.DUMMYFUNCTION("""COMPUTED_VALUE"""),"วาวี_บิ๊กซี สุขาภิบาล 5-62012")</f>
        <v>วาวี_บิ๊กซี สุขาภิบาล 5-62012</v>
      </c>
      <c r="AG2313" s="3" t="str">
        <f>IFERROR(__xludf.DUMMYFUNCTION("""COMPUTED_VALUE"""),"กลาง")</f>
        <v>กลาง</v>
      </c>
      <c r="AH2313" s="3" t="str">
        <f>IFERROR(__xludf.DUMMYFUNCTION("""COMPUTED_VALUE"""),"#N/A")</f>
        <v>#N/A</v>
      </c>
      <c r="AI2313" s="3" t="str">
        <f>IFERROR(__xludf.DUMMYFUNCTION("""COMPUTED_VALUE"""),"Out of warranty")</f>
        <v>Out of warranty</v>
      </c>
      <c r="AJ2313" s="3">
        <f>IFERROR(__xludf.DUMMYFUNCTION("""COMPUTED_VALUE"""),77.0)</f>
        <v>77</v>
      </c>
      <c r="AK2313" s="3"/>
      <c r="AL2313" s="3"/>
    </row>
    <row r="2314" ht="15.75" customHeight="1">
      <c r="A2314" s="1" t="str">
        <f>IFERROR(__xludf.DUMMYFUNCTION("""COMPUTED_VALUE"""),"62013")</f>
        <v>62013</v>
      </c>
      <c r="B2314" s="2">
        <f>IFERROR(__xludf.DUMMYFUNCTION("""COMPUTED_VALUE"""),62013.0)</f>
        <v>62013</v>
      </c>
      <c r="C2314" s="3" t="str">
        <f>IFERROR(__xludf.DUMMYFUNCTION("""COMPUTED_VALUE"""),"วาวีท่าอากาศยานสุวรรณภูมิ ชั้น 2")</f>
        <v>วาวีท่าอากาศยานสุวรรณภูมิ ชั้น 2</v>
      </c>
      <c r="D2314" s="3" t="str">
        <f>IFERROR(__xludf.DUMMYFUNCTION("""COMPUTED_VALUE"""),"BIG C SUVARNABHUMI AIRPORT")</f>
        <v>BIG C SUVARNABHUMI AIRPORT</v>
      </c>
      <c r="E2314" s="1" t="str">
        <f>IFERROR(__xludf.DUMMYFUNCTION("""COMPUTED_VALUE"""),"WAWEE")</f>
        <v>WAWEE</v>
      </c>
      <c r="F2314" s="1" t="str">
        <f>IFERROR(__xludf.DUMMYFUNCTION("""COMPUTED_VALUE"""),"2083032")</f>
        <v>2083032</v>
      </c>
      <c r="G2314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14" s="1" t="str">
        <f>IFERROR(__xludf.DUMMYFUNCTION("""COMPUTED_VALUE"""),"2136555")</f>
        <v>2136555</v>
      </c>
      <c r="I2314" s="1" t="str">
        <f>IFERROR(__xludf.DUMMYFUNCTION("""COMPUTED_VALUE"""),"น.ส.ทาลินี ปาละตึง")</f>
        <v>น.ส.ทาลินี ปาละตึง</v>
      </c>
      <c r="J2314" s="3">
        <f>IFERROR(__xludf.DUMMYFUNCTION("""COMPUTED_VALUE"""),2083032.0)</f>
        <v>2083032</v>
      </c>
      <c r="K2314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14" s="1" t="str">
        <f>IFERROR(__xludf.DUMMYFUNCTION("""COMPUTED_VALUE"""),"WAWEE")</f>
        <v>WAWEE</v>
      </c>
      <c r="M2314" s="1" t="str">
        <f>IFERROR(__xludf.DUMMYFUNCTION("""COMPUTED_VALUE"""),"065-505-7642")</f>
        <v>065-505-7642</v>
      </c>
      <c r="N2314" s="3">
        <f>IFERROR(__xludf.DUMMYFUNCTION("""COMPUTED_VALUE"""),62001.0)</f>
        <v>62001</v>
      </c>
      <c r="O2314" s="3" t="str">
        <f>IFERROR(__xludf.DUMMYFUNCTION("""COMPUTED_VALUE"""),"วาวี_บิ๊กซี ราชดำริชั้น 2")</f>
        <v>วาวี_บิ๊กซี ราชดำริชั้น 2</v>
      </c>
      <c r="P2314" s="4">
        <f>IFERROR(__xludf.DUMMYFUNCTION("""COMPUTED_VALUE"""),44545.0)</f>
        <v>44545</v>
      </c>
      <c r="Q2314" s="3" t="str">
        <f>IFERROR(__xludf.DUMMYFUNCTION("""COMPUTED_VALUE"""),"A")</f>
        <v>A</v>
      </c>
      <c r="R2314" s="3" t="str">
        <f>IFERROR(__xludf.DUMMYFUNCTION("""COMPUTED_VALUE"""),"Small Format")</f>
        <v>Small Format</v>
      </c>
      <c r="S2314" s="3" t="str">
        <f>IFERROR(__xludf.DUMMYFUNCTION("""COMPUTED_VALUE"""),"WAWEE")</f>
        <v>WAWEE</v>
      </c>
      <c r="T2314" s="3" t="str">
        <f>IFERROR(__xludf.DUMMYFUNCTION("""COMPUTED_VALUE"""),"WAWEE")</f>
        <v>WAWEE</v>
      </c>
      <c r="U2314" s="3" t="str">
        <f>IFERROR(__xludf.DUMMYFUNCTION("""COMPUTED_VALUE"""),"#N/A")</f>
        <v>#N/A</v>
      </c>
      <c r="V2314" s="3" t="str">
        <f>IFERROR(__xludf.DUMMYFUNCTION("""COMPUTED_VALUE"""),"N")</f>
        <v>N</v>
      </c>
      <c r="W2314" s="3">
        <f>IFERROR(__xludf.DUMMYFUNCTION("""COMPUTED_VALUE"""),181051.0)</f>
        <v>181051</v>
      </c>
      <c r="X2314" s="3" t="str">
        <f>IFERROR(__xludf.DUMMYFUNCTION("""COMPUTED_VALUE"""),"ห้องเลขที่ T1MB1-15 TIME2-19 ชั้น2 เลขที่ 999 หมู่1 ตำบลหนองปรือ อำเภอบางพลี")</f>
        <v>ห้องเลขที่ T1MB1-15 TIME2-19 ชั้น2 เลขที่ 999 หมู่1 ตำบลหนองปรือ อำเภอบางพลี</v>
      </c>
      <c r="Y2314" s="3"/>
      <c r="Z2314" s="3" t="str">
        <f>IFERROR(__xludf.DUMMYFUNCTION("""COMPUTED_VALUE"""),"หนองปรือ")</f>
        <v>หนองปรือ</v>
      </c>
      <c r="AA2314" s="3" t="str">
        <f>IFERROR(__xludf.DUMMYFUNCTION("""COMPUTED_VALUE"""),"บางพลี")</f>
        <v>บางพลี</v>
      </c>
      <c r="AB2314" s="3" t="str">
        <f>IFERROR(__xludf.DUMMYFUNCTION("""COMPUTED_VALUE"""),"สมุทรปราการ")</f>
        <v>สมุทรปราการ</v>
      </c>
      <c r="AC2314" s="3"/>
      <c r="AD2314" s="3"/>
      <c r="AE2314" s="3"/>
      <c r="AF2314" s="3" t="str">
        <f>IFERROR(__xludf.DUMMYFUNCTION("""COMPUTED_VALUE"""),"วาวีท่าอากาศยานสุวรรณภูมิ ชั้น 2-62013")</f>
        <v>วาวีท่าอากาศยานสุวรรณภูมิ ชั้น 2-62013</v>
      </c>
      <c r="AG2314" s="3" t="str">
        <f>IFERROR(__xludf.DUMMYFUNCTION("""COMPUTED_VALUE"""),"กลาง")</f>
        <v>กลาง</v>
      </c>
      <c r="AH2314" s="3" t="str">
        <f>IFERROR(__xludf.DUMMYFUNCTION("""COMPUTED_VALUE"""),"#N/A")</f>
        <v>#N/A</v>
      </c>
      <c r="AI2314" s="3" t="str">
        <f>IFERROR(__xludf.DUMMYFUNCTION("""COMPUTED_VALUE"""),"Out of warranty")</f>
        <v>Out of warranty</v>
      </c>
      <c r="AJ2314" s="3">
        <f>IFERROR(__xludf.DUMMYFUNCTION("""COMPUTED_VALUE"""),50.0)</f>
        <v>50</v>
      </c>
      <c r="AK2314" s="3"/>
      <c r="AL2314" s="3"/>
    </row>
    <row r="2315" ht="15.75" customHeight="1">
      <c r="A2315" s="1" t="str">
        <f>IFERROR(__xludf.DUMMYFUNCTION("""COMPUTED_VALUE"""),"62014")</f>
        <v>62014</v>
      </c>
      <c r="B2315" s="2">
        <f>IFERROR(__xludf.DUMMYFUNCTION("""COMPUTED_VALUE"""),62014.0)</f>
        <v>62014</v>
      </c>
      <c r="C2315" s="3" t="str">
        <f>IFERROR(__xludf.DUMMYFUNCTION("""COMPUTED_VALUE"""),"วาวี ศูนย์ประชุมแห่งชาติสิริกิติ์ ชั้น LG")</f>
        <v>วาวี ศูนย์ประชุมแห่งชาติสิริกิติ์ ชั้น LG</v>
      </c>
      <c r="D2315" s="3" t="str">
        <f>IFERROR(__xludf.DUMMYFUNCTION("""COMPUTED_VALUE"""),"BIG QSNCC")</f>
        <v>BIG QSNCC</v>
      </c>
      <c r="E2315" s="1" t="str">
        <f>IFERROR(__xludf.DUMMYFUNCTION("""COMPUTED_VALUE"""),"WAWEE")</f>
        <v>WAWEE</v>
      </c>
      <c r="F2315" s="1" t="str">
        <f>IFERROR(__xludf.DUMMYFUNCTION("""COMPUTED_VALUE"""),"2083032")</f>
        <v>2083032</v>
      </c>
      <c r="G2315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15" s="1" t="str">
        <f>IFERROR(__xludf.DUMMYFUNCTION("""COMPUTED_VALUE"""),"2136555")</f>
        <v>2136555</v>
      </c>
      <c r="I2315" s="1" t="str">
        <f>IFERROR(__xludf.DUMMYFUNCTION("""COMPUTED_VALUE"""),"น.ส.ทาลินี ปาละตึง")</f>
        <v>น.ส.ทาลินี ปาละตึง</v>
      </c>
      <c r="J2315" s="3">
        <f>IFERROR(__xludf.DUMMYFUNCTION("""COMPUTED_VALUE"""),2083032.0)</f>
        <v>2083032</v>
      </c>
      <c r="K2315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15" s="1" t="str">
        <f>IFERROR(__xludf.DUMMYFUNCTION("""COMPUTED_VALUE"""),"WAWEE")</f>
        <v>WAWEE</v>
      </c>
      <c r="M2315" s="1" t="str">
        <f>IFERROR(__xludf.DUMMYFUNCTION("""COMPUTED_VALUE"""),"065-505-7642")</f>
        <v>065-505-7642</v>
      </c>
      <c r="N2315" s="3">
        <f>IFERROR(__xludf.DUMMYFUNCTION("""COMPUTED_VALUE"""),62014.0)</f>
        <v>62014</v>
      </c>
      <c r="O2315" s="3" t="str">
        <f>IFERROR(__xludf.DUMMYFUNCTION("""COMPUTED_VALUE"""),"วาวี ศูนย์ประชุมแห่งชาติสิริกิติ์ ชั้น LG")</f>
        <v>วาวี ศูนย์ประชุมแห่งชาติสิริกิติ์ ชั้น LG</v>
      </c>
      <c r="P2315" s="4">
        <f>IFERROR(__xludf.DUMMYFUNCTION("""COMPUTED_VALUE"""),44816.0)</f>
        <v>44816</v>
      </c>
      <c r="Q2315" s="3" t="str">
        <f>IFERROR(__xludf.DUMMYFUNCTION("""COMPUTED_VALUE"""),"A")</f>
        <v>A</v>
      </c>
      <c r="R2315" s="3" t="str">
        <f>IFERROR(__xludf.DUMMYFUNCTION("""COMPUTED_VALUE"""),"Small Format")</f>
        <v>Small Format</v>
      </c>
      <c r="S2315" s="3" t="str">
        <f>IFERROR(__xludf.DUMMYFUNCTION("""COMPUTED_VALUE"""),"WAWEE")</f>
        <v>WAWEE</v>
      </c>
      <c r="T2315" s="3" t="str">
        <f>IFERROR(__xludf.DUMMYFUNCTION("""COMPUTED_VALUE"""),"WAWEE")</f>
        <v>WAWEE</v>
      </c>
      <c r="U2315" s="3" t="str">
        <f>IFERROR(__xludf.DUMMYFUNCTION("""COMPUTED_VALUE"""),"#N/A")</f>
        <v>#N/A</v>
      </c>
      <c r="V2315" s="3" t="str">
        <f>IFERROR(__xludf.DUMMYFUNCTION("""COMPUTED_VALUE"""),"N")</f>
        <v>N</v>
      </c>
      <c r="W2315" s="3"/>
      <c r="X2315" s="3" t="str">
        <f>IFERROR(__xludf.DUMMYFUNCTION("""COMPUTED_VALUE"""),"อาคารศูนย์การประชุมแห่งชาติสิริกิติ์ เลขที่ 60 ถนนรัชดาภิเษก แขวงคลองเตย เขตคลองเตย กรุงเทพมหานคร 10110")</f>
        <v>อาคารศูนย์การประชุมแห่งชาติสิริกิติ์ เลขที่ 60 ถนนรัชดาภิเษก แขวงคลองเตย เขตคลองเตย กรุงเทพมหานคร 10110</v>
      </c>
      <c r="Y2315" s="3" t="str">
        <f>IFERROR(__xludf.DUMMYFUNCTION("""COMPUTED_VALUE"""),"รัชดาภิเษก")</f>
        <v>รัชดาภิเษก</v>
      </c>
      <c r="Z2315" s="3" t="str">
        <f>IFERROR(__xludf.DUMMYFUNCTION("""COMPUTED_VALUE"""),"คลองเตย")</f>
        <v>คลองเตย</v>
      </c>
      <c r="AA2315" s="3" t="str">
        <f>IFERROR(__xludf.DUMMYFUNCTION("""COMPUTED_VALUE"""),"คลองเตย")</f>
        <v>คลองเตย</v>
      </c>
      <c r="AB2315" s="3" t="str">
        <f>IFERROR(__xludf.DUMMYFUNCTION("""COMPUTED_VALUE"""),"กรุงเทพมหานคร")</f>
        <v>กรุงเทพมหานคร</v>
      </c>
      <c r="AC2315" s="3">
        <f>IFERROR(__xludf.DUMMYFUNCTION("""COMPUTED_VALUE"""),10110.0)</f>
        <v>10110</v>
      </c>
      <c r="AD2315" s="3"/>
      <c r="AE2315" s="3"/>
      <c r="AF2315" s="3" t="str">
        <f>IFERROR(__xludf.DUMMYFUNCTION("""COMPUTED_VALUE"""),"วาวี ศูนย์ประชุมแห่งชาติสิริกิติ์ ชั้น LG-62014")</f>
        <v>วาวี ศูนย์ประชุมแห่งชาติสิริกิติ์ ชั้น LG-62014</v>
      </c>
      <c r="AG2315" s="3" t="str">
        <f>IFERROR(__xludf.DUMMYFUNCTION("""COMPUTED_VALUE"""),"กลาง")</f>
        <v>กลาง</v>
      </c>
      <c r="AH2315" s="3" t="str">
        <f>IFERROR(__xludf.DUMMYFUNCTION("""COMPUTED_VALUE"""),"#N/A")</f>
        <v>#N/A</v>
      </c>
      <c r="AI2315" s="3" t="str">
        <f>IFERROR(__xludf.DUMMYFUNCTION("""COMPUTED_VALUE"""),"Out of warranty")</f>
        <v>Out of warranty</v>
      </c>
      <c r="AJ2315" s="3">
        <f>IFERROR(__xludf.DUMMYFUNCTION("""COMPUTED_VALUE"""),41.0)</f>
        <v>41</v>
      </c>
      <c r="AK2315" s="3"/>
      <c r="AL2315" s="3"/>
    </row>
    <row r="2316" ht="15.75" customHeight="1">
      <c r="A2316" s="1" t="str">
        <f>IFERROR(__xludf.DUMMYFUNCTION("""COMPUTED_VALUE"""),"63001")</f>
        <v>63001</v>
      </c>
      <c r="B2316" s="2">
        <f>IFERROR(__xludf.DUMMYFUNCTION("""COMPUTED_VALUE"""),63001.0)</f>
        <v>63001</v>
      </c>
      <c r="C2316" s="3" t="str">
        <f>IFERROR(__xludf.DUMMYFUNCTION("""COMPUTED_VALUE"""),"วาวี_บิ๊กซี ราชดำริชั้น1")</f>
        <v>วาวี_บิ๊กซี ราชดำริชั้น1</v>
      </c>
      <c r="D2316" s="3" t="str">
        <f>IFERROR(__xludf.DUMMYFUNCTION("""COMPUTED_VALUE"""),"BIGC RAJDAMRI1 FL WAWEE K")</f>
        <v>BIGC RAJDAMRI1 FL WAWEE K</v>
      </c>
      <c r="E2316" s="1" t="str">
        <f>IFERROR(__xludf.DUMMYFUNCTION("""COMPUTED_VALUE"""),"WAWEE")</f>
        <v>WAWEE</v>
      </c>
      <c r="F2316" s="1" t="str">
        <f>IFERROR(__xludf.DUMMYFUNCTION("""COMPUTED_VALUE"""),"2083032")</f>
        <v>2083032</v>
      </c>
      <c r="G2316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16" s="1" t="str">
        <f>IFERROR(__xludf.DUMMYFUNCTION("""COMPUTED_VALUE"""),"2136555")</f>
        <v>2136555</v>
      </c>
      <c r="I2316" s="1" t="str">
        <f>IFERROR(__xludf.DUMMYFUNCTION("""COMPUTED_VALUE"""),"น.ส.ทาลินี ปาละตึง")</f>
        <v>น.ส.ทาลินี ปาละตึง</v>
      </c>
      <c r="J2316" s="3">
        <f>IFERROR(__xludf.DUMMYFUNCTION("""COMPUTED_VALUE"""),2083032.0)</f>
        <v>2083032</v>
      </c>
      <c r="K2316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16" s="1" t="str">
        <f>IFERROR(__xludf.DUMMYFUNCTION("""COMPUTED_VALUE"""),"WAWEE")</f>
        <v>WAWEE</v>
      </c>
      <c r="M2316" s="1" t="str">
        <f>IFERROR(__xludf.DUMMYFUNCTION("""COMPUTED_VALUE"""),"065-505-7642")</f>
        <v>065-505-7642</v>
      </c>
      <c r="N2316" s="3">
        <f>IFERROR(__xludf.DUMMYFUNCTION("""COMPUTED_VALUE"""),62001.0)</f>
        <v>62001</v>
      </c>
      <c r="O2316" s="3" t="str">
        <f>IFERROR(__xludf.DUMMYFUNCTION("""COMPUTED_VALUE"""),"วาวี_บิ๊กซี ราชดำริชั้น 2")</f>
        <v>วาวี_บิ๊กซี ราชดำริชั้น 2</v>
      </c>
      <c r="P2316" s="4">
        <f>IFERROR(__xludf.DUMMYFUNCTION("""COMPUTED_VALUE"""),43532.0)</f>
        <v>43532</v>
      </c>
      <c r="Q2316" s="3" t="str">
        <f>IFERROR(__xludf.DUMMYFUNCTION("""COMPUTED_VALUE"""),"A")</f>
        <v>A</v>
      </c>
      <c r="R2316" s="3" t="str">
        <f>IFERROR(__xludf.DUMMYFUNCTION("""COMPUTED_VALUE"""),"Small Format")</f>
        <v>Small Format</v>
      </c>
      <c r="S2316" s="3" t="str">
        <f>IFERROR(__xludf.DUMMYFUNCTION("""COMPUTED_VALUE"""),"WAWEE")</f>
        <v>WAWEE</v>
      </c>
      <c r="T2316" s="3" t="str">
        <f>IFERROR(__xludf.DUMMYFUNCTION("""COMPUTED_VALUE"""),"WAWEE")</f>
        <v>WAWEE</v>
      </c>
      <c r="U2316" s="3" t="str">
        <f>IFERROR(__xludf.DUMMYFUNCTION("""COMPUTED_VALUE"""),"#N/A")</f>
        <v>#N/A</v>
      </c>
      <c r="V2316" s="3" t="str">
        <f>IFERROR(__xludf.DUMMYFUNCTION("""COMPUTED_VALUE"""),"N")</f>
        <v>N</v>
      </c>
      <c r="W2316" s="3">
        <f>IFERROR(__xludf.DUMMYFUNCTION("""COMPUTED_VALUE"""),182001.0)</f>
        <v>182001</v>
      </c>
      <c r="X2316" s="3" t="str">
        <f>IFERROR(__xludf.DUMMYFUNCTION("""COMPUTED_VALUE"""),"97/11 ชั้น1 ถนนราชดำริห์ แขวงลุมพินี เขตปทุมวัน กรุงเทพมหานคร 10330")</f>
        <v>97/11 ชั้น1 ถนนราชดำริห์ แขวงลุมพินี เขตปทุมวัน กรุงเทพมหานคร 10330</v>
      </c>
      <c r="Y2316" s="3" t="str">
        <f>IFERROR(__xludf.DUMMYFUNCTION("""COMPUTED_VALUE"""),"ถนนราชดำริห์")</f>
        <v>ถนนราชดำริห์</v>
      </c>
      <c r="Z2316" s="3" t="str">
        <f>IFERROR(__xludf.DUMMYFUNCTION("""COMPUTED_VALUE"""),"ลุมพินี")</f>
        <v>ลุมพินี</v>
      </c>
      <c r="AA2316" s="3" t="str">
        <f>IFERROR(__xludf.DUMMYFUNCTION("""COMPUTED_VALUE"""),"ปทุมวัน")</f>
        <v>ปทุมวัน</v>
      </c>
      <c r="AB2316" s="3" t="str">
        <f>IFERROR(__xludf.DUMMYFUNCTION("""COMPUTED_VALUE"""),"กรุงเทพมหานคร")</f>
        <v>กรุงเทพมหานคร</v>
      </c>
      <c r="AC2316" s="3">
        <f>IFERROR(__xludf.DUMMYFUNCTION("""COMPUTED_VALUE"""),10330.0)</f>
        <v>10330</v>
      </c>
      <c r="AD2316" s="3">
        <f>IFERROR(__xludf.DUMMYFUNCTION("""COMPUTED_VALUE"""),0.0)</f>
        <v>0</v>
      </c>
      <c r="AE2316" s="3">
        <f>IFERROR(__xludf.DUMMYFUNCTION("""COMPUTED_VALUE"""),0.0)</f>
        <v>0</v>
      </c>
      <c r="AF2316" s="3" t="str">
        <f>IFERROR(__xludf.DUMMYFUNCTION("""COMPUTED_VALUE"""),"วาวี_บิ๊กซี ราชดำริชั้น1-63001")</f>
        <v>วาวี_บิ๊กซี ราชดำริชั้น1-63001</v>
      </c>
      <c r="AG2316" s="3" t="str">
        <f>IFERROR(__xludf.DUMMYFUNCTION("""COMPUTED_VALUE"""),"กลาง")</f>
        <v>กลาง</v>
      </c>
      <c r="AH2316" s="3" t="str">
        <f>IFERROR(__xludf.DUMMYFUNCTION("""COMPUTED_VALUE"""),"#N/A")</f>
        <v>#N/A</v>
      </c>
      <c r="AI2316" s="3" t="str">
        <f>IFERROR(__xludf.DUMMYFUNCTION("""COMPUTED_VALUE"""),"Out of warranty")</f>
        <v>Out of warranty</v>
      </c>
      <c r="AJ2316" s="3">
        <f>IFERROR(__xludf.DUMMYFUNCTION("""COMPUTED_VALUE"""),83.0)</f>
        <v>83</v>
      </c>
      <c r="AK2316" s="3"/>
      <c r="AL2316" s="3"/>
    </row>
    <row r="2317" ht="15.75" customHeight="1">
      <c r="A2317" s="1" t="str">
        <f>IFERROR(__xludf.DUMMYFUNCTION("""COMPUTED_VALUE"""),"63002")</f>
        <v>63002</v>
      </c>
      <c r="B2317" s="2">
        <f>IFERROR(__xludf.DUMMYFUNCTION("""COMPUTED_VALUE"""),63002.0)</f>
        <v>63002</v>
      </c>
      <c r="C2317" s="3" t="str">
        <f>IFERROR(__xludf.DUMMYFUNCTION("""COMPUTED_VALUE"""),"วาวี_บิ๊กซี สุขสวัสดิ์")</f>
        <v>วาวี_บิ๊กซี สุขสวัสดิ์</v>
      </c>
      <c r="D2317" s="3" t="str">
        <f>IFERROR(__xludf.DUMMYFUNCTION("""COMPUTED_VALUE"""),"BIGC SUKSAWAT1 FL WAWEE K")</f>
        <v>BIGC SUKSAWAT1 FL WAWEE K</v>
      </c>
      <c r="E2317" s="1" t="str">
        <f>IFERROR(__xludf.DUMMYFUNCTION("""COMPUTED_VALUE"""),"WAWEE")</f>
        <v>WAWEE</v>
      </c>
      <c r="F2317" s="1" t="str">
        <f>IFERROR(__xludf.DUMMYFUNCTION("""COMPUTED_VALUE"""),"2083032")</f>
        <v>2083032</v>
      </c>
      <c r="G2317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17" s="1" t="str">
        <f>IFERROR(__xludf.DUMMYFUNCTION("""COMPUTED_VALUE"""),"2136555")</f>
        <v>2136555</v>
      </c>
      <c r="I2317" s="1" t="str">
        <f>IFERROR(__xludf.DUMMYFUNCTION("""COMPUTED_VALUE"""),"น.ส.ทาลินี ปาละตึง")</f>
        <v>น.ส.ทาลินี ปาละตึง</v>
      </c>
      <c r="J2317" s="3">
        <f>IFERROR(__xludf.DUMMYFUNCTION("""COMPUTED_VALUE"""),2083032.0)</f>
        <v>2083032</v>
      </c>
      <c r="K2317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17" s="1" t="str">
        <f>IFERROR(__xludf.DUMMYFUNCTION("""COMPUTED_VALUE"""),"WAWEE")</f>
        <v>WAWEE</v>
      </c>
      <c r="M2317" s="1" t="str">
        <f>IFERROR(__xludf.DUMMYFUNCTION("""COMPUTED_VALUE"""),"065-505-7642")</f>
        <v>065-505-7642</v>
      </c>
      <c r="N2317" s="3">
        <f>IFERROR(__xludf.DUMMYFUNCTION("""COMPUTED_VALUE"""),62001.0)</f>
        <v>62001</v>
      </c>
      <c r="O2317" s="3" t="str">
        <f>IFERROR(__xludf.DUMMYFUNCTION("""COMPUTED_VALUE"""),"วาวี_บิ๊กซี ราชดำริชั้น 2")</f>
        <v>วาวี_บิ๊กซี ราชดำริชั้น 2</v>
      </c>
      <c r="P2317" s="4">
        <f>IFERROR(__xludf.DUMMYFUNCTION("""COMPUTED_VALUE"""),43615.0)</f>
        <v>43615</v>
      </c>
      <c r="Q2317" s="3" t="str">
        <f>IFERROR(__xludf.DUMMYFUNCTION("""COMPUTED_VALUE"""),"A")</f>
        <v>A</v>
      </c>
      <c r="R2317" s="3" t="str">
        <f>IFERROR(__xludf.DUMMYFUNCTION("""COMPUTED_VALUE"""),"Small Format")</f>
        <v>Small Format</v>
      </c>
      <c r="S2317" s="3" t="str">
        <f>IFERROR(__xludf.DUMMYFUNCTION("""COMPUTED_VALUE"""),"WAWEE")</f>
        <v>WAWEE</v>
      </c>
      <c r="T2317" s="3" t="str">
        <f>IFERROR(__xludf.DUMMYFUNCTION("""COMPUTED_VALUE"""),"WAWEE")</f>
        <v>WAWEE</v>
      </c>
      <c r="U2317" s="3" t="str">
        <f>IFERROR(__xludf.DUMMYFUNCTION("""COMPUTED_VALUE"""),"#N/A")</f>
        <v>#N/A</v>
      </c>
      <c r="V2317" s="3" t="str">
        <f>IFERROR(__xludf.DUMMYFUNCTION("""COMPUTED_VALUE"""),"N")</f>
        <v>N</v>
      </c>
      <c r="W2317" s="3">
        <f>IFERROR(__xludf.DUMMYFUNCTION("""COMPUTED_VALUE"""),182002.0)</f>
        <v>182002</v>
      </c>
      <c r="X2317" s="3" t="str">
        <f>IFERROR(__xludf.DUMMYFUNCTION("""COMPUTED_VALUE"""),"94 หมู่18 ตำบลบางพึ่ง อำเภอพระประแดง จังหวัดสมุทรปราการ 10130")</f>
        <v>94 หมู่18 ตำบลบางพึ่ง อำเภอพระประแดง จังหวัดสมุทรปราการ 10130</v>
      </c>
      <c r="Y2317" s="3"/>
      <c r="Z2317" s="3" t="str">
        <f>IFERROR(__xludf.DUMMYFUNCTION("""COMPUTED_VALUE"""),"บางพึ่ง")</f>
        <v>บางพึ่ง</v>
      </c>
      <c r="AA2317" s="3" t="str">
        <f>IFERROR(__xludf.DUMMYFUNCTION("""COMPUTED_VALUE"""),"พระประแดง")</f>
        <v>พระประแดง</v>
      </c>
      <c r="AB2317" s="3" t="str">
        <f>IFERROR(__xludf.DUMMYFUNCTION("""COMPUTED_VALUE"""),"สมุทรปราการ")</f>
        <v>สมุทรปราการ</v>
      </c>
      <c r="AC2317" s="3">
        <f>IFERROR(__xludf.DUMMYFUNCTION("""COMPUTED_VALUE"""),10130.0)</f>
        <v>10130</v>
      </c>
      <c r="AD2317" s="3">
        <f>IFERROR(__xludf.DUMMYFUNCTION("""COMPUTED_VALUE"""),0.0)</f>
        <v>0</v>
      </c>
      <c r="AE2317" s="3">
        <f>IFERROR(__xludf.DUMMYFUNCTION("""COMPUTED_VALUE"""),0.0)</f>
        <v>0</v>
      </c>
      <c r="AF2317" s="3" t="str">
        <f>IFERROR(__xludf.DUMMYFUNCTION("""COMPUTED_VALUE"""),"วาวี_บิ๊กซี สุขสวัสดิ์-63002")</f>
        <v>วาวี_บิ๊กซี สุขสวัสดิ์-63002</v>
      </c>
      <c r="AG2317" s="3" t="str">
        <f>IFERROR(__xludf.DUMMYFUNCTION("""COMPUTED_VALUE"""),"กลาง")</f>
        <v>กลาง</v>
      </c>
      <c r="AH2317" s="3" t="str">
        <f>IFERROR(__xludf.DUMMYFUNCTION("""COMPUTED_VALUE"""),"#N/A")</f>
        <v>#N/A</v>
      </c>
      <c r="AI2317" s="3" t="str">
        <f>IFERROR(__xludf.DUMMYFUNCTION("""COMPUTED_VALUE"""),"Out of warranty")</f>
        <v>Out of warranty</v>
      </c>
      <c r="AJ2317" s="3">
        <f>IFERROR(__xludf.DUMMYFUNCTION("""COMPUTED_VALUE"""),80.0)</f>
        <v>80</v>
      </c>
      <c r="AK2317" s="3"/>
      <c r="AL2317" s="3"/>
    </row>
    <row r="2318" ht="15.75" customHeight="1">
      <c r="A2318" s="1" t="str">
        <f>IFERROR(__xludf.DUMMYFUNCTION("""COMPUTED_VALUE"""),"63003")</f>
        <v>63003</v>
      </c>
      <c r="B2318" s="2">
        <f>IFERROR(__xludf.DUMMYFUNCTION("""COMPUTED_VALUE"""),63003.0)</f>
        <v>63003</v>
      </c>
      <c r="C2318" s="3" t="str">
        <f>IFERROR(__xludf.DUMMYFUNCTION("""COMPUTED_VALUE"""),"วาวี_บิ๊กซี บางพลี")</f>
        <v>วาวี_บิ๊กซี บางพลี</v>
      </c>
      <c r="D2318" s="3" t="str">
        <f>IFERROR(__xludf.DUMMYFUNCTION("""COMPUTED_VALUE"""),"BIGC BANGPLEE WAWEE K")</f>
        <v>BIGC BANGPLEE WAWEE K</v>
      </c>
      <c r="E2318" s="1" t="str">
        <f>IFERROR(__xludf.DUMMYFUNCTION("""COMPUTED_VALUE"""),"WAWEE")</f>
        <v>WAWEE</v>
      </c>
      <c r="F2318" s="1" t="str">
        <f>IFERROR(__xludf.DUMMYFUNCTION("""COMPUTED_VALUE"""),"2083032")</f>
        <v>2083032</v>
      </c>
      <c r="G2318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18" s="1" t="str">
        <f>IFERROR(__xludf.DUMMYFUNCTION("""COMPUTED_VALUE"""),"2136555")</f>
        <v>2136555</v>
      </c>
      <c r="I2318" s="1" t="str">
        <f>IFERROR(__xludf.DUMMYFUNCTION("""COMPUTED_VALUE"""),"น.ส.ทาลินี ปาละตึง")</f>
        <v>น.ส.ทาลินี ปาละตึง</v>
      </c>
      <c r="J2318" s="3">
        <f>IFERROR(__xludf.DUMMYFUNCTION("""COMPUTED_VALUE"""),2083032.0)</f>
        <v>2083032</v>
      </c>
      <c r="K2318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18" s="1" t="str">
        <f>IFERROR(__xludf.DUMMYFUNCTION("""COMPUTED_VALUE"""),"WAWEE")</f>
        <v>WAWEE</v>
      </c>
      <c r="M2318" s="1" t="str">
        <f>IFERROR(__xludf.DUMMYFUNCTION("""COMPUTED_VALUE"""),"065-505-7642")</f>
        <v>065-505-7642</v>
      </c>
      <c r="N2318" s="3">
        <f>IFERROR(__xludf.DUMMYFUNCTION("""COMPUTED_VALUE"""),62001.0)</f>
        <v>62001</v>
      </c>
      <c r="O2318" s="3" t="str">
        <f>IFERROR(__xludf.DUMMYFUNCTION("""COMPUTED_VALUE"""),"วาวี_บิ๊กซี ราชดำริชั้น 2")</f>
        <v>วาวี_บิ๊กซี ราชดำริชั้น 2</v>
      </c>
      <c r="P2318" s="4">
        <f>IFERROR(__xludf.DUMMYFUNCTION("""COMPUTED_VALUE"""),43697.0)</f>
        <v>43697</v>
      </c>
      <c r="Q2318" s="3" t="str">
        <f>IFERROR(__xludf.DUMMYFUNCTION("""COMPUTED_VALUE"""),"A")</f>
        <v>A</v>
      </c>
      <c r="R2318" s="3" t="str">
        <f>IFERROR(__xludf.DUMMYFUNCTION("""COMPUTED_VALUE"""),"Small Format")</f>
        <v>Small Format</v>
      </c>
      <c r="S2318" s="3" t="str">
        <f>IFERROR(__xludf.DUMMYFUNCTION("""COMPUTED_VALUE"""),"WAWEE")</f>
        <v>WAWEE</v>
      </c>
      <c r="T2318" s="3" t="str">
        <f>IFERROR(__xludf.DUMMYFUNCTION("""COMPUTED_VALUE"""),"WAWEE")</f>
        <v>WAWEE</v>
      </c>
      <c r="U2318" s="3" t="str">
        <f>IFERROR(__xludf.DUMMYFUNCTION("""COMPUTED_VALUE"""),"#N/A")</f>
        <v>#N/A</v>
      </c>
      <c r="V2318" s="3" t="str">
        <f>IFERROR(__xludf.DUMMYFUNCTION("""COMPUTED_VALUE"""),"N")</f>
        <v>N</v>
      </c>
      <c r="W2318" s="3">
        <f>IFERROR(__xludf.DUMMYFUNCTION("""COMPUTED_VALUE"""),182003.0)</f>
        <v>182003</v>
      </c>
      <c r="X2318" s="3" t="str">
        <f>IFERROR(__xludf.DUMMYFUNCTION("""COMPUTED_VALUE"""),"89 หมู่9 ถนนเทพารักษ์กิโลเมตร13 ตำบลบางพลีใหญ่ อำเภอบางพลี จังหวัดสมุทรปราการ 10540")</f>
        <v>89 หมู่9 ถนนเทพารักษ์กิโลเมตร13 ตำบลบางพลีใหญ่ อำเภอบางพลี จังหวัดสมุทรปราการ 10540</v>
      </c>
      <c r="Y2318" s="3"/>
      <c r="Z2318" s="3" t="str">
        <f>IFERROR(__xludf.DUMMYFUNCTION("""COMPUTED_VALUE"""),"บางพลีใหญ่")</f>
        <v>บางพลีใหญ่</v>
      </c>
      <c r="AA2318" s="3" t="str">
        <f>IFERROR(__xludf.DUMMYFUNCTION("""COMPUTED_VALUE"""),"บางพลี")</f>
        <v>บางพลี</v>
      </c>
      <c r="AB2318" s="3" t="str">
        <f>IFERROR(__xludf.DUMMYFUNCTION("""COMPUTED_VALUE"""),"สมุทรปราการ")</f>
        <v>สมุทรปราการ</v>
      </c>
      <c r="AC2318" s="3">
        <f>IFERROR(__xludf.DUMMYFUNCTION("""COMPUTED_VALUE"""),10540.0)</f>
        <v>10540</v>
      </c>
      <c r="AD2318" s="3">
        <f>IFERROR(__xludf.DUMMYFUNCTION("""COMPUTED_VALUE"""),0.0)</f>
        <v>0</v>
      </c>
      <c r="AE2318" s="3">
        <f>IFERROR(__xludf.DUMMYFUNCTION("""COMPUTED_VALUE"""),0.0)</f>
        <v>0</v>
      </c>
      <c r="AF2318" s="3" t="str">
        <f>IFERROR(__xludf.DUMMYFUNCTION("""COMPUTED_VALUE"""),"วาวี_บิ๊กซี บางพลี-63003")</f>
        <v>วาวี_บิ๊กซี บางพลี-63003</v>
      </c>
      <c r="AG2318" s="3" t="str">
        <f>IFERROR(__xludf.DUMMYFUNCTION("""COMPUTED_VALUE"""),"กลาง")</f>
        <v>กลาง</v>
      </c>
      <c r="AH2318" s="3" t="str">
        <f>IFERROR(__xludf.DUMMYFUNCTION("""COMPUTED_VALUE"""),"#N/A")</f>
        <v>#N/A</v>
      </c>
      <c r="AI2318" s="3" t="str">
        <f>IFERROR(__xludf.DUMMYFUNCTION("""COMPUTED_VALUE"""),"Out of warranty")</f>
        <v>Out of warranty</v>
      </c>
      <c r="AJ2318" s="3">
        <f>IFERROR(__xludf.DUMMYFUNCTION("""COMPUTED_VALUE"""),78.0)</f>
        <v>78</v>
      </c>
      <c r="AK2318" s="3"/>
      <c r="AL2318" s="3"/>
    </row>
    <row r="2319" ht="15.75" customHeight="1">
      <c r="A2319" s="1" t="str">
        <f>IFERROR(__xludf.DUMMYFUNCTION("""COMPUTED_VALUE"""),"63004")</f>
        <v>63004</v>
      </c>
      <c r="B2319" s="2">
        <f>IFERROR(__xludf.DUMMYFUNCTION("""COMPUTED_VALUE"""),63004.0)</f>
        <v>63004</v>
      </c>
      <c r="C2319" s="3" t="str">
        <f>IFERROR(__xludf.DUMMYFUNCTION("""COMPUTED_VALUE"""),"วาวี_บิ๊กซี นครปฐม")</f>
        <v>วาวี_บิ๊กซี นครปฐม</v>
      </c>
      <c r="D2319" s="3" t="str">
        <f>IFERROR(__xludf.DUMMYFUNCTION("""COMPUTED_VALUE"""),"BIGC NAKORNPATHOM WAWEE K")</f>
        <v>BIGC NAKORNPATHOM WAWEE K</v>
      </c>
      <c r="E2319" s="1" t="str">
        <f>IFERROR(__xludf.DUMMYFUNCTION("""COMPUTED_VALUE"""),"WAWEE")</f>
        <v>WAWEE</v>
      </c>
      <c r="F2319" s="1" t="str">
        <f>IFERROR(__xludf.DUMMYFUNCTION("""COMPUTED_VALUE"""),"296850")</f>
        <v>296850</v>
      </c>
      <c r="G2319" s="1" t="str">
        <f>IFERROR(__xludf.DUMMYFUNCTION("""COMPUTED_VALUE"""),"นายชุติเทพ โศภิษฐ์ปริวัฒน์")</f>
        <v>นายชุติเทพ โศภิษฐ์ปริวัฒน์</v>
      </c>
      <c r="H2319" s="1" t="str">
        <f>IFERROR(__xludf.DUMMYFUNCTION("""COMPUTED_VALUE"""),"296300")</f>
        <v>296300</v>
      </c>
      <c r="I2319" s="1" t="str">
        <f>IFERROR(__xludf.DUMMYFUNCTION("""COMPUTED_VALUE"""),"น.ส.วันเพ็ญ วันแสน")</f>
        <v>น.ส.วันเพ็ญ วันแสน</v>
      </c>
      <c r="J2319" s="3">
        <f>IFERROR(__xludf.DUMMYFUNCTION("""COMPUTED_VALUE"""),296319.0)</f>
        <v>296319</v>
      </c>
      <c r="K2319" s="3" t="str">
        <f>IFERROR(__xludf.DUMMYFUNCTION("""COMPUTED_VALUE"""),"นายรัฐภูมิ กิตติอิชฌติ")</f>
        <v>นายรัฐภูมิ กิตติอิชฌติ</v>
      </c>
      <c r="L2319" s="1" t="str">
        <f>IFERROR(__xludf.DUMMYFUNCTION("""COMPUTED_VALUE"""),"0")</f>
        <v>0</v>
      </c>
      <c r="M2319" s="1" t="str">
        <f>IFERROR(__xludf.DUMMYFUNCTION("""COMPUTED_VALUE"""),"0")</f>
        <v>0</v>
      </c>
      <c r="N2319" s="3">
        <f>IFERROR(__xludf.DUMMYFUNCTION("""COMPUTED_VALUE"""),62001.0)</f>
        <v>62001</v>
      </c>
      <c r="O2319" s="3" t="str">
        <f>IFERROR(__xludf.DUMMYFUNCTION("""COMPUTED_VALUE"""),"วาวี_บิ๊กซี ราชดำริชั้น 2")</f>
        <v>วาวี_บิ๊กซี ราชดำริชั้น 2</v>
      </c>
      <c r="P2319" s="4">
        <f>IFERROR(__xludf.DUMMYFUNCTION("""COMPUTED_VALUE"""),43699.0)</f>
        <v>43699</v>
      </c>
      <c r="Q2319" s="3" t="str">
        <f>IFERROR(__xludf.DUMMYFUNCTION("""COMPUTED_VALUE"""),"I")</f>
        <v>I</v>
      </c>
      <c r="R2319" s="3" t="str">
        <f>IFERROR(__xludf.DUMMYFUNCTION("""COMPUTED_VALUE"""),"Small Format")</f>
        <v>Small Format</v>
      </c>
      <c r="S2319" s="3" t="str">
        <f>IFERROR(__xludf.DUMMYFUNCTION("""COMPUTED_VALUE"""),"WAWEE")</f>
        <v>WAWEE</v>
      </c>
      <c r="T2319" s="3" t="str">
        <f>IFERROR(__xludf.DUMMYFUNCTION("""COMPUTED_VALUE"""),"#N/A")</f>
        <v>#N/A</v>
      </c>
      <c r="U2319" s="3" t="str">
        <f>IFERROR(__xludf.DUMMYFUNCTION("""COMPUTED_VALUE"""),"#N/A")</f>
        <v>#N/A</v>
      </c>
      <c r="V2319" s="3" t="str">
        <f>IFERROR(__xludf.DUMMYFUNCTION("""COMPUTED_VALUE"""),"N")</f>
        <v>N</v>
      </c>
      <c r="W2319" s="3">
        <f>IFERROR(__xludf.DUMMYFUNCTION("""COMPUTED_VALUE"""),182004.0)</f>
        <v>182004</v>
      </c>
      <c r="X2319" s="3" t="str">
        <f>IFERROR(__xludf.DUMMYFUNCTION("""COMPUTED_VALUE"""),"754 ถนนเพชรเกษม ตำบลห้วยจรเข้ อำเภอเมืองนครปฐม จังหวัดนครปฐม 73000")</f>
        <v>754 ถนนเพชรเกษม ตำบลห้วยจรเข้ อำเภอเมืองนครปฐม จังหวัดนครปฐม 73000</v>
      </c>
      <c r="Y2319" s="3" t="str">
        <f>IFERROR(__xludf.DUMMYFUNCTION("""COMPUTED_VALUE"""),"ถนนเพชรเกษม")</f>
        <v>ถนนเพชรเกษม</v>
      </c>
      <c r="Z2319" s="3" t="str">
        <f>IFERROR(__xludf.DUMMYFUNCTION("""COMPUTED_VALUE"""),"ห้วยจรเข้")</f>
        <v>ห้วยจรเข้</v>
      </c>
      <c r="AA2319" s="3" t="str">
        <f>IFERROR(__xludf.DUMMYFUNCTION("""COMPUTED_VALUE"""),"เมือง")</f>
        <v>เมือง</v>
      </c>
      <c r="AB2319" s="3" t="str">
        <f>IFERROR(__xludf.DUMMYFUNCTION("""COMPUTED_VALUE"""),"นครปฐม")</f>
        <v>นครปฐม</v>
      </c>
      <c r="AC2319" s="3">
        <f>IFERROR(__xludf.DUMMYFUNCTION("""COMPUTED_VALUE"""),73000.0)</f>
        <v>73000</v>
      </c>
      <c r="AD2319" s="3">
        <f>IFERROR(__xludf.DUMMYFUNCTION("""COMPUTED_VALUE"""),0.0)</f>
        <v>0</v>
      </c>
      <c r="AE2319" s="3">
        <f>IFERROR(__xludf.DUMMYFUNCTION("""COMPUTED_VALUE"""),0.0)</f>
        <v>0</v>
      </c>
      <c r="AF2319" s="3" t="str">
        <f>IFERROR(__xludf.DUMMYFUNCTION("""COMPUTED_VALUE"""),"วาวี_บิ๊กซี นครปฐม-63004")</f>
        <v>วาวี_บิ๊กซี นครปฐม-63004</v>
      </c>
      <c r="AG2319" s="3" t="str">
        <f>IFERROR(__xludf.DUMMYFUNCTION("""COMPUTED_VALUE"""),"กลาง")</f>
        <v>กลาง</v>
      </c>
      <c r="AH2319" s="3" t="str">
        <f>IFERROR(__xludf.DUMMYFUNCTION("""COMPUTED_VALUE"""),"#N/A")</f>
        <v>#N/A</v>
      </c>
      <c r="AI2319" s="3" t="str">
        <f>IFERROR(__xludf.DUMMYFUNCTION("""COMPUTED_VALUE"""),"Out of warranty")</f>
        <v>Out of warranty</v>
      </c>
      <c r="AJ2319" s="3">
        <f>IFERROR(__xludf.DUMMYFUNCTION("""COMPUTED_VALUE"""),77.0)</f>
        <v>77</v>
      </c>
      <c r="AK2319" s="3"/>
      <c r="AL2319" s="3"/>
    </row>
    <row r="2320" ht="15.75" customHeight="1">
      <c r="A2320" s="1" t="str">
        <f>IFERROR(__xludf.DUMMYFUNCTION("""COMPUTED_VALUE"""),"63005")</f>
        <v>63005</v>
      </c>
      <c r="B2320" s="2">
        <f>IFERROR(__xludf.DUMMYFUNCTION("""COMPUTED_VALUE"""),63005.0)</f>
        <v>63005</v>
      </c>
      <c r="C2320" s="3" t="str">
        <f>IFERROR(__xludf.DUMMYFUNCTION("""COMPUTED_VALUE"""),"วาวี_บิ๊กซี แจ้งวัฒนะ 1")</f>
        <v>วาวี_บิ๊กซี แจ้งวัฒนะ 1</v>
      </c>
      <c r="D2320" s="3" t="str">
        <f>IFERROR(__xludf.DUMMYFUNCTION("""COMPUTED_VALUE"""),"BIGC CHAENGWATTANA1 WAWEE K")</f>
        <v>BIGC CHAENGWATTANA1 WAWEE K</v>
      </c>
      <c r="E2320" s="1" t="str">
        <f>IFERROR(__xludf.DUMMYFUNCTION("""COMPUTED_VALUE"""),"WAWEE")</f>
        <v>WAWEE</v>
      </c>
      <c r="F2320" s="1" t="str">
        <f>IFERROR(__xludf.DUMMYFUNCTION("""COMPUTED_VALUE"""),"2083032")</f>
        <v>2083032</v>
      </c>
      <c r="G2320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20" s="1" t="str">
        <f>IFERROR(__xludf.DUMMYFUNCTION("""COMPUTED_VALUE"""),"2136555")</f>
        <v>2136555</v>
      </c>
      <c r="I2320" s="1" t="str">
        <f>IFERROR(__xludf.DUMMYFUNCTION("""COMPUTED_VALUE"""),"น.ส.ทาลินี ปาละตึง")</f>
        <v>น.ส.ทาลินี ปาละตึง</v>
      </c>
      <c r="J2320" s="3">
        <f>IFERROR(__xludf.DUMMYFUNCTION("""COMPUTED_VALUE"""),2083032.0)</f>
        <v>2083032</v>
      </c>
      <c r="K2320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20" s="1" t="str">
        <f>IFERROR(__xludf.DUMMYFUNCTION("""COMPUTED_VALUE"""),"WAWEE")</f>
        <v>WAWEE</v>
      </c>
      <c r="M2320" s="1" t="str">
        <f>IFERROR(__xludf.DUMMYFUNCTION("""COMPUTED_VALUE"""),"065-505-7642")</f>
        <v>065-505-7642</v>
      </c>
      <c r="N2320" s="3">
        <f>IFERROR(__xludf.DUMMYFUNCTION("""COMPUTED_VALUE"""),62001.0)</f>
        <v>62001</v>
      </c>
      <c r="O2320" s="3" t="str">
        <f>IFERROR(__xludf.DUMMYFUNCTION("""COMPUTED_VALUE"""),"วาวี_บิ๊กซี ราชดำริชั้น 2")</f>
        <v>วาวี_บิ๊กซี ราชดำริชั้น 2</v>
      </c>
      <c r="P2320" s="4">
        <f>IFERROR(__xludf.DUMMYFUNCTION("""COMPUTED_VALUE"""),43711.0)</f>
        <v>43711</v>
      </c>
      <c r="Q2320" s="3" t="str">
        <f>IFERROR(__xludf.DUMMYFUNCTION("""COMPUTED_VALUE"""),"A")</f>
        <v>A</v>
      </c>
      <c r="R2320" s="3" t="str">
        <f>IFERROR(__xludf.DUMMYFUNCTION("""COMPUTED_VALUE"""),"Small Format")</f>
        <v>Small Format</v>
      </c>
      <c r="S2320" s="3" t="str">
        <f>IFERROR(__xludf.DUMMYFUNCTION("""COMPUTED_VALUE"""),"WAWEE")</f>
        <v>WAWEE</v>
      </c>
      <c r="T2320" s="3" t="str">
        <f>IFERROR(__xludf.DUMMYFUNCTION("""COMPUTED_VALUE"""),"WAWEE")</f>
        <v>WAWEE</v>
      </c>
      <c r="U2320" s="3" t="str">
        <f>IFERROR(__xludf.DUMMYFUNCTION("""COMPUTED_VALUE"""),"#N/A")</f>
        <v>#N/A</v>
      </c>
      <c r="V2320" s="3" t="str">
        <f>IFERROR(__xludf.DUMMYFUNCTION("""COMPUTED_VALUE"""),"N")</f>
        <v>N</v>
      </c>
      <c r="W2320" s="3">
        <f>IFERROR(__xludf.DUMMYFUNCTION("""COMPUTED_VALUE"""),182005.0)</f>
        <v>182005</v>
      </c>
      <c r="X2320" s="3" t="str">
        <f>IFERROR(__xludf.DUMMYFUNCTION("""COMPUTED_VALUE"""),"96 หมู่1 แขวงทุ่งสองห้อง เขตหลักสี่ กรุงเทพมหานคร 10210")</f>
        <v>96 หมู่1 แขวงทุ่งสองห้อง เขตหลักสี่ กรุงเทพมหานคร 10210</v>
      </c>
      <c r="Y2320" s="3"/>
      <c r="Z2320" s="3" t="str">
        <f>IFERROR(__xludf.DUMMYFUNCTION("""COMPUTED_VALUE"""),"ทุ่งสองห้อง")</f>
        <v>ทุ่งสองห้อง</v>
      </c>
      <c r="AA2320" s="3" t="str">
        <f>IFERROR(__xludf.DUMMYFUNCTION("""COMPUTED_VALUE"""),"หลักสี่")</f>
        <v>หลักสี่</v>
      </c>
      <c r="AB2320" s="3" t="str">
        <f>IFERROR(__xludf.DUMMYFUNCTION("""COMPUTED_VALUE"""),"กรุงเทพมหานคร")</f>
        <v>กรุงเทพมหานคร</v>
      </c>
      <c r="AC2320" s="3">
        <f>IFERROR(__xludf.DUMMYFUNCTION("""COMPUTED_VALUE"""),10210.0)</f>
        <v>10210</v>
      </c>
      <c r="AD2320" s="3">
        <f>IFERROR(__xludf.DUMMYFUNCTION("""COMPUTED_VALUE"""),0.0)</f>
        <v>0</v>
      </c>
      <c r="AE2320" s="3">
        <f>IFERROR(__xludf.DUMMYFUNCTION("""COMPUTED_VALUE"""),0.0)</f>
        <v>0</v>
      </c>
      <c r="AF2320" s="3" t="str">
        <f>IFERROR(__xludf.DUMMYFUNCTION("""COMPUTED_VALUE"""),"วาวี_บิ๊กซี แจ้งวัฒนะ 1-63005")</f>
        <v>วาวี_บิ๊กซี แจ้งวัฒนะ 1-63005</v>
      </c>
      <c r="AG2320" s="3" t="str">
        <f>IFERROR(__xludf.DUMMYFUNCTION("""COMPUTED_VALUE"""),"กลาง")</f>
        <v>กลาง</v>
      </c>
      <c r="AH2320" s="3" t="str">
        <f>IFERROR(__xludf.DUMMYFUNCTION("""COMPUTED_VALUE"""),"#N/A")</f>
        <v>#N/A</v>
      </c>
      <c r="AI2320" s="3" t="str">
        <f>IFERROR(__xludf.DUMMYFUNCTION("""COMPUTED_VALUE"""),"Out of warranty")</f>
        <v>Out of warranty</v>
      </c>
      <c r="AJ2320" s="3">
        <f>IFERROR(__xludf.DUMMYFUNCTION("""COMPUTED_VALUE"""),77.0)</f>
        <v>77</v>
      </c>
      <c r="AK2320" s="3"/>
      <c r="AL2320" s="3"/>
    </row>
    <row r="2321" ht="15.75" customHeight="1">
      <c r="A2321" s="1" t="str">
        <f>IFERROR(__xludf.DUMMYFUNCTION("""COMPUTED_VALUE"""),"63006")</f>
        <v>63006</v>
      </c>
      <c r="B2321" s="2">
        <f>IFERROR(__xludf.DUMMYFUNCTION("""COMPUTED_VALUE"""),63006.0)</f>
        <v>63006</v>
      </c>
      <c r="C2321" s="3" t="str">
        <f>IFERROR(__xludf.DUMMYFUNCTION("""COMPUTED_VALUE"""),"วาวี_บิ๊กซี สะพานควาย")</f>
        <v>วาวี_บิ๊กซี สะพานควาย</v>
      </c>
      <c r="D2321" s="3" t="str">
        <f>IFERROR(__xludf.DUMMYFUNCTION("""COMPUTED_VALUE"""),"BIGC SAPHANKWAI WAWEE")</f>
        <v>BIGC SAPHANKWAI WAWEE</v>
      </c>
      <c r="E2321" s="1" t="str">
        <f>IFERROR(__xludf.DUMMYFUNCTION("""COMPUTED_VALUE"""),"WAWEE")</f>
        <v>WAWEE</v>
      </c>
      <c r="F2321" s="1" t="str">
        <f>IFERROR(__xludf.DUMMYFUNCTION("""COMPUTED_VALUE"""),"2083032")</f>
        <v>2083032</v>
      </c>
      <c r="G2321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21" s="1" t="str">
        <f>IFERROR(__xludf.DUMMYFUNCTION("""COMPUTED_VALUE"""),"2136555")</f>
        <v>2136555</v>
      </c>
      <c r="I2321" s="1" t="str">
        <f>IFERROR(__xludf.DUMMYFUNCTION("""COMPUTED_VALUE"""),"น.ส.ทาลินี ปาละตึง")</f>
        <v>น.ส.ทาลินี ปาละตึง</v>
      </c>
      <c r="J2321" s="3">
        <f>IFERROR(__xludf.DUMMYFUNCTION("""COMPUTED_VALUE"""),2083032.0)</f>
        <v>2083032</v>
      </c>
      <c r="K2321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21" s="1" t="str">
        <f>IFERROR(__xludf.DUMMYFUNCTION("""COMPUTED_VALUE"""),"WAWEE")</f>
        <v>WAWEE</v>
      </c>
      <c r="M2321" s="1" t="str">
        <f>IFERROR(__xludf.DUMMYFUNCTION("""COMPUTED_VALUE"""),"065-505-7642")</f>
        <v>065-505-7642</v>
      </c>
      <c r="N2321" s="3">
        <f>IFERROR(__xludf.DUMMYFUNCTION("""COMPUTED_VALUE"""),62001.0)</f>
        <v>62001</v>
      </c>
      <c r="O2321" s="3" t="str">
        <f>IFERROR(__xludf.DUMMYFUNCTION("""COMPUTED_VALUE"""),"วาวี_บิ๊กซี ราชดำริชั้น 2")</f>
        <v>วาวี_บิ๊กซี ราชดำริชั้น 2</v>
      </c>
      <c r="P2321" s="4">
        <f>IFERROR(__xludf.DUMMYFUNCTION("""COMPUTED_VALUE"""),43715.0)</f>
        <v>43715</v>
      </c>
      <c r="Q2321" s="3" t="str">
        <f>IFERROR(__xludf.DUMMYFUNCTION("""COMPUTED_VALUE"""),"A")</f>
        <v>A</v>
      </c>
      <c r="R2321" s="3" t="str">
        <f>IFERROR(__xludf.DUMMYFUNCTION("""COMPUTED_VALUE"""),"Small Format")</f>
        <v>Small Format</v>
      </c>
      <c r="S2321" s="3" t="str">
        <f>IFERROR(__xludf.DUMMYFUNCTION("""COMPUTED_VALUE"""),"WAWEE")</f>
        <v>WAWEE</v>
      </c>
      <c r="T2321" s="3" t="str">
        <f>IFERROR(__xludf.DUMMYFUNCTION("""COMPUTED_VALUE"""),"WAWEE")</f>
        <v>WAWEE</v>
      </c>
      <c r="U2321" s="3" t="str">
        <f>IFERROR(__xludf.DUMMYFUNCTION("""COMPUTED_VALUE"""),"#N/A")</f>
        <v>#N/A</v>
      </c>
      <c r="V2321" s="3" t="str">
        <f>IFERROR(__xludf.DUMMYFUNCTION("""COMPUTED_VALUE"""),"N")</f>
        <v>N</v>
      </c>
      <c r="W2321" s="3">
        <f>IFERROR(__xludf.DUMMYFUNCTION("""COMPUTED_VALUE"""),182006.0)</f>
        <v>182006</v>
      </c>
      <c r="X2321" s="3" t="str">
        <f>IFERROR(__xludf.DUMMYFUNCTION("""COMPUTED_VALUE"""),"618/1 ถ.พหลโยธิน แขวงสามเสนใน เขตพญาไท กรุงเทพฯ 10400")</f>
        <v>618/1 ถ.พหลโยธิน แขวงสามเสนใน เขตพญาไท กรุงเทพฯ 10400</v>
      </c>
      <c r="Y2321" s="3" t="str">
        <f>IFERROR(__xludf.DUMMYFUNCTION("""COMPUTED_VALUE"""),"ถ.พหลโยธิน")</f>
        <v>ถ.พหลโยธิน</v>
      </c>
      <c r="Z2321" s="3" t="str">
        <f>IFERROR(__xludf.DUMMYFUNCTION("""COMPUTED_VALUE"""),"สามเสนใน")</f>
        <v>สามเสนใน</v>
      </c>
      <c r="AA2321" s="3" t="str">
        <f>IFERROR(__xludf.DUMMYFUNCTION("""COMPUTED_VALUE"""),"พญาไท")</f>
        <v>พญาไท</v>
      </c>
      <c r="AB2321" s="3" t="str">
        <f>IFERROR(__xludf.DUMMYFUNCTION("""COMPUTED_VALUE"""),"กรุงเทพมหานคร")</f>
        <v>กรุงเทพมหานคร</v>
      </c>
      <c r="AC2321" s="3">
        <f>IFERROR(__xludf.DUMMYFUNCTION("""COMPUTED_VALUE"""),10400.0)</f>
        <v>10400</v>
      </c>
      <c r="AD2321" s="3">
        <f>IFERROR(__xludf.DUMMYFUNCTION("""COMPUTED_VALUE"""),0.0)</f>
        <v>0</v>
      </c>
      <c r="AE2321" s="3">
        <f>IFERROR(__xludf.DUMMYFUNCTION("""COMPUTED_VALUE"""),0.0)</f>
        <v>0</v>
      </c>
      <c r="AF2321" s="3" t="str">
        <f>IFERROR(__xludf.DUMMYFUNCTION("""COMPUTED_VALUE"""),"วาวี_บิ๊กซี สะพานควาย-63006")</f>
        <v>วาวี_บิ๊กซี สะพานควาย-63006</v>
      </c>
      <c r="AG2321" s="3" t="str">
        <f>IFERROR(__xludf.DUMMYFUNCTION("""COMPUTED_VALUE"""),"กลาง")</f>
        <v>กลาง</v>
      </c>
      <c r="AH2321" s="3" t="str">
        <f>IFERROR(__xludf.DUMMYFUNCTION("""COMPUTED_VALUE"""),"#N/A")</f>
        <v>#N/A</v>
      </c>
      <c r="AI2321" s="3" t="str">
        <f>IFERROR(__xludf.DUMMYFUNCTION("""COMPUTED_VALUE"""),"Out of warranty")</f>
        <v>Out of warranty</v>
      </c>
      <c r="AJ2321" s="3">
        <f>IFERROR(__xludf.DUMMYFUNCTION("""COMPUTED_VALUE"""),77.0)</f>
        <v>77</v>
      </c>
      <c r="AK2321" s="3"/>
      <c r="AL2321" s="3"/>
    </row>
    <row r="2322" ht="15.75" customHeight="1">
      <c r="A2322" s="1" t="str">
        <f>IFERROR(__xludf.DUMMYFUNCTION("""COMPUTED_VALUE"""),"63007")</f>
        <v>63007</v>
      </c>
      <c r="B2322" s="2">
        <f>IFERROR(__xludf.DUMMYFUNCTION("""COMPUTED_VALUE"""),63007.0)</f>
        <v>63007</v>
      </c>
      <c r="C2322" s="3" t="str">
        <f>IFERROR(__xludf.DUMMYFUNCTION("""COMPUTED_VALUE"""),"วาวี_บิ๊กซี อ้อมใหญ่")</f>
        <v>วาวี_บิ๊กซี อ้อมใหญ่</v>
      </c>
      <c r="D2322" s="3" t="str">
        <f>IFERROR(__xludf.DUMMYFUNCTION("""COMPUTED_VALUE"""),"BIGC OAMYAI WAWEE")</f>
        <v>BIGC OAMYAI WAWEE</v>
      </c>
      <c r="E2322" s="1" t="str">
        <f>IFERROR(__xludf.DUMMYFUNCTION("""COMPUTED_VALUE"""),"WAWEE")</f>
        <v>WAWEE</v>
      </c>
      <c r="F2322" s="1" t="str">
        <f>IFERROR(__xludf.DUMMYFUNCTION("""COMPUTED_VALUE"""),"2083032")</f>
        <v>2083032</v>
      </c>
      <c r="G2322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22" s="1" t="str">
        <f>IFERROR(__xludf.DUMMYFUNCTION("""COMPUTED_VALUE"""),"2136555")</f>
        <v>2136555</v>
      </c>
      <c r="I2322" s="1" t="str">
        <f>IFERROR(__xludf.DUMMYFUNCTION("""COMPUTED_VALUE"""),"น.ส.ทาลินี ปาละตึง")</f>
        <v>น.ส.ทาลินี ปาละตึง</v>
      </c>
      <c r="J2322" s="3">
        <f>IFERROR(__xludf.DUMMYFUNCTION("""COMPUTED_VALUE"""),2083032.0)</f>
        <v>2083032</v>
      </c>
      <c r="K2322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22" s="1" t="str">
        <f>IFERROR(__xludf.DUMMYFUNCTION("""COMPUTED_VALUE"""),"WAWEE")</f>
        <v>WAWEE</v>
      </c>
      <c r="M2322" s="1" t="str">
        <f>IFERROR(__xludf.DUMMYFUNCTION("""COMPUTED_VALUE"""),"065-505-7642")</f>
        <v>065-505-7642</v>
      </c>
      <c r="N2322" s="3">
        <f>IFERROR(__xludf.DUMMYFUNCTION("""COMPUTED_VALUE"""),62001.0)</f>
        <v>62001</v>
      </c>
      <c r="O2322" s="3" t="str">
        <f>IFERROR(__xludf.DUMMYFUNCTION("""COMPUTED_VALUE"""),"วาวี_บิ๊กซี ราชดำริชั้น 2")</f>
        <v>วาวี_บิ๊กซี ราชดำริชั้น 2</v>
      </c>
      <c r="P2322" s="4">
        <f>IFERROR(__xludf.DUMMYFUNCTION("""COMPUTED_VALUE"""),43722.0)</f>
        <v>43722</v>
      </c>
      <c r="Q2322" s="3" t="str">
        <f>IFERROR(__xludf.DUMMYFUNCTION("""COMPUTED_VALUE"""),"A")</f>
        <v>A</v>
      </c>
      <c r="R2322" s="3" t="str">
        <f>IFERROR(__xludf.DUMMYFUNCTION("""COMPUTED_VALUE"""),"Small Format")</f>
        <v>Small Format</v>
      </c>
      <c r="S2322" s="3" t="str">
        <f>IFERROR(__xludf.DUMMYFUNCTION("""COMPUTED_VALUE"""),"WAWEE")</f>
        <v>WAWEE</v>
      </c>
      <c r="T2322" s="3" t="str">
        <f>IFERROR(__xludf.DUMMYFUNCTION("""COMPUTED_VALUE"""),"WAWEE")</f>
        <v>WAWEE</v>
      </c>
      <c r="U2322" s="3" t="str">
        <f>IFERROR(__xludf.DUMMYFUNCTION("""COMPUTED_VALUE"""),"#N/A")</f>
        <v>#N/A</v>
      </c>
      <c r="V2322" s="3" t="str">
        <f>IFERROR(__xludf.DUMMYFUNCTION("""COMPUTED_VALUE"""),"N")</f>
        <v>N</v>
      </c>
      <c r="W2322" s="3">
        <f>IFERROR(__xludf.DUMMYFUNCTION("""COMPUTED_VALUE"""),182007.0)</f>
        <v>182007</v>
      </c>
      <c r="X2322" s="3" t="str">
        <f>IFERROR(__xludf.DUMMYFUNCTION("""COMPUTED_VALUE"""),"17/17 หมู่ที่ 8 ตำบลอ้อมใหญ่ อำเภอสามพราน จังหวัดนครปฐม 73160")</f>
        <v>17/17 หมู่ที่ 8 ตำบลอ้อมใหญ่ อำเภอสามพราน จังหวัดนครปฐม 73160</v>
      </c>
      <c r="Y2322" s="3"/>
      <c r="Z2322" s="3" t="str">
        <f>IFERROR(__xludf.DUMMYFUNCTION("""COMPUTED_VALUE"""),"อ้อมใหญ่")</f>
        <v>อ้อมใหญ่</v>
      </c>
      <c r="AA2322" s="3" t="str">
        <f>IFERROR(__xludf.DUMMYFUNCTION("""COMPUTED_VALUE"""),"สามพราน")</f>
        <v>สามพราน</v>
      </c>
      <c r="AB2322" s="3" t="str">
        <f>IFERROR(__xludf.DUMMYFUNCTION("""COMPUTED_VALUE"""),"นครปฐม")</f>
        <v>นครปฐม</v>
      </c>
      <c r="AC2322" s="3">
        <f>IFERROR(__xludf.DUMMYFUNCTION("""COMPUTED_VALUE"""),73160.0)</f>
        <v>73160</v>
      </c>
      <c r="AD2322" s="3">
        <f>IFERROR(__xludf.DUMMYFUNCTION("""COMPUTED_VALUE"""),0.0)</f>
        <v>0</v>
      </c>
      <c r="AE2322" s="3">
        <f>IFERROR(__xludf.DUMMYFUNCTION("""COMPUTED_VALUE"""),0.0)</f>
        <v>0</v>
      </c>
      <c r="AF2322" s="3" t="str">
        <f>IFERROR(__xludf.DUMMYFUNCTION("""COMPUTED_VALUE"""),"วาวี_บิ๊กซี อ้อมใหญ่-63007")</f>
        <v>วาวี_บิ๊กซี อ้อมใหญ่-63007</v>
      </c>
      <c r="AG2322" s="3" t="str">
        <f>IFERROR(__xludf.DUMMYFUNCTION("""COMPUTED_VALUE"""),"กลาง")</f>
        <v>กลาง</v>
      </c>
      <c r="AH2322" s="3" t="str">
        <f>IFERROR(__xludf.DUMMYFUNCTION("""COMPUTED_VALUE"""),"#N/A")</f>
        <v>#N/A</v>
      </c>
      <c r="AI2322" s="3" t="str">
        <f>IFERROR(__xludf.DUMMYFUNCTION("""COMPUTED_VALUE"""),"Out of warranty")</f>
        <v>Out of warranty</v>
      </c>
      <c r="AJ2322" s="3">
        <f>IFERROR(__xludf.DUMMYFUNCTION("""COMPUTED_VALUE"""),77.0)</f>
        <v>77</v>
      </c>
      <c r="AK2322" s="3"/>
      <c r="AL2322" s="3"/>
    </row>
    <row r="2323" ht="15.75" customHeight="1">
      <c r="A2323" s="1" t="str">
        <f>IFERROR(__xludf.DUMMYFUNCTION("""COMPUTED_VALUE"""),"63008")</f>
        <v>63008</v>
      </c>
      <c r="B2323" s="2">
        <f>IFERROR(__xludf.DUMMYFUNCTION("""COMPUTED_VALUE"""),63008.0)</f>
        <v>63008</v>
      </c>
      <c r="C2323" s="3" t="str">
        <f>IFERROR(__xludf.DUMMYFUNCTION("""COMPUTED_VALUE"""),"วาวี_บิ๊กซี สามย่านมิตรทาวน์")</f>
        <v>วาวี_บิ๊กซี สามย่านมิตรทาวน์</v>
      </c>
      <c r="D2323" s="3" t="str">
        <f>IFERROR(__xludf.DUMMYFUNCTION("""COMPUTED_VALUE"""),"BIGC SAMYAN WAWEE")</f>
        <v>BIGC SAMYAN WAWEE</v>
      </c>
      <c r="E2323" s="1" t="str">
        <f>IFERROR(__xludf.DUMMYFUNCTION("""COMPUTED_VALUE"""),"WAWEE")</f>
        <v>WAWEE</v>
      </c>
      <c r="F2323" s="1" t="str">
        <f>IFERROR(__xludf.DUMMYFUNCTION("""COMPUTED_VALUE"""),"2083032")</f>
        <v>2083032</v>
      </c>
      <c r="G2323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23" s="1" t="str">
        <f>IFERROR(__xludf.DUMMYFUNCTION("""COMPUTED_VALUE"""),"2136555")</f>
        <v>2136555</v>
      </c>
      <c r="I2323" s="1" t="str">
        <f>IFERROR(__xludf.DUMMYFUNCTION("""COMPUTED_VALUE"""),"น.ส.ทาลินี ปาละตึง")</f>
        <v>น.ส.ทาลินี ปาละตึง</v>
      </c>
      <c r="J2323" s="3">
        <f>IFERROR(__xludf.DUMMYFUNCTION("""COMPUTED_VALUE"""),2083032.0)</f>
        <v>2083032</v>
      </c>
      <c r="K2323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23" s="1" t="str">
        <f>IFERROR(__xludf.DUMMYFUNCTION("""COMPUTED_VALUE"""),"WAWEE")</f>
        <v>WAWEE</v>
      </c>
      <c r="M2323" s="1" t="str">
        <f>IFERROR(__xludf.DUMMYFUNCTION("""COMPUTED_VALUE"""),"065-505-7642")</f>
        <v>065-505-7642</v>
      </c>
      <c r="N2323" s="3">
        <f>IFERROR(__xludf.DUMMYFUNCTION("""COMPUTED_VALUE"""),62001.0)</f>
        <v>62001</v>
      </c>
      <c r="O2323" s="3" t="str">
        <f>IFERROR(__xludf.DUMMYFUNCTION("""COMPUTED_VALUE"""),"วาวี_บิ๊กซี ราชดำริชั้น 2")</f>
        <v>วาวี_บิ๊กซี ราชดำริชั้น 2</v>
      </c>
      <c r="P2323" s="4">
        <f>IFERROR(__xludf.DUMMYFUNCTION("""COMPUTED_VALUE"""),43727.0)</f>
        <v>43727</v>
      </c>
      <c r="Q2323" s="3" t="str">
        <f>IFERROR(__xludf.DUMMYFUNCTION("""COMPUTED_VALUE"""),"A")</f>
        <v>A</v>
      </c>
      <c r="R2323" s="3" t="str">
        <f>IFERROR(__xludf.DUMMYFUNCTION("""COMPUTED_VALUE"""),"Small Format")</f>
        <v>Small Format</v>
      </c>
      <c r="S2323" s="3" t="str">
        <f>IFERROR(__xludf.DUMMYFUNCTION("""COMPUTED_VALUE"""),"WAWEE")</f>
        <v>WAWEE</v>
      </c>
      <c r="T2323" s="3" t="str">
        <f>IFERROR(__xludf.DUMMYFUNCTION("""COMPUTED_VALUE"""),"WAWEE")</f>
        <v>WAWEE</v>
      </c>
      <c r="U2323" s="3" t="str">
        <f>IFERROR(__xludf.DUMMYFUNCTION("""COMPUTED_VALUE"""),"#N/A")</f>
        <v>#N/A</v>
      </c>
      <c r="V2323" s="3" t="str">
        <f>IFERROR(__xludf.DUMMYFUNCTION("""COMPUTED_VALUE"""),"N")</f>
        <v>N</v>
      </c>
      <c r="W2323" s="3">
        <f>IFERROR(__xludf.DUMMYFUNCTION("""COMPUTED_VALUE"""),182008.0)</f>
        <v>182008</v>
      </c>
      <c r="X2323" s="3" t="str">
        <f>IFERROR(__xludf.DUMMYFUNCTION("""COMPUTED_VALUE"""),"994/1, ห้องB1U001, ชั้นB1, ถนนพระราม4 แขวงวังใหม่ เขตปทุมวัน กรุงเทพมหานคร 10330")</f>
        <v>994/1, ห้องB1U001, ชั้นB1, ถนนพระราม4 แขวงวังใหม่ เขตปทุมวัน กรุงเทพมหานคร 10330</v>
      </c>
      <c r="Y2323" s="3" t="str">
        <f>IFERROR(__xludf.DUMMYFUNCTION("""COMPUTED_VALUE"""),"ถนนพระราม4")</f>
        <v>ถนนพระราม4</v>
      </c>
      <c r="Z2323" s="3" t="str">
        <f>IFERROR(__xludf.DUMMYFUNCTION("""COMPUTED_VALUE"""),"วังใหม่")</f>
        <v>วังใหม่</v>
      </c>
      <c r="AA2323" s="3" t="str">
        <f>IFERROR(__xludf.DUMMYFUNCTION("""COMPUTED_VALUE"""),"ปทุมวัน")</f>
        <v>ปทุมวัน</v>
      </c>
      <c r="AB2323" s="3" t="str">
        <f>IFERROR(__xludf.DUMMYFUNCTION("""COMPUTED_VALUE"""),"กรุงเทพมหานคร")</f>
        <v>กรุงเทพมหานคร</v>
      </c>
      <c r="AC2323" s="3">
        <f>IFERROR(__xludf.DUMMYFUNCTION("""COMPUTED_VALUE"""),10330.0)</f>
        <v>10330</v>
      </c>
      <c r="AD2323" s="3">
        <f>IFERROR(__xludf.DUMMYFUNCTION("""COMPUTED_VALUE"""),0.0)</f>
        <v>0</v>
      </c>
      <c r="AE2323" s="3">
        <f>IFERROR(__xludf.DUMMYFUNCTION("""COMPUTED_VALUE"""),0.0)</f>
        <v>0</v>
      </c>
      <c r="AF2323" s="3" t="str">
        <f>IFERROR(__xludf.DUMMYFUNCTION("""COMPUTED_VALUE"""),"วาวี_บิ๊กซี สามย่านมิตรทาวน์-63008")</f>
        <v>วาวี_บิ๊กซี สามย่านมิตรทาวน์-63008</v>
      </c>
      <c r="AG2323" s="3" t="str">
        <f>IFERROR(__xludf.DUMMYFUNCTION("""COMPUTED_VALUE"""),"กลาง")</f>
        <v>กลาง</v>
      </c>
      <c r="AH2323" s="3" t="str">
        <f>IFERROR(__xludf.DUMMYFUNCTION("""COMPUTED_VALUE"""),"#N/A")</f>
        <v>#N/A</v>
      </c>
      <c r="AI2323" s="3" t="str">
        <f>IFERROR(__xludf.DUMMYFUNCTION("""COMPUTED_VALUE"""),"Out of warranty")</f>
        <v>Out of warranty</v>
      </c>
      <c r="AJ2323" s="3">
        <f>IFERROR(__xludf.DUMMYFUNCTION("""COMPUTED_VALUE"""),77.0)</f>
        <v>77</v>
      </c>
      <c r="AK2323" s="3"/>
      <c r="AL2323" s="3"/>
    </row>
    <row r="2324" ht="15.75" customHeight="1">
      <c r="A2324" s="1" t="str">
        <f>IFERROR(__xludf.DUMMYFUNCTION("""COMPUTED_VALUE"""),"63009")</f>
        <v>63009</v>
      </c>
      <c r="B2324" s="2">
        <f>IFERROR(__xludf.DUMMYFUNCTION("""COMPUTED_VALUE"""),63009.0)</f>
        <v>63009</v>
      </c>
      <c r="C2324" s="3" t="str">
        <f>IFERROR(__xludf.DUMMYFUNCTION("""COMPUTED_VALUE"""),"วาวี_บิ๊กซี รังสิต 1")</f>
        <v>วาวี_บิ๊กซี รังสิต 1</v>
      </c>
      <c r="D2324" s="3" t="str">
        <f>IFERROR(__xludf.DUMMYFUNCTION("""COMPUTED_VALUE"""),"BIGC RANGSIT 1 WAWEE")</f>
        <v>BIGC RANGSIT 1 WAWEE</v>
      </c>
      <c r="E2324" s="1" t="str">
        <f>IFERROR(__xludf.DUMMYFUNCTION("""COMPUTED_VALUE"""),"WAWEE")</f>
        <v>WAWEE</v>
      </c>
      <c r="F2324" s="1" t="str">
        <f>IFERROR(__xludf.DUMMYFUNCTION("""COMPUTED_VALUE"""),"2083032")</f>
        <v>2083032</v>
      </c>
      <c r="G2324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24" s="1" t="str">
        <f>IFERROR(__xludf.DUMMYFUNCTION("""COMPUTED_VALUE"""),"2136555")</f>
        <v>2136555</v>
      </c>
      <c r="I2324" s="1" t="str">
        <f>IFERROR(__xludf.DUMMYFUNCTION("""COMPUTED_VALUE"""),"น.ส.ทาลินี ปาละตึง")</f>
        <v>น.ส.ทาลินี ปาละตึง</v>
      </c>
      <c r="J2324" s="3">
        <f>IFERROR(__xludf.DUMMYFUNCTION("""COMPUTED_VALUE"""),2083032.0)</f>
        <v>2083032</v>
      </c>
      <c r="K2324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24" s="1" t="str">
        <f>IFERROR(__xludf.DUMMYFUNCTION("""COMPUTED_VALUE"""),"WAWEE")</f>
        <v>WAWEE</v>
      </c>
      <c r="M2324" s="1" t="str">
        <f>IFERROR(__xludf.DUMMYFUNCTION("""COMPUTED_VALUE"""),"065-505-7642")</f>
        <v>065-505-7642</v>
      </c>
      <c r="N2324" s="3">
        <f>IFERROR(__xludf.DUMMYFUNCTION("""COMPUTED_VALUE"""),62001.0)</f>
        <v>62001</v>
      </c>
      <c r="O2324" s="3" t="str">
        <f>IFERROR(__xludf.DUMMYFUNCTION("""COMPUTED_VALUE"""),"วาวี_บิ๊กซี ราชดำริชั้น 2")</f>
        <v>วาวี_บิ๊กซี ราชดำริชั้น 2</v>
      </c>
      <c r="P2324" s="4">
        <f>IFERROR(__xludf.DUMMYFUNCTION("""COMPUTED_VALUE"""),43732.0)</f>
        <v>43732</v>
      </c>
      <c r="Q2324" s="3" t="str">
        <f>IFERROR(__xludf.DUMMYFUNCTION("""COMPUTED_VALUE"""),"A")</f>
        <v>A</v>
      </c>
      <c r="R2324" s="3" t="str">
        <f>IFERROR(__xludf.DUMMYFUNCTION("""COMPUTED_VALUE"""),"Small Format")</f>
        <v>Small Format</v>
      </c>
      <c r="S2324" s="3" t="str">
        <f>IFERROR(__xludf.DUMMYFUNCTION("""COMPUTED_VALUE"""),"WAWEE")</f>
        <v>WAWEE</v>
      </c>
      <c r="T2324" s="3" t="str">
        <f>IFERROR(__xludf.DUMMYFUNCTION("""COMPUTED_VALUE"""),"WAWEE")</f>
        <v>WAWEE</v>
      </c>
      <c r="U2324" s="3" t="str">
        <f>IFERROR(__xludf.DUMMYFUNCTION("""COMPUTED_VALUE"""),"#N/A")</f>
        <v>#N/A</v>
      </c>
      <c r="V2324" s="3" t="str">
        <f>IFERROR(__xludf.DUMMYFUNCTION("""COMPUTED_VALUE"""),"N")</f>
        <v>N</v>
      </c>
      <c r="W2324" s="3">
        <f>IFERROR(__xludf.DUMMYFUNCTION("""COMPUTED_VALUE"""),182009.0)</f>
        <v>182009</v>
      </c>
      <c r="X2324" s="3" t="str">
        <f>IFERROR(__xludf.DUMMYFUNCTION("""COMPUTED_VALUE"""),"94 ถนนพหลโยธิน ตำบลประชาธิปัตย์ อำเภอธัญบุรี จังหวัดปทุมธานี 12130")</f>
        <v>94 ถนนพหลโยธิน ตำบลประชาธิปัตย์ อำเภอธัญบุรี จังหวัดปทุมธานี 12130</v>
      </c>
      <c r="Y2324" s="3" t="str">
        <f>IFERROR(__xludf.DUMMYFUNCTION("""COMPUTED_VALUE"""),"ถนนพหลโยธิน")</f>
        <v>ถนนพหลโยธิน</v>
      </c>
      <c r="Z2324" s="3" t="str">
        <f>IFERROR(__xludf.DUMMYFUNCTION("""COMPUTED_VALUE"""),"ประชาธิปัตย์")</f>
        <v>ประชาธิปัตย์</v>
      </c>
      <c r="AA2324" s="3" t="str">
        <f>IFERROR(__xludf.DUMMYFUNCTION("""COMPUTED_VALUE"""),"ธัญบุรี")</f>
        <v>ธัญบุรี</v>
      </c>
      <c r="AB2324" s="3" t="str">
        <f>IFERROR(__xludf.DUMMYFUNCTION("""COMPUTED_VALUE"""),"ปทุมธานี")</f>
        <v>ปทุมธานี</v>
      </c>
      <c r="AC2324" s="3">
        <f>IFERROR(__xludf.DUMMYFUNCTION("""COMPUTED_VALUE"""),12130.0)</f>
        <v>12130</v>
      </c>
      <c r="AD2324" s="3">
        <f>IFERROR(__xludf.DUMMYFUNCTION("""COMPUTED_VALUE"""),0.0)</f>
        <v>0</v>
      </c>
      <c r="AE2324" s="3">
        <f>IFERROR(__xludf.DUMMYFUNCTION("""COMPUTED_VALUE"""),0.0)</f>
        <v>0</v>
      </c>
      <c r="AF2324" s="3" t="str">
        <f>IFERROR(__xludf.DUMMYFUNCTION("""COMPUTED_VALUE"""),"วาวี_บิ๊กซี รังสิต 1-63009")</f>
        <v>วาวี_บิ๊กซี รังสิต 1-63009</v>
      </c>
      <c r="AG2324" s="3" t="str">
        <f>IFERROR(__xludf.DUMMYFUNCTION("""COMPUTED_VALUE"""),"กลาง")</f>
        <v>กลาง</v>
      </c>
      <c r="AH2324" s="3" t="str">
        <f>IFERROR(__xludf.DUMMYFUNCTION("""COMPUTED_VALUE"""),"#N/A")</f>
        <v>#N/A</v>
      </c>
      <c r="AI2324" s="3" t="str">
        <f>IFERROR(__xludf.DUMMYFUNCTION("""COMPUTED_VALUE"""),"Out of warranty")</f>
        <v>Out of warranty</v>
      </c>
      <c r="AJ2324" s="3">
        <f>IFERROR(__xludf.DUMMYFUNCTION("""COMPUTED_VALUE"""),76.0)</f>
        <v>76</v>
      </c>
      <c r="AK2324" s="3"/>
      <c r="AL2324" s="3"/>
    </row>
    <row r="2325" ht="15.75" customHeight="1">
      <c r="A2325" s="1" t="str">
        <f>IFERROR(__xludf.DUMMYFUNCTION("""COMPUTED_VALUE"""),"63010")</f>
        <v>63010</v>
      </c>
      <c r="B2325" s="2">
        <f>IFERROR(__xludf.DUMMYFUNCTION("""COMPUTED_VALUE"""),63010.0)</f>
        <v>63010</v>
      </c>
      <c r="C2325" s="3" t="str">
        <f>IFERROR(__xludf.DUMMYFUNCTION("""COMPUTED_VALUE"""),"วาวี_บิ๊กซี แจ้งวัฒนะ 2")</f>
        <v>วาวี_บิ๊กซี แจ้งวัฒนะ 2</v>
      </c>
      <c r="D2325" s="3" t="str">
        <f>IFERROR(__xludf.DUMMYFUNCTION("""COMPUTED_VALUE"""),"BIGC CHAENGWATANA2 WAWEE")</f>
        <v>BIGC CHAENGWATANA2 WAWEE</v>
      </c>
      <c r="E2325" s="1" t="str">
        <f>IFERROR(__xludf.DUMMYFUNCTION("""COMPUTED_VALUE"""),"WAWEE")</f>
        <v>WAWEE</v>
      </c>
      <c r="F2325" s="1" t="str">
        <f>IFERROR(__xludf.DUMMYFUNCTION("""COMPUTED_VALUE"""),"2083032")</f>
        <v>2083032</v>
      </c>
      <c r="G2325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25" s="1" t="str">
        <f>IFERROR(__xludf.DUMMYFUNCTION("""COMPUTED_VALUE"""),"2136555")</f>
        <v>2136555</v>
      </c>
      <c r="I2325" s="1" t="str">
        <f>IFERROR(__xludf.DUMMYFUNCTION("""COMPUTED_VALUE"""),"น.ส.ทาลินี ปาละตึง")</f>
        <v>น.ส.ทาลินี ปาละตึง</v>
      </c>
      <c r="J2325" s="3">
        <f>IFERROR(__xludf.DUMMYFUNCTION("""COMPUTED_VALUE"""),2083032.0)</f>
        <v>2083032</v>
      </c>
      <c r="K2325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25" s="1" t="str">
        <f>IFERROR(__xludf.DUMMYFUNCTION("""COMPUTED_VALUE"""),"WAWEE")</f>
        <v>WAWEE</v>
      </c>
      <c r="M2325" s="1" t="str">
        <f>IFERROR(__xludf.DUMMYFUNCTION("""COMPUTED_VALUE"""),"065-505-7642")</f>
        <v>065-505-7642</v>
      </c>
      <c r="N2325" s="3">
        <f>IFERROR(__xludf.DUMMYFUNCTION("""COMPUTED_VALUE"""),62001.0)</f>
        <v>62001</v>
      </c>
      <c r="O2325" s="3" t="str">
        <f>IFERROR(__xludf.DUMMYFUNCTION("""COMPUTED_VALUE"""),"วาวี_บิ๊กซี ราชดำริชั้น 2")</f>
        <v>วาวี_บิ๊กซี ราชดำริชั้น 2</v>
      </c>
      <c r="P2325" s="4">
        <f>IFERROR(__xludf.DUMMYFUNCTION("""COMPUTED_VALUE"""),43735.0)</f>
        <v>43735</v>
      </c>
      <c r="Q2325" s="3" t="str">
        <f>IFERROR(__xludf.DUMMYFUNCTION("""COMPUTED_VALUE"""),"A")</f>
        <v>A</v>
      </c>
      <c r="R2325" s="3" t="str">
        <f>IFERROR(__xludf.DUMMYFUNCTION("""COMPUTED_VALUE"""),"Small Format")</f>
        <v>Small Format</v>
      </c>
      <c r="S2325" s="3" t="str">
        <f>IFERROR(__xludf.DUMMYFUNCTION("""COMPUTED_VALUE"""),"WAWEE")</f>
        <v>WAWEE</v>
      </c>
      <c r="T2325" s="3" t="str">
        <f>IFERROR(__xludf.DUMMYFUNCTION("""COMPUTED_VALUE"""),"WAWEE")</f>
        <v>WAWEE</v>
      </c>
      <c r="U2325" s="3" t="str">
        <f>IFERROR(__xludf.DUMMYFUNCTION("""COMPUTED_VALUE"""),"#N/A")</f>
        <v>#N/A</v>
      </c>
      <c r="V2325" s="3" t="str">
        <f>IFERROR(__xludf.DUMMYFUNCTION("""COMPUTED_VALUE"""),"N")</f>
        <v>N</v>
      </c>
      <c r="W2325" s="3">
        <f>IFERROR(__xludf.DUMMYFUNCTION("""COMPUTED_VALUE"""),182010.0)</f>
        <v>182010</v>
      </c>
      <c r="X2325" s="3" t="str">
        <f>IFERROR(__xludf.DUMMYFUNCTION("""COMPUTED_VALUE"""),"112 หมู่5 ถนนแจ้งวัฒนะ ตำบลปากเกร็ด อำเภอปากเกร็ด จังหวัดนนทบุรี 11120")</f>
        <v>112 หมู่5 ถนนแจ้งวัฒนะ ตำบลปากเกร็ด อำเภอปากเกร็ด จังหวัดนนทบุรี 11120</v>
      </c>
      <c r="Y2325" s="3"/>
      <c r="Z2325" s="3" t="str">
        <f>IFERROR(__xludf.DUMMYFUNCTION("""COMPUTED_VALUE"""),"ปากเกร็ด")</f>
        <v>ปากเกร็ด</v>
      </c>
      <c r="AA2325" s="3" t="str">
        <f>IFERROR(__xludf.DUMMYFUNCTION("""COMPUTED_VALUE"""),"ปากเกร็ด")</f>
        <v>ปากเกร็ด</v>
      </c>
      <c r="AB2325" s="3" t="str">
        <f>IFERROR(__xludf.DUMMYFUNCTION("""COMPUTED_VALUE"""),"นนทบุรี")</f>
        <v>นนทบุรี</v>
      </c>
      <c r="AC2325" s="3">
        <f>IFERROR(__xludf.DUMMYFUNCTION("""COMPUTED_VALUE"""),11120.0)</f>
        <v>11120</v>
      </c>
      <c r="AD2325" s="3">
        <f>IFERROR(__xludf.DUMMYFUNCTION("""COMPUTED_VALUE"""),0.0)</f>
        <v>0</v>
      </c>
      <c r="AE2325" s="3">
        <f>IFERROR(__xludf.DUMMYFUNCTION("""COMPUTED_VALUE"""),0.0)</f>
        <v>0</v>
      </c>
      <c r="AF2325" s="3" t="str">
        <f>IFERROR(__xludf.DUMMYFUNCTION("""COMPUTED_VALUE"""),"วาวี_บิ๊กซี แจ้งวัฒนะ 2-63010")</f>
        <v>วาวี_บิ๊กซี แจ้งวัฒนะ 2-63010</v>
      </c>
      <c r="AG2325" s="3" t="str">
        <f>IFERROR(__xludf.DUMMYFUNCTION("""COMPUTED_VALUE"""),"กลาง")</f>
        <v>กลาง</v>
      </c>
      <c r="AH2325" s="3" t="str">
        <f>IFERROR(__xludf.DUMMYFUNCTION("""COMPUTED_VALUE"""),"#N/A")</f>
        <v>#N/A</v>
      </c>
      <c r="AI2325" s="3" t="str">
        <f>IFERROR(__xludf.DUMMYFUNCTION("""COMPUTED_VALUE"""),"Out of warranty")</f>
        <v>Out of warranty</v>
      </c>
      <c r="AJ2325" s="3">
        <f>IFERROR(__xludf.DUMMYFUNCTION("""COMPUTED_VALUE"""),76.0)</f>
        <v>76</v>
      </c>
      <c r="AK2325" s="3"/>
      <c r="AL2325" s="3"/>
    </row>
    <row r="2326" ht="15.75" customHeight="1">
      <c r="A2326" s="1" t="str">
        <f>IFERROR(__xludf.DUMMYFUNCTION("""COMPUTED_VALUE"""),"63011")</f>
        <v>63011</v>
      </c>
      <c r="B2326" s="2">
        <f>IFERROR(__xludf.DUMMYFUNCTION("""COMPUTED_VALUE"""),63011.0)</f>
        <v>63011</v>
      </c>
      <c r="C2326" s="3" t="str">
        <f>IFERROR(__xludf.DUMMYFUNCTION("""COMPUTED_VALUE"""),"วาวี_บิ๊กซี พระราม 2")</f>
        <v>วาวี_บิ๊กซี พระราม 2</v>
      </c>
      <c r="D2326" s="3" t="str">
        <f>IFERROR(__xludf.DUMMYFUNCTION("""COMPUTED_VALUE"""),"BIGC RAMA2 WAWEE")</f>
        <v>BIGC RAMA2 WAWEE</v>
      </c>
      <c r="E2326" s="1" t="str">
        <f>IFERROR(__xludf.DUMMYFUNCTION("""COMPUTED_VALUE"""),"WAWEE")</f>
        <v>WAWEE</v>
      </c>
      <c r="F2326" s="1" t="str">
        <f>IFERROR(__xludf.DUMMYFUNCTION("""COMPUTED_VALUE"""),"2083032")</f>
        <v>2083032</v>
      </c>
      <c r="G2326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26" s="1" t="str">
        <f>IFERROR(__xludf.DUMMYFUNCTION("""COMPUTED_VALUE"""),"2136555")</f>
        <v>2136555</v>
      </c>
      <c r="I2326" s="1" t="str">
        <f>IFERROR(__xludf.DUMMYFUNCTION("""COMPUTED_VALUE"""),"น.ส.ทาลินี ปาละตึง")</f>
        <v>น.ส.ทาลินี ปาละตึง</v>
      </c>
      <c r="J2326" s="3">
        <f>IFERROR(__xludf.DUMMYFUNCTION("""COMPUTED_VALUE"""),2083032.0)</f>
        <v>2083032</v>
      </c>
      <c r="K2326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26" s="1" t="str">
        <f>IFERROR(__xludf.DUMMYFUNCTION("""COMPUTED_VALUE"""),"WAWEE")</f>
        <v>WAWEE</v>
      </c>
      <c r="M2326" s="1" t="str">
        <f>IFERROR(__xludf.DUMMYFUNCTION("""COMPUTED_VALUE"""),"065-505-7642")</f>
        <v>065-505-7642</v>
      </c>
      <c r="N2326" s="3">
        <f>IFERROR(__xludf.DUMMYFUNCTION("""COMPUTED_VALUE"""),62001.0)</f>
        <v>62001</v>
      </c>
      <c r="O2326" s="3" t="str">
        <f>IFERROR(__xludf.DUMMYFUNCTION("""COMPUTED_VALUE"""),"วาวี_บิ๊กซี ราชดำริชั้น 2")</f>
        <v>วาวี_บิ๊กซี ราชดำริชั้น 2</v>
      </c>
      <c r="P2326" s="4">
        <f>IFERROR(__xludf.DUMMYFUNCTION("""COMPUTED_VALUE"""),43740.0)</f>
        <v>43740</v>
      </c>
      <c r="Q2326" s="3" t="str">
        <f>IFERROR(__xludf.DUMMYFUNCTION("""COMPUTED_VALUE"""),"A")</f>
        <v>A</v>
      </c>
      <c r="R2326" s="3" t="str">
        <f>IFERROR(__xludf.DUMMYFUNCTION("""COMPUTED_VALUE"""),"Small Format")</f>
        <v>Small Format</v>
      </c>
      <c r="S2326" s="3" t="str">
        <f>IFERROR(__xludf.DUMMYFUNCTION("""COMPUTED_VALUE"""),"WAWEE")</f>
        <v>WAWEE</v>
      </c>
      <c r="T2326" s="3" t="str">
        <f>IFERROR(__xludf.DUMMYFUNCTION("""COMPUTED_VALUE"""),"WAWEE")</f>
        <v>WAWEE</v>
      </c>
      <c r="U2326" s="3" t="str">
        <f>IFERROR(__xludf.DUMMYFUNCTION("""COMPUTED_VALUE"""),"#N/A")</f>
        <v>#N/A</v>
      </c>
      <c r="V2326" s="3" t="str">
        <f>IFERROR(__xludf.DUMMYFUNCTION("""COMPUTED_VALUE"""),"N")</f>
        <v>N</v>
      </c>
      <c r="W2326" s="3">
        <f>IFERROR(__xludf.DUMMYFUNCTION("""COMPUTED_VALUE"""),182011.0)</f>
        <v>182011</v>
      </c>
      <c r="X2326" s="3" t="str">
        <f>IFERROR(__xludf.DUMMYFUNCTION("""COMPUTED_VALUE"""),"127 ถนนพระราม2 แขวงแสมดำ เขตบางขุนเทียน กรุงเทพมหานคร 10150")</f>
        <v>127 ถนนพระราม2 แขวงแสมดำ เขตบางขุนเทียน กรุงเทพมหานคร 10150</v>
      </c>
      <c r="Y2326" s="3" t="str">
        <f>IFERROR(__xludf.DUMMYFUNCTION("""COMPUTED_VALUE"""),"ถนนพระราม2")</f>
        <v>ถนนพระราม2</v>
      </c>
      <c r="Z2326" s="3" t="str">
        <f>IFERROR(__xludf.DUMMYFUNCTION("""COMPUTED_VALUE"""),"แสมดำ")</f>
        <v>แสมดำ</v>
      </c>
      <c r="AA2326" s="3" t="str">
        <f>IFERROR(__xludf.DUMMYFUNCTION("""COMPUTED_VALUE"""),"บางขุนเทียน")</f>
        <v>บางขุนเทียน</v>
      </c>
      <c r="AB2326" s="3" t="str">
        <f>IFERROR(__xludf.DUMMYFUNCTION("""COMPUTED_VALUE"""),"กรุงเทพมหานคร")</f>
        <v>กรุงเทพมหานคร</v>
      </c>
      <c r="AC2326" s="3">
        <f>IFERROR(__xludf.DUMMYFUNCTION("""COMPUTED_VALUE"""),10150.0)</f>
        <v>10150</v>
      </c>
      <c r="AD2326" s="3">
        <f>IFERROR(__xludf.DUMMYFUNCTION("""COMPUTED_VALUE"""),0.0)</f>
        <v>0</v>
      </c>
      <c r="AE2326" s="3">
        <f>IFERROR(__xludf.DUMMYFUNCTION("""COMPUTED_VALUE"""),0.0)</f>
        <v>0</v>
      </c>
      <c r="AF2326" s="3" t="str">
        <f>IFERROR(__xludf.DUMMYFUNCTION("""COMPUTED_VALUE"""),"วาวี_บิ๊กซี พระราม 2-63011")</f>
        <v>วาวี_บิ๊กซี พระราม 2-63011</v>
      </c>
      <c r="AG2326" s="3" t="str">
        <f>IFERROR(__xludf.DUMMYFUNCTION("""COMPUTED_VALUE"""),"กลาง")</f>
        <v>กลาง</v>
      </c>
      <c r="AH2326" s="3" t="str">
        <f>IFERROR(__xludf.DUMMYFUNCTION("""COMPUTED_VALUE"""),"#N/A")</f>
        <v>#N/A</v>
      </c>
      <c r="AI2326" s="3" t="str">
        <f>IFERROR(__xludf.DUMMYFUNCTION("""COMPUTED_VALUE"""),"Out of warranty")</f>
        <v>Out of warranty</v>
      </c>
      <c r="AJ2326" s="3">
        <f>IFERROR(__xludf.DUMMYFUNCTION("""COMPUTED_VALUE"""),76.0)</f>
        <v>76</v>
      </c>
      <c r="AK2326" s="3"/>
      <c r="AL2326" s="3"/>
    </row>
    <row r="2327" ht="15.75" customHeight="1">
      <c r="A2327" s="1" t="str">
        <f>IFERROR(__xludf.DUMMYFUNCTION("""COMPUTED_VALUE"""),"63012")</f>
        <v>63012</v>
      </c>
      <c r="B2327" s="2">
        <f>IFERROR(__xludf.DUMMYFUNCTION("""COMPUTED_VALUE"""),63012.0)</f>
        <v>63012</v>
      </c>
      <c r="C2327" s="3" t="str">
        <f>IFERROR(__xludf.DUMMYFUNCTION("""COMPUTED_VALUE"""),"วาวี_บิ๊กซี ติวานนท์")</f>
        <v>วาวี_บิ๊กซี ติวานนท์</v>
      </c>
      <c r="D2327" s="3" t="str">
        <f>IFERROR(__xludf.DUMMYFUNCTION("""COMPUTED_VALUE"""),"BIGC TIWANON WAWEE")</f>
        <v>BIGC TIWANON WAWEE</v>
      </c>
      <c r="E2327" s="1" t="str">
        <f>IFERROR(__xludf.DUMMYFUNCTION("""COMPUTED_VALUE"""),"WAWEE")</f>
        <v>WAWEE</v>
      </c>
      <c r="F2327" s="1" t="str">
        <f>IFERROR(__xludf.DUMMYFUNCTION("""COMPUTED_VALUE"""),"2083032")</f>
        <v>2083032</v>
      </c>
      <c r="G2327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27" s="1" t="str">
        <f>IFERROR(__xludf.DUMMYFUNCTION("""COMPUTED_VALUE"""),"2136555")</f>
        <v>2136555</v>
      </c>
      <c r="I2327" s="1" t="str">
        <f>IFERROR(__xludf.DUMMYFUNCTION("""COMPUTED_VALUE"""),"น.ส.ทาลินี ปาละตึง")</f>
        <v>น.ส.ทาลินี ปาละตึง</v>
      </c>
      <c r="J2327" s="3">
        <f>IFERROR(__xludf.DUMMYFUNCTION("""COMPUTED_VALUE"""),2083032.0)</f>
        <v>2083032</v>
      </c>
      <c r="K2327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27" s="1" t="str">
        <f>IFERROR(__xludf.DUMMYFUNCTION("""COMPUTED_VALUE"""),"WAWEE")</f>
        <v>WAWEE</v>
      </c>
      <c r="M2327" s="1" t="str">
        <f>IFERROR(__xludf.DUMMYFUNCTION("""COMPUTED_VALUE"""),"065-505-7642")</f>
        <v>065-505-7642</v>
      </c>
      <c r="N2327" s="3">
        <f>IFERROR(__xludf.DUMMYFUNCTION("""COMPUTED_VALUE"""),62001.0)</f>
        <v>62001</v>
      </c>
      <c r="O2327" s="3" t="str">
        <f>IFERROR(__xludf.DUMMYFUNCTION("""COMPUTED_VALUE"""),"วาวี_บิ๊กซี ราชดำริชั้น 2")</f>
        <v>วาวี_บิ๊กซี ราชดำริชั้น 2</v>
      </c>
      <c r="P2327" s="4">
        <f>IFERROR(__xludf.DUMMYFUNCTION("""COMPUTED_VALUE"""),43755.0)</f>
        <v>43755</v>
      </c>
      <c r="Q2327" s="3" t="str">
        <f>IFERROR(__xludf.DUMMYFUNCTION("""COMPUTED_VALUE"""),"A")</f>
        <v>A</v>
      </c>
      <c r="R2327" s="3" t="str">
        <f>IFERROR(__xludf.DUMMYFUNCTION("""COMPUTED_VALUE"""),"Small Format")</f>
        <v>Small Format</v>
      </c>
      <c r="S2327" s="3" t="str">
        <f>IFERROR(__xludf.DUMMYFUNCTION("""COMPUTED_VALUE"""),"WAWEE")</f>
        <v>WAWEE</v>
      </c>
      <c r="T2327" s="3" t="str">
        <f>IFERROR(__xludf.DUMMYFUNCTION("""COMPUTED_VALUE"""),"WAWEE")</f>
        <v>WAWEE</v>
      </c>
      <c r="U2327" s="3" t="str">
        <f>IFERROR(__xludf.DUMMYFUNCTION("""COMPUTED_VALUE"""),"#N/A")</f>
        <v>#N/A</v>
      </c>
      <c r="V2327" s="3" t="str">
        <f>IFERROR(__xludf.DUMMYFUNCTION("""COMPUTED_VALUE"""),"N")</f>
        <v>N</v>
      </c>
      <c r="W2327" s="3">
        <f>IFERROR(__xludf.DUMMYFUNCTION("""COMPUTED_VALUE"""),182012.0)</f>
        <v>182012</v>
      </c>
      <c r="X2327" s="3" t="str">
        <f>IFERROR(__xludf.DUMMYFUNCTION("""COMPUTED_VALUE"""),"9/9 หมู่ 5 ต.ตลาดขวัญ อ.เมืองนนทบุรี จ.นนทบุรี 11000")</f>
        <v>9/9 หมู่ 5 ต.ตลาดขวัญ อ.เมืองนนทบุรี จ.นนทบุรี 11000</v>
      </c>
      <c r="Y2327" s="3"/>
      <c r="Z2327" s="3" t="str">
        <f>IFERROR(__xludf.DUMMYFUNCTION("""COMPUTED_VALUE"""),"ตลาดขวัญ")</f>
        <v>ตลาดขวัญ</v>
      </c>
      <c r="AA2327" s="3" t="str">
        <f>IFERROR(__xludf.DUMMYFUNCTION("""COMPUTED_VALUE"""),"เมืองนนทบุรี")</f>
        <v>เมืองนนทบุรี</v>
      </c>
      <c r="AB2327" s="3" t="str">
        <f>IFERROR(__xludf.DUMMYFUNCTION("""COMPUTED_VALUE"""),"นนทบุรี")</f>
        <v>นนทบุรี</v>
      </c>
      <c r="AC2327" s="3">
        <f>IFERROR(__xludf.DUMMYFUNCTION("""COMPUTED_VALUE"""),11000.0)</f>
        <v>11000</v>
      </c>
      <c r="AD2327" s="3">
        <f>IFERROR(__xludf.DUMMYFUNCTION("""COMPUTED_VALUE"""),0.0)</f>
        <v>0</v>
      </c>
      <c r="AE2327" s="3">
        <f>IFERROR(__xludf.DUMMYFUNCTION("""COMPUTED_VALUE"""),0.0)</f>
        <v>0</v>
      </c>
      <c r="AF2327" s="3" t="str">
        <f>IFERROR(__xludf.DUMMYFUNCTION("""COMPUTED_VALUE"""),"วาวี_บิ๊กซี ติวานนท์-63012")</f>
        <v>วาวี_บิ๊กซี ติวานนท์-63012</v>
      </c>
      <c r="AG2327" s="3" t="str">
        <f>IFERROR(__xludf.DUMMYFUNCTION("""COMPUTED_VALUE"""),"กลาง")</f>
        <v>กลาง</v>
      </c>
      <c r="AH2327" s="3" t="str">
        <f>IFERROR(__xludf.DUMMYFUNCTION("""COMPUTED_VALUE"""),"#N/A")</f>
        <v>#N/A</v>
      </c>
      <c r="AI2327" s="3" t="str">
        <f>IFERROR(__xludf.DUMMYFUNCTION("""COMPUTED_VALUE"""),"Out of warranty")</f>
        <v>Out of warranty</v>
      </c>
      <c r="AJ2327" s="3">
        <f>IFERROR(__xludf.DUMMYFUNCTION("""COMPUTED_VALUE"""),76.0)</f>
        <v>76</v>
      </c>
      <c r="AK2327" s="3"/>
      <c r="AL2327" s="3"/>
    </row>
    <row r="2328" ht="15.75" customHeight="1">
      <c r="A2328" s="1" t="str">
        <f>IFERROR(__xludf.DUMMYFUNCTION("""COMPUTED_VALUE"""),"63013")</f>
        <v>63013</v>
      </c>
      <c r="B2328" s="2">
        <f>IFERROR(__xludf.DUMMYFUNCTION("""COMPUTED_VALUE"""),63013.0)</f>
        <v>63013</v>
      </c>
      <c r="C2328" s="3" t="str">
        <f>IFERROR(__xludf.DUMMYFUNCTION("""COMPUTED_VALUE"""),"วาวี_บิ๊กซี รัชดา")</f>
        <v>วาวี_บิ๊กซี รัชดา</v>
      </c>
      <c r="D2328" s="3" t="str">
        <f>IFERROR(__xludf.DUMMYFUNCTION("""COMPUTED_VALUE"""),"BIGC RATCHADAPISEK WAWEE")</f>
        <v>BIGC RATCHADAPISEK WAWEE</v>
      </c>
      <c r="E2328" s="1" t="str">
        <f>IFERROR(__xludf.DUMMYFUNCTION("""COMPUTED_VALUE"""),"WAWEE")</f>
        <v>WAWEE</v>
      </c>
      <c r="F2328" s="1" t="str">
        <f>IFERROR(__xludf.DUMMYFUNCTION("""COMPUTED_VALUE"""),"2083032")</f>
        <v>2083032</v>
      </c>
      <c r="G2328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28" s="1" t="str">
        <f>IFERROR(__xludf.DUMMYFUNCTION("""COMPUTED_VALUE"""),"2136555")</f>
        <v>2136555</v>
      </c>
      <c r="I2328" s="1" t="str">
        <f>IFERROR(__xludf.DUMMYFUNCTION("""COMPUTED_VALUE"""),"น.ส.ทาลินี ปาละตึง")</f>
        <v>น.ส.ทาลินี ปาละตึง</v>
      </c>
      <c r="J2328" s="3">
        <f>IFERROR(__xludf.DUMMYFUNCTION("""COMPUTED_VALUE"""),2083032.0)</f>
        <v>2083032</v>
      </c>
      <c r="K2328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28" s="1" t="str">
        <f>IFERROR(__xludf.DUMMYFUNCTION("""COMPUTED_VALUE"""),"WAWEE")</f>
        <v>WAWEE</v>
      </c>
      <c r="M2328" s="1" t="str">
        <f>IFERROR(__xludf.DUMMYFUNCTION("""COMPUTED_VALUE"""),"065-505-7642")</f>
        <v>065-505-7642</v>
      </c>
      <c r="N2328" s="3">
        <f>IFERROR(__xludf.DUMMYFUNCTION("""COMPUTED_VALUE"""),62001.0)</f>
        <v>62001</v>
      </c>
      <c r="O2328" s="3" t="str">
        <f>IFERROR(__xludf.DUMMYFUNCTION("""COMPUTED_VALUE"""),"วาวี_บิ๊กซี ราชดำริชั้น 2")</f>
        <v>วาวี_บิ๊กซี ราชดำริชั้น 2</v>
      </c>
      <c r="P2328" s="4">
        <f>IFERROR(__xludf.DUMMYFUNCTION("""COMPUTED_VALUE"""),43760.0)</f>
        <v>43760</v>
      </c>
      <c r="Q2328" s="3" t="str">
        <f>IFERROR(__xludf.DUMMYFUNCTION("""COMPUTED_VALUE"""),"A")</f>
        <v>A</v>
      </c>
      <c r="R2328" s="3" t="str">
        <f>IFERROR(__xludf.DUMMYFUNCTION("""COMPUTED_VALUE"""),"Small Format")</f>
        <v>Small Format</v>
      </c>
      <c r="S2328" s="3" t="str">
        <f>IFERROR(__xludf.DUMMYFUNCTION("""COMPUTED_VALUE"""),"WAWEE")</f>
        <v>WAWEE</v>
      </c>
      <c r="T2328" s="3" t="str">
        <f>IFERROR(__xludf.DUMMYFUNCTION("""COMPUTED_VALUE"""),"WAWEE")</f>
        <v>WAWEE</v>
      </c>
      <c r="U2328" s="3" t="str">
        <f>IFERROR(__xludf.DUMMYFUNCTION("""COMPUTED_VALUE"""),"#N/A")</f>
        <v>#N/A</v>
      </c>
      <c r="V2328" s="3" t="str">
        <f>IFERROR(__xludf.DUMMYFUNCTION("""COMPUTED_VALUE"""),"N")</f>
        <v>N</v>
      </c>
      <c r="W2328" s="3">
        <f>IFERROR(__xludf.DUMMYFUNCTION("""COMPUTED_VALUE"""),182013.0)</f>
        <v>182013</v>
      </c>
      <c r="X2328" s="3" t="str">
        <f>IFERROR(__xludf.DUMMYFUNCTION("""COMPUTED_VALUE"""),"125 ถนนรัชดาภิเษก แขวงดินแดง เขตดินแดง กรุงเทพฯ 10400")</f>
        <v>125 ถนนรัชดาภิเษก แขวงดินแดง เขตดินแดง กรุงเทพฯ 10400</v>
      </c>
      <c r="Y2328" s="3" t="str">
        <f>IFERROR(__xludf.DUMMYFUNCTION("""COMPUTED_VALUE"""),"ถนนรัชดาภิเษก")</f>
        <v>ถนนรัชดาภิเษก</v>
      </c>
      <c r="Z2328" s="3" t="str">
        <f>IFERROR(__xludf.DUMMYFUNCTION("""COMPUTED_VALUE"""),"ดินแดง")</f>
        <v>ดินแดง</v>
      </c>
      <c r="AA2328" s="3" t="str">
        <f>IFERROR(__xludf.DUMMYFUNCTION("""COMPUTED_VALUE"""),"ดินแดง")</f>
        <v>ดินแดง</v>
      </c>
      <c r="AB2328" s="3" t="str">
        <f>IFERROR(__xludf.DUMMYFUNCTION("""COMPUTED_VALUE"""),"กรุงเทพมหานคร")</f>
        <v>กรุงเทพมหานคร</v>
      </c>
      <c r="AC2328" s="3">
        <f>IFERROR(__xludf.DUMMYFUNCTION("""COMPUTED_VALUE"""),10400.0)</f>
        <v>10400</v>
      </c>
      <c r="AD2328" s="3">
        <f>IFERROR(__xludf.DUMMYFUNCTION("""COMPUTED_VALUE"""),0.0)</f>
        <v>0</v>
      </c>
      <c r="AE2328" s="3">
        <f>IFERROR(__xludf.DUMMYFUNCTION("""COMPUTED_VALUE"""),0.0)</f>
        <v>0</v>
      </c>
      <c r="AF2328" s="3" t="str">
        <f>IFERROR(__xludf.DUMMYFUNCTION("""COMPUTED_VALUE"""),"วาวี_บิ๊กซี รัชดา-63013")</f>
        <v>วาวี_บิ๊กซี รัชดา-63013</v>
      </c>
      <c r="AG2328" s="3" t="str">
        <f>IFERROR(__xludf.DUMMYFUNCTION("""COMPUTED_VALUE"""),"กลาง")</f>
        <v>กลาง</v>
      </c>
      <c r="AH2328" s="3" t="str">
        <f>IFERROR(__xludf.DUMMYFUNCTION("""COMPUTED_VALUE"""),"#N/A")</f>
        <v>#N/A</v>
      </c>
      <c r="AI2328" s="3" t="str">
        <f>IFERROR(__xludf.DUMMYFUNCTION("""COMPUTED_VALUE"""),"Out of warranty")</f>
        <v>Out of warranty</v>
      </c>
      <c r="AJ2328" s="3">
        <f>IFERROR(__xludf.DUMMYFUNCTION("""COMPUTED_VALUE"""),75.0)</f>
        <v>75</v>
      </c>
      <c r="AK2328" s="3"/>
      <c r="AL2328" s="3"/>
    </row>
    <row r="2329" ht="15.75" customHeight="1">
      <c r="A2329" s="1" t="str">
        <f>IFERROR(__xludf.DUMMYFUNCTION("""COMPUTED_VALUE"""),"63014")</f>
        <v>63014</v>
      </c>
      <c r="B2329" s="2">
        <f>IFERROR(__xludf.DUMMYFUNCTION("""COMPUTED_VALUE"""),63014.0)</f>
        <v>63014</v>
      </c>
      <c r="C2329" s="3" t="str">
        <f>IFERROR(__xludf.DUMMYFUNCTION("""COMPUTED_VALUE"""),"วาวี_บิ๊กซี บางนา")</f>
        <v>วาวี_บิ๊กซี บางนา</v>
      </c>
      <c r="D2329" s="3" t="str">
        <f>IFERROR(__xludf.DUMMYFUNCTION("""COMPUTED_VALUE"""),"BIGC BANGNA WAWEE")</f>
        <v>BIGC BANGNA WAWEE</v>
      </c>
      <c r="E2329" s="1" t="str">
        <f>IFERROR(__xludf.DUMMYFUNCTION("""COMPUTED_VALUE"""),"WAWEE")</f>
        <v>WAWEE</v>
      </c>
      <c r="F2329" s="1" t="str">
        <f>IFERROR(__xludf.DUMMYFUNCTION("""COMPUTED_VALUE"""),"296850")</f>
        <v>296850</v>
      </c>
      <c r="G2329" s="1" t="str">
        <f>IFERROR(__xludf.DUMMYFUNCTION("""COMPUTED_VALUE"""),"นายชุติเทพ โศภิษฐ์ปริวัฒน์")</f>
        <v>นายชุติเทพ โศภิษฐ์ปริวัฒน์</v>
      </c>
      <c r="H2329" s="1" t="str">
        <f>IFERROR(__xludf.DUMMYFUNCTION("""COMPUTED_VALUE"""),"296300")</f>
        <v>296300</v>
      </c>
      <c r="I2329" s="1" t="str">
        <f>IFERROR(__xludf.DUMMYFUNCTION("""COMPUTED_VALUE"""),"น.ส.วันเพ็ญ วันแสน")</f>
        <v>น.ส.วันเพ็ญ วันแสน</v>
      </c>
      <c r="J2329" s="3">
        <f>IFERROR(__xludf.DUMMYFUNCTION("""COMPUTED_VALUE"""),296319.0)</f>
        <v>296319</v>
      </c>
      <c r="K2329" s="3" t="str">
        <f>IFERROR(__xludf.DUMMYFUNCTION("""COMPUTED_VALUE"""),"นายรัฐภูมิ กิตติอิชฌติ")</f>
        <v>นายรัฐภูมิ กิตติอิชฌติ</v>
      </c>
      <c r="L2329" s="1" t="str">
        <f>IFERROR(__xludf.DUMMYFUNCTION("""COMPUTED_VALUE"""),"0")</f>
        <v>0</v>
      </c>
      <c r="M2329" s="1" t="str">
        <f>IFERROR(__xludf.DUMMYFUNCTION("""COMPUTED_VALUE"""),"0")</f>
        <v>0</v>
      </c>
      <c r="N2329" s="3">
        <f>IFERROR(__xludf.DUMMYFUNCTION("""COMPUTED_VALUE"""),62001.0)</f>
        <v>62001</v>
      </c>
      <c r="O2329" s="3" t="str">
        <f>IFERROR(__xludf.DUMMYFUNCTION("""COMPUTED_VALUE"""),"วาวี_บิ๊กซี ราชดำริชั้น 2")</f>
        <v>วาวี_บิ๊กซี ราชดำริชั้น 2</v>
      </c>
      <c r="P2329" s="4">
        <f>IFERROR(__xludf.DUMMYFUNCTION("""COMPUTED_VALUE"""),43796.0)</f>
        <v>43796</v>
      </c>
      <c r="Q2329" s="3" t="str">
        <f>IFERROR(__xludf.DUMMYFUNCTION("""COMPUTED_VALUE"""),"I")</f>
        <v>I</v>
      </c>
      <c r="R2329" s="3" t="str">
        <f>IFERROR(__xludf.DUMMYFUNCTION("""COMPUTED_VALUE"""),"Small Format")</f>
        <v>Small Format</v>
      </c>
      <c r="S2329" s="3" t="str">
        <f>IFERROR(__xludf.DUMMYFUNCTION("""COMPUTED_VALUE"""),"WAWEE")</f>
        <v>WAWEE</v>
      </c>
      <c r="T2329" s="3" t="str">
        <f>IFERROR(__xludf.DUMMYFUNCTION("""COMPUTED_VALUE"""),"#N/A")</f>
        <v>#N/A</v>
      </c>
      <c r="U2329" s="3" t="str">
        <f>IFERROR(__xludf.DUMMYFUNCTION("""COMPUTED_VALUE"""),"#N/A")</f>
        <v>#N/A</v>
      </c>
      <c r="V2329" s="3" t="str">
        <f>IFERROR(__xludf.DUMMYFUNCTION("""COMPUTED_VALUE"""),"N")</f>
        <v>N</v>
      </c>
      <c r="W2329" s="3">
        <f>IFERROR(__xludf.DUMMYFUNCTION("""COMPUTED_VALUE"""),182014.0)</f>
        <v>182014</v>
      </c>
      <c r="X2329" s="3" t="str">
        <f>IFERROR(__xludf.DUMMYFUNCTION("""COMPUTED_VALUE"""),"611 ถนนเทพรัตน แขวงบางนาเหนือ เขตบางนา กรุงเทพฯ 10260")</f>
        <v>611 ถนนเทพรัตน แขวงบางนาเหนือ เขตบางนา กรุงเทพฯ 10260</v>
      </c>
      <c r="Y2329" s="3" t="str">
        <f>IFERROR(__xludf.DUMMYFUNCTION("""COMPUTED_VALUE"""),"ถนนเทพรัตน")</f>
        <v>ถนนเทพรัตน</v>
      </c>
      <c r="Z2329" s="3" t="str">
        <f>IFERROR(__xludf.DUMMYFUNCTION("""COMPUTED_VALUE"""),"บางนาเหนือ")</f>
        <v>บางนาเหนือ</v>
      </c>
      <c r="AA2329" s="3" t="str">
        <f>IFERROR(__xludf.DUMMYFUNCTION("""COMPUTED_VALUE"""),"บางนา")</f>
        <v>บางนา</v>
      </c>
      <c r="AB2329" s="3" t="str">
        <f>IFERROR(__xludf.DUMMYFUNCTION("""COMPUTED_VALUE"""),"กรุงเทพมหานคร")</f>
        <v>กรุงเทพมหานคร</v>
      </c>
      <c r="AC2329" s="3">
        <f>IFERROR(__xludf.DUMMYFUNCTION("""COMPUTED_VALUE"""),10260.0)</f>
        <v>10260</v>
      </c>
      <c r="AD2329" s="3">
        <f>IFERROR(__xludf.DUMMYFUNCTION("""COMPUTED_VALUE"""),0.0)</f>
        <v>0</v>
      </c>
      <c r="AE2329" s="3">
        <f>IFERROR(__xludf.DUMMYFUNCTION("""COMPUTED_VALUE"""),0.0)</f>
        <v>0</v>
      </c>
      <c r="AF2329" s="3" t="str">
        <f>IFERROR(__xludf.DUMMYFUNCTION("""COMPUTED_VALUE"""),"วาวี_บิ๊กซี บางนา-63014")</f>
        <v>วาวี_บิ๊กซี บางนา-63014</v>
      </c>
      <c r="AG2329" s="3" t="str">
        <f>IFERROR(__xludf.DUMMYFUNCTION("""COMPUTED_VALUE"""),"กลาง")</f>
        <v>กลาง</v>
      </c>
      <c r="AH2329" s="3" t="str">
        <f>IFERROR(__xludf.DUMMYFUNCTION("""COMPUTED_VALUE"""),"#N/A")</f>
        <v>#N/A</v>
      </c>
      <c r="AI2329" s="3" t="str">
        <f>IFERROR(__xludf.DUMMYFUNCTION("""COMPUTED_VALUE"""),"Out of warranty")</f>
        <v>Out of warranty</v>
      </c>
      <c r="AJ2329" s="3">
        <f>IFERROR(__xludf.DUMMYFUNCTION("""COMPUTED_VALUE"""),74.0)</f>
        <v>74</v>
      </c>
      <c r="AK2329" s="3"/>
      <c r="AL2329" s="3"/>
    </row>
    <row r="2330" ht="15.75" customHeight="1">
      <c r="A2330" s="1" t="str">
        <f>IFERROR(__xludf.DUMMYFUNCTION("""COMPUTED_VALUE"""),"63015")</f>
        <v>63015</v>
      </c>
      <c r="B2330" s="2">
        <f>IFERROR(__xludf.DUMMYFUNCTION("""COMPUTED_VALUE"""),63015.0)</f>
        <v>63015</v>
      </c>
      <c r="C2330" s="3" t="str">
        <f>IFERROR(__xludf.DUMMYFUNCTION("""COMPUTED_VALUE"""),"วาวี_บิ๊กซี พระราม 4")</f>
        <v>วาวี_บิ๊กซี พระราม 4</v>
      </c>
      <c r="D2330" s="3" t="str">
        <f>IFERROR(__xludf.DUMMYFUNCTION("""COMPUTED_VALUE"""),"BIGC RAMA4 WAWEE")</f>
        <v>BIGC RAMA4 WAWEE</v>
      </c>
      <c r="E2330" s="1" t="str">
        <f>IFERROR(__xludf.DUMMYFUNCTION("""COMPUTED_VALUE"""),"WAWEE")</f>
        <v>WAWEE</v>
      </c>
      <c r="F2330" s="1" t="str">
        <f>IFERROR(__xludf.DUMMYFUNCTION("""COMPUTED_VALUE"""),"296850")</f>
        <v>296850</v>
      </c>
      <c r="G2330" s="1" t="str">
        <f>IFERROR(__xludf.DUMMYFUNCTION("""COMPUTED_VALUE"""),"นายชุติเทพ โศภิษฐ์ปริวัฒน์")</f>
        <v>นายชุติเทพ โศภิษฐ์ปริวัฒน์</v>
      </c>
      <c r="H2330" s="1" t="str">
        <f>IFERROR(__xludf.DUMMYFUNCTION("""COMPUTED_VALUE"""),"296300")</f>
        <v>296300</v>
      </c>
      <c r="I2330" s="1" t="str">
        <f>IFERROR(__xludf.DUMMYFUNCTION("""COMPUTED_VALUE"""),"น.ส.วันเพ็ญ วันแสน")</f>
        <v>น.ส.วันเพ็ญ วันแสน</v>
      </c>
      <c r="J2330" s="3">
        <f>IFERROR(__xludf.DUMMYFUNCTION("""COMPUTED_VALUE"""),296319.0)</f>
        <v>296319</v>
      </c>
      <c r="K2330" s="3" t="str">
        <f>IFERROR(__xludf.DUMMYFUNCTION("""COMPUTED_VALUE"""),"นายรัฐภูมิ กิตติอิชฌติ")</f>
        <v>นายรัฐภูมิ กิตติอิชฌติ</v>
      </c>
      <c r="L2330" s="1" t="str">
        <f>IFERROR(__xludf.DUMMYFUNCTION("""COMPUTED_VALUE"""),"0")</f>
        <v>0</v>
      </c>
      <c r="M2330" s="1" t="str">
        <f>IFERROR(__xludf.DUMMYFUNCTION("""COMPUTED_VALUE"""),"0")</f>
        <v>0</v>
      </c>
      <c r="N2330" s="3">
        <f>IFERROR(__xludf.DUMMYFUNCTION("""COMPUTED_VALUE"""),62001.0)</f>
        <v>62001</v>
      </c>
      <c r="O2330" s="3" t="str">
        <f>IFERROR(__xludf.DUMMYFUNCTION("""COMPUTED_VALUE"""),"วาวี_บิ๊กซี ราชดำริชั้น 2")</f>
        <v>วาวี_บิ๊กซี ราชดำริชั้น 2</v>
      </c>
      <c r="P2330" s="4">
        <f>IFERROR(__xludf.DUMMYFUNCTION("""COMPUTED_VALUE"""),43816.0)</f>
        <v>43816</v>
      </c>
      <c r="Q2330" s="3" t="str">
        <f>IFERROR(__xludf.DUMMYFUNCTION("""COMPUTED_VALUE"""),"I")</f>
        <v>I</v>
      </c>
      <c r="R2330" s="3" t="str">
        <f>IFERROR(__xludf.DUMMYFUNCTION("""COMPUTED_VALUE"""),"Small Format")</f>
        <v>Small Format</v>
      </c>
      <c r="S2330" s="3" t="str">
        <f>IFERROR(__xludf.DUMMYFUNCTION("""COMPUTED_VALUE"""),"WAWEE")</f>
        <v>WAWEE</v>
      </c>
      <c r="T2330" s="3" t="str">
        <f>IFERROR(__xludf.DUMMYFUNCTION("""COMPUTED_VALUE"""),"#N/A")</f>
        <v>#N/A</v>
      </c>
      <c r="U2330" s="3" t="str">
        <f>IFERROR(__xludf.DUMMYFUNCTION("""COMPUTED_VALUE"""),"#N/A")</f>
        <v>#N/A</v>
      </c>
      <c r="V2330" s="3" t="str">
        <f>IFERROR(__xludf.DUMMYFUNCTION("""COMPUTED_VALUE"""),"N")</f>
        <v>N</v>
      </c>
      <c r="W2330" s="3">
        <f>IFERROR(__xludf.DUMMYFUNCTION("""COMPUTED_VALUE"""),182015.0)</f>
        <v>182015</v>
      </c>
      <c r="X2330" s="3" t="str">
        <f>IFERROR(__xludf.DUMMYFUNCTION("""COMPUTED_VALUE"""),"2929 ถนนพระราม4 แขวงคลองตัน เขตคลองเตย กรุงเทพมหานคร 10110")</f>
        <v>2929 ถนนพระราม4 แขวงคลองตัน เขตคลองเตย กรุงเทพมหานคร 10110</v>
      </c>
      <c r="Y2330" s="3" t="str">
        <f>IFERROR(__xludf.DUMMYFUNCTION("""COMPUTED_VALUE"""),"ถนนพระราม4")</f>
        <v>ถนนพระราม4</v>
      </c>
      <c r="Z2330" s="3" t="str">
        <f>IFERROR(__xludf.DUMMYFUNCTION("""COMPUTED_VALUE"""),"คลองตัน")</f>
        <v>คลองตัน</v>
      </c>
      <c r="AA2330" s="3" t="str">
        <f>IFERROR(__xludf.DUMMYFUNCTION("""COMPUTED_VALUE"""),"คลองเตย")</f>
        <v>คลองเตย</v>
      </c>
      <c r="AB2330" s="3" t="str">
        <f>IFERROR(__xludf.DUMMYFUNCTION("""COMPUTED_VALUE"""),"กรุงเทพมหานคร")</f>
        <v>กรุงเทพมหานคร</v>
      </c>
      <c r="AC2330" s="3">
        <f>IFERROR(__xludf.DUMMYFUNCTION("""COMPUTED_VALUE"""),10110.0)</f>
        <v>10110</v>
      </c>
      <c r="AD2330" s="3">
        <f>IFERROR(__xludf.DUMMYFUNCTION("""COMPUTED_VALUE"""),0.0)</f>
        <v>0</v>
      </c>
      <c r="AE2330" s="3">
        <f>IFERROR(__xludf.DUMMYFUNCTION("""COMPUTED_VALUE"""),0.0)</f>
        <v>0</v>
      </c>
      <c r="AF2330" s="3" t="str">
        <f>IFERROR(__xludf.DUMMYFUNCTION("""COMPUTED_VALUE"""),"วาวี_บิ๊กซี พระราม 4-63015")</f>
        <v>วาวี_บิ๊กซี พระราม 4-63015</v>
      </c>
      <c r="AG2330" s="3" t="str">
        <f>IFERROR(__xludf.DUMMYFUNCTION("""COMPUTED_VALUE"""),"กลาง")</f>
        <v>กลาง</v>
      </c>
      <c r="AH2330" s="3" t="str">
        <f>IFERROR(__xludf.DUMMYFUNCTION("""COMPUTED_VALUE"""),"#N/A")</f>
        <v>#N/A</v>
      </c>
      <c r="AI2330" s="3" t="str">
        <f>IFERROR(__xludf.DUMMYFUNCTION("""COMPUTED_VALUE"""),"Out of warranty")</f>
        <v>Out of warranty</v>
      </c>
      <c r="AJ2330" s="3">
        <f>IFERROR(__xludf.DUMMYFUNCTION("""COMPUTED_VALUE"""),74.0)</f>
        <v>74</v>
      </c>
      <c r="AK2330" s="3"/>
      <c r="AL2330" s="3"/>
    </row>
    <row r="2331" ht="15.75" customHeight="1">
      <c r="A2331" s="1" t="str">
        <f>IFERROR(__xludf.DUMMYFUNCTION("""COMPUTED_VALUE"""),"63016")</f>
        <v>63016</v>
      </c>
      <c r="B2331" s="2">
        <f>IFERROR(__xludf.DUMMYFUNCTION("""COMPUTED_VALUE"""),63016.0)</f>
        <v>63016</v>
      </c>
      <c r="C2331" s="3" t="str">
        <f>IFERROR(__xludf.DUMMYFUNCTION("""COMPUTED_VALUE"""),"วาวี_บิ๊กซี สมุทรปราการ")</f>
        <v>วาวี_บิ๊กซี สมุทรปราการ</v>
      </c>
      <c r="D2331" s="3" t="str">
        <f>IFERROR(__xludf.DUMMYFUNCTION("""COMPUTED_VALUE"""),"BIGC SAMUTPRAKARN WAWEE")</f>
        <v>BIGC SAMUTPRAKARN WAWEE</v>
      </c>
      <c r="E2331" s="1" t="str">
        <f>IFERROR(__xludf.DUMMYFUNCTION("""COMPUTED_VALUE"""),"WAWEE")</f>
        <v>WAWEE</v>
      </c>
      <c r="F2331" s="1" t="str">
        <f>IFERROR(__xludf.DUMMYFUNCTION("""COMPUTED_VALUE"""),"2083032")</f>
        <v>2083032</v>
      </c>
      <c r="G2331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31" s="1" t="str">
        <f>IFERROR(__xludf.DUMMYFUNCTION("""COMPUTED_VALUE"""),"2136555")</f>
        <v>2136555</v>
      </c>
      <c r="I2331" s="1" t="str">
        <f>IFERROR(__xludf.DUMMYFUNCTION("""COMPUTED_VALUE"""),"น.ส.ทาลินี ปาละตึง")</f>
        <v>น.ส.ทาลินี ปาละตึง</v>
      </c>
      <c r="J2331" s="3">
        <f>IFERROR(__xludf.DUMMYFUNCTION("""COMPUTED_VALUE"""),2083032.0)</f>
        <v>2083032</v>
      </c>
      <c r="K2331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31" s="1" t="str">
        <f>IFERROR(__xludf.DUMMYFUNCTION("""COMPUTED_VALUE"""),"WAWEE")</f>
        <v>WAWEE</v>
      </c>
      <c r="M2331" s="1" t="str">
        <f>IFERROR(__xludf.DUMMYFUNCTION("""COMPUTED_VALUE"""),"065-505-7642")</f>
        <v>065-505-7642</v>
      </c>
      <c r="N2331" s="3">
        <f>IFERROR(__xludf.DUMMYFUNCTION("""COMPUTED_VALUE"""),62001.0)</f>
        <v>62001</v>
      </c>
      <c r="O2331" s="3" t="str">
        <f>IFERROR(__xludf.DUMMYFUNCTION("""COMPUTED_VALUE"""),"วาวี_บิ๊กซี ราชดำริชั้น 2")</f>
        <v>วาวี_บิ๊กซี ราชดำริชั้น 2</v>
      </c>
      <c r="P2331" s="4">
        <f>IFERROR(__xludf.DUMMYFUNCTION("""COMPUTED_VALUE"""),43774.0)</f>
        <v>43774</v>
      </c>
      <c r="Q2331" s="3" t="str">
        <f>IFERROR(__xludf.DUMMYFUNCTION("""COMPUTED_VALUE"""),"A")</f>
        <v>A</v>
      </c>
      <c r="R2331" s="3" t="str">
        <f>IFERROR(__xludf.DUMMYFUNCTION("""COMPUTED_VALUE"""),"Small Format")</f>
        <v>Small Format</v>
      </c>
      <c r="S2331" s="3" t="str">
        <f>IFERROR(__xludf.DUMMYFUNCTION("""COMPUTED_VALUE"""),"WAWEE")</f>
        <v>WAWEE</v>
      </c>
      <c r="T2331" s="3" t="str">
        <f>IFERROR(__xludf.DUMMYFUNCTION("""COMPUTED_VALUE"""),"WAWEE")</f>
        <v>WAWEE</v>
      </c>
      <c r="U2331" s="3" t="str">
        <f>IFERROR(__xludf.DUMMYFUNCTION("""COMPUTED_VALUE"""),"#N/A")</f>
        <v>#N/A</v>
      </c>
      <c r="V2331" s="3" t="str">
        <f>IFERROR(__xludf.DUMMYFUNCTION("""COMPUTED_VALUE"""),"N")</f>
        <v>N</v>
      </c>
      <c r="W2331" s="3">
        <f>IFERROR(__xludf.DUMMYFUNCTION("""COMPUTED_VALUE"""),182016.0)</f>
        <v>182016</v>
      </c>
      <c r="X2331" s="3" t="str">
        <f>IFERROR(__xludf.DUMMYFUNCTION("""COMPUTED_VALUE"""),"498/1 ถนนสุขุมวิท ตำบลปากน้ำ อำเภอเมืองสมุทรปราการ จังหวัดสมุทรปราการ 10270")</f>
        <v>498/1 ถนนสุขุมวิท ตำบลปากน้ำ อำเภอเมืองสมุทรปราการ จังหวัดสมุทรปราการ 10270</v>
      </c>
      <c r="Y2331" s="3" t="str">
        <f>IFERROR(__xludf.DUMMYFUNCTION("""COMPUTED_VALUE"""),"ถนนสุขุมวิท")</f>
        <v>ถนนสุขุมวิท</v>
      </c>
      <c r="Z2331" s="3" t="str">
        <f>IFERROR(__xludf.DUMMYFUNCTION("""COMPUTED_VALUE"""),"ปากน้ำ")</f>
        <v>ปากน้ำ</v>
      </c>
      <c r="AA2331" s="3" t="str">
        <f>IFERROR(__xludf.DUMMYFUNCTION("""COMPUTED_VALUE"""),"เมืองสมุทรปราการ")</f>
        <v>เมืองสมุทรปราการ</v>
      </c>
      <c r="AB2331" s="3" t="str">
        <f>IFERROR(__xludf.DUMMYFUNCTION("""COMPUTED_VALUE"""),"สมุทรปราการ")</f>
        <v>สมุทรปราการ</v>
      </c>
      <c r="AC2331" s="3">
        <f>IFERROR(__xludf.DUMMYFUNCTION("""COMPUTED_VALUE"""),10270.0)</f>
        <v>10270</v>
      </c>
      <c r="AD2331" s="3">
        <f>IFERROR(__xludf.DUMMYFUNCTION("""COMPUTED_VALUE"""),0.0)</f>
        <v>0</v>
      </c>
      <c r="AE2331" s="3">
        <f>IFERROR(__xludf.DUMMYFUNCTION("""COMPUTED_VALUE"""),0.0)</f>
        <v>0</v>
      </c>
      <c r="AF2331" s="3" t="str">
        <f>IFERROR(__xludf.DUMMYFUNCTION("""COMPUTED_VALUE"""),"วาวี_บิ๊กซี สมุทรปราการ-63016")</f>
        <v>วาวี_บิ๊กซี สมุทรปราการ-63016</v>
      </c>
      <c r="AG2331" s="3" t="str">
        <f>IFERROR(__xludf.DUMMYFUNCTION("""COMPUTED_VALUE"""),"กลาง")</f>
        <v>กลาง</v>
      </c>
      <c r="AH2331" s="3" t="str">
        <f>IFERROR(__xludf.DUMMYFUNCTION("""COMPUTED_VALUE"""),"#N/A")</f>
        <v>#N/A</v>
      </c>
      <c r="AI2331" s="3" t="str">
        <f>IFERROR(__xludf.DUMMYFUNCTION("""COMPUTED_VALUE"""),"Out of warranty")</f>
        <v>Out of warranty</v>
      </c>
      <c r="AJ2331" s="3">
        <f>IFERROR(__xludf.DUMMYFUNCTION("""COMPUTED_VALUE"""),75.0)</f>
        <v>75</v>
      </c>
      <c r="AK2331" s="3"/>
      <c r="AL2331" s="3"/>
    </row>
    <row r="2332" ht="15.75" customHeight="1">
      <c r="A2332" s="1" t="str">
        <f>IFERROR(__xludf.DUMMYFUNCTION("""COMPUTED_VALUE"""),"63017")</f>
        <v>63017</v>
      </c>
      <c r="B2332" s="2">
        <f>IFERROR(__xludf.DUMMYFUNCTION("""COMPUTED_VALUE"""),63017.0)</f>
        <v>63017</v>
      </c>
      <c r="C2332" s="3" t="str">
        <f>IFERROR(__xludf.DUMMYFUNCTION("""COMPUTED_VALUE"""),"วาวี_บิ๊กซี แฟชั่นไอซ์แลนด์")</f>
        <v>วาวี_บิ๊กซี แฟชั่นไอซ์แลนด์</v>
      </c>
      <c r="D2332" s="3" t="str">
        <f>IFERROR(__xludf.DUMMYFUNCTION("""COMPUTED_VALUE"""),"BIGC FASHION_ISLAND WAWEE")</f>
        <v>BIGC FASHION_ISLAND WAWEE</v>
      </c>
      <c r="E2332" s="1" t="str">
        <f>IFERROR(__xludf.DUMMYFUNCTION("""COMPUTED_VALUE"""),"WAWEE")</f>
        <v>WAWEE</v>
      </c>
      <c r="F2332" s="1" t="str">
        <f>IFERROR(__xludf.DUMMYFUNCTION("""COMPUTED_VALUE"""),"2083032")</f>
        <v>2083032</v>
      </c>
      <c r="G2332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32" s="1" t="str">
        <f>IFERROR(__xludf.DUMMYFUNCTION("""COMPUTED_VALUE"""),"2136555")</f>
        <v>2136555</v>
      </c>
      <c r="I2332" s="1" t="str">
        <f>IFERROR(__xludf.DUMMYFUNCTION("""COMPUTED_VALUE"""),"น.ส.ทาลินี ปาละตึง")</f>
        <v>น.ส.ทาลินี ปาละตึง</v>
      </c>
      <c r="J2332" s="3">
        <f>IFERROR(__xludf.DUMMYFUNCTION("""COMPUTED_VALUE"""),2083032.0)</f>
        <v>2083032</v>
      </c>
      <c r="K2332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32" s="1" t="str">
        <f>IFERROR(__xludf.DUMMYFUNCTION("""COMPUTED_VALUE"""),"WAWEE")</f>
        <v>WAWEE</v>
      </c>
      <c r="M2332" s="1" t="str">
        <f>IFERROR(__xludf.DUMMYFUNCTION("""COMPUTED_VALUE"""),"065-505-7642")</f>
        <v>065-505-7642</v>
      </c>
      <c r="N2332" s="3">
        <f>IFERROR(__xludf.DUMMYFUNCTION("""COMPUTED_VALUE"""),62001.0)</f>
        <v>62001</v>
      </c>
      <c r="O2332" s="3" t="str">
        <f>IFERROR(__xludf.DUMMYFUNCTION("""COMPUTED_VALUE"""),"วาวี_บิ๊กซี ราชดำริชั้น 2")</f>
        <v>วาวี_บิ๊กซี ราชดำริชั้น 2</v>
      </c>
      <c r="P2332" s="4">
        <f>IFERROR(__xludf.DUMMYFUNCTION("""COMPUTED_VALUE"""),43802.0)</f>
        <v>43802</v>
      </c>
      <c r="Q2332" s="3" t="str">
        <f>IFERROR(__xludf.DUMMYFUNCTION("""COMPUTED_VALUE"""),"A")</f>
        <v>A</v>
      </c>
      <c r="R2332" s="3" t="str">
        <f>IFERROR(__xludf.DUMMYFUNCTION("""COMPUTED_VALUE"""),"Small Format")</f>
        <v>Small Format</v>
      </c>
      <c r="S2332" s="3" t="str">
        <f>IFERROR(__xludf.DUMMYFUNCTION("""COMPUTED_VALUE"""),"WAWEE")</f>
        <v>WAWEE</v>
      </c>
      <c r="T2332" s="3" t="str">
        <f>IFERROR(__xludf.DUMMYFUNCTION("""COMPUTED_VALUE"""),"WAWEE")</f>
        <v>WAWEE</v>
      </c>
      <c r="U2332" s="3" t="str">
        <f>IFERROR(__xludf.DUMMYFUNCTION("""COMPUTED_VALUE"""),"#N/A")</f>
        <v>#N/A</v>
      </c>
      <c r="V2332" s="3" t="str">
        <f>IFERROR(__xludf.DUMMYFUNCTION("""COMPUTED_VALUE"""),"N")</f>
        <v>N</v>
      </c>
      <c r="W2332" s="3">
        <f>IFERROR(__xludf.DUMMYFUNCTION("""COMPUTED_VALUE"""),182017.0)</f>
        <v>182017</v>
      </c>
      <c r="X2332" s="3" t="str">
        <f>IFERROR(__xludf.DUMMYFUNCTION("""COMPUTED_VALUE"""),"593 ถนนรามอินทรา แขวงคันนายาว เขตคันนายาว กรุงเทพมหานคร 10230")</f>
        <v>593 ถนนรามอินทรา แขวงคันนายาว เขตคันนายาว กรุงเทพมหานคร 10230</v>
      </c>
      <c r="Y2332" s="3" t="str">
        <f>IFERROR(__xludf.DUMMYFUNCTION("""COMPUTED_VALUE"""),"ถนนรามอินทรา")</f>
        <v>ถนนรามอินทรา</v>
      </c>
      <c r="Z2332" s="3" t="str">
        <f>IFERROR(__xludf.DUMMYFUNCTION("""COMPUTED_VALUE"""),"คันนายาว")</f>
        <v>คันนายาว</v>
      </c>
      <c r="AA2332" s="3" t="str">
        <f>IFERROR(__xludf.DUMMYFUNCTION("""COMPUTED_VALUE"""),"คันนายาว")</f>
        <v>คันนายาว</v>
      </c>
      <c r="AB2332" s="3" t="str">
        <f>IFERROR(__xludf.DUMMYFUNCTION("""COMPUTED_VALUE"""),"กรุงเทพมหานคร")</f>
        <v>กรุงเทพมหานคร</v>
      </c>
      <c r="AC2332" s="3">
        <f>IFERROR(__xludf.DUMMYFUNCTION("""COMPUTED_VALUE"""),10230.0)</f>
        <v>10230</v>
      </c>
      <c r="AD2332" s="3">
        <f>IFERROR(__xludf.DUMMYFUNCTION("""COMPUTED_VALUE"""),0.0)</f>
        <v>0</v>
      </c>
      <c r="AE2332" s="3">
        <f>IFERROR(__xludf.DUMMYFUNCTION("""COMPUTED_VALUE"""),0.0)</f>
        <v>0</v>
      </c>
      <c r="AF2332" s="3" t="str">
        <f>IFERROR(__xludf.DUMMYFUNCTION("""COMPUTED_VALUE"""),"วาวี_บิ๊กซี แฟชั่นไอซ์แลนด์-63017")</f>
        <v>วาวี_บิ๊กซี แฟชั่นไอซ์แลนด์-63017</v>
      </c>
      <c r="AG2332" s="3" t="str">
        <f>IFERROR(__xludf.DUMMYFUNCTION("""COMPUTED_VALUE"""),"กลาง")</f>
        <v>กลาง</v>
      </c>
      <c r="AH2332" s="3" t="str">
        <f>IFERROR(__xludf.DUMMYFUNCTION("""COMPUTED_VALUE"""),"#N/A")</f>
        <v>#N/A</v>
      </c>
      <c r="AI2332" s="3" t="str">
        <f>IFERROR(__xludf.DUMMYFUNCTION("""COMPUTED_VALUE"""),"Out of warranty")</f>
        <v>Out of warranty</v>
      </c>
      <c r="AJ2332" s="3">
        <f>IFERROR(__xludf.DUMMYFUNCTION("""COMPUTED_VALUE"""),74.0)</f>
        <v>74</v>
      </c>
      <c r="AK2332" s="3"/>
      <c r="AL2332" s="3"/>
    </row>
    <row r="2333" ht="15.75" customHeight="1">
      <c r="A2333" s="1" t="str">
        <f>IFERROR(__xludf.DUMMYFUNCTION("""COMPUTED_VALUE"""),"63018")</f>
        <v>63018</v>
      </c>
      <c r="B2333" s="2">
        <f>IFERROR(__xludf.DUMMYFUNCTION("""COMPUTED_VALUE"""),63018.0)</f>
        <v>63018</v>
      </c>
      <c r="C2333" s="3" t="str">
        <f>IFERROR(__xludf.DUMMYFUNCTION("""COMPUTED_VALUE"""),"วาวี_บิ๊กซี สำโรง 2")</f>
        <v>วาวี_บิ๊กซี สำโรง 2</v>
      </c>
      <c r="D2333" s="3" t="str">
        <f>IFERROR(__xludf.DUMMYFUNCTION("""COMPUTED_VALUE"""),"BIGC SAMROMG2 WAWEE")</f>
        <v>BIGC SAMROMG2 WAWEE</v>
      </c>
      <c r="E2333" s="1" t="str">
        <f>IFERROR(__xludf.DUMMYFUNCTION("""COMPUTED_VALUE"""),"WAWEE")</f>
        <v>WAWEE</v>
      </c>
      <c r="F2333" s="1" t="str">
        <f>IFERROR(__xludf.DUMMYFUNCTION("""COMPUTED_VALUE"""),"296850")</f>
        <v>296850</v>
      </c>
      <c r="G2333" s="1" t="str">
        <f>IFERROR(__xludf.DUMMYFUNCTION("""COMPUTED_VALUE"""),"นายชุติเทพ โศภิษฐ์ปริวัฒน์")</f>
        <v>นายชุติเทพ โศภิษฐ์ปริวัฒน์</v>
      </c>
      <c r="H2333" s="1" t="str">
        <f>IFERROR(__xludf.DUMMYFUNCTION("""COMPUTED_VALUE"""),"296300")</f>
        <v>296300</v>
      </c>
      <c r="I2333" s="1" t="str">
        <f>IFERROR(__xludf.DUMMYFUNCTION("""COMPUTED_VALUE"""),"น.ส.วันเพ็ญ วันแสน")</f>
        <v>น.ส.วันเพ็ญ วันแสน</v>
      </c>
      <c r="J2333" s="3">
        <f>IFERROR(__xludf.DUMMYFUNCTION("""COMPUTED_VALUE"""),296319.0)</f>
        <v>296319</v>
      </c>
      <c r="K2333" s="3" t="str">
        <f>IFERROR(__xludf.DUMMYFUNCTION("""COMPUTED_VALUE"""),"นายรัฐภูมิ กิตติอิชฌติ")</f>
        <v>นายรัฐภูมิ กิตติอิชฌติ</v>
      </c>
      <c r="L2333" s="1" t="str">
        <f>IFERROR(__xludf.DUMMYFUNCTION("""COMPUTED_VALUE"""),"0")</f>
        <v>0</v>
      </c>
      <c r="M2333" s="1" t="str">
        <f>IFERROR(__xludf.DUMMYFUNCTION("""COMPUTED_VALUE"""),"0")</f>
        <v>0</v>
      </c>
      <c r="N2333" s="3">
        <f>IFERROR(__xludf.DUMMYFUNCTION("""COMPUTED_VALUE"""),62001.0)</f>
        <v>62001</v>
      </c>
      <c r="O2333" s="3" t="str">
        <f>IFERROR(__xludf.DUMMYFUNCTION("""COMPUTED_VALUE"""),"วาวี_บิ๊กซี ราชดำริชั้น 2")</f>
        <v>วาวี_บิ๊กซี ราชดำริชั้น 2</v>
      </c>
      <c r="P2333" s="4">
        <f>IFERROR(__xludf.DUMMYFUNCTION("""COMPUTED_VALUE"""),43816.0)</f>
        <v>43816</v>
      </c>
      <c r="Q2333" s="3" t="str">
        <f>IFERROR(__xludf.DUMMYFUNCTION("""COMPUTED_VALUE"""),"I")</f>
        <v>I</v>
      </c>
      <c r="R2333" s="3" t="str">
        <f>IFERROR(__xludf.DUMMYFUNCTION("""COMPUTED_VALUE"""),"Small Format")</f>
        <v>Small Format</v>
      </c>
      <c r="S2333" s="3" t="str">
        <f>IFERROR(__xludf.DUMMYFUNCTION("""COMPUTED_VALUE"""),"WAWEE")</f>
        <v>WAWEE</v>
      </c>
      <c r="T2333" s="3" t="str">
        <f>IFERROR(__xludf.DUMMYFUNCTION("""COMPUTED_VALUE"""),"#N/A")</f>
        <v>#N/A</v>
      </c>
      <c r="U2333" s="3" t="str">
        <f>IFERROR(__xludf.DUMMYFUNCTION("""COMPUTED_VALUE"""),"#N/A")</f>
        <v>#N/A</v>
      </c>
      <c r="V2333" s="3" t="str">
        <f>IFERROR(__xludf.DUMMYFUNCTION("""COMPUTED_VALUE"""),"N")</f>
        <v>N</v>
      </c>
      <c r="W2333" s="3">
        <f>IFERROR(__xludf.DUMMYFUNCTION("""COMPUTED_VALUE"""),182018.0)</f>
        <v>182018</v>
      </c>
      <c r="X2333" s="3" t="str">
        <f>IFERROR(__xludf.DUMMYFUNCTION("""COMPUTED_VALUE"""),"1293 หมู่4 ตำบลเทพารักษ์ อำเภอเมืองสมุทรปราการ จังหวัดสมุทรปราการ 10270")</f>
        <v>1293 หมู่4 ตำบลเทพารักษ์ อำเภอเมืองสมุทรปราการ จังหวัดสมุทรปราการ 10270</v>
      </c>
      <c r="Y2333" s="3"/>
      <c r="Z2333" s="3" t="str">
        <f>IFERROR(__xludf.DUMMYFUNCTION("""COMPUTED_VALUE"""),"เทพารักษ์")</f>
        <v>เทพารักษ์</v>
      </c>
      <c r="AA2333" s="3" t="str">
        <f>IFERROR(__xludf.DUMMYFUNCTION("""COMPUTED_VALUE"""),"เมืองสมุทรปราการ")</f>
        <v>เมืองสมุทรปราการ</v>
      </c>
      <c r="AB2333" s="3" t="str">
        <f>IFERROR(__xludf.DUMMYFUNCTION("""COMPUTED_VALUE"""),"สมุทรปราการ")</f>
        <v>สมุทรปราการ</v>
      </c>
      <c r="AC2333" s="3">
        <f>IFERROR(__xludf.DUMMYFUNCTION("""COMPUTED_VALUE"""),10270.0)</f>
        <v>10270</v>
      </c>
      <c r="AD2333" s="3">
        <f>IFERROR(__xludf.DUMMYFUNCTION("""COMPUTED_VALUE"""),0.0)</f>
        <v>0</v>
      </c>
      <c r="AE2333" s="3">
        <f>IFERROR(__xludf.DUMMYFUNCTION("""COMPUTED_VALUE"""),0.0)</f>
        <v>0</v>
      </c>
      <c r="AF2333" s="3" t="str">
        <f>IFERROR(__xludf.DUMMYFUNCTION("""COMPUTED_VALUE"""),"วาวี_บิ๊กซี สำโรง 2-63018")</f>
        <v>วาวี_บิ๊กซี สำโรง 2-63018</v>
      </c>
      <c r="AG2333" s="3" t="str">
        <f>IFERROR(__xludf.DUMMYFUNCTION("""COMPUTED_VALUE"""),"กลาง")</f>
        <v>กลาง</v>
      </c>
      <c r="AH2333" s="3" t="str">
        <f>IFERROR(__xludf.DUMMYFUNCTION("""COMPUTED_VALUE"""),"#N/A")</f>
        <v>#N/A</v>
      </c>
      <c r="AI2333" s="3" t="str">
        <f>IFERROR(__xludf.DUMMYFUNCTION("""COMPUTED_VALUE"""),"Out of warranty")</f>
        <v>Out of warranty</v>
      </c>
      <c r="AJ2333" s="3">
        <f>IFERROR(__xludf.DUMMYFUNCTION("""COMPUTED_VALUE"""),74.0)</f>
        <v>74</v>
      </c>
      <c r="AK2333" s="3"/>
      <c r="AL2333" s="3"/>
    </row>
    <row r="2334" ht="15.75" customHeight="1">
      <c r="A2334" s="1" t="str">
        <f>IFERROR(__xludf.DUMMYFUNCTION("""COMPUTED_VALUE"""),"63019")</f>
        <v>63019</v>
      </c>
      <c r="B2334" s="2">
        <f>IFERROR(__xludf.DUMMYFUNCTION("""COMPUTED_VALUE"""),63019.0)</f>
        <v>63019</v>
      </c>
      <c r="C2334" s="3" t="str">
        <f>IFERROR(__xludf.DUMMYFUNCTION("""COMPUTED_VALUE"""),"วาวี_บิ๊กซี อ่อนนุช")</f>
        <v>วาวี_บิ๊กซี อ่อนนุช</v>
      </c>
      <c r="D2334" s="3" t="str">
        <f>IFERROR(__xludf.DUMMYFUNCTION("""COMPUTED_VALUE"""),"BIGC ON NUCH WAWEE")</f>
        <v>BIGC ON NUCH WAWEE</v>
      </c>
      <c r="E2334" s="1" t="str">
        <f>IFERROR(__xludf.DUMMYFUNCTION("""COMPUTED_VALUE"""),"WAWEE")</f>
        <v>WAWEE</v>
      </c>
      <c r="F2334" s="1" t="str">
        <f>IFERROR(__xludf.DUMMYFUNCTION("""COMPUTED_VALUE"""),"2083032")</f>
        <v>2083032</v>
      </c>
      <c r="G2334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34" s="1" t="str">
        <f>IFERROR(__xludf.DUMMYFUNCTION("""COMPUTED_VALUE"""),"2136555")</f>
        <v>2136555</v>
      </c>
      <c r="I2334" s="1" t="str">
        <f>IFERROR(__xludf.DUMMYFUNCTION("""COMPUTED_VALUE"""),"น.ส.ทาลินี ปาละตึง")</f>
        <v>น.ส.ทาลินี ปาละตึง</v>
      </c>
      <c r="J2334" s="3">
        <f>IFERROR(__xludf.DUMMYFUNCTION("""COMPUTED_VALUE"""),2083032.0)</f>
        <v>2083032</v>
      </c>
      <c r="K2334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34" s="1" t="str">
        <f>IFERROR(__xludf.DUMMYFUNCTION("""COMPUTED_VALUE"""),"WAWEE")</f>
        <v>WAWEE</v>
      </c>
      <c r="M2334" s="1" t="str">
        <f>IFERROR(__xludf.DUMMYFUNCTION("""COMPUTED_VALUE"""),"065-505-7642")</f>
        <v>065-505-7642</v>
      </c>
      <c r="N2334" s="3">
        <f>IFERROR(__xludf.DUMMYFUNCTION("""COMPUTED_VALUE"""),62001.0)</f>
        <v>62001</v>
      </c>
      <c r="O2334" s="3" t="str">
        <f>IFERROR(__xludf.DUMMYFUNCTION("""COMPUTED_VALUE"""),"วาวี_บิ๊กซี ราชดำริชั้น 2")</f>
        <v>วาวี_บิ๊กซี ราชดำริชั้น 2</v>
      </c>
      <c r="P2334" s="4">
        <f>IFERROR(__xludf.DUMMYFUNCTION("""COMPUTED_VALUE"""),43812.0)</f>
        <v>43812</v>
      </c>
      <c r="Q2334" s="3" t="str">
        <f>IFERROR(__xludf.DUMMYFUNCTION("""COMPUTED_VALUE"""),"A")</f>
        <v>A</v>
      </c>
      <c r="R2334" s="3" t="str">
        <f>IFERROR(__xludf.DUMMYFUNCTION("""COMPUTED_VALUE"""),"Small Format")</f>
        <v>Small Format</v>
      </c>
      <c r="S2334" s="3" t="str">
        <f>IFERROR(__xludf.DUMMYFUNCTION("""COMPUTED_VALUE"""),"WAWEE")</f>
        <v>WAWEE</v>
      </c>
      <c r="T2334" s="3" t="str">
        <f>IFERROR(__xludf.DUMMYFUNCTION("""COMPUTED_VALUE"""),"WAWEE")</f>
        <v>WAWEE</v>
      </c>
      <c r="U2334" s="3" t="str">
        <f>IFERROR(__xludf.DUMMYFUNCTION("""COMPUTED_VALUE"""),"#N/A")</f>
        <v>#N/A</v>
      </c>
      <c r="V2334" s="3" t="str">
        <f>IFERROR(__xludf.DUMMYFUNCTION("""COMPUTED_VALUE"""),"N")</f>
        <v>N</v>
      </c>
      <c r="W2334" s="3">
        <f>IFERROR(__xludf.DUMMYFUNCTION("""COMPUTED_VALUE"""),182019.0)</f>
        <v>182019</v>
      </c>
      <c r="X2334" s="3" t="str">
        <f>IFERROR(__xludf.DUMMYFUNCTION("""COMPUTED_VALUE"""),"114 ซอยสุขุมวิท 77(อ่อนนุช 1) แขวงพระโขนงเหนือ เขตวัฒนา กรุงเทพมหานคร 10110")</f>
        <v>114 ซอยสุขุมวิท 77(อ่อนนุช 1) แขวงพระโขนงเหนือ เขตวัฒนา กรุงเทพมหานคร 10110</v>
      </c>
      <c r="Y2334" s="3" t="str">
        <f>IFERROR(__xludf.DUMMYFUNCTION("""COMPUTED_VALUE"""),"ซอยสุขุมวิท")</f>
        <v>ซอยสุขุมวิท</v>
      </c>
      <c r="Z2334" s="3" t="str">
        <f>IFERROR(__xludf.DUMMYFUNCTION("""COMPUTED_VALUE"""),"พระโขนงเหนือ")</f>
        <v>พระโขนงเหนือ</v>
      </c>
      <c r="AA2334" s="3" t="str">
        <f>IFERROR(__xludf.DUMMYFUNCTION("""COMPUTED_VALUE"""),"วัฒนา")</f>
        <v>วัฒนา</v>
      </c>
      <c r="AB2334" s="3" t="str">
        <f>IFERROR(__xludf.DUMMYFUNCTION("""COMPUTED_VALUE"""),"กรุงเทพมหานคร")</f>
        <v>กรุงเทพมหานคร</v>
      </c>
      <c r="AC2334" s="3">
        <f>IFERROR(__xludf.DUMMYFUNCTION("""COMPUTED_VALUE"""),10110.0)</f>
        <v>10110</v>
      </c>
      <c r="AD2334" s="3">
        <f>IFERROR(__xludf.DUMMYFUNCTION("""COMPUTED_VALUE"""),0.0)</f>
        <v>0</v>
      </c>
      <c r="AE2334" s="3">
        <f>IFERROR(__xludf.DUMMYFUNCTION("""COMPUTED_VALUE"""),0.0)</f>
        <v>0</v>
      </c>
      <c r="AF2334" s="3" t="str">
        <f>IFERROR(__xludf.DUMMYFUNCTION("""COMPUTED_VALUE"""),"วาวี_บิ๊กซี อ่อนนุช-63019")</f>
        <v>วาวี_บิ๊กซี อ่อนนุช-63019</v>
      </c>
      <c r="AG2334" s="3" t="str">
        <f>IFERROR(__xludf.DUMMYFUNCTION("""COMPUTED_VALUE"""),"กลาง")</f>
        <v>กลาง</v>
      </c>
      <c r="AH2334" s="3" t="str">
        <f>IFERROR(__xludf.DUMMYFUNCTION("""COMPUTED_VALUE"""),"#N/A")</f>
        <v>#N/A</v>
      </c>
      <c r="AI2334" s="3" t="str">
        <f>IFERROR(__xludf.DUMMYFUNCTION("""COMPUTED_VALUE"""),"Out of warranty")</f>
        <v>Out of warranty</v>
      </c>
      <c r="AJ2334" s="3">
        <f>IFERROR(__xludf.DUMMYFUNCTION("""COMPUTED_VALUE"""),74.0)</f>
        <v>74</v>
      </c>
      <c r="AK2334" s="3"/>
      <c r="AL2334" s="3"/>
    </row>
    <row r="2335" ht="15.75" customHeight="1">
      <c r="A2335" s="1" t="str">
        <f>IFERROR(__xludf.DUMMYFUNCTION("""COMPUTED_VALUE"""),"63020")</f>
        <v>63020</v>
      </c>
      <c r="B2335" s="2">
        <f>IFERROR(__xludf.DUMMYFUNCTION("""COMPUTED_VALUE"""),63020.0)</f>
        <v>63020</v>
      </c>
      <c r="C2335" s="3" t="str">
        <f>IFERROR(__xludf.DUMMYFUNCTION("""COMPUTED_VALUE"""),"วาวี_บิ๊กซี เชียงใหม่ 1")</f>
        <v>วาวี_บิ๊กซี เชียงใหม่ 1</v>
      </c>
      <c r="D2335" s="3" t="str">
        <f>IFERROR(__xludf.DUMMYFUNCTION("""COMPUTED_VALUE"""),"BIGC CHIANGMAI WAWEE")</f>
        <v>BIGC CHIANGMAI WAWEE</v>
      </c>
      <c r="E2335" s="1" t="str">
        <f>IFERROR(__xludf.DUMMYFUNCTION("""COMPUTED_VALUE"""),"WAWEE")</f>
        <v>WAWEE</v>
      </c>
      <c r="F2335" s="1" t="str">
        <f>IFERROR(__xludf.DUMMYFUNCTION("""COMPUTED_VALUE"""),"2083032")</f>
        <v>2083032</v>
      </c>
      <c r="G2335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35" s="1" t="str">
        <f>IFERROR(__xludf.DUMMYFUNCTION("""COMPUTED_VALUE"""),"2136555")</f>
        <v>2136555</v>
      </c>
      <c r="I2335" s="1" t="str">
        <f>IFERROR(__xludf.DUMMYFUNCTION("""COMPUTED_VALUE"""),"น.ส.ทาลินี ปาละตึง")</f>
        <v>น.ส.ทาลินี ปาละตึง</v>
      </c>
      <c r="J2335" s="3">
        <f>IFERROR(__xludf.DUMMYFUNCTION("""COMPUTED_VALUE"""),2083032.0)</f>
        <v>2083032</v>
      </c>
      <c r="K2335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35" s="1" t="str">
        <f>IFERROR(__xludf.DUMMYFUNCTION("""COMPUTED_VALUE"""),"WAWEE")</f>
        <v>WAWEE</v>
      </c>
      <c r="M2335" s="1" t="str">
        <f>IFERROR(__xludf.DUMMYFUNCTION("""COMPUTED_VALUE"""),"065-505-7642")</f>
        <v>065-505-7642</v>
      </c>
      <c r="N2335" s="3">
        <f>IFERROR(__xludf.DUMMYFUNCTION("""COMPUTED_VALUE"""),62004.0)</f>
        <v>62004</v>
      </c>
      <c r="O2335" s="3" t="str">
        <f>IFERROR(__xludf.DUMMYFUNCTION("""COMPUTED_VALUE"""),"วาวี_ท่ากระดาษริมเหมือง")</f>
        <v>วาวี_ท่ากระดาษริมเหมือง</v>
      </c>
      <c r="P2335" s="4">
        <f>IFERROR(__xludf.DUMMYFUNCTION("""COMPUTED_VALUE"""),43871.0)</f>
        <v>43871</v>
      </c>
      <c r="Q2335" s="3" t="str">
        <f>IFERROR(__xludf.DUMMYFUNCTION("""COMPUTED_VALUE"""),"A")</f>
        <v>A</v>
      </c>
      <c r="R2335" s="3" t="str">
        <f>IFERROR(__xludf.DUMMYFUNCTION("""COMPUTED_VALUE"""),"Small Format")</f>
        <v>Small Format</v>
      </c>
      <c r="S2335" s="3" t="str">
        <f>IFERROR(__xludf.DUMMYFUNCTION("""COMPUTED_VALUE"""),"WAWEE")</f>
        <v>WAWEE</v>
      </c>
      <c r="T2335" s="3" t="str">
        <f>IFERROR(__xludf.DUMMYFUNCTION("""COMPUTED_VALUE"""),"WAWEE")</f>
        <v>WAWEE</v>
      </c>
      <c r="U2335" s="3" t="str">
        <f>IFERROR(__xludf.DUMMYFUNCTION("""COMPUTED_VALUE"""),"#N/A")</f>
        <v>#N/A</v>
      </c>
      <c r="V2335" s="3" t="str">
        <f>IFERROR(__xludf.DUMMYFUNCTION("""COMPUTED_VALUE"""),"N")</f>
        <v>N</v>
      </c>
      <c r="W2335" s="3">
        <f>IFERROR(__xludf.DUMMYFUNCTION("""COMPUTED_VALUE"""),182020.0)</f>
        <v>182020</v>
      </c>
      <c r="X2335" s="3" t="str">
        <f>IFERROR(__xludf.DUMMYFUNCTION("""COMPUTED_VALUE"""),"208 หมู่3 ตำบลท่าศาลา อำเภอเมืองเชียงใหม่ จังหวัดเชียงใหม่ 50000")</f>
        <v>208 หมู่3 ตำบลท่าศาลา อำเภอเมืองเชียงใหม่ จังหวัดเชียงใหม่ 50000</v>
      </c>
      <c r="Y2335" s="3"/>
      <c r="Z2335" s="3" t="str">
        <f>IFERROR(__xludf.DUMMYFUNCTION("""COMPUTED_VALUE"""),"ท่าศาลา")</f>
        <v>ท่าศาลา</v>
      </c>
      <c r="AA2335" s="3" t="str">
        <f>IFERROR(__xludf.DUMMYFUNCTION("""COMPUTED_VALUE"""),"เมือง")</f>
        <v>เมือง</v>
      </c>
      <c r="AB2335" s="3" t="str">
        <f>IFERROR(__xludf.DUMMYFUNCTION("""COMPUTED_VALUE"""),"เชียงใหม่")</f>
        <v>เชียงใหม่</v>
      </c>
      <c r="AC2335" s="3">
        <f>IFERROR(__xludf.DUMMYFUNCTION("""COMPUTED_VALUE"""),50000.0)</f>
        <v>50000</v>
      </c>
      <c r="AD2335" s="3">
        <f>IFERROR(__xludf.DUMMYFUNCTION("""COMPUTED_VALUE"""),0.0)</f>
        <v>0</v>
      </c>
      <c r="AE2335" s="3">
        <f>IFERROR(__xludf.DUMMYFUNCTION("""COMPUTED_VALUE"""),0.0)</f>
        <v>0</v>
      </c>
      <c r="AF2335" s="3" t="str">
        <f>IFERROR(__xludf.DUMMYFUNCTION("""COMPUTED_VALUE"""),"วาวี_บิ๊กซี เชียงใหม่ 1-63020")</f>
        <v>วาวี_บิ๊กซี เชียงใหม่ 1-63020</v>
      </c>
      <c r="AG2335" s="3" t="str">
        <f>IFERROR(__xludf.DUMMYFUNCTION("""COMPUTED_VALUE"""),"เหนือ")</f>
        <v>เหนือ</v>
      </c>
      <c r="AH2335" s="3" t="str">
        <f>IFERROR(__xludf.DUMMYFUNCTION("""COMPUTED_VALUE"""),"#N/A")</f>
        <v>#N/A</v>
      </c>
      <c r="AI2335" s="3" t="str">
        <f>IFERROR(__xludf.DUMMYFUNCTION("""COMPUTED_VALUE"""),"Out of warranty")</f>
        <v>Out of warranty</v>
      </c>
      <c r="AJ2335" s="3">
        <f>IFERROR(__xludf.DUMMYFUNCTION("""COMPUTED_VALUE"""),72.0)</f>
        <v>72</v>
      </c>
      <c r="AK2335" s="3"/>
      <c r="AL2335" s="3"/>
    </row>
    <row r="2336" ht="15.75" customHeight="1">
      <c r="A2336" s="1" t="str">
        <f>IFERROR(__xludf.DUMMYFUNCTION("""COMPUTED_VALUE"""),"63021")</f>
        <v>63021</v>
      </c>
      <c r="B2336" s="2">
        <f>IFERROR(__xludf.DUMMYFUNCTION("""COMPUTED_VALUE"""),63021.0)</f>
        <v>63021</v>
      </c>
      <c r="C2336" s="3" t="str">
        <f>IFERROR(__xludf.DUMMYFUNCTION("""COMPUTED_VALUE"""),"วาวี_บิ๊กซี เพชรเกษม 2")</f>
        <v>วาวี_บิ๊กซี เพชรเกษม 2</v>
      </c>
      <c r="D2336" s="3" t="str">
        <f>IFERROR(__xludf.DUMMYFUNCTION("""COMPUTED_VALUE"""),"BIGC PHETCHAKASEM 2 WAWEE")</f>
        <v>BIGC PHETCHAKASEM 2 WAWEE</v>
      </c>
      <c r="E2336" s="1" t="str">
        <f>IFERROR(__xludf.DUMMYFUNCTION("""COMPUTED_VALUE"""),"WAWEE")</f>
        <v>WAWEE</v>
      </c>
      <c r="F2336" s="1" t="str">
        <f>IFERROR(__xludf.DUMMYFUNCTION("""COMPUTED_VALUE"""),"2083032")</f>
        <v>2083032</v>
      </c>
      <c r="G2336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36" s="1" t="str">
        <f>IFERROR(__xludf.DUMMYFUNCTION("""COMPUTED_VALUE"""),"2136555")</f>
        <v>2136555</v>
      </c>
      <c r="I2336" s="1" t="str">
        <f>IFERROR(__xludf.DUMMYFUNCTION("""COMPUTED_VALUE"""),"น.ส.ทาลินี ปาละตึง")</f>
        <v>น.ส.ทาลินี ปาละตึง</v>
      </c>
      <c r="J2336" s="3">
        <f>IFERROR(__xludf.DUMMYFUNCTION("""COMPUTED_VALUE"""),2083032.0)</f>
        <v>2083032</v>
      </c>
      <c r="K2336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36" s="1" t="str">
        <f>IFERROR(__xludf.DUMMYFUNCTION("""COMPUTED_VALUE"""),"WAWEE")</f>
        <v>WAWEE</v>
      </c>
      <c r="M2336" s="1" t="str">
        <f>IFERROR(__xludf.DUMMYFUNCTION("""COMPUTED_VALUE"""),"065-505-7642")</f>
        <v>065-505-7642</v>
      </c>
      <c r="N2336" s="3">
        <f>IFERROR(__xludf.DUMMYFUNCTION("""COMPUTED_VALUE"""),62001.0)</f>
        <v>62001</v>
      </c>
      <c r="O2336" s="3" t="str">
        <f>IFERROR(__xludf.DUMMYFUNCTION("""COMPUTED_VALUE"""),"วาวี_บิ๊กซี ราชดำริชั้น 2")</f>
        <v>วาวี_บิ๊กซี ราชดำริชั้น 2</v>
      </c>
      <c r="P2336" s="4">
        <f>IFERROR(__xludf.DUMMYFUNCTION("""COMPUTED_VALUE"""),43894.0)</f>
        <v>43894</v>
      </c>
      <c r="Q2336" s="3" t="str">
        <f>IFERROR(__xludf.DUMMYFUNCTION("""COMPUTED_VALUE"""),"A")</f>
        <v>A</v>
      </c>
      <c r="R2336" s="3" t="str">
        <f>IFERROR(__xludf.DUMMYFUNCTION("""COMPUTED_VALUE"""),"Small Format")</f>
        <v>Small Format</v>
      </c>
      <c r="S2336" s="3" t="str">
        <f>IFERROR(__xludf.DUMMYFUNCTION("""COMPUTED_VALUE"""),"WAWEE")</f>
        <v>WAWEE</v>
      </c>
      <c r="T2336" s="3" t="str">
        <f>IFERROR(__xludf.DUMMYFUNCTION("""COMPUTED_VALUE"""),"WAWEE")</f>
        <v>WAWEE</v>
      </c>
      <c r="U2336" s="3" t="str">
        <f>IFERROR(__xludf.DUMMYFUNCTION("""COMPUTED_VALUE"""),"#N/A")</f>
        <v>#N/A</v>
      </c>
      <c r="V2336" s="3" t="str">
        <f>IFERROR(__xludf.DUMMYFUNCTION("""COMPUTED_VALUE"""),"N")</f>
        <v>N</v>
      </c>
      <c r="W2336" s="3">
        <f>IFERROR(__xludf.DUMMYFUNCTION("""COMPUTED_VALUE"""),182021.0)</f>
        <v>182021</v>
      </c>
      <c r="X2336" s="3" t="str">
        <f>IFERROR(__xludf.DUMMYFUNCTION("""COMPUTED_VALUE"""),"178 ถนนเพชรเกษม แขวงหนองค้างพลู เขตหนองแขม กรุงเทพมหานคร 10160")</f>
        <v>178 ถนนเพชรเกษม แขวงหนองค้างพลู เขตหนองแขม กรุงเทพมหานคร 10160</v>
      </c>
      <c r="Y2336" s="3" t="str">
        <f>IFERROR(__xludf.DUMMYFUNCTION("""COMPUTED_VALUE"""),"ถนนเพชรเกษม")</f>
        <v>ถนนเพชรเกษม</v>
      </c>
      <c r="Z2336" s="3" t="str">
        <f>IFERROR(__xludf.DUMMYFUNCTION("""COMPUTED_VALUE"""),"หนองค้างพลู")</f>
        <v>หนองค้างพลู</v>
      </c>
      <c r="AA2336" s="3" t="str">
        <f>IFERROR(__xludf.DUMMYFUNCTION("""COMPUTED_VALUE"""),"หนองแขม")</f>
        <v>หนองแขม</v>
      </c>
      <c r="AB2336" s="3" t="str">
        <f>IFERROR(__xludf.DUMMYFUNCTION("""COMPUTED_VALUE"""),"กรุงเทพมหานคร")</f>
        <v>กรุงเทพมหานคร</v>
      </c>
      <c r="AC2336" s="3">
        <f>IFERROR(__xludf.DUMMYFUNCTION("""COMPUTED_VALUE"""),10160.0)</f>
        <v>10160</v>
      </c>
      <c r="AD2336" s="3">
        <f>IFERROR(__xludf.DUMMYFUNCTION("""COMPUTED_VALUE"""),0.0)</f>
        <v>0</v>
      </c>
      <c r="AE2336" s="3">
        <f>IFERROR(__xludf.DUMMYFUNCTION("""COMPUTED_VALUE"""),0.0)</f>
        <v>0</v>
      </c>
      <c r="AF2336" s="3" t="str">
        <f>IFERROR(__xludf.DUMMYFUNCTION("""COMPUTED_VALUE"""),"วาวี_บิ๊กซี เพชรเกษม 2-63021")</f>
        <v>วาวี_บิ๊กซี เพชรเกษม 2-63021</v>
      </c>
      <c r="AG2336" s="3" t="str">
        <f>IFERROR(__xludf.DUMMYFUNCTION("""COMPUTED_VALUE"""),"กลาง")</f>
        <v>กลาง</v>
      </c>
      <c r="AH2336" s="3" t="str">
        <f>IFERROR(__xludf.DUMMYFUNCTION("""COMPUTED_VALUE"""),"#N/A")</f>
        <v>#N/A</v>
      </c>
      <c r="AI2336" s="3" t="str">
        <f>IFERROR(__xludf.DUMMYFUNCTION("""COMPUTED_VALUE"""),"Out of warranty")</f>
        <v>Out of warranty</v>
      </c>
      <c r="AJ2336" s="3">
        <f>IFERROR(__xludf.DUMMYFUNCTION("""COMPUTED_VALUE"""),71.0)</f>
        <v>71</v>
      </c>
      <c r="AK2336" s="3"/>
      <c r="AL2336" s="3"/>
    </row>
    <row r="2337" ht="15.75" customHeight="1">
      <c r="A2337" s="1" t="str">
        <f>IFERROR(__xludf.DUMMYFUNCTION("""COMPUTED_VALUE"""),"63022")</f>
        <v>63022</v>
      </c>
      <c r="B2337" s="2">
        <f>IFERROR(__xludf.DUMMYFUNCTION("""COMPUTED_VALUE"""),63022.0)</f>
        <v>63022</v>
      </c>
      <c r="C2337" s="3" t="str">
        <f>IFERROR(__xludf.DUMMYFUNCTION("""COMPUTED_VALUE"""),"วาวี_บิ๊กซี เชียงใหม่ 2")</f>
        <v>วาวี_บิ๊กซี เชียงใหม่ 2</v>
      </c>
      <c r="D2337" s="3" t="str">
        <f>IFERROR(__xludf.DUMMYFUNCTION("""COMPUTED_VALUE"""),"BIGC CHIANGMAI 2 WAWEE")</f>
        <v>BIGC CHIANGMAI 2 WAWEE</v>
      </c>
      <c r="E2337" s="1" t="str">
        <f>IFERROR(__xludf.DUMMYFUNCTION("""COMPUTED_VALUE"""),"WAWEE")</f>
        <v>WAWEE</v>
      </c>
      <c r="F2337" s="1" t="str">
        <f>IFERROR(__xludf.DUMMYFUNCTION("""COMPUTED_VALUE"""),"2083032")</f>
        <v>2083032</v>
      </c>
      <c r="G2337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37" s="1" t="str">
        <f>IFERROR(__xludf.DUMMYFUNCTION("""COMPUTED_VALUE"""),"2136555")</f>
        <v>2136555</v>
      </c>
      <c r="I2337" s="1" t="str">
        <f>IFERROR(__xludf.DUMMYFUNCTION("""COMPUTED_VALUE"""),"น.ส.ทาลินี ปาละตึง")</f>
        <v>น.ส.ทาลินี ปาละตึง</v>
      </c>
      <c r="J2337" s="3">
        <f>IFERROR(__xludf.DUMMYFUNCTION("""COMPUTED_VALUE"""),2083032.0)</f>
        <v>2083032</v>
      </c>
      <c r="K2337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37" s="1" t="str">
        <f>IFERROR(__xludf.DUMMYFUNCTION("""COMPUTED_VALUE"""),"WAWEE")</f>
        <v>WAWEE</v>
      </c>
      <c r="M2337" s="1" t="str">
        <f>IFERROR(__xludf.DUMMYFUNCTION("""COMPUTED_VALUE"""),"065-505-7642")</f>
        <v>065-505-7642</v>
      </c>
      <c r="N2337" s="3">
        <f>IFERROR(__xludf.DUMMYFUNCTION("""COMPUTED_VALUE"""),62004.0)</f>
        <v>62004</v>
      </c>
      <c r="O2337" s="3" t="str">
        <f>IFERROR(__xludf.DUMMYFUNCTION("""COMPUTED_VALUE"""),"วาวี_ท่ากระดาษริมเหมือง")</f>
        <v>วาวี_ท่ากระดาษริมเหมือง</v>
      </c>
      <c r="P2337" s="4">
        <f>IFERROR(__xludf.DUMMYFUNCTION("""COMPUTED_VALUE"""),43871.0)</f>
        <v>43871</v>
      </c>
      <c r="Q2337" s="3" t="str">
        <f>IFERROR(__xludf.DUMMYFUNCTION("""COMPUTED_VALUE"""),"A")</f>
        <v>A</v>
      </c>
      <c r="R2337" s="3" t="str">
        <f>IFERROR(__xludf.DUMMYFUNCTION("""COMPUTED_VALUE"""),"Small Format")</f>
        <v>Small Format</v>
      </c>
      <c r="S2337" s="3" t="str">
        <f>IFERROR(__xludf.DUMMYFUNCTION("""COMPUTED_VALUE"""),"WAWEE")</f>
        <v>WAWEE</v>
      </c>
      <c r="T2337" s="3" t="str">
        <f>IFERROR(__xludf.DUMMYFUNCTION("""COMPUTED_VALUE"""),"WAWEE")</f>
        <v>WAWEE</v>
      </c>
      <c r="U2337" s="3" t="str">
        <f>IFERROR(__xludf.DUMMYFUNCTION("""COMPUTED_VALUE"""),"#N/A")</f>
        <v>#N/A</v>
      </c>
      <c r="V2337" s="3" t="str">
        <f>IFERROR(__xludf.DUMMYFUNCTION("""COMPUTED_VALUE"""),"N")</f>
        <v>N</v>
      </c>
      <c r="W2337" s="3">
        <f>IFERROR(__xludf.DUMMYFUNCTION("""COMPUTED_VALUE"""),182022.0)</f>
        <v>182022</v>
      </c>
      <c r="X2337" s="3" t="str">
        <f>IFERROR(__xludf.DUMMYFUNCTION("""COMPUTED_VALUE"""),"94 หมู่4 ถนนเชียงใหม่-ลำปาง ตำบลหนองป่าครั่ง อำเภอเมือง จังหวัดเชียงใหม่ 50000")</f>
        <v>94 หมู่4 ถนนเชียงใหม่-ลำปาง ตำบลหนองป่าครั่ง อำเภอเมือง จังหวัดเชียงใหม่ 50000</v>
      </c>
      <c r="Y2337" s="3"/>
      <c r="Z2337" s="3" t="str">
        <f>IFERROR(__xludf.DUMMYFUNCTION("""COMPUTED_VALUE"""),"หนองป่าครั่ง")</f>
        <v>หนองป่าครั่ง</v>
      </c>
      <c r="AA2337" s="3" t="str">
        <f>IFERROR(__xludf.DUMMYFUNCTION("""COMPUTED_VALUE"""),"เมือง")</f>
        <v>เมือง</v>
      </c>
      <c r="AB2337" s="3" t="str">
        <f>IFERROR(__xludf.DUMMYFUNCTION("""COMPUTED_VALUE"""),"เชียงใหม่")</f>
        <v>เชียงใหม่</v>
      </c>
      <c r="AC2337" s="3">
        <f>IFERROR(__xludf.DUMMYFUNCTION("""COMPUTED_VALUE"""),50000.0)</f>
        <v>50000</v>
      </c>
      <c r="AD2337" s="3">
        <f>IFERROR(__xludf.DUMMYFUNCTION("""COMPUTED_VALUE"""),0.0)</f>
        <v>0</v>
      </c>
      <c r="AE2337" s="3">
        <f>IFERROR(__xludf.DUMMYFUNCTION("""COMPUTED_VALUE"""),0.0)</f>
        <v>0</v>
      </c>
      <c r="AF2337" s="3" t="str">
        <f>IFERROR(__xludf.DUMMYFUNCTION("""COMPUTED_VALUE"""),"วาวี_บิ๊กซี เชียงใหม่ 2-63022")</f>
        <v>วาวี_บิ๊กซี เชียงใหม่ 2-63022</v>
      </c>
      <c r="AG2337" s="3" t="str">
        <f>IFERROR(__xludf.DUMMYFUNCTION("""COMPUTED_VALUE"""),"เหนือ")</f>
        <v>เหนือ</v>
      </c>
      <c r="AH2337" s="3" t="str">
        <f>IFERROR(__xludf.DUMMYFUNCTION("""COMPUTED_VALUE"""),"#N/A")</f>
        <v>#N/A</v>
      </c>
      <c r="AI2337" s="3" t="str">
        <f>IFERROR(__xludf.DUMMYFUNCTION("""COMPUTED_VALUE"""),"Out of warranty")</f>
        <v>Out of warranty</v>
      </c>
      <c r="AJ2337" s="3">
        <f>IFERROR(__xludf.DUMMYFUNCTION("""COMPUTED_VALUE"""),72.0)</f>
        <v>72</v>
      </c>
      <c r="AK2337" s="3"/>
      <c r="AL2337" s="3"/>
    </row>
    <row r="2338" ht="15.75" customHeight="1">
      <c r="A2338" s="1" t="str">
        <f>IFERROR(__xludf.DUMMYFUNCTION("""COMPUTED_VALUE"""),"63023")</f>
        <v>63023</v>
      </c>
      <c r="B2338" s="2">
        <f>IFERROR(__xludf.DUMMYFUNCTION("""COMPUTED_VALUE"""),63023.0)</f>
        <v>63023</v>
      </c>
      <c r="C2338" s="3" t="str">
        <f>IFERROR(__xludf.DUMMYFUNCTION("""COMPUTED_VALUE"""),"วาวี_บิ๊กซี หัวหมาก")</f>
        <v>วาวี_บิ๊กซี หัวหมาก</v>
      </c>
      <c r="D2338" s="3" t="str">
        <f>IFERROR(__xludf.DUMMYFUNCTION("""COMPUTED_VALUE"""),"BIGC HUAMARK WAWEE")</f>
        <v>BIGC HUAMARK WAWEE</v>
      </c>
      <c r="E2338" s="1" t="str">
        <f>IFERROR(__xludf.DUMMYFUNCTION("""COMPUTED_VALUE"""),"WAWEE")</f>
        <v>WAWEE</v>
      </c>
      <c r="F2338" s="1" t="str">
        <f>IFERROR(__xludf.DUMMYFUNCTION("""COMPUTED_VALUE"""),"2083032")</f>
        <v>2083032</v>
      </c>
      <c r="G2338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38" s="1" t="str">
        <f>IFERROR(__xludf.DUMMYFUNCTION("""COMPUTED_VALUE"""),"2136555")</f>
        <v>2136555</v>
      </c>
      <c r="I2338" s="1" t="str">
        <f>IFERROR(__xludf.DUMMYFUNCTION("""COMPUTED_VALUE"""),"น.ส.ทาลินี ปาละตึง")</f>
        <v>น.ส.ทาลินี ปาละตึง</v>
      </c>
      <c r="J2338" s="3">
        <f>IFERROR(__xludf.DUMMYFUNCTION("""COMPUTED_VALUE"""),2083032.0)</f>
        <v>2083032</v>
      </c>
      <c r="K2338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38" s="1" t="str">
        <f>IFERROR(__xludf.DUMMYFUNCTION("""COMPUTED_VALUE"""),"WAWEE")</f>
        <v>WAWEE</v>
      </c>
      <c r="M2338" s="1" t="str">
        <f>IFERROR(__xludf.DUMMYFUNCTION("""COMPUTED_VALUE"""),"065-505-7642")</f>
        <v>065-505-7642</v>
      </c>
      <c r="N2338" s="3">
        <f>IFERROR(__xludf.DUMMYFUNCTION("""COMPUTED_VALUE"""),62001.0)</f>
        <v>62001</v>
      </c>
      <c r="O2338" s="3" t="str">
        <f>IFERROR(__xludf.DUMMYFUNCTION("""COMPUTED_VALUE"""),"วาวี_บิ๊กซี ราชดำริชั้น 2")</f>
        <v>วาวี_บิ๊กซี ราชดำริชั้น 2</v>
      </c>
      <c r="P2338" s="4">
        <f>IFERROR(__xludf.DUMMYFUNCTION("""COMPUTED_VALUE"""),44217.0)</f>
        <v>44217</v>
      </c>
      <c r="Q2338" s="3" t="str">
        <f>IFERROR(__xludf.DUMMYFUNCTION("""COMPUTED_VALUE"""),"A")</f>
        <v>A</v>
      </c>
      <c r="R2338" s="3" t="str">
        <f>IFERROR(__xludf.DUMMYFUNCTION("""COMPUTED_VALUE"""),"Small Format")</f>
        <v>Small Format</v>
      </c>
      <c r="S2338" s="3" t="str">
        <f>IFERROR(__xludf.DUMMYFUNCTION("""COMPUTED_VALUE"""),"WAWEE")</f>
        <v>WAWEE</v>
      </c>
      <c r="T2338" s="3" t="str">
        <f>IFERROR(__xludf.DUMMYFUNCTION("""COMPUTED_VALUE"""),"WAWEE")</f>
        <v>WAWEE</v>
      </c>
      <c r="U2338" s="3" t="str">
        <f>IFERROR(__xludf.DUMMYFUNCTION("""COMPUTED_VALUE"""),"#N/A")</f>
        <v>#N/A</v>
      </c>
      <c r="V2338" s="3" t="str">
        <f>IFERROR(__xludf.DUMMYFUNCTION("""COMPUTED_VALUE"""),"N")</f>
        <v>N</v>
      </c>
      <c r="W2338" s="3">
        <f>IFERROR(__xludf.DUMMYFUNCTION("""COMPUTED_VALUE"""),182023.0)</f>
        <v>182023</v>
      </c>
      <c r="X2338" s="3" t="str">
        <f>IFERROR(__xludf.DUMMYFUNCTION("""COMPUTED_VALUE"""),"177 ถนนรามคำแหง แขวงหัวหมาก เขตบางกะปิ กรุงเทพมหานคร 10240")</f>
        <v>177 ถนนรามคำแหง แขวงหัวหมาก เขตบางกะปิ กรุงเทพมหานคร 10240</v>
      </c>
      <c r="Y2338" s="3" t="str">
        <f>IFERROR(__xludf.DUMMYFUNCTION("""COMPUTED_VALUE"""),"ถนนรามคำแหง")</f>
        <v>ถนนรามคำแหง</v>
      </c>
      <c r="Z2338" s="3" t="str">
        <f>IFERROR(__xludf.DUMMYFUNCTION("""COMPUTED_VALUE"""),"หัวหมาก")</f>
        <v>หัวหมาก</v>
      </c>
      <c r="AA2338" s="3" t="str">
        <f>IFERROR(__xludf.DUMMYFUNCTION("""COMPUTED_VALUE"""),"บางกะปิ")</f>
        <v>บางกะปิ</v>
      </c>
      <c r="AB2338" s="3" t="str">
        <f>IFERROR(__xludf.DUMMYFUNCTION("""COMPUTED_VALUE"""),"กรุงเทพมหานคร")</f>
        <v>กรุงเทพมหานคร</v>
      </c>
      <c r="AC2338" s="3">
        <f>IFERROR(__xludf.DUMMYFUNCTION("""COMPUTED_VALUE"""),10240.0)</f>
        <v>10240</v>
      </c>
      <c r="AD2338" s="3">
        <f>IFERROR(__xludf.DUMMYFUNCTION("""COMPUTED_VALUE"""),0.0)</f>
        <v>0</v>
      </c>
      <c r="AE2338" s="3">
        <f>IFERROR(__xludf.DUMMYFUNCTION("""COMPUTED_VALUE"""),0.0)</f>
        <v>0</v>
      </c>
      <c r="AF2338" s="3" t="str">
        <f>IFERROR(__xludf.DUMMYFUNCTION("""COMPUTED_VALUE"""),"วาวี_บิ๊กซี หัวหมาก-63023")</f>
        <v>วาวี_บิ๊กซี หัวหมาก-63023</v>
      </c>
      <c r="AG2338" s="3" t="str">
        <f>IFERROR(__xludf.DUMMYFUNCTION("""COMPUTED_VALUE"""),"กลาง")</f>
        <v>กลาง</v>
      </c>
      <c r="AH2338" s="3" t="str">
        <f>IFERROR(__xludf.DUMMYFUNCTION("""COMPUTED_VALUE"""),"#N/A")</f>
        <v>#N/A</v>
      </c>
      <c r="AI2338" s="3" t="str">
        <f>IFERROR(__xludf.DUMMYFUNCTION("""COMPUTED_VALUE"""),"Out of warranty")</f>
        <v>Out of warranty</v>
      </c>
      <c r="AJ2338" s="3">
        <f>IFERROR(__xludf.DUMMYFUNCTION("""COMPUTED_VALUE"""),60.0)</f>
        <v>60</v>
      </c>
      <c r="AK2338" s="3"/>
      <c r="AL2338" s="3"/>
    </row>
    <row r="2339" ht="15.75" customHeight="1">
      <c r="A2339" s="1" t="str">
        <f>IFERROR(__xludf.DUMMYFUNCTION("""COMPUTED_VALUE"""),"63024")</f>
        <v>63024</v>
      </c>
      <c r="B2339" s="2">
        <f>IFERROR(__xludf.DUMMYFUNCTION("""COMPUTED_VALUE"""),63024.0)</f>
        <v>63024</v>
      </c>
      <c r="C2339" s="3" t="str">
        <f>IFERROR(__xludf.DUMMYFUNCTION("""COMPUTED_VALUE"""),"วาวี_บิ๊กซี เชียงราย 1")</f>
        <v>วาวี_บิ๊กซี เชียงราย 1</v>
      </c>
      <c r="D2339" s="3" t="str">
        <f>IFERROR(__xludf.DUMMYFUNCTION("""COMPUTED_VALUE"""),"BIGC CHIANG RAI WAWEE")</f>
        <v>BIGC CHIANG RAI WAWEE</v>
      </c>
      <c r="E2339" s="1" t="str">
        <f>IFERROR(__xludf.DUMMYFUNCTION("""COMPUTED_VALUE"""),"WAWEE")</f>
        <v>WAWEE</v>
      </c>
      <c r="F2339" s="1" t="str">
        <f>IFERROR(__xludf.DUMMYFUNCTION("""COMPUTED_VALUE"""),"2083032")</f>
        <v>2083032</v>
      </c>
      <c r="G2339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39" s="1" t="str">
        <f>IFERROR(__xludf.DUMMYFUNCTION("""COMPUTED_VALUE"""),"2136555")</f>
        <v>2136555</v>
      </c>
      <c r="I2339" s="1" t="str">
        <f>IFERROR(__xludf.DUMMYFUNCTION("""COMPUTED_VALUE"""),"น.ส.ทาลินี ปาละตึง")</f>
        <v>น.ส.ทาลินี ปาละตึง</v>
      </c>
      <c r="J2339" s="3">
        <f>IFERROR(__xludf.DUMMYFUNCTION("""COMPUTED_VALUE"""),2083032.0)</f>
        <v>2083032</v>
      </c>
      <c r="K2339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39" s="1" t="str">
        <f>IFERROR(__xludf.DUMMYFUNCTION("""COMPUTED_VALUE"""),"WAWEE")</f>
        <v>WAWEE</v>
      </c>
      <c r="M2339" s="1" t="str">
        <f>IFERROR(__xludf.DUMMYFUNCTION("""COMPUTED_VALUE"""),"065-505-7642")</f>
        <v>065-505-7642</v>
      </c>
      <c r="N2339" s="3">
        <f>IFERROR(__xludf.DUMMYFUNCTION("""COMPUTED_VALUE"""),62004.0)</f>
        <v>62004</v>
      </c>
      <c r="O2339" s="3" t="str">
        <f>IFERROR(__xludf.DUMMYFUNCTION("""COMPUTED_VALUE"""),"วาวี_ท่ากระดาษริมเหมือง")</f>
        <v>วาวี_ท่ากระดาษริมเหมือง</v>
      </c>
      <c r="P2339" s="4">
        <f>IFERROR(__xludf.DUMMYFUNCTION("""COMPUTED_VALUE"""),43878.0)</f>
        <v>43878</v>
      </c>
      <c r="Q2339" s="3" t="str">
        <f>IFERROR(__xludf.DUMMYFUNCTION("""COMPUTED_VALUE"""),"A")</f>
        <v>A</v>
      </c>
      <c r="R2339" s="3" t="str">
        <f>IFERROR(__xludf.DUMMYFUNCTION("""COMPUTED_VALUE"""),"Small Format")</f>
        <v>Small Format</v>
      </c>
      <c r="S2339" s="3" t="str">
        <f>IFERROR(__xludf.DUMMYFUNCTION("""COMPUTED_VALUE"""),"WAWEE")</f>
        <v>WAWEE</v>
      </c>
      <c r="T2339" s="3" t="str">
        <f>IFERROR(__xludf.DUMMYFUNCTION("""COMPUTED_VALUE"""),"WAWEE")</f>
        <v>WAWEE</v>
      </c>
      <c r="U2339" s="3" t="str">
        <f>IFERROR(__xludf.DUMMYFUNCTION("""COMPUTED_VALUE"""),"#N/A")</f>
        <v>#N/A</v>
      </c>
      <c r="V2339" s="3" t="str">
        <f>IFERROR(__xludf.DUMMYFUNCTION("""COMPUTED_VALUE"""),"N")</f>
        <v>N</v>
      </c>
      <c r="W2339" s="3">
        <f>IFERROR(__xludf.DUMMYFUNCTION("""COMPUTED_VALUE"""),182024.0)</f>
        <v>182024</v>
      </c>
      <c r="X2339" s="3" t="str">
        <f>IFERROR(__xludf.DUMMYFUNCTION("""COMPUTED_VALUE"""),"184 หมู่25 ตำบลรอบเวียง อำเภอเมืองเชียงราย จังหวัดเชียงราย 57000")</f>
        <v>184 หมู่25 ตำบลรอบเวียง อำเภอเมืองเชียงราย จังหวัดเชียงราย 57000</v>
      </c>
      <c r="Y2339" s="3"/>
      <c r="Z2339" s="3" t="str">
        <f>IFERROR(__xludf.DUMMYFUNCTION("""COMPUTED_VALUE"""),"รอบเวียง")</f>
        <v>รอบเวียง</v>
      </c>
      <c r="AA2339" s="3" t="str">
        <f>IFERROR(__xludf.DUMMYFUNCTION("""COMPUTED_VALUE"""),"เมือง")</f>
        <v>เมือง</v>
      </c>
      <c r="AB2339" s="3" t="str">
        <f>IFERROR(__xludf.DUMMYFUNCTION("""COMPUTED_VALUE"""),"เชียงราย")</f>
        <v>เชียงราย</v>
      </c>
      <c r="AC2339" s="3">
        <f>IFERROR(__xludf.DUMMYFUNCTION("""COMPUTED_VALUE"""),57000.0)</f>
        <v>57000</v>
      </c>
      <c r="AD2339" s="3">
        <f>IFERROR(__xludf.DUMMYFUNCTION("""COMPUTED_VALUE"""),0.0)</f>
        <v>0</v>
      </c>
      <c r="AE2339" s="3">
        <f>IFERROR(__xludf.DUMMYFUNCTION("""COMPUTED_VALUE"""),0.0)</f>
        <v>0</v>
      </c>
      <c r="AF2339" s="3" t="str">
        <f>IFERROR(__xludf.DUMMYFUNCTION("""COMPUTED_VALUE"""),"วาวี_บิ๊กซี เชียงราย 1-63024")</f>
        <v>วาวี_บิ๊กซี เชียงราย 1-63024</v>
      </c>
      <c r="AG2339" s="3" t="str">
        <f>IFERROR(__xludf.DUMMYFUNCTION("""COMPUTED_VALUE"""),"เหนือ")</f>
        <v>เหนือ</v>
      </c>
      <c r="AH2339" s="3" t="str">
        <f>IFERROR(__xludf.DUMMYFUNCTION("""COMPUTED_VALUE"""),"#N/A")</f>
        <v>#N/A</v>
      </c>
      <c r="AI2339" s="3" t="str">
        <f>IFERROR(__xludf.DUMMYFUNCTION("""COMPUTED_VALUE"""),"Out of warranty")</f>
        <v>Out of warranty</v>
      </c>
      <c r="AJ2339" s="3">
        <f>IFERROR(__xludf.DUMMYFUNCTION("""COMPUTED_VALUE"""),72.0)</f>
        <v>72</v>
      </c>
      <c r="AK2339" s="3"/>
      <c r="AL2339" s="3"/>
    </row>
    <row r="2340" ht="15.75" customHeight="1">
      <c r="A2340" s="1" t="str">
        <f>IFERROR(__xludf.DUMMYFUNCTION("""COMPUTED_VALUE"""),"63025")</f>
        <v>63025</v>
      </c>
      <c r="B2340" s="2">
        <f>IFERROR(__xludf.DUMMYFUNCTION("""COMPUTED_VALUE"""),63025.0)</f>
        <v>63025</v>
      </c>
      <c r="C2340" s="3" t="str">
        <f>IFERROR(__xludf.DUMMYFUNCTION("""COMPUTED_VALUE"""),"วาวี_บิ๊กซี เชียงราย 2")</f>
        <v>วาวี_บิ๊กซี เชียงราย 2</v>
      </c>
      <c r="D2340" s="3" t="str">
        <f>IFERROR(__xludf.DUMMYFUNCTION("""COMPUTED_VALUE"""),"BIGC CHIANGRAI 2 WAWEE")</f>
        <v>BIGC CHIANGRAI 2 WAWEE</v>
      </c>
      <c r="E2340" s="1" t="str">
        <f>IFERROR(__xludf.DUMMYFUNCTION("""COMPUTED_VALUE"""),"WAWEE")</f>
        <v>WAWEE</v>
      </c>
      <c r="F2340" s="1" t="str">
        <f>IFERROR(__xludf.DUMMYFUNCTION("""COMPUTED_VALUE"""),"2083032")</f>
        <v>2083032</v>
      </c>
      <c r="G2340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40" s="1" t="str">
        <f>IFERROR(__xludf.DUMMYFUNCTION("""COMPUTED_VALUE"""),"2136555")</f>
        <v>2136555</v>
      </c>
      <c r="I2340" s="1" t="str">
        <f>IFERROR(__xludf.DUMMYFUNCTION("""COMPUTED_VALUE"""),"น.ส.ทาลินี ปาละตึง")</f>
        <v>น.ส.ทาลินี ปาละตึง</v>
      </c>
      <c r="J2340" s="3">
        <f>IFERROR(__xludf.DUMMYFUNCTION("""COMPUTED_VALUE"""),2083032.0)</f>
        <v>2083032</v>
      </c>
      <c r="K2340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40" s="1" t="str">
        <f>IFERROR(__xludf.DUMMYFUNCTION("""COMPUTED_VALUE"""),"WAWEE")</f>
        <v>WAWEE</v>
      </c>
      <c r="M2340" s="1" t="str">
        <f>IFERROR(__xludf.DUMMYFUNCTION("""COMPUTED_VALUE"""),"065-505-7642")</f>
        <v>065-505-7642</v>
      </c>
      <c r="N2340" s="3">
        <f>IFERROR(__xludf.DUMMYFUNCTION("""COMPUTED_VALUE"""),62004.0)</f>
        <v>62004</v>
      </c>
      <c r="O2340" s="3" t="str">
        <f>IFERROR(__xludf.DUMMYFUNCTION("""COMPUTED_VALUE"""),"วาวี_ท่ากระดาษริมเหมือง")</f>
        <v>วาวี_ท่ากระดาษริมเหมือง</v>
      </c>
      <c r="P2340" s="4">
        <f>IFERROR(__xludf.DUMMYFUNCTION("""COMPUTED_VALUE"""),43878.0)</f>
        <v>43878</v>
      </c>
      <c r="Q2340" s="3" t="str">
        <f>IFERROR(__xludf.DUMMYFUNCTION("""COMPUTED_VALUE"""),"A")</f>
        <v>A</v>
      </c>
      <c r="R2340" s="3" t="str">
        <f>IFERROR(__xludf.DUMMYFUNCTION("""COMPUTED_VALUE"""),"Small Format")</f>
        <v>Small Format</v>
      </c>
      <c r="S2340" s="3" t="str">
        <f>IFERROR(__xludf.DUMMYFUNCTION("""COMPUTED_VALUE"""),"WAWEE")</f>
        <v>WAWEE</v>
      </c>
      <c r="T2340" s="3" t="str">
        <f>IFERROR(__xludf.DUMMYFUNCTION("""COMPUTED_VALUE"""),"WAWEE")</f>
        <v>WAWEE</v>
      </c>
      <c r="U2340" s="3" t="str">
        <f>IFERROR(__xludf.DUMMYFUNCTION("""COMPUTED_VALUE"""),"#N/A")</f>
        <v>#N/A</v>
      </c>
      <c r="V2340" s="3" t="str">
        <f>IFERROR(__xludf.DUMMYFUNCTION("""COMPUTED_VALUE"""),"N")</f>
        <v>N</v>
      </c>
      <c r="W2340" s="3">
        <f>IFERROR(__xludf.DUMMYFUNCTION("""COMPUTED_VALUE"""),182025.0)</f>
        <v>182025</v>
      </c>
      <c r="X2340" s="3" t="str">
        <f>IFERROR(__xludf.DUMMYFUNCTION("""COMPUTED_VALUE"""),"58 หมู่17 ตำบลบ้านดู่ อำเภอเมืองเชียงราย จังหวัดเชียงราย 57100")</f>
        <v>58 หมู่17 ตำบลบ้านดู่ อำเภอเมืองเชียงราย จังหวัดเชียงราย 57100</v>
      </c>
      <c r="Y2340" s="3"/>
      <c r="Z2340" s="3" t="str">
        <f>IFERROR(__xludf.DUMMYFUNCTION("""COMPUTED_VALUE"""),"บ้านดู่")</f>
        <v>บ้านดู่</v>
      </c>
      <c r="AA2340" s="3" t="str">
        <f>IFERROR(__xludf.DUMMYFUNCTION("""COMPUTED_VALUE"""),"เมือง")</f>
        <v>เมือง</v>
      </c>
      <c r="AB2340" s="3" t="str">
        <f>IFERROR(__xludf.DUMMYFUNCTION("""COMPUTED_VALUE"""),"เชียงราย")</f>
        <v>เชียงราย</v>
      </c>
      <c r="AC2340" s="3">
        <f>IFERROR(__xludf.DUMMYFUNCTION("""COMPUTED_VALUE"""),57100.0)</f>
        <v>57100</v>
      </c>
      <c r="AD2340" s="3">
        <f>IFERROR(__xludf.DUMMYFUNCTION("""COMPUTED_VALUE"""),0.0)</f>
        <v>0</v>
      </c>
      <c r="AE2340" s="3">
        <f>IFERROR(__xludf.DUMMYFUNCTION("""COMPUTED_VALUE"""),0.0)</f>
        <v>0</v>
      </c>
      <c r="AF2340" s="3" t="str">
        <f>IFERROR(__xludf.DUMMYFUNCTION("""COMPUTED_VALUE"""),"วาวี_บิ๊กซี เชียงราย 2-63025")</f>
        <v>วาวี_บิ๊กซี เชียงราย 2-63025</v>
      </c>
      <c r="AG2340" s="3" t="str">
        <f>IFERROR(__xludf.DUMMYFUNCTION("""COMPUTED_VALUE"""),"เหนือ")</f>
        <v>เหนือ</v>
      </c>
      <c r="AH2340" s="3" t="str">
        <f>IFERROR(__xludf.DUMMYFUNCTION("""COMPUTED_VALUE"""),"#N/A")</f>
        <v>#N/A</v>
      </c>
      <c r="AI2340" s="3" t="str">
        <f>IFERROR(__xludf.DUMMYFUNCTION("""COMPUTED_VALUE"""),"Out of warranty")</f>
        <v>Out of warranty</v>
      </c>
      <c r="AJ2340" s="3">
        <f>IFERROR(__xludf.DUMMYFUNCTION("""COMPUTED_VALUE"""),72.0)</f>
        <v>72</v>
      </c>
      <c r="AK2340" s="3"/>
      <c r="AL2340" s="3"/>
    </row>
    <row r="2341" ht="15.75" customHeight="1">
      <c r="A2341" s="1" t="str">
        <f>IFERROR(__xludf.DUMMYFUNCTION("""COMPUTED_VALUE"""),"63026")</f>
        <v>63026</v>
      </c>
      <c r="B2341" s="2">
        <f>IFERROR(__xludf.DUMMYFUNCTION("""COMPUTED_VALUE"""),63026.0)</f>
        <v>63026</v>
      </c>
      <c r="C2341" s="3" t="str">
        <f>IFERROR(__xludf.DUMMYFUNCTION("""COMPUTED_VALUE"""),"วาวี_บิ๊กซี บางใหญ่")</f>
        <v>วาวี_บิ๊กซี บางใหญ่</v>
      </c>
      <c r="D2341" s="3" t="str">
        <f>IFERROR(__xludf.DUMMYFUNCTION("""COMPUTED_VALUE"""),"BIGC BANGYAI WAWEE")</f>
        <v>BIGC BANGYAI WAWEE</v>
      </c>
      <c r="E2341" s="1" t="str">
        <f>IFERROR(__xludf.DUMMYFUNCTION("""COMPUTED_VALUE"""),"WAWEE")</f>
        <v>WAWEE</v>
      </c>
      <c r="F2341" s="1" t="str">
        <f>IFERROR(__xludf.DUMMYFUNCTION("""COMPUTED_VALUE"""),"2083032")</f>
        <v>2083032</v>
      </c>
      <c r="G2341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41" s="1" t="str">
        <f>IFERROR(__xludf.DUMMYFUNCTION("""COMPUTED_VALUE"""),"2136555")</f>
        <v>2136555</v>
      </c>
      <c r="I2341" s="1" t="str">
        <f>IFERROR(__xludf.DUMMYFUNCTION("""COMPUTED_VALUE"""),"น.ส.ทาลินี ปาละตึง")</f>
        <v>น.ส.ทาลินี ปาละตึง</v>
      </c>
      <c r="J2341" s="3">
        <f>IFERROR(__xludf.DUMMYFUNCTION("""COMPUTED_VALUE"""),2083032.0)</f>
        <v>2083032</v>
      </c>
      <c r="K2341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41" s="1" t="str">
        <f>IFERROR(__xludf.DUMMYFUNCTION("""COMPUTED_VALUE"""),"WAWEE")</f>
        <v>WAWEE</v>
      </c>
      <c r="M2341" s="1" t="str">
        <f>IFERROR(__xludf.DUMMYFUNCTION("""COMPUTED_VALUE"""),"065-505-7642")</f>
        <v>065-505-7642</v>
      </c>
      <c r="N2341" s="3">
        <f>IFERROR(__xludf.DUMMYFUNCTION("""COMPUTED_VALUE"""),62001.0)</f>
        <v>62001</v>
      </c>
      <c r="O2341" s="3" t="str">
        <f>IFERROR(__xludf.DUMMYFUNCTION("""COMPUTED_VALUE"""),"วาวี_บิ๊กซี ราชดำริชั้น 2")</f>
        <v>วาวี_บิ๊กซี ราชดำริชั้น 2</v>
      </c>
      <c r="P2341" s="4">
        <f>IFERROR(__xludf.DUMMYFUNCTION("""COMPUTED_VALUE"""),43892.0)</f>
        <v>43892</v>
      </c>
      <c r="Q2341" s="3" t="str">
        <f>IFERROR(__xludf.DUMMYFUNCTION("""COMPUTED_VALUE"""),"A")</f>
        <v>A</v>
      </c>
      <c r="R2341" s="3" t="str">
        <f>IFERROR(__xludf.DUMMYFUNCTION("""COMPUTED_VALUE"""),"Small Format")</f>
        <v>Small Format</v>
      </c>
      <c r="S2341" s="3" t="str">
        <f>IFERROR(__xludf.DUMMYFUNCTION("""COMPUTED_VALUE"""),"WAWEE")</f>
        <v>WAWEE</v>
      </c>
      <c r="T2341" s="3" t="str">
        <f>IFERROR(__xludf.DUMMYFUNCTION("""COMPUTED_VALUE"""),"WAWEE")</f>
        <v>WAWEE</v>
      </c>
      <c r="U2341" s="3" t="str">
        <f>IFERROR(__xludf.DUMMYFUNCTION("""COMPUTED_VALUE"""),"#N/A")</f>
        <v>#N/A</v>
      </c>
      <c r="V2341" s="3" t="str">
        <f>IFERROR(__xludf.DUMMYFUNCTION("""COMPUTED_VALUE"""),"N")</f>
        <v>N</v>
      </c>
      <c r="W2341" s="3">
        <f>IFERROR(__xludf.DUMMYFUNCTION("""COMPUTED_VALUE"""),182026.0)</f>
        <v>182026</v>
      </c>
      <c r="X2341" s="3" t="str">
        <f>IFERROR(__xludf.DUMMYFUNCTION("""COMPUTED_VALUE"""),"9/9 หมู่11 ถนนตลิ่งชัน-สุพรรณบุรี ตำบลบางรักพัฒนา อำเภอบางบัวทอง จังหวัดนนทบุรี 11110")</f>
        <v>9/9 หมู่11 ถนนตลิ่งชัน-สุพรรณบุรี ตำบลบางรักพัฒนา อำเภอบางบัวทอง จังหวัดนนทบุรี 11110</v>
      </c>
      <c r="Y2341" s="3"/>
      <c r="Z2341" s="3" t="str">
        <f>IFERROR(__xludf.DUMMYFUNCTION("""COMPUTED_VALUE"""),"บางรักพัฒนา")</f>
        <v>บางรักพัฒนา</v>
      </c>
      <c r="AA2341" s="3" t="str">
        <f>IFERROR(__xludf.DUMMYFUNCTION("""COMPUTED_VALUE"""),"บางบัวทอง")</f>
        <v>บางบัวทอง</v>
      </c>
      <c r="AB2341" s="3" t="str">
        <f>IFERROR(__xludf.DUMMYFUNCTION("""COMPUTED_VALUE"""),"นนทบุรี")</f>
        <v>นนทบุรี</v>
      </c>
      <c r="AC2341" s="3">
        <f>IFERROR(__xludf.DUMMYFUNCTION("""COMPUTED_VALUE"""),11110.0)</f>
        <v>11110</v>
      </c>
      <c r="AD2341" s="3">
        <f>IFERROR(__xludf.DUMMYFUNCTION("""COMPUTED_VALUE"""),0.0)</f>
        <v>0</v>
      </c>
      <c r="AE2341" s="3">
        <f>IFERROR(__xludf.DUMMYFUNCTION("""COMPUTED_VALUE"""),0.0)</f>
        <v>0</v>
      </c>
      <c r="AF2341" s="3" t="str">
        <f>IFERROR(__xludf.DUMMYFUNCTION("""COMPUTED_VALUE"""),"วาวี_บิ๊กซี บางใหญ่-63026")</f>
        <v>วาวี_บิ๊กซี บางใหญ่-63026</v>
      </c>
      <c r="AG2341" s="3" t="str">
        <f>IFERROR(__xludf.DUMMYFUNCTION("""COMPUTED_VALUE"""),"กลาง")</f>
        <v>กลาง</v>
      </c>
      <c r="AH2341" s="3" t="str">
        <f>IFERROR(__xludf.DUMMYFUNCTION("""COMPUTED_VALUE"""),"#N/A")</f>
        <v>#N/A</v>
      </c>
      <c r="AI2341" s="3" t="str">
        <f>IFERROR(__xludf.DUMMYFUNCTION("""COMPUTED_VALUE"""),"Out of warranty")</f>
        <v>Out of warranty</v>
      </c>
      <c r="AJ2341" s="3">
        <f>IFERROR(__xludf.DUMMYFUNCTION("""COMPUTED_VALUE"""),71.0)</f>
        <v>71</v>
      </c>
      <c r="AK2341" s="3"/>
      <c r="AL2341" s="3"/>
    </row>
    <row r="2342" ht="15.75" customHeight="1">
      <c r="A2342" s="1" t="str">
        <f>IFERROR(__xludf.DUMMYFUNCTION("""COMPUTED_VALUE"""),"63027")</f>
        <v>63027</v>
      </c>
      <c r="B2342" s="2">
        <f>IFERROR(__xludf.DUMMYFUNCTION("""COMPUTED_VALUE"""),63027.0)</f>
        <v>63027</v>
      </c>
      <c r="C2342" s="3" t="str">
        <f>IFERROR(__xludf.DUMMYFUNCTION("""COMPUTED_VALUE"""),"วาวี_บิ๊กซี ลำปาง")</f>
        <v>วาวี_บิ๊กซี ลำปาง</v>
      </c>
      <c r="D2342" s="3" t="str">
        <f>IFERROR(__xludf.DUMMYFUNCTION("""COMPUTED_VALUE"""),"BIGC LAMPANG WAWEE")</f>
        <v>BIGC LAMPANG WAWEE</v>
      </c>
      <c r="E2342" s="1" t="str">
        <f>IFERROR(__xludf.DUMMYFUNCTION("""COMPUTED_VALUE"""),"WAWEE")</f>
        <v>WAWEE</v>
      </c>
      <c r="F2342" s="1" t="str">
        <f>IFERROR(__xludf.DUMMYFUNCTION("""COMPUTED_VALUE"""),"2083032")</f>
        <v>2083032</v>
      </c>
      <c r="G2342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42" s="1" t="str">
        <f>IFERROR(__xludf.DUMMYFUNCTION("""COMPUTED_VALUE"""),"2136555")</f>
        <v>2136555</v>
      </c>
      <c r="I2342" s="1" t="str">
        <f>IFERROR(__xludf.DUMMYFUNCTION("""COMPUTED_VALUE"""),"น.ส.ทาลินี ปาละตึง")</f>
        <v>น.ส.ทาลินี ปาละตึง</v>
      </c>
      <c r="J2342" s="3">
        <f>IFERROR(__xludf.DUMMYFUNCTION("""COMPUTED_VALUE"""),2083032.0)</f>
        <v>2083032</v>
      </c>
      <c r="K2342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42" s="1" t="str">
        <f>IFERROR(__xludf.DUMMYFUNCTION("""COMPUTED_VALUE"""),"WAWEE")</f>
        <v>WAWEE</v>
      </c>
      <c r="M2342" s="1" t="str">
        <f>IFERROR(__xludf.DUMMYFUNCTION("""COMPUTED_VALUE"""),"065-505-7642")</f>
        <v>065-505-7642</v>
      </c>
      <c r="N2342" s="3">
        <f>IFERROR(__xludf.DUMMYFUNCTION("""COMPUTED_VALUE"""),62004.0)</f>
        <v>62004</v>
      </c>
      <c r="O2342" s="3" t="str">
        <f>IFERROR(__xludf.DUMMYFUNCTION("""COMPUTED_VALUE"""),"วาวี_ท่ากระดาษริมเหมือง")</f>
        <v>วาวี_ท่ากระดาษริมเหมือง</v>
      </c>
      <c r="P2342" s="4">
        <f>IFERROR(__xludf.DUMMYFUNCTION("""COMPUTED_VALUE"""),43906.0)</f>
        <v>43906</v>
      </c>
      <c r="Q2342" s="3" t="str">
        <f>IFERROR(__xludf.DUMMYFUNCTION("""COMPUTED_VALUE"""),"A")</f>
        <v>A</v>
      </c>
      <c r="R2342" s="3" t="str">
        <f>IFERROR(__xludf.DUMMYFUNCTION("""COMPUTED_VALUE"""),"Small Format")</f>
        <v>Small Format</v>
      </c>
      <c r="S2342" s="3" t="str">
        <f>IFERROR(__xludf.DUMMYFUNCTION("""COMPUTED_VALUE"""),"WAWEE")</f>
        <v>WAWEE</v>
      </c>
      <c r="T2342" s="3" t="str">
        <f>IFERROR(__xludf.DUMMYFUNCTION("""COMPUTED_VALUE"""),"WAWEE")</f>
        <v>WAWEE</v>
      </c>
      <c r="U2342" s="3" t="str">
        <f>IFERROR(__xludf.DUMMYFUNCTION("""COMPUTED_VALUE"""),"#N/A")</f>
        <v>#N/A</v>
      </c>
      <c r="V2342" s="3" t="str">
        <f>IFERROR(__xludf.DUMMYFUNCTION("""COMPUTED_VALUE"""),"N")</f>
        <v>N</v>
      </c>
      <c r="W2342" s="3">
        <f>IFERROR(__xludf.DUMMYFUNCTION("""COMPUTED_VALUE"""),182027.0)</f>
        <v>182027</v>
      </c>
      <c r="X2342" s="3" t="str">
        <f>IFERROR(__xludf.DUMMYFUNCTION("""COMPUTED_VALUE"""),"65 ถนนไฮเวย์ลำปาง-งาว ตำบลสบตุ๋ย อำเภอเมืองลำปาง จังหวัดลำปาง 52000")</f>
        <v>65 ถนนไฮเวย์ลำปาง-งาว ตำบลสบตุ๋ย อำเภอเมืองลำปาง จังหวัดลำปาง 52000</v>
      </c>
      <c r="Y2342" s="3" t="str">
        <f>IFERROR(__xludf.DUMMYFUNCTION("""COMPUTED_VALUE"""),"ถนนไฮเวย์ลำปาง-งาว")</f>
        <v>ถนนไฮเวย์ลำปาง-งาว</v>
      </c>
      <c r="Z2342" s="3" t="str">
        <f>IFERROR(__xludf.DUMMYFUNCTION("""COMPUTED_VALUE"""),"สบตุ๋ย")</f>
        <v>สบตุ๋ย</v>
      </c>
      <c r="AA2342" s="3" t="str">
        <f>IFERROR(__xludf.DUMMYFUNCTION("""COMPUTED_VALUE"""),"เมือง")</f>
        <v>เมือง</v>
      </c>
      <c r="AB2342" s="3" t="str">
        <f>IFERROR(__xludf.DUMMYFUNCTION("""COMPUTED_VALUE"""),"ลำปาง")</f>
        <v>ลำปาง</v>
      </c>
      <c r="AC2342" s="3">
        <f>IFERROR(__xludf.DUMMYFUNCTION("""COMPUTED_VALUE"""),52000.0)</f>
        <v>52000</v>
      </c>
      <c r="AD2342" s="3">
        <f>IFERROR(__xludf.DUMMYFUNCTION("""COMPUTED_VALUE"""),0.0)</f>
        <v>0</v>
      </c>
      <c r="AE2342" s="3">
        <f>IFERROR(__xludf.DUMMYFUNCTION("""COMPUTED_VALUE"""),0.0)</f>
        <v>0</v>
      </c>
      <c r="AF2342" s="3" t="str">
        <f>IFERROR(__xludf.DUMMYFUNCTION("""COMPUTED_VALUE"""),"วาวี_บิ๊กซี ลำปาง-63027")</f>
        <v>วาวี_บิ๊กซี ลำปาง-63027</v>
      </c>
      <c r="AG2342" s="3" t="str">
        <f>IFERROR(__xludf.DUMMYFUNCTION("""COMPUTED_VALUE"""),"เหนือ")</f>
        <v>เหนือ</v>
      </c>
      <c r="AH2342" s="3" t="str">
        <f>IFERROR(__xludf.DUMMYFUNCTION("""COMPUTED_VALUE"""),"#N/A")</f>
        <v>#N/A</v>
      </c>
      <c r="AI2342" s="3" t="str">
        <f>IFERROR(__xludf.DUMMYFUNCTION("""COMPUTED_VALUE"""),"Out of warranty")</f>
        <v>Out of warranty</v>
      </c>
      <c r="AJ2342" s="3">
        <f>IFERROR(__xludf.DUMMYFUNCTION("""COMPUTED_VALUE"""),71.0)</f>
        <v>71</v>
      </c>
      <c r="AK2342" s="3"/>
      <c r="AL2342" s="3"/>
    </row>
    <row r="2343" ht="15.75" customHeight="1">
      <c r="A2343" s="1" t="str">
        <f>IFERROR(__xludf.DUMMYFUNCTION("""COMPUTED_VALUE"""),"63028")</f>
        <v>63028</v>
      </c>
      <c r="B2343" s="2">
        <f>IFERROR(__xludf.DUMMYFUNCTION("""COMPUTED_VALUE"""),63028.0)</f>
        <v>63028</v>
      </c>
      <c r="C2343" s="3" t="str">
        <f>IFERROR(__xludf.DUMMYFUNCTION("""COMPUTED_VALUE"""),"วาวี_บิ๊กซี ลาดพร้าว 1")</f>
        <v>วาวี_บิ๊กซี ลาดพร้าว 1</v>
      </c>
      <c r="D2343" s="3" t="str">
        <f>IFERROR(__xludf.DUMMYFUNCTION("""COMPUTED_VALUE"""),"BIGC LADPRAO 1 WAWEE")</f>
        <v>BIGC LADPRAO 1 WAWEE</v>
      </c>
      <c r="E2343" s="1" t="str">
        <f>IFERROR(__xludf.DUMMYFUNCTION("""COMPUTED_VALUE"""),"WAWEE")</f>
        <v>WAWEE</v>
      </c>
      <c r="F2343" s="1" t="str">
        <f>IFERROR(__xludf.DUMMYFUNCTION("""COMPUTED_VALUE"""),"296850")</f>
        <v>296850</v>
      </c>
      <c r="G2343" s="1" t="str">
        <f>IFERROR(__xludf.DUMMYFUNCTION("""COMPUTED_VALUE"""),"นายชุติเทพ โศภิษฐ์ปริวัฒน์")</f>
        <v>นายชุติเทพ โศภิษฐ์ปริวัฒน์</v>
      </c>
      <c r="H2343" s="1" t="str">
        <f>IFERROR(__xludf.DUMMYFUNCTION("""COMPUTED_VALUE"""),"296300")</f>
        <v>296300</v>
      </c>
      <c r="I2343" s="1" t="str">
        <f>IFERROR(__xludf.DUMMYFUNCTION("""COMPUTED_VALUE"""),"น.ส.วันเพ็ญ วันแสน")</f>
        <v>น.ส.วันเพ็ญ วันแสน</v>
      </c>
      <c r="J2343" s="3">
        <f>IFERROR(__xludf.DUMMYFUNCTION("""COMPUTED_VALUE"""),296319.0)</f>
        <v>296319</v>
      </c>
      <c r="K2343" s="3" t="str">
        <f>IFERROR(__xludf.DUMMYFUNCTION("""COMPUTED_VALUE"""),"นายรัฐภูมิ กิตติอิชฌติ")</f>
        <v>นายรัฐภูมิ กิตติอิชฌติ</v>
      </c>
      <c r="L2343" s="1" t="str">
        <f>IFERROR(__xludf.DUMMYFUNCTION("""COMPUTED_VALUE"""),"0")</f>
        <v>0</v>
      </c>
      <c r="M2343" s="1" t="str">
        <f>IFERROR(__xludf.DUMMYFUNCTION("""COMPUTED_VALUE"""),"0")</f>
        <v>0</v>
      </c>
      <c r="N2343" s="3">
        <f>IFERROR(__xludf.DUMMYFUNCTION("""COMPUTED_VALUE"""),62001.0)</f>
        <v>62001</v>
      </c>
      <c r="O2343" s="3" t="str">
        <f>IFERROR(__xludf.DUMMYFUNCTION("""COMPUTED_VALUE"""),"วาวี_บิ๊กซี ราชดำริชั้น 2")</f>
        <v>วาวี_บิ๊กซี ราชดำริชั้น 2</v>
      </c>
      <c r="P2343" s="4">
        <f>IFERROR(__xludf.DUMMYFUNCTION("""COMPUTED_VALUE"""),43913.0)</f>
        <v>43913</v>
      </c>
      <c r="Q2343" s="3" t="str">
        <f>IFERROR(__xludf.DUMMYFUNCTION("""COMPUTED_VALUE"""),"I")</f>
        <v>I</v>
      </c>
      <c r="R2343" s="3" t="str">
        <f>IFERROR(__xludf.DUMMYFUNCTION("""COMPUTED_VALUE"""),"Small Format")</f>
        <v>Small Format</v>
      </c>
      <c r="S2343" s="3" t="str">
        <f>IFERROR(__xludf.DUMMYFUNCTION("""COMPUTED_VALUE"""),"WAWEE")</f>
        <v>WAWEE</v>
      </c>
      <c r="T2343" s="3" t="str">
        <f>IFERROR(__xludf.DUMMYFUNCTION("""COMPUTED_VALUE"""),"#N/A")</f>
        <v>#N/A</v>
      </c>
      <c r="U2343" s="3" t="str">
        <f>IFERROR(__xludf.DUMMYFUNCTION("""COMPUTED_VALUE"""),"#N/A")</f>
        <v>#N/A</v>
      </c>
      <c r="V2343" s="3" t="str">
        <f>IFERROR(__xludf.DUMMYFUNCTION("""COMPUTED_VALUE"""),"N")</f>
        <v>N</v>
      </c>
      <c r="W2343" s="3">
        <f>IFERROR(__xludf.DUMMYFUNCTION("""COMPUTED_VALUE"""),182028.0)</f>
        <v>182028</v>
      </c>
      <c r="X2343" s="3" t="str">
        <f>IFERROR(__xludf.DUMMYFUNCTION("""COMPUTED_VALUE"""),"2539 ถนนลาดพร้าว แขวงวังทองหลาง เขตวังทองหลาง กรุงเทพมหานคร 10310")</f>
        <v>2539 ถนนลาดพร้าว แขวงวังทองหลาง เขตวังทองหลาง กรุงเทพมหานคร 10310</v>
      </c>
      <c r="Y2343" s="3" t="str">
        <f>IFERROR(__xludf.DUMMYFUNCTION("""COMPUTED_VALUE"""),"ถนนลาดพร้าว")</f>
        <v>ถนนลาดพร้าว</v>
      </c>
      <c r="Z2343" s="3" t="str">
        <f>IFERROR(__xludf.DUMMYFUNCTION("""COMPUTED_VALUE"""),"วังทองหลาง")</f>
        <v>วังทองหลาง</v>
      </c>
      <c r="AA2343" s="3" t="str">
        <f>IFERROR(__xludf.DUMMYFUNCTION("""COMPUTED_VALUE"""),"วังทองหลาง")</f>
        <v>วังทองหลาง</v>
      </c>
      <c r="AB2343" s="3" t="str">
        <f>IFERROR(__xludf.DUMMYFUNCTION("""COMPUTED_VALUE"""),"กรุงเทพมหานคร")</f>
        <v>กรุงเทพมหานคร</v>
      </c>
      <c r="AC2343" s="3">
        <f>IFERROR(__xludf.DUMMYFUNCTION("""COMPUTED_VALUE"""),10310.0)</f>
        <v>10310</v>
      </c>
      <c r="AD2343" s="3">
        <f>IFERROR(__xludf.DUMMYFUNCTION("""COMPUTED_VALUE"""),0.0)</f>
        <v>0</v>
      </c>
      <c r="AE2343" s="3">
        <f>IFERROR(__xludf.DUMMYFUNCTION("""COMPUTED_VALUE"""),0.0)</f>
        <v>0</v>
      </c>
      <c r="AF2343" s="3" t="str">
        <f>IFERROR(__xludf.DUMMYFUNCTION("""COMPUTED_VALUE"""),"วาวี_บิ๊กซี ลาดพร้าว 1-63028")</f>
        <v>วาวี_บิ๊กซี ลาดพร้าว 1-63028</v>
      </c>
      <c r="AG2343" s="3" t="str">
        <f>IFERROR(__xludf.DUMMYFUNCTION("""COMPUTED_VALUE"""),"กลาง")</f>
        <v>กลาง</v>
      </c>
      <c r="AH2343" s="3" t="str">
        <f>IFERROR(__xludf.DUMMYFUNCTION("""COMPUTED_VALUE"""),"#N/A")</f>
        <v>#N/A</v>
      </c>
      <c r="AI2343" s="3" t="str">
        <f>IFERROR(__xludf.DUMMYFUNCTION("""COMPUTED_VALUE"""),"Out of warranty")</f>
        <v>Out of warranty</v>
      </c>
      <c r="AJ2343" s="3">
        <f>IFERROR(__xludf.DUMMYFUNCTION("""COMPUTED_VALUE"""),70.0)</f>
        <v>70</v>
      </c>
      <c r="AK2343" s="3"/>
      <c r="AL2343" s="3"/>
    </row>
    <row r="2344" ht="15.75" customHeight="1">
      <c r="A2344" s="1" t="str">
        <f>IFERROR(__xludf.DUMMYFUNCTION("""COMPUTED_VALUE"""),"63029")</f>
        <v>63029</v>
      </c>
      <c r="B2344" s="2">
        <f>IFERROR(__xludf.DUMMYFUNCTION("""COMPUTED_VALUE"""),63029.0)</f>
        <v>63029</v>
      </c>
      <c r="C2344" s="3" t="str">
        <f>IFERROR(__xludf.DUMMYFUNCTION("""COMPUTED_VALUE"""),"วาวี_บิ๊กซี กัลปพฤกษ์")</f>
        <v>วาวี_บิ๊กซี กัลปพฤกษ์</v>
      </c>
      <c r="D2344" s="3" t="str">
        <f>IFERROR(__xludf.DUMMYFUNCTION("""COMPUTED_VALUE"""),"BIGC KANLAPAPHRUEK WAWEE")</f>
        <v>BIGC KANLAPAPHRUEK WAWEE</v>
      </c>
      <c r="E2344" s="1" t="str">
        <f>IFERROR(__xludf.DUMMYFUNCTION("""COMPUTED_VALUE"""),"WAWEE")</f>
        <v>WAWEE</v>
      </c>
      <c r="F2344" s="1" t="str">
        <f>IFERROR(__xludf.DUMMYFUNCTION("""COMPUTED_VALUE"""),"2083032")</f>
        <v>2083032</v>
      </c>
      <c r="G2344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44" s="1" t="str">
        <f>IFERROR(__xludf.DUMMYFUNCTION("""COMPUTED_VALUE"""),"2136555")</f>
        <v>2136555</v>
      </c>
      <c r="I2344" s="1" t="str">
        <f>IFERROR(__xludf.DUMMYFUNCTION("""COMPUTED_VALUE"""),"น.ส.ทาลินี ปาละตึง")</f>
        <v>น.ส.ทาลินี ปาละตึง</v>
      </c>
      <c r="J2344" s="3">
        <f>IFERROR(__xludf.DUMMYFUNCTION("""COMPUTED_VALUE"""),2083032.0)</f>
        <v>2083032</v>
      </c>
      <c r="K2344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44" s="1" t="str">
        <f>IFERROR(__xludf.DUMMYFUNCTION("""COMPUTED_VALUE"""),"WAWEE")</f>
        <v>WAWEE</v>
      </c>
      <c r="M2344" s="1" t="str">
        <f>IFERROR(__xludf.DUMMYFUNCTION("""COMPUTED_VALUE"""),"065-505-7642")</f>
        <v>065-505-7642</v>
      </c>
      <c r="N2344" s="3">
        <f>IFERROR(__xludf.DUMMYFUNCTION("""COMPUTED_VALUE"""),62001.0)</f>
        <v>62001</v>
      </c>
      <c r="O2344" s="3" t="str">
        <f>IFERROR(__xludf.DUMMYFUNCTION("""COMPUTED_VALUE"""),"วาวี_บิ๊กซี ราชดำริชั้น 2")</f>
        <v>วาวี_บิ๊กซี ราชดำริชั้น 2</v>
      </c>
      <c r="P2344" s="4">
        <f>IFERROR(__xludf.DUMMYFUNCTION("""COMPUTED_VALUE"""),43917.0)</f>
        <v>43917</v>
      </c>
      <c r="Q2344" s="3" t="str">
        <f>IFERROR(__xludf.DUMMYFUNCTION("""COMPUTED_VALUE"""),"A")</f>
        <v>A</v>
      </c>
      <c r="R2344" s="3" t="str">
        <f>IFERROR(__xludf.DUMMYFUNCTION("""COMPUTED_VALUE"""),"Small Format")</f>
        <v>Small Format</v>
      </c>
      <c r="S2344" s="3" t="str">
        <f>IFERROR(__xludf.DUMMYFUNCTION("""COMPUTED_VALUE"""),"WAWEE")</f>
        <v>WAWEE</v>
      </c>
      <c r="T2344" s="3" t="str">
        <f>IFERROR(__xludf.DUMMYFUNCTION("""COMPUTED_VALUE"""),"WAWEE")</f>
        <v>WAWEE</v>
      </c>
      <c r="U2344" s="3" t="str">
        <f>IFERROR(__xludf.DUMMYFUNCTION("""COMPUTED_VALUE"""),"#N/A")</f>
        <v>#N/A</v>
      </c>
      <c r="V2344" s="3" t="str">
        <f>IFERROR(__xludf.DUMMYFUNCTION("""COMPUTED_VALUE"""),"N")</f>
        <v>N</v>
      </c>
      <c r="W2344" s="3">
        <f>IFERROR(__xludf.DUMMYFUNCTION("""COMPUTED_VALUE"""),182029.0)</f>
        <v>182029</v>
      </c>
      <c r="X2344" s="3" t="str">
        <f>IFERROR(__xludf.DUMMYFUNCTION("""COMPUTED_VALUE"""),"25 ถนนกัลปพฤกษ์ แขวงคลองบางพราน เขตบางบอน กรุงเทพมหานคร 10150")</f>
        <v>25 ถนนกัลปพฤกษ์ แขวงคลองบางพราน เขตบางบอน กรุงเทพมหานคร 10150</v>
      </c>
      <c r="Y2344" s="3" t="str">
        <f>IFERROR(__xludf.DUMMYFUNCTION("""COMPUTED_VALUE"""),"ถนนกัลปพฤกษ์")</f>
        <v>ถนนกัลปพฤกษ์</v>
      </c>
      <c r="Z2344" s="3" t="str">
        <f>IFERROR(__xludf.DUMMYFUNCTION("""COMPUTED_VALUE"""),"บางบอน")</f>
        <v>บางบอน</v>
      </c>
      <c r="AA2344" s="3" t="str">
        <f>IFERROR(__xludf.DUMMYFUNCTION("""COMPUTED_VALUE"""),"บางบอน")</f>
        <v>บางบอน</v>
      </c>
      <c r="AB2344" s="3" t="str">
        <f>IFERROR(__xludf.DUMMYFUNCTION("""COMPUTED_VALUE"""),"กรุงเทพมหานคร")</f>
        <v>กรุงเทพมหานคร</v>
      </c>
      <c r="AC2344" s="3">
        <f>IFERROR(__xludf.DUMMYFUNCTION("""COMPUTED_VALUE"""),10150.0)</f>
        <v>10150</v>
      </c>
      <c r="AD2344" s="3">
        <f>IFERROR(__xludf.DUMMYFUNCTION("""COMPUTED_VALUE"""),0.0)</f>
        <v>0</v>
      </c>
      <c r="AE2344" s="3">
        <f>IFERROR(__xludf.DUMMYFUNCTION("""COMPUTED_VALUE"""),0.0)</f>
        <v>0</v>
      </c>
      <c r="AF2344" s="3" t="str">
        <f>IFERROR(__xludf.DUMMYFUNCTION("""COMPUTED_VALUE"""),"วาวี_บิ๊กซี กัลปพฤกษ์-63029")</f>
        <v>วาวี_บิ๊กซี กัลปพฤกษ์-63029</v>
      </c>
      <c r="AG2344" s="3" t="str">
        <f>IFERROR(__xludf.DUMMYFUNCTION("""COMPUTED_VALUE"""),"กลาง")</f>
        <v>กลาง</v>
      </c>
      <c r="AH2344" s="3" t="str">
        <f>IFERROR(__xludf.DUMMYFUNCTION("""COMPUTED_VALUE"""),"#N/A")</f>
        <v>#N/A</v>
      </c>
      <c r="AI2344" s="3" t="str">
        <f>IFERROR(__xludf.DUMMYFUNCTION("""COMPUTED_VALUE"""),"Out of warranty")</f>
        <v>Out of warranty</v>
      </c>
      <c r="AJ2344" s="3">
        <f>IFERROR(__xludf.DUMMYFUNCTION("""COMPUTED_VALUE"""),70.0)</f>
        <v>70</v>
      </c>
      <c r="AK2344" s="3"/>
      <c r="AL2344" s="3"/>
    </row>
    <row r="2345" ht="15.75" customHeight="1">
      <c r="A2345" s="1" t="str">
        <f>IFERROR(__xludf.DUMMYFUNCTION("""COMPUTED_VALUE"""),"63030")</f>
        <v>63030</v>
      </c>
      <c r="B2345" s="2">
        <f>IFERROR(__xludf.DUMMYFUNCTION("""COMPUTED_VALUE"""),63030.0)</f>
        <v>63030</v>
      </c>
      <c r="C2345" s="3" t="str">
        <f>IFERROR(__xludf.DUMMYFUNCTION("""COMPUTED_VALUE"""),"วาวี_บิ๊กซี สุขาภิบาล 3")</f>
        <v>วาวี_บิ๊กซี สุขาภิบาล 3</v>
      </c>
      <c r="D2345" s="3" t="str">
        <f>IFERROR(__xludf.DUMMYFUNCTION("""COMPUTED_VALUE"""),"BIGC SUKHAPHIBAL3 WAWEE")</f>
        <v>BIGC SUKHAPHIBAL3 WAWEE</v>
      </c>
      <c r="E2345" s="1" t="str">
        <f>IFERROR(__xludf.DUMMYFUNCTION("""COMPUTED_VALUE"""),"WAWEE")</f>
        <v>WAWEE</v>
      </c>
      <c r="F2345" s="1" t="str">
        <f>IFERROR(__xludf.DUMMYFUNCTION("""COMPUTED_VALUE"""),"296850")</f>
        <v>296850</v>
      </c>
      <c r="G2345" s="1" t="str">
        <f>IFERROR(__xludf.DUMMYFUNCTION("""COMPUTED_VALUE"""),"นายชุติเทพ โศภิษฐ์ปริวัฒน์")</f>
        <v>นายชุติเทพ โศภิษฐ์ปริวัฒน์</v>
      </c>
      <c r="H2345" s="1" t="str">
        <f>IFERROR(__xludf.DUMMYFUNCTION("""COMPUTED_VALUE"""),"296300")</f>
        <v>296300</v>
      </c>
      <c r="I2345" s="1" t="str">
        <f>IFERROR(__xludf.DUMMYFUNCTION("""COMPUTED_VALUE"""),"น.ส.วันเพ็ญ วันแสน")</f>
        <v>น.ส.วันเพ็ญ วันแสน</v>
      </c>
      <c r="J2345" s="3">
        <f>IFERROR(__xludf.DUMMYFUNCTION("""COMPUTED_VALUE"""),296319.0)</f>
        <v>296319</v>
      </c>
      <c r="K2345" s="3" t="str">
        <f>IFERROR(__xludf.DUMMYFUNCTION("""COMPUTED_VALUE"""),"นายรัฐภูมิ กิตติอิชฌติ")</f>
        <v>นายรัฐภูมิ กิตติอิชฌติ</v>
      </c>
      <c r="L2345" s="1" t="str">
        <f>IFERROR(__xludf.DUMMYFUNCTION("""COMPUTED_VALUE"""),"0")</f>
        <v>0</v>
      </c>
      <c r="M2345" s="1" t="str">
        <f>IFERROR(__xludf.DUMMYFUNCTION("""COMPUTED_VALUE"""),"0")</f>
        <v>0</v>
      </c>
      <c r="N2345" s="3">
        <f>IFERROR(__xludf.DUMMYFUNCTION("""COMPUTED_VALUE"""),62001.0)</f>
        <v>62001</v>
      </c>
      <c r="O2345" s="3" t="str">
        <f>IFERROR(__xludf.DUMMYFUNCTION("""COMPUTED_VALUE"""),"วาวี_บิ๊กซี ราชดำริชั้น 2")</f>
        <v>วาวี_บิ๊กซี ราชดำริชั้น 2</v>
      </c>
      <c r="P2345" s="4">
        <f>IFERROR(__xludf.DUMMYFUNCTION("""COMPUTED_VALUE"""),43913.0)</f>
        <v>43913</v>
      </c>
      <c r="Q2345" s="3" t="str">
        <f>IFERROR(__xludf.DUMMYFUNCTION("""COMPUTED_VALUE"""),"I")</f>
        <v>I</v>
      </c>
      <c r="R2345" s="3" t="str">
        <f>IFERROR(__xludf.DUMMYFUNCTION("""COMPUTED_VALUE"""),"Small Format")</f>
        <v>Small Format</v>
      </c>
      <c r="S2345" s="3" t="str">
        <f>IFERROR(__xludf.DUMMYFUNCTION("""COMPUTED_VALUE"""),"WAWEE")</f>
        <v>WAWEE</v>
      </c>
      <c r="T2345" s="3" t="str">
        <f>IFERROR(__xludf.DUMMYFUNCTION("""COMPUTED_VALUE"""),"#N/A")</f>
        <v>#N/A</v>
      </c>
      <c r="U2345" s="3" t="str">
        <f>IFERROR(__xludf.DUMMYFUNCTION("""COMPUTED_VALUE"""),"#N/A")</f>
        <v>#N/A</v>
      </c>
      <c r="V2345" s="3" t="str">
        <f>IFERROR(__xludf.DUMMYFUNCTION("""COMPUTED_VALUE"""),"N")</f>
        <v>N</v>
      </c>
      <c r="W2345" s="3">
        <f>IFERROR(__xludf.DUMMYFUNCTION("""COMPUTED_VALUE"""),182030.0)</f>
        <v>182030</v>
      </c>
      <c r="X2345" s="3" t="str">
        <f>IFERROR(__xludf.DUMMYFUNCTION("""COMPUTED_VALUE"""),"103 ถนนรามคำแหง แขวงมีนบุรี เขตมีนบุรี จังหวัดกรุงเทพมหานคร 10510")</f>
        <v>103 ถนนรามคำแหง แขวงมีนบุรี เขตมีนบุรี จังหวัดกรุงเทพมหานคร 10510</v>
      </c>
      <c r="Y2345" s="3" t="str">
        <f>IFERROR(__xludf.DUMMYFUNCTION("""COMPUTED_VALUE"""),"ถนนรามคำแหง")</f>
        <v>ถนนรามคำแหง</v>
      </c>
      <c r="Z2345" s="3" t="str">
        <f>IFERROR(__xludf.DUMMYFUNCTION("""COMPUTED_VALUE"""),"มีนบุรี")</f>
        <v>มีนบุรี</v>
      </c>
      <c r="AA2345" s="3" t="str">
        <f>IFERROR(__xludf.DUMMYFUNCTION("""COMPUTED_VALUE"""),"มีนบุรี")</f>
        <v>มีนบุรี</v>
      </c>
      <c r="AB2345" s="3" t="str">
        <f>IFERROR(__xludf.DUMMYFUNCTION("""COMPUTED_VALUE"""),"กรุงเทพมหานคร")</f>
        <v>กรุงเทพมหานคร</v>
      </c>
      <c r="AC2345" s="3">
        <f>IFERROR(__xludf.DUMMYFUNCTION("""COMPUTED_VALUE"""),10510.0)</f>
        <v>10510</v>
      </c>
      <c r="AD2345" s="3">
        <f>IFERROR(__xludf.DUMMYFUNCTION("""COMPUTED_VALUE"""),0.0)</f>
        <v>0</v>
      </c>
      <c r="AE2345" s="3">
        <f>IFERROR(__xludf.DUMMYFUNCTION("""COMPUTED_VALUE"""),0.0)</f>
        <v>0</v>
      </c>
      <c r="AF2345" s="3" t="str">
        <f>IFERROR(__xludf.DUMMYFUNCTION("""COMPUTED_VALUE"""),"วาวี_บิ๊กซี สุขาภิบาล 3-63030")</f>
        <v>วาวี_บิ๊กซี สุขาภิบาล 3-63030</v>
      </c>
      <c r="AG2345" s="3" t="str">
        <f>IFERROR(__xludf.DUMMYFUNCTION("""COMPUTED_VALUE"""),"กลาง")</f>
        <v>กลาง</v>
      </c>
      <c r="AH2345" s="3" t="str">
        <f>IFERROR(__xludf.DUMMYFUNCTION("""COMPUTED_VALUE"""),"#N/A")</f>
        <v>#N/A</v>
      </c>
      <c r="AI2345" s="3" t="str">
        <f>IFERROR(__xludf.DUMMYFUNCTION("""COMPUTED_VALUE"""),"Out of warranty")</f>
        <v>Out of warranty</v>
      </c>
      <c r="AJ2345" s="3">
        <f>IFERROR(__xludf.DUMMYFUNCTION("""COMPUTED_VALUE"""),70.0)</f>
        <v>70</v>
      </c>
      <c r="AK2345" s="3"/>
      <c r="AL2345" s="3"/>
    </row>
    <row r="2346" ht="15.75" customHeight="1">
      <c r="A2346" s="1" t="str">
        <f>IFERROR(__xludf.DUMMYFUNCTION("""COMPUTED_VALUE"""),"63031")</f>
        <v>63031</v>
      </c>
      <c r="B2346" s="2">
        <f>IFERROR(__xludf.DUMMYFUNCTION("""COMPUTED_VALUE"""),63031.0)</f>
        <v>63031</v>
      </c>
      <c r="C2346" s="3" t="str">
        <f>IFERROR(__xludf.DUMMYFUNCTION("""COMPUTED_VALUE"""),"วาวี_บิ๊กซี ลาดพร้าว 2")</f>
        <v>วาวี_บิ๊กซี ลาดพร้าว 2</v>
      </c>
      <c r="D2346" s="3" t="str">
        <f>IFERROR(__xludf.DUMMYFUNCTION("""COMPUTED_VALUE"""),"BIGC LADPRAO 2 WAWEE")</f>
        <v>BIGC LADPRAO 2 WAWEE</v>
      </c>
      <c r="E2346" s="1" t="str">
        <f>IFERROR(__xludf.DUMMYFUNCTION("""COMPUTED_VALUE"""),"WAWEE")</f>
        <v>WAWEE</v>
      </c>
      <c r="F2346" s="1" t="str">
        <f>IFERROR(__xludf.DUMMYFUNCTION("""COMPUTED_VALUE"""),"2083032")</f>
        <v>2083032</v>
      </c>
      <c r="G2346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46" s="1" t="str">
        <f>IFERROR(__xludf.DUMMYFUNCTION("""COMPUTED_VALUE"""),"2136555")</f>
        <v>2136555</v>
      </c>
      <c r="I2346" s="1" t="str">
        <f>IFERROR(__xludf.DUMMYFUNCTION("""COMPUTED_VALUE"""),"น.ส.ทาลินี ปาละตึง")</f>
        <v>น.ส.ทาลินี ปาละตึง</v>
      </c>
      <c r="J2346" s="3">
        <f>IFERROR(__xludf.DUMMYFUNCTION("""COMPUTED_VALUE"""),2083032.0)</f>
        <v>2083032</v>
      </c>
      <c r="K2346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46" s="1" t="str">
        <f>IFERROR(__xludf.DUMMYFUNCTION("""COMPUTED_VALUE"""),"WAWEE")</f>
        <v>WAWEE</v>
      </c>
      <c r="M2346" s="1" t="str">
        <f>IFERROR(__xludf.DUMMYFUNCTION("""COMPUTED_VALUE"""),"065-505-7642")</f>
        <v>065-505-7642</v>
      </c>
      <c r="N2346" s="3">
        <f>IFERROR(__xludf.DUMMYFUNCTION("""COMPUTED_VALUE"""),62001.0)</f>
        <v>62001</v>
      </c>
      <c r="O2346" s="3" t="str">
        <f>IFERROR(__xludf.DUMMYFUNCTION("""COMPUTED_VALUE"""),"วาวี_บิ๊กซี ราชดำริชั้น 2")</f>
        <v>วาวี_บิ๊กซี ราชดำริชั้น 2</v>
      </c>
      <c r="P2346" s="4">
        <f>IFERROR(__xludf.DUMMYFUNCTION("""COMPUTED_VALUE"""),43913.0)</f>
        <v>43913</v>
      </c>
      <c r="Q2346" s="3" t="str">
        <f>IFERROR(__xludf.DUMMYFUNCTION("""COMPUTED_VALUE"""),"A")</f>
        <v>A</v>
      </c>
      <c r="R2346" s="3" t="str">
        <f>IFERROR(__xludf.DUMMYFUNCTION("""COMPUTED_VALUE"""),"Small Format")</f>
        <v>Small Format</v>
      </c>
      <c r="S2346" s="3" t="str">
        <f>IFERROR(__xludf.DUMMYFUNCTION("""COMPUTED_VALUE"""),"WAWEE")</f>
        <v>WAWEE</v>
      </c>
      <c r="T2346" s="3" t="str">
        <f>IFERROR(__xludf.DUMMYFUNCTION("""COMPUTED_VALUE"""),"WAWEE")</f>
        <v>WAWEE</v>
      </c>
      <c r="U2346" s="3" t="str">
        <f>IFERROR(__xludf.DUMMYFUNCTION("""COMPUTED_VALUE"""),"#N/A")</f>
        <v>#N/A</v>
      </c>
      <c r="V2346" s="3" t="str">
        <f>IFERROR(__xludf.DUMMYFUNCTION("""COMPUTED_VALUE"""),"N")</f>
        <v>N</v>
      </c>
      <c r="W2346" s="3">
        <f>IFERROR(__xludf.DUMMYFUNCTION("""COMPUTED_VALUE"""),182031.0)</f>
        <v>182031</v>
      </c>
      <c r="X2346" s="3" t="str">
        <f>IFERROR(__xludf.DUMMYFUNCTION("""COMPUTED_VALUE"""),"669 ถนนลาดพร้าว แขวงจอมพล เขตจตุจักร กรุงเทพมหานคร 10900")</f>
        <v>669 ถนนลาดพร้าว แขวงจอมพล เขตจตุจักร กรุงเทพมหานคร 10900</v>
      </c>
      <c r="Y2346" s="3" t="str">
        <f>IFERROR(__xludf.DUMMYFUNCTION("""COMPUTED_VALUE"""),"ถนนลาดพร้าว")</f>
        <v>ถนนลาดพร้าว</v>
      </c>
      <c r="Z2346" s="3" t="str">
        <f>IFERROR(__xludf.DUMMYFUNCTION("""COMPUTED_VALUE"""),"จอมพล")</f>
        <v>จอมพล</v>
      </c>
      <c r="AA2346" s="3" t="str">
        <f>IFERROR(__xludf.DUMMYFUNCTION("""COMPUTED_VALUE"""),"จตุจักร")</f>
        <v>จตุจักร</v>
      </c>
      <c r="AB2346" s="3" t="str">
        <f>IFERROR(__xludf.DUMMYFUNCTION("""COMPUTED_VALUE"""),"กรุงเทพมหานคร")</f>
        <v>กรุงเทพมหานคร</v>
      </c>
      <c r="AC2346" s="3">
        <f>IFERROR(__xludf.DUMMYFUNCTION("""COMPUTED_VALUE"""),10900.0)</f>
        <v>10900</v>
      </c>
      <c r="AD2346" s="3">
        <f>IFERROR(__xludf.DUMMYFUNCTION("""COMPUTED_VALUE"""),0.0)</f>
        <v>0</v>
      </c>
      <c r="AE2346" s="3">
        <f>IFERROR(__xludf.DUMMYFUNCTION("""COMPUTED_VALUE"""),0.0)</f>
        <v>0</v>
      </c>
      <c r="AF2346" s="3" t="str">
        <f>IFERROR(__xludf.DUMMYFUNCTION("""COMPUTED_VALUE"""),"วาวี_บิ๊กซี ลาดพร้าว 2-63031")</f>
        <v>วาวี_บิ๊กซี ลาดพร้าว 2-63031</v>
      </c>
      <c r="AG2346" s="3" t="str">
        <f>IFERROR(__xludf.DUMMYFUNCTION("""COMPUTED_VALUE"""),"กลาง")</f>
        <v>กลาง</v>
      </c>
      <c r="AH2346" s="3" t="str">
        <f>IFERROR(__xludf.DUMMYFUNCTION("""COMPUTED_VALUE"""),"#N/A")</f>
        <v>#N/A</v>
      </c>
      <c r="AI2346" s="3" t="str">
        <f>IFERROR(__xludf.DUMMYFUNCTION("""COMPUTED_VALUE"""),"Out of warranty")</f>
        <v>Out of warranty</v>
      </c>
      <c r="AJ2346" s="3">
        <f>IFERROR(__xludf.DUMMYFUNCTION("""COMPUTED_VALUE"""),70.0)</f>
        <v>70</v>
      </c>
      <c r="AK2346" s="3"/>
      <c r="AL2346" s="3"/>
    </row>
    <row r="2347" ht="15.75" customHeight="1">
      <c r="A2347" s="1" t="str">
        <f>IFERROR(__xludf.DUMMYFUNCTION("""COMPUTED_VALUE"""),"63032")</f>
        <v>63032</v>
      </c>
      <c r="B2347" s="2">
        <f>IFERROR(__xludf.DUMMYFUNCTION("""COMPUTED_VALUE"""),63032.0)</f>
        <v>63032</v>
      </c>
      <c r="C2347" s="3" t="str">
        <f>IFERROR(__xludf.DUMMYFUNCTION("""COMPUTED_VALUE"""),"วาวี_บิ๊กซี ดอนเมือง")</f>
        <v>วาวี_บิ๊กซี ดอนเมือง</v>
      </c>
      <c r="D2347" s="3" t="str">
        <f>IFERROR(__xludf.DUMMYFUNCTION("""COMPUTED_VALUE"""),"BIGC DONMUANG WAWEE")</f>
        <v>BIGC DONMUANG WAWEE</v>
      </c>
      <c r="E2347" s="1" t="str">
        <f>IFERROR(__xludf.DUMMYFUNCTION("""COMPUTED_VALUE"""),"WAWEE")</f>
        <v>WAWEE</v>
      </c>
      <c r="F2347" s="1" t="str">
        <f>IFERROR(__xludf.DUMMYFUNCTION("""COMPUTED_VALUE"""),"296850")</f>
        <v>296850</v>
      </c>
      <c r="G2347" s="1" t="str">
        <f>IFERROR(__xludf.DUMMYFUNCTION("""COMPUTED_VALUE"""),"นายชุติเทพ โศภิษฐ์ปริวัฒน์")</f>
        <v>นายชุติเทพ โศภิษฐ์ปริวัฒน์</v>
      </c>
      <c r="H2347" s="1" t="str">
        <f>IFERROR(__xludf.DUMMYFUNCTION("""COMPUTED_VALUE"""),"296300")</f>
        <v>296300</v>
      </c>
      <c r="I2347" s="1" t="str">
        <f>IFERROR(__xludf.DUMMYFUNCTION("""COMPUTED_VALUE"""),"น.ส.วันเพ็ญ วันแสน")</f>
        <v>น.ส.วันเพ็ญ วันแสน</v>
      </c>
      <c r="J2347" s="3">
        <f>IFERROR(__xludf.DUMMYFUNCTION("""COMPUTED_VALUE"""),296319.0)</f>
        <v>296319</v>
      </c>
      <c r="K2347" s="3" t="str">
        <f>IFERROR(__xludf.DUMMYFUNCTION("""COMPUTED_VALUE"""),"นายรัฐภูมิ กิตติอิชฌติ")</f>
        <v>นายรัฐภูมิ กิตติอิชฌติ</v>
      </c>
      <c r="L2347" s="1" t="str">
        <f>IFERROR(__xludf.DUMMYFUNCTION("""COMPUTED_VALUE"""),"0")</f>
        <v>0</v>
      </c>
      <c r="M2347" s="1" t="str">
        <f>IFERROR(__xludf.DUMMYFUNCTION("""COMPUTED_VALUE"""),"0")</f>
        <v>0</v>
      </c>
      <c r="N2347" s="3">
        <f>IFERROR(__xludf.DUMMYFUNCTION("""COMPUTED_VALUE"""),62001.0)</f>
        <v>62001</v>
      </c>
      <c r="O2347" s="3" t="str">
        <f>IFERROR(__xludf.DUMMYFUNCTION("""COMPUTED_VALUE"""),"วาวี_บิ๊กซี ราชดำริชั้น 2")</f>
        <v>วาวี_บิ๊กซี ราชดำริชั้น 2</v>
      </c>
      <c r="P2347" s="4">
        <f>IFERROR(__xludf.DUMMYFUNCTION("""COMPUTED_VALUE"""),43920.0)</f>
        <v>43920</v>
      </c>
      <c r="Q2347" s="3" t="str">
        <f>IFERROR(__xludf.DUMMYFUNCTION("""COMPUTED_VALUE"""),"I")</f>
        <v>I</v>
      </c>
      <c r="R2347" s="3" t="str">
        <f>IFERROR(__xludf.DUMMYFUNCTION("""COMPUTED_VALUE"""),"Small Format")</f>
        <v>Small Format</v>
      </c>
      <c r="S2347" s="3" t="str">
        <f>IFERROR(__xludf.DUMMYFUNCTION("""COMPUTED_VALUE"""),"WAWEE")</f>
        <v>WAWEE</v>
      </c>
      <c r="T2347" s="3" t="str">
        <f>IFERROR(__xludf.DUMMYFUNCTION("""COMPUTED_VALUE"""),"#N/A")</f>
        <v>#N/A</v>
      </c>
      <c r="U2347" s="3" t="str">
        <f>IFERROR(__xludf.DUMMYFUNCTION("""COMPUTED_VALUE"""),"#N/A")</f>
        <v>#N/A</v>
      </c>
      <c r="V2347" s="3" t="str">
        <f>IFERROR(__xludf.DUMMYFUNCTION("""COMPUTED_VALUE"""),"N")</f>
        <v>N</v>
      </c>
      <c r="W2347" s="3">
        <f>IFERROR(__xludf.DUMMYFUNCTION("""COMPUTED_VALUE"""),182032.0)</f>
        <v>182032</v>
      </c>
      <c r="X2347" s="3" t="str">
        <f>IFERROR(__xludf.DUMMYFUNCTION("""COMPUTED_VALUE"""),"1 ซอยพหลโยธิน50 ถนนพหลโยธิน แขวงอนุสาวรีย์ เขตบางเขน กรุงเทพมหานคร 10220")</f>
        <v>1 ซอยพหลโยธิน50 ถนนพหลโยธิน แขวงอนุสาวรีย์ เขตบางเขน กรุงเทพมหานคร 10220</v>
      </c>
      <c r="Y2347" s="3" t="str">
        <f>IFERROR(__xludf.DUMMYFUNCTION("""COMPUTED_VALUE"""),"ซอยพหลโยธิน50")</f>
        <v>ซอยพหลโยธิน50</v>
      </c>
      <c r="Z2347" s="3" t="str">
        <f>IFERROR(__xludf.DUMMYFUNCTION("""COMPUTED_VALUE"""),"อนุสาวรีย์")</f>
        <v>อนุสาวรีย์</v>
      </c>
      <c r="AA2347" s="3" t="str">
        <f>IFERROR(__xludf.DUMMYFUNCTION("""COMPUTED_VALUE"""),"บางเขน")</f>
        <v>บางเขน</v>
      </c>
      <c r="AB2347" s="3" t="str">
        <f>IFERROR(__xludf.DUMMYFUNCTION("""COMPUTED_VALUE"""),"กรุงเทพมหานคร")</f>
        <v>กรุงเทพมหานคร</v>
      </c>
      <c r="AC2347" s="3">
        <f>IFERROR(__xludf.DUMMYFUNCTION("""COMPUTED_VALUE"""),10220.0)</f>
        <v>10220</v>
      </c>
      <c r="AD2347" s="3">
        <f>IFERROR(__xludf.DUMMYFUNCTION("""COMPUTED_VALUE"""),0.0)</f>
        <v>0</v>
      </c>
      <c r="AE2347" s="3">
        <f>IFERROR(__xludf.DUMMYFUNCTION("""COMPUTED_VALUE"""),0.0)</f>
        <v>0</v>
      </c>
      <c r="AF2347" s="3" t="str">
        <f>IFERROR(__xludf.DUMMYFUNCTION("""COMPUTED_VALUE"""),"วาวี_บิ๊กซี ดอนเมือง-63032")</f>
        <v>วาวี_บิ๊กซี ดอนเมือง-63032</v>
      </c>
      <c r="AG2347" s="3" t="str">
        <f>IFERROR(__xludf.DUMMYFUNCTION("""COMPUTED_VALUE"""),"กลาง")</f>
        <v>กลาง</v>
      </c>
      <c r="AH2347" s="3" t="str">
        <f>IFERROR(__xludf.DUMMYFUNCTION("""COMPUTED_VALUE"""),"#N/A")</f>
        <v>#N/A</v>
      </c>
      <c r="AI2347" s="3" t="str">
        <f>IFERROR(__xludf.DUMMYFUNCTION("""COMPUTED_VALUE"""),"Out of warranty")</f>
        <v>Out of warranty</v>
      </c>
      <c r="AJ2347" s="3">
        <f>IFERROR(__xludf.DUMMYFUNCTION("""COMPUTED_VALUE"""),70.0)</f>
        <v>70</v>
      </c>
      <c r="AK2347" s="3"/>
      <c r="AL2347" s="3"/>
    </row>
    <row r="2348" ht="15.75" customHeight="1">
      <c r="A2348" s="1" t="str">
        <f>IFERROR(__xludf.DUMMYFUNCTION("""COMPUTED_VALUE"""),"63033")</f>
        <v>63033</v>
      </c>
      <c r="B2348" s="2">
        <f>IFERROR(__xludf.DUMMYFUNCTION("""COMPUTED_VALUE"""),63033.0)</f>
        <v>63033</v>
      </c>
      <c r="C2348" s="3" t="str">
        <f>IFERROR(__xludf.DUMMYFUNCTION("""COMPUTED_VALUE"""),"วาวี_บิ๊กซี บางบอน")</f>
        <v>วาวี_บิ๊กซี บางบอน</v>
      </c>
      <c r="D2348" s="3" t="str">
        <f>IFERROR(__xludf.DUMMYFUNCTION("""COMPUTED_VALUE"""),"BIGC BANGBON WAWEE")</f>
        <v>BIGC BANGBON WAWEE</v>
      </c>
      <c r="E2348" s="1" t="str">
        <f>IFERROR(__xludf.DUMMYFUNCTION("""COMPUTED_VALUE"""),"WAWEE")</f>
        <v>WAWEE</v>
      </c>
      <c r="F2348" s="1" t="str">
        <f>IFERROR(__xludf.DUMMYFUNCTION("""COMPUTED_VALUE"""),"2083032")</f>
        <v>2083032</v>
      </c>
      <c r="G2348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48" s="1" t="str">
        <f>IFERROR(__xludf.DUMMYFUNCTION("""COMPUTED_VALUE"""),"2136555")</f>
        <v>2136555</v>
      </c>
      <c r="I2348" s="1" t="str">
        <f>IFERROR(__xludf.DUMMYFUNCTION("""COMPUTED_VALUE"""),"น.ส.ทาลินี ปาละตึง")</f>
        <v>น.ส.ทาลินี ปาละตึง</v>
      </c>
      <c r="J2348" s="3">
        <f>IFERROR(__xludf.DUMMYFUNCTION("""COMPUTED_VALUE"""),2083032.0)</f>
        <v>2083032</v>
      </c>
      <c r="K2348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48" s="1" t="str">
        <f>IFERROR(__xludf.DUMMYFUNCTION("""COMPUTED_VALUE"""),"WAWEE")</f>
        <v>WAWEE</v>
      </c>
      <c r="M2348" s="1" t="str">
        <f>IFERROR(__xludf.DUMMYFUNCTION("""COMPUTED_VALUE"""),"065-505-7642")</f>
        <v>065-505-7642</v>
      </c>
      <c r="N2348" s="3">
        <f>IFERROR(__xludf.DUMMYFUNCTION("""COMPUTED_VALUE"""),62001.0)</f>
        <v>62001</v>
      </c>
      <c r="O2348" s="3" t="str">
        <f>IFERROR(__xludf.DUMMYFUNCTION("""COMPUTED_VALUE"""),"วาวี_บิ๊กซี ราชดำริชั้น 2")</f>
        <v>วาวี_บิ๊กซี ราชดำริชั้น 2</v>
      </c>
      <c r="P2348" s="4">
        <f>IFERROR(__xludf.DUMMYFUNCTION("""COMPUTED_VALUE"""),43958.0)</f>
        <v>43958</v>
      </c>
      <c r="Q2348" s="3" t="str">
        <f>IFERROR(__xludf.DUMMYFUNCTION("""COMPUTED_VALUE"""),"A")</f>
        <v>A</v>
      </c>
      <c r="R2348" s="3" t="str">
        <f>IFERROR(__xludf.DUMMYFUNCTION("""COMPUTED_VALUE"""),"Small Format")</f>
        <v>Small Format</v>
      </c>
      <c r="S2348" s="3" t="str">
        <f>IFERROR(__xludf.DUMMYFUNCTION("""COMPUTED_VALUE"""),"WAWEE")</f>
        <v>WAWEE</v>
      </c>
      <c r="T2348" s="3" t="str">
        <f>IFERROR(__xludf.DUMMYFUNCTION("""COMPUTED_VALUE"""),"WAWEE")</f>
        <v>WAWEE</v>
      </c>
      <c r="U2348" s="3" t="str">
        <f>IFERROR(__xludf.DUMMYFUNCTION("""COMPUTED_VALUE"""),"#N/A")</f>
        <v>#N/A</v>
      </c>
      <c r="V2348" s="3" t="str">
        <f>IFERROR(__xludf.DUMMYFUNCTION("""COMPUTED_VALUE"""),"N")</f>
        <v>N</v>
      </c>
      <c r="W2348" s="3">
        <f>IFERROR(__xludf.DUMMYFUNCTION("""COMPUTED_VALUE"""),182033.0)</f>
        <v>182033</v>
      </c>
      <c r="X2348" s="3" t="str">
        <f>IFERROR(__xludf.DUMMYFUNCTION("""COMPUTED_VALUE"""),"371 ถนนเอกชัย แขวงบางบอน เขตบางบอน กรุงเทพมหานคร 10510")</f>
        <v>371 ถนนเอกชัย แขวงบางบอน เขตบางบอน กรุงเทพมหานคร 10510</v>
      </c>
      <c r="Y2348" s="3" t="str">
        <f>IFERROR(__xludf.DUMMYFUNCTION("""COMPUTED_VALUE"""),"ถนนเอกชัย")</f>
        <v>ถนนเอกชัย</v>
      </c>
      <c r="Z2348" s="3" t="str">
        <f>IFERROR(__xludf.DUMMYFUNCTION("""COMPUTED_VALUE"""),"บางบอน")</f>
        <v>บางบอน</v>
      </c>
      <c r="AA2348" s="3" t="str">
        <f>IFERROR(__xludf.DUMMYFUNCTION("""COMPUTED_VALUE"""),"บางบอน")</f>
        <v>บางบอน</v>
      </c>
      <c r="AB2348" s="3" t="str">
        <f>IFERROR(__xludf.DUMMYFUNCTION("""COMPUTED_VALUE"""),"กรุงเทพมหานคร")</f>
        <v>กรุงเทพมหานคร</v>
      </c>
      <c r="AC2348" s="3">
        <f>IFERROR(__xludf.DUMMYFUNCTION("""COMPUTED_VALUE"""),10510.0)</f>
        <v>10510</v>
      </c>
      <c r="AD2348" s="3">
        <f>IFERROR(__xludf.DUMMYFUNCTION("""COMPUTED_VALUE"""),0.0)</f>
        <v>0</v>
      </c>
      <c r="AE2348" s="3">
        <f>IFERROR(__xludf.DUMMYFUNCTION("""COMPUTED_VALUE"""),0.0)</f>
        <v>0</v>
      </c>
      <c r="AF2348" s="3" t="str">
        <f>IFERROR(__xludf.DUMMYFUNCTION("""COMPUTED_VALUE"""),"วาวี_บิ๊กซี บางบอน-63033")</f>
        <v>วาวี_บิ๊กซี บางบอน-63033</v>
      </c>
      <c r="AG2348" s="3" t="str">
        <f>IFERROR(__xludf.DUMMYFUNCTION("""COMPUTED_VALUE"""),"กลาง")</f>
        <v>กลาง</v>
      </c>
      <c r="AH2348" s="3" t="str">
        <f>IFERROR(__xludf.DUMMYFUNCTION("""COMPUTED_VALUE"""),"#N/A")</f>
        <v>#N/A</v>
      </c>
      <c r="AI2348" s="3" t="str">
        <f>IFERROR(__xludf.DUMMYFUNCTION("""COMPUTED_VALUE"""),"Out of warranty")</f>
        <v>Out of warranty</v>
      </c>
      <c r="AJ2348" s="3">
        <f>IFERROR(__xludf.DUMMYFUNCTION("""COMPUTED_VALUE"""),69.0)</f>
        <v>69</v>
      </c>
      <c r="AK2348" s="3"/>
      <c r="AL2348" s="3"/>
    </row>
    <row r="2349" ht="15.75" customHeight="1">
      <c r="A2349" s="1" t="str">
        <f>IFERROR(__xludf.DUMMYFUNCTION("""COMPUTED_VALUE"""),"63034")</f>
        <v>63034</v>
      </c>
      <c r="B2349" s="2">
        <f>IFERROR(__xludf.DUMMYFUNCTION("""COMPUTED_VALUE"""),63034.0)</f>
        <v>63034</v>
      </c>
      <c r="C2349" s="3" t="str">
        <f>IFERROR(__xludf.DUMMYFUNCTION("""COMPUTED_VALUE"""),"วาวี_บิ๊กซี ท่าอิฐ")</f>
        <v>วาวี_บิ๊กซี ท่าอิฐ</v>
      </c>
      <c r="D2349" s="3" t="str">
        <f>IFERROR(__xludf.DUMMYFUNCTION("""COMPUTED_VALUE"""),"BIGC THAIT WAWEE K")</f>
        <v>BIGC THAIT WAWEE K</v>
      </c>
      <c r="E2349" s="1" t="str">
        <f>IFERROR(__xludf.DUMMYFUNCTION("""COMPUTED_VALUE"""),"WAWEE")</f>
        <v>WAWEE</v>
      </c>
      <c r="F2349" s="1" t="str">
        <f>IFERROR(__xludf.DUMMYFUNCTION("""COMPUTED_VALUE"""),"296850")</f>
        <v>296850</v>
      </c>
      <c r="G2349" s="1" t="str">
        <f>IFERROR(__xludf.DUMMYFUNCTION("""COMPUTED_VALUE"""),"นายชุติเทพ โศภิษฐ์ปริวัฒน์")</f>
        <v>นายชุติเทพ โศภิษฐ์ปริวัฒน์</v>
      </c>
      <c r="H2349" s="1" t="str">
        <f>IFERROR(__xludf.DUMMYFUNCTION("""COMPUTED_VALUE"""),"296300")</f>
        <v>296300</v>
      </c>
      <c r="I2349" s="1" t="str">
        <f>IFERROR(__xludf.DUMMYFUNCTION("""COMPUTED_VALUE"""),"น.ส.วันเพ็ญ วันแสน")</f>
        <v>น.ส.วันเพ็ญ วันแสน</v>
      </c>
      <c r="J2349" s="3">
        <f>IFERROR(__xludf.DUMMYFUNCTION("""COMPUTED_VALUE"""),296319.0)</f>
        <v>296319</v>
      </c>
      <c r="K2349" s="3" t="str">
        <f>IFERROR(__xludf.DUMMYFUNCTION("""COMPUTED_VALUE"""),"นายรัฐภูมิ กิตติอิชฌติ")</f>
        <v>นายรัฐภูมิ กิตติอิชฌติ</v>
      </c>
      <c r="L2349" s="1" t="str">
        <f>IFERROR(__xludf.DUMMYFUNCTION("""COMPUTED_VALUE"""),"0")</f>
        <v>0</v>
      </c>
      <c r="M2349" s="1" t="str">
        <f>IFERROR(__xludf.DUMMYFUNCTION("""COMPUTED_VALUE"""),"0")</f>
        <v>0</v>
      </c>
      <c r="N2349" s="3">
        <f>IFERROR(__xludf.DUMMYFUNCTION("""COMPUTED_VALUE"""),62001.0)</f>
        <v>62001</v>
      </c>
      <c r="O2349" s="3" t="str">
        <f>IFERROR(__xludf.DUMMYFUNCTION("""COMPUTED_VALUE"""),"วาวี_บิ๊กซี ราชดำริชั้น 2")</f>
        <v>วาวี_บิ๊กซี ราชดำริชั้น 2</v>
      </c>
      <c r="P2349" s="4">
        <f>IFERROR(__xludf.DUMMYFUNCTION("""COMPUTED_VALUE"""),44028.0)</f>
        <v>44028</v>
      </c>
      <c r="Q2349" s="3" t="str">
        <f>IFERROR(__xludf.DUMMYFUNCTION("""COMPUTED_VALUE"""),"I")</f>
        <v>I</v>
      </c>
      <c r="R2349" s="3" t="str">
        <f>IFERROR(__xludf.DUMMYFUNCTION("""COMPUTED_VALUE"""),"Small Format")</f>
        <v>Small Format</v>
      </c>
      <c r="S2349" s="3" t="str">
        <f>IFERROR(__xludf.DUMMYFUNCTION("""COMPUTED_VALUE"""),"WAWEE")</f>
        <v>WAWEE</v>
      </c>
      <c r="T2349" s="3" t="str">
        <f>IFERROR(__xludf.DUMMYFUNCTION("""COMPUTED_VALUE"""),"#N/A")</f>
        <v>#N/A</v>
      </c>
      <c r="U2349" s="3" t="str">
        <f>IFERROR(__xludf.DUMMYFUNCTION("""COMPUTED_VALUE"""),"#N/A")</f>
        <v>#N/A</v>
      </c>
      <c r="V2349" s="3" t="str">
        <f>IFERROR(__xludf.DUMMYFUNCTION("""COMPUTED_VALUE"""),"N")</f>
        <v>N</v>
      </c>
      <c r="W2349" s="3">
        <f>IFERROR(__xludf.DUMMYFUNCTION("""COMPUTED_VALUE"""),182036.0)</f>
        <v>182036</v>
      </c>
      <c r="X2349" s="3" t="str">
        <f>IFERROR(__xludf.DUMMYFUNCTION("""COMPUTED_VALUE"""),"49/12 หมู่2 ตำบลไทรม้า อำเภอเมืองนนทบุรี จังหวัดนนทบุรี 11000")</f>
        <v>49/12 หมู่2 ตำบลไทรม้า อำเภอเมืองนนทบุรี จังหวัดนนทบุรี 11000</v>
      </c>
      <c r="Y2349" s="3"/>
      <c r="Z2349" s="3" t="str">
        <f>IFERROR(__xludf.DUMMYFUNCTION("""COMPUTED_VALUE"""),"ไทรม้า")</f>
        <v>ไทรม้า</v>
      </c>
      <c r="AA2349" s="3" t="str">
        <f>IFERROR(__xludf.DUMMYFUNCTION("""COMPUTED_VALUE"""),"เมืองนนทบุรี")</f>
        <v>เมืองนนทบุรี</v>
      </c>
      <c r="AB2349" s="3" t="str">
        <f>IFERROR(__xludf.DUMMYFUNCTION("""COMPUTED_VALUE"""),"นนทบุรี")</f>
        <v>นนทบุรี</v>
      </c>
      <c r="AC2349" s="3">
        <f>IFERROR(__xludf.DUMMYFUNCTION("""COMPUTED_VALUE"""),11000.0)</f>
        <v>11000</v>
      </c>
      <c r="AD2349" s="3">
        <f>IFERROR(__xludf.DUMMYFUNCTION("""COMPUTED_VALUE"""),0.0)</f>
        <v>0</v>
      </c>
      <c r="AE2349" s="3">
        <f>IFERROR(__xludf.DUMMYFUNCTION("""COMPUTED_VALUE"""),0.0)</f>
        <v>0</v>
      </c>
      <c r="AF2349" s="3" t="str">
        <f>IFERROR(__xludf.DUMMYFUNCTION("""COMPUTED_VALUE"""),"วาวี_บิ๊กซี ท่าอิฐ-63034")</f>
        <v>วาวี_บิ๊กซี ท่าอิฐ-63034</v>
      </c>
      <c r="AG2349" s="3" t="str">
        <f>IFERROR(__xludf.DUMMYFUNCTION("""COMPUTED_VALUE"""),"กลาง")</f>
        <v>กลาง</v>
      </c>
      <c r="AH2349" s="3" t="str">
        <f>IFERROR(__xludf.DUMMYFUNCTION("""COMPUTED_VALUE"""),"#N/A")</f>
        <v>#N/A</v>
      </c>
      <c r="AI2349" s="3" t="str">
        <f>IFERROR(__xludf.DUMMYFUNCTION("""COMPUTED_VALUE"""),"Out of warranty")</f>
        <v>Out of warranty</v>
      </c>
      <c r="AJ2349" s="3">
        <f>IFERROR(__xludf.DUMMYFUNCTION("""COMPUTED_VALUE"""),67.0)</f>
        <v>67</v>
      </c>
      <c r="AK2349" s="3"/>
      <c r="AL2349" s="3"/>
    </row>
    <row r="2350" ht="15.75" customHeight="1">
      <c r="A2350" s="1" t="str">
        <f>IFERROR(__xludf.DUMMYFUNCTION("""COMPUTED_VALUE"""),"63035")</f>
        <v>63035</v>
      </c>
      <c r="B2350" s="2">
        <f>IFERROR(__xludf.DUMMYFUNCTION("""COMPUTED_VALUE"""),63035.0)</f>
        <v>63035</v>
      </c>
      <c r="C2350" s="3" t="str">
        <f>IFERROR(__xludf.DUMMYFUNCTION("""COMPUTED_VALUE"""),"วาวี_บิ๊กซี หนามแดง")</f>
        <v>วาวี_บิ๊กซี หนามแดง</v>
      </c>
      <c r="D2350" s="3" t="str">
        <f>IFERROR(__xludf.DUMMYFUNCTION("""COMPUTED_VALUE"""),"BIGC NAM DAENG WAWEE K")</f>
        <v>BIGC NAM DAENG WAWEE K</v>
      </c>
      <c r="E2350" s="1" t="str">
        <f>IFERROR(__xludf.DUMMYFUNCTION("""COMPUTED_VALUE"""),"WAWEE")</f>
        <v>WAWEE</v>
      </c>
      <c r="F2350" s="1" t="str">
        <f>IFERROR(__xludf.DUMMYFUNCTION("""COMPUTED_VALUE"""),"296850")</f>
        <v>296850</v>
      </c>
      <c r="G2350" s="1" t="str">
        <f>IFERROR(__xludf.DUMMYFUNCTION("""COMPUTED_VALUE"""),"นายชุติเทพ โศภิษฐ์ปริวัฒน์")</f>
        <v>นายชุติเทพ โศภิษฐ์ปริวัฒน์</v>
      </c>
      <c r="H2350" s="1" t="str">
        <f>IFERROR(__xludf.DUMMYFUNCTION("""COMPUTED_VALUE"""),"296300")</f>
        <v>296300</v>
      </c>
      <c r="I2350" s="1" t="str">
        <f>IFERROR(__xludf.DUMMYFUNCTION("""COMPUTED_VALUE"""),"น.ส.วันเพ็ญ วันแสน")</f>
        <v>น.ส.วันเพ็ญ วันแสน</v>
      </c>
      <c r="J2350" s="3">
        <f>IFERROR(__xludf.DUMMYFUNCTION("""COMPUTED_VALUE"""),296319.0)</f>
        <v>296319</v>
      </c>
      <c r="K2350" s="3" t="str">
        <f>IFERROR(__xludf.DUMMYFUNCTION("""COMPUTED_VALUE"""),"นายรัฐภูมิ กิตติอิชฌติ")</f>
        <v>นายรัฐภูมิ กิตติอิชฌติ</v>
      </c>
      <c r="L2350" s="1" t="str">
        <f>IFERROR(__xludf.DUMMYFUNCTION("""COMPUTED_VALUE"""),"0")</f>
        <v>0</v>
      </c>
      <c r="M2350" s="1" t="str">
        <f>IFERROR(__xludf.DUMMYFUNCTION("""COMPUTED_VALUE"""),"0")</f>
        <v>0</v>
      </c>
      <c r="N2350" s="3">
        <f>IFERROR(__xludf.DUMMYFUNCTION("""COMPUTED_VALUE"""),62001.0)</f>
        <v>62001</v>
      </c>
      <c r="O2350" s="3" t="str">
        <f>IFERROR(__xludf.DUMMYFUNCTION("""COMPUTED_VALUE"""),"วาวี_บิ๊กซี ราชดำริชั้น 2")</f>
        <v>วาวี_บิ๊กซี ราชดำริชั้น 2</v>
      </c>
      <c r="P2350" s="4">
        <f>IFERROR(__xludf.DUMMYFUNCTION("""COMPUTED_VALUE"""),44067.0)</f>
        <v>44067</v>
      </c>
      <c r="Q2350" s="3" t="str">
        <f>IFERROR(__xludf.DUMMYFUNCTION("""COMPUTED_VALUE"""),"I")</f>
        <v>I</v>
      </c>
      <c r="R2350" s="3" t="str">
        <f>IFERROR(__xludf.DUMMYFUNCTION("""COMPUTED_VALUE"""),"Small Format")</f>
        <v>Small Format</v>
      </c>
      <c r="S2350" s="3" t="str">
        <f>IFERROR(__xludf.DUMMYFUNCTION("""COMPUTED_VALUE"""),"WAWEE")</f>
        <v>WAWEE</v>
      </c>
      <c r="T2350" s="3" t="str">
        <f>IFERROR(__xludf.DUMMYFUNCTION("""COMPUTED_VALUE"""),"#N/A")</f>
        <v>#N/A</v>
      </c>
      <c r="U2350" s="3" t="str">
        <f>IFERROR(__xludf.DUMMYFUNCTION("""COMPUTED_VALUE"""),"#N/A")</f>
        <v>#N/A</v>
      </c>
      <c r="V2350" s="3" t="str">
        <f>IFERROR(__xludf.DUMMYFUNCTION("""COMPUTED_VALUE"""),"N")</f>
        <v>N</v>
      </c>
      <c r="W2350" s="3">
        <f>IFERROR(__xludf.DUMMYFUNCTION("""COMPUTED_VALUE"""),182037.0)</f>
        <v>182037</v>
      </c>
      <c r="X2350" s="3" t="str">
        <f>IFERROR(__xludf.DUMMYFUNCTION("""COMPUTED_VALUE"""),"25/17 หมู่2 ตำบลบางแก้ว อำเภอบางพลี จังหวัดสมุทรปราการ 10540")</f>
        <v>25/17 หมู่2 ตำบลบางแก้ว อำเภอบางพลี จังหวัดสมุทรปราการ 10540</v>
      </c>
      <c r="Y2350" s="3"/>
      <c r="Z2350" s="3" t="str">
        <f>IFERROR(__xludf.DUMMYFUNCTION("""COMPUTED_VALUE"""),"บางแก้ว")</f>
        <v>บางแก้ว</v>
      </c>
      <c r="AA2350" s="3" t="str">
        <f>IFERROR(__xludf.DUMMYFUNCTION("""COMPUTED_VALUE"""),"บางพลี")</f>
        <v>บางพลี</v>
      </c>
      <c r="AB2350" s="3" t="str">
        <f>IFERROR(__xludf.DUMMYFUNCTION("""COMPUTED_VALUE"""),"สมุทรปราการ")</f>
        <v>สมุทรปราการ</v>
      </c>
      <c r="AC2350" s="3">
        <f>IFERROR(__xludf.DUMMYFUNCTION("""COMPUTED_VALUE"""),10540.0)</f>
        <v>10540</v>
      </c>
      <c r="AD2350" s="3">
        <f>IFERROR(__xludf.DUMMYFUNCTION("""COMPUTED_VALUE"""),0.0)</f>
        <v>0</v>
      </c>
      <c r="AE2350" s="3">
        <f>IFERROR(__xludf.DUMMYFUNCTION("""COMPUTED_VALUE"""),0.0)</f>
        <v>0</v>
      </c>
      <c r="AF2350" s="3" t="str">
        <f>IFERROR(__xludf.DUMMYFUNCTION("""COMPUTED_VALUE"""),"วาวี_บิ๊กซี หนามแดง-63035")</f>
        <v>วาวี_บิ๊กซี หนามแดง-63035</v>
      </c>
      <c r="AG2350" s="3" t="str">
        <f>IFERROR(__xludf.DUMMYFUNCTION("""COMPUTED_VALUE"""),"กลาง")</f>
        <v>กลาง</v>
      </c>
      <c r="AH2350" s="3" t="str">
        <f>IFERROR(__xludf.DUMMYFUNCTION("""COMPUTED_VALUE"""),"#N/A")</f>
        <v>#N/A</v>
      </c>
      <c r="AI2350" s="3" t="str">
        <f>IFERROR(__xludf.DUMMYFUNCTION("""COMPUTED_VALUE"""),"Out of warranty")</f>
        <v>Out of warranty</v>
      </c>
      <c r="AJ2350" s="3">
        <f>IFERROR(__xludf.DUMMYFUNCTION("""COMPUTED_VALUE"""),65.0)</f>
        <v>65</v>
      </c>
      <c r="AK2350" s="3"/>
      <c r="AL2350" s="3"/>
    </row>
    <row r="2351" ht="15.75" customHeight="1">
      <c r="A2351" s="1" t="str">
        <f>IFERROR(__xludf.DUMMYFUNCTION("""COMPUTED_VALUE"""),"63037")</f>
        <v>63037</v>
      </c>
      <c r="B2351" s="2">
        <f>IFERROR(__xludf.DUMMYFUNCTION("""COMPUTED_VALUE"""),63037.0)</f>
        <v>63037</v>
      </c>
      <c r="C2351" s="3" t="str">
        <f>IFERROR(__xludf.DUMMYFUNCTION("""COMPUTED_VALUE"""),"วาวี สุวินทวงศ์")</f>
        <v>วาวี สุวินทวงศ์</v>
      </c>
      <c r="D2351" s="3" t="str">
        <f>IFERROR(__xludf.DUMMYFUNCTION("""COMPUTED_VALUE"""),"BIGC SUWINTAWONG K")</f>
        <v>BIGC SUWINTAWONG K</v>
      </c>
      <c r="E2351" s="1" t="str">
        <f>IFERROR(__xludf.DUMMYFUNCTION("""COMPUTED_VALUE"""),"WAWEE")</f>
        <v>WAWEE</v>
      </c>
      <c r="F2351" s="1" t="str">
        <f>IFERROR(__xludf.DUMMYFUNCTION("""COMPUTED_VALUE"""),"2083032")</f>
        <v>2083032</v>
      </c>
      <c r="G2351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51" s="1" t="str">
        <f>IFERROR(__xludf.DUMMYFUNCTION("""COMPUTED_VALUE"""),"2136555")</f>
        <v>2136555</v>
      </c>
      <c r="I2351" s="1" t="str">
        <f>IFERROR(__xludf.DUMMYFUNCTION("""COMPUTED_VALUE"""),"น.ส.ทาลินี ปาละตึง")</f>
        <v>น.ส.ทาลินี ปาละตึง</v>
      </c>
      <c r="J2351" s="3">
        <f>IFERROR(__xludf.DUMMYFUNCTION("""COMPUTED_VALUE"""),2083032.0)</f>
        <v>2083032</v>
      </c>
      <c r="K2351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51" s="1" t="str">
        <f>IFERROR(__xludf.DUMMYFUNCTION("""COMPUTED_VALUE"""),"WAWEE")</f>
        <v>WAWEE</v>
      </c>
      <c r="M2351" s="1" t="str">
        <f>IFERROR(__xludf.DUMMYFUNCTION("""COMPUTED_VALUE"""),"065-505-7642")</f>
        <v>065-505-7642</v>
      </c>
      <c r="N2351" s="3">
        <f>IFERROR(__xludf.DUMMYFUNCTION("""COMPUTED_VALUE"""),62001.0)</f>
        <v>62001</v>
      </c>
      <c r="O2351" s="3" t="str">
        <f>IFERROR(__xludf.DUMMYFUNCTION("""COMPUTED_VALUE"""),"วาวี_บิ๊กซี ราชดำริชั้น 2")</f>
        <v>วาวี_บิ๊กซี ราชดำริชั้น 2</v>
      </c>
      <c r="P2351" s="4">
        <f>IFERROR(__xludf.DUMMYFUNCTION("""COMPUTED_VALUE"""),44217.0)</f>
        <v>44217</v>
      </c>
      <c r="Q2351" s="3" t="str">
        <f>IFERROR(__xludf.DUMMYFUNCTION("""COMPUTED_VALUE"""),"A")</f>
        <v>A</v>
      </c>
      <c r="R2351" s="3" t="str">
        <f>IFERROR(__xludf.DUMMYFUNCTION("""COMPUTED_VALUE"""),"Small Format")</f>
        <v>Small Format</v>
      </c>
      <c r="S2351" s="3" t="str">
        <f>IFERROR(__xludf.DUMMYFUNCTION("""COMPUTED_VALUE"""),"WAWEE")</f>
        <v>WAWEE</v>
      </c>
      <c r="T2351" s="3" t="str">
        <f>IFERROR(__xludf.DUMMYFUNCTION("""COMPUTED_VALUE"""),"WAWEE")</f>
        <v>WAWEE</v>
      </c>
      <c r="U2351" s="3" t="str">
        <f>IFERROR(__xludf.DUMMYFUNCTION("""COMPUTED_VALUE"""),"#N/A")</f>
        <v>#N/A</v>
      </c>
      <c r="V2351" s="3" t="str">
        <f>IFERROR(__xludf.DUMMYFUNCTION("""COMPUTED_VALUE"""),"N")</f>
        <v>N</v>
      </c>
      <c r="W2351" s="3">
        <f>IFERROR(__xludf.DUMMYFUNCTION("""COMPUTED_VALUE"""),182039.0)</f>
        <v>182039</v>
      </c>
      <c r="X2351" s="3" t="str">
        <f>IFERROR(__xludf.DUMMYFUNCTION("""COMPUTED_VALUE"""),"29 ถนนสุวินทวงศ์ แขวงมีนบุรี เขตมีนบุรี กรุงเทพมหานคร 10510")</f>
        <v>29 ถนนสุวินทวงศ์ แขวงมีนบุรี เขตมีนบุรี กรุงเทพมหานคร 10510</v>
      </c>
      <c r="Y2351" s="3" t="str">
        <f>IFERROR(__xludf.DUMMYFUNCTION("""COMPUTED_VALUE"""),"สุวินทวงศ์")</f>
        <v>สุวินทวงศ์</v>
      </c>
      <c r="Z2351" s="3" t="str">
        <f>IFERROR(__xludf.DUMMYFUNCTION("""COMPUTED_VALUE"""),"มีนบุรี")</f>
        <v>มีนบุรี</v>
      </c>
      <c r="AA2351" s="3" t="str">
        <f>IFERROR(__xludf.DUMMYFUNCTION("""COMPUTED_VALUE"""),"มีนบุรี")</f>
        <v>มีนบุรี</v>
      </c>
      <c r="AB2351" s="3" t="str">
        <f>IFERROR(__xludf.DUMMYFUNCTION("""COMPUTED_VALUE"""),"กรุงเทพมหานคร")</f>
        <v>กรุงเทพมหานคร</v>
      </c>
      <c r="AC2351" s="3">
        <f>IFERROR(__xludf.DUMMYFUNCTION("""COMPUTED_VALUE"""),10510.0)</f>
        <v>10510</v>
      </c>
      <c r="AD2351" s="3">
        <f>IFERROR(__xludf.DUMMYFUNCTION("""COMPUTED_VALUE"""),0.0)</f>
        <v>0</v>
      </c>
      <c r="AE2351" s="3">
        <f>IFERROR(__xludf.DUMMYFUNCTION("""COMPUTED_VALUE"""),0.0)</f>
        <v>0</v>
      </c>
      <c r="AF2351" s="3" t="str">
        <f>IFERROR(__xludf.DUMMYFUNCTION("""COMPUTED_VALUE"""),"วาวี สุวินทวงศ์-63037")</f>
        <v>วาวี สุวินทวงศ์-63037</v>
      </c>
      <c r="AG2351" s="3" t="str">
        <f>IFERROR(__xludf.DUMMYFUNCTION("""COMPUTED_VALUE"""),"กลาง")</f>
        <v>กลาง</v>
      </c>
      <c r="AH2351" s="3" t="str">
        <f>IFERROR(__xludf.DUMMYFUNCTION("""COMPUTED_VALUE"""),"#N/A")</f>
        <v>#N/A</v>
      </c>
      <c r="AI2351" s="3" t="str">
        <f>IFERROR(__xludf.DUMMYFUNCTION("""COMPUTED_VALUE"""),"Out of warranty")</f>
        <v>Out of warranty</v>
      </c>
      <c r="AJ2351" s="3">
        <f>IFERROR(__xludf.DUMMYFUNCTION("""COMPUTED_VALUE"""),60.0)</f>
        <v>60</v>
      </c>
      <c r="AK2351" s="3"/>
      <c r="AL2351" s="3"/>
    </row>
    <row r="2352" ht="15.75" customHeight="1">
      <c r="A2352" s="1" t="str">
        <f>IFERROR(__xludf.DUMMYFUNCTION("""COMPUTED_VALUE"""),"63039")</f>
        <v>63039</v>
      </c>
      <c r="B2352" s="2">
        <f>IFERROR(__xludf.DUMMYFUNCTION("""COMPUTED_VALUE"""),63039.0)</f>
        <v>63039</v>
      </c>
      <c r="C2352" s="3" t="str">
        <f>IFERROR(__xludf.DUMMYFUNCTION("""COMPUTED_VALUE"""),"วาวี_คีออส บิ๊กซีพัทยา2")</f>
        <v>วาวี_คีออส บิ๊กซีพัทยา2</v>
      </c>
      <c r="D2352" s="3" t="str">
        <f>IFERROR(__xludf.DUMMYFUNCTION("""COMPUTED_VALUE"""),"BIGC KIOSK PATTAYA2 WAWEE")</f>
        <v>BIGC KIOSK PATTAYA2 WAWEE</v>
      </c>
      <c r="E2352" s="1" t="str">
        <f>IFERROR(__xludf.DUMMYFUNCTION("""COMPUTED_VALUE"""),"WAWEE")</f>
        <v>WAWEE</v>
      </c>
      <c r="F2352" s="1" t="str">
        <f>IFERROR(__xludf.DUMMYFUNCTION("""COMPUTED_VALUE"""),"2083032")</f>
        <v>2083032</v>
      </c>
      <c r="G2352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52" s="1" t="str">
        <f>IFERROR(__xludf.DUMMYFUNCTION("""COMPUTED_VALUE"""),"2136555")</f>
        <v>2136555</v>
      </c>
      <c r="I2352" s="1" t="str">
        <f>IFERROR(__xludf.DUMMYFUNCTION("""COMPUTED_VALUE"""),"น.ส.ทาลินี ปาละตึง")</f>
        <v>น.ส.ทาลินี ปาละตึง</v>
      </c>
      <c r="J2352" s="3">
        <f>IFERROR(__xludf.DUMMYFUNCTION("""COMPUTED_VALUE"""),2083032.0)</f>
        <v>2083032</v>
      </c>
      <c r="K2352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52" s="1" t="str">
        <f>IFERROR(__xludf.DUMMYFUNCTION("""COMPUTED_VALUE"""),"WAWEE")</f>
        <v>WAWEE</v>
      </c>
      <c r="M2352" s="1" t="str">
        <f>IFERROR(__xludf.DUMMYFUNCTION("""COMPUTED_VALUE"""),"065-505-7642")</f>
        <v>065-505-7642</v>
      </c>
      <c r="N2352" s="3">
        <f>IFERROR(__xludf.DUMMYFUNCTION("""COMPUTED_VALUE"""),63039.0)</f>
        <v>63039</v>
      </c>
      <c r="O2352" s="3" t="str">
        <f>IFERROR(__xludf.DUMMYFUNCTION("""COMPUTED_VALUE"""),"วาวี_คีออส บิ๊กซีพัทยา2")</f>
        <v>วาวี_คีออส บิ๊กซีพัทยา2</v>
      </c>
      <c r="P2352" s="4">
        <f>IFERROR(__xludf.DUMMYFUNCTION("""COMPUTED_VALUE"""),45602.0)</f>
        <v>45602</v>
      </c>
      <c r="Q2352" s="3" t="str">
        <f>IFERROR(__xludf.DUMMYFUNCTION("""COMPUTED_VALUE"""),"A")</f>
        <v>A</v>
      </c>
      <c r="R2352" s="3" t="str">
        <f>IFERROR(__xludf.DUMMYFUNCTION("""COMPUTED_VALUE"""),"Small Format")</f>
        <v>Small Format</v>
      </c>
      <c r="S2352" s="3" t="str">
        <f>IFERROR(__xludf.DUMMYFUNCTION("""COMPUTED_VALUE"""),"WAWEE")</f>
        <v>WAWEE</v>
      </c>
      <c r="T2352" s="3" t="str">
        <f>IFERROR(__xludf.DUMMYFUNCTION("""COMPUTED_VALUE"""),"WAWEE")</f>
        <v>WAWEE</v>
      </c>
      <c r="U2352" s="3" t="str">
        <f>IFERROR(__xludf.DUMMYFUNCTION("""COMPUTED_VALUE"""),"#N/A")</f>
        <v>#N/A</v>
      </c>
      <c r="V2352" s="3" t="str">
        <f>IFERROR(__xludf.DUMMYFUNCTION("""COMPUTED_VALUE"""),"N")</f>
        <v>N</v>
      </c>
      <c r="W2352" s="3">
        <f>IFERROR(__xludf.DUMMYFUNCTION("""COMPUTED_VALUE"""),182035.0)</f>
        <v>182035</v>
      </c>
      <c r="X2352" s="3" t="str">
        <f>IFERROR(__xludf.DUMMYFUNCTION("""COMPUTED_VALUE"""),"565/41 หมู่ที่ 10 ตำบลหนองปรือ อำเภอบางละมุง จังหวัดชลบุรี 20260")</f>
        <v>565/41 หมู่ที่ 10 ตำบลหนองปรือ อำเภอบางละมุง จังหวัดชลบุรี 20260</v>
      </c>
      <c r="Y2352" s="3"/>
      <c r="Z2352" s="3" t="str">
        <f>IFERROR(__xludf.DUMMYFUNCTION("""COMPUTED_VALUE"""),"หนองปรือ")</f>
        <v>หนองปรือ</v>
      </c>
      <c r="AA2352" s="3" t="str">
        <f>IFERROR(__xludf.DUMMYFUNCTION("""COMPUTED_VALUE"""),"บางละมุง")</f>
        <v>บางละมุง</v>
      </c>
      <c r="AB2352" s="3" t="str">
        <f>IFERROR(__xludf.DUMMYFUNCTION("""COMPUTED_VALUE"""),"ชลบุรี")</f>
        <v>ชลบุรี</v>
      </c>
      <c r="AC2352" s="3">
        <f>IFERROR(__xludf.DUMMYFUNCTION("""COMPUTED_VALUE"""),20260.0)</f>
        <v>20260</v>
      </c>
      <c r="AD2352" s="3"/>
      <c r="AE2352" s="3"/>
      <c r="AF2352" s="3" t="str">
        <f>IFERROR(__xludf.DUMMYFUNCTION("""COMPUTED_VALUE"""),"วาวี_คีออส บิ๊กซีพัทยา2-63039")</f>
        <v>วาวี_คีออส บิ๊กซีพัทยา2-63039</v>
      </c>
      <c r="AG2352" s="3" t="str">
        <f>IFERROR(__xludf.DUMMYFUNCTION("""COMPUTED_VALUE"""),"ตะวันออก")</f>
        <v>ตะวันออก</v>
      </c>
      <c r="AH2352" s="3" t="str">
        <f>IFERROR(__xludf.DUMMYFUNCTION("""COMPUTED_VALUE"""),"#N/A")</f>
        <v>#N/A</v>
      </c>
      <c r="AI2352" s="3" t="str">
        <f>IFERROR(__xludf.DUMMYFUNCTION("""COMPUTED_VALUE"""),"Out of warranty")</f>
        <v>Out of warranty</v>
      </c>
      <c r="AJ2352" s="3">
        <f>IFERROR(__xludf.DUMMYFUNCTION("""COMPUTED_VALUE"""),15.0)</f>
        <v>15</v>
      </c>
      <c r="AK2352" s="3"/>
      <c r="AL2352" s="3"/>
    </row>
    <row r="2353" ht="15.75" customHeight="1">
      <c r="A2353" s="1" t="str">
        <f>IFERROR(__xludf.DUMMYFUNCTION("""COMPUTED_VALUE"""),"63041")</f>
        <v>63041</v>
      </c>
      <c r="B2353" s="2">
        <f>IFERROR(__xludf.DUMMYFUNCTION("""COMPUTED_VALUE"""),63041.0)</f>
        <v>63041</v>
      </c>
      <c r="C2353" s="3" t="str">
        <f>IFERROR(__xludf.DUMMYFUNCTION("""COMPUTED_VALUE"""),"วาวี พระราม2 ฟู๊ดคอร์ท")</f>
        <v>วาวี พระราม2 ฟู๊ดคอร์ท</v>
      </c>
      <c r="D2353" s="3" t="str">
        <f>IFERROR(__xludf.DUMMYFUNCTION("""COMPUTED_VALUE"""),"BIG C RAMA2 FOOD COURT K")</f>
        <v>BIG C RAMA2 FOOD COURT K</v>
      </c>
      <c r="E2353" s="1" t="str">
        <f>IFERROR(__xludf.DUMMYFUNCTION("""COMPUTED_VALUE"""),"WAWEE")</f>
        <v>WAWEE</v>
      </c>
      <c r="F2353" s="1" t="str">
        <f>IFERROR(__xludf.DUMMYFUNCTION("""COMPUTED_VALUE"""),"2083032")</f>
        <v>2083032</v>
      </c>
      <c r="G2353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53" s="1" t="str">
        <f>IFERROR(__xludf.DUMMYFUNCTION("""COMPUTED_VALUE"""),"2136555")</f>
        <v>2136555</v>
      </c>
      <c r="I2353" s="1" t="str">
        <f>IFERROR(__xludf.DUMMYFUNCTION("""COMPUTED_VALUE"""),"น.ส.ทาลินี ปาละตึง")</f>
        <v>น.ส.ทาลินี ปาละตึง</v>
      </c>
      <c r="J2353" s="3">
        <f>IFERROR(__xludf.DUMMYFUNCTION("""COMPUTED_VALUE"""),2083032.0)</f>
        <v>2083032</v>
      </c>
      <c r="K2353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53" s="1" t="str">
        <f>IFERROR(__xludf.DUMMYFUNCTION("""COMPUTED_VALUE"""),"WAWEE")</f>
        <v>WAWEE</v>
      </c>
      <c r="M2353" s="1" t="str">
        <f>IFERROR(__xludf.DUMMYFUNCTION("""COMPUTED_VALUE"""),"065-505-7642")</f>
        <v>065-505-7642</v>
      </c>
      <c r="N2353" s="3">
        <f>IFERROR(__xludf.DUMMYFUNCTION("""COMPUTED_VALUE"""),62001.0)</f>
        <v>62001</v>
      </c>
      <c r="O2353" s="3" t="str">
        <f>IFERROR(__xludf.DUMMYFUNCTION("""COMPUTED_VALUE"""),"วาวี_บิ๊กซี ราชดำริชั้น 2")</f>
        <v>วาวี_บิ๊กซี ราชดำริชั้น 2</v>
      </c>
      <c r="P2353" s="4">
        <f>IFERROR(__xludf.DUMMYFUNCTION("""COMPUTED_VALUE"""),44287.0)</f>
        <v>44287</v>
      </c>
      <c r="Q2353" s="3" t="str">
        <f>IFERROR(__xludf.DUMMYFUNCTION("""COMPUTED_VALUE"""),"A")</f>
        <v>A</v>
      </c>
      <c r="R2353" s="3" t="str">
        <f>IFERROR(__xludf.DUMMYFUNCTION("""COMPUTED_VALUE"""),"Small Format")</f>
        <v>Small Format</v>
      </c>
      <c r="S2353" s="3" t="str">
        <f>IFERROR(__xludf.DUMMYFUNCTION("""COMPUTED_VALUE"""),"WAWEE")</f>
        <v>WAWEE</v>
      </c>
      <c r="T2353" s="3" t="str">
        <f>IFERROR(__xludf.DUMMYFUNCTION("""COMPUTED_VALUE"""),"WAWEE")</f>
        <v>WAWEE</v>
      </c>
      <c r="U2353" s="3" t="str">
        <f>IFERROR(__xludf.DUMMYFUNCTION("""COMPUTED_VALUE"""),"#N/A")</f>
        <v>#N/A</v>
      </c>
      <c r="V2353" s="3" t="str">
        <f>IFERROR(__xludf.DUMMYFUNCTION("""COMPUTED_VALUE"""),"N")</f>
        <v>N</v>
      </c>
      <c r="W2353" s="3">
        <f>IFERROR(__xludf.DUMMYFUNCTION("""COMPUTED_VALUE"""),182041.0)</f>
        <v>182041</v>
      </c>
      <c r="X2353" s="3" t="str">
        <f>IFERROR(__xludf.DUMMYFUNCTION("""COMPUTED_VALUE"""),"127 ถนนพระรามที่ 2 แขวงแสมดำ เขตบางขุนเทียน กรุงเทพมหานคร 10150")</f>
        <v>127 ถนนพระรามที่ 2 แขวงแสมดำ เขตบางขุนเทียน กรุงเทพมหานคร 10150</v>
      </c>
      <c r="Y2353" s="3" t="str">
        <f>IFERROR(__xludf.DUMMYFUNCTION("""COMPUTED_VALUE"""),"พระรามที่2")</f>
        <v>พระรามที่2</v>
      </c>
      <c r="Z2353" s="3" t="str">
        <f>IFERROR(__xludf.DUMMYFUNCTION("""COMPUTED_VALUE"""),"แสมดำ")</f>
        <v>แสมดำ</v>
      </c>
      <c r="AA2353" s="3" t="str">
        <f>IFERROR(__xludf.DUMMYFUNCTION("""COMPUTED_VALUE"""),"บางขุนเทียน")</f>
        <v>บางขุนเทียน</v>
      </c>
      <c r="AB2353" s="3" t="str">
        <f>IFERROR(__xludf.DUMMYFUNCTION("""COMPUTED_VALUE"""),"กรุงเทพมหานคร")</f>
        <v>กรุงเทพมหานคร</v>
      </c>
      <c r="AC2353" s="3">
        <f>IFERROR(__xludf.DUMMYFUNCTION("""COMPUTED_VALUE"""),10150.0)</f>
        <v>10150</v>
      </c>
      <c r="AD2353" s="3">
        <f>IFERROR(__xludf.DUMMYFUNCTION("""COMPUTED_VALUE"""),0.0)</f>
        <v>0</v>
      </c>
      <c r="AE2353" s="3">
        <f>IFERROR(__xludf.DUMMYFUNCTION("""COMPUTED_VALUE"""),0.0)</f>
        <v>0</v>
      </c>
      <c r="AF2353" s="3" t="str">
        <f>IFERROR(__xludf.DUMMYFUNCTION("""COMPUTED_VALUE"""),"วาวี พระราม2 ฟู๊ดคอร์ท-63041")</f>
        <v>วาวี พระราม2 ฟู๊ดคอร์ท-63041</v>
      </c>
      <c r="AG2353" s="3" t="str">
        <f>IFERROR(__xludf.DUMMYFUNCTION("""COMPUTED_VALUE"""),"กลาง")</f>
        <v>กลาง</v>
      </c>
      <c r="AH2353" s="3" t="str">
        <f>IFERROR(__xludf.DUMMYFUNCTION("""COMPUTED_VALUE"""),"#N/A")</f>
        <v>#N/A</v>
      </c>
      <c r="AI2353" s="3" t="str">
        <f>IFERROR(__xludf.DUMMYFUNCTION("""COMPUTED_VALUE"""),"Out of warranty")</f>
        <v>Out of warranty</v>
      </c>
      <c r="AJ2353" s="3">
        <f>IFERROR(__xludf.DUMMYFUNCTION("""COMPUTED_VALUE"""),58.0)</f>
        <v>58</v>
      </c>
      <c r="AK2353" s="3"/>
      <c r="AL2353" s="3"/>
    </row>
    <row r="2354" ht="15.75" customHeight="1">
      <c r="A2354" s="1" t="str">
        <f>IFERROR(__xludf.DUMMYFUNCTION("""COMPUTED_VALUE"""),"63042")</f>
        <v>63042</v>
      </c>
      <c r="B2354" s="2">
        <f>IFERROR(__xludf.DUMMYFUNCTION("""COMPUTED_VALUE"""),63042.0)</f>
        <v>63042</v>
      </c>
      <c r="C2354" s="3" t="str">
        <f>IFERROR(__xludf.DUMMYFUNCTION("""COMPUTED_VALUE"""),"วาวี คีออส บิ๊กซี ดาวคะนอง")</f>
        <v>วาวี คีออส บิ๊กซี ดาวคะนอง</v>
      </c>
      <c r="D2354" s="3" t="str">
        <f>IFERROR(__xludf.DUMMYFUNCTION("""COMPUTED_VALUE"""),"BIG C DAO KHANONG K")</f>
        <v>BIG C DAO KHANONG K</v>
      </c>
      <c r="E2354" s="1" t="str">
        <f>IFERROR(__xludf.DUMMYFUNCTION("""COMPUTED_VALUE"""),"WAWEE")</f>
        <v>WAWEE</v>
      </c>
      <c r="F2354" s="1" t="str">
        <f>IFERROR(__xludf.DUMMYFUNCTION("""COMPUTED_VALUE"""),"296850")</f>
        <v>296850</v>
      </c>
      <c r="G2354" s="1" t="str">
        <f>IFERROR(__xludf.DUMMYFUNCTION("""COMPUTED_VALUE"""),"นายชุติเทพ โศภิษฐ์ปริวัฒน์")</f>
        <v>นายชุติเทพ โศภิษฐ์ปริวัฒน์</v>
      </c>
      <c r="H2354" s="1" t="str">
        <f>IFERROR(__xludf.DUMMYFUNCTION("""COMPUTED_VALUE"""),"296300")</f>
        <v>296300</v>
      </c>
      <c r="I2354" s="1" t="str">
        <f>IFERROR(__xludf.DUMMYFUNCTION("""COMPUTED_VALUE"""),"น.ส.วันเพ็ญ วันแสน")</f>
        <v>น.ส.วันเพ็ญ วันแสน</v>
      </c>
      <c r="J2354" s="3">
        <f>IFERROR(__xludf.DUMMYFUNCTION("""COMPUTED_VALUE"""),296319.0)</f>
        <v>296319</v>
      </c>
      <c r="K2354" s="3" t="str">
        <f>IFERROR(__xludf.DUMMYFUNCTION("""COMPUTED_VALUE"""),"นายรัฐภูมิ กิตติอิชฌติ")</f>
        <v>นายรัฐภูมิ กิตติอิชฌติ</v>
      </c>
      <c r="L2354" s="1" t="str">
        <f>IFERROR(__xludf.DUMMYFUNCTION("""COMPUTED_VALUE"""),"0")</f>
        <v>0</v>
      </c>
      <c r="M2354" s="1" t="str">
        <f>IFERROR(__xludf.DUMMYFUNCTION("""COMPUTED_VALUE"""),"0")</f>
        <v>0</v>
      </c>
      <c r="N2354" s="3">
        <f>IFERROR(__xludf.DUMMYFUNCTION("""COMPUTED_VALUE"""),62001.0)</f>
        <v>62001</v>
      </c>
      <c r="O2354" s="3" t="str">
        <f>IFERROR(__xludf.DUMMYFUNCTION("""COMPUTED_VALUE"""),"วาวี_บิ๊กซี ราชดำริชั้น 2")</f>
        <v>วาวี_บิ๊กซี ราชดำริชั้น 2</v>
      </c>
      <c r="P2354" s="4">
        <f>IFERROR(__xludf.DUMMYFUNCTION("""COMPUTED_VALUE"""),44477.0)</f>
        <v>44477</v>
      </c>
      <c r="Q2354" s="3" t="str">
        <f>IFERROR(__xludf.DUMMYFUNCTION("""COMPUTED_VALUE"""),"I")</f>
        <v>I</v>
      </c>
      <c r="R2354" s="3" t="str">
        <f>IFERROR(__xludf.DUMMYFUNCTION("""COMPUTED_VALUE"""),"Small Format")</f>
        <v>Small Format</v>
      </c>
      <c r="S2354" s="3" t="str">
        <f>IFERROR(__xludf.DUMMYFUNCTION("""COMPUTED_VALUE"""),"WAWEE")</f>
        <v>WAWEE</v>
      </c>
      <c r="T2354" s="3" t="str">
        <f>IFERROR(__xludf.DUMMYFUNCTION("""COMPUTED_VALUE"""),"#N/A")</f>
        <v>#N/A</v>
      </c>
      <c r="U2354" s="3" t="str">
        <f>IFERROR(__xludf.DUMMYFUNCTION("""COMPUTED_VALUE"""),"#N/A")</f>
        <v>#N/A</v>
      </c>
      <c r="V2354" s="3" t="str">
        <f>IFERROR(__xludf.DUMMYFUNCTION("""COMPUTED_VALUE"""),"N")</f>
        <v>N</v>
      </c>
      <c r="W2354" s="3">
        <f>IFERROR(__xludf.DUMMYFUNCTION("""COMPUTED_VALUE"""),182042.0)</f>
        <v>182042</v>
      </c>
      <c r="X2354" s="3" t="str">
        <f>IFERROR(__xludf.DUMMYFUNCTION("""COMPUTED_VALUE"""),"1050 ถนนสมเด็จพระเจ้าตากสิน แขวงดาวะนอง เขตธนบุรี กรุงเทพมหานคร 10600")</f>
        <v>1050 ถนนสมเด็จพระเจ้าตากสิน แขวงดาวะนอง เขตธนบุรี กรุงเทพมหานคร 10600</v>
      </c>
      <c r="Y2354" s="3" t="str">
        <f>IFERROR(__xludf.DUMMYFUNCTION("""COMPUTED_VALUE"""),"สมเด็จพระเจ้าตากสิน")</f>
        <v>สมเด็จพระเจ้าตากสิน</v>
      </c>
      <c r="Z2354" s="3" t="str">
        <f>IFERROR(__xludf.DUMMYFUNCTION("""COMPUTED_VALUE"""),"ดาวคะนอง")</f>
        <v>ดาวคะนอง</v>
      </c>
      <c r="AA2354" s="3" t="str">
        <f>IFERROR(__xludf.DUMMYFUNCTION("""COMPUTED_VALUE"""),"ธนบุรี")</f>
        <v>ธนบุรี</v>
      </c>
      <c r="AB2354" s="3" t="str">
        <f>IFERROR(__xludf.DUMMYFUNCTION("""COMPUTED_VALUE"""),"กรุงเทพมหานคร")</f>
        <v>กรุงเทพมหานคร</v>
      </c>
      <c r="AC2354" s="3">
        <f>IFERROR(__xludf.DUMMYFUNCTION("""COMPUTED_VALUE"""),10600.0)</f>
        <v>10600</v>
      </c>
      <c r="AD2354" s="3">
        <f>IFERROR(__xludf.DUMMYFUNCTION("""COMPUTED_VALUE"""),0.0)</f>
        <v>0</v>
      </c>
      <c r="AE2354" s="3">
        <f>IFERROR(__xludf.DUMMYFUNCTION("""COMPUTED_VALUE"""),0.0)</f>
        <v>0</v>
      </c>
      <c r="AF2354" s="3" t="str">
        <f>IFERROR(__xludf.DUMMYFUNCTION("""COMPUTED_VALUE"""),"วาวี คีออส บิ๊กซี ดาวคะนอง-63042")</f>
        <v>วาวี คีออส บิ๊กซี ดาวคะนอง-63042</v>
      </c>
      <c r="AG2354" s="3" t="str">
        <f>IFERROR(__xludf.DUMMYFUNCTION("""COMPUTED_VALUE"""),"กลาง")</f>
        <v>กลาง</v>
      </c>
      <c r="AH2354" s="3" t="str">
        <f>IFERROR(__xludf.DUMMYFUNCTION("""COMPUTED_VALUE"""),"#N/A")</f>
        <v>#N/A</v>
      </c>
      <c r="AI2354" s="3" t="str">
        <f>IFERROR(__xludf.DUMMYFUNCTION("""COMPUTED_VALUE"""),"Out of warranty")</f>
        <v>Out of warranty</v>
      </c>
      <c r="AJ2354" s="3">
        <f>IFERROR(__xludf.DUMMYFUNCTION("""COMPUTED_VALUE"""),52.0)</f>
        <v>52</v>
      </c>
      <c r="AK2354" s="3"/>
      <c r="AL2354" s="3"/>
    </row>
    <row r="2355" ht="15.75" customHeight="1">
      <c r="A2355" s="1" t="str">
        <f>IFERROR(__xludf.DUMMYFUNCTION("""COMPUTED_VALUE"""),"63049")</f>
        <v>63049</v>
      </c>
      <c r="B2355" s="2">
        <f>IFERROR(__xludf.DUMMYFUNCTION("""COMPUTED_VALUE"""),63049.0)</f>
        <v>63049</v>
      </c>
      <c r="C2355" s="3" t="str">
        <f>IFERROR(__xludf.DUMMYFUNCTION("""COMPUTED_VALUE"""),"วาวี วาวีท่าอากาศยานสุวรรณภูมิ ชั้น B1")</f>
        <v>วาวี วาวีท่าอากาศยานสุวรรณภูมิ ชั้น B1</v>
      </c>
      <c r="D2355" s="3" t="str">
        <f>IFERROR(__xludf.DUMMYFUNCTION("""COMPUTED_VALUE"""),"BIG C SUVARNABHUMI AIRPORT B1")</f>
        <v>BIG C SUVARNABHUMI AIRPORT B1</v>
      </c>
      <c r="E2355" s="1" t="str">
        <f>IFERROR(__xludf.DUMMYFUNCTION("""COMPUTED_VALUE"""),"WAWEE")</f>
        <v>WAWEE</v>
      </c>
      <c r="F2355" s="1" t="str">
        <f>IFERROR(__xludf.DUMMYFUNCTION("""COMPUTED_VALUE"""),"2083032")</f>
        <v>2083032</v>
      </c>
      <c r="G2355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55" s="1" t="str">
        <f>IFERROR(__xludf.DUMMYFUNCTION("""COMPUTED_VALUE"""),"2136555")</f>
        <v>2136555</v>
      </c>
      <c r="I2355" s="1" t="str">
        <f>IFERROR(__xludf.DUMMYFUNCTION("""COMPUTED_VALUE"""),"น.ส.ทาลินี ปาละตึง")</f>
        <v>น.ส.ทาลินี ปาละตึง</v>
      </c>
      <c r="J2355" s="3">
        <f>IFERROR(__xludf.DUMMYFUNCTION("""COMPUTED_VALUE"""),2083032.0)</f>
        <v>2083032</v>
      </c>
      <c r="K2355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55" s="1" t="str">
        <f>IFERROR(__xludf.DUMMYFUNCTION("""COMPUTED_VALUE"""),"WAWEE")</f>
        <v>WAWEE</v>
      </c>
      <c r="M2355" s="1" t="str">
        <f>IFERROR(__xludf.DUMMYFUNCTION("""COMPUTED_VALUE"""),"065-505-7642")</f>
        <v>065-505-7642</v>
      </c>
      <c r="N2355" s="3">
        <f>IFERROR(__xludf.DUMMYFUNCTION("""COMPUTED_VALUE"""),62001.0)</f>
        <v>62001</v>
      </c>
      <c r="O2355" s="3" t="str">
        <f>IFERROR(__xludf.DUMMYFUNCTION("""COMPUTED_VALUE"""),"วาวี_บิ๊กซี ราชดำริชั้น 2")</f>
        <v>วาวี_บิ๊กซี ราชดำริชั้น 2</v>
      </c>
      <c r="P2355" s="4">
        <f>IFERROR(__xludf.DUMMYFUNCTION("""COMPUTED_VALUE"""),44582.0)</f>
        <v>44582</v>
      </c>
      <c r="Q2355" s="3" t="str">
        <f>IFERROR(__xludf.DUMMYFUNCTION("""COMPUTED_VALUE"""),"A")</f>
        <v>A</v>
      </c>
      <c r="R2355" s="3" t="str">
        <f>IFERROR(__xludf.DUMMYFUNCTION("""COMPUTED_VALUE"""),"Small Format")</f>
        <v>Small Format</v>
      </c>
      <c r="S2355" s="3" t="str">
        <f>IFERROR(__xludf.DUMMYFUNCTION("""COMPUTED_VALUE"""),"WAWEE")</f>
        <v>WAWEE</v>
      </c>
      <c r="T2355" s="3" t="str">
        <f>IFERROR(__xludf.DUMMYFUNCTION("""COMPUTED_VALUE"""),"WAWEE")</f>
        <v>WAWEE</v>
      </c>
      <c r="U2355" s="3" t="str">
        <f>IFERROR(__xludf.DUMMYFUNCTION("""COMPUTED_VALUE"""),"#N/A")</f>
        <v>#N/A</v>
      </c>
      <c r="V2355" s="3" t="str">
        <f>IFERROR(__xludf.DUMMYFUNCTION("""COMPUTED_VALUE"""),"N")</f>
        <v>N</v>
      </c>
      <c r="W2355" s="3">
        <f>IFERROR(__xludf.DUMMYFUNCTION("""COMPUTED_VALUE"""),182049.0)</f>
        <v>182049</v>
      </c>
      <c r="X2355" s="3" t="str">
        <f>IFERROR(__xludf.DUMMYFUNCTION("""COMPUTED_VALUE"""),"ห้องเลขที่ T1MB1-15 TIME2-19 ชั้นB1 2 เลขที่ 999 หมู่1 ตำบลหนองปรือ อำเภอบางพลี")</f>
        <v>ห้องเลขที่ T1MB1-15 TIME2-19 ชั้นB1 2 เลขที่ 999 หมู่1 ตำบลหนองปรือ อำเภอบางพลี</v>
      </c>
      <c r="Y2355" s="3"/>
      <c r="Z2355" s="3" t="str">
        <f>IFERROR(__xludf.DUMMYFUNCTION("""COMPUTED_VALUE"""),"หนองปรือ")</f>
        <v>หนองปรือ</v>
      </c>
      <c r="AA2355" s="3" t="str">
        <f>IFERROR(__xludf.DUMMYFUNCTION("""COMPUTED_VALUE"""),"บางพลี")</f>
        <v>บางพลี</v>
      </c>
      <c r="AB2355" s="3" t="str">
        <f>IFERROR(__xludf.DUMMYFUNCTION("""COMPUTED_VALUE"""),"สมุทรปราการ")</f>
        <v>สมุทรปราการ</v>
      </c>
      <c r="AC2355" s="3"/>
      <c r="AD2355" s="3"/>
      <c r="AE2355" s="3"/>
      <c r="AF2355" s="3" t="str">
        <f>IFERROR(__xludf.DUMMYFUNCTION("""COMPUTED_VALUE"""),"วาวี วาวีท่าอากาศยานสุวรรณภูมิ ชั้น B1-63049")</f>
        <v>วาวี วาวีท่าอากาศยานสุวรรณภูมิ ชั้น B1-63049</v>
      </c>
      <c r="AG2355" s="3" t="str">
        <f>IFERROR(__xludf.DUMMYFUNCTION("""COMPUTED_VALUE"""),"กลาง")</f>
        <v>กลาง</v>
      </c>
      <c r="AH2355" s="3" t="str">
        <f>IFERROR(__xludf.DUMMYFUNCTION("""COMPUTED_VALUE"""),"#N/A")</f>
        <v>#N/A</v>
      </c>
      <c r="AI2355" s="3" t="str">
        <f>IFERROR(__xludf.DUMMYFUNCTION("""COMPUTED_VALUE"""),"Out of warranty")</f>
        <v>Out of warranty</v>
      </c>
      <c r="AJ2355" s="3">
        <f>IFERROR(__xludf.DUMMYFUNCTION("""COMPUTED_VALUE"""),48.0)</f>
        <v>48</v>
      </c>
      <c r="AK2355" s="3"/>
      <c r="AL2355" s="3"/>
    </row>
    <row r="2356" ht="15.75" customHeight="1">
      <c r="A2356" s="1" t="str">
        <f>IFERROR(__xludf.DUMMYFUNCTION("""COMPUTED_VALUE"""),"65001")</f>
        <v>65001</v>
      </c>
      <c r="B2356" s="2">
        <f>IFERROR(__xludf.DUMMYFUNCTION("""COMPUTED_VALUE"""),65001.0)</f>
        <v>65001</v>
      </c>
      <c r="C2356" s="3" t="str">
        <f>IFERROR(__xludf.DUMMYFUNCTION("""COMPUTED_VALUE"""),"วาวี_คอนเทนเนอร์ โรงพยาบาลลำพูน")</f>
        <v>วาวี_คอนเทนเนอร์ โรงพยาบาลลำพูน</v>
      </c>
      <c r="D2356" s="3" t="str">
        <f>IFERROR(__xludf.DUMMYFUNCTION("""COMPUTED_VALUE"""),"BIGC LAMPHUN HOSPITAL WAWEE C")</f>
        <v>BIGC LAMPHUN HOSPITAL WAWEE C</v>
      </c>
      <c r="E2356" s="1" t="str">
        <f>IFERROR(__xludf.DUMMYFUNCTION("""COMPUTED_VALUE"""),"WAWEE")</f>
        <v>WAWEE</v>
      </c>
      <c r="F2356" s="1" t="str">
        <f>IFERROR(__xludf.DUMMYFUNCTION("""COMPUTED_VALUE"""),"2083032")</f>
        <v>2083032</v>
      </c>
      <c r="G2356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56" s="1" t="str">
        <f>IFERROR(__xludf.DUMMYFUNCTION("""COMPUTED_VALUE"""),"2136555")</f>
        <v>2136555</v>
      </c>
      <c r="I2356" s="1" t="str">
        <f>IFERROR(__xludf.DUMMYFUNCTION("""COMPUTED_VALUE"""),"น.ส.ทาลินี ปาละตึง")</f>
        <v>น.ส.ทาลินี ปาละตึง</v>
      </c>
      <c r="J2356" s="3">
        <f>IFERROR(__xludf.DUMMYFUNCTION("""COMPUTED_VALUE"""),2083032.0)</f>
        <v>2083032</v>
      </c>
      <c r="K2356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56" s="1" t="str">
        <f>IFERROR(__xludf.DUMMYFUNCTION("""COMPUTED_VALUE"""),"WAWEE")</f>
        <v>WAWEE</v>
      </c>
      <c r="M2356" s="1" t="str">
        <f>IFERROR(__xludf.DUMMYFUNCTION("""COMPUTED_VALUE"""),"065-505-7642")</f>
        <v>065-505-7642</v>
      </c>
      <c r="N2356" s="3">
        <f>IFERROR(__xludf.DUMMYFUNCTION("""COMPUTED_VALUE"""),65001.0)</f>
        <v>65001</v>
      </c>
      <c r="O2356" s="3" t="str">
        <f>IFERROR(__xludf.DUMMYFUNCTION("""COMPUTED_VALUE"""),"วาวี_คอนเทนเนอร์ โรงพยาบาลลำพูน")</f>
        <v>วาวี_คอนเทนเนอร์ โรงพยาบาลลำพูน</v>
      </c>
      <c r="P2356" s="4">
        <f>IFERROR(__xludf.DUMMYFUNCTION("""COMPUTED_VALUE"""),43927.0)</f>
        <v>43927</v>
      </c>
      <c r="Q2356" s="3" t="str">
        <f>IFERROR(__xludf.DUMMYFUNCTION("""COMPUTED_VALUE"""),"A")</f>
        <v>A</v>
      </c>
      <c r="R2356" s="3" t="str">
        <f>IFERROR(__xludf.DUMMYFUNCTION("""COMPUTED_VALUE"""),"Small Format")</f>
        <v>Small Format</v>
      </c>
      <c r="S2356" s="3" t="str">
        <f>IFERROR(__xludf.DUMMYFUNCTION("""COMPUTED_VALUE"""),"WAWEE")</f>
        <v>WAWEE</v>
      </c>
      <c r="T2356" s="3" t="str">
        <f>IFERROR(__xludf.DUMMYFUNCTION("""COMPUTED_VALUE"""),"WAWEE")</f>
        <v>WAWEE</v>
      </c>
      <c r="U2356" s="3" t="str">
        <f>IFERROR(__xludf.DUMMYFUNCTION("""COMPUTED_VALUE"""),"#N/A")</f>
        <v>#N/A</v>
      </c>
      <c r="V2356" s="3" t="str">
        <f>IFERROR(__xludf.DUMMYFUNCTION("""COMPUTED_VALUE"""),"N")</f>
        <v>N</v>
      </c>
      <c r="W2356" s="3">
        <f>IFERROR(__xludf.DUMMYFUNCTION("""COMPUTED_VALUE"""),184003.0)</f>
        <v>184003</v>
      </c>
      <c r="X2356" s="3" t="str">
        <f>IFERROR(__xludf.DUMMYFUNCTION("""COMPUTED_VALUE"""),"อาคารราชพัสดุลำดับที่1 177 หมู่11 ตำบลต้นธง อำเภอเมืองลำพูน จังหวัดลำพูน 51000")</f>
        <v>อาคารราชพัสดุลำดับที่1 177 หมู่11 ตำบลต้นธง อำเภอเมืองลำพูน จังหวัดลำพูน 51000</v>
      </c>
      <c r="Y2356" s="3"/>
      <c r="Z2356" s="3" t="str">
        <f>IFERROR(__xludf.DUMMYFUNCTION("""COMPUTED_VALUE"""),"หมู่11")</f>
        <v>หมู่11</v>
      </c>
      <c r="AA2356" s="3" t="str">
        <f>IFERROR(__xludf.DUMMYFUNCTION("""COMPUTED_VALUE"""),"เมือง")</f>
        <v>เมือง</v>
      </c>
      <c r="AB2356" s="3" t="str">
        <f>IFERROR(__xludf.DUMMYFUNCTION("""COMPUTED_VALUE"""),"ลำพูน")</f>
        <v>ลำพูน</v>
      </c>
      <c r="AC2356" s="3">
        <f>IFERROR(__xludf.DUMMYFUNCTION("""COMPUTED_VALUE"""),51000.0)</f>
        <v>51000</v>
      </c>
      <c r="AD2356" s="3">
        <f>IFERROR(__xludf.DUMMYFUNCTION("""COMPUTED_VALUE"""),0.0)</f>
        <v>0</v>
      </c>
      <c r="AE2356" s="3">
        <f>IFERROR(__xludf.DUMMYFUNCTION("""COMPUTED_VALUE"""),0.0)</f>
        <v>0</v>
      </c>
      <c r="AF2356" s="3" t="str">
        <f>IFERROR(__xludf.DUMMYFUNCTION("""COMPUTED_VALUE"""),"วาวี_คอนเทนเนอร์ โรงพยาบาลลำพูน-65001")</f>
        <v>วาวี_คอนเทนเนอร์ โรงพยาบาลลำพูน-65001</v>
      </c>
      <c r="AG2356" s="3" t="str">
        <f>IFERROR(__xludf.DUMMYFUNCTION("""COMPUTED_VALUE"""),"เหนือ")</f>
        <v>เหนือ</v>
      </c>
      <c r="AH2356" s="3" t="str">
        <f>IFERROR(__xludf.DUMMYFUNCTION("""COMPUTED_VALUE"""),"#N/A")</f>
        <v>#N/A</v>
      </c>
      <c r="AI2356" s="3" t="str">
        <f>IFERROR(__xludf.DUMMYFUNCTION("""COMPUTED_VALUE"""),"Out of warranty")</f>
        <v>Out of warranty</v>
      </c>
      <c r="AJ2356" s="3">
        <f>IFERROR(__xludf.DUMMYFUNCTION("""COMPUTED_VALUE"""),70.0)</f>
        <v>70</v>
      </c>
      <c r="AK2356" s="3"/>
      <c r="AL2356" s="3"/>
    </row>
    <row r="2357" ht="15.75" customHeight="1">
      <c r="A2357" s="1" t="str">
        <f>IFERROR(__xludf.DUMMYFUNCTION("""COMPUTED_VALUE"""),"65002")</f>
        <v>65002</v>
      </c>
      <c r="B2357" s="2">
        <f>IFERROR(__xludf.DUMMYFUNCTION("""COMPUTED_VALUE"""),65002.0)</f>
        <v>65002</v>
      </c>
      <c r="C2357" s="3" t="str">
        <f>IFERROR(__xludf.DUMMYFUNCTION("""COMPUTED_VALUE"""),"วาวี_คอนเทนเนอร์ บิ๊กซีลาดพร้าว 2")</f>
        <v>วาวี_คอนเทนเนอร์ บิ๊กซีลาดพร้าว 2</v>
      </c>
      <c r="D2357" s="3" t="str">
        <f>IFERROR(__xludf.DUMMYFUNCTION("""COMPUTED_VALUE"""),"TEMP STROE")</f>
        <v>TEMP STROE</v>
      </c>
      <c r="E2357" s="1" t="str">
        <f>IFERROR(__xludf.DUMMYFUNCTION("""COMPUTED_VALUE"""),"WAWEE")</f>
        <v>WAWEE</v>
      </c>
      <c r="F2357" s="3"/>
      <c r="G2357" s="3"/>
      <c r="H2357" s="3"/>
      <c r="I2357" s="3"/>
      <c r="J2357" s="3">
        <f>IFERROR(__xludf.DUMMYFUNCTION("""COMPUTED_VALUE"""),296319.0)</f>
        <v>296319</v>
      </c>
      <c r="K2357" s="3" t="str">
        <f>IFERROR(__xludf.DUMMYFUNCTION("""COMPUTED_VALUE"""),"นายรัฐภูมิ กิตติอิชฌติ")</f>
        <v>นายรัฐภูมิ กิตติอิชฌติ</v>
      </c>
      <c r="L2357" s="1" t="str">
        <f>IFERROR(__xludf.DUMMYFUNCTION("""COMPUTED_VALUE"""),"0")</f>
        <v>0</v>
      </c>
      <c r="M2357" s="1" t="str">
        <f>IFERROR(__xludf.DUMMYFUNCTION("""COMPUTED_VALUE"""),"0")</f>
        <v>0</v>
      </c>
      <c r="N2357" s="3">
        <f>IFERROR(__xludf.DUMMYFUNCTION("""COMPUTED_VALUE"""),65002.0)</f>
        <v>65002</v>
      </c>
      <c r="O2357" s="3" t="str">
        <f>IFERROR(__xludf.DUMMYFUNCTION("""COMPUTED_VALUE"""),"วาวี_คอนเทนเนอร์ บิ๊กซีลาดพร้าว 2")</f>
        <v>วาวี_คอนเทนเนอร์ บิ๊กซีลาดพร้าว 2</v>
      </c>
      <c r="P2357" s="4">
        <f>IFERROR(__xludf.DUMMYFUNCTION("""COMPUTED_VALUE"""),45099.0)</f>
        <v>45099</v>
      </c>
      <c r="Q2357" s="3" t="str">
        <f>IFERROR(__xludf.DUMMYFUNCTION("""COMPUTED_VALUE"""),"I")</f>
        <v>I</v>
      </c>
      <c r="R2357" s="3" t="str">
        <f>IFERROR(__xludf.DUMMYFUNCTION("""COMPUTED_VALUE"""),"Small Format")</f>
        <v>Small Format</v>
      </c>
      <c r="S2357" s="3" t="str">
        <f>IFERROR(__xludf.DUMMYFUNCTION("""COMPUTED_VALUE"""),"WAWEE")</f>
        <v>WAWEE</v>
      </c>
      <c r="T2357" s="3" t="str">
        <f>IFERROR(__xludf.DUMMYFUNCTION("""COMPUTED_VALUE"""),"#N/A")</f>
        <v>#N/A</v>
      </c>
      <c r="U2357" s="3" t="str">
        <f>IFERROR(__xludf.DUMMYFUNCTION("""COMPUTED_VALUE"""),"#N/A")</f>
        <v>#N/A</v>
      </c>
      <c r="V2357" s="3" t="str">
        <f>IFERROR(__xludf.DUMMYFUNCTION("""COMPUTED_VALUE"""),"N")</f>
        <v>N</v>
      </c>
      <c r="W2357" s="3">
        <f>IFERROR(__xludf.DUMMYFUNCTION("""COMPUTED_VALUE"""),0.0)</f>
        <v>0</v>
      </c>
      <c r="X2357" s="3" t="str">
        <f>IFERROR(__xludf.DUMMYFUNCTION("""COMPUTED_VALUE"""),"TEMP STROE TEMP STROE")</f>
        <v>TEMP STROE TEMP STROE</v>
      </c>
      <c r="Y2357" s="3"/>
      <c r="Z2357" s="3"/>
      <c r="AA2357" s="3"/>
      <c r="AB2357" s="3"/>
      <c r="AC2357" s="3"/>
      <c r="AD2357" s="3">
        <f>IFERROR(__xludf.DUMMYFUNCTION("""COMPUTED_VALUE"""),0.0)</f>
        <v>0</v>
      </c>
      <c r="AE2357" s="3">
        <f>IFERROR(__xludf.DUMMYFUNCTION("""COMPUTED_VALUE"""),0.0)</f>
        <v>0</v>
      </c>
      <c r="AF2357" s="3" t="str">
        <f>IFERROR(__xludf.DUMMYFUNCTION("""COMPUTED_VALUE"""),"วาวี_คอนเทนเนอร์ บิ๊กซีลาดพร้าว 2-65002")</f>
        <v>วาวี_คอนเทนเนอร์ บิ๊กซีลาดพร้าว 2-65002</v>
      </c>
      <c r="AG2357" s="3">
        <f>IFERROR(__xludf.DUMMYFUNCTION("""COMPUTED_VALUE"""),0.0)</f>
        <v>0</v>
      </c>
      <c r="AH2357" s="3" t="str">
        <f>IFERROR(__xludf.DUMMYFUNCTION("""COMPUTED_VALUE"""),"#N/A")</f>
        <v>#N/A</v>
      </c>
      <c r="AI2357" s="3" t="str">
        <f>IFERROR(__xludf.DUMMYFUNCTION("""COMPUTED_VALUE"""),"Out of warranty")</f>
        <v>Out of warranty</v>
      </c>
      <c r="AJ2357" s="3">
        <f>IFERROR(__xludf.DUMMYFUNCTION("""COMPUTED_VALUE"""),31.0)</f>
        <v>31</v>
      </c>
      <c r="AK2357" s="3"/>
      <c r="AL2357" s="3"/>
    </row>
    <row r="2358" ht="15.75" customHeight="1">
      <c r="A2358" s="1" t="str">
        <f>IFERROR(__xludf.DUMMYFUNCTION("""COMPUTED_VALUE"""),"65003")</f>
        <v>65003</v>
      </c>
      <c r="B2358" s="2">
        <f>IFERROR(__xludf.DUMMYFUNCTION("""COMPUTED_VALUE"""),65003.0)</f>
        <v>65003</v>
      </c>
      <c r="C2358" s="3" t="str">
        <f>IFERROR(__xludf.DUMMYFUNCTION("""COMPUTED_VALUE"""),"วาวี คอนเทนเนอร์ ม.เทคโนโลยีราชมงคลกรุงเทพ")</f>
        <v>วาวี คอนเทนเนอร์ ม.เทคโนโลยีราชมงคลกรุงเทพ</v>
      </c>
      <c r="D2358" s="3" t="str">
        <f>IFERROR(__xludf.DUMMYFUNCTION("""COMPUTED_VALUE"""),"BIGC RMUTK")</f>
        <v>BIGC RMUTK</v>
      </c>
      <c r="E2358" s="1" t="str">
        <f>IFERROR(__xludf.DUMMYFUNCTION("""COMPUTED_VALUE"""),"WAWEE")</f>
        <v>WAWEE</v>
      </c>
      <c r="F2358" s="1" t="str">
        <f>IFERROR(__xludf.DUMMYFUNCTION("""COMPUTED_VALUE"""),"2083032")</f>
        <v>2083032</v>
      </c>
      <c r="G2358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58" s="1" t="str">
        <f>IFERROR(__xludf.DUMMYFUNCTION("""COMPUTED_VALUE"""),"2136555")</f>
        <v>2136555</v>
      </c>
      <c r="I2358" s="1" t="str">
        <f>IFERROR(__xludf.DUMMYFUNCTION("""COMPUTED_VALUE"""),"น.ส.ทาลินี ปาละตึง")</f>
        <v>น.ส.ทาลินี ปาละตึง</v>
      </c>
      <c r="J2358" s="3">
        <f>IFERROR(__xludf.DUMMYFUNCTION("""COMPUTED_VALUE"""),2083032.0)</f>
        <v>2083032</v>
      </c>
      <c r="K2358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58" s="1" t="str">
        <f>IFERROR(__xludf.DUMMYFUNCTION("""COMPUTED_VALUE"""),"WAWEE")</f>
        <v>WAWEE</v>
      </c>
      <c r="M2358" s="1" t="str">
        <f>IFERROR(__xludf.DUMMYFUNCTION("""COMPUTED_VALUE"""),"065-505-7642")</f>
        <v>065-505-7642</v>
      </c>
      <c r="N2358" s="3">
        <f>IFERROR(__xludf.DUMMYFUNCTION("""COMPUTED_VALUE"""),62001.0)</f>
        <v>62001</v>
      </c>
      <c r="O2358" s="3" t="str">
        <f>IFERROR(__xludf.DUMMYFUNCTION("""COMPUTED_VALUE"""),"วาวี_บิ๊กซี ราชดำริชั้น 2")</f>
        <v>วาวี_บิ๊กซี ราชดำริชั้น 2</v>
      </c>
      <c r="P2358" s="4">
        <f>IFERROR(__xludf.DUMMYFUNCTION("""COMPUTED_VALUE"""),44051.0)</f>
        <v>44051</v>
      </c>
      <c r="Q2358" s="3" t="str">
        <f>IFERROR(__xludf.DUMMYFUNCTION("""COMPUTED_VALUE"""),"A")</f>
        <v>A</v>
      </c>
      <c r="R2358" s="3" t="str">
        <f>IFERROR(__xludf.DUMMYFUNCTION("""COMPUTED_VALUE"""),"Small Format")</f>
        <v>Small Format</v>
      </c>
      <c r="S2358" s="3" t="str">
        <f>IFERROR(__xludf.DUMMYFUNCTION("""COMPUTED_VALUE"""),"WAWEE")</f>
        <v>WAWEE</v>
      </c>
      <c r="T2358" s="3" t="str">
        <f>IFERROR(__xludf.DUMMYFUNCTION("""COMPUTED_VALUE"""),"WAWEE")</f>
        <v>WAWEE</v>
      </c>
      <c r="U2358" s="3" t="str">
        <f>IFERROR(__xludf.DUMMYFUNCTION("""COMPUTED_VALUE"""),"#N/A")</f>
        <v>#N/A</v>
      </c>
      <c r="V2358" s="3" t="str">
        <f>IFERROR(__xludf.DUMMYFUNCTION("""COMPUTED_VALUE"""),"N")</f>
        <v>N</v>
      </c>
      <c r="W2358" s="3">
        <f>IFERROR(__xludf.DUMMYFUNCTION("""COMPUTED_VALUE"""),184004.0)</f>
        <v>184004</v>
      </c>
      <c r="X2358" s="3" t="str">
        <f>IFERROR(__xludf.DUMMYFUNCTION("""COMPUTED_VALUE"""),"อาคาร 3/1 เลขที่2 ถนนนางลิ้นจี่ แขวงทุ่งมหาเมฆ เขตสาทร กรุงเทพมหานคร 10120")</f>
        <v>อาคาร 3/1 เลขที่2 ถนนนางลิ้นจี่ แขวงทุ่งมหาเมฆ เขตสาทร กรุงเทพมหานคร 10120</v>
      </c>
      <c r="Y2358" s="3" t="str">
        <f>IFERROR(__xludf.DUMMYFUNCTION("""COMPUTED_VALUE"""),"ถนนนางลิ้นจี่")</f>
        <v>ถนนนางลิ้นจี่</v>
      </c>
      <c r="Z2358" s="3" t="str">
        <f>IFERROR(__xludf.DUMMYFUNCTION("""COMPUTED_VALUE"""),"เลขที่2")</f>
        <v>เลขที่2</v>
      </c>
      <c r="AA2358" s="3" t="str">
        <f>IFERROR(__xludf.DUMMYFUNCTION("""COMPUTED_VALUE"""),"สาทร")</f>
        <v>สาทร</v>
      </c>
      <c r="AB2358" s="3" t="str">
        <f>IFERROR(__xludf.DUMMYFUNCTION("""COMPUTED_VALUE"""),"กรุงเทพมหานคร")</f>
        <v>กรุงเทพมหานคร</v>
      </c>
      <c r="AC2358" s="3">
        <f>IFERROR(__xludf.DUMMYFUNCTION("""COMPUTED_VALUE"""),10120.0)</f>
        <v>10120</v>
      </c>
      <c r="AD2358" s="3">
        <f>IFERROR(__xludf.DUMMYFUNCTION("""COMPUTED_VALUE"""),0.0)</f>
        <v>0</v>
      </c>
      <c r="AE2358" s="3">
        <f>IFERROR(__xludf.DUMMYFUNCTION("""COMPUTED_VALUE"""),0.0)</f>
        <v>0</v>
      </c>
      <c r="AF2358" s="3" t="str">
        <f>IFERROR(__xludf.DUMMYFUNCTION("""COMPUTED_VALUE"""),"วาวี คอนเทนเนอร์ ม.เทคโนโลยีราชมงคลกรุงเทพ-65003")</f>
        <v>วาวี คอนเทนเนอร์ ม.เทคโนโลยีราชมงคลกรุงเทพ-65003</v>
      </c>
      <c r="AG2358" s="3" t="str">
        <f>IFERROR(__xludf.DUMMYFUNCTION("""COMPUTED_VALUE"""),"กลาง")</f>
        <v>กลาง</v>
      </c>
      <c r="AH2358" s="3" t="str">
        <f>IFERROR(__xludf.DUMMYFUNCTION("""COMPUTED_VALUE"""),"#N/A")</f>
        <v>#N/A</v>
      </c>
      <c r="AI2358" s="3" t="str">
        <f>IFERROR(__xludf.DUMMYFUNCTION("""COMPUTED_VALUE"""),"Out of warranty")</f>
        <v>Out of warranty</v>
      </c>
      <c r="AJ2358" s="3">
        <f>IFERROR(__xludf.DUMMYFUNCTION("""COMPUTED_VALUE"""),66.0)</f>
        <v>66</v>
      </c>
      <c r="AK2358" s="3"/>
      <c r="AL2358" s="3"/>
    </row>
    <row r="2359" ht="15.75" customHeight="1">
      <c r="A2359" s="1" t="str">
        <f>IFERROR(__xludf.DUMMYFUNCTION("""COMPUTED_VALUE"""),"65004")</f>
        <v>65004</v>
      </c>
      <c r="B2359" s="2">
        <f>IFERROR(__xludf.DUMMYFUNCTION("""COMPUTED_VALUE"""),65004.0)</f>
        <v>65004</v>
      </c>
      <c r="C2359" s="3" t="str">
        <f>IFERROR(__xludf.DUMMYFUNCTION("""COMPUTED_VALUE"""),"วาวี มหาชัย 2")</f>
        <v>วาวี มหาชัย 2</v>
      </c>
      <c r="D2359" s="3" t="str">
        <f>IFERROR(__xludf.DUMMYFUNCTION("""COMPUTED_VALUE"""),"BIGC MAHACHAI 2 CONTAINER")</f>
        <v>BIGC MAHACHAI 2 CONTAINER</v>
      </c>
      <c r="E2359" s="1" t="str">
        <f>IFERROR(__xludf.DUMMYFUNCTION("""COMPUTED_VALUE"""),"WAWEE")</f>
        <v>WAWEE</v>
      </c>
      <c r="F2359" s="1" t="str">
        <f>IFERROR(__xludf.DUMMYFUNCTION("""COMPUTED_VALUE"""),"2083032")</f>
        <v>2083032</v>
      </c>
      <c r="G2359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59" s="1" t="str">
        <f>IFERROR(__xludf.DUMMYFUNCTION("""COMPUTED_VALUE"""),"2136555")</f>
        <v>2136555</v>
      </c>
      <c r="I2359" s="1" t="str">
        <f>IFERROR(__xludf.DUMMYFUNCTION("""COMPUTED_VALUE"""),"น.ส.ทาลินี ปาละตึง")</f>
        <v>น.ส.ทาลินี ปาละตึง</v>
      </c>
      <c r="J2359" s="3">
        <f>IFERROR(__xludf.DUMMYFUNCTION("""COMPUTED_VALUE"""),2083032.0)</f>
        <v>2083032</v>
      </c>
      <c r="K2359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59" s="1" t="str">
        <f>IFERROR(__xludf.DUMMYFUNCTION("""COMPUTED_VALUE"""),"WAWEE")</f>
        <v>WAWEE</v>
      </c>
      <c r="M2359" s="1" t="str">
        <f>IFERROR(__xludf.DUMMYFUNCTION("""COMPUTED_VALUE"""),"065-505-7642")</f>
        <v>065-505-7642</v>
      </c>
      <c r="N2359" s="3">
        <f>IFERROR(__xludf.DUMMYFUNCTION("""COMPUTED_VALUE"""),65004.0)</f>
        <v>65004</v>
      </c>
      <c r="O2359" s="3" t="str">
        <f>IFERROR(__xludf.DUMMYFUNCTION("""COMPUTED_VALUE"""),"วาวี มหาชัย 2")</f>
        <v>วาวี มหาชัย 2</v>
      </c>
      <c r="P2359" s="4">
        <f>IFERROR(__xludf.DUMMYFUNCTION("""COMPUTED_VALUE"""),44100.0)</f>
        <v>44100</v>
      </c>
      <c r="Q2359" s="3" t="str">
        <f>IFERROR(__xludf.DUMMYFUNCTION("""COMPUTED_VALUE"""),"A")</f>
        <v>A</v>
      </c>
      <c r="R2359" s="3" t="str">
        <f>IFERROR(__xludf.DUMMYFUNCTION("""COMPUTED_VALUE"""),"Small Format")</f>
        <v>Small Format</v>
      </c>
      <c r="S2359" s="3" t="str">
        <f>IFERROR(__xludf.DUMMYFUNCTION("""COMPUTED_VALUE"""),"WAWEE")</f>
        <v>WAWEE</v>
      </c>
      <c r="T2359" s="3" t="str">
        <f>IFERROR(__xludf.DUMMYFUNCTION("""COMPUTED_VALUE"""),"WAWEE")</f>
        <v>WAWEE</v>
      </c>
      <c r="U2359" s="3" t="str">
        <f>IFERROR(__xludf.DUMMYFUNCTION("""COMPUTED_VALUE"""),"#N/A")</f>
        <v>#N/A</v>
      </c>
      <c r="V2359" s="3" t="str">
        <f>IFERROR(__xludf.DUMMYFUNCTION("""COMPUTED_VALUE"""),"N")</f>
        <v>N</v>
      </c>
      <c r="W2359" s="3">
        <f>IFERROR(__xludf.DUMMYFUNCTION("""COMPUTED_VALUE"""),184005.0)</f>
        <v>184005</v>
      </c>
      <c r="X2359" s="3" t="str">
        <f>IFERROR(__xludf.DUMMYFUNCTION("""COMPUTED_VALUE"""),"67/534 หมู่4 ตำบลโคกขาม อำเภอเมืองสมุทรสาคร จังหวัดสมุทรสาคร 74000")</f>
        <v>67/534 หมู่4 ตำบลโคกขาม อำเภอเมืองสมุทรสาคร จังหวัดสมุทรสาคร 74000</v>
      </c>
      <c r="Y2359" s="3"/>
      <c r="Z2359" s="3" t="str">
        <f>IFERROR(__xludf.DUMMYFUNCTION("""COMPUTED_VALUE"""),"โคกขาม")</f>
        <v>โคกขาม</v>
      </c>
      <c r="AA2359" s="3" t="str">
        <f>IFERROR(__xludf.DUMMYFUNCTION("""COMPUTED_VALUE"""),"เมือง")</f>
        <v>เมือง</v>
      </c>
      <c r="AB2359" s="3" t="str">
        <f>IFERROR(__xludf.DUMMYFUNCTION("""COMPUTED_VALUE"""),"สมุทรสาคร")</f>
        <v>สมุทรสาคร</v>
      </c>
      <c r="AC2359" s="3">
        <f>IFERROR(__xludf.DUMMYFUNCTION("""COMPUTED_VALUE"""),74000.0)</f>
        <v>74000</v>
      </c>
      <c r="AD2359" s="3">
        <f>IFERROR(__xludf.DUMMYFUNCTION("""COMPUTED_VALUE"""),0.0)</f>
        <v>0</v>
      </c>
      <c r="AE2359" s="3">
        <f>IFERROR(__xludf.DUMMYFUNCTION("""COMPUTED_VALUE"""),0.0)</f>
        <v>0</v>
      </c>
      <c r="AF2359" s="3" t="str">
        <f>IFERROR(__xludf.DUMMYFUNCTION("""COMPUTED_VALUE"""),"วาวี มหาชัย 2-65004")</f>
        <v>วาวี มหาชัย 2-65004</v>
      </c>
      <c r="AG2359" s="3" t="str">
        <f>IFERROR(__xludf.DUMMYFUNCTION("""COMPUTED_VALUE"""),"กลาง")</f>
        <v>กลาง</v>
      </c>
      <c r="AH2359" s="3" t="str">
        <f>IFERROR(__xludf.DUMMYFUNCTION("""COMPUTED_VALUE"""),"#N/A")</f>
        <v>#N/A</v>
      </c>
      <c r="AI2359" s="3" t="str">
        <f>IFERROR(__xludf.DUMMYFUNCTION("""COMPUTED_VALUE"""),"Out of warranty")</f>
        <v>Out of warranty</v>
      </c>
      <c r="AJ2359" s="3">
        <f>IFERROR(__xludf.DUMMYFUNCTION("""COMPUTED_VALUE"""),64.0)</f>
        <v>64</v>
      </c>
      <c r="AK2359" s="3"/>
      <c r="AL2359" s="3"/>
    </row>
    <row r="2360" ht="15.75" customHeight="1">
      <c r="A2360" s="1" t="str">
        <f>IFERROR(__xludf.DUMMYFUNCTION("""COMPUTED_VALUE"""),"65005")</f>
        <v>65005</v>
      </c>
      <c r="B2360" s="2">
        <f>IFERROR(__xludf.DUMMYFUNCTION("""COMPUTED_VALUE"""),65005.0)</f>
        <v>65005</v>
      </c>
      <c r="C2360" s="3" t="str">
        <f>IFERROR(__xludf.DUMMYFUNCTION("""COMPUTED_VALUE"""),"วาวี สถาบันบัณฑิตพัฒนศิลป์ ศาลายา")</f>
        <v>วาวี สถาบันบัณฑิตพัฒนศิลป์ ศาลายา</v>
      </c>
      <c r="D2360" s="3" t="str">
        <f>IFERROR(__xludf.DUMMYFUNCTION("""COMPUTED_VALUE"""),"BIG C BUNDITPATANASILPA")</f>
        <v>BIG C BUNDITPATANASILPA</v>
      </c>
      <c r="E2360" s="1" t="str">
        <f>IFERROR(__xludf.DUMMYFUNCTION("""COMPUTED_VALUE"""),"WAWEE")</f>
        <v>WAWEE</v>
      </c>
      <c r="F2360" s="1" t="str">
        <f>IFERROR(__xludf.DUMMYFUNCTION("""COMPUTED_VALUE"""),"2083032")</f>
        <v>2083032</v>
      </c>
      <c r="G2360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60" s="1" t="str">
        <f>IFERROR(__xludf.DUMMYFUNCTION("""COMPUTED_VALUE"""),"2136555")</f>
        <v>2136555</v>
      </c>
      <c r="I2360" s="1" t="str">
        <f>IFERROR(__xludf.DUMMYFUNCTION("""COMPUTED_VALUE"""),"น.ส.ทาลินี ปาละตึง")</f>
        <v>น.ส.ทาลินี ปาละตึง</v>
      </c>
      <c r="J2360" s="3">
        <f>IFERROR(__xludf.DUMMYFUNCTION("""COMPUTED_VALUE"""),2083032.0)</f>
        <v>2083032</v>
      </c>
      <c r="K2360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60" s="1" t="str">
        <f>IFERROR(__xludf.DUMMYFUNCTION("""COMPUTED_VALUE"""),"WAWEE")</f>
        <v>WAWEE</v>
      </c>
      <c r="M2360" s="1" t="str">
        <f>IFERROR(__xludf.DUMMYFUNCTION("""COMPUTED_VALUE"""),"065-505-7642")</f>
        <v>065-505-7642</v>
      </c>
      <c r="N2360" s="3">
        <f>IFERROR(__xludf.DUMMYFUNCTION("""COMPUTED_VALUE"""),62001.0)</f>
        <v>62001</v>
      </c>
      <c r="O2360" s="3" t="str">
        <f>IFERROR(__xludf.DUMMYFUNCTION("""COMPUTED_VALUE"""),"วาวี_บิ๊กซี ราชดำริชั้น 2")</f>
        <v>วาวี_บิ๊กซี ราชดำริชั้น 2</v>
      </c>
      <c r="P2360" s="4">
        <f>IFERROR(__xludf.DUMMYFUNCTION("""COMPUTED_VALUE"""),44501.0)</f>
        <v>44501</v>
      </c>
      <c r="Q2360" s="3" t="str">
        <f>IFERROR(__xludf.DUMMYFUNCTION("""COMPUTED_VALUE"""),"A")</f>
        <v>A</v>
      </c>
      <c r="R2360" s="3" t="str">
        <f>IFERROR(__xludf.DUMMYFUNCTION("""COMPUTED_VALUE"""),"Small Format")</f>
        <v>Small Format</v>
      </c>
      <c r="S2360" s="3" t="str">
        <f>IFERROR(__xludf.DUMMYFUNCTION("""COMPUTED_VALUE"""),"WAWEE")</f>
        <v>WAWEE</v>
      </c>
      <c r="T2360" s="3" t="str">
        <f>IFERROR(__xludf.DUMMYFUNCTION("""COMPUTED_VALUE"""),"WAWEE")</f>
        <v>WAWEE</v>
      </c>
      <c r="U2360" s="3" t="str">
        <f>IFERROR(__xludf.DUMMYFUNCTION("""COMPUTED_VALUE"""),"#N/A")</f>
        <v>#N/A</v>
      </c>
      <c r="V2360" s="3" t="str">
        <f>IFERROR(__xludf.DUMMYFUNCTION("""COMPUTED_VALUE"""),"N")</f>
        <v>N</v>
      </c>
      <c r="W2360" s="3">
        <f>IFERROR(__xludf.DUMMYFUNCTION("""COMPUTED_VALUE"""),184006.0)</f>
        <v>184006</v>
      </c>
      <c r="X2360" s="3" t="str">
        <f>IFERROR(__xludf.DUMMYFUNCTION("""COMPUTED_VALUE"""),"119/12 หมู่3 ตำบลศาลายา อำเภอพุทธมณฑล จังหวัดนครปฐม 73170")</f>
        <v>119/12 หมู่3 ตำบลศาลายา อำเภอพุทธมณฑล จังหวัดนครปฐม 73170</v>
      </c>
      <c r="Y2360" s="3"/>
      <c r="Z2360" s="3" t="str">
        <f>IFERROR(__xludf.DUMMYFUNCTION("""COMPUTED_VALUE"""),"ศาลายา")</f>
        <v>ศาลายา</v>
      </c>
      <c r="AA2360" s="3" t="str">
        <f>IFERROR(__xludf.DUMMYFUNCTION("""COMPUTED_VALUE"""),"พุทธมณฑล")</f>
        <v>พุทธมณฑล</v>
      </c>
      <c r="AB2360" s="3" t="str">
        <f>IFERROR(__xludf.DUMMYFUNCTION("""COMPUTED_VALUE"""),"นครปฐม")</f>
        <v>นครปฐม</v>
      </c>
      <c r="AC2360" s="3">
        <f>IFERROR(__xludf.DUMMYFUNCTION("""COMPUTED_VALUE"""),73170.0)</f>
        <v>73170</v>
      </c>
      <c r="AD2360" s="3">
        <f>IFERROR(__xludf.DUMMYFUNCTION("""COMPUTED_VALUE"""),13.8022657)</f>
        <v>13.8022657</v>
      </c>
      <c r="AE2360" s="3">
        <f>IFERROR(__xludf.DUMMYFUNCTION("""COMPUTED_VALUE"""),100.3186702)</f>
        <v>100.3186702</v>
      </c>
      <c r="AF2360" s="3" t="str">
        <f>IFERROR(__xludf.DUMMYFUNCTION("""COMPUTED_VALUE"""),"วาวี สถาบันบัณฑิตพัฒนศิลป์ ศาลายา-65005")</f>
        <v>วาวี สถาบันบัณฑิตพัฒนศิลป์ ศาลายา-65005</v>
      </c>
      <c r="AG2360" s="3" t="str">
        <f>IFERROR(__xludf.DUMMYFUNCTION("""COMPUTED_VALUE"""),"กลาง")</f>
        <v>กลาง</v>
      </c>
      <c r="AH2360" s="3" t="str">
        <f>IFERROR(__xludf.DUMMYFUNCTION("""COMPUTED_VALUE"""),"#N/A")</f>
        <v>#N/A</v>
      </c>
      <c r="AI2360" s="3" t="str">
        <f>IFERROR(__xludf.DUMMYFUNCTION("""COMPUTED_VALUE"""),"Out of warranty")</f>
        <v>Out of warranty</v>
      </c>
      <c r="AJ2360" s="3">
        <f>IFERROR(__xludf.DUMMYFUNCTION("""COMPUTED_VALUE"""),51.0)</f>
        <v>51</v>
      </c>
      <c r="AK2360" s="3"/>
      <c r="AL2360" s="3"/>
    </row>
    <row r="2361" ht="15.75" customHeight="1">
      <c r="A2361" s="1" t="str">
        <f>IFERROR(__xludf.DUMMYFUNCTION("""COMPUTED_VALUE"""),"65006")</f>
        <v>65006</v>
      </c>
      <c r="B2361" s="2">
        <f>IFERROR(__xludf.DUMMYFUNCTION("""COMPUTED_VALUE"""),65006.0)</f>
        <v>65006</v>
      </c>
      <c r="C2361" s="3" t="str">
        <f>IFERROR(__xludf.DUMMYFUNCTION("""COMPUTED_VALUE"""),"วาวี คอนเทนเนอร์ พระราม2 เรสท์ แอเรีย")</f>
        <v>วาวี คอนเทนเนอร์ พระราม2 เรสท์ แอเรีย</v>
      </c>
      <c r="D2361" s="3" t="str">
        <f>IFERROR(__xludf.DUMMYFUNCTION("""COMPUTED_VALUE"""),"BIG C RAMA2 REST AREA C")</f>
        <v>BIG C RAMA2 REST AREA C</v>
      </c>
      <c r="E2361" s="1" t="str">
        <f>IFERROR(__xludf.DUMMYFUNCTION("""COMPUTED_VALUE"""),"WAWEE")</f>
        <v>WAWEE</v>
      </c>
      <c r="F2361" s="1" t="str">
        <f>IFERROR(__xludf.DUMMYFUNCTION("""COMPUTED_VALUE"""),"2083032")</f>
        <v>2083032</v>
      </c>
      <c r="G2361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61" s="1" t="str">
        <f>IFERROR(__xludf.DUMMYFUNCTION("""COMPUTED_VALUE"""),"2136555")</f>
        <v>2136555</v>
      </c>
      <c r="I2361" s="1" t="str">
        <f>IFERROR(__xludf.DUMMYFUNCTION("""COMPUTED_VALUE"""),"น.ส.ทาลินี ปาละตึง")</f>
        <v>น.ส.ทาลินี ปาละตึง</v>
      </c>
      <c r="J2361" s="3">
        <f>IFERROR(__xludf.DUMMYFUNCTION("""COMPUTED_VALUE"""),2083032.0)</f>
        <v>2083032</v>
      </c>
      <c r="K2361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61" s="1" t="str">
        <f>IFERROR(__xludf.DUMMYFUNCTION("""COMPUTED_VALUE"""),"WAWEE")</f>
        <v>WAWEE</v>
      </c>
      <c r="M2361" s="1" t="str">
        <f>IFERROR(__xludf.DUMMYFUNCTION("""COMPUTED_VALUE"""),"065-505-7642")</f>
        <v>065-505-7642</v>
      </c>
      <c r="N2361" s="3">
        <f>IFERROR(__xludf.DUMMYFUNCTION("""COMPUTED_VALUE"""),65006.0)</f>
        <v>65006</v>
      </c>
      <c r="O2361" s="3" t="str">
        <f>IFERROR(__xludf.DUMMYFUNCTION("""COMPUTED_VALUE"""),"วาวี คอนเทนเนอร์ พระราม2 เรสท์ แอเรีย")</f>
        <v>วาวี คอนเทนเนอร์ พระราม2 เรสท์ แอเรีย</v>
      </c>
      <c r="P2361" s="4">
        <f>IFERROR(__xludf.DUMMYFUNCTION("""COMPUTED_VALUE"""),44450.0)</f>
        <v>44450</v>
      </c>
      <c r="Q2361" s="3" t="str">
        <f>IFERROR(__xludf.DUMMYFUNCTION("""COMPUTED_VALUE"""),"A")</f>
        <v>A</v>
      </c>
      <c r="R2361" s="3" t="str">
        <f>IFERROR(__xludf.DUMMYFUNCTION("""COMPUTED_VALUE"""),"Small Format")</f>
        <v>Small Format</v>
      </c>
      <c r="S2361" s="3" t="str">
        <f>IFERROR(__xludf.DUMMYFUNCTION("""COMPUTED_VALUE"""),"WAWEE")</f>
        <v>WAWEE</v>
      </c>
      <c r="T2361" s="3" t="str">
        <f>IFERROR(__xludf.DUMMYFUNCTION("""COMPUTED_VALUE"""),"WAWEE")</f>
        <v>WAWEE</v>
      </c>
      <c r="U2361" s="3" t="str">
        <f>IFERROR(__xludf.DUMMYFUNCTION("""COMPUTED_VALUE"""),"#N/A")</f>
        <v>#N/A</v>
      </c>
      <c r="V2361" s="3" t="str">
        <f>IFERROR(__xludf.DUMMYFUNCTION("""COMPUTED_VALUE"""),"N")</f>
        <v>N</v>
      </c>
      <c r="W2361" s="3">
        <f>IFERROR(__xludf.DUMMYFUNCTION("""COMPUTED_VALUE"""),184007.0)</f>
        <v>184007</v>
      </c>
      <c r="X2361" s="3" t="str">
        <f>IFERROR(__xludf.DUMMYFUNCTION("""COMPUTED_VALUE"""),"127 ถนนพระรามที่ 2 แขวงแสมดำ เขตบางขุนเทียน กรุงเทพมหานคร 10150")</f>
        <v>127 ถนนพระรามที่ 2 แขวงแสมดำ เขตบางขุนเทียน กรุงเทพมหานคร 10150</v>
      </c>
      <c r="Y2361" s="3" t="str">
        <f>IFERROR(__xludf.DUMMYFUNCTION("""COMPUTED_VALUE"""),"พระรามที่2")</f>
        <v>พระรามที่2</v>
      </c>
      <c r="Z2361" s="3" t="str">
        <f>IFERROR(__xludf.DUMMYFUNCTION("""COMPUTED_VALUE"""),"แสมดำ")</f>
        <v>แสมดำ</v>
      </c>
      <c r="AA2361" s="3" t="str">
        <f>IFERROR(__xludf.DUMMYFUNCTION("""COMPUTED_VALUE"""),"บางขุนเทียน")</f>
        <v>บางขุนเทียน</v>
      </c>
      <c r="AB2361" s="3" t="str">
        <f>IFERROR(__xludf.DUMMYFUNCTION("""COMPUTED_VALUE"""),"กรุงเทพมหานคร")</f>
        <v>กรุงเทพมหานคร</v>
      </c>
      <c r="AC2361" s="3">
        <f>IFERROR(__xludf.DUMMYFUNCTION("""COMPUTED_VALUE"""),10150.0)</f>
        <v>10150</v>
      </c>
      <c r="AD2361" s="3">
        <f>IFERROR(__xludf.DUMMYFUNCTION("""COMPUTED_VALUE"""),13.6613627)</f>
        <v>13.6613627</v>
      </c>
      <c r="AE2361" s="3">
        <f>IFERROR(__xludf.DUMMYFUNCTION("""COMPUTED_VALUE"""),100.4384705)</f>
        <v>100.4384705</v>
      </c>
      <c r="AF2361" s="3" t="str">
        <f>IFERROR(__xludf.DUMMYFUNCTION("""COMPUTED_VALUE"""),"วาวี คอนเทนเนอร์ พระราม2 เรสท์ แอเรีย-65006")</f>
        <v>วาวี คอนเทนเนอร์ พระราม2 เรสท์ แอเรีย-65006</v>
      </c>
      <c r="AG2361" s="3" t="str">
        <f>IFERROR(__xludf.DUMMYFUNCTION("""COMPUTED_VALUE"""),"กลาง")</f>
        <v>กลาง</v>
      </c>
      <c r="AH2361" s="3" t="str">
        <f>IFERROR(__xludf.DUMMYFUNCTION("""COMPUTED_VALUE"""),"#N/A")</f>
        <v>#N/A</v>
      </c>
      <c r="AI2361" s="3" t="str">
        <f>IFERROR(__xludf.DUMMYFUNCTION("""COMPUTED_VALUE"""),"Out of warranty")</f>
        <v>Out of warranty</v>
      </c>
      <c r="AJ2361" s="3">
        <f>IFERROR(__xludf.DUMMYFUNCTION("""COMPUTED_VALUE"""),53.0)</f>
        <v>53</v>
      </c>
      <c r="AK2361" s="3"/>
      <c r="AL2361" s="3"/>
    </row>
    <row r="2362" ht="15.75" customHeight="1">
      <c r="A2362" s="1" t="str">
        <f>IFERROR(__xludf.DUMMYFUNCTION("""COMPUTED_VALUE"""),"65007")</f>
        <v>65007</v>
      </c>
      <c r="B2362" s="2">
        <f>IFERROR(__xludf.DUMMYFUNCTION("""COMPUTED_VALUE"""),65007.0)</f>
        <v>65007</v>
      </c>
      <c r="C2362" s="3" t="str">
        <f>IFERROR(__xludf.DUMMYFUNCTION("""COMPUTED_VALUE"""),"วาวี คอนเทนเนอร์ ออฟฟิศ บิ๊กซี ชั้น B")</f>
        <v>วาวี คอนเทนเนอร์ ออฟฟิศ บิ๊กซี ชั้น B</v>
      </c>
      <c r="D2362" s="3" t="str">
        <f>IFERROR(__xludf.DUMMYFUNCTION("""COMPUTED_VALUE"""),"BIG C HEADOFFICE(BJC)B")</f>
        <v>BIG C HEADOFFICE(BJC)B</v>
      </c>
      <c r="E2362" s="1" t="str">
        <f>IFERROR(__xludf.DUMMYFUNCTION("""COMPUTED_VALUE"""),"WAWEE")</f>
        <v>WAWEE</v>
      </c>
      <c r="F2362" s="1" t="str">
        <f>IFERROR(__xludf.DUMMYFUNCTION("""COMPUTED_VALUE"""),"2083032")</f>
        <v>2083032</v>
      </c>
      <c r="G2362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62" s="1" t="str">
        <f>IFERROR(__xludf.DUMMYFUNCTION("""COMPUTED_VALUE"""),"2136555")</f>
        <v>2136555</v>
      </c>
      <c r="I2362" s="1" t="str">
        <f>IFERROR(__xludf.DUMMYFUNCTION("""COMPUTED_VALUE"""),"น.ส.ทาลินี ปาละตึง")</f>
        <v>น.ส.ทาลินี ปาละตึง</v>
      </c>
      <c r="J2362" s="3">
        <f>IFERROR(__xludf.DUMMYFUNCTION("""COMPUTED_VALUE"""),2083032.0)</f>
        <v>2083032</v>
      </c>
      <c r="K2362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62" s="1" t="str">
        <f>IFERROR(__xludf.DUMMYFUNCTION("""COMPUTED_VALUE"""),"WAWEE")</f>
        <v>WAWEE</v>
      </c>
      <c r="M2362" s="1" t="str">
        <f>IFERROR(__xludf.DUMMYFUNCTION("""COMPUTED_VALUE"""),"065-505-7642")</f>
        <v>065-505-7642</v>
      </c>
      <c r="N2362" s="3">
        <f>IFERROR(__xludf.DUMMYFUNCTION("""COMPUTED_VALUE"""),65007.0)</f>
        <v>65007</v>
      </c>
      <c r="O2362" s="3" t="str">
        <f>IFERROR(__xludf.DUMMYFUNCTION("""COMPUTED_VALUE"""),"วาวี คอนเทนเนอร์ ออฟฟิศ บิ๊กซี ชั้น B")</f>
        <v>วาวี คอนเทนเนอร์ ออฟฟิศ บิ๊กซี ชั้น B</v>
      </c>
      <c r="P2362" s="4">
        <f>IFERROR(__xludf.DUMMYFUNCTION("""COMPUTED_VALUE"""),44593.0)</f>
        <v>44593</v>
      </c>
      <c r="Q2362" s="3" t="str">
        <f>IFERROR(__xludf.DUMMYFUNCTION("""COMPUTED_VALUE"""),"A")</f>
        <v>A</v>
      </c>
      <c r="R2362" s="3" t="str">
        <f>IFERROR(__xludf.DUMMYFUNCTION("""COMPUTED_VALUE"""),"Small Format")</f>
        <v>Small Format</v>
      </c>
      <c r="S2362" s="3" t="str">
        <f>IFERROR(__xludf.DUMMYFUNCTION("""COMPUTED_VALUE"""),"WAWEE")</f>
        <v>WAWEE</v>
      </c>
      <c r="T2362" s="3" t="str">
        <f>IFERROR(__xludf.DUMMYFUNCTION("""COMPUTED_VALUE"""),"WAWEE")</f>
        <v>WAWEE</v>
      </c>
      <c r="U2362" s="3" t="str">
        <f>IFERROR(__xludf.DUMMYFUNCTION("""COMPUTED_VALUE"""),"#N/A")</f>
        <v>#N/A</v>
      </c>
      <c r="V2362" s="3" t="str">
        <f>IFERROR(__xludf.DUMMYFUNCTION("""COMPUTED_VALUE"""),"N")</f>
        <v>N</v>
      </c>
      <c r="W2362" s="3">
        <f>IFERROR(__xludf.DUMMYFUNCTION("""COMPUTED_VALUE"""),184008.0)</f>
        <v>184008</v>
      </c>
      <c r="X2362" s="3" t="str">
        <f>IFERROR(__xludf.DUMMYFUNCTION("""COMPUTED_VALUE"""),"88/9 ซอย สมานฉันท์-บาร์โบส แขวงพระโขนง เขตคลองเตย กรุงเทพมหานคร 10110")</f>
        <v>88/9 ซอย สมานฉันท์-บาร์โบส แขวงพระโขนง เขตคลองเตย กรุงเทพมหานคร 10110</v>
      </c>
      <c r="Y2362" s="3"/>
      <c r="Z2362" s="3" t="str">
        <f>IFERROR(__xludf.DUMMYFUNCTION("""COMPUTED_VALUE"""),"พระโขนง")</f>
        <v>พระโขนง</v>
      </c>
      <c r="AA2362" s="3" t="str">
        <f>IFERROR(__xludf.DUMMYFUNCTION("""COMPUTED_VALUE"""),"คลองเตย")</f>
        <v>คลองเตย</v>
      </c>
      <c r="AB2362" s="3" t="str">
        <f>IFERROR(__xludf.DUMMYFUNCTION("""COMPUTED_VALUE"""),"กรุงเทพมหานคร")</f>
        <v>กรุงเทพมหานคร</v>
      </c>
      <c r="AC2362" s="3">
        <f>IFERROR(__xludf.DUMMYFUNCTION("""COMPUTED_VALUE"""),10110.0)</f>
        <v>10110</v>
      </c>
      <c r="AD2362" s="3">
        <f>IFERROR(__xludf.DUMMYFUNCTION("""COMPUTED_VALUE"""),13.71590731)</f>
        <v>13.71590731</v>
      </c>
      <c r="AE2362" s="3">
        <f>IFERROR(__xludf.DUMMYFUNCTION("""COMPUTED_VALUE"""),100.5858617)</f>
        <v>100.5858617</v>
      </c>
      <c r="AF2362" s="3" t="str">
        <f>IFERROR(__xludf.DUMMYFUNCTION("""COMPUTED_VALUE"""),"วาวี คอนเทนเนอร์ ออฟฟิศ บิ๊กซี ชั้น B-65007")</f>
        <v>วาวี คอนเทนเนอร์ ออฟฟิศ บิ๊กซี ชั้น B-65007</v>
      </c>
      <c r="AG2362" s="3" t="str">
        <f>IFERROR(__xludf.DUMMYFUNCTION("""COMPUTED_VALUE"""),"กลาง")</f>
        <v>กลาง</v>
      </c>
      <c r="AH2362" s="3" t="str">
        <f>IFERROR(__xludf.DUMMYFUNCTION("""COMPUTED_VALUE"""),"#N/A")</f>
        <v>#N/A</v>
      </c>
      <c r="AI2362" s="3" t="str">
        <f>IFERROR(__xludf.DUMMYFUNCTION("""COMPUTED_VALUE"""),"Out of warranty")</f>
        <v>Out of warranty</v>
      </c>
      <c r="AJ2362" s="3">
        <f>IFERROR(__xludf.DUMMYFUNCTION("""COMPUTED_VALUE"""),48.0)</f>
        <v>48</v>
      </c>
      <c r="AK2362" s="3"/>
      <c r="AL2362" s="3"/>
    </row>
    <row r="2363" ht="15.75" customHeight="1">
      <c r="A2363" s="1" t="str">
        <f>IFERROR(__xludf.DUMMYFUNCTION("""COMPUTED_VALUE"""),"65008")</f>
        <v>65008</v>
      </c>
      <c r="B2363" s="2">
        <f>IFERROR(__xludf.DUMMYFUNCTION("""COMPUTED_VALUE"""),65008.0)</f>
        <v>65008</v>
      </c>
      <c r="C2363" s="3" t="str">
        <f>IFERROR(__xludf.DUMMYFUNCTION("""COMPUTED_VALUE"""),"วาวี คอนแทนเนอร์ ออฟฟิศ บิ๊กซี ชั้น G")</f>
        <v>วาวี คอนแทนเนอร์ ออฟฟิศ บิ๊กซี ชั้น G</v>
      </c>
      <c r="D2363" s="3" t="str">
        <f>IFERROR(__xludf.DUMMYFUNCTION("""COMPUTED_VALUE"""),"BIG C HEADOFFICE(BJC)G")</f>
        <v>BIG C HEADOFFICE(BJC)G</v>
      </c>
      <c r="E2363" s="1" t="str">
        <f>IFERROR(__xludf.DUMMYFUNCTION("""COMPUTED_VALUE"""),"WAWEE")</f>
        <v>WAWEE</v>
      </c>
      <c r="F2363" s="1" t="str">
        <f>IFERROR(__xludf.DUMMYFUNCTION("""COMPUTED_VALUE"""),"2083032")</f>
        <v>2083032</v>
      </c>
      <c r="G2363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63" s="1" t="str">
        <f>IFERROR(__xludf.DUMMYFUNCTION("""COMPUTED_VALUE"""),"2136555")</f>
        <v>2136555</v>
      </c>
      <c r="I2363" s="1" t="str">
        <f>IFERROR(__xludf.DUMMYFUNCTION("""COMPUTED_VALUE"""),"น.ส.ทาลินี ปาละตึง")</f>
        <v>น.ส.ทาลินี ปาละตึง</v>
      </c>
      <c r="J2363" s="3">
        <f>IFERROR(__xludf.DUMMYFUNCTION("""COMPUTED_VALUE"""),2083032.0)</f>
        <v>2083032</v>
      </c>
      <c r="K2363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63" s="1" t="str">
        <f>IFERROR(__xludf.DUMMYFUNCTION("""COMPUTED_VALUE"""),"WAWEE")</f>
        <v>WAWEE</v>
      </c>
      <c r="M2363" s="3" t="str">
        <f>IFERROR(__xludf.DUMMYFUNCTION("""COMPUTED_VALUE"""),"065-505-7642")</f>
        <v>065-505-7642</v>
      </c>
      <c r="N2363" s="3">
        <f>IFERROR(__xludf.DUMMYFUNCTION("""COMPUTED_VALUE"""),65008.0)</f>
        <v>65008</v>
      </c>
      <c r="O2363" s="3" t="str">
        <f>IFERROR(__xludf.DUMMYFUNCTION("""COMPUTED_VALUE"""),"วาวี คอนแทนเนอร์ ออฟฟิศ บิ๊กซี ชั้น G")</f>
        <v>วาวี คอนแทนเนอร์ ออฟฟิศ บิ๊กซี ชั้น G</v>
      </c>
      <c r="P2363" s="4">
        <f>IFERROR(__xludf.DUMMYFUNCTION("""COMPUTED_VALUE"""),44545.0)</f>
        <v>44545</v>
      </c>
      <c r="Q2363" s="3" t="str">
        <f>IFERROR(__xludf.DUMMYFUNCTION("""COMPUTED_VALUE"""),"A")</f>
        <v>A</v>
      </c>
      <c r="R2363" s="3" t="str">
        <f>IFERROR(__xludf.DUMMYFUNCTION("""COMPUTED_VALUE"""),"Small Format")</f>
        <v>Small Format</v>
      </c>
      <c r="S2363" s="3" t="str">
        <f>IFERROR(__xludf.DUMMYFUNCTION("""COMPUTED_VALUE"""),"WAWEE")</f>
        <v>WAWEE</v>
      </c>
      <c r="T2363" s="3" t="str">
        <f>IFERROR(__xludf.DUMMYFUNCTION("""COMPUTED_VALUE"""),"WAWEE")</f>
        <v>WAWEE</v>
      </c>
      <c r="U2363" s="3" t="str">
        <f>IFERROR(__xludf.DUMMYFUNCTION("""COMPUTED_VALUE"""),"#N/A")</f>
        <v>#N/A</v>
      </c>
      <c r="V2363" s="3" t="str">
        <f>IFERROR(__xludf.DUMMYFUNCTION("""COMPUTED_VALUE"""),"N")</f>
        <v>N</v>
      </c>
      <c r="W2363" s="3">
        <f>IFERROR(__xludf.DUMMYFUNCTION("""COMPUTED_VALUE"""),184009.0)</f>
        <v>184009</v>
      </c>
      <c r="X2363" s="3" t="str">
        <f>IFERROR(__xludf.DUMMYFUNCTION("""COMPUTED_VALUE"""),"88/9 ซอย สมานฉันท์-บาร์โบส แขวงพระโขนง เขตคลองเตย กรุงเทพมหานคร 10110")</f>
        <v>88/9 ซอย สมานฉันท์-บาร์โบส แขวงพระโขนง เขตคลองเตย กรุงเทพมหานคร 10110</v>
      </c>
      <c r="Y2363" s="3"/>
      <c r="Z2363" s="3" t="str">
        <f>IFERROR(__xludf.DUMMYFUNCTION("""COMPUTED_VALUE"""),"พระโขนง")</f>
        <v>พระโขนง</v>
      </c>
      <c r="AA2363" s="3" t="str">
        <f>IFERROR(__xludf.DUMMYFUNCTION("""COMPUTED_VALUE"""),"คลองเตย")</f>
        <v>คลองเตย</v>
      </c>
      <c r="AB2363" s="3" t="str">
        <f>IFERROR(__xludf.DUMMYFUNCTION("""COMPUTED_VALUE"""),"กรุงเทพมหานคร")</f>
        <v>กรุงเทพมหานคร</v>
      </c>
      <c r="AC2363" s="3">
        <f>IFERROR(__xludf.DUMMYFUNCTION("""COMPUTED_VALUE"""),10110.0)</f>
        <v>10110</v>
      </c>
      <c r="AD2363" s="3">
        <f>IFERROR(__xludf.DUMMYFUNCTION("""COMPUTED_VALUE"""),13.71590731)</f>
        <v>13.71590731</v>
      </c>
      <c r="AE2363" s="3">
        <f>IFERROR(__xludf.DUMMYFUNCTION("""COMPUTED_VALUE"""),100.5858617)</f>
        <v>100.5858617</v>
      </c>
      <c r="AF2363" s="3" t="str">
        <f>IFERROR(__xludf.DUMMYFUNCTION("""COMPUTED_VALUE"""),"วาวี คอนแทนเนอร์ ออฟฟิศ บิ๊กซี ชั้น G-65008")</f>
        <v>วาวี คอนแทนเนอร์ ออฟฟิศ บิ๊กซี ชั้น G-65008</v>
      </c>
      <c r="AG2363" s="3" t="str">
        <f>IFERROR(__xludf.DUMMYFUNCTION("""COMPUTED_VALUE"""),"กลาง")</f>
        <v>กลาง</v>
      </c>
      <c r="AH2363" s="3" t="str">
        <f>IFERROR(__xludf.DUMMYFUNCTION("""COMPUTED_VALUE"""),"#N/A")</f>
        <v>#N/A</v>
      </c>
      <c r="AI2363" s="3" t="str">
        <f>IFERROR(__xludf.DUMMYFUNCTION("""COMPUTED_VALUE"""),"Out of warranty")</f>
        <v>Out of warranty</v>
      </c>
      <c r="AJ2363" s="3">
        <f>IFERROR(__xludf.DUMMYFUNCTION("""COMPUTED_VALUE"""),50.0)</f>
        <v>50</v>
      </c>
      <c r="AK2363" s="3"/>
      <c r="AL2363" s="3"/>
    </row>
    <row r="2364" ht="15.75" customHeight="1">
      <c r="A2364" s="1" t="str">
        <f>IFERROR(__xludf.DUMMYFUNCTION("""COMPUTED_VALUE"""),"65009")</f>
        <v>65009</v>
      </c>
      <c r="B2364" s="2">
        <f>IFERROR(__xludf.DUMMYFUNCTION("""COMPUTED_VALUE"""),65009.0)</f>
        <v>65009</v>
      </c>
      <c r="C2364" s="3" t="str">
        <f>IFERROR(__xludf.DUMMYFUNCTION("""COMPUTED_VALUE"""),"วาวี คอนเทนเนอร์ ออฟฟิศ บีเจซี 2 ชั้น จี")</f>
        <v>วาวี คอนเทนเนอร์ ออฟฟิศ บีเจซี 2 ชั้น จี</v>
      </c>
      <c r="D2364" s="3" t="str">
        <f>IFERROR(__xludf.DUMMYFUNCTION("""COMPUTED_VALUE"""),"BIG C HEAD OFFICE (BJC) G C")</f>
        <v>BIG C HEAD OFFICE (BJC) G C</v>
      </c>
      <c r="E2364" s="1" t="str">
        <f>IFERROR(__xludf.DUMMYFUNCTION("""COMPUTED_VALUE"""),"WAWEE")</f>
        <v>WAWEE</v>
      </c>
      <c r="F2364" s="1" t="str">
        <f>IFERROR(__xludf.DUMMYFUNCTION("""COMPUTED_VALUE"""),"2083032")</f>
        <v>2083032</v>
      </c>
      <c r="G2364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64" s="1" t="str">
        <f>IFERROR(__xludf.DUMMYFUNCTION("""COMPUTED_VALUE"""),"2136555")</f>
        <v>2136555</v>
      </c>
      <c r="I2364" s="1" t="str">
        <f>IFERROR(__xludf.DUMMYFUNCTION("""COMPUTED_VALUE"""),"น.ส.ทาลินี ปาละตึง")</f>
        <v>น.ส.ทาลินี ปาละตึง</v>
      </c>
      <c r="J2364" s="3">
        <f>IFERROR(__xludf.DUMMYFUNCTION("""COMPUTED_VALUE"""),2083032.0)</f>
        <v>2083032</v>
      </c>
      <c r="K2364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64" s="1" t="str">
        <f>IFERROR(__xludf.DUMMYFUNCTION("""COMPUTED_VALUE"""),"WAWEE")</f>
        <v>WAWEE</v>
      </c>
      <c r="M2364" s="1" t="str">
        <f>IFERROR(__xludf.DUMMYFUNCTION("""COMPUTED_VALUE"""),"065-505-7642")</f>
        <v>065-505-7642</v>
      </c>
      <c r="N2364" s="3">
        <f>IFERROR(__xludf.DUMMYFUNCTION("""COMPUTED_VALUE"""),65009.0)</f>
        <v>65009</v>
      </c>
      <c r="O2364" s="3" t="str">
        <f>IFERROR(__xludf.DUMMYFUNCTION("""COMPUTED_VALUE"""),"วาวี คอนเทนเนอร์ ออฟฟิศ บีเจซี 2 ชั้น จี")</f>
        <v>วาวี คอนเทนเนอร์ ออฟฟิศ บีเจซี 2 ชั้น จี</v>
      </c>
      <c r="P2364" s="4">
        <f>IFERROR(__xludf.DUMMYFUNCTION("""COMPUTED_VALUE"""),44910.0)</f>
        <v>44910</v>
      </c>
      <c r="Q2364" s="3" t="str">
        <f>IFERROR(__xludf.DUMMYFUNCTION("""COMPUTED_VALUE"""),"A")</f>
        <v>A</v>
      </c>
      <c r="R2364" s="3" t="str">
        <f>IFERROR(__xludf.DUMMYFUNCTION("""COMPUTED_VALUE"""),"Small Format")</f>
        <v>Small Format</v>
      </c>
      <c r="S2364" s="3" t="str">
        <f>IFERROR(__xludf.DUMMYFUNCTION("""COMPUTED_VALUE"""),"WAWEE")</f>
        <v>WAWEE</v>
      </c>
      <c r="T2364" s="3" t="str">
        <f>IFERROR(__xludf.DUMMYFUNCTION("""COMPUTED_VALUE"""),"WAWEE")</f>
        <v>WAWEE</v>
      </c>
      <c r="U2364" s="3" t="str">
        <f>IFERROR(__xludf.DUMMYFUNCTION("""COMPUTED_VALUE"""),"#N/A")</f>
        <v>#N/A</v>
      </c>
      <c r="V2364" s="3" t="str">
        <f>IFERROR(__xludf.DUMMYFUNCTION("""COMPUTED_VALUE"""),"N")</f>
        <v>N</v>
      </c>
      <c r="W2364" s="3"/>
      <c r="X2364" s="3" t="str">
        <f>IFERROR(__xludf.DUMMYFUNCTION("""COMPUTED_VALUE"""),"99/1 ซอยแสงจันทร์ - รูเบีย แขวงพระโขนง เขตคลองเตย กรุงเทพมหานคร 10110")</f>
        <v>99/1 ซอยแสงจันทร์ - รูเบีย แขวงพระโขนง เขตคลองเตย กรุงเทพมหานคร 10110</v>
      </c>
      <c r="Y2364" s="3"/>
      <c r="Z2364" s="3" t="str">
        <f>IFERROR(__xludf.DUMMYFUNCTION("""COMPUTED_VALUE"""),"พระโขนง")</f>
        <v>พระโขนง</v>
      </c>
      <c r="AA2364" s="3" t="str">
        <f>IFERROR(__xludf.DUMMYFUNCTION("""COMPUTED_VALUE"""),"คลองเตย")</f>
        <v>คลองเตย</v>
      </c>
      <c r="AB2364" s="3" t="str">
        <f>IFERROR(__xludf.DUMMYFUNCTION("""COMPUTED_VALUE"""),"กรุงเทพมหานคร")</f>
        <v>กรุงเทพมหานคร</v>
      </c>
      <c r="AC2364" s="3">
        <f>IFERROR(__xludf.DUMMYFUNCTION("""COMPUTED_VALUE"""),10110.0)</f>
        <v>10110</v>
      </c>
      <c r="AD2364" s="3">
        <f>IFERROR(__xludf.DUMMYFUNCTION("""COMPUTED_VALUE"""),13.71469883)</f>
        <v>13.71469883</v>
      </c>
      <c r="AE2364" s="3">
        <f>IFERROR(__xludf.DUMMYFUNCTION("""COMPUTED_VALUE"""),100.586163)</f>
        <v>100.586163</v>
      </c>
      <c r="AF2364" s="3" t="str">
        <f>IFERROR(__xludf.DUMMYFUNCTION("""COMPUTED_VALUE"""),"วาวี คอนเทนเนอร์ ออฟฟิศ บีเจซี 2 ชั้น จี-65009")</f>
        <v>วาวี คอนเทนเนอร์ ออฟฟิศ บีเจซี 2 ชั้น จี-65009</v>
      </c>
      <c r="AG2364" s="3" t="str">
        <f>IFERROR(__xludf.DUMMYFUNCTION("""COMPUTED_VALUE"""),"กลาง")</f>
        <v>กลาง</v>
      </c>
      <c r="AH2364" s="3" t="str">
        <f>IFERROR(__xludf.DUMMYFUNCTION("""COMPUTED_VALUE"""),"#N/A")</f>
        <v>#N/A</v>
      </c>
      <c r="AI2364" s="3" t="str">
        <f>IFERROR(__xludf.DUMMYFUNCTION("""COMPUTED_VALUE"""),"Out of warranty")</f>
        <v>Out of warranty</v>
      </c>
      <c r="AJ2364" s="3">
        <f>IFERROR(__xludf.DUMMYFUNCTION("""COMPUTED_VALUE"""),38.0)</f>
        <v>38</v>
      </c>
      <c r="AK2364" s="3"/>
      <c r="AL2364" s="3"/>
    </row>
    <row r="2365" ht="15.75" customHeight="1">
      <c r="A2365" s="1" t="str">
        <f>IFERROR(__xludf.DUMMYFUNCTION("""COMPUTED_VALUE"""),"65010")</f>
        <v>65010</v>
      </c>
      <c r="B2365" s="2">
        <f>IFERROR(__xludf.DUMMYFUNCTION("""COMPUTED_VALUE"""),65010.0)</f>
        <v>65010</v>
      </c>
      <c r="C2365" s="3" t="str">
        <f>IFERROR(__xludf.DUMMYFUNCTION("""COMPUTED_VALUE"""),"วาวี คอนเทนเนอร์ พันธุ์ทิพย์ งามวงศ์วาน")</f>
        <v>วาวี คอนเทนเนอร์ พันธุ์ทิพย์ งามวงศ์วาน</v>
      </c>
      <c r="D2365" s="3" t="str">
        <f>IFERROR(__xludf.DUMMYFUNCTION("""COMPUTED_VALUE"""),"BIG C PANTIP NGAMWONGWAN")</f>
        <v>BIG C PANTIP NGAMWONGWAN</v>
      </c>
      <c r="E2365" s="1" t="str">
        <f>IFERROR(__xludf.DUMMYFUNCTION("""COMPUTED_VALUE"""),"WAWEE")</f>
        <v>WAWEE</v>
      </c>
      <c r="F2365" s="1" t="str">
        <f>IFERROR(__xludf.DUMMYFUNCTION("""COMPUTED_VALUE"""),"2083032")</f>
        <v>2083032</v>
      </c>
      <c r="G2365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65" s="1" t="str">
        <f>IFERROR(__xludf.DUMMYFUNCTION("""COMPUTED_VALUE"""),"2136555")</f>
        <v>2136555</v>
      </c>
      <c r="I2365" s="1" t="str">
        <f>IFERROR(__xludf.DUMMYFUNCTION("""COMPUTED_VALUE"""),"น.ส.ทาลินี ปาละตึง")</f>
        <v>น.ส.ทาลินี ปาละตึง</v>
      </c>
      <c r="J2365" s="1" t="str">
        <f>IFERROR(__xludf.DUMMYFUNCTION("""COMPUTED_VALUE"""),"2083032")</f>
        <v>2083032</v>
      </c>
      <c r="K2365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65" s="1" t="str">
        <f>IFERROR(__xludf.DUMMYFUNCTION("""COMPUTED_VALUE"""),"WAWEE")</f>
        <v>WAWEE</v>
      </c>
      <c r="M2365" s="1" t="str">
        <f>IFERROR(__xludf.DUMMYFUNCTION("""COMPUTED_VALUE"""),"065-505-7642")</f>
        <v>065-505-7642</v>
      </c>
      <c r="N2365" s="3">
        <f>IFERROR(__xludf.DUMMYFUNCTION("""COMPUTED_VALUE"""),65010.0)</f>
        <v>65010</v>
      </c>
      <c r="O2365" s="3" t="str">
        <f>IFERROR(__xludf.DUMMYFUNCTION("""COMPUTED_VALUE"""),"วาวี คอนเทนเนอร์ พันธุ์ทิพย์ งามวงศ์วาน")</f>
        <v>วาวี คอนเทนเนอร์ พันธุ์ทิพย์ งามวงศ์วาน</v>
      </c>
      <c r="P2365" s="4">
        <f>IFERROR(__xludf.DUMMYFUNCTION("""COMPUTED_VALUE"""),44986.0)</f>
        <v>44986</v>
      </c>
      <c r="Q2365" s="3" t="str">
        <f>IFERROR(__xludf.DUMMYFUNCTION("""COMPUTED_VALUE"""),"A")</f>
        <v>A</v>
      </c>
      <c r="R2365" s="3" t="str">
        <f>IFERROR(__xludf.DUMMYFUNCTION("""COMPUTED_VALUE"""),"Small Format")</f>
        <v>Small Format</v>
      </c>
      <c r="S2365" s="3" t="str">
        <f>IFERROR(__xludf.DUMMYFUNCTION("""COMPUTED_VALUE"""),"WAWEE")</f>
        <v>WAWEE</v>
      </c>
      <c r="T2365" s="3" t="str">
        <f>IFERROR(__xludf.DUMMYFUNCTION("""COMPUTED_VALUE"""),"WAWEE")</f>
        <v>WAWEE</v>
      </c>
      <c r="U2365" s="3" t="str">
        <f>IFERROR(__xludf.DUMMYFUNCTION("""COMPUTED_VALUE"""),"#N/A")</f>
        <v>#N/A</v>
      </c>
      <c r="V2365" s="3" t="str">
        <f>IFERROR(__xludf.DUMMYFUNCTION("""COMPUTED_VALUE"""),"N")</f>
        <v>N</v>
      </c>
      <c r="W2365" s="3"/>
      <c r="X2365" s="3" t="str">
        <f>IFERROR(__xludf.DUMMYFUNCTION("""COMPUTED_VALUE"""),"ห้องเลขที่1006 ชั้นที่1 เลขที่217 ถนนงามวงศ์วาน ตำบลบางเขน อำเภอเมืองนนทบุรี จังหวัดนนทบุรี 11000")</f>
        <v>ห้องเลขที่1006 ชั้นที่1 เลขที่217 ถนนงามวงศ์วาน ตำบลบางเขน อำเภอเมืองนนทบุรี จังหวัดนนทบุรี 11000</v>
      </c>
      <c r="Y2365" s="3" t="str">
        <f>IFERROR(__xludf.DUMMYFUNCTION("""COMPUTED_VALUE"""),"งามวงศ์วาน")</f>
        <v>งามวงศ์วาน</v>
      </c>
      <c r="Z2365" s="3" t="str">
        <f>IFERROR(__xludf.DUMMYFUNCTION("""COMPUTED_VALUE"""),"บางเขน")</f>
        <v>บางเขน</v>
      </c>
      <c r="AA2365" s="3" t="str">
        <f>IFERROR(__xludf.DUMMYFUNCTION("""COMPUTED_VALUE"""),"เมืองนนทบุรี")</f>
        <v>เมืองนนทบุรี</v>
      </c>
      <c r="AB2365" s="3" t="str">
        <f>IFERROR(__xludf.DUMMYFUNCTION("""COMPUTED_VALUE"""),"นนทบุรี")</f>
        <v>นนทบุรี</v>
      </c>
      <c r="AC2365" s="3">
        <f>IFERROR(__xludf.DUMMYFUNCTION("""COMPUTED_VALUE"""),11000.0)</f>
        <v>11000</v>
      </c>
      <c r="AD2365" s="3">
        <f>IFERROR(__xludf.DUMMYFUNCTION("""COMPUTED_VALUE"""),13.8579128)</f>
        <v>13.8579128</v>
      </c>
      <c r="AE2365" s="3">
        <f>IFERROR(__xludf.DUMMYFUNCTION("""COMPUTED_VALUE"""),100.5369723)</f>
        <v>100.5369723</v>
      </c>
      <c r="AF2365" s="3" t="str">
        <f>IFERROR(__xludf.DUMMYFUNCTION("""COMPUTED_VALUE"""),"วาวี คอนเทนเนอร์ พันธุ์ทิพย์ งามวงศ์วาน-65010")</f>
        <v>วาวี คอนเทนเนอร์ พันธุ์ทิพย์ งามวงศ์วาน-65010</v>
      </c>
      <c r="AG2365" s="3" t="str">
        <f>IFERROR(__xludf.DUMMYFUNCTION("""COMPUTED_VALUE"""),"กลาง")</f>
        <v>กลาง</v>
      </c>
      <c r="AH2365" s="3" t="str">
        <f>IFERROR(__xludf.DUMMYFUNCTION("""COMPUTED_VALUE"""),"#N/A")</f>
        <v>#N/A</v>
      </c>
      <c r="AI2365" s="3" t="str">
        <f>IFERROR(__xludf.DUMMYFUNCTION("""COMPUTED_VALUE"""),"Out of warranty")</f>
        <v>Out of warranty</v>
      </c>
      <c r="AJ2365" s="3">
        <f>IFERROR(__xludf.DUMMYFUNCTION("""COMPUTED_VALUE"""),35.0)</f>
        <v>35</v>
      </c>
      <c r="AK2365" s="3"/>
      <c r="AL2365" s="3"/>
    </row>
    <row r="2366" ht="15.75" customHeight="1">
      <c r="A2366" s="1" t="str">
        <f>IFERROR(__xludf.DUMMYFUNCTION("""COMPUTED_VALUE"""),"65011")</f>
        <v>65011</v>
      </c>
      <c r="B2366" s="2">
        <f>IFERROR(__xludf.DUMMYFUNCTION("""COMPUTED_VALUE"""),65011.0)</f>
        <v>65011</v>
      </c>
      <c r="C2366" s="3" t="str">
        <f>IFERROR(__xludf.DUMMYFUNCTION("""COMPUTED_VALUE"""),"วาวี_บิ๊กซีราชดำริห์ ชั้น2")</f>
        <v>วาวี_บิ๊กซีราชดำริห์ ชั้น2</v>
      </c>
      <c r="D2366" s="3" t="str">
        <f>IFERROR(__xludf.DUMMYFUNCTION("""COMPUTED_VALUE"""),"BIGC RAJDAMRI FL.2 WAWEE C")</f>
        <v>BIGC RAJDAMRI FL.2 WAWEE C</v>
      </c>
      <c r="E2366" s="1" t="str">
        <f>IFERROR(__xludf.DUMMYFUNCTION("""COMPUTED_VALUE"""),"WAWEE")</f>
        <v>WAWEE</v>
      </c>
      <c r="F2366" s="1" t="str">
        <f>IFERROR(__xludf.DUMMYFUNCTION("""COMPUTED_VALUE"""),"2083032")</f>
        <v>2083032</v>
      </c>
      <c r="G2366" s="1" t="str">
        <f>IFERROR(__xludf.DUMMYFUNCTION("""COMPUTED_VALUE"""),"น.ส.ศิริรัตน์ คงสามารถวัฒนา")</f>
        <v>น.ส.ศิริรัตน์ คงสามารถวัฒนา</v>
      </c>
      <c r="H2366" s="1" t="str">
        <f>IFERROR(__xludf.DUMMYFUNCTION("""COMPUTED_VALUE"""),"2136555")</f>
        <v>2136555</v>
      </c>
      <c r="I2366" s="1" t="str">
        <f>IFERROR(__xludf.DUMMYFUNCTION("""COMPUTED_VALUE"""),"น.ส.ทาลินี ปาละตึง")</f>
        <v>น.ส.ทาลินี ปาละตึง</v>
      </c>
      <c r="J2366" s="3">
        <f>IFERROR(__xludf.DUMMYFUNCTION("""COMPUTED_VALUE"""),2083032.0)</f>
        <v>2083032</v>
      </c>
      <c r="K2366" s="3" t="str">
        <f>IFERROR(__xludf.DUMMYFUNCTION("""COMPUTED_VALUE"""),"น.ส.ศิริรัตน์ คงสามารถวัฒนา")</f>
        <v>น.ส.ศิริรัตน์ คงสามารถวัฒนา</v>
      </c>
      <c r="L2366" s="1" t="str">
        <f>IFERROR(__xludf.DUMMYFUNCTION("""COMPUTED_VALUE"""),"WAWEE")</f>
        <v>WAWEE</v>
      </c>
      <c r="M2366" s="3" t="str">
        <f>IFERROR(__xludf.DUMMYFUNCTION("""COMPUTED_VALUE"""),"065-505-7642")</f>
        <v>065-505-7642</v>
      </c>
      <c r="N2366" s="3">
        <f>IFERROR(__xludf.DUMMYFUNCTION("""COMPUTED_VALUE"""),65011.0)</f>
        <v>65011</v>
      </c>
      <c r="O2366" s="3" t="str">
        <f>IFERROR(__xludf.DUMMYFUNCTION("""COMPUTED_VALUE"""),"วาวี_บิ๊กซีราชดำริห์ ชั้น2")</f>
        <v>วาวี_บิ๊กซีราชดำริห์ ชั้น2</v>
      </c>
      <c r="P2366" s="4">
        <f>IFERROR(__xludf.DUMMYFUNCTION("""COMPUTED_VALUE"""),45294.0)</f>
        <v>45294</v>
      </c>
      <c r="Q2366" s="3" t="str">
        <f>IFERROR(__xludf.DUMMYFUNCTION("""COMPUTED_VALUE"""),"A")</f>
        <v>A</v>
      </c>
      <c r="R2366" s="3" t="str">
        <f>IFERROR(__xludf.DUMMYFUNCTION("""COMPUTED_VALUE"""),"Small Format")</f>
        <v>Small Format</v>
      </c>
      <c r="S2366" s="3" t="str">
        <f>IFERROR(__xludf.DUMMYFUNCTION("""COMPUTED_VALUE"""),"WAWEE")</f>
        <v>WAWEE</v>
      </c>
      <c r="T2366" s="3" t="str">
        <f>IFERROR(__xludf.DUMMYFUNCTION("""COMPUTED_VALUE"""),"WAWEE")</f>
        <v>WAWEE</v>
      </c>
      <c r="U2366" s="3" t="str">
        <f>IFERROR(__xludf.DUMMYFUNCTION("""COMPUTED_VALUE"""),"#N/A")</f>
        <v>#N/A</v>
      </c>
      <c r="V2366" s="3" t="str">
        <f>IFERROR(__xludf.DUMMYFUNCTION("""COMPUTED_VALUE"""),"N")</f>
        <v>N</v>
      </c>
      <c r="W2366" s="3">
        <f>IFERROR(__xludf.DUMMYFUNCTION("""COMPUTED_VALUE"""),184012.0)</f>
        <v>184012</v>
      </c>
      <c r="X2366" s="3" t="str">
        <f>IFERROR(__xludf.DUMMYFUNCTION("""COMPUTED_VALUE"""),"97/11 ชั้น 2 ถนนราชดำริห์ แขวงลุมพินี เขตปทุมวัน กรุงเทพมหานคร 10330")</f>
        <v>97/11 ชั้น 2 ถนนราชดำริห์ แขวงลุมพินี เขตปทุมวัน กรุงเทพมหานคร 10330</v>
      </c>
      <c r="Y2366" s="3" t="str">
        <f>IFERROR(__xludf.DUMMYFUNCTION("""COMPUTED_VALUE"""),"ราชดำริห์")</f>
        <v>ราชดำริห์</v>
      </c>
      <c r="Z2366" s="3" t="str">
        <f>IFERROR(__xludf.DUMMYFUNCTION("""COMPUTED_VALUE"""),"ลุมพินี")</f>
        <v>ลุมพินี</v>
      </c>
      <c r="AA2366" s="3" t="str">
        <f>IFERROR(__xludf.DUMMYFUNCTION("""COMPUTED_VALUE"""),"ปทุมวัน")</f>
        <v>ปทุมวัน</v>
      </c>
      <c r="AB2366" s="3" t="str">
        <f>IFERROR(__xludf.DUMMYFUNCTION("""COMPUTED_VALUE"""),"กรุงเทพมหานคร")</f>
        <v>กรุงเทพมหานคร</v>
      </c>
      <c r="AC2366" s="3">
        <f>IFERROR(__xludf.DUMMYFUNCTION("""COMPUTED_VALUE"""),10330.0)</f>
        <v>10330</v>
      </c>
      <c r="AD2366" s="3">
        <f>IFERROR(__xludf.DUMMYFUNCTION("""COMPUTED_VALUE"""),13.74723067)</f>
        <v>13.74723067</v>
      </c>
      <c r="AE2366" s="3">
        <f>IFERROR(__xludf.DUMMYFUNCTION("""COMPUTED_VALUE"""),100.5415253)</f>
        <v>100.5415253</v>
      </c>
      <c r="AF2366" s="3" t="str">
        <f>IFERROR(__xludf.DUMMYFUNCTION("""COMPUTED_VALUE"""),"วาวี_บิ๊กซีราชดำริห์ ชั้น2-65011")</f>
        <v>วาวี_บิ๊กซีราชดำริห์ ชั้น2-65011</v>
      </c>
      <c r="AG2366" s="3" t="str">
        <f>IFERROR(__xludf.DUMMYFUNCTION("""COMPUTED_VALUE"""),"กลาง")</f>
        <v>กลาง</v>
      </c>
      <c r="AH2366" s="3" t="str">
        <f>IFERROR(__xludf.DUMMYFUNCTION("""COMPUTED_VALUE"""),"#N/A")</f>
        <v>#N/A</v>
      </c>
      <c r="AI2366" s="3" t="str">
        <f>IFERROR(__xludf.DUMMYFUNCTION("""COMPUTED_VALUE"""),"Out of warranty")</f>
        <v>Out of warranty</v>
      </c>
      <c r="AJ2366" s="3">
        <f>IFERROR(__xludf.DUMMYFUNCTION("""COMPUTED_VALUE"""),25.0)</f>
        <v>25</v>
      </c>
      <c r="AK2366" s="3"/>
      <c r="AL2366" s="3"/>
    </row>
    <row r="2367" ht="15.75" customHeight="1">
      <c r="A2367" s="1" t="str">
        <f>IFERROR(__xludf.DUMMYFUNCTION("""COMPUTED_VALUE"""),"75001")</f>
        <v>75001</v>
      </c>
      <c r="B2367" s="2">
        <f>IFERROR(__xludf.DUMMYFUNCTION("""COMPUTED_VALUE"""),75001.0)</f>
        <v>75001</v>
      </c>
      <c r="C2367" s="3">
        <f>IFERROR(__xludf.DUMMYFUNCTION("""COMPUTED_VALUE"""),0.0)</f>
        <v>0</v>
      </c>
      <c r="D2367" s="3">
        <f>IFERROR(__xludf.DUMMYFUNCTION("""COMPUTED_VALUE"""),0.0)</f>
        <v>0</v>
      </c>
      <c r="E2367" s="1" t="str">
        <f>IFERROR(__xludf.DUMMYFUNCTION("""COMPUTED_VALUE"""),"0")</f>
        <v>0</v>
      </c>
      <c r="F2367" s="1" t="str">
        <f>IFERROR(__xludf.DUMMYFUNCTION("""COMPUTED_VALUE"""),"0")</f>
        <v>0</v>
      </c>
      <c r="G2367" s="1" t="str">
        <f>IFERROR(__xludf.DUMMYFUNCTION("""COMPUTED_VALUE"""),"0")</f>
        <v>0</v>
      </c>
      <c r="H2367" s="1" t="str">
        <f>IFERROR(__xludf.DUMMYFUNCTION("""COMPUTED_VALUE"""),"0")</f>
        <v>0</v>
      </c>
      <c r="I2367" s="1" t="str">
        <f>IFERROR(__xludf.DUMMYFUNCTION("""COMPUTED_VALUE"""),"0")</f>
        <v>0</v>
      </c>
      <c r="J2367" s="3">
        <f>IFERROR(__xludf.DUMMYFUNCTION("""COMPUTED_VALUE"""),0.0)</f>
        <v>0</v>
      </c>
      <c r="K2367" s="3">
        <f>IFERROR(__xludf.DUMMYFUNCTION("""COMPUTED_VALUE"""),0.0)</f>
        <v>0</v>
      </c>
      <c r="L2367" s="1" t="str">
        <f>IFERROR(__xludf.DUMMYFUNCTION("""COMPUTED_VALUE"""),"0")</f>
        <v>0</v>
      </c>
      <c r="M2367" s="3">
        <f>IFERROR(__xludf.DUMMYFUNCTION("""COMPUTED_VALUE"""),0.0)</f>
        <v>0</v>
      </c>
      <c r="N2367" s="3">
        <f>IFERROR(__xludf.DUMMYFUNCTION("""COMPUTED_VALUE"""),0.0)</f>
        <v>0</v>
      </c>
      <c r="O2367" s="3">
        <f>IFERROR(__xludf.DUMMYFUNCTION("""COMPUTED_VALUE"""),0.0)</f>
        <v>0</v>
      </c>
      <c r="P2367" s="3">
        <f>IFERROR(__xludf.DUMMYFUNCTION("""COMPUTED_VALUE"""),0.0)</f>
        <v>0</v>
      </c>
      <c r="Q2367" s="3">
        <f>IFERROR(__xludf.DUMMYFUNCTION("""COMPUTED_VALUE"""),0.0)</f>
        <v>0</v>
      </c>
      <c r="R2367" s="3" t="str">
        <f>IFERROR(__xludf.DUMMYFUNCTION("""COMPUTED_VALUE"""),"Small Format")</f>
        <v>Small Format</v>
      </c>
      <c r="S2367" s="3"/>
      <c r="T2367" s="3" t="str">
        <f>IFERROR(__xludf.DUMMYFUNCTION("""COMPUTED_VALUE"""),"#N/A")</f>
        <v>#N/A</v>
      </c>
      <c r="U2367" s="3" t="str">
        <f>IFERROR(__xludf.DUMMYFUNCTION("""COMPUTED_VALUE"""),"#N/A")</f>
        <v>#N/A</v>
      </c>
      <c r="V2367" s="3" t="str">
        <f>IFERROR(__xludf.DUMMYFUNCTION("""COMPUTED_VALUE"""),"#N/A")</f>
        <v>#N/A</v>
      </c>
      <c r="W2367" s="3">
        <f>IFERROR(__xludf.DUMMYFUNCTION("""COMPUTED_VALUE"""),112001.0)</f>
        <v>112001</v>
      </c>
      <c r="X2367" s="3">
        <f>IFERROR(__xludf.DUMMYFUNCTION("""COMPUTED_VALUE"""),0.0)</f>
        <v>0</v>
      </c>
      <c r="Y2367" s="3"/>
      <c r="Z2367" s="3"/>
      <c r="AA2367" s="3"/>
      <c r="AB2367" s="3"/>
      <c r="AC2367" s="3"/>
      <c r="AD2367" s="3"/>
      <c r="AE2367" s="3"/>
      <c r="AF2367" s="3" t="str">
        <f>IFERROR(__xludf.DUMMYFUNCTION("""COMPUTED_VALUE"""),"0-75001")</f>
        <v>0-75001</v>
      </c>
      <c r="AG2367" s="3">
        <f>IFERROR(__xludf.DUMMYFUNCTION("""COMPUTED_VALUE"""),0.0)</f>
        <v>0</v>
      </c>
      <c r="AH2367" s="3" t="str">
        <f>IFERROR(__xludf.DUMMYFUNCTION("""COMPUTED_VALUE"""),"#N/A")</f>
        <v>#N/A</v>
      </c>
      <c r="AI2367" s="3" t="str">
        <f>IFERROR(__xludf.DUMMYFUNCTION("""COMPUTED_VALUE"""),"Out of warranty")</f>
        <v>Out of warranty</v>
      </c>
      <c r="AJ2367" s="3">
        <f>IFERROR(__xludf.DUMMYFUNCTION("""COMPUTED_VALUE"""),1513.0)</f>
        <v>1513</v>
      </c>
      <c r="AK2367" s="3"/>
      <c r="AL2367" s="3"/>
    </row>
    <row r="2368" ht="15.75" customHeight="1">
      <c r="A2368" s="1" t="str">
        <f>IFERROR(__xludf.DUMMYFUNCTION("""COMPUTED_VALUE"""),"80001")</f>
        <v>80001</v>
      </c>
      <c r="B2368" s="2">
        <f>IFERROR(__xludf.DUMMYFUNCTION("""COMPUTED_VALUE"""),80001.0)</f>
        <v>80001</v>
      </c>
      <c r="C2368" s="3" t="str">
        <f>IFERROR(__xludf.DUMMYFUNCTION("""COMPUTED_VALUE"""),"พระราม4 EXPRO")</f>
        <v>พระราม4 EXPRO</v>
      </c>
      <c r="D2368" s="3" t="str">
        <f>IFERROR(__xludf.DUMMYFUNCTION("""COMPUTED_VALUE"""),"BIGC RAMA4 HEVNT1 2929")</f>
        <v>BIGC RAMA4 HEVNT1 2929</v>
      </c>
      <c r="E2368" s="1" t="str">
        <f>IFERROR(__xludf.DUMMYFUNCTION("""COMPUTED_VALUE"""),"บิ๊กซี HyperMarket")</f>
        <v>บิ๊กซี HyperMarket</v>
      </c>
      <c r="F2368" s="3"/>
      <c r="G2368" s="3"/>
      <c r="H2368" s="3"/>
      <c r="I2368" s="3"/>
      <c r="J2368" s="3"/>
      <c r="K2368" s="3"/>
      <c r="L2368" s="1" t="str">
        <f>IFERROR(__xludf.DUMMYFUNCTION("""COMPUTED_VALUE"""),"0")</f>
        <v>0</v>
      </c>
      <c r="M2368" s="3">
        <f>IFERROR(__xludf.DUMMYFUNCTION("""COMPUTED_VALUE"""),0.0)</f>
        <v>0</v>
      </c>
      <c r="N2368" s="3"/>
      <c r="O2368" s="3"/>
      <c r="P2368" s="3" t="str">
        <f>IFERROR(__xludf.DUMMYFUNCTION("""COMPUTED_VALUE"""),"0/1/1900")</f>
        <v>0/1/1900</v>
      </c>
      <c r="Q2368" s="3" t="str">
        <f>IFERROR(__xludf.DUMMYFUNCTION("""COMPUTED_VALUE"""),"I")</f>
        <v>I</v>
      </c>
      <c r="R2368" s="3" t="str">
        <f>IFERROR(__xludf.DUMMYFUNCTION("""COMPUTED_VALUE"""),"Big Format")</f>
        <v>Big Format</v>
      </c>
      <c r="S2368" s="3" t="str">
        <f>IFERROR(__xludf.DUMMYFUNCTION("""COMPUTED_VALUE"""),"Hyper")</f>
        <v>Hyper</v>
      </c>
      <c r="T2368" s="3" t="str">
        <f>IFERROR(__xludf.DUMMYFUNCTION("""COMPUTED_VALUE"""),"#N/A")</f>
        <v>#N/A</v>
      </c>
      <c r="U2368" s="3" t="str">
        <f>IFERROR(__xludf.DUMMYFUNCTION("""COMPUTED_VALUE"""),"#N/A")</f>
        <v>#N/A</v>
      </c>
      <c r="V2368" s="3" t="str">
        <f>IFERROR(__xludf.DUMMYFUNCTION("""COMPUTED_VALUE"""),"N")</f>
        <v>N</v>
      </c>
      <c r="W2368" s="3">
        <f>IFERROR(__xludf.DUMMYFUNCTION("""COMPUTED_VALUE"""),111190.0)</f>
        <v>111190</v>
      </c>
      <c r="X2368" s="3" t="str">
        <f>IFERROR(__xludf.DUMMYFUNCTION("""COMPUTED_VALUE"""),"2929 ถนนพระราม 4 แขวงคลองตัน เขตคลองเตย กรุงเทพมหานคร 10110")</f>
        <v>2929 ถนนพระราม 4 แขวงคลองตัน เขตคลองเตย กรุงเทพมหานคร 10110</v>
      </c>
      <c r="Y2368" s="3" t="str">
        <f>IFERROR(__xludf.DUMMYFUNCTION("""COMPUTED_VALUE"""),"พระราม4")</f>
        <v>พระราม4</v>
      </c>
      <c r="Z2368" s="3" t="str">
        <f>IFERROR(__xludf.DUMMYFUNCTION("""COMPUTED_VALUE"""),"คลองตัน")</f>
        <v>คลองตัน</v>
      </c>
      <c r="AA2368" s="3" t="str">
        <f>IFERROR(__xludf.DUMMYFUNCTION("""COMPUTED_VALUE"""),"คลองเตย")</f>
        <v>คลองเตย</v>
      </c>
      <c r="AB2368" s="3" t="str">
        <f>IFERROR(__xludf.DUMMYFUNCTION("""COMPUTED_VALUE"""),"กรุงเทพมหานคร")</f>
        <v>กรุงเทพมหานคร</v>
      </c>
      <c r="AC2368" s="3">
        <f>IFERROR(__xludf.DUMMYFUNCTION("""COMPUTED_VALUE"""),10110.0)</f>
        <v>10110</v>
      </c>
      <c r="AD2368" s="3"/>
      <c r="AE2368" s="3"/>
      <c r="AF2368" s="3" t="str">
        <f>IFERROR(__xludf.DUMMYFUNCTION("""COMPUTED_VALUE"""),"พระราม4 EXPRO-80001")</f>
        <v>พระราม4 EXPRO-80001</v>
      </c>
      <c r="AG2368" s="3" t="str">
        <f>IFERROR(__xludf.DUMMYFUNCTION("""COMPUTED_VALUE"""),"กลาง")</f>
        <v>กลาง</v>
      </c>
      <c r="AH2368" s="3" t="str">
        <f>IFERROR(__xludf.DUMMYFUNCTION("""COMPUTED_VALUE"""),"#N/A")</f>
        <v>#N/A</v>
      </c>
      <c r="AI2368" s="3" t="str">
        <f>IFERROR(__xludf.DUMMYFUNCTION("""COMPUTED_VALUE"""),"Out of warranty")</f>
        <v>Out of warranty</v>
      </c>
      <c r="AJ2368" s="3">
        <f>IFERROR(__xludf.DUMMYFUNCTION("""COMPUTED_VALUE"""),1513.0)</f>
        <v>1513</v>
      </c>
      <c r="AK2368" s="3"/>
      <c r="AL2368" s="3"/>
    </row>
    <row r="2369" ht="15.75" customHeight="1">
      <c r="A2369" s="1" t="str">
        <f>IFERROR(__xludf.DUMMYFUNCTION("""COMPUTED_VALUE"""),"80002")</f>
        <v>80002</v>
      </c>
      <c r="B2369" s="2">
        <f>IFERROR(__xludf.DUMMYFUNCTION("""COMPUTED_VALUE"""),80002.0)</f>
        <v>80002</v>
      </c>
      <c r="C2369" s="3" t="str">
        <f>IFERROR(__xludf.DUMMYFUNCTION("""COMPUTED_VALUE"""),"สาขาราชดำริ")</f>
        <v>สาขาราชดำริ</v>
      </c>
      <c r="D2369" s="3" t="str">
        <f>IFERROR(__xludf.DUMMYFUNCTION("""COMPUTED_VALUE"""),"BIGC WECHAT RATCHADAMRI")</f>
        <v>BIGC WECHAT RATCHADAMRI</v>
      </c>
      <c r="E2369" s="1" t="str">
        <f>IFERROR(__xludf.DUMMYFUNCTION("""COMPUTED_VALUE"""),"บิ๊กซี HyperMarket")</f>
        <v>บิ๊กซี HyperMarket</v>
      </c>
      <c r="F2369" s="3"/>
      <c r="G2369" s="3"/>
      <c r="H2369" s="3"/>
      <c r="I2369" s="3"/>
      <c r="J2369" s="3"/>
      <c r="K2369" s="3"/>
      <c r="L2369" s="1" t="str">
        <f>IFERROR(__xludf.DUMMYFUNCTION("""COMPUTED_VALUE"""),"0")</f>
        <v>0</v>
      </c>
      <c r="M2369" s="3">
        <f>IFERROR(__xludf.DUMMYFUNCTION("""COMPUTED_VALUE"""),0.0)</f>
        <v>0</v>
      </c>
      <c r="N2369" s="3"/>
      <c r="O2369" s="3"/>
      <c r="P2369" s="3" t="str">
        <f>IFERROR(__xludf.DUMMYFUNCTION("""COMPUTED_VALUE"""),"0/1/1900")</f>
        <v>0/1/1900</v>
      </c>
      <c r="Q2369" s="3" t="str">
        <f>IFERROR(__xludf.DUMMYFUNCTION("""COMPUTED_VALUE"""),"I")</f>
        <v>I</v>
      </c>
      <c r="R2369" s="3" t="str">
        <f>IFERROR(__xludf.DUMMYFUNCTION("""COMPUTED_VALUE"""),"Big Format")</f>
        <v>Big Format</v>
      </c>
      <c r="S2369" s="3" t="str">
        <f>IFERROR(__xludf.DUMMYFUNCTION("""COMPUTED_VALUE"""),"Hyper")</f>
        <v>Hyper</v>
      </c>
      <c r="T2369" s="3" t="str">
        <f>IFERROR(__xludf.DUMMYFUNCTION("""COMPUTED_VALUE"""),"#N/A")</f>
        <v>#N/A</v>
      </c>
      <c r="U2369" s="3" t="str">
        <f>IFERROR(__xludf.DUMMYFUNCTION("""COMPUTED_VALUE"""),"#N/A")</f>
        <v>#N/A</v>
      </c>
      <c r="V2369" s="3" t="str">
        <f>IFERROR(__xludf.DUMMYFUNCTION("""COMPUTED_VALUE"""),"N")</f>
        <v>N</v>
      </c>
      <c r="W2369" s="3">
        <f>IFERROR(__xludf.DUMMYFUNCTION("""COMPUTED_VALUE"""),111172.0)</f>
        <v>111172</v>
      </c>
      <c r="X2369" s="3" t="str">
        <f>IFERROR(__xludf.DUMMYFUNCTION("""COMPUTED_VALUE"""),"97/11 ถนนราชดำริห์ แขวงลุมพินี เขตปทุมวัน กรุงเทพมหานคร 10330")</f>
        <v>97/11 ถนนราชดำริห์ แขวงลุมพินี เขตปทุมวัน กรุงเทพมหานคร 10330</v>
      </c>
      <c r="Y2369" s="3" t="str">
        <f>IFERROR(__xludf.DUMMYFUNCTION("""COMPUTED_VALUE"""),"ถนนราชดำริห์")</f>
        <v>ถนนราชดำริห์</v>
      </c>
      <c r="Z2369" s="3" t="str">
        <f>IFERROR(__xludf.DUMMYFUNCTION("""COMPUTED_VALUE"""),"ลุมพินี")</f>
        <v>ลุมพินี</v>
      </c>
      <c r="AA2369" s="3" t="str">
        <f>IFERROR(__xludf.DUMMYFUNCTION("""COMPUTED_VALUE"""),"ปทุมวัน")</f>
        <v>ปทุมวัน</v>
      </c>
      <c r="AB2369" s="3" t="str">
        <f>IFERROR(__xludf.DUMMYFUNCTION("""COMPUTED_VALUE"""),"กรุงเทพมหานคร")</f>
        <v>กรุงเทพมหานคร</v>
      </c>
      <c r="AC2369" s="3">
        <f>IFERROR(__xludf.DUMMYFUNCTION("""COMPUTED_VALUE"""),10330.0)</f>
        <v>10330</v>
      </c>
      <c r="AD2369" s="3"/>
      <c r="AE2369" s="3"/>
      <c r="AF2369" s="3" t="str">
        <f>IFERROR(__xludf.DUMMYFUNCTION("""COMPUTED_VALUE"""),"สาขาราชดำริ-80002")</f>
        <v>สาขาราชดำริ-80002</v>
      </c>
      <c r="AG2369" s="3" t="str">
        <f>IFERROR(__xludf.DUMMYFUNCTION("""COMPUTED_VALUE"""),"กลาง")</f>
        <v>กลาง</v>
      </c>
      <c r="AH2369" s="3" t="str">
        <f>IFERROR(__xludf.DUMMYFUNCTION("""COMPUTED_VALUE"""),"#N/A")</f>
        <v>#N/A</v>
      </c>
      <c r="AI2369" s="3" t="str">
        <f>IFERROR(__xludf.DUMMYFUNCTION("""COMPUTED_VALUE"""),"Out of warranty")</f>
        <v>Out of warranty</v>
      </c>
      <c r="AJ2369" s="3">
        <f>IFERROR(__xludf.DUMMYFUNCTION("""COMPUTED_VALUE"""),1513.0)</f>
        <v>1513</v>
      </c>
      <c r="AK2369" s="3"/>
      <c r="AL2369" s="3"/>
    </row>
    <row r="2370" ht="15.75" customHeight="1">
      <c r="A2370" s="1" t="str">
        <f>IFERROR(__xludf.DUMMYFUNCTION("""COMPUTED_VALUE"""),"80003")</f>
        <v>80003</v>
      </c>
      <c r="B2370" s="2">
        <f>IFERROR(__xludf.DUMMYFUNCTION("""COMPUTED_VALUE"""),80003.0)</f>
        <v>80003</v>
      </c>
      <c r="C2370" s="3" t="str">
        <f>IFERROR(__xludf.DUMMYFUNCTION("""COMPUTED_VALUE"""),"สาขา Jumbo สำโรง")</f>
        <v>สาขา Jumbo สำโรง</v>
      </c>
      <c r="D2370" s="3" t="str">
        <f>IFERROR(__xludf.DUMMYFUNCTION("""COMPUTED_VALUE"""),"BIGC ONLINE SAMRONG")</f>
        <v>BIGC ONLINE SAMRONG</v>
      </c>
      <c r="E2370" s="1" t="str">
        <f>IFERROR(__xludf.DUMMYFUNCTION("""COMPUTED_VALUE"""),"บิ๊กซี HyperMarket")</f>
        <v>บิ๊กซี HyperMarket</v>
      </c>
      <c r="F2370" s="3"/>
      <c r="G2370" s="3"/>
      <c r="H2370" s="3"/>
      <c r="I2370" s="3"/>
      <c r="J2370" s="3"/>
      <c r="K2370" s="3"/>
      <c r="L2370" s="1" t="str">
        <f>IFERROR(__xludf.DUMMYFUNCTION("""COMPUTED_VALUE"""),"0")</f>
        <v>0</v>
      </c>
      <c r="M2370" s="3">
        <f>IFERROR(__xludf.DUMMYFUNCTION("""COMPUTED_VALUE"""),0.0)</f>
        <v>0</v>
      </c>
      <c r="N2370" s="3"/>
      <c r="O2370" s="3"/>
      <c r="P2370" s="3" t="str">
        <f>IFERROR(__xludf.DUMMYFUNCTION("""COMPUTED_VALUE"""),"0/1/1900")</f>
        <v>0/1/1900</v>
      </c>
      <c r="Q2370" s="3" t="str">
        <f>IFERROR(__xludf.DUMMYFUNCTION("""COMPUTED_VALUE"""),"I")</f>
        <v>I</v>
      </c>
      <c r="R2370" s="3" t="str">
        <f>IFERROR(__xludf.DUMMYFUNCTION("""COMPUTED_VALUE"""),"Big Format")</f>
        <v>Big Format</v>
      </c>
      <c r="S2370" s="3" t="str">
        <f>IFERROR(__xludf.DUMMYFUNCTION("""COMPUTED_VALUE"""),"Hyper")</f>
        <v>Hyper</v>
      </c>
      <c r="T2370" s="3" t="str">
        <f>IFERROR(__xludf.DUMMYFUNCTION("""COMPUTED_VALUE"""),"#N/A")</f>
        <v>#N/A</v>
      </c>
      <c r="U2370" s="3" t="str">
        <f>IFERROR(__xludf.DUMMYFUNCTION("""COMPUTED_VALUE"""),"#N/A")</f>
        <v>#N/A</v>
      </c>
      <c r="V2370" s="3" t="str">
        <f>IFERROR(__xludf.DUMMYFUNCTION("""COMPUTED_VALUE"""),"N")</f>
        <v>N</v>
      </c>
      <c r="W2370" s="3">
        <f>IFERROR(__xludf.DUMMYFUNCTION("""COMPUTED_VALUE"""),141001.0)</f>
        <v>141001</v>
      </c>
      <c r="X2370" s="3" t="str">
        <f>IFERROR(__xludf.DUMMYFUNCTION("""COMPUTED_VALUE"""),"1293 หมู่4 ตำบลเทพารักษ์ อำเภอเมืองสมุทรปราการ จังหวัดสมุทรปราการ 10270")</f>
        <v>1293 หมู่4 ตำบลเทพารักษ์ อำเภอเมืองสมุทรปราการ จังหวัดสมุทรปราการ 10270</v>
      </c>
      <c r="Y2370" s="3"/>
      <c r="Z2370" s="3" t="str">
        <f>IFERROR(__xludf.DUMMYFUNCTION("""COMPUTED_VALUE"""),"เทพารักษ์")</f>
        <v>เทพารักษ์</v>
      </c>
      <c r="AA2370" s="3" t="str">
        <f>IFERROR(__xludf.DUMMYFUNCTION("""COMPUTED_VALUE"""),"เมืองสมุทรปราการ")</f>
        <v>เมืองสมุทรปราการ</v>
      </c>
      <c r="AB2370" s="3" t="str">
        <f>IFERROR(__xludf.DUMMYFUNCTION("""COMPUTED_VALUE"""),"สมุทรปราการ")</f>
        <v>สมุทรปราการ</v>
      </c>
      <c r="AC2370" s="3">
        <f>IFERROR(__xludf.DUMMYFUNCTION("""COMPUTED_VALUE"""),10270.0)</f>
        <v>10270</v>
      </c>
      <c r="AD2370" s="3"/>
      <c r="AE2370" s="3"/>
      <c r="AF2370" s="3" t="str">
        <f>IFERROR(__xludf.DUMMYFUNCTION("""COMPUTED_VALUE"""),"สาขา Jumbo สำโรง-80003")</f>
        <v>สาขา Jumbo สำโรง-80003</v>
      </c>
      <c r="AG2370" s="3" t="str">
        <f>IFERROR(__xludf.DUMMYFUNCTION("""COMPUTED_VALUE"""),"กลาง")</f>
        <v>กลาง</v>
      </c>
      <c r="AH2370" s="3" t="str">
        <f>IFERROR(__xludf.DUMMYFUNCTION("""COMPUTED_VALUE"""),"#N/A")</f>
        <v>#N/A</v>
      </c>
      <c r="AI2370" s="3" t="str">
        <f>IFERROR(__xludf.DUMMYFUNCTION("""COMPUTED_VALUE"""),"Out of warranty")</f>
        <v>Out of warranty</v>
      </c>
      <c r="AJ2370" s="3">
        <f>IFERROR(__xludf.DUMMYFUNCTION("""COMPUTED_VALUE"""),1513.0)</f>
        <v>1513</v>
      </c>
      <c r="AK2370" s="3"/>
      <c r="AL2370" s="3"/>
    </row>
    <row r="2371" ht="15.75" customHeight="1">
      <c r="A2371" s="1" t="str">
        <f>IFERROR(__xludf.DUMMYFUNCTION("""COMPUTED_VALUE"""),"80004")</f>
        <v>80004</v>
      </c>
      <c r="B2371" s="2">
        <f>IFERROR(__xludf.DUMMYFUNCTION("""COMPUTED_VALUE"""),80004.0)</f>
        <v>80004</v>
      </c>
      <c r="C2371" s="3" t="str">
        <f>IFERROR(__xludf.DUMMYFUNCTION("""COMPUTED_VALUE"""),"สาขา Online TikTok")</f>
        <v>สาขา Online TikTok</v>
      </c>
      <c r="D2371" s="3" t="str">
        <f>IFERROR(__xludf.DUMMYFUNCTION("""COMPUTED_VALUE"""),"BIGC ONLINE TIKTOK STORE")</f>
        <v>BIGC ONLINE TIKTOK STORE</v>
      </c>
      <c r="E2371" s="1" t="str">
        <f>IFERROR(__xludf.DUMMYFUNCTION("""COMPUTED_VALUE"""),"บิ๊กซี HyperMarket")</f>
        <v>บิ๊กซี HyperMarket</v>
      </c>
      <c r="F2371" s="3"/>
      <c r="G2371" s="3"/>
      <c r="H2371" s="3"/>
      <c r="I2371" s="3"/>
      <c r="J2371" s="3"/>
      <c r="K2371" s="3"/>
      <c r="L2371" s="1" t="str">
        <f>IFERROR(__xludf.DUMMYFUNCTION("""COMPUTED_VALUE"""),"0")</f>
        <v>0</v>
      </c>
      <c r="M2371" s="1" t="str">
        <f>IFERROR(__xludf.DUMMYFUNCTION("""COMPUTED_VALUE"""),"0")</f>
        <v>0</v>
      </c>
      <c r="N2371" s="3"/>
      <c r="O2371" s="3"/>
      <c r="P2371" s="3" t="str">
        <f>IFERROR(__xludf.DUMMYFUNCTION("""COMPUTED_VALUE"""),"0/1/1900")</f>
        <v>0/1/1900</v>
      </c>
      <c r="Q2371" s="3" t="str">
        <f>IFERROR(__xludf.DUMMYFUNCTION("""COMPUTED_VALUE"""),"I")</f>
        <v>I</v>
      </c>
      <c r="R2371" s="3" t="str">
        <f>IFERROR(__xludf.DUMMYFUNCTION("""COMPUTED_VALUE"""),"Big Format")</f>
        <v>Big Format</v>
      </c>
      <c r="S2371" s="3" t="str">
        <f>IFERROR(__xludf.DUMMYFUNCTION("""COMPUTED_VALUE"""),"Hyper")</f>
        <v>Hyper</v>
      </c>
      <c r="T2371" s="3" t="str">
        <f>IFERROR(__xludf.DUMMYFUNCTION("""COMPUTED_VALUE"""),"#N/A")</f>
        <v>#N/A</v>
      </c>
      <c r="U2371" s="3" t="str">
        <f>IFERROR(__xludf.DUMMYFUNCTION("""COMPUTED_VALUE"""),"#N/A")</f>
        <v>#N/A</v>
      </c>
      <c r="V2371" s="3" t="str">
        <f>IFERROR(__xludf.DUMMYFUNCTION("""COMPUTED_VALUE"""),"N")</f>
        <v>N</v>
      </c>
      <c r="W2371" s="3"/>
      <c r="X2371" s="3" t="str">
        <f>IFERROR(__xludf.DUMMYFUNCTION("""COMPUTED_VALUE"""),"1293 หมู่ 4 ตำบลเทพารักษ์ อำเภอเมืองสมุทรปราการ จังหวัดสมุทรปราการ 10270")</f>
        <v>1293 หมู่ 4 ตำบลเทพารักษ์ อำเภอเมืองสมุทรปราการ จังหวัดสมุทรปราการ 10270</v>
      </c>
      <c r="Y2371" s="3"/>
      <c r="Z2371" s="3" t="str">
        <f>IFERROR(__xludf.DUMMYFUNCTION("""COMPUTED_VALUE"""),"เทพารักษ์")</f>
        <v>เทพารักษ์</v>
      </c>
      <c r="AA2371" s="3" t="str">
        <f>IFERROR(__xludf.DUMMYFUNCTION("""COMPUTED_VALUE"""),"เมืองสมุทรปราการ")</f>
        <v>เมืองสมุทรปราการ</v>
      </c>
      <c r="AB2371" s="3" t="str">
        <f>IFERROR(__xludf.DUMMYFUNCTION("""COMPUTED_VALUE"""),"สมุทรปราการ")</f>
        <v>สมุทรปราการ</v>
      </c>
      <c r="AC2371" s="3">
        <f>IFERROR(__xludf.DUMMYFUNCTION("""COMPUTED_VALUE"""),10270.0)</f>
        <v>10270</v>
      </c>
      <c r="AD2371" s="3"/>
      <c r="AE2371" s="3"/>
      <c r="AF2371" s="3" t="str">
        <f>IFERROR(__xludf.DUMMYFUNCTION("""COMPUTED_VALUE"""),"สาขา Online TikTok-80004")</f>
        <v>สาขา Online TikTok-80004</v>
      </c>
      <c r="AG2371" s="3" t="str">
        <f>IFERROR(__xludf.DUMMYFUNCTION("""COMPUTED_VALUE"""),"กลาง")</f>
        <v>กลาง</v>
      </c>
      <c r="AH2371" s="3" t="str">
        <f>IFERROR(__xludf.DUMMYFUNCTION("""COMPUTED_VALUE"""),"#N/A")</f>
        <v>#N/A</v>
      </c>
      <c r="AI2371" s="3" t="str">
        <f>IFERROR(__xludf.DUMMYFUNCTION("""COMPUTED_VALUE"""),"Out of warranty")</f>
        <v>Out of warranty</v>
      </c>
      <c r="AJ2371" s="3">
        <f>IFERROR(__xludf.DUMMYFUNCTION("""COMPUTED_VALUE"""),1513.0)</f>
        <v>1513</v>
      </c>
      <c r="AK2371" s="3"/>
      <c r="AL2371" s="3"/>
    </row>
    <row r="2372" ht="15.75" customHeight="1">
      <c r="A2372" s="1" t="str">
        <f>IFERROR(__xludf.DUMMYFUNCTION("""COMPUTED_VALUE"""),"81001")</f>
        <v>81001</v>
      </c>
      <c r="B2372" s="2">
        <f>IFERROR(__xludf.DUMMYFUNCTION("""COMPUTED_VALUE"""),81001.0)</f>
        <v>81001</v>
      </c>
      <c r="C2372" s="3" t="str">
        <f>IFERROR(__xludf.DUMMYFUNCTION("""COMPUTED_VALUE"""),"MBC แสงโสม")</f>
        <v>MBC แสงโสม</v>
      </c>
      <c r="D2372" s="3" t="str">
        <f>IFERROR(__xludf.DUMMYFUNCTION("""COMPUTED_VALUE"""),"MBC SANGSOM")</f>
        <v>MBC SANGSOM</v>
      </c>
      <c r="E2372" s="1" t="str">
        <f>IFERROR(__xludf.DUMMYFUNCTION("""COMPUTED_VALUE"""),"บิ๊กซี MINI")</f>
        <v>บิ๊กซี MINI</v>
      </c>
      <c r="F2372" s="1" t="str">
        <f>IFERROR(__xludf.DUMMYFUNCTION("""COMPUTED_VALUE"""),"291008")</f>
        <v>291008</v>
      </c>
      <c r="G2372" s="1" t="str">
        <f>IFERROR(__xludf.DUMMYFUNCTION("""COMPUTED_VALUE"""),"น.ส.รัชดาพร อีศรัตน์")</f>
        <v>น.ส.รัชดาพร อีศรัตน์</v>
      </c>
      <c r="H2372" s="1" t="str">
        <f>IFERROR(__xludf.DUMMYFUNCTION("""COMPUTED_VALUE"""),"034068")</f>
        <v>034068</v>
      </c>
      <c r="I2372" s="1" t="str">
        <f>IFERROR(__xludf.DUMMYFUNCTION("""COMPUTED_VALUE"""),"นายสมศักดิ์ ฐานทองดี")</f>
        <v>นายสมศักดิ์ ฐานทองดี</v>
      </c>
      <c r="J2372" s="3">
        <f>IFERROR(__xludf.DUMMYFUNCTION("""COMPUTED_VALUE"""),3510104.0)</f>
        <v>3510104</v>
      </c>
      <c r="K2372" s="3" t="str">
        <f>IFERROR(__xludf.DUMMYFUNCTION("""COMPUTED_VALUE"""),"นายวิโรจน์ อับดุลสมัด")</f>
        <v>นายวิโรจน์ อับดุลสมัด</v>
      </c>
      <c r="L2372" s="1" t="str">
        <f>IFERROR(__xludf.DUMMYFUNCTION("""COMPUTED_VALUE"""),"09 K.Wirode A")</f>
        <v>09 K.Wirode A</v>
      </c>
      <c r="M2372" s="1" t="str">
        <f>IFERROR(__xludf.DUMMYFUNCTION("""COMPUTED_VALUE"""),"080-235-4465")</f>
        <v>080-235-4465</v>
      </c>
      <c r="N2372" s="3">
        <f>IFERROR(__xludf.DUMMYFUNCTION("""COMPUTED_VALUE"""),21324.0)</f>
        <v>21324</v>
      </c>
      <c r="O2372" s="3" t="str">
        <f>IFERROR(__xludf.DUMMYFUNCTION("""COMPUTED_VALUE"""),"MBC BCP สุวินทวงศ์")</f>
        <v>MBC BCP สุวินทวงศ์</v>
      </c>
      <c r="P2372" s="4">
        <f>IFERROR(__xludf.DUMMYFUNCTION("""COMPUTED_VALUE"""),42675.0)</f>
        <v>42675</v>
      </c>
      <c r="Q2372" s="3" t="str">
        <f>IFERROR(__xludf.DUMMYFUNCTION("""COMPUTED_VALUE"""),"I")</f>
        <v>I</v>
      </c>
      <c r="R2372" s="3" t="str">
        <f>IFERROR(__xludf.DUMMYFUNCTION("""COMPUTED_VALUE"""),"Small Format")</f>
        <v>Small Format</v>
      </c>
      <c r="S2372" s="3" t="str">
        <f>IFERROR(__xludf.DUMMYFUNCTION("""COMPUTED_VALUE"""),"BCM")</f>
        <v>BCM</v>
      </c>
      <c r="T2372" s="3" t="str">
        <f>IFERROR(__xludf.DUMMYFUNCTION("""COMPUTED_VALUE"""),"#N/A")</f>
        <v>#N/A</v>
      </c>
      <c r="U2372" s="3" t="str">
        <f>IFERROR(__xludf.DUMMYFUNCTION("""COMPUTED_VALUE"""),"#N/A")</f>
        <v>#N/A</v>
      </c>
      <c r="V2372" s="3" t="str">
        <f>IFERROR(__xludf.DUMMYFUNCTION("""COMPUTED_VALUE"""),"N")</f>
        <v>N</v>
      </c>
      <c r="W2372" s="3">
        <f>IFERROR(__xludf.DUMMYFUNCTION("""COMPUTED_VALUE"""),391001.0)</f>
        <v>391001</v>
      </c>
      <c r="X2372" s="3" t="str">
        <f>IFERROR(__xludf.DUMMYFUNCTION("""COMPUTED_VALUE"""),"52/2 ซอยยาสูบ 1 แขวงจอมพล เขตจตุจักร กรุงเทพมหานคร 10900")</f>
        <v>52/2 ซอยยาสูบ 1 แขวงจอมพล เขตจตุจักร กรุงเทพมหานคร 10900</v>
      </c>
      <c r="Y2372" s="3" t="str">
        <f>IFERROR(__xludf.DUMMYFUNCTION("""COMPUTED_VALUE"""),"ซอยยาสูบ")</f>
        <v>ซอยยาสูบ</v>
      </c>
      <c r="Z2372" s="3" t="str">
        <f>IFERROR(__xludf.DUMMYFUNCTION("""COMPUTED_VALUE"""),"จอมพล")</f>
        <v>จอมพล</v>
      </c>
      <c r="AA2372" s="3" t="str">
        <f>IFERROR(__xludf.DUMMYFUNCTION("""COMPUTED_VALUE"""),"จตุจักร")</f>
        <v>จตุจักร</v>
      </c>
      <c r="AB2372" s="3" t="str">
        <f>IFERROR(__xludf.DUMMYFUNCTION("""COMPUTED_VALUE"""),"กรุงเทพมหานคร")</f>
        <v>กรุงเทพมหานคร</v>
      </c>
      <c r="AC2372" s="3">
        <f>IFERROR(__xludf.DUMMYFUNCTION("""COMPUTED_VALUE"""),10900.0)</f>
        <v>10900</v>
      </c>
      <c r="AD2372" s="3">
        <f>IFERROR(__xludf.DUMMYFUNCTION("""COMPUTED_VALUE"""),13.8010824)</f>
        <v>13.8010824</v>
      </c>
      <c r="AE2372" s="3">
        <f>IFERROR(__xludf.DUMMYFUNCTION("""COMPUTED_VALUE"""),100.5597982)</f>
        <v>100.5597982</v>
      </c>
      <c r="AF2372" s="3" t="str">
        <f>IFERROR(__xludf.DUMMYFUNCTION("""COMPUTED_VALUE"""),"MBC แสงโสม-81001")</f>
        <v>MBC แสงโสม-81001</v>
      </c>
      <c r="AG2372" s="3" t="str">
        <f>IFERROR(__xludf.DUMMYFUNCTION("""COMPUTED_VALUE"""),"กลาง")</f>
        <v>กลาง</v>
      </c>
      <c r="AH2372" s="3" t="str">
        <f>IFERROR(__xludf.DUMMYFUNCTION("""COMPUTED_VALUE"""),"#N/A")</f>
        <v>#N/A</v>
      </c>
      <c r="AI2372" s="3" t="str">
        <f>IFERROR(__xludf.DUMMYFUNCTION("""COMPUTED_VALUE"""),"Out of warranty")</f>
        <v>Out of warranty</v>
      </c>
      <c r="AJ2372" s="3">
        <f>IFERROR(__xludf.DUMMYFUNCTION("""COMPUTED_VALUE"""),111.0)</f>
        <v>111</v>
      </c>
      <c r="AK2372" s="3"/>
      <c r="AL2372" s="3"/>
    </row>
    <row r="2373" ht="15.75" customHeight="1">
      <c r="A2373" s="1" t="str">
        <f>IFERROR(__xludf.DUMMYFUNCTION("""COMPUTED_VALUE"""),"81002")</f>
        <v>81002</v>
      </c>
      <c r="B2373" s="2">
        <f>IFERROR(__xludf.DUMMYFUNCTION("""COMPUTED_VALUE"""),81002.0)</f>
        <v>81002</v>
      </c>
      <c r="C2373" s="3">
        <f>IFERROR(__xludf.DUMMYFUNCTION("""COMPUTED_VALUE"""),0.0)</f>
        <v>0</v>
      </c>
      <c r="D2373" s="3">
        <f>IFERROR(__xludf.DUMMYFUNCTION("""COMPUTED_VALUE"""),0.0)</f>
        <v>0</v>
      </c>
      <c r="E2373" s="1" t="str">
        <f>IFERROR(__xludf.DUMMYFUNCTION("""COMPUTED_VALUE"""),"0")</f>
        <v>0</v>
      </c>
      <c r="F2373" s="1" t="str">
        <f>IFERROR(__xludf.DUMMYFUNCTION("""COMPUTED_VALUE"""),"0")</f>
        <v>0</v>
      </c>
      <c r="G2373" s="1" t="str">
        <f>IFERROR(__xludf.DUMMYFUNCTION("""COMPUTED_VALUE"""),"0")</f>
        <v>0</v>
      </c>
      <c r="H2373" s="1" t="str">
        <f>IFERROR(__xludf.DUMMYFUNCTION("""COMPUTED_VALUE"""),"0")</f>
        <v>0</v>
      </c>
      <c r="I2373" s="1" t="str">
        <f>IFERROR(__xludf.DUMMYFUNCTION("""COMPUTED_VALUE"""),"0")</f>
        <v>0</v>
      </c>
      <c r="J2373" s="3">
        <f>IFERROR(__xludf.DUMMYFUNCTION("""COMPUTED_VALUE"""),0.0)</f>
        <v>0</v>
      </c>
      <c r="K2373" s="3">
        <f>IFERROR(__xludf.DUMMYFUNCTION("""COMPUTED_VALUE"""),0.0)</f>
        <v>0</v>
      </c>
      <c r="L2373" s="1" t="str">
        <f>IFERROR(__xludf.DUMMYFUNCTION("""COMPUTED_VALUE"""),"0")</f>
        <v>0</v>
      </c>
      <c r="M2373" s="1" t="str">
        <f>IFERROR(__xludf.DUMMYFUNCTION("""COMPUTED_VALUE"""),"0")</f>
        <v>0</v>
      </c>
      <c r="N2373" s="3">
        <f>IFERROR(__xludf.DUMMYFUNCTION("""COMPUTED_VALUE"""),0.0)</f>
        <v>0</v>
      </c>
      <c r="O2373" s="3">
        <f>IFERROR(__xludf.DUMMYFUNCTION("""COMPUTED_VALUE"""),0.0)</f>
        <v>0</v>
      </c>
      <c r="P2373" s="3">
        <f>IFERROR(__xludf.DUMMYFUNCTION("""COMPUTED_VALUE"""),0.0)</f>
        <v>0</v>
      </c>
      <c r="Q2373" s="3">
        <f>IFERROR(__xludf.DUMMYFUNCTION("""COMPUTED_VALUE"""),0.0)</f>
        <v>0</v>
      </c>
      <c r="R2373" s="3" t="str">
        <f>IFERROR(__xludf.DUMMYFUNCTION("""COMPUTED_VALUE"""),"Small Format")</f>
        <v>Small Format</v>
      </c>
      <c r="S2373" s="3"/>
      <c r="T2373" s="3" t="str">
        <f>IFERROR(__xludf.DUMMYFUNCTION("""COMPUTED_VALUE"""),"#N/A")</f>
        <v>#N/A</v>
      </c>
      <c r="U2373" s="3" t="str">
        <f>IFERROR(__xludf.DUMMYFUNCTION("""COMPUTED_VALUE"""),"#N/A")</f>
        <v>#N/A</v>
      </c>
      <c r="V2373" s="3" t="str">
        <f>IFERROR(__xludf.DUMMYFUNCTION("""COMPUTED_VALUE"""),"#N/A")</f>
        <v>#N/A</v>
      </c>
      <c r="W2373" s="3">
        <f>IFERROR(__xludf.DUMMYFUNCTION("""COMPUTED_VALUE"""),101002.0)</f>
        <v>101002</v>
      </c>
      <c r="X2373" s="3">
        <f>IFERROR(__xludf.DUMMYFUNCTION("""COMPUTED_VALUE"""),0.0)</f>
        <v>0</v>
      </c>
      <c r="Y2373" s="3"/>
      <c r="Z2373" s="3"/>
      <c r="AA2373" s="3"/>
      <c r="AB2373" s="3"/>
      <c r="AC2373" s="3"/>
      <c r="AD2373" s="3"/>
      <c r="AE2373" s="3"/>
      <c r="AF2373" s="3" t="str">
        <f>IFERROR(__xludf.DUMMYFUNCTION("""COMPUTED_VALUE"""),"0-81002")</f>
        <v>0-81002</v>
      </c>
      <c r="AG2373" s="3">
        <f>IFERROR(__xludf.DUMMYFUNCTION("""COMPUTED_VALUE"""),0.0)</f>
        <v>0</v>
      </c>
      <c r="AH2373" s="3" t="str">
        <f>IFERROR(__xludf.DUMMYFUNCTION("""COMPUTED_VALUE"""),"#N/A")</f>
        <v>#N/A</v>
      </c>
      <c r="AI2373" s="3" t="str">
        <f>IFERROR(__xludf.DUMMYFUNCTION("""COMPUTED_VALUE"""),"Out of warranty")</f>
        <v>Out of warranty</v>
      </c>
      <c r="AJ2373" s="3">
        <f>IFERROR(__xludf.DUMMYFUNCTION("""COMPUTED_VALUE"""),1513.0)</f>
        <v>1513</v>
      </c>
      <c r="AK2373" s="3"/>
      <c r="AL2373" s="3"/>
    </row>
    <row r="2374" ht="15.75" customHeight="1">
      <c r="A2374" s="1" t="str">
        <f>IFERROR(__xludf.DUMMYFUNCTION("""COMPUTED_VALUE"""),"82001")</f>
        <v>82001</v>
      </c>
      <c r="B2374" s="2">
        <f>IFERROR(__xludf.DUMMYFUNCTION("""COMPUTED_VALUE"""),82001.0)</f>
        <v>82001</v>
      </c>
      <c r="C2374" s="3">
        <f>IFERROR(__xludf.DUMMYFUNCTION("""COMPUTED_VALUE"""),0.0)</f>
        <v>0</v>
      </c>
      <c r="D2374" s="3">
        <f>IFERROR(__xludf.DUMMYFUNCTION("""COMPUTED_VALUE"""),0.0)</f>
        <v>0</v>
      </c>
      <c r="E2374" s="1" t="str">
        <f>IFERROR(__xludf.DUMMYFUNCTION("""COMPUTED_VALUE"""),"0")</f>
        <v>0</v>
      </c>
      <c r="F2374" s="1" t="str">
        <f>IFERROR(__xludf.DUMMYFUNCTION("""COMPUTED_VALUE"""),"0")</f>
        <v>0</v>
      </c>
      <c r="G2374" s="1" t="str">
        <f>IFERROR(__xludf.DUMMYFUNCTION("""COMPUTED_VALUE"""),"0")</f>
        <v>0</v>
      </c>
      <c r="H2374" s="1" t="str">
        <f>IFERROR(__xludf.DUMMYFUNCTION("""COMPUTED_VALUE"""),"0")</f>
        <v>0</v>
      </c>
      <c r="I2374" s="1" t="str">
        <f>IFERROR(__xludf.DUMMYFUNCTION("""COMPUTED_VALUE"""),"0")</f>
        <v>0</v>
      </c>
      <c r="J2374" s="3">
        <f>IFERROR(__xludf.DUMMYFUNCTION("""COMPUTED_VALUE"""),0.0)</f>
        <v>0</v>
      </c>
      <c r="K2374" s="3">
        <f>IFERROR(__xludf.DUMMYFUNCTION("""COMPUTED_VALUE"""),0.0)</f>
        <v>0</v>
      </c>
      <c r="L2374" s="1" t="str">
        <f>IFERROR(__xludf.DUMMYFUNCTION("""COMPUTED_VALUE"""),"0")</f>
        <v>0</v>
      </c>
      <c r="M2374" s="1" t="str">
        <f>IFERROR(__xludf.DUMMYFUNCTION("""COMPUTED_VALUE"""),"0")</f>
        <v>0</v>
      </c>
      <c r="N2374" s="3">
        <f>IFERROR(__xludf.DUMMYFUNCTION("""COMPUTED_VALUE"""),0.0)</f>
        <v>0</v>
      </c>
      <c r="O2374" s="3">
        <f>IFERROR(__xludf.DUMMYFUNCTION("""COMPUTED_VALUE"""),0.0)</f>
        <v>0</v>
      </c>
      <c r="P2374" s="3">
        <f>IFERROR(__xludf.DUMMYFUNCTION("""COMPUTED_VALUE"""),0.0)</f>
        <v>0</v>
      </c>
      <c r="Q2374" s="3">
        <f>IFERROR(__xludf.DUMMYFUNCTION("""COMPUTED_VALUE"""),0.0)</f>
        <v>0</v>
      </c>
      <c r="R2374" s="3" t="str">
        <f>IFERROR(__xludf.DUMMYFUNCTION("""COMPUTED_VALUE"""),"Small Format")</f>
        <v>Small Format</v>
      </c>
      <c r="S2374" s="3"/>
      <c r="T2374" s="3" t="str">
        <f>IFERROR(__xludf.DUMMYFUNCTION("""COMPUTED_VALUE"""),"#N/A")</f>
        <v>#N/A</v>
      </c>
      <c r="U2374" s="3" t="str">
        <f>IFERROR(__xludf.DUMMYFUNCTION("""COMPUTED_VALUE"""),"#N/A")</f>
        <v>#N/A</v>
      </c>
      <c r="V2374" s="3" t="str">
        <f>IFERROR(__xludf.DUMMYFUNCTION("""COMPUTED_VALUE"""),"#N/A")</f>
        <v>#N/A</v>
      </c>
      <c r="W2374" s="3">
        <f>IFERROR(__xludf.DUMMYFUNCTION("""COMPUTED_VALUE"""),0.0)</f>
        <v>0</v>
      </c>
      <c r="X2374" s="3">
        <f>IFERROR(__xludf.DUMMYFUNCTION("""COMPUTED_VALUE"""),0.0)</f>
        <v>0</v>
      </c>
      <c r="Y2374" s="3"/>
      <c r="Z2374" s="3"/>
      <c r="AA2374" s="3"/>
      <c r="AB2374" s="3"/>
      <c r="AC2374" s="3"/>
      <c r="AD2374" s="3"/>
      <c r="AE2374" s="3"/>
      <c r="AF2374" s="3" t="str">
        <f>IFERROR(__xludf.DUMMYFUNCTION("""COMPUTED_VALUE"""),"0-82001")</f>
        <v>0-82001</v>
      </c>
      <c r="AG2374" s="3">
        <f>IFERROR(__xludf.DUMMYFUNCTION("""COMPUTED_VALUE"""),0.0)</f>
        <v>0</v>
      </c>
      <c r="AH2374" s="3" t="str">
        <f>IFERROR(__xludf.DUMMYFUNCTION("""COMPUTED_VALUE"""),"#N/A")</f>
        <v>#N/A</v>
      </c>
      <c r="AI2374" s="3" t="str">
        <f>IFERROR(__xludf.DUMMYFUNCTION("""COMPUTED_VALUE"""),"Out of warranty")</f>
        <v>Out of warranty</v>
      </c>
      <c r="AJ2374" s="3">
        <f>IFERROR(__xludf.DUMMYFUNCTION("""COMPUTED_VALUE"""),1513.0)</f>
        <v>1513</v>
      </c>
      <c r="AK2374" s="3"/>
      <c r="AL2374" s="3"/>
    </row>
    <row r="2375" ht="15.75" customHeight="1">
      <c r="A2375" s="1" t="str">
        <f>IFERROR(__xludf.DUMMYFUNCTION("""COMPUTED_VALUE"""),"82002")</f>
        <v>82002</v>
      </c>
      <c r="B2375" s="2">
        <f>IFERROR(__xludf.DUMMYFUNCTION("""COMPUTED_VALUE"""),82002.0)</f>
        <v>82002</v>
      </c>
      <c r="C2375" s="3">
        <f>IFERROR(__xludf.DUMMYFUNCTION("""COMPUTED_VALUE"""),0.0)</f>
        <v>0</v>
      </c>
      <c r="D2375" s="3">
        <f>IFERROR(__xludf.DUMMYFUNCTION("""COMPUTED_VALUE"""),0.0)</f>
        <v>0</v>
      </c>
      <c r="E2375" s="1" t="str">
        <f>IFERROR(__xludf.DUMMYFUNCTION("""COMPUTED_VALUE"""),"0")</f>
        <v>0</v>
      </c>
      <c r="F2375" s="1" t="str">
        <f>IFERROR(__xludf.DUMMYFUNCTION("""COMPUTED_VALUE"""),"0")</f>
        <v>0</v>
      </c>
      <c r="G2375" s="1" t="str">
        <f>IFERROR(__xludf.DUMMYFUNCTION("""COMPUTED_VALUE"""),"0")</f>
        <v>0</v>
      </c>
      <c r="H2375" s="1" t="str">
        <f>IFERROR(__xludf.DUMMYFUNCTION("""COMPUTED_VALUE"""),"0")</f>
        <v>0</v>
      </c>
      <c r="I2375" s="1" t="str">
        <f>IFERROR(__xludf.DUMMYFUNCTION("""COMPUTED_VALUE"""),"0")</f>
        <v>0</v>
      </c>
      <c r="J2375" s="3">
        <f>IFERROR(__xludf.DUMMYFUNCTION("""COMPUTED_VALUE"""),0.0)</f>
        <v>0</v>
      </c>
      <c r="K2375" s="3">
        <f>IFERROR(__xludf.DUMMYFUNCTION("""COMPUTED_VALUE"""),0.0)</f>
        <v>0</v>
      </c>
      <c r="L2375" s="1" t="str">
        <f>IFERROR(__xludf.DUMMYFUNCTION("""COMPUTED_VALUE"""),"0")</f>
        <v>0</v>
      </c>
      <c r="M2375" s="1" t="str">
        <f>IFERROR(__xludf.DUMMYFUNCTION("""COMPUTED_VALUE"""),"0")</f>
        <v>0</v>
      </c>
      <c r="N2375" s="3">
        <f>IFERROR(__xludf.DUMMYFUNCTION("""COMPUTED_VALUE"""),0.0)</f>
        <v>0</v>
      </c>
      <c r="O2375" s="3">
        <f>IFERROR(__xludf.DUMMYFUNCTION("""COMPUTED_VALUE"""),0.0)</f>
        <v>0</v>
      </c>
      <c r="P2375" s="3">
        <f>IFERROR(__xludf.DUMMYFUNCTION("""COMPUTED_VALUE"""),0.0)</f>
        <v>0</v>
      </c>
      <c r="Q2375" s="3">
        <f>IFERROR(__xludf.DUMMYFUNCTION("""COMPUTED_VALUE"""),0.0)</f>
        <v>0</v>
      </c>
      <c r="R2375" s="3" t="str">
        <f>IFERROR(__xludf.DUMMYFUNCTION("""COMPUTED_VALUE"""),"Small Format")</f>
        <v>Small Format</v>
      </c>
      <c r="S2375" s="3"/>
      <c r="T2375" s="3" t="str">
        <f>IFERROR(__xludf.DUMMYFUNCTION("""COMPUTED_VALUE"""),"#N/A")</f>
        <v>#N/A</v>
      </c>
      <c r="U2375" s="3" t="str">
        <f>IFERROR(__xludf.DUMMYFUNCTION("""COMPUTED_VALUE"""),"#N/A")</f>
        <v>#N/A</v>
      </c>
      <c r="V2375" s="3" t="str">
        <f>IFERROR(__xludf.DUMMYFUNCTION("""COMPUTED_VALUE"""),"#N/A")</f>
        <v>#N/A</v>
      </c>
      <c r="W2375" s="3">
        <f>IFERROR(__xludf.DUMMYFUNCTION("""COMPUTED_VALUE"""),113001.0)</f>
        <v>113001</v>
      </c>
      <c r="X2375" s="3">
        <f>IFERROR(__xludf.DUMMYFUNCTION("""COMPUTED_VALUE"""),0.0)</f>
        <v>0</v>
      </c>
      <c r="Y2375" s="3"/>
      <c r="Z2375" s="3"/>
      <c r="AA2375" s="3"/>
      <c r="AB2375" s="3"/>
      <c r="AC2375" s="3"/>
      <c r="AD2375" s="3"/>
      <c r="AE2375" s="3"/>
      <c r="AF2375" s="3" t="str">
        <f>IFERROR(__xludf.DUMMYFUNCTION("""COMPUTED_VALUE"""),"0-82002")</f>
        <v>0-82002</v>
      </c>
      <c r="AG2375" s="3">
        <f>IFERROR(__xludf.DUMMYFUNCTION("""COMPUTED_VALUE"""),0.0)</f>
        <v>0</v>
      </c>
      <c r="AH2375" s="3" t="str">
        <f>IFERROR(__xludf.DUMMYFUNCTION("""COMPUTED_VALUE"""),"#N/A")</f>
        <v>#N/A</v>
      </c>
      <c r="AI2375" s="3" t="str">
        <f>IFERROR(__xludf.DUMMYFUNCTION("""COMPUTED_VALUE"""),"Out of warranty")</f>
        <v>Out of warranty</v>
      </c>
      <c r="AJ2375" s="3">
        <f>IFERROR(__xludf.DUMMYFUNCTION("""COMPUTED_VALUE"""),1513.0)</f>
        <v>1513</v>
      </c>
      <c r="AK2375" s="3"/>
      <c r="AL2375" s="3"/>
    </row>
    <row r="2376" ht="15.75" customHeight="1">
      <c r="A2376" s="1" t="str">
        <f>IFERROR(__xludf.DUMMYFUNCTION("""COMPUTED_VALUE"""),"82003")</f>
        <v>82003</v>
      </c>
      <c r="B2376" s="2">
        <f>IFERROR(__xludf.DUMMYFUNCTION("""COMPUTED_VALUE"""),82003.0)</f>
        <v>82003</v>
      </c>
      <c r="C2376" s="3">
        <f>IFERROR(__xludf.DUMMYFUNCTION("""COMPUTED_VALUE"""),0.0)</f>
        <v>0</v>
      </c>
      <c r="D2376" s="3">
        <f>IFERROR(__xludf.DUMMYFUNCTION("""COMPUTED_VALUE"""),0.0)</f>
        <v>0</v>
      </c>
      <c r="E2376" s="1" t="str">
        <f>IFERROR(__xludf.DUMMYFUNCTION("""COMPUTED_VALUE"""),"0")</f>
        <v>0</v>
      </c>
      <c r="F2376" s="1" t="str">
        <f>IFERROR(__xludf.DUMMYFUNCTION("""COMPUTED_VALUE"""),"0")</f>
        <v>0</v>
      </c>
      <c r="G2376" s="1" t="str">
        <f>IFERROR(__xludf.DUMMYFUNCTION("""COMPUTED_VALUE"""),"0")</f>
        <v>0</v>
      </c>
      <c r="H2376" s="1" t="str">
        <f>IFERROR(__xludf.DUMMYFUNCTION("""COMPUTED_VALUE"""),"0")</f>
        <v>0</v>
      </c>
      <c r="I2376" s="1" t="str">
        <f>IFERROR(__xludf.DUMMYFUNCTION("""COMPUTED_VALUE"""),"0")</f>
        <v>0</v>
      </c>
      <c r="J2376" s="3">
        <f>IFERROR(__xludf.DUMMYFUNCTION("""COMPUTED_VALUE"""),0.0)</f>
        <v>0</v>
      </c>
      <c r="K2376" s="3">
        <f>IFERROR(__xludf.DUMMYFUNCTION("""COMPUTED_VALUE"""),0.0)</f>
        <v>0</v>
      </c>
      <c r="L2376" s="1" t="str">
        <f>IFERROR(__xludf.DUMMYFUNCTION("""COMPUTED_VALUE"""),"0")</f>
        <v>0</v>
      </c>
      <c r="M2376" s="1" t="str">
        <f>IFERROR(__xludf.DUMMYFUNCTION("""COMPUTED_VALUE"""),"0")</f>
        <v>0</v>
      </c>
      <c r="N2376" s="3">
        <f>IFERROR(__xludf.DUMMYFUNCTION("""COMPUTED_VALUE"""),0.0)</f>
        <v>0</v>
      </c>
      <c r="O2376" s="3">
        <f>IFERROR(__xludf.DUMMYFUNCTION("""COMPUTED_VALUE"""),0.0)</f>
        <v>0</v>
      </c>
      <c r="P2376" s="3">
        <f>IFERROR(__xludf.DUMMYFUNCTION("""COMPUTED_VALUE"""),0.0)</f>
        <v>0</v>
      </c>
      <c r="Q2376" s="3">
        <f>IFERROR(__xludf.DUMMYFUNCTION("""COMPUTED_VALUE"""),0.0)</f>
        <v>0</v>
      </c>
      <c r="R2376" s="3" t="str">
        <f>IFERROR(__xludf.DUMMYFUNCTION("""COMPUTED_VALUE"""),"Small Format")</f>
        <v>Small Format</v>
      </c>
      <c r="S2376" s="3"/>
      <c r="T2376" s="3" t="str">
        <f>IFERROR(__xludf.DUMMYFUNCTION("""COMPUTED_VALUE"""),"#N/A")</f>
        <v>#N/A</v>
      </c>
      <c r="U2376" s="3" t="str">
        <f>IFERROR(__xludf.DUMMYFUNCTION("""COMPUTED_VALUE"""),"#N/A")</f>
        <v>#N/A</v>
      </c>
      <c r="V2376" s="3" t="str">
        <f>IFERROR(__xludf.DUMMYFUNCTION("""COMPUTED_VALUE"""),"#N/A")</f>
        <v>#N/A</v>
      </c>
      <c r="W2376" s="3">
        <f>IFERROR(__xludf.DUMMYFUNCTION("""COMPUTED_VALUE"""),113002.0)</f>
        <v>113002</v>
      </c>
      <c r="X2376" s="3">
        <f>IFERROR(__xludf.DUMMYFUNCTION("""COMPUTED_VALUE"""),0.0)</f>
        <v>0</v>
      </c>
      <c r="Y2376" s="3"/>
      <c r="Z2376" s="3"/>
      <c r="AA2376" s="3"/>
      <c r="AB2376" s="3"/>
      <c r="AC2376" s="3"/>
      <c r="AD2376" s="3"/>
      <c r="AE2376" s="3"/>
      <c r="AF2376" s="3" t="str">
        <f>IFERROR(__xludf.DUMMYFUNCTION("""COMPUTED_VALUE"""),"0-82003")</f>
        <v>0-82003</v>
      </c>
      <c r="AG2376" s="3">
        <f>IFERROR(__xludf.DUMMYFUNCTION("""COMPUTED_VALUE"""),0.0)</f>
        <v>0</v>
      </c>
      <c r="AH2376" s="3" t="str">
        <f>IFERROR(__xludf.DUMMYFUNCTION("""COMPUTED_VALUE"""),"#N/A")</f>
        <v>#N/A</v>
      </c>
      <c r="AI2376" s="3" t="str">
        <f>IFERROR(__xludf.DUMMYFUNCTION("""COMPUTED_VALUE"""),"Out of warranty")</f>
        <v>Out of warranty</v>
      </c>
      <c r="AJ2376" s="3">
        <f>IFERROR(__xludf.DUMMYFUNCTION("""COMPUTED_VALUE"""),1513.0)</f>
        <v>1513</v>
      </c>
      <c r="AK2376" s="3"/>
      <c r="AL2376" s="3"/>
    </row>
    <row r="2377" ht="15.75" customHeight="1">
      <c r="A2377" s="1" t="str">
        <f>IFERROR(__xludf.DUMMYFUNCTION("""COMPUTED_VALUE"""),"83001")</f>
        <v>83001</v>
      </c>
      <c r="B2377" s="2">
        <f>IFERROR(__xludf.DUMMYFUNCTION("""COMPUTED_VALUE"""),83001.0)</f>
        <v>83001</v>
      </c>
      <c r="C2377" s="3" t="str">
        <f>IFERROR(__xludf.DUMMYFUNCTION("""COMPUTED_VALUE"""),"สาขา หลักสี่ 1")</f>
        <v>สาขา หลักสี่ 1</v>
      </c>
      <c r="D2377" s="3" t="str">
        <f>IFERROR(__xludf.DUMMYFUNCTION("""COMPUTED_VALUE"""),"BJC MP INTER (LAK SI 1)")</f>
        <v>BJC MP INTER (LAK SI 1)</v>
      </c>
      <c r="E2377" s="1" t="str">
        <f>IFERROR(__xludf.DUMMYFUNCTION("""COMPUTED_VALUE"""),"บิ๊กซี HyperMarket")</f>
        <v>บิ๊กซี HyperMarket</v>
      </c>
      <c r="F2377" s="3"/>
      <c r="G2377" s="3"/>
      <c r="H2377" s="3"/>
      <c r="I2377" s="3"/>
      <c r="J2377" s="3"/>
      <c r="K2377" s="3"/>
      <c r="L2377" s="1" t="str">
        <f>IFERROR(__xludf.DUMMYFUNCTION("""COMPUTED_VALUE"""),"0")</f>
        <v>0</v>
      </c>
      <c r="M2377" s="3">
        <f>IFERROR(__xludf.DUMMYFUNCTION("""COMPUTED_VALUE"""),0.0)</f>
        <v>0</v>
      </c>
      <c r="N2377" s="3"/>
      <c r="O2377" s="3"/>
      <c r="P2377" s="3" t="str">
        <f>IFERROR(__xludf.DUMMYFUNCTION("""COMPUTED_VALUE"""),"0/1/1900")</f>
        <v>0/1/1900</v>
      </c>
      <c r="Q2377" s="3" t="str">
        <f>IFERROR(__xludf.DUMMYFUNCTION("""COMPUTED_VALUE"""),"I")</f>
        <v>I</v>
      </c>
      <c r="R2377" s="3" t="str">
        <f>IFERROR(__xludf.DUMMYFUNCTION("""COMPUTED_VALUE"""),"Big Format")</f>
        <v>Big Format</v>
      </c>
      <c r="S2377" s="3" t="str">
        <f>IFERROR(__xludf.DUMMYFUNCTION("""COMPUTED_VALUE"""),"Hyper")</f>
        <v>Hyper</v>
      </c>
      <c r="T2377" s="3" t="str">
        <f>IFERROR(__xludf.DUMMYFUNCTION("""COMPUTED_VALUE"""),"#N/A")</f>
        <v>#N/A</v>
      </c>
      <c r="U2377" s="3" t="str">
        <f>IFERROR(__xludf.DUMMYFUNCTION("""COMPUTED_VALUE"""),"#N/A")</f>
        <v>#N/A</v>
      </c>
      <c r="V2377" s="3" t="str">
        <f>IFERROR(__xludf.DUMMYFUNCTION("""COMPUTED_VALUE"""),"N")</f>
        <v>N</v>
      </c>
      <c r="W2377" s="3">
        <f>IFERROR(__xludf.DUMMYFUNCTION("""COMPUTED_VALUE"""),119001.0)</f>
        <v>119001</v>
      </c>
      <c r="X2377" s="3" t="str">
        <f>IFERROR(__xludf.DUMMYFUNCTION("""COMPUTED_VALUE"""),"89, 169-170 ถนนวิภาวดี รังสิต แขวงตลาดบางเขน เขตหลักสี่ กรุงเทพมหานคร 10210")</f>
        <v>89, 169-170 ถนนวิภาวดี รังสิต แขวงตลาดบางเขน เขตหลักสี่ กรุงเทพมหานคร 10210</v>
      </c>
      <c r="Y2377" s="3" t="str">
        <f>IFERROR(__xludf.DUMMYFUNCTION("""COMPUTED_VALUE"""),"วิภาวดี รังสิต")</f>
        <v>วิภาวดี รังสิต</v>
      </c>
      <c r="Z2377" s="3" t="str">
        <f>IFERROR(__xludf.DUMMYFUNCTION("""COMPUTED_VALUE"""),"ตลาดบางเขน")</f>
        <v>ตลาดบางเขน</v>
      </c>
      <c r="AA2377" s="3" t="str">
        <f>IFERROR(__xludf.DUMMYFUNCTION("""COMPUTED_VALUE"""),"หลักสี่")</f>
        <v>หลักสี่</v>
      </c>
      <c r="AB2377" s="3" t="str">
        <f>IFERROR(__xludf.DUMMYFUNCTION("""COMPUTED_VALUE"""),"กรุงเทพมหานคร")</f>
        <v>กรุงเทพมหานคร</v>
      </c>
      <c r="AC2377" s="3">
        <f>IFERROR(__xludf.DUMMYFUNCTION("""COMPUTED_VALUE"""),10210.0)</f>
        <v>10210</v>
      </c>
      <c r="AD2377" s="3"/>
      <c r="AE2377" s="3"/>
      <c r="AF2377" s="3" t="str">
        <f>IFERROR(__xludf.DUMMYFUNCTION("""COMPUTED_VALUE"""),"สาขา หลักสี่ 1-83001")</f>
        <v>สาขา หลักสี่ 1-83001</v>
      </c>
      <c r="AG2377" s="3" t="str">
        <f>IFERROR(__xludf.DUMMYFUNCTION("""COMPUTED_VALUE"""),"กลาง")</f>
        <v>กลาง</v>
      </c>
      <c r="AH2377" s="3" t="str">
        <f>IFERROR(__xludf.DUMMYFUNCTION("""COMPUTED_VALUE"""),"#N/A")</f>
        <v>#N/A</v>
      </c>
      <c r="AI2377" s="3" t="str">
        <f>IFERROR(__xludf.DUMMYFUNCTION("""COMPUTED_VALUE"""),"Out of warranty")</f>
        <v>Out of warranty</v>
      </c>
      <c r="AJ2377" s="3">
        <f>IFERROR(__xludf.DUMMYFUNCTION("""COMPUTED_VALUE"""),1513.0)</f>
        <v>1513</v>
      </c>
      <c r="AK2377" s="3"/>
      <c r="AL2377" s="3"/>
    </row>
    <row r="2378" ht="15.75" customHeight="1">
      <c r="A2378" s="1" t="str">
        <f>IFERROR(__xludf.DUMMYFUNCTION("""COMPUTED_VALUE"""),"83002")</f>
        <v>83002</v>
      </c>
      <c r="B2378" s="2">
        <f>IFERROR(__xludf.DUMMYFUNCTION("""COMPUTED_VALUE"""),83002.0)</f>
        <v>83002</v>
      </c>
      <c r="C2378" s="3" t="str">
        <f>IFERROR(__xludf.DUMMYFUNCTION("""COMPUTED_VALUE"""),"สาขา การส่งออก")</f>
        <v>สาขา การส่งออก</v>
      </c>
      <c r="D2378" s="3" t="str">
        <f>IFERROR(__xludf.DUMMYFUNCTION("""COMPUTED_VALUE"""),"BJC MP INTER (LAK SI 2)")</f>
        <v>BJC MP INTER (LAK SI 2)</v>
      </c>
      <c r="E2378" s="1" t="str">
        <f>IFERROR(__xludf.DUMMYFUNCTION("""COMPUTED_VALUE"""),"Donjai")</f>
        <v>Donjai</v>
      </c>
      <c r="F2378" s="1" t="str">
        <f>IFERROR(__xludf.DUMMYFUNCTION("""COMPUTED_VALUE"""),"2010016")</f>
        <v>2010016</v>
      </c>
      <c r="G2378" s="1" t="str">
        <f>IFERROR(__xludf.DUMMYFUNCTION("""COMPUTED_VALUE"""),"นายตวงธรรม ใหม่ยศ")</f>
        <v>นายตวงธรรม ใหม่ยศ</v>
      </c>
      <c r="H2378" s="1" t="str">
        <f>IFERROR(__xludf.DUMMYFUNCTION("""COMPUTED_VALUE"""),"2010016")</f>
        <v>2010016</v>
      </c>
      <c r="I2378" s="1" t="str">
        <f>IFERROR(__xludf.DUMMYFUNCTION("""COMPUTED_VALUE"""),"นายตวงธรรม ใหม่ยศ")</f>
        <v>นายตวงธรรม ใหม่ยศ</v>
      </c>
      <c r="J2378" s="3">
        <f>IFERROR(__xludf.DUMMYFUNCTION("""COMPUTED_VALUE"""),295886.0)</f>
        <v>295886</v>
      </c>
      <c r="K2378" s="3" t="str">
        <f>IFERROR(__xludf.DUMMYFUNCTION("""COMPUTED_VALUE"""),"นายจิระพงษ์ โพธิ์นิล")</f>
        <v>นายจิระพงษ์ โพธิ์นิล</v>
      </c>
      <c r="L2378" s="1" t="str">
        <f>IFERROR(__xludf.DUMMYFUNCTION("""COMPUTED_VALUE"""),"นายจิระพงษ์ โพธิ์นิล")</f>
        <v>นายจิระพงษ์ โพธิ์นิล</v>
      </c>
      <c r="M2378" s="3">
        <f>IFERROR(__xludf.DUMMYFUNCTION("""COMPUTED_VALUE"""),9.33290754E8)</f>
        <v>933290754</v>
      </c>
      <c r="N2378" s="3">
        <f>IFERROR(__xludf.DUMMYFUNCTION("""COMPUTED_VALUE"""),83002.0)</f>
        <v>83002</v>
      </c>
      <c r="O2378" s="3" t="str">
        <f>IFERROR(__xludf.DUMMYFUNCTION("""COMPUTED_VALUE"""),"สาขา การส่งออก")</f>
        <v>สาขา การส่งออก</v>
      </c>
      <c r="P2378" s="4">
        <f>IFERROR(__xludf.DUMMYFUNCTION("""COMPUTED_VALUE"""),44466.0)</f>
        <v>44466</v>
      </c>
      <c r="Q2378" s="3" t="str">
        <f>IFERROR(__xludf.DUMMYFUNCTION("""COMPUTED_VALUE"""),"I")</f>
        <v>I</v>
      </c>
      <c r="R2378" s="3" t="str">
        <f>IFERROR(__xludf.DUMMYFUNCTION("""COMPUTED_VALUE"""),"Small Format")</f>
        <v>Small Format</v>
      </c>
      <c r="S2378" s="3" t="str">
        <f>IFERROR(__xludf.DUMMYFUNCTION("""COMPUTED_VALUE"""),"Donjai")</f>
        <v>Donjai</v>
      </c>
      <c r="T2378" s="3" t="str">
        <f>IFERROR(__xludf.DUMMYFUNCTION("""COMPUTED_VALUE"""),"01 K.Tuangtham M.")</f>
        <v>01 K.Tuangtham M.</v>
      </c>
      <c r="U2378" s="3" t="str">
        <f>IFERROR(__xludf.DUMMYFUNCTION("""COMPUTED_VALUE"""),"01 K.Tuangtham M.")</f>
        <v>01 K.Tuangtham M.</v>
      </c>
      <c r="V2378" s="3" t="str">
        <f>IFERROR(__xludf.DUMMYFUNCTION("""COMPUTED_VALUE"""),"N")</f>
        <v>N</v>
      </c>
      <c r="W2378" s="3"/>
      <c r="X2378" s="3" t="str">
        <f>IFERROR(__xludf.DUMMYFUNCTION("""COMPUTED_VALUE"""),"Export")</f>
        <v>Export</v>
      </c>
      <c r="Y2378" s="3"/>
      <c r="Z2378" s="3">
        <f>IFERROR(__xludf.DUMMYFUNCTION("""COMPUTED_VALUE"""),0.0)</f>
        <v>0</v>
      </c>
      <c r="AA2378" s="3">
        <f>IFERROR(__xludf.DUMMYFUNCTION("""COMPUTED_VALUE"""),0.0)</f>
        <v>0</v>
      </c>
      <c r="AB2378" s="3">
        <f>IFERROR(__xludf.DUMMYFUNCTION("""COMPUTED_VALUE"""),0.0)</f>
        <v>0</v>
      </c>
      <c r="AC2378" s="3">
        <f>IFERROR(__xludf.DUMMYFUNCTION("""COMPUTED_VALUE"""),0.0)</f>
        <v>0</v>
      </c>
      <c r="AD2378" s="3"/>
      <c r="AE2378" s="3"/>
      <c r="AF2378" s="3" t="str">
        <f>IFERROR(__xludf.DUMMYFUNCTION("""COMPUTED_VALUE"""),"สาขา การส่งออก-83002")</f>
        <v>สาขา การส่งออก-83002</v>
      </c>
      <c r="AG2378" s="3" t="str">
        <f>IFERROR(__xludf.DUMMYFUNCTION("""COMPUTED_VALUE"""),"#N/A")</f>
        <v>#N/A</v>
      </c>
      <c r="AH2378" s="3" t="str">
        <f>IFERROR(__xludf.DUMMYFUNCTION("""COMPUTED_VALUE"""),"#N/A")</f>
        <v>#N/A</v>
      </c>
      <c r="AI2378" s="3" t="str">
        <f>IFERROR(__xludf.DUMMYFUNCTION("""COMPUTED_VALUE"""),"Out of warranty")</f>
        <v>Out of warranty</v>
      </c>
      <c r="AJ2378" s="3">
        <f>IFERROR(__xludf.DUMMYFUNCTION("""COMPUTED_VALUE"""),52.0)</f>
        <v>52</v>
      </c>
      <c r="AK2378" s="3"/>
      <c r="AL2378" s="3"/>
    </row>
    <row r="2379" ht="15.75" customHeight="1">
      <c r="A2379" s="1" t="str">
        <f>IFERROR(__xludf.DUMMYFUNCTION("""COMPUTED_VALUE"""),"83003")</f>
        <v>83003</v>
      </c>
      <c r="B2379" s="2">
        <f>IFERROR(__xludf.DUMMYFUNCTION("""COMPUTED_VALUE"""),83003.0)</f>
        <v>83003</v>
      </c>
      <c r="C2379" s="3" t="str">
        <f>IFERROR(__xludf.DUMMYFUNCTION("""COMPUTED_VALUE"""),"ร้านอรทัยสังฆภัณฑ์")</f>
        <v>ร้านอรทัยสังฆภัณฑ์</v>
      </c>
      <c r="D2379" s="3" t="str">
        <f>IFERROR(__xludf.DUMMYFUNCTION("""COMPUTED_VALUE"""),"ร้านอรทัยสังฆภัณฑ์")</f>
        <v>ร้านอรทัยสังฆภัณฑ์</v>
      </c>
      <c r="E2379" s="1" t="str">
        <f>IFERROR(__xludf.DUMMYFUNCTION("""COMPUTED_VALUE"""),"Donjai")</f>
        <v>Donjai</v>
      </c>
      <c r="F2379" s="1" t="str">
        <f>IFERROR(__xludf.DUMMYFUNCTION("""COMPUTED_VALUE"""),"015361")</f>
        <v>015361</v>
      </c>
      <c r="G2379" s="1" t="str">
        <f>IFERROR(__xludf.DUMMYFUNCTION("""COMPUTED_VALUE"""),"นายสมบูรณ์ พรหมในเมือง")</f>
        <v>นายสมบูรณ์ พรหมในเมือง</v>
      </c>
      <c r="H2379" s="1" t="str">
        <f>IFERROR(__xludf.DUMMYFUNCTION("""COMPUTED_VALUE"""),"015361")</f>
        <v>015361</v>
      </c>
      <c r="I2379" s="1" t="str">
        <f>IFERROR(__xludf.DUMMYFUNCTION("""COMPUTED_VALUE"""),"นายสมบูรณ์ พรหมในเมือง")</f>
        <v>นายสมบูรณ์ พรหมในเมือง</v>
      </c>
      <c r="J2379" s="3">
        <f>IFERROR(__xludf.DUMMYFUNCTION("""COMPUTED_VALUE"""),295886.0)</f>
        <v>295886</v>
      </c>
      <c r="K2379" s="3" t="str">
        <f>IFERROR(__xludf.DUMMYFUNCTION("""COMPUTED_VALUE"""),"นายจิระพงษ์ โพธิ์นิล")</f>
        <v>นายจิระพงษ์ โพธิ์นิล</v>
      </c>
      <c r="L2379" s="1" t="str">
        <f>IFERROR(__xludf.DUMMYFUNCTION("""COMPUTED_VALUE"""),"นายจิระพงษ์ โพธิ์นิล")</f>
        <v>นายจิระพงษ์ โพธิ์นิล</v>
      </c>
      <c r="M2379" s="1" t="str">
        <f>IFERROR(__xludf.DUMMYFUNCTION("""COMPUTED_VALUE"""),"0933290754")</f>
        <v>0933290754</v>
      </c>
      <c r="N2379" s="3">
        <f>IFERROR(__xludf.DUMMYFUNCTION("""COMPUTED_VALUE"""),83003.0)</f>
        <v>83003</v>
      </c>
      <c r="O2379" s="3" t="str">
        <f>IFERROR(__xludf.DUMMYFUNCTION("""COMPUTED_VALUE"""),"ร้านอรทัยสังฆภัณฑ์")</f>
        <v>ร้านอรทัยสังฆภัณฑ์</v>
      </c>
      <c r="P2379" s="4">
        <f>IFERROR(__xludf.DUMMYFUNCTION("""COMPUTED_VALUE"""),44467.0)</f>
        <v>44467</v>
      </c>
      <c r="Q2379" s="3" t="str">
        <f>IFERROR(__xludf.DUMMYFUNCTION("""COMPUTED_VALUE"""),"I")</f>
        <v>I</v>
      </c>
      <c r="R2379" s="3" t="str">
        <f>IFERROR(__xludf.DUMMYFUNCTION("""COMPUTED_VALUE"""),"Small Format")</f>
        <v>Small Format</v>
      </c>
      <c r="S2379" s="3" t="str">
        <f>IFERROR(__xludf.DUMMYFUNCTION("""COMPUTED_VALUE"""),"Donjai")</f>
        <v>Donjai</v>
      </c>
      <c r="T2379" s="3" t="str">
        <f>IFERROR(__xludf.DUMMYFUNCTION("""COMPUTED_VALUE"""),"04 K.Somboon P.")</f>
        <v>04 K.Somboon P.</v>
      </c>
      <c r="U2379" s="3" t="str">
        <f>IFERROR(__xludf.DUMMYFUNCTION("""COMPUTED_VALUE"""),"04 K.Somboon P.")</f>
        <v>04 K.Somboon P.</v>
      </c>
      <c r="V2379" s="3" t="str">
        <f>IFERROR(__xludf.DUMMYFUNCTION("""COMPUTED_VALUE"""),"N")</f>
        <v>N</v>
      </c>
      <c r="W2379" s="3"/>
      <c r="X2379" s="3" t="str">
        <f>IFERROR(__xludf.DUMMYFUNCTION("""COMPUTED_VALUE"""),"29 ม.11 ต.เสนางคนิคม อ.เสนางคนิคม จ.อำนาจเจริญ 37290")</f>
        <v>29 ม.11 ต.เสนางคนิคม อ.เสนางคนิคม จ.อำนาจเจริญ 37290</v>
      </c>
      <c r="Y2379" s="3"/>
      <c r="Z2379" s="3">
        <f>IFERROR(__xludf.DUMMYFUNCTION("""COMPUTED_VALUE"""),0.0)</f>
        <v>0</v>
      </c>
      <c r="AA2379" s="3">
        <f>IFERROR(__xludf.DUMMYFUNCTION("""COMPUTED_VALUE"""),0.0)</f>
        <v>0</v>
      </c>
      <c r="AB2379" s="3" t="str">
        <f>IFERROR(__xludf.DUMMYFUNCTION("""COMPUTED_VALUE"""),"อำนาจเจริญ")</f>
        <v>อำนาจเจริญ</v>
      </c>
      <c r="AC2379" s="3">
        <f>IFERROR(__xludf.DUMMYFUNCTION("""COMPUTED_VALUE"""),37290.0)</f>
        <v>37290</v>
      </c>
      <c r="AD2379" s="3"/>
      <c r="AE2379" s="3"/>
      <c r="AF2379" s="3" t="str">
        <f>IFERROR(__xludf.DUMMYFUNCTION("""COMPUTED_VALUE"""),"ร้านอรทัยสังฆภัณฑ์ -83003")</f>
        <v>ร้านอรทัยสังฆภัณฑ์ -83003</v>
      </c>
      <c r="AG2379" s="3" t="str">
        <f>IFERROR(__xludf.DUMMYFUNCTION("""COMPUTED_VALUE"""),"ตะวันออกเฉียงเหนือ")</f>
        <v>ตะวันออกเฉียงเหนือ</v>
      </c>
      <c r="AH2379" s="3" t="str">
        <f>IFERROR(__xludf.DUMMYFUNCTION("""COMPUTED_VALUE"""),"#N/A")</f>
        <v>#N/A</v>
      </c>
      <c r="AI2379" s="3" t="str">
        <f>IFERROR(__xludf.DUMMYFUNCTION("""COMPUTED_VALUE"""),"Out of warranty")</f>
        <v>Out of warranty</v>
      </c>
      <c r="AJ2379" s="3">
        <f>IFERROR(__xludf.DUMMYFUNCTION("""COMPUTED_VALUE"""),52.0)</f>
        <v>52</v>
      </c>
      <c r="AK2379" s="3"/>
      <c r="AL2379" s="3"/>
    </row>
    <row r="2380" ht="15.75" customHeight="1">
      <c r="A2380" s="1" t="str">
        <f>IFERROR(__xludf.DUMMYFUNCTION("""COMPUTED_VALUE"""),"83005")</f>
        <v>83005</v>
      </c>
      <c r="B2380" s="2">
        <f>IFERROR(__xludf.DUMMYFUNCTION("""COMPUTED_VALUE"""),83005.0)</f>
        <v>83005</v>
      </c>
      <c r="C2380" s="3" t="str">
        <f>IFERROR(__xludf.DUMMYFUNCTION("""COMPUTED_VALUE"""),"ร้านแพรกษาเอ็กซ์เพรส")</f>
        <v>ร้านแพรกษาเอ็กซ์เพรส</v>
      </c>
      <c r="D2380" s="3" t="str">
        <f>IFERROR(__xludf.DUMMYFUNCTION("""COMPUTED_VALUE"""),"ร้านแพรกษาเอ็กซ์เพรส")</f>
        <v>ร้านแพรกษาเอ็กซ์เพรส</v>
      </c>
      <c r="E2380" s="1" t="str">
        <f>IFERROR(__xludf.DUMMYFUNCTION("""COMPUTED_VALUE"""),"Donjai")</f>
        <v>Donjai</v>
      </c>
      <c r="F2380" s="1" t="str">
        <f>IFERROR(__xludf.DUMMYFUNCTION("""COMPUTED_VALUE"""),"296945")</f>
        <v>296945</v>
      </c>
      <c r="G2380" s="1" t="str">
        <f>IFERROR(__xludf.DUMMYFUNCTION("""COMPUTED_VALUE"""),"นายรักพงศ์ พงศ์พันธ์งาม")</f>
        <v>นายรักพงศ์ พงศ์พันธ์งาม</v>
      </c>
      <c r="H2380" s="1" t="str">
        <f>IFERROR(__xludf.DUMMYFUNCTION("""COMPUTED_VALUE"""),"296945")</f>
        <v>296945</v>
      </c>
      <c r="I2380" s="1" t="str">
        <f>IFERROR(__xludf.DUMMYFUNCTION("""COMPUTED_VALUE"""),"นายรักพงศ์ พงศ์พันธ์งาม")</f>
        <v>นายรักพงศ์ พงศ์พันธ์งาม</v>
      </c>
      <c r="J2380" s="3">
        <f>IFERROR(__xludf.DUMMYFUNCTION("""COMPUTED_VALUE"""),228031.0)</f>
        <v>228031</v>
      </c>
      <c r="K2380" s="3" t="str">
        <f>IFERROR(__xludf.DUMMYFUNCTION("""COMPUTED_VALUE"""),"นายธนพงษ์ วันหมัด")</f>
        <v>นายธนพงษ์ วันหมัด</v>
      </c>
      <c r="L2380" s="1" t="str">
        <f>IFERROR(__xludf.DUMMYFUNCTION("""COMPUTED_VALUE"""),"นายธนพงษ์ วันหมัด")</f>
        <v>นายธนพงษ์ วันหมัด</v>
      </c>
      <c r="M2380" s="3">
        <f>IFERROR(__xludf.DUMMYFUNCTION("""COMPUTED_VALUE"""),8.13716913E8)</f>
        <v>813716913</v>
      </c>
      <c r="N2380" s="3">
        <f>IFERROR(__xludf.DUMMYFUNCTION("""COMPUTED_VALUE"""),83005.0)</f>
        <v>83005</v>
      </c>
      <c r="O2380" s="3" t="str">
        <f>IFERROR(__xludf.DUMMYFUNCTION("""COMPUTED_VALUE"""),"ร้านแพรกษาเอ็กซ์เพรส")</f>
        <v>ร้านแพรกษาเอ็กซ์เพรส</v>
      </c>
      <c r="P2380" s="4">
        <f>IFERROR(__xludf.DUMMYFUNCTION("""COMPUTED_VALUE"""),44469.0)</f>
        <v>44469</v>
      </c>
      <c r="Q2380" s="3" t="str">
        <f>IFERROR(__xludf.DUMMYFUNCTION("""COMPUTED_VALUE"""),"I")</f>
        <v>I</v>
      </c>
      <c r="R2380" s="3" t="str">
        <f>IFERROR(__xludf.DUMMYFUNCTION("""COMPUTED_VALUE"""),"Small Format")</f>
        <v>Small Format</v>
      </c>
      <c r="S2380" s="3" t="str">
        <f>IFERROR(__xludf.DUMMYFUNCTION("""COMPUTED_VALUE"""),"Donjai")</f>
        <v>Donjai</v>
      </c>
      <c r="T2380" s="3">
        <f>IFERROR(__xludf.DUMMYFUNCTION("""COMPUTED_VALUE"""),0.0)</f>
        <v>0</v>
      </c>
      <c r="U2380" s="3">
        <f>IFERROR(__xludf.DUMMYFUNCTION("""COMPUTED_VALUE"""),0.0)</f>
        <v>0</v>
      </c>
      <c r="V2380" s="3" t="str">
        <f>IFERROR(__xludf.DUMMYFUNCTION("""COMPUTED_VALUE"""),"N")</f>
        <v>N</v>
      </c>
      <c r="W2380" s="3"/>
      <c r="X2380" s="3" t="str">
        <f>IFERROR(__xludf.DUMMYFUNCTION("""COMPUTED_VALUE"""),"99/31-32 ม.4 ถนน แพรกษา ต.ท้ายบ้าน อ.เมือง จ.สมุทรปราการ 10280")</f>
        <v>99/31-32 ม.4 ถนน แพรกษา ต.ท้ายบ้าน อ.เมือง จ.สมุทรปราการ 10280</v>
      </c>
      <c r="Y2380" s="3"/>
      <c r="Z2380" s="3"/>
      <c r="AA2380" s="3"/>
      <c r="AB2380" s="3"/>
      <c r="AC2380" s="3"/>
      <c r="AD2380" s="3"/>
      <c r="AE2380" s="3"/>
      <c r="AF2380" s="3" t="str">
        <f>IFERROR(__xludf.DUMMYFUNCTION("""COMPUTED_VALUE"""),"ร้านแพรกษาเอ็กซ์เพรส-83005")</f>
        <v>ร้านแพรกษาเอ็กซ์เพรส-83005</v>
      </c>
      <c r="AG2380" s="3">
        <f>IFERROR(__xludf.DUMMYFUNCTION("""COMPUTED_VALUE"""),0.0)</f>
        <v>0</v>
      </c>
      <c r="AH2380" s="3" t="str">
        <f>IFERROR(__xludf.DUMMYFUNCTION("""COMPUTED_VALUE"""),"#N/A")</f>
        <v>#N/A</v>
      </c>
      <c r="AI2380" s="3" t="str">
        <f>IFERROR(__xludf.DUMMYFUNCTION("""COMPUTED_VALUE"""),"Out of warranty")</f>
        <v>Out of warranty</v>
      </c>
      <c r="AJ2380" s="3">
        <f>IFERROR(__xludf.DUMMYFUNCTION("""COMPUTED_VALUE"""),52.0)</f>
        <v>52</v>
      </c>
      <c r="AK2380" s="3"/>
      <c r="AL2380" s="3"/>
    </row>
    <row r="2381" ht="15.75" customHeight="1">
      <c r="A2381" s="1" t="str">
        <f>IFERROR(__xludf.DUMMYFUNCTION("""COMPUTED_VALUE"""),"83006")</f>
        <v>83006</v>
      </c>
      <c r="B2381" s="2">
        <f>IFERROR(__xludf.DUMMYFUNCTION("""COMPUTED_VALUE"""),83006.0)</f>
        <v>83006</v>
      </c>
      <c r="C2381" s="3" t="str">
        <f>IFERROR(__xludf.DUMMYFUNCTION("""COMPUTED_VALUE"""),"ร้านแตะดีกว่า")</f>
        <v>ร้านแตะดีกว่า</v>
      </c>
      <c r="D2381" s="3" t="str">
        <f>IFERROR(__xludf.DUMMYFUNCTION("""COMPUTED_VALUE"""),"ร้านแตะดีกว่า")</f>
        <v>ร้านแตะดีกว่า</v>
      </c>
      <c r="E2381" s="1" t="str">
        <f>IFERROR(__xludf.DUMMYFUNCTION("""COMPUTED_VALUE"""),"Donjai")</f>
        <v>Donjai</v>
      </c>
      <c r="F2381" s="1" t="str">
        <f>IFERROR(__xludf.DUMMYFUNCTION("""COMPUTED_VALUE"""),"046214")</f>
        <v>046214</v>
      </c>
      <c r="G2381" s="1" t="str">
        <f>IFERROR(__xludf.DUMMYFUNCTION("""COMPUTED_VALUE"""),"นายศักดิ์ชัย เด็ดดอกฟ้า")</f>
        <v>นายศักดิ์ชัย เด็ดดอกฟ้า</v>
      </c>
      <c r="H2381" s="1" t="str">
        <f>IFERROR(__xludf.DUMMYFUNCTION("""COMPUTED_VALUE"""),"046214")</f>
        <v>046214</v>
      </c>
      <c r="I2381" s="1" t="str">
        <f>IFERROR(__xludf.DUMMYFUNCTION("""COMPUTED_VALUE"""),"นายศักดิ์ชัย เด็ดดอกฟ้า")</f>
        <v>นายศักดิ์ชัย เด็ดดอกฟ้า</v>
      </c>
      <c r="J2381" s="3">
        <f>IFERROR(__xludf.DUMMYFUNCTION("""COMPUTED_VALUE"""),295886.0)</f>
        <v>295886</v>
      </c>
      <c r="K2381" s="3" t="str">
        <f>IFERROR(__xludf.DUMMYFUNCTION("""COMPUTED_VALUE"""),"นายจิระพงษ์ โพธิ์นิล")</f>
        <v>นายจิระพงษ์ โพธิ์นิล</v>
      </c>
      <c r="L2381" s="1" t="str">
        <f>IFERROR(__xludf.DUMMYFUNCTION("""COMPUTED_VALUE"""),"นายจิระพงษ์ โพธิ์นิล")</f>
        <v>นายจิระพงษ์ โพธิ์นิล</v>
      </c>
      <c r="M2381" s="3">
        <f>IFERROR(__xludf.DUMMYFUNCTION("""COMPUTED_VALUE"""),9.33290754E8)</f>
        <v>933290754</v>
      </c>
      <c r="N2381" s="3">
        <f>IFERROR(__xludf.DUMMYFUNCTION("""COMPUTED_VALUE"""),83006.0)</f>
        <v>83006</v>
      </c>
      <c r="O2381" s="3" t="str">
        <f>IFERROR(__xludf.DUMMYFUNCTION("""COMPUTED_VALUE"""),"ร้านแตะดีกว่า")</f>
        <v>ร้านแตะดีกว่า</v>
      </c>
      <c r="P2381" s="4">
        <f>IFERROR(__xludf.DUMMYFUNCTION("""COMPUTED_VALUE"""),44473.0)</f>
        <v>44473</v>
      </c>
      <c r="Q2381" s="3" t="str">
        <f>IFERROR(__xludf.DUMMYFUNCTION("""COMPUTED_VALUE"""),"A")</f>
        <v>A</v>
      </c>
      <c r="R2381" s="3" t="str">
        <f>IFERROR(__xludf.DUMMYFUNCTION("""COMPUTED_VALUE"""),"Small Format")</f>
        <v>Small Format</v>
      </c>
      <c r="S2381" s="3" t="str">
        <f>IFERROR(__xludf.DUMMYFUNCTION("""COMPUTED_VALUE"""),"Donjai")</f>
        <v>Donjai</v>
      </c>
      <c r="T2381" s="3" t="str">
        <f>IFERROR(__xludf.DUMMYFUNCTION("""COMPUTED_VALUE"""),"02 K.Sakchai D")</f>
        <v>02 K.Sakchai D</v>
      </c>
      <c r="U2381" s="3" t="str">
        <f>IFERROR(__xludf.DUMMYFUNCTION("""COMPUTED_VALUE"""),"02 K.Sakchai D")</f>
        <v>02 K.Sakchai D</v>
      </c>
      <c r="V2381" s="3" t="str">
        <f>IFERROR(__xludf.DUMMYFUNCTION("""COMPUTED_VALUE"""),"N")</f>
        <v>N</v>
      </c>
      <c r="W2381" s="3"/>
      <c r="X2381" s="3" t="str">
        <f>IFERROR(__xludf.DUMMYFUNCTION("""COMPUTED_VALUE"""),"81 หมู่ 4 ต.ลำพญากลาง อ.มวกเหล็ก จ.สระบุรี")</f>
        <v>81 หมู่ 4 ต.ลำพญากลาง อ.มวกเหล็ก จ.สระบุรี</v>
      </c>
      <c r="Y2381" s="3"/>
      <c r="Z2381" s="3">
        <f>IFERROR(__xludf.DUMMYFUNCTION("""COMPUTED_VALUE"""),0.0)</f>
        <v>0</v>
      </c>
      <c r="AA2381" s="3">
        <f>IFERROR(__xludf.DUMMYFUNCTION("""COMPUTED_VALUE"""),0.0)</f>
        <v>0</v>
      </c>
      <c r="AB2381" s="3" t="str">
        <f>IFERROR(__xludf.DUMMYFUNCTION("""COMPUTED_VALUE"""),"สระบุรี")</f>
        <v>สระบุรี</v>
      </c>
      <c r="AC2381" s="3">
        <f>IFERROR(__xludf.DUMMYFUNCTION("""COMPUTED_VALUE"""),0.0)</f>
        <v>0</v>
      </c>
      <c r="AD2381" s="3"/>
      <c r="AE2381" s="3"/>
      <c r="AF2381" s="3" t="str">
        <f>IFERROR(__xludf.DUMMYFUNCTION("""COMPUTED_VALUE"""),"ร้านแตะดีกว่า-83006")</f>
        <v>ร้านแตะดีกว่า-83006</v>
      </c>
      <c r="AG2381" s="3" t="str">
        <f>IFERROR(__xludf.DUMMYFUNCTION("""COMPUTED_VALUE"""),"กลาง")</f>
        <v>กลาง</v>
      </c>
      <c r="AH2381" s="3" t="str">
        <f>IFERROR(__xludf.DUMMYFUNCTION("""COMPUTED_VALUE"""),"#N/A")</f>
        <v>#N/A</v>
      </c>
      <c r="AI2381" s="3" t="str">
        <f>IFERROR(__xludf.DUMMYFUNCTION("""COMPUTED_VALUE"""),"Out of warranty")</f>
        <v>Out of warranty</v>
      </c>
      <c r="AJ2381" s="3">
        <f>IFERROR(__xludf.DUMMYFUNCTION("""COMPUTED_VALUE"""),52.0)</f>
        <v>52</v>
      </c>
      <c r="AK2381" s="3"/>
      <c r="AL2381" s="3"/>
    </row>
    <row r="2382" ht="15.75" customHeight="1">
      <c r="A2382" s="1" t="str">
        <f>IFERROR(__xludf.DUMMYFUNCTION("""COMPUTED_VALUE"""),"83007")</f>
        <v>83007</v>
      </c>
      <c r="B2382" s="2">
        <f>IFERROR(__xludf.DUMMYFUNCTION("""COMPUTED_VALUE"""),83007.0)</f>
        <v>83007</v>
      </c>
      <c r="C2382" s="3" t="str">
        <f>IFERROR(__xludf.DUMMYFUNCTION("""COMPUTED_VALUE"""),"ร้าน น พาโชค")</f>
        <v>ร้าน น พาโชค</v>
      </c>
      <c r="D2382" s="3" t="str">
        <f>IFERROR(__xludf.DUMMYFUNCTION("""COMPUTED_VALUE"""),"ร้าน น พาโชค")</f>
        <v>ร้าน น พาโชค</v>
      </c>
      <c r="E2382" s="1" t="str">
        <f>IFERROR(__xludf.DUMMYFUNCTION("""COMPUTED_VALUE"""),"Donjai")</f>
        <v>Donjai</v>
      </c>
      <c r="F2382" s="1" t="str">
        <f>IFERROR(__xludf.DUMMYFUNCTION("""COMPUTED_VALUE"""),"296868")</f>
        <v>296868</v>
      </c>
      <c r="G2382" s="1" t="str">
        <f>IFERROR(__xludf.DUMMYFUNCTION("""COMPUTED_VALUE"""),"นายพีระพงษ์ แก้วดวงดี")</f>
        <v>นายพีระพงษ์ แก้วดวงดี</v>
      </c>
      <c r="H2382" s="1" t="str">
        <f>IFERROR(__xludf.DUMMYFUNCTION("""COMPUTED_VALUE"""),"296868")</f>
        <v>296868</v>
      </c>
      <c r="I2382" s="1" t="str">
        <f>IFERROR(__xludf.DUMMYFUNCTION("""COMPUTED_VALUE"""),"นายพีระพงษ์ แก้วดวงดี")</f>
        <v>นายพีระพงษ์ แก้วดวงดี</v>
      </c>
      <c r="J2382" s="3">
        <f>IFERROR(__xludf.DUMMYFUNCTION("""COMPUTED_VALUE"""),295886.0)</f>
        <v>295886</v>
      </c>
      <c r="K2382" s="3" t="str">
        <f>IFERROR(__xludf.DUMMYFUNCTION("""COMPUTED_VALUE"""),"นายจิระพงษ์ โพธิ์นิล")</f>
        <v>นายจิระพงษ์ โพธิ์นิล</v>
      </c>
      <c r="L2382" s="1" t="str">
        <f>IFERROR(__xludf.DUMMYFUNCTION("""COMPUTED_VALUE"""),"นายจิระพงษ์ โพธิ์นิล")</f>
        <v>นายจิระพงษ์ โพธิ์นิล</v>
      </c>
      <c r="M2382" s="1" t="str">
        <f>IFERROR(__xludf.DUMMYFUNCTION("""COMPUTED_VALUE"""),"0933290754")</f>
        <v>0933290754</v>
      </c>
      <c r="N2382" s="3">
        <f>IFERROR(__xludf.DUMMYFUNCTION("""COMPUTED_VALUE"""),83007.0)</f>
        <v>83007</v>
      </c>
      <c r="O2382" s="3" t="str">
        <f>IFERROR(__xludf.DUMMYFUNCTION("""COMPUTED_VALUE"""),"ร้าน น พาโชค")</f>
        <v>ร้าน น พาโชค</v>
      </c>
      <c r="P2382" s="4">
        <f>IFERROR(__xludf.DUMMYFUNCTION("""COMPUTED_VALUE"""),44469.0)</f>
        <v>44469</v>
      </c>
      <c r="Q2382" s="3" t="str">
        <f>IFERROR(__xludf.DUMMYFUNCTION("""COMPUTED_VALUE"""),"A")</f>
        <v>A</v>
      </c>
      <c r="R2382" s="3" t="str">
        <f>IFERROR(__xludf.DUMMYFUNCTION("""COMPUTED_VALUE"""),"Small Format")</f>
        <v>Small Format</v>
      </c>
      <c r="S2382" s="3" t="str">
        <f>IFERROR(__xludf.DUMMYFUNCTION("""COMPUTED_VALUE"""),"Donjai")</f>
        <v>Donjai</v>
      </c>
      <c r="T2382" s="3" t="str">
        <f>IFERROR(__xludf.DUMMYFUNCTION("""COMPUTED_VALUE"""),"03 K.Peerapong K.")</f>
        <v>03 K.Peerapong K.</v>
      </c>
      <c r="U2382" s="3" t="str">
        <f>IFERROR(__xludf.DUMMYFUNCTION("""COMPUTED_VALUE"""),"03 K.Peerapong K.")</f>
        <v>03 K.Peerapong K.</v>
      </c>
      <c r="V2382" s="3" t="str">
        <f>IFERROR(__xludf.DUMMYFUNCTION("""COMPUTED_VALUE"""),"N")</f>
        <v>N</v>
      </c>
      <c r="W2382" s="3"/>
      <c r="X2382" s="3" t="str">
        <f>IFERROR(__xludf.DUMMYFUNCTION("""COMPUTED_VALUE"""),"152 ม.7 อ.เมือง ต.สาวะถี จ.ขอนแก่น 40000")</f>
        <v>152 ม.7 อ.เมือง ต.สาวะถี จ.ขอนแก่น 40000</v>
      </c>
      <c r="Y2382" s="3"/>
      <c r="Z2382" s="3">
        <f>IFERROR(__xludf.DUMMYFUNCTION("""COMPUTED_VALUE"""),0.0)</f>
        <v>0</v>
      </c>
      <c r="AA2382" s="3">
        <f>IFERROR(__xludf.DUMMYFUNCTION("""COMPUTED_VALUE"""),0.0)</f>
        <v>0</v>
      </c>
      <c r="AB2382" s="3" t="str">
        <f>IFERROR(__xludf.DUMMYFUNCTION("""COMPUTED_VALUE"""),"ขอนแก่น")</f>
        <v>ขอนแก่น</v>
      </c>
      <c r="AC2382" s="3">
        <f>IFERROR(__xludf.DUMMYFUNCTION("""COMPUTED_VALUE"""),40000.0)</f>
        <v>40000</v>
      </c>
      <c r="AD2382" s="3"/>
      <c r="AE2382" s="3"/>
      <c r="AF2382" s="3" t="str">
        <f>IFERROR(__xludf.DUMMYFUNCTION("""COMPUTED_VALUE"""),"ร้าน น พาโชค-83007")</f>
        <v>ร้าน น พาโชค-83007</v>
      </c>
      <c r="AG2382" s="3" t="str">
        <f>IFERROR(__xludf.DUMMYFUNCTION("""COMPUTED_VALUE"""),"ตะวันออกเฉียงเหนือ")</f>
        <v>ตะวันออกเฉียงเหนือ</v>
      </c>
      <c r="AH2382" s="3" t="str">
        <f>IFERROR(__xludf.DUMMYFUNCTION("""COMPUTED_VALUE"""),"#N/A")</f>
        <v>#N/A</v>
      </c>
      <c r="AI2382" s="3" t="str">
        <f>IFERROR(__xludf.DUMMYFUNCTION("""COMPUTED_VALUE"""),"Out of warranty")</f>
        <v>Out of warranty</v>
      </c>
      <c r="AJ2382" s="3">
        <f>IFERROR(__xludf.DUMMYFUNCTION("""COMPUTED_VALUE"""),52.0)</f>
        <v>52</v>
      </c>
      <c r="AK2382" s="3"/>
      <c r="AL2382" s="3"/>
    </row>
    <row r="2383" ht="15.75" customHeight="1">
      <c r="A2383" s="1" t="str">
        <f>IFERROR(__xludf.DUMMYFUNCTION("""COMPUTED_VALUE"""),"83008")</f>
        <v>83008</v>
      </c>
      <c r="B2383" s="2">
        <f>IFERROR(__xludf.DUMMYFUNCTION("""COMPUTED_VALUE"""),83008.0)</f>
        <v>83008</v>
      </c>
      <c r="C2383" s="3" t="str">
        <f>IFERROR(__xludf.DUMMYFUNCTION("""COMPUTED_VALUE"""),"ร้านผักหวานแฮร์แอนด์บิวตี้ช็อป")</f>
        <v>ร้านผักหวานแฮร์แอนด์บิวตี้ช็อป</v>
      </c>
      <c r="D2383" s="3" t="str">
        <f>IFERROR(__xludf.DUMMYFUNCTION("""COMPUTED_VALUE"""),"ร้านผักหวานแฮร์แอนด์บิวตี้ช็อป")</f>
        <v>ร้านผักหวานแฮร์แอนด์บิวตี้ช็อป</v>
      </c>
      <c r="E2383" s="1" t="str">
        <f>IFERROR(__xludf.DUMMYFUNCTION("""COMPUTED_VALUE"""),"Donjai")</f>
        <v>Donjai</v>
      </c>
      <c r="F2383" s="1" t="str">
        <f>IFERROR(__xludf.DUMMYFUNCTION("""COMPUTED_VALUE"""),"2010016")</f>
        <v>2010016</v>
      </c>
      <c r="G2383" s="1" t="str">
        <f>IFERROR(__xludf.DUMMYFUNCTION("""COMPUTED_VALUE"""),"นายตวงธรรม ใหม่ยศ")</f>
        <v>นายตวงธรรม ใหม่ยศ</v>
      </c>
      <c r="H2383" s="1" t="str">
        <f>IFERROR(__xludf.DUMMYFUNCTION("""COMPUTED_VALUE"""),"2010016")</f>
        <v>2010016</v>
      </c>
      <c r="I2383" s="1" t="str">
        <f>IFERROR(__xludf.DUMMYFUNCTION("""COMPUTED_VALUE"""),"นายตวงธรรม ใหม่ยศ")</f>
        <v>นายตวงธรรม ใหม่ยศ</v>
      </c>
      <c r="J2383" s="3">
        <f>IFERROR(__xludf.DUMMYFUNCTION("""COMPUTED_VALUE"""),295886.0)</f>
        <v>295886</v>
      </c>
      <c r="K2383" s="3" t="str">
        <f>IFERROR(__xludf.DUMMYFUNCTION("""COMPUTED_VALUE"""),"นายจิระพงษ์ โพธิ์นิล")</f>
        <v>นายจิระพงษ์ โพธิ์นิล</v>
      </c>
      <c r="L2383" s="1" t="str">
        <f>IFERROR(__xludf.DUMMYFUNCTION("""COMPUTED_VALUE"""),"นายจิระพงษ์ โพธิ์นิล")</f>
        <v>นายจิระพงษ์ โพธิ์นิล</v>
      </c>
      <c r="M2383" s="1" t="str">
        <f>IFERROR(__xludf.DUMMYFUNCTION("""COMPUTED_VALUE"""),"0933290754")</f>
        <v>0933290754</v>
      </c>
      <c r="N2383" s="3">
        <f>IFERROR(__xludf.DUMMYFUNCTION("""COMPUTED_VALUE"""),83002.0)</f>
        <v>83002</v>
      </c>
      <c r="O2383" s="3" t="str">
        <f>IFERROR(__xludf.DUMMYFUNCTION("""COMPUTED_VALUE"""),"สาขา การส่งออก")</f>
        <v>สาขา การส่งออก</v>
      </c>
      <c r="P2383" s="4">
        <f>IFERROR(__xludf.DUMMYFUNCTION("""COMPUTED_VALUE"""),44466.0)</f>
        <v>44466</v>
      </c>
      <c r="Q2383" s="3" t="str">
        <f>IFERROR(__xludf.DUMMYFUNCTION("""COMPUTED_VALUE"""),"I")</f>
        <v>I</v>
      </c>
      <c r="R2383" s="3" t="str">
        <f>IFERROR(__xludf.DUMMYFUNCTION("""COMPUTED_VALUE"""),"Small Format")</f>
        <v>Small Format</v>
      </c>
      <c r="S2383" s="3" t="str">
        <f>IFERROR(__xludf.DUMMYFUNCTION("""COMPUTED_VALUE"""),"Donjai")</f>
        <v>Donjai</v>
      </c>
      <c r="T2383" s="3" t="str">
        <f>IFERROR(__xludf.DUMMYFUNCTION("""COMPUTED_VALUE"""),"01 K.Tuangtham M.")</f>
        <v>01 K.Tuangtham M.</v>
      </c>
      <c r="U2383" s="3" t="str">
        <f>IFERROR(__xludf.DUMMYFUNCTION("""COMPUTED_VALUE"""),"01 K.Tuangtham M.")</f>
        <v>01 K.Tuangtham M.</v>
      </c>
      <c r="V2383" s="3" t="str">
        <f>IFERROR(__xludf.DUMMYFUNCTION("""COMPUTED_VALUE"""),"N")</f>
        <v>N</v>
      </c>
      <c r="W2383" s="3"/>
      <c r="X2383" s="3" t="str">
        <f>IFERROR(__xludf.DUMMYFUNCTION("""COMPUTED_VALUE"""),"348/6 ม.5 ต.สันผักหวาน อ.หางดง จ.เชียงใหม่ 50230")</f>
        <v>348/6 ม.5 ต.สันผักหวาน อ.หางดง จ.เชียงใหม่ 50230</v>
      </c>
      <c r="Y2383" s="3"/>
      <c r="Z2383" s="3" t="str">
        <f>IFERROR(__xludf.DUMMYFUNCTION("""COMPUTED_VALUE"""),"สันผักหวาน")</f>
        <v>สันผักหวาน</v>
      </c>
      <c r="AA2383" s="3" t="str">
        <f>IFERROR(__xludf.DUMMYFUNCTION("""COMPUTED_VALUE"""),"หางดง")</f>
        <v>หางดง</v>
      </c>
      <c r="AB2383" s="3" t="str">
        <f>IFERROR(__xludf.DUMMYFUNCTION("""COMPUTED_VALUE"""),"เชียงใหม่")</f>
        <v>เชียงใหม่</v>
      </c>
      <c r="AC2383" s="3">
        <f>IFERROR(__xludf.DUMMYFUNCTION("""COMPUTED_VALUE"""),50230.0)</f>
        <v>50230</v>
      </c>
      <c r="AD2383" s="3"/>
      <c r="AE2383" s="3"/>
      <c r="AF2383" s="3" t="str">
        <f>IFERROR(__xludf.DUMMYFUNCTION("""COMPUTED_VALUE"""),"ร้านผักหวานแฮร์แอนด์บิวตี้ช็อป-83008")</f>
        <v>ร้านผักหวานแฮร์แอนด์บิวตี้ช็อป-83008</v>
      </c>
      <c r="AG2383" s="3" t="str">
        <f>IFERROR(__xludf.DUMMYFUNCTION("""COMPUTED_VALUE"""),"เหนือ")</f>
        <v>เหนือ</v>
      </c>
      <c r="AH2383" s="3" t="str">
        <f>IFERROR(__xludf.DUMMYFUNCTION("""COMPUTED_VALUE"""),"#N/A")</f>
        <v>#N/A</v>
      </c>
      <c r="AI2383" s="3" t="str">
        <f>IFERROR(__xludf.DUMMYFUNCTION("""COMPUTED_VALUE"""),"Out of warranty")</f>
        <v>Out of warranty</v>
      </c>
      <c r="AJ2383" s="3">
        <f>IFERROR(__xludf.DUMMYFUNCTION("""COMPUTED_VALUE"""),52.0)</f>
        <v>52</v>
      </c>
      <c r="AK2383" s="3"/>
      <c r="AL2383" s="3"/>
    </row>
    <row r="2384" ht="15.75" customHeight="1">
      <c r="A2384" s="1" t="str">
        <f>IFERROR(__xludf.DUMMYFUNCTION("""COMPUTED_VALUE"""),"83009")</f>
        <v>83009</v>
      </c>
      <c r="B2384" s="2">
        <f>IFERROR(__xludf.DUMMYFUNCTION("""COMPUTED_VALUE"""),83009.0)</f>
        <v>83009</v>
      </c>
      <c r="C2384" s="3" t="str">
        <f>IFERROR(__xludf.DUMMYFUNCTION("""COMPUTED_VALUE"""),"ร้านถูกจังถูกใจ")</f>
        <v>ร้านถูกจังถูกใจ</v>
      </c>
      <c r="D2384" s="3" t="str">
        <f>IFERROR(__xludf.DUMMYFUNCTION("""COMPUTED_VALUE"""),"ร้านถูกจังถูกใจ")</f>
        <v>ร้านถูกจังถูกใจ</v>
      </c>
      <c r="E2384" s="1" t="str">
        <f>IFERROR(__xludf.DUMMYFUNCTION("""COMPUTED_VALUE"""),"Donjai")</f>
        <v>Donjai</v>
      </c>
      <c r="F2384" s="1" t="str">
        <f>IFERROR(__xludf.DUMMYFUNCTION("""COMPUTED_VALUE"""),"2010023")</f>
        <v>2010023</v>
      </c>
      <c r="G2384" s="1" t="str">
        <f>IFERROR(__xludf.DUMMYFUNCTION("""COMPUTED_VALUE"""),"นายวศิน ไวยรูป")</f>
        <v>นายวศิน ไวยรูป</v>
      </c>
      <c r="H2384" s="1" t="str">
        <f>IFERROR(__xludf.DUMMYFUNCTION("""COMPUTED_VALUE"""),"2010023")</f>
        <v>2010023</v>
      </c>
      <c r="I2384" s="1" t="str">
        <f>IFERROR(__xludf.DUMMYFUNCTION("""COMPUTED_VALUE"""),"นายวศิน ไวยรูป")</f>
        <v>นายวศิน ไวยรูป</v>
      </c>
      <c r="J2384" s="3">
        <f>IFERROR(__xludf.DUMMYFUNCTION("""COMPUTED_VALUE"""),228031.0)</f>
        <v>228031</v>
      </c>
      <c r="K2384" s="3" t="str">
        <f>IFERROR(__xludf.DUMMYFUNCTION("""COMPUTED_VALUE"""),"นายธนพงษ์ วันหมัด")</f>
        <v>นายธนพงษ์ วันหมัด</v>
      </c>
      <c r="L2384" s="1" t="str">
        <f>IFERROR(__xludf.DUMMYFUNCTION("""COMPUTED_VALUE"""),"นายธนพงษ์ วันหมัด")</f>
        <v>นายธนพงษ์ วันหมัด</v>
      </c>
      <c r="M2384" s="1" t="str">
        <f>IFERROR(__xludf.DUMMYFUNCTION("""COMPUTED_VALUE"""),"0813716913")</f>
        <v>0813716913</v>
      </c>
      <c r="N2384" s="3">
        <f>IFERROR(__xludf.DUMMYFUNCTION("""COMPUTED_VALUE"""),83009.0)</f>
        <v>83009</v>
      </c>
      <c r="O2384" s="3" t="str">
        <f>IFERROR(__xludf.DUMMYFUNCTION("""COMPUTED_VALUE"""),"ร้านถูกจังถูกใจ")</f>
        <v>ร้านถูกจังถูกใจ</v>
      </c>
      <c r="P2384" s="4">
        <f>IFERROR(__xludf.DUMMYFUNCTION("""COMPUTED_VALUE"""),44486.0)</f>
        <v>44486</v>
      </c>
      <c r="Q2384" s="3" t="str">
        <f>IFERROR(__xludf.DUMMYFUNCTION("""COMPUTED_VALUE"""),"I")</f>
        <v>I</v>
      </c>
      <c r="R2384" s="3" t="str">
        <f>IFERROR(__xludf.DUMMYFUNCTION("""COMPUTED_VALUE"""),"Small Format")</f>
        <v>Small Format</v>
      </c>
      <c r="S2384" s="3" t="str">
        <f>IFERROR(__xludf.DUMMYFUNCTION("""COMPUTED_VALUE"""),"Donjai")</f>
        <v>Donjai</v>
      </c>
      <c r="T2384" s="3" t="str">
        <f>IFERROR(__xludf.DUMMYFUNCTION("""COMPUTED_VALUE"""),"Donjai")</f>
        <v>Donjai</v>
      </c>
      <c r="U2384" s="3" t="str">
        <f>IFERROR(__xludf.DUMMYFUNCTION("""COMPUTED_VALUE"""),"Donjai")</f>
        <v>Donjai</v>
      </c>
      <c r="V2384" s="3" t="str">
        <f>IFERROR(__xludf.DUMMYFUNCTION("""COMPUTED_VALUE"""),"N")</f>
        <v>N</v>
      </c>
      <c r="W2384" s="3"/>
      <c r="X2384" s="3" t="str">
        <f>IFERROR(__xludf.DUMMYFUNCTION("""COMPUTED_VALUE"""),"2/1 ถ.สุขาภิบาล2 แขวงประเวศ เขตประเวศ จ.กรุงเทพฯ 10250")</f>
        <v>2/1 ถ.สุขาภิบาล2 แขวงประเวศ เขตประเวศ จ.กรุงเทพฯ 10250</v>
      </c>
      <c r="Y2384" s="3"/>
      <c r="Z2384" s="3" t="str">
        <f>IFERROR(__xludf.DUMMYFUNCTION("""COMPUTED_VALUE"""),"ประเวศ")</f>
        <v>ประเวศ</v>
      </c>
      <c r="AA2384" s="3" t="str">
        <f>IFERROR(__xludf.DUMMYFUNCTION("""COMPUTED_VALUE"""),"ประเวศ")</f>
        <v>ประเวศ</v>
      </c>
      <c r="AB2384" s="3" t="str">
        <f>IFERROR(__xludf.DUMMYFUNCTION("""COMPUTED_VALUE"""),"กรุงเทพมหานคร")</f>
        <v>กรุงเทพมหานคร</v>
      </c>
      <c r="AC2384" s="3">
        <f>IFERROR(__xludf.DUMMYFUNCTION("""COMPUTED_VALUE"""),10250.0)</f>
        <v>10250</v>
      </c>
      <c r="AD2384" s="3"/>
      <c r="AE2384" s="3"/>
      <c r="AF2384" s="3" t="str">
        <f>IFERROR(__xludf.DUMMYFUNCTION("""COMPUTED_VALUE"""),"ร้านถูกจังถูกใจ-83009")</f>
        <v>ร้านถูกจังถูกใจ-83009</v>
      </c>
      <c r="AG2384" s="3" t="str">
        <f>IFERROR(__xludf.DUMMYFUNCTION("""COMPUTED_VALUE"""),"กลาง")</f>
        <v>กลาง</v>
      </c>
      <c r="AH2384" s="3" t="str">
        <f>IFERROR(__xludf.DUMMYFUNCTION("""COMPUTED_VALUE"""),"#N/A")</f>
        <v>#N/A</v>
      </c>
      <c r="AI2384" s="3" t="str">
        <f>IFERROR(__xludf.DUMMYFUNCTION("""COMPUTED_VALUE"""),"Out of warranty")</f>
        <v>Out of warranty</v>
      </c>
      <c r="AJ2384" s="3">
        <f>IFERROR(__xludf.DUMMYFUNCTION("""COMPUTED_VALUE"""),52.0)</f>
        <v>52</v>
      </c>
      <c r="AK2384" s="3"/>
      <c r="AL2384" s="3"/>
    </row>
    <row r="2385" ht="15.75" customHeight="1">
      <c r="A2385" s="1" t="str">
        <f>IFERROR(__xludf.DUMMYFUNCTION("""COMPUTED_VALUE"""),"83010")</f>
        <v>83010</v>
      </c>
      <c r="B2385" s="2">
        <f>IFERROR(__xludf.DUMMYFUNCTION("""COMPUTED_VALUE"""),83010.0)</f>
        <v>83010</v>
      </c>
      <c r="C2385" s="3" t="str">
        <f>IFERROR(__xludf.DUMMYFUNCTION("""COMPUTED_VALUE"""),"ร้านเพาซันอินเตอร์เน็ตเซอร์วิส")</f>
        <v>ร้านเพาซันอินเตอร์เน็ตเซอร์วิส</v>
      </c>
      <c r="D2385" s="3" t="str">
        <f>IFERROR(__xludf.DUMMYFUNCTION("""COMPUTED_VALUE"""),"ร้านเพาซันอินเตอร์เน็ตเซอร์วิส")</f>
        <v>ร้านเพาซันอินเตอร์เน็ตเซอร์วิส</v>
      </c>
      <c r="E2385" s="1" t="str">
        <f>IFERROR(__xludf.DUMMYFUNCTION("""COMPUTED_VALUE"""),"Donjai")</f>
        <v>Donjai</v>
      </c>
      <c r="F2385" s="1" t="str">
        <f>IFERROR(__xludf.DUMMYFUNCTION("""COMPUTED_VALUE"""),"20470331")</f>
        <v>20470331</v>
      </c>
      <c r="G2385" s="1" t="str">
        <f>IFERROR(__xludf.DUMMYFUNCTION("""COMPUTED_VALUE"""),"นายสมชาย ลักษณะสุวรรณ")</f>
        <v>นายสมชาย ลักษณะสุวรรณ</v>
      </c>
      <c r="H2385" s="1" t="str">
        <f>IFERROR(__xludf.DUMMYFUNCTION("""COMPUTED_VALUE"""),"20470331")</f>
        <v>20470331</v>
      </c>
      <c r="I2385" s="1" t="str">
        <f>IFERROR(__xludf.DUMMYFUNCTION("""COMPUTED_VALUE"""),"นายสมชาย ลักษณะสุวรรณ")</f>
        <v>นายสมชาย ลักษณะสุวรรณ</v>
      </c>
      <c r="J2385" s="3">
        <f>IFERROR(__xludf.DUMMYFUNCTION("""COMPUTED_VALUE"""),295541.0)</f>
        <v>295541</v>
      </c>
      <c r="K2385" s="3" t="str">
        <f>IFERROR(__xludf.DUMMYFUNCTION("""COMPUTED_VALUE"""),"นายรพิพล ศรีมาตย์")</f>
        <v>นายรพิพล ศรีมาตย์</v>
      </c>
      <c r="L2385" s="1" t="str">
        <f>IFERROR(__xludf.DUMMYFUNCTION("""COMPUTED_VALUE"""),"นายรพิพล ศรีมาตย์")</f>
        <v>นายรพิพล ศรีมาตย์</v>
      </c>
      <c r="M2385" s="1" t="str">
        <f>IFERROR(__xludf.DUMMYFUNCTION("""COMPUTED_VALUE"""),"0613966115")</f>
        <v>0613966115</v>
      </c>
      <c r="N2385" s="3">
        <f>IFERROR(__xludf.DUMMYFUNCTION("""COMPUTED_VALUE"""),83010.0)</f>
        <v>83010</v>
      </c>
      <c r="O2385" s="3" t="str">
        <f>IFERROR(__xludf.DUMMYFUNCTION("""COMPUTED_VALUE"""),"ร้านเพาซันอินเตอร์เน็ตเซอร์วิส")</f>
        <v>ร้านเพาซันอินเตอร์เน็ตเซอร์วิส</v>
      </c>
      <c r="P2385" s="4">
        <f>IFERROR(__xludf.DUMMYFUNCTION("""COMPUTED_VALUE"""),44497.0)</f>
        <v>44497</v>
      </c>
      <c r="Q2385" s="3" t="str">
        <f>IFERROR(__xludf.DUMMYFUNCTION("""COMPUTED_VALUE"""),"I")</f>
        <v>I</v>
      </c>
      <c r="R2385" s="3" t="str">
        <f>IFERROR(__xludf.DUMMYFUNCTION("""COMPUTED_VALUE"""),"Small Format")</f>
        <v>Small Format</v>
      </c>
      <c r="S2385" s="3" t="str">
        <f>IFERROR(__xludf.DUMMYFUNCTION("""COMPUTED_VALUE"""),"Donjai")</f>
        <v>Donjai</v>
      </c>
      <c r="T2385" s="3" t="str">
        <f>IFERROR(__xludf.DUMMYFUNCTION("""COMPUTED_VALUE"""),"15 K.Somchai L")</f>
        <v>15 K.Somchai L</v>
      </c>
      <c r="U2385" s="3" t="str">
        <f>IFERROR(__xludf.DUMMYFUNCTION("""COMPUTED_VALUE"""),"15 K.Somchai L")</f>
        <v>15 K.Somchai L</v>
      </c>
      <c r="V2385" s="3" t="str">
        <f>IFERROR(__xludf.DUMMYFUNCTION("""COMPUTED_VALUE"""),"N")</f>
        <v>N</v>
      </c>
      <c r="W2385" s="3"/>
      <c r="X2385" s="3" t="str">
        <f>IFERROR(__xludf.DUMMYFUNCTION("""COMPUTED_VALUE"""),"19 ม.3 ต.กาเยาะมาตี อ.บาเจอะ จ.นราธิวาส 96170")</f>
        <v>19 ม.3 ต.กาเยาะมาตี อ.บาเจอะ จ.นราธิวาส 96170</v>
      </c>
      <c r="Y2385" s="3"/>
      <c r="Z2385" s="3">
        <f>IFERROR(__xludf.DUMMYFUNCTION("""COMPUTED_VALUE"""),0.0)</f>
        <v>0</v>
      </c>
      <c r="AA2385" s="3">
        <f>IFERROR(__xludf.DUMMYFUNCTION("""COMPUTED_VALUE"""),0.0)</f>
        <v>0</v>
      </c>
      <c r="AB2385" s="3" t="str">
        <f>IFERROR(__xludf.DUMMYFUNCTION("""COMPUTED_VALUE"""),"นราธิวาส")</f>
        <v>นราธิวาส</v>
      </c>
      <c r="AC2385" s="3">
        <f>IFERROR(__xludf.DUMMYFUNCTION("""COMPUTED_VALUE"""),96170.0)</f>
        <v>96170</v>
      </c>
      <c r="AD2385" s="3"/>
      <c r="AE2385" s="3"/>
      <c r="AF2385" s="3" t="str">
        <f>IFERROR(__xludf.DUMMYFUNCTION("""COMPUTED_VALUE"""),"ร้านเพาซันอินเตอร์เน็ตเซอร์วิส-83010")</f>
        <v>ร้านเพาซันอินเตอร์เน็ตเซอร์วิส-83010</v>
      </c>
      <c r="AG2385" s="3" t="str">
        <f>IFERROR(__xludf.DUMMYFUNCTION("""COMPUTED_VALUE"""),"ใต้")</f>
        <v>ใต้</v>
      </c>
      <c r="AH2385" s="3" t="str">
        <f>IFERROR(__xludf.DUMMYFUNCTION("""COMPUTED_VALUE"""),"#N/A")</f>
        <v>#N/A</v>
      </c>
      <c r="AI2385" s="3" t="str">
        <f>IFERROR(__xludf.DUMMYFUNCTION("""COMPUTED_VALUE"""),"Out of warranty")</f>
        <v>Out of warranty</v>
      </c>
      <c r="AJ2385" s="3">
        <f>IFERROR(__xludf.DUMMYFUNCTION("""COMPUTED_VALUE"""),51.0)</f>
        <v>51</v>
      </c>
      <c r="AK2385" s="3"/>
      <c r="AL2385" s="3"/>
    </row>
    <row r="2386" ht="15.75" customHeight="1">
      <c r="A2386" s="1" t="str">
        <f>IFERROR(__xludf.DUMMYFUNCTION("""COMPUTED_VALUE"""),"83011")</f>
        <v>83011</v>
      </c>
      <c r="B2386" s="2">
        <f>IFERROR(__xludf.DUMMYFUNCTION("""COMPUTED_VALUE"""),83011.0)</f>
        <v>83011</v>
      </c>
      <c r="C2386" s="3" t="str">
        <f>IFERROR(__xludf.DUMMYFUNCTION("""COMPUTED_VALUE"""),"ร้านบิ๊กโฮมมินิมาร์ท")</f>
        <v>ร้านบิ๊กโฮมมินิมาร์ท</v>
      </c>
      <c r="D2386" s="3" t="str">
        <f>IFERROR(__xludf.DUMMYFUNCTION("""COMPUTED_VALUE"""),"ร้านบิ๊กโฮมมินิมาร์ท")</f>
        <v>ร้านบิ๊กโฮมมินิมาร์ท</v>
      </c>
      <c r="E2386" s="1" t="str">
        <f>IFERROR(__xludf.DUMMYFUNCTION("""COMPUTED_VALUE"""),"Donjai")</f>
        <v>Donjai</v>
      </c>
      <c r="F2386" s="1" t="str">
        <f>IFERROR(__xludf.DUMMYFUNCTION("""COMPUTED_VALUE"""),"296868")</f>
        <v>296868</v>
      </c>
      <c r="G2386" s="1" t="str">
        <f>IFERROR(__xludf.DUMMYFUNCTION("""COMPUTED_VALUE"""),"นายพีระพงษ์ แก้วดวงดี")</f>
        <v>นายพีระพงษ์ แก้วดวงดี</v>
      </c>
      <c r="H2386" s="1" t="str">
        <f>IFERROR(__xludf.DUMMYFUNCTION("""COMPUTED_VALUE"""),"296868")</f>
        <v>296868</v>
      </c>
      <c r="I2386" s="1" t="str">
        <f>IFERROR(__xludf.DUMMYFUNCTION("""COMPUTED_VALUE"""),"นายพีระพงษ์ แก้วดวงดี")</f>
        <v>นายพีระพงษ์ แก้วดวงดี</v>
      </c>
      <c r="J2386" s="3">
        <f>IFERROR(__xludf.DUMMYFUNCTION("""COMPUTED_VALUE"""),295886.0)</f>
        <v>295886</v>
      </c>
      <c r="K2386" s="3" t="str">
        <f>IFERROR(__xludf.DUMMYFUNCTION("""COMPUTED_VALUE"""),"นายจิระพงษ์ โพธิ์นิล")</f>
        <v>นายจิระพงษ์ โพธิ์นิล</v>
      </c>
      <c r="L2386" s="1" t="str">
        <f>IFERROR(__xludf.DUMMYFUNCTION("""COMPUTED_VALUE"""),"นายจิระพงษ์ โพธิ์นิล")</f>
        <v>นายจิระพงษ์ โพธิ์นิล</v>
      </c>
      <c r="M2386" s="3">
        <f>IFERROR(__xludf.DUMMYFUNCTION("""COMPUTED_VALUE"""),9.33290754E8)</f>
        <v>933290754</v>
      </c>
      <c r="N2386" s="3">
        <f>IFERROR(__xludf.DUMMYFUNCTION("""COMPUTED_VALUE"""),83011.0)</f>
        <v>83011</v>
      </c>
      <c r="O2386" s="3" t="str">
        <f>IFERROR(__xludf.DUMMYFUNCTION("""COMPUTED_VALUE"""),"ร้านบิ๊กโฮมมินิมาร์ท")</f>
        <v>ร้านบิ๊กโฮมมินิมาร์ท</v>
      </c>
      <c r="P2386" s="4">
        <f>IFERROR(__xludf.DUMMYFUNCTION("""COMPUTED_VALUE"""),44682.0)</f>
        <v>44682</v>
      </c>
      <c r="Q2386" s="3" t="str">
        <f>IFERROR(__xludf.DUMMYFUNCTION("""COMPUTED_VALUE"""),"I")</f>
        <v>I</v>
      </c>
      <c r="R2386" s="3" t="str">
        <f>IFERROR(__xludf.DUMMYFUNCTION("""COMPUTED_VALUE"""),"Small Format")</f>
        <v>Small Format</v>
      </c>
      <c r="S2386" s="3" t="str">
        <f>IFERROR(__xludf.DUMMYFUNCTION("""COMPUTED_VALUE"""),"Donjai")</f>
        <v>Donjai</v>
      </c>
      <c r="T2386" s="3" t="str">
        <f>IFERROR(__xludf.DUMMYFUNCTION("""COMPUTED_VALUE"""),"03 K.Peerapong K.")</f>
        <v>03 K.Peerapong K.</v>
      </c>
      <c r="U2386" s="3" t="str">
        <f>IFERROR(__xludf.DUMMYFUNCTION("""COMPUTED_VALUE"""),"03 K.Peerapong K.")</f>
        <v>03 K.Peerapong K.</v>
      </c>
      <c r="V2386" s="3" t="str">
        <f>IFERROR(__xludf.DUMMYFUNCTION("""COMPUTED_VALUE"""),"N")</f>
        <v>N</v>
      </c>
      <c r="W2386" s="3"/>
      <c r="X2386" s="3" t="str">
        <f>IFERROR(__xludf.DUMMYFUNCTION("""COMPUTED_VALUE"""),"192 ม.5 บ้านดอนดู่ ต.ดอนดู่ อ.หนองสองห้อง จ.ขอนแก่น")</f>
        <v>192 ม.5 บ้านดอนดู่ ต.ดอนดู่ อ.หนองสองห้อง จ.ขอนแก่น</v>
      </c>
      <c r="Y2386" s="3"/>
      <c r="Z2386" s="3">
        <f>IFERROR(__xludf.DUMMYFUNCTION("""COMPUTED_VALUE"""),0.0)</f>
        <v>0</v>
      </c>
      <c r="AA2386" s="3">
        <f>IFERROR(__xludf.DUMMYFUNCTION("""COMPUTED_VALUE"""),0.0)</f>
        <v>0</v>
      </c>
      <c r="AB2386" s="3" t="str">
        <f>IFERROR(__xludf.DUMMYFUNCTION("""COMPUTED_VALUE"""),"ขอนแก่น")</f>
        <v>ขอนแก่น</v>
      </c>
      <c r="AC2386" s="3">
        <f>IFERROR(__xludf.DUMMYFUNCTION("""COMPUTED_VALUE"""),0.0)</f>
        <v>0</v>
      </c>
      <c r="AD2386" s="3"/>
      <c r="AE2386" s="3"/>
      <c r="AF2386" s="3" t="str">
        <f>IFERROR(__xludf.DUMMYFUNCTION("""COMPUTED_VALUE"""),"ร้านบิ๊กโฮมมินิมาร์ท-83011")</f>
        <v>ร้านบิ๊กโฮมมินิมาร์ท-83011</v>
      </c>
      <c r="AG2386" s="3" t="str">
        <f>IFERROR(__xludf.DUMMYFUNCTION("""COMPUTED_VALUE"""),"ตะวันออกเฉียงเหนือ")</f>
        <v>ตะวันออกเฉียงเหนือ</v>
      </c>
      <c r="AH2386" s="3" t="str">
        <f>IFERROR(__xludf.DUMMYFUNCTION("""COMPUTED_VALUE"""),"#N/A")</f>
        <v>#N/A</v>
      </c>
      <c r="AI2386" s="3" t="str">
        <f>IFERROR(__xludf.DUMMYFUNCTION("""COMPUTED_VALUE"""),"Out of warranty")</f>
        <v>Out of warranty</v>
      </c>
      <c r="AJ2386" s="3">
        <f>IFERROR(__xludf.DUMMYFUNCTION("""COMPUTED_VALUE"""),45.0)</f>
        <v>45</v>
      </c>
      <c r="AK2386" s="3"/>
      <c r="AL2386" s="3"/>
    </row>
    <row r="2387" ht="15.75" customHeight="1">
      <c r="A2387" s="1" t="str">
        <f>IFERROR(__xludf.DUMMYFUNCTION("""COMPUTED_VALUE"""),"83012")</f>
        <v>83012</v>
      </c>
      <c r="B2387" s="2">
        <f>IFERROR(__xludf.DUMMYFUNCTION("""COMPUTED_VALUE"""),83012.0)</f>
        <v>83012</v>
      </c>
      <c r="C2387" s="3" t="str">
        <f>IFERROR(__xludf.DUMMYFUNCTION("""COMPUTED_VALUE"""),"ร้านต้อม-แอร์ สมาร์ท โดนใจ")</f>
        <v>ร้านต้อม-แอร์ สมาร์ท โดนใจ</v>
      </c>
      <c r="D2387" s="3" t="str">
        <f>IFERROR(__xludf.DUMMYFUNCTION("""COMPUTED_VALUE"""),"ร้านต้อม-แอร์ สมาร์ท โดนใจ")</f>
        <v>ร้านต้อม-แอร์ สมาร์ท โดนใจ</v>
      </c>
      <c r="E2387" s="1" t="str">
        <f>IFERROR(__xludf.DUMMYFUNCTION("""COMPUTED_VALUE"""),"Donjai")</f>
        <v>Donjai</v>
      </c>
      <c r="F2387" s="1" t="str">
        <f>IFERROR(__xludf.DUMMYFUNCTION("""COMPUTED_VALUE"""),"296945")</f>
        <v>296945</v>
      </c>
      <c r="G2387" s="1" t="str">
        <f>IFERROR(__xludf.DUMMYFUNCTION("""COMPUTED_VALUE"""),"นายรักพงศ์ พงศ์พันธ์งาม")</f>
        <v>นายรักพงศ์ พงศ์พันธ์งาม</v>
      </c>
      <c r="H2387" s="1" t="str">
        <f>IFERROR(__xludf.DUMMYFUNCTION("""COMPUTED_VALUE"""),"296945")</f>
        <v>296945</v>
      </c>
      <c r="I2387" s="1" t="str">
        <f>IFERROR(__xludf.DUMMYFUNCTION("""COMPUTED_VALUE"""),"นายรักพงศ์ พงศ์พันธ์งาม")</f>
        <v>นายรักพงศ์ พงศ์พันธ์งาม</v>
      </c>
      <c r="J2387" s="3">
        <f>IFERROR(__xludf.DUMMYFUNCTION("""COMPUTED_VALUE"""),228031.0)</f>
        <v>228031</v>
      </c>
      <c r="K2387" s="3" t="str">
        <f>IFERROR(__xludf.DUMMYFUNCTION("""COMPUTED_VALUE"""),"นายธนพงษ์ วันหมัด")</f>
        <v>นายธนพงษ์ วันหมัด</v>
      </c>
      <c r="L2387" s="1" t="str">
        <f>IFERROR(__xludf.DUMMYFUNCTION("""COMPUTED_VALUE"""),"นายธนพงษ์ วันหมัด")</f>
        <v>นายธนพงษ์ วันหมัด</v>
      </c>
      <c r="M2387" s="3">
        <f>IFERROR(__xludf.DUMMYFUNCTION("""COMPUTED_VALUE"""),8.13716913E8)</f>
        <v>813716913</v>
      </c>
      <c r="N2387" s="3">
        <f>IFERROR(__xludf.DUMMYFUNCTION("""COMPUTED_VALUE"""),83012.0)</f>
        <v>83012</v>
      </c>
      <c r="O2387" s="3" t="str">
        <f>IFERROR(__xludf.DUMMYFUNCTION("""COMPUTED_VALUE"""),"ร้านต้อม-แอร์ สมาร์ท โดนใจ")</f>
        <v>ร้านต้อม-แอร์ สมาร์ท โดนใจ</v>
      </c>
      <c r="P2387" s="4">
        <f>IFERROR(__xludf.DUMMYFUNCTION("""COMPUTED_VALUE"""),44536.0)</f>
        <v>44536</v>
      </c>
      <c r="Q2387" s="3" t="str">
        <f>IFERROR(__xludf.DUMMYFUNCTION("""COMPUTED_VALUE"""),"I")</f>
        <v>I</v>
      </c>
      <c r="R2387" s="3" t="str">
        <f>IFERROR(__xludf.DUMMYFUNCTION("""COMPUTED_VALUE"""),"Small Format")</f>
        <v>Small Format</v>
      </c>
      <c r="S2387" s="3" t="str">
        <f>IFERROR(__xludf.DUMMYFUNCTION("""COMPUTED_VALUE"""),"Donjai")</f>
        <v>Donjai</v>
      </c>
      <c r="T2387" s="3">
        <f>IFERROR(__xludf.DUMMYFUNCTION("""COMPUTED_VALUE"""),0.0)</f>
        <v>0</v>
      </c>
      <c r="U2387" s="3">
        <f>IFERROR(__xludf.DUMMYFUNCTION("""COMPUTED_VALUE"""),0.0)</f>
        <v>0</v>
      </c>
      <c r="V2387" s="3" t="str">
        <f>IFERROR(__xludf.DUMMYFUNCTION("""COMPUTED_VALUE"""),"N")</f>
        <v>N</v>
      </c>
      <c r="W2387" s="3"/>
      <c r="X2387" s="3" t="str">
        <f>IFERROR(__xludf.DUMMYFUNCTION("""COMPUTED_VALUE"""),"ตลาดเทศบาลมาบตาพุด ต.มาบตาพุด อ.เมืองระยอง จ.ระยอง 21150")</f>
        <v>ตลาดเทศบาลมาบตาพุด ต.มาบตาพุด อ.เมืองระยอง จ.ระยอง 21150</v>
      </c>
      <c r="Y2387" s="3"/>
      <c r="Z2387" s="3">
        <f>IFERROR(__xludf.DUMMYFUNCTION("""COMPUTED_VALUE"""),0.0)</f>
        <v>0</v>
      </c>
      <c r="AA2387" s="3">
        <f>IFERROR(__xludf.DUMMYFUNCTION("""COMPUTED_VALUE"""),0.0)</f>
        <v>0</v>
      </c>
      <c r="AB2387" s="3" t="str">
        <f>IFERROR(__xludf.DUMMYFUNCTION("""COMPUTED_VALUE"""),"ระยอง")</f>
        <v>ระยอง</v>
      </c>
      <c r="AC2387" s="3">
        <f>IFERROR(__xludf.DUMMYFUNCTION("""COMPUTED_VALUE"""),21150.0)</f>
        <v>21150</v>
      </c>
      <c r="AD2387" s="3"/>
      <c r="AE2387" s="3"/>
      <c r="AF2387" s="3" t="str">
        <f>IFERROR(__xludf.DUMMYFUNCTION("""COMPUTED_VALUE"""),"ร้านต้อม-แอร์ สมาร์ท โดนใจ-83012")</f>
        <v>ร้านต้อม-แอร์ สมาร์ท โดนใจ-83012</v>
      </c>
      <c r="AG2387" s="3" t="str">
        <f>IFERROR(__xludf.DUMMYFUNCTION("""COMPUTED_VALUE"""),"ตะวันออก")</f>
        <v>ตะวันออก</v>
      </c>
      <c r="AH2387" s="3" t="str">
        <f>IFERROR(__xludf.DUMMYFUNCTION("""COMPUTED_VALUE"""),"#N/A")</f>
        <v>#N/A</v>
      </c>
      <c r="AI2387" s="3" t="str">
        <f>IFERROR(__xludf.DUMMYFUNCTION("""COMPUTED_VALUE"""),"Out of warranty")</f>
        <v>Out of warranty</v>
      </c>
      <c r="AJ2387" s="3">
        <f>IFERROR(__xludf.DUMMYFUNCTION("""COMPUTED_VALUE"""),50.0)</f>
        <v>50</v>
      </c>
      <c r="AK2387" s="3"/>
      <c r="AL2387" s="3"/>
    </row>
    <row r="2388" ht="15.75" customHeight="1">
      <c r="A2388" s="1" t="str">
        <f>IFERROR(__xludf.DUMMYFUNCTION("""COMPUTED_VALUE"""),"83020")</f>
        <v>83020</v>
      </c>
      <c r="B2388" s="2">
        <f>IFERROR(__xludf.DUMMYFUNCTION("""COMPUTED_VALUE"""),83020.0)</f>
        <v>83020</v>
      </c>
      <c r="C2388" s="3" t="str">
        <f>IFERROR(__xludf.DUMMYFUNCTION("""COMPUTED_VALUE"""),"ร้านแม่นอม")</f>
        <v>ร้านแม่นอม</v>
      </c>
      <c r="D2388" s="3" t="str">
        <f>IFERROR(__xludf.DUMMYFUNCTION("""COMPUTED_VALUE"""),"ร้านแม่นอม")</f>
        <v>ร้านแม่นอม</v>
      </c>
      <c r="E2388" s="1" t="str">
        <f>IFERROR(__xludf.DUMMYFUNCTION("""COMPUTED_VALUE"""),"Donjai")</f>
        <v>Donjai</v>
      </c>
      <c r="F2388" s="1" t="str">
        <f>IFERROR(__xludf.DUMMYFUNCTION("""COMPUTED_VALUE"""),"2454781")</f>
        <v>2454781</v>
      </c>
      <c r="G2388" s="1" t="str">
        <f>IFERROR(__xludf.DUMMYFUNCTION("""COMPUTED_VALUE"""),"นายฌานกฤช นันทะโคต")</f>
        <v>นายฌานกฤช นันทะโคต</v>
      </c>
      <c r="H2388" s="1" t="str">
        <f>IFERROR(__xludf.DUMMYFUNCTION("""COMPUTED_VALUE"""),"2454781")</f>
        <v>2454781</v>
      </c>
      <c r="I2388" s="1" t="str">
        <f>IFERROR(__xludf.DUMMYFUNCTION("""COMPUTED_VALUE"""),"นายฌานกฤช นันทะโคต")</f>
        <v>นายฌานกฤช นันทะโคต</v>
      </c>
      <c r="J2388" s="3">
        <f>IFERROR(__xludf.DUMMYFUNCTION("""COMPUTED_VALUE"""),295886.0)</f>
        <v>295886</v>
      </c>
      <c r="K2388" s="3" t="str">
        <f>IFERROR(__xludf.DUMMYFUNCTION("""COMPUTED_VALUE"""),"นายจิระพงษ์ โพธิ์นิล")</f>
        <v>นายจิระพงษ์ โพธิ์นิล</v>
      </c>
      <c r="L2388" s="1" t="str">
        <f>IFERROR(__xludf.DUMMYFUNCTION("""COMPUTED_VALUE"""),"นายจิระพงษ์ โพธิ์นิล")</f>
        <v>นายจิระพงษ์ โพธิ์นิล</v>
      </c>
      <c r="M2388" s="1" t="str">
        <f>IFERROR(__xludf.DUMMYFUNCTION("""COMPUTED_VALUE"""),"0933290754")</f>
        <v>0933290754</v>
      </c>
      <c r="N2388" s="3">
        <f>IFERROR(__xludf.DUMMYFUNCTION("""COMPUTED_VALUE"""),83020.0)</f>
        <v>83020</v>
      </c>
      <c r="O2388" s="3" t="str">
        <f>IFERROR(__xludf.DUMMYFUNCTION("""COMPUTED_VALUE"""),"ร้านแม่นอม")</f>
        <v>ร้านแม่นอม</v>
      </c>
      <c r="P2388" s="4">
        <f>IFERROR(__xludf.DUMMYFUNCTION("""COMPUTED_VALUE"""),44498.0)</f>
        <v>44498</v>
      </c>
      <c r="Q2388" s="3" t="str">
        <f>IFERROR(__xludf.DUMMYFUNCTION("""COMPUTED_VALUE"""),"A")</f>
        <v>A</v>
      </c>
      <c r="R2388" s="3" t="str">
        <f>IFERROR(__xludf.DUMMYFUNCTION("""COMPUTED_VALUE"""),"Small Format")</f>
        <v>Small Format</v>
      </c>
      <c r="S2388" s="3" t="str">
        <f>IFERROR(__xludf.DUMMYFUNCTION("""COMPUTED_VALUE"""),"Donjai")</f>
        <v>Donjai</v>
      </c>
      <c r="T2388" s="3" t="str">
        <f>IFERROR(__xludf.DUMMYFUNCTION("""COMPUTED_VALUE"""),"05 K.Chanakrit N.")</f>
        <v>05 K.Chanakrit N.</v>
      </c>
      <c r="U2388" s="3" t="str">
        <f>IFERROR(__xludf.DUMMYFUNCTION("""COMPUTED_VALUE"""),"05 K.Chanakrit N.")</f>
        <v>05 K.Chanakrit N.</v>
      </c>
      <c r="V2388" s="3" t="str">
        <f>IFERROR(__xludf.DUMMYFUNCTION("""COMPUTED_VALUE"""),"N")</f>
        <v>N</v>
      </c>
      <c r="W2388" s="3"/>
      <c r="X2388" s="3" t="str">
        <f>IFERROR(__xludf.DUMMYFUNCTION("""COMPUTED_VALUE"""),"89 หมู่ 2 ต.หนองบ่อ อ.เมือง จังหวัด อุบลราชานี 34000")</f>
        <v>89 หมู่ 2 ต.หนองบ่อ อ.เมือง จังหวัด อุบลราชานี 34000</v>
      </c>
      <c r="Y2388" s="3"/>
      <c r="Z2388" s="3">
        <f>IFERROR(__xludf.DUMMYFUNCTION("""COMPUTED_VALUE"""),0.0)</f>
        <v>0</v>
      </c>
      <c r="AA2388" s="3">
        <f>IFERROR(__xludf.DUMMYFUNCTION("""COMPUTED_VALUE"""),0.0)</f>
        <v>0</v>
      </c>
      <c r="AB2388" s="3" t="str">
        <f>IFERROR(__xludf.DUMMYFUNCTION("""COMPUTED_VALUE"""),"อุบลราชธานี")</f>
        <v>อุบลราชธานี</v>
      </c>
      <c r="AC2388" s="3">
        <f>IFERROR(__xludf.DUMMYFUNCTION("""COMPUTED_VALUE"""),34000.0)</f>
        <v>34000</v>
      </c>
      <c r="AD2388" s="3"/>
      <c r="AE2388" s="3"/>
      <c r="AF2388" s="3" t="str">
        <f>IFERROR(__xludf.DUMMYFUNCTION("""COMPUTED_VALUE"""),"ร้านแม่นอม-83020")</f>
        <v>ร้านแม่นอม-83020</v>
      </c>
      <c r="AG2388" s="3" t="str">
        <f>IFERROR(__xludf.DUMMYFUNCTION("""COMPUTED_VALUE"""),"ตะวันออกเฉียงเหนือ")</f>
        <v>ตะวันออกเฉียงเหนือ</v>
      </c>
      <c r="AH2388" s="3" t="str">
        <f>IFERROR(__xludf.DUMMYFUNCTION("""COMPUTED_VALUE"""),"#N/A")</f>
        <v>#N/A</v>
      </c>
      <c r="AI2388" s="3" t="str">
        <f>IFERROR(__xludf.DUMMYFUNCTION("""COMPUTED_VALUE"""),"Out of warranty")</f>
        <v>Out of warranty</v>
      </c>
      <c r="AJ2388" s="3">
        <f>IFERROR(__xludf.DUMMYFUNCTION("""COMPUTED_VALUE"""),51.0)</f>
        <v>51</v>
      </c>
      <c r="AK2388" s="3"/>
      <c r="AL2388" s="3"/>
    </row>
    <row r="2389" ht="15.75" customHeight="1">
      <c r="A2389" s="1" t="str">
        <f>IFERROR(__xludf.DUMMYFUNCTION("""COMPUTED_VALUE"""),"83027")</f>
        <v>83027</v>
      </c>
      <c r="B2389" s="2">
        <f>IFERROR(__xludf.DUMMYFUNCTION("""COMPUTED_VALUE"""),83027.0)</f>
        <v>83027</v>
      </c>
      <c r="C2389" s="3" t="str">
        <f>IFERROR(__xludf.DUMMYFUNCTION("""COMPUTED_VALUE"""),"ร้านอาร์มบริการ")</f>
        <v>ร้านอาร์มบริการ</v>
      </c>
      <c r="D2389" s="3" t="str">
        <f>IFERROR(__xludf.DUMMYFUNCTION("""COMPUTED_VALUE"""),"ร้านอาร์มบริการ")</f>
        <v>ร้านอาร์มบริการ</v>
      </c>
      <c r="E2389" s="1" t="str">
        <f>IFERROR(__xludf.DUMMYFUNCTION("""COMPUTED_VALUE"""),"Donjai")</f>
        <v>Donjai</v>
      </c>
      <c r="F2389" s="1" t="str">
        <f>IFERROR(__xludf.DUMMYFUNCTION("""COMPUTED_VALUE"""),"2010016")</f>
        <v>2010016</v>
      </c>
      <c r="G2389" s="1" t="str">
        <f>IFERROR(__xludf.DUMMYFUNCTION("""COMPUTED_VALUE"""),"นายตวงธรรม ใหม่ยศ")</f>
        <v>นายตวงธรรม ใหม่ยศ</v>
      </c>
      <c r="H2389" s="1" t="str">
        <f>IFERROR(__xludf.DUMMYFUNCTION("""COMPUTED_VALUE"""),"2010016")</f>
        <v>2010016</v>
      </c>
      <c r="I2389" s="1" t="str">
        <f>IFERROR(__xludf.DUMMYFUNCTION("""COMPUTED_VALUE"""),"นายตวงธรรม ใหม่ยศ")</f>
        <v>นายตวงธรรม ใหม่ยศ</v>
      </c>
      <c r="J2389" s="3">
        <f>IFERROR(__xludf.DUMMYFUNCTION("""COMPUTED_VALUE"""),295886.0)</f>
        <v>295886</v>
      </c>
      <c r="K2389" s="3" t="str">
        <f>IFERROR(__xludf.DUMMYFUNCTION("""COMPUTED_VALUE"""),"นายจิระพงษ์ โพธิ์นิล")</f>
        <v>นายจิระพงษ์ โพธิ์นิล</v>
      </c>
      <c r="L2389" s="1" t="str">
        <f>IFERROR(__xludf.DUMMYFUNCTION("""COMPUTED_VALUE"""),"นายจิระพงษ์ โพธิ์นิล")</f>
        <v>นายจิระพงษ์ โพธิ์นิล</v>
      </c>
      <c r="M2389" s="1" t="str">
        <f>IFERROR(__xludf.DUMMYFUNCTION("""COMPUTED_VALUE"""),"0933290754")</f>
        <v>0933290754</v>
      </c>
      <c r="N2389" s="3">
        <f>IFERROR(__xludf.DUMMYFUNCTION("""COMPUTED_VALUE"""),83027.0)</f>
        <v>83027</v>
      </c>
      <c r="O2389" s="3" t="str">
        <f>IFERROR(__xludf.DUMMYFUNCTION("""COMPUTED_VALUE"""),"ร้านอาร์มบริการ")</f>
        <v>ร้านอาร์มบริการ</v>
      </c>
      <c r="P2389" s="4">
        <f>IFERROR(__xludf.DUMMYFUNCTION("""COMPUTED_VALUE"""),44501.0)</f>
        <v>44501</v>
      </c>
      <c r="Q2389" s="3" t="str">
        <f>IFERROR(__xludf.DUMMYFUNCTION("""COMPUTED_VALUE"""),"I")</f>
        <v>I</v>
      </c>
      <c r="R2389" s="3" t="str">
        <f>IFERROR(__xludf.DUMMYFUNCTION("""COMPUTED_VALUE"""),"Small Format")</f>
        <v>Small Format</v>
      </c>
      <c r="S2389" s="3" t="str">
        <f>IFERROR(__xludf.DUMMYFUNCTION("""COMPUTED_VALUE"""),"Donjai")</f>
        <v>Donjai</v>
      </c>
      <c r="T2389" s="3" t="str">
        <f>IFERROR(__xludf.DUMMYFUNCTION("""COMPUTED_VALUE"""),"01 K.Tuangtham M.")</f>
        <v>01 K.Tuangtham M.</v>
      </c>
      <c r="U2389" s="3" t="str">
        <f>IFERROR(__xludf.DUMMYFUNCTION("""COMPUTED_VALUE"""),"01 K.Tuangtham M.")</f>
        <v>01 K.Tuangtham M.</v>
      </c>
      <c r="V2389" s="3" t="str">
        <f>IFERROR(__xludf.DUMMYFUNCTION("""COMPUTED_VALUE"""),"N")</f>
        <v>N</v>
      </c>
      <c r="W2389" s="3"/>
      <c r="X2389" s="3" t="str">
        <f>IFERROR(__xludf.DUMMYFUNCTION("""COMPUTED_VALUE"""),"240-241 ม.2 ต.เวียงต้า อ.ลอง จ.แพร่ 54150")</f>
        <v>240-241 ม.2 ต.เวียงต้า อ.ลอง จ.แพร่ 54150</v>
      </c>
      <c r="Y2389" s="3"/>
      <c r="Z2389" s="3" t="str">
        <f>IFERROR(__xludf.DUMMYFUNCTION("""COMPUTED_VALUE"""),"เวียงต้า")</f>
        <v>เวียงต้า</v>
      </c>
      <c r="AA2389" s="3" t="str">
        <f>IFERROR(__xludf.DUMMYFUNCTION("""COMPUTED_VALUE"""),"ลอง")</f>
        <v>ลอง</v>
      </c>
      <c r="AB2389" s="3" t="str">
        <f>IFERROR(__xludf.DUMMYFUNCTION("""COMPUTED_VALUE"""),"แพร่")</f>
        <v>แพร่</v>
      </c>
      <c r="AC2389" s="3">
        <f>IFERROR(__xludf.DUMMYFUNCTION("""COMPUTED_VALUE"""),54150.0)</f>
        <v>54150</v>
      </c>
      <c r="AD2389" s="3"/>
      <c r="AE2389" s="3"/>
      <c r="AF2389" s="3" t="str">
        <f>IFERROR(__xludf.DUMMYFUNCTION("""COMPUTED_VALUE"""),"ร้านอาร์มบริการ-83027")</f>
        <v>ร้านอาร์มบริการ-83027</v>
      </c>
      <c r="AG2389" s="3" t="str">
        <f>IFERROR(__xludf.DUMMYFUNCTION("""COMPUTED_VALUE"""),"เหนือ")</f>
        <v>เหนือ</v>
      </c>
      <c r="AH2389" s="3" t="str">
        <f>IFERROR(__xludf.DUMMYFUNCTION("""COMPUTED_VALUE"""),"#N/A")</f>
        <v>#N/A</v>
      </c>
      <c r="AI2389" s="3" t="str">
        <f>IFERROR(__xludf.DUMMYFUNCTION("""COMPUTED_VALUE"""),"Out of warranty")</f>
        <v>Out of warranty</v>
      </c>
      <c r="AJ2389" s="3">
        <f>IFERROR(__xludf.DUMMYFUNCTION("""COMPUTED_VALUE"""),51.0)</f>
        <v>51</v>
      </c>
      <c r="AK2389" s="3"/>
      <c r="AL2389" s="3"/>
    </row>
    <row r="2390" ht="15.75" customHeight="1">
      <c r="A2390" s="1" t="str">
        <f>IFERROR(__xludf.DUMMYFUNCTION("""COMPUTED_VALUE"""),"83029")</f>
        <v>83029</v>
      </c>
      <c r="B2390" s="2">
        <f>IFERROR(__xludf.DUMMYFUNCTION("""COMPUTED_VALUE"""),83029.0)</f>
        <v>83029</v>
      </c>
      <c r="C2390" s="3" t="str">
        <f>IFERROR(__xludf.DUMMYFUNCTION("""COMPUTED_VALUE"""),"ร้านหยกกวนอิม")</f>
        <v>ร้านหยกกวนอิม</v>
      </c>
      <c r="D2390" s="3" t="str">
        <f>IFERROR(__xludf.DUMMYFUNCTION("""COMPUTED_VALUE"""),"ร้านหยกกวนอิม")</f>
        <v>ร้านหยกกวนอิม</v>
      </c>
      <c r="E2390" s="1" t="str">
        <f>IFERROR(__xludf.DUMMYFUNCTION("""COMPUTED_VALUE"""),"Donjai")</f>
        <v>Donjai</v>
      </c>
      <c r="F2390" s="1" t="str">
        <f>IFERROR(__xludf.DUMMYFUNCTION("""COMPUTED_VALUE"""),"015361")</f>
        <v>015361</v>
      </c>
      <c r="G2390" s="1" t="str">
        <f>IFERROR(__xludf.DUMMYFUNCTION("""COMPUTED_VALUE"""),"นายสมบูรณ์ พรหมในเมือง")</f>
        <v>นายสมบูรณ์ พรหมในเมือง</v>
      </c>
      <c r="H2390" s="1" t="str">
        <f>IFERROR(__xludf.DUMMYFUNCTION("""COMPUTED_VALUE"""),"015361")</f>
        <v>015361</v>
      </c>
      <c r="I2390" s="1" t="str">
        <f>IFERROR(__xludf.DUMMYFUNCTION("""COMPUTED_VALUE"""),"นายสมบูรณ์ พรหมในเมือง")</f>
        <v>นายสมบูรณ์ พรหมในเมือง</v>
      </c>
      <c r="J2390" s="3">
        <f>IFERROR(__xludf.DUMMYFUNCTION("""COMPUTED_VALUE"""),295886.0)</f>
        <v>295886</v>
      </c>
      <c r="K2390" s="3" t="str">
        <f>IFERROR(__xludf.DUMMYFUNCTION("""COMPUTED_VALUE"""),"นายจิระพงษ์ โพธิ์นิล")</f>
        <v>นายจิระพงษ์ โพธิ์นิล</v>
      </c>
      <c r="L2390" s="1" t="str">
        <f>IFERROR(__xludf.DUMMYFUNCTION("""COMPUTED_VALUE"""),"นายจิระพงษ์ โพธิ์นิล")</f>
        <v>นายจิระพงษ์ โพธิ์นิล</v>
      </c>
      <c r="M2390" s="1" t="str">
        <f>IFERROR(__xludf.DUMMYFUNCTION("""COMPUTED_VALUE"""),"0933290754")</f>
        <v>0933290754</v>
      </c>
      <c r="N2390" s="3">
        <f>IFERROR(__xludf.DUMMYFUNCTION("""COMPUTED_VALUE"""),83029.0)</f>
        <v>83029</v>
      </c>
      <c r="O2390" s="3" t="str">
        <f>IFERROR(__xludf.DUMMYFUNCTION("""COMPUTED_VALUE"""),"ร้านหยกกวนอิม")</f>
        <v>ร้านหยกกวนอิม</v>
      </c>
      <c r="P2390" s="4">
        <f>IFERROR(__xludf.DUMMYFUNCTION("""COMPUTED_VALUE"""),44508.0)</f>
        <v>44508</v>
      </c>
      <c r="Q2390" s="3" t="str">
        <f>IFERROR(__xludf.DUMMYFUNCTION("""COMPUTED_VALUE"""),"I")</f>
        <v>I</v>
      </c>
      <c r="R2390" s="3" t="str">
        <f>IFERROR(__xludf.DUMMYFUNCTION("""COMPUTED_VALUE"""),"Small Format")</f>
        <v>Small Format</v>
      </c>
      <c r="S2390" s="3" t="str">
        <f>IFERROR(__xludf.DUMMYFUNCTION("""COMPUTED_VALUE"""),"Donjai")</f>
        <v>Donjai</v>
      </c>
      <c r="T2390" s="3" t="str">
        <f>IFERROR(__xludf.DUMMYFUNCTION("""COMPUTED_VALUE"""),"04 K.Somboon P.")</f>
        <v>04 K.Somboon P.</v>
      </c>
      <c r="U2390" s="3" t="str">
        <f>IFERROR(__xludf.DUMMYFUNCTION("""COMPUTED_VALUE"""),"04 K.Somboon P.")</f>
        <v>04 K.Somboon P.</v>
      </c>
      <c r="V2390" s="3" t="str">
        <f>IFERROR(__xludf.DUMMYFUNCTION("""COMPUTED_VALUE"""),"N")</f>
        <v>N</v>
      </c>
      <c r="W2390" s="3"/>
      <c r="X2390" s="3" t="str">
        <f>IFERROR(__xludf.DUMMYFUNCTION("""COMPUTED_VALUE"""),"265 ม.4 ต.เสม็ด อ.เมือง จ.บุรีรัมย์ 31000")</f>
        <v>265 ม.4 ต.เสม็ด อ.เมือง จ.บุรีรัมย์ 31000</v>
      </c>
      <c r="Y2390" s="3"/>
      <c r="Z2390" s="3">
        <f>IFERROR(__xludf.DUMMYFUNCTION("""COMPUTED_VALUE"""),0.0)</f>
        <v>0</v>
      </c>
      <c r="AA2390" s="3">
        <f>IFERROR(__xludf.DUMMYFUNCTION("""COMPUTED_VALUE"""),0.0)</f>
        <v>0</v>
      </c>
      <c r="AB2390" s="3" t="str">
        <f>IFERROR(__xludf.DUMMYFUNCTION("""COMPUTED_VALUE"""),"บุรีรัมย์")</f>
        <v>บุรีรัมย์</v>
      </c>
      <c r="AC2390" s="3">
        <f>IFERROR(__xludf.DUMMYFUNCTION("""COMPUTED_VALUE"""),31000.0)</f>
        <v>31000</v>
      </c>
      <c r="AD2390" s="3"/>
      <c r="AE2390" s="3"/>
      <c r="AF2390" s="3" t="str">
        <f>IFERROR(__xludf.DUMMYFUNCTION("""COMPUTED_VALUE"""),"ร้านหยกกวนอิม-83029")</f>
        <v>ร้านหยกกวนอิม-83029</v>
      </c>
      <c r="AG2390" s="3" t="str">
        <f>IFERROR(__xludf.DUMMYFUNCTION("""COMPUTED_VALUE"""),"ตะวันออกเฉียงเหนือ")</f>
        <v>ตะวันออกเฉียงเหนือ</v>
      </c>
      <c r="AH2390" s="3" t="str">
        <f>IFERROR(__xludf.DUMMYFUNCTION("""COMPUTED_VALUE"""),"#N/A")</f>
        <v>#N/A</v>
      </c>
      <c r="AI2390" s="3" t="str">
        <f>IFERROR(__xludf.DUMMYFUNCTION("""COMPUTED_VALUE"""),"Out of warranty")</f>
        <v>Out of warranty</v>
      </c>
      <c r="AJ2390" s="3">
        <f>IFERROR(__xludf.DUMMYFUNCTION("""COMPUTED_VALUE"""),51.0)</f>
        <v>51</v>
      </c>
      <c r="AK2390" s="3"/>
      <c r="AL2390" s="3"/>
    </row>
    <row r="2391" ht="15.75" customHeight="1">
      <c r="A2391" s="1" t="str">
        <f>IFERROR(__xludf.DUMMYFUNCTION("""COMPUTED_VALUE"""),"83031")</f>
        <v>83031</v>
      </c>
      <c r="B2391" s="2">
        <f>IFERROR(__xludf.DUMMYFUNCTION("""COMPUTED_VALUE"""),83031.0)</f>
        <v>83031</v>
      </c>
      <c r="C2391" s="3" t="str">
        <f>IFERROR(__xludf.DUMMYFUNCTION("""COMPUTED_VALUE"""),"ร้าน ส.มินิมาร์ท (ส.การค้า)")</f>
        <v>ร้าน ส.มินิมาร์ท (ส.การค้า)</v>
      </c>
      <c r="D2391" s="3" t="str">
        <f>IFERROR(__xludf.DUMMYFUNCTION("""COMPUTED_VALUE"""),"ร้าน ส.มินิมาร์ท (ส.การค้า)")</f>
        <v>ร้าน ส.มินิมาร์ท (ส.การค้า)</v>
      </c>
      <c r="E2391" s="1" t="str">
        <f>IFERROR(__xludf.DUMMYFUNCTION("""COMPUTED_VALUE"""),"Donjai")</f>
        <v>Donjai</v>
      </c>
      <c r="F2391" s="1" t="str">
        <f>IFERROR(__xludf.DUMMYFUNCTION("""COMPUTED_VALUE"""),"20470331")</f>
        <v>20470331</v>
      </c>
      <c r="G2391" s="1" t="str">
        <f>IFERROR(__xludf.DUMMYFUNCTION("""COMPUTED_VALUE"""),"นายสมชาย ลักษณะสุวรรณ")</f>
        <v>นายสมชาย ลักษณะสุวรรณ</v>
      </c>
      <c r="H2391" s="1" t="str">
        <f>IFERROR(__xludf.DUMMYFUNCTION("""COMPUTED_VALUE"""),"20470331")</f>
        <v>20470331</v>
      </c>
      <c r="I2391" s="1" t="str">
        <f>IFERROR(__xludf.DUMMYFUNCTION("""COMPUTED_VALUE"""),"นายสมชาย ลักษณะสุวรรณ")</f>
        <v>นายสมชาย ลักษณะสุวรรณ</v>
      </c>
      <c r="J2391" s="3">
        <f>IFERROR(__xludf.DUMMYFUNCTION("""COMPUTED_VALUE"""),295541.0)</f>
        <v>295541</v>
      </c>
      <c r="K2391" s="3" t="str">
        <f>IFERROR(__xludf.DUMMYFUNCTION("""COMPUTED_VALUE"""),"นายรพิพล ศรีมาตย์")</f>
        <v>นายรพิพล ศรีมาตย์</v>
      </c>
      <c r="L2391" s="1" t="str">
        <f>IFERROR(__xludf.DUMMYFUNCTION("""COMPUTED_VALUE"""),"นายรพิพล ศรีมาตย์")</f>
        <v>นายรพิพล ศรีมาตย์</v>
      </c>
      <c r="M2391" s="1" t="str">
        <f>IFERROR(__xludf.DUMMYFUNCTION("""COMPUTED_VALUE"""),"0613966115")</f>
        <v>0613966115</v>
      </c>
      <c r="N2391" s="3">
        <f>IFERROR(__xludf.DUMMYFUNCTION("""COMPUTED_VALUE"""),83031.0)</f>
        <v>83031</v>
      </c>
      <c r="O2391" s="3" t="str">
        <f>IFERROR(__xludf.DUMMYFUNCTION("""COMPUTED_VALUE"""),"ร้าน ส.มินิมาร์ท (ส.การค้า)")</f>
        <v>ร้าน ส.มินิมาร์ท (ส.การค้า)</v>
      </c>
      <c r="P2391" s="4">
        <f>IFERROR(__xludf.DUMMYFUNCTION("""COMPUTED_VALUE"""),44539.0)</f>
        <v>44539</v>
      </c>
      <c r="Q2391" s="3" t="str">
        <f>IFERROR(__xludf.DUMMYFUNCTION("""COMPUTED_VALUE"""),"I")</f>
        <v>I</v>
      </c>
      <c r="R2391" s="3" t="str">
        <f>IFERROR(__xludf.DUMMYFUNCTION("""COMPUTED_VALUE"""),"Small Format")</f>
        <v>Small Format</v>
      </c>
      <c r="S2391" s="3" t="str">
        <f>IFERROR(__xludf.DUMMYFUNCTION("""COMPUTED_VALUE"""),"Donjai")</f>
        <v>Donjai</v>
      </c>
      <c r="T2391" s="3" t="str">
        <f>IFERROR(__xludf.DUMMYFUNCTION("""COMPUTED_VALUE"""),"15 K.Somchai L")</f>
        <v>15 K.Somchai L</v>
      </c>
      <c r="U2391" s="3" t="str">
        <f>IFERROR(__xludf.DUMMYFUNCTION("""COMPUTED_VALUE"""),"15 K.Somchai L")</f>
        <v>15 K.Somchai L</v>
      </c>
      <c r="V2391" s="3" t="str">
        <f>IFERROR(__xludf.DUMMYFUNCTION("""COMPUTED_VALUE"""),"N")</f>
        <v>N</v>
      </c>
      <c r="W2391" s="3"/>
      <c r="X2391" s="3" t="str">
        <f>IFERROR(__xludf.DUMMYFUNCTION("""COMPUTED_VALUE"""),"64/1 หมู่4 ตำบล ชะแล้ อำเภอ สิงหนคร 
  จ.สงขลา 90330")</f>
        <v>64/1 หมู่4 ตำบล ชะแล้ อำเภอ สิงหนคร 
  จ.สงขลา 90330</v>
      </c>
      <c r="Y2391" s="3"/>
      <c r="Z2391" s="3">
        <f>IFERROR(__xludf.DUMMYFUNCTION("""COMPUTED_VALUE"""),0.0)</f>
        <v>0</v>
      </c>
      <c r="AA2391" s="3">
        <f>IFERROR(__xludf.DUMMYFUNCTION("""COMPUTED_VALUE"""),0.0)</f>
        <v>0</v>
      </c>
      <c r="AB2391" s="3" t="str">
        <f>IFERROR(__xludf.DUMMYFUNCTION("""COMPUTED_VALUE"""),"สงขลา")</f>
        <v>สงขลา</v>
      </c>
      <c r="AC2391" s="3">
        <f>IFERROR(__xludf.DUMMYFUNCTION("""COMPUTED_VALUE"""),90330.0)</f>
        <v>90330</v>
      </c>
      <c r="AD2391" s="3"/>
      <c r="AE2391" s="3"/>
      <c r="AF2391" s="3" t="str">
        <f>IFERROR(__xludf.DUMMYFUNCTION("""COMPUTED_VALUE"""),"ร้าน ส.มินิมาร์ท (ส.การค้า)-83031")</f>
        <v>ร้าน ส.มินิมาร์ท (ส.การค้า)-83031</v>
      </c>
      <c r="AG2391" s="3" t="str">
        <f>IFERROR(__xludf.DUMMYFUNCTION("""COMPUTED_VALUE"""),"ใต้")</f>
        <v>ใต้</v>
      </c>
      <c r="AH2391" s="3" t="str">
        <f>IFERROR(__xludf.DUMMYFUNCTION("""COMPUTED_VALUE"""),"#N/A")</f>
        <v>#N/A</v>
      </c>
      <c r="AI2391" s="3" t="str">
        <f>IFERROR(__xludf.DUMMYFUNCTION("""COMPUTED_VALUE"""),"Out of warranty")</f>
        <v>Out of warranty</v>
      </c>
      <c r="AJ2391" s="3">
        <f>IFERROR(__xludf.DUMMYFUNCTION("""COMPUTED_VALUE"""),50.0)</f>
        <v>50</v>
      </c>
      <c r="AK2391" s="3"/>
      <c r="AL2391" s="3"/>
    </row>
    <row r="2392" ht="15.75" customHeight="1">
      <c r="A2392" s="1" t="str">
        <f>IFERROR(__xludf.DUMMYFUNCTION("""COMPUTED_VALUE"""),"83037")</f>
        <v>83037</v>
      </c>
      <c r="B2392" s="2">
        <f>IFERROR(__xludf.DUMMYFUNCTION("""COMPUTED_VALUE"""),83037.0)</f>
        <v>83037</v>
      </c>
      <c r="C2392" s="3" t="str">
        <f>IFERROR(__xludf.DUMMYFUNCTION("""COMPUTED_VALUE"""),"ร้าน ส.นำโชค")</f>
        <v>ร้าน ส.นำโชค</v>
      </c>
      <c r="D2392" s="3" t="str">
        <f>IFERROR(__xludf.DUMMYFUNCTION("""COMPUTED_VALUE"""),"ร้าน ส.นำโชค")</f>
        <v>ร้าน ส.นำโชค</v>
      </c>
      <c r="E2392" s="1" t="str">
        <f>IFERROR(__xludf.DUMMYFUNCTION("""COMPUTED_VALUE"""),"Donjai")</f>
        <v>Donjai</v>
      </c>
      <c r="F2392" s="1" t="str">
        <f>IFERROR(__xludf.DUMMYFUNCTION("""COMPUTED_VALUE"""),"2454781")</f>
        <v>2454781</v>
      </c>
      <c r="G2392" s="1" t="str">
        <f>IFERROR(__xludf.DUMMYFUNCTION("""COMPUTED_VALUE"""),"นายฌานกฤช นันทะโคต")</f>
        <v>นายฌานกฤช นันทะโคต</v>
      </c>
      <c r="H2392" s="1" t="str">
        <f>IFERROR(__xludf.DUMMYFUNCTION("""COMPUTED_VALUE"""),"2454781")</f>
        <v>2454781</v>
      </c>
      <c r="I2392" s="1" t="str">
        <f>IFERROR(__xludf.DUMMYFUNCTION("""COMPUTED_VALUE"""),"นายฌานกฤช นันทะโคต")</f>
        <v>นายฌานกฤช นันทะโคต</v>
      </c>
      <c r="J2392" s="3">
        <f>IFERROR(__xludf.DUMMYFUNCTION("""COMPUTED_VALUE"""),295886.0)</f>
        <v>295886</v>
      </c>
      <c r="K2392" s="3" t="str">
        <f>IFERROR(__xludf.DUMMYFUNCTION("""COMPUTED_VALUE"""),"นายจิระพงษ์ โพธิ์นิล")</f>
        <v>นายจิระพงษ์ โพธิ์นิล</v>
      </c>
      <c r="L2392" s="1" t="str">
        <f>IFERROR(__xludf.DUMMYFUNCTION("""COMPUTED_VALUE"""),"นายจิระพงษ์ โพธิ์นิล")</f>
        <v>นายจิระพงษ์ โพธิ์นิล</v>
      </c>
      <c r="M2392" s="1" t="str">
        <f>IFERROR(__xludf.DUMMYFUNCTION("""COMPUTED_VALUE"""),"0933290754")</f>
        <v>0933290754</v>
      </c>
      <c r="N2392" s="3">
        <f>IFERROR(__xludf.DUMMYFUNCTION("""COMPUTED_VALUE"""),83037.0)</f>
        <v>83037</v>
      </c>
      <c r="O2392" s="3" t="str">
        <f>IFERROR(__xludf.DUMMYFUNCTION("""COMPUTED_VALUE"""),"ร้าน ส.นำโชค")</f>
        <v>ร้าน ส.นำโชค</v>
      </c>
      <c r="P2392" s="4">
        <f>IFERROR(__xludf.DUMMYFUNCTION("""COMPUTED_VALUE"""),44507.0)</f>
        <v>44507</v>
      </c>
      <c r="Q2392" s="3" t="str">
        <f>IFERROR(__xludf.DUMMYFUNCTION("""COMPUTED_VALUE"""),"A")</f>
        <v>A</v>
      </c>
      <c r="R2392" s="3" t="str">
        <f>IFERROR(__xludf.DUMMYFUNCTION("""COMPUTED_VALUE"""),"Small Format")</f>
        <v>Small Format</v>
      </c>
      <c r="S2392" s="3" t="str">
        <f>IFERROR(__xludf.DUMMYFUNCTION("""COMPUTED_VALUE"""),"Donjai")</f>
        <v>Donjai</v>
      </c>
      <c r="T2392" s="3" t="str">
        <f>IFERROR(__xludf.DUMMYFUNCTION("""COMPUTED_VALUE"""),"05 K.Chanakrit N.")</f>
        <v>05 K.Chanakrit N.</v>
      </c>
      <c r="U2392" s="3" t="str">
        <f>IFERROR(__xludf.DUMMYFUNCTION("""COMPUTED_VALUE"""),"05 K.Chanakrit N.")</f>
        <v>05 K.Chanakrit N.</v>
      </c>
      <c r="V2392" s="3" t="str">
        <f>IFERROR(__xludf.DUMMYFUNCTION("""COMPUTED_VALUE"""),"N")</f>
        <v>N</v>
      </c>
      <c r="W2392" s="3"/>
      <c r="X2392" s="3" t="str">
        <f>IFERROR(__xludf.DUMMYFUNCTION("""COMPUTED_VALUE"""),"109 ตำบลค้อน้อย อำเภอสำโรง จ.อุบลราชธานี 34360")</f>
        <v>109 ตำบลค้อน้อย อำเภอสำโรง จ.อุบลราชธานี 34360</v>
      </c>
      <c r="Y2392" s="3"/>
      <c r="Z2392" s="3">
        <f>IFERROR(__xludf.DUMMYFUNCTION("""COMPUTED_VALUE"""),0.0)</f>
        <v>0</v>
      </c>
      <c r="AA2392" s="3">
        <f>IFERROR(__xludf.DUMMYFUNCTION("""COMPUTED_VALUE"""),0.0)</f>
        <v>0</v>
      </c>
      <c r="AB2392" s="3" t="str">
        <f>IFERROR(__xludf.DUMMYFUNCTION("""COMPUTED_VALUE"""),"อุบลราชธานี")</f>
        <v>อุบลราชธานี</v>
      </c>
      <c r="AC2392" s="3">
        <f>IFERROR(__xludf.DUMMYFUNCTION("""COMPUTED_VALUE"""),34360.0)</f>
        <v>34360</v>
      </c>
      <c r="AD2392" s="3"/>
      <c r="AE2392" s="3"/>
      <c r="AF2392" s="3" t="str">
        <f>IFERROR(__xludf.DUMMYFUNCTION("""COMPUTED_VALUE"""),"ร้าน ส.นำโชค-83037")</f>
        <v>ร้าน ส.นำโชค-83037</v>
      </c>
      <c r="AG2392" s="3" t="str">
        <f>IFERROR(__xludf.DUMMYFUNCTION("""COMPUTED_VALUE"""),"ตะวันออกเฉียงเหนือ")</f>
        <v>ตะวันออกเฉียงเหนือ</v>
      </c>
      <c r="AH2392" s="3" t="str">
        <f>IFERROR(__xludf.DUMMYFUNCTION("""COMPUTED_VALUE"""),"#N/A")</f>
        <v>#N/A</v>
      </c>
      <c r="AI2392" s="3" t="str">
        <f>IFERROR(__xludf.DUMMYFUNCTION("""COMPUTED_VALUE"""),"Out of warranty")</f>
        <v>Out of warranty</v>
      </c>
      <c r="AJ2392" s="3">
        <f>IFERROR(__xludf.DUMMYFUNCTION("""COMPUTED_VALUE"""),51.0)</f>
        <v>51</v>
      </c>
      <c r="AK2392" s="3"/>
      <c r="AL2392" s="3"/>
    </row>
    <row r="2393" ht="15.75" customHeight="1">
      <c r="A2393" s="1" t="str">
        <f>IFERROR(__xludf.DUMMYFUNCTION("""COMPUTED_VALUE"""),"83038")</f>
        <v>83038</v>
      </c>
      <c r="B2393" s="2">
        <f>IFERROR(__xludf.DUMMYFUNCTION("""COMPUTED_VALUE"""),83038.0)</f>
        <v>83038</v>
      </c>
      <c r="C2393" s="3" t="str">
        <f>IFERROR(__xludf.DUMMYFUNCTION("""COMPUTED_VALUE"""),"ร้านลูกชิ้น")</f>
        <v>ร้านลูกชิ้น</v>
      </c>
      <c r="D2393" s="3" t="str">
        <f>IFERROR(__xludf.DUMMYFUNCTION("""COMPUTED_VALUE"""),"ร้านลูกชิ้น")</f>
        <v>ร้านลูกชิ้น</v>
      </c>
      <c r="E2393" s="1" t="str">
        <f>IFERROR(__xludf.DUMMYFUNCTION("""COMPUTED_VALUE"""),"Donjai")</f>
        <v>Donjai</v>
      </c>
      <c r="F2393" s="1" t="str">
        <f>IFERROR(__xludf.DUMMYFUNCTION("""COMPUTED_VALUE"""),"20470331")</f>
        <v>20470331</v>
      </c>
      <c r="G2393" s="1" t="str">
        <f>IFERROR(__xludf.DUMMYFUNCTION("""COMPUTED_VALUE"""),"นายสมชาย ลักษณะสุวรรณ")</f>
        <v>นายสมชาย ลักษณะสุวรรณ</v>
      </c>
      <c r="H2393" s="1" t="str">
        <f>IFERROR(__xludf.DUMMYFUNCTION("""COMPUTED_VALUE"""),"20470331")</f>
        <v>20470331</v>
      </c>
      <c r="I2393" s="1" t="str">
        <f>IFERROR(__xludf.DUMMYFUNCTION("""COMPUTED_VALUE"""),"นายสมชาย ลักษณะสุวรรณ")</f>
        <v>นายสมชาย ลักษณะสุวรรณ</v>
      </c>
      <c r="J2393" s="3">
        <f>IFERROR(__xludf.DUMMYFUNCTION("""COMPUTED_VALUE"""),295541.0)</f>
        <v>295541</v>
      </c>
      <c r="K2393" s="3" t="str">
        <f>IFERROR(__xludf.DUMMYFUNCTION("""COMPUTED_VALUE"""),"นายรพิพล ศรีมาตย์")</f>
        <v>นายรพิพล ศรีมาตย์</v>
      </c>
      <c r="L2393" s="1" t="str">
        <f>IFERROR(__xludf.DUMMYFUNCTION("""COMPUTED_VALUE"""),"นายรพิพล ศรีมาตย์")</f>
        <v>นายรพิพล ศรีมาตย์</v>
      </c>
      <c r="M2393" s="1" t="str">
        <f>IFERROR(__xludf.DUMMYFUNCTION("""COMPUTED_VALUE"""),"0613966115")</f>
        <v>0613966115</v>
      </c>
      <c r="N2393" s="3">
        <f>IFERROR(__xludf.DUMMYFUNCTION("""COMPUTED_VALUE"""),83038.0)</f>
        <v>83038</v>
      </c>
      <c r="O2393" s="3" t="str">
        <f>IFERROR(__xludf.DUMMYFUNCTION("""COMPUTED_VALUE"""),"ร้านลูกชิ้น")</f>
        <v>ร้านลูกชิ้น</v>
      </c>
      <c r="P2393" s="4">
        <f>IFERROR(__xludf.DUMMYFUNCTION("""COMPUTED_VALUE"""),44520.0)</f>
        <v>44520</v>
      </c>
      <c r="Q2393" s="3" t="str">
        <f>IFERROR(__xludf.DUMMYFUNCTION("""COMPUTED_VALUE"""),"A")</f>
        <v>A</v>
      </c>
      <c r="R2393" s="3" t="str">
        <f>IFERROR(__xludf.DUMMYFUNCTION("""COMPUTED_VALUE"""),"Small Format")</f>
        <v>Small Format</v>
      </c>
      <c r="S2393" s="3" t="str">
        <f>IFERROR(__xludf.DUMMYFUNCTION("""COMPUTED_VALUE"""),"Donjai")</f>
        <v>Donjai</v>
      </c>
      <c r="T2393" s="3" t="str">
        <f>IFERROR(__xludf.DUMMYFUNCTION("""COMPUTED_VALUE"""),"15 K.Somchai L")</f>
        <v>15 K.Somchai L</v>
      </c>
      <c r="U2393" s="3" t="str">
        <f>IFERROR(__xludf.DUMMYFUNCTION("""COMPUTED_VALUE"""),"15 K.Somchai L")</f>
        <v>15 K.Somchai L</v>
      </c>
      <c r="V2393" s="3" t="str">
        <f>IFERROR(__xludf.DUMMYFUNCTION("""COMPUTED_VALUE"""),"N")</f>
        <v>N</v>
      </c>
      <c r="W2393" s="3"/>
      <c r="X2393" s="3" t="str">
        <f>IFERROR(__xludf.DUMMYFUNCTION("""COMPUTED_VALUE"""),"24/6 หมู่ 1 ตำบลสะท้อน อำเภอนาทวี จังหวัดสงขลา 90160")</f>
        <v>24/6 หมู่ 1 ตำบลสะท้อน อำเภอนาทวี จังหวัดสงขลา 90160</v>
      </c>
      <c r="Y2393" s="3"/>
      <c r="Z2393" s="3">
        <f>IFERROR(__xludf.DUMMYFUNCTION("""COMPUTED_VALUE"""),0.0)</f>
        <v>0</v>
      </c>
      <c r="AA2393" s="3">
        <f>IFERROR(__xludf.DUMMYFUNCTION("""COMPUTED_VALUE"""),0.0)</f>
        <v>0</v>
      </c>
      <c r="AB2393" s="3" t="str">
        <f>IFERROR(__xludf.DUMMYFUNCTION("""COMPUTED_VALUE"""),"สงขลา")</f>
        <v>สงขลา</v>
      </c>
      <c r="AC2393" s="3">
        <f>IFERROR(__xludf.DUMMYFUNCTION("""COMPUTED_VALUE"""),90160.0)</f>
        <v>90160</v>
      </c>
      <c r="AD2393" s="3"/>
      <c r="AE2393" s="3"/>
      <c r="AF2393" s="3" t="str">
        <f>IFERROR(__xludf.DUMMYFUNCTION("""COMPUTED_VALUE"""),"ร้านลูกชิ้น-83038")</f>
        <v>ร้านลูกชิ้น-83038</v>
      </c>
      <c r="AG2393" s="3" t="str">
        <f>IFERROR(__xludf.DUMMYFUNCTION("""COMPUTED_VALUE"""),"ใต้")</f>
        <v>ใต้</v>
      </c>
      <c r="AH2393" s="3" t="str">
        <f>IFERROR(__xludf.DUMMYFUNCTION("""COMPUTED_VALUE"""),"#N/A")</f>
        <v>#N/A</v>
      </c>
      <c r="AI2393" s="3" t="str">
        <f>IFERROR(__xludf.DUMMYFUNCTION("""COMPUTED_VALUE"""),"Out of warranty")</f>
        <v>Out of warranty</v>
      </c>
      <c r="AJ2393" s="3">
        <f>IFERROR(__xludf.DUMMYFUNCTION("""COMPUTED_VALUE"""),51.0)</f>
        <v>51</v>
      </c>
      <c r="AK2393" s="3"/>
      <c r="AL2393" s="3"/>
    </row>
    <row r="2394" ht="15.75" customHeight="1">
      <c r="A2394" s="1" t="str">
        <f>IFERROR(__xludf.DUMMYFUNCTION("""COMPUTED_VALUE"""),"83039")</f>
        <v>83039</v>
      </c>
      <c r="B2394" s="2">
        <f>IFERROR(__xludf.DUMMYFUNCTION("""COMPUTED_VALUE"""),83039.0)</f>
        <v>83039</v>
      </c>
      <c r="C2394" s="3" t="str">
        <f>IFERROR(__xludf.DUMMYFUNCTION("""COMPUTED_VALUE"""),"ร้านโดนใจ ม้ง ช็อป")</f>
        <v>ร้านโดนใจ ม้ง ช็อป</v>
      </c>
      <c r="D2394" s="3" t="str">
        <f>IFERROR(__xludf.DUMMYFUNCTION("""COMPUTED_VALUE"""),"ร้านโดนใจ ม้ง ช็อป")</f>
        <v>ร้านโดนใจ ม้ง ช็อป</v>
      </c>
      <c r="E2394" s="1" t="str">
        <f>IFERROR(__xludf.DUMMYFUNCTION("""COMPUTED_VALUE"""),"Donjai")</f>
        <v>Donjai</v>
      </c>
      <c r="F2394" s="1" t="str">
        <f>IFERROR(__xludf.DUMMYFUNCTION("""COMPUTED_VALUE"""),"296945")</f>
        <v>296945</v>
      </c>
      <c r="G2394" s="1" t="str">
        <f>IFERROR(__xludf.DUMMYFUNCTION("""COMPUTED_VALUE"""),"นายรักพงศ์ พงศ์พันธ์งาม")</f>
        <v>นายรักพงศ์ พงศ์พันธ์งาม</v>
      </c>
      <c r="H2394" s="1" t="str">
        <f>IFERROR(__xludf.DUMMYFUNCTION("""COMPUTED_VALUE"""),"296945")</f>
        <v>296945</v>
      </c>
      <c r="I2394" s="1" t="str">
        <f>IFERROR(__xludf.DUMMYFUNCTION("""COMPUTED_VALUE"""),"นายรักพงศ์ พงศ์พันธ์งาม")</f>
        <v>นายรักพงศ์ พงศ์พันธ์งาม</v>
      </c>
      <c r="J2394" s="3">
        <f>IFERROR(__xludf.DUMMYFUNCTION("""COMPUTED_VALUE"""),228031.0)</f>
        <v>228031</v>
      </c>
      <c r="K2394" s="3" t="str">
        <f>IFERROR(__xludf.DUMMYFUNCTION("""COMPUTED_VALUE"""),"นายธนพงษ์ วันหมัด")</f>
        <v>นายธนพงษ์ วันหมัด</v>
      </c>
      <c r="L2394" s="1" t="str">
        <f>IFERROR(__xludf.DUMMYFUNCTION("""COMPUTED_VALUE"""),"นายธนพงษ์ วันหมัด")</f>
        <v>นายธนพงษ์ วันหมัด</v>
      </c>
      <c r="M2394" s="1" t="str">
        <f>IFERROR(__xludf.DUMMYFUNCTION("""COMPUTED_VALUE"""),"0813716913")</f>
        <v>0813716913</v>
      </c>
      <c r="N2394" s="3">
        <f>IFERROR(__xludf.DUMMYFUNCTION("""COMPUTED_VALUE"""),83039.0)</f>
        <v>83039</v>
      </c>
      <c r="O2394" s="3" t="str">
        <f>IFERROR(__xludf.DUMMYFUNCTION("""COMPUTED_VALUE"""),"ร้านโดนใจ ม้ง ช็อป")</f>
        <v>ร้านโดนใจ ม้ง ช็อป</v>
      </c>
      <c r="P2394" s="4">
        <f>IFERROR(__xludf.DUMMYFUNCTION("""COMPUTED_VALUE"""),44507.0)</f>
        <v>44507</v>
      </c>
      <c r="Q2394" s="3" t="str">
        <f>IFERROR(__xludf.DUMMYFUNCTION("""COMPUTED_VALUE"""),"I")</f>
        <v>I</v>
      </c>
      <c r="R2394" s="3" t="str">
        <f>IFERROR(__xludf.DUMMYFUNCTION("""COMPUTED_VALUE"""),"Small Format")</f>
        <v>Small Format</v>
      </c>
      <c r="S2394" s="3" t="str">
        <f>IFERROR(__xludf.DUMMYFUNCTION("""COMPUTED_VALUE"""),"Donjai")</f>
        <v>Donjai</v>
      </c>
      <c r="T2394" s="3">
        <f>IFERROR(__xludf.DUMMYFUNCTION("""COMPUTED_VALUE"""),0.0)</f>
        <v>0</v>
      </c>
      <c r="U2394" s="3">
        <f>IFERROR(__xludf.DUMMYFUNCTION("""COMPUTED_VALUE"""),0.0)</f>
        <v>0</v>
      </c>
      <c r="V2394" s="3" t="str">
        <f>IFERROR(__xludf.DUMMYFUNCTION("""COMPUTED_VALUE"""),"N")</f>
        <v>N</v>
      </c>
      <c r="W2394" s="3"/>
      <c r="X2394" s="3" t="str">
        <f>IFERROR(__xludf.DUMMYFUNCTION("""COMPUTED_VALUE"""),"5/1 ม.16 ซอย 4 ต.ตาหลังใน อ.วังน้ำเย็น จ. สระแก้ว 27210")</f>
        <v>5/1 ม.16 ซอย 4 ต.ตาหลังใน อ.วังน้ำเย็น จ. สระแก้ว 27210</v>
      </c>
      <c r="Y2394" s="3"/>
      <c r="Z2394" s="3">
        <f>IFERROR(__xludf.DUMMYFUNCTION("""COMPUTED_VALUE"""),0.0)</f>
        <v>0</v>
      </c>
      <c r="AA2394" s="3">
        <f>IFERROR(__xludf.DUMMYFUNCTION("""COMPUTED_VALUE"""),0.0)</f>
        <v>0</v>
      </c>
      <c r="AB2394" s="3" t="str">
        <f>IFERROR(__xludf.DUMMYFUNCTION("""COMPUTED_VALUE"""),"สระแก้ว")</f>
        <v>สระแก้ว</v>
      </c>
      <c r="AC2394" s="3">
        <f>IFERROR(__xludf.DUMMYFUNCTION("""COMPUTED_VALUE"""),27210.0)</f>
        <v>27210</v>
      </c>
      <c r="AD2394" s="3"/>
      <c r="AE2394" s="3"/>
      <c r="AF2394" s="3" t="str">
        <f>IFERROR(__xludf.DUMMYFUNCTION("""COMPUTED_VALUE"""),"ร้านโดนใจ ม้ง ช็อป-83039")</f>
        <v>ร้านโดนใจ ม้ง ช็อป-83039</v>
      </c>
      <c r="AG2394" s="3" t="str">
        <f>IFERROR(__xludf.DUMMYFUNCTION("""COMPUTED_VALUE"""),"ตะวันออก")</f>
        <v>ตะวันออก</v>
      </c>
      <c r="AH2394" s="3" t="str">
        <f>IFERROR(__xludf.DUMMYFUNCTION("""COMPUTED_VALUE"""),"#N/A")</f>
        <v>#N/A</v>
      </c>
      <c r="AI2394" s="3" t="str">
        <f>IFERROR(__xludf.DUMMYFUNCTION("""COMPUTED_VALUE"""),"Out of warranty")</f>
        <v>Out of warranty</v>
      </c>
      <c r="AJ2394" s="3">
        <f>IFERROR(__xludf.DUMMYFUNCTION("""COMPUTED_VALUE"""),51.0)</f>
        <v>51</v>
      </c>
      <c r="AK2394" s="3"/>
      <c r="AL2394" s="3"/>
    </row>
    <row r="2395" ht="15.75" customHeight="1">
      <c r="A2395" s="1" t="str">
        <f>IFERROR(__xludf.DUMMYFUNCTION("""COMPUTED_VALUE"""),"83041")</f>
        <v>83041</v>
      </c>
      <c r="B2395" s="2">
        <f>IFERROR(__xludf.DUMMYFUNCTION("""COMPUTED_VALUE"""),83041.0)</f>
        <v>83041</v>
      </c>
      <c r="C2395" s="3" t="str">
        <f>IFERROR(__xludf.DUMMYFUNCTION("""COMPUTED_VALUE"""),"ร้านสองพี่น้องมินิมาร์ท")</f>
        <v>ร้านสองพี่น้องมินิมาร์ท</v>
      </c>
      <c r="D2395" s="3" t="str">
        <f>IFERROR(__xludf.DUMMYFUNCTION("""COMPUTED_VALUE"""),"ร้านสองพี่น้องมินิมาร์ท")</f>
        <v>ร้านสองพี่น้องมินิมาร์ท</v>
      </c>
      <c r="E2395" s="1" t="str">
        <f>IFERROR(__xludf.DUMMYFUNCTION("""COMPUTED_VALUE"""),"Donjai")</f>
        <v>Donjai</v>
      </c>
      <c r="F2395" s="1" t="str">
        <f>IFERROR(__xludf.DUMMYFUNCTION("""COMPUTED_VALUE"""),"296868")</f>
        <v>296868</v>
      </c>
      <c r="G2395" s="1" t="str">
        <f>IFERROR(__xludf.DUMMYFUNCTION("""COMPUTED_VALUE"""),"นายพีระพงษ์ แก้วดวงดี")</f>
        <v>นายพีระพงษ์ แก้วดวงดี</v>
      </c>
      <c r="H2395" s="1" t="str">
        <f>IFERROR(__xludf.DUMMYFUNCTION("""COMPUTED_VALUE"""),"296868")</f>
        <v>296868</v>
      </c>
      <c r="I2395" s="1" t="str">
        <f>IFERROR(__xludf.DUMMYFUNCTION("""COMPUTED_VALUE"""),"นายพีระพงษ์ แก้วดวงดี")</f>
        <v>นายพีระพงษ์ แก้วดวงดี</v>
      </c>
      <c r="J2395" s="3">
        <f>IFERROR(__xludf.DUMMYFUNCTION("""COMPUTED_VALUE"""),295886.0)</f>
        <v>295886</v>
      </c>
      <c r="K2395" s="3" t="str">
        <f>IFERROR(__xludf.DUMMYFUNCTION("""COMPUTED_VALUE"""),"นายจิระพงษ์ โพธิ์นิล")</f>
        <v>นายจิระพงษ์ โพธิ์นิล</v>
      </c>
      <c r="L2395" s="1" t="str">
        <f>IFERROR(__xludf.DUMMYFUNCTION("""COMPUTED_VALUE"""),"นายจิระพงษ์ โพธิ์นิล")</f>
        <v>นายจิระพงษ์ โพธิ์นิล</v>
      </c>
      <c r="M2395" s="1" t="str">
        <f>IFERROR(__xludf.DUMMYFUNCTION("""COMPUTED_VALUE"""),"0933290754")</f>
        <v>0933290754</v>
      </c>
      <c r="N2395" s="3">
        <f>IFERROR(__xludf.DUMMYFUNCTION("""COMPUTED_VALUE"""),83041.0)</f>
        <v>83041</v>
      </c>
      <c r="O2395" s="3" t="str">
        <f>IFERROR(__xludf.DUMMYFUNCTION("""COMPUTED_VALUE"""),"ร้านสองพี่น้องมินิมาร์ท")</f>
        <v>ร้านสองพี่น้องมินิมาร์ท</v>
      </c>
      <c r="P2395" s="4">
        <f>IFERROR(__xludf.DUMMYFUNCTION("""COMPUTED_VALUE"""),44515.0)</f>
        <v>44515</v>
      </c>
      <c r="Q2395" s="3" t="str">
        <f>IFERROR(__xludf.DUMMYFUNCTION("""COMPUTED_VALUE"""),"I")</f>
        <v>I</v>
      </c>
      <c r="R2395" s="3" t="str">
        <f>IFERROR(__xludf.DUMMYFUNCTION("""COMPUTED_VALUE"""),"Small Format")</f>
        <v>Small Format</v>
      </c>
      <c r="S2395" s="3" t="str">
        <f>IFERROR(__xludf.DUMMYFUNCTION("""COMPUTED_VALUE"""),"Donjai")</f>
        <v>Donjai</v>
      </c>
      <c r="T2395" s="3" t="str">
        <f>IFERROR(__xludf.DUMMYFUNCTION("""COMPUTED_VALUE"""),"03 K.Peerapong K.")</f>
        <v>03 K.Peerapong K.</v>
      </c>
      <c r="U2395" s="3" t="str">
        <f>IFERROR(__xludf.DUMMYFUNCTION("""COMPUTED_VALUE"""),"03 K.Peerapong K.")</f>
        <v>03 K.Peerapong K.</v>
      </c>
      <c r="V2395" s="3" t="str">
        <f>IFERROR(__xludf.DUMMYFUNCTION("""COMPUTED_VALUE"""),"N")</f>
        <v>N</v>
      </c>
      <c r="W2395" s="3"/>
      <c r="X2395" s="3" t="str">
        <f>IFERROR(__xludf.DUMMYFUNCTION("""COMPUTED_VALUE"""),"67 หมู่ที่ 8 ตำบลปลาโหล อำเภอวาริชภูมิ จังหวัดสกลนคร 47150")</f>
        <v>67 หมู่ที่ 8 ตำบลปลาโหล อำเภอวาริชภูมิ จังหวัดสกลนคร 47150</v>
      </c>
      <c r="Y2395" s="3"/>
      <c r="Z2395" s="3">
        <f>IFERROR(__xludf.DUMMYFUNCTION("""COMPUTED_VALUE"""),0.0)</f>
        <v>0</v>
      </c>
      <c r="AA2395" s="3">
        <f>IFERROR(__xludf.DUMMYFUNCTION("""COMPUTED_VALUE"""),0.0)</f>
        <v>0</v>
      </c>
      <c r="AB2395" s="3" t="str">
        <f>IFERROR(__xludf.DUMMYFUNCTION("""COMPUTED_VALUE"""),"สกลนคร")</f>
        <v>สกลนคร</v>
      </c>
      <c r="AC2395" s="3">
        <f>IFERROR(__xludf.DUMMYFUNCTION("""COMPUTED_VALUE"""),47150.0)</f>
        <v>47150</v>
      </c>
      <c r="AD2395" s="3"/>
      <c r="AE2395" s="3"/>
      <c r="AF2395" s="3" t="str">
        <f>IFERROR(__xludf.DUMMYFUNCTION("""COMPUTED_VALUE"""),"ร้านสองพี่น้องมินิมาร์ท-83041")</f>
        <v>ร้านสองพี่น้องมินิมาร์ท-83041</v>
      </c>
      <c r="AG2395" s="3" t="str">
        <f>IFERROR(__xludf.DUMMYFUNCTION("""COMPUTED_VALUE"""),"ตะวันออกเฉียงเหนือ")</f>
        <v>ตะวันออกเฉียงเหนือ</v>
      </c>
      <c r="AH2395" s="3" t="str">
        <f>IFERROR(__xludf.DUMMYFUNCTION("""COMPUTED_VALUE"""),"#N/A")</f>
        <v>#N/A</v>
      </c>
      <c r="AI2395" s="3" t="str">
        <f>IFERROR(__xludf.DUMMYFUNCTION("""COMPUTED_VALUE"""),"Out of warranty")</f>
        <v>Out of warranty</v>
      </c>
      <c r="AJ2395" s="3">
        <f>IFERROR(__xludf.DUMMYFUNCTION("""COMPUTED_VALUE"""),51.0)</f>
        <v>51</v>
      </c>
      <c r="AK2395" s="3"/>
      <c r="AL2395" s="3"/>
    </row>
    <row r="2396" ht="15.75" customHeight="1">
      <c r="A2396" s="1" t="str">
        <f>IFERROR(__xludf.DUMMYFUNCTION("""COMPUTED_VALUE"""),"83048")</f>
        <v>83048</v>
      </c>
      <c r="B2396" s="2">
        <f>IFERROR(__xludf.DUMMYFUNCTION("""COMPUTED_VALUE"""),83048.0)</f>
        <v>83048</v>
      </c>
      <c r="C2396" s="3" t="str">
        <f>IFERROR(__xludf.DUMMYFUNCTION("""COMPUTED_VALUE"""),"ร้านตลาดแม่ทองปาน")</f>
        <v>ร้านตลาดแม่ทองปาน</v>
      </c>
      <c r="D2396" s="3" t="str">
        <f>IFERROR(__xludf.DUMMYFUNCTION("""COMPUTED_VALUE"""),"ร้านตลาดแม่ทองปาน")</f>
        <v>ร้านตลาดแม่ทองปาน</v>
      </c>
      <c r="E2396" s="1" t="str">
        <f>IFERROR(__xludf.DUMMYFUNCTION("""COMPUTED_VALUE"""),"Donjai")</f>
        <v>Donjai</v>
      </c>
      <c r="F2396" s="1" t="str">
        <f>IFERROR(__xludf.DUMMYFUNCTION("""COMPUTED_VALUE"""),"015361")</f>
        <v>015361</v>
      </c>
      <c r="G2396" s="1" t="str">
        <f>IFERROR(__xludf.DUMMYFUNCTION("""COMPUTED_VALUE"""),"นายสมบูรณ์ พรหมในเมือง")</f>
        <v>นายสมบูรณ์ พรหมในเมือง</v>
      </c>
      <c r="H2396" s="1" t="str">
        <f>IFERROR(__xludf.DUMMYFUNCTION("""COMPUTED_VALUE"""),"015361")</f>
        <v>015361</v>
      </c>
      <c r="I2396" s="1" t="str">
        <f>IFERROR(__xludf.DUMMYFUNCTION("""COMPUTED_VALUE"""),"นายสมบูรณ์ พรหมในเมือง")</f>
        <v>นายสมบูรณ์ พรหมในเมือง</v>
      </c>
      <c r="J2396" s="3">
        <f>IFERROR(__xludf.DUMMYFUNCTION("""COMPUTED_VALUE"""),295886.0)</f>
        <v>295886</v>
      </c>
      <c r="K2396" s="3" t="str">
        <f>IFERROR(__xludf.DUMMYFUNCTION("""COMPUTED_VALUE"""),"นายจิระพงษ์ โพธิ์นิล")</f>
        <v>นายจิระพงษ์ โพธิ์นิล</v>
      </c>
      <c r="L2396" s="1" t="str">
        <f>IFERROR(__xludf.DUMMYFUNCTION("""COMPUTED_VALUE"""),"นายจิระพงษ์ โพธิ์นิล")</f>
        <v>นายจิระพงษ์ โพธิ์นิล</v>
      </c>
      <c r="M2396" s="3">
        <f>IFERROR(__xludf.DUMMYFUNCTION("""COMPUTED_VALUE"""),9.33290754E8)</f>
        <v>933290754</v>
      </c>
      <c r="N2396" s="3">
        <f>IFERROR(__xludf.DUMMYFUNCTION("""COMPUTED_VALUE"""),83048.0)</f>
        <v>83048</v>
      </c>
      <c r="O2396" s="3" t="str">
        <f>IFERROR(__xludf.DUMMYFUNCTION("""COMPUTED_VALUE"""),"ร้านตลาดแม่ทองปาน")</f>
        <v>ร้านตลาดแม่ทองปาน</v>
      </c>
      <c r="P2396" s="4">
        <f>IFERROR(__xludf.DUMMYFUNCTION("""COMPUTED_VALUE"""),44508.0)</f>
        <v>44508</v>
      </c>
      <c r="Q2396" s="3" t="str">
        <f>IFERROR(__xludf.DUMMYFUNCTION("""COMPUTED_VALUE"""),"I")</f>
        <v>I</v>
      </c>
      <c r="R2396" s="3" t="str">
        <f>IFERROR(__xludf.DUMMYFUNCTION("""COMPUTED_VALUE"""),"Small Format")</f>
        <v>Small Format</v>
      </c>
      <c r="S2396" s="3" t="str">
        <f>IFERROR(__xludf.DUMMYFUNCTION("""COMPUTED_VALUE"""),"Donjai")</f>
        <v>Donjai</v>
      </c>
      <c r="T2396" s="3" t="str">
        <f>IFERROR(__xludf.DUMMYFUNCTION("""COMPUTED_VALUE"""),"04 K.Somboon P.")</f>
        <v>04 K.Somboon P.</v>
      </c>
      <c r="U2396" s="3" t="str">
        <f>IFERROR(__xludf.DUMMYFUNCTION("""COMPUTED_VALUE"""),"04 K.Somboon P.")</f>
        <v>04 K.Somboon P.</v>
      </c>
      <c r="V2396" s="3" t="str">
        <f>IFERROR(__xludf.DUMMYFUNCTION("""COMPUTED_VALUE"""),"N")</f>
        <v>N</v>
      </c>
      <c r="W2396" s="3"/>
      <c r="X2396" s="3" t="str">
        <f>IFERROR(__xludf.DUMMYFUNCTION("""COMPUTED_VALUE"""),"218 ม.2 ต.สูงเนิน อ.สูงเนิน จ.นครราชสีมา 30170")</f>
        <v>218 ม.2 ต.สูงเนิน อ.สูงเนิน จ.นครราชสีมา 30170</v>
      </c>
      <c r="Y2396" s="3"/>
      <c r="Z2396" s="3">
        <f>IFERROR(__xludf.DUMMYFUNCTION("""COMPUTED_VALUE"""),0.0)</f>
        <v>0</v>
      </c>
      <c r="AA2396" s="3">
        <f>IFERROR(__xludf.DUMMYFUNCTION("""COMPUTED_VALUE"""),0.0)</f>
        <v>0</v>
      </c>
      <c r="AB2396" s="3" t="str">
        <f>IFERROR(__xludf.DUMMYFUNCTION("""COMPUTED_VALUE"""),"นครราชสีมา")</f>
        <v>นครราชสีมา</v>
      </c>
      <c r="AC2396" s="3">
        <f>IFERROR(__xludf.DUMMYFUNCTION("""COMPUTED_VALUE"""),30170.0)</f>
        <v>30170</v>
      </c>
      <c r="AD2396" s="3"/>
      <c r="AE2396" s="3"/>
      <c r="AF2396" s="3" t="str">
        <f>IFERROR(__xludf.DUMMYFUNCTION("""COMPUTED_VALUE"""),"ร้านตลาดแม่ทองปาน-83048")</f>
        <v>ร้านตลาดแม่ทองปาน-83048</v>
      </c>
      <c r="AG2396" s="3" t="str">
        <f>IFERROR(__xludf.DUMMYFUNCTION("""COMPUTED_VALUE"""),"ตะวันออกเฉียงเหนือ")</f>
        <v>ตะวันออกเฉียงเหนือ</v>
      </c>
      <c r="AH2396" s="3" t="str">
        <f>IFERROR(__xludf.DUMMYFUNCTION("""COMPUTED_VALUE"""),"#N/A")</f>
        <v>#N/A</v>
      </c>
      <c r="AI2396" s="3" t="str">
        <f>IFERROR(__xludf.DUMMYFUNCTION("""COMPUTED_VALUE"""),"Out of warranty")</f>
        <v>Out of warranty</v>
      </c>
      <c r="AJ2396" s="3">
        <f>IFERROR(__xludf.DUMMYFUNCTION("""COMPUTED_VALUE"""),51.0)</f>
        <v>51</v>
      </c>
      <c r="AK2396" s="3"/>
      <c r="AL2396" s="3"/>
    </row>
    <row r="2397" ht="15.75" customHeight="1">
      <c r="A2397" s="1" t="str">
        <f>IFERROR(__xludf.DUMMYFUNCTION("""COMPUTED_VALUE"""),"83049")</f>
        <v>83049</v>
      </c>
      <c r="B2397" s="2">
        <f>IFERROR(__xludf.DUMMYFUNCTION("""COMPUTED_VALUE"""),83049.0)</f>
        <v>83049</v>
      </c>
      <c r="C2397" s="3" t="str">
        <f>IFERROR(__xludf.DUMMYFUNCTION("""COMPUTED_VALUE"""),"ร้านคุณภัทรานิษฐ์")</f>
        <v>ร้านคุณภัทรานิษฐ์</v>
      </c>
      <c r="D2397" s="3" t="str">
        <f>IFERROR(__xludf.DUMMYFUNCTION("""COMPUTED_VALUE"""),"ร้านคุณภัทรานิษฐ์")</f>
        <v>ร้านคุณภัทรานิษฐ์</v>
      </c>
      <c r="E2397" s="1" t="str">
        <f>IFERROR(__xludf.DUMMYFUNCTION("""COMPUTED_VALUE"""),"Donjai")</f>
        <v>Donjai</v>
      </c>
      <c r="F2397" s="1" t="str">
        <f>IFERROR(__xludf.DUMMYFUNCTION("""COMPUTED_VALUE"""),"2010023")</f>
        <v>2010023</v>
      </c>
      <c r="G2397" s="1" t="str">
        <f>IFERROR(__xludf.DUMMYFUNCTION("""COMPUTED_VALUE"""),"นายวศิน ไวยรูป")</f>
        <v>นายวศิน ไวยรูป</v>
      </c>
      <c r="H2397" s="1" t="str">
        <f>IFERROR(__xludf.DUMMYFUNCTION("""COMPUTED_VALUE"""),"2010023")</f>
        <v>2010023</v>
      </c>
      <c r="I2397" s="1" t="str">
        <f>IFERROR(__xludf.DUMMYFUNCTION("""COMPUTED_VALUE"""),"นายวศิน ไวยรูป")</f>
        <v>นายวศิน ไวยรูป</v>
      </c>
      <c r="J2397" s="3">
        <f>IFERROR(__xludf.DUMMYFUNCTION("""COMPUTED_VALUE"""),228031.0)</f>
        <v>228031</v>
      </c>
      <c r="K2397" s="3" t="str">
        <f>IFERROR(__xludf.DUMMYFUNCTION("""COMPUTED_VALUE"""),"นายธนพงษ์ วันหมัด")</f>
        <v>นายธนพงษ์ วันหมัด</v>
      </c>
      <c r="L2397" s="1" t="str">
        <f>IFERROR(__xludf.DUMMYFUNCTION("""COMPUTED_VALUE"""),"นายธนพงษ์ วันหมัด")</f>
        <v>นายธนพงษ์ วันหมัด</v>
      </c>
      <c r="M2397" s="3">
        <f>IFERROR(__xludf.DUMMYFUNCTION("""COMPUTED_VALUE"""),8.13716913E8)</f>
        <v>813716913</v>
      </c>
      <c r="N2397" s="3">
        <f>IFERROR(__xludf.DUMMYFUNCTION("""COMPUTED_VALUE"""),83049.0)</f>
        <v>83049</v>
      </c>
      <c r="O2397" s="3" t="str">
        <f>IFERROR(__xludf.DUMMYFUNCTION("""COMPUTED_VALUE"""),"ร้านคุณภัทรานิษฐ์")</f>
        <v>ร้านคุณภัทรานิษฐ์</v>
      </c>
      <c r="P2397" s="4">
        <f>IFERROR(__xludf.DUMMYFUNCTION("""COMPUTED_VALUE"""),44512.0)</f>
        <v>44512</v>
      </c>
      <c r="Q2397" s="3" t="str">
        <f>IFERROR(__xludf.DUMMYFUNCTION("""COMPUTED_VALUE"""),"I")</f>
        <v>I</v>
      </c>
      <c r="R2397" s="3" t="str">
        <f>IFERROR(__xludf.DUMMYFUNCTION("""COMPUTED_VALUE"""),"Small Format")</f>
        <v>Small Format</v>
      </c>
      <c r="S2397" s="3" t="str">
        <f>IFERROR(__xludf.DUMMYFUNCTION("""COMPUTED_VALUE"""),"Donjai")</f>
        <v>Donjai</v>
      </c>
      <c r="T2397" s="3" t="str">
        <f>IFERROR(__xludf.DUMMYFUNCTION("""COMPUTED_VALUE"""),"Donjai")</f>
        <v>Donjai</v>
      </c>
      <c r="U2397" s="3" t="str">
        <f>IFERROR(__xludf.DUMMYFUNCTION("""COMPUTED_VALUE"""),"Donjai")</f>
        <v>Donjai</v>
      </c>
      <c r="V2397" s="3" t="str">
        <f>IFERROR(__xludf.DUMMYFUNCTION("""COMPUTED_VALUE"""),"N")</f>
        <v>N</v>
      </c>
      <c r="W2397" s="3"/>
      <c r="X2397" s="3" t="str">
        <f>IFERROR(__xludf.DUMMYFUNCTION("""COMPUTED_VALUE"""),"29/398 ซ.หทัยราษฎร์39 ถ.หทัยราษฎร์ ต.สามวาตะวันตก อ.คลองสามวา จ.กรุงเทพมหานคร 10510")</f>
        <v>29/398 ซ.หทัยราษฎร์39 ถ.หทัยราษฎร์ ต.สามวาตะวันตก อ.คลองสามวา จ.กรุงเทพมหานคร 10510</v>
      </c>
      <c r="Y2397" s="3"/>
      <c r="Z2397" s="3" t="str">
        <f>IFERROR(__xludf.DUMMYFUNCTION("""COMPUTED_VALUE"""),"สามวาตะวันตก")</f>
        <v>สามวาตะวันตก</v>
      </c>
      <c r="AA2397" s="3" t="str">
        <f>IFERROR(__xludf.DUMMYFUNCTION("""COMPUTED_VALUE"""),"คลองสามวา")</f>
        <v>คลองสามวา</v>
      </c>
      <c r="AB2397" s="3" t="str">
        <f>IFERROR(__xludf.DUMMYFUNCTION("""COMPUTED_VALUE"""),"กรุงเทพมหานคร")</f>
        <v>กรุงเทพมหานคร</v>
      </c>
      <c r="AC2397" s="3">
        <f>IFERROR(__xludf.DUMMYFUNCTION("""COMPUTED_VALUE"""),10510.0)</f>
        <v>10510</v>
      </c>
      <c r="AD2397" s="3"/>
      <c r="AE2397" s="3"/>
      <c r="AF2397" s="3" t="str">
        <f>IFERROR(__xludf.DUMMYFUNCTION("""COMPUTED_VALUE"""),"ร้านคุณภัทรานิษฐ์-83049")</f>
        <v>ร้านคุณภัทรานิษฐ์-83049</v>
      </c>
      <c r="AG2397" s="3" t="str">
        <f>IFERROR(__xludf.DUMMYFUNCTION("""COMPUTED_VALUE"""),"กลาง")</f>
        <v>กลาง</v>
      </c>
      <c r="AH2397" s="3" t="str">
        <f>IFERROR(__xludf.DUMMYFUNCTION("""COMPUTED_VALUE"""),"#N/A")</f>
        <v>#N/A</v>
      </c>
      <c r="AI2397" s="3" t="str">
        <f>IFERROR(__xludf.DUMMYFUNCTION("""COMPUTED_VALUE"""),"Out of warranty")</f>
        <v>Out of warranty</v>
      </c>
      <c r="AJ2397" s="3">
        <f>IFERROR(__xludf.DUMMYFUNCTION("""COMPUTED_VALUE"""),51.0)</f>
        <v>51</v>
      </c>
      <c r="AK2397" s="3"/>
      <c r="AL2397" s="3"/>
    </row>
    <row r="2398" ht="15.75" customHeight="1">
      <c r="A2398" s="1" t="str">
        <f>IFERROR(__xludf.DUMMYFUNCTION("""COMPUTED_VALUE"""),"83050")</f>
        <v>83050</v>
      </c>
      <c r="B2398" s="2">
        <f>IFERROR(__xludf.DUMMYFUNCTION("""COMPUTED_VALUE"""),83050.0)</f>
        <v>83050</v>
      </c>
      <c r="C2398" s="3" t="str">
        <f>IFERROR(__xludf.DUMMYFUNCTION("""COMPUTED_VALUE"""),"ร้านเอฟเอ็นดี.วัสดุก่อสร้าง")</f>
        <v>ร้านเอฟเอ็นดี.วัสดุก่อสร้าง</v>
      </c>
      <c r="D2398" s="3" t="str">
        <f>IFERROR(__xludf.DUMMYFUNCTION("""COMPUTED_VALUE"""),"ร้านเอฟเอ็นดี.วัสดุก่อสร้าง")</f>
        <v>ร้านเอฟเอ็นดี.วัสดุก่อสร้าง</v>
      </c>
      <c r="E2398" s="1" t="str">
        <f>IFERROR(__xludf.DUMMYFUNCTION("""COMPUTED_VALUE"""),"Donjai")</f>
        <v>Donjai</v>
      </c>
      <c r="F2398" s="1" t="str">
        <f>IFERROR(__xludf.DUMMYFUNCTION("""COMPUTED_VALUE"""),"20470331")</f>
        <v>20470331</v>
      </c>
      <c r="G2398" s="1" t="str">
        <f>IFERROR(__xludf.DUMMYFUNCTION("""COMPUTED_VALUE"""),"นายสมชาย ลักษณะสุวรรณ")</f>
        <v>นายสมชาย ลักษณะสุวรรณ</v>
      </c>
      <c r="H2398" s="1" t="str">
        <f>IFERROR(__xludf.DUMMYFUNCTION("""COMPUTED_VALUE"""),"20470331")</f>
        <v>20470331</v>
      </c>
      <c r="I2398" s="1" t="str">
        <f>IFERROR(__xludf.DUMMYFUNCTION("""COMPUTED_VALUE"""),"นายสมชาย ลักษณะสุวรรณ")</f>
        <v>นายสมชาย ลักษณะสุวรรณ</v>
      </c>
      <c r="J2398" s="3">
        <f>IFERROR(__xludf.DUMMYFUNCTION("""COMPUTED_VALUE"""),295541.0)</f>
        <v>295541</v>
      </c>
      <c r="K2398" s="3" t="str">
        <f>IFERROR(__xludf.DUMMYFUNCTION("""COMPUTED_VALUE"""),"นายรพิพล ศรีมาตย์")</f>
        <v>นายรพิพล ศรีมาตย์</v>
      </c>
      <c r="L2398" s="1" t="str">
        <f>IFERROR(__xludf.DUMMYFUNCTION("""COMPUTED_VALUE"""),"นายรพิพล ศรีมาตย์")</f>
        <v>นายรพิพล ศรีมาตย์</v>
      </c>
      <c r="M2398" s="3">
        <f>IFERROR(__xludf.DUMMYFUNCTION("""COMPUTED_VALUE"""),6.13966115E8)</f>
        <v>613966115</v>
      </c>
      <c r="N2398" s="3">
        <f>IFERROR(__xludf.DUMMYFUNCTION("""COMPUTED_VALUE"""),83050.0)</f>
        <v>83050</v>
      </c>
      <c r="O2398" s="3" t="str">
        <f>IFERROR(__xludf.DUMMYFUNCTION("""COMPUTED_VALUE"""),"ร้านเอฟเอ็นดี.วัสดุก่อสร้าง")</f>
        <v>ร้านเอฟเอ็นดี.วัสดุก่อสร้าง</v>
      </c>
      <c r="P2398" s="4">
        <f>IFERROR(__xludf.DUMMYFUNCTION("""COMPUTED_VALUE"""),44556.0)</f>
        <v>44556</v>
      </c>
      <c r="Q2398" s="3" t="str">
        <f>IFERROR(__xludf.DUMMYFUNCTION("""COMPUTED_VALUE"""),"I")</f>
        <v>I</v>
      </c>
      <c r="R2398" s="3" t="str">
        <f>IFERROR(__xludf.DUMMYFUNCTION("""COMPUTED_VALUE"""),"Small Format")</f>
        <v>Small Format</v>
      </c>
      <c r="S2398" s="3" t="str">
        <f>IFERROR(__xludf.DUMMYFUNCTION("""COMPUTED_VALUE"""),"Donjai")</f>
        <v>Donjai</v>
      </c>
      <c r="T2398" s="3" t="str">
        <f>IFERROR(__xludf.DUMMYFUNCTION("""COMPUTED_VALUE"""),"15 K.Somchai L")</f>
        <v>15 K.Somchai L</v>
      </c>
      <c r="U2398" s="3" t="str">
        <f>IFERROR(__xludf.DUMMYFUNCTION("""COMPUTED_VALUE"""),"15 K.Somchai L")</f>
        <v>15 K.Somchai L</v>
      </c>
      <c r="V2398" s="3" t="str">
        <f>IFERROR(__xludf.DUMMYFUNCTION("""COMPUTED_VALUE"""),"N")</f>
        <v>N</v>
      </c>
      <c r="W2398" s="3"/>
      <c r="X2398" s="3" t="str">
        <f>IFERROR(__xludf.DUMMYFUNCTION("""COMPUTED_VALUE"""),"85/6 ม.2 ต.เกาะเปาะ อ.หนองจิก จ.ปัตตานี 94000")</f>
        <v>85/6 ม.2 ต.เกาะเปาะ อ.หนองจิก จ.ปัตตานี 94000</v>
      </c>
      <c r="Y2398" s="3"/>
      <c r="Z2398" s="3">
        <f>IFERROR(__xludf.DUMMYFUNCTION("""COMPUTED_VALUE"""),0.0)</f>
        <v>0</v>
      </c>
      <c r="AA2398" s="3">
        <f>IFERROR(__xludf.DUMMYFUNCTION("""COMPUTED_VALUE"""),0.0)</f>
        <v>0</v>
      </c>
      <c r="AB2398" s="3" t="str">
        <f>IFERROR(__xludf.DUMMYFUNCTION("""COMPUTED_VALUE"""),"ปัตตานี")</f>
        <v>ปัตตานี</v>
      </c>
      <c r="AC2398" s="3">
        <f>IFERROR(__xludf.DUMMYFUNCTION("""COMPUTED_VALUE"""),94000.0)</f>
        <v>94000</v>
      </c>
      <c r="AD2398" s="3"/>
      <c r="AE2398" s="3"/>
      <c r="AF2398" s="3" t="str">
        <f>IFERROR(__xludf.DUMMYFUNCTION("""COMPUTED_VALUE"""),"ร้านเอฟเอ็นดี.วัสดุก่อสร้าง-83050")</f>
        <v>ร้านเอฟเอ็นดี.วัสดุก่อสร้าง-83050</v>
      </c>
      <c r="AG2398" s="3" t="str">
        <f>IFERROR(__xludf.DUMMYFUNCTION("""COMPUTED_VALUE"""),"ใต้")</f>
        <v>ใต้</v>
      </c>
      <c r="AH2398" s="3" t="str">
        <f>IFERROR(__xludf.DUMMYFUNCTION("""COMPUTED_VALUE"""),"#N/A")</f>
        <v>#N/A</v>
      </c>
      <c r="AI2398" s="3" t="str">
        <f>IFERROR(__xludf.DUMMYFUNCTION("""COMPUTED_VALUE"""),"Out of warranty")</f>
        <v>Out of warranty</v>
      </c>
      <c r="AJ2398" s="3">
        <f>IFERROR(__xludf.DUMMYFUNCTION("""COMPUTED_VALUE"""),49.0)</f>
        <v>49</v>
      </c>
      <c r="AK2398" s="3"/>
      <c r="AL2398" s="3"/>
    </row>
    <row r="2399" ht="15.75" customHeight="1">
      <c r="A2399" s="1" t="str">
        <f>IFERROR(__xludf.DUMMYFUNCTION("""COMPUTED_VALUE"""),"83052")</f>
        <v>83052</v>
      </c>
      <c r="B2399" s="2">
        <f>IFERROR(__xludf.DUMMYFUNCTION("""COMPUTED_VALUE"""),83052.0)</f>
        <v>83052</v>
      </c>
      <c r="C2399" s="3" t="str">
        <f>IFERROR(__xludf.DUMMYFUNCTION("""COMPUTED_VALUE"""),"ร้านเฮียจ้อยพาณิชย์")</f>
        <v>ร้านเฮียจ้อยพาณิชย์</v>
      </c>
      <c r="D2399" s="3" t="str">
        <f>IFERROR(__xludf.DUMMYFUNCTION("""COMPUTED_VALUE"""),"ร้านเฮียจ้อยพาณิชย์")</f>
        <v>ร้านเฮียจ้อยพาณิชย์</v>
      </c>
      <c r="E2399" s="1" t="str">
        <f>IFERROR(__xludf.DUMMYFUNCTION("""COMPUTED_VALUE"""),"Donjai")</f>
        <v>Donjai</v>
      </c>
      <c r="F2399" s="1" t="str">
        <f>IFERROR(__xludf.DUMMYFUNCTION("""COMPUTED_VALUE"""),"296868")</f>
        <v>296868</v>
      </c>
      <c r="G2399" s="1" t="str">
        <f>IFERROR(__xludf.DUMMYFUNCTION("""COMPUTED_VALUE"""),"นายพีระพงษ์ แก้วดวงดี")</f>
        <v>นายพีระพงษ์ แก้วดวงดี</v>
      </c>
      <c r="H2399" s="1" t="str">
        <f>IFERROR(__xludf.DUMMYFUNCTION("""COMPUTED_VALUE"""),"296868")</f>
        <v>296868</v>
      </c>
      <c r="I2399" s="1" t="str">
        <f>IFERROR(__xludf.DUMMYFUNCTION("""COMPUTED_VALUE"""),"นายพีระพงษ์ แก้วดวงดี")</f>
        <v>นายพีระพงษ์ แก้วดวงดี</v>
      </c>
      <c r="J2399" s="3">
        <f>IFERROR(__xludf.DUMMYFUNCTION("""COMPUTED_VALUE"""),295886.0)</f>
        <v>295886</v>
      </c>
      <c r="K2399" s="3" t="str">
        <f>IFERROR(__xludf.DUMMYFUNCTION("""COMPUTED_VALUE"""),"นายจิระพงษ์ โพธิ์นิล")</f>
        <v>นายจิระพงษ์ โพธิ์นิล</v>
      </c>
      <c r="L2399" s="1" t="str">
        <f>IFERROR(__xludf.DUMMYFUNCTION("""COMPUTED_VALUE"""),"นายจิระพงษ์ โพธิ์นิล")</f>
        <v>นายจิระพงษ์ โพธิ์นิล</v>
      </c>
      <c r="M2399" s="1" t="str">
        <f>IFERROR(__xludf.DUMMYFUNCTION("""COMPUTED_VALUE"""),"0933290754")</f>
        <v>0933290754</v>
      </c>
      <c r="N2399" s="3">
        <f>IFERROR(__xludf.DUMMYFUNCTION("""COMPUTED_VALUE"""),83052.0)</f>
        <v>83052</v>
      </c>
      <c r="O2399" s="3" t="str">
        <f>IFERROR(__xludf.DUMMYFUNCTION("""COMPUTED_VALUE"""),"ร้านเฮียจ้อยพาณิชย์")</f>
        <v>ร้านเฮียจ้อยพาณิชย์</v>
      </c>
      <c r="P2399" s="4">
        <f>IFERROR(__xludf.DUMMYFUNCTION("""COMPUTED_VALUE"""),44509.0)</f>
        <v>44509</v>
      </c>
      <c r="Q2399" s="3" t="str">
        <f>IFERROR(__xludf.DUMMYFUNCTION("""COMPUTED_VALUE"""),"I")</f>
        <v>I</v>
      </c>
      <c r="R2399" s="3" t="str">
        <f>IFERROR(__xludf.DUMMYFUNCTION("""COMPUTED_VALUE"""),"Small Format")</f>
        <v>Small Format</v>
      </c>
      <c r="S2399" s="3" t="str">
        <f>IFERROR(__xludf.DUMMYFUNCTION("""COMPUTED_VALUE"""),"Donjai")</f>
        <v>Donjai</v>
      </c>
      <c r="T2399" s="3" t="str">
        <f>IFERROR(__xludf.DUMMYFUNCTION("""COMPUTED_VALUE"""),"03 K.Peerapong K.")</f>
        <v>03 K.Peerapong K.</v>
      </c>
      <c r="U2399" s="3" t="str">
        <f>IFERROR(__xludf.DUMMYFUNCTION("""COMPUTED_VALUE"""),"03 K.Peerapong K.")</f>
        <v>03 K.Peerapong K.</v>
      </c>
      <c r="V2399" s="3" t="str">
        <f>IFERROR(__xludf.DUMMYFUNCTION("""COMPUTED_VALUE"""),"N")</f>
        <v>N</v>
      </c>
      <c r="W2399" s="3"/>
      <c r="X2399" s="3" t="str">
        <f>IFERROR(__xludf.DUMMYFUNCTION("""COMPUTED_VALUE"""),"69 หมู่ 6 ต.ในเมือง อ.เวียงเก่า จ.ขอนแก่น 40150")</f>
        <v>69 หมู่ 6 ต.ในเมือง อ.เวียงเก่า จ.ขอนแก่น 40150</v>
      </c>
      <c r="Y2399" s="3"/>
      <c r="Z2399" s="3">
        <f>IFERROR(__xludf.DUMMYFUNCTION("""COMPUTED_VALUE"""),0.0)</f>
        <v>0</v>
      </c>
      <c r="AA2399" s="3">
        <f>IFERROR(__xludf.DUMMYFUNCTION("""COMPUTED_VALUE"""),0.0)</f>
        <v>0</v>
      </c>
      <c r="AB2399" s="3" t="str">
        <f>IFERROR(__xludf.DUMMYFUNCTION("""COMPUTED_VALUE"""),"ขอนแก่น")</f>
        <v>ขอนแก่น</v>
      </c>
      <c r="AC2399" s="3">
        <f>IFERROR(__xludf.DUMMYFUNCTION("""COMPUTED_VALUE"""),40150.0)</f>
        <v>40150</v>
      </c>
      <c r="AD2399" s="3"/>
      <c r="AE2399" s="3"/>
      <c r="AF2399" s="3" t="str">
        <f>IFERROR(__xludf.DUMMYFUNCTION("""COMPUTED_VALUE"""),"ร้านเฮียจ้อยพาณิชย์-83052")</f>
        <v>ร้านเฮียจ้อยพาณิชย์-83052</v>
      </c>
      <c r="AG2399" s="3" t="str">
        <f>IFERROR(__xludf.DUMMYFUNCTION("""COMPUTED_VALUE"""),"ตะวันออกเฉียงเหนือ")</f>
        <v>ตะวันออกเฉียงเหนือ</v>
      </c>
      <c r="AH2399" s="3" t="str">
        <f>IFERROR(__xludf.DUMMYFUNCTION("""COMPUTED_VALUE"""),"#N/A")</f>
        <v>#N/A</v>
      </c>
      <c r="AI2399" s="3" t="str">
        <f>IFERROR(__xludf.DUMMYFUNCTION("""COMPUTED_VALUE"""),"Out of warranty")</f>
        <v>Out of warranty</v>
      </c>
      <c r="AJ2399" s="3">
        <f>IFERROR(__xludf.DUMMYFUNCTION("""COMPUTED_VALUE"""),51.0)</f>
        <v>51</v>
      </c>
      <c r="AK2399" s="3"/>
      <c r="AL2399" s="3"/>
    </row>
    <row r="2400" ht="15.75" customHeight="1">
      <c r="A2400" s="1" t="str">
        <f>IFERROR(__xludf.DUMMYFUNCTION("""COMPUTED_VALUE"""),"83054")</f>
        <v>83054</v>
      </c>
      <c r="B2400" s="2">
        <f>IFERROR(__xludf.DUMMYFUNCTION("""COMPUTED_VALUE"""),83054.0)</f>
        <v>83054</v>
      </c>
      <c r="C2400" s="3" t="str">
        <f>IFERROR(__xludf.DUMMYFUNCTION("""COMPUTED_VALUE"""),"ร้านทุ่งเคียน")</f>
        <v>ร้านทุ่งเคียน</v>
      </c>
      <c r="D2400" s="3" t="str">
        <f>IFERROR(__xludf.DUMMYFUNCTION("""COMPUTED_VALUE"""),"ร้านทุ่งเคียน")</f>
        <v>ร้านทุ่งเคียน</v>
      </c>
      <c r="E2400" s="1" t="str">
        <f>IFERROR(__xludf.DUMMYFUNCTION("""COMPUTED_VALUE"""),"Donjai")</f>
        <v>Donjai</v>
      </c>
      <c r="F2400" s="1" t="str">
        <f>IFERROR(__xludf.DUMMYFUNCTION("""COMPUTED_VALUE"""),"20470331")</f>
        <v>20470331</v>
      </c>
      <c r="G2400" s="1" t="str">
        <f>IFERROR(__xludf.DUMMYFUNCTION("""COMPUTED_VALUE"""),"นายสมชาย ลักษณะสุวรรณ")</f>
        <v>นายสมชาย ลักษณะสุวรรณ</v>
      </c>
      <c r="H2400" s="1" t="str">
        <f>IFERROR(__xludf.DUMMYFUNCTION("""COMPUTED_VALUE"""),"20470331")</f>
        <v>20470331</v>
      </c>
      <c r="I2400" s="1" t="str">
        <f>IFERROR(__xludf.DUMMYFUNCTION("""COMPUTED_VALUE"""),"นายสมชาย ลักษณะสุวรรณ")</f>
        <v>นายสมชาย ลักษณะสุวรรณ</v>
      </c>
      <c r="J2400" s="3">
        <f>IFERROR(__xludf.DUMMYFUNCTION("""COMPUTED_VALUE"""),295541.0)</f>
        <v>295541</v>
      </c>
      <c r="K2400" s="3" t="str">
        <f>IFERROR(__xludf.DUMMYFUNCTION("""COMPUTED_VALUE"""),"นายรพิพล ศรีมาตย์")</f>
        <v>นายรพิพล ศรีมาตย์</v>
      </c>
      <c r="L2400" s="1" t="str">
        <f>IFERROR(__xludf.DUMMYFUNCTION("""COMPUTED_VALUE"""),"นายรพิพล ศรีมาตย์")</f>
        <v>นายรพิพล ศรีมาตย์</v>
      </c>
      <c r="M2400" s="3">
        <f>IFERROR(__xludf.DUMMYFUNCTION("""COMPUTED_VALUE"""),6.13966115E8)</f>
        <v>613966115</v>
      </c>
      <c r="N2400" s="3">
        <f>IFERROR(__xludf.DUMMYFUNCTION("""COMPUTED_VALUE"""),83054.0)</f>
        <v>83054</v>
      </c>
      <c r="O2400" s="3" t="str">
        <f>IFERROR(__xludf.DUMMYFUNCTION("""COMPUTED_VALUE"""),"ร้านทุ่งเคียน")</f>
        <v>ร้านทุ่งเคียน</v>
      </c>
      <c r="P2400" s="4">
        <f>IFERROR(__xludf.DUMMYFUNCTION("""COMPUTED_VALUE"""),44514.0)</f>
        <v>44514</v>
      </c>
      <c r="Q2400" s="3" t="str">
        <f>IFERROR(__xludf.DUMMYFUNCTION("""COMPUTED_VALUE"""),"I")</f>
        <v>I</v>
      </c>
      <c r="R2400" s="3" t="str">
        <f>IFERROR(__xludf.DUMMYFUNCTION("""COMPUTED_VALUE"""),"Small Format")</f>
        <v>Small Format</v>
      </c>
      <c r="S2400" s="3" t="str">
        <f>IFERROR(__xludf.DUMMYFUNCTION("""COMPUTED_VALUE"""),"Donjai")</f>
        <v>Donjai</v>
      </c>
      <c r="T2400" s="3" t="str">
        <f>IFERROR(__xludf.DUMMYFUNCTION("""COMPUTED_VALUE"""),"15 K.Somchai L")</f>
        <v>15 K.Somchai L</v>
      </c>
      <c r="U2400" s="3" t="str">
        <f>IFERROR(__xludf.DUMMYFUNCTION("""COMPUTED_VALUE"""),"15 K.Somchai L")</f>
        <v>15 K.Somchai L</v>
      </c>
      <c r="V2400" s="3" t="str">
        <f>IFERROR(__xludf.DUMMYFUNCTION("""COMPUTED_VALUE"""),"N")</f>
        <v>N</v>
      </c>
      <c r="W2400" s="3"/>
      <c r="X2400" s="3" t="str">
        <f>IFERROR(__xludf.DUMMYFUNCTION("""COMPUTED_VALUE"""),"14/9 ม.8 ต.นาหม่อม อ.นาหม่อม จ.สงขลา 90310")</f>
        <v>14/9 ม.8 ต.นาหม่อม อ.นาหม่อม จ.สงขลา 90310</v>
      </c>
      <c r="Y2400" s="3"/>
      <c r="Z2400" s="3">
        <f>IFERROR(__xludf.DUMMYFUNCTION("""COMPUTED_VALUE"""),0.0)</f>
        <v>0</v>
      </c>
      <c r="AA2400" s="3">
        <f>IFERROR(__xludf.DUMMYFUNCTION("""COMPUTED_VALUE"""),0.0)</f>
        <v>0</v>
      </c>
      <c r="AB2400" s="3" t="str">
        <f>IFERROR(__xludf.DUMMYFUNCTION("""COMPUTED_VALUE"""),"สงขลา")</f>
        <v>สงขลา</v>
      </c>
      <c r="AC2400" s="3">
        <f>IFERROR(__xludf.DUMMYFUNCTION("""COMPUTED_VALUE"""),90310.0)</f>
        <v>90310</v>
      </c>
      <c r="AD2400" s="3"/>
      <c r="AE2400" s="3"/>
      <c r="AF2400" s="3" t="str">
        <f>IFERROR(__xludf.DUMMYFUNCTION("""COMPUTED_VALUE"""),"ร้านทุ่งเคียน-83054")</f>
        <v>ร้านทุ่งเคียน-83054</v>
      </c>
      <c r="AG2400" s="3" t="str">
        <f>IFERROR(__xludf.DUMMYFUNCTION("""COMPUTED_VALUE"""),"ใต้")</f>
        <v>ใต้</v>
      </c>
      <c r="AH2400" s="3" t="str">
        <f>IFERROR(__xludf.DUMMYFUNCTION("""COMPUTED_VALUE"""),"#N/A")</f>
        <v>#N/A</v>
      </c>
      <c r="AI2400" s="3" t="str">
        <f>IFERROR(__xludf.DUMMYFUNCTION("""COMPUTED_VALUE"""),"Out of warranty")</f>
        <v>Out of warranty</v>
      </c>
      <c r="AJ2400" s="3">
        <f>IFERROR(__xludf.DUMMYFUNCTION("""COMPUTED_VALUE"""),51.0)</f>
        <v>51</v>
      </c>
      <c r="AK2400" s="3"/>
      <c r="AL2400" s="3"/>
    </row>
    <row r="2401" ht="15.75" customHeight="1">
      <c r="A2401" s="1" t="str">
        <f>IFERROR(__xludf.DUMMYFUNCTION("""COMPUTED_VALUE"""),"83055")</f>
        <v>83055</v>
      </c>
      <c r="B2401" s="2">
        <f>IFERROR(__xludf.DUMMYFUNCTION("""COMPUTED_VALUE"""),83055.0)</f>
        <v>83055</v>
      </c>
      <c r="C2401" s="3" t="str">
        <f>IFERROR(__xludf.DUMMYFUNCTION("""COMPUTED_VALUE"""),"ร้านเตรียมออม")</f>
        <v>ร้านเตรียมออม</v>
      </c>
      <c r="D2401" s="3" t="str">
        <f>IFERROR(__xludf.DUMMYFUNCTION("""COMPUTED_VALUE"""),"ร้านเตรียมออม")</f>
        <v>ร้านเตรียมออม</v>
      </c>
      <c r="E2401" s="1" t="str">
        <f>IFERROR(__xludf.DUMMYFUNCTION("""COMPUTED_VALUE"""),"Donjai")</f>
        <v>Donjai</v>
      </c>
      <c r="F2401" s="1" t="str">
        <f>IFERROR(__xludf.DUMMYFUNCTION("""COMPUTED_VALUE"""),"015361")</f>
        <v>015361</v>
      </c>
      <c r="G2401" s="1" t="str">
        <f>IFERROR(__xludf.DUMMYFUNCTION("""COMPUTED_VALUE"""),"นายสมบูรณ์ พรหมในเมือง")</f>
        <v>นายสมบูรณ์ พรหมในเมือง</v>
      </c>
      <c r="H2401" s="1" t="str">
        <f>IFERROR(__xludf.DUMMYFUNCTION("""COMPUTED_VALUE"""),"015361")</f>
        <v>015361</v>
      </c>
      <c r="I2401" s="1" t="str">
        <f>IFERROR(__xludf.DUMMYFUNCTION("""COMPUTED_VALUE"""),"นายสมบูรณ์ พรหมในเมือง")</f>
        <v>นายสมบูรณ์ พรหมในเมือง</v>
      </c>
      <c r="J2401" s="3">
        <f>IFERROR(__xludf.DUMMYFUNCTION("""COMPUTED_VALUE"""),295886.0)</f>
        <v>295886</v>
      </c>
      <c r="K2401" s="3" t="str">
        <f>IFERROR(__xludf.DUMMYFUNCTION("""COMPUTED_VALUE"""),"นายจิระพงษ์ โพธิ์นิล")</f>
        <v>นายจิระพงษ์ โพธิ์นิล</v>
      </c>
      <c r="L2401" s="1" t="str">
        <f>IFERROR(__xludf.DUMMYFUNCTION("""COMPUTED_VALUE"""),"นายจิระพงษ์ โพธิ์นิล")</f>
        <v>นายจิระพงษ์ โพธิ์นิล</v>
      </c>
      <c r="M2401" s="3">
        <f>IFERROR(__xludf.DUMMYFUNCTION("""COMPUTED_VALUE"""),9.33290754E8)</f>
        <v>933290754</v>
      </c>
      <c r="N2401" s="3">
        <f>IFERROR(__xludf.DUMMYFUNCTION("""COMPUTED_VALUE"""),83055.0)</f>
        <v>83055</v>
      </c>
      <c r="O2401" s="3" t="str">
        <f>IFERROR(__xludf.DUMMYFUNCTION("""COMPUTED_VALUE"""),"ร้านเตรียมออม")</f>
        <v>ร้านเตรียมออม</v>
      </c>
      <c r="P2401" s="4">
        <f>IFERROR(__xludf.DUMMYFUNCTION("""COMPUTED_VALUE"""),44527.0)</f>
        <v>44527</v>
      </c>
      <c r="Q2401" s="3" t="str">
        <f>IFERROR(__xludf.DUMMYFUNCTION("""COMPUTED_VALUE"""),"I")</f>
        <v>I</v>
      </c>
      <c r="R2401" s="3" t="str">
        <f>IFERROR(__xludf.DUMMYFUNCTION("""COMPUTED_VALUE"""),"Small Format")</f>
        <v>Small Format</v>
      </c>
      <c r="S2401" s="3" t="str">
        <f>IFERROR(__xludf.DUMMYFUNCTION("""COMPUTED_VALUE"""),"Donjai")</f>
        <v>Donjai</v>
      </c>
      <c r="T2401" s="3" t="str">
        <f>IFERROR(__xludf.DUMMYFUNCTION("""COMPUTED_VALUE"""),"04 K.Somboon P.")</f>
        <v>04 K.Somboon P.</v>
      </c>
      <c r="U2401" s="3" t="str">
        <f>IFERROR(__xludf.DUMMYFUNCTION("""COMPUTED_VALUE"""),"04 K.Somboon P.")</f>
        <v>04 K.Somboon P.</v>
      </c>
      <c r="V2401" s="3" t="str">
        <f>IFERROR(__xludf.DUMMYFUNCTION("""COMPUTED_VALUE"""),"N")</f>
        <v>N</v>
      </c>
      <c r="W2401" s="3"/>
      <c r="X2401" s="3" t="str">
        <f>IFERROR(__xludf.DUMMYFUNCTION("""COMPUTED_VALUE"""),"57,59 บ้านหนองแซง ต.โพนงาม อ.กุดชุม จ.ยโสธร 35140")</f>
        <v>57,59 บ้านหนองแซง ต.โพนงาม อ.กุดชุม จ.ยโสธร 35140</v>
      </c>
      <c r="Y2401" s="3"/>
      <c r="Z2401" s="3">
        <f>IFERROR(__xludf.DUMMYFUNCTION("""COMPUTED_VALUE"""),0.0)</f>
        <v>0</v>
      </c>
      <c r="AA2401" s="3">
        <f>IFERROR(__xludf.DUMMYFUNCTION("""COMPUTED_VALUE"""),0.0)</f>
        <v>0</v>
      </c>
      <c r="AB2401" s="3" t="str">
        <f>IFERROR(__xludf.DUMMYFUNCTION("""COMPUTED_VALUE"""),"ยโสธร")</f>
        <v>ยโสธร</v>
      </c>
      <c r="AC2401" s="3">
        <f>IFERROR(__xludf.DUMMYFUNCTION("""COMPUTED_VALUE"""),35140.0)</f>
        <v>35140</v>
      </c>
      <c r="AD2401" s="3"/>
      <c r="AE2401" s="3"/>
      <c r="AF2401" s="3" t="str">
        <f>IFERROR(__xludf.DUMMYFUNCTION("""COMPUTED_VALUE"""),"ร้านเตรียมออม-83055")</f>
        <v>ร้านเตรียมออม-83055</v>
      </c>
      <c r="AG2401" s="3" t="str">
        <f>IFERROR(__xludf.DUMMYFUNCTION("""COMPUTED_VALUE"""),"ตะวันออกเฉียงเหนือ")</f>
        <v>ตะวันออกเฉียงเหนือ</v>
      </c>
      <c r="AH2401" s="3" t="str">
        <f>IFERROR(__xludf.DUMMYFUNCTION("""COMPUTED_VALUE"""),"#N/A")</f>
        <v>#N/A</v>
      </c>
      <c r="AI2401" s="3" t="str">
        <f>IFERROR(__xludf.DUMMYFUNCTION("""COMPUTED_VALUE"""),"Out of warranty")</f>
        <v>Out of warranty</v>
      </c>
      <c r="AJ2401" s="3">
        <f>IFERROR(__xludf.DUMMYFUNCTION("""COMPUTED_VALUE"""),50.0)</f>
        <v>50</v>
      </c>
      <c r="AK2401" s="3"/>
      <c r="AL2401" s="3"/>
    </row>
    <row r="2402" ht="15.75" customHeight="1">
      <c r="A2402" s="1" t="str">
        <f>IFERROR(__xludf.DUMMYFUNCTION("""COMPUTED_VALUE"""),"83056")</f>
        <v>83056</v>
      </c>
      <c r="B2402" s="2">
        <f>IFERROR(__xludf.DUMMYFUNCTION("""COMPUTED_VALUE"""),83056.0)</f>
        <v>83056</v>
      </c>
      <c r="C2402" s="3" t="str">
        <f>IFERROR(__xludf.DUMMYFUNCTION("""COMPUTED_VALUE"""),"ร้าน 38 Shop")</f>
        <v>ร้าน 38 Shop</v>
      </c>
      <c r="D2402" s="3" t="str">
        <f>IFERROR(__xludf.DUMMYFUNCTION("""COMPUTED_VALUE"""),"ร้าน 38 Shop")</f>
        <v>ร้าน 38 Shop</v>
      </c>
      <c r="E2402" s="1" t="str">
        <f>IFERROR(__xludf.DUMMYFUNCTION("""COMPUTED_VALUE"""),"Donjai")</f>
        <v>Donjai</v>
      </c>
      <c r="F2402" s="1" t="str">
        <f>IFERROR(__xludf.DUMMYFUNCTION("""COMPUTED_VALUE"""),"296608")</f>
        <v>296608</v>
      </c>
      <c r="G2402" s="1" t="str">
        <f>IFERROR(__xludf.DUMMYFUNCTION("""COMPUTED_VALUE"""),"นายภาคภูมิ เพ็ชรนิล")</f>
        <v>นายภาคภูมิ เพ็ชรนิล</v>
      </c>
      <c r="H2402" s="1" t="str">
        <f>IFERROR(__xludf.DUMMYFUNCTION("""COMPUTED_VALUE"""),"296608")</f>
        <v>296608</v>
      </c>
      <c r="I2402" s="1" t="str">
        <f>IFERROR(__xludf.DUMMYFUNCTION("""COMPUTED_VALUE"""),"นายภาคภูมิ เพ็ชรนิล")</f>
        <v>นายภาคภูมิ เพ็ชรนิล</v>
      </c>
      <c r="J2402" s="3">
        <f>IFERROR(__xludf.DUMMYFUNCTION("""COMPUTED_VALUE"""),228031.0)</f>
        <v>228031</v>
      </c>
      <c r="K2402" s="3" t="str">
        <f>IFERROR(__xludf.DUMMYFUNCTION("""COMPUTED_VALUE"""),"นายธนพงษ์ วันหมัด")</f>
        <v>นายธนพงษ์ วันหมัด</v>
      </c>
      <c r="L2402" s="1" t="str">
        <f>IFERROR(__xludf.DUMMYFUNCTION("""COMPUTED_VALUE"""),"นายธนพงษ์ วันหมัด")</f>
        <v>นายธนพงษ์ วันหมัด</v>
      </c>
      <c r="M2402" s="1" t="str">
        <f>IFERROR(__xludf.DUMMYFUNCTION("""COMPUTED_VALUE"""),"0813716913")</f>
        <v>0813716913</v>
      </c>
      <c r="N2402" s="3">
        <f>IFERROR(__xludf.DUMMYFUNCTION("""COMPUTED_VALUE"""),83056.0)</f>
        <v>83056</v>
      </c>
      <c r="O2402" s="3" t="str">
        <f>IFERROR(__xludf.DUMMYFUNCTION("""COMPUTED_VALUE"""),"ร้าน 38 Shop")</f>
        <v>ร้าน 38 Shop</v>
      </c>
      <c r="P2402" s="4">
        <f>IFERROR(__xludf.DUMMYFUNCTION("""COMPUTED_VALUE"""),44579.0)</f>
        <v>44579</v>
      </c>
      <c r="Q2402" s="3" t="str">
        <f>IFERROR(__xludf.DUMMYFUNCTION("""COMPUTED_VALUE"""),"I")</f>
        <v>I</v>
      </c>
      <c r="R2402" s="3" t="str">
        <f>IFERROR(__xludf.DUMMYFUNCTION("""COMPUTED_VALUE"""),"Small Format")</f>
        <v>Small Format</v>
      </c>
      <c r="S2402" s="3" t="str">
        <f>IFERROR(__xludf.DUMMYFUNCTION("""COMPUTED_VALUE"""),"Donjai")</f>
        <v>Donjai</v>
      </c>
      <c r="T2402" s="3" t="str">
        <f>IFERROR(__xludf.DUMMYFUNCTION("""COMPUTED_VALUE"""),"10 K.Phakphoom P.")</f>
        <v>10 K.Phakphoom P.</v>
      </c>
      <c r="U2402" s="3" t="str">
        <f>IFERROR(__xludf.DUMMYFUNCTION("""COMPUTED_VALUE"""),"10 K.Phakphoom P.")</f>
        <v>10 K.Phakphoom P.</v>
      </c>
      <c r="V2402" s="3" t="str">
        <f>IFERROR(__xludf.DUMMYFUNCTION("""COMPUTED_VALUE"""),"N")</f>
        <v>N</v>
      </c>
      <c r="W2402" s="3"/>
      <c r="X2402" s="3" t="str">
        <f>IFERROR(__xludf.DUMMYFUNCTION("""COMPUTED_VALUE"""),"310/77 ซ.สุขสวัสดิ์38 ถ.สุขสวัสดิ์ แขวงบางปะกอก เขตราษฎร์บูรณะ จ.กรุงเทพมหานคร 10140")</f>
        <v>310/77 ซ.สุขสวัสดิ์38 ถ.สุขสวัสดิ์ แขวงบางปะกอก เขตราษฎร์บูรณะ จ.กรุงเทพมหานคร 10140</v>
      </c>
      <c r="Y2402" s="3"/>
      <c r="Z2402" s="3">
        <f>IFERROR(__xludf.DUMMYFUNCTION("""COMPUTED_VALUE"""),0.0)</f>
        <v>0</v>
      </c>
      <c r="AA2402" s="3">
        <f>IFERROR(__xludf.DUMMYFUNCTION("""COMPUTED_VALUE"""),0.0)</f>
        <v>0</v>
      </c>
      <c r="AB2402" s="3" t="str">
        <f>IFERROR(__xludf.DUMMYFUNCTION("""COMPUTED_VALUE"""),"กรุงเทพมหานคร")</f>
        <v>กรุงเทพมหานคร</v>
      </c>
      <c r="AC2402" s="3">
        <f>IFERROR(__xludf.DUMMYFUNCTION("""COMPUTED_VALUE"""),10140.0)</f>
        <v>10140</v>
      </c>
      <c r="AD2402" s="3"/>
      <c r="AE2402" s="3"/>
      <c r="AF2402" s="3" t="str">
        <f>IFERROR(__xludf.DUMMYFUNCTION("""COMPUTED_VALUE"""),"ร้าน 38 Shop-83056")</f>
        <v>ร้าน 38 Shop-83056</v>
      </c>
      <c r="AG2402" s="3" t="str">
        <f>IFERROR(__xludf.DUMMYFUNCTION("""COMPUTED_VALUE"""),"กลาง")</f>
        <v>กลาง</v>
      </c>
      <c r="AH2402" s="3" t="str">
        <f>IFERROR(__xludf.DUMMYFUNCTION("""COMPUTED_VALUE"""),"#N/A")</f>
        <v>#N/A</v>
      </c>
      <c r="AI2402" s="3" t="str">
        <f>IFERROR(__xludf.DUMMYFUNCTION("""COMPUTED_VALUE"""),"Out of warranty")</f>
        <v>Out of warranty</v>
      </c>
      <c r="AJ2402" s="3">
        <f>IFERROR(__xludf.DUMMYFUNCTION("""COMPUTED_VALUE"""),49.0)</f>
        <v>49</v>
      </c>
      <c r="AK2402" s="3"/>
      <c r="AL2402" s="3"/>
    </row>
    <row r="2403" ht="15.75" customHeight="1">
      <c r="A2403" s="1" t="str">
        <f>IFERROR(__xludf.DUMMYFUNCTION("""COMPUTED_VALUE"""),"83057")</f>
        <v>83057</v>
      </c>
      <c r="B2403" s="2">
        <f>IFERROR(__xludf.DUMMYFUNCTION("""COMPUTED_VALUE"""),83057.0)</f>
        <v>83057</v>
      </c>
      <c r="C2403" s="3" t="str">
        <f>IFERROR(__xludf.DUMMYFUNCTION("""COMPUTED_VALUE"""),"ร้านอัล-อามีน")</f>
        <v>ร้านอัล-อามีน</v>
      </c>
      <c r="D2403" s="3" t="str">
        <f>IFERROR(__xludf.DUMMYFUNCTION("""COMPUTED_VALUE"""),"ร้านอัล-อามีน")</f>
        <v>ร้านอัล-อามีน</v>
      </c>
      <c r="E2403" s="1" t="str">
        <f>IFERROR(__xludf.DUMMYFUNCTION("""COMPUTED_VALUE"""),"Donjai")</f>
        <v>Donjai</v>
      </c>
      <c r="F2403" s="1" t="str">
        <f>IFERROR(__xludf.DUMMYFUNCTION("""COMPUTED_VALUE"""),"20470331")</f>
        <v>20470331</v>
      </c>
      <c r="G2403" s="1" t="str">
        <f>IFERROR(__xludf.DUMMYFUNCTION("""COMPUTED_VALUE"""),"นายสมชาย ลักษณะสุวรรณ")</f>
        <v>นายสมชาย ลักษณะสุวรรณ</v>
      </c>
      <c r="H2403" s="1" t="str">
        <f>IFERROR(__xludf.DUMMYFUNCTION("""COMPUTED_VALUE"""),"20470331")</f>
        <v>20470331</v>
      </c>
      <c r="I2403" s="1" t="str">
        <f>IFERROR(__xludf.DUMMYFUNCTION("""COMPUTED_VALUE"""),"นายสมชาย ลักษณะสุวรรณ")</f>
        <v>นายสมชาย ลักษณะสุวรรณ</v>
      </c>
      <c r="J2403" s="3">
        <f>IFERROR(__xludf.DUMMYFUNCTION("""COMPUTED_VALUE"""),295541.0)</f>
        <v>295541</v>
      </c>
      <c r="K2403" s="3" t="str">
        <f>IFERROR(__xludf.DUMMYFUNCTION("""COMPUTED_VALUE"""),"นายรพิพล ศรีมาตย์")</f>
        <v>นายรพิพล ศรีมาตย์</v>
      </c>
      <c r="L2403" s="1" t="str">
        <f>IFERROR(__xludf.DUMMYFUNCTION("""COMPUTED_VALUE"""),"นายรพิพล ศรีมาตย์")</f>
        <v>นายรพิพล ศรีมาตย์</v>
      </c>
      <c r="M2403" s="1" t="str">
        <f>IFERROR(__xludf.DUMMYFUNCTION("""COMPUTED_VALUE"""),"0613966115")</f>
        <v>0613966115</v>
      </c>
      <c r="N2403" s="3">
        <f>IFERROR(__xludf.DUMMYFUNCTION("""COMPUTED_VALUE"""),83057.0)</f>
        <v>83057</v>
      </c>
      <c r="O2403" s="3" t="str">
        <f>IFERROR(__xludf.DUMMYFUNCTION("""COMPUTED_VALUE"""),"ร้านอัล-อามีน")</f>
        <v>ร้านอัล-อามีน</v>
      </c>
      <c r="P2403" s="4">
        <f>IFERROR(__xludf.DUMMYFUNCTION("""COMPUTED_VALUE"""),44527.0)</f>
        <v>44527</v>
      </c>
      <c r="Q2403" s="3" t="str">
        <f>IFERROR(__xludf.DUMMYFUNCTION("""COMPUTED_VALUE"""),"A")</f>
        <v>A</v>
      </c>
      <c r="R2403" s="3" t="str">
        <f>IFERROR(__xludf.DUMMYFUNCTION("""COMPUTED_VALUE"""),"Small Format")</f>
        <v>Small Format</v>
      </c>
      <c r="S2403" s="3" t="str">
        <f>IFERROR(__xludf.DUMMYFUNCTION("""COMPUTED_VALUE"""),"Donjai")</f>
        <v>Donjai</v>
      </c>
      <c r="T2403" s="3" t="str">
        <f>IFERROR(__xludf.DUMMYFUNCTION("""COMPUTED_VALUE"""),"15 K.Somchai L")</f>
        <v>15 K.Somchai L</v>
      </c>
      <c r="U2403" s="3" t="str">
        <f>IFERROR(__xludf.DUMMYFUNCTION("""COMPUTED_VALUE"""),"15 K.Somchai L")</f>
        <v>15 K.Somchai L</v>
      </c>
      <c r="V2403" s="3" t="str">
        <f>IFERROR(__xludf.DUMMYFUNCTION("""COMPUTED_VALUE"""),"N")</f>
        <v>N</v>
      </c>
      <c r="W2403" s="3"/>
      <c r="X2403" s="3" t="str">
        <f>IFERROR(__xludf.DUMMYFUNCTION("""COMPUTED_VALUE"""),"143 ม.1 ต.ท่าเรือ อ.ท่าแพ จ.สตูล 91150")</f>
        <v>143 ม.1 ต.ท่าเรือ อ.ท่าแพ จ.สตูล 91150</v>
      </c>
      <c r="Y2403" s="3"/>
      <c r="Z2403" s="3">
        <f>IFERROR(__xludf.DUMMYFUNCTION("""COMPUTED_VALUE"""),0.0)</f>
        <v>0</v>
      </c>
      <c r="AA2403" s="3">
        <f>IFERROR(__xludf.DUMMYFUNCTION("""COMPUTED_VALUE"""),0.0)</f>
        <v>0</v>
      </c>
      <c r="AB2403" s="3" t="str">
        <f>IFERROR(__xludf.DUMMYFUNCTION("""COMPUTED_VALUE"""),"สตูล")</f>
        <v>สตูล</v>
      </c>
      <c r="AC2403" s="3">
        <f>IFERROR(__xludf.DUMMYFUNCTION("""COMPUTED_VALUE"""),91150.0)</f>
        <v>91150</v>
      </c>
      <c r="AD2403" s="3"/>
      <c r="AE2403" s="3"/>
      <c r="AF2403" s="3" t="str">
        <f>IFERROR(__xludf.DUMMYFUNCTION("""COMPUTED_VALUE"""),"ร้านอัล-อามีน-83057")</f>
        <v>ร้านอัล-อามีน-83057</v>
      </c>
      <c r="AG2403" s="3" t="str">
        <f>IFERROR(__xludf.DUMMYFUNCTION("""COMPUTED_VALUE"""),"ใต้")</f>
        <v>ใต้</v>
      </c>
      <c r="AH2403" s="3" t="str">
        <f>IFERROR(__xludf.DUMMYFUNCTION("""COMPUTED_VALUE"""),"#N/A")</f>
        <v>#N/A</v>
      </c>
      <c r="AI2403" s="3" t="str">
        <f>IFERROR(__xludf.DUMMYFUNCTION("""COMPUTED_VALUE"""),"Out of warranty")</f>
        <v>Out of warranty</v>
      </c>
      <c r="AJ2403" s="3">
        <f>IFERROR(__xludf.DUMMYFUNCTION("""COMPUTED_VALUE"""),50.0)</f>
        <v>50</v>
      </c>
      <c r="AK2403" s="3"/>
      <c r="AL2403" s="3"/>
    </row>
    <row r="2404" ht="15.75" customHeight="1">
      <c r="A2404" s="1" t="str">
        <f>IFERROR(__xludf.DUMMYFUNCTION("""COMPUTED_VALUE"""),"83058")</f>
        <v>83058</v>
      </c>
      <c r="B2404" s="2">
        <f>IFERROR(__xludf.DUMMYFUNCTION("""COMPUTED_VALUE"""),83058.0)</f>
        <v>83058</v>
      </c>
      <c r="C2404" s="3" t="str">
        <f>IFERROR(__xludf.DUMMYFUNCTION("""COMPUTED_VALUE"""),"ร้าน กิโลไนท์")</f>
        <v>ร้าน กิโลไนท์</v>
      </c>
      <c r="D2404" s="3" t="str">
        <f>IFERROR(__xludf.DUMMYFUNCTION("""COMPUTED_VALUE"""),"ร้าน กิโลไนท์")</f>
        <v>ร้าน กิโลไนท์</v>
      </c>
      <c r="E2404" s="1" t="str">
        <f>IFERROR(__xludf.DUMMYFUNCTION("""COMPUTED_VALUE"""),"Donjai")</f>
        <v>Donjai</v>
      </c>
      <c r="F2404" s="1" t="str">
        <f>IFERROR(__xludf.DUMMYFUNCTION("""COMPUTED_VALUE"""),"015361")</f>
        <v>015361</v>
      </c>
      <c r="G2404" s="1" t="str">
        <f>IFERROR(__xludf.DUMMYFUNCTION("""COMPUTED_VALUE"""),"นายสมบูรณ์ พรหมในเมือง")</f>
        <v>นายสมบูรณ์ พรหมในเมือง</v>
      </c>
      <c r="H2404" s="1" t="str">
        <f>IFERROR(__xludf.DUMMYFUNCTION("""COMPUTED_VALUE"""),"015361")</f>
        <v>015361</v>
      </c>
      <c r="I2404" s="1" t="str">
        <f>IFERROR(__xludf.DUMMYFUNCTION("""COMPUTED_VALUE"""),"นายสมบูรณ์ พรหมในเมือง")</f>
        <v>นายสมบูรณ์ พรหมในเมือง</v>
      </c>
      <c r="J2404" s="3">
        <f>IFERROR(__xludf.DUMMYFUNCTION("""COMPUTED_VALUE"""),295886.0)</f>
        <v>295886</v>
      </c>
      <c r="K2404" s="3" t="str">
        <f>IFERROR(__xludf.DUMMYFUNCTION("""COMPUTED_VALUE"""),"นายจิระพงษ์ โพธิ์นิล")</f>
        <v>นายจิระพงษ์ โพธิ์นิล</v>
      </c>
      <c r="L2404" s="1" t="str">
        <f>IFERROR(__xludf.DUMMYFUNCTION("""COMPUTED_VALUE"""),"นายจิระพงษ์ โพธิ์นิล")</f>
        <v>นายจิระพงษ์ โพธิ์นิล</v>
      </c>
      <c r="M2404" s="1" t="str">
        <f>IFERROR(__xludf.DUMMYFUNCTION("""COMPUTED_VALUE"""),"0933290754")</f>
        <v>0933290754</v>
      </c>
      <c r="N2404" s="3">
        <f>IFERROR(__xludf.DUMMYFUNCTION("""COMPUTED_VALUE"""),83058.0)</f>
        <v>83058</v>
      </c>
      <c r="O2404" s="3" t="str">
        <f>IFERROR(__xludf.DUMMYFUNCTION("""COMPUTED_VALUE"""),"ร้าน กิโลไนท์")</f>
        <v>ร้าน กิโลไนท์</v>
      </c>
      <c r="P2404" s="4">
        <f>IFERROR(__xludf.DUMMYFUNCTION("""COMPUTED_VALUE"""),44517.0)</f>
        <v>44517</v>
      </c>
      <c r="Q2404" s="3" t="str">
        <f>IFERROR(__xludf.DUMMYFUNCTION("""COMPUTED_VALUE"""),"I")</f>
        <v>I</v>
      </c>
      <c r="R2404" s="3" t="str">
        <f>IFERROR(__xludf.DUMMYFUNCTION("""COMPUTED_VALUE"""),"Small Format")</f>
        <v>Small Format</v>
      </c>
      <c r="S2404" s="3" t="str">
        <f>IFERROR(__xludf.DUMMYFUNCTION("""COMPUTED_VALUE"""),"Donjai")</f>
        <v>Donjai</v>
      </c>
      <c r="T2404" s="3" t="str">
        <f>IFERROR(__xludf.DUMMYFUNCTION("""COMPUTED_VALUE"""),"04 K.Somboon P.")</f>
        <v>04 K.Somboon P.</v>
      </c>
      <c r="U2404" s="3" t="str">
        <f>IFERROR(__xludf.DUMMYFUNCTION("""COMPUTED_VALUE"""),"04 K.Somboon P.")</f>
        <v>04 K.Somboon P.</v>
      </c>
      <c r="V2404" s="3" t="str">
        <f>IFERROR(__xludf.DUMMYFUNCTION("""COMPUTED_VALUE"""),"N")</f>
        <v>N</v>
      </c>
      <c r="W2404" s="3"/>
      <c r="X2404" s="3" t="str">
        <f>IFERROR(__xludf.DUMMYFUNCTION("""COMPUTED_VALUE"""),"22 ม.4 ต.บุ่งไหม อ.วารินชำราบ จ.อุบลราชธานี 34190")</f>
        <v>22 ม.4 ต.บุ่งไหม อ.วารินชำราบ จ.อุบลราชธานี 34190</v>
      </c>
      <c r="Y2404" s="3"/>
      <c r="Z2404" s="3">
        <f>IFERROR(__xludf.DUMMYFUNCTION("""COMPUTED_VALUE"""),0.0)</f>
        <v>0</v>
      </c>
      <c r="AA2404" s="3">
        <f>IFERROR(__xludf.DUMMYFUNCTION("""COMPUTED_VALUE"""),0.0)</f>
        <v>0</v>
      </c>
      <c r="AB2404" s="3" t="str">
        <f>IFERROR(__xludf.DUMMYFUNCTION("""COMPUTED_VALUE"""),"อุบลราชธานี")</f>
        <v>อุบลราชธานี</v>
      </c>
      <c r="AC2404" s="3">
        <f>IFERROR(__xludf.DUMMYFUNCTION("""COMPUTED_VALUE"""),34190.0)</f>
        <v>34190</v>
      </c>
      <c r="AD2404" s="3"/>
      <c r="AE2404" s="3"/>
      <c r="AF2404" s="3" t="str">
        <f>IFERROR(__xludf.DUMMYFUNCTION("""COMPUTED_VALUE"""),"ร้าน กิโลไนท์-83058")</f>
        <v>ร้าน กิโลไนท์-83058</v>
      </c>
      <c r="AG2404" s="3" t="str">
        <f>IFERROR(__xludf.DUMMYFUNCTION("""COMPUTED_VALUE"""),"ตะวันออกเฉียงเหนือ")</f>
        <v>ตะวันออกเฉียงเหนือ</v>
      </c>
      <c r="AH2404" s="3" t="str">
        <f>IFERROR(__xludf.DUMMYFUNCTION("""COMPUTED_VALUE"""),"#N/A")</f>
        <v>#N/A</v>
      </c>
      <c r="AI2404" s="3" t="str">
        <f>IFERROR(__xludf.DUMMYFUNCTION("""COMPUTED_VALUE"""),"Out of warranty")</f>
        <v>Out of warranty</v>
      </c>
      <c r="AJ2404" s="3">
        <f>IFERROR(__xludf.DUMMYFUNCTION("""COMPUTED_VALUE"""),51.0)</f>
        <v>51</v>
      </c>
      <c r="AK2404" s="3"/>
      <c r="AL2404" s="3"/>
    </row>
    <row r="2405" ht="15.75" customHeight="1">
      <c r="A2405" s="1" t="str">
        <f>IFERROR(__xludf.DUMMYFUNCTION("""COMPUTED_VALUE"""),"83059")</f>
        <v>83059</v>
      </c>
      <c r="B2405" s="2">
        <f>IFERROR(__xludf.DUMMYFUNCTION("""COMPUTED_VALUE"""),83059.0)</f>
        <v>83059</v>
      </c>
      <c r="C2405" s="3" t="str">
        <f>IFERROR(__xludf.DUMMYFUNCTION("""COMPUTED_VALUE"""),"ร้านพี่เยาว์")</f>
        <v>ร้านพี่เยาว์</v>
      </c>
      <c r="D2405" s="3" t="str">
        <f>IFERROR(__xludf.DUMMYFUNCTION("""COMPUTED_VALUE"""),"ร้านพี่เยาว์")</f>
        <v>ร้านพี่เยาว์</v>
      </c>
      <c r="E2405" s="1" t="str">
        <f>IFERROR(__xludf.DUMMYFUNCTION("""COMPUTED_VALUE"""),"Donjai")</f>
        <v>Donjai</v>
      </c>
      <c r="F2405" s="1" t="str">
        <f>IFERROR(__xludf.DUMMYFUNCTION("""COMPUTED_VALUE"""),"296608")</f>
        <v>296608</v>
      </c>
      <c r="G2405" s="1" t="str">
        <f>IFERROR(__xludf.DUMMYFUNCTION("""COMPUTED_VALUE"""),"นายภาคภูมิ เพ็ชรนิล")</f>
        <v>นายภาคภูมิ เพ็ชรนิล</v>
      </c>
      <c r="H2405" s="1" t="str">
        <f>IFERROR(__xludf.DUMMYFUNCTION("""COMPUTED_VALUE"""),"296608")</f>
        <v>296608</v>
      </c>
      <c r="I2405" s="1" t="str">
        <f>IFERROR(__xludf.DUMMYFUNCTION("""COMPUTED_VALUE"""),"นายภาคภูมิ เพ็ชรนิล")</f>
        <v>นายภาคภูมิ เพ็ชรนิล</v>
      </c>
      <c r="J2405" s="3">
        <f>IFERROR(__xludf.DUMMYFUNCTION("""COMPUTED_VALUE"""),228031.0)</f>
        <v>228031</v>
      </c>
      <c r="K2405" s="3" t="str">
        <f>IFERROR(__xludf.DUMMYFUNCTION("""COMPUTED_VALUE"""),"นายธนพงษ์ วันหมัด")</f>
        <v>นายธนพงษ์ วันหมัด</v>
      </c>
      <c r="L2405" s="1" t="str">
        <f>IFERROR(__xludf.DUMMYFUNCTION("""COMPUTED_VALUE"""),"นายธนพงษ์ วันหมัด")</f>
        <v>นายธนพงษ์ วันหมัด</v>
      </c>
      <c r="M2405" s="1" t="str">
        <f>IFERROR(__xludf.DUMMYFUNCTION("""COMPUTED_VALUE"""),"0813716913")</f>
        <v>0813716913</v>
      </c>
      <c r="N2405" s="3">
        <f>IFERROR(__xludf.DUMMYFUNCTION("""COMPUTED_VALUE"""),83059.0)</f>
        <v>83059</v>
      </c>
      <c r="O2405" s="3" t="str">
        <f>IFERROR(__xludf.DUMMYFUNCTION("""COMPUTED_VALUE"""),"ร้านพี่เยาว์")</f>
        <v>ร้านพี่เยาว์</v>
      </c>
      <c r="P2405" s="4">
        <f>IFERROR(__xludf.DUMMYFUNCTION("""COMPUTED_VALUE"""),44553.0)</f>
        <v>44553</v>
      </c>
      <c r="Q2405" s="3" t="str">
        <f>IFERROR(__xludf.DUMMYFUNCTION("""COMPUTED_VALUE"""),"I")</f>
        <v>I</v>
      </c>
      <c r="R2405" s="3" t="str">
        <f>IFERROR(__xludf.DUMMYFUNCTION("""COMPUTED_VALUE"""),"Small Format")</f>
        <v>Small Format</v>
      </c>
      <c r="S2405" s="3" t="str">
        <f>IFERROR(__xludf.DUMMYFUNCTION("""COMPUTED_VALUE"""),"Donjai")</f>
        <v>Donjai</v>
      </c>
      <c r="T2405" s="3" t="str">
        <f>IFERROR(__xludf.DUMMYFUNCTION("""COMPUTED_VALUE"""),"10 K.Phakphoom P.")</f>
        <v>10 K.Phakphoom P.</v>
      </c>
      <c r="U2405" s="3" t="str">
        <f>IFERROR(__xludf.DUMMYFUNCTION("""COMPUTED_VALUE"""),"10 K.Phakphoom P.")</f>
        <v>10 K.Phakphoom P.</v>
      </c>
      <c r="V2405" s="3" t="str">
        <f>IFERROR(__xludf.DUMMYFUNCTION("""COMPUTED_VALUE"""),"N")</f>
        <v>N</v>
      </c>
      <c r="W2405" s="3"/>
      <c r="X2405" s="3" t="str">
        <f>IFERROR(__xludf.DUMMYFUNCTION("""COMPUTED_VALUE"""),"327/45 ซ.44 ถ.พุทธบูชา แขวงบางมด เขตทุ่งครุ กทม. 10140")</f>
        <v>327/45 ซ.44 ถ.พุทธบูชา แขวงบางมด เขตทุ่งครุ กทม. 10140</v>
      </c>
      <c r="Y2405" s="3"/>
      <c r="Z2405" s="3">
        <f>IFERROR(__xludf.DUMMYFUNCTION("""COMPUTED_VALUE"""),0.0)</f>
        <v>0</v>
      </c>
      <c r="AA2405" s="3">
        <f>IFERROR(__xludf.DUMMYFUNCTION("""COMPUTED_VALUE"""),0.0)</f>
        <v>0</v>
      </c>
      <c r="AB2405" s="3" t="str">
        <f>IFERROR(__xludf.DUMMYFUNCTION("""COMPUTED_VALUE"""),"กรุงเทพมหานคร")</f>
        <v>กรุงเทพมหานคร</v>
      </c>
      <c r="AC2405" s="3">
        <f>IFERROR(__xludf.DUMMYFUNCTION("""COMPUTED_VALUE"""),10140.0)</f>
        <v>10140</v>
      </c>
      <c r="AD2405" s="3"/>
      <c r="AE2405" s="3"/>
      <c r="AF2405" s="3" t="str">
        <f>IFERROR(__xludf.DUMMYFUNCTION("""COMPUTED_VALUE"""),"ร้านพี่เยาว์-83059")</f>
        <v>ร้านพี่เยาว์-83059</v>
      </c>
      <c r="AG2405" s="3" t="str">
        <f>IFERROR(__xludf.DUMMYFUNCTION("""COMPUTED_VALUE"""),"กลาง")</f>
        <v>กลาง</v>
      </c>
      <c r="AH2405" s="3" t="str">
        <f>IFERROR(__xludf.DUMMYFUNCTION("""COMPUTED_VALUE"""),"#N/A")</f>
        <v>#N/A</v>
      </c>
      <c r="AI2405" s="3" t="str">
        <f>IFERROR(__xludf.DUMMYFUNCTION("""COMPUTED_VALUE"""),"Out of warranty")</f>
        <v>Out of warranty</v>
      </c>
      <c r="AJ2405" s="3">
        <f>IFERROR(__xludf.DUMMYFUNCTION("""COMPUTED_VALUE"""),49.0)</f>
        <v>49</v>
      </c>
      <c r="AK2405" s="3"/>
      <c r="AL2405" s="3"/>
    </row>
    <row r="2406" ht="15.75" customHeight="1">
      <c r="A2406" s="1" t="str">
        <f>IFERROR(__xludf.DUMMYFUNCTION("""COMPUTED_VALUE"""),"83062")</f>
        <v>83062</v>
      </c>
      <c r="B2406" s="2">
        <f>IFERROR(__xludf.DUMMYFUNCTION("""COMPUTED_VALUE"""),83062.0)</f>
        <v>83062</v>
      </c>
      <c r="C2406" s="3" t="str">
        <f>IFERROR(__xludf.DUMMYFUNCTION("""COMPUTED_VALUE"""),"ร้านมันนี่ มาตัง ( สุชาวดี )")</f>
        <v>ร้านมันนี่ มาตัง ( สุชาวดี )</v>
      </c>
      <c r="D2406" s="3" t="str">
        <f>IFERROR(__xludf.DUMMYFUNCTION("""COMPUTED_VALUE"""),"ร้านมันนี่ มาตัง ( สุชาวดี )")</f>
        <v>ร้านมันนี่ มาตัง ( สุชาวดี )</v>
      </c>
      <c r="E2406" s="1" t="str">
        <f>IFERROR(__xludf.DUMMYFUNCTION("""COMPUTED_VALUE"""),"Donjai")</f>
        <v>Donjai</v>
      </c>
      <c r="F2406" s="1" t="str">
        <f>IFERROR(__xludf.DUMMYFUNCTION("""COMPUTED_VALUE"""),"296608")</f>
        <v>296608</v>
      </c>
      <c r="G2406" s="1" t="str">
        <f>IFERROR(__xludf.DUMMYFUNCTION("""COMPUTED_VALUE"""),"นายภาคภูมิ เพ็ชรนิล")</f>
        <v>นายภาคภูมิ เพ็ชรนิล</v>
      </c>
      <c r="H2406" s="1" t="str">
        <f>IFERROR(__xludf.DUMMYFUNCTION("""COMPUTED_VALUE"""),"296608")</f>
        <v>296608</v>
      </c>
      <c r="I2406" s="1" t="str">
        <f>IFERROR(__xludf.DUMMYFUNCTION("""COMPUTED_VALUE"""),"นายภาคภูมิ เพ็ชรนิล")</f>
        <v>นายภาคภูมิ เพ็ชรนิล</v>
      </c>
      <c r="J2406" s="3">
        <f>IFERROR(__xludf.DUMMYFUNCTION("""COMPUTED_VALUE"""),228031.0)</f>
        <v>228031</v>
      </c>
      <c r="K2406" s="3" t="str">
        <f>IFERROR(__xludf.DUMMYFUNCTION("""COMPUTED_VALUE"""),"นายธนพงษ์ วันหมัด")</f>
        <v>นายธนพงษ์ วันหมัด</v>
      </c>
      <c r="L2406" s="1" t="str">
        <f>IFERROR(__xludf.DUMMYFUNCTION("""COMPUTED_VALUE"""),"นายธนพงษ์ วันหมัด")</f>
        <v>นายธนพงษ์ วันหมัด</v>
      </c>
      <c r="M2406" s="1" t="str">
        <f>IFERROR(__xludf.DUMMYFUNCTION("""COMPUTED_VALUE"""),"0813716913")</f>
        <v>0813716913</v>
      </c>
      <c r="N2406" s="3">
        <f>IFERROR(__xludf.DUMMYFUNCTION("""COMPUTED_VALUE"""),83062.0)</f>
        <v>83062</v>
      </c>
      <c r="O2406" s="3" t="str">
        <f>IFERROR(__xludf.DUMMYFUNCTION("""COMPUTED_VALUE"""),"ร้านมันนี่ มาตัง ( สุชาวดี )")</f>
        <v>ร้านมันนี่ มาตัง ( สุชาวดี )</v>
      </c>
      <c r="P2406" s="4">
        <f>IFERROR(__xludf.DUMMYFUNCTION("""COMPUTED_VALUE"""),44529.0)</f>
        <v>44529</v>
      </c>
      <c r="Q2406" s="3" t="str">
        <f>IFERROR(__xludf.DUMMYFUNCTION("""COMPUTED_VALUE"""),"I")</f>
        <v>I</v>
      </c>
      <c r="R2406" s="3" t="str">
        <f>IFERROR(__xludf.DUMMYFUNCTION("""COMPUTED_VALUE"""),"Small Format")</f>
        <v>Small Format</v>
      </c>
      <c r="S2406" s="3" t="str">
        <f>IFERROR(__xludf.DUMMYFUNCTION("""COMPUTED_VALUE"""),"Donjai")</f>
        <v>Donjai</v>
      </c>
      <c r="T2406" s="3" t="str">
        <f>IFERROR(__xludf.DUMMYFUNCTION("""COMPUTED_VALUE"""),"10 K.Phakphoom P.")</f>
        <v>10 K.Phakphoom P.</v>
      </c>
      <c r="U2406" s="3" t="str">
        <f>IFERROR(__xludf.DUMMYFUNCTION("""COMPUTED_VALUE"""),"10 K.Phakphoom P.")</f>
        <v>10 K.Phakphoom P.</v>
      </c>
      <c r="V2406" s="3" t="str">
        <f>IFERROR(__xludf.DUMMYFUNCTION("""COMPUTED_VALUE"""),"N")</f>
        <v>N</v>
      </c>
      <c r="W2406" s="3"/>
      <c r="X2406" s="3" t="str">
        <f>IFERROR(__xludf.DUMMYFUNCTION("""COMPUTED_VALUE"""),"57 หมู่ 3 ตำบลสวนผึ้ง อำเภอสวนผึ้ง จังหวัดราชบุรี 70180")</f>
        <v>57 หมู่ 3 ตำบลสวนผึ้ง อำเภอสวนผึ้ง จังหวัดราชบุรี 70180</v>
      </c>
      <c r="Y2406" s="3"/>
      <c r="Z2406" s="3">
        <f>IFERROR(__xludf.DUMMYFUNCTION("""COMPUTED_VALUE"""),0.0)</f>
        <v>0</v>
      </c>
      <c r="AA2406" s="3">
        <f>IFERROR(__xludf.DUMMYFUNCTION("""COMPUTED_VALUE"""),0.0)</f>
        <v>0</v>
      </c>
      <c r="AB2406" s="3" t="str">
        <f>IFERROR(__xludf.DUMMYFUNCTION("""COMPUTED_VALUE"""),"ราชบุรี")</f>
        <v>ราชบุรี</v>
      </c>
      <c r="AC2406" s="3">
        <f>IFERROR(__xludf.DUMMYFUNCTION("""COMPUTED_VALUE"""),70180.0)</f>
        <v>70180</v>
      </c>
      <c r="AD2406" s="3"/>
      <c r="AE2406" s="3"/>
      <c r="AF2406" s="3" t="str">
        <f>IFERROR(__xludf.DUMMYFUNCTION("""COMPUTED_VALUE"""),"ร้านมันนี่ มาตัง ( สุชาวดี )-83062")</f>
        <v>ร้านมันนี่ มาตัง ( สุชาวดี )-83062</v>
      </c>
      <c r="AG2406" s="3" t="str">
        <f>IFERROR(__xludf.DUMMYFUNCTION("""COMPUTED_VALUE"""),"ตะวันตก")</f>
        <v>ตะวันตก</v>
      </c>
      <c r="AH2406" s="3" t="str">
        <f>IFERROR(__xludf.DUMMYFUNCTION("""COMPUTED_VALUE"""),"#N/A")</f>
        <v>#N/A</v>
      </c>
      <c r="AI2406" s="3" t="str">
        <f>IFERROR(__xludf.DUMMYFUNCTION("""COMPUTED_VALUE"""),"Out of warranty")</f>
        <v>Out of warranty</v>
      </c>
      <c r="AJ2406" s="3">
        <f>IFERROR(__xludf.DUMMYFUNCTION("""COMPUTED_VALUE"""),50.0)</f>
        <v>50</v>
      </c>
      <c r="AK2406" s="3"/>
      <c r="AL2406" s="3"/>
    </row>
    <row r="2407" ht="15.75" customHeight="1">
      <c r="A2407" s="1" t="str">
        <f>IFERROR(__xludf.DUMMYFUNCTION("""COMPUTED_VALUE"""),"83065")</f>
        <v>83065</v>
      </c>
      <c r="B2407" s="2">
        <f>IFERROR(__xludf.DUMMYFUNCTION("""COMPUTED_VALUE"""),83065.0)</f>
        <v>83065</v>
      </c>
      <c r="C2407" s="3" t="str">
        <f>IFERROR(__xludf.DUMMYFUNCTION("""COMPUTED_VALUE"""),"ร้านลูกเกษตร")</f>
        <v>ร้านลูกเกษตร</v>
      </c>
      <c r="D2407" s="3" t="str">
        <f>IFERROR(__xludf.DUMMYFUNCTION("""COMPUTED_VALUE"""),"ร้านลูกเกษตร")</f>
        <v>ร้านลูกเกษตร</v>
      </c>
      <c r="E2407" s="1" t="str">
        <f>IFERROR(__xludf.DUMMYFUNCTION("""COMPUTED_VALUE"""),"Donjai")</f>
        <v>Donjai</v>
      </c>
      <c r="F2407" s="1" t="str">
        <f>IFERROR(__xludf.DUMMYFUNCTION("""COMPUTED_VALUE"""),"296868")</f>
        <v>296868</v>
      </c>
      <c r="G2407" s="1" t="str">
        <f>IFERROR(__xludf.DUMMYFUNCTION("""COMPUTED_VALUE"""),"นายพีระพงษ์ แก้วดวงดี")</f>
        <v>นายพีระพงษ์ แก้วดวงดี</v>
      </c>
      <c r="H2407" s="1" t="str">
        <f>IFERROR(__xludf.DUMMYFUNCTION("""COMPUTED_VALUE"""),"296868")</f>
        <v>296868</v>
      </c>
      <c r="I2407" s="1" t="str">
        <f>IFERROR(__xludf.DUMMYFUNCTION("""COMPUTED_VALUE"""),"นายพีระพงษ์ แก้วดวงดี")</f>
        <v>นายพีระพงษ์ แก้วดวงดี</v>
      </c>
      <c r="J2407" s="3">
        <f>IFERROR(__xludf.DUMMYFUNCTION("""COMPUTED_VALUE"""),295886.0)</f>
        <v>295886</v>
      </c>
      <c r="K2407" s="3" t="str">
        <f>IFERROR(__xludf.DUMMYFUNCTION("""COMPUTED_VALUE"""),"นายจิระพงษ์ โพธิ์นิล")</f>
        <v>นายจิระพงษ์ โพธิ์นิล</v>
      </c>
      <c r="L2407" s="1" t="str">
        <f>IFERROR(__xludf.DUMMYFUNCTION("""COMPUTED_VALUE"""),"นายจิระพงษ์ โพธิ์นิล")</f>
        <v>นายจิระพงษ์ โพธิ์นิล</v>
      </c>
      <c r="M2407" s="1" t="str">
        <f>IFERROR(__xludf.DUMMYFUNCTION("""COMPUTED_VALUE"""),"0933290754")</f>
        <v>0933290754</v>
      </c>
      <c r="N2407" s="3">
        <f>IFERROR(__xludf.DUMMYFUNCTION("""COMPUTED_VALUE"""),83065.0)</f>
        <v>83065</v>
      </c>
      <c r="O2407" s="3" t="str">
        <f>IFERROR(__xludf.DUMMYFUNCTION("""COMPUTED_VALUE"""),"ร้านลูกเกษตร")</f>
        <v>ร้านลูกเกษตร</v>
      </c>
      <c r="P2407" s="4">
        <f>IFERROR(__xludf.DUMMYFUNCTION("""COMPUTED_VALUE"""),44530.0)</f>
        <v>44530</v>
      </c>
      <c r="Q2407" s="3" t="str">
        <f>IFERROR(__xludf.DUMMYFUNCTION("""COMPUTED_VALUE"""),"I")</f>
        <v>I</v>
      </c>
      <c r="R2407" s="3" t="str">
        <f>IFERROR(__xludf.DUMMYFUNCTION("""COMPUTED_VALUE"""),"Small Format")</f>
        <v>Small Format</v>
      </c>
      <c r="S2407" s="3" t="str">
        <f>IFERROR(__xludf.DUMMYFUNCTION("""COMPUTED_VALUE"""),"Donjai")</f>
        <v>Donjai</v>
      </c>
      <c r="T2407" s="3" t="str">
        <f>IFERROR(__xludf.DUMMYFUNCTION("""COMPUTED_VALUE"""),"03 K.Peerapong K.")</f>
        <v>03 K.Peerapong K.</v>
      </c>
      <c r="U2407" s="3" t="str">
        <f>IFERROR(__xludf.DUMMYFUNCTION("""COMPUTED_VALUE"""),"03 K.Peerapong K.")</f>
        <v>03 K.Peerapong K.</v>
      </c>
      <c r="V2407" s="3" t="str">
        <f>IFERROR(__xludf.DUMMYFUNCTION("""COMPUTED_VALUE"""),"N")</f>
        <v>N</v>
      </c>
      <c r="W2407" s="3"/>
      <c r="X2407" s="3" t="str">
        <f>IFERROR(__xludf.DUMMYFUNCTION("""COMPUTED_VALUE"""),"51/1 หมู่ 16บ้านเนินบ่อทอง ต.รามราช อ.ท่าอุเทน จ.นครพนม 48120")</f>
        <v>51/1 หมู่ 16บ้านเนินบ่อทอง ต.รามราช อ.ท่าอุเทน จ.นครพนม 48120</v>
      </c>
      <c r="Y2407" s="3"/>
      <c r="Z2407" s="3">
        <f>IFERROR(__xludf.DUMMYFUNCTION("""COMPUTED_VALUE"""),0.0)</f>
        <v>0</v>
      </c>
      <c r="AA2407" s="3">
        <f>IFERROR(__xludf.DUMMYFUNCTION("""COMPUTED_VALUE"""),0.0)</f>
        <v>0</v>
      </c>
      <c r="AB2407" s="3" t="str">
        <f>IFERROR(__xludf.DUMMYFUNCTION("""COMPUTED_VALUE"""),"นครพนม")</f>
        <v>นครพนม</v>
      </c>
      <c r="AC2407" s="3">
        <f>IFERROR(__xludf.DUMMYFUNCTION("""COMPUTED_VALUE"""),48120.0)</f>
        <v>48120</v>
      </c>
      <c r="AD2407" s="3"/>
      <c r="AE2407" s="3"/>
      <c r="AF2407" s="3" t="str">
        <f>IFERROR(__xludf.DUMMYFUNCTION("""COMPUTED_VALUE"""),"ร้านลูกเกษตร-83065")</f>
        <v>ร้านลูกเกษตร-83065</v>
      </c>
      <c r="AG2407" s="3" t="str">
        <f>IFERROR(__xludf.DUMMYFUNCTION("""COMPUTED_VALUE"""),"ตะวันออกเฉียงเหนือ")</f>
        <v>ตะวันออกเฉียงเหนือ</v>
      </c>
      <c r="AH2407" s="3" t="str">
        <f>IFERROR(__xludf.DUMMYFUNCTION("""COMPUTED_VALUE"""),"#N/A")</f>
        <v>#N/A</v>
      </c>
      <c r="AI2407" s="3" t="str">
        <f>IFERROR(__xludf.DUMMYFUNCTION("""COMPUTED_VALUE"""),"Out of warranty")</f>
        <v>Out of warranty</v>
      </c>
      <c r="AJ2407" s="3">
        <f>IFERROR(__xludf.DUMMYFUNCTION("""COMPUTED_VALUE"""),50.0)</f>
        <v>50</v>
      </c>
      <c r="AK2407" s="3"/>
      <c r="AL2407" s="3"/>
    </row>
    <row r="2408" ht="15.75" customHeight="1">
      <c r="A2408" s="1" t="str">
        <f>IFERROR(__xludf.DUMMYFUNCTION("""COMPUTED_VALUE"""),"83066")</f>
        <v>83066</v>
      </c>
      <c r="B2408" s="2">
        <f>IFERROR(__xludf.DUMMYFUNCTION("""COMPUTED_VALUE"""),83066.0)</f>
        <v>83066</v>
      </c>
      <c r="C2408" s="3" t="str">
        <f>IFERROR(__xludf.DUMMYFUNCTION("""COMPUTED_VALUE"""),"ร้านโชคอำนวย")</f>
        <v>ร้านโชคอำนวย</v>
      </c>
      <c r="D2408" s="3" t="str">
        <f>IFERROR(__xludf.DUMMYFUNCTION("""COMPUTED_VALUE"""),"ร้านโชคอำนวย")</f>
        <v>ร้านโชคอำนวย</v>
      </c>
      <c r="E2408" s="1" t="str">
        <f>IFERROR(__xludf.DUMMYFUNCTION("""COMPUTED_VALUE"""),"Donjai")</f>
        <v>Donjai</v>
      </c>
      <c r="F2408" s="1" t="str">
        <f>IFERROR(__xludf.DUMMYFUNCTION("""COMPUTED_VALUE"""),"046214")</f>
        <v>046214</v>
      </c>
      <c r="G2408" s="1" t="str">
        <f>IFERROR(__xludf.DUMMYFUNCTION("""COMPUTED_VALUE"""),"นายศักดิ์ชัย เด็ดดอกฟ้า")</f>
        <v>นายศักดิ์ชัย เด็ดดอกฟ้า</v>
      </c>
      <c r="H2408" s="1" t="str">
        <f>IFERROR(__xludf.DUMMYFUNCTION("""COMPUTED_VALUE"""),"046214")</f>
        <v>046214</v>
      </c>
      <c r="I2408" s="1" t="str">
        <f>IFERROR(__xludf.DUMMYFUNCTION("""COMPUTED_VALUE"""),"นายศักดิ์ชัย เด็ดดอกฟ้า")</f>
        <v>นายศักดิ์ชัย เด็ดดอกฟ้า</v>
      </c>
      <c r="J2408" s="3">
        <f>IFERROR(__xludf.DUMMYFUNCTION("""COMPUTED_VALUE"""),295886.0)</f>
        <v>295886</v>
      </c>
      <c r="K2408" s="3" t="str">
        <f>IFERROR(__xludf.DUMMYFUNCTION("""COMPUTED_VALUE"""),"นายจิระพงษ์ โพธิ์นิล")</f>
        <v>นายจิระพงษ์ โพธิ์นิล</v>
      </c>
      <c r="L2408" s="1" t="str">
        <f>IFERROR(__xludf.DUMMYFUNCTION("""COMPUTED_VALUE"""),"นายจิระพงษ์ โพธิ์นิล")</f>
        <v>นายจิระพงษ์ โพธิ์นิล</v>
      </c>
      <c r="M2408" s="1" t="str">
        <f>IFERROR(__xludf.DUMMYFUNCTION("""COMPUTED_VALUE"""),"0933290754")</f>
        <v>0933290754</v>
      </c>
      <c r="N2408" s="3">
        <f>IFERROR(__xludf.DUMMYFUNCTION("""COMPUTED_VALUE"""),83066.0)</f>
        <v>83066</v>
      </c>
      <c r="O2408" s="3" t="str">
        <f>IFERROR(__xludf.DUMMYFUNCTION("""COMPUTED_VALUE"""),"ร้านโชคอำนวย")</f>
        <v>ร้านโชคอำนวย</v>
      </c>
      <c r="P2408" s="4">
        <f>IFERROR(__xludf.DUMMYFUNCTION("""COMPUTED_VALUE"""),44529.0)</f>
        <v>44529</v>
      </c>
      <c r="Q2408" s="3" t="str">
        <f>IFERROR(__xludf.DUMMYFUNCTION("""COMPUTED_VALUE"""),"A")</f>
        <v>A</v>
      </c>
      <c r="R2408" s="3" t="str">
        <f>IFERROR(__xludf.DUMMYFUNCTION("""COMPUTED_VALUE"""),"Small Format")</f>
        <v>Small Format</v>
      </c>
      <c r="S2408" s="3" t="str">
        <f>IFERROR(__xludf.DUMMYFUNCTION("""COMPUTED_VALUE"""),"Donjai")</f>
        <v>Donjai</v>
      </c>
      <c r="T2408" s="3" t="str">
        <f>IFERROR(__xludf.DUMMYFUNCTION("""COMPUTED_VALUE"""),"02 K.Sakchai D")</f>
        <v>02 K.Sakchai D</v>
      </c>
      <c r="U2408" s="3" t="str">
        <f>IFERROR(__xludf.DUMMYFUNCTION("""COMPUTED_VALUE"""),"02 K.Sakchai D")</f>
        <v>02 K.Sakchai D</v>
      </c>
      <c r="V2408" s="3" t="str">
        <f>IFERROR(__xludf.DUMMYFUNCTION("""COMPUTED_VALUE"""),"N")</f>
        <v>N</v>
      </c>
      <c r="W2408" s="3"/>
      <c r="X2408" s="3" t="str">
        <f>IFERROR(__xludf.DUMMYFUNCTION("""COMPUTED_VALUE"""),"36/7 ม.4 ถ.สิงหวัฒน์ ต.พลายชุมพล อ.เมือง จ.พิษณุโลก 65000")</f>
        <v>36/7 ม.4 ถ.สิงหวัฒน์ ต.พลายชุมพล อ.เมือง จ.พิษณุโลก 65000</v>
      </c>
      <c r="Y2408" s="3"/>
      <c r="Z2408" s="3">
        <f>IFERROR(__xludf.DUMMYFUNCTION("""COMPUTED_VALUE"""),0.0)</f>
        <v>0</v>
      </c>
      <c r="AA2408" s="3">
        <f>IFERROR(__xludf.DUMMYFUNCTION("""COMPUTED_VALUE"""),0.0)</f>
        <v>0</v>
      </c>
      <c r="AB2408" s="3" t="str">
        <f>IFERROR(__xludf.DUMMYFUNCTION("""COMPUTED_VALUE"""),"พิษณุโลก")</f>
        <v>พิษณุโลก</v>
      </c>
      <c r="AC2408" s="3">
        <f>IFERROR(__xludf.DUMMYFUNCTION("""COMPUTED_VALUE"""),65000.0)</f>
        <v>65000</v>
      </c>
      <c r="AD2408" s="3"/>
      <c r="AE2408" s="3"/>
      <c r="AF2408" s="3" t="str">
        <f>IFERROR(__xludf.DUMMYFUNCTION("""COMPUTED_VALUE"""),"ร้านโชคอำนวย-83066")</f>
        <v>ร้านโชคอำนวย-83066</v>
      </c>
      <c r="AG2408" s="3" t="str">
        <f>IFERROR(__xludf.DUMMYFUNCTION("""COMPUTED_VALUE"""),"กลาง")</f>
        <v>กลาง</v>
      </c>
      <c r="AH2408" s="3" t="str">
        <f>IFERROR(__xludf.DUMMYFUNCTION("""COMPUTED_VALUE"""),"#N/A")</f>
        <v>#N/A</v>
      </c>
      <c r="AI2408" s="3" t="str">
        <f>IFERROR(__xludf.DUMMYFUNCTION("""COMPUTED_VALUE"""),"Out of warranty")</f>
        <v>Out of warranty</v>
      </c>
      <c r="AJ2408" s="3">
        <f>IFERROR(__xludf.DUMMYFUNCTION("""COMPUTED_VALUE"""),50.0)</f>
        <v>50</v>
      </c>
      <c r="AK2408" s="3"/>
      <c r="AL2408" s="3"/>
    </row>
    <row r="2409" ht="15.75" customHeight="1">
      <c r="A2409" s="1" t="str">
        <f>IFERROR(__xludf.DUMMYFUNCTION("""COMPUTED_VALUE"""),"83067")</f>
        <v>83067</v>
      </c>
      <c r="B2409" s="2">
        <f>IFERROR(__xludf.DUMMYFUNCTION("""COMPUTED_VALUE"""),83067.0)</f>
        <v>83067</v>
      </c>
      <c r="C2409" s="3" t="str">
        <f>IFERROR(__xludf.DUMMYFUNCTION("""COMPUTED_VALUE"""),"ร้านกันตพงษ์ การค้า")</f>
        <v>ร้านกันตพงษ์ การค้า</v>
      </c>
      <c r="D2409" s="3" t="str">
        <f>IFERROR(__xludf.DUMMYFUNCTION("""COMPUTED_VALUE"""),"ร้านกันตพงษ์ การค้า")</f>
        <v>ร้านกันตพงษ์ การค้า</v>
      </c>
      <c r="E2409" s="1" t="str">
        <f>IFERROR(__xludf.DUMMYFUNCTION("""COMPUTED_VALUE"""),"Donjai")</f>
        <v>Donjai</v>
      </c>
      <c r="F2409" s="1" t="str">
        <f>IFERROR(__xludf.DUMMYFUNCTION("""COMPUTED_VALUE"""),"20470331")</f>
        <v>20470331</v>
      </c>
      <c r="G2409" s="1" t="str">
        <f>IFERROR(__xludf.DUMMYFUNCTION("""COMPUTED_VALUE"""),"นายสมชาย ลักษณะสุวรรณ")</f>
        <v>นายสมชาย ลักษณะสุวรรณ</v>
      </c>
      <c r="H2409" s="1" t="str">
        <f>IFERROR(__xludf.DUMMYFUNCTION("""COMPUTED_VALUE"""),"20470331")</f>
        <v>20470331</v>
      </c>
      <c r="I2409" s="1" t="str">
        <f>IFERROR(__xludf.DUMMYFUNCTION("""COMPUTED_VALUE"""),"นายสมชาย ลักษณะสุวรรณ")</f>
        <v>นายสมชาย ลักษณะสุวรรณ</v>
      </c>
      <c r="J2409" s="3">
        <f>IFERROR(__xludf.DUMMYFUNCTION("""COMPUTED_VALUE"""),295541.0)</f>
        <v>295541</v>
      </c>
      <c r="K2409" s="3" t="str">
        <f>IFERROR(__xludf.DUMMYFUNCTION("""COMPUTED_VALUE"""),"นายรพิพล ศรีมาตย์")</f>
        <v>นายรพิพล ศรีมาตย์</v>
      </c>
      <c r="L2409" s="1" t="str">
        <f>IFERROR(__xludf.DUMMYFUNCTION("""COMPUTED_VALUE"""),"นายรพิพล ศรีมาตย์")</f>
        <v>นายรพิพล ศรีมาตย์</v>
      </c>
      <c r="M2409" s="1" t="str">
        <f>IFERROR(__xludf.DUMMYFUNCTION("""COMPUTED_VALUE"""),"0613966115")</f>
        <v>0613966115</v>
      </c>
      <c r="N2409" s="3">
        <f>IFERROR(__xludf.DUMMYFUNCTION("""COMPUTED_VALUE"""),83067.0)</f>
        <v>83067</v>
      </c>
      <c r="O2409" s="3" t="str">
        <f>IFERROR(__xludf.DUMMYFUNCTION("""COMPUTED_VALUE"""),"ร้านกันตพงษ์ การค้า")</f>
        <v>ร้านกันตพงษ์ การค้า</v>
      </c>
      <c r="P2409" s="4">
        <f>IFERROR(__xludf.DUMMYFUNCTION("""COMPUTED_VALUE"""),44517.0)</f>
        <v>44517</v>
      </c>
      <c r="Q2409" s="3" t="str">
        <f>IFERROR(__xludf.DUMMYFUNCTION("""COMPUTED_VALUE"""),"I")</f>
        <v>I</v>
      </c>
      <c r="R2409" s="3" t="str">
        <f>IFERROR(__xludf.DUMMYFUNCTION("""COMPUTED_VALUE"""),"Small Format")</f>
        <v>Small Format</v>
      </c>
      <c r="S2409" s="3" t="str">
        <f>IFERROR(__xludf.DUMMYFUNCTION("""COMPUTED_VALUE"""),"Donjai")</f>
        <v>Donjai</v>
      </c>
      <c r="T2409" s="3" t="str">
        <f>IFERROR(__xludf.DUMMYFUNCTION("""COMPUTED_VALUE"""),"15 K.Somchai L")</f>
        <v>15 K.Somchai L</v>
      </c>
      <c r="U2409" s="3" t="str">
        <f>IFERROR(__xludf.DUMMYFUNCTION("""COMPUTED_VALUE"""),"15 K.Somchai L")</f>
        <v>15 K.Somchai L</v>
      </c>
      <c r="V2409" s="3" t="str">
        <f>IFERROR(__xludf.DUMMYFUNCTION("""COMPUTED_VALUE"""),"N")</f>
        <v>N</v>
      </c>
      <c r="W2409" s="3"/>
      <c r="X2409" s="3" t="str">
        <f>IFERROR(__xludf.DUMMYFUNCTION("""COMPUTED_VALUE"""),"278/2 ม.4 ต.น้ำน้อย อ.หาดใหญ่ จ.สงขลา 90110")</f>
        <v>278/2 ม.4 ต.น้ำน้อย อ.หาดใหญ่ จ.สงขลา 90110</v>
      </c>
      <c r="Y2409" s="3"/>
      <c r="Z2409" s="3">
        <f>IFERROR(__xludf.DUMMYFUNCTION("""COMPUTED_VALUE"""),0.0)</f>
        <v>0</v>
      </c>
      <c r="AA2409" s="3">
        <f>IFERROR(__xludf.DUMMYFUNCTION("""COMPUTED_VALUE"""),0.0)</f>
        <v>0</v>
      </c>
      <c r="AB2409" s="3" t="str">
        <f>IFERROR(__xludf.DUMMYFUNCTION("""COMPUTED_VALUE"""),"สงขลา")</f>
        <v>สงขลา</v>
      </c>
      <c r="AC2409" s="3">
        <f>IFERROR(__xludf.DUMMYFUNCTION("""COMPUTED_VALUE"""),90110.0)</f>
        <v>90110</v>
      </c>
      <c r="AD2409" s="3"/>
      <c r="AE2409" s="3"/>
      <c r="AF2409" s="3" t="str">
        <f>IFERROR(__xludf.DUMMYFUNCTION("""COMPUTED_VALUE"""),"ร้านกันตพงษ์ การค้า-83067")</f>
        <v>ร้านกันตพงษ์ การค้า-83067</v>
      </c>
      <c r="AG2409" s="3" t="str">
        <f>IFERROR(__xludf.DUMMYFUNCTION("""COMPUTED_VALUE"""),"ใต้")</f>
        <v>ใต้</v>
      </c>
      <c r="AH2409" s="3" t="str">
        <f>IFERROR(__xludf.DUMMYFUNCTION("""COMPUTED_VALUE"""),"#N/A")</f>
        <v>#N/A</v>
      </c>
      <c r="AI2409" s="3" t="str">
        <f>IFERROR(__xludf.DUMMYFUNCTION("""COMPUTED_VALUE"""),"Out of warranty")</f>
        <v>Out of warranty</v>
      </c>
      <c r="AJ2409" s="3">
        <f>IFERROR(__xludf.DUMMYFUNCTION("""COMPUTED_VALUE"""),51.0)</f>
        <v>51</v>
      </c>
      <c r="AK2409" s="3"/>
      <c r="AL2409" s="3"/>
    </row>
    <row r="2410" ht="15.75" customHeight="1">
      <c r="A2410" s="1" t="str">
        <f>IFERROR(__xludf.DUMMYFUNCTION("""COMPUTED_VALUE"""),"83069")</f>
        <v>83069</v>
      </c>
      <c r="B2410" s="2">
        <f>IFERROR(__xludf.DUMMYFUNCTION("""COMPUTED_VALUE"""),83069.0)</f>
        <v>83069</v>
      </c>
      <c r="C2410" s="3" t="str">
        <f>IFERROR(__xludf.DUMMYFUNCTION("""COMPUTED_VALUE"""),"ร้านเกียรติการค้า")</f>
        <v>ร้านเกียรติการค้า</v>
      </c>
      <c r="D2410" s="3" t="str">
        <f>IFERROR(__xludf.DUMMYFUNCTION("""COMPUTED_VALUE"""),"ร้านเกียรติการค้า")</f>
        <v>ร้านเกียรติการค้า</v>
      </c>
      <c r="E2410" s="1" t="str">
        <f>IFERROR(__xludf.DUMMYFUNCTION("""COMPUTED_VALUE"""),"Donjai")</f>
        <v>Donjai</v>
      </c>
      <c r="F2410" s="1" t="str">
        <f>IFERROR(__xludf.DUMMYFUNCTION("""COMPUTED_VALUE"""),"2010016")</f>
        <v>2010016</v>
      </c>
      <c r="G2410" s="1" t="str">
        <f>IFERROR(__xludf.DUMMYFUNCTION("""COMPUTED_VALUE"""),"นายตวงธรรม ใหม่ยศ")</f>
        <v>นายตวงธรรม ใหม่ยศ</v>
      </c>
      <c r="H2410" s="1" t="str">
        <f>IFERROR(__xludf.DUMMYFUNCTION("""COMPUTED_VALUE"""),"2010016")</f>
        <v>2010016</v>
      </c>
      <c r="I2410" s="1" t="str">
        <f>IFERROR(__xludf.DUMMYFUNCTION("""COMPUTED_VALUE"""),"นายตวงธรรม ใหม่ยศ")</f>
        <v>นายตวงธรรม ใหม่ยศ</v>
      </c>
      <c r="J2410" s="3">
        <f>IFERROR(__xludf.DUMMYFUNCTION("""COMPUTED_VALUE"""),295886.0)</f>
        <v>295886</v>
      </c>
      <c r="K2410" s="3" t="str">
        <f>IFERROR(__xludf.DUMMYFUNCTION("""COMPUTED_VALUE"""),"นายจิระพงษ์ โพธิ์นิล")</f>
        <v>นายจิระพงษ์ โพธิ์นิล</v>
      </c>
      <c r="L2410" s="1" t="str">
        <f>IFERROR(__xludf.DUMMYFUNCTION("""COMPUTED_VALUE"""),"นายจิระพงษ์ โพธิ์นิล")</f>
        <v>นายจิระพงษ์ โพธิ์นิล</v>
      </c>
      <c r="M2410" s="3">
        <f>IFERROR(__xludf.DUMMYFUNCTION("""COMPUTED_VALUE"""),9.33290754E8)</f>
        <v>933290754</v>
      </c>
      <c r="N2410" s="3">
        <f>IFERROR(__xludf.DUMMYFUNCTION("""COMPUTED_VALUE"""),83069.0)</f>
        <v>83069</v>
      </c>
      <c r="O2410" s="3" t="str">
        <f>IFERROR(__xludf.DUMMYFUNCTION("""COMPUTED_VALUE"""),"ร้านเกียรติการค้า")</f>
        <v>ร้านเกียรติการค้า</v>
      </c>
      <c r="P2410" s="4">
        <f>IFERROR(__xludf.DUMMYFUNCTION("""COMPUTED_VALUE"""),44526.0)</f>
        <v>44526</v>
      </c>
      <c r="Q2410" s="3" t="str">
        <f>IFERROR(__xludf.DUMMYFUNCTION("""COMPUTED_VALUE"""),"A")</f>
        <v>A</v>
      </c>
      <c r="R2410" s="3" t="str">
        <f>IFERROR(__xludf.DUMMYFUNCTION("""COMPUTED_VALUE"""),"Small Format")</f>
        <v>Small Format</v>
      </c>
      <c r="S2410" s="3" t="str">
        <f>IFERROR(__xludf.DUMMYFUNCTION("""COMPUTED_VALUE"""),"Donjai")</f>
        <v>Donjai</v>
      </c>
      <c r="T2410" s="3" t="str">
        <f>IFERROR(__xludf.DUMMYFUNCTION("""COMPUTED_VALUE"""),"01 K.Tuangtham M.")</f>
        <v>01 K.Tuangtham M.</v>
      </c>
      <c r="U2410" s="3" t="str">
        <f>IFERROR(__xludf.DUMMYFUNCTION("""COMPUTED_VALUE"""),"01 K.Tuangtham M.")</f>
        <v>01 K.Tuangtham M.</v>
      </c>
      <c r="V2410" s="3" t="str">
        <f>IFERROR(__xludf.DUMMYFUNCTION("""COMPUTED_VALUE"""),"N")</f>
        <v>N</v>
      </c>
      <c r="W2410" s="3"/>
      <c r="X2410" s="3" t="str">
        <f>IFERROR(__xludf.DUMMYFUNCTION("""COMPUTED_VALUE"""),"79 ม.4 ต.ดอยหล่อ อ.ดอยหล่อ จ.เชียงใหม่ 50160")</f>
        <v>79 ม.4 ต.ดอยหล่อ อ.ดอยหล่อ จ.เชียงใหม่ 50160</v>
      </c>
      <c r="Y2410" s="3"/>
      <c r="Z2410" s="3" t="str">
        <f>IFERROR(__xludf.DUMMYFUNCTION("""COMPUTED_VALUE"""),"ดอยหล่อ")</f>
        <v>ดอยหล่อ</v>
      </c>
      <c r="AA2410" s="3" t="str">
        <f>IFERROR(__xludf.DUMMYFUNCTION("""COMPUTED_VALUE"""),"ดอยหล่อ")</f>
        <v>ดอยหล่อ</v>
      </c>
      <c r="AB2410" s="3" t="str">
        <f>IFERROR(__xludf.DUMMYFUNCTION("""COMPUTED_VALUE"""),"เชียงใหม่")</f>
        <v>เชียงใหม่</v>
      </c>
      <c r="AC2410" s="3">
        <f>IFERROR(__xludf.DUMMYFUNCTION("""COMPUTED_VALUE"""),50160.0)</f>
        <v>50160</v>
      </c>
      <c r="AD2410" s="3"/>
      <c r="AE2410" s="3"/>
      <c r="AF2410" s="3" t="str">
        <f>IFERROR(__xludf.DUMMYFUNCTION("""COMPUTED_VALUE"""),"ร้านเกียรติการค้า-83069")</f>
        <v>ร้านเกียรติการค้า-83069</v>
      </c>
      <c r="AG2410" s="3" t="str">
        <f>IFERROR(__xludf.DUMMYFUNCTION("""COMPUTED_VALUE"""),"เหนือ")</f>
        <v>เหนือ</v>
      </c>
      <c r="AH2410" s="3" t="str">
        <f>IFERROR(__xludf.DUMMYFUNCTION("""COMPUTED_VALUE"""),"#N/A")</f>
        <v>#N/A</v>
      </c>
      <c r="AI2410" s="3" t="str">
        <f>IFERROR(__xludf.DUMMYFUNCTION("""COMPUTED_VALUE"""),"Out of warranty")</f>
        <v>Out of warranty</v>
      </c>
      <c r="AJ2410" s="3">
        <f>IFERROR(__xludf.DUMMYFUNCTION("""COMPUTED_VALUE"""),50.0)</f>
        <v>50</v>
      </c>
      <c r="AK2410" s="3"/>
      <c r="AL2410" s="3"/>
    </row>
    <row r="2411" ht="15.75" customHeight="1">
      <c r="A2411" s="1" t="str">
        <f>IFERROR(__xludf.DUMMYFUNCTION("""COMPUTED_VALUE"""),"83074")</f>
        <v>83074</v>
      </c>
      <c r="B2411" s="2">
        <f>IFERROR(__xludf.DUMMYFUNCTION("""COMPUTED_VALUE"""),83074.0)</f>
        <v>83074</v>
      </c>
      <c r="C2411" s="3" t="str">
        <f>IFERROR(__xludf.DUMMYFUNCTION("""COMPUTED_VALUE"""),"ร้านเจ้อ้อ")</f>
        <v>ร้านเจ้อ้อ</v>
      </c>
      <c r="D2411" s="3" t="str">
        <f>IFERROR(__xludf.DUMMYFUNCTION("""COMPUTED_VALUE"""),"ร้านเจ้อ้อ")</f>
        <v>ร้านเจ้อ้อ</v>
      </c>
      <c r="E2411" s="1" t="str">
        <f>IFERROR(__xludf.DUMMYFUNCTION("""COMPUTED_VALUE"""),"Donjai")</f>
        <v>Donjai</v>
      </c>
      <c r="F2411" s="1" t="str">
        <f>IFERROR(__xludf.DUMMYFUNCTION("""COMPUTED_VALUE"""),"296945")</f>
        <v>296945</v>
      </c>
      <c r="G2411" s="1" t="str">
        <f>IFERROR(__xludf.DUMMYFUNCTION("""COMPUTED_VALUE"""),"นายรักพงศ์ พงศ์พันธ์งาม")</f>
        <v>นายรักพงศ์ พงศ์พันธ์งาม</v>
      </c>
      <c r="H2411" s="1" t="str">
        <f>IFERROR(__xludf.DUMMYFUNCTION("""COMPUTED_VALUE"""),"296945")</f>
        <v>296945</v>
      </c>
      <c r="I2411" s="1" t="str">
        <f>IFERROR(__xludf.DUMMYFUNCTION("""COMPUTED_VALUE"""),"นายรักพงศ์ พงศ์พันธ์งาม")</f>
        <v>นายรักพงศ์ พงศ์พันธ์งาม</v>
      </c>
      <c r="J2411" s="3">
        <f>IFERROR(__xludf.DUMMYFUNCTION("""COMPUTED_VALUE"""),228031.0)</f>
        <v>228031</v>
      </c>
      <c r="K2411" s="3" t="str">
        <f>IFERROR(__xludf.DUMMYFUNCTION("""COMPUTED_VALUE"""),"นายธนพงษ์ วันหมัด")</f>
        <v>นายธนพงษ์ วันหมัด</v>
      </c>
      <c r="L2411" s="1" t="str">
        <f>IFERROR(__xludf.DUMMYFUNCTION("""COMPUTED_VALUE"""),"นายธนพงษ์ วันหมัด")</f>
        <v>นายธนพงษ์ วันหมัด</v>
      </c>
      <c r="M2411" s="3">
        <f>IFERROR(__xludf.DUMMYFUNCTION("""COMPUTED_VALUE"""),8.13716913E8)</f>
        <v>813716913</v>
      </c>
      <c r="N2411" s="3">
        <f>IFERROR(__xludf.DUMMYFUNCTION("""COMPUTED_VALUE"""),83074.0)</f>
        <v>83074</v>
      </c>
      <c r="O2411" s="3" t="str">
        <f>IFERROR(__xludf.DUMMYFUNCTION("""COMPUTED_VALUE"""),"ร้านเจ้อ้อ")</f>
        <v>ร้านเจ้อ้อ</v>
      </c>
      <c r="P2411" s="4">
        <f>IFERROR(__xludf.DUMMYFUNCTION("""COMPUTED_VALUE"""),44553.0)</f>
        <v>44553</v>
      </c>
      <c r="Q2411" s="3" t="str">
        <f>IFERROR(__xludf.DUMMYFUNCTION("""COMPUTED_VALUE"""),"I")</f>
        <v>I</v>
      </c>
      <c r="R2411" s="3" t="str">
        <f>IFERROR(__xludf.DUMMYFUNCTION("""COMPUTED_VALUE"""),"Small Format")</f>
        <v>Small Format</v>
      </c>
      <c r="S2411" s="3" t="str">
        <f>IFERROR(__xludf.DUMMYFUNCTION("""COMPUTED_VALUE"""),"Donjai")</f>
        <v>Donjai</v>
      </c>
      <c r="T2411" s="3">
        <f>IFERROR(__xludf.DUMMYFUNCTION("""COMPUTED_VALUE"""),0.0)</f>
        <v>0</v>
      </c>
      <c r="U2411" s="3">
        <f>IFERROR(__xludf.DUMMYFUNCTION("""COMPUTED_VALUE"""),0.0)</f>
        <v>0</v>
      </c>
      <c r="V2411" s="3" t="str">
        <f>IFERROR(__xludf.DUMMYFUNCTION("""COMPUTED_VALUE"""),"N")</f>
        <v>N</v>
      </c>
      <c r="W2411" s="3"/>
      <c r="X2411" s="3" t="str">
        <f>IFERROR(__xludf.DUMMYFUNCTION("""COMPUTED_VALUE"""),"430/251-253 มบ.เอื้ออาทร ต.ท่าตูม อ.ศรีมหาโพธิ์ จ.ปราจีนบุรี 25140")</f>
        <v>430/251-253 มบ.เอื้ออาทร ต.ท่าตูม อ.ศรีมหาโพธิ์ จ.ปราจีนบุรี 25140</v>
      </c>
      <c r="Y2411" s="3"/>
      <c r="Z2411" s="3">
        <f>IFERROR(__xludf.DUMMYFUNCTION("""COMPUTED_VALUE"""),0.0)</f>
        <v>0</v>
      </c>
      <c r="AA2411" s="3">
        <f>IFERROR(__xludf.DUMMYFUNCTION("""COMPUTED_VALUE"""),0.0)</f>
        <v>0</v>
      </c>
      <c r="AB2411" s="3" t="str">
        <f>IFERROR(__xludf.DUMMYFUNCTION("""COMPUTED_VALUE"""),"ปราจีนบุรี")</f>
        <v>ปราจีนบุรี</v>
      </c>
      <c r="AC2411" s="3">
        <f>IFERROR(__xludf.DUMMYFUNCTION("""COMPUTED_VALUE"""),25140.0)</f>
        <v>25140</v>
      </c>
      <c r="AD2411" s="3"/>
      <c r="AE2411" s="3"/>
      <c r="AF2411" s="3" t="str">
        <f>IFERROR(__xludf.DUMMYFUNCTION("""COMPUTED_VALUE"""),"ร้านเจ้อ้อ-83074")</f>
        <v>ร้านเจ้อ้อ-83074</v>
      </c>
      <c r="AG2411" s="3" t="str">
        <f>IFERROR(__xludf.DUMMYFUNCTION("""COMPUTED_VALUE"""),"ตะวันออก")</f>
        <v>ตะวันออก</v>
      </c>
      <c r="AH2411" s="3" t="str">
        <f>IFERROR(__xludf.DUMMYFUNCTION("""COMPUTED_VALUE"""),"#N/A")</f>
        <v>#N/A</v>
      </c>
      <c r="AI2411" s="3" t="str">
        <f>IFERROR(__xludf.DUMMYFUNCTION("""COMPUTED_VALUE"""),"Out of warranty")</f>
        <v>Out of warranty</v>
      </c>
      <c r="AJ2411" s="3">
        <f>IFERROR(__xludf.DUMMYFUNCTION("""COMPUTED_VALUE"""),49.0)</f>
        <v>49</v>
      </c>
      <c r="AK2411" s="3"/>
      <c r="AL2411" s="3"/>
    </row>
    <row r="2412" ht="15.75" customHeight="1">
      <c r="A2412" s="1" t="str">
        <f>IFERROR(__xludf.DUMMYFUNCTION("""COMPUTED_VALUE"""),"83077")</f>
        <v>83077</v>
      </c>
      <c r="B2412" s="2">
        <f>IFERROR(__xludf.DUMMYFUNCTION("""COMPUTED_VALUE"""),83077.0)</f>
        <v>83077</v>
      </c>
      <c r="C2412" s="3" t="str">
        <f>IFERROR(__xludf.DUMMYFUNCTION("""COMPUTED_VALUE"""),"ร้านแวดวงเกษตร")</f>
        <v>ร้านแวดวงเกษตร</v>
      </c>
      <c r="D2412" s="3" t="str">
        <f>IFERROR(__xludf.DUMMYFUNCTION("""COMPUTED_VALUE"""),"ร้านแวดวงเกษตร")</f>
        <v>ร้านแวดวงเกษตร</v>
      </c>
      <c r="E2412" s="1" t="str">
        <f>IFERROR(__xludf.DUMMYFUNCTION("""COMPUTED_VALUE"""),"Donjai")</f>
        <v>Donjai</v>
      </c>
      <c r="F2412" s="1" t="str">
        <f>IFERROR(__xludf.DUMMYFUNCTION("""COMPUTED_VALUE"""),"015361")</f>
        <v>015361</v>
      </c>
      <c r="G2412" s="1" t="str">
        <f>IFERROR(__xludf.DUMMYFUNCTION("""COMPUTED_VALUE"""),"นายสมบูรณ์ พรหมในเมือง")</f>
        <v>นายสมบูรณ์ พรหมในเมือง</v>
      </c>
      <c r="H2412" s="1" t="str">
        <f>IFERROR(__xludf.DUMMYFUNCTION("""COMPUTED_VALUE"""),"015361")</f>
        <v>015361</v>
      </c>
      <c r="I2412" s="1" t="str">
        <f>IFERROR(__xludf.DUMMYFUNCTION("""COMPUTED_VALUE"""),"นายสมบูรณ์ พรหมในเมือง")</f>
        <v>นายสมบูรณ์ พรหมในเมือง</v>
      </c>
      <c r="J2412" s="3">
        <f>IFERROR(__xludf.DUMMYFUNCTION("""COMPUTED_VALUE"""),295886.0)</f>
        <v>295886</v>
      </c>
      <c r="K2412" s="3" t="str">
        <f>IFERROR(__xludf.DUMMYFUNCTION("""COMPUTED_VALUE"""),"นายจิระพงษ์ โพธิ์นิล")</f>
        <v>นายจิระพงษ์ โพธิ์นิล</v>
      </c>
      <c r="L2412" s="1" t="str">
        <f>IFERROR(__xludf.DUMMYFUNCTION("""COMPUTED_VALUE"""),"นายจิระพงษ์ โพธิ์นิล")</f>
        <v>นายจิระพงษ์ โพธิ์นิล</v>
      </c>
      <c r="M2412" s="3">
        <f>IFERROR(__xludf.DUMMYFUNCTION("""COMPUTED_VALUE"""),9.33290754E8)</f>
        <v>933290754</v>
      </c>
      <c r="N2412" s="3">
        <f>IFERROR(__xludf.DUMMYFUNCTION("""COMPUTED_VALUE"""),83077.0)</f>
        <v>83077</v>
      </c>
      <c r="O2412" s="3" t="str">
        <f>IFERROR(__xludf.DUMMYFUNCTION("""COMPUTED_VALUE"""),"ร้านแวดวงเกษตร")</f>
        <v>ร้านแวดวงเกษตร</v>
      </c>
      <c r="P2412" s="4">
        <f>IFERROR(__xludf.DUMMYFUNCTION("""COMPUTED_VALUE"""),44531.0)</f>
        <v>44531</v>
      </c>
      <c r="Q2412" s="3" t="str">
        <f>IFERROR(__xludf.DUMMYFUNCTION("""COMPUTED_VALUE"""),"I")</f>
        <v>I</v>
      </c>
      <c r="R2412" s="3" t="str">
        <f>IFERROR(__xludf.DUMMYFUNCTION("""COMPUTED_VALUE"""),"Small Format")</f>
        <v>Small Format</v>
      </c>
      <c r="S2412" s="3" t="str">
        <f>IFERROR(__xludf.DUMMYFUNCTION("""COMPUTED_VALUE"""),"Donjai")</f>
        <v>Donjai</v>
      </c>
      <c r="T2412" s="3" t="str">
        <f>IFERROR(__xludf.DUMMYFUNCTION("""COMPUTED_VALUE"""),"04 K.Somboon P.")</f>
        <v>04 K.Somboon P.</v>
      </c>
      <c r="U2412" s="3" t="str">
        <f>IFERROR(__xludf.DUMMYFUNCTION("""COMPUTED_VALUE"""),"04 K.Somboon P.")</f>
        <v>04 K.Somboon P.</v>
      </c>
      <c r="V2412" s="3" t="str">
        <f>IFERROR(__xludf.DUMMYFUNCTION("""COMPUTED_VALUE"""),"N")</f>
        <v>N</v>
      </c>
      <c r="W2412" s="3"/>
      <c r="X2412" s="3" t="str">
        <f>IFERROR(__xludf.DUMMYFUNCTION("""COMPUTED_VALUE"""),"23 หมู่ 3 ต.สูงเนิน อ.สูงเนิน จ.นครราชสีมา")</f>
        <v>23 หมู่ 3 ต.สูงเนิน อ.สูงเนิน จ.นครราชสีมา</v>
      </c>
      <c r="Y2412" s="3"/>
      <c r="Z2412" s="3">
        <f>IFERROR(__xludf.DUMMYFUNCTION("""COMPUTED_VALUE"""),0.0)</f>
        <v>0</v>
      </c>
      <c r="AA2412" s="3">
        <f>IFERROR(__xludf.DUMMYFUNCTION("""COMPUTED_VALUE"""),0.0)</f>
        <v>0</v>
      </c>
      <c r="AB2412" s="3" t="str">
        <f>IFERROR(__xludf.DUMMYFUNCTION("""COMPUTED_VALUE"""),"นครราชสีมา")</f>
        <v>นครราชสีมา</v>
      </c>
      <c r="AC2412" s="3">
        <f>IFERROR(__xludf.DUMMYFUNCTION("""COMPUTED_VALUE"""),0.0)</f>
        <v>0</v>
      </c>
      <c r="AD2412" s="3"/>
      <c r="AE2412" s="3"/>
      <c r="AF2412" s="3" t="str">
        <f>IFERROR(__xludf.DUMMYFUNCTION("""COMPUTED_VALUE"""),"ร้านแวดวงเกษตร-83077")</f>
        <v>ร้านแวดวงเกษตร-83077</v>
      </c>
      <c r="AG2412" s="3" t="str">
        <f>IFERROR(__xludf.DUMMYFUNCTION("""COMPUTED_VALUE"""),"ตะวันออกเฉียงเหนือ")</f>
        <v>ตะวันออกเฉียงเหนือ</v>
      </c>
      <c r="AH2412" s="3" t="str">
        <f>IFERROR(__xludf.DUMMYFUNCTION("""COMPUTED_VALUE"""),"#N/A")</f>
        <v>#N/A</v>
      </c>
      <c r="AI2412" s="3" t="str">
        <f>IFERROR(__xludf.DUMMYFUNCTION("""COMPUTED_VALUE"""),"Out of warranty")</f>
        <v>Out of warranty</v>
      </c>
      <c r="AJ2412" s="3">
        <f>IFERROR(__xludf.DUMMYFUNCTION("""COMPUTED_VALUE"""),50.0)</f>
        <v>50</v>
      </c>
      <c r="AK2412" s="3"/>
      <c r="AL2412" s="3"/>
    </row>
    <row r="2413" ht="15.75" customHeight="1">
      <c r="A2413" s="1" t="str">
        <f>IFERROR(__xludf.DUMMYFUNCTION("""COMPUTED_VALUE"""),"83078")</f>
        <v>83078</v>
      </c>
      <c r="B2413" s="2">
        <f>IFERROR(__xludf.DUMMYFUNCTION("""COMPUTED_VALUE"""),83078.0)</f>
        <v>83078</v>
      </c>
      <c r="C2413" s="3" t="str">
        <f>IFERROR(__xludf.DUMMYFUNCTION("""COMPUTED_VALUE"""),"ร้านน้องกุ้ง")</f>
        <v>ร้านน้องกุ้ง</v>
      </c>
      <c r="D2413" s="3" t="str">
        <f>IFERROR(__xludf.DUMMYFUNCTION("""COMPUTED_VALUE"""),"ร้านน้องกุ้ง")</f>
        <v>ร้านน้องกุ้ง</v>
      </c>
      <c r="E2413" s="1" t="str">
        <f>IFERROR(__xludf.DUMMYFUNCTION("""COMPUTED_VALUE"""),"Donjai")</f>
        <v>Donjai</v>
      </c>
      <c r="F2413" s="1" t="str">
        <f>IFERROR(__xludf.DUMMYFUNCTION("""COMPUTED_VALUE"""),"025324")</f>
        <v>025324</v>
      </c>
      <c r="G2413" s="1" t="str">
        <f>IFERROR(__xludf.DUMMYFUNCTION("""COMPUTED_VALUE"""),"นายวิเชฎฐ์ ติรัตนะประคม")</f>
        <v>นายวิเชฎฐ์ ติรัตนะประคม</v>
      </c>
      <c r="H2413" s="1" t="str">
        <f>IFERROR(__xludf.DUMMYFUNCTION("""COMPUTED_VALUE"""),"025324")</f>
        <v>025324</v>
      </c>
      <c r="I2413" s="1" t="str">
        <f>IFERROR(__xludf.DUMMYFUNCTION("""COMPUTED_VALUE"""),"นายวิเชฎฐ์ ติรัตนะประคม")</f>
        <v>นายวิเชฎฐ์ ติรัตนะประคม</v>
      </c>
      <c r="J2413" s="3">
        <f>IFERROR(__xludf.DUMMYFUNCTION("""COMPUTED_VALUE"""),295541.0)</f>
        <v>295541</v>
      </c>
      <c r="K2413" s="3" t="str">
        <f>IFERROR(__xludf.DUMMYFUNCTION("""COMPUTED_VALUE"""),"นายรพิพล ศรีมาตย์")</f>
        <v>นายรพิพล ศรีมาตย์</v>
      </c>
      <c r="L2413" s="1" t="str">
        <f>IFERROR(__xludf.DUMMYFUNCTION("""COMPUTED_VALUE"""),"นายรพิพล ศรีมาตย์")</f>
        <v>นายรพิพล ศรีมาตย์</v>
      </c>
      <c r="M2413" s="3">
        <f>IFERROR(__xludf.DUMMYFUNCTION("""COMPUTED_VALUE"""),6.13966115E8)</f>
        <v>613966115</v>
      </c>
      <c r="N2413" s="3">
        <f>IFERROR(__xludf.DUMMYFUNCTION("""COMPUTED_VALUE"""),83078.0)</f>
        <v>83078</v>
      </c>
      <c r="O2413" s="3" t="str">
        <f>IFERROR(__xludf.DUMMYFUNCTION("""COMPUTED_VALUE"""),"ร้านน้องกุ้ง")</f>
        <v>ร้านน้องกุ้ง</v>
      </c>
      <c r="P2413" s="4">
        <f>IFERROR(__xludf.DUMMYFUNCTION("""COMPUTED_VALUE"""),44533.0)</f>
        <v>44533</v>
      </c>
      <c r="Q2413" s="3" t="str">
        <f>IFERROR(__xludf.DUMMYFUNCTION("""COMPUTED_VALUE"""),"A")</f>
        <v>A</v>
      </c>
      <c r="R2413" s="3" t="str">
        <f>IFERROR(__xludf.DUMMYFUNCTION("""COMPUTED_VALUE"""),"Small Format")</f>
        <v>Small Format</v>
      </c>
      <c r="S2413" s="3" t="str">
        <f>IFERROR(__xludf.DUMMYFUNCTION("""COMPUTED_VALUE"""),"Donjai")</f>
        <v>Donjai</v>
      </c>
      <c r="T2413" s="3" t="str">
        <f>IFERROR(__xludf.DUMMYFUNCTION("""COMPUTED_VALUE"""),"14 K.Wichet T.")</f>
        <v>14 K.Wichet T.</v>
      </c>
      <c r="U2413" s="3" t="str">
        <f>IFERROR(__xludf.DUMMYFUNCTION("""COMPUTED_VALUE"""),"14 K.Wichet T.")</f>
        <v>14 K.Wichet T.</v>
      </c>
      <c r="V2413" s="3" t="str">
        <f>IFERROR(__xludf.DUMMYFUNCTION("""COMPUTED_VALUE"""),"N")</f>
        <v>N</v>
      </c>
      <c r="W2413" s="3"/>
      <c r="X2413" s="3" t="str">
        <f>IFERROR(__xludf.DUMMYFUNCTION("""COMPUTED_VALUE"""),"43/3 ม.7 ต.เกาะพะงัน อ.เกาะพะงัน จ.สุราษฎร์ธานี 84280")</f>
        <v>43/3 ม.7 ต.เกาะพะงัน อ.เกาะพะงัน จ.สุราษฎร์ธานี 84280</v>
      </c>
      <c r="Y2413" s="3"/>
      <c r="Z2413" s="3">
        <f>IFERROR(__xludf.DUMMYFUNCTION("""COMPUTED_VALUE"""),0.0)</f>
        <v>0</v>
      </c>
      <c r="AA2413" s="3">
        <f>IFERROR(__xludf.DUMMYFUNCTION("""COMPUTED_VALUE"""),0.0)</f>
        <v>0</v>
      </c>
      <c r="AB2413" s="3" t="str">
        <f>IFERROR(__xludf.DUMMYFUNCTION("""COMPUTED_VALUE"""),"สุราษฎร์ธานี")</f>
        <v>สุราษฎร์ธานี</v>
      </c>
      <c r="AC2413" s="3">
        <f>IFERROR(__xludf.DUMMYFUNCTION("""COMPUTED_VALUE"""),84280.0)</f>
        <v>84280</v>
      </c>
      <c r="AD2413" s="3"/>
      <c r="AE2413" s="3"/>
      <c r="AF2413" s="3" t="str">
        <f>IFERROR(__xludf.DUMMYFUNCTION("""COMPUTED_VALUE"""),"ร้านน้องกุ้ง-83078")</f>
        <v>ร้านน้องกุ้ง-83078</v>
      </c>
      <c r="AG2413" s="3" t="str">
        <f>IFERROR(__xludf.DUMMYFUNCTION("""COMPUTED_VALUE"""),"ใต้")</f>
        <v>ใต้</v>
      </c>
      <c r="AH2413" s="3" t="str">
        <f>IFERROR(__xludf.DUMMYFUNCTION("""COMPUTED_VALUE"""),"#N/A")</f>
        <v>#N/A</v>
      </c>
      <c r="AI2413" s="3" t="str">
        <f>IFERROR(__xludf.DUMMYFUNCTION("""COMPUTED_VALUE"""),"Out of warranty")</f>
        <v>Out of warranty</v>
      </c>
      <c r="AJ2413" s="3">
        <f>IFERROR(__xludf.DUMMYFUNCTION("""COMPUTED_VALUE"""),50.0)</f>
        <v>50</v>
      </c>
      <c r="AK2413" s="3"/>
      <c r="AL2413" s="3"/>
    </row>
    <row r="2414" ht="15.75" customHeight="1">
      <c r="A2414" s="1" t="str">
        <f>IFERROR(__xludf.DUMMYFUNCTION("""COMPUTED_VALUE"""),"83079")</f>
        <v>83079</v>
      </c>
      <c r="B2414" s="2">
        <f>IFERROR(__xludf.DUMMYFUNCTION("""COMPUTED_VALUE"""),83079.0)</f>
        <v>83079</v>
      </c>
      <c r="C2414" s="3" t="str">
        <f>IFERROR(__xludf.DUMMYFUNCTION("""COMPUTED_VALUE"""),"ร้านบุญมาดี")</f>
        <v>ร้านบุญมาดี</v>
      </c>
      <c r="D2414" s="3" t="str">
        <f>IFERROR(__xludf.DUMMYFUNCTION("""COMPUTED_VALUE"""),"ร้านบุญมาดี")</f>
        <v>ร้านบุญมาดี</v>
      </c>
      <c r="E2414" s="1" t="str">
        <f>IFERROR(__xludf.DUMMYFUNCTION("""COMPUTED_VALUE"""),"Donjai")</f>
        <v>Donjai</v>
      </c>
      <c r="F2414" s="1" t="str">
        <f>IFERROR(__xludf.DUMMYFUNCTION("""COMPUTED_VALUE"""),"296608")</f>
        <v>296608</v>
      </c>
      <c r="G2414" s="1" t="str">
        <f>IFERROR(__xludf.DUMMYFUNCTION("""COMPUTED_VALUE"""),"นายภาคภูมิ เพ็ชรนิล")</f>
        <v>นายภาคภูมิ เพ็ชรนิล</v>
      </c>
      <c r="H2414" s="1" t="str">
        <f>IFERROR(__xludf.DUMMYFUNCTION("""COMPUTED_VALUE"""),"296608")</f>
        <v>296608</v>
      </c>
      <c r="I2414" s="1" t="str">
        <f>IFERROR(__xludf.DUMMYFUNCTION("""COMPUTED_VALUE"""),"นายภาคภูมิ เพ็ชรนิล")</f>
        <v>นายภาคภูมิ เพ็ชรนิล</v>
      </c>
      <c r="J2414" s="3">
        <f>IFERROR(__xludf.DUMMYFUNCTION("""COMPUTED_VALUE"""),228031.0)</f>
        <v>228031</v>
      </c>
      <c r="K2414" s="3" t="str">
        <f>IFERROR(__xludf.DUMMYFUNCTION("""COMPUTED_VALUE"""),"นายธนพงษ์ วันหมัด")</f>
        <v>นายธนพงษ์ วันหมัด</v>
      </c>
      <c r="L2414" s="1" t="str">
        <f>IFERROR(__xludf.DUMMYFUNCTION("""COMPUTED_VALUE"""),"นายธนพงษ์ วันหมัด")</f>
        <v>นายธนพงษ์ วันหมัด</v>
      </c>
      <c r="M2414" s="3">
        <f>IFERROR(__xludf.DUMMYFUNCTION("""COMPUTED_VALUE"""),8.13716913E8)</f>
        <v>813716913</v>
      </c>
      <c r="N2414" s="3">
        <f>IFERROR(__xludf.DUMMYFUNCTION("""COMPUTED_VALUE"""),83079.0)</f>
        <v>83079</v>
      </c>
      <c r="O2414" s="3" t="str">
        <f>IFERROR(__xludf.DUMMYFUNCTION("""COMPUTED_VALUE"""),"ร้านบุญมาดี")</f>
        <v>ร้านบุญมาดี</v>
      </c>
      <c r="P2414" s="4">
        <f>IFERROR(__xludf.DUMMYFUNCTION("""COMPUTED_VALUE"""),44536.0)</f>
        <v>44536</v>
      </c>
      <c r="Q2414" s="3" t="str">
        <f>IFERROR(__xludf.DUMMYFUNCTION("""COMPUTED_VALUE"""),"I")</f>
        <v>I</v>
      </c>
      <c r="R2414" s="3" t="str">
        <f>IFERROR(__xludf.DUMMYFUNCTION("""COMPUTED_VALUE"""),"Small Format")</f>
        <v>Small Format</v>
      </c>
      <c r="S2414" s="3" t="str">
        <f>IFERROR(__xludf.DUMMYFUNCTION("""COMPUTED_VALUE"""),"Donjai")</f>
        <v>Donjai</v>
      </c>
      <c r="T2414" s="3" t="str">
        <f>IFERROR(__xludf.DUMMYFUNCTION("""COMPUTED_VALUE"""),"10 K.Phakphoom P.")</f>
        <v>10 K.Phakphoom P.</v>
      </c>
      <c r="U2414" s="3" t="str">
        <f>IFERROR(__xludf.DUMMYFUNCTION("""COMPUTED_VALUE"""),"10 K.Phakphoom P.")</f>
        <v>10 K.Phakphoom P.</v>
      </c>
      <c r="V2414" s="3" t="str">
        <f>IFERROR(__xludf.DUMMYFUNCTION("""COMPUTED_VALUE"""),"N")</f>
        <v>N</v>
      </c>
      <c r="W2414" s="3"/>
      <c r="X2414" s="3" t="str">
        <f>IFERROR(__xludf.DUMMYFUNCTION("""COMPUTED_VALUE"""),"24/5 หมู่ 5 ต. ทุ่งน้อย อ.เมือง จ. นครปฐม 73000")</f>
        <v>24/5 หมู่ 5 ต. ทุ่งน้อย อ.เมือง จ. นครปฐม 73000</v>
      </c>
      <c r="Y2414" s="3"/>
      <c r="Z2414" s="3">
        <f>IFERROR(__xludf.DUMMYFUNCTION("""COMPUTED_VALUE"""),0.0)</f>
        <v>0</v>
      </c>
      <c r="AA2414" s="3">
        <f>IFERROR(__xludf.DUMMYFUNCTION("""COMPUTED_VALUE"""),0.0)</f>
        <v>0</v>
      </c>
      <c r="AB2414" s="3" t="str">
        <f>IFERROR(__xludf.DUMMYFUNCTION("""COMPUTED_VALUE"""),"นครปฐม")</f>
        <v>นครปฐม</v>
      </c>
      <c r="AC2414" s="3">
        <f>IFERROR(__xludf.DUMMYFUNCTION("""COMPUTED_VALUE"""),73000.0)</f>
        <v>73000</v>
      </c>
      <c r="AD2414" s="3"/>
      <c r="AE2414" s="3"/>
      <c r="AF2414" s="3" t="str">
        <f>IFERROR(__xludf.DUMMYFUNCTION("""COMPUTED_VALUE"""),"ร้านบุญมาดี-83079")</f>
        <v>ร้านบุญมาดี-83079</v>
      </c>
      <c r="AG2414" s="3" t="str">
        <f>IFERROR(__xludf.DUMMYFUNCTION("""COMPUTED_VALUE"""),"กลาง")</f>
        <v>กลาง</v>
      </c>
      <c r="AH2414" s="3" t="str">
        <f>IFERROR(__xludf.DUMMYFUNCTION("""COMPUTED_VALUE"""),"#N/A")</f>
        <v>#N/A</v>
      </c>
      <c r="AI2414" s="3" t="str">
        <f>IFERROR(__xludf.DUMMYFUNCTION("""COMPUTED_VALUE"""),"Out of warranty")</f>
        <v>Out of warranty</v>
      </c>
      <c r="AJ2414" s="3">
        <f>IFERROR(__xludf.DUMMYFUNCTION("""COMPUTED_VALUE"""),50.0)</f>
        <v>50</v>
      </c>
      <c r="AK2414" s="3"/>
      <c r="AL2414" s="3"/>
    </row>
    <row r="2415" ht="15.75" customHeight="1">
      <c r="A2415" s="1" t="str">
        <f>IFERROR(__xludf.DUMMYFUNCTION("""COMPUTED_VALUE"""),"83080")</f>
        <v>83080</v>
      </c>
      <c r="B2415" s="2">
        <f>IFERROR(__xludf.DUMMYFUNCTION("""COMPUTED_VALUE"""),83080.0)</f>
        <v>83080</v>
      </c>
      <c r="C2415" s="3" t="str">
        <f>IFERROR(__xludf.DUMMYFUNCTION("""COMPUTED_VALUE"""),"ร้านสมหมาย ห้วยขะยุง")</f>
        <v>ร้านสมหมาย ห้วยขะยุง</v>
      </c>
      <c r="D2415" s="3" t="str">
        <f>IFERROR(__xludf.DUMMYFUNCTION("""COMPUTED_VALUE"""),"ร้านสมหมาย ห้วยขะยุง")</f>
        <v>ร้านสมหมาย ห้วยขะยุง</v>
      </c>
      <c r="E2415" s="1" t="str">
        <f>IFERROR(__xludf.DUMMYFUNCTION("""COMPUTED_VALUE"""),"Donjai")</f>
        <v>Donjai</v>
      </c>
      <c r="F2415" s="1" t="str">
        <f>IFERROR(__xludf.DUMMYFUNCTION("""COMPUTED_VALUE"""),"2454781")</f>
        <v>2454781</v>
      </c>
      <c r="G2415" s="1" t="str">
        <f>IFERROR(__xludf.DUMMYFUNCTION("""COMPUTED_VALUE"""),"นายฌานกฤช นันทะโคต")</f>
        <v>นายฌานกฤช นันทะโคต</v>
      </c>
      <c r="H2415" s="1" t="str">
        <f>IFERROR(__xludf.DUMMYFUNCTION("""COMPUTED_VALUE"""),"2454781")</f>
        <v>2454781</v>
      </c>
      <c r="I2415" s="1" t="str">
        <f>IFERROR(__xludf.DUMMYFUNCTION("""COMPUTED_VALUE"""),"นายฌานกฤช นันทะโคต")</f>
        <v>นายฌานกฤช นันทะโคต</v>
      </c>
      <c r="J2415" s="3">
        <f>IFERROR(__xludf.DUMMYFUNCTION("""COMPUTED_VALUE"""),295886.0)</f>
        <v>295886</v>
      </c>
      <c r="K2415" s="3" t="str">
        <f>IFERROR(__xludf.DUMMYFUNCTION("""COMPUTED_VALUE"""),"นายจิระพงษ์ โพธิ์นิล")</f>
        <v>นายจิระพงษ์ โพธิ์นิล</v>
      </c>
      <c r="L2415" s="1" t="str">
        <f>IFERROR(__xludf.DUMMYFUNCTION("""COMPUTED_VALUE"""),"นายจิระพงษ์ โพธิ์นิล")</f>
        <v>นายจิระพงษ์ โพธิ์นิล</v>
      </c>
      <c r="M2415" s="3">
        <f>IFERROR(__xludf.DUMMYFUNCTION("""COMPUTED_VALUE"""),9.33290754E8)</f>
        <v>933290754</v>
      </c>
      <c r="N2415" s="3">
        <f>IFERROR(__xludf.DUMMYFUNCTION("""COMPUTED_VALUE"""),83080.0)</f>
        <v>83080</v>
      </c>
      <c r="O2415" s="3" t="str">
        <f>IFERROR(__xludf.DUMMYFUNCTION("""COMPUTED_VALUE"""),"ร้านสมหมาย ห้วยขะยุง")</f>
        <v>ร้านสมหมาย ห้วยขะยุง</v>
      </c>
      <c r="P2415" s="4">
        <f>IFERROR(__xludf.DUMMYFUNCTION("""COMPUTED_VALUE"""),44647.0)</f>
        <v>44647</v>
      </c>
      <c r="Q2415" s="3" t="str">
        <f>IFERROR(__xludf.DUMMYFUNCTION("""COMPUTED_VALUE"""),"A")</f>
        <v>A</v>
      </c>
      <c r="R2415" s="3" t="str">
        <f>IFERROR(__xludf.DUMMYFUNCTION("""COMPUTED_VALUE"""),"Small Format")</f>
        <v>Small Format</v>
      </c>
      <c r="S2415" s="3" t="str">
        <f>IFERROR(__xludf.DUMMYFUNCTION("""COMPUTED_VALUE"""),"Donjai")</f>
        <v>Donjai</v>
      </c>
      <c r="T2415" s="3" t="str">
        <f>IFERROR(__xludf.DUMMYFUNCTION("""COMPUTED_VALUE"""),"05 K.Chanakrit N.")</f>
        <v>05 K.Chanakrit N.</v>
      </c>
      <c r="U2415" s="3" t="str">
        <f>IFERROR(__xludf.DUMMYFUNCTION("""COMPUTED_VALUE"""),"05 K.Chanakrit N.")</f>
        <v>05 K.Chanakrit N.</v>
      </c>
      <c r="V2415" s="3" t="str">
        <f>IFERROR(__xludf.DUMMYFUNCTION("""COMPUTED_VALUE"""),"N")</f>
        <v>N</v>
      </c>
      <c r="W2415" s="3"/>
      <c r="X2415" s="3" t="str">
        <f>IFERROR(__xludf.DUMMYFUNCTION("""COMPUTED_VALUE"""),"97 ม.5 ถ.ไชยชุมพล ต.ห้วยขะยุง อ.วารินชำราบ จ.อุบลราชธานี 34310")</f>
        <v>97 ม.5 ถ.ไชยชุมพล ต.ห้วยขะยุง อ.วารินชำราบ จ.อุบลราชธานี 34310</v>
      </c>
      <c r="Y2415" s="3"/>
      <c r="Z2415" s="3">
        <f>IFERROR(__xludf.DUMMYFUNCTION("""COMPUTED_VALUE"""),0.0)</f>
        <v>0</v>
      </c>
      <c r="AA2415" s="3">
        <f>IFERROR(__xludf.DUMMYFUNCTION("""COMPUTED_VALUE"""),0.0)</f>
        <v>0</v>
      </c>
      <c r="AB2415" s="3" t="str">
        <f>IFERROR(__xludf.DUMMYFUNCTION("""COMPUTED_VALUE"""),"อุบลราชธานี")</f>
        <v>อุบลราชธานี</v>
      </c>
      <c r="AC2415" s="3">
        <f>IFERROR(__xludf.DUMMYFUNCTION("""COMPUTED_VALUE"""),34310.0)</f>
        <v>34310</v>
      </c>
      <c r="AD2415" s="3"/>
      <c r="AE2415" s="3"/>
      <c r="AF2415" s="3" t="str">
        <f>IFERROR(__xludf.DUMMYFUNCTION("""COMPUTED_VALUE"""),"ร้านสมหมาย ห้วยขะยุง-83080")</f>
        <v>ร้านสมหมาย ห้วยขะยุง-83080</v>
      </c>
      <c r="AG2415" s="3" t="str">
        <f>IFERROR(__xludf.DUMMYFUNCTION("""COMPUTED_VALUE"""),"ตะวันออกเฉียงเหนือ")</f>
        <v>ตะวันออกเฉียงเหนือ</v>
      </c>
      <c r="AH2415" s="3" t="str">
        <f>IFERROR(__xludf.DUMMYFUNCTION("""COMPUTED_VALUE"""),"#N/A")</f>
        <v>#N/A</v>
      </c>
      <c r="AI2415" s="3" t="str">
        <f>IFERROR(__xludf.DUMMYFUNCTION("""COMPUTED_VALUE"""),"Out of warranty")</f>
        <v>Out of warranty</v>
      </c>
      <c r="AJ2415" s="3">
        <f>IFERROR(__xludf.DUMMYFUNCTION("""COMPUTED_VALUE"""),46.0)</f>
        <v>46</v>
      </c>
      <c r="AK2415" s="3"/>
      <c r="AL2415" s="3"/>
    </row>
    <row r="2416" ht="15.75" customHeight="1">
      <c r="A2416" s="1" t="str">
        <f>IFERROR(__xludf.DUMMYFUNCTION("""COMPUTED_VALUE"""),"83082")</f>
        <v>83082</v>
      </c>
      <c r="B2416" s="2">
        <f>IFERROR(__xludf.DUMMYFUNCTION("""COMPUTED_VALUE"""),83082.0)</f>
        <v>83082</v>
      </c>
      <c r="C2416" s="3" t="str">
        <f>IFERROR(__xludf.DUMMYFUNCTION("""COMPUTED_VALUE"""),"ร้านโสภา เพชรเลิศ")</f>
        <v>ร้านโสภา เพชรเลิศ</v>
      </c>
      <c r="D2416" s="3" t="str">
        <f>IFERROR(__xludf.DUMMYFUNCTION("""COMPUTED_VALUE"""),"ร้านโสภา เพชรเลิศ")</f>
        <v>ร้านโสภา เพชรเลิศ</v>
      </c>
      <c r="E2416" s="1" t="str">
        <f>IFERROR(__xludf.DUMMYFUNCTION("""COMPUTED_VALUE"""),"Donjai")</f>
        <v>Donjai</v>
      </c>
      <c r="F2416" s="1" t="str">
        <f>IFERROR(__xludf.DUMMYFUNCTION("""COMPUTED_VALUE"""),"015361")</f>
        <v>015361</v>
      </c>
      <c r="G2416" s="1" t="str">
        <f>IFERROR(__xludf.DUMMYFUNCTION("""COMPUTED_VALUE"""),"นายสมบูรณ์ พรหมในเมือง")</f>
        <v>นายสมบูรณ์ พรหมในเมือง</v>
      </c>
      <c r="H2416" s="1" t="str">
        <f>IFERROR(__xludf.DUMMYFUNCTION("""COMPUTED_VALUE"""),"015361")</f>
        <v>015361</v>
      </c>
      <c r="I2416" s="1" t="str">
        <f>IFERROR(__xludf.DUMMYFUNCTION("""COMPUTED_VALUE"""),"นายสมบูรณ์ พรหมในเมือง")</f>
        <v>นายสมบูรณ์ พรหมในเมือง</v>
      </c>
      <c r="J2416" s="3">
        <f>IFERROR(__xludf.DUMMYFUNCTION("""COMPUTED_VALUE"""),295886.0)</f>
        <v>295886</v>
      </c>
      <c r="K2416" s="3" t="str">
        <f>IFERROR(__xludf.DUMMYFUNCTION("""COMPUTED_VALUE"""),"นายจิระพงษ์ โพธิ์นิล")</f>
        <v>นายจิระพงษ์ โพธิ์นิล</v>
      </c>
      <c r="L2416" s="1" t="str">
        <f>IFERROR(__xludf.DUMMYFUNCTION("""COMPUTED_VALUE"""),"นายจิระพงษ์ โพธิ์นิล")</f>
        <v>นายจิระพงษ์ โพธิ์นิล</v>
      </c>
      <c r="M2416" s="3">
        <f>IFERROR(__xludf.DUMMYFUNCTION("""COMPUTED_VALUE"""),9.33290754E8)</f>
        <v>933290754</v>
      </c>
      <c r="N2416" s="3">
        <f>IFERROR(__xludf.DUMMYFUNCTION("""COMPUTED_VALUE"""),83082.0)</f>
        <v>83082</v>
      </c>
      <c r="O2416" s="3" t="str">
        <f>IFERROR(__xludf.DUMMYFUNCTION("""COMPUTED_VALUE"""),"ร้านโสภา เพชรเลิศ")</f>
        <v>ร้านโสภา เพชรเลิศ</v>
      </c>
      <c r="P2416" s="4">
        <f>IFERROR(__xludf.DUMMYFUNCTION("""COMPUTED_VALUE"""),44534.0)</f>
        <v>44534</v>
      </c>
      <c r="Q2416" s="3" t="str">
        <f>IFERROR(__xludf.DUMMYFUNCTION("""COMPUTED_VALUE"""),"A")</f>
        <v>A</v>
      </c>
      <c r="R2416" s="3" t="str">
        <f>IFERROR(__xludf.DUMMYFUNCTION("""COMPUTED_VALUE"""),"Small Format")</f>
        <v>Small Format</v>
      </c>
      <c r="S2416" s="3" t="str">
        <f>IFERROR(__xludf.DUMMYFUNCTION("""COMPUTED_VALUE"""),"Donjai")</f>
        <v>Donjai</v>
      </c>
      <c r="T2416" s="3" t="str">
        <f>IFERROR(__xludf.DUMMYFUNCTION("""COMPUTED_VALUE"""),"04 K.Somboon P.")</f>
        <v>04 K.Somboon P.</v>
      </c>
      <c r="U2416" s="3" t="str">
        <f>IFERROR(__xludf.DUMMYFUNCTION("""COMPUTED_VALUE"""),"04 K.Somboon P.")</f>
        <v>04 K.Somboon P.</v>
      </c>
      <c r="V2416" s="3" t="str">
        <f>IFERROR(__xludf.DUMMYFUNCTION("""COMPUTED_VALUE"""),"N")</f>
        <v>N</v>
      </c>
      <c r="W2416" s="3"/>
      <c r="X2416" s="3" t="str">
        <f>IFERROR(__xludf.DUMMYFUNCTION("""COMPUTED_VALUE"""),"6 ต.ห้วนแคน อ.ห้วยแถลง จ.นครราชสีมา 30240")</f>
        <v>6 ต.ห้วนแคน อ.ห้วยแถลง จ.นครราชสีมา 30240</v>
      </c>
      <c r="Y2416" s="3"/>
      <c r="Z2416" s="3">
        <f>IFERROR(__xludf.DUMMYFUNCTION("""COMPUTED_VALUE"""),0.0)</f>
        <v>0</v>
      </c>
      <c r="AA2416" s="3">
        <f>IFERROR(__xludf.DUMMYFUNCTION("""COMPUTED_VALUE"""),0.0)</f>
        <v>0</v>
      </c>
      <c r="AB2416" s="3" t="str">
        <f>IFERROR(__xludf.DUMMYFUNCTION("""COMPUTED_VALUE"""),"นครราชสีมา")</f>
        <v>นครราชสีมา</v>
      </c>
      <c r="AC2416" s="3">
        <f>IFERROR(__xludf.DUMMYFUNCTION("""COMPUTED_VALUE"""),30240.0)</f>
        <v>30240</v>
      </c>
      <c r="AD2416" s="3"/>
      <c r="AE2416" s="3"/>
      <c r="AF2416" s="3" t="str">
        <f>IFERROR(__xludf.DUMMYFUNCTION("""COMPUTED_VALUE"""),"ร้านโสภา เพชรเลิศ-83082")</f>
        <v>ร้านโสภา เพชรเลิศ-83082</v>
      </c>
      <c r="AG2416" s="3" t="str">
        <f>IFERROR(__xludf.DUMMYFUNCTION("""COMPUTED_VALUE"""),"ตะวันออกเฉียงเหนือ")</f>
        <v>ตะวันออกเฉียงเหนือ</v>
      </c>
      <c r="AH2416" s="3" t="str">
        <f>IFERROR(__xludf.DUMMYFUNCTION("""COMPUTED_VALUE"""),"#N/A")</f>
        <v>#N/A</v>
      </c>
      <c r="AI2416" s="3" t="str">
        <f>IFERROR(__xludf.DUMMYFUNCTION("""COMPUTED_VALUE"""),"Out of warranty")</f>
        <v>Out of warranty</v>
      </c>
      <c r="AJ2416" s="3">
        <f>IFERROR(__xludf.DUMMYFUNCTION("""COMPUTED_VALUE"""),50.0)</f>
        <v>50</v>
      </c>
      <c r="AK2416" s="3"/>
      <c r="AL2416" s="3"/>
    </row>
    <row r="2417" ht="15.75" customHeight="1">
      <c r="A2417" s="1" t="str">
        <f>IFERROR(__xludf.DUMMYFUNCTION("""COMPUTED_VALUE"""),"83083")</f>
        <v>83083</v>
      </c>
      <c r="B2417" s="2">
        <f>IFERROR(__xludf.DUMMYFUNCTION("""COMPUTED_VALUE"""),83083.0)</f>
        <v>83083</v>
      </c>
      <c r="C2417" s="3" t="str">
        <f>IFERROR(__xludf.DUMMYFUNCTION("""COMPUTED_VALUE"""),"ร้านสมหวัง")</f>
        <v>ร้านสมหวัง</v>
      </c>
      <c r="D2417" s="3" t="str">
        <f>IFERROR(__xludf.DUMMYFUNCTION("""COMPUTED_VALUE"""),"ร้านสมหวัง")</f>
        <v>ร้านสมหวัง</v>
      </c>
      <c r="E2417" s="1" t="str">
        <f>IFERROR(__xludf.DUMMYFUNCTION("""COMPUTED_VALUE"""),"Donjai")</f>
        <v>Donjai</v>
      </c>
      <c r="F2417" s="1" t="str">
        <f>IFERROR(__xludf.DUMMYFUNCTION("""COMPUTED_VALUE"""),"296608")</f>
        <v>296608</v>
      </c>
      <c r="G2417" s="1" t="str">
        <f>IFERROR(__xludf.DUMMYFUNCTION("""COMPUTED_VALUE"""),"นายภาคภูมิ เพ็ชรนิล")</f>
        <v>นายภาคภูมิ เพ็ชรนิล</v>
      </c>
      <c r="H2417" s="1" t="str">
        <f>IFERROR(__xludf.DUMMYFUNCTION("""COMPUTED_VALUE"""),"296608")</f>
        <v>296608</v>
      </c>
      <c r="I2417" s="1" t="str">
        <f>IFERROR(__xludf.DUMMYFUNCTION("""COMPUTED_VALUE"""),"นายภาคภูมิ เพ็ชรนิล")</f>
        <v>นายภาคภูมิ เพ็ชรนิล</v>
      </c>
      <c r="J2417" s="3">
        <f>IFERROR(__xludf.DUMMYFUNCTION("""COMPUTED_VALUE"""),228031.0)</f>
        <v>228031</v>
      </c>
      <c r="K2417" s="3" t="str">
        <f>IFERROR(__xludf.DUMMYFUNCTION("""COMPUTED_VALUE"""),"นายธนพงษ์ วันหมัด")</f>
        <v>นายธนพงษ์ วันหมัด</v>
      </c>
      <c r="L2417" s="1" t="str">
        <f>IFERROR(__xludf.DUMMYFUNCTION("""COMPUTED_VALUE"""),"นายธนพงษ์ วันหมัด")</f>
        <v>นายธนพงษ์ วันหมัด</v>
      </c>
      <c r="M2417" s="3">
        <f>IFERROR(__xludf.DUMMYFUNCTION("""COMPUTED_VALUE"""),8.13716913E8)</f>
        <v>813716913</v>
      </c>
      <c r="N2417" s="3">
        <f>IFERROR(__xludf.DUMMYFUNCTION("""COMPUTED_VALUE"""),83083.0)</f>
        <v>83083</v>
      </c>
      <c r="O2417" s="3" t="str">
        <f>IFERROR(__xludf.DUMMYFUNCTION("""COMPUTED_VALUE"""),"ร้านสมหวัง")</f>
        <v>ร้านสมหวัง</v>
      </c>
      <c r="P2417" s="4">
        <f>IFERROR(__xludf.DUMMYFUNCTION("""COMPUTED_VALUE"""),44550.0)</f>
        <v>44550</v>
      </c>
      <c r="Q2417" s="3" t="str">
        <f>IFERROR(__xludf.DUMMYFUNCTION("""COMPUTED_VALUE"""),"I")</f>
        <v>I</v>
      </c>
      <c r="R2417" s="3" t="str">
        <f>IFERROR(__xludf.DUMMYFUNCTION("""COMPUTED_VALUE"""),"Small Format")</f>
        <v>Small Format</v>
      </c>
      <c r="S2417" s="3" t="str">
        <f>IFERROR(__xludf.DUMMYFUNCTION("""COMPUTED_VALUE"""),"Donjai")</f>
        <v>Donjai</v>
      </c>
      <c r="T2417" s="3" t="str">
        <f>IFERROR(__xludf.DUMMYFUNCTION("""COMPUTED_VALUE"""),"10 K.Phakphoom P.")</f>
        <v>10 K.Phakphoom P.</v>
      </c>
      <c r="U2417" s="3" t="str">
        <f>IFERROR(__xludf.DUMMYFUNCTION("""COMPUTED_VALUE"""),"10 K.Phakphoom P.")</f>
        <v>10 K.Phakphoom P.</v>
      </c>
      <c r="V2417" s="3" t="str">
        <f>IFERROR(__xludf.DUMMYFUNCTION("""COMPUTED_VALUE"""),"N")</f>
        <v>N</v>
      </c>
      <c r="W2417" s="3"/>
      <c r="X2417" s="3" t="str">
        <f>IFERROR(__xludf.DUMMYFUNCTION("""COMPUTED_VALUE"""),"108/1 ม.4 ต.บางขุนไทร อ.บ้านแหลม จ.เพชรบุรี 76110")</f>
        <v>108/1 ม.4 ต.บางขุนไทร อ.บ้านแหลม จ.เพชรบุรี 76110</v>
      </c>
      <c r="Y2417" s="3"/>
      <c r="Z2417" s="3" t="str">
        <f>IFERROR(__xludf.DUMMYFUNCTION("""COMPUTED_VALUE"""),"บางขุนไทร")</f>
        <v>บางขุนไทร</v>
      </c>
      <c r="AA2417" s="3" t="str">
        <f>IFERROR(__xludf.DUMMYFUNCTION("""COMPUTED_VALUE"""),"บ้านแหลม")</f>
        <v>บ้านแหลม</v>
      </c>
      <c r="AB2417" s="3" t="str">
        <f>IFERROR(__xludf.DUMMYFUNCTION("""COMPUTED_VALUE"""),"เพชรบุรี")</f>
        <v>เพชรบุรี</v>
      </c>
      <c r="AC2417" s="3">
        <f>IFERROR(__xludf.DUMMYFUNCTION("""COMPUTED_VALUE"""),76110.0)</f>
        <v>76110</v>
      </c>
      <c r="AD2417" s="3"/>
      <c r="AE2417" s="3"/>
      <c r="AF2417" s="3" t="str">
        <f>IFERROR(__xludf.DUMMYFUNCTION("""COMPUTED_VALUE"""),"ร้านสมหวัง-83083")</f>
        <v>ร้านสมหวัง-83083</v>
      </c>
      <c r="AG2417" s="3" t="str">
        <f>IFERROR(__xludf.DUMMYFUNCTION("""COMPUTED_VALUE"""),"ตะวันตก")</f>
        <v>ตะวันตก</v>
      </c>
      <c r="AH2417" s="3" t="str">
        <f>IFERROR(__xludf.DUMMYFUNCTION("""COMPUTED_VALUE"""),"#N/A")</f>
        <v>#N/A</v>
      </c>
      <c r="AI2417" s="3" t="str">
        <f>IFERROR(__xludf.DUMMYFUNCTION("""COMPUTED_VALUE"""),"Out of warranty")</f>
        <v>Out of warranty</v>
      </c>
      <c r="AJ2417" s="3">
        <f>IFERROR(__xludf.DUMMYFUNCTION("""COMPUTED_VALUE"""),50.0)</f>
        <v>50</v>
      </c>
      <c r="AK2417" s="3"/>
      <c r="AL2417" s="3"/>
    </row>
    <row r="2418" ht="15.75" customHeight="1">
      <c r="A2418" s="1" t="str">
        <f>IFERROR(__xludf.DUMMYFUNCTION("""COMPUTED_VALUE"""),"83087")</f>
        <v>83087</v>
      </c>
      <c r="B2418" s="2">
        <f>IFERROR(__xludf.DUMMYFUNCTION("""COMPUTED_VALUE"""),83087.0)</f>
        <v>83087</v>
      </c>
      <c r="C2418" s="3" t="str">
        <f>IFERROR(__xludf.DUMMYFUNCTION("""COMPUTED_VALUE"""),"ร้านโดนใจ เจพี มาเก็ตติ้ง")</f>
        <v>ร้านโดนใจ เจพี มาเก็ตติ้ง</v>
      </c>
      <c r="D2418" s="3" t="str">
        <f>IFERROR(__xludf.DUMMYFUNCTION("""COMPUTED_VALUE"""),"ร้านโดนใจ เจพี มาเก็ตติ้ง")</f>
        <v>ร้านโดนใจ เจพี มาเก็ตติ้ง</v>
      </c>
      <c r="E2418" s="1" t="str">
        <f>IFERROR(__xludf.DUMMYFUNCTION("""COMPUTED_VALUE"""),"Donjai")</f>
        <v>Donjai</v>
      </c>
      <c r="F2418" s="1" t="str">
        <f>IFERROR(__xludf.DUMMYFUNCTION("""COMPUTED_VALUE"""),"296868")</f>
        <v>296868</v>
      </c>
      <c r="G2418" s="1" t="str">
        <f>IFERROR(__xludf.DUMMYFUNCTION("""COMPUTED_VALUE"""),"นายพีระพงษ์ แก้วดวงดี")</f>
        <v>นายพีระพงษ์ แก้วดวงดี</v>
      </c>
      <c r="H2418" s="1" t="str">
        <f>IFERROR(__xludf.DUMMYFUNCTION("""COMPUTED_VALUE"""),"296868")</f>
        <v>296868</v>
      </c>
      <c r="I2418" s="1" t="str">
        <f>IFERROR(__xludf.DUMMYFUNCTION("""COMPUTED_VALUE"""),"นายพีระพงษ์ แก้วดวงดี")</f>
        <v>นายพีระพงษ์ แก้วดวงดี</v>
      </c>
      <c r="J2418" s="3">
        <f>IFERROR(__xludf.DUMMYFUNCTION("""COMPUTED_VALUE"""),295886.0)</f>
        <v>295886</v>
      </c>
      <c r="K2418" s="3" t="str">
        <f>IFERROR(__xludf.DUMMYFUNCTION("""COMPUTED_VALUE"""),"นายจิระพงษ์ โพธิ์นิล")</f>
        <v>นายจิระพงษ์ โพธิ์นิล</v>
      </c>
      <c r="L2418" s="1" t="str">
        <f>IFERROR(__xludf.DUMMYFUNCTION("""COMPUTED_VALUE"""),"นายจิระพงษ์ โพธิ์นิล")</f>
        <v>นายจิระพงษ์ โพธิ์นิล</v>
      </c>
      <c r="M2418" s="3">
        <f>IFERROR(__xludf.DUMMYFUNCTION("""COMPUTED_VALUE"""),9.33290754E8)</f>
        <v>933290754</v>
      </c>
      <c r="N2418" s="3">
        <f>IFERROR(__xludf.DUMMYFUNCTION("""COMPUTED_VALUE"""),83087.0)</f>
        <v>83087</v>
      </c>
      <c r="O2418" s="3" t="str">
        <f>IFERROR(__xludf.DUMMYFUNCTION("""COMPUTED_VALUE"""),"ร้านโดนใจ เจพี มาเก็ตติ้ง")</f>
        <v>ร้านโดนใจ เจพี มาเก็ตติ้ง</v>
      </c>
      <c r="P2418" s="4">
        <f>IFERROR(__xludf.DUMMYFUNCTION("""COMPUTED_VALUE"""),44532.0)</f>
        <v>44532</v>
      </c>
      <c r="Q2418" s="3" t="str">
        <f>IFERROR(__xludf.DUMMYFUNCTION("""COMPUTED_VALUE"""),"I")</f>
        <v>I</v>
      </c>
      <c r="R2418" s="3" t="str">
        <f>IFERROR(__xludf.DUMMYFUNCTION("""COMPUTED_VALUE"""),"Small Format")</f>
        <v>Small Format</v>
      </c>
      <c r="S2418" s="3" t="str">
        <f>IFERROR(__xludf.DUMMYFUNCTION("""COMPUTED_VALUE"""),"Donjai")</f>
        <v>Donjai</v>
      </c>
      <c r="T2418" s="3" t="str">
        <f>IFERROR(__xludf.DUMMYFUNCTION("""COMPUTED_VALUE"""),"03 K.Peerapong K.")</f>
        <v>03 K.Peerapong K.</v>
      </c>
      <c r="U2418" s="3" t="str">
        <f>IFERROR(__xludf.DUMMYFUNCTION("""COMPUTED_VALUE"""),"03 K.Peerapong K.")</f>
        <v>03 K.Peerapong K.</v>
      </c>
      <c r="V2418" s="3" t="str">
        <f>IFERROR(__xludf.DUMMYFUNCTION("""COMPUTED_VALUE"""),"N")</f>
        <v>N</v>
      </c>
      <c r="W2418" s="3"/>
      <c r="X2418" s="3" t="str">
        <f>IFERROR(__xludf.DUMMYFUNCTION("""COMPUTED_VALUE"""),"145 ม.2 ต.โหรา อ.อาจสามารถ จ.ร้อยเอ็ด 45160")</f>
        <v>145 ม.2 ต.โหรา อ.อาจสามารถ จ.ร้อยเอ็ด 45160</v>
      </c>
      <c r="Y2418" s="3"/>
      <c r="Z2418" s="3">
        <f>IFERROR(__xludf.DUMMYFUNCTION("""COMPUTED_VALUE"""),0.0)</f>
        <v>0</v>
      </c>
      <c r="AA2418" s="3">
        <f>IFERROR(__xludf.DUMMYFUNCTION("""COMPUTED_VALUE"""),0.0)</f>
        <v>0</v>
      </c>
      <c r="AB2418" s="3" t="str">
        <f>IFERROR(__xludf.DUMMYFUNCTION("""COMPUTED_VALUE"""),"ร้อยเอ็ด")</f>
        <v>ร้อยเอ็ด</v>
      </c>
      <c r="AC2418" s="3">
        <f>IFERROR(__xludf.DUMMYFUNCTION("""COMPUTED_VALUE"""),45160.0)</f>
        <v>45160</v>
      </c>
      <c r="AD2418" s="3"/>
      <c r="AE2418" s="3"/>
      <c r="AF2418" s="3" t="str">
        <f>IFERROR(__xludf.DUMMYFUNCTION("""COMPUTED_VALUE"""),"ร้านโดนใจ เจพี มาเก็ตติ้ง-83087")</f>
        <v>ร้านโดนใจ เจพี มาเก็ตติ้ง-83087</v>
      </c>
      <c r="AG2418" s="3" t="str">
        <f>IFERROR(__xludf.DUMMYFUNCTION("""COMPUTED_VALUE"""),"ตะวันออกเฉียงเหนือ")</f>
        <v>ตะวันออกเฉียงเหนือ</v>
      </c>
      <c r="AH2418" s="3" t="str">
        <f>IFERROR(__xludf.DUMMYFUNCTION("""COMPUTED_VALUE"""),"#N/A")</f>
        <v>#N/A</v>
      </c>
      <c r="AI2418" s="3" t="str">
        <f>IFERROR(__xludf.DUMMYFUNCTION("""COMPUTED_VALUE"""),"Out of warranty")</f>
        <v>Out of warranty</v>
      </c>
      <c r="AJ2418" s="3">
        <f>IFERROR(__xludf.DUMMYFUNCTION("""COMPUTED_VALUE"""),50.0)</f>
        <v>50</v>
      </c>
      <c r="AK2418" s="3"/>
      <c r="AL2418" s="3"/>
    </row>
    <row r="2419" ht="15.75" customHeight="1">
      <c r="A2419" s="1" t="str">
        <f>IFERROR(__xludf.DUMMYFUNCTION("""COMPUTED_VALUE"""),"83089")</f>
        <v>83089</v>
      </c>
      <c r="B2419" s="2">
        <f>IFERROR(__xludf.DUMMYFUNCTION("""COMPUTED_VALUE"""),83089.0)</f>
        <v>83089</v>
      </c>
      <c r="C2419" s="3" t="str">
        <f>IFERROR(__xludf.DUMMYFUNCTION("""COMPUTED_VALUE"""),"ร้านอ้วนสามัคคี")</f>
        <v>ร้านอ้วนสามัคคี</v>
      </c>
      <c r="D2419" s="3" t="str">
        <f>IFERROR(__xludf.DUMMYFUNCTION("""COMPUTED_VALUE"""),"ร้านอ้วนสามัคคี")</f>
        <v>ร้านอ้วนสามัคคี</v>
      </c>
      <c r="E2419" s="1" t="str">
        <f>IFERROR(__xludf.DUMMYFUNCTION("""COMPUTED_VALUE"""),"Donjai")</f>
        <v>Donjai</v>
      </c>
      <c r="F2419" s="1" t="str">
        <f>IFERROR(__xludf.DUMMYFUNCTION("""COMPUTED_VALUE"""),"2010023")</f>
        <v>2010023</v>
      </c>
      <c r="G2419" s="1" t="str">
        <f>IFERROR(__xludf.DUMMYFUNCTION("""COMPUTED_VALUE"""),"นายวศิน ไวยรูป")</f>
        <v>นายวศิน ไวยรูป</v>
      </c>
      <c r="H2419" s="1" t="str">
        <f>IFERROR(__xludf.DUMMYFUNCTION("""COMPUTED_VALUE"""),"2010023")</f>
        <v>2010023</v>
      </c>
      <c r="I2419" s="1" t="str">
        <f>IFERROR(__xludf.DUMMYFUNCTION("""COMPUTED_VALUE"""),"นายวศิน ไวยรูป")</f>
        <v>นายวศิน ไวยรูป</v>
      </c>
      <c r="J2419" s="3">
        <f>IFERROR(__xludf.DUMMYFUNCTION("""COMPUTED_VALUE"""),228031.0)</f>
        <v>228031</v>
      </c>
      <c r="K2419" s="3" t="str">
        <f>IFERROR(__xludf.DUMMYFUNCTION("""COMPUTED_VALUE"""),"นายธนพงษ์ วันหมัด")</f>
        <v>นายธนพงษ์ วันหมัด</v>
      </c>
      <c r="L2419" s="1" t="str">
        <f>IFERROR(__xludf.DUMMYFUNCTION("""COMPUTED_VALUE"""),"นายธนพงษ์ วันหมัด")</f>
        <v>นายธนพงษ์ วันหมัด</v>
      </c>
      <c r="M2419" s="1" t="str">
        <f>IFERROR(__xludf.DUMMYFUNCTION("""COMPUTED_VALUE"""),"0813716913")</f>
        <v>0813716913</v>
      </c>
      <c r="N2419" s="3">
        <f>IFERROR(__xludf.DUMMYFUNCTION("""COMPUTED_VALUE"""),83089.0)</f>
        <v>83089</v>
      </c>
      <c r="O2419" s="3" t="str">
        <f>IFERROR(__xludf.DUMMYFUNCTION("""COMPUTED_VALUE"""),"ร้านอ้วนสามัคคี")</f>
        <v>ร้านอ้วนสามัคคี</v>
      </c>
      <c r="P2419" s="4">
        <f>IFERROR(__xludf.DUMMYFUNCTION("""COMPUTED_VALUE"""),44682.0)</f>
        <v>44682</v>
      </c>
      <c r="Q2419" s="3" t="str">
        <f>IFERROR(__xludf.DUMMYFUNCTION("""COMPUTED_VALUE"""),"I")</f>
        <v>I</v>
      </c>
      <c r="R2419" s="3" t="str">
        <f>IFERROR(__xludf.DUMMYFUNCTION("""COMPUTED_VALUE"""),"Small Format")</f>
        <v>Small Format</v>
      </c>
      <c r="S2419" s="3" t="str">
        <f>IFERROR(__xludf.DUMMYFUNCTION("""COMPUTED_VALUE"""),"Donjai")</f>
        <v>Donjai</v>
      </c>
      <c r="T2419" s="3" t="str">
        <f>IFERROR(__xludf.DUMMYFUNCTION("""COMPUTED_VALUE"""),"Donjai")</f>
        <v>Donjai</v>
      </c>
      <c r="U2419" s="3" t="str">
        <f>IFERROR(__xludf.DUMMYFUNCTION("""COMPUTED_VALUE"""),"Donjai")</f>
        <v>Donjai</v>
      </c>
      <c r="V2419" s="3" t="str">
        <f>IFERROR(__xludf.DUMMYFUNCTION("""COMPUTED_VALUE"""),"N")</f>
        <v>N</v>
      </c>
      <c r="W2419" s="3"/>
      <c r="X2419" s="3" t="str">
        <f>IFERROR(__xludf.DUMMYFUNCTION("""COMPUTED_VALUE"""),"22ม.เอื้ออาทร ท่าทราย อ.เมืองจ.นนทบุรี")</f>
        <v>22ม.เอื้ออาทร ท่าทราย อ.เมืองจ.นนทบุรี</v>
      </c>
      <c r="Y2419" s="3"/>
      <c r="Z2419" s="3">
        <f>IFERROR(__xludf.DUMMYFUNCTION("""COMPUTED_VALUE"""),0.0)</f>
        <v>0</v>
      </c>
      <c r="AA2419" s="3">
        <f>IFERROR(__xludf.DUMMYFUNCTION("""COMPUTED_VALUE"""),0.0)</f>
        <v>0</v>
      </c>
      <c r="AB2419" s="3" t="str">
        <f>IFERROR(__xludf.DUMMYFUNCTION("""COMPUTED_VALUE"""),"นนทบุรี")</f>
        <v>นนทบุรี</v>
      </c>
      <c r="AC2419" s="3">
        <f>IFERROR(__xludf.DUMMYFUNCTION("""COMPUTED_VALUE"""),0.0)</f>
        <v>0</v>
      </c>
      <c r="AD2419" s="3"/>
      <c r="AE2419" s="3"/>
      <c r="AF2419" s="3" t="str">
        <f>IFERROR(__xludf.DUMMYFUNCTION("""COMPUTED_VALUE"""),"ร้านอ้วนสามัคคี-83089")</f>
        <v>ร้านอ้วนสามัคคี-83089</v>
      </c>
      <c r="AG2419" s="3" t="str">
        <f>IFERROR(__xludf.DUMMYFUNCTION("""COMPUTED_VALUE"""),"กลาง")</f>
        <v>กลาง</v>
      </c>
      <c r="AH2419" s="3" t="str">
        <f>IFERROR(__xludf.DUMMYFUNCTION("""COMPUTED_VALUE"""),"#N/A")</f>
        <v>#N/A</v>
      </c>
      <c r="AI2419" s="3" t="str">
        <f>IFERROR(__xludf.DUMMYFUNCTION("""COMPUTED_VALUE"""),"Out of warranty")</f>
        <v>Out of warranty</v>
      </c>
      <c r="AJ2419" s="3">
        <f>IFERROR(__xludf.DUMMYFUNCTION("""COMPUTED_VALUE"""),45.0)</f>
        <v>45</v>
      </c>
      <c r="AK2419" s="3"/>
      <c r="AL2419" s="3"/>
    </row>
    <row r="2420" ht="15.75" customHeight="1">
      <c r="A2420" s="1" t="str">
        <f>IFERROR(__xludf.DUMMYFUNCTION("""COMPUTED_VALUE"""),"83091")</f>
        <v>83091</v>
      </c>
      <c r="B2420" s="2">
        <f>IFERROR(__xludf.DUMMYFUNCTION("""COMPUTED_VALUE"""),83091.0)</f>
        <v>83091</v>
      </c>
      <c r="C2420" s="3" t="str">
        <f>IFERROR(__xludf.DUMMYFUNCTION("""COMPUTED_VALUE"""),"ร้านคุณอาภรณ์")</f>
        <v>ร้านคุณอาภรณ์</v>
      </c>
      <c r="D2420" s="3" t="str">
        <f>IFERROR(__xludf.DUMMYFUNCTION("""COMPUTED_VALUE"""),"ร้านคุณอาภรณ์")</f>
        <v>ร้านคุณอาภรณ์</v>
      </c>
      <c r="E2420" s="1" t="str">
        <f>IFERROR(__xludf.DUMMYFUNCTION("""COMPUTED_VALUE"""),"Donjai")</f>
        <v>Donjai</v>
      </c>
      <c r="F2420" s="1" t="str">
        <f>IFERROR(__xludf.DUMMYFUNCTION("""COMPUTED_VALUE"""),"20470331")</f>
        <v>20470331</v>
      </c>
      <c r="G2420" s="1" t="str">
        <f>IFERROR(__xludf.DUMMYFUNCTION("""COMPUTED_VALUE"""),"นายสมชาย ลักษณะสุวรรณ")</f>
        <v>นายสมชาย ลักษณะสุวรรณ</v>
      </c>
      <c r="H2420" s="1" t="str">
        <f>IFERROR(__xludf.DUMMYFUNCTION("""COMPUTED_VALUE"""),"20470331")</f>
        <v>20470331</v>
      </c>
      <c r="I2420" s="1" t="str">
        <f>IFERROR(__xludf.DUMMYFUNCTION("""COMPUTED_VALUE"""),"นายสมชาย ลักษณะสุวรรณ")</f>
        <v>นายสมชาย ลักษณะสุวรรณ</v>
      </c>
      <c r="J2420" s="3">
        <f>IFERROR(__xludf.DUMMYFUNCTION("""COMPUTED_VALUE"""),295541.0)</f>
        <v>295541</v>
      </c>
      <c r="K2420" s="3" t="str">
        <f>IFERROR(__xludf.DUMMYFUNCTION("""COMPUTED_VALUE"""),"นายรพิพล ศรีมาตย์")</f>
        <v>นายรพิพล ศรีมาตย์</v>
      </c>
      <c r="L2420" s="1" t="str">
        <f>IFERROR(__xludf.DUMMYFUNCTION("""COMPUTED_VALUE"""),"นายรพิพล ศรีมาตย์")</f>
        <v>นายรพิพล ศรีมาตย์</v>
      </c>
      <c r="M2420" s="1" t="str">
        <f>IFERROR(__xludf.DUMMYFUNCTION("""COMPUTED_VALUE"""),"0613966115")</f>
        <v>0613966115</v>
      </c>
      <c r="N2420" s="3">
        <f>IFERROR(__xludf.DUMMYFUNCTION("""COMPUTED_VALUE"""),83091.0)</f>
        <v>83091</v>
      </c>
      <c r="O2420" s="3" t="str">
        <f>IFERROR(__xludf.DUMMYFUNCTION("""COMPUTED_VALUE"""),"ร้านคุณอาภรณ์")</f>
        <v>ร้านคุณอาภรณ์</v>
      </c>
      <c r="P2420" s="4">
        <f>IFERROR(__xludf.DUMMYFUNCTION("""COMPUTED_VALUE"""),44638.0)</f>
        <v>44638</v>
      </c>
      <c r="Q2420" s="3" t="str">
        <f>IFERROR(__xludf.DUMMYFUNCTION("""COMPUTED_VALUE"""),"I")</f>
        <v>I</v>
      </c>
      <c r="R2420" s="3" t="str">
        <f>IFERROR(__xludf.DUMMYFUNCTION("""COMPUTED_VALUE"""),"Small Format")</f>
        <v>Small Format</v>
      </c>
      <c r="S2420" s="3" t="str">
        <f>IFERROR(__xludf.DUMMYFUNCTION("""COMPUTED_VALUE"""),"Donjai")</f>
        <v>Donjai</v>
      </c>
      <c r="T2420" s="3" t="str">
        <f>IFERROR(__xludf.DUMMYFUNCTION("""COMPUTED_VALUE"""),"15 K.Somchai L")</f>
        <v>15 K.Somchai L</v>
      </c>
      <c r="U2420" s="3" t="str">
        <f>IFERROR(__xludf.DUMMYFUNCTION("""COMPUTED_VALUE"""),"15 K.Somchai L")</f>
        <v>15 K.Somchai L</v>
      </c>
      <c r="V2420" s="3" t="str">
        <f>IFERROR(__xludf.DUMMYFUNCTION("""COMPUTED_VALUE"""),"N")</f>
        <v>N</v>
      </c>
      <c r="W2420" s="3"/>
      <c r="X2420" s="3" t="str">
        <f>IFERROR(__xludf.DUMMYFUNCTION("""COMPUTED_VALUE"""),"47/1 ม.2 ต.โคกหล่อ อ.เมืองตรัง")</f>
        <v>47/1 ม.2 ต.โคกหล่อ อ.เมืองตรัง</v>
      </c>
      <c r="Y2420" s="3"/>
      <c r="Z2420" s="3">
        <f>IFERROR(__xludf.DUMMYFUNCTION("""COMPUTED_VALUE"""),0.0)</f>
        <v>0</v>
      </c>
      <c r="AA2420" s="3">
        <f>IFERROR(__xludf.DUMMYFUNCTION("""COMPUTED_VALUE"""),0.0)</f>
        <v>0</v>
      </c>
      <c r="AB2420" s="3" t="str">
        <f>IFERROR(__xludf.DUMMYFUNCTION("""COMPUTED_VALUE"""),"ตรัง")</f>
        <v>ตรัง</v>
      </c>
      <c r="AC2420" s="3">
        <f>IFERROR(__xludf.DUMMYFUNCTION("""COMPUTED_VALUE"""),0.0)</f>
        <v>0</v>
      </c>
      <c r="AD2420" s="3"/>
      <c r="AE2420" s="3"/>
      <c r="AF2420" s="3" t="str">
        <f>IFERROR(__xludf.DUMMYFUNCTION("""COMPUTED_VALUE"""),"ร้านคุณอาภรณ์-83091")</f>
        <v>ร้านคุณอาภรณ์-83091</v>
      </c>
      <c r="AG2420" s="3" t="str">
        <f>IFERROR(__xludf.DUMMYFUNCTION("""COMPUTED_VALUE"""),"ใต้")</f>
        <v>ใต้</v>
      </c>
      <c r="AH2420" s="3" t="str">
        <f>IFERROR(__xludf.DUMMYFUNCTION("""COMPUTED_VALUE"""),"#N/A")</f>
        <v>#N/A</v>
      </c>
      <c r="AI2420" s="3" t="str">
        <f>IFERROR(__xludf.DUMMYFUNCTION("""COMPUTED_VALUE"""),"Out of warranty")</f>
        <v>Out of warranty</v>
      </c>
      <c r="AJ2420" s="3">
        <f>IFERROR(__xludf.DUMMYFUNCTION("""COMPUTED_VALUE"""),47.0)</f>
        <v>47</v>
      </c>
      <c r="AK2420" s="3"/>
      <c r="AL2420" s="3"/>
    </row>
    <row r="2421" ht="15.75" customHeight="1">
      <c r="A2421" s="1" t="str">
        <f>IFERROR(__xludf.DUMMYFUNCTION("""COMPUTED_VALUE"""),"83093")</f>
        <v>83093</v>
      </c>
      <c r="B2421" s="2">
        <f>IFERROR(__xludf.DUMMYFUNCTION("""COMPUTED_VALUE"""),83093.0)</f>
        <v>83093</v>
      </c>
      <c r="C2421" s="3" t="str">
        <f>IFERROR(__xludf.DUMMYFUNCTION("""COMPUTED_VALUE"""),"ปั้มคาลเทค คุณชุติมา")</f>
        <v>ปั้มคาลเทค คุณชุติมา</v>
      </c>
      <c r="D2421" s="3" t="str">
        <f>IFERROR(__xludf.DUMMYFUNCTION("""COMPUTED_VALUE"""),"ปั้มคาลเทค คุณชุติมา")</f>
        <v>ปั้มคาลเทค คุณชุติมา</v>
      </c>
      <c r="E2421" s="1" t="str">
        <f>IFERROR(__xludf.DUMMYFUNCTION("""COMPUTED_VALUE"""),"Donjai")</f>
        <v>Donjai</v>
      </c>
      <c r="F2421" s="1" t="str">
        <f>IFERROR(__xludf.DUMMYFUNCTION("""COMPUTED_VALUE"""),"015361")</f>
        <v>015361</v>
      </c>
      <c r="G2421" s="1" t="str">
        <f>IFERROR(__xludf.DUMMYFUNCTION("""COMPUTED_VALUE"""),"นายสมบูรณ์ พรหมในเมือง")</f>
        <v>นายสมบูรณ์ พรหมในเมือง</v>
      </c>
      <c r="H2421" s="1" t="str">
        <f>IFERROR(__xludf.DUMMYFUNCTION("""COMPUTED_VALUE"""),"015361")</f>
        <v>015361</v>
      </c>
      <c r="I2421" s="1" t="str">
        <f>IFERROR(__xludf.DUMMYFUNCTION("""COMPUTED_VALUE"""),"นายสมบูรณ์ พรหมในเมือง")</f>
        <v>นายสมบูรณ์ พรหมในเมือง</v>
      </c>
      <c r="J2421" s="3">
        <f>IFERROR(__xludf.DUMMYFUNCTION("""COMPUTED_VALUE"""),295886.0)</f>
        <v>295886</v>
      </c>
      <c r="K2421" s="3" t="str">
        <f>IFERROR(__xludf.DUMMYFUNCTION("""COMPUTED_VALUE"""),"นายจิระพงษ์ โพธิ์นิล")</f>
        <v>นายจิระพงษ์ โพธิ์นิล</v>
      </c>
      <c r="L2421" s="1" t="str">
        <f>IFERROR(__xludf.DUMMYFUNCTION("""COMPUTED_VALUE"""),"นายจิระพงษ์ โพธิ์นิล")</f>
        <v>นายจิระพงษ์ โพธิ์นิล</v>
      </c>
      <c r="M2421" s="3">
        <f>IFERROR(__xludf.DUMMYFUNCTION("""COMPUTED_VALUE"""),9.33290754E8)</f>
        <v>933290754</v>
      </c>
      <c r="N2421" s="3">
        <f>IFERROR(__xludf.DUMMYFUNCTION("""COMPUTED_VALUE"""),83093.0)</f>
        <v>83093</v>
      </c>
      <c r="O2421" s="3" t="str">
        <f>IFERROR(__xludf.DUMMYFUNCTION("""COMPUTED_VALUE"""),"ปั้มคาลเทค คุณชุติมา")</f>
        <v>ปั้มคาลเทค คุณชุติมา</v>
      </c>
      <c r="P2421" s="4">
        <f>IFERROR(__xludf.DUMMYFUNCTION("""COMPUTED_VALUE"""),44534.0)</f>
        <v>44534</v>
      </c>
      <c r="Q2421" s="3" t="str">
        <f>IFERROR(__xludf.DUMMYFUNCTION("""COMPUTED_VALUE"""),"A")</f>
        <v>A</v>
      </c>
      <c r="R2421" s="3" t="str">
        <f>IFERROR(__xludf.DUMMYFUNCTION("""COMPUTED_VALUE"""),"Small Format")</f>
        <v>Small Format</v>
      </c>
      <c r="S2421" s="3" t="str">
        <f>IFERROR(__xludf.DUMMYFUNCTION("""COMPUTED_VALUE"""),"Donjai")</f>
        <v>Donjai</v>
      </c>
      <c r="T2421" s="3" t="str">
        <f>IFERROR(__xludf.DUMMYFUNCTION("""COMPUTED_VALUE"""),"04 K.Somboon P.")</f>
        <v>04 K.Somboon P.</v>
      </c>
      <c r="U2421" s="3" t="str">
        <f>IFERROR(__xludf.DUMMYFUNCTION("""COMPUTED_VALUE"""),"04 K.Somboon P.")</f>
        <v>04 K.Somboon P.</v>
      </c>
      <c r="V2421" s="3" t="str">
        <f>IFERROR(__xludf.DUMMYFUNCTION("""COMPUTED_VALUE"""),"N")</f>
        <v>N</v>
      </c>
      <c r="W2421" s="3"/>
      <c r="X2421" s="3" t="str">
        <f>IFERROR(__xludf.DUMMYFUNCTION("""COMPUTED_VALUE"""),"58 ม.15 ถนนเลี่ยงเมืองชัยภูมิ ต.ในเมือง อ.เมือง จ.ชัยภูมิ")</f>
        <v>58 ม.15 ถนนเลี่ยงเมืองชัยภูมิ ต.ในเมือง อ.เมือง จ.ชัยภูมิ</v>
      </c>
      <c r="Y2421" s="3"/>
      <c r="Z2421" s="3">
        <f>IFERROR(__xludf.DUMMYFUNCTION("""COMPUTED_VALUE"""),0.0)</f>
        <v>0</v>
      </c>
      <c r="AA2421" s="3">
        <f>IFERROR(__xludf.DUMMYFUNCTION("""COMPUTED_VALUE"""),0.0)</f>
        <v>0</v>
      </c>
      <c r="AB2421" s="3" t="str">
        <f>IFERROR(__xludf.DUMMYFUNCTION("""COMPUTED_VALUE"""),"ชัยภูมิ")</f>
        <v>ชัยภูมิ</v>
      </c>
      <c r="AC2421" s="3">
        <f>IFERROR(__xludf.DUMMYFUNCTION("""COMPUTED_VALUE"""),0.0)</f>
        <v>0</v>
      </c>
      <c r="AD2421" s="3"/>
      <c r="AE2421" s="3"/>
      <c r="AF2421" s="3" t="str">
        <f>IFERROR(__xludf.DUMMYFUNCTION("""COMPUTED_VALUE"""),"ปั้มคาลเทค คุณชุติมา-83093")</f>
        <v>ปั้มคาลเทค คุณชุติมา-83093</v>
      </c>
      <c r="AG2421" s="3" t="str">
        <f>IFERROR(__xludf.DUMMYFUNCTION("""COMPUTED_VALUE"""),"ตะวันออกเฉียงเหนือ")</f>
        <v>ตะวันออกเฉียงเหนือ</v>
      </c>
      <c r="AH2421" s="3" t="str">
        <f>IFERROR(__xludf.DUMMYFUNCTION("""COMPUTED_VALUE"""),"#N/A")</f>
        <v>#N/A</v>
      </c>
      <c r="AI2421" s="3" t="str">
        <f>IFERROR(__xludf.DUMMYFUNCTION("""COMPUTED_VALUE"""),"Out of warranty")</f>
        <v>Out of warranty</v>
      </c>
      <c r="AJ2421" s="3">
        <f>IFERROR(__xludf.DUMMYFUNCTION("""COMPUTED_VALUE"""),50.0)</f>
        <v>50</v>
      </c>
      <c r="AK2421" s="3"/>
      <c r="AL2421" s="3"/>
    </row>
    <row r="2422" ht="15.75" customHeight="1">
      <c r="A2422" s="1" t="str">
        <f>IFERROR(__xludf.DUMMYFUNCTION("""COMPUTED_VALUE"""),"83094")</f>
        <v>83094</v>
      </c>
      <c r="B2422" s="2">
        <f>IFERROR(__xludf.DUMMYFUNCTION("""COMPUTED_VALUE"""),83094.0)</f>
        <v>83094</v>
      </c>
      <c r="C2422" s="3" t="str">
        <f>IFERROR(__xludf.DUMMYFUNCTION("""COMPUTED_VALUE"""),"ชมพู่ละมุด Shop")</f>
        <v>ชมพู่ละมุด Shop</v>
      </c>
      <c r="D2422" s="3" t="str">
        <f>IFERROR(__xludf.DUMMYFUNCTION("""COMPUTED_VALUE"""),"ชมพู่ละมุด Shop")</f>
        <v>ชมพู่ละมุด Shop</v>
      </c>
      <c r="E2422" s="1" t="str">
        <f>IFERROR(__xludf.DUMMYFUNCTION("""COMPUTED_VALUE"""),"Donjai")</f>
        <v>Donjai</v>
      </c>
      <c r="F2422" s="1" t="str">
        <f>IFERROR(__xludf.DUMMYFUNCTION("""COMPUTED_VALUE"""),"015361")</f>
        <v>015361</v>
      </c>
      <c r="G2422" s="1" t="str">
        <f>IFERROR(__xludf.DUMMYFUNCTION("""COMPUTED_VALUE"""),"นายสมบูรณ์ พรหมในเมือง")</f>
        <v>นายสมบูรณ์ พรหมในเมือง</v>
      </c>
      <c r="H2422" s="1" t="str">
        <f>IFERROR(__xludf.DUMMYFUNCTION("""COMPUTED_VALUE"""),"015361")</f>
        <v>015361</v>
      </c>
      <c r="I2422" s="1" t="str">
        <f>IFERROR(__xludf.DUMMYFUNCTION("""COMPUTED_VALUE"""),"นายสมบูรณ์ พรหมในเมือง")</f>
        <v>นายสมบูรณ์ พรหมในเมือง</v>
      </c>
      <c r="J2422" s="3">
        <f>IFERROR(__xludf.DUMMYFUNCTION("""COMPUTED_VALUE"""),295886.0)</f>
        <v>295886</v>
      </c>
      <c r="K2422" s="3" t="str">
        <f>IFERROR(__xludf.DUMMYFUNCTION("""COMPUTED_VALUE"""),"นายจิระพงษ์ โพธิ์นิล")</f>
        <v>นายจิระพงษ์ โพธิ์นิล</v>
      </c>
      <c r="L2422" s="1" t="str">
        <f>IFERROR(__xludf.DUMMYFUNCTION("""COMPUTED_VALUE"""),"นายจิระพงษ์ โพธิ์นิล")</f>
        <v>นายจิระพงษ์ โพธิ์นิล</v>
      </c>
      <c r="M2422" s="3">
        <f>IFERROR(__xludf.DUMMYFUNCTION("""COMPUTED_VALUE"""),9.33290754E8)</f>
        <v>933290754</v>
      </c>
      <c r="N2422" s="3">
        <f>IFERROR(__xludf.DUMMYFUNCTION("""COMPUTED_VALUE"""),83094.0)</f>
        <v>83094</v>
      </c>
      <c r="O2422" s="3" t="str">
        <f>IFERROR(__xludf.DUMMYFUNCTION("""COMPUTED_VALUE"""),"ชมพู่ละมุด Shop")</f>
        <v>ชมพู่ละมุด Shop</v>
      </c>
      <c r="P2422" s="4">
        <f>IFERROR(__xludf.DUMMYFUNCTION("""COMPUTED_VALUE"""),44531.0)</f>
        <v>44531</v>
      </c>
      <c r="Q2422" s="3" t="str">
        <f>IFERROR(__xludf.DUMMYFUNCTION("""COMPUTED_VALUE"""),"A")</f>
        <v>A</v>
      </c>
      <c r="R2422" s="3" t="str">
        <f>IFERROR(__xludf.DUMMYFUNCTION("""COMPUTED_VALUE"""),"Small Format")</f>
        <v>Small Format</v>
      </c>
      <c r="S2422" s="3" t="str">
        <f>IFERROR(__xludf.DUMMYFUNCTION("""COMPUTED_VALUE"""),"Donjai")</f>
        <v>Donjai</v>
      </c>
      <c r="T2422" s="3" t="str">
        <f>IFERROR(__xludf.DUMMYFUNCTION("""COMPUTED_VALUE"""),"04 K.Somboon P.")</f>
        <v>04 K.Somboon P.</v>
      </c>
      <c r="U2422" s="3" t="str">
        <f>IFERROR(__xludf.DUMMYFUNCTION("""COMPUTED_VALUE"""),"04 K.Somboon P.")</f>
        <v>04 K.Somboon P.</v>
      </c>
      <c r="V2422" s="3" t="str">
        <f>IFERROR(__xludf.DUMMYFUNCTION("""COMPUTED_VALUE"""),"N")</f>
        <v>N</v>
      </c>
      <c r="W2422" s="3"/>
      <c r="X2422" s="3" t="str">
        <f>IFERROR(__xludf.DUMMYFUNCTION("""COMPUTED_VALUE"""),"314 ม4 ต.บ้านทุ่ม อ.เมือง จขอนแก่น")</f>
        <v>314 ม4 ต.บ้านทุ่ม อ.เมือง จขอนแก่น</v>
      </c>
      <c r="Y2422" s="3"/>
      <c r="Z2422" s="3">
        <f>IFERROR(__xludf.DUMMYFUNCTION("""COMPUTED_VALUE"""),0.0)</f>
        <v>0</v>
      </c>
      <c r="AA2422" s="3">
        <f>IFERROR(__xludf.DUMMYFUNCTION("""COMPUTED_VALUE"""),0.0)</f>
        <v>0</v>
      </c>
      <c r="AB2422" s="3" t="str">
        <f>IFERROR(__xludf.DUMMYFUNCTION("""COMPUTED_VALUE"""),"ขอนแก่น")</f>
        <v>ขอนแก่น</v>
      </c>
      <c r="AC2422" s="3">
        <f>IFERROR(__xludf.DUMMYFUNCTION("""COMPUTED_VALUE"""),0.0)</f>
        <v>0</v>
      </c>
      <c r="AD2422" s="3"/>
      <c r="AE2422" s="3"/>
      <c r="AF2422" s="3" t="str">
        <f>IFERROR(__xludf.DUMMYFUNCTION("""COMPUTED_VALUE"""),"ชมพู่ละมุด Shop -83094")</f>
        <v>ชมพู่ละมุด Shop -83094</v>
      </c>
      <c r="AG2422" s="3" t="str">
        <f>IFERROR(__xludf.DUMMYFUNCTION("""COMPUTED_VALUE"""),"ตะวันออกเฉียงเหนือ")</f>
        <v>ตะวันออกเฉียงเหนือ</v>
      </c>
      <c r="AH2422" s="3" t="str">
        <f>IFERROR(__xludf.DUMMYFUNCTION("""COMPUTED_VALUE"""),"#N/A")</f>
        <v>#N/A</v>
      </c>
      <c r="AI2422" s="3" t="str">
        <f>IFERROR(__xludf.DUMMYFUNCTION("""COMPUTED_VALUE"""),"Out of warranty")</f>
        <v>Out of warranty</v>
      </c>
      <c r="AJ2422" s="3">
        <f>IFERROR(__xludf.DUMMYFUNCTION("""COMPUTED_VALUE"""),50.0)</f>
        <v>50</v>
      </c>
      <c r="AK2422" s="3"/>
      <c r="AL2422" s="3"/>
    </row>
    <row r="2423" ht="15.75" customHeight="1">
      <c r="A2423" s="1" t="str">
        <f>IFERROR(__xludf.DUMMYFUNCTION("""COMPUTED_VALUE"""),"83098")</f>
        <v>83098</v>
      </c>
      <c r="B2423" s="2">
        <f>IFERROR(__xludf.DUMMYFUNCTION("""COMPUTED_VALUE"""),83098.0)</f>
        <v>83098</v>
      </c>
      <c r="C2423" s="3" t="str">
        <f>IFERROR(__xludf.DUMMYFUNCTION("""COMPUTED_VALUE"""),"ร้านทองดีมินิมาร์ท")</f>
        <v>ร้านทองดีมินิมาร์ท</v>
      </c>
      <c r="D2423" s="3" t="str">
        <f>IFERROR(__xludf.DUMMYFUNCTION("""COMPUTED_VALUE"""),"ร้านทองดีมินิมาร์ท")</f>
        <v>ร้านทองดีมินิมาร์ท</v>
      </c>
      <c r="E2423" s="1" t="str">
        <f>IFERROR(__xludf.DUMMYFUNCTION("""COMPUTED_VALUE"""),"Donjai")</f>
        <v>Donjai</v>
      </c>
      <c r="F2423" s="1" t="str">
        <f>IFERROR(__xludf.DUMMYFUNCTION("""COMPUTED_VALUE"""),"296608")</f>
        <v>296608</v>
      </c>
      <c r="G2423" s="1" t="str">
        <f>IFERROR(__xludf.DUMMYFUNCTION("""COMPUTED_VALUE"""),"นายภาคภูมิ เพ็ชรนิล")</f>
        <v>นายภาคภูมิ เพ็ชรนิล</v>
      </c>
      <c r="H2423" s="1" t="str">
        <f>IFERROR(__xludf.DUMMYFUNCTION("""COMPUTED_VALUE"""),"296608")</f>
        <v>296608</v>
      </c>
      <c r="I2423" s="1" t="str">
        <f>IFERROR(__xludf.DUMMYFUNCTION("""COMPUTED_VALUE"""),"นายภาคภูมิ เพ็ชรนิล")</f>
        <v>นายภาคภูมิ เพ็ชรนิล</v>
      </c>
      <c r="J2423" s="3">
        <f>IFERROR(__xludf.DUMMYFUNCTION("""COMPUTED_VALUE"""),228031.0)</f>
        <v>228031</v>
      </c>
      <c r="K2423" s="3" t="str">
        <f>IFERROR(__xludf.DUMMYFUNCTION("""COMPUTED_VALUE"""),"นายธนพงษ์ วันหมัด")</f>
        <v>นายธนพงษ์ วันหมัด</v>
      </c>
      <c r="L2423" s="1" t="str">
        <f>IFERROR(__xludf.DUMMYFUNCTION("""COMPUTED_VALUE"""),"นายธนพงษ์ วันหมัด")</f>
        <v>นายธนพงษ์ วันหมัด</v>
      </c>
      <c r="M2423" s="1" t="str">
        <f>IFERROR(__xludf.DUMMYFUNCTION("""COMPUTED_VALUE"""),"0813716913")</f>
        <v>0813716913</v>
      </c>
      <c r="N2423" s="3">
        <f>IFERROR(__xludf.DUMMYFUNCTION("""COMPUTED_VALUE"""),83098.0)</f>
        <v>83098</v>
      </c>
      <c r="O2423" s="3" t="str">
        <f>IFERROR(__xludf.DUMMYFUNCTION("""COMPUTED_VALUE"""),"ร้านทองดีมินิมาร์ท")</f>
        <v>ร้านทองดีมินิมาร์ท</v>
      </c>
      <c r="P2423" s="4">
        <f>IFERROR(__xludf.DUMMYFUNCTION("""COMPUTED_VALUE"""),44543.0)</f>
        <v>44543</v>
      </c>
      <c r="Q2423" s="3" t="str">
        <f>IFERROR(__xludf.DUMMYFUNCTION("""COMPUTED_VALUE"""),"I")</f>
        <v>I</v>
      </c>
      <c r="R2423" s="3" t="str">
        <f>IFERROR(__xludf.DUMMYFUNCTION("""COMPUTED_VALUE"""),"Small Format")</f>
        <v>Small Format</v>
      </c>
      <c r="S2423" s="3" t="str">
        <f>IFERROR(__xludf.DUMMYFUNCTION("""COMPUTED_VALUE"""),"Donjai")</f>
        <v>Donjai</v>
      </c>
      <c r="T2423" s="3" t="str">
        <f>IFERROR(__xludf.DUMMYFUNCTION("""COMPUTED_VALUE"""),"10 K.Phakphoom P.")</f>
        <v>10 K.Phakphoom P.</v>
      </c>
      <c r="U2423" s="3" t="str">
        <f>IFERROR(__xludf.DUMMYFUNCTION("""COMPUTED_VALUE"""),"10 K.Phakphoom P.")</f>
        <v>10 K.Phakphoom P.</v>
      </c>
      <c r="V2423" s="3" t="str">
        <f>IFERROR(__xludf.DUMMYFUNCTION("""COMPUTED_VALUE"""),"N")</f>
        <v>N</v>
      </c>
      <c r="W2423" s="3"/>
      <c r="X2423" s="3" t="str">
        <f>IFERROR(__xludf.DUMMYFUNCTION("""COMPUTED_VALUE"""),"21 หมู่ 8 ต.บ้านเลือก อ.โพธาราม จ.ราชบุรี 70120")</f>
        <v>21 หมู่ 8 ต.บ้านเลือก อ.โพธาราม จ.ราชบุรี 70120</v>
      </c>
      <c r="Y2423" s="3"/>
      <c r="Z2423" s="3">
        <f>IFERROR(__xludf.DUMMYFUNCTION("""COMPUTED_VALUE"""),0.0)</f>
        <v>0</v>
      </c>
      <c r="AA2423" s="3">
        <f>IFERROR(__xludf.DUMMYFUNCTION("""COMPUTED_VALUE"""),0.0)</f>
        <v>0</v>
      </c>
      <c r="AB2423" s="3" t="str">
        <f>IFERROR(__xludf.DUMMYFUNCTION("""COMPUTED_VALUE"""),"ราชบุรี")</f>
        <v>ราชบุรี</v>
      </c>
      <c r="AC2423" s="3">
        <f>IFERROR(__xludf.DUMMYFUNCTION("""COMPUTED_VALUE"""),70120.0)</f>
        <v>70120</v>
      </c>
      <c r="AD2423" s="3"/>
      <c r="AE2423" s="3"/>
      <c r="AF2423" s="3" t="str">
        <f>IFERROR(__xludf.DUMMYFUNCTION("""COMPUTED_VALUE"""),"ร้านทองดีมินิมาร์ท-83098")</f>
        <v>ร้านทองดีมินิมาร์ท-83098</v>
      </c>
      <c r="AG2423" s="3" t="str">
        <f>IFERROR(__xludf.DUMMYFUNCTION("""COMPUTED_VALUE"""),"ตะวันตก")</f>
        <v>ตะวันตก</v>
      </c>
      <c r="AH2423" s="3" t="str">
        <f>IFERROR(__xludf.DUMMYFUNCTION("""COMPUTED_VALUE"""),"#N/A")</f>
        <v>#N/A</v>
      </c>
      <c r="AI2423" s="3" t="str">
        <f>IFERROR(__xludf.DUMMYFUNCTION("""COMPUTED_VALUE"""),"Out of warranty")</f>
        <v>Out of warranty</v>
      </c>
      <c r="AJ2423" s="3">
        <f>IFERROR(__xludf.DUMMYFUNCTION("""COMPUTED_VALUE"""),50.0)</f>
        <v>50</v>
      </c>
      <c r="AK2423" s="3"/>
      <c r="AL2423" s="3"/>
    </row>
    <row r="2424" ht="15.75" customHeight="1">
      <c r="A2424" s="1" t="str">
        <f>IFERROR(__xludf.DUMMYFUNCTION("""COMPUTED_VALUE"""),"83099")</f>
        <v>83099</v>
      </c>
      <c r="B2424" s="2">
        <f>IFERROR(__xludf.DUMMYFUNCTION("""COMPUTED_VALUE"""),83099.0)</f>
        <v>83099</v>
      </c>
      <c r="C2424" s="3" t="str">
        <f>IFERROR(__xludf.DUMMYFUNCTION("""COMPUTED_VALUE"""),"ร้าน D.M. Store")</f>
        <v>ร้าน D.M. Store</v>
      </c>
      <c r="D2424" s="3" t="str">
        <f>IFERROR(__xludf.DUMMYFUNCTION("""COMPUTED_VALUE"""),"ร้าน D.M. Store")</f>
        <v>ร้าน D.M. Store</v>
      </c>
      <c r="E2424" s="1" t="str">
        <f>IFERROR(__xludf.DUMMYFUNCTION("""COMPUTED_VALUE"""),"Donjai")</f>
        <v>Donjai</v>
      </c>
      <c r="F2424" s="1" t="str">
        <f>IFERROR(__xludf.DUMMYFUNCTION("""COMPUTED_VALUE"""),"20470331")</f>
        <v>20470331</v>
      </c>
      <c r="G2424" s="1" t="str">
        <f>IFERROR(__xludf.DUMMYFUNCTION("""COMPUTED_VALUE"""),"นายสมชาย ลักษณะสุวรรณ")</f>
        <v>นายสมชาย ลักษณะสุวรรณ</v>
      </c>
      <c r="H2424" s="1" t="str">
        <f>IFERROR(__xludf.DUMMYFUNCTION("""COMPUTED_VALUE"""),"20470331")</f>
        <v>20470331</v>
      </c>
      <c r="I2424" s="1" t="str">
        <f>IFERROR(__xludf.DUMMYFUNCTION("""COMPUTED_VALUE"""),"นายสมชาย ลักษณะสุวรรณ")</f>
        <v>นายสมชาย ลักษณะสุวรรณ</v>
      </c>
      <c r="J2424" s="3">
        <f>IFERROR(__xludf.DUMMYFUNCTION("""COMPUTED_VALUE"""),295541.0)</f>
        <v>295541</v>
      </c>
      <c r="K2424" s="3" t="str">
        <f>IFERROR(__xludf.DUMMYFUNCTION("""COMPUTED_VALUE"""),"นายรพิพล ศรีมาตย์")</f>
        <v>นายรพิพล ศรีมาตย์</v>
      </c>
      <c r="L2424" s="1" t="str">
        <f>IFERROR(__xludf.DUMMYFUNCTION("""COMPUTED_VALUE"""),"นายรพิพล ศรีมาตย์")</f>
        <v>นายรพิพล ศรีมาตย์</v>
      </c>
      <c r="M2424" s="3">
        <f>IFERROR(__xludf.DUMMYFUNCTION("""COMPUTED_VALUE"""),6.13966115E8)</f>
        <v>613966115</v>
      </c>
      <c r="N2424" s="3">
        <f>IFERROR(__xludf.DUMMYFUNCTION("""COMPUTED_VALUE"""),83099.0)</f>
        <v>83099</v>
      </c>
      <c r="O2424" s="3" t="str">
        <f>IFERROR(__xludf.DUMMYFUNCTION("""COMPUTED_VALUE"""),"ร้าน D.M. Store")</f>
        <v>ร้าน D.M. Store</v>
      </c>
      <c r="P2424" s="4">
        <f>IFERROR(__xludf.DUMMYFUNCTION("""COMPUTED_VALUE"""),44580.0)</f>
        <v>44580</v>
      </c>
      <c r="Q2424" s="3" t="str">
        <f>IFERROR(__xludf.DUMMYFUNCTION("""COMPUTED_VALUE"""),"I")</f>
        <v>I</v>
      </c>
      <c r="R2424" s="3" t="str">
        <f>IFERROR(__xludf.DUMMYFUNCTION("""COMPUTED_VALUE"""),"Small Format")</f>
        <v>Small Format</v>
      </c>
      <c r="S2424" s="3" t="str">
        <f>IFERROR(__xludf.DUMMYFUNCTION("""COMPUTED_VALUE"""),"Donjai")</f>
        <v>Donjai</v>
      </c>
      <c r="T2424" s="3" t="str">
        <f>IFERROR(__xludf.DUMMYFUNCTION("""COMPUTED_VALUE"""),"15 K.Somchai L")</f>
        <v>15 K.Somchai L</v>
      </c>
      <c r="U2424" s="3" t="str">
        <f>IFERROR(__xludf.DUMMYFUNCTION("""COMPUTED_VALUE"""),"15 K.Somchai L")</f>
        <v>15 K.Somchai L</v>
      </c>
      <c r="V2424" s="3" t="str">
        <f>IFERROR(__xludf.DUMMYFUNCTION("""COMPUTED_VALUE"""),"N")</f>
        <v>N</v>
      </c>
      <c r="W2424" s="3"/>
      <c r="X2424" s="3" t="str">
        <f>IFERROR(__xludf.DUMMYFUNCTION("""COMPUTED_VALUE"""),"99/4 ม.2 ต.มะนังยง อ.ยะหริ่ง จ.ปัตตานี")</f>
        <v>99/4 ม.2 ต.มะนังยง อ.ยะหริ่ง จ.ปัตตานี</v>
      </c>
      <c r="Y2424" s="3"/>
      <c r="Z2424" s="3">
        <f>IFERROR(__xludf.DUMMYFUNCTION("""COMPUTED_VALUE"""),0.0)</f>
        <v>0</v>
      </c>
      <c r="AA2424" s="3">
        <f>IFERROR(__xludf.DUMMYFUNCTION("""COMPUTED_VALUE"""),0.0)</f>
        <v>0</v>
      </c>
      <c r="AB2424" s="3" t="str">
        <f>IFERROR(__xludf.DUMMYFUNCTION("""COMPUTED_VALUE"""),"ปัตตานี")</f>
        <v>ปัตตานี</v>
      </c>
      <c r="AC2424" s="3">
        <f>IFERROR(__xludf.DUMMYFUNCTION("""COMPUTED_VALUE"""),0.0)</f>
        <v>0</v>
      </c>
      <c r="AD2424" s="3"/>
      <c r="AE2424" s="3"/>
      <c r="AF2424" s="3" t="str">
        <f>IFERROR(__xludf.DUMMYFUNCTION("""COMPUTED_VALUE"""),"ร้าน D.M. Store-83099")</f>
        <v>ร้าน D.M. Store-83099</v>
      </c>
      <c r="AG2424" s="3" t="str">
        <f>IFERROR(__xludf.DUMMYFUNCTION("""COMPUTED_VALUE"""),"ใต้")</f>
        <v>ใต้</v>
      </c>
      <c r="AH2424" s="3" t="str">
        <f>IFERROR(__xludf.DUMMYFUNCTION("""COMPUTED_VALUE"""),"#N/A")</f>
        <v>#N/A</v>
      </c>
      <c r="AI2424" s="3" t="str">
        <f>IFERROR(__xludf.DUMMYFUNCTION("""COMPUTED_VALUE"""),"Out of warranty")</f>
        <v>Out of warranty</v>
      </c>
      <c r="AJ2424" s="3">
        <f>IFERROR(__xludf.DUMMYFUNCTION("""COMPUTED_VALUE"""),49.0)</f>
        <v>49</v>
      </c>
      <c r="AK2424" s="3"/>
      <c r="AL2424" s="3"/>
    </row>
    <row r="2425" ht="15.75" customHeight="1">
      <c r="A2425" s="1" t="str">
        <f>IFERROR(__xludf.DUMMYFUNCTION("""COMPUTED_VALUE"""),"83100")</f>
        <v>83100</v>
      </c>
      <c r="B2425" s="2">
        <f>IFERROR(__xludf.DUMMYFUNCTION("""COMPUTED_VALUE"""),83100.0)</f>
        <v>83100</v>
      </c>
      <c r="C2425" s="3" t="str">
        <f>IFERROR(__xludf.DUMMYFUNCTION("""COMPUTED_VALUE"""),"ร้านสุวรรณ")</f>
        <v>ร้านสุวรรณ</v>
      </c>
      <c r="D2425" s="3" t="str">
        <f>IFERROR(__xludf.DUMMYFUNCTION("""COMPUTED_VALUE"""),"ร้านสุวรรณ")</f>
        <v>ร้านสุวรรณ</v>
      </c>
      <c r="E2425" s="1" t="str">
        <f>IFERROR(__xludf.DUMMYFUNCTION("""COMPUTED_VALUE"""),"Donjai")</f>
        <v>Donjai</v>
      </c>
      <c r="F2425" s="1" t="str">
        <f>IFERROR(__xludf.DUMMYFUNCTION("""COMPUTED_VALUE"""),"015361")</f>
        <v>015361</v>
      </c>
      <c r="G2425" s="1" t="str">
        <f>IFERROR(__xludf.DUMMYFUNCTION("""COMPUTED_VALUE"""),"นายสมบูรณ์ พรหมในเมือง")</f>
        <v>นายสมบูรณ์ พรหมในเมือง</v>
      </c>
      <c r="H2425" s="1" t="str">
        <f>IFERROR(__xludf.DUMMYFUNCTION("""COMPUTED_VALUE"""),"015361")</f>
        <v>015361</v>
      </c>
      <c r="I2425" s="1" t="str">
        <f>IFERROR(__xludf.DUMMYFUNCTION("""COMPUTED_VALUE"""),"นายสมบูรณ์ พรหมในเมือง")</f>
        <v>นายสมบูรณ์ พรหมในเมือง</v>
      </c>
      <c r="J2425" s="3">
        <f>IFERROR(__xludf.DUMMYFUNCTION("""COMPUTED_VALUE"""),295886.0)</f>
        <v>295886</v>
      </c>
      <c r="K2425" s="3" t="str">
        <f>IFERROR(__xludf.DUMMYFUNCTION("""COMPUTED_VALUE"""),"นายจิระพงษ์ โพธิ์นิล")</f>
        <v>นายจิระพงษ์ โพธิ์นิล</v>
      </c>
      <c r="L2425" s="1" t="str">
        <f>IFERROR(__xludf.DUMMYFUNCTION("""COMPUTED_VALUE"""),"นายจิระพงษ์ โพธิ์นิล")</f>
        <v>นายจิระพงษ์ โพธิ์นิล</v>
      </c>
      <c r="M2425" s="3">
        <f>IFERROR(__xludf.DUMMYFUNCTION("""COMPUTED_VALUE"""),9.33290754E8)</f>
        <v>933290754</v>
      </c>
      <c r="N2425" s="3">
        <f>IFERROR(__xludf.DUMMYFUNCTION("""COMPUTED_VALUE"""),83100.0)</f>
        <v>83100</v>
      </c>
      <c r="O2425" s="3" t="str">
        <f>IFERROR(__xludf.DUMMYFUNCTION("""COMPUTED_VALUE"""),"ร้านสุวรรณ")</f>
        <v>ร้านสุวรรณ</v>
      </c>
      <c r="P2425" s="4">
        <f>IFERROR(__xludf.DUMMYFUNCTION("""COMPUTED_VALUE"""),44578.0)</f>
        <v>44578</v>
      </c>
      <c r="Q2425" s="3" t="str">
        <f>IFERROR(__xludf.DUMMYFUNCTION("""COMPUTED_VALUE"""),"A")</f>
        <v>A</v>
      </c>
      <c r="R2425" s="3" t="str">
        <f>IFERROR(__xludf.DUMMYFUNCTION("""COMPUTED_VALUE"""),"Small Format")</f>
        <v>Small Format</v>
      </c>
      <c r="S2425" s="3" t="str">
        <f>IFERROR(__xludf.DUMMYFUNCTION("""COMPUTED_VALUE"""),"Donjai")</f>
        <v>Donjai</v>
      </c>
      <c r="T2425" s="3" t="str">
        <f>IFERROR(__xludf.DUMMYFUNCTION("""COMPUTED_VALUE"""),"04 K.Somboon P.")</f>
        <v>04 K.Somboon P.</v>
      </c>
      <c r="U2425" s="3" t="str">
        <f>IFERROR(__xludf.DUMMYFUNCTION("""COMPUTED_VALUE"""),"04 K.Somboon P.")</f>
        <v>04 K.Somboon P.</v>
      </c>
      <c r="V2425" s="3" t="str">
        <f>IFERROR(__xludf.DUMMYFUNCTION("""COMPUTED_VALUE"""),"N")</f>
        <v>N</v>
      </c>
      <c r="W2425" s="3"/>
      <c r="X2425" s="3" t="str">
        <f>IFERROR(__xludf.DUMMYFUNCTION("""COMPUTED_VALUE"""),"13 ม.11 ต.ดงพลอง อ.แคนดง .จบุรีรัมย์")</f>
        <v>13 ม.11 ต.ดงพลอง อ.แคนดง .จบุรีรัมย์</v>
      </c>
      <c r="Y2425" s="3"/>
      <c r="Z2425" s="3">
        <f>IFERROR(__xludf.DUMMYFUNCTION("""COMPUTED_VALUE"""),0.0)</f>
        <v>0</v>
      </c>
      <c r="AA2425" s="3">
        <f>IFERROR(__xludf.DUMMYFUNCTION("""COMPUTED_VALUE"""),0.0)</f>
        <v>0</v>
      </c>
      <c r="AB2425" s="3" t="str">
        <f>IFERROR(__xludf.DUMMYFUNCTION("""COMPUTED_VALUE"""),"บุรีรัมย์")</f>
        <v>บุรีรัมย์</v>
      </c>
      <c r="AC2425" s="3">
        <f>IFERROR(__xludf.DUMMYFUNCTION("""COMPUTED_VALUE"""),0.0)</f>
        <v>0</v>
      </c>
      <c r="AD2425" s="3"/>
      <c r="AE2425" s="3"/>
      <c r="AF2425" s="3" t="str">
        <f>IFERROR(__xludf.DUMMYFUNCTION("""COMPUTED_VALUE"""),"ร้านสุวรรณ-83100")</f>
        <v>ร้านสุวรรณ-83100</v>
      </c>
      <c r="AG2425" s="3" t="str">
        <f>IFERROR(__xludf.DUMMYFUNCTION("""COMPUTED_VALUE"""),"ตะวันออกเฉียงเหนือ")</f>
        <v>ตะวันออกเฉียงเหนือ</v>
      </c>
      <c r="AH2425" s="3" t="str">
        <f>IFERROR(__xludf.DUMMYFUNCTION("""COMPUTED_VALUE"""),"#N/A")</f>
        <v>#N/A</v>
      </c>
      <c r="AI2425" s="3" t="str">
        <f>IFERROR(__xludf.DUMMYFUNCTION("""COMPUTED_VALUE"""),"Out of warranty")</f>
        <v>Out of warranty</v>
      </c>
      <c r="AJ2425" s="3">
        <f>IFERROR(__xludf.DUMMYFUNCTION("""COMPUTED_VALUE"""),49.0)</f>
        <v>49</v>
      </c>
      <c r="AK2425" s="3"/>
      <c r="AL2425" s="3"/>
    </row>
    <row r="2426" ht="15.75" customHeight="1">
      <c r="A2426" s="1" t="str">
        <f>IFERROR(__xludf.DUMMYFUNCTION("""COMPUTED_VALUE"""),"83103")</f>
        <v>83103</v>
      </c>
      <c r="B2426" s="2">
        <f>IFERROR(__xludf.DUMMYFUNCTION("""COMPUTED_VALUE"""),83103.0)</f>
        <v>83103</v>
      </c>
      <c r="C2426" s="3" t="str">
        <f>IFERROR(__xludf.DUMMYFUNCTION("""COMPUTED_VALUE"""),"ร้าน 88 สโตร์")</f>
        <v>ร้าน 88 สโตร์</v>
      </c>
      <c r="D2426" s="3" t="str">
        <f>IFERROR(__xludf.DUMMYFUNCTION("""COMPUTED_VALUE"""),"ร้าน 88 สโตร์")</f>
        <v>ร้าน 88 สโตร์</v>
      </c>
      <c r="E2426" s="1" t="str">
        <f>IFERROR(__xludf.DUMMYFUNCTION("""COMPUTED_VALUE"""),"Donjai")</f>
        <v>Donjai</v>
      </c>
      <c r="F2426" s="1" t="str">
        <f>IFERROR(__xludf.DUMMYFUNCTION("""COMPUTED_VALUE"""),"296868")</f>
        <v>296868</v>
      </c>
      <c r="G2426" s="1" t="str">
        <f>IFERROR(__xludf.DUMMYFUNCTION("""COMPUTED_VALUE"""),"นายพีระพงษ์ แก้วดวงดี")</f>
        <v>นายพีระพงษ์ แก้วดวงดี</v>
      </c>
      <c r="H2426" s="1" t="str">
        <f>IFERROR(__xludf.DUMMYFUNCTION("""COMPUTED_VALUE"""),"296868")</f>
        <v>296868</v>
      </c>
      <c r="I2426" s="1" t="str">
        <f>IFERROR(__xludf.DUMMYFUNCTION("""COMPUTED_VALUE"""),"นายพีระพงษ์ แก้วดวงดี")</f>
        <v>นายพีระพงษ์ แก้วดวงดี</v>
      </c>
      <c r="J2426" s="3">
        <f>IFERROR(__xludf.DUMMYFUNCTION("""COMPUTED_VALUE"""),295886.0)</f>
        <v>295886</v>
      </c>
      <c r="K2426" s="3" t="str">
        <f>IFERROR(__xludf.DUMMYFUNCTION("""COMPUTED_VALUE"""),"นายจิระพงษ์ โพธิ์นิล")</f>
        <v>นายจิระพงษ์ โพธิ์นิล</v>
      </c>
      <c r="L2426" s="1" t="str">
        <f>IFERROR(__xludf.DUMMYFUNCTION("""COMPUTED_VALUE"""),"นายจิระพงษ์ โพธิ์นิล")</f>
        <v>นายจิระพงษ์ โพธิ์นิล</v>
      </c>
      <c r="M2426" s="1" t="str">
        <f>IFERROR(__xludf.DUMMYFUNCTION("""COMPUTED_VALUE"""),"0933290754")</f>
        <v>0933290754</v>
      </c>
      <c r="N2426" s="3">
        <f>IFERROR(__xludf.DUMMYFUNCTION("""COMPUTED_VALUE"""),83103.0)</f>
        <v>83103</v>
      </c>
      <c r="O2426" s="3" t="str">
        <f>IFERROR(__xludf.DUMMYFUNCTION("""COMPUTED_VALUE"""),"ร้าน 88 สโตร์")</f>
        <v>ร้าน 88 สโตร์</v>
      </c>
      <c r="P2426" s="4">
        <f>IFERROR(__xludf.DUMMYFUNCTION("""COMPUTED_VALUE"""),44538.0)</f>
        <v>44538</v>
      </c>
      <c r="Q2426" s="3" t="str">
        <f>IFERROR(__xludf.DUMMYFUNCTION("""COMPUTED_VALUE"""),"I")</f>
        <v>I</v>
      </c>
      <c r="R2426" s="3" t="str">
        <f>IFERROR(__xludf.DUMMYFUNCTION("""COMPUTED_VALUE"""),"Small Format")</f>
        <v>Small Format</v>
      </c>
      <c r="S2426" s="3" t="str">
        <f>IFERROR(__xludf.DUMMYFUNCTION("""COMPUTED_VALUE"""),"Donjai")</f>
        <v>Donjai</v>
      </c>
      <c r="T2426" s="3" t="str">
        <f>IFERROR(__xludf.DUMMYFUNCTION("""COMPUTED_VALUE"""),"03 K.Peerapong K.")</f>
        <v>03 K.Peerapong K.</v>
      </c>
      <c r="U2426" s="3" t="str">
        <f>IFERROR(__xludf.DUMMYFUNCTION("""COMPUTED_VALUE"""),"03 K.Peerapong K.")</f>
        <v>03 K.Peerapong K.</v>
      </c>
      <c r="V2426" s="3" t="str">
        <f>IFERROR(__xludf.DUMMYFUNCTION("""COMPUTED_VALUE"""),"N")</f>
        <v>N</v>
      </c>
      <c r="W2426" s="3"/>
      <c r="X2426" s="3" t="str">
        <f>IFERROR(__xludf.DUMMYFUNCTION("""COMPUTED_VALUE"""),"29 ม.1 บ.น้ำจั้น ต.น้ำจั้น อ.เซกา จ.บึงกาฬ 38220")</f>
        <v>29 ม.1 บ.น้ำจั้น ต.น้ำจั้น อ.เซกา จ.บึงกาฬ 38220</v>
      </c>
      <c r="Y2426" s="3"/>
      <c r="Z2426" s="3">
        <f>IFERROR(__xludf.DUMMYFUNCTION("""COMPUTED_VALUE"""),0.0)</f>
        <v>0</v>
      </c>
      <c r="AA2426" s="3">
        <f>IFERROR(__xludf.DUMMYFUNCTION("""COMPUTED_VALUE"""),0.0)</f>
        <v>0</v>
      </c>
      <c r="AB2426" s="3" t="str">
        <f>IFERROR(__xludf.DUMMYFUNCTION("""COMPUTED_VALUE"""),"บึงกาฬ")</f>
        <v>บึงกาฬ</v>
      </c>
      <c r="AC2426" s="3">
        <f>IFERROR(__xludf.DUMMYFUNCTION("""COMPUTED_VALUE"""),38220.0)</f>
        <v>38220</v>
      </c>
      <c r="AD2426" s="3"/>
      <c r="AE2426" s="3"/>
      <c r="AF2426" s="3" t="str">
        <f>IFERROR(__xludf.DUMMYFUNCTION("""COMPUTED_VALUE"""),"ร้าน 88 สโตร์-83103")</f>
        <v>ร้าน 88 สโตร์-83103</v>
      </c>
      <c r="AG2426" s="3" t="str">
        <f>IFERROR(__xludf.DUMMYFUNCTION("""COMPUTED_VALUE"""),"ตะวันออกเฉียงเหนือ")</f>
        <v>ตะวันออกเฉียงเหนือ</v>
      </c>
      <c r="AH2426" s="3" t="str">
        <f>IFERROR(__xludf.DUMMYFUNCTION("""COMPUTED_VALUE"""),"#N/A")</f>
        <v>#N/A</v>
      </c>
      <c r="AI2426" s="3" t="str">
        <f>IFERROR(__xludf.DUMMYFUNCTION("""COMPUTED_VALUE"""),"Out of warranty")</f>
        <v>Out of warranty</v>
      </c>
      <c r="AJ2426" s="3">
        <f>IFERROR(__xludf.DUMMYFUNCTION("""COMPUTED_VALUE"""),50.0)</f>
        <v>50</v>
      </c>
      <c r="AK2426" s="3"/>
      <c r="AL2426" s="3"/>
    </row>
    <row r="2427" ht="15.75" customHeight="1">
      <c r="A2427" s="1" t="str">
        <f>IFERROR(__xludf.DUMMYFUNCTION("""COMPUTED_VALUE"""),"83104")</f>
        <v>83104</v>
      </c>
      <c r="B2427" s="2">
        <f>IFERROR(__xludf.DUMMYFUNCTION("""COMPUTED_VALUE"""),83104.0)</f>
        <v>83104</v>
      </c>
      <c r="C2427" s="3" t="str">
        <f>IFERROR(__xludf.DUMMYFUNCTION("""COMPUTED_VALUE"""),"ร้านเอื้องฟ้าพาณิชย์")</f>
        <v>ร้านเอื้องฟ้าพาณิชย์</v>
      </c>
      <c r="D2427" s="3" t="str">
        <f>IFERROR(__xludf.DUMMYFUNCTION("""COMPUTED_VALUE"""),"ร้านเอื้องฟ้าพาณิชย์")</f>
        <v>ร้านเอื้องฟ้าพาณิชย์</v>
      </c>
      <c r="E2427" s="1" t="str">
        <f>IFERROR(__xludf.DUMMYFUNCTION("""COMPUTED_VALUE"""),"Donjai")</f>
        <v>Donjai</v>
      </c>
      <c r="F2427" s="1" t="str">
        <f>IFERROR(__xludf.DUMMYFUNCTION("""COMPUTED_VALUE"""),"296868")</f>
        <v>296868</v>
      </c>
      <c r="G2427" s="1" t="str">
        <f>IFERROR(__xludf.DUMMYFUNCTION("""COMPUTED_VALUE"""),"นายพีระพงษ์ แก้วดวงดี")</f>
        <v>นายพีระพงษ์ แก้วดวงดี</v>
      </c>
      <c r="H2427" s="1" t="str">
        <f>IFERROR(__xludf.DUMMYFUNCTION("""COMPUTED_VALUE"""),"296868")</f>
        <v>296868</v>
      </c>
      <c r="I2427" s="1" t="str">
        <f>IFERROR(__xludf.DUMMYFUNCTION("""COMPUTED_VALUE"""),"นายพีระพงษ์ แก้วดวงดี")</f>
        <v>นายพีระพงษ์ แก้วดวงดี</v>
      </c>
      <c r="J2427" s="3">
        <f>IFERROR(__xludf.DUMMYFUNCTION("""COMPUTED_VALUE"""),295886.0)</f>
        <v>295886</v>
      </c>
      <c r="K2427" s="3" t="str">
        <f>IFERROR(__xludf.DUMMYFUNCTION("""COMPUTED_VALUE"""),"นายจิระพงษ์ โพธิ์นิล")</f>
        <v>นายจิระพงษ์ โพธิ์นิล</v>
      </c>
      <c r="L2427" s="1" t="str">
        <f>IFERROR(__xludf.DUMMYFUNCTION("""COMPUTED_VALUE"""),"นายจิระพงษ์ โพธิ์นิล")</f>
        <v>นายจิระพงษ์ โพธิ์นิล</v>
      </c>
      <c r="M2427" s="1" t="str">
        <f>IFERROR(__xludf.DUMMYFUNCTION("""COMPUTED_VALUE"""),"0933290754")</f>
        <v>0933290754</v>
      </c>
      <c r="N2427" s="3">
        <f>IFERROR(__xludf.DUMMYFUNCTION("""COMPUTED_VALUE"""),83104.0)</f>
        <v>83104</v>
      </c>
      <c r="O2427" s="3" t="str">
        <f>IFERROR(__xludf.DUMMYFUNCTION("""COMPUTED_VALUE"""),"ร้านเอื้องฟ้าพาณิชย์")</f>
        <v>ร้านเอื้องฟ้าพาณิชย์</v>
      </c>
      <c r="P2427" s="4">
        <f>IFERROR(__xludf.DUMMYFUNCTION("""COMPUTED_VALUE"""),44555.0)</f>
        <v>44555</v>
      </c>
      <c r="Q2427" s="3" t="str">
        <f>IFERROR(__xludf.DUMMYFUNCTION("""COMPUTED_VALUE"""),"I")</f>
        <v>I</v>
      </c>
      <c r="R2427" s="3" t="str">
        <f>IFERROR(__xludf.DUMMYFUNCTION("""COMPUTED_VALUE"""),"Small Format")</f>
        <v>Small Format</v>
      </c>
      <c r="S2427" s="3" t="str">
        <f>IFERROR(__xludf.DUMMYFUNCTION("""COMPUTED_VALUE"""),"Donjai")</f>
        <v>Donjai</v>
      </c>
      <c r="T2427" s="3" t="str">
        <f>IFERROR(__xludf.DUMMYFUNCTION("""COMPUTED_VALUE"""),"03 K.Peerapong K.")</f>
        <v>03 K.Peerapong K.</v>
      </c>
      <c r="U2427" s="3" t="str">
        <f>IFERROR(__xludf.DUMMYFUNCTION("""COMPUTED_VALUE"""),"03 K.Peerapong K.")</f>
        <v>03 K.Peerapong K.</v>
      </c>
      <c r="V2427" s="3" t="str">
        <f>IFERROR(__xludf.DUMMYFUNCTION("""COMPUTED_VALUE"""),"N")</f>
        <v>N</v>
      </c>
      <c r="W2427" s="3"/>
      <c r="X2427" s="3" t="str">
        <f>IFERROR(__xludf.DUMMYFUNCTION("""COMPUTED_VALUE"""),"112 ม.8 ต.นาดี อ.หนอแสง จ.อุดรธานี 41340")</f>
        <v>112 ม.8 ต.นาดี อ.หนอแสง จ.อุดรธานี 41340</v>
      </c>
      <c r="Y2427" s="3"/>
      <c r="Z2427" s="3">
        <f>IFERROR(__xludf.DUMMYFUNCTION("""COMPUTED_VALUE"""),0.0)</f>
        <v>0</v>
      </c>
      <c r="AA2427" s="3">
        <f>IFERROR(__xludf.DUMMYFUNCTION("""COMPUTED_VALUE"""),0.0)</f>
        <v>0</v>
      </c>
      <c r="AB2427" s="3" t="str">
        <f>IFERROR(__xludf.DUMMYFUNCTION("""COMPUTED_VALUE"""),"อุดรธานี")</f>
        <v>อุดรธานี</v>
      </c>
      <c r="AC2427" s="3">
        <f>IFERROR(__xludf.DUMMYFUNCTION("""COMPUTED_VALUE"""),41340.0)</f>
        <v>41340</v>
      </c>
      <c r="AD2427" s="3"/>
      <c r="AE2427" s="3"/>
      <c r="AF2427" s="3" t="str">
        <f>IFERROR(__xludf.DUMMYFUNCTION("""COMPUTED_VALUE"""),"ร้านเอื้องฟ้าพาณิชย์ -83104")</f>
        <v>ร้านเอื้องฟ้าพาณิชย์ -83104</v>
      </c>
      <c r="AG2427" s="3" t="str">
        <f>IFERROR(__xludf.DUMMYFUNCTION("""COMPUTED_VALUE"""),"ตะวันออกเฉียงเหนือ")</f>
        <v>ตะวันออกเฉียงเหนือ</v>
      </c>
      <c r="AH2427" s="3" t="str">
        <f>IFERROR(__xludf.DUMMYFUNCTION("""COMPUTED_VALUE"""),"#N/A")</f>
        <v>#N/A</v>
      </c>
      <c r="AI2427" s="3" t="str">
        <f>IFERROR(__xludf.DUMMYFUNCTION("""COMPUTED_VALUE"""),"Out of warranty")</f>
        <v>Out of warranty</v>
      </c>
      <c r="AJ2427" s="3">
        <f>IFERROR(__xludf.DUMMYFUNCTION("""COMPUTED_VALUE"""),49.0)</f>
        <v>49</v>
      </c>
      <c r="AK2427" s="3"/>
      <c r="AL2427" s="3"/>
    </row>
    <row r="2428" ht="15.75" customHeight="1">
      <c r="A2428" s="1" t="str">
        <f>IFERROR(__xludf.DUMMYFUNCTION("""COMPUTED_VALUE"""),"83105")</f>
        <v>83105</v>
      </c>
      <c r="B2428" s="2">
        <f>IFERROR(__xludf.DUMMYFUNCTION("""COMPUTED_VALUE"""),83105.0)</f>
        <v>83105</v>
      </c>
      <c r="C2428" s="3" t="str">
        <f>IFERROR(__xludf.DUMMYFUNCTION("""COMPUTED_VALUE"""),"ร้าน 3 สาวโดนใจ")</f>
        <v>ร้าน 3 สาวโดนใจ</v>
      </c>
      <c r="D2428" s="3" t="str">
        <f>IFERROR(__xludf.DUMMYFUNCTION("""COMPUTED_VALUE"""),"ร้าน 3 สาวโดนใจ")</f>
        <v>ร้าน 3 สาวโดนใจ</v>
      </c>
      <c r="E2428" s="1" t="str">
        <f>IFERROR(__xludf.DUMMYFUNCTION("""COMPUTED_VALUE"""),"Donjai")</f>
        <v>Donjai</v>
      </c>
      <c r="F2428" s="1" t="str">
        <f>IFERROR(__xludf.DUMMYFUNCTION("""COMPUTED_VALUE"""),"2010023")</f>
        <v>2010023</v>
      </c>
      <c r="G2428" s="1" t="str">
        <f>IFERROR(__xludf.DUMMYFUNCTION("""COMPUTED_VALUE"""),"นายวศิน ไวยรูป")</f>
        <v>นายวศิน ไวยรูป</v>
      </c>
      <c r="H2428" s="1" t="str">
        <f>IFERROR(__xludf.DUMMYFUNCTION("""COMPUTED_VALUE"""),"2010023")</f>
        <v>2010023</v>
      </c>
      <c r="I2428" s="1" t="str">
        <f>IFERROR(__xludf.DUMMYFUNCTION("""COMPUTED_VALUE"""),"นายวศิน ไวยรูป")</f>
        <v>นายวศิน ไวยรูป</v>
      </c>
      <c r="J2428" s="3">
        <f>IFERROR(__xludf.DUMMYFUNCTION("""COMPUTED_VALUE"""),228031.0)</f>
        <v>228031</v>
      </c>
      <c r="K2428" s="3" t="str">
        <f>IFERROR(__xludf.DUMMYFUNCTION("""COMPUTED_VALUE"""),"นายธนพงษ์ วันหมัด")</f>
        <v>นายธนพงษ์ วันหมัด</v>
      </c>
      <c r="L2428" s="1" t="str">
        <f>IFERROR(__xludf.DUMMYFUNCTION("""COMPUTED_VALUE"""),"นายธนพงษ์ วันหมัด")</f>
        <v>นายธนพงษ์ วันหมัด</v>
      </c>
      <c r="M2428" s="1" t="str">
        <f>IFERROR(__xludf.DUMMYFUNCTION("""COMPUTED_VALUE"""),"0813716913")</f>
        <v>0813716913</v>
      </c>
      <c r="N2428" s="3">
        <f>IFERROR(__xludf.DUMMYFUNCTION("""COMPUTED_VALUE"""),83105.0)</f>
        <v>83105</v>
      </c>
      <c r="O2428" s="3" t="str">
        <f>IFERROR(__xludf.DUMMYFUNCTION("""COMPUTED_VALUE"""),"ร้าน 3 สาวโดนใจ")</f>
        <v>ร้าน 3 สาวโดนใจ</v>
      </c>
      <c r="P2428" s="4">
        <f>IFERROR(__xludf.DUMMYFUNCTION("""COMPUTED_VALUE"""),44549.0)</f>
        <v>44549</v>
      </c>
      <c r="Q2428" s="3" t="str">
        <f>IFERROR(__xludf.DUMMYFUNCTION("""COMPUTED_VALUE"""),"I")</f>
        <v>I</v>
      </c>
      <c r="R2428" s="3" t="str">
        <f>IFERROR(__xludf.DUMMYFUNCTION("""COMPUTED_VALUE"""),"Small Format")</f>
        <v>Small Format</v>
      </c>
      <c r="S2428" s="3" t="str">
        <f>IFERROR(__xludf.DUMMYFUNCTION("""COMPUTED_VALUE"""),"Donjai")</f>
        <v>Donjai</v>
      </c>
      <c r="T2428" s="3" t="str">
        <f>IFERROR(__xludf.DUMMYFUNCTION("""COMPUTED_VALUE"""),"Donjai")</f>
        <v>Donjai</v>
      </c>
      <c r="U2428" s="3" t="str">
        <f>IFERROR(__xludf.DUMMYFUNCTION("""COMPUTED_VALUE"""),"Donjai")</f>
        <v>Donjai</v>
      </c>
      <c r="V2428" s="3" t="str">
        <f>IFERROR(__xludf.DUMMYFUNCTION("""COMPUTED_VALUE"""),"N")</f>
        <v>N</v>
      </c>
      <c r="W2428" s="3"/>
      <c r="X2428" s="3" t="str">
        <f>IFERROR(__xludf.DUMMYFUNCTION("""COMPUTED_VALUE"""),"25 หมู่4 ซอยบางบ่อ-หนองครก ถนนบางบ่อ-หนองครก ตำบลแปลงยาว อำเภอแปลงยาว จังหวัดฉะเชิงเทรา 24190")</f>
        <v>25 หมู่4 ซอยบางบ่อ-หนองครก ถนนบางบ่อ-หนองครก ตำบลแปลงยาว อำเภอแปลงยาว จังหวัดฉะเชิงเทรา 24190</v>
      </c>
      <c r="Y2428" s="3"/>
      <c r="Z2428" s="3">
        <f>IFERROR(__xludf.DUMMYFUNCTION("""COMPUTED_VALUE"""),0.0)</f>
        <v>0</v>
      </c>
      <c r="AA2428" s="3">
        <f>IFERROR(__xludf.DUMMYFUNCTION("""COMPUTED_VALUE"""),0.0)</f>
        <v>0</v>
      </c>
      <c r="AB2428" s="3" t="str">
        <f>IFERROR(__xludf.DUMMYFUNCTION("""COMPUTED_VALUE"""),"ฉะเชิงเทรา")</f>
        <v>ฉะเชิงเทรา</v>
      </c>
      <c r="AC2428" s="3">
        <f>IFERROR(__xludf.DUMMYFUNCTION("""COMPUTED_VALUE"""),24190.0)</f>
        <v>24190</v>
      </c>
      <c r="AD2428" s="3"/>
      <c r="AE2428" s="3"/>
      <c r="AF2428" s="3" t="str">
        <f>IFERROR(__xludf.DUMMYFUNCTION("""COMPUTED_VALUE"""),"ร้าน 3 สาวโดนใจ-83105")</f>
        <v>ร้าน 3 สาวโดนใจ-83105</v>
      </c>
      <c r="AG2428" s="3" t="str">
        <f>IFERROR(__xludf.DUMMYFUNCTION("""COMPUTED_VALUE"""),"ตะวันออก")</f>
        <v>ตะวันออก</v>
      </c>
      <c r="AH2428" s="3" t="str">
        <f>IFERROR(__xludf.DUMMYFUNCTION("""COMPUTED_VALUE"""),"#N/A")</f>
        <v>#N/A</v>
      </c>
      <c r="AI2428" s="3" t="str">
        <f>IFERROR(__xludf.DUMMYFUNCTION("""COMPUTED_VALUE"""),"Out of warranty")</f>
        <v>Out of warranty</v>
      </c>
      <c r="AJ2428" s="3">
        <f>IFERROR(__xludf.DUMMYFUNCTION("""COMPUTED_VALUE"""),50.0)</f>
        <v>50</v>
      </c>
      <c r="AK2428" s="3"/>
      <c r="AL2428" s="3"/>
    </row>
    <row r="2429" ht="15.75" customHeight="1">
      <c r="A2429" s="1" t="str">
        <f>IFERROR(__xludf.DUMMYFUNCTION("""COMPUTED_VALUE"""),"83107")</f>
        <v>83107</v>
      </c>
      <c r="B2429" s="2">
        <f>IFERROR(__xludf.DUMMYFUNCTION("""COMPUTED_VALUE"""),83107.0)</f>
        <v>83107</v>
      </c>
      <c r="C2429" s="3" t="str">
        <f>IFERROR(__xludf.DUMMYFUNCTION("""COMPUTED_VALUE"""),"โชคดีพาณิชย์")</f>
        <v>โชคดีพาณิชย์</v>
      </c>
      <c r="D2429" s="3" t="str">
        <f>IFERROR(__xludf.DUMMYFUNCTION("""COMPUTED_VALUE"""),"โชคดีพาณิชย์")</f>
        <v>โชคดีพาณิชย์</v>
      </c>
      <c r="E2429" s="1" t="str">
        <f>IFERROR(__xludf.DUMMYFUNCTION("""COMPUTED_VALUE"""),"Donjai")</f>
        <v>Donjai</v>
      </c>
      <c r="F2429" s="1" t="str">
        <f>IFERROR(__xludf.DUMMYFUNCTION("""COMPUTED_VALUE"""),"296945")</f>
        <v>296945</v>
      </c>
      <c r="G2429" s="1" t="str">
        <f>IFERROR(__xludf.DUMMYFUNCTION("""COMPUTED_VALUE"""),"นายรักพงศ์ พงศ์พันธ์งาม")</f>
        <v>นายรักพงศ์ พงศ์พันธ์งาม</v>
      </c>
      <c r="H2429" s="1" t="str">
        <f>IFERROR(__xludf.DUMMYFUNCTION("""COMPUTED_VALUE"""),"296945")</f>
        <v>296945</v>
      </c>
      <c r="I2429" s="1" t="str">
        <f>IFERROR(__xludf.DUMMYFUNCTION("""COMPUTED_VALUE"""),"นายรักพงศ์ พงศ์พันธ์งาม")</f>
        <v>นายรักพงศ์ พงศ์พันธ์งาม</v>
      </c>
      <c r="J2429" s="3">
        <f>IFERROR(__xludf.DUMMYFUNCTION("""COMPUTED_VALUE"""),228031.0)</f>
        <v>228031</v>
      </c>
      <c r="K2429" s="3" t="str">
        <f>IFERROR(__xludf.DUMMYFUNCTION("""COMPUTED_VALUE"""),"นายธนพงษ์ วันหมัด")</f>
        <v>นายธนพงษ์ วันหมัด</v>
      </c>
      <c r="L2429" s="1" t="str">
        <f>IFERROR(__xludf.DUMMYFUNCTION("""COMPUTED_VALUE"""),"นายธนพงษ์ วันหมัด")</f>
        <v>นายธนพงษ์ วันหมัด</v>
      </c>
      <c r="M2429" s="1" t="str">
        <f>IFERROR(__xludf.DUMMYFUNCTION("""COMPUTED_VALUE"""),"0813716913")</f>
        <v>0813716913</v>
      </c>
      <c r="N2429" s="3">
        <f>IFERROR(__xludf.DUMMYFUNCTION("""COMPUTED_VALUE"""),83107.0)</f>
        <v>83107</v>
      </c>
      <c r="O2429" s="3" t="str">
        <f>IFERROR(__xludf.DUMMYFUNCTION("""COMPUTED_VALUE"""),"โชคดีพาณิชย์")</f>
        <v>โชคดีพาณิชย์</v>
      </c>
      <c r="P2429" s="4">
        <f>IFERROR(__xludf.DUMMYFUNCTION("""COMPUTED_VALUE"""),44621.0)</f>
        <v>44621</v>
      </c>
      <c r="Q2429" s="3" t="str">
        <f>IFERROR(__xludf.DUMMYFUNCTION("""COMPUTED_VALUE"""),"I")</f>
        <v>I</v>
      </c>
      <c r="R2429" s="3" t="str">
        <f>IFERROR(__xludf.DUMMYFUNCTION("""COMPUTED_VALUE"""),"Small Format")</f>
        <v>Small Format</v>
      </c>
      <c r="S2429" s="3" t="str">
        <f>IFERROR(__xludf.DUMMYFUNCTION("""COMPUTED_VALUE"""),"Donjai")</f>
        <v>Donjai</v>
      </c>
      <c r="T2429" s="3">
        <f>IFERROR(__xludf.DUMMYFUNCTION("""COMPUTED_VALUE"""),0.0)</f>
        <v>0</v>
      </c>
      <c r="U2429" s="3">
        <f>IFERROR(__xludf.DUMMYFUNCTION("""COMPUTED_VALUE"""),0.0)</f>
        <v>0</v>
      </c>
      <c r="V2429" s="3" t="str">
        <f>IFERROR(__xludf.DUMMYFUNCTION("""COMPUTED_VALUE"""),"N")</f>
        <v>N</v>
      </c>
      <c r="W2429" s="3"/>
      <c r="X2429" s="3" t="str">
        <f>IFERROR(__xludf.DUMMYFUNCTION("""COMPUTED_VALUE"""),"287 หมู่5 ต.วังใหม่ อ.วังสมบูรณ์ จ.สระแก้ว")</f>
        <v>287 หมู่5 ต.วังใหม่ อ.วังสมบูรณ์ จ.สระแก้ว</v>
      </c>
      <c r="Y2429" s="3"/>
      <c r="Z2429" s="3">
        <f>IFERROR(__xludf.DUMMYFUNCTION("""COMPUTED_VALUE"""),0.0)</f>
        <v>0</v>
      </c>
      <c r="AA2429" s="3">
        <f>IFERROR(__xludf.DUMMYFUNCTION("""COMPUTED_VALUE"""),0.0)</f>
        <v>0</v>
      </c>
      <c r="AB2429" s="3" t="str">
        <f>IFERROR(__xludf.DUMMYFUNCTION("""COMPUTED_VALUE"""),"สระแก้ว")</f>
        <v>สระแก้ว</v>
      </c>
      <c r="AC2429" s="3">
        <f>IFERROR(__xludf.DUMMYFUNCTION("""COMPUTED_VALUE"""),0.0)</f>
        <v>0</v>
      </c>
      <c r="AD2429" s="3"/>
      <c r="AE2429" s="3"/>
      <c r="AF2429" s="3" t="str">
        <f>IFERROR(__xludf.DUMMYFUNCTION("""COMPUTED_VALUE"""),"โชคดีพาณิชย์-83107")</f>
        <v>โชคดีพาณิชย์-83107</v>
      </c>
      <c r="AG2429" s="3" t="str">
        <f>IFERROR(__xludf.DUMMYFUNCTION("""COMPUTED_VALUE"""),"ตะวันออก")</f>
        <v>ตะวันออก</v>
      </c>
      <c r="AH2429" s="3" t="str">
        <f>IFERROR(__xludf.DUMMYFUNCTION("""COMPUTED_VALUE"""),"#N/A")</f>
        <v>#N/A</v>
      </c>
      <c r="AI2429" s="3" t="str">
        <f>IFERROR(__xludf.DUMMYFUNCTION("""COMPUTED_VALUE"""),"Out of warranty")</f>
        <v>Out of warranty</v>
      </c>
      <c r="AJ2429" s="3">
        <f>IFERROR(__xludf.DUMMYFUNCTION("""COMPUTED_VALUE"""),47.0)</f>
        <v>47</v>
      </c>
      <c r="AK2429" s="3"/>
      <c r="AL2429" s="3"/>
    </row>
    <row r="2430" ht="15.75" customHeight="1">
      <c r="A2430" s="1" t="str">
        <f>IFERROR(__xludf.DUMMYFUNCTION("""COMPUTED_VALUE"""),"83108")</f>
        <v>83108</v>
      </c>
      <c r="B2430" s="2">
        <f>IFERROR(__xludf.DUMMYFUNCTION("""COMPUTED_VALUE"""),83108.0)</f>
        <v>83108</v>
      </c>
      <c r="C2430" s="3" t="str">
        <f>IFERROR(__xludf.DUMMYFUNCTION("""COMPUTED_VALUE"""),"ร้านนานาการค้า")</f>
        <v>ร้านนานาการค้า</v>
      </c>
      <c r="D2430" s="3" t="str">
        <f>IFERROR(__xludf.DUMMYFUNCTION("""COMPUTED_VALUE"""),"ร้านนานาการค้า")</f>
        <v>ร้านนานาการค้า</v>
      </c>
      <c r="E2430" s="1" t="str">
        <f>IFERROR(__xludf.DUMMYFUNCTION("""COMPUTED_VALUE"""),"Donjai")</f>
        <v>Donjai</v>
      </c>
      <c r="F2430" s="1" t="str">
        <f>IFERROR(__xludf.DUMMYFUNCTION("""COMPUTED_VALUE"""),"046214")</f>
        <v>046214</v>
      </c>
      <c r="G2430" s="1" t="str">
        <f>IFERROR(__xludf.DUMMYFUNCTION("""COMPUTED_VALUE"""),"นายศักดิ์ชัย เด็ดดอกฟ้า")</f>
        <v>นายศักดิ์ชัย เด็ดดอกฟ้า</v>
      </c>
      <c r="H2430" s="1" t="str">
        <f>IFERROR(__xludf.DUMMYFUNCTION("""COMPUTED_VALUE"""),"046214")</f>
        <v>046214</v>
      </c>
      <c r="I2430" s="1" t="str">
        <f>IFERROR(__xludf.DUMMYFUNCTION("""COMPUTED_VALUE"""),"นายศักดิ์ชัย เด็ดดอกฟ้า")</f>
        <v>นายศักดิ์ชัย เด็ดดอกฟ้า</v>
      </c>
      <c r="J2430" s="3">
        <f>IFERROR(__xludf.DUMMYFUNCTION("""COMPUTED_VALUE"""),295886.0)</f>
        <v>295886</v>
      </c>
      <c r="K2430" s="3" t="str">
        <f>IFERROR(__xludf.DUMMYFUNCTION("""COMPUTED_VALUE"""),"นายจิระพงษ์ โพธิ์นิล")</f>
        <v>นายจิระพงษ์ โพธิ์นิล</v>
      </c>
      <c r="L2430" s="1" t="str">
        <f>IFERROR(__xludf.DUMMYFUNCTION("""COMPUTED_VALUE"""),"นายจิระพงษ์ โพธิ์นิล")</f>
        <v>นายจิระพงษ์ โพธิ์นิล</v>
      </c>
      <c r="M2430" s="1" t="str">
        <f>IFERROR(__xludf.DUMMYFUNCTION("""COMPUTED_VALUE"""),"0933290754")</f>
        <v>0933290754</v>
      </c>
      <c r="N2430" s="3">
        <f>IFERROR(__xludf.DUMMYFUNCTION("""COMPUTED_VALUE"""),83108.0)</f>
        <v>83108</v>
      </c>
      <c r="O2430" s="3" t="str">
        <f>IFERROR(__xludf.DUMMYFUNCTION("""COMPUTED_VALUE"""),"ร้านนานาการค้า")</f>
        <v>ร้านนานาการค้า</v>
      </c>
      <c r="P2430" s="4">
        <f>IFERROR(__xludf.DUMMYFUNCTION("""COMPUTED_VALUE"""),44535.0)</f>
        <v>44535</v>
      </c>
      <c r="Q2430" s="3" t="str">
        <f>IFERROR(__xludf.DUMMYFUNCTION("""COMPUTED_VALUE"""),"A")</f>
        <v>A</v>
      </c>
      <c r="R2430" s="3" t="str">
        <f>IFERROR(__xludf.DUMMYFUNCTION("""COMPUTED_VALUE"""),"Small Format")</f>
        <v>Small Format</v>
      </c>
      <c r="S2430" s="3" t="str">
        <f>IFERROR(__xludf.DUMMYFUNCTION("""COMPUTED_VALUE"""),"Donjai")</f>
        <v>Donjai</v>
      </c>
      <c r="T2430" s="3" t="str">
        <f>IFERROR(__xludf.DUMMYFUNCTION("""COMPUTED_VALUE"""),"02 K.Sakchai D")</f>
        <v>02 K.Sakchai D</v>
      </c>
      <c r="U2430" s="3" t="str">
        <f>IFERROR(__xludf.DUMMYFUNCTION("""COMPUTED_VALUE"""),"02 K.Sakchai D")</f>
        <v>02 K.Sakchai D</v>
      </c>
      <c r="V2430" s="3" t="str">
        <f>IFERROR(__xludf.DUMMYFUNCTION("""COMPUTED_VALUE"""),"N")</f>
        <v>N</v>
      </c>
      <c r="W2430" s="3"/>
      <c r="X2430" s="3" t="str">
        <f>IFERROR(__xludf.DUMMYFUNCTION("""COMPUTED_VALUE"""),"102/3 ต.บ้านโคก อ.เมือง จ.เพชรบูรณ์ 67000")</f>
        <v>102/3 ต.บ้านโคก อ.เมือง จ.เพชรบูรณ์ 67000</v>
      </c>
      <c r="Y2430" s="3"/>
      <c r="Z2430" s="3" t="str">
        <f>IFERROR(__xludf.DUMMYFUNCTION("""COMPUTED_VALUE"""),"บ้านโคก")</f>
        <v>บ้านโคก</v>
      </c>
      <c r="AA2430" s="3" t="str">
        <f>IFERROR(__xludf.DUMMYFUNCTION("""COMPUTED_VALUE"""),"เมืองเพชรบูรณื")</f>
        <v>เมืองเพชรบูรณื</v>
      </c>
      <c r="AB2430" s="3" t="str">
        <f>IFERROR(__xludf.DUMMYFUNCTION("""COMPUTED_VALUE"""),"เพชรบูรณ์")</f>
        <v>เพชรบูรณ์</v>
      </c>
      <c r="AC2430" s="3">
        <f>IFERROR(__xludf.DUMMYFUNCTION("""COMPUTED_VALUE"""),67000.0)</f>
        <v>67000</v>
      </c>
      <c r="AD2430" s="3"/>
      <c r="AE2430" s="3"/>
      <c r="AF2430" s="3" t="str">
        <f>IFERROR(__xludf.DUMMYFUNCTION("""COMPUTED_VALUE"""),"ร้านนานาการค้า-83108")</f>
        <v>ร้านนานาการค้า-83108</v>
      </c>
      <c r="AG2430" s="3" t="str">
        <f>IFERROR(__xludf.DUMMYFUNCTION("""COMPUTED_VALUE"""),"กลาง")</f>
        <v>กลาง</v>
      </c>
      <c r="AH2430" s="3" t="str">
        <f>IFERROR(__xludf.DUMMYFUNCTION("""COMPUTED_VALUE"""),"#N/A")</f>
        <v>#N/A</v>
      </c>
      <c r="AI2430" s="3" t="str">
        <f>IFERROR(__xludf.DUMMYFUNCTION("""COMPUTED_VALUE"""),"Out of warranty")</f>
        <v>Out of warranty</v>
      </c>
      <c r="AJ2430" s="3">
        <f>IFERROR(__xludf.DUMMYFUNCTION("""COMPUTED_VALUE"""),50.0)</f>
        <v>50</v>
      </c>
      <c r="AK2430" s="3"/>
      <c r="AL2430" s="3"/>
    </row>
    <row r="2431" ht="15.75" customHeight="1">
      <c r="A2431" s="1" t="str">
        <f>IFERROR(__xludf.DUMMYFUNCTION("""COMPUTED_VALUE"""),"83112")</f>
        <v>83112</v>
      </c>
      <c r="B2431" s="2">
        <f>IFERROR(__xludf.DUMMYFUNCTION("""COMPUTED_VALUE"""),83112.0)</f>
        <v>83112</v>
      </c>
      <c r="C2431" s="3" t="str">
        <f>IFERROR(__xludf.DUMMYFUNCTION("""COMPUTED_VALUE"""),"ร้านสุพรรณเครื่องดื่ม")</f>
        <v>ร้านสุพรรณเครื่องดื่ม</v>
      </c>
      <c r="D2431" s="3" t="str">
        <f>IFERROR(__xludf.DUMMYFUNCTION("""COMPUTED_VALUE"""),"ร้านสุพรรณเครื่องดื่ม")</f>
        <v>ร้านสุพรรณเครื่องดื่ม</v>
      </c>
      <c r="E2431" s="1" t="str">
        <f>IFERROR(__xludf.DUMMYFUNCTION("""COMPUTED_VALUE"""),"Donjai")</f>
        <v>Donjai</v>
      </c>
      <c r="F2431" s="1" t="str">
        <f>IFERROR(__xludf.DUMMYFUNCTION("""COMPUTED_VALUE"""),"2454781")</f>
        <v>2454781</v>
      </c>
      <c r="G2431" s="1" t="str">
        <f>IFERROR(__xludf.DUMMYFUNCTION("""COMPUTED_VALUE"""),"นายฌานกฤช นันทะโคต")</f>
        <v>นายฌานกฤช นันทะโคต</v>
      </c>
      <c r="H2431" s="1" t="str">
        <f>IFERROR(__xludf.DUMMYFUNCTION("""COMPUTED_VALUE"""),"2454781")</f>
        <v>2454781</v>
      </c>
      <c r="I2431" s="1" t="str">
        <f>IFERROR(__xludf.DUMMYFUNCTION("""COMPUTED_VALUE"""),"นายฌานกฤช นันทะโคต")</f>
        <v>นายฌานกฤช นันทะโคต</v>
      </c>
      <c r="J2431" s="3">
        <f>IFERROR(__xludf.DUMMYFUNCTION("""COMPUTED_VALUE"""),295886.0)</f>
        <v>295886</v>
      </c>
      <c r="K2431" s="3" t="str">
        <f>IFERROR(__xludf.DUMMYFUNCTION("""COMPUTED_VALUE"""),"นายจิระพงษ์ โพธิ์นิล")</f>
        <v>นายจิระพงษ์ โพธิ์นิล</v>
      </c>
      <c r="L2431" s="1" t="str">
        <f>IFERROR(__xludf.DUMMYFUNCTION("""COMPUTED_VALUE"""),"นายจิระพงษ์ โพธิ์นิล")</f>
        <v>นายจิระพงษ์ โพธิ์นิล</v>
      </c>
      <c r="M2431" s="1" t="str">
        <f>IFERROR(__xludf.DUMMYFUNCTION("""COMPUTED_VALUE"""),"0933290754")</f>
        <v>0933290754</v>
      </c>
      <c r="N2431" s="3">
        <f>IFERROR(__xludf.DUMMYFUNCTION("""COMPUTED_VALUE"""),83112.0)</f>
        <v>83112</v>
      </c>
      <c r="O2431" s="3" t="str">
        <f>IFERROR(__xludf.DUMMYFUNCTION("""COMPUTED_VALUE"""),"ร้านสุพรรณเครื่องดื่ม")</f>
        <v>ร้านสุพรรณเครื่องดื่ม</v>
      </c>
      <c r="P2431" s="4">
        <f>IFERROR(__xludf.DUMMYFUNCTION("""COMPUTED_VALUE"""),44535.0)</f>
        <v>44535</v>
      </c>
      <c r="Q2431" s="3" t="str">
        <f>IFERROR(__xludf.DUMMYFUNCTION("""COMPUTED_VALUE"""),"A")</f>
        <v>A</v>
      </c>
      <c r="R2431" s="3" t="str">
        <f>IFERROR(__xludf.DUMMYFUNCTION("""COMPUTED_VALUE"""),"Small Format")</f>
        <v>Small Format</v>
      </c>
      <c r="S2431" s="3" t="str">
        <f>IFERROR(__xludf.DUMMYFUNCTION("""COMPUTED_VALUE"""),"Donjai")</f>
        <v>Donjai</v>
      </c>
      <c r="T2431" s="3" t="str">
        <f>IFERROR(__xludf.DUMMYFUNCTION("""COMPUTED_VALUE"""),"05 K.Chanakrit N.")</f>
        <v>05 K.Chanakrit N.</v>
      </c>
      <c r="U2431" s="3" t="str">
        <f>IFERROR(__xludf.DUMMYFUNCTION("""COMPUTED_VALUE"""),"05 K.Chanakrit N.")</f>
        <v>05 K.Chanakrit N.</v>
      </c>
      <c r="V2431" s="3" t="str">
        <f>IFERROR(__xludf.DUMMYFUNCTION("""COMPUTED_VALUE"""),"N")</f>
        <v>N</v>
      </c>
      <c r="W2431" s="3"/>
      <c r="X2431" s="3" t="str">
        <f>IFERROR(__xludf.DUMMYFUNCTION("""COMPUTED_VALUE"""),"89 ม.19 ต.กุดชมภู อ.พิบูลมังสหาร จ.อุบลราชธานี 34110")</f>
        <v>89 ม.19 ต.กุดชมภู อ.พิบูลมังสหาร จ.อุบลราชธานี 34110</v>
      </c>
      <c r="Y2431" s="3"/>
      <c r="Z2431" s="3">
        <f>IFERROR(__xludf.DUMMYFUNCTION("""COMPUTED_VALUE"""),0.0)</f>
        <v>0</v>
      </c>
      <c r="AA2431" s="3">
        <f>IFERROR(__xludf.DUMMYFUNCTION("""COMPUTED_VALUE"""),0.0)</f>
        <v>0</v>
      </c>
      <c r="AB2431" s="3" t="str">
        <f>IFERROR(__xludf.DUMMYFUNCTION("""COMPUTED_VALUE"""),"อุบลราชธานี")</f>
        <v>อุบลราชธานี</v>
      </c>
      <c r="AC2431" s="3">
        <f>IFERROR(__xludf.DUMMYFUNCTION("""COMPUTED_VALUE"""),34110.0)</f>
        <v>34110</v>
      </c>
      <c r="AD2431" s="3"/>
      <c r="AE2431" s="3"/>
      <c r="AF2431" s="3" t="str">
        <f>IFERROR(__xludf.DUMMYFUNCTION("""COMPUTED_VALUE"""),"ร้านสุพรรณเครื่องดื่ม-83112")</f>
        <v>ร้านสุพรรณเครื่องดื่ม-83112</v>
      </c>
      <c r="AG2431" s="3" t="str">
        <f>IFERROR(__xludf.DUMMYFUNCTION("""COMPUTED_VALUE"""),"ตะวันออกเฉียงเหนือ")</f>
        <v>ตะวันออกเฉียงเหนือ</v>
      </c>
      <c r="AH2431" s="3" t="str">
        <f>IFERROR(__xludf.DUMMYFUNCTION("""COMPUTED_VALUE"""),"#N/A")</f>
        <v>#N/A</v>
      </c>
      <c r="AI2431" s="3" t="str">
        <f>IFERROR(__xludf.DUMMYFUNCTION("""COMPUTED_VALUE"""),"Out of warranty")</f>
        <v>Out of warranty</v>
      </c>
      <c r="AJ2431" s="3">
        <f>IFERROR(__xludf.DUMMYFUNCTION("""COMPUTED_VALUE"""),50.0)</f>
        <v>50</v>
      </c>
      <c r="AK2431" s="3"/>
      <c r="AL2431" s="3"/>
    </row>
    <row r="2432" ht="15.75" customHeight="1">
      <c r="A2432" s="1" t="str">
        <f>IFERROR(__xludf.DUMMYFUNCTION("""COMPUTED_VALUE"""),"83114")</f>
        <v>83114</v>
      </c>
      <c r="B2432" s="2">
        <f>IFERROR(__xludf.DUMMYFUNCTION("""COMPUTED_VALUE"""),83114.0)</f>
        <v>83114</v>
      </c>
      <c r="C2432" s="3" t="str">
        <f>IFERROR(__xludf.DUMMYFUNCTION("""COMPUTED_VALUE"""),"ร้านธนเดชพาณิชย์")</f>
        <v>ร้านธนเดชพาณิชย์</v>
      </c>
      <c r="D2432" s="3" t="str">
        <f>IFERROR(__xludf.DUMMYFUNCTION("""COMPUTED_VALUE"""),"ร้านธนเดชพาณิชย์")</f>
        <v>ร้านธนเดชพาณิชย์</v>
      </c>
      <c r="E2432" s="1" t="str">
        <f>IFERROR(__xludf.DUMMYFUNCTION("""COMPUTED_VALUE"""),"Donjai")</f>
        <v>Donjai</v>
      </c>
      <c r="F2432" s="1" t="str">
        <f>IFERROR(__xludf.DUMMYFUNCTION("""COMPUTED_VALUE"""),"015361")</f>
        <v>015361</v>
      </c>
      <c r="G2432" s="1" t="str">
        <f>IFERROR(__xludf.DUMMYFUNCTION("""COMPUTED_VALUE"""),"นายสมบูรณ์ พรหมในเมือง")</f>
        <v>นายสมบูรณ์ พรหมในเมือง</v>
      </c>
      <c r="H2432" s="1" t="str">
        <f>IFERROR(__xludf.DUMMYFUNCTION("""COMPUTED_VALUE"""),"015361")</f>
        <v>015361</v>
      </c>
      <c r="I2432" s="1" t="str">
        <f>IFERROR(__xludf.DUMMYFUNCTION("""COMPUTED_VALUE"""),"นายสมบูรณ์ พรหมในเมือง")</f>
        <v>นายสมบูรณ์ พรหมในเมือง</v>
      </c>
      <c r="J2432" s="3">
        <f>IFERROR(__xludf.DUMMYFUNCTION("""COMPUTED_VALUE"""),295886.0)</f>
        <v>295886</v>
      </c>
      <c r="K2432" s="3" t="str">
        <f>IFERROR(__xludf.DUMMYFUNCTION("""COMPUTED_VALUE"""),"นายจิระพงษ์ โพธิ์นิล")</f>
        <v>นายจิระพงษ์ โพธิ์นิล</v>
      </c>
      <c r="L2432" s="1" t="str">
        <f>IFERROR(__xludf.DUMMYFUNCTION("""COMPUTED_VALUE"""),"นายจิระพงษ์ โพธิ์นิล")</f>
        <v>นายจิระพงษ์ โพธิ์นิล</v>
      </c>
      <c r="M2432" s="1" t="str">
        <f>IFERROR(__xludf.DUMMYFUNCTION("""COMPUTED_VALUE"""),"0933290754")</f>
        <v>0933290754</v>
      </c>
      <c r="N2432" s="3">
        <f>IFERROR(__xludf.DUMMYFUNCTION("""COMPUTED_VALUE"""),83114.0)</f>
        <v>83114</v>
      </c>
      <c r="O2432" s="3" t="str">
        <f>IFERROR(__xludf.DUMMYFUNCTION("""COMPUTED_VALUE"""),"ร้านธนเดชพาณิชย์")</f>
        <v>ร้านธนเดชพาณิชย์</v>
      </c>
      <c r="P2432" s="4">
        <f>IFERROR(__xludf.DUMMYFUNCTION("""COMPUTED_VALUE"""),44535.0)</f>
        <v>44535</v>
      </c>
      <c r="Q2432" s="3" t="str">
        <f>IFERROR(__xludf.DUMMYFUNCTION("""COMPUTED_VALUE"""),"I")</f>
        <v>I</v>
      </c>
      <c r="R2432" s="3" t="str">
        <f>IFERROR(__xludf.DUMMYFUNCTION("""COMPUTED_VALUE"""),"Small Format")</f>
        <v>Small Format</v>
      </c>
      <c r="S2432" s="3" t="str">
        <f>IFERROR(__xludf.DUMMYFUNCTION("""COMPUTED_VALUE"""),"Donjai")</f>
        <v>Donjai</v>
      </c>
      <c r="T2432" s="3" t="str">
        <f>IFERROR(__xludf.DUMMYFUNCTION("""COMPUTED_VALUE"""),"04 K.Somboon P.")</f>
        <v>04 K.Somboon P.</v>
      </c>
      <c r="U2432" s="3" t="str">
        <f>IFERROR(__xludf.DUMMYFUNCTION("""COMPUTED_VALUE"""),"04 K.Somboon P.")</f>
        <v>04 K.Somboon P.</v>
      </c>
      <c r="V2432" s="3" t="str">
        <f>IFERROR(__xludf.DUMMYFUNCTION("""COMPUTED_VALUE"""),"N")</f>
        <v>N</v>
      </c>
      <c r="W2432" s="3"/>
      <c r="X2432" s="3" t="str">
        <f>IFERROR(__xludf.DUMMYFUNCTION("""COMPUTED_VALUE"""),"94/1 หมู่ที่ 1 ต.จานแสนไชย อ.ห้วยทับทัน จ.ศรีสะเกษ")</f>
        <v>94/1 หมู่ที่ 1 ต.จานแสนไชย อ.ห้วยทับทัน จ.ศรีสะเกษ</v>
      </c>
      <c r="Y2432" s="3"/>
      <c r="Z2432" s="3">
        <f>IFERROR(__xludf.DUMMYFUNCTION("""COMPUTED_VALUE"""),0.0)</f>
        <v>0</v>
      </c>
      <c r="AA2432" s="3">
        <f>IFERROR(__xludf.DUMMYFUNCTION("""COMPUTED_VALUE"""),0.0)</f>
        <v>0</v>
      </c>
      <c r="AB2432" s="3" t="str">
        <f>IFERROR(__xludf.DUMMYFUNCTION("""COMPUTED_VALUE"""),"ศรีสะเกษ")</f>
        <v>ศรีสะเกษ</v>
      </c>
      <c r="AC2432" s="3">
        <f>IFERROR(__xludf.DUMMYFUNCTION("""COMPUTED_VALUE"""),0.0)</f>
        <v>0</v>
      </c>
      <c r="AD2432" s="3"/>
      <c r="AE2432" s="3"/>
      <c r="AF2432" s="3" t="str">
        <f>IFERROR(__xludf.DUMMYFUNCTION("""COMPUTED_VALUE"""),"ร้านธนเดชพาณิชย์-83114")</f>
        <v>ร้านธนเดชพาณิชย์-83114</v>
      </c>
      <c r="AG2432" s="3" t="str">
        <f>IFERROR(__xludf.DUMMYFUNCTION("""COMPUTED_VALUE"""),"ตะวันออกเฉียงเหนือ")</f>
        <v>ตะวันออกเฉียงเหนือ</v>
      </c>
      <c r="AH2432" s="3" t="str">
        <f>IFERROR(__xludf.DUMMYFUNCTION("""COMPUTED_VALUE"""),"#N/A")</f>
        <v>#N/A</v>
      </c>
      <c r="AI2432" s="3" t="str">
        <f>IFERROR(__xludf.DUMMYFUNCTION("""COMPUTED_VALUE"""),"Out of warranty")</f>
        <v>Out of warranty</v>
      </c>
      <c r="AJ2432" s="3">
        <f>IFERROR(__xludf.DUMMYFUNCTION("""COMPUTED_VALUE"""),50.0)</f>
        <v>50</v>
      </c>
      <c r="AK2432" s="3"/>
      <c r="AL2432" s="3"/>
    </row>
    <row r="2433" ht="15.75" customHeight="1">
      <c r="A2433" s="1" t="str">
        <f>IFERROR(__xludf.DUMMYFUNCTION("""COMPUTED_VALUE"""),"83116")</f>
        <v>83116</v>
      </c>
      <c r="B2433" s="2">
        <f>IFERROR(__xludf.DUMMYFUNCTION("""COMPUTED_VALUE"""),83116.0)</f>
        <v>83116</v>
      </c>
      <c r="C2433" s="3" t="str">
        <f>IFERROR(__xludf.DUMMYFUNCTION("""COMPUTED_VALUE"""),"ร้านค้าชุมชนโดนใจ")</f>
        <v>ร้านค้าชุมชนโดนใจ</v>
      </c>
      <c r="D2433" s="3" t="str">
        <f>IFERROR(__xludf.DUMMYFUNCTION("""COMPUTED_VALUE"""),"ร้านค้าชุมชนโดนใจ")</f>
        <v>ร้านค้าชุมชนโดนใจ</v>
      </c>
      <c r="E2433" s="1" t="str">
        <f>IFERROR(__xludf.DUMMYFUNCTION("""COMPUTED_VALUE"""),"Donjai")</f>
        <v>Donjai</v>
      </c>
      <c r="F2433" s="1" t="str">
        <f>IFERROR(__xludf.DUMMYFUNCTION("""COMPUTED_VALUE"""),"046214")</f>
        <v>046214</v>
      </c>
      <c r="G2433" s="1" t="str">
        <f>IFERROR(__xludf.DUMMYFUNCTION("""COMPUTED_VALUE"""),"นายศักดิ์ชัย เด็ดดอกฟ้า")</f>
        <v>นายศักดิ์ชัย เด็ดดอกฟ้า</v>
      </c>
      <c r="H2433" s="1" t="str">
        <f>IFERROR(__xludf.DUMMYFUNCTION("""COMPUTED_VALUE"""),"046214")</f>
        <v>046214</v>
      </c>
      <c r="I2433" s="1" t="str">
        <f>IFERROR(__xludf.DUMMYFUNCTION("""COMPUTED_VALUE"""),"นายศักดิ์ชัย เด็ดดอกฟ้า")</f>
        <v>นายศักดิ์ชัย เด็ดดอกฟ้า</v>
      </c>
      <c r="J2433" s="3">
        <f>IFERROR(__xludf.DUMMYFUNCTION("""COMPUTED_VALUE"""),295886.0)</f>
        <v>295886</v>
      </c>
      <c r="K2433" s="3" t="str">
        <f>IFERROR(__xludf.DUMMYFUNCTION("""COMPUTED_VALUE"""),"นายจิระพงษ์ โพธิ์นิล")</f>
        <v>นายจิระพงษ์ โพธิ์นิล</v>
      </c>
      <c r="L2433" s="1" t="str">
        <f>IFERROR(__xludf.DUMMYFUNCTION("""COMPUTED_VALUE"""),"นายจิระพงษ์ โพธิ์นิล")</f>
        <v>นายจิระพงษ์ โพธิ์นิล</v>
      </c>
      <c r="M2433" s="1" t="str">
        <f>IFERROR(__xludf.DUMMYFUNCTION("""COMPUTED_VALUE"""),"0933290754")</f>
        <v>0933290754</v>
      </c>
      <c r="N2433" s="3">
        <f>IFERROR(__xludf.DUMMYFUNCTION("""COMPUTED_VALUE"""),83116.0)</f>
        <v>83116</v>
      </c>
      <c r="O2433" s="3" t="str">
        <f>IFERROR(__xludf.DUMMYFUNCTION("""COMPUTED_VALUE"""),"ร้านค้าชุมชนโดนใจ")</f>
        <v>ร้านค้าชุมชนโดนใจ</v>
      </c>
      <c r="P2433" s="4">
        <f>IFERROR(__xludf.DUMMYFUNCTION("""COMPUTED_VALUE"""),44550.0)</f>
        <v>44550</v>
      </c>
      <c r="Q2433" s="3" t="str">
        <f>IFERROR(__xludf.DUMMYFUNCTION("""COMPUTED_VALUE"""),"A")</f>
        <v>A</v>
      </c>
      <c r="R2433" s="3" t="str">
        <f>IFERROR(__xludf.DUMMYFUNCTION("""COMPUTED_VALUE"""),"Small Format")</f>
        <v>Small Format</v>
      </c>
      <c r="S2433" s="3" t="str">
        <f>IFERROR(__xludf.DUMMYFUNCTION("""COMPUTED_VALUE"""),"Donjai")</f>
        <v>Donjai</v>
      </c>
      <c r="T2433" s="3" t="str">
        <f>IFERROR(__xludf.DUMMYFUNCTION("""COMPUTED_VALUE"""),"02 K.Sakchai D")</f>
        <v>02 K.Sakchai D</v>
      </c>
      <c r="U2433" s="3" t="str">
        <f>IFERROR(__xludf.DUMMYFUNCTION("""COMPUTED_VALUE"""),"02 K.Sakchai D")</f>
        <v>02 K.Sakchai D</v>
      </c>
      <c r="V2433" s="3" t="str">
        <f>IFERROR(__xludf.DUMMYFUNCTION("""COMPUTED_VALUE"""),"N")</f>
        <v>N</v>
      </c>
      <c r="W2433" s="3"/>
      <c r="X2433" s="3" t="str">
        <f>IFERROR(__xludf.DUMMYFUNCTION("""COMPUTED_VALUE"""),"3/4หมู่4ต.แม่เล่ก์ อ.แม่วงก์ จ.นครสวรรค์ 60150")</f>
        <v>3/4หมู่4ต.แม่เล่ก์ อ.แม่วงก์ จ.นครสวรรค์ 60150</v>
      </c>
      <c r="Y2433" s="3"/>
      <c r="Z2433" s="3">
        <f>IFERROR(__xludf.DUMMYFUNCTION("""COMPUTED_VALUE"""),0.0)</f>
        <v>0</v>
      </c>
      <c r="AA2433" s="3">
        <f>IFERROR(__xludf.DUMMYFUNCTION("""COMPUTED_VALUE"""),0.0)</f>
        <v>0</v>
      </c>
      <c r="AB2433" s="3" t="str">
        <f>IFERROR(__xludf.DUMMYFUNCTION("""COMPUTED_VALUE"""),"นครสวรรค์")</f>
        <v>นครสวรรค์</v>
      </c>
      <c r="AC2433" s="3">
        <f>IFERROR(__xludf.DUMMYFUNCTION("""COMPUTED_VALUE"""),60150.0)</f>
        <v>60150</v>
      </c>
      <c r="AD2433" s="3"/>
      <c r="AE2433" s="3"/>
      <c r="AF2433" s="3" t="str">
        <f>IFERROR(__xludf.DUMMYFUNCTION("""COMPUTED_VALUE"""),"ร้านค้าชุมชนโดนใจ-83116")</f>
        <v>ร้านค้าชุมชนโดนใจ-83116</v>
      </c>
      <c r="AG2433" s="3" t="str">
        <f>IFERROR(__xludf.DUMMYFUNCTION("""COMPUTED_VALUE"""),"กลาง")</f>
        <v>กลาง</v>
      </c>
      <c r="AH2433" s="3" t="str">
        <f>IFERROR(__xludf.DUMMYFUNCTION("""COMPUTED_VALUE"""),"#N/A")</f>
        <v>#N/A</v>
      </c>
      <c r="AI2433" s="3" t="str">
        <f>IFERROR(__xludf.DUMMYFUNCTION("""COMPUTED_VALUE"""),"Out of warranty")</f>
        <v>Out of warranty</v>
      </c>
      <c r="AJ2433" s="3">
        <f>IFERROR(__xludf.DUMMYFUNCTION("""COMPUTED_VALUE"""),50.0)</f>
        <v>50</v>
      </c>
      <c r="AK2433" s="3"/>
      <c r="AL2433" s="3"/>
    </row>
    <row r="2434" ht="15.75" customHeight="1">
      <c r="A2434" s="1" t="str">
        <f>IFERROR(__xludf.DUMMYFUNCTION("""COMPUTED_VALUE"""),"83117")</f>
        <v>83117</v>
      </c>
      <c r="B2434" s="2">
        <f>IFERROR(__xludf.DUMMYFUNCTION("""COMPUTED_VALUE"""),83117.0)</f>
        <v>83117</v>
      </c>
      <c r="C2434" s="3" t="str">
        <f>IFERROR(__xludf.DUMMYFUNCTION("""COMPUTED_VALUE"""),"สุกสกาว")</f>
        <v>สุกสกาว</v>
      </c>
      <c r="D2434" s="3" t="str">
        <f>IFERROR(__xludf.DUMMYFUNCTION("""COMPUTED_VALUE"""),"สุกสกาว")</f>
        <v>สุกสกาว</v>
      </c>
      <c r="E2434" s="1" t="str">
        <f>IFERROR(__xludf.DUMMYFUNCTION("""COMPUTED_VALUE"""),"Donjai")</f>
        <v>Donjai</v>
      </c>
      <c r="F2434" s="1" t="str">
        <f>IFERROR(__xludf.DUMMYFUNCTION("""COMPUTED_VALUE"""),"296945")</f>
        <v>296945</v>
      </c>
      <c r="G2434" s="1" t="str">
        <f>IFERROR(__xludf.DUMMYFUNCTION("""COMPUTED_VALUE"""),"นายรักพงศ์ พงศ์พันธ์งาม")</f>
        <v>นายรักพงศ์ พงศ์พันธ์งาม</v>
      </c>
      <c r="H2434" s="1" t="str">
        <f>IFERROR(__xludf.DUMMYFUNCTION("""COMPUTED_VALUE"""),"296945")</f>
        <v>296945</v>
      </c>
      <c r="I2434" s="1" t="str">
        <f>IFERROR(__xludf.DUMMYFUNCTION("""COMPUTED_VALUE"""),"นายรักพงศ์ พงศ์พันธ์งาม")</f>
        <v>นายรักพงศ์ พงศ์พันธ์งาม</v>
      </c>
      <c r="J2434" s="3">
        <f>IFERROR(__xludf.DUMMYFUNCTION("""COMPUTED_VALUE"""),228031.0)</f>
        <v>228031</v>
      </c>
      <c r="K2434" s="3" t="str">
        <f>IFERROR(__xludf.DUMMYFUNCTION("""COMPUTED_VALUE"""),"นายธนพงษ์ วันหมัด")</f>
        <v>นายธนพงษ์ วันหมัด</v>
      </c>
      <c r="L2434" s="1" t="str">
        <f>IFERROR(__xludf.DUMMYFUNCTION("""COMPUTED_VALUE"""),"นายธนพงษ์ วันหมัด")</f>
        <v>นายธนพงษ์ วันหมัด</v>
      </c>
      <c r="M2434" s="1" t="str">
        <f>IFERROR(__xludf.DUMMYFUNCTION("""COMPUTED_VALUE"""),"0813716913")</f>
        <v>0813716913</v>
      </c>
      <c r="N2434" s="3">
        <f>IFERROR(__xludf.DUMMYFUNCTION("""COMPUTED_VALUE"""),83117.0)</f>
        <v>83117</v>
      </c>
      <c r="O2434" s="3" t="str">
        <f>IFERROR(__xludf.DUMMYFUNCTION("""COMPUTED_VALUE"""),"สุกสกาว")</f>
        <v>สุกสกาว</v>
      </c>
      <c r="P2434" s="4">
        <f>IFERROR(__xludf.DUMMYFUNCTION("""COMPUTED_VALUE"""),44569.0)</f>
        <v>44569</v>
      </c>
      <c r="Q2434" s="3" t="str">
        <f>IFERROR(__xludf.DUMMYFUNCTION("""COMPUTED_VALUE"""),"I")</f>
        <v>I</v>
      </c>
      <c r="R2434" s="3" t="str">
        <f>IFERROR(__xludf.DUMMYFUNCTION("""COMPUTED_VALUE"""),"Small Format")</f>
        <v>Small Format</v>
      </c>
      <c r="S2434" s="3" t="str">
        <f>IFERROR(__xludf.DUMMYFUNCTION("""COMPUTED_VALUE"""),"Donjai")</f>
        <v>Donjai</v>
      </c>
      <c r="T2434" s="3">
        <f>IFERROR(__xludf.DUMMYFUNCTION("""COMPUTED_VALUE"""),0.0)</f>
        <v>0</v>
      </c>
      <c r="U2434" s="3">
        <f>IFERROR(__xludf.DUMMYFUNCTION("""COMPUTED_VALUE"""),0.0)</f>
        <v>0</v>
      </c>
      <c r="V2434" s="3" t="str">
        <f>IFERROR(__xludf.DUMMYFUNCTION("""COMPUTED_VALUE"""),"N")</f>
        <v>N</v>
      </c>
      <c r="W2434" s="3"/>
      <c r="X2434" s="3" t="str">
        <f>IFERROR(__xludf.DUMMYFUNCTION("""COMPUTED_VALUE"""),"100/149 ม.11ต.บำงปลำ อ.บำงพลี จ.สมุทรปรำกำร 10540")</f>
        <v>100/149 ม.11ต.บำงปลำ อ.บำงพลี จ.สมุทรปรำกำร 10540</v>
      </c>
      <c r="Y2434" s="3"/>
      <c r="Z2434" s="3">
        <f>IFERROR(__xludf.DUMMYFUNCTION("""COMPUTED_VALUE"""),0.0)</f>
        <v>0</v>
      </c>
      <c r="AA2434" s="3">
        <f>IFERROR(__xludf.DUMMYFUNCTION("""COMPUTED_VALUE"""),0.0)</f>
        <v>0</v>
      </c>
      <c r="AB2434" s="3" t="str">
        <f>IFERROR(__xludf.DUMMYFUNCTION("""COMPUTED_VALUE"""),"สมุทรปราการ")</f>
        <v>สมุทรปราการ</v>
      </c>
      <c r="AC2434" s="3">
        <f>IFERROR(__xludf.DUMMYFUNCTION("""COMPUTED_VALUE"""),10540.0)</f>
        <v>10540</v>
      </c>
      <c r="AD2434" s="3"/>
      <c r="AE2434" s="3"/>
      <c r="AF2434" s="3" t="str">
        <f>IFERROR(__xludf.DUMMYFUNCTION("""COMPUTED_VALUE"""),"สุกสกาว-83117")</f>
        <v>สุกสกาว-83117</v>
      </c>
      <c r="AG2434" s="3" t="str">
        <f>IFERROR(__xludf.DUMMYFUNCTION("""COMPUTED_VALUE"""),"กลาง")</f>
        <v>กลาง</v>
      </c>
      <c r="AH2434" s="3" t="str">
        <f>IFERROR(__xludf.DUMMYFUNCTION("""COMPUTED_VALUE"""),"#N/A")</f>
        <v>#N/A</v>
      </c>
      <c r="AI2434" s="3" t="str">
        <f>IFERROR(__xludf.DUMMYFUNCTION("""COMPUTED_VALUE"""),"Out of warranty")</f>
        <v>Out of warranty</v>
      </c>
      <c r="AJ2434" s="3">
        <f>IFERROR(__xludf.DUMMYFUNCTION("""COMPUTED_VALUE"""),49.0)</f>
        <v>49</v>
      </c>
      <c r="AK2434" s="3"/>
      <c r="AL2434" s="3"/>
    </row>
    <row r="2435" ht="15.75" customHeight="1">
      <c r="A2435" s="1" t="str">
        <f>IFERROR(__xludf.DUMMYFUNCTION("""COMPUTED_VALUE"""),"83118")</f>
        <v>83118</v>
      </c>
      <c r="B2435" s="2">
        <f>IFERROR(__xludf.DUMMYFUNCTION("""COMPUTED_VALUE"""),83118.0)</f>
        <v>83118</v>
      </c>
      <c r="C2435" s="3" t="str">
        <f>IFERROR(__xludf.DUMMYFUNCTION("""COMPUTED_VALUE"""),"ร้านดียิ่ง")</f>
        <v>ร้านดียิ่ง</v>
      </c>
      <c r="D2435" s="3" t="str">
        <f>IFERROR(__xludf.DUMMYFUNCTION("""COMPUTED_VALUE"""),"ร้านดียิ่ง")</f>
        <v>ร้านดียิ่ง</v>
      </c>
      <c r="E2435" s="1" t="str">
        <f>IFERROR(__xludf.DUMMYFUNCTION("""COMPUTED_VALUE"""),"Donjai")</f>
        <v>Donjai</v>
      </c>
      <c r="F2435" s="1" t="str">
        <f>IFERROR(__xludf.DUMMYFUNCTION("""COMPUTED_VALUE"""),"015361")</f>
        <v>015361</v>
      </c>
      <c r="G2435" s="1" t="str">
        <f>IFERROR(__xludf.DUMMYFUNCTION("""COMPUTED_VALUE"""),"นายสมบูรณ์ พรหมในเมือง")</f>
        <v>นายสมบูรณ์ พรหมในเมือง</v>
      </c>
      <c r="H2435" s="1" t="str">
        <f>IFERROR(__xludf.DUMMYFUNCTION("""COMPUTED_VALUE"""),"015361")</f>
        <v>015361</v>
      </c>
      <c r="I2435" s="1" t="str">
        <f>IFERROR(__xludf.DUMMYFUNCTION("""COMPUTED_VALUE"""),"นายสมบูรณ์ พรหมในเมือง")</f>
        <v>นายสมบูรณ์ พรหมในเมือง</v>
      </c>
      <c r="J2435" s="3">
        <f>IFERROR(__xludf.DUMMYFUNCTION("""COMPUTED_VALUE"""),295886.0)</f>
        <v>295886</v>
      </c>
      <c r="K2435" s="3" t="str">
        <f>IFERROR(__xludf.DUMMYFUNCTION("""COMPUTED_VALUE"""),"นายจิระพงษ์ โพธิ์นิล")</f>
        <v>นายจิระพงษ์ โพธิ์นิล</v>
      </c>
      <c r="L2435" s="1" t="str">
        <f>IFERROR(__xludf.DUMMYFUNCTION("""COMPUTED_VALUE"""),"นายจิระพงษ์ โพธิ์นิล")</f>
        <v>นายจิระพงษ์ โพธิ์นิล</v>
      </c>
      <c r="M2435" s="1" t="str">
        <f>IFERROR(__xludf.DUMMYFUNCTION("""COMPUTED_VALUE"""),"0933290754")</f>
        <v>0933290754</v>
      </c>
      <c r="N2435" s="3">
        <f>IFERROR(__xludf.DUMMYFUNCTION("""COMPUTED_VALUE"""),83118.0)</f>
        <v>83118</v>
      </c>
      <c r="O2435" s="3" t="str">
        <f>IFERROR(__xludf.DUMMYFUNCTION("""COMPUTED_VALUE"""),"ร้านดียิ่ง")</f>
        <v>ร้านดียิ่ง</v>
      </c>
      <c r="P2435" s="4">
        <f>IFERROR(__xludf.DUMMYFUNCTION("""COMPUTED_VALUE"""),44544.0)</f>
        <v>44544</v>
      </c>
      <c r="Q2435" s="3" t="str">
        <f>IFERROR(__xludf.DUMMYFUNCTION("""COMPUTED_VALUE"""),"I")</f>
        <v>I</v>
      </c>
      <c r="R2435" s="3" t="str">
        <f>IFERROR(__xludf.DUMMYFUNCTION("""COMPUTED_VALUE"""),"Small Format")</f>
        <v>Small Format</v>
      </c>
      <c r="S2435" s="3" t="str">
        <f>IFERROR(__xludf.DUMMYFUNCTION("""COMPUTED_VALUE"""),"Donjai")</f>
        <v>Donjai</v>
      </c>
      <c r="T2435" s="3" t="str">
        <f>IFERROR(__xludf.DUMMYFUNCTION("""COMPUTED_VALUE"""),"04 K.Somboon P.")</f>
        <v>04 K.Somboon P.</v>
      </c>
      <c r="U2435" s="3" t="str">
        <f>IFERROR(__xludf.DUMMYFUNCTION("""COMPUTED_VALUE"""),"04 K.Somboon P.")</f>
        <v>04 K.Somboon P.</v>
      </c>
      <c r="V2435" s="3" t="str">
        <f>IFERROR(__xludf.DUMMYFUNCTION("""COMPUTED_VALUE"""),"N")</f>
        <v>N</v>
      </c>
      <c r="W2435" s="3"/>
      <c r="X2435" s="3" t="str">
        <f>IFERROR(__xludf.DUMMYFUNCTION("""COMPUTED_VALUE"""),"32 ม.1 ต.ไผ่ใหญ่ อ.ม่วงสามสิบ จ.อุบลราชธานี")</f>
        <v>32 ม.1 ต.ไผ่ใหญ่ อ.ม่วงสามสิบ จ.อุบลราชธานี</v>
      </c>
      <c r="Y2435" s="3"/>
      <c r="Z2435" s="3">
        <f>IFERROR(__xludf.DUMMYFUNCTION("""COMPUTED_VALUE"""),0.0)</f>
        <v>0</v>
      </c>
      <c r="AA2435" s="3">
        <f>IFERROR(__xludf.DUMMYFUNCTION("""COMPUTED_VALUE"""),0.0)</f>
        <v>0</v>
      </c>
      <c r="AB2435" s="3" t="str">
        <f>IFERROR(__xludf.DUMMYFUNCTION("""COMPUTED_VALUE"""),"อุบลราชธานี")</f>
        <v>อุบลราชธานี</v>
      </c>
      <c r="AC2435" s="3">
        <f>IFERROR(__xludf.DUMMYFUNCTION("""COMPUTED_VALUE"""),0.0)</f>
        <v>0</v>
      </c>
      <c r="AD2435" s="3"/>
      <c r="AE2435" s="3"/>
      <c r="AF2435" s="3" t="str">
        <f>IFERROR(__xludf.DUMMYFUNCTION("""COMPUTED_VALUE"""),"ร้านดียิ่ง-83118")</f>
        <v>ร้านดียิ่ง-83118</v>
      </c>
      <c r="AG2435" s="3" t="str">
        <f>IFERROR(__xludf.DUMMYFUNCTION("""COMPUTED_VALUE"""),"ตะวันออกเฉียงเหนือ")</f>
        <v>ตะวันออกเฉียงเหนือ</v>
      </c>
      <c r="AH2435" s="3" t="str">
        <f>IFERROR(__xludf.DUMMYFUNCTION("""COMPUTED_VALUE"""),"#N/A")</f>
        <v>#N/A</v>
      </c>
      <c r="AI2435" s="3" t="str">
        <f>IFERROR(__xludf.DUMMYFUNCTION("""COMPUTED_VALUE"""),"Out of warranty")</f>
        <v>Out of warranty</v>
      </c>
      <c r="AJ2435" s="3">
        <f>IFERROR(__xludf.DUMMYFUNCTION("""COMPUTED_VALUE"""),50.0)</f>
        <v>50</v>
      </c>
      <c r="AK2435" s="3"/>
      <c r="AL2435" s="3"/>
    </row>
    <row r="2436" ht="15.75" customHeight="1">
      <c r="A2436" s="1" t="str">
        <f>IFERROR(__xludf.DUMMYFUNCTION("""COMPUTED_VALUE"""),"83119")</f>
        <v>83119</v>
      </c>
      <c r="B2436" s="2">
        <f>IFERROR(__xludf.DUMMYFUNCTION("""COMPUTED_VALUE"""),83119.0)</f>
        <v>83119</v>
      </c>
      <c r="C2436" s="3" t="str">
        <f>IFERROR(__xludf.DUMMYFUNCTION("""COMPUTED_VALUE"""),"ร้านเจ๊ภา ท่าคา")</f>
        <v>ร้านเจ๊ภา ท่าคา</v>
      </c>
      <c r="D2436" s="3" t="str">
        <f>IFERROR(__xludf.DUMMYFUNCTION("""COMPUTED_VALUE"""),"ร้านเจ๊ภา ท่าคา")</f>
        <v>ร้านเจ๊ภา ท่าคา</v>
      </c>
      <c r="E2436" s="1" t="str">
        <f>IFERROR(__xludf.DUMMYFUNCTION("""COMPUTED_VALUE"""),"Donjai")</f>
        <v>Donjai</v>
      </c>
      <c r="F2436" s="1" t="str">
        <f>IFERROR(__xludf.DUMMYFUNCTION("""COMPUTED_VALUE"""),"2451655")</f>
        <v>2451655</v>
      </c>
      <c r="G2436" s="1" t="str">
        <f>IFERROR(__xludf.DUMMYFUNCTION("""COMPUTED_VALUE"""),"นายวิษณุพงษ์ ชินบุตร")</f>
        <v>นายวิษณุพงษ์ ชินบุตร</v>
      </c>
      <c r="H2436" s="1" t="str">
        <f>IFERROR(__xludf.DUMMYFUNCTION("""COMPUTED_VALUE"""),"2451655")</f>
        <v>2451655</v>
      </c>
      <c r="I2436" s="1" t="str">
        <f>IFERROR(__xludf.DUMMYFUNCTION("""COMPUTED_VALUE"""),"นายวิษณุพงษ์ ชินบุตร")</f>
        <v>นายวิษณุพงษ์ ชินบุตร</v>
      </c>
      <c r="J2436" s="1" t="str">
        <f>IFERROR(__xludf.DUMMYFUNCTION("""COMPUTED_VALUE"""),"228031")</f>
        <v>228031</v>
      </c>
      <c r="K2436" s="3" t="str">
        <f>IFERROR(__xludf.DUMMYFUNCTION("""COMPUTED_VALUE"""),"นายธนพงษ์ วันหมัด")</f>
        <v>นายธนพงษ์ วันหมัด</v>
      </c>
      <c r="L2436" s="1" t="str">
        <f>IFERROR(__xludf.DUMMYFUNCTION("""COMPUTED_VALUE"""),"นายธนพงษ์ วันหมัด")</f>
        <v>นายธนพงษ์ วันหมัด</v>
      </c>
      <c r="M2436" s="1" t="str">
        <f>IFERROR(__xludf.DUMMYFUNCTION("""COMPUTED_VALUE"""),"0813716913")</f>
        <v>0813716913</v>
      </c>
      <c r="N2436" s="3">
        <f>IFERROR(__xludf.DUMMYFUNCTION("""COMPUTED_VALUE"""),83119.0)</f>
        <v>83119</v>
      </c>
      <c r="O2436" s="3" t="str">
        <f>IFERROR(__xludf.DUMMYFUNCTION("""COMPUTED_VALUE"""),"ร้านเจ๊ภา ท่าคา")</f>
        <v>ร้านเจ๊ภา ท่าคา</v>
      </c>
      <c r="P2436" s="4">
        <f>IFERROR(__xludf.DUMMYFUNCTION("""COMPUTED_VALUE"""),44554.0)</f>
        <v>44554</v>
      </c>
      <c r="Q2436" s="3" t="str">
        <f>IFERROR(__xludf.DUMMYFUNCTION("""COMPUTED_VALUE"""),"A")</f>
        <v>A</v>
      </c>
      <c r="R2436" s="3" t="str">
        <f>IFERROR(__xludf.DUMMYFUNCTION("""COMPUTED_VALUE"""),"Small Format")</f>
        <v>Small Format</v>
      </c>
      <c r="S2436" s="3" t="str">
        <f>IFERROR(__xludf.DUMMYFUNCTION("""COMPUTED_VALUE"""),"Donjai")</f>
        <v>Donjai</v>
      </c>
      <c r="T2436" s="3" t="str">
        <f>IFERROR(__xludf.DUMMYFUNCTION("""COMPUTED_VALUE"""),"13 K.Wisanupong Ch")</f>
        <v>13 K.Wisanupong Ch</v>
      </c>
      <c r="U2436" s="3" t="str">
        <f>IFERROR(__xludf.DUMMYFUNCTION("""COMPUTED_VALUE"""),"13 K.Wisanupong Ch")</f>
        <v>13 K.Wisanupong Ch</v>
      </c>
      <c r="V2436" s="3" t="str">
        <f>IFERROR(__xludf.DUMMYFUNCTION("""COMPUTED_VALUE"""),"N")</f>
        <v>N</v>
      </c>
      <c r="W2436" s="3"/>
      <c r="X2436" s="3" t="str">
        <f>IFERROR(__xludf.DUMMYFUNCTION("""COMPUTED_VALUE"""),"14/1 ม.3 ต.กระดังงา อ.บางคนที จ.สมุทรสงคราม")</f>
        <v>14/1 ม.3 ต.กระดังงา อ.บางคนที จ.สมุทรสงคราม</v>
      </c>
      <c r="Y2436" s="3"/>
      <c r="Z2436" s="3">
        <f>IFERROR(__xludf.DUMMYFUNCTION("""COMPUTED_VALUE"""),0.0)</f>
        <v>0</v>
      </c>
      <c r="AA2436" s="3">
        <f>IFERROR(__xludf.DUMMYFUNCTION("""COMPUTED_VALUE"""),0.0)</f>
        <v>0</v>
      </c>
      <c r="AB2436" s="3" t="str">
        <f>IFERROR(__xludf.DUMMYFUNCTION("""COMPUTED_VALUE"""),"สมุทรสงคราม")</f>
        <v>สมุทรสงคราม</v>
      </c>
      <c r="AC2436" s="3">
        <f>IFERROR(__xludf.DUMMYFUNCTION("""COMPUTED_VALUE"""),0.0)</f>
        <v>0</v>
      </c>
      <c r="AD2436" s="3"/>
      <c r="AE2436" s="3"/>
      <c r="AF2436" s="3" t="str">
        <f>IFERROR(__xludf.DUMMYFUNCTION("""COMPUTED_VALUE"""),"ร้านเจ๊ภา ท่าคา-83119")</f>
        <v>ร้านเจ๊ภา ท่าคา-83119</v>
      </c>
      <c r="AG2436" s="3" t="str">
        <f>IFERROR(__xludf.DUMMYFUNCTION("""COMPUTED_VALUE"""),"กลาง")</f>
        <v>กลาง</v>
      </c>
      <c r="AH2436" s="3" t="str">
        <f>IFERROR(__xludf.DUMMYFUNCTION("""COMPUTED_VALUE"""),"#N/A")</f>
        <v>#N/A</v>
      </c>
      <c r="AI2436" s="3" t="str">
        <f>IFERROR(__xludf.DUMMYFUNCTION("""COMPUTED_VALUE"""),"Out of warranty")</f>
        <v>Out of warranty</v>
      </c>
      <c r="AJ2436" s="3">
        <f>IFERROR(__xludf.DUMMYFUNCTION("""COMPUTED_VALUE"""),49.0)</f>
        <v>49</v>
      </c>
      <c r="AK2436" s="3"/>
      <c r="AL2436" s="3"/>
    </row>
    <row r="2437" ht="15.75" customHeight="1">
      <c r="A2437" s="1" t="str">
        <f>IFERROR(__xludf.DUMMYFUNCTION("""COMPUTED_VALUE"""),"83120")</f>
        <v>83120</v>
      </c>
      <c r="B2437" s="2">
        <f>IFERROR(__xludf.DUMMYFUNCTION("""COMPUTED_VALUE"""),83120.0)</f>
        <v>83120</v>
      </c>
      <c r="C2437" s="3" t="str">
        <f>IFERROR(__xludf.DUMMYFUNCTION("""COMPUTED_VALUE"""),"ร้าน FullMoon")</f>
        <v>ร้าน FullMoon</v>
      </c>
      <c r="D2437" s="3" t="str">
        <f>IFERROR(__xludf.DUMMYFUNCTION("""COMPUTED_VALUE"""),"ร้าน FullMoon")</f>
        <v>ร้าน FullMoon</v>
      </c>
      <c r="E2437" s="1" t="str">
        <f>IFERROR(__xludf.DUMMYFUNCTION("""COMPUTED_VALUE"""),"Donjai")</f>
        <v>Donjai</v>
      </c>
      <c r="F2437" s="1" t="str">
        <f>IFERROR(__xludf.DUMMYFUNCTION("""COMPUTED_VALUE"""),"2010016")</f>
        <v>2010016</v>
      </c>
      <c r="G2437" s="1" t="str">
        <f>IFERROR(__xludf.DUMMYFUNCTION("""COMPUTED_VALUE"""),"นายตวงธรรม ใหม่ยศ")</f>
        <v>นายตวงธรรม ใหม่ยศ</v>
      </c>
      <c r="H2437" s="1" t="str">
        <f>IFERROR(__xludf.DUMMYFUNCTION("""COMPUTED_VALUE"""),"2010016")</f>
        <v>2010016</v>
      </c>
      <c r="I2437" s="1" t="str">
        <f>IFERROR(__xludf.DUMMYFUNCTION("""COMPUTED_VALUE"""),"นายตวงธรรม ใหม่ยศ")</f>
        <v>นายตวงธรรม ใหม่ยศ</v>
      </c>
      <c r="J2437" s="1" t="str">
        <f>IFERROR(__xludf.DUMMYFUNCTION("""COMPUTED_VALUE"""),"295886")</f>
        <v>295886</v>
      </c>
      <c r="K2437" s="3" t="str">
        <f>IFERROR(__xludf.DUMMYFUNCTION("""COMPUTED_VALUE"""),"นายจิระพงษ์ โพธิ์นิล")</f>
        <v>นายจิระพงษ์ โพธิ์นิล</v>
      </c>
      <c r="L2437" s="1" t="str">
        <f>IFERROR(__xludf.DUMMYFUNCTION("""COMPUTED_VALUE"""),"นายจิระพงษ์ โพธิ์นิล")</f>
        <v>นายจิระพงษ์ โพธิ์นิล</v>
      </c>
      <c r="M2437" s="1" t="str">
        <f>IFERROR(__xludf.DUMMYFUNCTION("""COMPUTED_VALUE"""),"0933290754")</f>
        <v>0933290754</v>
      </c>
      <c r="N2437" s="3">
        <f>IFERROR(__xludf.DUMMYFUNCTION("""COMPUTED_VALUE"""),83120.0)</f>
        <v>83120</v>
      </c>
      <c r="O2437" s="3" t="str">
        <f>IFERROR(__xludf.DUMMYFUNCTION("""COMPUTED_VALUE"""),"ร้าน FullMoon")</f>
        <v>ร้าน FullMoon</v>
      </c>
      <c r="P2437" s="4">
        <f>IFERROR(__xludf.DUMMYFUNCTION("""COMPUTED_VALUE"""),44556.0)</f>
        <v>44556</v>
      </c>
      <c r="Q2437" s="3" t="str">
        <f>IFERROR(__xludf.DUMMYFUNCTION("""COMPUTED_VALUE"""),"I")</f>
        <v>I</v>
      </c>
      <c r="R2437" s="3" t="str">
        <f>IFERROR(__xludf.DUMMYFUNCTION("""COMPUTED_VALUE"""),"Small Format")</f>
        <v>Small Format</v>
      </c>
      <c r="S2437" s="3" t="str">
        <f>IFERROR(__xludf.DUMMYFUNCTION("""COMPUTED_VALUE"""),"Donjai")</f>
        <v>Donjai</v>
      </c>
      <c r="T2437" s="3" t="str">
        <f>IFERROR(__xludf.DUMMYFUNCTION("""COMPUTED_VALUE"""),"01 K.Tuangtham M.")</f>
        <v>01 K.Tuangtham M.</v>
      </c>
      <c r="U2437" s="3" t="str">
        <f>IFERROR(__xludf.DUMMYFUNCTION("""COMPUTED_VALUE"""),"01 K.Tuangtham M.")</f>
        <v>01 K.Tuangtham M.</v>
      </c>
      <c r="V2437" s="3" t="str">
        <f>IFERROR(__xludf.DUMMYFUNCTION("""COMPUTED_VALUE"""),"N")</f>
        <v>N</v>
      </c>
      <c r="W2437" s="3"/>
      <c r="X2437" s="3" t="str">
        <f>IFERROR(__xludf.DUMMYFUNCTION("""COMPUTED_VALUE"""),"11/14 หมู่ที่ 1 ตำบลนครชุม อำเภอเมืองกำแพงเพชร จังหวัดกำแพงเพชร")</f>
        <v>11/14 หมู่ที่ 1 ตำบลนครชุม อำเภอเมืองกำแพงเพชร จังหวัดกำแพงเพชร</v>
      </c>
      <c r="Y2437" s="3"/>
      <c r="Z2437" s="3">
        <f>IFERROR(__xludf.DUMMYFUNCTION("""COMPUTED_VALUE"""),0.0)</f>
        <v>0</v>
      </c>
      <c r="AA2437" s="3">
        <f>IFERROR(__xludf.DUMMYFUNCTION("""COMPUTED_VALUE"""),0.0)</f>
        <v>0</v>
      </c>
      <c r="AB2437" s="3" t="str">
        <f>IFERROR(__xludf.DUMMYFUNCTION("""COMPUTED_VALUE"""),"กำแพงเพชร")</f>
        <v>กำแพงเพชร</v>
      </c>
      <c r="AC2437" s="3">
        <f>IFERROR(__xludf.DUMMYFUNCTION("""COMPUTED_VALUE"""),0.0)</f>
        <v>0</v>
      </c>
      <c r="AD2437" s="3"/>
      <c r="AE2437" s="3"/>
      <c r="AF2437" s="3" t="str">
        <f>IFERROR(__xludf.DUMMYFUNCTION("""COMPUTED_VALUE"""),"ร้าน FullMoon-83120")</f>
        <v>ร้าน FullMoon-83120</v>
      </c>
      <c r="AG2437" s="3" t="str">
        <f>IFERROR(__xludf.DUMMYFUNCTION("""COMPUTED_VALUE"""),"กลาง")</f>
        <v>กลาง</v>
      </c>
      <c r="AH2437" s="3" t="str">
        <f>IFERROR(__xludf.DUMMYFUNCTION("""COMPUTED_VALUE"""),"#N/A")</f>
        <v>#N/A</v>
      </c>
      <c r="AI2437" s="3" t="str">
        <f>IFERROR(__xludf.DUMMYFUNCTION("""COMPUTED_VALUE"""),"Out of warranty")</f>
        <v>Out of warranty</v>
      </c>
      <c r="AJ2437" s="3">
        <f>IFERROR(__xludf.DUMMYFUNCTION("""COMPUTED_VALUE"""),49.0)</f>
        <v>49</v>
      </c>
      <c r="AK2437" s="3"/>
      <c r="AL2437" s="3"/>
    </row>
    <row r="2438" ht="15.75" customHeight="1">
      <c r="A2438" s="1" t="str">
        <f>IFERROR(__xludf.DUMMYFUNCTION("""COMPUTED_VALUE"""),"83122")</f>
        <v>83122</v>
      </c>
      <c r="B2438" s="2">
        <f>IFERROR(__xludf.DUMMYFUNCTION("""COMPUTED_VALUE"""),83122.0)</f>
        <v>83122</v>
      </c>
      <c r="C2438" s="3" t="str">
        <f>IFERROR(__xludf.DUMMYFUNCTION("""COMPUTED_VALUE"""),"ร้านดาวเดือน")</f>
        <v>ร้านดาวเดือน</v>
      </c>
      <c r="D2438" s="3" t="str">
        <f>IFERROR(__xludf.DUMMYFUNCTION("""COMPUTED_VALUE"""),"ร้านดาวเดือน")</f>
        <v>ร้านดาวเดือน</v>
      </c>
      <c r="E2438" s="1" t="str">
        <f>IFERROR(__xludf.DUMMYFUNCTION("""COMPUTED_VALUE"""),"Donjai")</f>
        <v>Donjai</v>
      </c>
      <c r="F2438" s="1" t="str">
        <f>IFERROR(__xludf.DUMMYFUNCTION("""COMPUTED_VALUE"""),"20470331")</f>
        <v>20470331</v>
      </c>
      <c r="G2438" s="1" t="str">
        <f>IFERROR(__xludf.DUMMYFUNCTION("""COMPUTED_VALUE"""),"นายสมชาย ลักษณะสุวรรณ")</f>
        <v>นายสมชาย ลักษณะสุวรรณ</v>
      </c>
      <c r="H2438" s="1" t="str">
        <f>IFERROR(__xludf.DUMMYFUNCTION("""COMPUTED_VALUE"""),"20470331")</f>
        <v>20470331</v>
      </c>
      <c r="I2438" s="1" t="str">
        <f>IFERROR(__xludf.DUMMYFUNCTION("""COMPUTED_VALUE"""),"นายสมชาย ลักษณะสุวรรณ")</f>
        <v>นายสมชาย ลักษณะสุวรรณ</v>
      </c>
      <c r="J2438" s="1" t="str">
        <f>IFERROR(__xludf.DUMMYFUNCTION("""COMPUTED_VALUE"""),"295541")</f>
        <v>295541</v>
      </c>
      <c r="K2438" s="3" t="str">
        <f>IFERROR(__xludf.DUMMYFUNCTION("""COMPUTED_VALUE"""),"นายรพิพล ศรีมาตย์")</f>
        <v>นายรพิพล ศรีมาตย์</v>
      </c>
      <c r="L2438" s="1" t="str">
        <f>IFERROR(__xludf.DUMMYFUNCTION("""COMPUTED_VALUE"""),"นายรพิพล ศรีมาตย์")</f>
        <v>นายรพิพล ศรีมาตย์</v>
      </c>
      <c r="M2438" s="1" t="str">
        <f>IFERROR(__xludf.DUMMYFUNCTION("""COMPUTED_VALUE"""),"0613966115")</f>
        <v>0613966115</v>
      </c>
      <c r="N2438" s="3">
        <f>IFERROR(__xludf.DUMMYFUNCTION("""COMPUTED_VALUE"""),83122.0)</f>
        <v>83122</v>
      </c>
      <c r="O2438" s="3" t="str">
        <f>IFERROR(__xludf.DUMMYFUNCTION("""COMPUTED_VALUE"""),"ร้านดาวเดือน")</f>
        <v>ร้านดาวเดือน</v>
      </c>
      <c r="P2438" s="4">
        <f>IFERROR(__xludf.DUMMYFUNCTION("""COMPUTED_VALUE"""),44544.0)</f>
        <v>44544</v>
      </c>
      <c r="Q2438" s="3" t="str">
        <f>IFERROR(__xludf.DUMMYFUNCTION("""COMPUTED_VALUE"""),"A")</f>
        <v>A</v>
      </c>
      <c r="R2438" s="3" t="str">
        <f>IFERROR(__xludf.DUMMYFUNCTION("""COMPUTED_VALUE"""),"Small Format")</f>
        <v>Small Format</v>
      </c>
      <c r="S2438" s="3" t="str">
        <f>IFERROR(__xludf.DUMMYFUNCTION("""COMPUTED_VALUE"""),"Donjai")</f>
        <v>Donjai</v>
      </c>
      <c r="T2438" s="3" t="str">
        <f>IFERROR(__xludf.DUMMYFUNCTION("""COMPUTED_VALUE"""),"15 K.Somchai L")</f>
        <v>15 K.Somchai L</v>
      </c>
      <c r="U2438" s="3" t="str">
        <f>IFERROR(__xludf.DUMMYFUNCTION("""COMPUTED_VALUE"""),"15 K.Somchai L")</f>
        <v>15 K.Somchai L</v>
      </c>
      <c r="V2438" s="3" t="str">
        <f>IFERROR(__xludf.DUMMYFUNCTION("""COMPUTED_VALUE"""),"N")</f>
        <v>N</v>
      </c>
      <c r="W2438" s="3"/>
      <c r="X2438" s="3" t="str">
        <f>IFERROR(__xludf.DUMMYFUNCTION("""COMPUTED_VALUE"""),"75/8 ถ.เพชรเกษม ต.ลำแก่น อ.ท้ายเหมือง จ.พังงา")</f>
        <v>75/8 ถ.เพชรเกษม ต.ลำแก่น อ.ท้ายเหมือง จ.พังงา</v>
      </c>
      <c r="Y2438" s="3"/>
      <c r="Z2438" s="3">
        <f>IFERROR(__xludf.DUMMYFUNCTION("""COMPUTED_VALUE"""),0.0)</f>
        <v>0</v>
      </c>
      <c r="AA2438" s="3">
        <f>IFERROR(__xludf.DUMMYFUNCTION("""COMPUTED_VALUE"""),0.0)</f>
        <v>0</v>
      </c>
      <c r="AB2438" s="3" t="str">
        <f>IFERROR(__xludf.DUMMYFUNCTION("""COMPUTED_VALUE"""),"พังงา")</f>
        <v>พังงา</v>
      </c>
      <c r="AC2438" s="3">
        <f>IFERROR(__xludf.DUMMYFUNCTION("""COMPUTED_VALUE"""),0.0)</f>
        <v>0</v>
      </c>
      <c r="AD2438" s="3"/>
      <c r="AE2438" s="3"/>
      <c r="AF2438" s="3" t="str">
        <f>IFERROR(__xludf.DUMMYFUNCTION("""COMPUTED_VALUE"""),"ร้านดาวเดือน-83122")</f>
        <v>ร้านดาวเดือน-83122</v>
      </c>
      <c r="AG2438" s="3" t="str">
        <f>IFERROR(__xludf.DUMMYFUNCTION("""COMPUTED_VALUE"""),"ใต้")</f>
        <v>ใต้</v>
      </c>
      <c r="AH2438" s="3" t="str">
        <f>IFERROR(__xludf.DUMMYFUNCTION("""COMPUTED_VALUE"""),"#N/A")</f>
        <v>#N/A</v>
      </c>
      <c r="AI2438" s="3" t="str">
        <f>IFERROR(__xludf.DUMMYFUNCTION("""COMPUTED_VALUE"""),"Out of warranty")</f>
        <v>Out of warranty</v>
      </c>
      <c r="AJ2438" s="3">
        <f>IFERROR(__xludf.DUMMYFUNCTION("""COMPUTED_VALUE"""),50.0)</f>
        <v>50</v>
      </c>
      <c r="AK2438" s="3"/>
      <c r="AL2438" s="3"/>
    </row>
    <row r="2439" ht="15.75" customHeight="1">
      <c r="A2439" s="1" t="str">
        <f>IFERROR(__xludf.DUMMYFUNCTION("""COMPUTED_VALUE"""),"83123")</f>
        <v>83123</v>
      </c>
      <c r="B2439" s="2">
        <f>IFERROR(__xludf.DUMMYFUNCTION("""COMPUTED_VALUE"""),83123.0)</f>
        <v>83123</v>
      </c>
      <c r="C2439" s="3" t="str">
        <f>IFERROR(__xludf.DUMMYFUNCTION("""COMPUTED_VALUE"""),"ร้านกฐิน")</f>
        <v>ร้านกฐิน</v>
      </c>
      <c r="D2439" s="3" t="str">
        <f>IFERROR(__xludf.DUMMYFUNCTION("""COMPUTED_VALUE"""),"ร้านกฐิน")</f>
        <v>ร้านกฐิน</v>
      </c>
      <c r="E2439" s="1" t="str">
        <f>IFERROR(__xludf.DUMMYFUNCTION("""COMPUTED_VALUE"""),"Donjai")</f>
        <v>Donjai</v>
      </c>
      <c r="F2439" s="1" t="str">
        <f>IFERROR(__xludf.DUMMYFUNCTION("""COMPUTED_VALUE"""),"20470331")</f>
        <v>20470331</v>
      </c>
      <c r="G2439" s="1" t="str">
        <f>IFERROR(__xludf.DUMMYFUNCTION("""COMPUTED_VALUE"""),"นายสมชาย ลักษณะสุวรรณ")</f>
        <v>นายสมชาย ลักษณะสุวรรณ</v>
      </c>
      <c r="H2439" s="1" t="str">
        <f>IFERROR(__xludf.DUMMYFUNCTION("""COMPUTED_VALUE"""),"20470331")</f>
        <v>20470331</v>
      </c>
      <c r="I2439" s="1" t="str">
        <f>IFERROR(__xludf.DUMMYFUNCTION("""COMPUTED_VALUE"""),"นายสมชาย ลักษณะสุวรรณ")</f>
        <v>นายสมชาย ลักษณะสุวรรณ</v>
      </c>
      <c r="J2439" s="1" t="str">
        <f>IFERROR(__xludf.DUMMYFUNCTION("""COMPUTED_VALUE"""),"295541")</f>
        <v>295541</v>
      </c>
      <c r="K2439" s="3" t="str">
        <f>IFERROR(__xludf.DUMMYFUNCTION("""COMPUTED_VALUE"""),"นายรพิพล ศรีมาตย์")</f>
        <v>นายรพิพล ศรีมาตย์</v>
      </c>
      <c r="L2439" s="1" t="str">
        <f>IFERROR(__xludf.DUMMYFUNCTION("""COMPUTED_VALUE"""),"นายรพิพล ศรีมาตย์")</f>
        <v>นายรพิพล ศรีมาตย์</v>
      </c>
      <c r="M2439" s="1" t="str">
        <f>IFERROR(__xludf.DUMMYFUNCTION("""COMPUTED_VALUE"""),"0613966115")</f>
        <v>0613966115</v>
      </c>
      <c r="N2439" s="3">
        <f>IFERROR(__xludf.DUMMYFUNCTION("""COMPUTED_VALUE"""),83123.0)</f>
        <v>83123</v>
      </c>
      <c r="O2439" s="3" t="str">
        <f>IFERROR(__xludf.DUMMYFUNCTION("""COMPUTED_VALUE"""),"ร้านกฐิน")</f>
        <v>ร้านกฐิน</v>
      </c>
      <c r="P2439" s="4">
        <f>IFERROR(__xludf.DUMMYFUNCTION("""COMPUTED_VALUE"""),44558.0)</f>
        <v>44558</v>
      </c>
      <c r="Q2439" s="3" t="str">
        <f>IFERROR(__xludf.DUMMYFUNCTION("""COMPUTED_VALUE"""),"A")</f>
        <v>A</v>
      </c>
      <c r="R2439" s="3" t="str">
        <f>IFERROR(__xludf.DUMMYFUNCTION("""COMPUTED_VALUE"""),"Small Format")</f>
        <v>Small Format</v>
      </c>
      <c r="S2439" s="3" t="str">
        <f>IFERROR(__xludf.DUMMYFUNCTION("""COMPUTED_VALUE"""),"Donjai")</f>
        <v>Donjai</v>
      </c>
      <c r="T2439" s="3" t="str">
        <f>IFERROR(__xludf.DUMMYFUNCTION("""COMPUTED_VALUE"""),"15 K.Somchai L")</f>
        <v>15 K.Somchai L</v>
      </c>
      <c r="U2439" s="3" t="str">
        <f>IFERROR(__xludf.DUMMYFUNCTION("""COMPUTED_VALUE"""),"15 K.Somchai L")</f>
        <v>15 K.Somchai L</v>
      </c>
      <c r="V2439" s="3" t="str">
        <f>IFERROR(__xludf.DUMMYFUNCTION("""COMPUTED_VALUE"""),"N")</f>
        <v>N</v>
      </c>
      <c r="W2439" s="3"/>
      <c r="X2439" s="3" t="str">
        <f>IFERROR(__xludf.DUMMYFUNCTION("""COMPUTED_VALUE"""),"ต.คูขุด อ.สทิงพระ จ.สงขลา")</f>
        <v>ต.คูขุด อ.สทิงพระ จ.สงขลา</v>
      </c>
      <c r="Y2439" s="3"/>
      <c r="Z2439" s="3">
        <f>IFERROR(__xludf.DUMMYFUNCTION("""COMPUTED_VALUE"""),0.0)</f>
        <v>0</v>
      </c>
      <c r="AA2439" s="3">
        <f>IFERROR(__xludf.DUMMYFUNCTION("""COMPUTED_VALUE"""),0.0)</f>
        <v>0</v>
      </c>
      <c r="AB2439" s="3" t="str">
        <f>IFERROR(__xludf.DUMMYFUNCTION("""COMPUTED_VALUE"""),"สงขลา")</f>
        <v>สงขลา</v>
      </c>
      <c r="AC2439" s="3">
        <f>IFERROR(__xludf.DUMMYFUNCTION("""COMPUTED_VALUE"""),0.0)</f>
        <v>0</v>
      </c>
      <c r="AD2439" s="3"/>
      <c r="AE2439" s="3"/>
      <c r="AF2439" s="3" t="str">
        <f>IFERROR(__xludf.DUMMYFUNCTION("""COMPUTED_VALUE"""),"ร้านกฐิน-83123")</f>
        <v>ร้านกฐิน-83123</v>
      </c>
      <c r="AG2439" s="3" t="str">
        <f>IFERROR(__xludf.DUMMYFUNCTION("""COMPUTED_VALUE"""),"ใต้")</f>
        <v>ใต้</v>
      </c>
      <c r="AH2439" s="3" t="str">
        <f>IFERROR(__xludf.DUMMYFUNCTION("""COMPUTED_VALUE"""),"#N/A")</f>
        <v>#N/A</v>
      </c>
      <c r="AI2439" s="3" t="str">
        <f>IFERROR(__xludf.DUMMYFUNCTION("""COMPUTED_VALUE"""),"Out of warranty")</f>
        <v>Out of warranty</v>
      </c>
      <c r="AJ2439" s="3">
        <f>IFERROR(__xludf.DUMMYFUNCTION("""COMPUTED_VALUE"""),49.0)</f>
        <v>49</v>
      </c>
      <c r="AK2439" s="3"/>
      <c r="AL2439" s="3"/>
    </row>
    <row r="2440" ht="15.75" customHeight="1">
      <c r="A2440" s="1" t="str">
        <f>IFERROR(__xludf.DUMMYFUNCTION("""COMPUTED_VALUE"""),"83124")</f>
        <v>83124</v>
      </c>
      <c r="B2440" s="2">
        <f>IFERROR(__xludf.DUMMYFUNCTION("""COMPUTED_VALUE"""),83124.0)</f>
        <v>83124</v>
      </c>
      <c r="C2440" s="3" t="str">
        <f>IFERROR(__xludf.DUMMYFUNCTION("""COMPUTED_VALUE"""),"ร้านไลลามินิมาร์ท")</f>
        <v>ร้านไลลามินิมาร์ท</v>
      </c>
      <c r="D2440" s="3" t="str">
        <f>IFERROR(__xludf.DUMMYFUNCTION("""COMPUTED_VALUE"""),"ร้านไลลามินิมาร์ท")</f>
        <v>ร้านไลลามินิมาร์ท</v>
      </c>
      <c r="E2440" s="1" t="str">
        <f>IFERROR(__xludf.DUMMYFUNCTION("""COMPUTED_VALUE"""),"Donjai")</f>
        <v>Donjai</v>
      </c>
      <c r="F2440" s="1" t="str">
        <f>IFERROR(__xludf.DUMMYFUNCTION("""COMPUTED_VALUE"""),"20470331")</f>
        <v>20470331</v>
      </c>
      <c r="G2440" s="1" t="str">
        <f>IFERROR(__xludf.DUMMYFUNCTION("""COMPUTED_VALUE"""),"นายสมชาย ลักษณะสุวรรณ")</f>
        <v>นายสมชาย ลักษณะสุวรรณ</v>
      </c>
      <c r="H2440" s="1" t="str">
        <f>IFERROR(__xludf.DUMMYFUNCTION("""COMPUTED_VALUE"""),"20470331")</f>
        <v>20470331</v>
      </c>
      <c r="I2440" s="1" t="str">
        <f>IFERROR(__xludf.DUMMYFUNCTION("""COMPUTED_VALUE"""),"นายสมชาย ลักษณะสุวรรณ")</f>
        <v>นายสมชาย ลักษณะสุวรรณ</v>
      </c>
      <c r="J2440" s="3">
        <f>IFERROR(__xludf.DUMMYFUNCTION("""COMPUTED_VALUE"""),295541.0)</f>
        <v>295541</v>
      </c>
      <c r="K2440" s="3" t="str">
        <f>IFERROR(__xludf.DUMMYFUNCTION("""COMPUTED_VALUE"""),"นายรพิพล ศรีมาตย์")</f>
        <v>นายรพิพล ศรีมาตย์</v>
      </c>
      <c r="L2440" s="1" t="str">
        <f>IFERROR(__xludf.DUMMYFUNCTION("""COMPUTED_VALUE"""),"นายรพิพล ศรีมาตย์")</f>
        <v>นายรพิพล ศรีมาตย์</v>
      </c>
      <c r="M2440" s="1" t="str">
        <f>IFERROR(__xludf.DUMMYFUNCTION("""COMPUTED_VALUE"""),"0613966115")</f>
        <v>0613966115</v>
      </c>
      <c r="N2440" s="3">
        <f>IFERROR(__xludf.DUMMYFUNCTION("""COMPUTED_VALUE"""),83124.0)</f>
        <v>83124</v>
      </c>
      <c r="O2440" s="3" t="str">
        <f>IFERROR(__xludf.DUMMYFUNCTION("""COMPUTED_VALUE"""),"ร้านไลลามินิมาร์ท")</f>
        <v>ร้านไลลามินิมาร์ท</v>
      </c>
      <c r="P2440" s="4">
        <f>IFERROR(__xludf.DUMMYFUNCTION("""COMPUTED_VALUE"""),44555.0)</f>
        <v>44555</v>
      </c>
      <c r="Q2440" s="3" t="str">
        <f>IFERROR(__xludf.DUMMYFUNCTION("""COMPUTED_VALUE"""),"A")</f>
        <v>A</v>
      </c>
      <c r="R2440" s="3" t="str">
        <f>IFERROR(__xludf.DUMMYFUNCTION("""COMPUTED_VALUE"""),"Small Format")</f>
        <v>Small Format</v>
      </c>
      <c r="S2440" s="3" t="str">
        <f>IFERROR(__xludf.DUMMYFUNCTION("""COMPUTED_VALUE"""),"Donjai")</f>
        <v>Donjai</v>
      </c>
      <c r="T2440" s="3" t="str">
        <f>IFERROR(__xludf.DUMMYFUNCTION("""COMPUTED_VALUE"""),"15 K.Somchai L")</f>
        <v>15 K.Somchai L</v>
      </c>
      <c r="U2440" s="3" t="str">
        <f>IFERROR(__xludf.DUMMYFUNCTION("""COMPUTED_VALUE"""),"15 K.Somchai L")</f>
        <v>15 K.Somchai L</v>
      </c>
      <c r="V2440" s="3" t="str">
        <f>IFERROR(__xludf.DUMMYFUNCTION("""COMPUTED_VALUE"""),"N")</f>
        <v>N</v>
      </c>
      <c r="W2440" s="3"/>
      <c r="X2440" s="3" t="str">
        <f>IFERROR(__xludf.DUMMYFUNCTION("""COMPUTED_VALUE"""),"ต.แม่ขรี อ.ตะโหมด จ.พัทลุง")</f>
        <v>ต.แม่ขรี อ.ตะโหมด จ.พัทลุง</v>
      </c>
      <c r="Y2440" s="3"/>
      <c r="Z2440" s="3">
        <f>IFERROR(__xludf.DUMMYFUNCTION("""COMPUTED_VALUE"""),0.0)</f>
        <v>0</v>
      </c>
      <c r="AA2440" s="3">
        <f>IFERROR(__xludf.DUMMYFUNCTION("""COMPUTED_VALUE"""),0.0)</f>
        <v>0</v>
      </c>
      <c r="AB2440" s="3" t="str">
        <f>IFERROR(__xludf.DUMMYFUNCTION("""COMPUTED_VALUE"""),"พัทลุง")</f>
        <v>พัทลุง</v>
      </c>
      <c r="AC2440" s="3">
        <f>IFERROR(__xludf.DUMMYFUNCTION("""COMPUTED_VALUE"""),0.0)</f>
        <v>0</v>
      </c>
      <c r="AD2440" s="3"/>
      <c r="AE2440" s="3"/>
      <c r="AF2440" s="3" t="str">
        <f>IFERROR(__xludf.DUMMYFUNCTION("""COMPUTED_VALUE"""),"ร้านไลลามินิมาร์ท-83124")</f>
        <v>ร้านไลลามินิมาร์ท-83124</v>
      </c>
      <c r="AG2440" s="3" t="str">
        <f>IFERROR(__xludf.DUMMYFUNCTION("""COMPUTED_VALUE"""),"ใต้")</f>
        <v>ใต้</v>
      </c>
      <c r="AH2440" s="3" t="str">
        <f>IFERROR(__xludf.DUMMYFUNCTION("""COMPUTED_VALUE"""),"#N/A")</f>
        <v>#N/A</v>
      </c>
      <c r="AI2440" s="3" t="str">
        <f>IFERROR(__xludf.DUMMYFUNCTION("""COMPUTED_VALUE"""),"Out of warranty")</f>
        <v>Out of warranty</v>
      </c>
      <c r="AJ2440" s="3">
        <f>IFERROR(__xludf.DUMMYFUNCTION("""COMPUTED_VALUE"""),49.0)</f>
        <v>49</v>
      </c>
      <c r="AK2440" s="3"/>
      <c r="AL2440" s="3"/>
    </row>
    <row r="2441" ht="15.75" customHeight="1">
      <c r="A2441" s="1" t="str">
        <f>IFERROR(__xludf.DUMMYFUNCTION("""COMPUTED_VALUE"""),"83125")</f>
        <v>83125</v>
      </c>
      <c r="B2441" s="2">
        <f>IFERROR(__xludf.DUMMYFUNCTION("""COMPUTED_VALUE"""),83125.0)</f>
        <v>83125</v>
      </c>
      <c r="C2441" s="3" t="str">
        <f>IFERROR(__xludf.DUMMYFUNCTION("""COMPUTED_VALUE"""),"ร้านป้าติ้น")</f>
        <v>ร้านป้าติ้น</v>
      </c>
      <c r="D2441" s="3" t="str">
        <f>IFERROR(__xludf.DUMMYFUNCTION("""COMPUTED_VALUE"""),"ร้านป้าติ้น")</f>
        <v>ร้านป้าติ้น</v>
      </c>
      <c r="E2441" s="1" t="str">
        <f>IFERROR(__xludf.DUMMYFUNCTION("""COMPUTED_VALUE"""),"Donjai")</f>
        <v>Donjai</v>
      </c>
      <c r="F2441" s="1" t="str">
        <f>IFERROR(__xludf.DUMMYFUNCTION("""COMPUTED_VALUE"""),"025324")</f>
        <v>025324</v>
      </c>
      <c r="G2441" s="1" t="str">
        <f>IFERROR(__xludf.DUMMYFUNCTION("""COMPUTED_VALUE"""),"นายวิเชฎฐ์ ติรัตนะประคม")</f>
        <v>นายวิเชฎฐ์ ติรัตนะประคม</v>
      </c>
      <c r="H2441" s="1" t="str">
        <f>IFERROR(__xludf.DUMMYFUNCTION("""COMPUTED_VALUE"""),"025324")</f>
        <v>025324</v>
      </c>
      <c r="I2441" s="1" t="str">
        <f>IFERROR(__xludf.DUMMYFUNCTION("""COMPUTED_VALUE"""),"นายวิเชฎฐ์ ติรัตนะประคม")</f>
        <v>นายวิเชฎฐ์ ติรัตนะประคม</v>
      </c>
      <c r="J2441" s="3">
        <f>IFERROR(__xludf.DUMMYFUNCTION("""COMPUTED_VALUE"""),295541.0)</f>
        <v>295541</v>
      </c>
      <c r="K2441" s="3" t="str">
        <f>IFERROR(__xludf.DUMMYFUNCTION("""COMPUTED_VALUE"""),"นายรพิพล ศรีมาตย์")</f>
        <v>นายรพิพล ศรีมาตย์</v>
      </c>
      <c r="L2441" s="1" t="str">
        <f>IFERROR(__xludf.DUMMYFUNCTION("""COMPUTED_VALUE"""),"นายรพิพล ศรีมาตย์")</f>
        <v>นายรพิพล ศรีมาตย์</v>
      </c>
      <c r="M2441" s="1" t="str">
        <f>IFERROR(__xludf.DUMMYFUNCTION("""COMPUTED_VALUE"""),"0613966115")</f>
        <v>0613966115</v>
      </c>
      <c r="N2441" s="3">
        <f>IFERROR(__xludf.DUMMYFUNCTION("""COMPUTED_VALUE"""),83125.0)</f>
        <v>83125</v>
      </c>
      <c r="O2441" s="3" t="str">
        <f>IFERROR(__xludf.DUMMYFUNCTION("""COMPUTED_VALUE"""),"ร้านป้าติ้น")</f>
        <v>ร้านป้าติ้น</v>
      </c>
      <c r="P2441" s="4">
        <f>IFERROR(__xludf.DUMMYFUNCTION("""COMPUTED_VALUE"""),44547.0)</f>
        <v>44547</v>
      </c>
      <c r="Q2441" s="3" t="str">
        <f>IFERROR(__xludf.DUMMYFUNCTION("""COMPUTED_VALUE"""),"A")</f>
        <v>A</v>
      </c>
      <c r="R2441" s="3" t="str">
        <f>IFERROR(__xludf.DUMMYFUNCTION("""COMPUTED_VALUE"""),"Small Format")</f>
        <v>Small Format</v>
      </c>
      <c r="S2441" s="3" t="str">
        <f>IFERROR(__xludf.DUMMYFUNCTION("""COMPUTED_VALUE"""),"Donjai")</f>
        <v>Donjai</v>
      </c>
      <c r="T2441" s="3" t="str">
        <f>IFERROR(__xludf.DUMMYFUNCTION("""COMPUTED_VALUE"""),"14 K.Wichet T.")</f>
        <v>14 K.Wichet T.</v>
      </c>
      <c r="U2441" s="3" t="str">
        <f>IFERROR(__xludf.DUMMYFUNCTION("""COMPUTED_VALUE"""),"14 K.Wichet T.")</f>
        <v>14 K.Wichet T.</v>
      </c>
      <c r="V2441" s="3" t="str">
        <f>IFERROR(__xludf.DUMMYFUNCTION("""COMPUTED_VALUE"""),"N")</f>
        <v>N</v>
      </c>
      <c r="W2441" s="3"/>
      <c r="X2441" s="3" t="str">
        <f>IFERROR(__xludf.DUMMYFUNCTION("""COMPUTED_VALUE"""),"374 ต.เขาพระ อ.พิปูน จ.นครศรีธรรมราช")</f>
        <v>374 ต.เขาพระ อ.พิปูน จ.นครศรีธรรมราช</v>
      </c>
      <c r="Y2441" s="3"/>
      <c r="Z2441" s="3">
        <f>IFERROR(__xludf.DUMMYFUNCTION("""COMPUTED_VALUE"""),0.0)</f>
        <v>0</v>
      </c>
      <c r="AA2441" s="3">
        <f>IFERROR(__xludf.DUMMYFUNCTION("""COMPUTED_VALUE"""),0.0)</f>
        <v>0</v>
      </c>
      <c r="AB2441" s="3" t="str">
        <f>IFERROR(__xludf.DUMMYFUNCTION("""COMPUTED_VALUE"""),"นครศรีธรรมราช")</f>
        <v>นครศรีธรรมราช</v>
      </c>
      <c r="AC2441" s="3">
        <f>IFERROR(__xludf.DUMMYFUNCTION("""COMPUTED_VALUE"""),0.0)</f>
        <v>0</v>
      </c>
      <c r="AD2441" s="3"/>
      <c r="AE2441" s="3"/>
      <c r="AF2441" s="3" t="str">
        <f>IFERROR(__xludf.DUMMYFUNCTION("""COMPUTED_VALUE"""),"ร้านป้าติ้น-83125")</f>
        <v>ร้านป้าติ้น-83125</v>
      </c>
      <c r="AG2441" s="3" t="str">
        <f>IFERROR(__xludf.DUMMYFUNCTION("""COMPUTED_VALUE"""),"ใต้")</f>
        <v>ใต้</v>
      </c>
      <c r="AH2441" s="3" t="str">
        <f>IFERROR(__xludf.DUMMYFUNCTION("""COMPUTED_VALUE"""),"#N/A")</f>
        <v>#N/A</v>
      </c>
      <c r="AI2441" s="3" t="str">
        <f>IFERROR(__xludf.DUMMYFUNCTION("""COMPUTED_VALUE"""),"Out of warranty")</f>
        <v>Out of warranty</v>
      </c>
      <c r="AJ2441" s="3">
        <f>IFERROR(__xludf.DUMMYFUNCTION("""COMPUTED_VALUE"""),50.0)</f>
        <v>50</v>
      </c>
      <c r="AK2441" s="3"/>
      <c r="AL2441" s="3"/>
    </row>
    <row r="2442" ht="15.75" customHeight="1">
      <c r="A2442" s="1" t="str">
        <f>IFERROR(__xludf.DUMMYFUNCTION("""COMPUTED_VALUE"""),"83126")</f>
        <v>83126</v>
      </c>
      <c r="B2442" s="2">
        <f>IFERROR(__xludf.DUMMYFUNCTION("""COMPUTED_VALUE"""),83126.0)</f>
        <v>83126</v>
      </c>
      <c r="C2442" s="3" t="str">
        <f>IFERROR(__xludf.DUMMYFUNCTION("""COMPUTED_VALUE"""),"ร้านบุญพัฒน์ มินิมาร์ท")</f>
        <v>ร้านบุญพัฒน์ มินิมาร์ท</v>
      </c>
      <c r="D2442" s="3" t="str">
        <f>IFERROR(__xludf.DUMMYFUNCTION("""COMPUTED_VALUE"""),"ร้านบุญพัฒน์ มินิมาร์ท")</f>
        <v>ร้านบุญพัฒน์ มินิมาร์ท</v>
      </c>
      <c r="E2442" s="1" t="str">
        <f>IFERROR(__xludf.DUMMYFUNCTION("""COMPUTED_VALUE"""),"Donjai")</f>
        <v>Donjai</v>
      </c>
      <c r="F2442" s="1" t="str">
        <f>IFERROR(__xludf.DUMMYFUNCTION("""COMPUTED_VALUE"""),"025324")</f>
        <v>025324</v>
      </c>
      <c r="G2442" s="1" t="str">
        <f>IFERROR(__xludf.DUMMYFUNCTION("""COMPUTED_VALUE"""),"นายวิเชฎฐ์ ติรัตนะประคม")</f>
        <v>นายวิเชฎฐ์ ติรัตนะประคม</v>
      </c>
      <c r="H2442" s="1" t="str">
        <f>IFERROR(__xludf.DUMMYFUNCTION("""COMPUTED_VALUE"""),"025324")</f>
        <v>025324</v>
      </c>
      <c r="I2442" s="1" t="str">
        <f>IFERROR(__xludf.DUMMYFUNCTION("""COMPUTED_VALUE"""),"นายวิเชฎฐ์ ติรัตนะประคม")</f>
        <v>นายวิเชฎฐ์ ติรัตนะประคม</v>
      </c>
      <c r="J2442" s="3">
        <f>IFERROR(__xludf.DUMMYFUNCTION("""COMPUTED_VALUE"""),295541.0)</f>
        <v>295541</v>
      </c>
      <c r="K2442" s="3" t="str">
        <f>IFERROR(__xludf.DUMMYFUNCTION("""COMPUTED_VALUE"""),"นายรพิพล ศรีมาตย์")</f>
        <v>นายรพิพล ศรีมาตย์</v>
      </c>
      <c r="L2442" s="1" t="str">
        <f>IFERROR(__xludf.DUMMYFUNCTION("""COMPUTED_VALUE"""),"นายรพิพล ศรีมาตย์")</f>
        <v>นายรพิพล ศรีมาตย์</v>
      </c>
      <c r="M2442" s="1" t="str">
        <f>IFERROR(__xludf.DUMMYFUNCTION("""COMPUTED_VALUE"""),"0613966115")</f>
        <v>0613966115</v>
      </c>
      <c r="N2442" s="3">
        <f>IFERROR(__xludf.DUMMYFUNCTION("""COMPUTED_VALUE"""),83126.0)</f>
        <v>83126</v>
      </c>
      <c r="O2442" s="3" t="str">
        <f>IFERROR(__xludf.DUMMYFUNCTION("""COMPUTED_VALUE"""),"ร้านบุญพัฒน์ มินิมาร์ท")</f>
        <v>ร้านบุญพัฒน์ มินิมาร์ท</v>
      </c>
      <c r="P2442" s="4">
        <f>IFERROR(__xludf.DUMMYFUNCTION("""COMPUTED_VALUE"""),44560.0)</f>
        <v>44560</v>
      </c>
      <c r="Q2442" s="3" t="str">
        <f>IFERROR(__xludf.DUMMYFUNCTION("""COMPUTED_VALUE"""),"A")</f>
        <v>A</v>
      </c>
      <c r="R2442" s="3" t="str">
        <f>IFERROR(__xludf.DUMMYFUNCTION("""COMPUTED_VALUE"""),"Small Format")</f>
        <v>Small Format</v>
      </c>
      <c r="S2442" s="3" t="str">
        <f>IFERROR(__xludf.DUMMYFUNCTION("""COMPUTED_VALUE"""),"Donjai")</f>
        <v>Donjai</v>
      </c>
      <c r="T2442" s="3" t="str">
        <f>IFERROR(__xludf.DUMMYFUNCTION("""COMPUTED_VALUE"""),"14 K.Wichet T.")</f>
        <v>14 K.Wichet T.</v>
      </c>
      <c r="U2442" s="3" t="str">
        <f>IFERROR(__xludf.DUMMYFUNCTION("""COMPUTED_VALUE"""),"14 K.Wichet T.")</f>
        <v>14 K.Wichet T.</v>
      </c>
      <c r="V2442" s="3" t="str">
        <f>IFERROR(__xludf.DUMMYFUNCTION("""COMPUTED_VALUE"""),"N")</f>
        <v>N</v>
      </c>
      <c r="W2442" s="3"/>
      <c r="X2442" s="3" t="str">
        <f>IFERROR(__xludf.DUMMYFUNCTION("""COMPUTED_VALUE"""),"112 หมู่ 1 ต.ป่าร่อน อ.กาญจนดิษฐ์ จ.สุราษฎร์ธานี")</f>
        <v>112 หมู่ 1 ต.ป่าร่อน อ.กาญจนดิษฐ์ จ.สุราษฎร์ธานี</v>
      </c>
      <c r="Y2442" s="3"/>
      <c r="Z2442" s="3">
        <f>IFERROR(__xludf.DUMMYFUNCTION("""COMPUTED_VALUE"""),0.0)</f>
        <v>0</v>
      </c>
      <c r="AA2442" s="3">
        <f>IFERROR(__xludf.DUMMYFUNCTION("""COMPUTED_VALUE"""),0.0)</f>
        <v>0</v>
      </c>
      <c r="AB2442" s="3" t="str">
        <f>IFERROR(__xludf.DUMMYFUNCTION("""COMPUTED_VALUE"""),"สุราษฎร์ธานี")</f>
        <v>สุราษฎร์ธานี</v>
      </c>
      <c r="AC2442" s="3">
        <f>IFERROR(__xludf.DUMMYFUNCTION("""COMPUTED_VALUE"""),0.0)</f>
        <v>0</v>
      </c>
      <c r="AD2442" s="3"/>
      <c r="AE2442" s="3"/>
      <c r="AF2442" s="3" t="str">
        <f>IFERROR(__xludf.DUMMYFUNCTION("""COMPUTED_VALUE"""),"ร้านบุญพัฒน์ มินิมาร์ท-83126")</f>
        <v>ร้านบุญพัฒน์ มินิมาร์ท-83126</v>
      </c>
      <c r="AG2442" s="3" t="str">
        <f>IFERROR(__xludf.DUMMYFUNCTION("""COMPUTED_VALUE"""),"ใต้")</f>
        <v>ใต้</v>
      </c>
      <c r="AH2442" s="3" t="str">
        <f>IFERROR(__xludf.DUMMYFUNCTION("""COMPUTED_VALUE"""),"#N/A")</f>
        <v>#N/A</v>
      </c>
      <c r="AI2442" s="3" t="str">
        <f>IFERROR(__xludf.DUMMYFUNCTION("""COMPUTED_VALUE"""),"Out of warranty")</f>
        <v>Out of warranty</v>
      </c>
      <c r="AJ2442" s="3">
        <f>IFERROR(__xludf.DUMMYFUNCTION("""COMPUTED_VALUE"""),49.0)</f>
        <v>49</v>
      </c>
      <c r="AK2442" s="3"/>
      <c r="AL2442" s="3"/>
    </row>
    <row r="2443" ht="15.75" customHeight="1">
      <c r="A2443" s="1" t="str">
        <f>IFERROR(__xludf.DUMMYFUNCTION("""COMPUTED_VALUE"""),"83128")</f>
        <v>83128</v>
      </c>
      <c r="B2443" s="2">
        <f>IFERROR(__xludf.DUMMYFUNCTION("""COMPUTED_VALUE"""),83128.0)</f>
        <v>83128</v>
      </c>
      <c r="C2443" s="3" t="str">
        <f>IFERROR(__xludf.DUMMYFUNCTION("""COMPUTED_VALUE"""),"ร้านมีตังการเกษตร")</f>
        <v>ร้านมีตังการเกษตร</v>
      </c>
      <c r="D2443" s="3" t="str">
        <f>IFERROR(__xludf.DUMMYFUNCTION("""COMPUTED_VALUE"""),"ร้านมีตังการเกษตร")</f>
        <v>ร้านมีตังการเกษตร</v>
      </c>
      <c r="E2443" s="1" t="str">
        <f>IFERROR(__xludf.DUMMYFUNCTION("""COMPUTED_VALUE"""),"Donjai")</f>
        <v>Donjai</v>
      </c>
      <c r="F2443" s="1" t="str">
        <f>IFERROR(__xludf.DUMMYFUNCTION("""COMPUTED_VALUE"""),"015361")</f>
        <v>015361</v>
      </c>
      <c r="G2443" s="1" t="str">
        <f>IFERROR(__xludf.DUMMYFUNCTION("""COMPUTED_VALUE"""),"นายสมบูรณ์ พรหมในเมือง")</f>
        <v>นายสมบูรณ์ พรหมในเมือง</v>
      </c>
      <c r="H2443" s="1" t="str">
        <f>IFERROR(__xludf.DUMMYFUNCTION("""COMPUTED_VALUE"""),"015361")</f>
        <v>015361</v>
      </c>
      <c r="I2443" s="1" t="str">
        <f>IFERROR(__xludf.DUMMYFUNCTION("""COMPUTED_VALUE"""),"นายสมบูรณ์ พรหมในเมือง")</f>
        <v>นายสมบูรณ์ พรหมในเมือง</v>
      </c>
      <c r="J2443" s="3">
        <f>IFERROR(__xludf.DUMMYFUNCTION("""COMPUTED_VALUE"""),295886.0)</f>
        <v>295886</v>
      </c>
      <c r="K2443" s="3" t="str">
        <f>IFERROR(__xludf.DUMMYFUNCTION("""COMPUTED_VALUE"""),"นายจิระพงษ์ โพธิ์นิล")</f>
        <v>นายจิระพงษ์ โพธิ์นิล</v>
      </c>
      <c r="L2443" s="1" t="str">
        <f>IFERROR(__xludf.DUMMYFUNCTION("""COMPUTED_VALUE"""),"นายจิระพงษ์ โพธิ์นิล")</f>
        <v>นายจิระพงษ์ โพธิ์นิล</v>
      </c>
      <c r="M2443" s="1" t="str">
        <f>IFERROR(__xludf.DUMMYFUNCTION("""COMPUTED_VALUE"""),"0933290754")</f>
        <v>0933290754</v>
      </c>
      <c r="N2443" s="3">
        <f>IFERROR(__xludf.DUMMYFUNCTION("""COMPUTED_VALUE"""),83128.0)</f>
        <v>83128</v>
      </c>
      <c r="O2443" s="3" t="str">
        <f>IFERROR(__xludf.DUMMYFUNCTION("""COMPUTED_VALUE"""),"ร้านมีตังการเกษตร")</f>
        <v>ร้านมีตังการเกษตร</v>
      </c>
      <c r="P2443" s="4">
        <f>IFERROR(__xludf.DUMMYFUNCTION("""COMPUTED_VALUE"""),44555.0)</f>
        <v>44555</v>
      </c>
      <c r="Q2443" s="3" t="str">
        <f>IFERROR(__xludf.DUMMYFUNCTION("""COMPUTED_VALUE"""),"I")</f>
        <v>I</v>
      </c>
      <c r="R2443" s="3" t="str">
        <f>IFERROR(__xludf.DUMMYFUNCTION("""COMPUTED_VALUE"""),"Small Format")</f>
        <v>Small Format</v>
      </c>
      <c r="S2443" s="3" t="str">
        <f>IFERROR(__xludf.DUMMYFUNCTION("""COMPUTED_VALUE"""),"Donjai")</f>
        <v>Donjai</v>
      </c>
      <c r="T2443" s="3" t="str">
        <f>IFERROR(__xludf.DUMMYFUNCTION("""COMPUTED_VALUE"""),"04 K.Somboon P.")</f>
        <v>04 K.Somboon P.</v>
      </c>
      <c r="U2443" s="3" t="str">
        <f>IFERROR(__xludf.DUMMYFUNCTION("""COMPUTED_VALUE"""),"04 K.Somboon P.")</f>
        <v>04 K.Somboon P.</v>
      </c>
      <c r="V2443" s="3" t="str">
        <f>IFERROR(__xludf.DUMMYFUNCTION("""COMPUTED_VALUE"""),"N")</f>
        <v>N</v>
      </c>
      <c r="W2443" s="3"/>
      <c r="X2443" s="3" t="str">
        <f>IFERROR(__xludf.DUMMYFUNCTION("""COMPUTED_VALUE"""),"143 ม.1 ต.โนนเมืองพัฒนา อ.ด่านขุนทด จ.นครราชสีมา")</f>
        <v>143 ม.1 ต.โนนเมืองพัฒนา อ.ด่านขุนทด จ.นครราชสีมา</v>
      </c>
      <c r="Y2443" s="3"/>
      <c r="Z2443" s="3">
        <f>IFERROR(__xludf.DUMMYFUNCTION("""COMPUTED_VALUE"""),0.0)</f>
        <v>0</v>
      </c>
      <c r="AA2443" s="3">
        <f>IFERROR(__xludf.DUMMYFUNCTION("""COMPUTED_VALUE"""),0.0)</f>
        <v>0</v>
      </c>
      <c r="AB2443" s="3" t="str">
        <f>IFERROR(__xludf.DUMMYFUNCTION("""COMPUTED_VALUE"""),"นครราชสีมา")</f>
        <v>นครราชสีมา</v>
      </c>
      <c r="AC2443" s="3">
        <f>IFERROR(__xludf.DUMMYFUNCTION("""COMPUTED_VALUE"""),0.0)</f>
        <v>0</v>
      </c>
      <c r="AD2443" s="3"/>
      <c r="AE2443" s="3"/>
      <c r="AF2443" s="3" t="str">
        <f>IFERROR(__xludf.DUMMYFUNCTION("""COMPUTED_VALUE"""),"ร้านมีตังการเกษตร-83128")</f>
        <v>ร้านมีตังการเกษตร-83128</v>
      </c>
      <c r="AG2443" s="3" t="str">
        <f>IFERROR(__xludf.DUMMYFUNCTION("""COMPUTED_VALUE"""),"ตะวันออกเฉียงเหนือ")</f>
        <v>ตะวันออกเฉียงเหนือ</v>
      </c>
      <c r="AH2443" s="3" t="str">
        <f>IFERROR(__xludf.DUMMYFUNCTION("""COMPUTED_VALUE"""),"#N/A")</f>
        <v>#N/A</v>
      </c>
      <c r="AI2443" s="3" t="str">
        <f>IFERROR(__xludf.DUMMYFUNCTION("""COMPUTED_VALUE"""),"Out of warranty")</f>
        <v>Out of warranty</v>
      </c>
      <c r="AJ2443" s="3">
        <f>IFERROR(__xludf.DUMMYFUNCTION("""COMPUTED_VALUE"""),49.0)</f>
        <v>49</v>
      </c>
      <c r="AK2443" s="3"/>
      <c r="AL2443" s="3"/>
    </row>
    <row r="2444" ht="15.75" customHeight="1">
      <c r="A2444" s="1" t="str">
        <f>IFERROR(__xludf.DUMMYFUNCTION("""COMPUTED_VALUE"""),"83129")</f>
        <v>83129</v>
      </c>
      <c r="B2444" s="2">
        <f>IFERROR(__xludf.DUMMYFUNCTION("""COMPUTED_VALUE"""),83129.0)</f>
        <v>83129</v>
      </c>
      <c r="C2444" s="3" t="str">
        <f>IFERROR(__xludf.DUMMYFUNCTION("""COMPUTED_VALUE"""),"ร้านศรีจรูญ")</f>
        <v>ร้านศรีจรูญ</v>
      </c>
      <c r="D2444" s="3" t="str">
        <f>IFERROR(__xludf.DUMMYFUNCTION("""COMPUTED_VALUE"""),"ร้านศรีจรูญ")</f>
        <v>ร้านศรีจรูญ</v>
      </c>
      <c r="E2444" s="1" t="str">
        <f>IFERROR(__xludf.DUMMYFUNCTION("""COMPUTED_VALUE"""),"Donjai")</f>
        <v>Donjai</v>
      </c>
      <c r="F2444" s="1" t="str">
        <f>IFERROR(__xludf.DUMMYFUNCTION("""COMPUTED_VALUE"""),"015361")</f>
        <v>015361</v>
      </c>
      <c r="G2444" s="1" t="str">
        <f>IFERROR(__xludf.DUMMYFUNCTION("""COMPUTED_VALUE"""),"นายสมบูรณ์ พรหมในเมือง")</f>
        <v>นายสมบูรณ์ พรหมในเมือง</v>
      </c>
      <c r="H2444" s="1" t="str">
        <f>IFERROR(__xludf.DUMMYFUNCTION("""COMPUTED_VALUE"""),"015361")</f>
        <v>015361</v>
      </c>
      <c r="I2444" s="1" t="str">
        <f>IFERROR(__xludf.DUMMYFUNCTION("""COMPUTED_VALUE"""),"นายสมบูรณ์ พรหมในเมือง")</f>
        <v>นายสมบูรณ์ พรหมในเมือง</v>
      </c>
      <c r="J2444" s="3">
        <f>IFERROR(__xludf.DUMMYFUNCTION("""COMPUTED_VALUE"""),295886.0)</f>
        <v>295886</v>
      </c>
      <c r="K2444" s="3" t="str">
        <f>IFERROR(__xludf.DUMMYFUNCTION("""COMPUTED_VALUE"""),"นายจิระพงษ์ โพธิ์นิล")</f>
        <v>นายจิระพงษ์ โพธิ์นิล</v>
      </c>
      <c r="L2444" s="1" t="str">
        <f>IFERROR(__xludf.DUMMYFUNCTION("""COMPUTED_VALUE"""),"นายจิระพงษ์ โพธิ์นิล")</f>
        <v>นายจิระพงษ์ โพธิ์นิล</v>
      </c>
      <c r="M2444" s="1" t="str">
        <f>IFERROR(__xludf.DUMMYFUNCTION("""COMPUTED_VALUE"""),"0933290754")</f>
        <v>0933290754</v>
      </c>
      <c r="N2444" s="3">
        <f>IFERROR(__xludf.DUMMYFUNCTION("""COMPUTED_VALUE"""),83129.0)</f>
        <v>83129</v>
      </c>
      <c r="O2444" s="3" t="str">
        <f>IFERROR(__xludf.DUMMYFUNCTION("""COMPUTED_VALUE"""),"ร้านศรีจรูญ")</f>
        <v>ร้านศรีจรูญ</v>
      </c>
      <c r="P2444" s="4">
        <f>IFERROR(__xludf.DUMMYFUNCTION("""COMPUTED_VALUE"""),44549.0)</f>
        <v>44549</v>
      </c>
      <c r="Q2444" s="3" t="str">
        <f>IFERROR(__xludf.DUMMYFUNCTION("""COMPUTED_VALUE"""),"A")</f>
        <v>A</v>
      </c>
      <c r="R2444" s="3" t="str">
        <f>IFERROR(__xludf.DUMMYFUNCTION("""COMPUTED_VALUE"""),"Small Format")</f>
        <v>Small Format</v>
      </c>
      <c r="S2444" s="3" t="str">
        <f>IFERROR(__xludf.DUMMYFUNCTION("""COMPUTED_VALUE"""),"Donjai")</f>
        <v>Donjai</v>
      </c>
      <c r="T2444" s="3" t="str">
        <f>IFERROR(__xludf.DUMMYFUNCTION("""COMPUTED_VALUE"""),"04 K.Somboon P.")</f>
        <v>04 K.Somboon P.</v>
      </c>
      <c r="U2444" s="3" t="str">
        <f>IFERROR(__xludf.DUMMYFUNCTION("""COMPUTED_VALUE"""),"04 K.Somboon P.")</f>
        <v>04 K.Somboon P.</v>
      </c>
      <c r="V2444" s="3" t="str">
        <f>IFERROR(__xludf.DUMMYFUNCTION("""COMPUTED_VALUE"""),"N")</f>
        <v>N</v>
      </c>
      <c r="W2444" s="3"/>
      <c r="X2444" s="3" t="str">
        <f>IFERROR(__xludf.DUMMYFUNCTION("""COMPUTED_VALUE"""),"37/1 ม.5 ต.บิง อ.โนนสูง จ.นครราชสีมา")</f>
        <v>37/1 ม.5 ต.บิง อ.โนนสูง จ.นครราชสีมา</v>
      </c>
      <c r="Y2444" s="3"/>
      <c r="Z2444" s="3">
        <f>IFERROR(__xludf.DUMMYFUNCTION("""COMPUTED_VALUE"""),0.0)</f>
        <v>0</v>
      </c>
      <c r="AA2444" s="3">
        <f>IFERROR(__xludf.DUMMYFUNCTION("""COMPUTED_VALUE"""),0.0)</f>
        <v>0</v>
      </c>
      <c r="AB2444" s="3" t="str">
        <f>IFERROR(__xludf.DUMMYFUNCTION("""COMPUTED_VALUE"""),"นครราชสีมา")</f>
        <v>นครราชสีมา</v>
      </c>
      <c r="AC2444" s="3">
        <f>IFERROR(__xludf.DUMMYFUNCTION("""COMPUTED_VALUE"""),0.0)</f>
        <v>0</v>
      </c>
      <c r="AD2444" s="3"/>
      <c r="AE2444" s="3"/>
      <c r="AF2444" s="3" t="str">
        <f>IFERROR(__xludf.DUMMYFUNCTION("""COMPUTED_VALUE"""),"ร้านศรีจรูญ-83129")</f>
        <v>ร้านศรีจรูญ-83129</v>
      </c>
      <c r="AG2444" s="3" t="str">
        <f>IFERROR(__xludf.DUMMYFUNCTION("""COMPUTED_VALUE"""),"ตะวันออกเฉียงเหนือ")</f>
        <v>ตะวันออกเฉียงเหนือ</v>
      </c>
      <c r="AH2444" s="3" t="str">
        <f>IFERROR(__xludf.DUMMYFUNCTION("""COMPUTED_VALUE"""),"#N/A")</f>
        <v>#N/A</v>
      </c>
      <c r="AI2444" s="3" t="str">
        <f>IFERROR(__xludf.DUMMYFUNCTION("""COMPUTED_VALUE"""),"Out of warranty")</f>
        <v>Out of warranty</v>
      </c>
      <c r="AJ2444" s="3">
        <f>IFERROR(__xludf.DUMMYFUNCTION("""COMPUTED_VALUE"""),50.0)</f>
        <v>50</v>
      </c>
      <c r="AK2444" s="3"/>
      <c r="AL2444" s="3"/>
    </row>
    <row r="2445" ht="15.75" customHeight="1">
      <c r="A2445" s="1" t="str">
        <f>IFERROR(__xludf.DUMMYFUNCTION("""COMPUTED_VALUE"""),"83130")</f>
        <v>83130</v>
      </c>
      <c r="B2445" s="2">
        <f>IFERROR(__xludf.DUMMYFUNCTION("""COMPUTED_VALUE"""),83130.0)</f>
        <v>83130</v>
      </c>
      <c r="C2445" s="3" t="str">
        <f>IFERROR(__xludf.DUMMYFUNCTION("""COMPUTED_VALUE"""),"ร้านเจ๊นา")</f>
        <v>ร้านเจ๊นา</v>
      </c>
      <c r="D2445" s="3" t="str">
        <f>IFERROR(__xludf.DUMMYFUNCTION("""COMPUTED_VALUE"""),"ร้านเจ๊นา")</f>
        <v>ร้านเจ๊นา</v>
      </c>
      <c r="E2445" s="1" t="str">
        <f>IFERROR(__xludf.DUMMYFUNCTION("""COMPUTED_VALUE"""),"Donjai")</f>
        <v>Donjai</v>
      </c>
      <c r="F2445" s="1" t="str">
        <f>IFERROR(__xludf.DUMMYFUNCTION("""COMPUTED_VALUE"""),"296868")</f>
        <v>296868</v>
      </c>
      <c r="G2445" s="1" t="str">
        <f>IFERROR(__xludf.DUMMYFUNCTION("""COMPUTED_VALUE"""),"นายพีระพงษ์ แก้วดวงดี")</f>
        <v>นายพีระพงษ์ แก้วดวงดี</v>
      </c>
      <c r="H2445" s="1" t="str">
        <f>IFERROR(__xludf.DUMMYFUNCTION("""COMPUTED_VALUE"""),"296868")</f>
        <v>296868</v>
      </c>
      <c r="I2445" s="1" t="str">
        <f>IFERROR(__xludf.DUMMYFUNCTION("""COMPUTED_VALUE"""),"นายพีระพงษ์ แก้วดวงดี")</f>
        <v>นายพีระพงษ์ แก้วดวงดี</v>
      </c>
      <c r="J2445" s="1" t="str">
        <f>IFERROR(__xludf.DUMMYFUNCTION("""COMPUTED_VALUE"""),"295886")</f>
        <v>295886</v>
      </c>
      <c r="K2445" s="3" t="str">
        <f>IFERROR(__xludf.DUMMYFUNCTION("""COMPUTED_VALUE"""),"นายจิระพงษ์ โพธิ์นิล")</f>
        <v>นายจิระพงษ์ โพธิ์นิล</v>
      </c>
      <c r="L2445" s="1" t="str">
        <f>IFERROR(__xludf.DUMMYFUNCTION("""COMPUTED_VALUE"""),"นายจิระพงษ์ โพธิ์นิล")</f>
        <v>นายจิระพงษ์ โพธิ์นิล</v>
      </c>
      <c r="M2445" s="1" t="str">
        <f>IFERROR(__xludf.DUMMYFUNCTION("""COMPUTED_VALUE"""),"0933290754")</f>
        <v>0933290754</v>
      </c>
      <c r="N2445" s="3">
        <f>IFERROR(__xludf.DUMMYFUNCTION("""COMPUTED_VALUE"""),83130.0)</f>
        <v>83130</v>
      </c>
      <c r="O2445" s="3" t="str">
        <f>IFERROR(__xludf.DUMMYFUNCTION("""COMPUTED_VALUE"""),"ร้านเจ๊นา")</f>
        <v>ร้านเจ๊นา</v>
      </c>
      <c r="P2445" s="4">
        <f>IFERROR(__xludf.DUMMYFUNCTION("""COMPUTED_VALUE"""),44545.0)</f>
        <v>44545</v>
      </c>
      <c r="Q2445" s="3" t="str">
        <f>IFERROR(__xludf.DUMMYFUNCTION("""COMPUTED_VALUE"""),"I")</f>
        <v>I</v>
      </c>
      <c r="R2445" s="3" t="str">
        <f>IFERROR(__xludf.DUMMYFUNCTION("""COMPUTED_VALUE"""),"Small Format")</f>
        <v>Small Format</v>
      </c>
      <c r="S2445" s="3" t="str">
        <f>IFERROR(__xludf.DUMMYFUNCTION("""COMPUTED_VALUE"""),"Donjai")</f>
        <v>Donjai</v>
      </c>
      <c r="T2445" s="3" t="str">
        <f>IFERROR(__xludf.DUMMYFUNCTION("""COMPUTED_VALUE"""),"03 K.Peerapong K.")</f>
        <v>03 K.Peerapong K.</v>
      </c>
      <c r="U2445" s="3" t="str">
        <f>IFERROR(__xludf.DUMMYFUNCTION("""COMPUTED_VALUE"""),"03 K.Peerapong K.")</f>
        <v>03 K.Peerapong K.</v>
      </c>
      <c r="V2445" s="3" t="str">
        <f>IFERROR(__xludf.DUMMYFUNCTION("""COMPUTED_VALUE"""),"N")</f>
        <v>N</v>
      </c>
      <c r="W2445" s="3"/>
      <c r="X2445" s="3" t="str">
        <f>IFERROR(__xludf.DUMMYFUNCTION("""COMPUTED_VALUE"""),"196 ม.7 บ้านโนนตุ่น ต.ดอนหัน อ.เมืองขอนแก่น จ.ขอนแก่น")</f>
        <v>196 ม.7 บ้านโนนตุ่น ต.ดอนหัน อ.เมืองขอนแก่น จ.ขอนแก่น</v>
      </c>
      <c r="Y2445" s="3"/>
      <c r="Z2445" s="3">
        <f>IFERROR(__xludf.DUMMYFUNCTION("""COMPUTED_VALUE"""),0.0)</f>
        <v>0</v>
      </c>
      <c r="AA2445" s="3">
        <f>IFERROR(__xludf.DUMMYFUNCTION("""COMPUTED_VALUE"""),0.0)</f>
        <v>0</v>
      </c>
      <c r="AB2445" s="3" t="str">
        <f>IFERROR(__xludf.DUMMYFUNCTION("""COMPUTED_VALUE"""),"ขอนแก่น")</f>
        <v>ขอนแก่น</v>
      </c>
      <c r="AC2445" s="3">
        <f>IFERROR(__xludf.DUMMYFUNCTION("""COMPUTED_VALUE"""),0.0)</f>
        <v>0</v>
      </c>
      <c r="AD2445" s="3"/>
      <c r="AE2445" s="3"/>
      <c r="AF2445" s="3" t="str">
        <f>IFERROR(__xludf.DUMMYFUNCTION("""COMPUTED_VALUE"""),"ร้านเจ๊นา-83130")</f>
        <v>ร้านเจ๊นา-83130</v>
      </c>
      <c r="AG2445" s="3" t="str">
        <f>IFERROR(__xludf.DUMMYFUNCTION("""COMPUTED_VALUE"""),"ตะวันออกเฉียงเหนือ")</f>
        <v>ตะวันออกเฉียงเหนือ</v>
      </c>
      <c r="AH2445" s="3" t="str">
        <f>IFERROR(__xludf.DUMMYFUNCTION("""COMPUTED_VALUE"""),"#N/A")</f>
        <v>#N/A</v>
      </c>
      <c r="AI2445" s="3" t="str">
        <f>IFERROR(__xludf.DUMMYFUNCTION("""COMPUTED_VALUE"""),"Out of warranty")</f>
        <v>Out of warranty</v>
      </c>
      <c r="AJ2445" s="3">
        <f>IFERROR(__xludf.DUMMYFUNCTION("""COMPUTED_VALUE"""),50.0)</f>
        <v>50</v>
      </c>
      <c r="AK2445" s="3"/>
      <c r="AL2445" s="3"/>
    </row>
    <row r="2446" ht="15.75" customHeight="1">
      <c r="A2446" s="1" t="str">
        <f>IFERROR(__xludf.DUMMYFUNCTION("""COMPUTED_VALUE"""),"83132")</f>
        <v>83132</v>
      </c>
      <c r="B2446" s="2">
        <f>IFERROR(__xludf.DUMMYFUNCTION("""COMPUTED_VALUE"""),83132.0)</f>
        <v>83132</v>
      </c>
      <c r="C2446" s="3" t="str">
        <f>IFERROR(__xludf.DUMMYFUNCTION("""COMPUTED_VALUE"""),"ร้านเฟิร์นอินเตอร์เน็ต (เฟิร์นอินเตอร์)")</f>
        <v>ร้านเฟิร์นอินเตอร์เน็ต (เฟิร์นอินเตอร์)</v>
      </c>
      <c r="D2446" s="3" t="str">
        <f>IFERROR(__xludf.DUMMYFUNCTION("""COMPUTED_VALUE"""),"ร้านเฟิร์นอินเตอร์เน็ต (เฟิร์นอินเตอร์)")</f>
        <v>ร้านเฟิร์นอินเตอร์เน็ต (เฟิร์นอินเตอร์)</v>
      </c>
      <c r="E2446" s="1" t="str">
        <f>IFERROR(__xludf.DUMMYFUNCTION("""COMPUTED_VALUE"""),"Donjai")</f>
        <v>Donjai</v>
      </c>
      <c r="F2446" s="1" t="str">
        <f>IFERROR(__xludf.DUMMYFUNCTION("""COMPUTED_VALUE"""),"296868")</f>
        <v>296868</v>
      </c>
      <c r="G2446" s="1" t="str">
        <f>IFERROR(__xludf.DUMMYFUNCTION("""COMPUTED_VALUE"""),"นายพีระพงษ์ แก้วดวงดี")</f>
        <v>นายพีระพงษ์ แก้วดวงดี</v>
      </c>
      <c r="H2446" s="1" t="str">
        <f>IFERROR(__xludf.DUMMYFUNCTION("""COMPUTED_VALUE"""),"296868")</f>
        <v>296868</v>
      </c>
      <c r="I2446" s="1" t="str">
        <f>IFERROR(__xludf.DUMMYFUNCTION("""COMPUTED_VALUE"""),"นายพีระพงษ์ แก้วดวงดี")</f>
        <v>นายพีระพงษ์ แก้วดวงดี</v>
      </c>
      <c r="J2446" s="3">
        <f>IFERROR(__xludf.DUMMYFUNCTION("""COMPUTED_VALUE"""),295886.0)</f>
        <v>295886</v>
      </c>
      <c r="K2446" s="3" t="str">
        <f>IFERROR(__xludf.DUMMYFUNCTION("""COMPUTED_VALUE"""),"นายจิระพงษ์ โพธิ์นิล")</f>
        <v>นายจิระพงษ์ โพธิ์นิล</v>
      </c>
      <c r="L2446" s="1" t="str">
        <f>IFERROR(__xludf.DUMMYFUNCTION("""COMPUTED_VALUE"""),"นายจิระพงษ์ โพธิ์นิล")</f>
        <v>นายจิระพงษ์ โพธิ์นิล</v>
      </c>
      <c r="M2446" s="1" t="str">
        <f>IFERROR(__xludf.DUMMYFUNCTION("""COMPUTED_VALUE"""),"0933290754")</f>
        <v>0933290754</v>
      </c>
      <c r="N2446" s="3">
        <f>IFERROR(__xludf.DUMMYFUNCTION("""COMPUTED_VALUE"""),83132.0)</f>
        <v>83132</v>
      </c>
      <c r="O2446" s="3" t="str">
        <f>IFERROR(__xludf.DUMMYFUNCTION("""COMPUTED_VALUE"""),"ร้านเฟิร์นอินเตอร์เน็ต (เฟิร์นอินเตอร์)")</f>
        <v>ร้านเฟิร์นอินเตอร์เน็ต (เฟิร์นอินเตอร์)</v>
      </c>
      <c r="P2446" s="4">
        <f>IFERROR(__xludf.DUMMYFUNCTION("""COMPUTED_VALUE"""),44695.0)</f>
        <v>44695</v>
      </c>
      <c r="Q2446" s="3" t="str">
        <f>IFERROR(__xludf.DUMMYFUNCTION("""COMPUTED_VALUE"""),"A")</f>
        <v>A</v>
      </c>
      <c r="R2446" s="3" t="str">
        <f>IFERROR(__xludf.DUMMYFUNCTION("""COMPUTED_VALUE"""),"Small Format")</f>
        <v>Small Format</v>
      </c>
      <c r="S2446" s="3" t="str">
        <f>IFERROR(__xludf.DUMMYFUNCTION("""COMPUTED_VALUE"""),"Donjai")</f>
        <v>Donjai</v>
      </c>
      <c r="T2446" s="3" t="str">
        <f>IFERROR(__xludf.DUMMYFUNCTION("""COMPUTED_VALUE"""),"03 K.Peerapong K.")</f>
        <v>03 K.Peerapong K.</v>
      </c>
      <c r="U2446" s="3" t="str">
        <f>IFERROR(__xludf.DUMMYFUNCTION("""COMPUTED_VALUE"""),"03 K.Peerapong K.")</f>
        <v>03 K.Peerapong K.</v>
      </c>
      <c r="V2446" s="3" t="str">
        <f>IFERROR(__xludf.DUMMYFUNCTION("""COMPUTED_VALUE"""),"N")</f>
        <v>N</v>
      </c>
      <c r="W2446" s="3"/>
      <c r="X2446" s="3" t="str">
        <f>IFERROR(__xludf.DUMMYFUNCTION("""COMPUTED_VALUE"""),"167 พระบาทนาสิงห์ รัตนวาปี หนองคาย 34150")</f>
        <v>167 พระบาทนาสิงห์ รัตนวาปี หนองคาย 34150</v>
      </c>
      <c r="Y2446" s="3"/>
      <c r="Z2446" s="3">
        <f>IFERROR(__xludf.DUMMYFUNCTION("""COMPUTED_VALUE"""),0.0)</f>
        <v>0</v>
      </c>
      <c r="AA2446" s="3">
        <f>IFERROR(__xludf.DUMMYFUNCTION("""COMPUTED_VALUE"""),0.0)</f>
        <v>0</v>
      </c>
      <c r="AB2446" s="3" t="str">
        <f>IFERROR(__xludf.DUMMYFUNCTION("""COMPUTED_VALUE"""),"หนองคาย")</f>
        <v>หนองคาย</v>
      </c>
      <c r="AC2446" s="3">
        <f>IFERROR(__xludf.DUMMYFUNCTION("""COMPUTED_VALUE"""),34150.0)</f>
        <v>34150</v>
      </c>
      <c r="AD2446" s="3"/>
      <c r="AE2446" s="3"/>
      <c r="AF2446" s="3" t="str">
        <f>IFERROR(__xludf.DUMMYFUNCTION("""COMPUTED_VALUE"""),"ร้านเฟิร์นอินเตอร์เน็ต (เฟิร์นอินเตอร์)-83132")</f>
        <v>ร้านเฟิร์นอินเตอร์เน็ต (เฟิร์นอินเตอร์)-83132</v>
      </c>
      <c r="AG2446" s="3" t="str">
        <f>IFERROR(__xludf.DUMMYFUNCTION("""COMPUTED_VALUE"""),"ตะวันออกเฉียงเหนือ")</f>
        <v>ตะวันออกเฉียงเหนือ</v>
      </c>
      <c r="AH2446" s="3" t="str">
        <f>IFERROR(__xludf.DUMMYFUNCTION("""COMPUTED_VALUE"""),"#N/A")</f>
        <v>#N/A</v>
      </c>
      <c r="AI2446" s="3" t="str">
        <f>IFERROR(__xludf.DUMMYFUNCTION("""COMPUTED_VALUE"""),"Out of warranty")</f>
        <v>Out of warranty</v>
      </c>
      <c r="AJ2446" s="3">
        <f>IFERROR(__xludf.DUMMYFUNCTION("""COMPUTED_VALUE"""),45.0)</f>
        <v>45</v>
      </c>
      <c r="AK2446" s="3"/>
      <c r="AL2446" s="3"/>
    </row>
    <row r="2447" ht="15.75" customHeight="1">
      <c r="A2447" s="1" t="str">
        <f>IFERROR(__xludf.DUMMYFUNCTION("""COMPUTED_VALUE"""),"83133")</f>
        <v>83133</v>
      </c>
      <c r="B2447" s="2">
        <f>IFERROR(__xludf.DUMMYFUNCTION("""COMPUTED_VALUE"""),83133.0)</f>
        <v>83133</v>
      </c>
      <c r="C2447" s="3" t="str">
        <f>IFERROR(__xludf.DUMMYFUNCTION("""COMPUTED_VALUE"""),"เฮียชัยยศ")</f>
        <v>เฮียชัยยศ</v>
      </c>
      <c r="D2447" s="3" t="str">
        <f>IFERROR(__xludf.DUMMYFUNCTION("""COMPUTED_VALUE"""),"เฮียชัยยศ")</f>
        <v>เฮียชัยยศ</v>
      </c>
      <c r="E2447" s="1" t="str">
        <f>IFERROR(__xludf.DUMMYFUNCTION("""COMPUTED_VALUE"""),"Donjai")</f>
        <v>Donjai</v>
      </c>
      <c r="F2447" s="1" t="str">
        <f>IFERROR(__xludf.DUMMYFUNCTION("""COMPUTED_VALUE"""),"296608")</f>
        <v>296608</v>
      </c>
      <c r="G2447" s="1" t="str">
        <f>IFERROR(__xludf.DUMMYFUNCTION("""COMPUTED_VALUE"""),"นายภาคภูมิ เพ็ชรนิล")</f>
        <v>นายภาคภูมิ เพ็ชรนิล</v>
      </c>
      <c r="H2447" s="1" t="str">
        <f>IFERROR(__xludf.DUMMYFUNCTION("""COMPUTED_VALUE"""),"296608")</f>
        <v>296608</v>
      </c>
      <c r="I2447" s="1" t="str">
        <f>IFERROR(__xludf.DUMMYFUNCTION("""COMPUTED_VALUE"""),"นายภาคภูมิ เพ็ชรนิล")</f>
        <v>นายภาคภูมิ เพ็ชรนิล</v>
      </c>
      <c r="J2447" s="3">
        <f>IFERROR(__xludf.DUMMYFUNCTION("""COMPUTED_VALUE"""),228031.0)</f>
        <v>228031</v>
      </c>
      <c r="K2447" s="3" t="str">
        <f>IFERROR(__xludf.DUMMYFUNCTION("""COMPUTED_VALUE"""),"นายธนพงษ์ วันหมัด")</f>
        <v>นายธนพงษ์ วันหมัด</v>
      </c>
      <c r="L2447" s="1" t="str">
        <f>IFERROR(__xludf.DUMMYFUNCTION("""COMPUTED_VALUE"""),"นายธนพงษ์ วันหมัด")</f>
        <v>นายธนพงษ์ วันหมัด</v>
      </c>
      <c r="M2447" s="1" t="str">
        <f>IFERROR(__xludf.DUMMYFUNCTION("""COMPUTED_VALUE"""),"0813716913")</f>
        <v>0813716913</v>
      </c>
      <c r="N2447" s="3">
        <f>IFERROR(__xludf.DUMMYFUNCTION("""COMPUTED_VALUE"""),83133.0)</f>
        <v>83133</v>
      </c>
      <c r="O2447" s="3" t="str">
        <f>IFERROR(__xludf.DUMMYFUNCTION("""COMPUTED_VALUE"""),"เฮียชัยยศ")</f>
        <v>เฮียชัยยศ</v>
      </c>
      <c r="P2447" s="4">
        <f>IFERROR(__xludf.DUMMYFUNCTION("""COMPUTED_VALUE"""),44558.0)</f>
        <v>44558</v>
      </c>
      <c r="Q2447" s="3" t="str">
        <f>IFERROR(__xludf.DUMMYFUNCTION("""COMPUTED_VALUE"""),"I")</f>
        <v>I</v>
      </c>
      <c r="R2447" s="3" t="str">
        <f>IFERROR(__xludf.DUMMYFUNCTION("""COMPUTED_VALUE"""),"Small Format")</f>
        <v>Small Format</v>
      </c>
      <c r="S2447" s="3" t="str">
        <f>IFERROR(__xludf.DUMMYFUNCTION("""COMPUTED_VALUE"""),"Donjai")</f>
        <v>Donjai</v>
      </c>
      <c r="T2447" s="3" t="str">
        <f>IFERROR(__xludf.DUMMYFUNCTION("""COMPUTED_VALUE"""),"10 K.Phakphoom P.")</f>
        <v>10 K.Phakphoom P.</v>
      </c>
      <c r="U2447" s="3" t="str">
        <f>IFERROR(__xludf.DUMMYFUNCTION("""COMPUTED_VALUE"""),"10 K.Phakphoom P.")</f>
        <v>10 K.Phakphoom P.</v>
      </c>
      <c r="V2447" s="3" t="str">
        <f>IFERROR(__xludf.DUMMYFUNCTION("""COMPUTED_VALUE"""),"N")</f>
        <v>N</v>
      </c>
      <c r="W2447" s="3"/>
      <c r="X2447" s="3" t="str">
        <f>IFERROR(__xludf.DUMMYFUNCTION("""COMPUTED_VALUE"""),"4 ต.บ้านฆ้อง อ.โพธาราม จ.ราชบุรี")</f>
        <v>4 ต.บ้านฆ้อง อ.โพธาราม จ.ราชบุรี</v>
      </c>
      <c r="Y2447" s="3"/>
      <c r="Z2447" s="3">
        <f>IFERROR(__xludf.DUMMYFUNCTION("""COMPUTED_VALUE"""),0.0)</f>
        <v>0</v>
      </c>
      <c r="AA2447" s="3">
        <f>IFERROR(__xludf.DUMMYFUNCTION("""COMPUTED_VALUE"""),0.0)</f>
        <v>0</v>
      </c>
      <c r="AB2447" s="3" t="str">
        <f>IFERROR(__xludf.DUMMYFUNCTION("""COMPUTED_VALUE"""),"ราชบุรี")</f>
        <v>ราชบุรี</v>
      </c>
      <c r="AC2447" s="3">
        <f>IFERROR(__xludf.DUMMYFUNCTION("""COMPUTED_VALUE"""),0.0)</f>
        <v>0</v>
      </c>
      <c r="AD2447" s="3"/>
      <c r="AE2447" s="3"/>
      <c r="AF2447" s="3" t="str">
        <f>IFERROR(__xludf.DUMMYFUNCTION("""COMPUTED_VALUE"""),"เฮียชัยยศ-83133")</f>
        <v>เฮียชัยยศ-83133</v>
      </c>
      <c r="AG2447" s="3" t="str">
        <f>IFERROR(__xludf.DUMMYFUNCTION("""COMPUTED_VALUE"""),"ตะวันตก")</f>
        <v>ตะวันตก</v>
      </c>
      <c r="AH2447" s="3" t="str">
        <f>IFERROR(__xludf.DUMMYFUNCTION("""COMPUTED_VALUE"""),"#N/A")</f>
        <v>#N/A</v>
      </c>
      <c r="AI2447" s="3" t="str">
        <f>IFERROR(__xludf.DUMMYFUNCTION("""COMPUTED_VALUE"""),"Out of warranty")</f>
        <v>Out of warranty</v>
      </c>
      <c r="AJ2447" s="3">
        <f>IFERROR(__xludf.DUMMYFUNCTION("""COMPUTED_VALUE"""),49.0)</f>
        <v>49</v>
      </c>
      <c r="AK2447" s="3"/>
      <c r="AL2447" s="3"/>
    </row>
    <row r="2448" ht="15.75" customHeight="1">
      <c r="A2448" s="1" t="str">
        <f>IFERROR(__xludf.DUMMYFUNCTION("""COMPUTED_VALUE"""),"83137")</f>
        <v>83137</v>
      </c>
      <c r="B2448" s="2">
        <f>IFERROR(__xludf.DUMMYFUNCTION("""COMPUTED_VALUE"""),83137.0)</f>
        <v>83137</v>
      </c>
      <c r="C2448" s="3" t="str">
        <f>IFERROR(__xludf.DUMMYFUNCTION("""COMPUTED_VALUE"""),"ร้านการ์ฟิวพาณิชย์")</f>
        <v>ร้านการ์ฟิวพาณิชย์</v>
      </c>
      <c r="D2448" s="3" t="str">
        <f>IFERROR(__xludf.DUMMYFUNCTION("""COMPUTED_VALUE"""),"ร้านการ์ฟิวพาณิชย์")</f>
        <v>ร้านการ์ฟิวพาณิชย์</v>
      </c>
      <c r="E2448" s="1" t="str">
        <f>IFERROR(__xludf.DUMMYFUNCTION("""COMPUTED_VALUE"""),"Donjai")</f>
        <v>Donjai</v>
      </c>
      <c r="F2448" s="1" t="str">
        <f>IFERROR(__xludf.DUMMYFUNCTION("""COMPUTED_VALUE"""),"296868")</f>
        <v>296868</v>
      </c>
      <c r="G2448" s="1" t="str">
        <f>IFERROR(__xludf.DUMMYFUNCTION("""COMPUTED_VALUE"""),"นายพีระพงษ์ แก้วดวงดี")</f>
        <v>นายพีระพงษ์ แก้วดวงดี</v>
      </c>
      <c r="H2448" s="1" t="str">
        <f>IFERROR(__xludf.DUMMYFUNCTION("""COMPUTED_VALUE"""),"296868")</f>
        <v>296868</v>
      </c>
      <c r="I2448" s="1" t="str">
        <f>IFERROR(__xludf.DUMMYFUNCTION("""COMPUTED_VALUE"""),"นายพีระพงษ์ แก้วดวงดี")</f>
        <v>นายพีระพงษ์ แก้วดวงดี</v>
      </c>
      <c r="J2448" s="3">
        <f>IFERROR(__xludf.DUMMYFUNCTION("""COMPUTED_VALUE"""),295886.0)</f>
        <v>295886</v>
      </c>
      <c r="K2448" s="3" t="str">
        <f>IFERROR(__xludf.DUMMYFUNCTION("""COMPUTED_VALUE"""),"นายจิระพงษ์ โพธิ์นิล")</f>
        <v>นายจิระพงษ์ โพธิ์นิล</v>
      </c>
      <c r="L2448" s="1" t="str">
        <f>IFERROR(__xludf.DUMMYFUNCTION("""COMPUTED_VALUE"""),"นายจิระพงษ์ โพธิ์นิล")</f>
        <v>นายจิระพงษ์ โพธิ์นิล</v>
      </c>
      <c r="M2448" s="1" t="str">
        <f>IFERROR(__xludf.DUMMYFUNCTION("""COMPUTED_VALUE"""),"0933290754")</f>
        <v>0933290754</v>
      </c>
      <c r="N2448" s="3">
        <f>IFERROR(__xludf.DUMMYFUNCTION("""COMPUTED_VALUE"""),83137.0)</f>
        <v>83137</v>
      </c>
      <c r="O2448" s="3" t="str">
        <f>IFERROR(__xludf.DUMMYFUNCTION("""COMPUTED_VALUE"""),"ร้านการ์ฟิวพาณิชย์")</f>
        <v>ร้านการ์ฟิวพาณิชย์</v>
      </c>
      <c r="P2448" s="4">
        <f>IFERROR(__xludf.DUMMYFUNCTION("""COMPUTED_VALUE"""),44577.0)</f>
        <v>44577</v>
      </c>
      <c r="Q2448" s="3" t="str">
        <f>IFERROR(__xludf.DUMMYFUNCTION("""COMPUTED_VALUE"""),"A")</f>
        <v>A</v>
      </c>
      <c r="R2448" s="3" t="str">
        <f>IFERROR(__xludf.DUMMYFUNCTION("""COMPUTED_VALUE"""),"Small Format")</f>
        <v>Small Format</v>
      </c>
      <c r="S2448" s="3" t="str">
        <f>IFERROR(__xludf.DUMMYFUNCTION("""COMPUTED_VALUE"""),"Donjai")</f>
        <v>Donjai</v>
      </c>
      <c r="T2448" s="3" t="str">
        <f>IFERROR(__xludf.DUMMYFUNCTION("""COMPUTED_VALUE"""),"03 K.Peerapong K.")</f>
        <v>03 K.Peerapong K.</v>
      </c>
      <c r="U2448" s="3" t="str">
        <f>IFERROR(__xludf.DUMMYFUNCTION("""COMPUTED_VALUE"""),"03 K.Peerapong K.")</f>
        <v>03 K.Peerapong K.</v>
      </c>
      <c r="V2448" s="3" t="str">
        <f>IFERROR(__xludf.DUMMYFUNCTION("""COMPUTED_VALUE"""),"N")</f>
        <v>N</v>
      </c>
      <c r="W2448" s="3"/>
      <c r="X2448" s="3" t="str">
        <f>IFERROR(__xludf.DUMMYFUNCTION("""COMPUTED_VALUE"""),"253 หมู่9 ตำบลบ้านก้อง อำเภอนายูง จังหวัดอุดรธานี 41380")</f>
        <v>253 หมู่9 ตำบลบ้านก้อง อำเภอนายูง จังหวัดอุดรธานี 41380</v>
      </c>
      <c r="Y2448" s="3"/>
      <c r="Z2448" s="3">
        <f>IFERROR(__xludf.DUMMYFUNCTION("""COMPUTED_VALUE"""),0.0)</f>
        <v>0</v>
      </c>
      <c r="AA2448" s="3">
        <f>IFERROR(__xludf.DUMMYFUNCTION("""COMPUTED_VALUE"""),0.0)</f>
        <v>0</v>
      </c>
      <c r="AB2448" s="3" t="str">
        <f>IFERROR(__xludf.DUMMYFUNCTION("""COMPUTED_VALUE"""),"อุดรธานี")</f>
        <v>อุดรธานี</v>
      </c>
      <c r="AC2448" s="3">
        <f>IFERROR(__xludf.DUMMYFUNCTION("""COMPUTED_VALUE"""),41380.0)</f>
        <v>41380</v>
      </c>
      <c r="AD2448" s="3"/>
      <c r="AE2448" s="3"/>
      <c r="AF2448" s="3" t="str">
        <f>IFERROR(__xludf.DUMMYFUNCTION("""COMPUTED_VALUE"""),"ร้านการ์ฟิวพาณิชย์-83137")</f>
        <v>ร้านการ์ฟิวพาณิชย์-83137</v>
      </c>
      <c r="AG2448" s="3" t="str">
        <f>IFERROR(__xludf.DUMMYFUNCTION("""COMPUTED_VALUE"""),"ตะวันออกเฉียงเหนือ")</f>
        <v>ตะวันออกเฉียงเหนือ</v>
      </c>
      <c r="AH2448" s="3" t="str">
        <f>IFERROR(__xludf.DUMMYFUNCTION("""COMPUTED_VALUE"""),"#N/A")</f>
        <v>#N/A</v>
      </c>
      <c r="AI2448" s="3" t="str">
        <f>IFERROR(__xludf.DUMMYFUNCTION("""COMPUTED_VALUE"""),"Out of warranty")</f>
        <v>Out of warranty</v>
      </c>
      <c r="AJ2448" s="3">
        <f>IFERROR(__xludf.DUMMYFUNCTION("""COMPUTED_VALUE"""),49.0)</f>
        <v>49</v>
      </c>
      <c r="AK2448" s="3"/>
      <c r="AL2448" s="3"/>
    </row>
    <row r="2449" ht="15.75" customHeight="1">
      <c r="A2449" s="1" t="str">
        <f>IFERROR(__xludf.DUMMYFUNCTION("""COMPUTED_VALUE"""),"83139")</f>
        <v>83139</v>
      </c>
      <c r="B2449" s="2">
        <f>IFERROR(__xludf.DUMMYFUNCTION("""COMPUTED_VALUE"""),83139.0)</f>
        <v>83139</v>
      </c>
      <c r="C2449" s="3" t="str">
        <f>IFERROR(__xludf.DUMMYFUNCTION("""COMPUTED_VALUE"""),"ร้านอุบล บริการ")</f>
        <v>ร้านอุบล บริการ</v>
      </c>
      <c r="D2449" s="3" t="str">
        <f>IFERROR(__xludf.DUMMYFUNCTION("""COMPUTED_VALUE"""),"ร้านอุบล บริการ")</f>
        <v>ร้านอุบล บริการ</v>
      </c>
      <c r="E2449" s="1" t="str">
        <f>IFERROR(__xludf.DUMMYFUNCTION("""COMPUTED_VALUE"""),"Donjai")</f>
        <v>Donjai</v>
      </c>
      <c r="F2449" s="1" t="str">
        <f>IFERROR(__xludf.DUMMYFUNCTION("""COMPUTED_VALUE"""),"2451655")</f>
        <v>2451655</v>
      </c>
      <c r="G2449" s="1" t="str">
        <f>IFERROR(__xludf.DUMMYFUNCTION("""COMPUTED_VALUE"""),"นายวิษณุพงษ์ ชินบุตร")</f>
        <v>นายวิษณุพงษ์ ชินบุตร</v>
      </c>
      <c r="H2449" s="1" t="str">
        <f>IFERROR(__xludf.DUMMYFUNCTION("""COMPUTED_VALUE"""),"2451655")</f>
        <v>2451655</v>
      </c>
      <c r="I2449" s="1" t="str">
        <f>IFERROR(__xludf.DUMMYFUNCTION("""COMPUTED_VALUE"""),"นายวิษณุพงษ์ ชินบุตร")</f>
        <v>นายวิษณุพงษ์ ชินบุตร</v>
      </c>
      <c r="J2449" s="3">
        <f>IFERROR(__xludf.DUMMYFUNCTION("""COMPUTED_VALUE"""),228031.0)</f>
        <v>228031</v>
      </c>
      <c r="K2449" s="3" t="str">
        <f>IFERROR(__xludf.DUMMYFUNCTION("""COMPUTED_VALUE"""),"นายธนพงษ์ วันหมัด")</f>
        <v>นายธนพงษ์ วันหมัด</v>
      </c>
      <c r="L2449" s="1" t="str">
        <f>IFERROR(__xludf.DUMMYFUNCTION("""COMPUTED_VALUE"""),"นายธนพงษ์ วันหมัด")</f>
        <v>นายธนพงษ์ วันหมัด</v>
      </c>
      <c r="M2449" s="1" t="str">
        <f>IFERROR(__xludf.DUMMYFUNCTION("""COMPUTED_VALUE"""),"0813716913")</f>
        <v>0813716913</v>
      </c>
      <c r="N2449" s="3">
        <f>IFERROR(__xludf.DUMMYFUNCTION("""COMPUTED_VALUE"""),83139.0)</f>
        <v>83139</v>
      </c>
      <c r="O2449" s="3" t="str">
        <f>IFERROR(__xludf.DUMMYFUNCTION("""COMPUTED_VALUE"""),"ร้านอุบล บริการ")</f>
        <v>ร้านอุบล บริการ</v>
      </c>
      <c r="P2449" s="4">
        <f>IFERROR(__xludf.DUMMYFUNCTION("""COMPUTED_VALUE"""),44662.0)</f>
        <v>44662</v>
      </c>
      <c r="Q2449" s="3" t="str">
        <f>IFERROR(__xludf.DUMMYFUNCTION("""COMPUTED_VALUE"""),"A")</f>
        <v>A</v>
      </c>
      <c r="R2449" s="3" t="str">
        <f>IFERROR(__xludf.DUMMYFUNCTION("""COMPUTED_VALUE"""),"Small Format")</f>
        <v>Small Format</v>
      </c>
      <c r="S2449" s="3" t="str">
        <f>IFERROR(__xludf.DUMMYFUNCTION("""COMPUTED_VALUE"""),"Donjai")</f>
        <v>Donjai</v>
      </c>
      <c r="T2449" s="3" t="str">
        <f>IFERROR(__xludf.DUMMYFUNCTION("""COMPUTED_VALUE"""),"13 K.Wisanupong Ch")</f>
        <v>13 K.Wisanupong Ch</v>
      </c>
      <c r="U2449" s="3" t="str">
        <f>IFERROR(__xludf.DUMMYFUNCTION("""COMPUTED_VALUE"""),"13 K.Wisanupong Ch")</f>
        <v>13 K.Wisanupong Ch</v>
      </c>
      <c r="V2449" s="3" t="str">
        <f>IFERROR(__xludf.DUMMYFUNCTION("""COMPUTED_VALUE"""),"N")</f>
        <v>N</v>
      </c>
      <c r="W2449" s="3"/>
      <c r="X2449" s="3" t="str">
        <f>IFERROR(__xludf.DUMMYFUNCTION("""COMPUTED_VALUE"""),"5 ม4 ต. หนองโรง อ. พนมทวน จ. กาญจนบุรี 71140")</f>
        <v>5 ม4 ต. หนองโรง อ. พนมทวน จ. กาญจนบุรี 71140</v>
      </c>
      <c r="Y2449" s="3"/>
      <c r="Z2449" s="3">
        <f>IFERROR(__xludf.DUMMYFUNCTION("""COMPUTED_VALUE"""),0.0)</f>
        <v>0</v>
      </c>
      <c r="AA2449" s="3">
        <f>IFERROR(__xludf.DUMMYFUNCTION("""COMPUTED_VALUE"""),0.0)</f>
        <v>0</v>
      </c>
      <c r="AB2449" s="3" t="str">
        <f>IFERROR(__xludf.DUMMYFUNCTION("""COMPUTED_VALUE"""),"กาญจนบุรี")</f>
        <v>กาญจนบุรี</v>
      </c>
      <c r="AC2449" s="3">
        <f>IFERROR(__xludf.DUMMYFUNCTION("""COMPUTED_VALUE"""),71140.0)</f>
        <v>71140</v>
      </c>
      <c r="AD2449" s="3"/>
      <c r="AE2449" s="3"/>
      <c r="AF2449" s="3" t="str">
        <f>IFERROR(__xludf.DUMMYFUNCTION("""COMPUTED_VALUE"""),"ร้านอุบล บริการ-83139")</f>
        <v>ร้านอุบล บริการ-83139</v>
      </c>
      <c r="AG2449" s="3" t="str">
        <f>IFERROR(__xludf.DUMMYFUNCTION("""COMPUTED_VALUE"""),"ตะวันตก")</f>
        <v>ตะวันตก</v>
      </c>
      <c r="AH2449" s="3" t="str">
        <f>IFERROR(__xludf.DUMMYFUNCTION("""COMPUTED_VALUE"""),"#N/A")</f>
        <v>#N/A</v>
      </c>
      <c r="AI2449" s="3" t="str">
        <f>IFERROR(__xludf.DUMMYFUNCTION("""COMPUTED_VALUE"""),"Out of warranty")</f>
        <v>Out of warranty</v>
      </c>
      <c r="AJ2449" s="3">
        <f>IFERROR(__xludf.DUMMYFUNCTION("""COMPUTED_VALUE"""),46.0)</f>
        <v>46</v>
      </c>
      <c r="AK2449" s="3"/>
      <c r="AL2449" s="3"/>
    </row>
    <row r="2450" ht="15.75" customHeight="1">
      <c r="A2450" s="1" t="str">
        <f>IFERROR(__xludf.DUMMYFUNCTION("""COMPUTED_VALUE"""),"83140")</f>
        <v>83140</v>
      </c>
      <c r="B2450" s="2">
        <f>IFERROR(__xludf.DUMMYFUNCTION("""COMPUTED_VALUE"""),83140.0)</f>
        <v>83140</v>
      </c>
      <c r="C2450" s="3" t="str">
        <f>IFERROR(__xludf.DUMMYFUNCTION("""COMPUTED_VALUE"""),"ร้านป้ารัตน์")</f>
        <v>ร้านป้ารัตน์</v>
      </c>
      <c r="D2450" s="3" t="str">
        <f>IFERROR(__xludf.DUMMYFUNCTION("""COMPUTED_VALUE"""),"ร้านป้ารัตน์")</f>
        <v>ร้านป้ารัตน์</v>
      </c>
      <c r="E2450" s="1" t="str">
        <f>IFERROR(__xludf.DUMMYFUNCTION("""COMPUTED_VALUE"""),"Donjai")</f>
        <v>Donjai</v>
      </c>
      <c r="F2450" s="1" t="str">
        <f>IFERROR(__xludf.DUMMYFUNCTION("""COMPUTED_VALUE"""),"025324")</f>
        <v>025324</v>
      </c>
      <c r="G2450" s="1" t="str">
        <f>IFERROR(__xludf.DUMMYFUNCTION("""COMPUTED_VALUE"""),"นายวิเชฎฐ์ ติรัตนะประคม")</f>
        <v>นายวิเชฎฐ์ ติรัตนะประคม</v>
      </c>
      <c r="H2450" s="1" t="str">
        <f>IFERROR(__xludf.DUMMYFUNCTION("""COMPUTED_VALUE"""),"025324")</f>
        <v>025324</v>
      </c>
      <c r="I2450" s="1" t="str">
        <f>IFERROR(__xludf.DUMMYFUNCTION("""COMPUTED_VALUE"""),"นายวิเชฎฐ์ ติรัตนะประคม")</f>
        <v>นายวิเชฎฐ์ ติรัตนะประคม</v>
      </c>
      <c r="J2450" s="3">
        <f>IFERROR(__xludf.DUMMYFUNCTION("""COMPUTED_VALUE"""),295541.0)</f>
        <v>295541</v>
      </c>
      <c r="K2450" s="3" t="str">
        <f>IFERROR(__xludf.DUMMYFUNCTION("""COMPUTED_VALUE"""),"นายรพิพล ศรีมาตย์")</f>
        <v>นายรพิพล ศรีมาตย์</v>
      </c>
      <c r="L2450" s="1" t="str">
        <f>IFERROR(__xludf.DUMMYFUNCTION("""COMPUTED_VALUE"""),"นายรพิพล ศรีมาตย์")</f>
        <v>นายรพิพล ศรีมาตย์</v>
      </c>
      <c r="M2450" s="1" t="str">
        <f>IFERROR(__xludf.DUMMYFUNCTION("""COMPUTED_VALUE"""),"0613966115")</f>
        <v>0613966115</v>
      </c>
      <c r="N2450" s="3">
        <f>IFERROR(__xludf.DUMMYFUNCTION("""COMPUTED_VALUE"""),83140.0)</f>
        <v>83140</v>
      </c>
      <c r="O2450" s="3" t="str">
        <f>IFERROR(__xludf.DUMMYFUNCTION("""COMPUTED_VALUE"""),"ร้านป้ารัตน์")</f>
        <v>ร้านป้ารัตน์</v>
      </c>
      <c r="P2450" s="4">
        <f>IFERROR(__xludf.DUMMYFUNCTION("""COMPUTED_VALUE"""),44581.0)</f>
        <v>44581</v>
      </c>
      <c r="Q2450" s="3" t="str">
        <f>IFERROR(__xludf.DUMMYFUNCTION("""COMPUTED_VALUE"""),"I")</f>
        <v>I</v>
      </c>
      <c r="R2450" s="3" t="str">
        <f>IFERROR(__xludf.DUMMYFUNCTION("""COMPUTED_VALUE"""),"Small Format")</f>
        <v>Small Format</v>
      </c>
      <c r="S2450" s="3" t="str">
        <f>IFERROR(__xludf.DUMMYFUNCTION("""COMPUTED_VALUE"""),"Donjai")</f>
        <v>Donjai</v>
      </c>
      <c r="T2450" s="3" t="str">
        <f>IFERROR(__xludf.DUMMYFUNCTION("""COMPUTED_VALUE"""),"14 K.Wichet T.")</f>
        <v>14 K.Wichet T.</v>
      </c>
      <c r="U2450" s="3" t="str">
        <f>IFERROR(__xludf.DUMMYFUNCTION("""COMPUTED_VALUE"""),"14 K.Wichet T.")</f>
        <v>14 K.Wichet T.</v>
      </c>
      <c r="V2450" s="3" t="str">
        <f>IFERROR(__xludf.DUMMYFUNCTION("""COMPUTED_VALUE"""),"N")</f>
        <v>N</v>
      </c>
      <c r="W2450" s="3"/>
      <c r="X2450" s="3" t="str">
        <f>IFERROR(__xludf.DUMMYFUNCTION("""COMPUTED_VALUE"""),"66/2 ม.6 ต.มะเร็ต เกาะสมุย สุราษฎร์ธานี")</f>
        <v>66/2 ม.6 ต.มะเร็ต เกาะสมุย สุราษฎร์ธานี</v>
      </c>
      <c r="Y2450" s="3"/>
      <c r="Z2450" s="3">
        <f>IFERROR(__xludf.DUMMYFUNCTION("""COMPUTED_VALUE"""),0.0)</f>
        <v>0</v>
      </c>
      <c r="AA2450" s="3">
        <f>IFERROR(__xludf.DUMMYFUNCTION("""COMPUTED_VALUE"""),0.0)</f>
        <v>0</v>
      </c>
      <c r="AB2450" s="3" t="str">
        <f>IFERROR(__xludf.DUMMYFUNCTION("""COMPUTED_VALUE"""),"สุราษฎร์ธานี")</f>
        <v>สุราษฎร์ธานี</v>
      </c>
      <c r="AC2450" s="3">
        <f>IFERROR(__xludf.DUMMYFUNCTION("""COMPUTED_VALUE"""),0.0)</f>
        <v>0</v>
      </c>
      <c r="AD2450" s="3"/>
      <c r="AE2450" s="3"/>
      <c r="AF2450" s="3" t="str">
        <f>IFERROR(__xludf.DUMMYFUNCTION("""COMPUTED_VALUE"""),"ร้านป้ารัตน์-83140")</f>
        <v>ร้านป้ารัตน์-83140</v>
      </c>
      <c r="AG2450" s="3" t="str">
        <f>IFERROR(__xludf.DUMMYFUNCTION("""COMPUTED_VALUE"""),"ใต้")</f>
        <v>ใต้</v>
      </c>
      <c r="AH2450" s="3" t="str">
        <f>IFERROR(__xludf.DUMMYFUNCTION("""COMPUTED_VALUE"""),"#N/A")</f>
        <v>#N/A</v>
      </c>
      <c r="AI2450" s="3" t="str">
        <f>IFERROR(__xludf.DUMMYFUNCTION("""COMPUTED_VALUE"""),"Out of warranty")</f>
        <v>Out of warranty</v>
      </c>
      <c r="AJ2450" s="3">
        <f>IFERROR(__xludf.DUMMYFUNCTION("""COMPUTED_VALUE"""),49.0)</f>
        <v>49</v>
      </c>
      <c r="AK2450" s="3"/>
      <c r="AL2450" s="3"/>
    </row>
    <row r="2451" ht="15.75" customHeight="1">
      <c r="A2451" s="1" t="str">
        <f>IFERROR(__xludf.DUMMYFUNCTION("""COMPUTED_VALUE"""),"83145")</f>
        <v>83145</v>
      </c>
      <c r="B2451" s="2">
        <f>IFERROR(__xludf.DUMMYFUNCTION("""COMPUTED_VALUE"""),83145.0)</f>
        <v>83145</v>
      </c>
      <c r="C2451" s="3" t="str">
        <f>IFERROR(__xludf.DUMMYFUNCTION("""COMPUTED_VALUE"""),"ร้านดวงจันทร์(แม่คำโย)")</f>
        <v>ร้านดวงจันทร์(แม่คำโย)</v>
      </c>
      <c r="D2451" s="3" t="str">
        <f>IFERROR(__xludf.DUMMYFUNCTION("""COMPUTED_VALUE"""),"ร้านดวงจันทร์(แม่คำโย)")</f>
        <v>ร้านดวงจันทร์(แม่คำโย)</v>
      </c>
      <c r="E2451" s="1" t="str">
        <f>IFERROR(__xludf.DUMMYFUNCTION("""COMPUTED_VALUE"""),"Donjai")</f>
        <v>Donjai</v>
      </c>
      <c r="F2451" s="1" t="str">
        <f>IFERROR(__xludf.DUMMYFUNCTION("""COMPUTED_VALUE"""),"015361")</f>
        <v>015361</v>
      </c>
      <c r="G2451" s="1" t="str">
        <f>IFERROR(__xludf.DUMMYFUNCTION("""COMPUTED_VALUE"""),"นายสมบูรณ์ พรหมในเมือง")</f>
        <v>นายสมบูรณ์ พรหมในเมือง</v>
      </c>
      <c r="H2451" s="1" t="str">
        <f>IFERROR(__xludf.DUMMYFUNCTION("""COMPUTED_VALUE"""),"015361")</f>
        <v>015361</v>
      </c>
      <c r="I2451" s="1" t="str">
        <f>IFERROR(__xludf.DUMMYFUNCTION("""COMPUTED_VALUE"""),"นายสมบูรณ์ พรหมในเมือง")</f>
        <v>นายสมบูรณ์ พรหมในเมือง</v>
      </c>
      <c r="J2451" s="3">
        <f>IFERROR(__xludf.DUMMYFUNCTION("""COMPUTED_VALUE"""),295886.0)</f>
        <v>295886</v>
      </c>
      <c r="K2451" s="3" t="str">
        <f>IFERROR(__xludf.DUMMYFUNCTION("""COMPUTED_VALUE"""),"นายจิระพงษ์ โพธิ์นิล")</f>
        <v>นายจิระพงษ์ โพธิ์นิล</v>
      </c>
      <c r="L2451" s="1" t="str">
        <f>IFERROR(__xludf.DUMMYFUNCTION("""COMPUTED_VALUE"""),"นายจิระพงษ์ โพธิ์นิล")</f>
        <v>นายจิระพงษ์ โพธิ์นิล</v>
      </c>
      <c r="M2451" s="1" t="str">
        <f>IFERROR(__xludf.DUMMYFUNCTION("""COMPUTED_VALUE"""),"0933290754")</f>
        <v>0933290754</v>
      </c>
      <c r="N2451" s="3">
        <f>IFERROR(__xludf.DUMMYFUNCTION("""COMPUTED_VALUE"""),83145.0)</f>
        <v>83145</v>
      </c>
      <c r="O2451" s="3" t="str">
        <f>IFERROR(__xludf.DUMMYFUNCTION("""COMPUTED_VALUE"""),"ร้านดวงจันทร์(แม่คำโย)")</f>
        <v>ร้านดวงจันทร์(แม่คำโย)</v>
      </c>
      <c r="P2451" s="4">
        <f>IFERROR(__xludf.DUMMYFUNCTION("""COMPUTED_VALUE"""),44653.0)</f>
        <v>44653</v>
      </c>
      <c r="Q2451" s="3" t="str">
        <f>IFERROR(__xludf.DUMMYFUNCTION("""COMPUTED_VALUE"""),"I")</f>
        <v>I</v>
      </c>
      <c r="R2451" s="3" t="str">
        <f>IFERROR(__xludf.DUMMYFUNCTION("""COMPUTED_VALUE"""),"Small Format")</f>
        <v>Small Format</v>
      </c>
      <c r="S2451" s="3" t="str">
        <f>IFERROR(__xludf.DUMMYFUNCTION("""COMPUTED_VALUE"""),"Donjai")</f>
        <v>Donjai</v>
      </c>
      <c r="T2451" s="3" t="str">
        <f>IFERROR(__xludf.DUMMYFUNCTION("""COMPUTED_VALUE"""),"04 K.Somboon P.")</f>
        <v>04 K.Somboon P.</v>
      </c>
      <c r="U2451" s="3" t="str">
        <f>IFERROR(__xludf.DUMMYFUNCTION("""COMPUTED_VALUE"""),"04 K.Somboon P.")</f>
        <v>04 K.Somboon P.</v>
      </c>
      <c r="V2451" s="3" t="str">
        <f>IFERROR(__xludf.DUMMYFUNCTION("""COMPUTED_VALUE"""),"N")</f>
        <v>N</v>
      </c>
      <c r="W2451" s="3"/>
      <c r="X2451" s="3" t="str">
        <f>IFERROR(__xludf.DUMMYFUNCTION("""COMPUTED_VALUE"""),"161 หมู่3 บ้านไทยวัฒนา ถ.โชคชัย-เดชอุดม ต.นากระแซง อ.เดชอุดม จ.อุบลราชธานี 34160")</f>
        <v>161 หมู่3 บ้านไทยวัฒนา ถ.โชคชัย-เดชอุดม ต.นากระแซง อ.เดชอุดม จ.อุบลราชธานี 34160</v>
      </c>
      <c r="Y2451" s="3"/>
      <c r="Z2451" s="3">
        <f>IFERROR(__xludf.DUMMYFUNCTION("""COMPUTED_VALUE"""),0.0)</f>
        <v>0</v>
      </c>
      <c r="AA2451" s="3">
        <f>IFERROR(__xludf.DUMMYFUNCTION("""COMPUTED_VALUE"""),0.0)</f>
        <v>0</v>
      </c>
      <c r="AB2451" s="3" t="str">
        <f>IFERROR(__xludf.DUMMYFUNCTION("""COMPUTED_VALUE"""),"อุบลราชธานี")</f>
        <v>อุบลราชธานี</v>
      </c>
      <c r="AC2451" s="3">
        <f>IFERROR(__xludf.DUMMYFUNCTION("""COMPUTED_VALUE"""),34160.0)</f>
        <v>34160</v>
      </c>
      <c r="AD2451" s="3"/>
      <c r="AE2451" s="3"/>
      <c r="AF2451" s="3" t="str">
        <f>IFERROR(__xludf.DUMMYFUNCTION("""COMPUTED_VALUE"""),"ร้านดวงจันทร์(แม่คำโย)-83145")</f>
        <v>ร้านดวงจันทร์(แม่คำโย)-83145</v>
      </c>
      <c r="AG2451" s="3" t="str">
        <f>IFERROR(__xludf.DUMMYFUNCTION("""COMPUTED_VALUE"""),"ตะวันออกเฉียงเหนือ")</f>
        <v>ตะวันออกเฉียงเหนือ</v>
      </c>
      <c r="AH2451" s="3" t="str">
        <f>IFERROR(__xludf.DUMMYFUNCTION("""COMPUTED_VALUE"""),"#N/A")</f>
        <v>#N/A</v>
      </c>
      <c r="AI2451" s="3" t="str">
        <f>IFERROR(__xludf.DUMMYFUNCTION("""COMPUTED_VALUE"""),"Out of warranty")</f>
        <v>Out of warranty</v>
      </c>
      <c r="AJ2451" s="3">
        <f>IFERROR(__xludf.DUMMYFUNCTION("""COMPUTED_VALUE"""),46.0)</f>
        <v>46</v>
      </c>
      <c r="AK2451" s="3"/>
      <c r="AL2451" s="3"/>
    </row>
    <row r="2452" ht="15.75" customHeight="1">
      <c r="A2452" s="1" t="str">
        <f>IFERROR(__xludf.DUMMYFUNCTION("""COMPUTED_VALUE"""),"83147")</f>
        <v>83147</v>
      </c>
      <c r="B2452" s="2">
        <f>IFERROR(__xludf.DUMMYFUNCTION("""COMPUTED_VALUE"""),83147.0)</f>
        <v>83147</v>
      </c>
      <c r="C2452" s="3" t="str">
        <f>IFERROR(__xludf.DUMMYFUNCTION("""COMPUTED_VALUE"""),"ร้านธีรเชษฐ์")</f>
        <v>ร้านธีรเชษฐ์</v>
      </c>
      <c r="D2452" s="3" t="str">
        <f>IFERROR(__xludf.DUMMYFUNCTION("""COMPUTED_VALUE"""),"ร้านธีรเชษฐ์")</f>
        <v>ร้านธีรเชษฐ์</v>
      </c>
      <c r="E2452" s="1" t="str">
        <f>IFERROR(__xludf.DUMMYFUNCTION("""COMPUTED_VALUE"""),"Donjai")</f>
        <v>Donjai</v>
      </c>
      <c r="F2452" s="1" t="str">
        <f>IFERROR(__xludf.DUMMYFUNCTION("""COMPUTED_VALUE"""),"296608")</f>
        <v>296608</v>
      </c>
      <c r="G2452" s="1" t="str">
        <f>IFERROR(__xludf.DUMMYFUNCTION("""COMPUTED_VALUE"""),"นายภาคภูมิ เพ็ชรนิล")</f>
        <v>นายภาคภูมิ เพ็ชรนิล</v>
      </c>
      <c r="H2452" s="1" t="str">
        <f>IFERROR(__xludf.DUMMYFUNCTION("""COMPUTED_VALUE"""),"296608")</f>
        <v>296608</v>
      </c>
      <c r="I2452" s="1" t="str">
        <f>IFERROR(__xludf.DUMMYFUNCTION("""COMPUTED_VALUE"""),"นายภาคภูมิ เพ็ชรนิล")</f>
        <v>นายภาคภูมิ เพ็ชรนิล</v>
      </c>
      <c r="J2452" s="3">
        <f>IFERROR(__xludf.DUMMYFUNCTION("""COMPUTED_VALUE"""),228031.0)</f>
        <v>228031</v>
      </c>
      <c r="K2452" s="3" t="str">
        <f>IFERROR(__xludf.DUMMYFUNCTION("""COMPUTED_VALUE"""),"นายธนพงษ์ วันหมัด")</f>
        <v>นายธนพงษ์ วันหมัด</v>
      </c>
      <c r="L2452" s="1" t="str">
        <f>IFERROR(__xludf.DUMMYFUNCTION("""COMPUTED_VALUE"""),"นายธนพงษ์ วันหมัด")</f>
        <v>นายธนพงษ์ วันหมัด</v>
      </c>
      <c r="M2452" s="1" t="str">
        <f>IFERROR(__xludf.DUMMYFUNCTION("""COMPUTED_VALUE"""),"0813716913")</f>
        <v>0813716913</v>
      </c>
      <c r="N2452" s="3">
        <f>IFERROR(__xludf.DUMMYFUNCTION("""COMPUTED_VALUE"""),83147.0)</f>
        <v>83147</v>
      </c>
      <c r="O2452" s="3" t="str">
        <f>IFERROR(__xludf.DUMMYFUNCTION("""COMPUTED_VALUE"""),"ร้านธีรเชษฐ์")</f>
        <v>ร้านธีรเชษฐ์</v>
      </c>
      <c r="P2452" s="4">
        <f>IFERROR(__xludf.DUMMYFUNCTION("""COMPUTED_VALUE"""),44688.0)</f>
        <v>44688</v>
      </c>
      <c r="Q2452" s="3" t="str">
        <f>IFERROR(__xludf.DUMMYFUNCTION("""COMPUTED_VALUE"""),"A")</f>
        <v>A</v>
      </c>
      <c r="R2452" s="3" t="str">
        <f>IFERROR(__xludf.DUMMYFUNCTION("""COMPUTED_VALUE"""),"Small Format")</f>
        <v>Small Format</v>
      </c>
      <c r="S2452" s="3" t="str">
        <f>IFERROR(__xludf.DUMMYFUNCTION("""COMPUTED_VALUE"""),"Donjai")</f>
        <v>Donjai</v>
      </c>
      <c r="T2452" s="3" t="str">
        <f>IFERROR(__xludf.DUMMYFUNCTION("""COMPUTED_VALUE"""),"10 K.Phakphoom P.")</f>
        <v>10 K.Phakphoom P.</v>
      </c>
      <c r="U2452" s="3" t="str">
        <f>IFERROR(__xludf.DUMMYFUNCTION("""COMPUTED_VALUE"""),"10 K.Phakphoom P.")</f>
        <v>10 K.Phakphoom P.</v>
      </c>
      <c r="V2452" s="3" t="str">
        <f>IFERROR(__xludf.DUMMYFUNCTION("""COMPUTED_VALUE"""),"N")</f>
        <v>N</v>
      </c>
      <c r="W2452" s="3"/>
      <c r="X2452" s="3" t="str">
        <f>IFERROR(__xludf.DUMMYFUNCTION("""COMPUTED_VALUE"""),"43 บางกระดี่19 ถ.พระราม 2 แขวงแสมดำ เขตบางขุนเทียน กทม. 10150")</f>
        <v>43 บางกระดี่19 ถ.พระราม 2 แขวงแสมดำ เขตบางขุนเทียน กทม. 10150</v>
      </c>
      <c r="Y2452" s="3"/>
      <c r="Z2452" s="3">
        <f>IFERROR(__xludf.DUMMYFUNCTION("""COMPUTED_VALUE"""),0.0)</f>
        <v>0</v>
      </c>
      <c r="AA2452" s="3">
        <f>IFERROR(__xludf.DUMMYFUNCTION("""COMPUTED_VALUE"""),0.0)</f>
        <v>0</v>
      </c>
      <c r="AB2452" s="3" t="str">
        <f>IFERROR(__xludf.DUMMYFUNCTION("""COMPUTED_VALUE"""),"กรุงเทพมหานคร")</f>
        <v>กรุงเทพมหานคร</v>
      </c>
      <c r="AC2452" s="3">
        <f>IFERROR(__xludf.DUMMYFUNCTION("""COMPUTED_VALUE"""),10150.0)</f>
        <v>10150</v>
      </c>
      <c r="AD2452" s="3"/>
      <c r="AE2452" s="3"/>
      <c r="AF2452" s="3" t="str">
        <f>IFERROR(__xludf.DUMMYFUNCTION("""COMPUTED_VALUE"""),"ร้านธีรเชษฐ์-83147")</f>
        <v>ร้านธีรเชษฐ์-83147</v>
      </c>
      <c r="AG2452" s="3" t="str">
        <f>IFERROR(__xludf.DUMMYFUNCTION("""COMPUTED_VALUE"""),"กลาง")</f>
        <v>กลาง</v>
      </c>
      <c r="AH2452" s="3" t="str">
        <f>IFERROR(__xludf.DUMMYFUNCTION("""COMPUTED_VALUE"""),"#N/A")</f>
        <v>#N/A</v>
      </c>
      <c r="AI2452" s="3" t="str">
        <f>IFERROR(__xludf.DUMMYFUNCTION("""COMPUTED_VALUE"""),"Out of warranty")</f>
        <v>Out of warranty</v>
      </c>
      <c r="AJ2452" s="3">
        <f>IFERROR(__xludf.DUMMYFUNCTION("""COMPUTED_VALUE"""),45.0)</f>
        <v>45</v>
      </c>
      <c r="AK2452" s="3"/>
      <c r="AL2452" s="3"/>
    </row>
    <row r="2453" ht="15.75" customHeight="1">
      <c r="A2453" s="1" t="str">
        <f>IFERROR(__xludf.DUMMYFUNCTION("""COMPUTED_VALUE"""),"83148")</f>
        <v>83148</v>
      </c>
      <c r="B2453" s="2">
        <f>IFERROR(__xludf.DUMMYFUNCTION("""COMPUTED_VALUE"""),83148.0)</f>
        <v>83148</v>
      </c>
      <c r="C2453" s="3" t="str">
        <f>IFERROR(__xludf.DUMMYFUNCTION("""COMPUTED_VALUE"""),"เจ๊พรีม")</f>
        <v>เจ๊พรีม</v>
      </c>
      <c r="D2453" s="3" t="str">
        <f>IFERROR(__xludf.DUMMYFUNCTION("""COMPUTED_VALUE"""),"เจ๊พรีม")</f>
        <v>เจ๊พรีม</v>
      </c>
      <c r="E2453" s="1" t="str">
        <f>IFERROR(__xludf.DUMMYFUNCTION("""COMPUTED_VALUE"""),"Donjai")</f>
        <v>Donjai</v>
      </c>
      <c r="F2453" s="1" t="str">
        <f>IFERROR(__xludf.DUMMYFUNCTION("""COMPUTED_VALUE"""),"296945")</f>
        <v>296945</v>
      </c>
      <c r="G2453" s="1" t="str">
        <f>IFERROR(__xludf.DUMMYFUNCTION("""COMPUTED_VALUE"""),"นายรักพงศ์ พงศ์พันธ์งาม")</f>
        <v>นายรักพงศ์ พงศ์พันธ์งาม</v>
      </c>
      <c r="H2453" s="1" t="str">
        <f>IFERROR(__xludf.DUMMYFUNCTION("""COMPUTED_VALUE"""),"296945")</f>
        <v>296945</v>
      </c>
      <c r="I2453" s="1" t="str">
        <f>IFERROR(__xludf.DUMMYFUNCTION("""COMPUTED_VALUE"""),"นายรักพงศ์ พงศ์พันธ์งาม")</f>
        <v>นายรักพงศ์ พงศ์พันธ์งาม</v>
      </c>
      <c r="J2453" s="3">
        <f>IFERROR(__xludf.DUMMYFUNCTION("""COMPUTED_VALUE"""),228031.0)</f>
        <v>228031</v>
      </c>
      <c r="K2453" s="3" t="str">
        <f>IFERROR(__xludf.DUMMYFUNCTION("""COMPUTED_VALUE"""),"นายธนพงษ์ วันหมัด")</f>
        <v>นายธนพงษ์ วันหมัด</v>
      </c>
      <c r="L2453" s="1" t="str">
        <f>IFERROR(__xludf.DUMMYFUNCTION("""COMPUTED_VALUE"""),"นายธนพงษ์ วันหมัด")</f>
        <v>นายธนพงษ์ วันหมัด</v>
      </c>
      <c r="M2453" s="1" t="str">
        <f>IFERROR(__xludf.DUMMYFUNCTION("""COMPUTED_VALUE"""),"0813716913")</f>
        <v>0813716913</v>
      </c>
      <c r="N2453" s="3">
        <f>IFERROR(__xludf.DUMMYFUNCTION("""COMPUTED_VALUE"""),83148.0)</f>
        <v>83148</v>
      </c>
      <c r="O2453" s="3" t="str">
        <f>IFERROR(__xludf.DUMMYFUNCTION("""COMPUTED_VALUE"""),"เจ๊พรีม")</f>
        <v>เจ๊พรีม</v>
      </c>
      <c r="P2453" s="4">
        <f>IFERROR(__xludf.DUMMYFUNCTION("""COMPUTED_VALUE"""),44549.0)</f>
        <v>44549</v>
      </c>
      <c r="Q2453" s="3" t="str">
        <f>IFERROR(__xludf.DUMMYFUNCTION("""COMPUTED_VALUE"""),"I")</f>
        <v>I</v>
      </c>
      <c r="R2453" s="3" t="str">
        <f>IFERROR(__xludf.DUMMYFUNCTION("""COMPUTED_VALUE"""),"Small Format")</f>
        <v>Small Format</v>
      </c>
      <c r="S2453" s="3" t="str">
        <f>IFERROR(__xludf.DUMMYFUNCTION("""COMPUTED_VALUE"""),"Donjai")</f>
        <v>Donjai</v>
      </c>
      <c r="T2453" s="3">
        <f>IFERROR(__xludf.DUMMYFUNCTION("""COMPUTED_VALUE"""),0.0)</f>
        <v>0</v>
      </c>
      <c r="U2453" s="3">
        <f>IFERROR(__xludf.DUMMYFUNCTION("""COMPUTED_VALUE"""),0.0)</f>
        <v>0</v>
      </c>
      <c r="V2453" s="3" t="str">
        <f>IFERROR(__xludf.DUMMYFUNCTION("""COMPUTED_VALUE"""),"N")</f>
        <v>N</v>
      </c>
      <c r="W2453" s="3"/>
      <c r="X2453" s="3" t="str">
        <f>IFERROR(__xludf.DUMMYFUNCTION("""COMPUTED_VALUE"""),"59/39 ม.5 ต.บางโฉลง อ.บางพลี จ.สมุทรปราการ 10540")</f>
        <v>59/39 ม.5 ต.บางโฉลง อ.บางพลี จ.สมุทรปราการ 10540</v>
      </c>
      <c r="Y2453" s="3"/>
      <c r="Z2453" s="3">
        <f>IFERROR(__xludf.DUMMYFUNCTION("""COMPUTED_VALUE"""),0.0)</f>
        <v>0</v>
      </c>
      <c r="AA2453" s="3">
        <f>IFERROR(__xludf.DUMMYFUNCTION("""COMPUTED_VALUE"""),0.0)</f>
        <v>0</v>
      </c>
      <c r="AB2453" s="3" t="str">
        <f>IFERROR(__xludf.DUMMYFUNCTION("""COMPUTED_VALUE"""),"สมุทรปราการ")</f>
        <v>สมุทรปราการ</v>
      </c>
      <c r="AC2453" s="3">
        <f>IFERROR(__xludf.DUMMYFUNCTION("""COMPUTED_VALUE"""),10540.0)</f>
        <v>10540</v>
      </c>
      <c r="AD2453" s="3"/>
      <c r="AE2453" s="3"/>
      <c r="AF2453" s="3" t="str">
        <f>IFERROR(__xludf.DUMMYFUNCTION("""COMPUTED_VALUE"""),"เจ๊พรีม-83148")</f>
        <v>เจ๊พรีม-83148</v>
      </c>
      <c r="AG2453" s="3" t="str">
        <f>IFERROR(__xludf.DUMMYFUNCTION("""COMPUTED_VALUE"""),"กลาง")</f>
        <v>กลาง</v>
      </c>
      <c r="AH2453" s="3" t="str">
        <f>IFERROR(__xludf.DUMMYFUNCTION("""COMPUTED_VALUE"""),"#N/A")</f>
        <v>#N/A</v>
      </c>
      <c r="AI2453" s="3" t="str">
        <f>IFERROR(__xludf.DUMMYFUNCTION("""COMPUTED_VALUE"""),"Out of warranty")</f>
        <v>Out of warranty</v>
      </c>
      <c r="AJ2453" s="3">
        <f>IFERROR(__xludf.DUMMYFUNCTION("""COMPUTED_VALUE"""),50.0)</f>
        <v>50</v>
      </c>
      <c r="AK2453" s="3"/>
      <c r="AL2453" s="3"/>
    </row>
    <row r="2454" ht="15.75" customHeight="1">
      <c r="A2454" s="1" t="str">
        <f>IFERROR(__xludf.DUMMYFUNCTION("""COMPUTED_VALUE"""),"83153")</f>
        <v>83153</v>
      </c>
      <c r="B2454" s="2">
        <f>IFERROR(__xludf.DUMMYFUNCTION("""COMPUTED_VALUE"""),83153.0)</f>
        <v>83153</v>
      </c>
      <c r="C2454" s="3" t="str">
        <f>IFERROR(__xludf.DUMMYFUNCTION("""COMPUTED_VALUE"""),"ร้านศักดิ์ดามินิมาร์ท")</f>
        <v>ร้านศักดิ์ดามินิมาร์ท</v>
      </c>
      <c r="D2454" s="3" t="str">
        <f>IFERROR(__xludf.DUMMYFUNCTION("""COMPUTED_VALUE"""),"ร้านศักดิ์ดามินิมาร์ท")</f>
        <v>ร้านศักดิ์ดามินิมาร์ท</v>
      </c>
      <c r="E2454" s="1" t="str">
        <f>IFERROR(__xludf.DUMMYFUNCTION("""COMPUTED_VALUE"""),"Donjai")</f>
        <v>Donjai</v>
      </c>
      <c r="F2454" s="1" t="str">
        <f>IFERROR(__xludf.DUMMYFUNCTION("""COMPUTED_VALUE"""),"025324")</f>
        <v>025324</v>
      </c>
      <c r="G2454" s="1" t="str">
        <f>IFERROR(__xludf.DUMMYFUNCTION("""COMPUTED_VALUE"""),"นายวิเชฎฐ์ ติรัตนะประคม")</f>
        <v>นายวิเชฎฐ์ ติรัตนะประคม</v>
      </c>
      <c r="H2454" s="1" t="str">
        <f>IFERROR(__xludf.DUMMYFUNCTION("""COMPUTED_VALUE"""),"025324")</f>
        <v>025324</v>
      </c>
      <c r="I2454" s="1" t="str">
        <f>IFERROR(__xludf.DUMMYFUNCTION("""COMPUTED_VALUE"""),"นายวิเชฎฐ์ ติรัตนะประคม")</f>
        <v>นายวิเชฎฐ์ ติรัตนะประคม</v>
      </c>
      <c r="J2454" s="3">
        <f>IFERROR(__xludf.DUMMYFUNCTION("""COMPUTED_VALUE"""),295541.0)</f>
        <v>295541</v>
      </c>
      <c r="K2454" s="3" t="str">
        <f>IFERROR(__xludf.DUMMYFUNCTION("""COMPUTED_VALUE"""),"นายรพิพล ศรีมาตย์")</f>
        <v>นายรพิพล ศรีมาตย์</v>
      </c>
      <c r="L2454" s="1" t="str">
        <f>IFERROR(__xludf.DUMMYFUNCTION("""COMPUTED_VALUE"""),"นายรพิพล ศรีมาตย์")</f>
        <v>นายรพิพล ศรีมาตย์</v>
      </c>
      <c r="M2454" s="1" t="str">
        <f>IFERROR(__xludf.DUMMYFUNCTION("""COMPUTED_VALUE"""),"0613966115")</f>
        <v>0613966115</v>
      </c>
      <c r="N2454" s="3">
        <f>IFERROR(__xludf.DUMMYFUNCTION("""COMPUTED_VALUE"""),83153.0)</f>
        <v>83153</v>
      </c>
      <c r="O2454" s="3" t="str">
        <f>IFERROR(__xludf.DUMMYFUNCTION("""COMPUTED_VALUE"""),"ร้านศักดิ์ดามินิมาร์ท")</f>
        <v>ร้านศักดิ์ดามินิมาร์ท</v>
      </c>
      <c r="P2454" s="4">
        <f>IFERROR(__xludf.DUMMYFUNCTION("""COMPUTED_VALUE"""),44546.0)</f>
        <v>44546</v>
      </c>
      <c r="Q2454" s="3" t="str">
        <f>IFERROR(__xludf.DUMMYFUNCTION("""COMPUTED_VALUE"""),"I")</f>
        <v>I</v>
      </c>
      <c r="R2454" s="3" t="str">
        <f>IFERROR(__xludf.DUMMYFUNCTION("""COMPUTED_VALUE"""),"Small Format")</f>
        <v>Small Format</v>
      </c>
      <c r="S2454" s="3" t="str">
        <f>IFERROR(__xludf.DUMMYFUNCTION("""COMPUTED_VALUE"""),"Donjai")</f>
        <v>Donjai</v>
      </c>
      <c r="T2454" s="3" t="str">
        <f>IFERROR(__xludf.DUMMYFUNCTION("""COMPUTED_VALUE"""),"14 K.Wichet T.")</f>
        <v>14 K.Wichet T.</v>
      </c>
      <c r="U2454" s="3" t="str">
        <f>IFERROR(__xludf.DUMMYFUNCTION("""COMPUTED_VALUE"""),"14 K.Wichet T.")</f>
        <v>14 K.Wichet T.</v>
      </c>
      <c r="V2454" s="3" t="str">
        <f>IFERROR(__xludf.DUMMYFUNCTION("""COMPUTED_VALUE"""),"N")</f>
        <v>N</v>
      </c>
      <c r="W2454" s="3"/>
      <c r="X2454" s="3" t="str">
        <f>IFERROR(__xludf.DUMMYFUNCTION("""COMPUTED_VALUE"""),"246/2 ม.5 ถ.เหนือคลอง-ชัยบุรี ต.เขาพนม อ.เขาพนม จ.กระบี่ 81140")</f>
        <v>246/2 ม.5 ถ.เหนือคลอง-ชัยบุรี ต.เขาพนม อ.เขาพนม จ.กระบี่ 81140</v>
      </c>
      <c r="Y2454" s="3"/>
      <c r="Z2454" s="3" t="str">
        <f>IFERROR(__xludf.DUMMYFUNCTION("""COMPUTED_VALUE"""),"เขาพนม")</f>
        <v>เขาพนม</v>
      </c>
      <c r="AA2454" s="3" t="str">
        <f>IFERROR(__xludf.DUMMYFUNCTION("""COMPUTED_VALUE"""),"เขาพนม")</f>
        <v>เขาพนม</v>
      </c>
      <c r="AB2454" s="3" t="str">
        <f>IFERROR(__xludf.DUMMYFUNCTION("""COMPUTED_VALUE"""),"กระบี่")</f>
        <v>กระบี่</v>
      </c>
      <c r="AC2454" s="3">
        <f>IFERROR(__xludf.DUMMYFUNCTION("""COMPUTED_VALUE"""),81140.0)</f>
        <v>81140</v>
      </c>
      <c r="AD2454" s="3"/>
      <c r="AE2454" s="3"/>
      <c r="AF2454" s="3" t="str">
        <f>IFERROR(__xludf.DUMMYFUNCTION("""COMPUTED_VALUE"""),"ร้านศักดิ์ดามินิมาร์ท-83153")</f>
        <v>ร้านศักดิ์ดามินิมาร์ท-83153</v>
      </c>
      <c r="AG2454" s="3" t="str">
        <f>IFERROR(__xludf.DUMMYFUNCTION("""COMPUTED_VALUE"""),"ใต้")</f>
        <v>ใต้</v>
      </c>
      <c r="AH2454" s="3" t="str">
        <f>IFERROR(__xludf.DUMMYFUNCTION("""COMPUTED_VALUE"""),"#N/A")</f>
        <v>#N/A</v>
      </c>
      <c r="AI2454" s="3" t="str">
        <f>IFERROR(__xludf.DUMMYFUNCTION("""COMPUTED_VALUE"""),"Out of warranty")</f>
        <v>Out of warranty</v>
      </c>
      <c r="AJ2454" s="3">
        <f>IFERROR(__xludf.DUMMYFUNCTION("""COMPUTED_VALUE"""),50.0)</f>
        <v>50</v>
      </c>
      <c r="AK2454" s="3"/>
      <c r="AL2454" s="3"/>
    </row>
    <row r="2455" ht="15.75" customHeight="1">
      <c r="A2455" s="1" t="str">
        <f>IFERROR(__xludf.DUMMYFUNCTION("""COMPUTED_VALUE"""),"83155")</f>
        <v>83155</v>
      </c>
      <c r="B2455" s="2">
        <f>IFERROR(__xludf.DUMMYFUNCTION("""COMPUTED_VALUE"""),83155.0)</f>
        <v>83155</v>
      </c>
      <c r="C2455" s="3" t="str">
        <f>IFERROR(__xludf.DUMMYFUNCTION("""COMPUTED_VALUE"""),"ร้านภูแผ่นดิน คาเฟ่")</f>
        <v>ร้านภูแผ่นดิน คาเฟ่</v>
      </c>
      <c r="D2455" s="3" t="str">
        <f>IFERROR(__xludf.DUMMYFUNCTION("""COMPUTED_VALUE"""),"ร้านภูแผ่นดิน คาเฟ่")</f>
        <v>ร้านภูแผ่นดิน คาเฟ่</v>
      </c>
      <c r="E2455" s="1" t="str">
        <f>IFERROR(__xludf.DUMMYFUNCTION("""COMPUTED_VALUE"""),"Donjai")</f>
        <v>Donjai</v>
      </c>
      <c r="F2455" s="1" t="str">
        <f>IFERROR(__xludf.DUMMYFUNCTION("""COMPUTED_VALUE"""),"015361")</f>
        <v>015361</v>
      </c>
      <c r="G2455" s="1" t="str">
        <f>IFERROR(__xludf.DUMMYFUNCTION("""COMPUTED_VALUE"""),"นายสมบูรณ์ พรหมในเมือง")</f>
        <v>นายสมบูรณ์ พรหมในเมือง</v>
      </c>
      <c r="H2455" s="1" t="str">
        <f>IFERROR(__xludf.DUMMYFUNCTION("""COMPUTED_VALUE"""),"015361")</f>
        <v>015361</v>
      </c>
      <c r="I2455" s="1" t="str">
        <f>IFERROR(__xludf.DUMMYFUNCTION("""COMPUTED_VALUE"""),"นายสมบูรณ์ พรหมในเมือง")</f>
        <v>นายสมบูรณ์ พรหมในเมือง</v>
      </c>
      <c r="J2455" s="3">
        <f>IFERROR(__xludf.DUMMYFUNCTION("""COMPUTED_VALUE"""),295886.0)</f>
        <v>295886</v>
      </c>
      <c r="K2455" s="3" t="str">
        <f>IFERROR(__xludf.DUMMYFUNCTION("""COMPUTED_VALUE"""),"นายจิระพงษ์ โพธิ์นิล")</f>
        <v>นายจิระพงษ์ โพธิ์นิล</v>
      </c>
      <c r="L2455" s="1" t="str">
        <f>IFERROR(__xludf.DUMMYFUNCTION("""COMPUTED_VALUE"""),"นายจิระพงษ์ โพธิ์นิล")</f>
        <v>นายจิระพงษ์ โพธิ์นิล</v>
      </c>
      <c r="M2455" s="1" t="str">
        <f>IFERROR(__xludf.DUMMYFUNCTION("""COMPUTED_VALUE"""),"0933290754")</f>
        <v>0933290754</v>
      </c>
      <c r="N2455" s="3">
        <f>IFERROR(__xludf.DUMMYFUNCTION("""COMPUTED_VALUE"""),83155.0)</f>
        <v>83155</v>
      </c>
      <c r="O2455" s="3" t="str">
        <f>IFERROR(__xludf.DUMMYFUNCTION("""COMPUTED_VALUE"""),"ร้านภูแผ่นดิน คาเฟ่")</f>
        <v>ร้านภูแผ่นดิน คาเฟ่</v>
      </c>
      <c r="P2455" s="4">
        <f>IFERROR(__xludf.DUMMYFUNCTION("""COMPUTED_VALUE"""),44553.0)</f>
        <v>44553</v>
      </c>
      <c r="Q2455" s="3" t="str">
        <f>IFERROR(__xludf.DUMMYFUNCTION("""COMPUTED_VALUE"""),"I")</f>
        <v>I</v>
      </c>
      <c r="R2455" s="3" t="str">
        <f>IFERROR(__xludf.DUMMYFUNCTION("""COMPUTED_VALUE"""),"Small Format")</f>
        <v>Small Format</v>
      </c>
      <c r="S2455" s="3" t="str">
        <f>IFERROR(__xludf.DUMMYFUNCTION("""COMPUTED_VALUE"""),"Donjai")</f>
        <v>Donjai</v>
      </c>
      <c r="T2455" s="3" t="str">
        <f>IFERROR(__xludf.DUMMYFUNCTION("""COMPUTED_VALUE"""),"04 K.Somboon P.")</f>
        <v>04 K.Somboon P.</v>
      </c>
      <c r="U2455" s="3" t="str">
        <f>IFERROR(__xludf.DUMMYFUNCTION("""COMPUTED_VALUE"""),"04 K.Somboon P.")</f>
        <v>04 K.Somboon P.</v>
      </c>
      <c r="V2455" s="3" t="str">
        <f>IFERROR(__xludf.DUMMYFUNCTION("""COMPUTED_VALUE"""),"N")</f>
        <v>N</v>
      </c>
      <c r="W2455" s="3"/>
      <c r="X2455" s="3" t="str">
        <f>IFERROR(__xludf.DUMMYFUNCTION("""COMPUTED_VALUE"""),"เลขที่ 272/2 หมู่ที่ 8 ตำบลชานุมาน อำเภอชานุมาน จังหวัดอำนาจเจริญ 37210")</f>
        <v>เลขที่ 272/2 หมู่ที่ 8 ตำบลชานุมาน อำเภอชานุมาน จังหวัดอำนาจเจริญ 37210</v>
      </c>
      <c r="Y2455" s="3"/>
      <c r="Z2455" s="3">
        <f>IFERROR(__xludf.DUMMYFUNCTION("""COMPUTED_VALUE"""),0.0)</f>
        <v>0</v>
      </c>
      <c r="AA2455" s="3">
        <f>IFERROR(__xludf.DUMMYFUNCTION("""COMPUTED_VALUE"""),0.0)</f>
        <v>0</v>
      </c>
      <c r="AB2455" s="3" t="str">
        <f>IFERROR(__xludf.DUMMYFUNCTION("""COMPUTED_VALUE"""),"อำนาจเจริญ")</f>
        <v>อำนาจเจริญ</v>
      </c>
      <c r="AC2455" s="3">
        <f>IFERROR(__xludf.DUMMYFUNCTION("""COMPUTED_VALUE"""),37210.0)</f>
        <v>37210</v>
      </c>
      <c r="AD2455" s="3"/>
      <c r="AE2455" s="3"/>
      <c r="AF2455" s="3" t="str">
        <f>IFERROR(__xludf.DUMMYFUNCTION("""COMPUTED_VALUE"""),"ร้านภูแผ่นดิน คาเฟ่-83155")</f>
        <v>ร้านภูแผ่นดิน คาเฟ่-83155</v>
      </c>
      <c r="AG2455" s="3" t="str">
        <f>IFERROR(__xludf.DUMMYFUNCTION("""COMPUTED_VALUE"""),"ตะวันออกเฉียงเหนือ")</f>
        <v>ตะวันออกเฉียงเหนือ</v>
      </c>
      <c r="AH2455" s="3" t="str">
        <f>IFERROR(__xludf.DUMMYFUNCTION("""COMPUTED_VALUE"""),"#N/A")</f>
        <v>#N/A</v>
      </c>
      <c r="AI2455" s="3" t="str">
        <f>IFERROR(__xludf.DUMMYFUNCTION("""COMPUTED_VALUE"""),"Out of warranty")</f>
        <v>Out of warranty</v>
      </c>
      <c r="AJ2455" s="3">
        <f>IFERROR(__xludf.DUMMYFUNCTION("""COMPUTED_VALUE"""),49.0)</f>
        <v>49</v>
      </c>
      <c r="AK2455" s="3"/>
      <c r="AL2455" s="3"/>
    </row>
    <row r="2456" ht="15.75" customHeight="1">
      <c r="A2456" s="1" t="str">
        <f>IFERROR(__xludf.DUMMYFUNCTION("""COMPUTED_VALUE"""),"83156")</f>
        <v>83156</v>
      </c>
      <c r="B2456" s="2">
        <f>IFERROR(__xludf.DUMMYFUNCTION("""COMPUTED_VALUE"""),83156.0)</f>
        <v>83156</v>
      </c>
      <c r="C2456" s="3" t="str">
        <f>IFERROR(__xludf.DUMMYFUNCTION("""COMPUTED_VALUE"""),"ร้าน S มินิมาร์ท")</f>
        <v>ร้าน S มินิมาร์ท</v>
      </c>
      <c r="D2456" s="3" t="str">
        <f>IFERROR(__xludf.DUMMYFUNCTION("""COMPUTED_VALUE"""),"ร้าน S มินิมาร์ท")</f>
        <v>ร้าน S มินิมาร์ท</v>
      </c>
      <c r="E2456" s="1" t="str">
        <f>IFERROR(__xludf.DUMMYFUNCTION("""COMPUTED_VALUE"""),"Donjai")</f>
        <v>Donjai</v>
      </c>
      <c r="F2456" s="1" t="str">
        <f>IFERROR(__xludf.DUMMYFUNCTION("""COMPUTED_VALUE"""),"2010023")</f>
        <v>2010023</v>
      </c>
      <c r="G2456" s="1" t="str">
        <f>IFERROR(__xludf.DUMMYFUNCTION("""COMPUTED_VALUE"""),"นายวศิน ไวยรูป")</f>
        <v>นายวศิน ไวยรูป</v>
      </c>
      <c r="H2456" s="1" t="str">
        <f>IFERROR(__xludf.DUMMYFUNCTION("""COMPUTED_VALUE"""),"2010023")</f>
        <v>2010023</v>
      </c>
      <c r="I2456" s="1" t="str">
        <f>IFERROR(__xludf.DUMMYFUNCTION("""COMPUTED_VALUE"""),"นายวศิน ไวยรูป")</f>
        <v>นายวศิน ไวยรูป</v>
      </c>
      <c r="J2456" s="3">
        <f>IFERROR(__xludf.DUMMYFUNCTION("""COMPUTED_VALUE"""),228031.0)</f>
        <v>228031</v>
      </c>
      <c r="K2456" s="3" t="str">
        <f>IFERROR(__xludf.DUMMYFUNCTION("""COMPUTED_VALUE"""),"นายธนพงษ์ วันหมัด")</f>
        <v>นายธนพงษ์ วันหมัด</v>
      </c>
      <c r="L2456" s="1" t="str">
        <f>IFERROR(__xludf.DUMMYFUNCTION("""COMPUTED_VALUE"""),"นายธนพงษ์ วันหมัด")</f>
        <v>นายธนพงษ์ วันหมัด</v>
      </c>
      <c r="M2456" s="1" t="str">
        <f>IFERROR(__xludf.DUMMYFUNCTION("""COMPUTED_VALUE"""),"0813716913")</f>
        <v>0813716913</v>
      </c>
      <c r="N2456" s="3">
        <f>IFERROR(__xludf.DUMMYFUNCTION("""COMPUTED_VALUE"""),83156.0)</f>
        <v>83156</v>
      </c>
      <c r="O2456" s="3" t="str">
        <f>IFERROR(__xludf.DUMMYFUNCTION("""COMPUTED_VALUE"""),"ร้าน S มินิมาร์ท")</f>
        <v>ร้าน S มินิมาร์ท</v>
      </c>
      <c r="P2456" s="4">
        <f>IFERROR(__xludf.DUMMYFUNCTION("""COMPUTED_VALUE"""),44590.0)</f>
        <v>44590</v>
      </c>
      <c r="Q2456" s="3" t="str">
        <f>IFERROR(__xludf.DUMMYFUNCTION("""COMPUTED_VALUE"""),"I")</f>
        <v>I</v>
      </c>
      <c r="R2456" s="3" t="str">
        <f>IFERROR(__xludf.DUMMYFUNCTION("""COMPUTED_VALUE"""),"Small Format")</f>
        <v>Small Format</v>
      </c>
      <c r="S2456" s="3" t="str">
        <f>IFERROR(__xludf.DUMMYFUNCTION("""COMPUTED_VALUE"""),"Donjai")</f>
        <v>Donjai</v>
      </c>
      <c r="T2456" s="3" t="str">
        <f>IFERROR(__xludf.DUMMYFUNCTION("""COMPUTED_VALUE"""),"Donjai")</f>
        <v>Donjai</v>
      </c>
      <c r="U2456" s="3" t="str">
        <f>IFERROR(__xludf.DUMMYFUNCTION("""COMPUTED_VALUE"""),"Donjai")</f>
        <v>Donjai</v>
      </c>
      <c r="V2456" s="3" t="str">
        <f>IFERROR(__xludf.DUMMYFUNCTION("""COMPUTED_VALUE"""),"N")</f>
        <v>N</v>
      </c>
      <c r="W2456" s="3"/>
      <c r="X2456" s="3" t="str">
        <f>IFERROR(__xludf.DUMMYFUNCTION("""COMPUTED_VALUE"""),"69 ม.5 ต.ลำพญากลาง อ.มวกเหล็ก จ.สระบุรี")</f>
        <v>69 ม.5 ต.ลำพญากลาง อ.มวกเหล็ก จ.สระบุรี</v>
      </c>
      <c r="Y2456" s="3"/>
      <c r="Z2456" s="3">
        <f>IFERROR(__xludf.DUMMYFUNCTION("""COMPUTED_VALUE"""),0.0)</f>
        <v>0</v>
      </c>
      <c r="AA2456" s="3">
        <f>IFERROR(__xludf.DUMMYFUNCTION("""COMPUTED_VALUE"""),0.0)</f>
        <v>0</v>
      </c>
      <c r="AB2456" s="3" t="str">
        <f>IFERROR(__xludf.DUMMYFUNCTION("""COMPUTED_VALUE"""),"สระบุรี")</f>
        <v>สระบุรี</v>
      </c>
      <c r="AC2456" s="3">
        <f>IFERROR(__xludf.DUMMYFUNCTION("""COMPUTED_VALUE"""),0.0)</f>
        <v>0</v>
      </c>
      <c r="AD2456" s="3"/>
      <c r="AE2456" s="3"/>
      <c r="AF2456" s="3" t="str">
        <f>IFERROR(__xludf.DUMMYFUNCTION("""COMPUTED_VALUE"""),"ร้าน S มินิมาร์ท-83156")</f>
        <v>ร้าน S มินิมาร์ท-83156</v>
      </c>
      <c r="AG2456" s="3" t="str">
        <f>IFERROR(__xludf.DUMMYFUNCTION("""COMPUTED_VALUE"""),"กลาง")</f>
        <v>กลาง</v>
      </c>
      <c r="AH2456" s="3" t="str">
        <f>IFERROR(__xludf.DUMMYFUNCTION("""COMPUTED_VALUE"""),"#N/A")</f>
        <v>#N/A</v>
      </c>
      <c r="AI2456" s="3" t="str">
        <f>IFERROR(__xludf.DUMMYFUNCTION("""COMPUTED_VALUE"""),"Out of warranty")</f>
        <v>Out of warranty</v>
      </c>
      <c r="AJ2456" s="3">
        <f>IFERROR(__xludf.DUMMYFUNCTION("""COMPUTED_VALUE"""),48.0)</f>
        <v>48</v>
      </c>
      <c r="AK2456" s="3"/>
      <c r="AL2456" s="3"/>
    </row>
    <row r="2457" ht="15.75" customHeight="1">
      <c r="A2457" s="1" t="str">
        <f>IFERROR(__xludf.DUMMYFUNCTION("""COMPUTED_VALUE"""),"83158")</f>
        <v>83158</v>
      </c>
      <c r="B2457" s="2">
        <f>IFERROR(__xludf.DUMMYFUNCTION("""COMPUTED_VALUE"""),83158.0)</f>
        <v>83158</v>
      </c>
      <c r="C2457" s="3" t="str">
        <f>IFERROR(__xludf.DUMMYFUNCTION("""COMPUTED_VALUE"""),"ร้าน วังใหญ่มินิมาร์ท")</f>
        <v>ร้าน วังใหญ่มินิมาร์ท</v>
      </c>
      <c r="D2457" s="3" t="str">
        <f>IFERROR(__xludf.DUMMYFUNCTION("""COMPUTED_VALUE"""),"ร้าน วังใหญ่มินิมาร์ท")</f>
        <v>ร้าน วังใหญ่มินิมาร์ท</v>
      </c>
      <c r="E2457" s="1" t="str">
        <f>IFERROR(__xludf.DUMMYFUNCTION("""COMPUTED_VALUE"""),"Donjai")</f>
        <v>Donjai</v>
      </c>
      <c r="F2457" s="1" t="str">
        <f>IFERROR(__xludf.DUMMYFUNCTION("""COMPUTED_VALUE"""),"2010016")</f>
        <v>2010016</v>
      </c>
      <c r="G2457" s="1" t="str">
        <f>IFERROR(__xludf.DUMMYFUNCTION("""COMPUTED_VALUE"""),"นายตวงธรรม ใหม่ยศ")</f>
        <v>นายตวงธรรม ใหม่ยศ</v>
      </c>
      <c r="H2457" s="1" t="str">
        <f>IFERROR(__xludf.DUMMYFUNCTION("""COMPUTED_VALUE"""),"2010016")</f>
        <v>2010016</v>
      </c>
      <c r="I2457" s="1" t="str">
        <f>IFERROR(__xludf.DUMMYFUNCTION("""COMPUTED_VALUE"""),"นายตวงธรรม ใหม่ยศ")</f>
        <v>นายตวงธรรม ใหม่ยศ</v>
      </c>
      <c r="J2457" s="3">
        <f>IFERROR(__xludf.DUMMYFUNCTION("""COMPUTED_VALUE"""),295886.0)</f>
        <v>295886</v>
      </c>
      <c r="K2457" s="3" t="str">
        <f>IFERROR(__xludf.DUMMYFUNCTION("""COMPUTED_VALUE"""),"นายจิระพงษ์ โพธิ์นิล")</f>
        <v>นายจิระพงษ์ โพธิ์นิล</v>
      </c>
      <c r="L2457" s="1" t="str">
        <f>IFERROR(__xludf.DUMMYFUNCTION("""COMPUTED_VALUE"""),"นายจิระพงษ์ โพธิ์นิล")</f>
        <v>นายจิระพงษ์ โพธิ์นิล</v>
      </c>
      <c r="M2457" s="1" t="str">
        <f>IFERROR(__xludf.DUMMYFUNCTION("""COMPUTED_VALUE"""),"0933290754")</f>
        <v>0933290754</v>
      </c>
      <c r="N2457" s="3">
        <f>IFERROR(__xludf.DUMMYFUNCTION("""COMPUTED_VALUE"""),83158.0)</f>
        <v>83158</v>
      </c>
      <c r="O2457" s="3" t="str">
        <f>IFERROR(__xludf.DUMMYFUNCTION("""COMPUTED_VALUE"""),"ร้าน วังใหญ่มินิมาร์ท")</f>
        <v>ร้าน วังใหญ่มินิมาร์ท</v>
      </c>
      <c r="P2457" s="4">
        <f>IFERROR(__xludf.DUMMYFUNCTION("""COMPUTED_VALUE"""),44549.0)</f>
        <v>44549</v>
      </c>
      <c r="Q2457" s="3" t="str">
        <f>IFERROR(__xludf.DUMMYFUNCTION("""COMPUTED_VALUE"""),"I")</f>
        <v>I</v>
      </c>
      <c r="R2457" s="3" t="str">
        <f>IFERROR(__xludf.DUMMYFUNCTION("""COMPUTED_VALUE"""),"Small Format")</f>
        <v>Small Format</v>
      </c>
      <c r="S2457" s="3" t="str">
        <f>IFERROR(__xludf.DUMMYFUNCTION("""COMPUTED_VALUE"""),"Donjai")</f>
        <v>Donjai</v>
      </c>
      <c r="T2457" s="3" t="str">
        <f>IFERROR(__xludf.DUMMYFUNCTION("""COMPUTED_VALUE"""),"01 K.Tuangtham M.")</f>
        <v>01 K.Tuangtham M.</v>
      </c>
      <c r="U2457" s="3" t="str">
        <f>IFERROR(__xludf.DUMMYFUNCTION("""COMPUTED_VALUE"""),"01 K.Tuangtham M.")</f>
        <v>01 K.Tuangtham M.</v>
      </c>
      <c r="V2457" s="3" t="str">
        <f>IFERROR(__xludf.DUMMYFUNCTION("""COMPUTED_VALUE"""),"N")</f>
        <v>N</v>
      </c>
      <c r="W2457" s="3"/>
      <c r="X2457" s="3" t="str">
        <f>IFERROR(__xludf.DUMMYFUNCTION("""COMPUTED_VALUE"""),"49หมู่ 1บ้านวังใหญ่ ต.วังใหญ่ อ.วิเชียรบุรี")</f>
        <v>49หมู่ 1บ้านวังใหญ่ ต.วังใหญ่ อ.วิเชียรบุรี</v>
      </c>
      <c r="Y2457" s="3"/>
      <c r="Z2457" s="3" t="str">
        <f>IFERROR(__xludf.DUMMYFUNCTION("""COMPUTED_VALUE"""),"วังใหญ่")</f>
        <v>วังใหญ่</v>
      </c>
      <c r="AA2457" s="3" t="str">
        <f>IFERROR(__xludf.DUMMYFUNCTION("""COMPUTED_VALUE"""),"วิเชียรบุรี")</f>
        <v>วิเชียรบุรี</v>
      </c>
      <c r="AB2457" s="3" t="str">
        <f>IFERROR(__xludf.DUMMYFUNCTION("""COMPUTED_VALUE"""),"เพชรบูรณ์")</f>
        <v>เพชรบูรณ์</v>
      </c>
      <c r="AC2457" s="3">
        <f>IFERROR(__xludf.DUMMYFUNCTION("""COMPUTED_VALUE"""),0.0)</f>
        <v>0</v>
      </c>
      <c r="AD2457" s="3"/>
      <c r="AE2457" s="3"/>
      <c r="AF2457" s="3" t="str">
        <f>IFERROR(__xludf.DUMMYFUNCTION("""COMPUTED_VALUE"""),"ร้าน วังใหญ่มินิมาร์ท-83158")</f>
        <v>ร้าน วังใหญ่มินิมาร์ท-83158</v>
      </c>
      <c r="AG2457" s="3" t="str">
        <f>IFERROR(__xludf.DUMMYFUNCTION("""COMPUTED_VALUE"""),"กลาง")</f>
        <v>กลาง</v>
      </c>
      <c r="AH2457" s="3" t="str">
        <f>IFERROR(__xludf.DUMMYFUNCTION("""COMPUTED_VALUE"""),"#N/A")</f>
        <v>#N/A</v>
      </c>
      <c r="AI2457" s="3" t="str">
        <f>IFERROR(__xludf.DUMMYFUNCTION("""COMPUTED_VALUE"""),"Out of warranty")</f>
        <v>Out of warranty</v>
      </c>
      <c r="AJ2457" s="3">
        <f>IFERROR(__xludf.DUMMYFUNCTION("""COMPUTED_VALUE"""),50.0)</f>
        <v>50</v>
      </c>
      <c r="AK2457" s="3"/>
      <c r="AL2457" s="3"/>
    </row>
    <row r="2458" ht="15.75" customHeight="1">
      <c r="A2458" s="1" t="str">
        <f>IFERROR(__xludf.DUMMYFUNCTION("""COMPUTED_VALUE"""),"83161")</f>
        <v>83161</v>
      </c>
      <c r="B2458" s="2">
        <f>IFERROR(__xludf.DUMMYFUNCTION("""COMPUTED_VALUE"""),83161.0)</f>
        <v>83161</v>
      </c>
      <c r="C2458" s="3" t="str">
        <f>IFERROR(__xludf.DUMMYFUNCTION("""COMPUTED_VALUE"""),"ร้านก้อยพร้อมส่ง")</f>
        <v>ร้านก้อยพร้อมส่ง</v>
      </c>
      <c r="D2458" s="3" t="str">
        <f>IFERROR(__xludf.DUMMYFUNCTION("""COMPUTED_VALUE"""),"ร้านก้อยพร้อมส่ง")</f>
        <v>ร้านก้อยพร้อมส่ง</v>
      </c>
      <c r="E2458" s="1" t="str">
        <f>IFERROR(__xludf.DUMMYFUNCTION("""COMPUTED_VALUE"""),"Donjai")</f>
        <v>Donjai</v>
      </c>
      <c r="F2458" s="1" t="str">
        <f>IFERROR(__xludf.DUMMYFUNCTION("""COMPUTED_VALUE"""),"296945")</f>
        <v>296945</v>
      </c>
      <c r="G2458" s="1" t="str">
        <f>IFERROR(__xludf.DUMMYFUNCTION("""COMPUTED_VALUE"""),"นายรักพงศ์ พงศ์พันธ์งาม")</f>
        <v>นายรักพงศ์ พงศ์พันธ์งาม</v>
      </c>
      <c r="H2458" s="1" t="str">
        <f>IFERROR(__xludf.DUMMYFUNCTION("""COMPUTED_VALUE"""),"296945")</f>
        <v>296945</v>
      </c>
      <c r="I2458" s="1" t="str">
        <f>IFERROR(__xludf.DUMMYFUNCTION("""COMPUTED_VALUE"""),"นายรักพงศ์ พงศ์พันธ์งาม")</f>
        <v>นายรักพงศ์ พงศ์พันธ์งาม</v>
      </c>
      <c r="J2458" s="3">
        <f>IFERROR(__xludf.DUMMYFUNCTION("""COMPUTED_VALUE"""),228031.0)</f>
        <v>228031</v>
      </c>
      <c r="K2458" s="3" t="str">
        <f>IFERROR(__xludf.DUMMYFUNCTION("""COMPUTED_VALUE"""),"นายธนพงษ์ วันหมัด")</f>
        <v>นายธนพงษ์ วันหมัด</v>
      </c>
      <c r="L2458" s="1" t="str">
        <f>IFERROR(__xludf.DUMMYFUNCTION("""COMPUTED_VALUE"""),"นายธนพงษ์ วันหมัด")</f>
        <v>นายธนพงษ์ วันหมัด</v>
      </c>
      <c r="M2458" s="1" t="str">
        <f>IFERROR(__xludf.DUMMYFUNCTION("""COMPUTED_VALUE"""),"0813716913")</f>
        <v>0813716913</v>
      </c>
      <c r="N2458" s="3">
        <f>IFERROR(__xludf.DUMMYFUNCTION("""COMPUTED_VALUE"""),83161.0)</f>
        <v>83161</v>
      </c>
      <c r="O2458" s="3" t="str">
        <f>IFERROR(__xludf.DUMMYFUNCTION("""COMPUTED_VALUE"""),"ร้านก้อยพร้อมส่ง")</f>
        <v>ร้านก้อยพร้อมส่ง</v>
      </c>
      <c r="P2458" s="4">
        <f>IFERROR(__xludf.DUMMYFUNCTION("""COMPUTED_VALUE"""),44560.0)</f>
        <v>44560</v>
      </c>
      <c r="Q2458" s="3" t="str">
        <f>IFERROR(__xludf.DUMMYFUNCTION("""COMPUTED_VALUE"""),"I")</f>
        <v>I</v>
      </c>
      <c r="R2458" s="3" t="str">
        <f>IFERROR(__xludf.DUMMYFUNCTION("""COMPUTED_VALUE"""),"Small Format")</f>
        <v>Small Format</v>
      </c>
      <c r="S2458" s="3" t="str">
        <f>IFERROR(__xludf.DUMMYFUNCTION("""COMPUTED_VALUE"""),"Donjai")</f>
        <v>Donjai</v>
      </c>
      <c r="T2458" s="3">
        <f>IFERROR(__xludf.DUMMYFUNCTION("""COMPUTED_VALUE"""),0.0)</f>
        <v>0</v>
      </c>
      <c r="U2458" s="3">
        <f>IFERROR(__xludf.DUMMYFUNCTION("""COMPUTED_VALUE"""),0.0)</f>
        <v>0</v>
      </c>
      <c r="V2458" s="3" t="str">
        <f>IFERROR(__xludf.DUMMYFUNCTION("""COMPUTED_VALUE"""),"N")</f>
        <v>N</v>
      </c>
      <c r="W2458" s="3"/>
      <c r="X2458" s="3" t="str">
        <f>IFERROR(__xludf.DUMMYFUNCTION("""COMPUTED_VALUE"""),"305/7 ม.1 ต.เกาะจันทร์ อ.เกาะจันท์ จ.ชลบุรี")</f>
        <v>305/7 ม.1 ต.เกาะจันทร์ อ.เกาะจันท์ จ.ชลบุรี</v>
      </c>
      <c r="Y2458" s="3"/>
      <c r="Z2458" s="3">
        <f>IFERROR(__xludf.DUMMYFUNCTION("""COMPUTED_VALUE"""),0.0)</f>
        <v>0</v>
      </c>
      <c r="AA2458" s="3">
        <f>IFERROR(__xludf.DUMMYFUNCTION("""COMPUTED_VALUE"""),0.0)</f>
        <v>0</v>
      </c>
      <c r="AB2458" s="3" t="str">
        <f>IFERROR(__xludf.DUMMYFUNCTION("""COMPUTED_VALUE"""),"ชลบุรี")</f>
        <v>ชลบุรี</v>
      </c>
      <c r="AC2458" s="3">
        <f>IFERROR(__xludf.DUMMYFUNCTION("""COMPUTED_VALUE"""),0.0)</f>
        <v>0</v>
      </c>
      <c r="AD2458" s="3"/>
      <c r="AE2458" s="3"/>
      <c r="AF2458" s="3" t="str">
        <f>IFERROR(__xludf.DUMMYFUNCTION("""COMPUTED_VALUE"""),"ร้านก้อยพร้อมส่ง-83161")</f>
        <v>ร้านก้อยพร้อมส่ง-83161</v>
      </c>
      <c r="AG2458" s="3" t="str">
        <f>IFERROR(__xludf.DUMMYFUNCTION("""COMPUTED_VALUE"""),"ตะวันออก")</f>
        <v>ตะวันออก</v>
      </c>
      <c r="AH2458" s="3" t="str">
        <f>IFERROR(__xludf.DUMMYFUNCTION("""COMPUTED_VALUE"""),"#N/A")</f>
        <v>#N/A</v>
      </c>
      <c r="AI2458" s="3" t="str">
        <f>IFERROR(__xludf.DUMMYFUNCTION("""COMPUTED_VALUE"""),"Out of warranty")</f>
        <v>Out of warranty</v>
      </c>
      <c r="AJ2458" s="3">
        <f>IFERROR(__xludf.DUMMYFUNCTION("""COMPUTED_VALUE"""),49.0)</f>
        <v>49</v>
      </c>
      <c r="AK2458" s="3"/>
      <c r="AL2458" s="3"/>
    </row>
    <row r="2459" ht="15.75" customHeight="1">
      <c r="A2459" s="1" t="str">
        <f>IFERROR(__xludf.DUMMYFUNCTION("""COMPUTED_VALUE"""),"83163")</f>
        <v>83163</v>
      </c>
      <c r="B2459" s="2">
        <f>IFERROR(__xludf.DUMMYFUNCTION("""COMPUTED_VALUE"""),83163.0)</f>
        <v>83163</v>
      </c>
      <c r="C2459" s="3" t="str">
        <f>IFERROR(__xludf.DUMMYFUNCTION("""COMPUTED_VALUE"""),"ร้านคลองแดนวิวัฒน์")</f>
        <v>ร้านคลองแดนวิวัฒน์</v>
      </c>
      <c r="D2459" s="3" t="str">
        <f>IFERROR(__xludf.DUMMYFUNCTION("""COMPUTED_VALUE"""),"ร้านคลองแดนวิวัฒน์")</f>
        <v>ร้านคลองแดนวิวัฒน์</v>
      </c>
      <c r="E2459" s="1" t="str">
        <f>IFERROR(__xludf.DUMMYFUNCTION("""COMPUTED_VALUE"""),"Donjai")</f>
        <v>Donjai</v>
      </c>
      <c r="F2459" s="1" t="str">
        <f>IFERROR(__xludf.DUMMYFUNCTION("""COMPUTED_VALUE"""),"20470331")</f>
        <v>20470331</v>
      </c>
      <c r="G2459" s="1" t="str">
        <f>IFERROR(__xludf.DUMMYFUNCTION("""COMPUTED_VALUE"""),"นายสมชาย ลักษณะสุวรรณ")</f>
        <v>นายสมชาย ลักษณะสุวรรณ</v>
      </c>
      <c r="H2459" s="1" t="str">
        <f>IFERROR(__xludf.DUMMYFUNCTION("""COMPUTED_VALUE"""),"20470331")</f>
        <v>20470331</v>
      </c>
      <c r="I2459" s="1" t="str">
        <f>IFERROR(__xludf.DUMMYFUNCTION("""COMPUTED_VALUE"""),"นายสมชาย ลักษณะสุวรรณ")</f>
        <v>นายสมชาย ลักษณะสุวรรณ</v>
      </c>
      <c r="J2459" s="3">
        <f>IFERROR(__xludf.DUMMYFUNCTION("""COMPUTED_VALUE"""),295541.0)</f>
        <v>295541</v>
      </c>
      <c r="K2459" s="3" t="str">
        <f>IFERROR(__xludf.DUMMYFUNCTION("""COMPUTED_VALUE"""),"นายรพิพล ศรีมาตย์")</f>
        <v>นายรพิพล ศรีมาตย์</v>
      </c>
      <c r="L2459" s="1" t="str">
        <f>IFERROR(__xludf.DUMMYFUNCTION("""COMPUTED_VALUE"""),"นายรพิพล ศรีมาตย์")</f>
        <v>นายรพิพล ศรีมาตย์</v>
      </c>
      <c r="M2459" s="1" t="str">
        <f>IFERROR(__xludf.DUMMYFUNCTION("""COMPUTED_VALUE"""),"0613966115")</f>
        <v>0613966115</v>
      </c>
      <c r="N2459" s="3">
        <f>IFERROR(__xludf.DUMMYFUNCTION("""COMPUTED_VALUE"""),83163.0)</f>
        <v>83163</v>
      </c>
      <c r="O2459" s="3" t="str">
        <f>IFERROR(__xludf.DUMMYFUNCTION("""COMPUTED_VALUE"""),"ร้านคลองแดนวิวัฒน์")</f>
        <v>ร้านคลองแดนวิวัฒน์</v>
      </c>
      <c r="P2459" s="4">
        <f>IFERROR(__xludf.DUMMYFUNCTION("""COMPUTED_VALUE"""),44553.0)</f>
        <v>44553</v>
      </c>
      <c r="Q2459" s="3" t="str">
        <f>IFERROR(__xludf.DUMMYFUNCTION("""COMPUTED_VALUE"""),"A")</f>
        <v>A</v>
      </c>
      <c r="R2459" s="3" t="str">
        <f>IFERROR(__xludf.DUMMYFUNCTION("""COMPUTED_VALUE"""),"Small Format")</f>
        <v>Small Format</v>
      </c>
      <c r="S2459" s="3" t="str">
        <f>IFERROR(__xludf.DUMMYFUNCTION("""COMPUTED_VALUE"""),"Donjai")</f>
        <v>Donjai</v>
      </c>
      <c r="T2459" s="3" t="str">
        <f>IFERROR(__xludf.DUMMYFUNCTION("""COMPUTED_VALUE"""),"15 K.Somchai L")</f>
        <v>15 K.Somchai L</v>
      </c>
      <c r="U2459" s="3" t="str">
        <f>IFERROR(__xludf.DUMMYFUNCTION("""COMPUTED_VALUE"""),"15 K.Somchai L")</f>
        <v>15 K.Somchai L</v>
      </c>
      <c r="V2459" s="3" t="str">
        <f>IFERROR(__xludf.DUMMYFUNCTION("""COMPUTED_VALUE"""),"N")</f>
        <v>N</v>
      </c>
      <c r="W2459" s="3"/>
      <c r="X2459" s="3" t="str">
        <f>IFERROR(__xludf.DUMMYFUNCTION("""COMPUTED_VALUE"""),"179/1 ม.2 ต.คลองแดน อ.ระโนด จ.สงขลา 90140")</f>
        <v>179/1 ม.2 ต.คลองแดน อ.ระโนด จ.สงขลา 90140</v>
      </c>
      <c r="Y2459" s="3"/>
      <c r="Z2459" s="3">
        <f>IFERROR(__xludf.DUMMYFUNCTION("""COMPUTED_VALUE"""),0.0)</f>
        <v>0</v>
      </c>
      <c r="AA2459" s="3">
        <f>IFERROR(__xludf.DUMMYFUNCTION("""COMPUTED_VALUE"""),0.0)</f>
        <v>0</v>
      </c>
      <c r="AB2459" s="3" t="str">
        <f>IFERROR(__xludf.DUMMYFUNCTION("""COMPUTED_VALUE"""),"สงขลา")</f>
        <v>สงขลา</v>
      </c>
      <c r="AC2459" s="3">
        <f>IFERROR(__xludf.DUMMYFUNCTION("""COMPUTED_VALUE"""),90140.0)</f>
        <v>90140</v>
      </c>
      <c r="AD2459" s="3"/>
      <c r="AE2459" s="3"/>
      <c r="AF2459" s="3" t="str">
        <f>IFERROR(__xludf.DUMMYFUNCTION("""COMPUTED_VALUE"""),"ร้านคลองแดนวิวัฒน์-83163")</f>
        <v>ร้านคลองแดนวิวัฒน์-83163</v>
      </c>
      <c r="AG2459" s="3" t="str">
        <f>IFERROR(__xludf.DUMMYFUNCTION("""COMPUTED_VALUE"""),"ใต้")</f>
        <v>ใต้</v>
      </c>
      <c r="AH2459" s="3" t="str">
        <f>IFERROR(__xludf.DUMMYFUNCTION("""COMPUTED_VALUE"""),"#N/A")</f>
        <v>#N/A</v>
      </c>
      <c r="AI2459" s="3" t="str">
        <f>IFERROR(__xludf.DUMMYFUNCTION("""COMPUTED_VALUE"""),"Out of warranty")</f>
        <v>Out of warranty</v>
      </c>
      <c r="AJ2459" s="3">
        <f>IFERROR(__xludf.DUMMYFUNCTION("""COMPUTED_VALUE"""),49.0)</f>
        <v>49</v>
      </c>
      <c r="AK2459" s="3"/>
      <c r="AL2459" s="3"/>
    </row>
    <row r="2460" ht="15.75" customHeight="1">
      <c r="A2460" s="1" t="str">
        <f>IFERROR(__xludf.DUMMYFUNCTION("""COMPUTED_VALUE"""),"83168")</f>
        <v>83168</v>
      </c>
      <c r="B2460" s="2">
        <f>IFERROR(__xludf.DUMMYFUNCTION("""COMPUTED_VALUE"""),83168.0)</f>
        <v>83168</v>
      </c>
      <c r="C2460" s="3" t="str">
        <f>IFERROR(__xludf.DUMMYFUNCTION("""COMPUTED_VALUE"""),"ร้านเป็งกี่พานิช มหาสารคาม")</f>
        <v>ร้านเป็งกี่พานิช มหาสารคาม</v>
      </c>
      <c r="D2460" s="3" t="str">
        <f>IFERROR(__xludf.DUMMYFUNCTION("""COMPUTED_VALUE"""),"ร้านเป็งกี่พานิช มหาสารคาม")</f>
        <v>ร้านเป็งกี่พานิช มหาสารคาม</v>
      </c>
      <c r="E2460" s="1" t="str">
        <f>IFERROR(__xludf.DUMMYFUNCTION("""COMPUTED_VALUE"""),"Donjai")</f>
        <v>Donjai</v>
      </c>
      <c r="F2460" s="1" t="str">
        <f>IFERROR(__xludf.DUMMYFUNCTION("""COMPUTED_VALUE"""),"295886")</f>
        <v>295886</v>
      </c>
      <c r="G2460" s="1" t="str">
        <f>IFERROR(__xludf.DUMMYFUNCTION("""COMPUTED_VALUE"""),"นายจิระพงษ์ โพธิ์นิล")</f>
        <v>นายจิระพงษ์ โพธิ์นิล</v>
      </c>
      <c r="H2460" s="1" t="str">
        <f>IFERROR(__xludf.DUMMYFUNCTION("""COMPUTED_VALUE"""),"295886")</f>
        <v>295886</v>
      </c>
      <c r="I2460" s="1" t="str">
        <f>IFERROR(__xludf.DUMMYFUNCTION("""COMPUTED_VALUE"""),"นายจิระพงษ์ โพธิ์นิล")</f>
        <v>นายจิระพงษ์ โพธิ์นิล</v>
      </c>
      <c r="J2460" s="3">
        <f>IFERROR(__xludf.DUMMYFUNCTION("""COMPUTED_VALUE"""),295886.0)</f>
        <v>295886</v>
      </c>
      <c r="K2460" s="3" t="str">
        <f>IFERROR(__xludf.DUMMYFUNCTION("""COMPUTED_VALUE"""),"นายจิระพงษ์ โพธิ์นิล")</f>
        <v>นายจิระพงษ์ โพธิ์นิล</v>
      </c>
      <c r="L2460" s="1" t="str">
        <f>IFERROR(__xludf.DUMMYFUNCTION("""COMPUTED_VALUE"""),"นายจิระพงษ์ โพธิ์นิล")</f>
        <v>นายจิระพงษ์ โพธิ์นิล</v>
      </c>
      <c r="M2460" s="1" t="str">
        <f>IFERROR(__xludf.DUMMYFUNCTION("""COMPUTED_VALUE"""),"0933290754")</f>
        <v>0933290754</v>
      </c>
      <c r="N2460" s="3">
        <f>IFERROR(__xludf.DUMMYFUNCTION("""COMPUTED_VALUE"""),83168.0)</f>
        <v>83168</v>
      </c>
      <c r="O2460" s="3" t="str">
        <f>IFERROR(__xludf.DUMMYFUNCTION("""COMPUTED_VALUE"""),"ร้านเป็งกี่พานิช มหาสารคาม")</f>
        <v>ร้านเป็งกี่พานิช มหาสารคาม</v>
      </c>
      <c r="P2460" s="4">
        <f>IFERROR(__xludf.DUMMYFUNCTION("""COMPUTED_VALUE"""),44563.0)</f>
        <v>44563</v>
      </c>
      <c r="Q2460" s="3" t="str">
        <f>IFERROR(__xludf.DUMMYFUNCTION("""COMPUTED_VALUE"""),"I")</f>
        <v>I</v>
      </c>
      <c r="R2460" s="3" t="str">
        <f>IFERROR(__xludf.DUMMYFUNCTION("""COMPUTED_VALUE"""),"Small Format")</f>
        <v>Small Format</v>
      </c>
      <c r="S2460" s="3" t="str">
        <f>IFERROR(__xludf.DUMMYFUNCTION("""COMPUTED_VALUE"""),"Donjai")</f>
        <v>Donjai</v>
      </c>
      <c r="T2460" s="3" t="str">
        <f>IFERROR(__xludf.DUMMYFUNCTION("""COMPUTED_VALUE"""),"นายจิระพงษ์ โพธิ์นิล")</f>
        <v>นายจิระพงษ์ โพธิ์นิล</v>
      </c>
      <c r="U2460" s="3" t="str">
        <f>IFERROR(__xludf.DUMMYFUNCTION("""COMPUTED_VALUE"""),"นายจิระพงษ์ โพธิ์นิล")</f>
        <v>นายจิระพงษ์ โพธิ์นิล</v>
      </c>
      <c r="V2460" s="3" t="str">
        <f>IFERROR(__xludf.DUMMYFUNCTION("""COMPUTED_VALUE"""),"N")</f>
        <v>N</v>
      </c>
      <c r="W2460" s="3"/>
      <c r="X2460" s="3" t="str">
        <f>IFERROR(__xludf.DUMMYFUNCTION("""COMPUTED_VALUE"""),"455 ต.ตลาด อ.เมือง จ.มหาสารคาม 44000")</f>
        <v>455 ต.ตลาด อ.เมือง จ.มหาสารคาม 44000</v>
      </c>
      <c r="Y2460" s="3"/>
      <c r="Z2460" s="3">
        <f>IFERROR(__xludf.DUMMYFUNCTION("""COMPUTED_VALUE"""),0.0)</f>
        <v>0</v>
      </c>
      <c r="AA2460" s="3">
        <f>IFERROR(__xludf.DUMMYFUNCTION("""COMPUTED_VALUE"""),0.0)</f>
        <v>0</v>
      </c>
      <c r="AB2460" s="3" t="str">
        <f>IFERROR(__xludf.DUMMYFUNCTION("""COMPUTED_VALUE"""),"มหาสารคาม")</f>
        <v>มหาสารคาม</v>
      </c>
      <c r="AC2460" s="3">
        <f>IFERROR(__xludf.DUMMYFUNCTION("""COMPUTED_VALUE"""),44000.0)</f>
        <v>44000</v>
      </c>
      <c r="AD2460" s="3"/>
      <c r="AE2460" s="3"/>
      <c r="AF2460" s="3" t="str">
        <f>IFERROR(__xludf.DUMMYFUNCTION("""COMPUTED_VALUE"""),"ร้านเป็งกี่พานิช มหาสารคาม-83168")</f>
        <v>ร้านเป็งกี่พานิช มหาสารคาม-83168</v>
      </c>
      <c r="AG2460" s="3" t="str">
        <f>IFERROR(__xludf.DUMMYFUNCTION("""COMPUTED_VALUE"""),"ตะวันออกเฉียงเหนือ")</f>
        <v>ตะวันออกเฉียงเหนือ</v>
      </c>
      <c r="AH2460" s="3" t="str">
        <f>IFERROR(__xludf.DUMMYFUNCTION("""COMPUTED_VALUE"""),"#N/A")</f>
        <v>#N/A</v>
      </c>
      <c r="AI2460" s="3" t="str">
        <f>IFERROR(__xludf.DUMMYFUNCTION("""COMPUTED_VALUE"""),"Out of warranty")</f>
        <v>Out of warranty</v>
      </c>
      <c r="AJ2460" s="3">
        <f>IFERROR(__xludf.DUMMYFUNCTION("""COMPUTED_VALUE"""),49.0)</f>
        <v>49</v>
      </c>
      <c r="AK2460" s="3"/>
      <c r="AL2460" s="3"/>
    </row>
    <row r="2461" ht="15.75" customHeight="1">
      <c r="A2461" s="1" t="str">
        <f>IFERROR(__xludf.DUMMYFUNCTION("""COMPUTED_VALUE"""),"83170")</f>
        <v>83170</v>
      </c>
      <c r="B2461" s="2">
        <f>IFERROR(__xludf.DUMMYFUNCTION("""COMPUTED_VALUE"""),83170.0)</f>
        <v>83170</v>
      </c>
      <c r="C2461" s="3" t="str">
        <f>IFERROR(__xludf.DUMMYFUNCTION("""COMPUTED_VALUE"""),"ร้านโดนใจ เจ.เอ็ม.มินิมาร์ท")</f>
        <v>ร้านโดนใจ เจ.เอ็ม.มินิมาร์ท</v>
      </c>
      <c r="D2461" s="3" t="str">
        <f>IFERROR(__xludf.DUMMYFUNCTION("""COMPUTED_VALUE"""),"ร้านโดนใจ เจ.เอ็ม.มินิมาร์ท")</f>
        <v>ร้านโดนใจ เจ.เอ็ม.มินิมาร์ท</v>
      </c>
      <c r="E2461" s="1" t="str">
        <f>IFERROR(__xludf.DUMMYFUNCTION("""COMPUTED_VALUE"""),"Donjai")</f>
        <v>Donjai</v>
      </c>
      <c r="F2461" s="1" t="str">
        <f>IFERROR(__xludf.DUMMYFUNCTION("""COMPUTED_VALUE"""),"296868")</f>
        <v>296868</v>
      </c>
      <c r="G2461" s="1" t="str">
        <f>IFERROR(__xludf.DUMMYFUNCTION("""COMPUTED_VALUE"""),"นายพีระพงษ์ แก้วดวงดี")</f>
        <v>นายพีระพงษ์ แก้วดวงดี</v>
      </c>
      <c r="H2461" s="1" t="str">
        <f>IFERROR(__xludf.DUMMYFUNCTION("""COMPUTED_VALUE"""),"296868")</f>
        <v>296868</v>
      </c>
      <c r="I2461" s="1" t="str">
        <f>IFERROR(__xludf.DUMMYFUNCTION("""COMPUTED_VALUE"""),"นายพีระพงษ์ แก้วดวงดี")</f>
        <v>นายพีระพงษ์ แก้วดวงดี</v>
      </c>
      <c r="J2461" s="3">
        <f>IFERROR(__xludf.DUMMYFUNCTION("""COMPUTED_VALUE"""),295886.0)</f>
        <v>295886</v>
      </c>
      <c r="K2461" s="3" t="str">
        <f>IFERROR(__xludf.DUMMYFUNCTION("""COMPUTED_VALUE"""),"นายจิระพงษ์ โพธิ์นิล")</f>
        <v>นายจิระพงษ์ โพธิ์นิล</v>
      </c>
      <c r="L2461" s="1" t="str">
        <f>IFERROR(__xludf.DUMMYFUNCTION("""COMPUTED_VALUE"""),"นายจิระพงษ์ โพธิ์นิล")</f>
        <v>นายจิระพงษ์ โพธิ์นิล</v>
      </c>
      <c r="M2461" s="1" t="str">
        <f>IFERROR(__xludf.DUMMYFUNCTION("""COMPUTED_VALUE"""),"0933290754")</f>
        <v>0933290754</v>
      </c>
      <c r="N2461" s="3">
        <f>IFERROR(__xludf.DUMMYFUNCTION("""COMPUTED_VALUE"""),83170.0)</f>
        <v>83170</v>
      </c>
      <c r="O2461" s="3" t="str">
        <f>IFERROR(__xludf.DUMMYFUNCTION("""COMPUTED_VALUE"""),"ร้านโดนใจ เจ.เอ็ม.มินิมาร์ท")</f>
        <v>ร้านโดนใจ เจ.เอ็ม.มินิมาร์ท</v>
      </c>
      <c r="P2461" s="4">
        <f>IFERROR(__xludf.DUMMYFUNCTION("""COMPUTED_VALUE"""),44555.0)</f>
        <v>44555</v>
      </c>
      <c r="Q2461" s="3" t="str">
        <f>IFERROR(__xludf.DUMMYFUNCTION("""COMPUTED_VALUE"""),"A")</f>
        <v>A</v>
      </c>
      <c r="R2461" s="3" t="str">
        <f>IFERROR(__xludf.DUMMYFUNCTION("""COMPUTED_VALUE"""),"Small Format")</f>
        <v>Small Format</v>
      </c>
      <c r="S2461" s="3" t="str">
        <f>IFERROR(__xludf.DUMMYFUNCTION("""COMPUTED_VALUE"""),"Donjai")</f>
        <v>Donjai</v>
      </c>
      <c r="T2461" s="3" t="str">
        <f>IFERROR(__xludf.DUMMYFUNCTION("""COMPUTED_VALUE"""),"03 K.Peerapong K.")</f>
        <v>03 K.Peerapong K.</v>
      </c>
      <c r="U2461" s="3" t="str">
        <f>IFERROR(__xludf.DUMMYFUNCTION("""COMPUTED_VALUE"""),"03 K.Peerapong K.")</f>
        <v>03 K.Peerapong K.</v>
      </c>
      <c r="V2461" s="3" t="str">
        <f>IFERROR(__xludf.DUMMYFUNCTION("""COMPUTED_VALUE"""),"N")</f>
        <v>N</v>
      </c>
      <c r="W2461" s="3"/>
      <c r="X2461" s="3" t="str">
        <f>IFERROR(__xludf.DUMMYFUNCTION("""COMPUTED_VALUE"""),"183 ม7 ต.หนองบัว อ.บ้านฝาง จ.ขอนแก่น")</f>
        <v>183 ม7 ต.หนองบัว อ.บ้านฝาง จ.ขอนแก่น</v>
      </c>
      <c r="Y2461" s="3"/>
      <c r="Z2461" s="3">
        <f>IFERROR(__xludf.DUMMYFUNCTION("""COMPUTED_VALUE"""),0.0)</f>
        <v>0</v>
      </c>
      <c r="AA2461" s="3">
        <f>IFERROR(__xludf.DUMMYFUNCTION("""COMPUTED_VALUE"""),0.0)</f>
        <v>0</v>
      </c>
      <c r="AB2461" s="3" t="str">
        <f>IFERROR(__xludf.DUMMYFUNCTION("""COMPUTED_VALUE"""),"ขอนแก่น")</f>
        <v>ขอนแก่น</v>
      </c>
      <c r="AC2461" s="3">
        <f>IFERROR(__xludf.DUMMYFUNCTION("""COMPUTED_VALUE"""),0.0)</f>
        <v>0</v>
      </c>
      <c r="AD2461" s="3"/>
      <c r="AE2461" s="3"/>
      <c r="AF2461" s="3" t="str">
        <f>IFERROR(__xludf.DUMMYFUNCTION("""COMPUTED_VALUE"""),"ร้านโดนใจ เจ.เอ็ม.มินิมาร์ท-83170")</f>
        <v>ร้านโดนใจ เจ.เอ็ม.มินิมาร์ท-83170</v>
      </c>
      <c r="AG2461" s="3" t="str">
        <f>IFERROR(__xludf.DUMMYFUNCTION("""COMPUTED_VALUE"""),"ตะวันออกเฉียงเหนือ")</f>
        <v>ตะวันออกเฉียงเหนือ</v>
      </c>
      <c r="AH2461" s="3" t="str">
        <f>IFERROR(__xludf.DUMMYFUNCTION("""COMPUTED_VALUE"""),"#N/A")</f>
        <v>#N/A</v>
      </c>
      <c r="AI2461" s="3" t="str">
        <f>IFERROR(__xludf.DUMMYFUNCTION("""COMPUTED_VALUE"""),"Out of warranty")</f>
        <v>Out of warranty</v>
      </c>
      <c r="AJ2461" s="3">
        <f>IFERROR(__xludf.DUMMYFUNCTION("""COMPUTED_VALUE"""),49.0)</f>
        <v>49</v>
      </c>
      <c r="AK2461" s="3"/>
      <c r="AL2461" s="3"/>
    </row>
    <row r="2462" ht="15.75" customHeight="1">
      <c r="A2462" s="1" t="str">
        <f>IFERROR(__xludf.DUMMYFUNCTION("""COMPUTED_VALUE"""),"83172")</f>
        <v>83172</v>
      </c>
      <c r="B2462" s="2">
        <f>IFERROR(__xludf.DUMMYFUNCTION("""COMPUTED_VALUE"""),83172.0)</f>
        <v>83172</v>
      </c>
      <c r="C2462" s="3" t="str">
        <f>IFERROR(__xludf.DUMMYFUNCTION("""COMPUTED_VALUE"""),"ร้าน So Good")</f>
        <v>ร้าน So Good</v>
      </c>
      <c r="D2462" s="3" t="str">
        <f>IFERROR(__xludf.DUMMYFUNCTION("""COMPUTED_VALUE"""),"ร้าน So Good")</f>
        <v>ร้าน So Good</v>
      </c>
      <c r="E2462" s="1" t="str">
        <f>IFERROR(__xludf.DUMMYFUNCTION("""COMPUTED_VALUE"""),"Donjai")</f>
        <v>Donjai</v>
      </c>
      <c r="F2462" s="1" t="str">
        <f>IFERROR(__xludf.DUMMYFUNCTION("""COMPUTED_VALUE"""),"2010023")</f>
        <v>2010023</v>
      </c>
      <c r="G2462" s="1" t="str">
        <f>IFERROR(__xludf.DUMMYFUNCTION("""COMPUTED_VALUE"""),"นายวศิน ไวยรูป")</f>
        <v>นายวศิน ไวยรูป</v>
      </c>
      <c r="H2462" s="1" t="str">
        <f>IFERROR(__xludf.DUMMYFUNCTION("""COMPUTED_VALUE"""),"2010023")</f>
        <v>2010023</v>
      </c>
      <c r="I2462" s="1" t="str">
        <f>IFERROR(__xludf.DUMMYFUNCTION("""COMPUTED_VALUE"""),"นายวศิน ไวยรูป")</f>
        <v>นายวศิน ไวยรูป</v>
      </c>
      <c r="J2462" s="3">
        <f>IFERROR(__xludf.DUMMYFUNCTION("""COMPUTED_VALUE"""),228031.0)</f>
        <v>228031</v>
      </c>
      <c r="K2462" s="3" t="str">
        <f>IFERROR(__xludf.DUMMYFUNCTION("""COMPUTED_VALUE"""),"นายธนพงษ์ วันหมัด")</f>
        <v>นายธนพงษ์ วันหมัด</v>
      </c>
      <c r="L2462" s="1" t="str">
        <f>IFERROR(__xludf.DUMMYFUNCTION("""COMPUTED_VALUE"""),"นายธนพงษ์ วันหมัด")</f>
        <v>นายธนพงษ์ วันหมัด</v>
      </c>
      <c r="M2462" s="1" t="str">
        <f>IFERROR(__xludf.DUMMYFUNCTION("""COMPUTED_VALUE"""),"0813716913")</f>
        <v>0813716913</v>
      </c>
      <c r="N2462" s="3">
        <f>IFERROR(__xludf.DUMMYFUNCTION("""COMPUTED_VALUE"""),83172.0)</f>
        <v>83172</v>
      </c>
      <c r="O2462" s="3" t="str">
        <f>IFERROR(__xludf.DUMMYFUNCTION("""COMPUTED_VALUE"""),"ร้าน So Good")</f>
        <v>ร้าน So Good</v>
      </c>
      <c r="P2462" s="4">
        <f>IFERROR(__xludf.DUMMYFUNCTION("""COMPUTED_VALUE"""),44563.0)</f>
        <v>44563</v>
      </c>
      <c r="Q2462" s="3" t="str">
        <f>IFERROR(__xludf.DUMMYFUNCTION("""COMPUTED_VALUE"""),"I")</f>
        <v>I</v>
      </c>
      <c r="R2462" s="3" t="str">
        <f>IFERROR(__xludf.DUMMYFUNCTION("""COMPUTED_VALUE"""),"Small Format")</f>
        <v>Small Format</v>
      </c>
      <c r="S2462" s="3" t="str">
        <f>IFERROR(__xludf.DUMMYFUNCTION("""COMPUTED_VALUE"""),"Donjai")</f>
        <v>Donjai</v>
      </c>
      <c r="T2462" s="3" t="str">
        <f>IFERROR(__xludf.DUMMYFUNCTION("""COMPUTED_VALUE"""),"Donjai")</f>
        <v>Donjai</v>
      </c>
      <c r="U2462" s="3" t="str">
        <f>IFERROR(__xludf.DUMMYFUNCTION("""COMPUTED_VALUE"""),"Donjai")</f>
        <v>Donjai</v>
      </c>
      <c r="V2462" s="3" t="str">
        <f>IFERROR(__xludf.DUMMYFUNCTION("""COMPUTED_VALUE"""),"N")</f>
        <v>N</v>
      </c>
      <c r="W2462" s="3"/>
      <c r="X2462" s="3" t="str">
        <f>IFERROR(__xludf.DUMMYFUNCTION("""COMPUTED_VALUE"""),"222/4-5 ตึกซันมูลเลค คอนโดเมืองทอง บางพูด ปากเกร็ด นนทบุรี")</f>
        <v>222/4-5 ตึกซันมูลเลค คอนโดเมืองทอง บางพูด ปากเกร็ด นนทบุรี</v>
      </c>
      <c r="Y2462" s="3"/>
      <c r="Z2462" s="3">
        <f>IFERROR(__xludf.DUMMYFUNCTION("""COMPUTED_VALUE"""),0.0)</f>
        <v>0</v>
      </c>
      <c r="AA2462" s="3">
        <f>IFERROR(__xludf.DUMMYFUNCTION("""COMPUTED_VALUE"""),0.0)</f>
        <v>0</v>
      </c>
      <c r="AB2462" s="3" t="str">
        <f>IFERROR(__xludf.DUMMYFUNCTION("""COMPUTED_VALUE"""),"นนทบุรี")</f>
        <v>นนทบุรี</v>
      </c>
      <c r="AC2462" s="3">
        <f>IFERROR(__xludf.DUMMYFUNCTION("""COMPUTED_VALUE"""),0.0)</f>
        <v>0</v>
      </c>
      <c r="AD2462" s="3"/>
      <c r="AE2462" s="3"/>
      <c r="AF2462" s="3" t="str">
        <f>IFERROR(__xludf.DUMMYFUNCTION("""COMPUTED_VALUE"""),"ร้าน So Good-83172")</f>
        <v>ร้าน So Good-83172</v>
      </c>
      <c r="AG2462" s="3" t="str">
        <f>IFERROR(__xludf.DUMMYFUNCTION("""COMPUTED_VALUE"""),"กลาง")</f>
        <v>กลาง</v>
      </c>
      <c r="AH2462" s="3" t="str">
        <f>IFERROR(__xludf.DUMMYFUNCTION("""COMPUTED_VALUE"""),"#N/A")</f>
        <v>#N/A</v>
      </c>
      <c r="AI2462" s="3" t="str">
        <f>IFERROR(__xludf.DUMMYFUNCTION("""COMPUTED_VALUE"""),"Out of warranty")</f>
        <v>Out of warranty</v>
      </c>
      <c r="AJ2462" s="3">
        <f>IFERROR(__xludf.DUMMYFUNCTION("""COMPUTED_VALUE"""),49.0)</f>
        <v>49</v>
      </c>
      <c r="AK2462" s="3"/>
      <c r="AL2462" s="3"/>
    </row>
    <row r="2463" ht="15.75" customHeight="1">
      <c r="A2463" s="1" t="str">
        <f>IFERROR(__xludf.DUMMYFUNCTION("""COMPUTED_VALUE"""),"83175")</f>
        <v>83175</v>
      </c>
      <c r="B2463" s="2">
        <f>IFERROR(__xludf.DUMMYFUNCTION("""COMPUTED_VALUE"""),83175.0)</f>
        <v>83175</v>
      </c>
      <c r="C2463" s="3" t="str">
        <f>IFERROR(__xludf.DUMMYFUNCTION("""COMPUTED_VALUE"""),"ร้านน้องโบว์ (ร้านสถาพรมินิมาร์ท)")</f>
        <v>ร้านน้องโบว์ (ร้านสถาพรมินิมาร์ท)</v>
      </c>
      <c r="D2463" s="3" t="str">
        <f>IFERROR(__xludf.DUMMYFUNCTION("""COMPUTED_VALUE"""),"ร้านน้องโบว์ (ร้านสถาพรมินิมาร์ท)")</f>
        <v>ร้านน้องโบว์ (ร้านสถาพรมินิมาร์ท)</v>
      </c>
      <c r="E2463" s="1" t="str">
        <f>IFERROR(__xludf.DUMMYFUNCTION("""COMPUTED_VALUE"""),"Donjai")</f>
        <v>Donjai</v>
      </c>
      <c r="F2463" s="1" t="str">
        <f>IFERROR(__xludf.DUMMYFUNCTION("""COMPUTED_VALUE"""),"025324")</f>
        <v>025324</v>
      </c>
      <c r="G2463" s="1" t="str">
        <f>IFERROR(__xludf.DUMMYFUNCTION("""COMPUTED_VALUE"""),"นายวิเชฎฐ์ ติรัตนะประคม")</f>
        <v>นายวิเชฎฐ์ ติรัตนะประคม</v>
      </c>
      <c r="H2463" s="1" t="str">
        <f>IFERROR(__xludf.DUMMYFUNCTION("""COMPUTED_VALUE"""),"025324")</f>
        <v>025324</v>
      </c>
      <c r="I2463" s="1" t="str">
        <f>IFERROR(__xludf.DUMMYFUNCTION("""COMPUTED_VALUE"""),"นายวิเชฎฐ์ ติรัตนะประคม")</f>
        <v>นายวิเชฎฐ์ ติรัตนะประคม</v>
      </c>
      <c r="J2463" s="3">
        <f>IFERROR(__xludf.DUMMYFUNCTION("""COMPUTED_VALUE"""),295541.0)</f>
        <v>295541</v>
      </c>
      <c r="K2463" s="3" t="str">
        <f>IFERROR(__xludf.DUMMYFUNCTION("""COMPUTED_VALUE"""),"นายรพิพล ศรีมาตย์")</f>
        <v>นายรพิพล ศรีมาตย์</v>
      </c>
      <c r="L2463" s="1" t="str">
        <f>IFERROR(__xludf.DUMMYFUNCTION("""COMPUTED_VALUE"""),"นายรพิพล ศรีมาตย์")</f>
        <v>นายรพิพล ศรีมาตย์</v>
      </c>
      <c r="M2463" s="1" t="str">
        <f>IFERROR(__xludf.DUMMYFUNCTION("""COMPUTED_VALUE"""),"0613966115")</f>
        <v>0613966115</v>
      </c>
      <c r="N2463" s="3">
        <f>IFERROR(__xludf.DUMMYFUNCTION("""COMPUTED_VALUE"""),83175.0)</f>
        <v>83175</v>
      </c>
      <c r="O2463" s="3" t="str">
        <f>IFERROR(__xludf.DUMMYFUNCTION("""COMPUTED_VALUE"""),"ร้านน้องโบว์ (ร้านสถาพรมินิมาร์ท)")</f>
        <v>ร้านน้องโบว์ (ร้านสถาพรมินิมาร์ท)</v>
      </c>
      <c r="P2463" s="4">
        <f>IFERROR(__xludf.DUMMYFUNCTION("""COMPUTED_VALUE"""),44705.0)</f>
        <v>44705</v>
      </c>
      <c r="Q2463" s="3" t="str">
        <f>IFERROR(__xludf.DUMMYFUNCTION("""COMPUTED_VALUE"""),"A")</f>
        <v>A</v>
      </c>
      <c r="R2463" s="3" t="str">
        <f>IFERROR(__xludf.DUMMYFUNCTION("""COMPUTED_VALUE"""),"Small Format")</f>
        <v>Small Format</v>
      </c>
      <c r="S2463" s="3" t="str">
        <f>IFERROR(__xludf.DUMMYFUNCTION("""COMPUTED_VALUE"""),"Donjai")</f>
        <v>Donjai</v>
      </c>
      <c r="T2463" s="3" t="str">
        <f>IFERROR(__xludf.DUMMYFUNCTION("""COMPUTED_VALUE"""),"14 K.Wichet T.")</f>
        <v>14 K.Wichet T.</v>
      </c>
      <c r="U2463" s="3" t="str">
        <f>IFERROR(__xludf.DUMMYFUNCTION("""COMPUTED_VALUE"""),"14 K.Wichet T.")</f>
        <v>14 K.Wichet T.</v>
      </c>
      <c r="V2463" s="3" t="str">
        <f>IFERROR(__xludf.DUMMYFUNCTION("""COMPUTED_VALUE"""),"N")</f>
        <v>N</v>
      </c>
      <c r="W2463" s="3"/>
      <c r="X2463" s="3" t="str">
        <f>IFERROR(__xludf.DUMMYFUNCTION("""COMPUTED_VALUE"""),"106/8 ม.6 ตำบลพรุพี อ.บ้านนาสาร จ.สุราษฎร์ธานี")</f>
        <v>106/8 ม.6 ตำบลพรุพี อ.บ้านนาสาร จ.สุราษฎร์ธานี</v>
      </c>
      <c r="Y2463" s="3"/>
      <c r="Z2463" s="3">
        <f>IFERROR(__xludf.DUMMYFUNCTION("""COMPUTED_VALUE"""),0.0)</f>
        <v>0</v>
      </c>
      <c r="AA2463" s="3">
        <f>IFERROR(__xludf.DUMMYFUNCTION("""COMPUTED_VALUE"""),0.0)</f>
        <v>0</v>
      </c>
      <c r="AB2463" s="3" t="str">
        <f>IFERROR(__xludf.DUMMYFUNCTION("""COMPUTED_VALUE"""),"สุราษฎร์ธานี")</f>
        <v>สุราษฎร์ธานี</v>
      </c>
      <c r="AC2463" s="3">
        <f>IFERROR(__xludf.DUMMYFUNCTION("""COMPUTED_VALUE"""),0.0)</f>
        <v>0</v>
      </c>
      <c r="AD2463" s="3"/>
      <c r="AE2463" s="3"/>
      <c r="AF2463" s="3" t="str">
        <f>IFERROR(__xludf.DUMMYFUNCTION("""COMPUTED_VALUE"""),"ร้านน้องโบว์ (ร้านสถาพรมินิมาร์ท)-83175")</f>
        <v>ร้านน้องโบว์ (ร้านสถาพรมินิมาร์ท)-83175</v>
      </c>
      <c r="AG2463" s="3" t="str">
        <f>IFERROR(__xludf.DUMMYFUNCTION("""COMPUTED_VALUE"""),"ใต้")</f>
        <v>ใต้</v>
      </c>
      <c r="AH2463" s="3" t="str">
        <f>IFERROR(__xludf.DUMMYFUNCTION("""COMPUTED_VALUE"""),"#N/A")</f>
        <v>#N/A</v>
      </c>
      <c r="AI2463" s="3" t="str">
        <f>IFERROR(__xludf.DUMMYFUNCTION("""COMPUTED_VALUE"""),"Out of warranty")</f>
        <v>Out of warranty</v>
      </c>
      <c r="AJ2463" s="3">
        <f>IFERROR(__xludf.DUMMYFUNCTION("""COMPUTED_VALUE"""),44.0)</f>
        <v>44</v>
      </c>
      <c r="AK2463" s="3"/>
      <c r="AL2463" s="3"/>
    </row>
    <row r="2464" ht="15.75" customHeight="1">
      <c r="A2464" s="1" t="str">
        <f>IFERROR(__xludf.DUMMYFUNCTION("""COMPUTED_VALUE"""),"83176")</f>
        <v>83176</v>
      </c>
      <c r="B2464" s="2">
        <f>IFERROR(__xludf.DUMMYFUNCTION("""COMPUTED_VALUE"""),83176.0)</f>
        <v>83176</v>
      </c>
      <c r="C2464" s="3" t="str">
        <f>IFERROR(__xludf.DUMMYFUNCTION("""COMPUTED_VALUE"""),"ร้านเป๋าตุงถุงตังค์")</f>
        <v>ร้านเป๋าตุงถุงตังค์</v>
      </c>
      <c r="D2464" s="3" t="str">
        <f>IFERROR(__xludf.DUMMYFUNCTION("""COMPUTED_VALUE"""),"ร้านเป๋าตุงถุงตังค์")</f>
        <v>ร้านเป๋าตุงถุงตังค์</v>
      </c>
      <c r="E2464" s="1" t="str">
        <f>IFERROR(__xludf.DUMMYFUNCTION("""COMPUTED_VALUE"""),"Donjai")</f>
        <v>Donjai</v>
      </c>
      <c r="F2464" s="1" t="str">
        <f>IFERROR(__xludf.DUMMYFUNCTION("""COMPUTED_VALUE"""),"2010016")</f>
        <v>2010016</v>
      </c>
      <c r="G2464" s="1" t="str">
        <f>IFERROR(__xludf.DUMMYFUNCTION("""COMPUTED_VALUE"""),"นายตวงธรรม ใหม่ยศ")</f>
        <v>นายตวงธรรม ใหม่ยศ</v>
      </c>
      <c r="H2464" s="1" t="str">
        <f>IFERROR(__xludf.DUMMYFUNCTION("""COMPUTED_VALUE"""),"2010016")</f>
        <v>2010016</v>
      </c>
      <c r="I2464" s="1" t="str">
        <f>IFERROR(__xludf.DUMMYFUNCTION("""COMPUTED_VALUE"""),"นายตวงธรรม ใหม่ยศ")</f>
        <v>นายตวงธรรม ใหม่ยศ</v>
      </c>
      <c r="J2464" s="3">
        <f>IFERROR(__xludf.DUMMYFUNCTION("""COMPUTED_VALUE"""),295886.0)</f>
        <v>295886</v>
      </c>
      <c r="K2464" s="3" t="str">
        <f>IFERROR(__xludf.DUMMYFUNCTION("""COMPUTED_VALUE"""),"นายจิระพงษ์ โพธิ์นิล")</f>
        <v>นายจิระพงษ์ โพธิ์นิล</v>
      </c>
      <c r="L2464" s="1" t="str">
        <f>IFERROR(__xludf.DUMMYFUNCTION("""COMPUTED_VALUE"""),"นายจิระพงษ์ โพธิ์นิล")</f>
        <v>นายจิระพงษ์ โพธิ์นิล</v>
      </c>
      <c r="M2464" s="1" t="str">
        <f>IFERROR(__xludf.DUMMYFUNCTION("""COMPUTED_VALUE"""),"0933290754")</f>
        <v>0933290754</v>
      </c>
      <c r="N2464" s="3">
        <f>IFERROR(__xludf.DUMMYFUNCTION("""COMPUTED_VALUE"""),83176.0)</f>
        <v>83176</v>
      </c>
      <c r="O2464" s="3" t="str">
        <f>IFERROR(__xludf.DUMMYFUNCTION("""COMPUTED_VALUE"""),"ร้านเป๋าตุงถุงตังค์")</f>
        <v>ร้านเป๋าตุงถุงตังค์</v>
      </c>
      <c r="P2464" s="4">
        <f>IFERROR(__xludf.DUMMYFUNCTION("""COMPUTED_VALUE"""),44548.0)</f>
        <v>44548</v>
      </c>
      <c r="Q2464" s="3" t="str">
        <f>IFERROR(__xludf.DUMMYFUNCTION("""COMPUTED_VALUE"""),"I")</f>
        <v>I</v>
      </c>
      <c r="R2464" s="3" t="str">
        <f>IFERROR(__xludf.DUMMYFUNCTION("""COMPUTED_VALUE"""),"Small Format")</f>
        <v>Small Format</v>
      </c>
      <c r="S2464" s="3" t="str">
        <f>IFERROR(__xludf.DUMMYFUNCTION("""COMPUTED_VALUE"""),"Donjai")</f>
        <v>Donjai</v>
      </c>
      <c r="T2464" s="3" t="str">
        <f>IFERROR(__xludf.DUMMYFUNCTION("""COMPUTED_VALUE"""),"01 K.Tuangtham M.")</f>
        <v>01 K.Tuangtham M.</v>
      </c>
      <c r="U2464" s="3" t="str">
        <f>IFERROR(__xludf.DUMMYFUNCTION("""COMPUTED_VALUE"""),"01 K.Tuangtham M.")</f>
        <v>01 K.Tuangtham M.</v>
      </c>
      <c r="V2464" s="3" t="str">
        <f>IFERROR(__xludf.DUMMYFUNCTION("""COMPUTED_VALUE"""),"N")</f>
        <v>N</v>
      </c>
      <c r="W2464" s="3"/>
      <c r="X2464" s="3" t="str">
        <f>IFERROR(__xludf.DUMMYFUNCTION("""COMPUTED_VALUE"""),"64/1 ม.6 ต.เมืองเก่า อ.เมือง จ.สุโขทัย 64210")</f>
        <v>64/1 ม.6 ต.เมืองเก่า อ.เมือง จ.สุโขทัย 64210</v>
      </c>
      <c r="Y2464" s="3"/>
      <c r="Z2464" s="3">
        <f>IFERROR(__xludf.DUMMYFUNCTION("""COMPUTED_VALUE"""),0.0)</f>
        <v>0</v>
      </c>
      <c r="AA2464" s="3">
        <f>IFERROR(__xludf.DUMMYFUNCTION("""COMPUTED_VALUE"""),0.0)</f>
        <v>0</v>
      </c>
      <c r="AB2464" s="3" t="str">
        <f>IFERROR(__xludf.DUMMYFUNCTION("""COMPUTED_VALUE"""),"สุโขทัย")</f>
        <v>สุโขทัย</v>
      </c>
      <c r="AC2464" s="3">
        <f>IFERROR(__xludf.DUMMYFUNCTION("""COMPUTED_VALUE"""),64210.0)</f>
        <v>64210</v>
      </c>
      <c r="AD2464" s="3"/>
      <c r="AE2464" s="3"/>
      <c r="AF2464" s="3" t="str">
        <f>IFERROR(__xludf.DUMMYFUNCTION("""COMPUTED_VALUE"""),"ร้านเป๋าตุงถุงตังค์-83176")</f>
        <v>ร้านเป๋าตุงถุงตังค์-83176</v>
      </c>
      <c r="AG2464" s="3" t="str">
        <f>IFERROR(__xludf.DUMMYFUNCTION("""COMPUTED_VALUE"""),"กลาง")</f>
        <v>กลาง</v>
      </c>
      <c r="AH2464" s="3" t="str">
        <f>IFERROR(__xludf.DUMMYFUNCTION("""COMPUTED_VALUE"""),"#N/A")</f>
        <v>#N/A</v>
      </c>
      <c r="AI2464" s="3" t="str">
        <f>IFERROR(__xludf.DUMMYFUNCTION("""COMPUTED_VALUE"""),"Out of warranty")</f>
        <v>Out of warranty</v>
      </c>
      <c r="AJ2464" s="3">
        <f>IFERROR(__xludf.DUMMYFUNCTION("""COMPUTED_VALUE"""),50.0)</f>
        <v>50</v>
      </c>
      <c r="AK2464" s="3"/>
      <c r="AL2464" s="3"/>
    </row>
    <row r="2465" ht="15.75" customHeight="1">
      <c r="A2465" s="1" t="str">
        <f>IFERROR(__xludf.DUMMYFUNCTION("""COMPUTED_VALUE"""),"83180")</f>
        <v>83180</v>
      </c>
      <c r="B2465" s="2">
        <f>IFERROR(__xludf.DUMMYFUNCTION("""COMPUTED_VALUE"""),83180.0)</f>
        <v>83180</v>
      </c>
      <c r="C2465" s="3" t="str">
        <f>IFERROR(__xludf.DUMMYFUNCTION("""COMPUTED_VALUE"""),"ร้าน ส.ตาหยวก ๙๒๒๙ (ปุ๊ บ้านตาหยวก)")</f>
        <v>ร้าน ส.ตาหยวก ๙๒๒๙ (ปุ๊ บ้านตาหยวก)</v>
      </c>
      <c r="D2465" s="3" t="str">
        <f>IFERROR(__xludf.DUMMYFUNCTION("""COMPUTED_VALUE"""),"ร้าน ส.ตาหยวก ๙๒๒๙ (ปุ๊ บ้านตาหยวก)")</f>
        <v>ร้าน ส.ตาหยวก ๙๒๒๙ (ปุ๊ บ้านตาหยวก)</v>
      </c>
      <c r="E2465" s="1" t="str">
        <f>IFERROR(__xludf.DUMMYFUNCTION("""COMPUTED_VALUE"""),"Donjai")</f>
        <v>Donjai</v>
      </c>
      <c r="F2465" s="1" t="str">
        <f>IFERROR(__xludf.DUMMYFUNCTION("""COMPUTED_VALUE"""),"015361")</f>
        <v>015361</v>
      </c>
      <c r="G2465" s="1" t="str">
        <f>IFERROR(__xludf.DUMMYFUNCTION("""COMPUTED_VALUE"""),"นายสมบูรณ์ พรหมในเมือง")</f>
        <v>นายสมบูรณ์ พรหมในเมือง</v>
      </c>
      <c r="H2465" s="1" t="str">
        <f>IFERROR(__xludf.DUMMYFUNCTION("""COMPUTED_VALUE"""),"015361")</f>
        <v>015361</v>
      </c>
      <c r="I2465" s="1" t="str">
        <f>IFERROR(__xludf.DUMMYFUNCTION("""COMPUTED_VALUE"""),"นายสมบูรณ์ พรหมในเมือง")</f>
        <v>นายสมบูรณ์ พรหมในเมือง</v>
      </c>
      <c r="J2465" s="3">
        <f>IFERROR(__xludf.DUMMYFUNCTION("""COMPUTED_VALUE"""),295886.0)</f>
        <v>295886</v>
      </c>
      <c r="K2465" s="3" t="str">
        <f>IFERROR(__xludf.DUMMYFUNCTION("""COMPUTED_VALUE"""),"นายจิระพงษ์ โพธิ์นิล")</f>
        <v>นายจิระพงษ์ โพธิ์นิล</v>
      </c>
      <c r="L2465" s="1" t="str">
        <f>IFERROR(__xludf.DUMMYFUNCTION("""COMPUTED_VALUE"""),"นายจิระพงษ์ โพธิ์นิล")</f>
        <v>นายจิระพงษ์ โพธิ์นิล</v>
      </c>
      <c r="M2465" s="1" t="str">
        <f>IFERROR(__xludf.DUMMYFUNCTION("""COMPUTED_VALUE"""),"0933290754")</f>
        <v>0933290754</v>
      </c>
      <c r="N2465" s="3">
        <f>IFERROR(__xludf.DUMMYFUNCTION("""COMPUTED_VALUE"""),83180.0)</f>
        <v>83180</v>
      </c>
      <c r="O2465" s="3" t="str">
        <f>IFERROR(__xludf.DUMMYFUNCTION("""COMPUTED_VALUE"""),"ร้าน ส.ตาหยวก ๙๒๒๙ (ปุ๊ บ้านตาหยวก)")</f>
        <v>ร้าน ส.ตาหยวก ๙๒๒๙ (ปุ๊ บ้านตาหยวก)</v>
      </c>
      <c r="P2465" s="4">
        <f>IFERROR(__xludf.DUMMYFUNCTION("""COMPUTED_VALUE"""),44598.0)</f>
        <v>44598</v>
      </c>
      <c r="Q2465" s="3" t="str">
        <f>IFERROR(__xludf.DUMMYFUNCTION("""COMPUTED_VALUE"""),"A")</f>
        <v>A</v>
      </c>
      <c r="R2465" s="3" t="str">
        <f>IFERROR(__xludf.DUMMYFUNCTION("""COMPUTED_VALUE"""),"Small Format")</f>
        <v>Small Format</v>
      </c>
      <c r="S2465" s="3" t="str">
        <f>IFERROR(__xludf.DUMMYFUNCTION("""COMPUTED_VALUE"""),"Donjai")</f>
        <v>Donjai</v>
      </c>
      <c r="T2465" s="3" t="str">
        <f>IFERROR(__xludf.DUMMYFUNCTION("""COMPUTED_VALUE"""),"04 K.Somboon P.")</f>
        <v>04 K.Somboon P.</v>
      </c>
      <c r="U2465" s="3" t="str">
        <f>IFERROR(__xludf.DUMMYFUNCTION("""COMPUTED_VALUE"""),"04 K.Somboon P.")</f>
        <v>04 K.Somboon P.</v>
      </c>
      <c r="V2465" s="3" t="str">
        <f>IFERROR(__xludf.DUMMYFUNCTION("""COMPUTED_VALUE"""),"N")</f>
        <v>N</v>
      </c>
      <c r="W2465" s="3"/>
      <c r="X2465" s="3"/>
      <c r="Y2465" s="3"/>
      <c r="Z2465" s="3">
        <f>IFERROR(__xludf.DUMMYFUNCTION("""COMPUTED_VALUE"""),0.0)</f>
        <v>0</v>
      </c>
      <c r="AA2465" s="3">
        <f>IFERROR(__xludf.DUMMYFUNCTION("""COMPUTED_VALUE"""),0.0)</f>
        <v>0</v>
      </c>
      <c r="AB2465" s="3">
        <f>IFERROR(__xludf.DUMMYFUNCTION("""COMPUTED_VALUE"""),0.0)</f>
        <v>0</v>
      </c>
      <c r="AC2465" s="3">
        <f>IFERROR(__xludf.DUMMYFUNCTION("""COMPUTED_VALUE"""),0.0)</f>
        <v>0</v>
      </c>
      <c r="AD2465" s="3"/>
      <c r="AE2465" s="3"/>
      <c r="AF2465" s="3" t="str">
        <f>IFERROR(__xludf.DUMMYFUNCTION("""COMPUTED_VALUE"""),"ร้าน ส.ตาหยวก ๙๒๒๙ (ปุ๊ บ้านตาหยวก)-83180")</f>
        <v>ร้าน ส.ตาหยวก ๙๒๒๙ (ปุ๊ บ้านตาหยวก)-83180</v>
      </c>
      <c r="AG2465" s="3" t="str">
        <f>IFERROR(__xludf.DUMMYFUNCTION("""COMPUTED_VALUE"""),"#N/A")</f>
        <v>#N/A</v>
      </c>
      <c r="AH2465" s="3" t="str">
        <f>IFERROR(__xludf.DUMMYFUNCTION("""COMPUTED_VALUE"""),"#N/A")</f>
        <v>#N/A</v>
      </c>
      <c r="AI2465" s="3" t="str">
        <f>IFERROR(__xludf.DUMMYFUNCTION("""COMPUTED_VALUE"""),"Out of warranty")</f>
        <v>Out of warranty</v>
      </c>
      <c r="AJ2465" s="3">
        <f>IFERROR(__xludf.DUMMYFUNCTION("""COMPUTED_VALUE"""),48.0)</f>
        <v>48</v>
      </c>
      <c r="AK2465" s="3"/>
      <c r="AL2465" s="3"/>
    </row>
    <row r="2466" ht="15.75" customHeight="1">
      <c r="A2466" s="1" t="str">
        <f>IFERROR(__xludf.DUMMYFUNCTION("""COMPUTED_VALUE"""),"83181")</f>
        <v>83181</v>
      </c>
      <c r="B2466" s="2">
        <f>IFERROR(__xludf.DUMMYFUNCTION("""COMPUTED_VALUE"""),83181.0)</f>
        <v>83181</v>
      </c>
      <c r="C2466" s="3" t="str">
        <f>IFERROR(__xludf.DUMMYFUNCTION("""COMPUTED_VALUE"""),"ร้านแพท&amp;ยิ้มใส มินิมาร์ท")</f>
        <v>ร้านแพท&amp;ยิ้มใส มินิมาร์ท</v>
      </c>
      <c r="D2466" s="3" t="str">
        <f>IFERROR(__xludf.DUMMYFUNCTION("""COMPUTED_VALUE"""),"ร้านแพท&amp;ยิ้มใส มินิมาร์ท")</f>
        <v>ร้านแพท&amp;ยิ้มใส มินิมาร์ท</v>
      </c>
      <c r="E2466" s="1" t="str">
        <f>IFERROR(__xludf.DUMMYFUNCTION("""COMPUTED_VALUE"""),"Donjai")</f>
        <v>Donjai</v>
      </c>
      <c r="F2466" s="1" t="str">
        <f>IFERROR(__xludf.DUMMYFUNCTION("""COMPUTED_VALUE"""),"015361")</f>
        <v>015361</v>
      </c>
      <c r="G2466" s="1" t="str">
        <f>IFERROR(__xludf.DUMMYFUNCTION("""COMPUTED_VALUE"""),"นายสมบูรณ์ พรหมในเมือง")</f>
        <v>นายสมบูรณ์ พรหมในเมือง</v>
      </c>
      <c r="H2466" s="1" t="str">
        <f>IFERROR(__xludf.DUMMYFUNCTION("""COMPUTED_VALUE"""),"015361")</f>
        <v>015361</v>
      </c>
      <c r="I2466" s="1" t="str">
        <f>IFERROR(__xludf.DUMMYFUNCTION("""COMPUTED_VALUE"""),"นายสมบูรณ์ พรหมในเมือง")</f>
        <v>นายสมบูรณ์ พรหมในเมือง</v>
      </c>
      <c r="J2466" s="3">
        <f>IFERROR(__xludf.DUMMYFUNCTION("""COMPUTED_VALUE"""),295886.0)</f>
        <v>295886</v>
      </c>
      <c r="K2466" s="3" t="str">
        <f>IFERROR(__xludf.DUMMYFUNCTION("""COMPUTED_VALUE"""),"นายจิระพงษ์ โพธิ์นิล")</f>
        <v>นายจิระพงษ์ โพธิ์นิล</v>
      </c>
      <c r="L2466" s="1" t="str">
        <f>IFERROR(__xludf.DUMMYFUNCTION("""COMPUTED_VALUE"""),"นายจิระพงษ์ โพธิ์นิล")</f>
        <v>นายจิระพงษ์ โพธิ์นิล</v>
      </c>
      <c r="M2466" s="1" t="str">
        <f>IFERROR(__xludf.DUMMYFUNCTION("""COMPUTED_VALUE"""),"0933290754")</f>
        <v>0933290754</v>
      </c>
      <c r="N2466" s="3">
        <f>IFERROR(__xludf.DUMMYFUNCTION("""COMPUTED_VALUE"""),83181.0)</f>
        <v>83181</v>
      </c>
      <c r="O2466" s="3" t="str">
        <f>IFERROR(__xludf.DUMMYFUNCTION("""COMPUTED_VALUE"""),"ร้านแพท&amp;ยิ้มใส มินิมาร์ท")</f>
        <v>ร้านแพท&amp;ยิ้มใส มินิมาร์ท</v>
      </c>
      <c r="P2466" s="4">
        <f>IFERROR(__xludf.DUMMYFUNCTION("""COMPUTED_VALUE"""),44614.0)</f>
        <v>44614</v>
      </c>
      <c r="Q2466" s="3" t="str">
        <f>IFERROR(__xludf.DUMMYFUNCTION("""COMPUTED_VALUE"""),"I")</f>
        <v>I</v>
      </c>
      <c r="R2466" s="3" t="str">
        <f>IFERROR(__xludf.DUMMYFUNCTION("""COMPUTED_VALUE"""),"Small Format")</f>
        <v>Small Format</v>
      </c>
      <c r="S2466" s="3" t="str">
        <f>IFERROR(__xludf.DUMMYFUNCTION("""COMPUTED_VALUE"""),"Donjai")</f>
        <v>Donjai</v>
      </c>
      <c r="T2466" s="3" t="str">
        <f>IFERROR(__xludf.DUMMYFUNCTION("""COMPUTED_VALUE"""),"04 K.Somboon P.")</f>
        <v>04 K.Somboon P.</v>
      </c>
      <c r="U2466" s="3" t="str">
        <f>IFERROR(__xludf.DUMMYFUNCTION("""COMPUTED_VALUE"""),"04 K.Somboon P.")</f>
        <v>04 K.Somboon P.</v>
      </c>
      <c r="V2466" s="3" t="str">
        <f>IFERROR(__xludf.DUMMYFUNCTION("""COMPUTED_VALUE"""),"N")</f>
        <v>N</v>
      </c>
      <c r="W2466" s="3"/>
      <c r="X2466" s="3" t="str">
        <f>IFERROR(__xludf.DUMMYFUNCTION("""COMPUTED_VALUE"""),"39 หมู่9 ต.ห้วยฝ้ายพัฒนา อ.ตระการพืชผล จ.อุบลฯ")</f>
        <v>39 หมู่9 ต.ห้วยฝ้ายพัฒนา อ.ตระการพืชผล จ.อุบลฯ</v>
      </c>
      <c r="Y2466" s="3"/>
      <c r="Z2466" s="3" t="str">
        <f>IFERROR(__xludf.DUMMYFUNCTION("""COMPUTED_VALUE"""),"ห้วยฝ้ายพัฒนา")</f>
        <v>ห้วยฝ้ายพัฒนา</v>
      </c>
      <c r="AA2466" s="3" t="str">
        <f>IFERROR(__xludf.DUMMYFUNCTION("""COMPUTED_VALUE"""),"ตระการพืชผล")</f>
        <v>ตระการพืชผล</v>
      </c>
      <c r="AB2466" s="3" t="str">
        <f>IFERROR(__xludf.DUMMYFUNCTION("""COMPUTED_VALUE"""),"อุบลราชธานี")</f>
        <v>อุบลราชธานี</v>
      </c>
      <c r="AC2466" s="3"/>
      <c r="AD2466" s="3"/>
      <c r="AE2466" s="3"/>
      <c r="AF2466" s="3" t="str">
        <f>IFERROR(__xludf.DUMMYFUNCTION("""COMPUTED_VALUE"""),"ร้านแพท&amp;ยิ้มใส มินิมาร์ท-83181")</f>
        <v>ร้านแพท&amp;ยิ้มใส มินิมาร์ท-83181</v>
      </c>
      <c r="AG2466" s="3" t="str">
        <f>IFERROR(__xludf.DUMMYFUNCTION("""COMPUTED_VALUE"""),"ตะวันออกเฉียงเหนือ")</f>
        <v>ตะวันออกเฉียงเหนือ</v>
      </c>
      <c r="AH2466" s="3" t="str">
        <f>IFERROR(__xludf.DUMMYFUNCTION("""COMPUTED_VALUE"""),"#N/A")</f>
        <v>#N/A</v>
      </c>
      <c r="AI2466" s="3" t="str">
        <f>IFERROR(__xludf.DUMMYFUNCTION("""COMPUTED_VALUE"""),"Out of warranty")</f>
        <v>Out of warranty</v>
      </c>
      <c r="AJ2466" s="3">
        <f>IFERROR(__xludf.DUMMYFUNCTION("""COMPUTED_VALUE"""),47.0)</f>
        <v>47</v>
      </c>
      <c r="AK2466" s="3"/>
      <c r="AL2466" s="3"/>
    </row>
    <row r="2467" ht="15.75" customHeight="1">
      <c r="A2467" s="1" t="str">
        <f>IFERROR(__xludf.DUMMYFUNCTION("""COMPUTED_VALUE"""),"83184")</f>
        <v>83184</v>
      </c>
      <c r="B2467" s="2">
        <f>IFERROR(__xludf.DUMMYFUNCTION("""COMPUTED_VALUE"""),83184.0)</f>
        <v>83184</v>
      </c>
      <c r="C2467" s="3" t="str">
        <f>IFERROR(__xludf.DUMMYFUNCTION("""COMPUTED_VALUE"""),"ร้านมีนแอนด์มีส")</f>
        <v>ร้านมีนแอนด์มีส</v>
      </c>
      <c r="D2467" s="3" t="str">
        <f>IFERROR(__xludf.DUMMYFUNCTION("""COMPUTED_VALUE"""),"ร้านมีนแอนด์มีส")</f>
        <v>ร้านมีนแอนด์มีส</v>
      </c>
      <c r="E2467" s="1" t="str">
        <f>IFERROR(__xludf.DUMMYFUNCTION("""COMPUTED_VALUE"""),"Donjai")</f>
        <v>Donjai</v>
      </c>
      <c r="F2467" s="1" t="str">
        <f>IFERROR(__xludf.DUMMYFUNCTION("""COMPUTED_VALUE"""),"2010023")</f>
        <v>2010023</v>
      </c>
      <c r="G2467" s="1" t="str">
        <f>IFERROR(__xludf.DUMMYFUNCTION("""COMPUTED_VALUE"""),"นายวศิน ไวยรูป")</f>
        <v>นายวศิน ไวยรูป</v>
      </c>
      <c r="H2467" s="1" t="str">
        <f>IFERROR(__xludf.DUMMYFUNCTION("""COMPUTED_VALUE"""),"2010023")</f>
        <v>2010023</v>
      </c>
      <c r="I2467" s="1" t="str">
        <f>IFERROR(__xludf.DUMMYFUNCTION("""COMPUTED_VALUE"""),"นายวศิน ไวยรูป")</f>
        <v>นายวศิน ไวยรูป</v>
      </c>
      <c r="J2467" s="3">
        <f>IFERROR(__xludf.DUMMYFUNCTION("""COMPUTED_VALUE"""),228031.0)</f>
        <v>228031</v>
      </c>
      <c r="K2467" s="3" t="str">
        <f>IFERROR(__xludf.DUMMYFUNCTION("""COMPUTED_VALUE"""),"นายธนพงษ์ วันหมัด")</f>
        <v>นายธนพงษ์ วันหมัด</v>
      </c>
      <c r="L2467" s="1" t="str">
        <f>IFERROR(__xludf.DUMMYFUNCTION("""COMPUTED_VALUE"""),"นายธนพงษ์ วันหมัด")</f>
        <v>นายธนพงษ์ วันหมัด</v>
      </c>
      <c r="M2467" s="1" t="str">
        <f>IFERROR(__xludf.DUMMYFUNCTION("""COMPUTED_VALUE"""),"0813716913")</f>
        <v>0813716913</v>
      </c>
      <c r="N2467" s="3">
        <f>IFERROR(__xludf.DUMMYFUNCTION("""COMPUTED_VALUE"""),83184.0)</f>
        <v>83184</v>
      </c>
      <c r="O2467" s="3" t="str">
        <f>IFERROR(__xludf.DUMMYFUNCTION("""COMPUTED_VALUE"""),"ร้านมีนแอนด์มีส")</f>
        <v>ร้านมีนแอนด์มีส</v>
      </c>
      <c r="P2467" s="4">
        <f>IFERROR(__xludf.DUMMYFUNCTION("""COMPUTED_VALUE"""),44555.0)</f>
        <v>44555</v>
      </c>
      <c r="Q2467" s="3" t="str">
        <f>IFERROR(__xludf.DUMMYFUNCTION("""COMPUTED_VALUE"""),"I")</f>
        <v>I</v>
      </c>
      <c r="R2467" s="3" t="str">
        <f>IFERROR(__xludf.DUMMYFUNCTION("""COMPUTED_VALUE"""),"Small Format")</f>
        <v>Small Format</v>
      </c>
      <c r="S2467" s="3" t="str">
        <f>IFERROR(__xludf.DUMMYFUNCTION("""COMPUTED_VALUE"""),"Donjai")</f>
        <v>Donjai</v>
      </c>
      <c r="T2467" s="3" t="str">
        <f>IFERROR(__xludf.DUMMYFUNCTION("""COMPUTED_VALUE"""),"Donjai")</f>
        <v>Donjai</v>
      </c>
      <c r="U2467" s="3" t="str">
        <f>IFERROR(__xludf.DUMMYFUNCTION("""COMPUTED_VALUE"""),"Donjai")</f>
        <v>Donjai</v>
      </c>
      <c r="V2467" s="3" t="str">
        <f>IFERROR(__xludf.DUMMYFUNCTION("""COMPUTED_VALUE"""),"N")</f>
        <v>N</v>
      </c>
      <c r="W2467" s="3"/>
      <c r="X2467" s="3" t="str">
        <f>IFERROR(__xludf.DUMMYFUNCTION("""COMPUTED_VALUE"""),"16 หมู่บ้านประชานิเวศน์ 3 ซอย 8 ถนนสามัคคี ตำบลท่าทราย อำเภอเมือง จังหวัดนนทบุรี 11000")</f>
        <v>16 หมู่บ้านประชานิเวศน์ 3 ซอย 8 ถนนสามัคคี ตำบลท่าทราย อำเภอเมือง จังหวัดนนทบุรี 11000</v>
      </c>
      <c r="Y2467" s="3"/>
      <c r="Z2467" s="3">
        <f>IFERROR(__xludf.DUMMYFUNCTION("""COMPUTED_VALUE"""),0.0)</f>
        <v>0</v>
      </c>
      <c r="AA2467" s="3">
        <f>IFERROR(__xludf.DUMMYFUNCTION("""COMPUTED_VALUE"""),0.0)</f>
        <v>0</v>
      </c>
      <c r="AB2467" s="3" t="str">
        <f>IFERROR(__xludf.DUMMYFUNCTION("""COMPUTED_VALUE"""),"นนทบุรี")</f>
        <v>นนทบุรี</v>
      </c>
      <c r="AC2467" s="3">
        <f>IFERROR(__xludf.DUMMYFUNCTION("""COMPUTED_VALUE"""),11000.0)</f>
        <v>11000</v>
      </c>
      <c r="AD2467" s="3"/>
      <c r="AE2467" s="3"/>
      <c r="AF2467" s="3" t="str">
        <f>IFERROR(__xludf.DUMMYFUNCTION("""COMPUTED_VALUE"""),"ร้านมีนแอนด์มีส-83184")</f>
        <v>ร้านมีนแอนด์มีส-83184</v>
      </c>
      <c r="AG2467" s="3" t="str">
        <f>IFERROR(__xludf.DUMMYFUNCTION("""COMPUTED_VALUE"""),"กลาง")</f>
        <v>กลาง</v>
      </c>
      <c r="AH2467" s="3" t="str">
        <f>IFERROR(__xludf.DUMMYFUNCTION("""COMPUTED_VALUE"""),"#N/A")</f>
        <v>#N/A</v>
      </c>
      <c r="AI2467" s="3" t="str">
        <f>IFERROR(__xludf.DUMMYFUNCTION("""COMPUTED_VALUE"""),"Out of warranty")</f>
        <v>Out of warranty</v>
      </c>
      <c r="AJ2467" s="3">
        <f>IFERROR(__xludf.DUMMYFUNCTION("""COMPUTED_VALUE"""),49.0)</f>
        <v>49</v>
      </c>
      <c r="AK2467" s="3"/>
      <c r="AL2467" s="3"/>
    </row>
    <row r="2468" ht="15.75" customHeight="1">
      <c r="A2468" s="1" t="str">
        <f>IFERROR(__xludf.DUMMYFUNCTION("""COMPUTED_VALUE"""),"83191")</f>
        <v>83191</v>
      </c>
      <c r="B2468" s="2">
        <f>IFERROR(__xludf.DUMMYFUNCTION("""COMPUTED_VALUE"""),83191.0)</f>
        <v>83191</v>
      </c>
      <c r="C2468" s="3" t="str">
        <f>IFERROR(__xludf.DUMMYFUNCTION("""COMPUTED_VALUE"""),"ร้านณัฐฏ์เอก ค้าข้าว")</f>
        <v>ร้านณัฐฏ์เอก ค้าข้าว</v>
      </c>
      <c r="D2468" s="3" t="str">
        <f>IFERROR(__xludf.DUMMYFUNCTION("""COMPUTED_VALUE"""),"ร้านณัฐฏ์เอก ค้าข้าว")</f>
        <v>ร้านณัฐฏ์เอก ค้าข้าว</v>
      </c>
      <c r="E2468" s="1" t="str">
        <f>IFERROR(__xludf.DUMMYFUNCTION("""COMPUTED_VALUE"""),"Donjai")</f>
        <v>Donjai</v>
      </c>
      <c r="F2468" s="1" t="str">
        <f>IFERROR(__xludf.DUMMYFUNCTION("""COMPUTED_VALUE"""),"2010016")</f>
        <v>2010016</v>
      </c>
      <c r="G2468" s="1" t="str">
        <f>IFERROR(__xludf.DUMMYFUNCTION("""COMPUTED_VALUE"""),"นายตวงธรรม ใหม่ยศ")</f>
        <v>นายตวงธรรม ใหม่ยศ</v>
      </c>
      <c r="H2468" s="1" t="str">
        <f>IFERROR(__xludf.DUMMYFUNCTION("""COMPUTED_VALUE"""),"2010016")</f>
        <v>2010016</v>
      </c>
      <c r="I2468" s="1" t="str">
        <f>IFERROR(__xludf.DUMMYFUNCTION("""COMPUTED_VALUE"""),"นายตวงธรรม ใหม่ยศ")</f>
        <v>นายตวงธรรม ใหม่ยศ</v>
      </c>
      <c r="J2468" s="3">
        <f>IFERROR(__xludf.DUMMYFUNCTION("""COMPUTED_VALUE"""),295886.0)</f>
        <v>295886</v>
      </c>
      <c r="K2468" s="3" t="str">
        <f>IFERROR(__xludf.DUMMYFUNCTION("""COMPUTED_VALUE"""),"นายจิระพงษ์ โพธิ์นิล")</f>
        <v>นายจิระพงษ์ โพธิ์นิล</v>
      </c>
      <c r="L2468" s="1" t="str">
        <f>IFERROR(__xludf.DUMMYFUNCTION("""COMPUTED_VALUE"""),"นายจิระพงษ์ โพธิ์นิล")</f>
        <v>นายจิระพงษ์ โพธิ์นิล</v>
      </c>
      <c r="M2468" s="1" t="str">
        <f>IFERROR(__xludf.DUMMYFUNCTION("""COMPUTED_VALUE"""),"0933290754")</f>
        <v>0933290754</v>
      </c>
      <c r="N2468" s="3">
        <f>IFERROR(__xludf.DUMMYFUNCTION("""COMPUTED_VALUE"""),83191.0)</f>
        <v>83191</v>
      </c>
      <c r="O2468" s="3" t="str">
        <f>IFERROR(__xludf.DUMMYFUNCTION("""COMPUTED_VALUE"""),"ร้านณัฐฏ์เอก ค้าข้าว")</f>
        <v>ร้านณัฐฏ์เอก ค้าข้าว</v>
      </c>
      <c r="P2468" s="4">
        <f>IFERROR(__xludf.DUMMYFUNCTION("""COMPUTED_VALUE"""),44557.0)</f>
        <v>44557</v>
      </c>
      <c r="Q2468" s="3" t="str">
        <f>IFERROR(__xludf.DUMMYFUNCTION("""COMPUTED_VALUE"""),"I")</f>
        <v>I</v>
      </c>
      <c r="R2468" s="3" t="str">
        <f>IFERROR(__xludf.DUMMYFUNCTION("""COMPUTED_VALUE"""),"Small Format")</f>
        <v>Small Format</v>
      </c>
      <c r="S2468" s="3" t="str">
        <f>IFERROR(__xludf.DUMMYFUNCTION("""COMPUTED_VALUE"""),"Donjai")</f>
        <v>Donjai</v>
      </c>
      <c r="T2468" s="3" t="str">
        <f>IFERROR(__xludf.DUMMYFUNCTION("""COMPUTED_VALUE"""),"01 K.Tuangtham M.")</f>
        <v>01 K.Tuangtham M.</v>
      </c>
      <c r="U2468" s="3" t="str">
        <f>IFERROR(__xludf.DUMMYFUNCTION("""COMPUTED_VALUE"""),"01 K.Tuangtham M.")</f>
        <v>01 K.Tuangtham M.</v>
      </c>
      <c r="V2468" s="3" t="str">
        <f>IFERROR(__xludf.DUMMYFUNCTION("""COMPUTED_VALUE"""),"N")</f>
        <v>N</v>
      </c>
      <c r="W2468" s="3"/>
      <c r="X2468" s="3" t="str">
        <f>IFERROR(__xludf.DUMMYFUNCTION("""COMPUTED_VALUE"""),"49 หมู่1 ต. บ้านแม อ.สันป่าตอง จ.เชียงใหม่")</f>
        <v>49 หมู่1 ต. บ้านแม อ.สันป่าตอง จ.เชียงใหม่</v>
      </c>
      <c r="Y2468" s="3"/>
      <c r="Z2468" s="3" t="str">
        <f>IFERROR(__xludf.DUMMYFUNCTION("""COMPUTED_VALUE"""),"บ้านแม")</f>
        <v>บ้านแม</v>
      </c>
      <c r="AA2468" s="3" t="str">
        <f>IFERROR(__xludf.DUMMYFUNCTION("""COMPUTED_VALUE"""),"สันป่าตอง")</f>
        <v>สันป่าตอง</v>
      </c>
      <c r="AB2468" s="3" t="str">
        <f>IFERROR(__xludf.DUMMYFUNCTION("""COMPUTED_VALUE"""),"เชียงใหม่")</f>
        <v>เชียงใหม่</v>
      </c>
      <c r="AC2468" s="3">
        <f>IFERROR(__xludf.DUMMYFUNCTION("""COMPUTED_VALUE"""),0.0)</f>
        <v>0</v>
      </c>
      <c r="AD2468" s="3"/>
      <c r="AE2468" s="3"/>
      <c r="AF2468" s="3" t="str">
        <f>IFERROR(__xludf.DUMMYFUNCTION("""COMPUTED_VALUE"""),"ร้านณัฐฏ์เอก ค้าข้าว-83191")</f>
        <v>ร้านณัฐฏ์เอก ค้าข้าว-83191</v>
      </c>
      <c r="AG2468" s="3" t="str">
        <f>IFERROR(__xludf.DUMMYFUNCTION("""COMPUTED_VALUE"""),"เหนือ")</f>
        <v>เหนือ</v>
      </c>
      <c r="AH2468" s="3" t="str">
        <f>IFERROR(__xludf.DUMMYFUNCTION("""COMPUTED_VALUE"""),"#N/A")</f>
        <v>#N/A</v>
      </c>
      <c r="AI2468" s="3" t="str">
        <f>IFERROR(__xludf.DUMMYFUNCTION("""COMPUTED_VALUE"""),"Out of warranty")</f>
        <v>Out of warranty</v>
      </c>
      <c r="AJ2468" s="3">
        <f>IFERROR(__xludf.DUMMYFUNCTION("""COMPUTED_VALUE"""),49.0)</f>
        <v>49</v>
      </c>
      <c r="AK2468" s="3"/>
      <c r="AL2468" s="3"/>
    </row>
    <row r="2469" ht="15.75" customHeight="1">
      <c r="A2469" s="1" t="str">
        <f>IFERROR(__xludf.DUMMYFUNCTION("""COMPUTED_VALUE"""),"83194")</f>
        <v>83194</v>
      </c>
      <c r="B2469" s="2">
        <f>IFERROR(__xludf.DUMMYFUNCTION("""COMPUTED_VALUE"""),83194.0)</f>
        <v>83194</v>
      </c>
      <c r="C2469" s="3" t="str">
        <f>IFERROR(__xludf.DUMMYFUNCTION("""COMPUTED_VALUE"""),"ร้านเจ๋งพลาสติก")</f>
        <v>ร้านเจ๋งพลาสติก</v>
      </c>
      <c r="D2469" s="3" t="str">
        <f>IFERROR(__xludf.DUMMYFUNCTION("""COMPUTED_VALUE"""),"ร้านเจ๋งพลาสติก")</f>
        <v>ร้านเจ๋งพลาสติก</v>
      </c>
      <c r="E2469" s="1" t="str">
        <f>IFERROR(__xludf.DUMMYFUNCTION("""COMPUTED_VALUE"""),"Donjai")</f>
        <v>Donjai</v>
      </c>
      <c r="F2469" s="1" t="str">
        <f>IFERROR(__xludf.DUMMYFUNCTION("""COMPUTED_VALUE"""),"2010023")</f>
        <v>2010023</v>
      </c>
      <c r="G2469" s="1" t="str">
        <f>IFERROR(__xludf.DUMMYFUNCTION("""COMPUTED_VALUE"""),"นายวศิน ไวยรูป")</f>
        <v>นายวศิน ไวยรูป</v>
      </c>
      <c r="H2469" s="1" t="str">
        <f>IFERROR(__xludf.DUMMYFUNCTION("""COMPUTED_VALUE"""),"2010023")</f>
        <v>2010023</v>
      </c>
      <c r="I2469" s="1" t="str">
        <f>IFERROR(__xludf.DUMMYFUNCTION("""COMPUTED_VALUE"""),"นายวศิน ไวยรูป")</f>
        <v>นายวศิน ไวยรูป</v>
      </c>
      <c r="J2469" s="3">
        <f>IFERROR(__xludf.DUMMYFUNCTION("""COMPUTED_VALUE"""),228031.0)</f>
        <v>228031</v>
      </c>
      <c r="K2469" s="3" t="str">
        <f>IFERROR(__xludf.DUMMYFUNCTION("""COMPUTED_VALUE"""),"นายธนพงษ์ วันหมัด")</f>
        <v>นายธนพงษ์ วันหมัด</v>
      </c>
      <c r="L2469" s="1" t="str">
        <f>IFERROR(__xludf.DUMMYFUNCTION("""COMPUTED_VALUE"""),"นายธนพงษ์ วันหมัด")</f>
        <v>นายธนพงษ์ วันหมัด</v>
      </c>
      <c r="M2469" s="1" t="str">
        <f>IFERROR(__xludf.DUMMYFUNCTION("""COMPUTED_VALUE"""),"0813716913")</f>
        <v>0813716913</v>
      </c>
      <c r="N2469" s="3">
        <f>IFERROR(__xludf.DUMMYFUNCTION("""COMPUTED_VALUE"""),83194.0)</f>
        <v>83194</v>
      </c>
      <c r="O2469" s="3" t="str">
        <f>IFERROR(__xludf.DUMMYFUNCTION("""COMPUTED_VALUE"""),"ร้านเจ๋งพลาสติก")</f>
        <v>ร้านเจ๋งพลาสติก</v>
      </c>
      <c r="P2469" s="4">
        <f>IFERROR(__xludf.DUMMYFUNCTION("""COMPUTED_VALUE"""),44551.0)</f>
        <v>44551</v>
      </c>
      <c r="Q2469" s="3" t="str">
        <f>IFERROR(__xludf.DUMMYFUNCTION("""COMPUTED_VALUE"""),"I")</f>
        <v>I</v>
      </c>
      <c r="R2469" s="3" t="str">
        <f>IFERROR(__xludf.DUMMYFUNCTION("""COMPUTED_VALUE"""),"Small Format")</f>
        <v>Small Format</v>
      </c>
      <c r="S2469" s="3" t="str">
        <f>IFERROR(__xludf.DUMMYFUNCTION("""COMPUTED_VALUE"""),"Donjai")</f>
        <v>Donjai</v>
      </c>
      <c r="T2469" s="3" t="str">
        <f>IFERROR(__xludf.DUMMYFUNCTION("""COMPUTED_VALUE"""),"Donjai")</f>
        <v>Donjai</v>
      </c>
      <c r="U2469" s="3" t="str">
        <f>IFERROR(__xludf.DUMMYFUNCTION("""COMPUTED_VALUE"""),"Donjai")</f>
        <v>Donjai</v>
      </c>
      <c r="V2469" s="3" t="str">
        <f>IFERROR(__xludf.DUMMYFUNCTION("""COMPUTED_VALUE"""),"N")</f>
        <v>N</v>
      </c>
      <c r="W2469" s="3"/>
      <c r="X2469" s="3" t="str">
        <f>IFERROR(__xludf.DUMMYFUNCTION("""COMPUTED_VALUE"""),"207 ซอยรามคำแหง 29 ถนนรามคำแหง แขวงหัวหมาก เขตบางกะปิ กรุงเทพฯ")</f>
        <v>207 ซอยรามคำแหง 29 ถนนรามคำแหง แขวงหัวหมาก เขตบางกะปิ กรุงเทพฯ</v>
      </c>
      <c r="Y2469" s="3"/>
      <c r="Z2469" s="3">
        <f>IFERROR(__xludf.DUMMYFUNCTION("""COMPUTED_VALUE"""),0.0)</f>
        <v>0</v>
      </c>
      <c r="AA2469" s="3">
        <f>IFERROR(__xludf.DUMMYFUNCTION("""COMPUTED_VALUE"""),0.0)</f>
        <v>0</v>
      </c>
      <c r="AB2469" s="3" t="str">
        <f>IFERROR(__xludf.DUMMYFUNCTION("""COMPUTED_VALUE"""),"กรุงเทพมหานคร")</f>
        <v>กรุงเทพมหานคร</v>
      </c>
      <c r="AC2469" s="3">
        <f>IFERROR(__xludf.DUMMYFUNCTION("""COMPUTED_VALUE"""),0.0)</f>
        <v>0</v>
      </c>
      <c r="AD2469" s="3"/>
      <c r="AE2469" s="3"/>
      <c r="AF2469" s="3" t="str">
        <f>IFERROR(__xludf.DUMMYFUNCTION("""COMPUTED_VALUE"""),"ร้านเจ๋งพลาสติก-83194")</f>
        <v>ร้านเจ๋งพลาสติก-83194</v>
      </c>
      <c r="AG2469" s="3" t="str">
        <f>IFERROR(__xludf.DUMMYFUNCTION("""COMPUTED_VALUE"""),"กลาง")</f>
        <v>กลาง</v>
      </c>
      <c r="AH2469" s="3" t="str">
        <f>IFERROR(__xludf.DUMMYFUNCTION("""COMPUTED_VALUE"""),"#N/A")</f>
        <v>#N/A</v>
      </c>
      <c r="AI2469" s="3" t="str">
        <f>IFERROR(__xludf.DUMMYFUNCTION("""COMPUTED_VALUE"""),"Out of warranty")</f>
        <v>Out of warranty</v>
      </c>
      <c r="AJ2469" s="3">
        <f>IFERROR(__xludf.DUMMYFUNCTION("""COMPUTED_VALUE"""),49.0)</f>
        <v>49</v>
      </c>
      <c r="AK2469" s="3"/>
      <c r="AL2469" s="3"/>
    </row>
    <row r="2470" ht="15.75" customHeight="1">
      <c r="A2470" s="1" t="str">
        <f>IFERROR(__xludf.DUMMYFUNCTION("""COMPUTED_VALUE"""),"83195")</f>
        <v>83195</v>
      </c>
      <c r="B2470" s="2">
        <f>IFERROR(__xludf.DUMMYFUNCTION("""COMPUTED_VALUE"""),83195.0)</f>
        <v>83195</v>
      </c>
      <c r="C2470" s="3" t="str">
        <f>IFERROR(__xludf.DUMMYFUNCTION("""COMPUTED_VALUE"""),"ร้านอุทุมพร การค้า 8245")</f>
        <v>ร้านอุทุมพร การค้า 8245</v>
      </c>
      <c r="D2470" s="3" t="str">
        <f>IFERROR(__xludf.DUMMYFUNCTION("""COMPUTED_VALUE"""),"ร้านอุทุมพร การค้า 8245")</f>
        <v>ร้านอุทุมพร การค้า 8245</v>
      </c>
      <c r="E2470" s="1" t="str">
        <f>IFERROR(__xludf.DUMMYFUNCTION("""COMPUTED_VALUE"""),"Donjai")</f>
        <v>Donjai</v>
      </c>
      <c r="F2470" s="1" t="str">
        <f>IFERROR(__xludf.DUMMYFUNCTION("""COMPUTED_VALUE"""),"296868")</f>
        <v>296868</v>
      </c>
      <c r="G2470" s="1" t="str">
        <f>IFERROR(__xludf.DUMMYFUNCTION("""COMPUTED_VALUE"""),"นายพีระพงษ์ แก้วดวงดี")</f>
        <v>นายพีระพงษ์ แก้วดวงดี</v>
      </c>
      <c r="H2470" s="1" t="str">
        <f>IFERROR(__xludf.DUMMYFUNCTION("""COMPUTED_VALUE"""),"296868")</f>
        <v>296868</v>
      </c>
      <c r="I2470" s="1" t="str">
        <f>IFERROR(__xludf.DUMMYFUNCTION("""COMPUTED_VALUE"""),"นายพีระพงษ์ แก้วดวงดี")</f>
        <v>นายพีระพงษ์ แก้วดวงดี</v>
      </c>
      <c r="J2470" s="3">
        <f>IFERROR(__xludf.DUMMYFUNCTION("""COMPUTED_VALUE"""),295886.0)</f>
        <v>295886</v>
      </c>
      <c r="K2470" s="3" t="str">
        <f>IFERROR(__xludf.DUMMYFUNCTION("""COMPUTED_VALUE"""),"นายจิระพงษ์ โพธิ์นิล")</f>
        <v>นายจิระพงษ์ โพธิ์นิล</v>
      </c>
      <c r="L2470" s="1" t="str">
        <f>IFERROR(__xludf.DUMMYFUNCTION("""COMPUTED_VALUE"""),"นายจิระพงษ์ โพธิ์นิล")</f>
        <v>นายจิระพงษ์ โพธิ์นิล</v>
      </c>
      <c r="M2470" s="1" t="str">
        <f>IFERROR(__xludf.DUMMYFUNCTION("""COMPUTED_VALUE"""),"0933290754")</f>
        <v>0933290754</v>
      </c>
      <c r="N2470" s="3">
        <f>IFERROR(__xludf.DUMMYFUNCTION("""COMPUTED_VALUE"""),83195.0)</f>
        <v>83195</v>
      </c>
      <c r="O2470" s="3" t="str">
        <f>IFERROR(__xludf.DUMMYFUNCTION("""COMPUTED_VALUE"""),"ร้านอุทุมพร การค้า 8245")</f>
        <v>ร้านอุทุมพร การค้า 8245</v>
      </c>
      <c r="P2470" s="4">
        <f>IFERROR(__xludf.DUMMYFUNCTION("""COMPUTED_VALUE"""),44554.0)</f>
        <v>44554</v>
      </c>
      <c r="Q2470" s="3" t="str">
        <f>IFERROR(__xludf.DUMMYFUNCTION("""COMPUTED_VALUE"""),"I")</f>
        <v>I</v>
      </c>
      <c r="R2470" s="3" t="str">
        <f>IFERROR(__xludf.DUMMYFUNCTION("""COMPUTED_VALUE"""),"Small Format")</f>
        <v>Small Format</v>
      </c>
      <c r="S2470" s="3" t="str">
        <f>IFERROR(__xludf.DUMMYFUNCTION("""COMPUTED_VALUE"""),"Donjai")</f>
        <v>Donjai</v>
      </c>
      <c r="T2470" s="3" t="str">
        <f>IFERROR(__xludf.DUMMYFUNCTION("""COMPUTED_VALUE"""),"03 K.Peerapong K.")</f>
        <v>03 K.Peerapong K.</v>
      </c>
      <c r="U2470" s="3" t="str">
        <f>IFERROR(__xludf.DUMMYFUNCTION("""COMPUTED_VALUE"""),"03 K.Peerapong K.")</f>
        <v>03 K.Peerapong K.</v>
      </c>
      <c r="V2470" s="3" t="str">
        <f>IFERROR(__xludf.DUMMYFUNCTION("""COMPUTED_VALUE"""),"N")</f>
        <v>N</v>
      </c>
      <c r="W2470" s="3"/>
      <c r="X2470" s="3" t="str">
        <f>IFERROR(__xludf.DUMMYFUNCTION("""COMPUTED_VALUE"""),"99 หมู่ 15 ต.หนองใหญ่ อ.หนองกุงศรี จ.กาฬสินธุ์")</f>
        <v>99 หมู่ 15 ต.หนองใหญ่ อ.หนองกุงศรี จ.กาฬสินธุ์</v>
      </c>
      <c r="Y2470" s="3"/>
      <c r="Z2470" s="3">
        <f>IFERROR(__xludf.DUMMYFUNCTION("""COMPUTED_VALUE"""),0.0)</f>
        <v>0</v>
      </c>
      <c r="AA2470" s="3">
        <f>IFERROR(__xludf.DUMMYFUNCTION("""COMPUTED_VALUE"""),0.0)</f>
        <v>0</v>
      </c>
      <c r="AB2470" s="3" t="str">
        <f>IFERROR(__xludf.DUMMYFUNCTION("""COMPUTED_VALUE"""),"กาฬสินธุ์")</f>
        <v>กาฬสินธุ์</v>
      </c>
      <c r="AC2470" s="3">
        <f>IFERROR(__xludf.DUMMYFUNCTION("""COMPUTED_VALUE"""),0.0)</f>
        <v>0</v>
      </c>
      <c r="AD2470" s="3"/>
      <c r="AE2470" s="3"/>
      <c r="AF2470" s="3" t="str">
        <f>IFERROR(__xludf.DUMMYFUNCTION("""COMPUTED_VALUE"""),"ร้านอุทุมพร การค้า 8245-83195")</f>
        <v>ร้านอุทุมพร การค้า 8245-83195</v>
      </c>
      <c r="AG2470" s="3" t="str">
        <f>IFERROR(__xludf.DUMMYFUNCTION("""COMPUTED_VALUE"""),"ตะวันออกเฉียงเหนือ")</f>
        <v>ตะวันออกเฉียงเหนือ</v>
      </c>
      <c r="AH2470" s="3" t="str">
        <f>IFERROR(__xludf.DUMMYFUNCTION("""COMPUTED_VALUE"""),"#N/A")</f>
        <v>#N/A</v>
      </c>
      <c r="AI2470" s="3" t="str">
        <f>IFERROR(__xludf.DUMMYFUNCTION("""COMPUTED_VALUE"""),"Out of warranty")</f>
        <v>Out of warranty</v>
      </c>
      <c r="AJ2470" s="3">
        <f>IFERROR(__xludf.DUMMYFUNCTION("""COMPUTED_VALUE"""),49.0)</f>
        <v>49</v>
      </c>
      <c r="AK2470" s="3"/>
      <c r="AL2470" s="3"/>
    </row>
    <row r="2471" ht="15.75" customHeight="1">
      <c r="A2471" s="1" t="str">
        <f>IFERROR(__xludf.DUMMYFUNCTION("""COMPUTED_VALUE"""),"83196")</f>
        <v>83196</v>
      </c>
      <c r="B2471" s="2">
        <f>IFERROR(__xludf.DUMMYFUNCTION("""COMPUTED_VALUE"""),83196.0)</f>
        <v>83196</v>
      </c>
      <c r="C2471" s="3" t="str">
        <f>IFERROR(__xludf.DUMMYFUNCTION("""COMPUTED_VALUE"""),"ร้านพิพัฒน์")</f>
        <v>ร้านพิพัฒน์</v>
      </c>
      <c r="D2471" s="3" t="str">
        <f>IFERROR(__xludf.DUMMYFUNCTION("""COMPUTED_VALUE"""),"ร้านพิพัฒน์")</f>
        <v>ร้านพิพัฒน์</v>
      </c>
      <c r="E2471" s="1" t="str">
        <f>IFERROR(__xludf.DUMMYFUNCTION("""COMPUTED_VALUE"""),"Donjai")</f>
        <v>Donjai</v>
      </c>
      <c r="F2471" s="1" t="str">
        <f>IFERROR(__xludf.DUMMYFUNCTION("""COMPUTED_VALUE"""),"015361")</f>
        <v>015361</v>
      </c>
      <c r="G2471" s="1" t="str">
        <f>IFERROR(__xludf.DUMMYFUNCTION("""COMPUTED_VALUE"""),"นายสมบูรณ์ พรหมในเมือง")</f>
        <v>นายสมบูรณ์ พรหมในเมือง</v>
      </c>
      <c r="H2471" s="1" t="str">
        <f>IFERROR(__xludf.DUMMYFUNCTION("""COMPUTED_VALUE"""),"015361")</f>
        <v>015361</v>
      </c>
      <c r="I2471" s="1" t="str">
        <f>IFERROR(__xludf.DUMMYFUNCTION("""COMPUTED_VALUE"""),"นายสมบูรณ์ พรหมในเมือง")</f>
        <v>นายสมบูรณ์ พรหมในเมือง</v>
      </c>
      <c r="J2471" s="3">
        <f>IFERROR(__xludf.DUMMYFUNCTION("""COMPUTED_VALUE"""),295886.0)</f>
        <v>295886</v>
      </c>
      <c r="K2471" s="3" t="str">
        <f>IFERROR(__xludf.DUMMYFUNCTION("""COMPUTED_VALUE"""),"นายจิระพงษ์ โพธิ์นิล")</f>
        <v>นายจิระพงษ์ โพธิ์นิล</v>
      </c>
      <c r="L2471" s="1" t="str">
        <f>IFERROR(__xludf.DUMMYFUNCTION("""COMPUTED_VALUE"""),"นายจิระพงษ์ โพธิ์นิล")</f>
        <v>นายจิระพงษ์ โพธิ์นิล</v>
      </c>
      <c r="M2471" s="1" t="str">
        <f>IFERROR(__xludf.DUMMYFUNCTION("""COMPUTED_VALUE"""),"0933290754")</f>
        <v>0933290754</v>
      </c>
      <c r="N2471" s="3">
        <f>IFERROR(__xludf.DUMMYFUNCTION("""COMPUTED_VALUE"""),83196.0)</f>
        <v>83196</v>
      </c>
      <c r="O2471" s="3" t="str">
        <f>IFERROR(__xludf.DUMMYFUNCTION("""COMPUTED_VALUE"""),"ร้านพิพัฒน์")</f>
        <v>ร้านพิพัฒน์</v>
      </c>
      <c r="P2471" s="4">
        <f>IFERROR(__xludf.DUMMYFUNCTION("""COMPUTED_VALUE"""),44555.0)</f>
        <v>44555</v>
      </c>
      <c r="Q2471" s="3" t="str">
        <f>IFERROR(__xludf.DUMMYFUNCTION("""COMPUTED_VALUE"""),"I")</f>
        <v>I</v>
      </c>
      <c r="R2471" s="3" t="str">
        <f>IFERROR(__xludf.DUMMYFUNCTION("""COMPUTED_VALUE"""),"Small Format")</f>
        <v>Small Format</v>
      </c>
      <c r="S2471" s="3" t="str">
        <f>IFERROR(__xludf.DUMMYFUNCTION("""COMPUTED_VALUE"""),"Donjai")</f>
        <v>Donjai</v>
      </c>
      <c r="T2471" s="3" t="str">
        <f>IFERROR(__xludf.DUMMYFUNCTION("""COMPUTED_VALUE"""),"04 K.Somboon P.")</f>
        <v>04 K.Somboon P.</v>
      </c>
      <c r="U2471" s="3" t="str">
        <f>IFERROR(__xludf.DUMMYFUNCTION("""COMPUTED_VALUE"""),"04 K.Somboon P.")</f>
        <v>04 K.Somboon P.</v>
      </c>
      <c r="V2471" s="3" t="str">
        <f>IFERROR(__xludf.DUMMYFUNCTION("""COMPUTED_VALUE"""),"N")</f>
        <v>N</v>
      </c>
      <c r="W2471" s="3"/>
      <c r="X2471" s="3" t="str">
        <f>IFERROR(__xludf.DUMMYFUNCTION("""COMPUTED_VALUE"""),"69 ต.สว่าง อ.สว่างวีระวงศ์ จ.อุบลราชธานี 34190")</f>
        <v>69 ต.สว่าง อ.สว่างวีระวงศ์ จ.อุบลราชธานี 34190</v>
      </c>
      <c r="Y2471" s="3"/>
      <c r="Z2471" s="3">
        <f>IFERROR(__xludf.DUMMYFUNCTION("""COMPUTED_VALUE"""),0.0)</f>
        <v>0</v>
      </c>
      <c r="AA2471" s="3">
        <f>IFERROR(__xludf.DUMMYFUNCTION("""COMPUTED_VALUE"""),0.0)</f>
        <v>0</v>
      </c>
      <c r="AB2471" s="3" t="str">
        <f>IFERROR(__xludf.DUMMYFUNCTION("""COMPUTED_VALUE"""),"อุบลราชธานี")</f>
        <v>อุบลราชธานี</v>
      </c>
      <c r="AC2471" s="3">
        <f>IFERROR(__xludf.DUMMYFUNCTION("""COMPUTED_VALUE"""),34190.0)</f>
        <v>34190</v>
      </c>
      <c r="AD2471" s="3"/>
      <c r="AE2471" s="3"/>
      <c r="AF2471" s="3" t="str">
        <f>IFERROR(__xludf.DUMMYFUNCTION("""COMPUTED_VALUE"""),"ร้านพิพัฒน์-83196")</f>
        <v>ร้านพิพัฒน์-83196</v>
      </c>
      <c r="AG2471" s="3" t="str">
        <f>IFERROR(__xludf.DUMMYFUNCTION("""COMPUTED_VALUE"""),"ตะวันออกเฉียงเหนือ")</f>
        <v>ตะวันออกเฉียงเหนือ</v>
      </c>
      <c r="AH2471" s="3" t="str">
        <f>IFERROR(__xludf.DUMMYFUNCTION("""COMPUTED_VALUE"""),"#N/A")</f>
        <v>#N/A</v>
      </c>
      <c r="AI2471" s="3" t="str">
        <f>IFERROR(__xludf.DUMMYFUNCTION("""COMPUTED_VALUE"""),"Out of warranty")</f>
        <v>Out of warranty</v>
      </c>
      <c r="AJ2471" s="3">
        <f>IFERROR(__xludf.DUMMYFUNCTION("""COMPUTED_VALUE"""),49.0)</f>
        <v>49</v>
      </c>
      <c r="AK2471" s="3"/>
      <c r="AL2471" s="3"/>
    </row>
    <row r="2472" ht="15.75" customHeight="1">
      <c r="A2472" s="1" t="str">
        <f>IFERROR(__xludf.DUMMYFUNCTION("""COMPUTED_VALUE"""),"83197")</f>
        <v>83197</v>
      </c>
      <c r="B2472" s="2">
        <f>IFERROR(__xludf.DUMMYFUNCTION("""COMPUTED_VALUE"""),83197.0)</f>
        <v>83197</v>
      </c>
      <c r="C2472" s="3" t="str">
        <f>IFERROR(__xludf.DUMMYFUNCTION("""COMPUTED_VALUE"""),"ร้านธนภรณ์การค้า")</f>
        <v>ร้านธนภรณ์การค้า</v>
      </c>
      <c r="D2472" s="3" t="str">
        <f>IFERROR(__xludf.DUMMYFUNCTION("""COMPUTED_VALUE"""),"ร้านธนภรณ์การค้า")</f>
        <v>ร้านธนภรณ์การค้า</v>
      </c>
      <c r="E2472" s="1" t="str">
        <f>IFERROR(__xludf.DUMMYFUNCTION("""COMPUTED_VALUE"""),"Donjai")</f>
        <v>Donjai</v>
      </c>
      <c r="F2472" s="1" t="str">
        <f>IFERROR(__xludf.DUMMYFUNCTION("""COMPUTED_VALUE"""),"296866")</f>
        <v>296866</v>
      </c>
      <c r="G2472" s="1" t="str">
        <f>IFERROR(__xludf.DUMMYFUNCTION("""COMPUTED_VALUE"""),"นายณัฐภูมิ สุจริตธรรม")</f>
        <v>นายณัฐภูมิ สุจริตธรรม</v>
      </c>
      <c r="H2472" s="1" t="str">
        <f>IFERROR(__xludf.DUMMYFUNCTION("""COMPUTED_VALUE"""),"296866")</f>
        <v>296866</v>
      </c>
      <c r="I2472" s="1" t="str">
        <f>IFERROR(__xludf.DUMMYFUNCTION("""COMPUTED_VALUE"""),"นายณัฐภูมิ สุจริตธรรม")</f>
        <v>นายณัฐภูมิ สุจริตธรรม</v>
      </c>
      <c r="J2472" s="3">
        <f>IFERROR(__xludf.DUMMYFUNCTION("""COMPUTED_VALUE"""),228031.0)</f>
        <v>228031</v>
      </c>
      <c r="K2472" s="3" t="str">
        <f>IFERROR(__xludf.DUMMYFUNCTION("""COMPUTED_VALUE"""),"นายธนพงษ์ วันหมัด")</f>
        <v>นายธนพงษ์ วันหมัด</v>
      </c>
      <c r="L2472" s="1" t="str">
        <f>IFERROR(__xludf.DUMMYFUNCTION("""COMPUTED_VALUE"""),"นายธนพงษ์ วันหมัด")</f>
        <v>นายธนพงษ์ วันหมัด</v>
      </c>
      <c r="M2472" s="1" t="str">
        <f>IFERROR(__xludf.DUMMYFUNCTION("""COMPUTED_VALUE"""),"0813716913")</f>
        <v>0813716913</v>
      </c>
      <c r="N2472" s="3">
        <f>IFERROR(__xludf.DUMMYFUNCTION("""COMPUTED_VALUE"""),83197.0)</f>
        <v>83197</v>
      </c>
      <c r="O2472" s="3" t="str">
        <f>IFERROR(__xludf.DUMMYFUNCTION("""COMPUTED_VALUE"""),"ร้านธนภรณ์การค้า")</f>
        <v>ร้านธนภรณ์การค้า</v>
      </c>
      <c r="P2472" s="4">
        <f>IFERROR(__xludf.DUMMYFUNCTION("""COMPUTED_VALUE"""),44551.0)</f>
        <v>44551</v>
      </c>
      <c r="Q2472" s="3" t="str">
        <f>IFERROR(__xludf.DUMMYFUNCTION("""COMPUTED_VALUE"""),"I")</f>
        <v>I</v>
      </c>
      <c r="R2472" s="3" t="str">
        <f>IFERROR(__xludf.DUMMYFUNCTION("""COMPUTED_VALUE"""),"Small Format")</f>
        <v>Small Format</v>
      </c>
      <c r="S2472" s="3" t="str">
        <f>IFERROR(__xludf.DUMMYFUNCTION("""COMPUTED_VALUE"""),"Donjai")</f>
        <v>Donjai</v>
      </c>
      <c r="T2472" s="3" t="str">
        <f>IFERROR(__xludf.DUMMYFUNCTION("""COMPUTED_VALUE"""),"#N/A")</f>
        <v>#N/A</v>
      </c>
      <c r="U2472" s="3" t="str">
        <f>IFERROR(__xludf.DUMMYFUNCTION("""COMPUTED_VALUE"""),"#N/A")</f>
        <v>#N/A</v>
      </c>
      <c r="V2472" s="3" t="str">
        <f>IFERROR(__xludf.DUMMYFUNCTION("""COMPUTED_VALUE"""),"N")</f>
        <v>N</v>
      </c>
      <c r="W2472" s="3"/>
      <c r="X2472" s="3" t="str">
        <f>IFERROR(__xludf.DUMMYFUNCTION("""COMPUTED_VALUE"""),"2/1 หมู่ที่2 บ.เกาะรัง ต.เกาะรัง อ.ชัยบาดาล จ.ลพบุรี")</f>
        <v>2/1 หมู่ที่2 บ.เกาะรัง ต.เกาะรัง อ.ชัยบาดาล จ.ลพบุรี</v>
      </c>
      <c r="Y2472" s="3"/>
      <c r="Z2472" s="3">
        <f>IFERROR(__xludf.DUMMYFUNCTION("""COMPUTED_VALUE"""),0.0)</f>
        <v>0</v>
      </c>
      <c r="AA2472" s="3">
        <f>IFERROR(__xludf.DUMMYFUNCTION("""COMPUTED_VALUE"""),0.0)</f>
        <v>0</v>
      </c>
      <c r="AB2472" s="3" t="str">
        <f>IFERROR(__xludf.DUMMYFUNCTION("""COMPUTED_VALUE"""),"ลพบุรี")</f>
        <v>ลพบุรี</v>
      </c>
      <c r="AC2472" s="3">
        <f>IFERROR(__xludf.DUMMYFUNCTION("""COMPUTED_VALUE"""),0.0)</f>
        <v>0</v>
      </c>
      <c r="AD2472" s="3"/>
      <c r="AE2472" s="3"/>
      <c r="AF2472" s="3" t="str">
        <f>IFERROR(__xludf.DUMMYFUNCTION("""COMPUTED_VALUE"""),"ร้านธนภรณ์การค้า-83197")</f>
        <v>ร้านธนภรณ์การค้า-83197</v>
      </c>
      <c r="AG2472" s="3" t="str">
        <f>IFERROR(__xludf.DUMMYFUNCTION("""COMPUTED_VALUE"""),"กลาง")</f>
        <v>กลาง</v>
      </c>
      <c r="AH2472" s="3" t="str">
        <f>IFERROR(__xludf.DUMMYFUNCTION("""COMPUTED_VALUE"""),"#N/A")</f>
        <v>#N/A</v>
      </c>
      <c r="AI2472" s="3" t="str">
        <f>IFERROR(__xludf.DUMMYFUNCTION("""COMPUTED_VALUE"""),"Out of warranty")</f>
        <v>Out of warranty</v>
      </c>
      <c r="AJ2472" s="3">
        <f>IFERROR(__xludf.DUMMYFUNCTION("""COMPUTED_VALUE"""),49.0)</f>
        <v>49</v>
      </c>
      <c r="AK2472" s="3"/>
      <c r="AL2472" s="3"/>
    </row>
    <row r="2473" ht="15.75" customHeight="1">
      <c r="A2473" s="1" t="str">
        <f>IFERROR(__xludf.DUMMYFUNCTION("""COMPUTED_VALUE"""),"83198")</f>
        <v>83198</v>
      </c>
      <c r="B2473" s="2">
        <f>IFERROR(__xludf.DUMMYFUNCTION("""COMPUTED_VALUE"""),83198.0)</f>
        <v>83198</v>
      </c>
      <c r="C2473" s="3" t="str">
        <f>IFERROR(__xludf.DUMMYFUNCTION("""COMPUTED_VALUE"""),"ร้านแม่ภาคิน (ร้านคุณหนึ่ง จันทา )")</f>
        <v>ร้านแม่ภาคิน (ร้านคุณหนึ่ง จันทา )</v>
      </c>
      <c r="D2473" s="3" t="str">
        <f>IFERROR(__xludf.DUMMYFUNCTION("""COMPUTED_VALUE"""),"ร้านแม่ภาคิน (ร้านคุณหนึ่ง จันทา )")</f>
        <v>ร้านแม่ภาคิน (ร้านคุณหนึ่ง จันทา )</v>
      </c>
      <c r="E2473" s="1" t="str">
        <f>IFERROR(__xludf.DUMMYFUNCTION("""COMPUTED_VALUE"""),"Donjai")</f>
        <v>Donjai</v>
      </c>
      <c r="F2473" s="1" t="str">
        <f>IFERROR(__xludf.DUMMYFUNCTION("""COMPUTED_VALUE"""),"296942")</f>
        <v>296942</v>
      </c>
      <c r="G2473" s="1" t="str">
        <f>IFERROR(__xludf.DUMMYFUNCTION("""COMPUTED_VALUE"""),"นายปิยะ รักษากิจ")</f>
        <v>นายปิยะ รักษากิจ</v>
      </c>
      <c r="H2473" s="1" t="str">
        <f>IFERROR(__xludf.DUMMYFUNCTION("""COMPUTED_VALUE"""),"296942")</f>
        <v>296942</v>
      </c>
      <c r="I2473" s="1" t="str">
        <f>IFERROR(__xludf.DUMMYFUNCTION("""COMPUTED_VALUE"""),"นายปิยะ รักษากิจ")</f>
        <v>นายปิยะ รักษากิจ</v>
      </c>
      <c r="J2473" s="3">
        <f>IFERROR(__xludf.DUMMYFUNCTION("""COMPUTED_VALUE"""),295541.0)</f>
        <v>295541</v>
      </c>
      <c r="K2473" s="3" t="str">
        <f>IFERROR(__xludf.DUMMYFUNCTION("""COMPUTED_VALUE"""),"นายรพิพล ศรีมาตย์")</f>
        <v>นายรพิพล ศรีมาตย์</v>
      </c>
      <c r="L2473" s="1" t="str">
        <f>IFERROR(__xludf.DUMMYFUNCTION("""COMPUTED_VALUE"""),"นายรพิพล ศรีมาตย์")</f>
        <v>นายรพิพล ศรีมาตย์</v>
      </c>
      <c r="M2473" s="1" t="str">
        <f>IFERROR(__xludf.DUMMYFUNCTION("""COMPUTED_VALUE"""),"0613966115")</f>
        <v>0613966115</v>
      </c>
      <c r="N2473" s="3">
        <f>IFERROR(__xludf.DUMMYFUNCTION("""COMPUTED_VALUE"""),83198.0)</f>
        <v>83198</v>
      </c>
      <c r="O2473" s="3" t="str">
        <f>IFERROR(__xludf.DUMMYFUNCTION("""COMPUTED_VALUE"""),"ร้านแม่ภาคิน (ร้านคุณหนึ่ง จันทา )")</f>
        <v>ร้านแม่ภาคิน (ร้านคุณหนึ่ง จันทา )</v>
      </c>
      <c r="P2473" s="4">
        <f>IFERROR(__xludf.DUMMYFUNCTION("""COMPUTED_VALUE"""),44561.0)</f>
        <v>44561</v>
      </c>
      <c r="Q2473" s="3" t="str">
        <f>IFERROR(__xludf.DUMMYFUNCTION("""COMPUTED_VALUE"""),"A")</f>
        <v>A</v>
      </c>
      <c r="R2473" s="3" t="str">
        <f>IFERROR(__xludf.DUMMYFUNCTION("""COMPUTED_VALUE"""),"Small Format")</f>
        <v>Small Format</v>
      </c>
      <c r="S2473" s="3" t="str">
        <f>IFERROR(__xludf.DUMMYFUNCTION("""COMPUTED_VALUE"""),"Donjai")</f>
        <v>Donjai</v>
      </c>
      <c r="T2473" s="3" t="str">
        <f>IFERROR(__xludf.DUMMYFUNCTION("""COMPUTED_VALUE"""),"07 K.Piya R.")</f>
        <v>07 K.Piya R.</v>
      </c>
      <c r="U2473" s="3" t="str">
        <f>IFERROR(__xludf.DUMMYFUNCTION("""COMPUTED_VALUE"""),"07 K.Piya R.")</f>
        <v>07 K.Piya R.</v>
      </c>
      <c r="V2473" s="3" t="str">
        <f>IFERROR(__xludf.DUMMYFUNCTION("""COMPUTED_VALUE"""),"N")</f>
        <v>N</v>
      </c>
      <c r="W2473" s="3"/>
      <c r="X2473" s="3" t="str">
        <f>IFERROR(__xludf.DUMMYFUNCTION("""COMPUTED_VALUE"""),"41/7 ซอยมาบตาพุด 14 ถนนวัดมาบตาพุด ตำบล มาบตาพุด อ.เมืองระยอง จ.ระยอง")</f>
        <v>41/7 ซอยมาบตาพุด 14 ถนนวัดมาบตาพุด ตำบล มาบตาพุด อ.เมืองระยอง จ.ระยอง</v>
      </c>
      <c r="Y2473" s="3"/>
      <c r="Z2473" s="3">
        <f>IFERROR(__xludf.DUMMYFUNCTION("""COMPUTED_VALUE"""),0.0)</f>
        <v>0</v>
      </c>
      <c r="AA2473" s="3">
        <f>IFERROR(__xludf.DUMMYFUNCTION("""COMPUTED_VALUE"""),0.0)</f>
        <v>0</v>
      </c>
      <c r="AB2473" s="3" t="str">
        <f>IFERROR(__xludf.DUMMYFUNCTION("""COMPUTED_VALUE"""),"ระยอง")</f>
        <v>ระยอง</v>
      </c>
      <c r="AC2473" s="3">
        <f>IFERROR(__xludf.DUMMYFUNCTION("""COMPUTED_VALUE"""),0.0)</f>
        <v>0</v>
      </c>
      <c r="AD2473" s="3"/>
      <c r="AE2473" s="3"/>
      <c r="AF2473" s="3" t="str">
        <f>IFERROR(__xludf.DUMMYFUNCTION("""COMPUTED_VALUE"""),"ร้านแม่ภาคิน (ร้านคุณหนึ่ง จันทา )-83198")</f>
        <v>ร้านแม่ภาคิน (ร้านคุณหนึ่ง จันทา )-83198</v>
      </c>
      <c r="AG2473" s="3" t="str">
        <f>IFERROR(__xludf.DUMMYFUNCTION("""COMPUTED_VALUE"""),"ตะวันออก")</f>
        <v>ตะวันออก</v>
      </c>
      <c r="AH2473" s="3" t="str">
        <f>IFERROR(__xludf.DUMMYFUNCTION("""COMPUTED_VALUE"""),"#N/A")</f>
        <v>#N/A</v>
      </c>
      <c r="AI2473" s="3" t="str">
        <f>IFERROR(__xludf.DUMMYFUNCTION("""COMPUTED_VALUE"""),"Out of warranty")</f>
        <v>Out of warranty</v>
      </c>
      <c r="AJ2473" s="3">
        <f>IFERROR(__xludf.DUMMYFUNCTION("""COMPUTED_VALUE"""),49.0)</f>
        <v>49</v>
      </c>
      <c r="AK2473" s="3"/>
      <c r="AL2473" s="3"/>
    </row>
    <row r="2474" ht="15.75" customHeight="1">
      <c r="A2474" s="1" t="str">
        <f>IFERROR(__xludf.DUMMYFUNCTION("""COMPUTED_VALUE"""),"83199")</f>
        <v>83199</v>
      </c>
      <c r="B2474" s="2">
        <f>IFERROR(__xludf.DUMMYFUNCTION("""COMPUTED_VALUE"""),83199.0)</f>
        <v>83199</v>
      </c>
      <c r="C2474" s="3" t="str">
        <f>IFERROR(__xludf.DUMMYFUNCTION("""COMPUTED_VALUE"""),"ร้านจินดาภา(เปลี่ยนจาก ร้าน ส.ธนภัทร กิจรุ่งเรือง)")</f>
        <v>ร้านจินดาภา(เปลี่ยนจาก ร้าน ส.ธนภัทร กิจรุ่งเรือง)</v>
      </c>
      <c r="D2474" s="3" t="str">
        <f>IFERROR(__xludf.DUMMYFUNCTION("""COMPUTED_VALUE"""),"ร้านจินดาภา(เปลี่ยนจาก ร้าน ส.ธนภัทร กิจรุ่งเรือง)")</f>
        <v>ร้านจินดาภา(เปลี่ยนจาก ร้าน ส.ธนภัทร กิจรุ่งเรือง)</v>
      </c>
      <c r="E2474" s="1" t="str">
        <f>IFERROR(__xludf.DUMMYFUNCTION("""COMPUTED_VALUE"""),"Donjai")</f>
        <v>Donjai</v>
      </c>
      <c r="F2474" s="1" t="str">
        <f>IFERROR(__xludf.DUMMYFUNCTION("""COMPUTED_VALUE"""),"2454781")</f>
        <v>2454781</v>
      </c>
      <c r="G2474" s="1" t="str">
        <f>IFERROR(__xludf.DUMMYFUNCTION("""COMPUTED_VALUE"""),"นายฌานกฤช นันทะโคต")</f>
        <v>นายฌานกฤช นันทะโคต</v>
      </c>
      <c r="H2474" s="1" t="str">
        <f>IFERROR(__xludf.DUMMYFUNCTION("""COMPUTED_VALUE"""),"2454781")</f>
        <v>2454781</v>
      </c>
      <c r="I2474" s="1" t="str">
        <f>IFERROR(__xludf.DUMMYFUNCTION("""COMPUTED_VALUE"""),"นายฌานกฤช นันทะโคต")</f>
        <v>นายฌานกฤช นันทะโคต</v>
      </c>
      <c r="J2474" s="3">
        <f>IFERROR(__xludf.DUMMYFUNCTION("""COMPUTED_VALUE"""),295886.0)</f>
        <v>295886</v>
      </c>
      <c r="K2474" s="3" t="str">
        <f>IFERROR(__xludf.DUMMYFUNCTION("""COMPUTED_VALUE"""),"นายจิระพงษ์ โพธิ์นิล")</f>
        <v>นายจิระพงษ์ โพธิ์นิล</v>
      </c>
      <c r="L2474" s="1" t="str">
        <f>IFERROR(__xludf.DUMMYFUNCTION("""COMPUTED_VALUE"""),"นายจิระพงษ์ โพธิ์นิล")</f>
        <v>นายจิระพงษ์ โพธิ์นิล</v>
      </c>
      <c r="M2474" s="1" t="str">
        <f>IFERROR(__xludf.DUMMYFUNCTION("""COMPUTED_VALUE"""),"0933290754")</f>
        <v>0933290754</v>
      </c>
      <c r="N2474" s="3">
        <f>IFERROR(__xludf.DUMMYFUNCTION("""COMPUTED_VALUE"""),83199.0)</f>
        <v>83199</v>
      </c>
      <c r="O2474" s="3" t="str">
        <f>IFERROR(__xludf.DUMMYFUNCTION("""COMPUTED_VALUE"""),"ร้านจินดาภา(เปลี่ยนจาก ร้าน ส.ธนภัทร กิจรุ่งเรือง)")</f>
        <v>ร้านจินดาภา(เปลี่ยนจาก ร้าน ส.ธนภัทร กิจรุ่งเรือง)</v>
      </c>
      <c r="P2474" s="4">
        <f>IFERROR(__xludf.DUMMYFUNCTION("""COMPUTED_VALUE"""),44556.0)</f>
        <v>44556</v>
      </c>
      <c r="Q2474" s="3" t="str">
        <f>IFERROR(__xludf.DUMMYFUNCTION("""COMPUTED_VALUE"""),"A")</f>
        <v>A</v>
      </c>
      <c r="R2474" s="3" t="str">
        <f>IFERROR(__xludf.DUMMYFUNCTION("""COMPUTED_VALUE"""),"Small Format")</f>
        <v>Small Format</v>
      </c>
      <c r="S2474" s="3" t="str">
        <f>IFERROR(__xludf.DUMMYFUNCTION("""COMPUTED_VALUE"""),"Donjai")</f>
        <v>Donjai</v>
      </c>
      <c r="T2474" s="3" t="str">
        <f>IFERROR(__xludf.DUMMYFUNCTION("""COMPUTED_VALUE"""),"05 K.Chanakrit N.")</f>
        <v>05 K.Chanakrit N.</v>
      </c>
      <c r="U2474" s="3" t="str">
        <f>IFERROR(__xludf.DUMMYFUNCTION("""COMPUTED_VALUE"""),"05 K.Chanakrit N.")</f>
        <v>05 K.Chanakrit N.</v>
      </c>
      <c r="V2474" s="3" t="str">
        <f>IFERROR(__xludf.DUMMYFUNCTION("""COMPUTED_VALUE"""),"N")</f>
        <v>N</v>
      </c>
      <c r="W2474" s="3"/>
      <c r="X2474" s="3" t="str">
        <f>IFERROR(__xludf.DUMMYFUNCTION("""COMPUTED_VALUE"""),"451/6 หมู่ที่6 ต.โพนทอง อ.เมืองกาฬสินธุ์ จ.กาฬสินธุ์")</f>
        <v>451/6 หมู่ที่6 ต.โพนทอง อ.เมืองกาฬสินธุ์ จ.กาฬสินธุ์</v>
      </c>
      <c r="Y2474" s="3"/>
      <c r="Z2474" s="3">
        <f>IFERROR(__xludf.DUMMYFUNCTION("""COMPUTED_VALUE"""),0.0)</f>
        <v>0</v>
      </c>
      <c r="AA2474" s="3">
        <f>IFERROR(__xludf.DUMMYFUNCTION("""COMPUTED_VALUE"""),0.0)</f>
        <v>0</v>
      </c>
      <c r="AB2474" s="3" t="str">
        <f>IFERROR(__xludf.DUMMYFUNCTION("""COMPUTED_VALUE"""),"กาฬสินธุ์")</f>
        <v>กาฬสินธุ์</v>
      </c>
      <c r="AC2474" s="3">
        <f>IFERROR(__xludf.DUMMYFUNCTION("""COMPUTED_VALUE"""),0.0)</f>
        <v>0</v>
      </c>
      <c r="AD2474" s="3"/>
      <c r="AE2474" s="3"/>
      <c r="AF2474" s="3" t="str">
        <f>IFERROR(__xludf.DUMMYFUNCTION("""COMPUTED_VALUE"""),"ร้านจินดาภา(เปลี่ยนจาก ร้าน ส.ธนภัทร กิจรุ่งเรือง)-83199")</f>
        <v>ร้านจินดาภา(เปลี่ยนจาก ร้าน ส.ธนภัทร กิจรุ่งเรือง)-83199</v>
      </c>
      <c r="AG2474" s="3" t="str">
        <f>IFERROR(__xludf.DUMMYFUNCTION("""COMPUTED_VALUE"""),"ตะวันออกเฉียงเหนือ")</f>
        <v>ตะวันออกเฉียงเหนือ</v>
      </c>
      <c r="AH2474" s="3" t="str">
        <f>IFERROR(__xludf.DUMMYFUNCTION("""COMPUTED_VALUE"""),"#N/A")</f>
        <v>#N/A</v>
      </c>
      <c r="AI2474" s="3" t="str">
        <f>IFERROR(__xludf.DUMMYFUNCTION("""COMPUTED_VALUE"""),"Out of warranty")</f>
        <v>Out of warranty</v>
      </c>
      <c r="AJ2474" s="3">
        <f>IFERROR(__xludf.DUMMYFUNCTION("""COMPUTED_VALUE"""),49.0)</f>
        <v>49</v>
      </c>
      <c r="AK2474" s="3"/>
      <c r="AL2474" s="3"/>
    </row>
    <row r="2475" ht="15.75" customHeight="1">
      <c r="A2475" s="1" t="str">
        <f>IFERROR(__xludf.DUMMYFUNCTION("""COMPUTED_VALUE"""),"83200")</f>
        <v>83200</v>
      </c>
      <c r="B2475" s="2">
        <f>IFERROR(__xludf.DUMMYFUNCTION("""COMPUTED_VALUE"""),83200.0)</f>
        <v>83200</v>
      </c>
      <c r="C2475" s="3" t="str">
        <f>IFERROR(__xludf.DUMMYFUNCTION("""COMPUTED_VALUE"""),"ร้านชัยวัฒน์")</f>
        <v>ร้านชัยวัฒน์</v>
      </c>
      <c r="D2475" s="3" t="str">
        <f>IFERROR(__xludf.DUMMYFUNCTION("""COMPUTED_VALUE"""),"ร้านชัยวัฒน์")</f>
        <v>ร้านชัยวัฒน์</v>
      </c>
      <c r="E2475" s="1" t="str">
        <f>IFERROR(__xludf.DUMMYFUNCTION("""COMPUTED_VALUE"""),"Donjai")</f>
        <v>Donjai</v>
      </c>
      <c r="F2475" s="1" t="str">
        <f>IFERROR(__xludf.DUMMYFUNCTION("""COMPUTED_VALUE"""),"296608")</f>
        <v>296608</v>
      </c>
      <c r="G2475" s="1" t="str">
        <f>IFERROR(__xludf.DUMMYFUNCTION("""COMPUTED_VALUE"""),"นายภาคภูมิ เพ็ชรนิล")</f>
        <v>นายภาคภูมิ เพ็ชรนิล</v>
      </c>
      <c r="H2475" s="1" t="str">
        <f>IFERROR(__xludf.DUMMYFUNCTION("""COMPUTED_VALUE"""),"296608")</f>
        <v>296608</v>
      </c>
      <c r="I2475" s="1" t="str">
        <f>IFERROR(__xludf.DUMMYFUNCTION("""COMPUTED_VALUE"""),"นายภาคภูมิ เพ็ชรนิล")</f>
        <v>นายภาคภูมิ เพ็ชรนิล</v>
      </c>
      <c r="J2475" s="3">
        <f>IFERROR(__xludf.DUMMYFUNCTION("""COMPUTED_VALUE"""),228031.0)</f>
        <v>228031</v>
      </c>
      <c r="K2475" s="3" t="str">
        <f>IFERROR(__xludf.DUMMYFUNCTION("""COMPUTED_VALUE"""),"นายธนพงษ์ วันหมัด")</f>
        <v>นายธนพงษ์ วันหมัด</v>
      </c>
      <c r="L2475" s="1" t="str">
        <f>IFERROR(__xludf.DUMMYFUNCTION("""COMPUTED_VALUE"""),"นายธนพงษ์ วันหมัด")</f>
        <v>นายธนพงษ์ วันหมัด</v>
      </c>
      <c r="M2475" s="1" t="str">
        <f>IFERROR(__xludf.DUMMYFUNCTION("""COMPUTED_VALUE"""),"0813716913")</f>
        <v>0813716913</v>
      </c>
      <c r="N2475" s="3">
        <f>IFERROR(__xludf.DUMMYFUNCTION("""COMPUTED_VALUE"""),83200.0)</f>
        <v>83200</v>
      </c>
      <c r="O2475" s="3" t="str">
        <f>IFERROR(__xludf.DUMMYFUNCTION("""COMPUTED_VALUE"""),"ร้านชัยวัฒน์")</f>
        <v>ร้านชัยวัฒน์</v>
      </c>
      <c r="P2475" s="4">
        <f>IFERROR(__xludf.DUMMYFUNCTION("""COMPUTED_VALUE"""),44554.0)</f>
        <v>44554</v>
      </c>
      <c r="Q2475" s="3" t="str">
        <f>IFERROR(__xludf.DUMMYFUNCTION("""COMPUTED_VALUE"""),"I")</f>
        <v>I</v>
      </c>
      <c r="R2475" s="3" t="str">
        <f>IFERROR(__xludf.DUMMYFUNCTION("""COMPUTED_VALUE"""),"Small Format")</f>
        <v>Small Format</v>
      </c>
      <c r="S2475" s="3" t="str">
        <f>IFERROR(__xludf.DUMMYFUNCTION("""COMPUTED_VALUE"""),"Donjai")</f>
        <v>Donjai</v>
      </c>
      <c r="T2475" s="3" t="str">
        <f>IFERROR(__xludf.DUMMYFUNCTION("""COMPUTED_VALUE"""),"10 K.Phakphoom P.")</f>
        <v>10 K.Phakphoom P.</v>
      </c>
      <c r="U2475" s="3" t="str">
        <f>IFERROR(__xludf.DUMMYFUNCTION("""COMPUTED_VALUE"""),"10 K.Phakphoom P.")</f>
        <v>10 K.Phakphoom P.</v>
      </c>
      <c r="V2475" s="3" t="str">
        <f>IFERROR(__xludf.DUMMYFUNCTION("""COMPUTED_VALUE"""),"N")</f>
        <v>N</v>
      </c>
      <c r="W2475" s="3"/>
      <c r="X2475" s="3" t="str">
        <f>IFERROR(__xludf.DUMMYFUNCTION("""COMPUTED_VALUE"""),"58/3 ซ.วัดบางน้ำผึ้ง ต.บางน้ำผึ้ง อ.พระประแดง จ.สมุทรปราการ 10130")</f>
        <v>58/3 ซ.วัดบางน้ำผึ้ง ต.บางน้ำผึ้ง อ.พระประแดง จ.สมุทรปราการ 10130</v>
      </c>
      <c r="Y2475" s="3"/>
      <c r="Z2475" s="3">
        <f>IFERROR(__xludf.DUMMYFUNCTION("""COMPUTED_VALUE"""),0.0)</f>
        <v>0</v>
      </c>
      <c r="AA2475" s="3">
        <f>IFERROR(__xludf.DUMMYFUNCTION("""COMPUTED_VALUE"""),0.0)</f>
        <v>0</v>
      </c>
      <c r="AB2475" s="3" t="str">
        <f>IFERROR(__xludf.DUMMYFUNCTION("""COMPUTED_VALUE"""),"สมุทรปราการ")</f>
        <v>สมุทรปราการ</v>
      </c>
      <c r="AC2475" s="3">
        <f>IFERROR(__xludf.DUMMYFUNCTION("""COMPUTED_VALUE"""),10130.0)</f>
        <v>10130</v>
      </c>
      <c r="AD2475" s="3"/>
      <c r="AE2475" s="3"/>
      <c r="AF2475" s="3" t="str">
        <f>IFERROR(__xludf.DUMMYFUNCTION("""COMPUTED_VALUE"""),"ร้านชัยวัฒน์-83200")</f>
        <v>ร้านชัยวัฒน์-83200</v>
      </c>
      <c r="AG2475" s="3" t="str">
        <f>IFERROR(__xludf.DUMMYFUNCTION("""COMPUTED_VALUE"""),"กลาง")</f>
        <v>กลาง</v>
      </c>
      <c r="AH2475" s="3" t="str">
        <f>IFERROR(__xludf.DUMMYFUNCTION("""COMPUTED_VALUE"""),"#N/A")</f>
        <v>#N/A</v>
      </c>
      <c r="AI2475" s="3" t="str">
        <f>IFERROR(__xludf.DUMMYFUNCTION("""COMPUTED_VALUE"""),"Out of warranty")</f>
        <v>Out of warranty</v>
      </c>
      <c r="AJ2475" s="3">
        <f>IFERROR(__xludf.DUMMYFUNCTION("""COMPUTED_VALUE"""),49.0)</f>
        <v>49</v>
      </c>
      <c r="AK2475" s="3"/>
      <c r="AL2475" s="3"/>
    </row>
    <row r="2476" ht="15.75" customHeight="1">
      <c r="A2476" s="1" t="str">
        <f>IFERROR(__xludf.DUMMYFUNCTION("""COMPUTED_VALUE"""),"83201")</f>
        <v>83201</v>
      </c>
      <c r="B2476" s="2">
        <f>IFERROR(__xludf.DUMMYFUNCTION("""COMPUTED_VALUE"""),83201.0)</f>
        <v>83201</v>
      </c>
      <c r="C2476" s="3" t="str">
        <f>IFERROR(__xludf.DUMMYFUNCTION("""COMPUTED_VALUE"""),"ร้าน ล้าน…โกะ (ร้านเจ้โก๊ะ)")</f>
        <v>ร้าน ล้าน…โกะ (ร้านเจ้โก๊ะ)</v>
      </c>
      <c r="D2476" s="3" t="str">
        <f>IFERROR(__xludf.DUMMYFUNCTION("""COMPUTED_VALUE"""),"ร้าน ล้าน…โกะ (ร้านเจ้โก๊ะ)")</f>
        <v>ร้าน ล้าน…โกะ (ร้านเจ้โก๊ะ)</v>
      </c>
      <c r="E2476" s="1" t="str">
        <f>IFERROR(__xludf.DUMMYFUNCTION("""COMPUTED_VALUE"""),"Donjai")</f>
        <v>Donjai</v>
      </c>
      <c r="F2476" s="1" t="str">
        <f>IFERROR(__xludf.DUMMYFUNCTION("""COMPUTED_VALUE"""),"296945")</f>
        <v>296945</v>
      </c>
      <c r="G2476" s="1" t="str">
        <f>IFERROR(__xludf.DUMMYFUNCTION("""COMPUTED_VALUE"""),"นายรักพงศ์ พงศ์พันธ์งาม")</f>
        <v>นายรักพงศ์ พงศ์พันธ์งาม</v>
      </c>
      <c r="H2476" s="1" t="str">
        <f>IFERROR(__xludf.DUMMYFUNCTION("""COMPUTED_VALUE"""),"296945")</f>
        <v>296945</v>
      </c>
      <c r="I2476" s="1" t="str">
        <f>IFERROR(__xludf.DUMMYFUNCTION("""COMPUTED_VALUE"""),"นายรักพงศ์ พงศ์พันธ์งาม")</f>
        <v>นายรักพงศ์ พงศ์พันธ์งาม</v>
      </c>
      <c r="J2476" s="3">
        <f>IFERROR(__xludf.DUMMYFUNCTION("""COMPUTED_VALUE"""),228031.0)</f>
        <v>228031</v>
      </c>
      <c r="K2476" s="3" t="str">
        <f>IFERROR(__xludf.DUMMYFUNCTION("""COMPUTED_VALUE"""),"นายธนพงษ์ วันหมัด")</f>
        <v>นายธนพงษ์ วันหมัด</v>
      </c>
      <c r="L2476" s="1" t="str">
        <f>IFERROR(__xludf.DUMMYFUNCTION("""COMPUTED_VALUE"""),"นายธนพงษ์ วันหมัด")</f>
        <v>นายธนพงษ์ วันหมัด</v>
      </c>
      <c r="M2476" s="1" t="str">
        <f>IFERROR(__xludf.DUMMYFUNCTION("""COMPUTED_VALUE"""),"0813716913")</f>
        <v>0813716913</v>
      </c>
      <c r="N2476" s="3">
        <f>IFERROR(__xludf.DUMMYFUNCTION("""COMPUTED_VALUE"""),83201.0)</f>
        <v>83201</v>
      </c>
      <c r="O2476" s="3" t="str">
        <f>IFERROR(__xludf.DUMMYFUNCTION("""COMPUTED_VALUE"""),"ร้าน ล้าน…โกะ (ร้านเจ้โก๊ะ)")</f>
        <v>ร้าน ล้าน…โกะ (ร้านเจ้โก๊ะ)</v>
      </c>
      <c r="P2476" s="4">
        <f>IFERROR(__xludf.DUMMYFUNCTION("""COMPUTED_VALUE"""),44582.0)</f>
        <v>44582</v>
      </c>
      <c r="Q2476" s="3" t="str">
        <f>IFERROR(__xludf.DUMMYFUNCTION("""COMPUTED_VALUE"""),"I")</f>
        <v>I</v>
      </c>
      <c r="R2476" s="3" t="str">
        <f>IFERROR(__xludf.DUMMYFUNCTION("""COMPUTED_VALUE"""),"Small Format")</f>
        <v>Small Format</v>
      </c>
      <c r="S2476" s="3" t="str">
        <f>IFERROR(__xludf.DUMMYFUNCTION("""COMPUTED_VALUE"""),"Donjai")</f>
        <v>Donjai</v>
      </c>
      <c r="T2476" s="3">
        <f>IFERROR(__xludf.DUMMYFUNCTION("""COMPUTED_VALUE"""),0.0)</f>
        <v>0</v>
      </c>
      <c r="U2476" s="3">
        <f>IFERROR(__xludf.DUMMYFUNCTION("""COMPUTED_VALUE"""),0.0)</f>
        <v>0</v>
      </c>
      <c r="V2476" s="3" t="str">
        <f>IFERROR(__xludf.DUMMYFUNCTION("""COMPUTED_VALUE"""),"N")</f>
        <v>N</v>
      </c>
      <c r="W2476" s="3"/>
      <c r="X2476" s="3" t="str">
        <f>IFERROR(__xludf.DUMMYFUNCTION("""COMPUTED_VALUE"""),"27/63 หมู่ 3 ต.เพ อ.เมือง จ.ระยอง")</f>
        <v>27/63 หมู่ 3 ต.เพ อ.เมือง จ.ระยอง</v>
      </c>
      <c r="Y2476" s="3"/>
      <c r="Z2476" s="3">
        <f>IFERROR(__xludf.DUMMYFUNCTION("""COMPUTED_VALUE"""),0.0)</f>
        <v>0</v>
      </c>
      <c r="AA2476" s="3">
        <f>IFERROR(__xludf.DUMMYFUNCTION("""COMPUTED_VALUE"""),0.0)</f>
        <v>0</v>
      </c>
      <c r="AB2476" s="3" t="str">
        <f>IFERROR(__xludf.DUMMYFUNCTION("""COMPUTED_VALUE"""),"ระยอง")</f>
        <v>ระยอง</v>
      </c>
      <c r="AC2476" s="3">
        <f>IFERROR(__xludf.DUMMYFUNCTION("""COMPUTED_VALUE"""),0.0)</f>
        <v>0</v>
      </c>
      <c r="AD2476" s="3"/>
      <c r="AE2476" s="3"/>
      <c r="AF2476" s="3" t="str">
        <f>IFERROR(__xludf.DUMMYFUNCTION("""COMPUTED_VALUE"""),"ร้าน ล้าน…โกะ (ร้านเจ้โก๊ะ)-83201")</f>
        <v>ร้าน ล้าน…โกะ (ร้านเจ้โก๊ะ)-83201</v>
      </c>
      <c r="AG2476" s="3" t="str">
        <f>IFERROR(__xludf.DUMMYFUNCTION("""COMPUTED_VALUE"""),"ตะวันออก")</f>
        <v>ตะวันออก</v>
      </c>
      <c r="AH2476" s="3" t="str">
        <f>IFERROR(__xludf.DUMMYFUNCTION("""COMPUTED_VALUE"""),"#N/A")</f>
        <v>#N/A</v>
      </c>
      <c r="AI2476" s="3" t="str">
        <f>IFERROR(__xludf.DUMMYFUNCTION("""COMPUTED_VALUE"""),"Out of warranty")</f>
        <v>Out of warranty</v>
      </c>
      <c r="AJ2476" s="3">
        <f>IFERROR(__xludf.DUMMYFUNCTION("""COMPUTED_VALUE"""),48.0)</f>
        <v>48</v>
      </c>
      <c r="AK2476" s="3"/>
      <c r="AL2476" s="3"/>
    </row>
    <row r="2477" ht="15.75" customHeight="1">
      <c r="A2477" s="1" t="str">
        <f>IFERROR(__xludf.DUMMYFUNCTION("""COMPUTED_VALUE"""),"83202")</f>
        <v>83202</v>
      </c>
      <c r="B2477" s="2">
        <f>IFERROR(__xludf.DUMMYFUNCTION("""COMPUTED_VALUE"""),83202.0)</f>
        <v>83202</v>
      </c>
      <c r="C2477" s="3" t="str">
        <f>IFERROR(__xludf.DUMMYFUNCTION("""COMPUTED_VALUE"""),"ร้าน Water Shop")</f>
        <v>ร้าน Water Shop</v>
      </c>
      <c r="D2477" s="3" t="str">
        <f>IFERROR(__xludf.DUMMYFUNCTION("""COMPUTED_VALUE"""),"ร้าน Water Shop")</f>
        <v>ร้าน Water Shop</v>
      </c>
      <c r="E2477" s="1" t="str">
        <f>IFERROR(__xludf.DUMMYFUNCTION("""COMPUTED_VALUE"""),"Donjai")</f>
        <v>Donjai</v>
      </c>
      <c r="F2477" s="1" t="str">
        <f>IFERROR(__xludf.DUMMYFUNCTION("""COMPUTED_VALUE"""),"025324")</f>
        <v>025324</v>
      </c>
      <c r="G2477" s="1" t="str">
        <f>IFERROR(__xludf.DUMMYFUNCTION("""COMPUTED_VALUE"""),"นายวิเชฎฐ์ ติรัตนะประคม")</f>
        <v>นายวิเชฎฐ์ ติรัตนะประคม</v>
      </c>
      <c r="H2477" s="1" t="str">
        <f>IFERROR(__xludf.DUMMYFUNCTION("""COMPUTED_VALUE"""),"025324")</f>
        <v>025324</v>
      </c>
      <c r="I2477" s="1" t="str">
        <f>IFERROR(__xludf.DUMMYFUNCTION("""COMPUTED_VALUE"""),"นายวิเชฎฐ์ ติรัตนะประคม")</f>
        <v>นายวิเชฎฐ์ ติรัตนะประคม</v>
      </c>
      <c r="J2477" s="3">
        <f>IFERROR(__xludf.DUMMYFUNCTION("""COMPUTED_VALUE"""),295541.0)</f>
        <v>295541</v>
      </c>
      <c r="K2477" s="3" t="str">
        <f>IFERROR(__xludf.DUMMYFUNCTION("""COMPUTED_VALUE"""),"นายรพิพล ศรีมาตย์")</f>
        <v>นายรพิพล ศรีมาตย์</v>
      </c>
      <c r="L2477" s="1" t="str">
        <f>IFERROR(__xludf.DUMMYFUNCTION("""COMPUTED_VALUE"""),"นายรพิพล ศรีมาตย์")</f>
        <v>นายรพิพล ศรีมาตย์</v>
      </c>
      <c r="M2477" s="1" t="str">
        <f>IFERROR(__xludf.DUMMYFUNCTION("""COMPUTED_VALUE"""),"0613966115")</f>
        <v>0613966115</v>
      </c>
      <c r="N2477" s="3">
        <f>IFERROR(__xludf.DUMMYFUNCTION("""COMPUTED_VALUE"""),83202.0)</f>
        <v>83202</v>
      </c>
      <c r="O2477" s="3" t="str">
        <f>IFERROR(__xludf.DUMMYFUNCTION("""COMPUTED_VALUE"""),"ร้าน Water Shop")</f>
        <v>ร้าน Water Shop</v>
      </c>
      <c r="P2477" s="4">
        <f>IFERROR(__xludf.DUMMYFUNCTION("""COMPUTED_VALUE"""),44555.0)</f>
        <v>44555</v>
      </c>
      <c r="Q2477" s="3" t="str">
        <f>IFERROR(__xludf.DUMMYFUNCTION("""COMPUTED_VALUE"""),"I")</f>
        <v>I</v>
      </c>
      <c r="R2477" s="3" t="str">
        <f>IFERROR(__xludf.DUMMYFUNCTION("""COMPUTED_VALUE"""),"Small Format")</f>
        <v>Small Format</v>
      </c>
      <c r="S2477" s="3" t="str">
        <f>IFERROR(__xludf.DUMMYFUNCTION("""COMPUTED_VALUE"""),"Donjai")</f>
        <v>Donjai</v>
      </c>
      <c r="T2477" s="3" t="str">
        <f>IFERROR(__xludf.DUMMYFUNCTION("""COMPUTED_VALUE"""),"14 K.Wichet T.")</f>
        <v>14 K.Wichet T.</v>
      </c>
      <c r="U2477" s="3" t="str">
        <f>IFERROR(__xludf.DUMMYFUNCTION("""COMPUTED_VALUE"""),"14 K.Wichet T.")</f>
        <v>14 K.Wichet T.</v>
      </c>
      <c r="V2477" s="3" t="str">
        <f>IFERROR(__xludf.DUMMYFUNCTION("""COMPUTED_VALUE"""),"N")</f>
        <v>N</v>
      </c>
      <c r="W2477" s="3"/>
      <c r="X2477" s="3" t="str">
        <f>IFERROR(__xludf.DUMMYFUNCTION("""COMPUTED_VALUE"""),"124/433-436 หมู่บ้านศรีสุชาติแกรนด์วิว2 ถ.ทุ่งคา-ควนดินแดง ต.รัษฎา อ.เมือง จ. ภูเก็ต 83000")</f>
        <v>124/433-436 หมู่บ้านศรีสุชาติแกรนด์วิว2 ถ.ทุ่งคา-ควนดินแดง ต.รัษฎา อ.เมือง จ. ภูเก็ต 83000</v>
      </c>
      <c r="Y2477" s="3"/>
      <c r="Z2477" s="3">
        <f>IFERROR(__xludf.DUMMYFUNCTION("""COMPUTED_VALUE"""),0.0)</f>
        <v>0</v>
      </c>
      <c r="AA2477" s="3">
        <f>IFERROR(__xludf.DUMMYFUNCTION("""COMPUTED_VALUE"""),0.0)</f>
        <v>0</v>
      </c>
      <c r="AB2477" s="3" t="str">
        <f>IFERROR(__xludf.DUMMYFUNCTION("""COMPUTED_VALUE"""),"ภูเก็ต")</f>
        <v>ภูเก็ต</v>
      </c>
      <c r="AC2477" s="3">
        <f>IFERROR(__xludf.DUMMYFUNCTION("""COMPUTED_VALUE"""),83000.0)</f>
        <v>83000</v>
      </c>
      <c r="AD2477" s="3"/>
      <c r="AE2477" s="3"/>
      <c r="AF2477" s="3" t="str">
        <f>IFERROR(__xludf.DUMMYFUNCTION("""COMPUTED_VALUE"""),"ร้าน Water Shop-83202")</f>
        <v>ร้าน Water Shop-83202</v>
      </c>
      <c r="AG2477" s="3" t="str">
        <f>IFERROR(__xludf.DUMMYFUNCTION("""COMPUTED_VALUE"""),"ใต้")</f>
        <v>ใต้</v>
      </c>
      <c r="AH2477" s="3" t="str">
        <f>IFERROR(__xludf.DUMMYFUNCTION("""COMPUTED_VALUE"""),"#N/A")</f>
        <v>#N/A</v>
      </c>
      <c r="AI2477" s="3" t="str">
        <f>IFERROR(__xludf.DUMMYFUNCTION("""COMPUTED_VALUE"""),"Out of warranty")</f>
        <v>Out of warranty</v>
      </c>
      <c r="AJ2477" s="3">
        <f>IFERROR(__xludf.DUMMYFUNCTION("""COMPUTED_VALUE"""),49.0)</f>
        <v>49</v>
      </c>
      <c r="AK2477" s="3"/>
      <c r="AL2477" s="3"/>
    </row>
    <row r="2478" ht="15.75" customHeight="1">
      <c r="A2478" s="1" t="str">
        <f>IFERROR(__xludf.DUMMYFUNCTION("""COMPUTED_VALUE"""),"83203")</f>
        <v>83203</v>
      </c>
      <c r="B2478" s="2">
        <f>IFERROR(__xludf.DUMMYFUNCTION("""COMPUTED_VALUE"""),83203.0)</f>
        <v>83203</v>
      </c>
      <c r="C2478" s="3" t="str">
        <f>IFERROR(__xludf.DUMMYFUNCTION("""COMPUTED_VALUE"""),"ร้านจับฉ่าย")</f>
        <v>ร้านจับฉ่าย</v>
      </c>
      <c r="D2478" s="3" t="str">
        <f>IFERROR(__xludf.DUMMYFUNCTION("""COMPUTED_VALUE"""),"ร้านจับฉ่าย")</f>
        <v>ร้านจับฉ่าย</v>
      </c>
      <c r="E2478" s="1" t="str">
        <f>IFERROR(__xludf.DUMMYFUNCTION("""COMPUTED_VALUE"""),"Donjai")</f>
        <v>Donjai</v>
      </c>
      <c r="F2478" s="1" t="str">
        <f>IFERROR(__xludf.DUMMYFUNCTION("""COMPUTED_VALUE"""),"296945")</f>
        <v>296945</v>
      </c>
      <c r="G2478" s="1" t="str">
        <f>IFERROR(__xludf.DUMMYFUNCTION("""COMPUTED_VALUE"""),"นายรักพงศ์ พงศ์พันธ์งาม")</f>
        <v>นายรักพงศ์ พงศ์พันธ์งาม</v>
      </c>
      <c r="H2478" s="1" t="str">
        <f>IFERROR(__xludf.DUMMYFUNCTION("""COMPUTED_VALUE"""),"296945")</f>
        <v>296945</v>
      </c>
      <c r="I2478" s="1" t="str">
        <f>IFERROR(__xludf.DUMMYFUNCTION("""COMPUTED_VALUE"""),"นายรักพงศ์ พงศ์พันธ์งาม")</f>
        <v>นายรักพงศ์ พงศ์พันธ์งาม</v>
      </c>
      <c r="J2478" s="3">
        <f>IFERROR(__xludf.DUMMYFUNCTION("""COMPUTED_VALUE"""),228031.0)</f>
        <v>228031</v>
      </c>
      <c r="K2478" s="3" t="str">
        <f>IFERROR(__xludf.DUMMYFUNCTION("""COMPUTED_VALUE"""),"นายธนพงษ์ วันหมัด")</f>
        <v>นายธนพงษ์ วันหมัด</v>
      </c>
      <c r="L2478" s="1" t="str">
        <f>IFERROR(__xludf.DUMMYFUNCTION("""COMPUTED_VALUE"""),"นายธนพงษ์ วันหมัด")</f>
        <v>นายธนพงษ์ วันหมัด</v>
      </c>
      <c r="M2478" s="1" t="str">
        <f>IFERROR(__xludf.DUMMYFUNCTION("""COMPUTED_VALUE"""),"0813716913")</f>
        <v>0813716913</v>
      </c>
      <c r="N2478" s="3">
        <f>IFERROR(__xludf.DUMMYFUNCTION("""COMPUTED_VALUE"""),83203.0)</f>
        <v>83203</v>
      </c>
      <c r="O2478" s="3" t="str">
        <f>IFERROR(__xludf.DUMMYFUNCTION("""COMPUTED_VALUE"""),"ร้านจับฉ่าย")</f>
        <v>ร้านจับฉ่าย</v>
      </c>
      <c r="P2478" s="4">
        <f>IFERROR(__xludf.DUMMYFUNCTION("""COMPUTED_VALUE"""),44558.0)</f>
        <v>44558</v>
      </c>
      <c r="Q2478" s="3" t="str">
        <f>IFERROR(__xludf.DUMMYFUNCTION("""COMPUTED_VALUE"""),"I")</f>
        <v>I</v>
      </c>
      <c r="R2478" s="3" t="str">
        <f>IFERROR(__xludf.DUMMYFUNCTION("""COMPUTED_VALUE"""),"Small Format")</f>
        <v>Small Format</v>
      </c>
      <c r="S2478" s="3" t="str">
        <f>IFERROR(__xludf.DUMMYFUNCTION("""COMPUTED_VALUE"""),"Donjai")</f>
        <v>Donjai</v>
      </c>
      <c r="T2478" s="3">
        <f>IFERROR(__xludf.DUMMYFUNCTION("""COMPUTED_VALUE"""),0.0)</f>
        <v>0</v>
      </c>
      <c r="U2478" s="3">
        <f>IFERROR(__xludf.DUMMYFUNCTION("""COMPUTED_VALUE"""),0.0)</f>
        <v>0</v>
      </c>
      <c r="V2478" s="3" t="str">
        <f>IFERROR(__xludf.DUMMYFUNCTION("""COMPUTED_VALUE"""),"N")</f>
        <v>N</v>
      </c>
      <c r="W2478" s="3"/>
      <c r="X2478" s="3" t="str">
        <f>IFERROR(__xludf.DUMMYFUNCTION("""COMPUTED_VALUE"""),"51/12 หมู่ 8 ต.สัตหีบ อ. สัตหีบ จ. ชลบุรี")</f>
        <v>51/12 หมู่ 8 ต.สัตหีบ อ. สัตหีบ จ. ชลบุรี</v>
      </c>
      <c r="Y2478" s="3"/>
      <c r="Z2478" s="3">
        <f>IFERROR(__xludf.DUMMYFUNCTION("""COMPUTED_VALUE"""),0.0)</f>
        <v>0</v>
      </c>
      <c r="AA2478" s="3">
        <f>IFERROR(__xludf.DUMMYFUNCTION("""COMPUTED_VALUE"""),0.0)</f>
        <v>0</v>
      </c>
      <c r="AB2478" s="3" t="str">
        <f>IFERROR(__xludf.DUMMYFUNCTION("""COMPUTED_VALUE"""),"ชลบุรี")</f>
        <v>ชลบุรี</v>
      </c>
      <c r="AC2478" s="3">
        <f>IFERROR(__xludf.DUMMYFUNCTION("""COMPUTED_VALUE"""),0.0)</f>
        <v>0</v>
      </c>
      <c r="AD2478" s="3"/>
      <c r="AE2478" s="3"/>
      <c r="AF2478" s="3" t="str">
        <f>IFERROR(__xludf.DUMMYFUNCTION("""COMPUTED_VALUE"""),"ร้านจับฉ่าย-83203")</f>
        <v>ร้านจับฉ่าย-83203</v>
      </c>
      <c r="AG2478" s="3" t="str">
        <f>IFERROR(__xludf.DUMMYFUNCTION("""COMPUTED_VALUE"""),"ตะวันออก")</f>
        <v>ตะวันออก</v>
      </c>
      <c r="AH2478" s="3" t="str">
        <f>IFERROR(__xludf.DUMMYFUNCTION("""COMPUTED_VALUE"""),"#N/A")</f>
        <v>#N/A</v>
      </c>
      <c r="AI2478" s="3" t="str">
        <f>IFERROR(__xludf.DUMMYFUNCTION("""COMPUTED_VALUE"""),"Out of warranty")</f>
        <v>Out of warranty</v>
      </c>
      <c r="AJ2478" s="3">
        <f>IFERROR(__xludf.DUMMYFUNCTION("""COMPUTED_VALUE"""),49.0)</f>
        <v>49</v>
      </c>
      <c r="AK2478" s="3"/>
      <c r="AL2478" s="3"/>
    </row>
    <row r="2479" ht="15.75" customHeight="1">
      <c r="A2479" s="1" t="str">
        <f>IFERROR(__xludf.DUMMYFUNCTION("""COMPUTED_VALUE"""),"83206")</f>
        <v>83206</v>
      </c>
      <c r="B2479" s="2">
        <f>IFERROR(__xludf.DUMMYFUNCTION("""COMPUTED_VALUE"""),83206.0)</f>
        <v>83206</v>
      </c>
      <c r="C2479" s="3" t="str">
        <f>IFERROR(__xludf.DUMMYFUNCTION("""COMPUTED_VALUE"""),"ร้าน บอส-โบ แยกเจ")</f>
        <v>ร้าน บอส-โบ แยกเจ</v>
      </c>
      <c r="D2479" s="3" t="str">
        <f>IFERROR(__xludf.DUMMYFUNCTION("""COMPUTED_VALUE"""),"ร้าน บอส-โบ แยกเจ")</f>
        <v>ร้าน บอส-โบ แยกเจ</v>
      </c>
      <c r="E2479" s="1" t="str">
        <f>IFERROR(__xludf.DUMMYFUNCTION("""COMPUTED_VALUE"""),"Donjai")</f>
        <v>Donjai</v>
      </c>
      <c r="F2479" s="1" t="str">
        <f>IFERROR(__xludf.DUMMYFUNCTION("""COMPUTED_VALUE"""),"296945")</f>
        <v>296945</v>
      </c>
      <c r="G2479" s="1" t="str">
        <f>IFERROR(__xludf.DUMMYFUNCTION("""COMPUTED_VALUE"""),"นายรักพงศ์ พงศ์พันธ์งาม")</f>
        <v>นายรักพงศ์ พงศ์พันธ์งาม</v>
      </c>
      <c r="H2479" s="1" t="str">
        <f>IFERROR(__xludf.DUMMYFUNCTION("""COMPUTED_VALUE"""),"296945")</f>
        <v>296945</v>
      </c>
      <c r="I2479" s="1" t="str">
        <f>IFERROR(__xludf.DUMMYFUNCTION("""COMPUTED_VALUE"""),"นายรักพงศ์ พงศ์พันธ์งาม")</f>
        <v>นายรักพงศ์ พงศ์พันธ์งาม</v>
      </c>
      <c r="J2479" s="3">
        <f>IFERROR(__xludf.DUMMYFUNCTION("""COMPUTED_VALUE"""),228031.0)</f>
        <v>228031</v>
      </c>
      <c r="K2479" s="3" t="str">
        <f>IFERROR(__xludf.DUMMYFUNCTION("""COMPUTED_VALUE"""),"นายธนพงษ์ วันหมัด")</f>
        <v>นายธนพงษ์ วันหมัด</v>
      </c>
      <c r="L2479" s="1" t="str">
        <f>IFERROR(__xludf.DUMMYFUNCTION("""COMPUTED_VALUE"""),"นายธนพงษ์ วันหมัด")</f>
        <v>นายธนพงษ์ วันหมัด</v>
      </c>
      <c r="M2479" s="1" t="str">
        <f>IFERROR(__xludf.DUMMYFUNCTION("""COMPUTED_VALUE"""),"0813716913")</f>
        <v>0813716913</v>
      </c>
      <c r="N2479" s="3">
        <f>IFERROR(__xludf.DUMMYFUNCTION("""COMPUTED_VALUE"""),83206.0)</f>
        <v>83206</v>
      </c>
      <c r="O2479" s="3" t="str">
        <f>IFERROR(__xludf.DUMMYFUNCTION("""COMPUTED_VALUE"""),"ร้าน บอส-โบ แยกเจ")</f>
        <v>ร้าน บอส-โบ แยกเจ</v>
      </c>
      <c r="P2479" s="4">
        <f>IFERROR(__xludf.DUMMYFUNCTION("""COMPUTED_VALUE"""),44557.0)</f>
        <v>44557</v>
      </c>
      <c r="Q2479" s="3" t="str">
        <f>IFERROR(__xludf.DUMMYFUNCTION("""COMPUTED_VALUE"""),"I")</f>
        <v>I</v>
      </c>
      <c r="R2479" s="3" t="str">
        <f>IFERROR(__xludf.DUMMYFUNCTION("""COMPUTED_VALUE"""),"Small Format")</f>
        <v>Small Format</v>
      </c>
      <c r="S2479" s="3" t="str">
        <f>IFERROR(__xludf.DUMMYFUNCTION("""COMPUTED_VALUE"""),"Donjai")</f>
        <v>Donjai</v>
      </c>
      <c r="T2479" s="3">
        <f>IFERROR(__xludf.DUMMYFUNCTION("""COMPUTED_VALUE"""),0.0)</f>
        <v>0</v>
      </c>
      <c r="U2479" s="3">
        <f>IFERROR(__xludf.DUMMYFUNCTION("""COMPUTED_VALUE"""),0.0)</f>
        <v>0</v>
      </c>
      <c r="V2479" s="3" t="str">
        <f>IFERROR(__xludf.DUMMYFUNCTION("""COMPUTED_VALUE"""),"N")</f>
        <v>N</v>
      </c>
      <c r="W2479" s="3"/>
      <c r="X2479" s="3" t="str">
        <f>IFERROR(__xludf.DUMMYFUNCTION("""COMPUTED_VALUE"""),"155/5-6 หมู่ที่ 9 ต.สัตหีบ อ.สัตหีบ จ.ชลบุรี")</f>
        <v>155/5-6 หมู่ที่ 9 ต.สัตหีบ อ.สัตหีบ จ.ชลบุรี</v>
      </c>
      <c r="Y2479" s="3"/>
      <c r="Z2479" s="3">
        <f>IFERROR(__xludf.DUMMYFUNCTION("""COMPUTED_VALUE"""),0.0)</f>
        <v>0</v>
      </c>
      <c r="AA2479" s="3">
        <f>IFERROR(__xludf.DUMMYFUNCTION("""COMPUTED_VALUE"""),0.0)</f>
        <v>0</v>
      </c>
      <c r="AB2479" s="3" t="str">
        <f>IFERROR(__xludf.DUMMYFUNCTION("""COMPUTED_VALUE"""),"ชลบุรี")</f>
        <v>ชลบุรี</v>
      </c>
      <c r="AC2479" s="3">
        <f>IFERROR(__xludf.DUMMYFUNCTION("""COMPUTED_VALUE"""),0.0)</f>
        <v>0</v>
      </c>
      <c r="AD2479" s="3"/>
      <c r="AE2479" s="3"/>
      <c r="AF2479" s="3" t="str">
        <f>IFERROR(__xludf.DUMMYFUNCTION("""COMPUTED_VALUE"""),"ร้าน บอส-โบ แยกเจ-83206")</f>
        <v>ร้าน บอส-โบ แยกเจ-83206</v>
      </c>
      <c r="AG2479" s="3" t="str">
        <f>IFERROR(__xludf.DUMMYFUNCTION("""COMPUTED_VALUE"""),"ตะวันออก")</f>
        <v>ตะวันออก</v>
      </c>
      <c r="AH2479" s="3" t="str">
        <f>IFERROR(__xludf.DUMMYFUNCTION("""COMPUTED_VALUE"""),"#N/A")</f>
        <v>#N/A</v>
      </c>
      <c r="AI2479" s="3" t="str">
        <f>IFERROR(__xludf.DUMMYFUNCTION("""COMPUTED_VALUE"""),"Out of warranty")</f>
        <v>Out of warranty</v>
      </c>
      <c r="AJ2479" s="3">
        <f>IFERROR(__xludf.DUMMYFUNCTION("""COMPUTED_VALUE"""),49.0)</f>
        <v>49</v>
      </c>
      <c r="AK2479" s="3"/>
      <c r="AL2479" s="3"/>
    </row>
    <row r="2480" ht="15.75" customHeight="1">
      <c r="A2480" s="1" t="str">
        <f>IFERROR(__xludf.DUMMYFUNCTION("""COMPUTED_VALUE"""),"83207")</f>
        <v>83207</v>
      </c>
      <c r="B2480" s="2">
        <f>IFERROR(__xludf.DUMMYFUNCTION("""COMPUTED_VALUE"""),83207.0)</f>
        <v>83207</v>
      </c>
      <c r="C2480" s="3" t="str">
        <f>IFERROR(__xludf.DUMMYFUNCTION("""COMPUTED_VALUE"""),"ร้านปู่อ๊อด 2502 มินิมาร์ท")</f>
        <v>ร้านปู่อ๊อด 2502 มินิมาร์ท</v>
      </c>
      <c r="D2480" s="3" t="str">
        <f>IFERROR(__xludf.DUMMYFUNCTION("""COMPUTED_VALUE"""),"ร้านปู่อ๊อด 2502 มินิมาร์ท")</f>
        <v>ร้านปู่อ๊อด 2502 มินิมาร์ท</v>
      </c>
      <c r="E2480" s="1" t="str">
        <f>IFERROR(__xludf.DUMMYFUNCTION("""COMPUTED_VALUE"""),"Donjai")</f>
        <v>Donjai</v>
      </c>
      <c r="F2480" s="1" t="str">
        <f>IFERROR(__xludf.DUMMYFUNCTION("""COMPUTED_VALUE"""),"2451655")</f>
        <v>2451655</v>
      </c>
      <c r="G2480" s="1" t="str">
        <f>IFERROR(__xludf.DUMMYFUNCTION("""COMPUTED_VALUE"""),"นายวิษณุพงษ์ ชินบุตร")</f>
        <v>นายวิษณุพงษ์ ชินบุตร</v>
      </c>
      <c r="H2480" s="1" t="str">
        <f>IFERROR(__xludf.DUMMYFUNCTION("""COMPUTED_VALUE"""),"2451655")</f>
        <v>2451655</v>
      </c>
      <c r="I2480" s="1" t="str">
        <f>IFERROR(__xludf.DUMMYFUNCTION("""COMPUTED_VALUE"""),"นายวิษณุพงษ์ ชินบุตร")</f>
        <v>นายวิษณุพงษ์ ชินบุตร</v>
      </c>
      <c r="J2480" s="3">
        <f>IFERROR(__xludf.DUMMYFUNCTION("""COMPUTED_VALUE"""),228031.0)</f>
        <v>228031</v>
      </c>
      <c r="K2480" s="3" t="str">
        <f>IFERROR(__xludf.DUMMYFUNCTION("""COMPUTED_VALUE"""),"นายธนพงษ์ วันหมัด")</f>
        <v>นายธนพงษ์ วันหมัด</v>
      </c>
      <c r="L2480" s="1" t="str">
        <f>IFERROR(__xludf.DUMMYFUNCTION("""COMPUTED_VALUE"""),"นายธนพงษ์ วันหมัด")</f>
        <v>นายธนพงษ์ วันหมัด</v>
      </c>
      <c r="M2480" s="1" t="str">
        <f>IFERROR(__xludf.DUMMYFUNCTION("""COMPUTED_VALUE"""),"0813716913")</f>
        <v>0813716913</v>
      </c>
      <c r="N2480" s="3">
        <f>IFERROR(__xludf.DUMMYFUNCTION("""COMPUTED_VALUE"""),83207.0)</f>
        <v>83207</v>
      </c>
      <c r="O2480" s="3" t="str">
        <f>IFERROR(__xludf.DUMMYFUNCTION("""COMPUTED_VALUE"""),"ร้านปู่อ๊อด 2502 มินิมาร์ท")</f>
        <v>ร้านปู่อ๊อด 2502 มินิมาร์ท</v>
      </c>
      <c r="P2480" s="4">
        <f>IFERROR(__xludf.DUMMYFUNCTION("""COMPUTED_VALUE"""),44555.0)</f>
        <v>44555</v>
      </c>
      <c r="Q2480" s="3" t="str">
        <f>IFERROR(__xludf.DUMMYFUNCTION("""COMPUTED_VALUE"""),"A")</f>
        <v>A</v>
      </c>
      <c r="R2480" s="3" t="str">
        <f>IFERROR(__xludf.DUMMYFUNCTION("""COMPUTED_VALUE"""),"Small Format")</f>
        <v>Small Format</v>
      </c>
      <c r="S2480" s="3" t="str">
        <f>IFERROR(__xludf.DUMMYFUNCTION("""COMPUTED_VALUE"""),"Donjai")</f>
        <v>Donjai</v>
      </c>
      <c r="T2480" s="3" t="str">
        <f>IFERROR(__xludf.DUMMYFUNCTION("""COMPUTED_VALUE"""),"13 K.Wisanupong Ch")</f>
        <v>13 K.Wisanupong Ch</v>
      </c>
      <c r="U2480" s="3" t="str">
        <f>IFERROR(__xludf.DUMMYFUNCTION("""COMPUTED_VALUE"""),"13 K.Wisanupong Ch")</f>
        <v>13 K.Wisanupong Ch</v>
      </c>
      <c r="V2480" s="3" t="str">
        <f>IFERROR(__xludf.DUMMYFUNCTION("""COMPUTED_VALUE"""),"N")</f>
        <v>N</v>
      </c>
      <c r="W2480" s="3"/>
      <c r="X2480" s="3" t="str">
        <f>IFERROR(__xludf.DUMMYFUNCTION("""COMPUTED_VALUE"""),"38 บางน้ำจืด อำเภอเมืองสมุทรสาคร สมุทรสาคร")</f>
        <v>38 บางน้ำจืด อำเภอเมืองสมุทรสาคร สมุทรสาคร</v>
      </c>
      <c r="Y2480" s="3"/>
      <c r="Z2480" s="3">
        <f>IFERROR(__xludf.DUMMYFUNCTION("""COMPUTED_VALUE"""),0.0)</f>
        <v>0</v>
      </c>
      <c r="AA2480" s="3">
        <f>IFERROR(__xludf.DUMMYFUNCTION("""COMPUTED_VALUE"""),0.0)</f>
        <v>0</v>
      </c>
      <c r="AB2480" s="3" t="str">
        <f>IFERROR(__xludf.DUMMYFUNCTION("""COMPUTED_VALUE"""),"สมุทรสาคร")</f>
        <v>สมุทรสาคร</v>
      </c>
      <c r="AC2480" s="3">
        <f>IFERROR(__xludf.DUMMYFUNCTION("""COMPUTED_VALUE"""),0.0)</f>
        <v>0</v>
      </c>
      <c r="AD2480" s="3"/>
      <c r="AE2480" s="3"/>
      <c r="AF2480" s="3" t="str">
        <f>IFERROR(__xludf.DUMMYFUNCTION("""COMPUTED_VALUE"""),"ร้านปู่อ๊อด 2502 มินิมาร์ท-83207")</f>
        <v>ร้านปู่อ๊อด 2502 มินิมาร์ท-83207</v>
      </c>
      <c r="AG2480" s="3" t="str">
        <f>IFERROR(__xludf.DUMMYFUNCTION("""COMPUTED_VALUE"""),"กลาง")</f>
        <v>กลาง</v>
      </c>
      <c r="AH2480" s="3" t="str">
        <f>IFERROR(__xludf.DUMMYFUNCTION("""COMPUTED_VALUE"""),"#N/A")</f>
        <v>#N/A</v>
      </c>
      <c r="AI2480" s="3" t="str">
        <f>IFERROR(__xludf.DUMMYFUNCTION("""COMPUTED_VALUE"""),"Out of warranty")</f>
        <v>Out of warranty</v>
      </c>
      <c r="AJ2480" s="3">
        <f>IFERROR(__xludf.DUMMYFUNCTION("""COMPUTED_VALUE"""),49.0)</f>
        <v>49</v>
      </c>
      <c r="AK2480" s="3"/>
      <c r="AL2480" s="3"/>
    </row>
    <row r="2481" ht="15.75" customHeight="1">
      <c r="A2481" s="1" t="str">
        <f>IFERROR(__xludf.DUMMYFUNCTION("""COMPUTED_VALUE"""),"83208")</f>
        <v>83208</v>
      </c>
      <c r="B2481" s="2">
        <f>IFERROR(__xludf.DUMMYFUNCTION("""COMPUTED_VALUE"""),83208.0)</f>
        <v>83208</v>
      </c>
      <c r="C2481" s="3" t="str">
        <f>IFERROR(__xludf.DUMMYFUNCTION("""COMPUTED_VALUE"""),"ร้านปุณญาดา ( พลอยเงิน )")</f>
        <v>ร้านปุณญาดา ( พลอยเงิน )</v>
      </c>
      <c r="D2481" s="3" t="str">
        <f>IFERROR(__xludf.DUMMYFUNCTION("""COMPUTED_VALUE"""),"ร้านปุณญาดา ( พลอยเงิน )")</f>
        <v>ร้านปุณญาดา ( พลอยเงิน )</v>
      </c>
      <c r="E2481" s="1" t="str">
        <f>IFERROR(__xludf.DUMMYFUNCTION("""COMPUTED_VALUE"""),"Donjai")</f>
        <v>Donjai</v>
      </c>
      <c r="F2481" s="1" t="str">
        <f>IFERROR(__xludf.DUMMYFUNCTION("""COMPUTED_VALUE"""),"2454781")</f>
        <v>2454781</v>
      </c>
      <c r="G2481" s="1" t="str">
        <f>IFERROR(__xludf.DUMMYFUNCTION("""COMPUTED_VALUE"""),"นายฌานกฤช นันทะโคต")</f>
        <v>นายฌานกฤช นันทะโคต</v>
      </c>
      <c r="H2481" s="1" t="str">
        <f>IFERROR(__xludf.DUMMYFUNCTION("""COMPUTED_VALUE"""),"2454781")</f>
        <v>2454781</v>
      </c>
      <c r="I2481" s="1" t="str">
        <f>IFERROR(__xludf.DUMMYFUNCTION("""COMPUTED_VALUE"""),"นายฌานกฤช นันทะโคต")</f>
        <v>นายฌานกฤช นันทะโคต</v>
      </c>
      <c r="J2481" s="3">
        <f>IFERROR(__xludf.DUMMYFUNCTION("""COMPUTED_VALUE"""),295886.0)</f>
        <v>295886</v>
      </c>
      <c r="K2481" s="3" t="str">
        <f>IFERROR(__xludf.DUMMYFUNCTION("""COMPUTED_VALUE"""),"นายจิระพงษ์ โพธิ์นิล")</f>
        <v>นายจิระพงษ์ โพธิ์นิล</v>
      </c>
      <c r="L2481" s="1" t="str">
        <f>IFERROR(__xludf.DUMMYFUNCTION("""COMPUTED_VALUE"""),"นายจิระพงษ์ โพธิ์นิล")</f>
        <v>นายจิระพงษ์ โพธิ์นิล</v>
      </c>
      <c r="M2481" s="1" t="str">
        <f>IFERROR(__xludf.DUMMYFUNCTION("""COMPUTED_VALUE"""),"0933290754")</f>
        <v>0933290754</v>
      </c>
      <c r="N2481" s="3">
        <f>IFERROR(__xludf.DUMMYFUNCTION("""COMPUTED_VALUE"""),83208.0)</f>
        <v>83208</v>
      </c>
      <c r="O2481" s="3" t="str">
        <f>IFERROR(__xludf.DUMMYFUNCTION("""COMPUTED_VALUE"""),"ร้านปุณญาดา ( พลอยเงิน )")</f>
        <v>ร้านปุณญาดา ( พลอยเงิน )</v>
      </c>
      <c r="P2481" s="4">
        <f>IFERROR(__xludf.DUMMYFUNCTION("""COMPUTED_VALUE"""),44559.0)</f>
        <v>44559</v>
      </c>
      <c r="Q2481" s="3" t="str">
        <f>IFERROR(__xludf.DUMMYFUNCTION("""COMPUTED_VALUE"""),"A")</f>
        <v>A</v>
      </c>
      <c r="R2481" s="3" t="str">
        <f>IFERROR(__xludf.DUMMYFUNCTION("""COMPUTED_VALUE"""),"Small Format")</f>
        <v>Small Format</v>
      </c>
      <c r="S2481" s="3" t="str">
        <f>IFERROR(__xludf.DUMMYFUNCTION("""COMPUTED_VALUE"""),"Donjai")</f>
        <v>Donjai</v>
      </c>
      <c r="T2481" s="3" t="str">
        <f>IFERROR(__xludf.DUMMYFUNCTION("""COMPUTED_VALUE"""),"05 K.Chanakrit N.")</f>
        <v>05 K.Chanakrit N.</v>
      </c>
      <c r="U2481" s="3" t="str">
        <f>IFERROR(__xludf.DUMMYFUNCTION("""COMPUTED_VALUE"""),"05 K.Chanakrit N.")</f>
        <v>05 K.Chanakrit N.</v>
      </c>
      <c r="V2481" s="3" t="str">
        <f>IFERROR(__xludf.DUMMYFUNCTION("""COMPUTED_VALUE"""),"N")</f>
        <v>N</v>
      </c>
      <c r="W2481" s="3"/>
      <c r="X2481" s="3" t="str">
        <f>IFERROR(__xludf.DUMMYFUNCTION("""COMPUTED_VALUE"""),"69 ต.สว่าง อ.สว่างวีระวงศ์ จ.อุบลราชธานี 34190")</f>
        <v>69 ต.สว่าง อ.สว่างวีระวงศ์ จ.อุบลราชธานี 34190</v>
      </c>
      <c r="Y2481" s="3"/>
      <c r="Z2481" s="3">
        <f>IFERROR(__xludf.DUMMYFUNCTION("""COMPUTED_VALUE"""),0.0)</f>
        <v>0</v>
      </c>
      <c r="AA2481" s="3">
        <f>IFERROR(__xludf.DUMMYFUNCTION("""COMPUTED_VALUE"""),0.0)</f>
        <v>0</v>
      </c>
      <c r="AB2481" s="3" t="str">
        <f>IFERROR(__xludf.DUMMYFUNCTION("""COMPUTED_VALUE"""),"อุบลราชธานี")</f>
        <v>อุบลราชธานี</v>
      </c>
      <c r="AC2481" s="3">
        <f>IFERROR(__xludf.DUMMYFUNCTION("""COMPUTED_VALUE"""),34190.0)</f>
        <v>34190</v>
      </c>
      <c r="AD2481" s="3"/>
      <c r="AE2481" s="3"/>
      <c r="AF2481" s="3" t="str">
        <f>IFERROR(__xludf.DUMMYFUNCTION("""COMPUTED_VALUE"""),"ร้านปุณญาดา ( พลอยเงิน )-83208")</f>
        <v>ร้านปุณญาดา ( พลอยเงิน )-83208</v>
      </c>
      <c r="AG2481" s="3" t="str">
        <f>IFERROR(__xludf.DUMMYFUNCTION("""COMPUTED_VALUE"""),"ตะวันออกเฉียงเหนือ")</f>
        <v>ตะวันออกเฉียงเหนือ</v>
      </c>
      <c r="AH2481" s="3" t="str">
        <f>IFERROR(__xludf.DUMMYFUNCTION("""COMPUTED_VALUE"""),"#N/A")</f>
        <v>#N/A</v>
      </c>
      <c r="AI2481" s="3" t="str">
        <f>IFERROR(__xludf.DUMMYFUNCTION("""COMPUTED_VALUE"""),"Out of warranty")</f>
        <v>Out of warranty</v>
      </c>
      <c r="AJ2481" s="3">
        <f>IFERROR(__xludf.DUMMYFUNCTION("""COMPUTED_VALUE"""),49.0)</f>
        <v>49</v>
      </c>
      <c r="AK2481" s="3"/>
      <c r="AL2481" s="3"/>
    </row>
    <row r="2482" ht="15.75" customHeight="1">
      <c r="A2482" s="1" t="str">
        <f>IFERROR(__xludf.DUMMYFUNCTION("""COMPUTED_VALUE"""),"83210")</f>
        <v>83210</v>
      </c>
      <c r="B2482" s="2">
        <f>IFERROR(__xludf.DUMMYFUNCTION("""COMPUTED_VALUE"""),83210.0)</f>
        <v>83210</v>
      </c>
      <c r="C2482" s="3" t="str">
        <f>IFERROR(__xludf.DUMMYFUNCTION("""COMPUTED_VALUE"""),"ร้านเอกไฉล นาปัง มินิมาร์ท")</f>
        <v>ร้านเอกไฉล นาปัง มินิมาร์ท</v>
      </c>
      <c r="D2482" s="3" t="str">
        <f>IFERROR(__xludf.DUMMYFUNCTION("""COMPUTED_VALUE"""),"ร้านเอกไฉล นาปัง มินิมาร์ท")</f>
        <v>ร้านเอกไฉล นาปัง มินิมาร์ท</v>
      </c>
      <c r="E2482" s="1" t="str">
        <f>IFERROR(__xludf.DUMMYFUNCTION("""COMPUTED_VALUE"""),"Donjai")</f>
        <v>Donjai</v>
      </c>
      <c r="F2482" s="1" t="str">
        <f>IFERROR(__xludf.DUMMYFUNCTION("""COMPUTED_VALUE"""),"2010016")</f>
        <v>2010016</v>
      </c>
      <c r="G2482" s="1" t="str">
        <f>IFERROR(__xludf.DUMMYFUNCTION("""COMPUTED_VALUE"""),"นายตวงธรรม ใหม่ยศ")</f>
        <v>นายตวงธรรม ใหม่ยศ</v>
      </c>
      <c r="H2482" s="1" t="str">
        <f>IFERROR(__xludf.DUMMYFUNCTION("""COMPUTED_VALUE"""),"2010016")</f>
        <v>2010016</v>
      </c>
      <c r="I2482" s="1" t="str">
        <f>IFERROR(__xludf.DUMMYFUNCTION("""COMPUTED_VALUE"""),"นายตวงธรรม ใหม่ยศ")</f>
        <v>นายตวงธรรม ใหม่ยศ</v>
      </c>
      <c r="J2482" s="3">
        <f>IFERROR(__xludf.DUMMYFUNCTION("""COMPUTED_VALUE"""),295886.0)</f>
        <v>295886</v>
      </c>
      <c r="K2482" s="3" t="str">
        <f>IFERROR(__xludf.DUMMYFUNCTION("""COMPUTED_VALUE"""),"นายจิระพงษ์ โพธิ์นิล")</f>
        <v>นายจิระพงษ์ โพธิ์นิล</v>
      </c>
      <c r="L2482" s="1" t="str">
        <f>IFERROR(__xludf.DUMMYFUNCTION("""COMPUTED_VALUE"""),"นายจิระพงษ์ โพธิ์นิล")</f>
        <v>นายจิระพงษ์ โพธิ์นิล</v>
      </c>
      <c r="M2482" s="1" t="str">
        <f>IFERROR(__xludf.DUMMYFUNCTION("""COMPUTED_VALUE"""),"0933290754")</f>
        <v>0933290754</v>
      </c>
      <c r="N2482" s="3">
        <f>IFERROR(__xludf.DUMMYFUNCTION("""COMPUTED_VALUE"""),83210.0)</f>
        <v>83210</v>
      </c>
      <c r="O2482" s="3" t="str">
        <f>IFERROR(__xludf.DUMMYFUNCTION("""COMPUTED_VALUE"""),"ร้านเอกไฉล นาปัง มินิมาร์ท")</f>
        <v>ร้านเอกไฉล นาปัง มินิมาร์ท</v>
      </c>
      <c r="P2482" s="4">
        <f>IFERROR(__xludf.DUMMYFUNCTION("""COMPUTED_VALUE"""),44583.0)</f>
        <v>44583</v>
      </c>
      <c r="Q2482" s="3" t="str">
        <f>IFERROR(__xludf.DUMMYFUNCTION("""COMPUTED_VALUE"""),"I")</f>
        <v>I</v>
      </c>
      <c r="R2482" s="3" t="str">
        <f>IFERROR(__xludf.DUMMYFUNCTION("""COMPUTED_VALUE"""),"Small Format")</f>
        <v>Small Format</v>
      </c>
      <c r="S2482" s="3" t="str">
        <f>IFERROR(__xludf.DUMMYFUNCTION("""COMPUTED_VALUE"""),"Donjai")</f>
        <v>Donjai</v>
      </c>
      <c r="T2482" s="3" t="str">
        <f>IFERROR(__xludf.DUMMYFUNCTION("""COMPUTED_VALUE"""),"01 K.Tuangtham M.")</f>
        <v>01 K.Tuangtham M.</v>
      </c>
      <c r="U2482" s="3" t="str">
        <f>IFERROR(__xludf.DUMMYFUNCTION("""COMPUTED_VALUE"""),"01 K.Tuangtham M.")</f>
        <v>01 K.Tuangtham M.</v>
      </c>
      <c r="V2482" s="3" t="str">
        <f>IFERROR(__xludf.DUMMYFUNCTION("""COMPUTED_VALUE"""),"N")</f>
        <v>N</v>
      </c>
      <c r="W2482" s="3"/>
      <c r="X2482" s="3" t="str">
        <f>IFERROR(__xludf.DUMMYFUNCTION("""COMPUTED_VALUE"""),"89 หมู่ 2 ต.นาปัง อ.ภูเพียง จ.น่าน 55000")</f>
        <v>89 หมู่ 2 ต.นาปัง อ.ภูเพียง จ.น่าน 55000</v>
      </c>
      <c r="Y2482" s="3"/>
      <c r="Z2482" s="3">
        <f>IFERROR(__xludf.DUMMYFUNCTION("""COMPUTED_VALUE"""),0.0)</f>
        <v>0</v>
      </c>
      <c r="AA2482" s="3">
        <f>IFERROR(__xludf.DUMMYFUNCTION("""COMPUTED_VALUE"""),0.0)</f>
        <v>0</v>
      </c>
      <c r="AB2482" s="3" t="str">
        <f>IFERROR(__xludf.DUMMYFUNCTION("""COMPUTED_VALUE"""),"น่าน")</f>
        <v>น่าน</v>
      </c>
      <c r="AC2482" s="3">
        <f>IFERROR(__xludf.DUMMYFUNCTION("""COMPUTED_VALUE"""),55000.0)</f>
        <v>55000</v>
      </c>
      <c r="AD2482" s="3"/>
      <c r="AE2482" s="3"/>
      <c r="AF2482" s="3" t="str">
        <f>IFERROR(__xludf.DUMMYFUNCTION("""COMPUTED_VALUE"""),"ร้านเอกไฉล นาปัง มินิมาร์ท-83210")</f>
        <v>ร้านเอกไฉล นาปัง มินิมาร์ท-83210</v>
      </c>
      <c r="AG2482" s="3" t="str">
        <f>IFERROR(__xludf.DUMMYFUNCTION("""COMPUTED_VALUE"""),"เหนือ")</f>
        <v>เหนือ</v>
      </c>
      <c r="AH2482" s="3" t="str">
        <f>IFERROR(__xludf.DUMMYFUNCTION("""COMPUTED_VALUE"""),"#N/A")</f>
        <v>#N/A</v>
      </c>
      <c r="AI2482" s="3" t="str">
        <f>IFERROR(__xludf.DUMMYFUNCTION("""COMPUTED_VALUE"""),"Out of warranty")</f>
        <v>Out of warranty</v>
      </c>
      <c r="AJ2482" s="3">
        <f>IFERROR(__xludf.DUMMYFUNCTION("""COMPUTED_VALUE"""),48.0)</f>
        <v>48</v>
      </c>
      <c r="AK2482" s="3"/>
      <c r="AL2482" s="3"/>
    </row>
    <row r="2483" ht="15.75" customHeight="1">
      <c r="A2483" s="1" t="str">
        <f>IFERROR(__xludf.DUMMYFUNCTION("""COMPUTED_VALUE"""),"83211")</f>
        <v>83211</v>
      </c>
      <c r="B2483" s="2">
        <f>IFERROR(__xludf.DUMMYFUNCTION("""COMPUTED_VALUE"""),83211.0)</f>
        <v>83211</v>
      </c>
      <c r="C2483" s="3" t="str">
        <f>IFERROR(__xludf.DUMMYFUNCTION("""COMPUTED_VALUE"""),"คุณอุดม ช็อป")</f>
        <v>คุณอุดม ช็อป</v>
      </c>
      <c r="D2483" s="3" t="str">
        <f>IFERROR(__xludf.DUMMYFUNCTION("""COMPUTED_VALUE"""),"คุณอุดม ช็อป")</f>
        <v>คุณอุดม ช็อป</v>
      </c>
      <c r="E2483" s="1" t="str">
        <f>IFERROR(__xludf.DUMMYFUNCTION("""COMPUTED_VALUE"""),"Donjai")</f>
        <v>Donjai</v>
      </c>
      <c r="F2483" s="1" t="str">
        <f>IFERROR(__xludf.DUMMYFUNCTION("""COMPUTED_VALUE"""),"2010023")</f>
        <v>2010023</v>
      </c>
      <c r="G2483" s="1" t="str">
        <f>IFERROR(__xludf.DUMMYFUNCTION("""COMPUTED_VALUE"""),"นายวศิน ไวยรูป")</f>
        <v>นายวศิน ไวยรูป</v>
      </c>
      <c r="H2483" s="1" t="str">
        <f>IFERROR(__xludf.DUMMYFUNCTION("""COMPUTED_VALUE"""),"2010023")</f>
        <v>2010023</v>
      </c>
      <c r="I2483" s="1" t="str">
        <f>IFERROR(__xludf.DUMMYFUNCTION("""COMPUTED_VALUE"""),"นายวศิน ไวยรูป")</f>
        <v>นายวศิน ไวยรูป</v>
      </c>
      <c r="J2483" s="3">
        <f>IFERROR(__xludf.DUMMYFUNCTION("""COMPUTED_VALUE"""),228031.0)</f>
        <v>228031</v>
      </c>
      <c r="K2483" s="3" t="str">
        <f>IFERROR(__xludf.DUMMYFUNCTION("""COMPUTED_VALUE"""),"นายธนพงษ์ วันหมัด")</f>
        <v>นายธนพงษ์ วันหมัด</v>
      </c>
      <c r="L2483" s="1" t="str">
        <f>IFERROR(__xludf.DUMMYFUNCTION("""COMPUTED_VALUE"""),"นายธนพงษ์ วันหมัด")</f>
        <v>นายธนพงษ์ วันหมัด</v>
      </c>
      <c r="M2483" s="1" t="str">
        <f>IFERROR(__xludf.DUMMYFUNCTION("""COMPUTED_VALUE"""),"0813716913")</f>
        <v>0813716913</v>
      </c>
      <c r="N2483" s="3">
        <f>IFERROR(__xludf.DUMMYFUNCTION("""COMPUTED_VALUE"""),83211.0)</f>
        <v>83211</v>
      </c>
      <c r="O2483" s="3" t="str">
        <f>IFERROR(__xludf.DUMMYFUNCTION("""COMPUTED_VALUE"""),"คุณอุดม ช็อป")</f>
        <v>คุณอุดม ช็อป</v>
      </c>
      <c r="P2483" s="4">
        <f>IFERROR(__xludf.DUMMYFUNCTION("""COMPUTED_VALUE"""),44578.0)</f>
        <v>44578</v>
      </c>
      <c r="Q2483" s="3" t="str">
        <f>IFERROR(__xludf.DUMMYFUNCTION("""COMPUTED_VALUE"""),"I")</f>
        <v>I</v>
      </c>
      <c r="R2483" s="3" t="str">
        <f>IFERROR(__xludf.DUMMYFUNCTION("""COMPUTED_VALUE"""),"Small Format")</f>
        <v>Small Format</v>
      </c>
      <c r="S2483" s="3" t="str">
        <f>IFERROR(__xludf.DUMMYFUNCTION("""COMPUTED_VALUE"""),"Donjai")</f>
        <v>Donjai</v>
      </c>
      <c r="T2483" s="3" t="str">
        <f>IFERROR(__xludf.DUMMYFUNCTION("""COMPUTED_VALUE"""),"Donjai")</f>
        <v>Donjai</v>
      </c>
      <c r="U2483" s="3" t="str">
        <f>IFERROR(__xludf.DUMMYFUNCTION("""COMPUTED_VALUE"""),"Donjai")</f>
        <v>Donjai</v>
      </c>
      <c r="V2483" s="3" t="str">
        <f>IFERROR(__xludf.DUMMYFUNCTION("""COMPUTED_VALUE"""),"N")</f>
        <v>N</v>
      </c>
      <c r="W2483" s="3"/>
      <c r="X2483" s="3" t="str">
        <f>IFERROR(__xludf.DUMMYFUNCTION("""COMPUTED_VALUE"""),"21 หมู่บ้านเคหะนคร ซ.ลาดกระบัง36 ถ.อ่อนนุช-ลาดกระบัง แขวงลาดกระบัง เขตลาดกระบัง กทม. 10520")</f>
        <v>21 หมู่บ้านเคหะนคร ซ.ลาดกระบัง36 ถ.อ่อนนุช-ลาดกระบัง แขวงลาดกระบัง เขตลาดกระบัง กทม. 10520</v>
      </c>
      <c r="Y2483" s="3"/>
      <c r="Z2483" s="3">
        <f>IFERROR(__xludf.DUMMYFUNCTION("""COMPUTED_VALUE"""),0.0)</f>
        <v>0</v>
      </c>
      <c r="AA2483" s="3">
        <f>IFERROR(__xludf.DUMMYFUNCTION("""COMPUTED_VALUE"""),0.0)</f>
        <v>0</v>
      </c>
      <c r="AB2483" s="3" t="str">
        <f>IFERROR(__xludf.DUMMYFUNCTION("""COMPUTED_VALUE"""),"กรุงเทพมหานคร")</f>
        <v>กรุงเทพมหานคร</v>
      </c>
      <c r="AC2483" s="3">
        <f>IFERROR(__xludf.DUMMYFUNCTION("""COMPUTED_VALUE"""),10520.0)</f>
        <v>10520</v>
      </c>
      <c r="AD2483" s="3"/>
      <c r="AE2483" s="3"/>
      <c r="AF2483" s="3" t="str">
        <f>IFERROR(__xludf.DUMMYFUNCTION("""COMPUTED_VALUE"""),"คุณอุดม ช็อป-83211")</f>
        <v>คุณอุดม ช็อป-83211</v>
      </c>
      <c r="AG2483" s="3" t="str">
        <f>IFERROR(__xludf.DUMMYFUNCTION("""COMPUTED_VALUE"""),"กลาง")</f>
        <v>กลาง</v>
      </c>
      <c r="AH2483" s="3" t="str">
        <f>IFERROR(__xludf.DUMMYFUNCTION("""COMPUTED_VALUE"""),"#N/A")</f>
        <v>#N/A</v>
      </c>
      <c r="AI2483" s="3" t="str">
        <f>IFERROR(__xludf.DUMMYFUNCTION("""COMPUTED_VALUE"""),"Out of warranty")</f>
        <v>Out of warranty</v>
      </c>
      <c r="AJ2483" s="3">
        <f>IFERROR(__xludf.DUMMYFUNCTION("""COMPUTED_VALUE"""),49.0)</f>
        <v>49</v>
      </c>
      <c r="AK2483" s="3"/>
      <c r="AL2483" s="3"/>
    </row>
    <row r="2484" ht="15.75" customHeight="1">
      <c r="A2484" s="1" t="str">
        <f>IFERROR(__xludf.DUMMYFUNCTION("""COMPUTED_VALUE"""),"83212")</f>
        <v>83212</v>
      </c>
      <c r="B2484" s="2">
        <f>IFERROR(__xludf.DUMMYFUNCTION("""COMPUTED_VALUE"""),83212.0)</f>
        <v>83212</v>
      </c>
      <c r="C2484" s="3" t="str">
        <f>IFERROR(__xludf.DUMMYFUNCTION("""COMPUTED_VALUE"""),"ร้านเจ้กุ้ง (ร้านคุณจันทิมา )")</f>
        <v>ร้านเจ้กุ้ง (ร้านคุณจันทิมา )</v>
      </c>
      <c r="D2484" s="3" t="str">
        <f>IFERROR(__xludf.DUMMYFUNCTION("""COMPUTED_VALUE"""),"ร้านเจ้กุ้ง (ร้านคุณจันทิมา )")</f>
        <v>ร้านเจ้กุ้ง (ร้านคุณจันทิมา )</v>
      </c>
      <c r="E2484" s="1" t="str">
        <f>IFERROR(__xludf.DUMMYFUNCTION("""COMPUTED_VALUE"""),"Donjai")</f>
        <v>Donjai</v>
      </c>
      <c r="F2484" s="1" t="str">
        <f>IFERROR(__xludf.DUMMYFUNCTION("""COMPUTED_VALUE"""),"296945")</f>
        <v>296945</v>
      </c>
      <c r="G2484" s="1" t="str">
        <f>IFERROR(__xludf.DUMMYFUNCTION("""COMPUTED_VALUE"""),"นายรักพงศ์ พงศ์พันธ์งาม")</f>
        <v>นายรักพงศ์ พงศ์พันธ์งาม</v>
      </c>
      <c r="H2484" s="1" t="str">
        <f>IFERROR(__xludf.DUMMYFUNCTION("""COMPUTED_VALUE"""),"296945")</f>
        <v>296945</v>
      </c>
      <c r="I2484" s="1" t="str">
        <f>IFERROR(__xludf.DUMMYFUNCTION("""COMPUTED_VALUE"""),"นายรักพงศ์ พงศ์พันธ์งาม")</f>
        <v>นายรักพงศ์ พงศ์พันธ์งาม</v>
      </c>
      <c r="J2484" s="3">
        <f>IFERROR(__xludf.DUMMYFUNCTION("""COMPUTED_VALUE"""),228031.0)</f>
        <v>228031</v>
      </c>
      <c r="K2484" s="3" t="str">
        <f>IFERROR(__xludf.DUMMYFUNCTION("""COMPUTED_VALUE"""),"นายธนพงษ์ วันหมัด")</f>
        <v>นายธนพงษ์ วันหมัด</v>
      </c>
      <c r="L2484" s="1" t="str">
        <f>IFERROR(__xludf.DUMMYFUNCTION("""COMPUTED_VALUE"""),"นายธนพงษ์ วันหมัด")</f>
        <v>นายธนพงษ์ วันหมัด</v>
      </c>
      <c r="M2484" s="1" t="str">
        <f>IFERROR(__xludf.DUMMYFUNCTION("""COMPUTED_VALUE"""),"0813716913")</f>
        <v>0813716913</v>
      </c>
      <c r="N2484" s="3">
        <f>IFERROR(__xludf.DUMMYFUNCTION("""COMPUTED_VALUE"""),83212.0)</f>
        <v>83212</v>
      </c>
      <c r="O2484" s="3" t="str">
        <f>IFERROR(__xludf.DUMMYFUNCTION("""COMPUTED_VALUE"""),"ร้านเจ้กุ้ง (ร้านคุณจันทิมา )")</f>
        <v>ร้านเจ้กุ้ง (ร้านคุณจันทิมา )</v>
      </c>
      <c r="P2484" s="4">
        <f>IFERROR(__xludf.DUMMYFUNCTION("""COMPUTED_VALUE"""),44576.0)</f>
        <v>44576</v>
      </c>
      <c r="Q2484" s="3" t="str">
        <f>IFERROR(__xludf.DUMMYFUNCTION("""COMPUTED_VALUE"""),"I")</f>
        <v>I</v>
      </c>
      <c r="R2484" s="3" t="str">
        <f>IFERROR(__xludf.DUMMYFUNCTION("""COMPUTED_VALUE"""),"Small Format")</f>
        <v>Small Format</v>
      </c>
      <c r="S2484" s="3" t="str">
        <f>IFERROR(__xludf.DUMMYFUNCTION("""COMPUTED_VALUE"""),"Donjai")</f>
        <v>Donjai</v>
      </c>
      <c r="T2484" s="3">
        <f>IFERROR(__xludf.DUMMYFUNCTION("""COMPUTED_VALUE"""),0.0)</f>
        <v>0</v>
      </c>
      <c r="U2484" s="3">
        <f>IFERROR(__xludf.DUMMYFUNCTION("""COMPUTED_VALUE"""),0.0)</f>
        <v>0</v>
      </c>
      <c r="V2484" s="3" t="str">
        <f>IFERROR(__xludf.DUMMYFUNCTION("""COMPUTED_VALUE"""),"N")</f>
        <v>N</v>
      </c>
      <c r="W2484" s="3"/>
      <c r="X2484" s="3" t="str">
        <f>IFERROR(__xludf.DUMMYFUNCTION("""COMPUTED_VALUE"""),"12/16 ต.สระแก้ว อ.เมืองสระแก้ว จ.สระแก้ว 27000")</f>
        <v>12/16 ต.สระแก้ว อ.เมืองสระแก้ว จ.สระแก้ว 27000</v>
      </c>
      <c r="Y2484" s="3"/>
      <c r="Z2484" s="3">
        <f>IFERROR(__xludf.DUMMYFUNCTION("""COMPUTED_VALUE"""),0.0)</f>
        <v>0</v>
      </c>
      <c r="AA2484" s="3">
        <f>IFERROR(__xludf.DUMMYFUNCTION("""COMPUTED_VALUE"""),0.0)</f>
        <v>0</v>
      </c>
      <c r="AB2484" s="3" t="str">
        <f>IFERROR(__xludf.DUMMYFUNCTION("""COMPUTED_VALUE"""),"สระแก้ว")</f>
        <v>สระแก้ว</v>
      </c>
      <c r="AC2484" s="3">
        <f>IFERROR(__xludf.DUMMYFUNCTION("""COMPUTED_VALUE"""),27000.0)</f>
        <v>27000</v>
      </c>
      <c r="AD2484" s="3"/>
      <c r="AE2484" s="3"/>
      <c r="AF2484" s="3" t="str">
        <f>IFERROR(__xludf.DUMMYFUNCTION("""COMPUTED_VALUE"""),"ร้านเจ้กุ้ง (ร้านคุณจันทิมา )-83212")</f>
        <v>ร้านเจ้กุ้ง (ร้านคุณจันทิมา )-83212</v>
      </c>
      <c r="AG2484" s="3" t="str">
        <f>IFERROR(__xludf.DUMMYFUNCTION("""COMPUTED_VALUE"""),"ตะวันออก")</f>
        <v>ตะวันออก</v>
      </c>
      <c r="AH2484" s="3" t="str">
        <f>IFERROR(__xludf.DUMMYFUNCTION("""COMPUTED_VALUE"""),"#N/A")</f>
        <v>#N/A</v>
      </c>
      <c r="AI2484" s="3" t="str">
        <f>IFERROR(__xludf.DUMMYFUNCTION("""COMPUTED_VALUE"""),"Out of warranty")</f>
        <v>Out of warranty</v>
      </c>
      <c r="AJ2484" s="3">
        <f>IFERROR(__xludf.DUMMYFUNCTION("""COMPUTED_VALUE"""),49.0)</f>
        <v>49</v>
      </c>
      <c r="AK2484" s="3"/>
      <c r="AL2484" s="3"/>
    </row>
    <row r="2485" ht="15.75" customHeight="1">
      <c r="A2485" s="1" t="str">
        <f>IFERROR(__xludf.DUMMYFUNCTION("""COMPUTED_VALUE"""),"83213")</f>
        <v>83213</v>
      </c>
      <c r="B2485" s="2">
        <f>IFERROR(__xludf.DUMMYFUNCTION("""COMPUTED_VALUE"""),83213.0)</f>
        <v>83213</v>
      </c>
      <c r="C2485" s="3" t="str">
        <f>IFERROR(__xludf.DUMMYFUNCTION("""COMPUTED_VALUE"""),"ร้านจีเอ็ม ช็อป")</f>
        <v>ร้านจีเอ็ม ช็อป</v>
      </c>
      <c r="D2485" s="3" t="str">
        <f>IFERROR(__xludf.DUMMYFUNCTION("""COMPUTED_VALUE"""),"ร้านจีเอ็ม ช็อป")</f>
        <v>ร้านจีเอ็ม ช็อป</v>
      </c>
      <c r="E2485" s="1" t="str">
        <f>IFERROR(__xludf.DUMMYFUNCTION("""COMPUTED_VALUE"""),"Donjai")</f>
        <v>Donjai</v>
      </c>
      <c r="F2485" s="1" t="str">
        <f>IFERROR(__xludf.DUMMYFUNCTION("""COMPUTED_VALUE"""),"046214")</f>
        <v>046214</v>
      </c>
      <c r="G2485" s="1" t="str">
        <f>IFERROR(__xludf.DUMMYFUNCTION("""COMPUTED_VALUE"""),"นายศักดิ์ชัย เด็ดดอกฟ้า")</f>
        <v>นายศักดิ์ชัย เด็ดดอกฟ้า</v>
      </c>
      <c r="H2485" s="1" t="str">
        <f>IFERROR(__xludf.DUMMYFUNCTION("""COMPUTED_VALUE"""),"046214")</f>
        <v>046214</v>
      </c>
      <c r="I2485" s="1" t="str">
        <f>IFERROR(__xludf.DUMMYFUNCTION("""COMPUTED_VALUE"""),"นายศักดิ์ชัย เด็ดดอกฟ้า")</f>
        <v>นายศักดิ์ชัย เด็ดดอกฟ้า</v>
      </c>
      <c r="J2485" s="3">
        <f>IFERROR(__xludf.DUMMYFUNCTION("""COMPUTED_VALUE"""),295886.0)</f>
        <v>295886</v>
      </c>
      <c r="K2485" s="3" t="str">
        <f>IFERROR(__xludf.DUMMYFUNCTION("""COMPUTED_VALUE"""),"นายจิระพงษ์ โพธิ์นิล")</f>
        <v>นายจิระพงษ์ โพธิ์นิล</v>
      </c>
      <c r="L2485" s="1" t="str">
        <f>IFERROR(__xludf.DUMMYFUNCTION("""COMPUTED_VALUE"""),"นายจิระพงษ์ โพธิ์นิล")</f>
        <v>นายจิระพงษ์ โพธิ์นิล</v>
      </c>
      <c r="M2485" s="1" t="str">
        <f>IFERROR(__xludf.DUMMYFUNCTION("""COMPUTED_VALUE"""),"0933290754")</f>
        <v>0933290754</v>
      </c>
      <c r="N2485" s="3">
        <f>IFERROR(__xludf.DUMMYFUNCTION("""COMPUTED_VALUE"""),83213.0)</f>
        <v>83213</v>
      </c>
      <c r="O2485" s="3" t="str">
        <f>IFERROR(__xludf.DUMMYFUNCTION("""COMPUTED_VALUE"""),"ร้านจีเอ็ม ช็อป")</f>
        <v>ร้านจีเอ็ม ช็อป</v>
      </c>
      <c r="P2485" s="4">
        <f>IFERROR(__xludf.DUMMYFUNCTION("""COMPUTED_VALUE"""),44557.0)</f>
        <v>44557</v>
      </c>
      <c r="Q2485" s="3" t="str">
        <f>IFERROR(__xludf.DUMMYFUNCTION("""COMPUTED_VALUE"""),"A")</f>
        <v>A</v>
      </c>
      <c r="R2485" s="3" t="str">
        <f>IFERROR(__xludf.DUMMYFUNCTION("""COMPUTED_VALUE"""),"Small Format")</f>
        <v>Small Format</v>
      </c>
      <c r="S2485" s="3" t="str">
        <f>IFERROR(__xludf.DUMMYFUNCTION("""COMPUTED_VALUE"""),"Donjai")</f>
        <v>Donjai</v>
      </c>
      <c r="T2485" s="3" t="str">
        <f>IFERROR(__xludf.DUMMYFUNCTION("""COMPUTED_VALUE"""),"02 K.Sakchai D")</f>
        <v>02 K.Sakchai D</v>
      </c>
      <c r="U2485" s="3" t="str">
        <f>IFERROR(__xludf.DUMMYFUNCTION("""COMPUTED_VALUE"""),"02 K.Sakchai D")</f>
        <v>02 K.Sakchai D</v>
      </c>
      <c r="V2485" s="3" t="str">
        <f>IFERROR(__xludf.DUMMYFUNCTION("""COMPUTED_VALUE"""),"N")</f>
        <v>N</v>
      </c>
      <c r="W2485" s="3"/>
      <c r="X2485" s="3" t="str">
        <f>IFERROR(__xludf.DUMMYFUNCTION("""COMPUTED_VALUE"""),"เลขที่ 122/1 ม.2 ต.ไกรกลาง อ.กงไกรลาศ จ.สุโขทัย 64170")</f>
        <v>เลขที่ 122/1 ม.2 ต.ไกรกลาง อ.กงไกรลาศ จ.สุโขทัย 64170</v>
      </c>
      <c r="Y2485" s="3"/>
      <c r="Z2485" s="3">
        <f>IFERROR(__xludf.DUMMYFUNCTION("""COMPUTED_VALUE"""),0.0)</f>
        <v>0</v>
      </c>
      <c r="AA2485" s="3">
        <f>IFERROR(__xludf.DUMMYFUNCTION("""COMPUTED_VALUE"""),0.0)</f>
        <v>0</v>
      </c>
      <c r="AB2485" s="3" t="str">
        <f>IFERROR(__xludf.DUMMYFUNCTION("""COMPUTED_VALUE"""),"สุโขทัย")</f>
        <v>สุโขทัย</v>
      </c>
      <c r="AC2485" s="3">
        <f>IFERROR(__xludf.DUMMYFUNCTION("""COMPUTED_VALUE"""),64170.0)</f>
        <v>64170</v>
      </c>
      <c r="AD2485" s="3"/>
      <c r="AE2485" s="3"/>
      <c r="AF2485" s="3" t="str">
        <f>IFERROR(__xludf.DUMMYFUNCTION("""COMPUTED_VALUE"""),"ร้านจีเอ็ม ช็อป-83213")</f>
        <v>ร้านจีเอ็ม ช็อป-83213</v>
      </c>
      <c r="AG2485" s="3" t="str">
        <f>IFERROR(__xludf.DUMMYFUNCTION("""COMPUTED_VALUE"""),"กลาง")</f>
        <v>กลาง</v>
      </c>
      <c r="AH2485" s="3" t="str">
        <f>IFERROR(__xludf.DUMMYFUNCTION("""COMPUTED_VALUE"""),"#N/A")</f>
        <v>#N/A</v>
      </c>
      <c r="AI2485" s="3" t="str">
        <f>IFERROR(__xludf.DUMMYFUNCTION("""COMPUTED_VALUE"""),"Out of warranty")</f>
        <v>Out of warranty</v>
      </c>
      <c r="AJ2485" s="3">
        <f>IFERROR(__xludf.DUMMYFUNCTION("""COMPUTED_VALUE"""),49.0)</f>
        <v>49</v>
      </c>
      <c r="AK2485" s="3"/>
      <c r="AL2485" s="3"/>
    </row>
    <row r="2486" ht="15.75" customHeight="1">
      <c r="A2486" s="1" t="str">
        <f>IFERROR(__xludf.DUMMYFUNCTION("""COMPUTED_VALUE"""),"83214")</f>
        <v>83214</v>
      </c>
      <c r="B2486" s="2">
        <f>IFERROR(__xludf.DUMMYFUNCTION("""COMPUTED_VALUE"""),83214.0)</f>
        <v>83214</v>
      </c>
      <c r="C2486" s="3" t="str">
        <f>IFERROR(__xludf.DUMMYFUNCTION("""COMPUTED_VALUE"""),"ร้าน T Mart")</f>
        <v>ร้าน T Mart</v>
      </c>
      <c r="D2486" s="3" t="str">
        <f>IFERROR(__xludf.DUMMYFUNCTION("""COMPUTED_VALUE"""),"ร้าน T Mart")</f>
        <v>ร้าน T Mart</v>
      </c>
      <c r="E2486" s="1" t="str">
        <f>IFERROR(__xludf.DUMMYFUNCTION("""COMPUTED_VALUE"""),"Donjai")</f>
        <v>Donjai</v>
      </c>
      <c r="F2486" s="1" t="str">
        <f>IFERROR(__xludf.DUMMYFUNCTION("""COMPUTED_VALUE"""),"296868")</f>
        <v>296868</v>
      </c>
      <c r="G2486" s="1" t="str">
        <f>IFERROR(__xludf.DUMMYFUNCTION("""COMPUTED_VALUE"""),"นายพีระพงษ์ แก้วดวงดี")</f>
        <v>นายพีระพงษ์ แก้วดวงดี</v>
      </c>
      <c r="H2486" s="1" t="str">
        <f>IFERROR(__xludf.DUMMYFUNCTION("""COMPUTED_VALUE"""),"296868")</f>
        <v>296868</v>
      </c>
      <c r="I2486" s="1" t="str">
        <f>IFERROR(__xludf.DUMMYFUNCTION("""COMPUTED_VALUE"""),"นายพีระพงษ์ แก้วดวงดี")</f>
        <v>นายพีระพงษ์ แก้วดวงดี</v>
      </c>
      <c r="J2486" s="3">
        <f>IFERROR(__xludf.DUMMYFUNCTION("""COMPUTED_VALUE"""),295886.0)</f>
        <v>295886</v>
      </c>
      <c r="K2486" s="3" t="str">
        <f>IFERROR(__xludf.DUMMYFUNCTION("""COMPUTED_VALUE"""),"นายจิระพงษ์ โพธิ์นิล")</f>
        <v>นายจิระพงษ์ โพธิ์นิล</v>
      </c>
      <c r="L2486" s="1" t="str">
        <f>IFERROR(__xludf.DUMMYFUNCTION("""COMPUTED_VALUE"""),"นายจิระพงษ์ โพธิ์นิล")</f>
        <v>นายจิระพงษ์ โพธิ์นิล</v>
      </c>
      <c r="M2486" s="1" t="str">
        <f>IFERROR(__xludf.DUMMYFUNCTION("""COMPUTED_VALUE"""),"0933290754")</f>
        <v>0933290754</v>
      </c>
      <c r="N2486" s="3">
        <f>IFERROR(__xludf.DUMMYFUNCTION("""COMPUTED_VALUE"""),83214.0)</f>
        <v>83214</v>
      </c>
      <c r="O2486" s="3" t="str">
        <f>IFERROR(__xludf.DUMMYFUNCTION("""COMPUTED_VALUE"""),"ร้าน T Mart")</f>
        <v>ร้าน T Mart</v>
      </c>
      <c r="P2486" s="4">
        <f>IFERROR(__xludf.DUMMYFUNCTION("""COMPUTED_VALUE"""),44589.0)</f>
        <v>44589</v>
      </c>
      <c r="Q2486" s="3" t="str">
        <f>IFERROR(__xludf.DUMMYFUNCTION("""COMPUTED_VALUE"""),"I")</f>
        <v>I</v>
      </c>
      <c r="R2486" s="3" t="str">
        <f>IFERROR(__xludf.DUMMYFUNCTION("""COMPUTED_VALUE"""),"Small Format")</f>
        <v>Small Format</v>
      </c>
      <c r="S2486" s="3" t="str">
        <f>IFERROR(__xludf.DUMMYFUNCTION("""COMPUTED_VALUE"""),"Donjai")</f>
        <v>Donjai</v>
      </c>
      <c r="T2486" s="3" t="str">
        <f>IFERROR(__xludf.DUMMYFUNCTION("""COMPUTED_VALUE"""),"03 K.Peerapong K.")</f>
        <v>03 K.Peerapong K.</v>
      </c>
      <c r="U2486" s="3" t="str">
        <f>IFERROR(__xludf.DUMMYFUNCTION("""COMPUTED_VALUE"""),"03 K.Peerapong K.")</f>
        <v>03 K.Peerapong K.</v>
      </c>
      <c r="V2486" s="3" t="str">
        <f>IFERROR(__xludf.DUMMYFUNCTION("""COMPUTED_VALUE"""),"N")</f>
        <v>N</v>
      </c>
      <c r="W2486" s="3"/>
      <c r="X2486" s="3" t="str">
        <f>IFERROR(__xludf.DUMMYFUNCTION("""COMPUTED_VALUE"""),"1 ม.6 บ.ห้วยยาง ต.เหล่าโพนค้อ อ.โคกศรีสุพรรณ จ.สกลนคร")</f>
        <v>1 ม.6 บ.ห้วยยาง ต.เหล่าโพนค้อ อ.โคกศรีสุพรรณ จ.สกลนคร</v>
      </c>
      <c r="Y2486" s="3"/>
      <c r="Z2486" s="3">
        <f>IFERROR(__xludf.DUMMYFUNCTION("""COMPUTED_VALUE"""),0.0)</f>
        <v>0</v>
      </c>
      <c r="AA2486" s="3">
        <f>IFERROR(__xludf.DUMMYFUNCTION("""COMPUTED_VALUE"""),0.0)</f>
        <v>0</v>
      </c>
      <c r="AB2486" s="3" t="str">
        <f>IFERROR(__xludf.DUMMYFUNCTION("""COMPUTED_VALUE"""),"สกลนคร")</f>
        <v>สกลนคร</v>
      </c>
      <c r="AC2486" s="3">
        <f>IFERROR(__xludf.DUMMYFUNCTION("""COMPUTED_VALUE"""),0.0)</f>
        <v>0</v>
      </c>
      <c r="AD2486" s="3"/>
      <c r="AE2486" s="3"/>
      <c r="AF2486" s="3" t="str">
        <f>IFERROR(__xludf.DUMMYFUNCTION("""COMPUTED_VALUE"""),"ร้าน T Mart-83214")</f>
        <v>ร้าน T Mart-83214</v>
      </c>
      <c r="AG2486" s="3" t="str">
        <f>IFERROR(__xludf.DUMMYFUNCTION("""COMPUTED_VALUE"""),"ตะวันออกเฉียงเหนือ")</f>
        <v>ตะวันออกเฉียงเหนือ</v>
      </c>
      <c r="AH2486" s="3" t="str">
        <f>IFERROR(__xludf.DUMMYFUNCTION("""COMPUTED_VALUE"""),"#N/A")</f>
        <v>#N/A</v>
      </c>
      <c r="AI2486" s="3" t="str">
        <f>IFERROR(__xludf.DUMMYFUNCTION("""COMPUTED_VALUE"""),"Out of warranty")</f>
        <v>Out of warranty</v>
      </c>
      <c r="AJ2486" s="3">
        <f>IFERROR(__xludf.DUMMYFUNCTION("""COMPUTED_VALUE"""),48.0)</f>
        <v>48</v>
      </c>
      <c r="AK2486" s="3"/>
      <c r="AL2486" s="3"/>
    </row>
    <row r="2487" ht="15.75" customHeight="1">
      <c r="A2487" s="1" t="str">
        <f>IFERROR(__xludf.DUMMYFUNCTION("""COMPUTED_VALUE"""),"83215")</f>
        <v>83215</v>
      </c>
      <c r="B2487" s="2">
        <f>IFERROR(__xludf.DUMMYFUNCTION("""COMPUTED_VALUE"""),83215.0)</f>
        <v>83215</v>
      </c>
      <c r="C2487" s="3" t="str">
        <f>IFERROR(__xludf.DUMMYFUNCTION("""COMPUTED_VALUE"""),"ร้านดีมินิมาร์ท")</f>
        <v>ร้านดีมินิมาร์ท</v>
      </c>
      <c r="D2487" s="3" t="str">
        <f>IFERROR(__xludf.DUMMYFUNCTION("""COMPUTED_VALUE"""),"ร้านดีมินิมาร์ท")</f>
        <v>ร้านดีมินิมาร์ท</v>
      </c>
      <c r="E2487" s="1" t="str">
        <f>IFERROR(__xludf.DUMMYFUNCTION("""COMPUTED_VALUE"""),"Donjai")</f>
        <v>Donjai</v>
      </c>
      <c r="F2487" s="1" t="str">
        <f>IFERROR(__xludf.DUMMYFUNCTION("""COMPUTED_VALUE"""),"20470331")</f>
        <v>20470331</v>
      </c>
      <c r="G2487" s="1" t="str">
        <f>IFERROR(__xludf.DUMMYFUNCTION("""COMPUTED_VALUE"""),"นายสมชาย ลักษณะสุวรรณ")</f>
        <v>นายสมชาย ลักษณะสุวรรณ</v>
      </c>
      <c r="H2487" s="1" t="str">
        <f>IFERROR(__xludf.DUMMYFUNCTION("""COMPUTED_VALUE"""),"20470331")</f>
        <v>20470331</v>
      </c>
      <c r="I2487" s="1" t="str">
        <f>IFERROR(__xludf.DUMMYFUNCTION("""COMPUTED_VALUE"""),"นายสมชาย ลักษณะสุวรรณ")</f>
        <v>นายสมชาย ลักษณะสุวรรณ</v>
      </c>
      <c r="J2487" s="3">
        <f>IFERROR(__xludf.DUMMYFUNCTION("""COMPUTED_VALUE"""),295541.0)</f>
        <v>295541</v>
      </c>
      <c r="K2487" s="3" t="str">
        <f>IFERROR(__xludf.DUMMYFUNCTION("""COMPUTED_VALUE"""),"นายรพิพล ศรีมาตย์")</f>
        <v>นายรพิพล ศรีมาตย์</v>
      </c>
      <c r="L2487" s="1" t="str">
        <f>IFERROR(__xludf.DUMMYFUNCTION("""COMPUTED_VALUE"""),"นายรพิพล ศรีมาตย์")</f>
        <v>นายรพิพล ศรีมาตย์</v>
      </c>
      <c r="M2487" s="1" t="str">
        <f>IFERROR(__xludf.DUMMYFUNCTION("""COMPUTED_VALUE"""),"0613966115")</f>
        <v>0613966115</v>
      </c>
      <c r="N2487" s="3">
        <f>IFERROR(__xludf.DUMMYFUNCTION("""COMPUTED_VALUE"""),83215.0)</f>
        <v>83215</v>
      </c>
      <c r="O2487" s="3" t="str">
        <f>IFERROR(__xludf.DUMMYFUNCTION("""COMPUTED_VALUE"""),"ร้านดีมินิมาร์ท")</f>
        <v>ร้านดีมินิมาร์ท</v>
      </c>
      <c r="P2487" s="4">
        <f>IFERROR(__xludf.DUMMYFUNCTION("""COMPUTED_VALUE"""),44556.0)</f>
        <v>44556</v>
      </c>
      <c r="Q2487" s="3" t="str">
        <f>IFERROR(__xludf.DUMMYFUNCTION("""COMPUTED_VALUE"""),"A")</f>
        <v>A</v>
      </c>
      <c r="R2487" s="3" t="str">
        <f>IFERROR(__xludf.DUMMYFUNCTION("""COMPUTED_VALUE"""),"Small Format")</f>
        <v>Small Format</v>
      </c>
      <c r="S2487" s="3" t="str">
        <f>IFERROR(__xludf.DUMMYFUNCTION("""COMPUTED_VALUE"""),"Donjai")</f>
        <v>Donjai</v>
      </c>
      <c r="T2487" s="3" t="str">
        <f>IFERROR(__xludf.DUMMYFUNCTION("""COMPUTED_VALUE"""),"15 K.Somchai L")</f>
        <v>15 K.Somchai L</v>
      </c>
      <c r="U2487" s="3" t="str">
        <f>IFERROR(__xludf.DUMMYFUNCTION("""COMPUTED_VALUE"""),"15 K.Somchai L")</f>
        <v>15 K.Somchai L</v>
      </c>
      <c r="V2487" s="3" t="str">
        <f>IFERROR(__xludf.DUMMYFUNCTION("""COMPUTED_VALUE"""),"N")</f>
        <v>N</v>
      </c>
      <c r="W2487" s="3"/>
      <c r="X2487" s="3" t="str">
        <f>IFERROR(__xludf.DUMMYFUNCTION("""COMPUTED_VALUE"""),"31 ถนนทักษัณเฉลิมเขต ตำบลปาดังเบซาร์ อำเภอสะเดา จังหวัดสงขลา")</f>
        <v>31 ถนนทักษัณเฉลิมเขต ตำบลปาดังเบซาร์ อำเภอสะเดา จังหวัดสงขลา</v>
      </c>
      <c r="Y2487" s="3"/>
      <c r="Z2487" s="3">
        <f>IFERROR(__xludf.DUMMYFUNCTION("""COMPUTED_VALUE"""),0.0)</f>
        <v>0</v>
      </c>
      <c r="AA2487" s="3">
        <f>IFERROR(__xludf.DUMMYFUNCTION("""COMPUTED_VALUE"""),0.0)</f>
        <v>0</v>
      </c>
      <c r="AB2487" s="3" t="str">
        <f>IFERROR(__xludf.DUMMYFUNCTION("""COMPUTED_VALUE"""),"สงขลา")</f>
        <v>สงขลา</v>
      </c>
      <c r="AC2487" s="3">
        <f>IFERROR(__xludf.DUMMYFUNCTION("""COMPUTED_VALUE"""),0.0)</f>
        <v>0</v>
      </c>
      <c r="AD2487" s="3"/>
      <c r="AE2487" s="3"/>
      <c r="AF2487" s="3" t="str">
        <f>IFERROR(__xludf.DUMMYFUNCTION("""COMPUTED_VALUE"""),"ร้านดีมินิมาร์ท-83215")</f>
        <v>ร้านดีมินิมาร์ท-83215</v>
      </c>
      <c r="AG2487" s="3" t="str">
        <f>IFERROR(__xludf.DUMMYFUNCTION("""COMPUTED_VALUE"""),"ใต้")</f>
        <v>ใต้</v>
      </c>
      <c r="AH2487" s="3" t="str">
        <f>IFERROR(__xludf.DUMMYFUNCTION("""COMPUTED_VALUE"""),"#N/A")</f>
        <v>#N/A</v>
      </c>
      <c r="AI2487" s="3" t="str">
        <f>IFERROR(__xludf.DUMMYFUNCTION("""COMPUTED_VALUE"""),"Out of warranty")</f>
        <v>Out of warranty</v>
      </c>
      <c r="AJ2487" s="3">
        <f>IFERROR(__xludf.DUMMYFUNCTION("""COMPUTED_VALUE"""),49.0)</f>
        <v>49</v>
      </c>
      <c r="AK2487" s="3"/>
      <c r="AL2487" s="3"/>
    </row>
    <row r="2488" ht="15.75" customHeight="1">
      <c r="A2488" s="1" t="str">
        <f>IFERROR(__xludf.DUMMYFUNCTION("""COMPUTED_VALUE"""),"83217")</f>
        <v>83217</v>
      </c>
      <c r="B2488" s="2">
        <f>IFERROR(__xludf.DUMMYFUNCTION("""COMPUTED_VALUE"""),83217.0)</f>
        <v>83217</v>
      </c>
      <c r="C2488" s="3" t="str">
        <f>IFERROR(__xludf.DUMMYFUNCTION("""COMPUTED_VALUE"""),"ร้าน เจริญคลัง บิ๊กมาร์ท")</f>
        <v>ร้าน เจริญคลัง บิ๊กมาร์ท</v>
      </c>
      <c r="D2488" s="3" t="str">
        <f>IFERROR(__xludf.DUMMYFUNCTION("""COMPUTED_VALUE"""),"ร้าน เจริญคลัง บิ๊กมาร์ท")</f>
        <v>ร้าน เจริญคลัง บิ๊กมาร์ท</v>
      </c>
      <c r="E2488" s="1" t="str">
        <f>IFERROR(__xludf.DUMMYFUNCTION("""COMPUTED_VALUE"""),"Donjai")</f>
        <v>Donjai</v>
      </c>
      <c r="F2488" s="1" t="str">
        <f>IFERROR(__xludf.DUMMYFUNCTION("""COMPUTED_VALUE"""),"046214")</f>
        <v>046214</v>
      </c>
      <c r="G2488" s="1" t="str">
        <f>IFERROR(__xludf.DUMMYFUNCTION("""COMPUTED_VALUE"""),"นายศักดิ์ชัย เด็ดดอกฟ้า")</f>
        <v>นายศักดิ์ชัย เด็ดดอกฟ้า</v>
      </c>
      <c r="H2488" s="1" t="str">
        <f>IFERROR(__xludf.DUMMYFUNCTION("""COMPUTED_VALUE"""),"046214")</f>
        <v>046214</v>
      </c>
      <c r="I2488" s="1" t="str">
        <f>IFERROR(__xludf.DUMMYFUNCTION("""COMPUTED_VALUE"""),"นายศักดิ์ชัย เด็ดดอกฟ้า")</f>
        <v>นายศักดิ์ชัย เด็ดดอกฟ้า</v>
      </c>
      <c r="J2488" s="3">
        <f>IFERROR(__xludf.DUMMYFUNCTION("""COMPUTED_VALUE"""),295886.0)</f>
        <v>295886</v>
      </c>
      <c r="K2488" s="3" t="str">
        <f>IFERROR(__xludf.DUMMYFUNCTION("""COMPUTED_VALUE"""),"นายจิระพงษ์ โพธิ์นิล")</f>
        <v>นายจิระพงษ์ โพธิ์นิล</v>
      </c>
      <c r="L2488" s="1" t="str">
        <f>IFERROR(__xludf.DUMMYFUNCTION("""COMPUTED_VALUE"""),"นายจิระพงษ์ โพธิ์นิล")</f>
        <v>นายจิระพงษ์ โพธิ์นิล</v>
      </c>
      <c r="M2488" s="1" t="str">
        <f>IFERROR(__xludf.DUMMYFUNCTION("""COMPUTED_VALUE"""),"0933290754")</f>
        <v>0933290754</v>
      </c>
      <c r="N2488" s="3">
        <f>IFERROR(__xludf.DUMMYFUNCTION("""COMPUTED_VALUE"""),83217.0)</f>
        <v>83217</v>
      </c>
      <c r="O2488" s="3" t="str">
        <f>IFERROR(__xludf.DUMMYFUNCTION("""COMPUTED_VALUE"""),"ร้าน เจริญคลัง บิ๊กมาร์ท")</f>
        <v>ร้าน เจริญคลัง บิ๊กมาร์ท</v>
      </c>
      <c r="P2488" s="4">
        <f>IFERROR(__xludf.DUMMYFUNCTION("""COMPUTED_VALUE"""),44560.0)</f>
        <v>44560</v>
      </c>
      <c r="Q2488" s="3" t="str">
        <f>IFERROR(__xludf.DUMMYFUNCTION("""COMPUTED_VALUE"""),"A")</f>
        <v>A</v>
      </c>
      <c r="R2488" s="3" t="str">
        <f>IFERROR(__xludf.DUMMYFUNCTION("""COMPUTED_VALUE"""),"Small Format")</f>
        <v>Small Format</v>
      </c>
      <c r="S2488" s="3" t="str">
        <f>IFERROR(__xludf.DUMMYFUNCTION("""COMPUTED_VALUE"""),"Donjai")</f>
        <v>Donjai</v>
      </c>
      <c r="T2488" s="3" t="str">
        <f>IFERROR(__xludf.DUMMYFUNCTION("""COMPUTED_VALUE"""),"02 K.Sakchai D")</f>
        <v>02 K.Sakchai D</v>
      </c>
      <c r="U2488" s="3" t="str">
        <f>IFERROR(__xludf.DUMMYFUNCTION("""COMPUTED_VALUE"""),"02 K.Sakchai D")</f>
        <v>02 K.Sakchai D</v>
      </c>
      <c r="V2488" s="3" t="str">
        <f>IFERROR(__xludf.DUMMYFUNCTION("""COMPUTED_VALUE"""),"N")</f>
        <v>N</v>
      </c>
      <c r="W2488" s="3"/>
      <c r="X2488" s="3" t="str">
        <f>IFERROR(__xludf.DUMMYFUNCTION("""COMPUTED_VALUE"""),"250 ม.9 บ้านหนองโป่ง ต.ลำพญากลาง อ.มวกเหล็ก จ.สระบุรี")</f>
        <v>250 ม.9 บ้านหนองโป่ง ต.ลำพญากลาง อ.มวกเหล็ก จ.สระบุรี</v>
      </c>
      <c r="Y2488" s="3"/>
      <c r="Z2488" s="3">
        <f>IFERROR(__xludf.DUMMYFUNCTION("""COMPUTED_VALUE"""),0.0)</f>
        <v>0</v>
      </c>
      <c r="AA2488" s="3">
        <f>IFERROR(__xludf.DUMMYFUNCTION("""COMPUTED_VALUE"""),0.0)</f>
        <v>0</v>
      </c>
      <c r="AB2488" s="3" t="str">
        <f>IFERROR(__xludf.DUMMYFUNCTION("""COMPUTED_VALUE"""),"สระบุรี")</f>
        <v>สระบุรี</v>
      </c>
      <c r="AC2488" s="3">
        <f>IFERROR(__xludf.DUMMYFUNCTION("""COMPUTED_VALUE"""),0.0)</f>
        <v>0</v>
      </c>
      <c r="AD2488" s="3"/>
      <c r="AE2488" s="3"/>
      <c r="AF2488" s="3" t="str">
        <f>IFERROR(__xludf.DUMMYFUNCTION("""COMPUTED_VALUE"""),"ร้าน เจริญคลัง บิ๊กมาร์ท-83217")</f>
        <v>ร้าน เจริญคลัง บิ๊กมาร์ท-83217</v>
      </c>
      <c r="AG2488" s="3" t="str">
        <f>IFERROR(__xludf.DUMMYFUNCTION("""COMPUTED_VALUE"""),"กลาง")</f>
        <v>กลาง</v>
      </c>
      <c r="AH2488" s="3" t="str">
        <f>IFERROR(__xludf.DUMMYFUNCTION("""COMPUTED_VALUE"""),"#N/A")</f>
        <v>#N/A</v>
      </c>
      <c r="AI2488" s="3" t="str">
        <f>IFERROR(__xludf.DUMMYFUNCTION("""COMPUTED_VALUE"""),"Out of warranty")</f>
        <v>Out of warranty</v>
      </c>
      <c r="AJ2488" s="3">
        <f>IFERROR(__xludf.DUMMYFUNCTION("""COMPUTED_VALUE"""),49.0)</f>
        <v>49</v>
      </c>
      <c r="AK2488" s="3"/>
      <c r="AL2488" s="3"/>
    </row>
    <row r="2489" ht="15.75" customHeight="1">
      <c r="A2489" s="1" t="str">
        <f>IFERROR(__xludf.DUMMYFUNCTION("""COMPUTED_VALUE"""),"83218")</f>
        <v>83218</v>
      </c>
      <c r="B2489" s="2">
        <f>IFERROR(__xludf.DUMMYFUNCTION("""COMPUTED_VALUE"""),83218.0)</f>
        <v>83218</v>
      </c>
      <c r="C2489" s="3" t="str">
        <f>IFERROR(__xludf.DUMMYFUNCTION("""COMPUTED_VALUE"""),"ร้านน้องกู้ง")</f>
        <v>ร้านน้องกู้ง</v>
      </c>
      <c r="D2489" s="3" t="str">
        <f>IFERROR(__xludf.DUMMYFUNCTION("""COMPUTED_VALUE"""),"ร้านน้องกู้ง")</f>
        <v>ร้านน้องกู้ง</v>
      </c>
      <c r="E2489" s="1" t="str">
        <f>IFERROR(__xludf.DUMMYFUNCTION("""COMPUTED_VALUE"""),"Donjai")</f>
        <v>Donjai</v>
      </c>
      <c r="F2489" s="1" t="str">
        <f>IFERROR(__xludf.DUMMYFUNCTION("""COMPUTED_VALUE"""),"295886")</f>
        <v>295886</v>
      </c>
      <c r="G2489" s="1" t="str">
        <f>IFERROR(__xludf.DUMMYFUNCTION("""COMPUTED_VALUE"""),"นายจิระพงษ์ โพธิ์นิล")</f>
        <v>นายจิระพงษ์ โพธิ์นิล</v>
      </c>
      <c r="H2489" s="1" t="str">
        <f>IFERROR(__xludf.DUMMYFUNCTION("""COMPUTED_VALUE"""),"295886")</f>
        <v>295886</v>
      </c>
      <c r="I2489" s="1" t="str">
        <f>IFERROR(__xludf.DUMMYFUNCTION("""COMPUTED_VALUE"""),"นายจิระพงษ์ โพธิ์นิล")</f>
        <v>นายจิระพงษ์ โพธิ์นิล</v>
      </c>
      <c r="J2489" s="3">
        <f>IFERROR(__xludf.DUMMYFUNCTION("""COMPUTED_VALUE"""),295886.0)</f>
        <v>295886</v>
      </c>
      <c r="K2489" s="3" t="str">
        <f>IFERROR(__xludf.DUMMYFUNCTION("""COMPUTED_VALUE"""),"นายจิระพงษ์ โพธิ์นิล")</f>
        <v>นายจิระพงษ์ โพธิ์นิล</v>
      </c>
      <c r="L2489" s="1" t="str">
        <f>IFERROR(__xludf.DUMMYFUNCTION("""COMPUTED_VALUE"""),"นายจิระพงษ์ โพธิ์นิล")</f>
        <v>นายจิระพงษ์ โพธิ์นิล</v>
      </c>
      <c r="M2489" s="1" t="str">
        <f>IFERROR(__xludf.DUMMYFUNCTION("""COMPUTED_VALUE"""),"0933290754")</f>
        <v>0933290754</v>
      </c>
      <c r="N2489" s="3">
        <f>IFERROR(__xludf.DUMMYFUNCTION("""COMPUTED_VALUE"""),83218.0)</f>
        <v>83218</v>
      </c>
      <c r="O2489" s="3" t="str">
        <f>IFERROR(__xludf.DUMMYFUNCTION("""COMPUTED_VALUE"""),"ร้านน้องกู้ง")</f>
        <v>ร้านน้องกู้ง</v>
      </c>
      <c r="P2489" s="4">
        <f>IFERROR(__xludf.DUMMYFUNCTION("""COMPUTED_VALUE"""),44557.0)</f>
        <v>44557</v>
      </c>
      <c r="Q2489" s="3" t="str">
        <f>IFERROR(__xludf.DUMMYFUNCTION("""COMPUTED_VALUE"""),"I")</f>
        <v>I</v>
      </c>
      <c r="R2489" s="3" t="str">
        <f>IFERROR(__xludf.DUMMYFUNCTION("""COMPUTED_VALUE"""),"Small Format")</f>
        <v>Small Format</v>
      </c>
      <c r="S2489" s="3" t="str">
        <f>IFERROR(__xludf.DUMMYFUNCTION("""COMPUTED_VALUE"""),"Donjai")</f>
        <v>Donjai</v>
      </c>
      <c r="T2489" s="3" t="str">
        <f>IFERROR(__xludf.DUMMYFUNCTION("""COMPUTED_VALUE"""),"นายจิระพงษ์ โพธิ์นิล")</f>
        <v>นายจิระพงษ์ โพธิ์นิล</v>
      </c>
      <c r="U2489" s="3" t="str">
        <f>IFERROR(__xludf.DUMMYFUNCTION("""COMPUTED_VALUE"""),"นายจิระพงษ์ โพธิ์นิล")</f>
        <v>นายจิระพงษ์ โพธิ์นิล</v>
      </c>
      <c r="V2489" s="3" t="str">
        <f>IFERROR(__xludf.DUMMYFUNCTION("""COMPUTED_VALUE"""),"N")</f>
        <v>N</v>
      </c>
      <c r="W2489" s="3"/>
      <c r="X2489" s="3" t="str">
        <f>IFERROR(__xludf.DUMMYFUNCTION("""COMPUTED_VALUE"""),"23 ซอยทองทวี ต.ในเมือง อ.เมือง จ.ร้อยเอ็ด")</f>
        <v>23 ซอยทองทวี ต.ในเมือง อ.เมือง จ.ร้อยเอ็ด</v>
      </c>
      <c r="Y2489" s="3"/>
      <c r="Z2489" s="3">
        <f>IFERROR(__xludf.DUMMYFUNCTION("""COMPUTED_VALUE"""),0.0)</f>
        <v>0</v>
      </c>
      <c r="AA2489" s="3">
        <f>IFERROR(__xludf.DUMMYFUNCTION("""COMPUTED_VALUE"""),0.0)</f>
        <v>0</v>
      </c>
      <c r="AB2489" s="3" t="str">
        <f>IFERROR(__xludf.DUMMYFUNCTION("""COMPUTED_VALUE"""),"ร้อยเอ็ด")</f>
        <v>ร้อยเอ็ด</v>
      </c>
      <c r="AC2489" s="3">
        <f>IFERROR(__xludf.DUMMYFUNCTION("""COMPUTED_VALUE"""),0.0)</f>
        <v>0</v>
      </c>
      <c r="AD2489" s="3"/>
      <c r="AE2489" s="3"/>
      <c r="AF2489" s="3" t="str">
        <f>IFERROR(__xludf.DUMMYFUNCTION("""COMPUTED_VALUE"""),"ร้านน้องกู้ง-83218")</f>
        <v>ร้านน้องกู้ง-83218</v>
      </c>
      <c r="AG2489" s="3" t="str">
        <f>IFERROR(__xludf.DUMMYFUNCTION("""COMPUTED_VALUE"""),"ตะวันออกเฉียงเหนือ")</f>
        <v>ตะวันออกเฉียงเหนือ</v>
      </c>
      <c r="AH2489" s="3" t="str">
        <f>IFERROR(__xludf.DUMMYFUNCTION("""COMPUTED_VALUE"""),"#N/A")</f>
        <v>#N/A</v>
      </c>
      <c r="AI2489" s="3" t="str">
        <f>IFERROR(__xludf.DUMMYFUNCTION("""COMPUTED_VALUE"""),"Out of warranty")</f>
        <v>Out of warranty</v>
      </c>
      <c r="AJ2489" s="3">
        <f>IFERROR(__xludf.DUMMYFUNCTION("""COMPUTED_VALUE"""),49.0)</f>
        <v>49</v>
      </c>
      <c r="AK2489" s="3"/>
      <c r="AL2489" s="3"/>
    </row>
    <row r="2490" ht="15.75" customHeight="1">
      <c r="A2490" s="1" t="str">
        <f>IFERROR(__xludf.DUMMYFUNCTION("""COMPUTED_VALUE"""),"83219")</f>
        <v>83219</v>
      </c>
      <c r="B2490" s="2">
        <f>IFERROR(__xludf.DUMMYFUNCTION("""COMPUTED_VALUE"""),83219.0)</f>
        <v>83219</v>
      </c>
      <c r="C2490" s="3" t="str">
        <f>IFERROR(__xludf.DUMMYFUNCTION("""COMPUTED_VALUE"""),"ร้านคุณวราพร")</f>
        <v>ร้านคุณวราพร</v>
      </c>
      <c r="D2490" s="3" t="str">
        <f>IFERROR(__xludf.DUMMYFUNCTION("""COMPUTED_VALUE"""),"ร้านคุณวราพร")</f>
        <v>ร้านคุณวราพร</v>
      </c>
      <c r="E2490" s="1" t="str">
        <f>IFERROR(__xludf.DUMMYFUNCTION("""COMPUTED_VALUE"""),"Donjai")</f>
        <v>Donjai</v>
      </c>
      <c r="F2490" s="1" t="str">
        <f>IFERROR(__xludf.DUMMYFUNCTION("""COMPUTED_VALUE"""),"03510104")</f>
        <v>03510104</v>
      </c>
      <c r="G2490" s="1" t="str">
        <f>IFERROR(__xludf.DUMMYFUNCTION("""COMPUTED_VALUE"""),"นายวิโรจน์ อับดุลสมัด")</f>
        <v>นายวิโรจน์ อับดุลสมัด</v>
      </c>
      <c r="H2490" s="1" t="str">
        <f>IFERROR(__xludf.DUMMYFUNCTION("""COMPUTED_VALUE"""),"03510104")</f>
        <v>03510104</v>
      </c>
      <c r="I2490" s="1" t="str">
        <f>IFERROR(__xludf.DUMMYFUNCTION("""COMPUTED_VALUE"""),"นายวิโรจน์ อับดุลสมัด")</f>
        <v>นายวิโรจน์ อับดุลสมัด</v>
      </c>
      <c r="J2490" s="3">
        <f>IFERROR(__xludf.DUMMYFUNCTION("""COMPUTED_VALUE"""),228031.0)</f>
        <v>228031</v>
      </c>
      <c r="K2490" s="3" t="str">
        <f>IFERROR(__xludf.DUMMYFUNCTION("""COMPUTED_VALUE"""),"นายธนพงษ์ วันหมัด")</f>
        <v>นายธนพงษ์ วันหมัด</v>
      </c>
      <c r="L2490" s="1" t="str">
        <f>IFERROR(__xludf.DUMMYFUNCTION("""COMPUTED_VALUE"""),"นายธนพงษ์ วันหมัด")</f>
        <v>นายธนพงษ์ วันหมัด</v>
      </c>
      <c r="M2490" s="1" t="str">
        <f>IFERROR(__xludf.DUMMYFUNCTION("""COMPUTED_VALUE"""),"0813716913")</f>
        <v>0813716913</v>
      </c>
      <c r="N2490" s="3">
        <f>IFERROR(__xludf.DUMMYFUNCTION("""COMPUTED_VALUE"""),83219.0)</f>
        <v>83219</v>
      </c>
      <c r="O2490" s="3" t="str">
        <f>IFERROR(__xludf.DUMMYFUNCTION("""COMPUTED_VALUE"""),"ร้านคุณวราพร")</f>
        <v>ร้านคุณวราพร</v>
      </c>
      <c r="P2490" s="4">
        <f>IFERROR(__xludf.DUMMYFUNCTION("""COMPUTED_VALUE"""),44576.0)</f>
        <v>44576</v>
      </c>
      <c r="Q2490" s="3" t="str">
        <f>IFERROR(__xludf.DUMMYFUNCTION("""COMPUTED_VALUE"""),"A")</f>
        <v>A</v>
      </c>
      <c r="R2490" s="3" t="str">
        <f>IFERROR(__xludf.DUMMYFUNCTION("""COMPUTED_VALUE"""),"Small Format")</f>
        <v>Small Format</v>
      </c>
      <c r="S2490" s="3" t="str">
        <f>IFERROR(__xludf.DUMMYFUNCTION("""COMPUTED_VALUE"""),"Donjai")</f>
        <v>Donjai</v>
      </c>
      <c r="T2490" s="3" t="str">
        <f>IFERROR(__xludf.DUMMYFUNCTION("""COMPUTED_VALUE"""),"09 K.Wirode A")</f>
        <v>09 K.Wirode A</v>
      </c>
      <c r="U2490" s="3" t="str">
        <f>IFERROR(__xludf.DUMMYFUNCTION("""COMPUTED_VALUE"""),"09 K.Wirode A")</f>
        <v>09 K.Wirode A</v>
      </c>
      <c r="V2490" s="3" t="str">
        <f>IFERROR(__xludf.DUMMYFUNCTION("""COMPUTED_VALUE"""),"N")</f>
        <v>N</v>
      </c>
      <c r="W2490" s="3"/>
      <c r="X2490" s="3" t="str">
        <f>IFERROR(__xludf.DUMMYFUNCTION("""COMPUTED_VALUE"""),"47/125 ม.เมืองประชา ถ.หทัยราษฯ 35 ข.สามวาตะวันตก เขตคลองสามวา กทม 10150")</f>
        <v>47/125 ม.เมืองประชา ถ.หทัยราษฯ 35 ข.สามวาตะวันตก เขตคลองสามวา กทม 10150</v>
      </c>
      <c r="Y2490" s="3"/>
      <c r="Z2490" s="3" t="str">
        <f>IFERROR(__xludf.DUMMYFUNCTION("""COMPUTED_VALUE"""),"สามวาตะวันตก")</f>
        <v>สามวาตะวันตก</v>
      </c>
      <c r="AA2490" s="3" t="str">
        <f>IFERROR(__xludf.DUMMYFUNCTION("""COMPUTED_VALUE"""),"คลองสามวา")</f>
        <v>คลองสามวา</v>
      </c>
      <c r="AB2490" s="3" t="str">
        <f>IFERROR(__xludf.DUMMYFUNCTION("""COMPUTED_VALUE"""),"กรุงเทพมหานคร")</f>
        <v>กรุงเทพมหานคร</v>
      </c>
      <c r="AC2490" s="3">
        <f>IFERROR(__xludf.DUMMYFUNCTION("""COMPUTED_VALUE"""),10150.0)</f>
        <v>10150</v>
      </c>
      <c r="AD2490" s="3"/>
      <c r="AE2490" s="3"/>
      <c r="AF2490" s="3" t="str">
        <f>IFERROR(__xludf.DUMMYFUNCTION("""COMPUTED_VALUE"""),"ร้านคุณวราพร-83219")</f>
        <v>ร้านคุณวราพร-83219</v>
      </c>
      <c r="AG2490" s="3" t="str">
        <f>IFERROR(__xludf.DUMMYFUNCTION("""COMPUTED_VALUE"""),"กลาง")</f>
        <v>กลาง</v>
      </c>
      <c r="AH2490" s="3" t="str">
        <f>IFERROR(__xludf.DUMMYFUNCTION("""COMPUTED_VALUE"""),"#N/A")</f>
        <v>#N/A</v>
      </c>
      <c r="AI2490" s="3" t="str">
        <f>IFERROR(__xludf.DUMMYFUNCTION("""COMPUTED_VALUE"""),"Out of warranty")</f>
        <v>Out of warranty</v>
      </c>
      <c r="AJ2490" s="3">
        <f>IFERROR(__xludf.DUMMYFUNCTION("""COMPUTED_VALUE"""),49.0)</f>
        <v>49</v>
      </c>
      <c r="AK2490" s="3"/>
      <c r="AL2490" s="3"/>
    </row>
    <row r="2491" ht="15.75" customHeight="1">
      <c r="A2491" s="1" t="str">
        <f>IFERROR(__xludf.DUMMYFUNCTION("""COMPUTED_VALUE"""),"83220")</f>
        <v>83220</v>
      </c>
      <c r="B2491" s="2">
        <f>IFERROR(__xludf.DUMMYFUNCTION("""COMPUTED_VALUE"""),83220.0)</f>
        <v>83220</v>
      </c>
      <c r="C2491" s="3" t="str">
        <f>IFERROR(__xludf.DUMMYFUNCTION("""COMPUTED_VALUE"""),"ร้านบ่อทองการค้า(ขวัญจิรา)")</f>
        <v>ร้านบ่อทองการค้า(ขวัญจิรา)</v>
      </c>
      <c r="D2491" s="3" t="str">
        <f>IFERROR(__xludf.DUMMYFUNCTION("""COMPUTED_VALUE"""),"ร้านบ่อทองการค้า(ขวัญจิรา)")</f>
        <v>ร้านบ่อทองการค้า(ขวัญจิรา)</v>
      </c>
      <c r="E2491" s="1" t="str">
        <f>IFERROR(__xludf.DUMMYFUNCTION("""COMPUTED_VALUE"""),"Donjai")</f>
        <v>Donjai</v>
      </c>
      <c r="F2491" s="1" t="str">
        <f>IFERROR(__xludf.DUMMYFUNCTION("""COMPUTED_VALUE"""),"015361")</f>
        <v>015361</v>
      </c>
      <c r="G2491" s="1" t="str">
        <f>IFERROR(__xludf.DUMMYFUNCTION("""COMPUTED_VALUE"""),"นายสมบูรณ์ พรหมในเมือง")</f>
        <v>นายสมบูรณ์ พรหมในเมือง</v>
      </c>
      <c r="H2491" s="1" t="str">
        <f>IFERROR(__xludf.DUMMYFUNCTION("""COMPUTED_VALUE"""),"015361")</f>
        <v>015361</v>
      </c>
      <c r="I2491" s="1" t="str">
        <f>IFERROR(__xludf.DUMMYFUNCTION("""COMPUTED_VALUE"""),"นายสมบูรณ์ พรหมในเมือง")</f>
        <v>นายสมบูรณ์ พรหมในเมือง</v>
      </c>
      <c r="J2491" s="3">
        <f>IFERROR(__xludf.DUMMYFUNCTION("""COMPUTED_VALUE"""),295886.0)</f>
        <v>295886</v>
      </c>
      <c r="K2491" s="3" t="str">
        <f>IFERROR(__xludf.DUMMYFUNCTION("""COMPUTED_VALUE"""),"นายจิระพงษ์ โพธิ์นิล")</f>
        <v>นายจิระพงษ์ โพธิ์นิล</v>
      </c>
      <c r="L2491" s="1" t="str">
        <f>IFERROR(__xludf.DUMMYFUNCTION("""COMPUTED_VALUE"""),"นายจิระพงษ์ โพธิ์นิล")</f>
        <v>นายจิระพงษ์ โพธิ์นิล</v>
      </c>
      <c r="M2491" s="1" t="str">
        <f>IFERROR(__xludf.DUMMYFUNCTION("""COMPUTED_VALUE"""),"0933290754")</f>
        <v>0933290754</v>
      </c>
      <c r="N2491" s="3">
        <f>IFERROR(__xludf.DUMMYFUNCTION("""COMPUTED_VALUE"""),83220.0)</f>
        <v>83220</v>
      </c>
      <c r="O2491" s="3" t="str">
        <f>IFERROR(__xludf.DUMMYFUNCTION("""COMPUTED_VALUE"""),"ร้านบ่อทองการค้า(ขวัญจิรา)")</f>
        <v>ร้านบ่อทองการค้า(ขวัญจิรา)</v>
      </c>
      <c r="P2491" s="4">
        <f>IFERROR(__xludf.DUMMYFUNCTION("""COMPUTED_VALUE"""),44557.0)</f>
        <v>44557</v>
      </c>
      <c r="Q2491" s="3" t="str">
        <f>IFERROR(__xludf.DUMMYFUNCTION("""COMPUTED_VALUE"""),"A")</f>
        <v>A</v>
      </c>
      <c r="R2491" s="3" t="str">
        <f>IFERROR(__xludf.DUMMYFUNCTION("""COMPUTED_VALUE"""),"Small Format")</f>
        <v>Small Format</v>
      </c>
      <c r="S2491" s="3" t="str">
        <f>IFERROR(__xludf.DUMMYFUNCTION("""COMPUTED_VALUE"""),"Donjai")</f>
        <v>Donjai</v>
      </c>
      <c r="T2491" s="3" t="str">
        <f>IFERROR(__xludf.DUMMYFUNCTION("""COMPUTED_VALUE"""),"04 K.Somboon P.")</f>
        <v>04 K.Somboon P.</v>
      </c>
      <c r="U2491" s="3" t="str">
        <f>IFERROR(__xludf.DUMMYFUNCTION("""COMPUTED_VALUE"""),"04 K.Somboon P.")</f>
        <v>04 K.Somboon P.</v>
      </c>
      <c r="V2491" s="3" t="str">
        <f>IFERROR(__xludf.DUMMYFUNCTION("""COMPUTED_VALUE"""),"N")</f>
        <v>N</v>
      </c>
      <c r="W2491" s="3"/>
      <c r="X2491" s="3" t="str">
        <f>IFERROR(__xludf.DUMMYFUNCTION("""COMPUTED_VALUE"""),"189 หมู่ที่ 8 ต.ถ้าวัวแดง อ.หนองบัวแดง จ.ชัยภูมิ")</f>
        <v>189 หมู่ที่ 8 ต.ถ้าวัวแดง อ.หนองบัวแดง จ.ชัยภูมิ</v>
      </c>
      <c r="Y2491" s="3"/>
      <c r="Z2491" s="3">
        <f>IFERROR(__xludf.DUMMYFUNCTION("""COMPUTED_VALUE"""),0.0)</f>
        <v>0</v>
      </c>
      <c r="AA2491" s="3">
        <f>IFERROR(__xludf.DUMMYFUNCTION("""COMPUTED_VALUE"""),0.0)</f>
        <v>0</v>
      </c>
      <c r="AB2491" s="3" t="str">
        <f>IFERROR(__xludf.DUMMYFUNCTION("""COMPUTED_VALUE"""),"ชัยภูมิ")</f>
        <v>ชัยภูมิ</v>
      </c>
      <c r="AC2491" s="3">
        <f>IFERROR(__xludf.DUMMYFUNCTION("""COMPUTED_VALUE"""),0.0)</f>
        <v>0</v>
      </c>
      <c r="AD2491" s="3"/>
      <c r="AE2491" s="3"/>
      <c r="AF2491" s="3" t="str">
        <f>IFERROR(__xludf.DUMMYFUNCTION("""COMPUTED_VALUE"""),"ร้านบ่อทองการค้า(ขวัญจิรา)-83220")</f>
        <v>ร้านบ่อทองการค้า(ขวัญจิรา)-83220</v>
      </c>
      <c r="AG2491" s="3" t="str">
        <f>IFERROR(__xludf.DUMMYFUNCTION("""COMPUTED_VALUE"""),"ตะวันออกเฉียงเหนือ")</f>
        <v>ตะวันออกเฉียงเหนือ</v>
      </c>
      <c r="AH2491" s="3" t="str">
        <f>IFERROR(__xludf.DUMMYFUNCTION("""COMPUTED_VALUE"""),"#N/A")</f>
        <v>#N/A</v>
      </c>
      <c r="AI2491" s="3" t="str">
        <f>IFERROR(__xludf.DUMMYFUNCTION("""COMPUTED_VALUE"""),"Out of warranty")</f>
        <v>Out of warranty</v>
      </c>
      <c r="AJ2491" s="3">
        <f>IFERROR(__xludf.DUMMYFUNCTION("""COMPUTED_VALUE"""),49.0)</f>
        <v>49</v>
      </c>
      <c r="AK2491" s="3"/>
      <c r="AL2491" s="3"/>
    </row>
    <row r="2492" ht="15.75" customHeight="1">
      <c r="A2492" s="1" t="str">
        <f>IFERROR(__xludf.DUMMYFUNCTION("""COMPUTED_VALUE"""),"83221")</f>
        <v>83221</v>
      </c>
      <c r="B2492" s="2">
        <f>IFERROR(__xludf.DUMMYFUNCTION("""COMPUTED_VALUE"""),83221.0)</f>
        <v>83221</v>
      </c>
      <c r="C2492" s="3" t="str">
        <f>IFERROR(__xludf.DUMMYFUNCTION("""COMPUTED_VALUE"""),"ร้านกิตติ์กนกเพชรพรรณ")</f>
        <v>ร้านกิตติ์กนกเพชรพรรณ</v>
      </c>
      <c r="D2492" s="3" t="str">
        <f>IFERROR(__xludf.DUMMYFUNCTION("""COMPUTED_VALUE"""),"ร้านกิตติ์กนกเพชรพรรณ")</f>
        <v>ร้านกิตติ์กนกเพชรพรรณ</v>
      </c>
      <c r="E2492" s="1" t="str">
        <f>IFERROR(__xludf.DUMMYFUNCTION("""COMPUTED_VALUE"""),"Donjai")</f>
        <v>Donjai</v>
      </c>
      <c r="F2492" s="1" t="str">
        <f>IFERROR(__xludf.DUMMYFUNCTION("""COMPUTED_VALUE"""),"296608")</f>
        <v>296608</v>
      </c>
      <c r="G2492" s="1" t="str">
        <f>IFERROR(__xludf.DUMMYFUNCTION("""COMPUTED_VALUE"""),"นายภาคภูมิ เพ็ชรนิล")</f>
        <v>นายภาคภูมิ เพ็ชรนิล</v>
      </c>
      <c r="H2492" s="1" t="str">
        <f>IFERROR(__xludf.DUMMYFUNCTION("""COMPUTED_VALUE"""),"296608")</f>
        <v>296608</v>
      </c>
      <c r="I2492" s="1" t="str">
        <f>IFERROR(__xludf.DUMMYFUNCTION("""COMPUTED_VALUE"""),"นายภาคภูมิ เพ็ชรนิล")</f>
        <v>นายภาคภูมิ เพ็ชรนิล</v>
      </c>
      <c r="J2492" s="3">
        <f>IFERROR(__xludf.DUMMYFUNCTION("""COMPUTED_VALUE"""),228031.0)</f>
        <v>228031</v>
      </c>
      <c r="K2492" s="3" t="str">
        <f>IFERROR(__xludf.DUMMYFUNCTION("""COMPUTED_VALUE"""),"นายธนพงษ์ วันหมัด")</f>
        <v>นายธนพงษ์ วันหมัด</v>
      </c>
      <c r="L2492" s="1" t="str">
        <f>IFERROR(__xludf.DUMMYFUNCTION("""COMPUTED_VALUE"""),"นายธนพงษ์ วันหมัด")</f>
        <v>นายธนพงษ์ วันหมัด</v>
      </c>
      <c r="M2492" s="1" t="str">
        <f>IFERROR(__xludf.DUMMYFUNCTION("""COMPUTED_VALUE"""),"0813716913")</f>
        <v>0813716913</v>
      </c>
      <c r="N2492" s="3">
        <f>IFERROR(__xludf.DUMMYFUNCTION("""COMPUTED_VALUE"""),83221.0)</f>
        <v>83221</v>
      </c>
      <c r="O2492" s="3" t="str">
        <f>IFERROR(__xludf.DUMMYFUNCTION("""COMPUTED_VALUE"""),"ร้านกิตติ์กนกเพชรพรรณ")</f>
        <v>ร้านกิตติ์กนกเพชรพรรณ</v>
      </c>
      <c r="P2492" s="4">
        <f>IFERROR(__xludf.DUMMYFUNCTION("""COMPUTED_VALUE"""),44555.0)</f>
        <v>44555</v>
      </c>
      <c r="Q2492" s="3" t="str">
        <f>IFERROR(__xludf.DUMMYFUNCTION("""COMPUTED_VALUE"""),"A")</f>
        <v>A</v>
      </c>
      <c r="R2492" s="3" t="str">
        <f>IFERROR(__xludf.DUMMYFUNCTION("""COMPUTED_VALUE"""),"Small Format")</f>
        <v>Small Format</v>
      </c>
      <c r="S2492" s="3" t="str">
        <f>IFERROR(__xludf.DUMMYFUNCTION("""COMPUTED_VALUE"""),"Donjai")</f>
        <v>Donjai</v>
      </c>
      <c r="T2492" s="3" t="str">
        <f>IFERROR(__xludf.DUMMYFUNCTION("""COMPUTED_VALUE"""),"10 K.Phakphoom P.")</f>
        <v>10 K.Phakphoom P.</v>
      </c>
      <c r="U2492" s="3" t="str">
        <f>IFERROR(__xludf.DUMMYFUNCTION("""COMPUTED_VALUE"""),"10 K.Phakphoom P.")</f>
        <v>10 K.Phakphoom P.</v>
      </c>
      <c r="V2492" s="3" t="str">
        <f>IFERROR(__xludf.DUMMYFUNCTION("""COMPUTED_VALUE"""),"N")</f>
        <v>N</v>
      </c>
      <c r="W2492" s="3"/>
      <c r="X2492" s="3" t="str">
        <f>IFERROR(__xludf.DUMMYFUNCTION("""COMPUTED_VALUE"""),"681/47 ม.5 ต.บ้านหม้อ อ.เมืองจ.เพชรบุรี 76000")</f>
        <v>681/47 ม.5 ต.บ้านหม้อ อ.เมืองจ.เพชรบุรี 76000</v>
      </c>
      <c r="Y2492" s="3"/>
      <c r="Z2492" s="3" t="str">
        <f>IFERROR(__xludf.DUMMYFUNCTION("""COMPUTED_VALUE"""),"บ้านหม้อ")</f>
        <v>บ้านหม้อ</v>
      </c>
      <c r="AA2492" s="3" t="str">
        <f>IFERROR(__xludf.DUMMYFUNCTION("""COMPUTED_VALUE"""),"เมืองเพชรบุรี")</f>
        <v>เมืองเพชรบุรี</v>
      </c>
      <c r="AB2492" s="3" t="str">
        <f>IFERROR(__xludf.DUMMYFUNCTION("""COMPUTED_VALUE"""),"เพชรบุรี")</f>
        <v>เพชรบุรี</v>
      </c>
      <c r="AC2492" s="3">
        <f>IFERROR(__xludf.DUMMYFUNCTION("""COMPUTED_VALUE"""),76000.0)</f>
        <v>76000</v>
      </c>
      <c r="AD2492" s="3"/>
      <c r="AE2492" s="3"/>
      <c r="AF2492" s="3" t="str">
        <f>IFERROR(__xludf.DUMMYFUNCTION("""COMPUTED_VALUE"""),"ร้านกิตติ์กนกเพชรพรรณ-83221")</f>
        <v>ร้านกิตติ์กนกเพชรพรรณ-83221</v>
      </c>
      <c r="AG2492" s="3" t="str">
        <f>IFERROR(__xludf.DUMMYFUNCTION("""COMPUTED_VALUE"""),"ตะวันตก")</f>
        <v>ตะวันตก</v>
      </c>
      <c r="AH2492" s="3" t="str">
        <f>IFERROR(__xludf.DUMMYFUNCTION("""COMPUTED_VALUE"""),"#N/A")</f>
        <v>#N/A</v>
      </c>
      <c r="AI2492" s="3" t="str">
        <f>IFERROR(__xludf.DUMMYFUNCTION("""COMPUTED_VALUE"""),"Out of warranty")</f>
        <v>Out of warranty</v>
      </c>
      <c r="AJ2492" s="3">
        <f>IFERROR(__xludf.DUMMYFUNCTION("""COMPUTED_VALUE"""),49.0)</f>
        <v>49</v>
      </c>
      <c r="AK2492" s="3"/>
      <c r="AL2492" s="3"/>
    </row>
    <row r="2493" ht="15.75" customHeight="1">
      <c r="A2493" s="1" t="str">
        <f>IFERROR(__xludf.DUMMYFUNCTION("""COMPUTED_VALUE"""),"83222")</f>
        <v>83222</v>
      </c>
      <c r="B2493" s="2">
        <f>IFERROR(__xludf.DUMMYFUNCTION("""COMPUTED_VALUE"""),83222.0)</f>
        <v>83222</v>
      </c>
      <c r="C2493" s="3" t="str">
        <f>IFERROR(__xludf.DUMMYFUNCTION("""COMPUTED_VALUE"""),"ธงชัย พาญิชย์")</f>
        <v>ธงชัย พาญิชย์</v>
      </c>
      <c r="D2493" s="3" t="str">
        <f>IFERROR(__xludf.DUMMYFUNCTION("""COMPUTED_VALUE"""),"ธงชัย พาญิชย์")</f>
        <v>ธงชัย พาญิชย์</v>
      </c>
      <c r="E2493" s="1" t="str">
        <f>IFERROR(__xludf.DUMMYFUNCTION("""COMPUTED_VALUE"""),"Donjai")</f>
        <v>Donjai</v>
      </c>
      <c r="F2493" s="1" t="str">
        <f>IFERROR(__xludf.DUMMYFUNCTION("""COMPUTED_VALUE"""),"296608")</f>
        <v>296608</v>
      </c>
      <c r="G2493" s="1" t="str">
        <f>IFERROR(__xludf.DUMMYFUNCTION("""COMPUTED_VALUE"""),"นายภาคภูมิ เพ็ชรนิล")</f>
        <v>นายภาคภูมิ เพ็ชรนิล</v>
      </c>
      <c r="H2493" s="1" t="str">
        <f>IFERROR(__xludf.DUMMYFUNCTION("""COMPUTED_VALUE"""),"296608")</f>
        <v>296608</v>
      </c>
      <c r="I2493" s="1" t="str">
        <f>IFERROR(__xludf.DUMMYFUNCTION("""COMPUTED_VALUE"""),"นายภาคภูมิ เพ็ชรนิล")</f>
        <v>นายภาคภูมิ เพ็ชรนิล</v>
      </c>
      <c r="J2493" s="3">
        <f>IFERROR(__xludf.DUMMYFUNCTION("""COMPUTED_VALUE"""),228031.0)</f>
        <v>228031</v>
      </c>
      <c r="K2493" s="3" t="str">
        <f>IFERROR(__xludf.DUMMYFUNCTION("""COMPUTED_VALUE"""),"นายธนพงษ์ วันหมัด")</f>
        <v>นายธนพงษ์ วันหมัด</v>
      </c>
      <c r="L2493" s="1" t="str">
        <f>IFERROR(__xludf.DUMMYFUNCTION("""COMPUTED_VALUE"""),"นายธนพงษ์ วันหมัด")</f>
        <v>นายธนพงษ์ วันหมัด</v>
      </c>
      <c r="M2493" s="1" t="str">
        <f>IFERROR(__xludf.DUMMYFUNCTION("""COMPUTED_VALUE"""),"0813716913")</f>
        <v>0813716913</v>
      </c>
      <c r="N2493" s="3">
        <f>IFERROR(__xludf.DUMMYFUNCTION("""COMPUTED_VALUE"""),83222.0)</f>
        <v>83222</v>
      </c>
      <c r="O2493" s="3" t="str">
        <f>IFERROR(__xludf.DUMMYFUNCTION("""COMPUTED_VALUE"""),"ธงชัย พาญิชย์")</f>
        <v>ธงชัย พาญิชย์</v>
      </c>
      <c r="P2493" s="4">
        <f>IFERROR(__xludf.DUMMYFUNCTION("""COMPUTED_VALUE"""),44576.0)</f>
        <v>44576</v>
      </c>
      <c r="Q2493" s="3" t="str">
        <f>IFERROR(__xludf.DUMMYFUNCTION("""COMPUTED_VALUE"""),"I")</f>
        <v>I</v>
      </c>
      <c r="R2493" s="3" t="str">
        <f>IFERROR(__xludf.DUMMYFUNCTION("""COMPUTED_VALUE"""),"Small Format")</f>
        <v>Small Format</v>
      </c>
      <c r="S2493" s="3" t="str">
        <f>IFERROR(__xludf.DUMMYFUNCTION("""COMPUTED_VALUE"""),"Donjai")</f>
        <v>Donjai</v>
      </c>
      <c r="T2493" s="3" t="str">
        <f>IFERROR(__xludf.DUMMYFUNCTION("""COMPUTED_VALUE"""),"10 K.Phakphoom P.")</f>
        <v>10 K.Phakphoom P.</v>
      </c>
      <c r="U2493" s="3" t="str">
        <f>IFERROR(__xludf.DUMMYFUNCTION("""COMPUTED_VALUE"""),"10 K.Phakphoom P.")</f>
        <v>10 K.Phakphoom P.</v>
      </c>
      <c r="V2493" s="3" t="str">
        <f>IFERROR(__xludf.DUMMYFUNCTION("""COMPUTED_VALUE"""),"N")</f>
        <v>N</v>
      </c>
      <c r="W2493" s="3"/>
      <c r="X2493" s="3" t="str">
        <f>IFERROR(__xludf.DUMMYFUNCTION("""COMPUTED_VALUE"""),"หมู่บ้านปรีชา สาย 4 เลขที่ 101/109 หมู่ 9 ซอย 7 ถนนพุทธมณฑล สาย 4 ตำบลกระทุ่มล้ม อำเภอสามพราน จังหวัดนครปฐม")</f>
        <v>หมู่บ้านปรีชา สาย 4 เลขที่ 101/109 หมู่ 9 ซอย 7 ถนนพุทธมณฑล สาย 4 ตำบลกระทุ่มล้ม อำเภอสามพราน จังหวัดนครปฐม</v>
      </c>
      <c r="Y2493" s="3"/>
      <c r="Z2493" s="3">
        <f>IFERROR(__xludf.DUMMYFUNCTION("""COMPUTED_VALUE"""),0.0)</f>
        <v>0</v>
      </c>
      <c r="AA2493" s="3">
        <f>IFERROR(__xludf.DUMMYFUNCTION("""COMPUTED_VALUE"""),0.0)</f>
        <v>0</v>
      </c>
      <c r="AB2493" s="3" t="str">
        <f>IFERROR(__xludf.DUMMYFUNCTION("""COMPUTED_VALUE"""),"นครปฐม")</f>
        <v>นครปฐม</v>
      </c>
      <c r="AC2493" s="3">
        <f>IFERROR(__xludf.DUMMYFUNCTION("""COMPUTED_VALUE"""),0.0)</f>
        <v>0</v>
      </c>
      <c r="AD2493" s="3"/>
      <c r="AE2493" s="3"/>
      <c r="AF2493" s="3" t="str">
        <f>IFERROR(__xludf.DUMMYFUNCTION("""COMPUTED_VALUE"""),"ธงชัย พาญิชย์-83222")</f>
        <v>ธงชัย พาญิชย์-83222</v>
      </c>
      <c r="AG2493" s="3" t="str">
        <f>IFERROR(__xludf.DUMMYFUNCTION("""COMPUTED_VALUE"""),"กลาง")</f>
        <v>กลาง</v>
      </c>
      <c r="AH2493" s="3" t="str">
        <f>IFERROR(__xludf.DUMMYFUNCTION("""COMPUTED_VALUE"""),"#N/A")</f>
        <v>#N/A</v>
      </c>
      <c r="AI2493" s="3" t="str">
        <f>IFERROR(__xludf.DUMMYFUNCTION("""COMPUTED_VALUE"""),"Out of warranty")</f>
        <v>Out of warranty</v>
      </c>
      <c r="AJ2493" s="3">
        <f>IFERROR(__xludf.DUMMYFUNCTION("""COMPUTED_VALUE"""),49.0)</f>
        <v>49</v>
      </c>
      <c r="AK2493" s="3"/>
      <c r="AL2493" s="3"/>
    </row>
    <row r="2494" ht="15.75" customHeight="1">
      <c r="A2494" s="1" t="str">
        <f>IFERROR(__xludf.DUMMYFUNCTION("""COMPUTED_VALUE"""),"83223")</f>
        <v>83223</v>
      </c>
      <c r="B2494" s="2">
        <f>IFERROR(__xludf.DUMMYFUNCTION("""COMPUTED_VALUE"""),83223.0)</f>
        <v>83223</v>
      </c>
      <c r="C2494" s="3" t="str">
        <f>IFERROR(__xludf.DUMMYFUNCTION("""COMPUTED_VALUE"""),"แวร์ดู")</f>
        <v>แวร์ดู</v>
      </c>
      <c r="D2494" s="3" t="str">
        <f>IFERROR(__xludf.DUMMYFUNCTION("""COMPUTED_VALUE"""),"แวร์ดู")</f>
        <v>แวร์ดู</v>
      </c>
      <c r="E2494" s="1" t="str">
        <f>IFERROR(__xludf.DUMMYFUNCTION("""COMPUTED_VALUE"""),"Donjai")</f>
        <v>Donjai</v>
      </c>
      <c r="F2494" s="1" t="str">
        <f>IFERROR(__xludf.DUMMYFUNCTION("""COMPUTED_VALUE"""),"296868")</f>
        <v>296868</v>
      </c>
      <c r="G2494" s="1" t="str">
        <f>IFERROR(__xludf.DUMMYFUNCTION("""COMPUTED_VALUE"""),"นายพีระพงษ์ แก้วดวงดี")</f>
        <v>นายพีระพงษ์ แก้วดวงดี</v>
      </c>
      <c r="H2494" s="1" t="str">
        <f>IFERROR(__xludf.DUMMYFUNCTION("""COMPUTED_VALUE"""),"296868")</f>
        <v>296868</v>
      </c>
      <c r="I2494" s="1" t="str">
        <f>IFERROR(__xludf.DUMMYFUNCTION("""COMPUTED_VALUE"""),"นายพีระพงษ์ แก้วดวงดี")</f>
        <v>นายพีระพงษ์ แก้วดวงดี</v>
      </c>
      <c r="J2494" s="3">
        <f>IFERROR(__xludf.DUMMYFUNCTION("""COMPUTED_VALUE"""),295886.0)</f>
        <v>295886</v>
      </c>
      <c r="K2494" s="3" t="str">
        <f>IFERROR(__xludf.DUMMYFUNCTION("""COMPUTED_VALUE"""),"นายจิระพงษ์ โพธิ์นิล")</f>
        <v>นายจิระพงษ์ โพธิ์นิล</v>
      </c>
      <c r="L2494" s="1" t="str">
        <f>IFERROR(__xludf.DUMMYFUNCTION("""COMPUTED_VALUE"""),"นายจิระพงษ์ โพธิ์นิล")</f>
        <v>นายจิระพงษ์ โพธิ์นิล</v>
      </c>
      <c r="M2494" s="1" t="str">
        <f>IFERROR(__xludf.DUMMYFUNCTION("""COMPUTED_VALUE"""),"0933290754")</f>
        <v>0933290754</v>
      </c>
      <c r="N2494" s="3">
        <f>IFERROR(__xludf.DUMMYFUNCTION("""COMPUTED_VALUE"""),83223.0)</f>
        <v>83223</v>
      </c>
      <c r="O2494" s="3" t="str">
        <f>IFERROR(__xludf.DUMMYFUNCTION("""COMPUTED_VALUE"""),"แวร์ดู")</f>
        <v>แวร์ดู</v>
      </c>
      <c r="P2494" s="4">
        <f>IFERROR(__xludf.DUMMYFUNCTION("""COMPUTED_VALUE"""),44562.0)</f>
        <v>44562</v>
      </c>
      <c r="Q2494" s="3" t="str">
        <f>IFERROR(__xludf.DUMMYFUNCTION("""COMPUTED_VALUE"""),"I")</f>
        <v>I</v>
      </c>
      <c r="R2494" s="3" t="str">
        <f>IFERROR(__xludf.DUMMYFUNCTION("""COMPUTED_VALUE"""),"Small Format")</f>
        <v>Small Format</v>
      </c>
      <c r="S2494" s="3" t="str">
        <f>IFERROR(__xludf.DUMMYFUNCTION("""COMPUTED_VALUE"""),"Donjai")</f>
        <v>Donjai</v>
      </c>
      <c r="T2494" s="3" t="str">
        <f>IFERROR(__xludf.DUMMYFUNCTION("""COMPUTED_VALUE"""),"03 K.Peerapong K.")</f>
        <v>03 K.Peerapong K.</v>
      </c>
      <c r="U2494" s="3" t="str">
        <f>IFERROR(__xludf.DUMMYFUNCTION("""COMPUTED_VALUE"""),"03 K.Peerapong K.")</f>
        <v>03 K.Peerapong K.</v>
      </c>
      <c r="V2494" s="3" t="str">
        <f>IFERROR(__xludf.DUMMYFUNCTION("""COMPUTED_VALUE"""),"N")</f>
        <v>N</v>
      </c>
      <c r="W2494" s="3"/>
      <c r="X2494" s="3" t="str">
        <f>IFERROR(__xludf.DUMMYFUNCTION("""COMPUTED_VALUE"""),"70 ม.10 ต.สำราญ อ.เมืองขอนแก่น จขอนแก่น")</f>
        <v>70 ม.10 ต.สำราญ อ.เมืองขอนแก่น จขอนแก่น</v>
      </c>
      <c r="Y2494" s="3"/>
      <c r="Z2494" s="3">
        <f>IFERROR(__xludf.DUMMYFUNCTION("""COMPUTED_VALUE"""),0.0)</f>
        <v>0</v>
      </c>
      <c r="AA2494" s="3">
        <f>IFERROR(__xludf.DUMMYFUNCTION("""COMPUTED_VALUE"""),0.0)</f>
        <v>0</v>
      </c>
      <c r="AB2494" s="3" t="str">
        <f>IFERROR(__xludf.DUMMYFUNCTION("""COMPUTED_VALUE"""),"ขอนแก่น")</f>
        <v>ขอนแก่น</v>
      </c>
      <c r="AC2494" s="3">
        <f>IFERROR(__xludf.DUMMYFUNCTION("""COMPUTED_VALUE"""),0.0)</f>
        <v>0</v>
      </c>
      <c r="AD2494" s="3"/>
      <c r="AE2494" s="3"/>
      <c r="AF2494" s="3" t="str">
        <f>IFERROR(__xludf.DUMMYFUNCTION("""COMPUTED_VALUE"""),"แวร์ดู-83223")</f>
        <v>แวร์ดู-83223</v>
      </c>
      <c r="AG2494" s="3" t="str">
        <f>IFERROR(__xludf.DUMMYFUNCTION("""COMPUTED_VALUE"""),"ตะวันออกเฉียงเหนือ")</f>
        <v>ตะวันออกเฉียงเหนือ</v>
      </c>
      <c r="AH2494" s="3" t="str">
        <f>IFERROR(__xludf.DUMMYFUNCTION("""COMPUTED_VALUE"""),"#N/A")</f>
        <v>#N/A</v>
      </c>
      <c r="AI2494" s="3" t="str">
        <f>IFERROR(__xludf.DUMMYFUNCTION("""COMPUTED_VALUE"""),"Out of warranty")</f>
        <v>Out of warranty</v>
      </c>
      <c r="AJ2494" s="3">
        <f>IFERROR(__xludf.DUMMYFUNCTION("""COMPUTED_VALUE"""),49.0)</f>
        <v>49</v>
      </c>
      <c r="AK2494" s="3"/>
      <c r="AL2494" s="3"/>
    </row>
    <row r="2495" ht="15.75" customHeight="1">
      <c r="A2495" s="1" t="str">
        <f>IFERROR(__xludf.DUMMYFUNCTION("""COMPUTED_VALUE"""),"83224")</f>
        <v>83224</v>
      </c>
      <c r="B2495" s="2">
        <f>IFERROR(__xludf.DUMMYFUNCTION("""COMPUTED_VALUE"""),83224.0)</f>
        <v>83224</v>
      </c>
      <c r="C2495" s="3" t="str">
        <f>IFERROR(__xludf.DUMMYFUNCTION("""COMPUTED_VALUE"""),"ร้านอนัญญาพาณิชย์")</f>
        <v>ร้านอนัญญาพาณิชย์</v>
      </c>
      <c r="D2495" s="3" t="str">
        <f>IFERROR(__xludf.DUMMYFUNCTION("""COMPUTED_VALUE"""),"ร้านอนัญญาพาณิชย์")</f>
        <v>ร้านอนัญญาพาณิชย์</v>
      </c>
      <c r="E2495" s="1" t="str">
        <f>IFERROR(__xludf.DUMMYFUNCTION("""COMPUTED_VALUE"""),"Donjai")</f>
        <v>Donjai</v>
      </c>
      <c r="F2495" s="1" t="str">
        <f>IFERROR(__xludf.DUMMYFUNCTION("""COMPUTED_VALUE"""),"296868")</f>
        <v>296868</v>
      </c>
      <c r="G2495" s="1" t="str">
        <f>IFERROR(__xludf.DUMMYFUNCTION("""COMPUTED_VALUE"""),"นายพีระพงษ์ แก้วดวงดี")</f>
        <v>นายพีระพงษ์ แก้วดวงดี</v>
      </c>
      <c r="H2495" s="1" t="str">
        <f>IFERROR(__xludf.DUMMYFUNCTION("""COMPUTED_VALUE"""),"296868")</f>
        <v>296868</v>
      </c>
      <c r="I2495" s="1" t="str">
        <f>IFERROR(__xludf.DUMMYFUNCTION("""COMPUTED_VALUE"""),"นายพีระพงษ์ แก้วดวงดี")</f>
        <v>นายพีระพงษ์ แก้วดวงดี</v>
      </c>
      <c r="J2495" s="3">
        <f>IFERROR(__xludf.DUMMYFUNCTION("""COMPUTED_VALUE"""),295886.0)</f>
        <v>295886</v>
      </c>
      <c r="K2495" s="3" t="str">
        <f>IFERROR(__xludf.DUMMYFUNCTION("""COMPUTED_VALUE"""),"นายจิระพงษ์ โพธิ์นิล")</f>
        <v>นายจิระพงษ์ โพธิ์นิล</v>
      </c>
      <c r="L2495" s="1" t="str">
        <f>IFERROR(__xludf.DUMMYFUNCTION("""COMPUTED_VALUE"""),"นายจิระพงษ์ โพธิ์นิล")</f>
        <v>นายจิระพงษ์ โพธิ์นิล</v>
      </c>
      <c r="M2495" s="1" t="str">
        <f>IFERROR(__xludf.DUMMYFUNCTION("""COMPUTED_VALUE"""),"0933290754")</f>
        <v>0933290754</v>
      </c>
      <c r="N2495" s="3">
        <f>IFERROR(__xludf.DUMMYFUNCTION("""COMPUTED_VALUE"""),83224.0)</f>
        <v>83224</v>
      </c>
      <c r="O2495" s="3" t="str">
        <f>IFERROR(__xludf.DUMMYFUNCTION("""COMPUTED_VALUE"""),"ร้านอนัญญาพาณิชย์")</f>
        <v>ร้านอนัญญาพาณิชย์</v>
      </c>
      <c r="P2495" s="4">
        <f>IFERROR(__xludf.DUMMYFUNCTION("""COMPUTED_VALUE"""),44581.0)</f>
        <v>44581</v>
      </c>
      <c r="Q2495" s="3" t="str">
        <f>IFERROR(__xludf.DUMMYFUNCTION("""COMPUTED_VALUE"""),"A")</f>
        <v>A</v>
      </c>
      <c r="R2495" s="3" t="str">
        <f>IFERROR(__xludf.DUMMYFUNCTION("""COMPUTED_VALUE"""),"Small Format")</f>
        <v>Small Format</v>
      </c>
      <c r="S2495" s="3" t="str">
        <f>IFERROR(__xludf.DUMMYFUNCTION("""COMPUTED_VALUE"""),"Donjai")</f>
        <v>Donjai</v>
      </c>
      <c r="T2495" s="3" t="str">
        <f>IFERROR(__xludf.DUMMYFUNCTION("""COMPUTED_VALUE"""),"03 K.Peerapong K.")</f>
        <v>03 K.Peerapong K.</v>
      </c>
      <c r="U2495" s="3" t="str">
        <f>IFERROR(__xludf.DUMMYFUNCTION("""COMPUTED_VALUE"""),"03 K.Peerapong K.")</f>
        <v>03 K.Peerapong K.</v>
      </c>
      <c r="V2495" s="3" t="str">
        <f>IFERROR(__xludf.DUMMYFUNCTION("""COMPUTED_VALUE"""),"N")</f>
        <v>N</v>
      </c>
      <c r="W2495" s="3"/>
      <c r="X2495" s="3" t="str">
        <f>IFERROR(__xludf.DUMMYFUNCTION("""COMPUTED_VALUE"""),"44 ม.11 ต.เสอเพลอ อ.กุมภวาปี จ.อุดรธานี")</f>
        <v>44 ม.11 ต.เสอเพลอ อ.กุมภวาปี จ.อุดรธานี</v>
      </c>
      <c r="Y2495" s="3"/>
      <c r="Z2495" s="3">
        <f>IFERROR(__xludf.DUMMYFUNCTION("""COMPUTED_VALUE"""),0.0)</f>
        <v>0</v>
      </c>
      <c r="AA2495" s="3">
        <f>IFERROR(__xludf.DUMMYFUNCTION("""COMPUTED_VALUE"""),0.0)</f>
        <v>0</v>
      </c>
      <c r="AB2495" s="3" t="str">
        <f>IFERROR(__xludf.DUMMYFUNCTION("""COMPUTED_VALUE"""),"อุดรธานี")</f>
        <v>อุดรธานี</v>
      </c>
      <c r="AC2495" s="3">
        <f>IFERROR(__xludf.DUMMYFUNCTION("""COMPUTED_VALUE"""),0.0)</f>
        <v>0</v>
      </c>
      <c r="AD2495" s="3"/>
      <c r="AE2495" s="3"/>
      <c r="AF2495" s="3" t="str">
        <f>IFERROR(__xludf.DUMMYFUNCTION("""COMPUTED_VALUE"""),"ร้านอนัญญาพาณิชย์-83224")</f>
        <v>ร้านอนัญญาพาณิชย์-83224</v>
      </c>
      <c r="AG2495" s="3" t="str">
        <f>IFERROR(__xludf.DUMMYFUNCTION("""COMPUTED_VALUE"""),"ตะวันออกเฉียงเหนือ")</f>
        <v>ตะวันออกเฉียงเหนือ</v>
      </c>
      <c r="AH2495" s="3" t="str">
        <f>IFERROR(__xludf.DUMMYFUNCTION("""COMPUTED_VALUE"""),"#N/A")</f>
        <v>#N/A</v>
      </c>
      <c r="AI2495" s="3" t="str">
        <f>IFERROR(__xludf.DUMMYFUNCTION("""COMPUTED_VALUE"""),"Out of warranty")</f>
        <v>Out of warranty</v>
      </c>
      <c r="AJ2495" s="3">
        <f>IFERROR(__xludf.DUMMYFUNCTION("""COMPUTED_VALUE"""),49.0)</f>
        <v>49</v>
      </c>
      <c r="AK2495" s="3"/>
      <c r="AL2495" s="3"/>
    </row>
    <row r="2496" ht="15.75" customHeight="1">
      <c r="A2496" s="1" t="str">
        <f>IFERROR(__xludf.DUMMYFUNCTION("""COMPUTED_VALUE"""),"83225")</f>
        <v>83225</v>
      </c>
      <c r="B2496" s="2">
        <f>IFERROR(__xludf.DUMMYFUNCTION("""COMPUTED_VALUE"""),83225.0)</f>
        <v>83225</v>
      </c>
      <c r="C2496" s="3" t="str">
        <f>IFERROR(__xludf.DUMMYFUNCTION("""COMPUTED_VALUE"""),"ร้านกันเอง")</f>
        <v>ร้านกันเอง</v>
      </c>
      <c r="D2496" s="3" t="str">
        <f>IFERROR(__xludf.DUMMYFUNCTION("""COMPUTED_VALUE"""),"ร้านกันเอง")</f>
        <v>ร้านกันเอง</v>
      </c>
      <c r="E2496" s="1" t="str">
        <f>IFERROR(__xludf.DUMMYFUNCTION("""COMPUTED_VALUE"""),"Donjai")</f>
        <v>Donjai</v>
      </c>
      <c r="F2496" s="1" t="str">
        <f>IFERROR(__xludf.DUMMYFUNCTION("""COMPUTED_VALUE"""),"296868")</f>
        <v>296868</v>
      </c>
      <c r="G2496" s="1" t="str">
        <f>IFERROR(__xludf.DUMMYFUNCTION("""COMPUTED_VALUE"""),"นายพีระพงษ์ แก้วดวงดี")</f>
        <v>นายพีระพงษ์ แก้วดวงดี</v>
      </c>
      <c r="H2496" s="1" t="str">
        <f>IFERROR(__xludf.DUMMYFUNCTION("""COMPUTED_VALUE"""),"296868")</f>
        <v>296868</v>
      </c>
      <c r="I2496" s="1" t="str">
        <f>IFERROR(__xludf.DUMMYFUNCTION("""COMPUTED_VALUE"""),"นายพีระพงษ์ แก้วดวงดี")</f>
        <v>นายพีระพงษ์ แก้วดวงดี</v>
      </c>
      <c r="J2496" s="3">
        <f>IFERROR(__xludf.DUMMYFUNCTION("""COMPUTED_VALUE"""),295886.0)</f>
        <v>295886</v>
      </c>
      <c r="K2496" s="3" t="str">
        <f>IFERROR(__xludf.DUMMYFUNCTION("""COMPUTED_VALUE"""),"นายจิระพงษ์ โพธิ์นิล")</f>
        <v>นายจิระพงษ์ โพธิ์นิล</v>
      </c>
      <c r="L2496" s="1" t="str">
        <f>IFERROR(__xludf.DUMMYFUNCTION("""COMPUTED_VALUE"""),"นายจิระพงษ์ โพธิ์นิล")</f>
        <v>นายจิระพงษ์ โพธิ์นิล</v>
      </c>
      <c r="M2496" s="1" t="str">
        <f>IFERROR(__xludf.DUMMYFUNCTION("""COMPUTED_VALUE"""),"0933290754")</f>
        <v>0933290754</v>
      </c>
      <c r="N2496" s="3">
        <f>IFERROR(__xludf.DUMMYFUNCTION("""COMPUTED_VALUE"""),83225.0)</f>
        <v>83225</v>
      </c>
      <c r="O2496" s="3" t="str">
        <f>IFERROR(__xludf.DUMMYFUNCTION("""COMPUTED_VALUE"""),"ร้านกันเอง")</f>
        <v>ร้านกันเอง</v>
      </c>
      <c r="P2496" s="4">
        <f>IFERROR(__xludf.DUMMYFUNCTION("""COMPUTED_VALUE"""),44591.0)</f>
        <v>44591</v>
      </c>
      <c r="Q2496" s="3" t="str">
        <f>IFERROR(__xludf.DUMMYFUNCTION("""COMPUTED_VALUE"""),"I")</f>
        <v>I</v>
      </c>
      <c r="R2496" s="3" t="str">
        <f>IFERROR(__xludf.DUMMYFUNCTION("""COMPUTED_VALUE"""),"Small Format")</f>
        <v>Small Format</v>
      </c>
      <c r="S2496" s="3" t="str">
        <f>IFERROR(__xludf.DUMMYFUNCTION("""COMPUTED_VALUE"""),"Donjai")</f>
        <v>Donjai</v>
      </c>
      <c r="T2496" s="3" t="str">
        <f>IFERROR(__xludf.DUMMYFUNCTION("""COMPUTED_VALUE"""),"03 K.Peerapong K.")</f>
        <v>03 K.Peerapong K.</v>
      </c>
      <c r="U2496" s="3" t="str">
        <f>IFERROR(__xludf.DUMMYFUNCTION("""COMPUTED_VALUE"""),"03 K.Peerapong K.")</f>
        <v>03 K.Peerapong K.</v>
      </c>
      <c r="V2496" s="3" t="str">
        <f>IFERROR(__xludf.DUMMYFUNCTION("""COMPUTED_VALUE"""),"N")</f>
        <v>N</v>
      </c>
      <c r="W2496" s="3"/>
      <c r="X2496" s="3" t="str">
        <f>IFERROR(__xludf.DUMMYFUNCTION("""COMPUTED_VALUE"""),"267/2 หมู่ 1 ตำบล พานพร้าว อำเภอ ศรีเชียงใหม่ 43130")</f>
        <v>267/2 หมู่ 1 ตำบล พานพร้าว อำเภอ ศรีเชียงใหม่ 43130</v>
      </c>
      <c r="Y2496" s="3"/>
      <c r="Z2496" s="3" t="str">
        <f>IFERROR(__xludf.DUMMYFUNCTION("""COMPUTED_VALUE"""),"พานพร้าว")</f>
        <v>พานพร้าว</v>
      </c>
      <c r="AA2496" s="3" t="str">
        <f>IFERROR(__xludf.DUMMYFUNCTION("""COMPUTED_VALUE"""),"ศรีเชียงใหม่")</f>
        <v>ศรีเชียงใหม่</v>
      </c>
      <c r="AB2496" s="3" t="str">
        <f>IFERROR(__xludf.DUMMYFUNCTION("""COMPUTED_VALUE"""),"หนองคาย")</f>
        <v>หนองคาย</v>
      </c>
      <c r="AC2496" s="3">
        <f>IFERROR(__xludf.DUMMYFUNCTION("""COMPUTED_VALUE"""),43130.0)</f>
        <v>43130</v>
      </c>
      <c r="AD2496" s="3"/>
      <c r="AE2496" s="3"/>
      <c r="AF2496" s="3" t="str">
        <f>IFERROR(__xludf.DUMMYFUNCTION("""COMPUTED_VALUE"""),"ร้านกันเอง-83225")</f>
        <v>ร้านกันเอง-83225</v>
      </c>
      <c r="AG2496" s="3" t="str">
        <f>IFERROR(__xludf.DUMMYFUNCTION("""COMPUTED_VALUE"""),"ตะวันออกเฉียงเหนือ")</f>
        <v>ตะวันออกเฉียงเหนือ</v>
      </c>
      <c r="AH2496" s="3" t="str">
        <f>IFERROR(__xludf.DUMMYFUNCTION("""COMPUTED_VALUE"""),"#N/A")</f>
        <v>#N/A</v>
      </c>
      <c r="AI2496" s="3" t="str">
        <f>IFERROR(__xludf.DUMMYFUNCTION("""COMPUTED_VALUE"""),"Out of warranty")</f>
        <v>Out of warranty</v>
      </c>
      <c r="AJ2496" s="3">
        <f>IFERROR(__xludf.DUMMYFUNCTION("""COMPUTED_VALUE"""),48.0)</f>
        <v>48</v>
      </c>
      <c r="AK2496" s="3"/>
      <c r="AL2496" s="3"/>
    </row>
    <row r="2497" ht="15.75" customHeight="1">
      <c r="A2497" s="1" t="str">
        <f>IFERROR(__xludf.DUMMYFUNCTION("""COMPUTED_VALUE"""),"83226")</f>
        <v>83226</v>
      </c>
      <c r="B2497" s="2">
        <f>IFERROR(__xludf.DUMMYFUNCTION("""COMPUTED_VALUE"""),83226.0)</f>
        <v>83226</v>
      </c>
      <c r="C2497" s="3" t="str">
        <f>IFERROR(__xludf.DUMMYFUNCTION("""COMPUTED_VALUE"""),"ร้านพลูฉวี")</f>
        <v>ร้านพลูฉวี</v>
      </c>
      <c r="D2497" s="3" t="str">
        <f>IFERROR(__xludf.DUMMYFUNCTION("""COMPUTED_VALUE"""),"ร้านพลูฉวี")</f>
        <v>ร้านพลูฉวี</v>
      </c>
      <c r="E2497" s="1" t="str">
        <f>IFERROR(__xludf.DUMMYFUNCTION("""COMPUTED_VALUE"""),"Donjai")</f>
        <v>Donjai</v>
      </c>
      <c r="F2497" s="1" t="str">
        <f>IFERROR(__xludf.DUMMYFUNCTION("""COMPUTED_VALUE"""),"2454781")</f>
        <v>2454781</v>
      </c>
      <c r="G2497" s="1" t="str">
        <f>IFERROR(__xludf.DUMMYFUNCTION("""COMPUTED_VALUE"""),"นายฌานกฤช นันทะโคต")</f>
        <v>นายฌานกฤช นันทะโคต</v>
      </c>
      <c r="H2497" s="1" t="str">
        <f>IFERROR(__xludf.DUMMYFUNCTION("""COMPUTED_VALUE"""),"2454781")</f>
        <v>2454781</v>
      </c>
      <c r="I2497" s="1" t="str">
        <f>IFERROR(__xludf.DUMMYFUNCTION("""COMPUTED_VALUE"""),"นายฌานกฤช นันทะโคต")</f>
        <v>นายฌานกฤช นันทะโคต</v>
      </c>
      <c r="J2497" s="3">
        <f>IFERROR(__xludf.DUMMYFUNCTION("""COMPUTED_VALUE"""),295886.0)</f>
        <v>295886</v>
      </c>
      <c r="K2497" s="3" t="str">
        <f>IFERROR(__xludf.DUMMYFUNCTION("""COMPUTED_VALUE"""),"นายจิระพงษ์ โพธิ์นิล")</f>
        <v>นายจิระพงษ์ โพธิ์นิล</v>
      </c>
      <c r="L2497" s="1" t="str">
        <f>IFERROR(__xludf.DUMMYFUNCTION("""COMPUTED_VALUE"""),"นายจิระพงษ์ โพธิ์นิล")</f>
        <v>นายจิระพงษ์ โพธิ์นิล</v>
      </c>
      <c r="M2497" s="1" t="str">
        <f>IFERROR(__xludf.DUMMYFUNCTION("""COMPUTED_VALUE"""),"0933290754")</f>
        <v>0933290754</v>
      </c>
      <c r="N2497" s="3">
        <f>IFERROR(__xludf.DUMMYFUNCTION("""COMPUTED_VALUE"""),83226.0)</f>
        <v>83226</v>
      </c>
      <c r="O2497" s="3" t="str">
        <f>IFERROR(__xludf.DUMMYFUNCTION("""COMPUTED_VALUE"""),"ร้านพลูฉวี")</f>
        <v>ร้านพลูฉวี</v>
      </c>
      <c r="P2497" s="4">
        <f>IFERROR(__xludf.DUMMYFUNCTION("""COMPUTED_VALUE"""),44575.0)</f>
        <v>44575</v>
      </c>
      <c r="Q2497" s="3" t="str">
        <f>IFERROR(__xludf.DUMMYFUNCTION("""COMPUTED_VALUE"""),"A")</f>
        <v>A</v>
      </c>
      <c r="R2497" s="3" t="str">
        <f>IFERROR(__xludf.DUMMYFUNCTION("""COMPUTED_VALUE"""),"Small Format")</f>
        <v>Small Format</v>
      </c>
      <c r="S2497" s="3" t="str">
        <f>IFERROR(__xludf.DUMMYFUNCTION("""COMPUTED_VALUE"""),"Donjai")</f>
        <v>Donjai</v>
      </c>
      <c r="T2497" s="3" t="str">
        <f>IFERROR(__xludf.DUMMYFUNCTION("""COMPUTED_VALUE"""),"05 K.Chanakrit N.")</f>
        <v>05 K.Chanakrit N.</v>
      </c>
      <c r="U2497" s="3" t="str">
        <f>IFERROR(__xludf.DUMMYFUNCTION("""COMPUTED_VALUE"""),"05 K.Chanakrit N.")</f>
        <v>05 K.Chanakrit N.</v>
      </c>
      <c r="V2497" s="3" t="str">
        <f>IFERROR(__xludf.DUMMYFUNCTION("""COMPUTED_VALUE"""),"N")</f>
        <v>N</v>
      </c>
      <c r="W2497" s="3"/>
      <c r="X2497" s="3" t="str">
        <f>IFERROR(__xludf.DUMMYFUNCTION("""COMPUTED_VALUE"""),"148 หมู่ 8 ต.นาโพธิ์ อ.บุณฑริก จ.อุบลฯ")</f>
        <v>148 หมู่ 8 ต.นาโพธิ์ อ.บุณฑริก จ.อุบลฯ</v>
      </c>
      <c r="Y2497" s="3"/>
      <c r="Z2497" s="3">
        <f>IFERROR(__xludf.DUMMYFUNCTION("""COMPUTED_VALUE"""),0.0)</f>
        <v>0</v>
      </c>
      <c r="AA2497" s="3">
        <f>IFERROR(__xludf.DUMMYFUNCTION("""COMPUTED_VALUE"""),0.0)</f>
        <v>0</v>
      </c>
      <c r="AB2497" s="3" t="str">
        <f>IFERROR(__xludf.DUMMYFUNCTION("""COMPUTED_VALUE"""),"อุบลราชธานี")</f>
        <v>อุบลราชธานี</v>
      </c>
      <c r="AC2497" s="3">
        <f>IFERROR(__xludf.DUMMYFUNCTION("""COMPUTED_VALUE"""),0.0)</f>
        <v>0</v>
      </c>
      <c r="AD2497" s="3"/>
      <c r="AE2497" s="3"/>
      <c r="AF2497" s="3" t="str">
        <f>IFERROR(__xludf.DUMMYFUNCTION("""COMPUTED_VALUE"""),"ร้านพลูฉวี-83226")</f>
        <v>ร้านพลูฉวี-83226</v>
      </c>
      <c r="AG2497" s="3" t="str">
        <f>IFERROR(__xludf.DUMMYFUNCTION("""COMPUTED_VALUE"""),"ตะวันออกเฉียงเหนือ")</f>
        <v>ตะวันออกเฉียงเหนือ</v>
      </c>
      <c r="AH2497" s="3" t="str">
        <f>IFERROR(__xludf.DUMMYFUNCTION("""COMPUTED_VALUE"""),"#N/A")</f>
        <v>#N/A</v>
      </c>
      <c r="AI2497" s="3" t="str">
        <f>IFERROR(__xludf.DUMMYFUNCTION("""COMPUTED_VALUE"""),"Out of warranty")</f>
        <v>Out of warranty</v>
      </c>
      <c r="AJ2497" s="3">
        <f>IFERROR(__xludf.DUMMYFUNCTION("""COMPUTED_VALUE"""),49.0)</f>
        <v>49</v>
      </c>
      <c r="AK2497" s="3"/>
      <c r="AL2497" s="3"/>
    </row>
    <row r="2498" ht="15.75" customHeight="1">
      <c r="A2498" s="1" t="str">
        <f>IFERROR(__xludf.DUMMYFUNCTION("""COMPUTED_VALUE"""),"83227")</f>
        <v>83227</v>
      </c>
      <c r="B2498" s="2">
        <f>IFERROR(__xludf.DUMMYFUNCTION("""COMPUTED_VALUE"""),83227.0)</f>
        <v>83227</v>
      </c>
      <c r="C2498" s="3" t="str">
        <f>IFERROR(__xludf.DUMMYFUNCTION("""COMPUTED_VALUE"""),"นวลจันทร์2")</f>
        <v>นวลจันทร์2</v>
      </c>
      <c r="D2498" s="3" t="str">
        <f>IFERROR(__xludf.DUMMYFUNCTION("""COMPUTED_VALUE"""),"นวลจันทร์2")</f>
        <v>นวลจันทร์2</v>
      </c>
      <c r="E2498" s="1" t="str">
        <f>IFERROR(__xludf.DUMMYFUNCTION("""COMPUTED_VALUE"""),"Donjai")</f>
        <v>Donjai</v>
      </c>
      <c r="F2498" s="1" t="str">
        <f>IFERROR(__xludf.DUMMYFUNCTION("""COMPUTED_VALUE"""),"2454781")</f>
        <v>2454781</v>
      </c>
      <c r="G2498" s="1" t="str">
        <f>IFERROR(__xludf.DUMMYFUNCTION("""COMPUTED_VALUE"""),"นายฌานกฤช นันทะโคต")</f>
        <v>นายฌานกฤช นันทะโคต</v>
      </c>
      <c r="H2498" s="1" t="str">
        <f>IFERROR(__xludf.DUMMYFUNCTION("""COMPUTED_VALUE"""),"2454781")</f>
        <v>2454781</v>
      </c>
      <c r="I2498" s="1" t="str">
        <f>IFERROR(__xludf.DUMMYFUNCTION("""COMPUTED_VALUE"""),"นายฌานกฤช นันทะโคต")</f>
        <v>นายฌานกฤช นันทะโคต</v>
      </c>
      <c r="J2498" s="3">
        <f>IFERROR(__xludf.DUMMYFUNCTION("""COMPUTED_VALUE"""),295886.0)</f>
        <v>295886</v>
      </c>
      <c r="K2498" s="3" t="str">
        <f>IFERROR(__xludf.DUMMYFUNCTION("""COMPUTED_VALUE"""),"นายจิระพงษ์ โพธิ์นิล")</f>
        <v>นายจิระพงษ์ โพธิ์นิล</v>
      </c>
      <c r="L2498" s="1" t="str">
        <f>IFERROR(__xludf.DUMMYFUNCTION("""COMPUTED_VALUE"""),"นายจิระพงษ์ โพธิ์นิล")</f>
        <v>นายจิระพงษ์ โพธิ์นิล</v>
      </c>
      <c r="M2498" s="1" t="str">
        <f>IFERROR(__xludf.DUMMYFUNCTION("""COMPUTED_VALUE"""),"0933290754")</f>
        <v>0933290754</v>
      </c>
      <c r="N2498" s="3">
        <f>IFERROR(__xludf.DUMMYFUNCTION("""COMPUTED_VALUE"""),83227.0)</f>
        <v>83227</v>
      </c>
      <c r="O2498" s="3" t="str">
        <f>IFERROR(__xludf.DUMMYFUNCTION("""COMPUTED_VALUE"""),"นวลจันทร์2")</f>
        <v>นวลจันทร์2</v>
      </c>
      <c r="P2498" s="4">
        <f>IFERROR(__xludf.DUMMYFUNCTION("""COMPUTED_VALUE"""),44582.0)</f>
        <v>44582</v>
      </c>
      <c r="Q2498" s="3" t="str">
        <f>IFERROR(__xludf.DUMMYFUNCTION("""COMPUTED_VALUE"""),"I")</f>
        <v>I</v>
      </c>
      <c r="R2498" s="3" t="str">
        <f>IFERROR(__xludf.DUMMYFUNCTION("""COMPUTED_VALUE"""),"Small Format")</f>
        <v>Small Format</v>
      </c>
      <c r="S2498" s="3" t="str">
        <f>IFERROR(__xludf.DUMMYFUNCTION("""COMPUTED_VALUE"""),"Donjai")</f>
        <v>Donjai</v>
      </c>
      <c r="T2498" s="3" t="str">
        <f>IFERROR(__xludf.DUMMYFUNCTION("""COMPUTED_VALUE"""),"05 K.Chanakrit N.")</f>
        <v>05 K.Chanakrit N.</v>
      </c>
      <c r="U2498" s="3" t="str">
        <f>IFERROR(__xludf.DUMMYFUNCTION("""COMPUTED_VALUE"""),"05 K.Chanakrit N.")</f>
        <v>05 K.Chanakrit N.</v>
      </c>
      <c r="V2498" s="3" t="str">
        <f>IFERROR(__xludf.DUMMYFUNCTION("""COMPUTED_VALUE"""),"N")</f>
        <v>N</v>
      </c>
      <c r="W2498" s="3"/>
      <c r="X2498" s="3" t="str">
        <f>IFERROR(__xludf.DUMMYFUNCTION("""COMPUTED_VALUE"""),"152 หมู่2ต.นาโพธิ์ อ.บุณฑริก จ.อุบลฯ")</f>
        <v>152 หมู่2ต.นาโพธิ์ อ.บุณฑริก จ.อุบลฯ</v>
      </c>
      <c r="Y2498" s="3"/>
      <c r="Z2498" s="3">
        <f>IFERROR(__xludf.DUMMYFUNCTION("""COMPUTED_VALUE"""),0.0)</f>
        <v>0</v>
      </c>
      <c r="AA2498" s="3">
        <f>IFERROR(__xludf.DUMMYFUNCTION("""COMPUTED_VALUE"""),0.0)</f>
        <v>0</v>
      </c>
      <c r="AB2498" s="3" t="str">
        <f>IFERROR(__xludf.DUMMYFUNCTION("""COMPUTED_VALUE"""),"อุบลราชธานี")</f>
        <v>อุบลราชธานี</v>
      </c>
      <c r="AC2498" s="3">
        <f>IFERROR(__xludf.DUMMYFUNCTION("""COMPUTED_VALUE"""),0.0)</f>
        <v>0</v>
      </c>
      <c r="AD2498" s="3"/>
      <c r="AE2498" s="3"/>
      <c r="AF2498" s="3" t="str">
        <f>IFERROR(__xludf.DUMMYFUNCTION("""COMPUTED_VALUE"""),"นวลจันทร์2-83227")</f>
        <v>นวลจันทร์2-83227</v>
      </c>
      <c r="AG2498" s="3" t="str">
        <f>IFERROR(__xludf.DUMMYFUNCTION("""COMPUTED_VALUE"""),"ตะวันออกเฉียงเหนือ")</f>
        <v>ตะวันออกเฉียงเหนือ</v>
      </c>
      <c r="AH2498" s="3" t="str">
        <f>IFERROR(__xludf.DUMMYFUNCTION("""COMPUTED_VALUE"""),"#N/A")</f>
        <v>#N/A</v>
      </c>
      <c r="AI2498" s="3" t="str">
        <f>IFERROR(__xludf.DUMMYFUNCTION("""COMPUTED_VALUE"""),"Out of warranty")</f>
        <v>Out of warranty</v>
      </c>
      <c r="AJ2498" s="3">
        <f>IFERROR(__xludf.DUMMYFUNCTION("""COMPUTED_VALUE"""),48.0)</f>
        <v>48</v>
      </c>
      <c r="AK2498" s="3"/>
      <c r="AL2498" s="3"/>
    </row>
    <row r="2499" ht="15.75" customHeight="1">
      <c r="A2499" s="1" t="str">
        <f>IFERROR(__xludf.DUMMYFUNCTION("""COMPUTED_VALUE"""),"83229")</f>
        <v>83229</v>
      </c>
      <c r="B2499" s="2">
        <f>IFERROR(__xludf.DUMMYFUNCTION("""COMPUTED_VALUE"""),83229.0)</f>
        <v>83229</v>
      </c>
      <c r="C2499" s="3" t="str">
        <f>IFERROR(__xludf.DUMMYFUNCTION("""COMPUTED_VALUE"""),"ร้านกบใจดี")</f>
        <v>ร้านกบใจดี</v>
      </c>
      <c r="D2499" s="3" t="str">
        <f>IFERROR(__xludf.DUMMYFUNCTION("""COMPUTED_VALUE"""),"ร้านกบใจดี")</f>
        <v>ร้านกบใจดี</v>
      </c>
      <c r="E2499" s="1" t="str">
        <f>IFERROR(__xludf.DUMMYFUNCTION("""COMPUTED_VALUE"""),"Donjai")</f>
        <v>Donjai</v>
      </c>
      <c r="F2499" s="1" t="str">
        <f>IFERROR(__xludf.DUMMYFUNCTION("""COMPUTED_VALUE"""),"015361")</f>
        <v>015361</v>
      </c>
      <c r="G2499" s="1" t="str">
        <f>IFERROR(__xludf.DUMMYFUNCTION("""COMPUTED_VALUE"""),"นายสมบูรณ์ พรหมในเมือง")</f>
        <v>นายสมบูรณ์ พรหมในเมือง</v>
      </c>
      <c r="H2499" s="1" t="str">
        <f>IFERROR(__xludf.DUMMYFUNCTION("""COMPUTED_VALUE"""),"015361")</f>
        <v>015361</v>
      </c>
      <c r="I2499" s="1" t="str">
        <f>IFERROR(__xludf.DUMMYFUNCTION("""COMPUTED_VALUE"""),"นายสมบูรณ์ พรหมในเมือง")</f>
        <v>นายสมบูรณ์ พรหมในเมือง</v>
      </c>
      <c r="J2499" s="3">
        <f>IFERROR(__xludf.DUMMYFUNCTION("""COMPUTED_VALUE"""),295886.0)</f>
        <v>295886</v>
      </c>
      <c r="K2499" s="3" t="str">
        <f>IFERROR(__xludf.DUMMYFUNCTION("""COMPUTED_VALUE"""),"นายจิระพงษ์ โพธิ์นิล")</f>
        <v>นายจิระพงษ์ โพธิ์นิล</v>
      </c>
      <c r="L2499" s="1" t="str">
        <f>IFERROR(__xludf.DUMMYFUNCTION("""COMPUTED_VALUE"""),"นายจิระพงษ์ โพธิ์นิล")</f>
        <v>นายจิระพงษ์ โพธิ์นิล</v>
      </c>
      <c r="M2499" s="1" t="str">
        <f>IFERROR(__xludf.DUMMYFUNCTION("""COMPUTED_VALUE"""),"0933290754")</f>
        <v>0933290754</v>
      </c>
      <c r="N2499" s="3">
        <f>IFERROR(__xludf.DUMMYFUNCTION("""COMPUTED_VALUE"""),83229.0)</f>
        <v>83229</v>
      </c>
      <c r="O2499" s="3" t="str">
        <f>IFERROR(__xludf.DUMMYFUNCTION("""COMPUTED_VALUE"""),"ร้านกบใจดี")</f>
        <v>ร้านกบใจดี</v>
      </c>
      <c r="P2499" s="4">
        <f>IFERROR(__xludf.DUMMYFUNCTION("""COMPUTED_VALUE"""),44583.0)</f>
        <v>44583</v>
      </c>
      <c r="Q2499" s="3" t="str">
        <f>IFERROR(__xludf.DUMMYFUNCTION("""COMPUTED_VALUE"""),"I")</f>
        <v>I</v>
      </c>
      <c r="R2499" s="3" t="str">
        <f>IFERROR(__xludf.DUMMYFUNCTION("""COMPUTED_VALUE"""),"Small Format")</f>
        <v>Small Format</v>
      </c>
      <c r="S2499" s="3" t="str">
        <f>IFERROR(__xludf.DUMMYFUNCTION("""COMPUTED_VALUE"""),"Donjai")</f>
        <v>Donjai</v>
      </c>
      <c r="T2499" s="3" t="str">
        <f>IFERROR(__xludf.DUMMYFUNCTION("""COMPUTED_VALUE"""),"04 K.Somboon P.")</f>
        <v>04 K.Somboon P.</v>
      </c>
      <c r="U2499" s="3" t="str">
        <f>IFERROR(__xludf.DUMMYFUNCTION("""COMPUTED_VALUE"""),"04 K.Somboon P.")</f>
        <v>04 K.Somboon P.</v>
      </c>
      <c r="V2499" s="3" t="str">
        <f>IFERROR(__xludf.DUMMYFUNCTION("""COMPUTED_VALUE"""),"N")</f>
        <v>N</v>
      </c>
      <c r="W2499" s="3"/>
      <c r="X2499" s="3" t="str">
        <f>IFERROR(__xludf.DUMMYFUNCTION("""COMPUTED_VALUE"""),"เลขที่ 83 หมู่ 7 ถ. แจ้งสนิท ต.หัวดอน อ.เขื่องใน จ.อุบลราชธานี 34150")</f>
        <v>เลขที่ 83 หมู่ 7 ถ. แจ้งสนิท ต.หัวดอน อ.เขื่องใน จ.อุบลราชธานี 34150</v>
      </c>
      <c r="Y2499" s="3"/>
      <c r="Z2499" s="3">
        <f>IFERROR(__xludf.DUMMYFUNCTION("""COMPUTED_VALUE"""),0.0)</f>
        <v>0</v>
      </c>
      <c r="AA2499" s="3">
        <f>IFERROR(__xludf.DUMMYFUNCTION("""COMPUTED_VALUE"""),0.0)</f>
        <v>0</v>
      </c>
      <c r="AB2499" s="3" t="str">
        <f>IFERROR(__xludf.DUMMYFUNCTION("""COMPUTED_VALUE"""),"อุบลราชธานี")</f>
        <v>อุบลราชธานี</v>
      </c>
      <c r="AC2499" s="3">
        <f>IFERROR(__xludf.DUMMYFUNCTION("""COMPUTED_VALUE"""),34150.0)</f>
        <v>34150</v>
      </c>
      <c r="AD2499" s="3"/>
      <c r="AE2499" s="3"/>
      <c r="AF2499" s="3" t="str">
        <f>IFERROR(__xludf.DUMMYFUNCTION("""COMPUTED_VALUE"""),"ร้านกบใจดี-83229")</f>
        <v>ร้านกบใจดี-83229</v>
      </c>
      <c r="AG2499" s="3" t="str">
        <f>IFERROR(__xludf.DUMMYFUNCTION("""COMPUTED_VALUE"""),"ตะวันออกเฉียงเหนือ")</f>
        <v>ตะวันออกเฉียงเหนือ</v>
      </c>
      <c r="AH2499" s="3" t="str">
        <f>IFERROR(__xludf.DUMMYFUNCTION("""COMPUTED_VALUE"""),"#N/A")</f>
        <v>#N/A</v>
      </c>
      <c r="AI2499" s="3" t="str">
        <f>IFERROR(__xludf.DUMMYFUNCTION("""COMPUTED_VALUE"""),"Out of warranty")</f>
        <v>Out of warranty</v>
      </c>
      <c r="AJ2499" s="3">
        <f>IFERROR(__xludf.DUMMYFUNCTION("""COMPUTED_VALUE"""),48.0)</f>
        <v>48</v>
      </c>
      <c r="AK2499" s="3"/>
      <c r="AL2499" s="3"/>
    </row>
    <row r="2500" ht="15.75" customHeight="1">
      <c r="A2500" s="1" t="str">
        <f>IFERROR(__xludf.DUMMYFUNCTION("""COMPUTED_VALUE"""),"83230")</f>
        <v>83230</v>
      </c>
      <c r="B2500" s="2">
        <f>IFERROR(__xludf.DUMMYFUNCTION("""COMPUTED_VALUE"""),83230.0)</f>
        <v>83230</v>
      </c>
      <c r="C2500" s="3" t="str">
        <f>IFERROR(__xludf.DUMMYFUNCTION("""COMPUTED_VALUE"""),"ร้านปนัดดาพาณิชย์")</f>
        <v>ร้านปนัดดาพาณิชย์</v>
      </c>
      <c r="D2500" s="3" t="str">
        <f>IFERROR(__xludf.DUMMYFUNCTION("""COMPUTED_VALUE"""),"ร้านปนัดดาพาณิชย์")</f>
        <v>ร้านปนัดดาพาณิชย์</v>
      </c>
      <c r="E2500" s="1" t="str">
        <f>IFERROR(__xludf.DUMMYFUNCTION("""COMPUTED_VALUE"""),"Donjai")</f>
        <v>Donjai</v>
      </c>
      <c r="F2500" s="1" t="str">
        <f>IFERROR(__xludf.DUMMYFUNCTION("""COMPUTED_VALUE"""),"015361")</f>
        <v>015361</v>
      </c>
      <c r="G2500" s="1" t="str">
        <f>IFERROR(__xludf.DUMMYFUNCTION("""COMPUTED_VALUE"""),"นายสมบูรณ์ พรหมในเมือง")</f>
        <v>นายสมบูรณ์ พรหมในเมือง</v>
      </c>
      <c r="H2500" s="1" t="str">
        <f>IFERROR(__xludf.DUMMYFUNCTION("""COMPUTED_VALUE"""),"015361")</f>
        <v>015361</v>
      </c>
      <c r="I2500" s="1" t="str">
        <f>IFERROR(__xludf.DUMMYFUNCTION("""COMPUTED_VALUE"""),"นายสมบูรณ์ พรหมในเมือง")</f>
        <v>นายสมบูรณ์ พรหมในเมือง</v>
      </c>
      <c r="J2500" s="3">
        <f>IFERROR(__xludf.DUMMYFUNCTION("""COMPUTED_VALUE"""),295886.0)</f>
        <v>295886</v>
      </c>
      <c r="K2500" s="3" t="str">
        <f>IFERROR(__xludf.DUMMYFUNCTION("""COMPUTED_VALUE"""),"นายจิระพงษ์ โพธิ์นิล")</f>
        <v>นายจิระพงษ์ โพธิ์นิล</v>
      </c>
      <c r="L2500" s="1" t="str">
        <f>IFERROR(__xludf.DUMMYFUNCTION("""COMPUTED_VALUE"""),"นายจิระพงษ์ โพธิ์นิล")</f>
        <v>นายจิระพงษ์ โพธิ์นิล</v>
      </c>
      <c r="M2500" s="1" t="str">
        <f>IFERROR(__xludf.DUMMYFUNCTION("""COMPUTED_VALUE"""),"0933290754")</f>
        <v>0933290754</v>
      </c>
      <c r="N2500" s="3">
        <f>IFERROR(__xludf.DUMMYFUNCTION("""COMPUTED_VALUE"""),83230.0)</f>
        <v>83230</v>
      </c>
      <c r="O2500" s="3" t="str">
        <f>IFERROR(__xludf.DUMMYFUNCTION("""COMPUTED_VALUE"""),"ร้านปนัดดาพาณิชย์")</f>
        <v>ร้านปนัดดาพาณิชย์</v>
      </c>
      <c r="P2500" s="4">
        <f>IFERROR(__xludf.DUMMYFUNCTION("""COMPUTED_VALUE"""),44708.0)</f>
        <v>44708</v>
      </c>
      <c r="Q2500" s="3" t="str">
        <f>IFERROR(__xludf.DUMMYFUNCTION("""COMPUTED_VALUE"""),"A")</f>
        <v>A</v>
      </c>
      <c r="R2500" s="3" t="str">
        <f>IFERROR(__xludf.DUMMYFUNCTION("""COMPUTED_VALUE"""),"Small Format")</f>
        <v>Small Format</v>
      </c>
      <c r="S2500" s="3" t="str">
        <f>IFERROR(__xludf.DUMMYFUNCTION("""COMPUTED_VALUE"""),"Donjai")</f>
        <v>Donjai</v>
      </c>
      <c r="T2500" s="3" t="str">
        <f>IFERROR(__xludf.DUMMYFUNCTION("""COMPUTED_VALUE"""),"04 K.Somboon P.")</f>
        <v>04 K.Somboon P.</v>
      </c>
      <c r="U2500" s="3" t="str">
        <f>IFERROR(__xludf.DUMMYFUNCTION("""COMPUTED_VALUE"""),"04 K.Somboon P.")</f>
        <v>04 K.Somboon P.</v>
      </c>
      <c r="V2500" s="3" t="str">
        <f>IFERROR(__xludf.DUMMYFUNCTION("""COMPUTED_VALUE"""),"N")</f>
        <v>N</v>
      </c>
      <c r="W2500" s="3"/>
      <c r="X2500" s="3" t="str">
        <f>IFERROR(__xludf.DUMMYFUNCTION("""COMPUTED_VALUE"""),"236/1 หมู่ที่ 1 คลองเมือง จักราช นครราชสีมา 30230")</f>
        <v>236/1 หมู่ที่ 1 คลองเมือง จักราช นครราชสีมา 30230</v>
      </c>
      <c r="Y2500" s="3"/>
      <c r="Z2500" s="3">
        <f>IFERROR(__xludf.DUMMYFUNCTION("""COMPUTED_VALUE"""),0.0)</f>
        <v>0</v>
      </c>
      <c r="AA2500" s="3">
        <f>IFERROR(__xludf.DUMMYFUNCTION("""COMPUTED_VALUE"""),0.0)</f>
        <v>0</v>
      </c>
      <c r="AB2500" s="3" t="str">
        <f>IFERROR(__xludf.DUMMYFUNCTION("""COMPUTED_VALUE"""),"นครราชสีมา")</f>
        <v>นครราชสีมา</v>
      </c>
      <c r="AC2500" s="3">
        <f>IFERROR(__xludf.DUMMYFUNCTION("""COMPUTED_VALUE"""),30230.0)</f>
        <v>30230</v>
      </c>
      <c r="AD2500" s="3"/>
      <c r="AE2500" s="3"/>
      <c r="AF2500" s="3" t="str">
        <f>IFERROR(__xludf.DUMMYFUNCTION("""COMPUTED_VALUE"""),"ร้านปนัดดาพาณิชย์-83230")</f>
        <v>ร้านปนัดดาพาณิชย์-83230</v>
      </c>
      <c r="AG2500" s="3" t="str">
        <f>IFERROR(__xludf.DUMMYFUNCTION("""COMPUTED_VALUE"""),"ตะวันออกเฉียงเหนือ")</f>
        <v>ตะวันออกเฉียงเหนือ</v>
      </c>
      <c r="AH2500" s="3" t="str">
        <f>IFERROR(__xludf.DUMMYFUNCTION("""COMPUTED_VALUE"""),"#N/A")</f>
        <v>#N/A</v>
      </c>
      <c r="AI2500" s="3" t="str">
        <f>IFERROR(__xludf.DUMMYFUNCTION("""COMPUTED_VALUE"""),"Out of warranty")</f>
        <v>Out of warranty</v>
      </c>
      <c r="AJ2500" s="3">
        <f>IFERROR(__xludf.DUMMYFUNCTION("""COMPUTED_VALUE"""),44.0)</f>
        <v>44</v>
      </c>
      <c r="AK2500" s="3"/>
      <c r="AL2500" s="3"/>
    </row>
    <row r="2501" ht="15.75" customHeight="1">
      <c r="A2501" s="1" t="str">
        <f>IFERROR(__xludf.DUMMYFUNCTION("""COMPUTED_VALUE"""),"83232")</f>
        <v>83232</v>
      </c>
      <c r="B2501" s="2">
        <f>IFERROR(__xludf.DUMMYFUNCTION("""COMPUTED_VALUE"""),83232.0)</f>
        <v>83232</v>
      </c>
      <c r="C2501" s="3" t="str">
        <f>IFERROR(__xludf.DUMMYFUNCTION("""COMPUTED_VALUE"""),"ร้านดีดี มาร์ท (จันทร์เพ็ญ )")</f>
        <v>ร้านดีดี มาร์ท (จันทร์เพ็ญ )</v>
      </c>
      <c r="D2501" s="3" t="str">
        <f>IFERROR(__xludf.DUMMYFUNCTION("""COMPUTED_VALUE"""),"ร้านดีดี มาร์ท (จันทร์เพ็ญ )")</f>
        <v>ร้านดีดี มาร์ท (จันทร์เพ็ญ )</v>
      </c>
      <c r="E2501" s="1" t="str">
        <f>IFERROR(__xludf.DUMMYFUNCTION("""COMPUTED_VALUE"""),"Donjai")</f>
        <v>Donjai</v>
      </c>
      <c r="F2501" s="1" t="str">
        <f>IFERROR(__xludf.DUMMYFUNCTION("""COMPUTED_VALUE"""),"046214")</f>
        <v>046214</v>
      </c>
      <c r="G2501" s="1" t="str">
        <f>IFERROR(__xludf.DUMMYFUNCTION("""COMPUTED_VALUE"""),"นายศักดิ์ชัย เด็ดดอกฟ้า")</f>
        <v>นายศักดิ์ชัย เด็ดดอกฟ้า</v>
      </c>
      <c r="H2501" s="1" t="str">
        <f>IFERROR(__xludf.DUMMYFUNCTION("""COMPUTED_VALUE"""),"046214")</f>
        <v>046214</v>
      </c>
      <c r="I2501" s="1" t="str">
        <f>IFERROR(__xludf.DUMMYFUNCTION("""COMPUTED_VALUE"""),"นายศักดิ์ชัย เด็ดดอกฟ้า")</f>
        <v>นายศักดิ์ชัย เด็ดดอกฟ้า</v>
      </c>
      <c r="J2501" s="3">
        <f>IFERROR(__xludf.DUMMYFUNCTION("""COMPUTED_VALUE"""),295886.0)</f>
        <v>295886</v>
      </c>
      <c r="K2501" s="3" t="str">
        <f>IFERROR(__xludf.DUMMYFUNCTION("""COMPUTED_VALUE"""),"นายจิระพงษ์ โพธิ์นิล")</f>
        <v>นายจิระพงษ์ โพธิ์นิล</v>
      </c>
      <c r="L2501" s="1" t="str">
        <f>IFERROR(__xludf.DUMMYFUNCTION("""COMPUTED_VALUE"""),"นายจิระพงษ์ โพธิ์นิล")</f>
        <v>นายจิระพงษ์ โพธิ์นิล</v>
      </c>
      <c r="M2501" s="1" t="str">
        <f>IFERROR(__xludf.DUMMYFUNCTION("""COMPUTED_VALUE"""),"0933290754")</f>
        <v>0933290754</v>
      </c>
      <c r="N2501" s="3">
        <f>IFERROR(__xludf.DUMMYFUNCTION("""COMPUTED_VALUE"""),83232.0)</f>
        <v>83232</v>
      </c>
      <c r="O2501" s="3" t="str">
        <f>IFERROR(__xludf.DUMMYFUNCTION("""COMPUTED_VALUE"""),"ร้านดีดี มาร์ท (จันทร์เพ็ญ )")</f>
        <v>ร้านดีดี มาร์ท (จันทร์เพ็ญ )</v>
      </c>
      <c r="P2501" s="4">
        <f>IFERROR(__xludf.DUMMYFUNCTION("""COMPUTED_VALUE"""),44655.0)</f>
        <v>44655</v>
      </c>
      <c r="Q2501" s="3" t="str">
        <f>IFERROR(__xludf.DUMMYFUNCTION("""COMPUTED_VALUE"""),"A")</f>
        <v>A</v>
      </c>
      <c r="R2501" s="3" t="str">
        <f>IFERROR(__xludf.DUMMYFUNCTION("""COMPUTED_VALUE"""),"Small Format")</f>
        <v>Small Format</v>
      </c>
      <c r="S2501" s="3" t="str">
        <f>IFERROR(__xludf.DUMMYFUNCTION("""COMPUTED_VALUE"""),"Donjai")</f>
        <v>Donjai</v>
      </c>
      <c r="T2501" s="3" t="str">
        <f>IFERROR(__xludf.DUMMYFUNCTION("""COMPUTED_VALUE"""),"02 K.Sakchai D")</f>
        <v>02 K.Sakchai D</v>
      </c>
      <c r="U2501" s="3" t="str">
        <f>IFERROR(__xludf.DUMMYFUNCTION("""COMPUTED_VALUE"""),"02 K.Sakchai D")</f>
        <v>02 K.Sakchai D</v>
      </c>
      <c r="V2501" s="3" t="str">
        <f>IFERROR(__xludf.DUMMYFUNCTION("""COMPUTED_VALUE"""),"N")</f>
        <v>N</v>
      </c>
      <c r="W2501" s="3"/>
      <c r="X2501" s="3" t="str">
        <f>IFERROR(__xludf.DUMMYFUNCTION("""COMPUTED_VALUE"""),"เลขที่ 50 ม.10 ถ.พหลโยธิน ต.ธารเกษม อ.พระพุทธบาท จ.สระบุรี 18120")</f>
        <v>เลขที่ 50 ม.10 ถ.พหลโยธิน ต.ธารเกษม อ.พระพุทธบาท จ.สระบุรี 18120</v>
      </c>
      <c r="Y2501" s="3"/>
      <c r="Z2501" s="3">
        <f>IFERROR(__xludf.DUMMYFUNCTION("""COMPUTED_VALUE"""),0.0)</f>
        <v>0</v>
      </c>
      <c r="AA2501" s="3">
        <f>IFERROR(__xludf.DUMMYFUNCTION("""COMPUTED_VALUE"""),0.0)</f>
        <v>0</v>
      </c>
      <c r="AB2501" s="3" t="str">
        <f>IFERROR(__xludf.DUMMYFUNCTION("""COMPUTED_VALUE"""),"สระบุรี")</f>
        <v>สระบุรี</v>
      </c>
      <c r="AC2501" s="3">
        <f>IFERROR(__xludf.DUMMYFUNCTION("""COMPUTED_VALUE"""),18120.0)</f>
        <v>18120</v>
      </c>
      <c r="AD2501" s="3"/>
      <c r="AE2501" s="3"/>
      <c r="AF2501" s="3" t="str">
        <f>IFERROR(__xludf.DUMMYFUNCTION("""COMPUTED_VALUE"""),"ร้านดีดี มาร์ท (จันทร์เพ็ญ )-83232")</f>
        <v>ร้านดีดี มาร์ท (จันทร์เพ็ญ )-83232</v>
      </c>
      <c r="AG2501" s="3" t="str">
        <f>IFERROR(__xludf.DUMMYFUNCTION("""COMPUTED_VALUE"""),"กลาง")</f>
        <v>กลาง</v>
      </c>
      <c r="AH2501" s="3" t="str">
        <f>IFERROR(__xludf.DUMMYFUNCTION("""COMPUTED_VALUE"""),"#N/A")</f>
        <v>#N/A</v>
      </c>
      <c r="AI2501" s="3" t="str">
        <f>IFERROR(__xludf.DUMMYFUNCTION("""COMPUTED_VALUE"""),"Out of warranty")</f>
        <v>Out of warranty</v>
      </c>
      <c r="AJ2501" s="3">
        <f>IFERROR(__xludf.DUMMYFUNCTION("""COMPUTED_VALUE"""),46.0)</f>
        <v>46</v>
      </c>
      <c r="AK2501" s="3"/>
      <c r="AL2501" s="3"/>
    </row>
    <row r="2502" ht="15.75" customHeight="1">
      <c r="A2502" s="1" t="str">
        <f>IFERROR(__xludf.DUMMYFUNCTION("""COMPUTED_VALUE"""),"83233")</f>
        <v>83233</v>
      </c>
      <c r="B2502" s="2">
        <f>IFERROR(__xludf.DUMMYFUNCTION("""COMPUTED_VALUE"""),83233.0)</f>
        <v>83233</v>
      </c>
      <c r="C2502" s="3" t="str">
        <f>IFERROR(__xludf.DUMMYFUNCTION("""COMPUTED_VALUE"""),"ร้านพิทักษ์ พานิชย์")</f>
        <v>ร้านพิทักษ์ พานิชย์</v>
      </c>
      <c r="D2502" s="3" t="str">
        <f>IFERROR(__xludf.DUMMYFUNCTION("""COMPUTED_VALUE"""),"ร้านพิทักษ์ พานิชย์")</f>
        <v>ร้านพิทักษ์ พานิชย์</v>
      </c>
      <c r="E2502" s="1" t="str">
        <f>IFERROR(__xludf.DUMMYFUNCTION("""COMPUTED_VALUE"""),"Donjai")</f>
        <v>Donjai</v>
      </c>
      <c r="F2502" s="1" t="str">
        <f>IFERROR(__xludf.DUMMYFUNCTION("""COMPUTED_VALUE"""),"2454781")</f>
        <v>2454781</v>
      </c>
      <c r="G2502" s="1" t="str">
        <f>IFERROR(__xludf.DUMMYFUNCTION("""COMPUTED_VALUE"""),"นายฌานกฤช นันทะโคต")</f>
        <v>นายฌานกฤช นันทะโคต</v>
      </c>
      <c r="H2502" s="1" t="str">
        <f>IFERROR(__xludf.DUMMYFUNCTION("""COMPUTED_VALUE"""),"2454781")</f>
        <v>2454781</v>
      </c>
      <c r="I2502" s="1" t="str">
        <f>IFERROR(__xludf.DUMMYFUNCTION("""COMPUTED_VALUE"""),"นายฌานกฤช นันทะโคต")</f>
        <v>นายฌานกฤช นันทะโคต</v>
      </c>
      <c r="J2502" s="3">
        <f>IFERROR(__xludf.DUMMYFUNCTION("""COMPUTED_VALUE"""),295886.0)</f>
        <v>295886</v>
      </c>
      <c r="K2502" s="3" t="str">
        <f>IFERROR(__xludf.DUMMYFUNCTION("""COMPUTED_VALUE"""),"นายจิระพงษ์ โพธิ์นิล")</f>
        <v>นายจิระพงษ์ โพธิ์นิล</v>
      </c>
      <c r="L2502" s="1" t="str">
        <f>IFERROR(__xludf.DUMMYFUNCTION("""COMPUTED_VALUE"""),"นายจิระพงษ์ โพธิ์นิล")</f>
        <v>นายจิระพงษ์ โพธิ์นิล</v>
      </c>
      <c r="M2502" s="1" t="str">
        <f>IFERROR(__xludf.DUMMYFUNCTION("""COMPUTED_VALUE"""),"0933290754")</f>
        <v>0933290754</v>
      </c>
      <c r="N2502" s="3">
        <f>IFERROR(__xludf.DUMMYFUNCTION("""COMPUTED_VALUE"""),83233.0)</f>
        <v>83233</v>
      </c>
      <c r="O2502" s="3" t="str">
        <f>IFERROR(__xludf.DUMMYFUNCTION("""COMPUTED_VALUE"""),"ร้านพิทักษ์ พานิชย์")</f>
        <v>ร้านพิทักษ์ พานิชย์</v>
      </c>
      <c r="P2502" s="4">
        <f>IFERROR(__xludf.DUMMYFUNCTION("""COMPUTED_VALUE"""),44589.0)</f>
        <v>44589</v>
      </c>
      <c r="Q2502" s="3" t="str">
        <f>IFERROR(__xludf.DUMMYFUNCTION("""COMPUTED_VALUE"""),"A")</f>
        <v>A</v>
      </c>
      <c r="R2502" s="3" t="str">
        <f>IFERROR(__xludf.DUMMYFUNCTION("""COMPUTED_VALUE"""),"Small Format")</f>
        <v>Small Format</v>
      </c>
      <c r="S2502" s="3" t="str">
        <f>IFERROR(__xludf.DUMMYFUNCTION("""COMPUTED_VALUE"""),"Donjai")</f>
        <v>Donjai</v>
      </c>
      <c r="T2502" s="3" t="str">
        <f>IFERROR(__xludf.DUMMYFUNCTION("""COMPUTED_VALUE"""),"05 K.Chanakrit N.")</f>
        <v>05 K.Chanakrit N.</v>
      </c>
      <c r="U2502" s="3" t="str">
        <f>IFERROR(__xludf.DUMMYFUNCTION("""COMPUTED_VALUE"""),"05 K.Chanakrit N.")</f>
        <v>05 K.Chanakrit N.</v>
      </c>
      <c r="V2502" s="3" t="str">
        <f>IFERROR(__xludf.DUMMYFUNCTION("""COMPUTED_VALUE"""),"N")</f>
        <v>N</v>
      </c>
      <c r="W2502" s="3"/>
      <c r="X2502" s="3" t="str">
        <f>IFERROR(__xludf.DUMMYFUNCTION("""COMPUTED_VALUE"""),"61/1 หมู่ 3 ต.ขวาวใหญ่ อ.ศรีขรภูมิ จ.สุรินทร์")</f>
        <v>61/1 หมู่ 3 ต.ขวาวใหญ่ อ.ศรีขรภูมิ จ.สุรินทร์</v>
      </c>
      <c r="Y2502" s="3"/>
      <c r="Z2502" s="3">
        <f>IFERROR(__xludf.DUMMYFUNCTION("""COMPUTED_VALUE"""),0.0)</f>
        <v>0</v>
      </c>
      <c r="AA2502" s="3">
        <f>IFERROR(__xludf.DUMMYFUNCTION("""COMPUTED_VALUE"""),0.0)</f>
        <v>0</v>
      </c>
      <c r="AB2502" s="3" t="str">
        <f>IFERROR(__xludf.DUMMYFUNCTION("""COMPUTED_VALUE"""),"สุรินทร์")</f>
        <v>สุรินทร์</v>
      </c>
      <c r="AC2502" s="3">
        <f>IFERROR(__xludf.DUMMYFUNCTION("""COMPUTED_VALUE"""),0.0)</f>
        <v>0</v>
      </c>
      <c r="AD2502" s="3"/>
      <c r="AE2502" s="3"/>
      <c r="AF2502" s="3" t="str">
        <f>IFERROR(__xludf.DUMMYFUNCTION("""COMPUTED_VALUE"""),"ร้านพิทักษ์ พานิชย์-83233")</f>
        <v>ร้านพิทักษ์ พานิชย์-83233</v>
      </c>
      <c r="AG2502" s="3" t="str">
        <f>IFERROR(__xludf.DUMMYFUNCTION("""COMPUTED_VALUE"""),"ตะวันออกเฉียงเหนือ")</f>
        <v>ตะวันออกเฉียงเหนือ</v>
      </c>
      <c r="AH2502" s="3" t="str">
        <f>IFERROR(__xludf.DUMMYFUNCTION("""COMPUTED_VALUE"""),"#N/A")</f>
        <v>#N/A</v>
      </c>
      <c r="AI2502" s="3" t="str">
        <f>IFERROR(__xludf.DUMMYFUNCTION("""COMPUTED_VALUE"""),"Out of warranty")</f>
        <v>Out of warranty</v>
      </c>
      <c r="AJ2502" s="3">
        <f>IFERROR(__xludf.DUMMYFUNCTION("""COMPUTED_VALUE"""),48.0)</f>
        <v>48</v>
      </c>
      <c r="AK2502" s="3"/>
      <c r="AL2502" s="3"/>
    </row>
    <row r="2503" ht="15.75" customHeight="1">
      <c r="A2503" s="1" t="str">
        <f>IFERROR(__xludf.DUMMYFUNCTION("""COMPUTED_VALUE"""),"83234")</f>
        <v>83234</v>
      </c>
      <c r="B2503" s="2">
        <f>IFERROR(__xludf.DUMMYFUNCTION("""COMPUTED_VALUE"""),83234.0)</f>
        <v>83234</v>
      </c>
      <c r="C2503" s="3" t="str">
        <f>IFERROR(__xludf.DUMMYFUNCTION("""COMPUTED_VALUE"""),"ร้าน ป้าณี ซ.4")</f>
        <v>ร้าน ป้าณี ซ.4</v>
      </c>
      <c r="D2503" s="3" t="str">
        <f>IFERROR(__xludf.DUMMYFUNCTION("""COMPUTED_VALUE"""),"ร้าน ป้าณี ซ.4")</f>
        <v>ร้าน ป้าณี ซ.4</v>
      </c>
      <c r="E2503" s="1" t="str">
        <f>IFERROR(__xludf.DUMMYFUNCTION("""COMPUTED_VALUE"""),"Donjai")</f>
        <v>Donjai</v>
      </c>
      <c r="F2503" s="1" t="str">
        <f>IFERROR(__xludf.DUMMYFUNCTION("""COMPUTED_VALUE"""),"015361")</f>
        <v>015361</v>
      </c>
      <c r="G2503" s="1" t="str">
        <f>IFERROR(__xludf.DUMMYFUNCTION("""COMPUTED_VALUE"""),"นายสมบูรณ์ พรหมในเมือง")</f>
        <v>นายสมบูรณ์ พรหมในเมือง</v>
      </c>
      <c r="H2503" s="1" t="str">
        <f>IFERROR(__xludf.DUMMYFUNCTION("""COMPUTED_VALUE"""),"015361")</f>
        <v>015361</v>
      </c>
      <c r="I2503" s="1" t="str">
        <f>IFERROR(__xludf.DUMMYFUNCTION("""COMPUTED_VALUE"""),"นายสมบูรณ์ พรหมในเมือง")</f>
        <v>นายสมบูรณ์ พรหมในเมือง</v>
      </c>
      <c r="J2503" s="3">
        <f>IFERROR(__xludf.DUMMYFUNCTION("""COMPUTED_VALUE"""),295886.0)</f>
        <v>295886</v>
      </c>
      <c r="K2503" s="3" t="str">
        <f>IFERROR(__xludf.DUMMYFUNCTION("""COMPUTED_VALUE"""),"นายจิระพงษ์ โพธิ์นิล")</f>
        <v>นายจิระพงษ์ โพธิ์นิล</v>
      </c>
      <c r="L2503" s="1" t="str">
        <f>IFERROR(__xludf.DUMMYFUNCTION("""COMPUTED_VALUE"""),"นายจิระพงษ์ โพธิ์นิล")</f>
        <v>นายจิระพงษ์ โพธิ์นิล</v>
      </c>
      <c r="M2503" s="1" t="str">
        <f>IFERROR(__xludf.DUMMYFUNCTION("""COMPUTED_VALUE"""),"0933290754")</f>
        <v>0933290754</v>
      </c>
      <c r="N2503" s="3">
        <f>IFERROR(__xludf.DUMMYFUNCTION("""COMPUTED_VALUE"""),83234.0)</f>
        <v>83234</v>
      </c>
      <c r="O2503" s="3" t="str">
        <f>IFERROR(__xludf.DUMMYFUNCTION("""COMPUTED_VALUE"""),"ร้าน ป้าณี ซ.4")</f>
        <v>ร้าน ป้าณี ซ.4</v>
      </c>
      <c r="P2503" s="4">
        <f>IFERROR(__xludf.DUMMYFUNCTION("""COMPUTED_VALUE"""),44577.0)</f>
        <v>44577</v>
      </c>
      <c r="Q2503" s="3" t="str">
        <f>IFERROR(__xludf.DUMMYFUNCTION("""COMPUTED_VALUE"""),"I")</f>
        <v>I</v>
      </c>
      <c r="R2503" s="3" t="str">
        <f>IFERROR(__xludf.DUMMYFUNCTION("""COMPUTED_VALUE"""),"Small Format")</f>
        <v>Small Format</v>
      </c>
      <c r="S2503" s="3" t="str">
        <f>IFERROR(__xludf.DUMMYFUNCTION("""COMPUTED_VALUE"""),"Donjai")</f>
        <v>Donjai</v>
      </c>
      <c r="T2503" s="3" t="str">
        <f>IFERROR(__xludf.DUMMYFUNCTION("""COMPUTED_VALUE"""),"04 K.Somboon P.")</f>
        <v>04 K.Somboon P.</v>
      </c>
      <c r="U2503" s="3" t="str">
        <f>IFERROR(__xludf.DUMMYFUNCTION("""COMPUTED_VALUE"""),"04 K.Somboon P.")</f>
        <v>04 K.Somboon P.</v>
      </c>
      <c r="V2503" s="3" t="str">
        <f>IFERROR(__xludf.DUMMYFUNCTION("""COMPUTED_VALUE"""),"N")</f>
        <v>N</v>
      </c>
      <c r="W2503" s="3"/>
      <c r="X2503" s="3" t="str">
        <f>IFERROR(__xludf.DUMMYFUNCTION("""COMPUTED_VALUE"""),"47 ม.18 ต.นิคมสร้างตนเอง อ.พิมาย จ.นครราชสีมา")</f>
        <v>47 ม.18 ต.นิคมสร้างตนเอง อ.พิมาย จ.นครราชสีมา</v>
      </c>
      <c r="Y2503" s="3"/>
      <c r="Z2503" s="3">
        <f>IFERROR(__xludf.DUMMYFUNCTION("""COMPUTED_VALUE"""),0.0)</f>
        <v>0</v>
      </c>
      <c r="AA2503" s="3">
        <f>IFERROR(__xludf.DUMMYFUNCTION("""COMPUTED_VALUE"""),0.0)</f>
        <v>0</v>
      </c>
      <c r="AB2503" s="3" t="str">
        <f>IFERROR(__xludf.DUMMYFUNCTION("""COMPUTED_VALUE"""),"นครราชสีมา")</f>
        <v>นครราชสีมา</v>
      </c>
      <c r="AC2503" s="3">
        <f>IFERROR(__xludf.DUMMYFUNCTION("""COMPUTED_VALUE"""),0.0)</f>
        <v>0</v>
      </c>
      <c r="AD2503" s="3"/>
      <c r="AE2503" s="3"/>
      <c r="AF2503" s="3" t="str">
        <f>IFERROR(__xludf.DUMMYFUNCTION("""COMPUTED_VALUE"""),"ร้าน ป้าณี ซ.4-83234")</f>
        <v>ร้าน ป้าณี ซ.4-83234</v>
      </c>
      <c r="AG2503" s="3" t="str">
        <f>IFERROR(__xludf.DUMMYFUNCTION("""COMPUTED_VALUE"""),"ตะวันออกเฉียงเหนือ")</f>
        <v>ตะวันออกเฉียงเหนือ</v>
      </c>
      <c r="AH2503" s="3" t="str">
        <f>IFERROR(__xludf.DUMMYFUNCTION("""COMPUTED_VALUE"""),"#N/A")</f>
        <v>#N/A</v>
      </c>
      <c r="AI2503" s="3" t="str">
        <f>IFERROR(__xludf.DUMMYFUNCTION("""COMPUTED_VALUE"""),"Out of warranty")</f>
        <v>Out of warranty</v>
      </c>
      <c r="AJ2503" s="3">
        <f>IFERROR(__xludf.DUMMYFUNCTION("""COMPUTED_VALUE"""),49.0)</f>
        <v>49</v>
      </c>
      <c r="AK2503" s="3"/>
      <c r="AL2503" s="3"/>
    </row>
    <row r="2504" ht="15.75" customHeight="1">
      <c r="A2504" s="1" t="str">
        <f>IFERROR(__xludf.DUMMYFUNCTION("""COMPUTED_VALUE"""),"83238")</f>
        <v>83238</v>
      </c>
      <c r="B2504" s="2">
        <f>IFERROR(__xludf.DUMMYFUNCTION("""COMPUTED_VALUE"""),83238.0)</f>
        <v>83238</v>
      </c>
      <c r="C2504" s="3" t="str">
        <f>IFERROR(__xludf.DUMMYFUNCTION("""COMPUTED_VALUE"""),"ร้านทรายทอง")</f>
        <v>ร้านทรายทอง</v>
      </c>
      <c r="D2504" s="3" t="str">
        <f>IFERROR(__xludf.DUMMYFUNCTION("""COMPUTED_VALUE"""),"ร้านทรายทอง")</f>
        <v>ร้านทรายทอง</v>
      </c>
      <c r="E2504" s="1" t="str">
        <f>IFERROR(__xludf.DUMMYFUNCTION("""COMPUTED_VALUE"""),"Donjai")</f>
        <v>Donjai</v>
      </c>
      <c r="F2504" s="1" t="str">
        <f>IFERROR(__xludf.DUMMYFUNCTION("""COMPUTED_VALUE"""),"046214")</f>
        <v>046214</v>
      </c>
      <c r="G2504" s="1" t="str">
        <f>IFERROR(__xludf.DUMMYFUNCTION("""COMPUTED_VALUE"""),"นายศักดิ์ชัย เด็ดดอกฟ้า")</f>
        <v>นายศักดิ์ชัย เด็ดดอกฟ้า</v>
      </c>
      <c r="H2504" s="1" t="str">
        <f>IFERROR(__xludf.DUMMYFUNCTION("""COMPUTED_VALUE"""),"046214")</f>
        <v>046214</v>
      </c>
      <c r="I2504" s="1" t="str">
        <f>IFERROR(__xludf.DUMMYFUNCTION("""COMPUTED_VALUE"""),"นายศักดิ์ชัย เด็ดดอกฟ้า")</f>
        <v>นายศักดิ์ชัย เด็ดดอกฟ้า</v>
      </c>
      <c r="J2504" s="3">
        <f>IFERROR(__xludf.DUMMYFUNCTION("""COMPUTED_VALUE"""),295886.0)</f>
        <v>295886</v>
      </c>
      <c r="K2504" s="3" t="str">
        <f>IFERROR(__xludf.DUMMYFUNCTION("""COMPUTED_VALUE"""),"นายจิระพงษ์ โพธิ์นิล")</f>
        <v>นายจิระพงษ์ โพธิ์นิล</v>
      </c>
      <c r="L2504" s="1" t="str">
        <f>IFERROR(__xludf.DUMMYFUNCTION("""COMPUTED_VALUE"""),"นายจิระพงษ์ โพธิ์นิล")</f>
        <v>นายจิระพงษ์ โพธิ์นิล</v>
      </c>
      <c r="M2504" s="1" t="str">
        <f>IFERROR(__xludf.DUMMYFUNCTION("""COMPUTED_VALUE"""),"0933290754")</f>
        <v>0933290754</v>
      </c>
      <c r="N2504" s="3">
        <f>IFERROR(__xludf.DUMMYFUNCTION("""COMPUTED_VALUE"""),83238.0)</f>
        <v>83238</v>
      </c>
      <c r="O2504" s="3" t="str">
        <f>IFERROR(__xludf.DUMMYFUNCTION("""COMPUTED_VALUE"""),"ร้านทรายทอง")</f>
        <v>ร้านทรายทอง</v>
      </c>
      <c r="P2504" s="4">
        <f>IFERROR(__xludf.DUMMYFUNCTION("""COMPUTED_VALUE"""),44554.0)</f>
        <v>44554</v>
      </c>
      <c r="Q2504" s="3" t="str">
        <f>IFERROR(__xludf.DUMMYFUNCTION("""COMPUTED_VALUE"""),"A")</f>
        <v>A</v>
      </c>
      <c r="R2504" s="3" t="str">
        <f>IFERROR(__xludf.DUMMYFUNCTION("""COMPUTED_VALUE"""),"Small Format")</f>
        <v>Small Format</v>
      </c>
      <c r="S2504" s="3" t="str">
        <f>IFERROR(__xludf.DUMMYFUNCTION("""COMPUTED_VALUE"""),"Donjai")</f>
        <v>Donjai</v>
      </c>
      <c r="T2504" s="3" t="str">
        <f>IFERROR(__xludf.DUMMYFUNCTION("""COMPUTED_VALUE"""),"02 K.Sakchai D")</f>
        <v>02 K.Sakchai D</v>
      </c>
      <c r="U2504" s="3" t="str">
        <f>IFERROR(__xludf.DUMMYFUNCTION("""COMPUTED_VALUE"""),"02 K.Sakchai D")</f>
        <v>02 K.Sakchai D</v>
      </c>
      <c r="V2504" s="3" t="str">
        <f>IFERROR(__xludf.DUMMYFUNCTION("""COMPUTED_VALUE"""),"N")</f>
        <v>N</v>
      </c>
      <c r="W2504" s="3"/>
      <c r="X2504" s="3" t="str">
        <f>IFERROR(__xludf.DUMMYFUNCTION("""COMPUTED_VALUE"""),"เลขที่ 249 หมู่ 4 ถนนสุวรรณศร ต.บ้านลำ อ.วิหารแดง จ.สระบุรี 18150")</f>
        <v>เลขที่ 249 หมู่ 4 ถนนสุวรรณศร ต.บ้านลำ อ.วิหารแดง จ.สระบุรี 18150</v>
      </c>
      <c r="Y2504" s="3"/>
      <c r="Z2504" s="3">
        <f>IFERROR(__xludf.DUMMYFUNCTION("""COMPUTED_VALUE"""),0.0)</f>
        <v>0</v>
      </c>
      <c r="AA2504" s="3">
        <f>IFERROR(__xludf.DUMMYFUNCTION("""COMPUTED_VALUE"""),0.0)</f>
        <v>0</v>
      </c>
      <c r="AB2504" s="3" t="str">
        <f>IFERROR(__xludf.DUMMYFUNCTION("""COMPUTED_VALUE"""),"สระบุรี")</f>
        <v>สระบุรี</v>
      </c>
      <c r="AC2504" s="3">
        <f>IFERROR(__xludf.DUMMYFUNCTION("""COMPUTED_VALUE"""),18150.0)</f>
        <v>18150</v>
      </c>
      <c r="AD2504" s="3"/>
      <c r="AE2504" s="3"/>
      <c r="AF2504" s="3" t="str">
        <f>IFERROR(__xludf.DUMMYFUNCTION("""COMPUTED_VALUE"""),"ร้านทรายทอง -83238")</f>
        <v>ร้านทรายทอง -83238</v>
      </c>
      <c r="AG2504" s="3" t="str">
        <f>IFERROR(__xludf.DUMMYFUNCTION("""COMPUTED_VALUE"""),"กลาง")</f>
        <v>กลาง</v>
      </c>
      <c r="AH2504" s="3" t="str">
        <f>IFERROR(__xludf.DUMMYFUNCTION("""COMPUTED_VALUE"""),"#N/A")</f>
        <v>#N/A</v>
      </c>
      <c r="AI2504" s="3" t="str">
        <f>IFERROR(__xludf.DUMMYFUNCTION("""COMPUTED_VALUE"""),"Out of warranty")</f>
        <v>Out of warranty</v>
      </c>
      <c r="AJ2504" s="3">
        <f>IFERROR(__xludf.DUMMYFUNCTION("""COMPUTED_VALUE"""),49.0)</f>
        <v>49</v>
      </c>
      <c r="AK2504" s="3"/>
      <c r="AL2504" s="3"/>
    </row>
    <row r="2505" ht="15.75" customHeight="1">
      <c r="A2505" s="1" t="str">
        <f>IFERROR(__xludf.DUMMYFUNCTION("""COMPUTED_VALUE"""),"83239")</f>
        <v>83239</v>
      </c>
      <c r="B2505" s="2">
        <f>IFERROR(__xludf.DUMMYFUNCTION("""COMPUTED_VALUE"""),83239.0)</f>
        <v>83239</v>
      </c>
      <c r="C2505" s="3" t="str">
        <f>IFERROR(__xludf.DUMMYFUNCTION("""COMPUTED_VALUE"""),"ร้านคุณรุ่ง")</f>
        <v>ร้านคุณรุ่ง</v>
      </c>
      <c r="D2505" s="3" t="str">
        <f>IFERROR(__xludf.DUMMYFUNCTION("""COMPUTED_VALUE"""),"ร้านคุณรุ่ง")</f>
        <v>ร้านคุณรุ่ง</v>
      </c>
      <c r="E2505" s="1" t="str">
        <f>IFERROR(__xludf.DUMMYFUNCTION("""COMPUTED_VALUE"""),"Donjai")</f>
        <v>Donjai</v>
      </c>
      <c r="F2505" s="1" t="str">
        <f>IFERROR(__xludf.DUMMYFUNCTION("""COMPUTED_VALUE"""),"2010023")</f>
        <v>2010023</v>
      </c>
      <c r="G2505" s="1" t="str">
        <f>IFERROR(__xludf.DUMMYFUNCTION("""COMPUTED_VALUE"""),"นายวศิน ไวยรูป")</f>
        <v>นายวศิน ไวยรูป</v>
      </c>
      <c r="H2505" s="1" t="str">
        <f>IFERROR(__xludf.DUMMYFUNCTION("""COMPUTED_VALUE"""),"2010023")</f>
        <v>2010023</v>
      </c>
      <c r="I2505" s="1" t="str">
        <f>IFERROR(__xludf.DUMMYFUNCTION("""COMPUTED_VALUE"""),"นายวศิน ไวยรูป")</f>
        <v>นายวศิน ไวยรูป</v>
      </c>
      <c r="J2505" s="3">
        <f>IFERROR(__xludf.DUMMYFUNCTION("""COMPUTED_VALUE"""),228031.0)</f>
        <v>228031</v>
      </c>
      <c r="K2505" s="3" t="str">
        <f>IFERROR(__xludf.DUMMYFUNCTION("""COMPUTED_VALUE"""),"นายธนพงษ์ วันหมัด")</f>
        <v>นายธนพงษ์ วันหมัด</v>
      </c>
      <c r="L2505" s="1" t="str">
        <f>IFERROR(__xludf.DUMMYFUNCTION("""COMPUTED_VALUE"""),"นายธนพงษ์ วันหมัด")</f>
        <v>นายธนพงษ์ วันหมัด</v>
      </c>
      <c r="M2505" s="1" t="str">
        <f>IFERROR(__xludf.DUMMYFUNCTION("""COMPUTED_VALUE"""),"0813716913")</f>
        <v>0813716913</v>
      </c>
      <c r="N2505" s="3">
        <f>IFERROR(__xludf.DUMMYFUNCTION("""COMPUTED_VALUE"""),83239.0)</f>
        <v>83239</v>
      </c>
      <c r="O2505" s="3" t="str">
        <f>IFERROR(__xludf.DUMMYFUNCTION("""COMPUTED_VALUE"""),"ร้านคุณรุ่ง")</f>
        <v>ร้านคุณรุ่ง</v>
      </c>
      <c r="P2505" s="4">
        <f>IFERROR(__xludf.DUMMYFUNCTION("""COMPUTED_VALUE"""),44616.0)</f>
        <v>44616</v>
      </c>
      <c r="Q2505" s="3" t="str">
        <f>IFERROR(__xludf.DUMMYFUNCTION("""COMPUTED_VALUE"""),"I")</f>
        <v>I</v>
      </c>
      <c r="R2505" s="3" t="str">
        <f>IFERROR(__xludf.DUMMYFUNCTION("""COMPUTED_VALUE"""),"Small Format")</f>
        <v>Small Format</v>
      </c>
      <c r="S2505" s="3" t="str">
        <f>IFERROR(__xludf.DUMMYFUNCTION("""COMPUTED_VALUE"""),"Donjai")</f>
        <v>Donjai</v>
      </c>
      <c r="T2505" s="3" t="str">
        <f>IFERROR(__xludf.DUMMYFUNCTION("""COMPUTED_VALUE"""),"Donjai")</f>
        <v>Donjai</v>
      </c>
      <c r="U2505" s="3" t="str">
        <f>IFERROR(__xludf.DUMMYFUNCTION("""COMPUTED_VALUE"""),"Donjai")</f>
        <v>Donjai</v>
      </c>
      <c r="V2505" s="3" t="str">
        <f>IFERROR(__xludf.DUMMYFUNCTION("""COMPUTED_VALUE"""),"N")</f>
        <v>N</v>
      </c>
      <c r="W2505" s="3"/>
      <c r="X2505" s="3" t="str">
        <f>IFERROR(__xludf.DUMMYFUNCTION("""COMPUTED_VALUE"""),"58/3 หมู่ 6 ตำบลคลองอุดมชลจร อำเภอเมือง จังหวัดฉะเชิงเทรา 24000")</f>
        <v>58/3 หมู่ 6 ตำบลคลองอุดมชลจร อำเภอเมือง จังหวัดฉะเชิงเทรา 24000</v>
      </c>
      <c r="Y2505" s="3"/>
      <c r="Z2505" s="3">
        <f>IFERROR(__xludf.DUMMYFUNCTION("""COMPUTED_VALUE"""),0.0)</f>
        <v>0</v>
      </c>
      <c r="AA2505" s="3">
        <f>IFERROR(__xludf.DUMMYFUNCTION("""COMPUTED_VALUE"""),0.0)</f>
        <v>0</v>
      </c>
      <c r="AB2505" s="3" t="str">
        <f>IFERROR(__xludf.DUMMYFUNCTION("""COMPUTED_VALUE"""),"ฉะเชิงเทรา")</f>
        <v>ฉะเชิงเทรา</v>
      </c>
      <c r="AC2505" s="3">
        <f>IFERROR(__xludf.DUMMYFUNCTION("""COMPUTED_VALUE"""),24000.0)</f>
        <v>24000</v>
      </c>
      <c r="AD2505" s="3"/>
      <c r="AE2505" s="3"/>
      <c r="AF2505" s="3" t="str">
        <f>IFERROR(__xludf.DUMMYFUNCTION("""COMPUTED_VALUE"""),"ร้านคุณรุ่ง-83239")</f>
        <v>ร้านคุณรุ่ง-83239</v>
      </c>
      <c r="AG2505" s="3" t="str">
        <f>IFERROR(__xludf.DUMMYFUNCTION("""COMPUTED_VALUE"""),"ตะวันออก")</f>
        <v>ตะวันออก</v>
      </c>
      <c r="AH2505" s="3" t="str">
        <f>IFERROR(__xludf.DUMMYFUNCTION("""COMPUTED_VALUE"""),"#N/A")</f>
        <v>#N/A</v>
      </c>
      <c r="AI2505" s="3" t="str">
        <f>IFERROR(__xludf.DUMMYFUNCTION("""COMPUTED_VALUE"""),"Out of warranty")</f>
        <v>Out of warranty</v>
      </c>
      <c r="AJ2505" s="3">
        <f>IFERROR(__xludf.DUMMYFUNCTION("""COMPUTED_VALUE"""),47.0)</f>
        <v>47</v>
      </c>
      <c r="AK2505" s="3"/>
      <c r="AL2505" s="3"/>
    </row>
    <row r="2506" ht="15.75" customHeight="1">
      <c r="A2506" s="1" t="str">
        <f>IFERROR(__xludf.DUMMYFUNCTION("""COMPUTED_VALUE"""),"83241")</f>
        <v>83241</v>
      </c>
      <c r="B2506" s="2">
        <f>IFERROR(__xludf.DUMMYFUNCTION("""COMPUTED_VALUE"""),83241.0)</f>
        <v>83241</v>
      </c>
      <c r="C2506" s="3" t="str">
        <f>IFERROR(__xludf.DUMMYFUNCTION("""COMPUTED_VALUE"""),"ร้าน 24 ชุปเปอร์ เพื่อ")</f>
        <v>ร้าน 24 ชุปเปอร์ เพื่อ</v>
      </c>
      <c r="D2506" s="3" t="str">
        <f>IFERROR(__xludf.DUMMYFUNCTION("""COMPUTED_VALUE"""),"ร้าน 24 ชุปเปอร์ เพื่อ")</f>
        <v>ร้าน 24 ชุปเปอร์ เพื่อ</v>
      </c>
      <c r="E2506" s="1" t="str">
        <f>IFERROR(__xludf.DUMMYFUNCTION("""COMPUTED_VALUE"""),"Donjai")</f>
        <v>Donjai</v>
      </c>
      <c r="F2506" s="1" t="str">
        <f>IFERROR(__xludf.DUMMYFUNCTION("""COMPUTED_VALUE"""),"296866")</f>
        <v>296866</v>
      </c>
      <c r="G2506" s="1" t="str">
        <f>IFERROR(__xludf.DUMMYFUNCTION("""COMPUTED_VALUE"""),"นายณัฐภูมิ สุจริตธรรม")</f>
        <v>นายณัฐภูมิ สุจริตธรรม</v>
      </c>
      <c r="H2506" s="1" t="str">
        <f>IFERROR(__xludf.DUMMYFUNCTION("""COMPUTED_VALUE"""),"296866")</f>
        <v>296866</v>
      </c>
      <c r="I2506" s="1" t="str">
        <f>IFERROR(__xludf.DUMMYFUNCTION("""COMPUTED_VALUE"""),"นายณัฐภูมิ สุจริตธรรม")</f>
        <v>นายณัฐภูมิ สุจริตธรรม</v>
      </c>
      <c r="J2506" s="3">
        <f>IFERROR(__xludf.DUMMYFUNCTION("""COMPUTED_VALUE"""),228031.0)</f>
        <v>228031</v>
      </c>
      <c r="K2506" s="3" t="str">
        <f>IFERROR(__xludf.DUMMYFUNCTION("""COMPUTED_VALUE"""),"นายธนพงษ์ วันหมัด")</f>
        <v>นายธนพงษ์ วันหมัด</v>
      </c>
      <c r="L2506" s="1" t="str">
        <f>IFERROR(__xludf.DUMMYFUNCTION("""COMPUTED_VALUE"""),"นายธนพงษ์ วันหมัด")</f>
        <v>นายธนพงษ์ วันหมัด</v>
      </c>
      <c r="M2506" s="1" t="str">
        <f>IFERROR(__xludf.DUMMYFUNCTION("""COMPUTED_VALUE"""),"0813716913")</f>
        <v>0813716913</v>
      </c>
      <c r="N2506" s="3">
        <f>IFERROR(__xludf.DUMMYFUNCTION("""COMPUTED_VALUE"""),83241.0)</f>
        <v>83241</v>
      </c>
      <c r="O2506" s="3" t="str">
        <f>IFERROR(__xludf.DUMMYFUNCTION("""COMPUTED_VALUE"""),"ร้าน 24 ชุปเปอร์ เพื่อ")</f>
        <v>ร้าน 24 ชุปเปอร์ เพื่อ</v>
      </c>
      <c r="P2506" s="4">
        <f>IFERROR(__xludf.DUMMYFUNCTION("""COMPUTED_VALUE"""),44616.0)</f>
        <v>44616</v>
      </c>
      <c r="Q2506" s="3" t="str">
        <f>IFERROR(__xludf.DUMMYFUNCTION("""COMPUTED_VALUE"""),"I")</f>
        <v>I</v>
      </c>
      <c r="R2506" s="3" t="str">
        <f>IFERROR(__xludf.DUMMYFUNCTION("""COMPUTED_VALUE"""),"Small Format")</f>
        <v>Small Format</v>
      </c>
      <c r="S2506" s="3" t="str">
        <f>IFERROR(__xludf.DUMMYFUNCTION("""COMPUTED_VALUE"""),"Donjai")</f>
        <v>Donjai</v>
      </c>
      <c r="T2506" s="3" t="str">
        <f>IFERROR(__xludf.DUMMYFUNCTION("""COMPUTED_VALUE"""),"#N/A")</f>
        <v>#N/A</v>
      </c>
      <c r="U2506" s="3" t="str">
        <f>IFERROR(__xludf.DUMMYFUNCTION("""COMPUTED_VALUE"""),"#N/A")</f>
        <v>#N/A</v>
      </c>
      <c r="V2506" s="3" t="str">
        <f>IFERROR(__xludf.DUMMYFUNCTION("""COMPUTED_VALUE"""),"N")</f>
        <v>N</v>
      </c>
      <c r="W2506" s="3"/>
      <c r="X2506" s="3" t="str">
        <f>IFERROR(__xludf.DUMMYFUNCTION("""COMPUTED_VALUE"""),"200/144 ม.8 ต.คูคต อ.ลำลูกกา จ. ปทุมธานี 12130")</f>
        <v>200/144 ม.8 ต.คูคต อ.ลำลูกกา จ. ปทุมธานี 12130</v>
      </c>
      <c r="Y2506" s="3"/>
      <c r="Z2506" s="3">
        <f>IFERROR(__xludf.DUMMYFUNCTION("""COMPUTED_VALUE"""),0.0)</f>
        <v>0</v>
      </c>
      <c r="AA2506" s="3">
        <f>IFERROR(__xludf.DUMMYFUNCTION("""COMPUTED_VALUE"""),0.0)</f>
        <v>0</v>
      </c>
      <c r="AB2506" s="3" t="str">
        <f>IFERROR(__xludf.DUMMYFUNCTION("""COMPUTED_VALUE"""),"ปทุมธานี")</f>
        <v>ปทุมธานี</v>
      </c>
      <c r="AC2506" s="3">
        <f>IFERROR(__xludf.DUMMYFUNCTION("""COMPUTED_VALUE"""),12130.0)</f>
        <v>12130</v>
      </c>
      <c r="AD2506" s="3"/>
      <c r="AE2506" s="3"/>
      <c r="AF2506" s="3" t="str">
        <f>IFERROR(__xludf.DUMMYFUNCTION("""COMPUTED_VALUE"""),"ร้าน 24 ชุปเปอร์ เพื่อ-83241")</f>
        <v>ร้าน 24 ชุปเปอร์ เพื่อ-83241</v>
      </c>
      <c r="AG2506" s="3" t="str">
        <f>IFERROR(__xludf.DUMMYFUNCTION("""COMPUTED_VALUE"""),"กลาง")</f>
        <v>กลาง</v>
      </c>
      <c r="AH2506" s="3" t="str">
        <f>IFERROR(__xludf.DUMMYFUNCTION("""COMPUTED_VALUE"""),"#N/A")</f>
        <v>#N/A</v>
      </c>
      <c r="AI2506" s="3" t="str">
        <f>IFERROR(__xludf.DUMMYFUNCTION("""COMPUTED_VALUE"""),"Out of warranty")</f>
        <v>Out of warranty</v>
      </c>
      <c r="AJ2506" s="3">
        <f>IFERROR(__xludf.DUMMYFUNCTION("""COMPUTED_VALUE"""),47.0)</f>
        <v>47</v>
      </c>
      <c r="AK2506" s="3"/>
      <c r="AL2506" s="3"/>
    </row>
    <row r="2507" ht="15.75" customHeight="1">
      <c r="A2507" s="1" t="str">
        <f>IFERROR(__xludf.DUMMYFUNCTION("""COMPUTED_VALUE"""),"83242")</f>
        <v>83242</v>
      </c>
      <c r="B2507" s="2">
        <f>IFERROR(__xludf.DUMMYFUNCTION("""COMPUTED_VALUE"""),83242.0)</f>
        <v>83242</v>
      </c>
      <c r="C2507" s="3" t="str">
        <f>IFERROR(__xludf.DUMMYFUNCTION("""COMPUTED_VALUE"""),"ข้าวหอมมินิมาร์ท")</f>
        <v>ข้าวหอมมินิมาร์ท</v>
      </c>
      <c r="D2507" s="3" t="str">
        <f>IFERROR(__xludf.DUMMYFUNCTION("""COMPUTED_VALUE"""),"ข้าวหอมมินิมาร์ท")</f>
        <v>ข้าวหอมมินิมาร์ท</v>
      </c>
      <c r="E2507" s="1" t="str">
        <f>IFERROR(__xludf.DUMMYFUNCTION("""COMPUTED_VALUE"""),"Donjai")</f>
        <v>Donjai</v>
      </c>
      <c r="F2507" s="1" t="str">
        <f>IFERROR(__xludf.DUMMYFUNCTION("""COMPUTED_VALUE"""),"296945")</f>
        <v>296945</v>
      </c>
      <c r="G2507" s="1" t="str">
        <f>IFERROR(__xludf.DUMMYFUNCTION("""COMPUTED_VALUE"""),"นายรักพงศ์ พงศ์พันธ์งาม")</f>
        <v>นายรักพงศ์ พงศ์พันธ์งาม</v>
      </c>
      <c r="H2507" s="1" t="str">
        <f>IFERROR(__xludf.DUMMYFUNCTION("""COMPUTED_VALUE"""),"296945")</f>
        <v>296945</v>
      </c>
      <c r="I2507" s="1" t="str">
        <f>IFERROR(__xludf.DUMMYFUNCTION("""COMPUTED_VALUE"""),"นายรักพงศ์ พงศ์พันธ์งาม")</f>
        <v>นายรักพงศ์ พงศ์พันธ์งาม</v>
      </c>
      <c r="J2507" s="3">
        <f>IFERROR(__xludf.DUMMYFUNCTION("""COMPUTED_VALUE"""),228031.0)</f>
        <v>228031</v>
      </c>
      <c r="K2507" s="3" t="str">
        <f>IFERROR(__xludf.DUMMYFUNCTION("""COMPUTED_VALUE"""),"นายธนพงษ์ วันหมัด")</f>
        <v>นายธนพงษ์ วันหมัด</v>
      </c>
      <c r="L2507" s="1" t="str">
        <f>IFERROR(__xludf.DUMMYFUNCTION("""COMPUTED_VALUE"""),"นายธนพงษ์ วันหมัด")</f>
        <v>นายธนพงษ์ วันหมัด</v>
      </c>
      <c r="M2507" s="1" t="str">
        <f>IFERROR(__xludf.DUMMYFUNCTION("""COMPUTED_VALUE"""),"0813716913")</f>
        <v>0813716913</v>
      </c>
      <c r="N2507" s="3">
        <f>IFERROR(__xludf.DUMMYFUNCTION("""COMPUTED_VALUE"""),83242.0)</f>
        <v>83242</v>
      </c>
      <c r="O2507" s="3" t="str">
        <f>IFERROR(__xludf.DUMMYFUNCTION("""COMPUTED_VALUE"""),"ข้าวหอมมินิมาร์ท")</f>
        <v>ข้าวหอมมินิมาร์ท</v>
      </c>
      <c r="P2507" s="4">
        <f>IFERROR(__xludf.DUMMYFUNCTION("""COMPUTED_VALUE"""),44558.0)</f>
        <v>44558</v>
      </c>
      <c r="Q2507" s="3" t="str">
        <f>IFERROR(__xludf.DUMMYFUNCTION("""COMPUTED_VALUE"""),"I")</f>
        <v>I</v>
      </c>
      <c r="R2507" s="3" t="str">
        <f>IFERROR(__xludf.DUMMYFUNCTION("""COMPUTED_VALUE"""),"Small Format")</f>
        <v>Small Format</v>
      </c>
      <c r="S2507" s="3" t="str">
        <f>IFERROR(__xludf.DUMMYFUNCTION("""COMPUTED_VALUE"""),"Donjai")</f>
        <v>Donjai</v>
      </c>
      <c r="T2507" s="3">
        <f>IFERROR(__xludf.DUMMYFUNCTION("""COMPUTED_VALUE"""),0.0)</f>
        <v>0</v>
      </c>
      <c r="U2507" s="3">
        <f>IFERROR(__xludf.DUMMYFUNCTION("""COMPUTED_VALUE"""),0.0)</f>
        <v>0</v>
      </c>
      <c r="V2507" s="3" t="str">
        <f>IFERROR(__xludf.DUMMYFUNCTION("""COMPUTED_VALUE"""),"N")</f>
        <v>N</v>
      </c>
      <c r="W2507" s="3"/>
      <c r="X2507" s="3" t="str">
        <f>IFERROR(__xludf.DUMMYFUNCTION("""COMPUTED_VALUE"""),"588 ชุมชนร่วมสามัคคีซอย 5 ต.สำโรงใต้ อ.พระประแดง จ. สมุทรปราการ 10130")</f>
        <v>588 ชุมชนร่วมสามัคคีซอย 5 ต.สำโรงใต้ อ.พระประแดง จ. สมุทรปราการ 10130</v>
      </c>
      <c r="Y2507" s="3"/>
      <c r="Z2507" s="3">
        <f>IFERROR(__xludf.DUMMYFUNCTION("""COMPUTED_VALUE"""),0.0)</f>
        <v>0</v>
      </c>
      <c r="AA2507" s="3">
        <f>IFERROR(__xludf.DUMMYFUNCTION("""COMPUTED_VALUE"""),0.0)</f>
        <v>0</v>
      </c>
      <c r="AB2507" s="3" t="str">
        <f>IFERROR(__xludf.DUMMYFUNCTION("""COMPUTED_VALUE"""),"สมุทรปราการ")</f>
        <v>สมุทรปราการ</v>
      </c>
      <c r="AC2507" s="3">
        <f>IFERROR(__xludf.DUMMYFUNCTION("""COMPUTED_VALUE"""),10130.0)</f>
        <v>10130</v>
      </c>
      <c r="AD2507" s="3"/>
      <c r="AE2507" s="3"/>
      <c r="AF2507" s="3" t="str">
        <f>IFERROR(__xludf.DUMMYFUNCTION("""COMPUTED_VALUE"""),"ข้าวหอมมินิมาร์ท-83242")</f>
        <v>ข้าวหอมมินิมาร์ท-83242</v>
      </c>
      <c r="AG2507" s="3" t="str">
        <f>IFERROR(__xludf.DUMMYFUNCTION("""COMPUTED_VALUE"""),"กลาง")</f>
        <v>กลาง</v>
      </c>
      <c r="AH2507" s="3" t="str">
        <f>IFERROR(__xludf.DUMMYFUNCTION("""COMPUTED_VALUE"""),"#N/A")</f>
        <v>#N/A</v>
      </c>
      <c r="AI2507" s="3" t="str">
        <f>IFERROR(__xludf.DUMMYFUNCTION("""COMPUTED_VALUE"""),"Out of warranty")</f>
        <v>Out of warranty</v>
      </c>
      <c r="AJ2507" s="3">
        <f>IFERROR(__xludf.DUMMYFUNCTION("""COMPUTED_VALUE"""),49.0)</f>
        <v>49</v>
      </c>
      <c r="AK2507" s="3"/>
      <c r="AL2507" s="3"/>
    </row>
    <row r="2508" ht="15.75" customHeight="1">
      <c r="A2508" s="1" t="str">
        <f>IFERROR(__xludf.DUMMYFUNCTION("""COMPUTED_VALUE"""),"83243")</f>
        <v>83243</v>
      </c>
      <c r="B2508" s="2">
        <f>IFERROR(__xludf.DUMMYFUNCTION("""COMPUTED_VALUE"""),83243.0)</f>
        <v>83243</v>
      </c>
      <c r="C2508" s="3" t="str">
        <f>IFERROR(__xludf.DUMMYFUNCTION("""COMPUTED_VALUE"""),"ร้านน้องเพลง")</f>
        <v>ร้านน้องเพลง</v>
      </c>
      <c r="D2508" s="3" t="str">
        <f>IFERROR(__xludf.DUMMYFUNCTION("""COMPUTED_VALUE"""),"ร้านน้องเพลง")</f>
        <v>ร้านน้องเพลง</v>
      </c>
      <c r="E2508" s="1" t="str">
        <f>IFERROR(__xludf.DUMMYFUNCTION("""COMPUTED_VALUE"""),"Donjai")</f>
        <v>Donjai</v>
      </c>
      <c r="F2508" s="1" t="str">
        <f>IFERROR(__xludf.DUMMYFUNCTION("""COMPUTED_VALUE"""),"296868")</f>
        <v>296868</v>
      </c>
      <c r="G2508" s="1" t="str">
        <f>IFERROR(__xludf.DUMMYFUNCTION("""COMPUTED_VALUE"""),"นายพีระพงษ์ แก้วดวงดี")</f>
        <v>นายพีระพงษ์ แก้วดวงดี</v>
      </c>
      <c r="H2508" s="1" t="str">
        <f>IFERROR(__xludf.DUMMYFUNCTION("""COMPUTED_VALUE"""),"296868")</f>
        <v>296868</v>
      </c>
      <c r="I2508" s="1" t="str">
        <f>IFERROR(__xludf.DUMMYFUNCTION("""COMPUTED_VALUE"""),"นายพีระพงษ์ แก้วดวงดี")</f>
        <v>นายพีระพงษ์ แก้วดวงดี</v>
      </c>
      <c r="J2508" s="3">
        <f>IFERROR(__xludf.DUMMYFUNCTION("""COMPUTED_VALUE"""),295886.0)</f>
        <v>295886</v>
      </c>
      <c r="K2508" s="3" t="str">
        <f>IFERROR(__xludf.DUMMYFUNCTION("""COMPUTED_VALUE"""),"นายจิระพงษ์ โพธิ์นิล")</f>
        <v>นายจิระพงษ์ โพธิ์นิล</v>
      </c>
      <c r="L2508" s="1" t="str">
        <f>IFERROR(__xludf.DUMMYFUNCTION("""COMPUTED_VALUE"""),"นายจิระพงษ์ โพธิ์นิล")</f>
        <v>นายจิระพงษ์ โพธิ์นิล</v>
      </c>
      <c r="M2508" s="1" t="str">
        <f>IFERROR(__xludf.DUMMYFUNCTION("""COMPUTED_VALUE"""),"0933290754")</f>
        <v>0933290754</v>
      </c>
      <c r="N2508" s="3">
        <f>IFERROR(__xludf.DUMMYFUNCTION("""COMPUTED_VALUE"""),83243.0)</f>
        <v>83243</v>
      </c>
      <c r="O2508" s="3" t="str">
        <f>IFERROR(__xludf.DUMMYFUNCTION("""COMPUTED_VALUE"""),"ร้านน้องเพลง")</f>
        <v>ร้านน้องเพลง</v>
      </c>
      <c r="P2508" s="4">
        <f>IFERROR(__xludf.DUMMYFUNCTION("""COMPUTED_VALUE"""),44559.0)</f>
        <v>44559</v>
      </c>
      <c r="Q2508" s="3" t="str">
        <f>IFERROR(__xludf.DUMMYFUNCTION("""COMPUTED_VALUE"""),"I")</f>
        <v>I</v>
      </c>
      <c r="R2508" s="3" t="str">
        <f>IFERROR(__xludf.DUMMYFUNCTION("""COMPUTED_VALUE"""),"Small Format")</f>
        <v>Small Format</v>
      </c>
      <c r="S2508" s="3" t="str">
        <f>IFERROR(__xludf.DUMMYFUNCTION("""COMPUTED_VALUE"""),"Donjai")</f>
        <v>Donjai</v>
      </c>
      <c r="T2508" s="3" t="str">
        <f>IFERROR(__xludf.DUMMYFUNCTION("""COMPUTED_VALUE"""),"03 K.Peerapong K.")</f>
        <v>03 K.Peerapong K.</v>
      </c>
      <c r="U2508" s="3" t="str">
        <f>IFERROR(__xludf.DUMMYFUNCTION("""COMPUTED_VALUE"""),"03 K.Peerapong K.")</f>
        <v>03 K.Peerapong K.</v>
      </c>
      <c r="V2508" s="3" t="str">
        <f>IFERROR(__xludf.DUMMYFUNCTION("""COMPUTED_VALUE"""),"N")</f>
        <v>N</v>
      </c>
      <c r="W2508" s="3"/>
      <c r="X2508" s="3" t="str">
        <f>IFERROR(__xludf.DUMMYFUNCTION("""COMPUTED_VALUE"""),"203 ม.2 ต.เมืองพาน อ.บ้านผือ จ.อุดรธานี 41160")</f>
        <v>203 ม.2 ต.เมืองพาน อ.บ้านผือ จ.อุดรธานี 41160</v>
      </c>
      <c r="Y2508" s="3"/>
      <c r="Z2508" s="3">
        <f>IFERROR(__xludf.DUMMYFUNCTION("""COMPUTED_VALUE"""),0.0)</f>
        <v>0</v>
      </c>
      <c r="AA2508" s="3">
        <f>IFERROR(__xludf.DUMMYFUNCTION("""COMPUTED_VALUE"""),0.0)</f>
        <v>0</v>
      </c>
      <c r="AB2508" s="3" t="str">
        <f>IFERROR(__xludf.DUMMYFUNCTION("""COMPUTED_VALUE"""),"อุดรธานี")</f>
        <v>อุดรธานี</v>
      </c>
      <c r="AC2508" s="3">
        <f>IFERROR(__xludf.DUMMYFUNCTION("""COMPUTED_VALUE"""),41160.0)</f>
        <v>41160</v>
      </c>
      <c r="AD2508" s="3"/>
      <c r="AE2508" s="3"/>
      <c r="AF2508" s="3" t="str">
        <f>IFERROR(__xludf.DUMMYFUNCTION("""COMPUTED_VALUE"""),"ร้านน้องเพลง-83243")</f>
        <v>ร้านน้องเพลง-83243</v>
      </c>
      <c r="AG2508" s="3" t="str">
        <f>IFERROR(__xludf.DUMMYFUNCTION("""COMPUTED_VALUE"""),"ตะวันออกเฉียงเหนือ")</f>
        <v>ตะวันออกเฉียงเหนือ</v>
      </c>
      <c r="AH2508" s="3" t="str">
        <f>IFERROR(__xludf.DUMMYFUNCTION("""COMPUTED_VALUE"""),"#N/A")</f>
        <v>#N/A</v>
      </c>
      <c r="AI2508" s="3" t="str">
        <f>IFERROR(__xludf.DUMMYFUNCTION("""COMPUTED_VALUE"""),"Out of warranty")</f>
        <v>Out of warranty</v>
      </c>
      <c r="AJ2508" s="3">
        <f>IFERROR(__xludf.DUMMYFUNCTION("""COMPUTED_VALUE"""),49.0)</f>
        <v>49</v>
      </c>
      <c r="AK2508" s="3"/>
      <c r="AL2508" s="3"/>
    </row>
    <row r="2509" ht="15.75" customHeight="1">
      <c r="A2509" s="1" t="str">
        <f>IFERROR(__xludf.DUMMYFUNCTION("""COMPUTED_VALUE"""),"83244")</f>
        <v>83244</v>
      </c>
      <c r="B2509" s="2">
        <f>IFERROR(__xludf.DUMMYFUNCTION("""COMPUTED_VALUE"""),83244.0)</f>
        <v>83244</v>
      </c>
      <c r="C2509" s="3" t="str">
        <f>IFERROR(__xludf.DUMMYFUNCTION("""COMPUTED_VALUE"""),"ร้านหมัยออ")</f>
        <v>ร้านหมัยออ</v>
      </c>
      <c r="D2509" s="3" t="str">
        <f>IFERROR(__xludf.DUMMYFUNCTION("""COMPUTED_VALUE"""),"ร้านหมัยออ")</f>
        <v>ร้านหมัยออ</v>
      </c>
      <c r="E2509" s="1" t="str">
        <f>IFERROR(__xludf.DUMMYFUNCTION("""COMPUTED_VALUE"""),"Donjai")</f>
        <v>Donjai</v>
      </c>
      <c r="F2509" s="1" t="str">
        <f>IFERROR(__xludf.DUMMYFUNCTION("""COMPUTED_VALUE"""),"025324")</f>
        <v>025324</v>
      </c>
      <c r="G2509" s="1" t="str">
        <f>IFERROR(__xludf.DUMMYFUNCTION("""COMPUTED_VALUE"""),"นายวิเชฎฐ์ ติรัตนะประคม")</f>
        <v>นายวิเชฎฐ์ ติรัตนะประคม</v>
      </c>
      <c r="H2509" s="1" t="str">
        <f>IFERROR(__xludf.DUMMYFUNCTION("""COMPUTED_VALUE"""),"025324")</f>
        <v>025324</v>
      </c>
      <c r="I2509" s="1" t="str">
        <f>IFERROR(__xludf.DUMMYFUNCTION("""COMPUTED_VALUE"""),"นายวิเชฎฐ์ ติรัตนะประคม")</f>
        <v>นายวิเชฎฐ์ ติรัตนะประคม</v>
      </c>
      <c r="J2509" s="3">
        <f>IFERROR(__xludf.DUMMYFUNCTION("""COMPUTED_VALUE"""),295541.0)</f>
        <v>295541</v>
      </c>
      <c r="K2509" s="3" t="str">
        <f>IFERROR(__xludf.DUMMYFUNCTION("""COMPUTED_VALUE"""),"นายรพิพล ศรีมาตย์")</f>
        <v>นายรพิพล ศรีมาตย์</v>
      </c>
      <c r="L2509" s="1" t="str">
        <f>IFERROR(__xludf.DUMMYFUNCTION("""COMPUTED_VALUE"""),"นายรพิพล ศรีมาตย์")</f>
        <v>นายรพิพล ศรีมาตย์</v>
      </c>
      <c r="M2509" s="1" t="str">
        <f>IFERROR(__xludf.DUMMYFUNCTION("""COMPUTED_VALUE"""),"0613966115")</f>
        <v>0613966115</v>
      </c>
      <c r="N2509" s="3">
        <f>IFERROR(__xludf.DUMMYFUNCTION("""COMPUTED_VALUE"""),83244.0)</f>
        <v>83244</v>
      </c>
      <c r="O2509" s="3" t="str">
        <f>IFERROR(__xludf.DUMMYFUNCTION("""COMPUTED_VALUE"""),"ร้านหมัยออ")</f>
        <v>ร้านหมัยออ</v>
      </c>
      <c r="P2509" s="4">
        <f>IFERROR(__xludf.DUMMYFUNCTION("""COMPUTED_VALUE"""),44985.0)</f>
        <v>44985</v>
      </c>
      <c r="Q2509" s="3" t="str">
        <f>IFERROR(__xludf.DUMMYFUNCTION("""COMPUTED_VALUE"""),"A")</f>
        <v>A</v>
      </c>
      <c r="R2509" s="3" t="str">
        <f>IFERROR(__xludf.DUMMYFUNCTION("""COMPUTED_VALUE"""),"Small Format")</f>
        <v>Small Format</v>
      </c>
      <c r="S2509" s="3" t="str">
        <f>IFERROR(__xludf.DUMMYFUNCTION("""COMPUTED_VALUE"""),"Donjai")</f>
        <v>Donjai</v>
      </c>
      <c r="T2509" s="3" t="str">
        <f>IFERROR(__xludf.DUMMYFUNCTION("""COMPUTED_VALUE"""),"14 K.Wichet T.")</f>
        <v>14 K.Wichet T.</v>
      </c>
      <c r="U2509" s="3" t="str">
        <f>IFERROR(__xludf.DUMMYFUNCTION("""COMPUTED_VALUE"""),"14 K.Wichet T.")</f>
        <v>14 K.Wichet T.</v>
      </c>
      <c r="V2509" s="3" t="str">
        <f>IFERROR(__xludf.DUMMYFUNCTION("""COMPUTED_VALUE"""),"N")</f>
        <v>N</v>
      </c>
      <c r="W2509" s="3"/>
      <c r="X2509" s="3" t="str">
        <f>IFERROR(__xludf.DUMMYFUNCTION("""COMPUTED_VALUE"""),"บ้านเลขที่ 76/3 ม.2 ต.คลองพน อ.คลองท่อม จ.กระบี่ 81170")</f>
        <v>บ้านเลขที่ 76/3 ม.2 ต.คลองพน อ.คลองท่อม จ.กระบี่ 81170</v>
      </c>
      <c r="Y2509" s="3"/>
      <c r="Z2509" s="3"/>
      <c r="AA2509" s="3"/>
      <c r="AB2509" s="3"/>
      <c r="AC2509" s="3"/>
      <c r="AD2509" s="3"/>
      <c r="AE2509" s="3"/>
      <c r="AF2509" s="3" t="str">
        <f>IFERROR(__xludf.DUMMYFUNCTION("""COMPUTED_VALUE"""),"ร้านหมัยออ-83244")</f>
        <v>ร้านหมัยออ-83244</v>
      </c>
      <c r="AG2509" s="3">
        <f>IFERROR(__xludf.DUMMYFUNCTION("""COMPUTED_VALUE"""),0.0)</f>
        <v>0</v>
      </c>
      <c r="AH2509" s="3" t="str">
        <f>IFERROR(__xludf.DUMMYFUNCTION("""COMPUTED_VALUE"""),"#N/A")</f>
        <v>#N/A</v>
      </c>
      <c r="AI2509" s="3" t="str">
        <f>IFERROR(__xludf.DUMMYFUNCTION("""COMPUTED_VALUE"""),"Out of warranty")</f>
        <v>Out of warranty</v>
      </c>
      <c r="AJ2509" s="3">
        <f>IFERROR(__xludf.DUMMYFUNCTION("""COMPUTED_VALUE"""),35.0)</f>
        <v>35</v>
      </c>
      <c r="AK2509" s="3"/>
      <c r="AL2509" s="3"/>
    </row>
    <row r="2510" ht="15.75" customHeight="1">
      <c r="A2510" s="1" t="str">
        <f>IFERROR(__xludf.DUMMYFUNCTION("""COMPUTED_VALUE"""),"83245")</f>
        <v>83245</v>
      </c>
      <c r="B2510" s="2">
        <f>IFERROR(__xludf.DUMMYFUNCTION("""COMPUTED_VALUE"""),83245.0)</f>
        <v>83245</v>
      </c>
      <c r="C2510" s="3" t="str">
        <f>IFERROR(__xludf.DUMMYFUNCTION("""COMPUTED_VALUE"""),"ร้านเจ้จิ๋ม โดนใจ (คุณธัญพร แก้วบุญทอง)")</f>
        <v>ร้านเจ้จิ๋ม โดนใจ (คุณธัญพร แก้วบุญทอง)</v>
      </c>
      <c r="D2510" s="3" t="str">
        <f>IFERROR(__xludf.DUMMYFUNCTION("""COMPUTED_VALUE"""),"ร้านเจ้จิ๋ม โดนใจ (คุณธัญพร แก้วบุญทอง)")</f>
        <v>ร้านเจ้จิ๋ม โดนใจ (คุณธัญพร แก้วบุญทอง)</v>
      </c>
      <c r="E2510" s="1" t="str">
        <f>IFERROR(__xludf.DUMMYFUNCTION("""COMPUTED_VALUE"""),"Donjai")</f>
        <v>Donjai</v>
      </c>
      <c r="F2510" s="1" t="str">
        <f>IFERROR(__xludf.DUMMYFUNCTION("""COMPUTED_VALUE"""),"296945")</f>
        <v>296945</v>
      </c>
      <c r="G2510" s="1" t="str">
        <f>IFERROR(__xludf.DUMMYFUNCTION("""COMPUTED_VALUE"""),"นายรักพงศ์ พงศ์พันธ์งาม")</f>
        <v>นายรักพงศ์ พงศ์พันธ์งาม</v>
      </c>
      <c r="H2510" s="1" t="str">
        <f>IFERROR(__xludf.DUMMYFUNCTION("""COMPUTED_VALUE"""),"296945")</f>
        <v>296945</v>
      </c>
      <c r="I2510" s="1" t="str">
        <f>IFERROR(__xludf.DUMMYFUNCTION("""COMPUTED_VALUE"""),"นายรักพงศ์ พงศ์พันธ์งาม")</f>
        <v>นายรักพงศ์ พงศ์พันธ์งาม</v>
      </c>
      <c r="J2510" s="3">
        <f>IFERROR(__xludf.DUMMYFUNCTION("""COMPUTED_VALUE"""),228031.0)</f>
        <v>228031</v>
      </c>
      <c r="K2510" s="3" t="str">
        <f>IFERROR(__xludf.DUMMYFUNCTION("""COMPUTED_VALUE"""),"นายธนพงษ์ วันหมัด")</f>
        <v>นายธนพงษ์ วันหมัด</v>
      </c>
      <c r="L2510" s="1" t="str">
        <f>IFERROR(__xludf.DUMMYFUNCTION("""COMPUTED_VALUE"""),"นายธนพงษ์ วันหมัด")</f>
        <v>นายธนพงษ์ วันหมัด</v>
      </c>
      <c r="M2510" s="1" t="str">
        <f>IFERROR(__xludf.DUMMYFUNCTION("""COMPUTED_VALUE"""),"0813716913")</f>
        <v>0813716913</v>
      </c>
      <c r="N2510" s="3">
        <f>IFERROR(__xludf.DUMMYFUNCTION("""COMPUTED_VALUE"""),83245.0)</f>
        <v>83245</v>
      </c>
      <c r="O2510" s="3" t="str">
        <f>IFERROR(__xludf.DUMMYFUNCTION("""COMPUTED_VALUE"""),"ร้านเจ้จิ๋ม โดนใจ (คุณธัญพร แก้วบุญทอง)")</f>
        <v>ร้านเจ้จิ๋ม โดนใจ (คุณธัญพร แก้วบุญทอง)</v>
      </c>
      <c r="P2510" s="4">
        <f>IFERROR(__xludf.DUMMYFUNCTION("""COMPUTED_VALUE"""),44589.0)</f>
        <v>44589</v>
      </c>
      <c r="Q2510" s="3" t="str">
        <f>IFERROR(__xludf.DUMMYFUNCTION("""COMPUTED_VALUE"""),"I")</f>
        <v>I</v>
      </c>
      <c r="R2510" s="3" t="str">
        <f>IFERROR(__xludf.DUMMYFUNCTION("""COMPUTED_VALUE"""),"Small Format")</f>
        <v>Small Format</v>
      </c>
      <c r="S2510" s="3" t="str">
        <f>IFERROR(__xludf.DUMMYFUNCTION("""COMPUTED_VALUE"""),"Donjai")</f>
        <v>Donjai</v>
      </c>
      <c r="T2510" s="3">
        <f>IFERROR(__xludf.DUMMYFUNCTION("""COMPUTED_VALUE"""),0.0)</f>
        <v>0</v>
      </c>
      <c r="U2510" s="3">
        <f>IFERROR(__xludf.DUMMYFUNCTION("""COMPUTED_VALUE"""),0.0)</f>
        <v>0</v>
      </c>
      <c r="V2510" s="3" t="str">
        <f>IFERROR(__xludf.DUMMYFUNCTION("""COMPUTED_VALUE"""),"N")</f>
        <v>N</v>
      </c>
      <c r="W2510" s="3"/>
      <c r="X2510" s="3" t="str">
        <f>IFERROR(__xludf.DUMMYFUNCTION("""COMPUTED_VALUE"""),"ต.สระขวัญ อ.เมืองสระแก้ว จ.สระแก้ว")</f>
        <v>ต.สระขวัญ อ.เมืองสระแก้ว จ.สระแก้ว</v>
      </c>
      <c r="Y2510" s="3"/>
      <c r="Z2510" s="3">
        <f>IFERROR(__xludf.DUMMYFUNCTION("""COMPUTED_VALUE"""),0.0)</f>
        <v>0</v>
      </c>
      <c r="AA2510" s="3">
        <f>IFERROR(__xludf.DUMMYFUNCTION("""COMPUTED_VALUE"""),0.0)</f>
        <v>0</v>
      </c>
      <c r="AB2510" s="3" t="str">
        <f>IFERROR(__xludf.DUMMYFUNCTION("""COMPUTED_VALUE"""),"สระแก้ว")</f>
        <v>สระแก้ว</v>
      </c>
      <c r="AC2510" s="3">
        <f>IFERROR(__xludf.DUMMYFUNCTION("""COMPUTED_VALUE"""),0.0)</f>
        <v>0</v>
      </c>
      <c r="AD2510" s="3"/>
      <c r="AE2510" s="3"/>
      <c r="AF2510" s="3" t="str">
        <f>IFERROR(__xludf.DUMMYFUNCTION("""COMPUTED_VALUE"""),"ร้านเจ้จิ๋ม โดนใจ (คุณธัญพร แก้วบุญทอง)-83245")</f>
        <v>ร้านเจ้จิ๋ม โดนใจ (คุณธัญพร แก้วบุญทอง)-83245</v>
      </c>
      <c r="AG2510" s="3" t="str">
        <f>IFERROR(__xludf.DUMMYFUNCTION("""COMPUTED_VALUE"""),"ตะวันออก")</f>
        <v>ตะวันออก</v>
      </c>
      <c r="AH2510" s="3" t="str">
        <f>IFERROR(__xludf.DUMMYFUNCTION("""COMPUTED_VALUE"""),"#N/A")</f>
        <v>#N/A</v>
      </c>
      <c r="AI2510" s="3" t="str">
        <f>IFERROR(__xludf.DUMMYFUNCTION("""COMPUTED_VALUE"""),"Out of warranty")</f>
        <v>Out of warranty</v>
      </c>
      <c r="AJ2510" s="3">
        <f>IFERROR(__xludf.DUMMYFUNCTION("""COMPUTED_VALUE"""),48.0)</f>
        <v>48</v>
      </c>
      <c r="AK2510" s="3"/>
      <c r="AL2510" s="3"/>
    </row>
    <row r="2511" ht="15.75" customHeight="1">
      <c r="A2511" s="1" t="str">
        <f>IFERROR(__xludf.DUMMYFUNCTION("""COMPUTED_VALUE"""),"83246")</f>
        <v>83246</v>
      </c>
      <c r="B2511" s="2">
        <f>IFERROR(__xludf.DUMMYFUNCTION("""COMPUTED_VALUE"""),83246.0)</f>
        <v>83246</v>
      </c>
      <c r="C2511" s="3" t="str">
        <f>IFERROR(__xludf.DUMMYFUNCTION("""COMPUTED_VALUE"""),"ร้านดวงกมล")</f>
        <v>ร้านดวงกมล</v>
      </c>
      <c r="D2511" s="3" t="str">
        <f>IFERROR(__xludf.DUMMYFUNCTION("""COMPUTED_VALUE"""),"ร้านดวงกมล")</f>
        <v>ร้านดวงกมล</v>
      </c>
      <c r="E2511" s="1" t="str">
        <f>IFERROR(__xludf.DUMMYFUNCTION("""COMPUTED_VALUE"""),"Donjai")</f>
        <v>Donjai</v>
      </c>
      <c r="F2511" s="1" t="str">
        <f>IFERROR(__xludf.DUMMYFUNCTION("""COMPUTED_VALUE"""),"2454781")</f>
        <v>2454781</v>
      </c>
      <c r="G2511" s="1" t="str">
        <f>IFERROR(__xludf.DUMMYFUNCTION("""COMPUTED_VALUE"""),"นายฌานกฤช นันทะโคต")</f>
        <v>นายฌานกฤช นันทะโคต</v>
      </c>
      <c r="H2511" s="1" t="str">
        <f>IFERROR(__xludf.DUMMYFUNCTION("""COMPUTED_VALUE"""),"2454781")</f>
        <v>2454781</v>
      </c>
      <c r="I2511" s="1" t="str">
        <f>IFERROR(__xludf.DUMMYFUNCTION("""COMPUTED_VALUE"""),"นายฌานกฤช นันทะโคต")</f>
        <v>นายฌานกฤช นันทะโคต</v>
      </c>
      <c r="J2511" s="3">
        <f>IFERROR(__xludf.DUMMYFUNCTION("""COMPUTED_VALUE"""),295886.0)</f>
        <v>295886</v>
      </c>
      <c r="K2511" s="3" t="str">
        <f>IFERROR(__xludf.DUMMYFUNCTION("""COMPUTED_VALUE"""),"นายจิระพงษ์ โพธิ์นิล")</f>
        <v>นายจิระพงษ์ โพธิ์นิล</v>
      </c>
      <c r="L2511" s="1" t="str">
        <f>IFERROR(__xludf.DUMMYFUNCTION("""COMPUTED_VALUE"""),"นายจิระพงษ์ โพธิ์นิล")</f>
        <v>นายจิระพงษ์ โพธิ์นิล</v>
      </c>
      <c r="M2511" s="1" t="str">
        <f>IFERROR(__xludf.DUMMYFUNCTION("""COMPUTED_VALUE"""),"0933290754")</f>
        <v>0933290754</v>
      </c>
      <c r="N2511" s="3">
        <f>IFERROR(__xludf.DUMMYFUNCTION("""COMPUTED_VALUE"""),83246.0)</f>
        <v>83246</v>
      </c>
      <c r="O2511" s="3" t="str">
        <f>IFERROR(__xludf.DUMMYFUNCTION("""COMPUTED_VALUE"""),"ร้านดวงกมล")</f>
        <v>ร้านดวงกมล</v>
      </c>
      <c r="P2511" s="4">
        <f>IFERROR(__xludf.DUMMYFUNCTION("""COMPUTED_VALUE"""),44588.0)</f>
        <v>44588</v>
      </c>
      <c r="Q2511" s="3" t="str">
        <f>IFERROR(__xludf.DUMMYFUNCTION("""COMPUTED_VALUE"""),"A")</f>
        <v>A</v>
      </c>
      <c r="R2511" s="3" t="str">
        <f>IFERROR(__xludf.DUMMYFUNCTION("""COMPUTED_VALUE"""),"Small Format")</f>
        <v>Small Format</v>
      </c>
      <c r="S2511" s="3" t="str">
        <f>IFERROR(__xludf.DUMMYFUNCTION("""COMPUTED_VALUE"""),"Donjai")</f>
        <v>Donjai</v>
      </c>
      <c r="T2511" s="3" t="str">
        <f>IFERROR(__xludf.DUMMYFUNCTION("""COMPUTED_VALUE"""),"05 K.Chanakrit N.")</f>
        <v>05 K.Chanakrit N.</v>
      </c>
      <c r="U2511" s="3" t="str">
        <f>IFERROR(__xludf.DUMMYFUNCTION("""COMPUTED_VALUE"""),"05 K.Chanakrit N.")</f>
        <v>05 K.Chanakrit N.</v>
      </c>
      <c r="V2511" s="3" t="str">
        <f>IFERROR(__xludf.DUMMYFUNCTION("""COMPUTED_VALUE"""),"N")</f>
        <v>N</v>
      </c>
      <c r="W2511" s="3"/>
      <c r="X2511" s="3" t="str">
        <f>IFERROR(__xludf.DUMMYFUNCTION("""COMPUTED_VALUE"""),"99 หมู่19 ต.โดมประดิษฐ์ อ.น้ำยืน จ.อุบลราชธานี 34260")</f>
        <v>99 หมู่19 ต.โดมประดิษฐ์ อ.น้ำยืน จ.อุบลราชธานี 34260</v>
      </c>
      <c r="Y2511" s="3"/>
      <c r="Z2511" s="3">
        <f>IFERROR(__xludf.DUMMYFUNCTION("""COMPUTED_VALUE"""),0.0)</f>
        <v>0</v>
      </c>
      <c r="AA2511" s="3">
        <f>IFERROR(__xludf.DUMMYFUNCTION("""COMPUTED_VALUE"""),0.0)</f>
        <v>0</v>
      </c>
      <c r="AB2511" s="3" t="str">
        <f>IFERROR(__xludf.DUMMYFUNCTION("""COMPUTED_VALUE"""),"อุบลราชธานี")</f>
        <v>อุบลราชธานี</v>
      </c>
      <c r="AC2511" s="3">
        <f>IFERROR(__xludf.DUMMYFUNCTION("""COMPUTED_VALUE"""),34260.0)</f>
        <v>34260</v>
      </c>
      <c r="AD2511" s="3"/>
      <c r="AE2511" s="3"/>
      <c r="AF2511" s="3" t="str">
        <f>IFERROR(__xludf.DUMMYFUNCTION("""COMPUTED_VALUE"""),"ร้านดวงกมล-83246")</f>
        <v>ร้านดวงกมล-83246</v>
      </c>
      <c r="AG2511" s="3" t="str">
        <f>IFERROR(__xludf.DUMMYFUNCTION("""COMPUTED_VALUE"""),"ตะวันออกเฉียงเหนือ")</f>
        <v>ตะวันออกเฉียงเหนือ</v>
      </c>
      <c r="AH2511" s="3" t="str">
        <f>IFERROR(__xludf.DUMMYFUNCTION("""COMPUTED_VALUE"""),"#N/A")</f>
        <v>#N/A</v>
      </c>
      <c r="AI2511" s="3" t="str">
        <f>IFERROR(__xludf.DUMMYFUNCTION("""COMPUTED_VALUE"""),"Out of warranty")</f>
        <v>Out of warranty</v>
      </c>
      <c r="AJ2511" s="3">
        <f>IFERROR(__xludf.DUMMYFUNCTION("""COMPUTED_VALUE"""),48.0)</f>
        <v>48</v>
      </c>
      <c r="AK2511" s="3"/>
      <c r="AL2511" s="3"/>
    </row>
    <row r="2512" ht="15.75" customHeight="1">
      <c r="A2512" s="1" t="str">
        <f>IFERROR(__xludf.DUMMYFUNCTION("""COMPUTED_VALUE"""),"83247")</f>
        <v>83247</v>
      </c>
      <c r="B2512" s="2">
        <f>IFERROR(__xludf.DUMMYFUNCTION("""COMPUTED_VALUE"""),83247.0)</f>
        <v>83247</v>
      </c>
      <c r="C2512" s="3" t="str">
        <f>IFERROR(__xludf.DUMMYFUNCTION("""COMPUTED_VALUE"""),"ร้าน เหนือฟ้า")</f>
        <v>ร้าน เหนือฟ้า</v>
      </c>
      <c r="D2512" s="3" t="str">
        <f>IFERROR(__xludf.DUMMYFUNCTION("""COMPUTED_VALUE"""),"ร้าน เหนือฟ้า")</f>
        <v>ร้าน เหนือฟ้า</v>
      </c>
      <c r="E2512" s="1" t="str">
        <f>IFERROR(__xludf.DUMMYFUNCTION("""COMPUTED_VALUE"""),"Donjai")</f>
        <v>Donjai</v>
      </c>
      <c r="F2512" s="1" t="str">
        <f>IFERROR(__xludf.DUMMYFUNCTION("""COMPUTED_VALUE"""),"015361")</f>
        <v>015361</v>
      </c>
      <c r="G2512" s="1" t="str">
        <f>IFERROR(__xludf.DUMMYFUNCTION("""COMPUTED_VALUE"""),"นายสมบูรณ์ พรหมในเมือง")</f>
        <v>นายสมบูรณ์ พรหมในเมือง</v>
      </c>
      <c r="H2512" s="1" t="str">
        <f>IFERROR(__xludf.DUMMYFUNCTION("""COMPUTED_VALUE"""),"015361")</f>
        <v>015361</v>
      </c>
      <c r="I2512" s="1" t="str">
        <f>IFERROR(__xludf.DUMMYFUNCTION("""COMPUTED_VALUE"""),"นายสมบูรณ์ พรหมในเมือง")</f>
        <v>นายสมบูรณ์ พรหมในเมือง</v>
      </c>
      <c r="J2512" s="3">
        <f>IFERROR(__xludf.DUMMYFUNCTION("""COMPUTED_VALUE"""),295886.0)</f>
        <v>295886</v>
      </c>
      <c r="K2512" s="3" t="str">
        <f>IFERROR(__xludf.DUMMYFUNCTION("""COMPUTED_VALUE"""),"นายจิระพงษ์ โพธิ์นิล")</f>
        <v>นายจิระพงษ์ โพธิ์นิล</v>
      </c>
      <c r="L2512" s="1" t="str">
        <f>IFERROR(__xludf.DUMMYFUNCTION("""COMPUTED_VALUE"""),"นายจิระพงษ์ โพธิ์นิล")</f>
        <v>นายจิระพงษ์ โพธิ์นิล</v>
      </c>
      <c r="M2512" s="1" t="str">
        <f>IFERROR(__xludf.DUMMYFUNCTION("""COMPUTED_VALUE"""),"0933290754")</f>
        <v>0933290754</v>
      </c>
      <c r="N2512" s="3">
        <f>IFERROR(__xludf.DUMMYFUNCTION("""COMPUTED_VALUE"""),83247.0)</f>
        <v>83247</v>
      </c>
      <c r="O2512" s="3" t="str">
        <f>IFERROR(__xludf.DUMMYFUNCTION("""COMPUTED_VALUE"""),"ร้าน เหนือฟ้า")</f>
        <v>ร้าน เหนือฟ้า</v>
      </c>
      <c r="P2512" s="4">
        <f>IFERROR(__xludf.DUMMYFUNCTION("""COMPUTED_VALUE"""),44592.0)</f>
        <v>44592</v>
      </c>
      <c r="Q2512" s="3" t="str">
        <f>IFERROR(__xludf.DUMMYFUNCTION("""COMPUTED_VALUE"""),"I")</f>
        <v>I</v>
      </c>
      <c r="R2512" s="3" t="str">
        <f>IFERROR(__xludf.DUMMYFUNCTION("""COMPUTED_VALUE"""),"Small Format")</f>
        <v>Small Format</v>
      </c>
      <c r="S2512" s="3" t="str">
        <f>IFERROR(__xludf.DUMMYFUNCTION("""COMPUTED_VALUE"""),"Donjai")</f>
        <v>Donjai</v>
      </c>
      <c r="T2512" s="3" t="str">
        <f>IFERROR(__xludf.DUMMYFUNCTION("""COMPUTED_VALUE"""),"04 K.Somboon P.")</f>
        <v>04 K.Somboon P.</v>
      </c>
      <c r="U2512" s="3" t="str">
        <f>IFERROR(__xludf.DUMMYFUNCTION("""COMPUTED_VALUE"""),"04 K.Somboon P.")</f>
        <v>04 K.Somboon P.</v>
      </c>
      <c r="V2512" s="3" t="str">
        <f>IFERROR(__xludf.DUMMYFUNCTION("""COMPUTED_VALUE"""),"N")</f>
        <v>N</v>
      </c>
      <c r="W2512" s="3"/>
      <c r="X2512" s="3" t="str">
        <f>IFERROR(__xludf.DUMMYFUNCTION("""COMPUTED_VALUE"""),"52 หมู่ 13 ต.ไม้กลอน อ.พนา จ.อำนาจเจริญ 37180")</f>
        <v>52 หมู่ 13 ต.ไม้กลอน อ.พนา จ.อำนาจเจริญ 37180</v>
      </c>
      <c r="Y2512" s="3"/>
      <c r="Z2512" s="3">
        <f>IFERROR(__xludf.DUMMYFUNCTION("""COMPUTED_VALUE"""),0.0)</f>
        <v>0</v>
      </c>
      <c r="AA2512" s="3">
        <f>IFERROR(__xludf.DUMMYFUNCTION("""COMPUTED_VALUE"""),0.0)</f>
        <v>0</v>
      </c>
      <c r="AB2512" s="3" t="str">
        <f>IFERROR(__xludf.DUMMYFUNCTION("""COMPUTED_VALUE"""),"อำนาจเจริญ")</f>
        <v>อำนาจเจริญ</v>
      </c>
      <c r="AC2512" s="3">
        <f>IFERROR(__xludf.DUMMYFUNCTION("""COMPUTED_VALUE"""),37180.0)</f>
        <v>37180</v>
      </c>
      <c r="AD2512" s="3"/>
      <c r="AE2512" s="3"/>
      <c r="AF2512" s="3" t="str">
        <f>IFERROR(__xludf.DUMMYFUNCTION("""COMPUTED_VALUE"""),"ร้าน เหนือฟ้า-83247")</f>
        <v>ร้าน เหนือฟ้า-83247</v>
      </c>
      <c r="AG2512" s="3" t="str">
        <f>IFERROR(__xludf.DUMMYFUNCTION("""COMPUTED_VALUE"""),"ตะวันออกเฉียงเหนือ")</f>
        <v>ตะวันออกเฉียงเหนือ</v>
      </c>
      <c r="AH2512" s="3" t="str">
        <f>IFERROR(__xludf.DUMMYFUNCTION("""COMPUTED_VALUE"""),"#N/A")</f>
        <v>#N/A</v>
      </c>
      <c r="AI2512" s="3" t="str">
        <f>IFERROR(__xludf.DUMMYFUNCTION("""COMPUTED_VALUE"""),"Out of warranty")</f>
        <v>Out of warranty</v>
      </c>
      <c r="AJ2512" s="3">
        <f>IFERROR(__xludf.DUMMYFUNCTION("""COMPUTED_VALUE"""),48.0)</f>
        <v>48</v>
      </c>
      <c r="AK2512" s="3"/>
      <c r="AL2512" s="3"/>
    </row>
    <row r="2513" ht="15.75" customHeight="1">
      <c r="A2513" s="1" t="str">
        <f>IFERROR(__xludf.DUMMYFUNCTION("""COMPUTED_VALUE"""),"83248")</f>
        <v>83248</v>
      </c>
      <c r="B2513" s="2">
        <f>IFERROR(__xludf.DUMMYFUNCTION("""COMPUTED_VALUE"""),83248.0)</f>
        <v>83248</v>
      </c>
      <c r="C2513" s="3" t="str">
        <f>IFERROR(__xludf.DUMMYFUNCTION("""COMPUTED_VALUE"""),"ร้านโดนใจน้องบิว 108")</f>
        <v>ร้านโดนใจน้องบิว 108</v>
      </c>
      <c r="D2513" s="3" t="str">
        <f>IFERROR(__xludf.DUMMYFUNCTION("""COMPUTED_VALUE"""),"ร้านโดนใจน้องบิว 108")</f>
        <v>ร้านโดนใจน้องบิว 108</v>
      </c>
      <c r="E2513" s="1" t="str">
        <f>IFERROR(__xludf.DUMMYFUNCTION("""COMPUTED_VALUE"""),"Donjai")</f>
        <v>Donjai</v>
      </c>
      <c r="F2513" s="1" t="str">
        <f>IFERROR(__xludf.DUMMYFUNCTION("""COMPUTED_VALUE"""),"025324")</f>
        <v>025324</v>
      </c>
      <c r="G2513" s="1" t="str">
        <f>IFERROR(__xludf.DUMMYFUNCTION("""COMPUTED_VALUE"""),"นายวิเชฎฐ์ ติรัตนะประคม")</f>
        <v>นายวิเชฎฐ์ ติรัตนะประคม</v>
      </c>
      <c r="H2513" s="1" t="str">
        <f>IFERROR(__xludf.DUMMYFUNCTION("""COMPUTED_VALUE"""),"025324")</f>
        <v>025324</v>
      </c>
      <c r="I2513" s="1" t="str">
        <f>IFERROR(__xludf.DUMMYFUNCTION("""COMPUTED_VALUE"""),"นายวิเชฎฐ์ ติรัตนะประคม")</f>
        <v>นายวิเชฎฐ์ ติรัตนะประคม</v>
      </c>
      <c r="J2513" s="3">
        <f>IFERROR(__xludf.DUMMYFUNCTION("""COMPUTED_VALUE"""),295541.0)</f>
        <v>295541</v>
      </c>
      <c r="K2513" s="3" t="str">
        <f>IFERROR(__xludf.DUMMYFUNCTION("""COMPUTED_VALUE"""),"นายรพิพล ศรีมาตย์")</f>
        <v>นายรพิพล ศรีมาตย์</v>
      </c>
      <c r="L2513" s="1" t="str">
        <f>IFERROR(__xludf.DUMMYFUNCTION("""COMPUTED_VALUE"""),"นายรพิพล ศรีมาตย์")</f>
        <v>นายรพิพล ศรีมาตย์</v>
      </c>
      <c r="M2513" s="1" t="str">
        <f>IFERROR(__xludf.DUMMYFUNCTION("""COMPUTED_VALUE"""),"0613966115")</f>
        <v>0613966115</v>
      </c>
      <c r="N2513" s="3">
        <f>IFERROR(__xludf.DUMMYFUNCTION("""COMPUTED_VALUE"""),83248.0)</f>
        <v>83248</v>
      </c>
      <c r="O2513" s="3" t="str">
        <f>IFERROR(__xludf.DUMMYFUNCTION("""COMPUTED_VALUE"""),"ร้านโดนใจน้องบิว 108")</f>
        <v>ร้านโดนใจน้องบิว 108</v>
      </c>
      <c r="P2513" s="4">
        <f>IFERROR(__xludf.DUMMYFUNCTION("""COMPUTED_VALUE"""),44863.0)</f>
        <v>44863</v>
      </c>
      <c r="Q2513" s="3" t="str">
        <f>IFERROR(__xludf.DUMMYFUNCTION("""COMPUTED_VALUE"""),"A")</f>
        <v>A</v>
      </c>
      <c r="R2513" s="3" t="str">
        <f>IFERROR(__xludf.DUMMYFUNCTION("""COMPUTED_VALUE"""),"Small Format")</f>
        <v>Small Format</v>
      </c>
      <c r="S2513" s="3" t="str">
        <f>IFERROR(__xludf.DUMMYFUNCTION("""COMPUTED_VALUE"""),"Donjai")</f>
        <v>Donjai</v>
      </c>
      <c r="T2513" s="3" t="str">
        <f>IFERROR(__xludf.DUMMYFUNCTION("""COMPUTED_VALUE"""),"14 K.Wichet T.")</f>
        <v>14 K.Wichet T.</v>
      </c>
      <c r="U2513" s="3" t="str">
        <f>IFERROR(__xludf.DUMMYFUNCTION("""COMPUTED_VALUE"""),"14 K.Wichet T.")</f>
        <v>14 K.Wichet T.</v>
      </c>
      <c r="V2513" s="3" t="str">
        <f>IFERROR(__xludf.DUMMYFUNCTION("""COMPUTED_VALUE"""),"N")</f>
        <v>N</v>
      </c>
      <c r="W2513" s="3"/>
      <c r="X2513" s="3" t="str">
        <f>IFERROR(__xludf.DUMMYFUNCTION("""COMPUTED_VALUE"""),"99/9 ม.1 ต.ท่าอุแท อ.กาญจนดิษฐ์ จ.สุราษฏร์ธานี 84160")</f>
        <v>99/9 ม.1 ต.ท่าอุแท อ.กาญจนดิษฐ์ จ.สุราษฏร์ธานี 84160</v>
      </c>
      <c r="Y2513" s="3"/>
      <c r="Z2513" s="3">
        <f>IFERROR(__xludf.DUMMYFUNCTION("""COMPUTED_VALUE"""),0.0)</f>
        <v>0</v>
      </c>
      <c r="AA2513" s="3">
        <f>IFERROR(__xludf.DUMMYFUNCTION("""COMPUTED_VALUE"""),0.0)</f>
        <v>0</v>
      </c>
      <c r="AB2513" s="3" t="str">
        <f>IFERROR(__xludf.DUMMYFUNCTION("""COMPUTED_VALUE"""),"สุราษฎร์ธานี")</f>
        <v>สุราษฎร์ธานี</v>
      </c>
      <c r="AC2513" s="3">
        <f>IFERROR(__xludf.DUMMYFUNCTION("""COMPUTED_VALUE"""),84160.0)</f>
        <v>84160</v>
      </c>
      <c r="AD2513" s="3"/>
      <c r="AE2513" s="3"/>
      <c r="AF2513" s="3" t="str">
        <f>IFERROR(__xludf.DUMMYFUNCTION("""COMPUTED_VALUE"""),"ร้านโดนใจน้องบิว 108-83248")</f>
        <v>ร้านโดนใจน้องบิว 108-83248</v>
      </c>
      <c r="AG2513" s="3" t="str">
        <f>IFERROR(__xludf.DUMMYFUNCTION("""COMPUTED_VALUE"""),"ใต้")</f>
        <v>ใต้</v>
      </c>
      <c r="AH2513" s="3" t="str">
        <f>IFERROR(__xludf.DUMMYFUNCTION("""COMPUTED_VALUE"""),"#N/A")</f>
        <v>#N/A</v>
      </c>
      <c r="AI2513" s="3" t="str">
        <f>IFERROR(__xludf.DUMMYFUNCTION("""COMPUTED_VALUE"""),"Out of warranty")</f>
        <v>Out of warranty</v>
      </c>
      <c r="AJ2513" s="3">
        <f>IFERROR(__xludf.DUMMYFUNCTION("""COMPUTED_VALUE"""),39.0)</f>
        <v>39</v>
      </c>
      <c r="AK2513" s="3"/>
      <c r="AL2513" s="3"/>
    </row>
    <row r="2514" ht="15.75" customHeight="1">
      <c r="A2514" s="1" t="str">
        <f>IFERROR(__xludf.DUMMYFUNCTION("""COMPUTED_VALUE"""),"83250")</f>
        <v>83250</v>
      </c>
      <c r="B2514" s="2">
        <f>IFERROR(__xludf.DUMMYFUNCTION("""COMPUTED_VALUE"""),83250.0)</f>
        <v>83250</v>
      </c>
      <c r="C2514" s="3" t="str">
        <f>IFERROR(__xludf.DUMMYFUNCTION("""COMPUTED_VALUE"""),"ร้านคุณรัตนา")</f>
        <v>ร้านคุณรัตนา</v>
      </c>
      <c r="D2514" s="3" t="str">
        <f>IFERROR(__xludf.DUMMYFUNCTION("""COMPUTED_VALUE"""),"ร้านคุณรัตนา")</f>
        <v>ร้านคุณรัตนา</v>
      </c>
      <c r="E2514" s="1" t="str">
        <f>IFERROR(__xludf.DUMMYFUNCTION("""COMPUTED_VALUE"""),"Donjai")</f>
        <v>Donjai</v>
      </c>
      <c r="F2514" s="1" t="str">
        <f>IFERROR(__xludf.DUMMYFUNCTION("""COMPUTED_VALUE"""),"296608")</f>
        <v>296608</v>
      </c>
      <c r="G2514" s="1" t="str">
        <f>IFERROR(__xludf.DUMMYFUNCTION("""COMPUTED_VALUE"""),"นายภาคภูมิ เพ็ชรนิล")</f>
        <v>นายภาคภูมิ เพ็ชรนิล</v>
      </c>
      <c r="H2514" s="1" t="str">
        <f>IFERROR(__xludf.DUMMYFUNCTION("""COMPUTED_VALUE"""),"296608")</f>
        <v>296608</v>
      </c>
      <c r="I2514" s="1" t="str">
        <f>IFERROR(__xludf.DUMMYFUNCTION("""COMPUTED_VALUE"""),"นายภาคภูมิ เพ็ชรนิล")</f>
        <v>นายภาคภูมิ เพ็ชรนิล</v>
      </c>
      <c r="J2514" s="3">
        <f>IFERROR(__xludf.DUMMYFUNCTION("""COMPUTED_VALUE"""),228031.0)</f>
        <v>228031</v>
      </c>
      <c r="K2514" s="3" t="str">
        <f>IFERROR(__xludf.DUMMYFUNCTION("""COMPUTED_VALUE"""),"นายธนพงษ์ วันหมัด")</f>
        <v>นายธนพงษ์ วันหมัด</v>
      </c>
      <c r="L2514" s="1" t="str">
        <f>IFERROR(__xludf.DUMMYFUNCTION("""COMPUTED_VALUE"""),"นายธนพงษ์ วันหมัด")</f>
        <v>นายธนพงษ์ วันหมัด</v>
      </c>
      <c r="M2514" s="1" t="str">
        <f>IFERROR(__xludf.DUMMYFUNCTION("""COMPUTED_VALUE"""),"0813716913")</f>
        <v>0813716913</v>
      </c>
      <c r="N2514" s="3">
        <f>IFERROR(__xludf.DUMMYFUNCTION("""COMPUTED_VALUE"""),83250.0)</f>
        <v>83250</v>
      </c>
      <c r="O2514" s="3" t="str">
        <f>IFERROR(__xludf.DUMMYFUNCTION("""COMPUTED_VALUE"""),"ร้านคุณรัตนา")</f>
        <v>ร้านคุณรัตนา</v>
      </c>
      <c r="P2514" s="4">
        <f>IFERROR(__xludf.DUMMYFUNCTION("""COMPUTED_VALUE"""),44584.0)</f>
        <v>44584</v>
      </c>
      <c r="Q2514" s="3" t="str">
        <f>IFERROR(__xludf.DUMMYFUNCTION("""COMPUTED_VALUE"""),"I")</f>
        <v>I</v>
      </c>
      <c r="R2514" s="3" t="str">
        <f>IFERROR(__xludf.DUMMYFUNCTION("""COMPUTED_VALUE"""),"Small Format")</f>
        <v>Small Format</v>
      </c>
      <c r="S2514" s="3" t="str">
        <f>IFERROR(__xludf.DUMMYFUNCTION("""COMPUTED_VALUE"""),"Donjai")</f>
        <v>Donjai</v>
      </c>
      <c r="T2514" s="3" t="str">
        <f>IFERROR(__xludf.DUMMYFUNCTION("""COMPUTED_VALUE"""),"10 K.Phakphoom P.")</f>
        <v>10 K.Phakphoom P.</v>
      </c>
      <c r="U2514" s="3" t="str">
        <f>IFERROR(__xludf.DUMMYFUNCTION("""COMPUTED_VALUE"""),"10 K.Phakphoom P.")</f>
        <v>10 K.Phakphoom P.</v>
      </c>
      <c r="V2514" s="3" t="str">
        <f>IFERROR(__xludf.DUMMYFUNCTION("""COMPUTED_VALUE"""),"N")</f>
        <v>N</v>
      </c>
      <c r="W2514" s="3"/>
      <c r="X2514" s="3" t="str">
        <f>IFERROR(__xludf.DUMMYFUNCTION("""COMPUTED_VALUE"""),"61/1 ม.1 ต.หนองชุมพล อ.เขาย้อย จ.เพชรบุรี 76140")</f>
        <v>61/1 ม.1 ต.หนองชุมพล อ.เขาย้อย จ.เพชรบุรี 76140</v>
      </c>
      <c r="Y2514" s="3"/>
      <c r="Z2514" s="3" t="str">
        <f>IFERROR(__xludf.DUMMYFUNCTION("""COMPUTED_VALUE"""),"หนองชุมพล")</f>
        <v>หนองชุมพล</v>
      </c>
      <c r="AA2514" s="3" t="str">
        <f>IFERROR(__xludf.DUMMYFUNCTION("""COMPUTED_VALUE"""),"เขาย้อย")</f>
        <v>เขาย้อย</v>
      </c>
      <c r="AB2514" s="3" t="str">
        <f>IFERROR(__xludf.DUMMYFUNCTION("""COMPUTED_VALUE"""),"เพชรบุรี")</f>
        <v>เพชรบุรี</v>
      </c>
      <c r="AC2514" s="3">
        <f>IFERROR(__xludf.DUMMYFUNCTION("""COMPUTED_VALUE"""),76140.0)</f>
        <v>76140</v>
      </c>
      <c r="AD2514" s="3"/>
      <c r="AE2514" s="3"/>
      <c r="AF2514" s="3" t="str">
        <f>IFERROR(__xludf.DUMMYFUNCTION("""COMPUTED_VALUE"""),"ร้านคุณรัตนา-83250")</f>
        <v>ร้านคุณรัตนา-83250</v>
      </c>
      <c r="AG2514" s="3" t="str">
        <f>IFERROR(__xludf.DUMMYFUNCTION("""COMPUTED_VALUE"""),"ตะวันตก")</f>
        <v>ตะวันตก</v>
      </c>
      <c r="AH2514" s="3" t="str">
        <f>IFERROR(__xludf.DUMMYFUNCTION("""COMPUTED_VALUE"""),"#N/A")</f>
        <v>#N/A</v>
      </c>
      <c r="AI2514" s="3" t="str">
        <f>IFERROR(__xludf.DUMMYFUNCTION("""COMPUTED_VALUE"""),"Out of warranty")</f>
        <v>Out of warranty</v>
      </c>
      <c r="AJ2514" s="3">
        <f>IFERROR(__xludf.DUMMYFUNCTION("""COMPUTED_VALUE"""),48.0)</f>
        <v>48</v>
      </c>
      <c r="AK2514" s="3"/>
      <c r="AL2514" s="3"/>
    </row>
    <row r="2515" ht="15.75" customHeight="1">
      <c r="A2515" s="1" t="str">
        <f>IFERROR(__xludf.DUMMYFUNCTION("""COMPUTED_VALUE"""),"83251")</f>
        <v>83251</v>
      </c>
      <c r="B2515" s="2">
        <f>IFERROR(__xludf.DUMMYFUNCTION("""COMPUTED_VALUE"""),83251.0)</f>
        <v>83251</v>
      </c>
      <c r="C2515" s="3" t="str">
        <f>IFERROR(__xludf.DUMMYFUNCTION("""COMPUTED_VALUE"""),"ร้านจันทิพย์กิจรุ่งเรือง")</f>
        <v>ร้านจันทิพย์กิจรุ่งเรือง</v>
      </c>
      <c r="D2515" s="3" t="str">
        <f>IFERROR(__xludf.DUMMYFUNCTION("""COMPUTED_VALUE"""),"ร้านจันทิพย์กิจรุ่งเรือง")</f>
        <v>ร้านจันทิพย์กิจรุ่งเรือง</v>
      </c>
      <c r="E2515" s="1" t="str">
        <f>IFERROR(__xludf.DUMMYFUNCTION("""COMPUTED_VALUE"""),"Donjai")</f>
        <v>Donjai</v>
      </c>
      <c r="F2515" s="1" t="str">
        <f>IFERROR(__xludf.DUMMYFUNCTION("""COMPUTED_VALUE"""),"2010016")</f>
        <v>2010016</v>
      </c>
      <c r="G2515" s="1" t="str">
        <f>IFERROR(__xludf.DUMMYFUNCTION("""COMPUTED_VALUE"""),"นายตวงธรรม ใหม่ยศ")</f>
        <v>นายตวงธรรม ใหม่ยศ</v>
      </c>
      <c r="H2515" s="1" t="str">
        <f>IFERROR(__xludf.DUMMYFUNCTION("""COMPUTED_VALUE"""),"2010016")</f>
        <v>2010016</v>
      </c>
      <c r="I2515" s="1" t="str">
        <f>IFERROR(__xludf.DUMMYFUNCTION("""COMPUTED_VALUE"""),"นายตวงธรรม ใหม่ยศ")</f>
        <v>นายตวงธรรม ใหม่ยศ</v>
      </c>
      <c r="J2515" s="3">
        <f>IFERROR(__xludf.DUMMYFUNCTION("""COMPUTED_VALUE"""),295886.0)</f>
        <v>295886</v>
      </c>
      <c r="K2515" s="3" t="str">
        <f>IFERROR(__xludf.DUMMYFUNCTION("""COMPUTED_VALUE"""),"นายจิระพงษ์ โพธิ์นิล")</f>
        <v>นายจิระพงษ์ โพธิ์นิล</v>
      </c>
      <c r="L2515" s="1" t="str">
        <f>IFERROR(__xludf.DUMMYFUNCTION("""COMPUTED_VALUE"""),"นายจิระพงษ์ โพธิ์นิล")</f>
        <v>นายจิระพงษ์ โพธิ์นิล</v>
      </c>
      <c r="M2515" s="1" t="str">
        <f>IFERROR(__xludf.DUMMYFUNCTION("""COMPUTED_VALUE"""),"0933290754")</f>
        <v>0933290754</v>
      </c>
      <c r="N2515" s="3">
        <f>IFERROR(__xludf.DUMMYFUNCTION("""COMPUTED_VALUE"""),83251.0)</f>
        <v>83251</v>
      </c>
      <c r="O2515" s="3" t="str">
        <f>IFERROR(__xludf.DUMMYFUNCTION("""COMPUTED_VALUE"""),"ร้านจันทิพย์กิจรุ่งเรือง")</f>
        <v>ร้านจันทิพย์กิจรุ่งเรือง</v>
      </c>
      <c r="P2515" s="4">
        <f>IFERROR(__xludf.DUMMYFUNCTION("""COMPUTED_VALUE"""),44583.0)</f>
        <v>44583</v>
      </c>
      <c r="Q2515" s="3" t="str">
        <f>IFERROR(__xludf.DUMMYFUNCTION("""COMPUTED_VALUE"""),"I")</f>
        <v>I</v>
      </c>
      <c r="R2515" s="3" t="str">
        <f>IFERROR(__xludf.DUMMYFUNCTION("""COMPUTED_VALUE"""),"Small Format")</f>
        <v>Small Format</v>
      </c>
      <c r="S2515" s="3" t="str">
        <f>IFERROR(__xludf.DUMMYFUNCTION("""COMPUTED_VALUE"""),"Donjai")</f>
        <v>Donjai</v>
      </c>
      <c r="T2515" s="3" t="str">
        <f>IFERROR(__xludf.DUMMYFUNCTION("""COMPUTED_VALUE"""),"01 K.Tuangtham M.")</f>
        <v>01 K.Tuangtham M.</v>
      </c>
      <c r="U2515" s="3" t="str">
        <f>IFERROR(__xludf.DUMMYFUNCTION("""COMPUTED_VALUE"""),"01 K.Tuangtham M.")</f>
        <v>01 K.Tuangtham M.</v>
      </c>
      <c r="V2515" s="3" t="str">
        <f>IFERROR(__xludf.DUMMYFUNCTION("""COMPUTED_VALUE"""),"N")</f>
        <v>N</v>
      </c>
      <c r="W2515" s="3"/>
      <c r="X2515" s="3" t="str">
        <f>IFERROR(__xludf.DUMMYFUNCTION("""COMPUTED_VALUE"""),"46 ม.9 ต.ไม้ยา อ.พญาเม็งราย จ.เชียงราย")</f>
        <v>46 ม.9 ต.ไม้ยา อ.พญาเม็งราย จ.เชียงราย</v>
      </c>
      <c r="Y2515" s="3"/>
      <c r="Z2515" s="3" t="str">
        <f>IFERROR(__xludf.DUMMYFUNCTION("""COMPUTED_VALUE"""),"ไม้ยา")</f>
        <v>ไม้ยา</v>
      </c>
      <c r="AA2515" s="3" t="str">
        <f>IFERROR(__xludf.DUMMYFUNCTION("""COMPUTED_VALUE"""),"พญาเม็งราย")</f>
        <v>พญาเม็งราย</v>
      </c>
      <c r="AB2515" s="3" t="str">
        <f>IFERROR(__xludf.DUMMYFUNCTION("""COMPUTED_VALUE"""),"เชียงราย")</f>
        <v>เชียงราย</v>
      </c>
      <c r="AC2515" s="3">
        <f>IFERROR(__xludf.DUMMYFUNCTION("""COMPUTED_VALUE"""),0.0)</f>
        <v>0</v>
      </c>
      <c r="AD2515" s="3"/>
      <c r="AE2515" s="3"/>
      <c r="AF2515" s="3" t="str">
        <f>IFERROR(__xludf.DUMMYFUNCTION("""COMPUTED_VALUE"""),"ร้านจันทิพย์กิจรุ่งเรือง-83251")</f>
        <v>ร้านจันทิพย์กิจรุ่งเรือง-83251</v>
      </c>
      <c r="AG2515" s="3" t="str">
        <f>IFERROR(__xludf.DUMMYFUNCTION("""COMPUTED_VALUE"""),"เหนือ")</f>
        <v>เหนือ</v>
      </c>
      <c r="AH2515" s="3" t="str">
        <f>IFERROR(__xludf.DUMMYFUNCTION("""COMPUTED_VALUE"""),"#N/A")</f>
        <v>#N/A</v>
      </c>
      <c r="AI2515" s="3" t="str">
        <f>IFERROR(__xludf.DUMMYFUNCTION("""COMPUTED_VALUE"""),"Out of warranty")</f>
        <v>Out of warranty</v>
      </c>
      <c r="AJ2515" s="3">
        <f>IFERROR(__xludf.DUMMYFUNCTION("""COMPUTED_VALUE"""),48.0)</f>
        <v>48</v>
      </c>
      <c r="AK2515" s="3"/>
      <c r="AL2515" s="3"/>
    </row>
    <row r="2516" ht="15.75" customHeight="1">
      <c r="A2516" s="1" t="str">
        <f>IFERROR(__xludf.DUMMYFUNCTION("""COMPUTED_VALUE"""),"83252")</f>
        <v>83252</v>
      </c>
      <c r="B2516" s="2">
        <f>IFERROR(__xludf.DUMMYFUNCTION("""COMPUTED_VALUE"""),83252.0)</f>
        <v>83252</v>
      </c>
      <c r="C2516" s="3" t="str">
        <f>IFERROR(__xludf.DUMMYFUNCTION("""COMPUTED_VALUE"""),"ร้านเสรีภาพ")</f>
        <v>ร้านเสรีภาพ</v>
      </c>
      <c r="D2516" s="3" t="str">
        <f>IFERROR(__xludf.DUMMYFUNCTION("""COMPUTED_VALUE"""),"ร้านเสรีภาพ")</f>
        <v>ร้านเสรีภาพ</v>
      </c>
      <c r="E2516" s="1" t="str">
        <f>IFERROR(__xludf.DUMMYFUNCTION("""COMPUTED_VALUE"""),"Donjai")</f>
        <v>Donjai</v>
      </c>
      <c r="F2516" s="1" t="str">
        <f>IFERROR(__xludf.DUMMYFUNCTION("""COMPUTED_VALUE"""),"2010023")</f>
        <v>2010023</v>
      </c>
      <c r="G2516" s="1" t="str">
        <f>IFERROR(__xludf.DUMMYFUNCTION("""COMPUTED_VALUE"""),"นายวศิน ไวยรูป")</f>
        <v>นายวศิน ไวยรูป</v>
      </c>
      <c r="H2516" s="1" t="str">
        <f>IFERROR(__xludf.DUMMYFUNCTION("""COMPUTED_VALUE"""),"2010023")</f>
        <v>2010023</v>
      </c>
      <c r="I2516" s="1" t="str">
        <f>IFERROR(__xludf.DUMMYFUNCTION("""COMPUTED_VALUE"""),"นายวศิน ไวยรูป")</f>
        <v>นายวศิน ไวยรูป</v>
      </c>
      <c r="J2516" s="3">
        <f>IFERROR(__xludf.DUMMYFUNCTION("""COMPUTED_VALUE"""),228031.0)</f>
        <v>228031</v>
      </c>
      <c r="K2516" s="3" t="str">
        <f>IFERROR(__xludf.DUMMYFUNCTION("""COMPUTED_VALUE"""),"นายธนพงษ์ วันหมัด")</f>
        <v>นายธนพงษ์ วันหมัด</v>
      </c>
      <c r="L2516" s="1" t="str">
        <f>IFERROR(__xludf.DUMMYFUNCTION("""COMPUTED_VALUE"""),"นายธนพงษ์ วันหมัด")</f>
        <v>นายธนพงษ์ วันหมัด</v>
      </c>
      <c r="M2516" s="1" t="str">
        <f>IFERROR(__xludf.DUMMYFUNCTION("""COMPUTED_VALUE"""),"0813716913")</f>
        <v>0813716913</v>
      </c>
      <c r="N2516" s="3">
        <f>IFERROR(__xludf.DUMMYFUNCTION("""COMPUTED_VALUE"""),83252.0)</f>
        <v>83252</v>
      </c>
      <c r="O2516" s="3" t="str">
        <f>IFERROR(__xludf.DUMMYFUNCTION("""COMPUTED_VALUE"""),"ร้านเสรีภาพ")</f>
        <v>ร้านเสรีภาพ</v>
      </c>
      <c r="P2516" s="4">
        <f>IFERROR(__xludf.DUMMYFUNCTION("""COMPUTED_VALUE"""),44593.0)</f>
        <v>44593</v>
      </c>
      <c r="Q2516" s="3" t="str">
        <f>IFERROR(__xludf.DUMMYFUNCTION("""COMPUTED_VALUE"""),"I")</f>
        <v>I</v>
      </c>
      <c r="R2516" s="3" t="str">
        <f>IFERROR(__xludf.DUMMYFUNCTION("""COMPUTED_VALUE"""),"Small Format")</f>
        <v>Small Format</v>
      </c>
      <c r="S2516" s="3" t="str">
        <f>IFERROR(__xludf.DUMMYFUNCTION("""COMPUTED_VALUE"""),"Donjai")</f>
        <v>Donjai</v>
      </c>
      <c r="T2516" s="3" t="str">
        <f>IFERROR(__xludf.DUMMYFUNCTION("""COMPUTED_VALUE"""),"Donjai")</f>
        <v>Donjai</v>
      </c>
      <c r="U2516" s="3" t="str">
        <f>IFERROR(__xludf.DUMMYFUNCTION("""COMPUTED_VALUE"""),"Donjai")</f>
        <v>Donjai</v>
      </c>
      <c r="V2516" s="3" t="str">
        <f>IFERROR(__xludf.DUMMYFUNCTION("""COMPUTED_VALUE"""),"N")</f>
        <v>N</v>
      </c>
      <c r="W2516" s="3"/>
      <c r="X2516" s="3" t="str">
        <f>IFERROR(__xludf.DUMMYFUNCTION("""COMPUTED_VALUE"""),"149/1 หมู่1 ต.วัดโบสถ์ อ.บางปลาม้า จ.สุพรรณบุรี")</f>
        <v>149/1 หมู่1 ต.วัดโบสถ์ อ.บางปลาม้า จ.สุพรรณบุรี</v>
      </c>
      <c r="Y2516" s="3"/>
      <c r="Z2516" s="3">
        <f>IFERROR(__xludf.DUMMYFUNCTION("""COMPUTED_VALUE"""),0.0)</f>
        <v>0</v>
      </c>
      <c r="AA2516" s="3">
        <f>IFERROR(__xludf.DUMMYFUNCTION("""COMPUTED_VALUE"""),0.0)</f>
        <v>0</v>
      </c>
      <c r="AB2516" s="3" t="str">
        <f>IFERROR(__xludf.DUMMYFUNCTION("""COMPUTED_VALUE"""),"สุพรรณบุรี")</f>
        <v>สุพรรณบุรี</v>
      </c>
      <c r="AC2516" s="3">
        <f>IFERROR(__xludf.DUMMYFUNCTION("""COMPUTED_VALUE"""),0.0)</f>
        <v>0</v>
      </c>
      <c r="AD2516" s="3"/>
      <c r="AE2516" s="3"/>
      <c r="AF2516" s="3" t="str">
        <f>IFERROR(__xludf.DUMMYFUNCTION("""COMPUTED_VALUE"""),"ร้านเสรีภาพ-83252")</f>
        <v>ร้านเสรีภาพ-83252</v>
      </c>
      <c r="AG2516" s="3" t="str">
        <f>IFERROR(__xludf.DUMMYFUNCTION("""COMPUTED_VALUE"""),"กลาง")</f>
        <v>กลาง</v>
      </c>
      <c r="AH2516" s="3" t="str">
        <f>IFERROR(__xludf.DUMMYFUNCTION("""COMPUTED_VALUE"""),"#N/A")</f>
        <v>#N/A</v>
      </c>
      <c r="AI2516" s="3" t="str">
        <f>IFERROR(__xludf.DUMMYFUNCTION("""COMPUTED_VALUE"""),"Out of warranty")</f>
        <v>Out of warranty</v>
      </c>
      <c r="AJ2516" s="3">
        <f>IFERROR(__xludf.DUMMYFUNCTION("""COMPUTED_VALUE"""),48.0)</f>
        <v>48</v>
      </c>
      <c r="AK2516" s="3"/>
      <c r="AL2516" s="3"/>
    </row>
    <row r="2517" ht="15.75" customHeight="1">
      <c r="A2517" s="1" t="str">
        <f>IFERROR(__xludf.DUMMYFUNCTION("""COMPUTED_VALUE"""),"83254")</f>
        <v>83254</v>
      </c>
      <c r="B2517" s="2">
        <f>IFERROR(__xludf.DUMMYFUNCTION("""COMPUTED_VALUE"""),83254.0)</f>
        <v>83254</v>
      </c>
      <c r="C2517" s="3" t="str">
        <f>IFERROR(__xludf.DUMMYFUNCTION("""COMPUTED_VALUE"""),"ร้านฮิมนามินิมาร์ท")</f>
        <v>ร้านฮิมนามินิมาร์ท</v>
      </c>
      <c r="D2517" s="3" t="str">
        <f>IFERROR(__xludf.DUMMYFUNCTION("""COMPUTED_VALUE"""),"ร้านฮิมนามินิมาร์ท")</f>
        <v>ร้านฮิมนามินิมาร์ท</v>
      </c>
      <c r="E2517" s="1" t="str">
        <f>IFERROR(__xludf.DUMMYFUNCTION("""COMPUTED_VALUE"""),"Donjai")</f>
        <v>Donjai</v>
      </c>
      <c r="F2517" s="1" t="str">
        <f>IFERROR(__xludf.DUMMYFUNCTION("""COMPUTED_VALUE"""),"2010016")</f>
        <v>2010016</v>
      </c>
      <c r="G2517" s="1" t="str">
        <f>IFERROR(__xludf.DUMMYFUNCTION("""COMPUTED_VALUE"""),"นายตวงธรรม ใหม่ยศ")</f>
        <v>นายตวงธรรม ใหม่ยศ</v>
      </c>
      <c r="H2517" s="1" t="str">
        <f>IFERROR(__xludf.DUMMYFUNCTION("""COMPUTED_VALUE"""),"2010016")</f>
        <v>2010016</v>
      </c>
      <c r="I2517" s="1" t="str">
        <f>IFERROR(__xludf.DUMMYFUNCTION("""COMPUTED_VALUE"""),"นายตวงธรรม ใหม่ยศ")</f>
        <v>นายตวงธรรม ใหม่ยศ</v>
      </c>
      <c r="J2517" s="3">
        <f>IFERROR(__xludf.DUMMYFUNCTION("""COMPUTED_VALUE"""),295886.0)</f>
        <v>295886</v>
      </c>
      <c r="K2517" s="3" t="str">
        <f>IFERROR(__xludf.DUMMYFUNCTION("""COMPUTED_VALUE"""),"นายจิระพงษ์ โพธิ์นิล")</f>
        <v>นายจิระพงษ์ โพธิ์นิล</v>
      </c>
      <c r="L2517" s="1" t="str">
        <f>IFERROR(__xludf.DUMMYFUNCTION("""COMPUTED_VALUE"""),"นายจิระพงษ์ โพธิ์นิล")</f>
        <v>นายจิระพงษ์ โพธิ์นิล</v>
      </c>
      <c r="M2517" s="1" t="str">
        <f>IFERROR(__xludf.DUMMYFUNCTION("""COMPUTED_VALUE"""),"0933290754")</f>
        <v>0933290754</v>
      </c>
      <c r="N2517" s="3">
        <f>IFERROR(__xludf.DUMMYFUNCTION("""COMPUTED_VALUE"""),83254.0)</f>
        <v>83254</v>
      </c>
      <c r="O2517" s="3" t="str">
        <f>IFERROR(__xludf.DUMMYFUNCTION("""COMPUTED_VALUE"""),"ร้านฮิมนามินิมาร์ท")</f>
        <v>ร้านฮิมนามินิมาร์ท</v>
      </c>
      <c r="P2517" s="4">
        <f>IFERROR(__xludf.DUMMYFUNCTION("""COMPUTED_VALUE"""),44684.0)</f>
        <v>44684</v>
      </c>
      <c r="Q2517" s="3" t="str">
        <f>IFERROR(__xludf.DUMMYFUNCTION("""COMPUTED_VALUE"""),"I")</f>
        <v>I</v>
      </c>
      <c r="R2517" s="3" t="str">
        <f>IFERROR(__xludf.DUMMYFUNCTION("""COMPUTED_VALUE"""),"Small Format")</f>
        <v>Small Format</v>
      </c>
      <c r="S2517" s="3" t="str">
        <f>IFERROR(__xludf.DUMMYFUNCTION("""COMPUTED_VALUE"""),"Donjai")</f>
        <v>Donjai</v>
      </c>
      <c r="T2517" s="3" t="str">
        <f>IFERROR(__xludf.DUMMYFUNCTION("""COMPUTED_VALUE"""),"01 K.Tuangtham M.")</f>
        <v>01 K.Tuangtham M.</v>
      </c>
      <c r="U2517" s="3" t="str">
        <f>IFERROR(__xludf.DUMMYFUNCTION("""COMPUTED_VALUE"""),"01 K.Tuangtham M.")</f>
        <v>01 K.Tuangtham M.</v>
      </c>
      <c r="V2517" s="3" t="str">
        <f>IFERROR(__xludf.DUMMYFUNCTION("""COMPUTED_VALUE"""),"N")</f>
        <v>N</v>
      </c>
      <c r="W2517" s="3"/>
      <c r="X2517" s="3" t="str">
        <f>IFERROR(__xludf.DUMMYFUNCTION("""COMPUTED_VALUE"""),"162 หมู่ที่5 แม่สัน ห้างฉัตร ลำปาง 52190")</f>
        <v>162 หมู่ที่5 แม่สัน ห้างฉัตร ลำปาง 52190</v>
      </c>
      <c r="Y2517" s="3"/>
      <c r="Z2517" s="3">
        <f>IFERROR(__xludf.DUMMYFUNCTION("""COMPUTED_VALUE"""),0.0)</f>
        <v>0</v>
      </c>
      <c r="AA2517" s="3">
        <f>IFERROR(__xludf.DUMMYFUNCTION("""COMPUTED_VALUE"""),0.0)</f>
        <v>0</v>
      </c>
      <c r="AB2517" s="3" t="str">
        <f>IFERROR(__xludf.DUMMYFUNCTION("""COMPUTED_VALUE"""),"ลำปาง")</f>
        <v>ลำปาง</v>
      </c>
      <c r="AC2517" s="3">
        <f>IFERROR(__xludf.DUMMYFUNCTION("""COMPUTED_VALUE"""),52190.0)</f>
        <v>52190</v>
      </c>
      <c r="AD2517" s="3"/>
      <c r="AE2517" s="3"/>
      <c r="AF2517" s="3" t="str">
        <f>IFERROR(__xludf.DUMMYFUNCTION("""COMPUTED_VALUE"""),"ร้านฮิมนามินิมาร์ท-83254")</f>
        <v>ร้านฮิมนามินิมาร์ท-83254</v>
      </c>
      <c r="AG2517" s="3" t="str">
        <f>IFERROR(__xludf.DUMMYFUNCTION("""COMPUTED_VALUE"""),"เหนือ")</f>
        <v>เหนือ</v>
      </c>
      <c r="AH2517" s="3" t="str">
        <f>IFERROR(__xludf.DUMMYFUNCTION("""COMPUTED_VALUE"""),"#N/A")</f>
        <v>#N/A</v>
      </c>
      <c r="AI2517" s="3" t="str">
        <f>IFERROR(__xludf.DUMMYFUNCTION("""COMPUTED_VALUE"""),"Out of warranty")</f>
        <v>Out of warranty</v>
      </c>
      <c r="AJ2517" s="3">
        <f>IFERROR(__xludf.DUMMYFUNCTION("""COMPUTED_VALUE"""),45.0)</f>
        <v>45</v>
      </c>
      <c r="AK2517" s="3"/>
      <c r="AL2517" s="3"/>
    </row>
    <row r="2518" ht="15.75" customHeight="1">
      <c r="A2518" s="1" t="str">
        <f>IFERROR(__xludf.DUMMYFUNCTION("""COMPUTED_VALUE"""),"83257")</f>
        <v>83257</v>
      </c>
      <c r="B2518" s="2">
        <f>IFERROR(__xludf.DUMMYFUNCTION("""COMPUTED_VALUE"""),83257.0)</f>
        <v>83257</v>
      </c>
      <c r="C2518" s="3" t="str">
        <f>IFERROR(__xludf.DUMMYFUNCTION("""COMPUTED_VALUE"""),"เพิ่มพูลทรัพย์")</f>
        <v>เพิ่มพูลทรัพย์</v>
      </c>
      <c r="D2518" s="3" t="str">
        <f>IFERROR(__xludf.DUMMYFUNCTION("""COMPUTED_VALUE"""),"เพิ่มพูลทรัพย์")</f>
        <v>เพิ่มพูลทรัพย์</v>
      </c>
      <c r="E2518" s="1" t="str">
        <f>IFERROR(__xludf.DUMMYFUNCTION("""COMPUTED_VALUE"""),"Donjai")</f>
        <v>Donjai</v>
      </c>
      <c r="F2518" s="1" t="str">
        <f>IFERROR(__xludf.DUMMYFUNCTION("""COMPUTED_VALUE"""),"2010023")</f>
        <v>2010023</v>
      </c>
      <c r="G2518" s="1" t="str">
        <f>IFERROR(__xludf.DUMMYFUNCTION("""COMPUTED_VALUE"""),"นายวศิน ไวยรูป")</f>
        <v>นายวศิน ไวยรูป</v>
      </c>
      <c r="H2518" s="1" t="str">
        <f>IFERROR(__xludf.DUMMYFUNCTION("""COMPUTED_VALUE"""),"2010023")</f>
        <v>2010023</v>
      </c>
      <c r="I2518" s="1" t="str">
        <f>IFERROR(__xludf.DUMMYFUNCTION("""COMPUTED_VALUE"""),"นายวศิน ไวยรูป")</f>
        <v>นายวศิน ไวยรูป</v>
      </c>
      <c r="J2518" s="3">
        <f>IFERROR(__xludf.DUMMYFUNCTION("""COMPUTED_VALUE"""),228031.0)</f>
        <v>228031</v>
      </c>
      <c r="K2518" s="3" t="str">
        <f>IFERROR(__xludf.DUMMYFUNCTION("""COMPUTED_VALUE"""),"นายธนพงษ์ วันหมัด")</f>
        <v>นายธนพงษ์ วันหมัด</v>
      </c>
      <c r="L2518" s="1" t="str">
        <f>IFERROR(__xludf.DUMMYFUNCTION("""COMPUTED_VALUE"""),"นายธนพงษ์ วันหมัด")</f>
        <v>นายธนพงษ์ วันหมัด</v>
      </c>
      <c r="M2518" s="1" t="str">
        <f>IFERROR(__xludf.DUMMYFUNCTION("""COMPUTED_VALUE"""),"0813716913")</f>
        <v>0813716913</v>
      </c>
      <c r="N2518" s="3">
        <f>IFERROR(__xludf.DUMMYFUNCTION("""COMPUTED_VALUE"""),83257.0)</f>
        <v>83257</v>
      </c>
      <c r="O2518" s="3" t="str">
        <f>IFERROR(__xludf.DUMMYFUNCTION("""COMPUTED_VALUE"""),"เพิ่มพูลทรัพย์")</f>
        <v>เพิ่มพูลทรัพย์</v>
      </c>
      <c r="P2518" s="4">
        <f>IFERROR(__xludf.DUMMYFUNCTION("""COMPUTED_VALUE"""),44554.0)</f>
        <v>44554</v>
      </c>
      <c r="Q2518" s="3" t="str">
        <f>IFERROR(__xludf.DUMMYFUNCTION("""COMPUTED_VALUE"""),"I")</f>
        <v>I</v>
      </c>
      <c r="R2518" s="3" t="str">
        <f>IFERROR(__xludf.DUMMYFUNCTION("""COMPUTED_VALUE"""),"Small Format")</f>
        <v>Small Format</v>
      </c>
      <c r="S2518" s="3" t="str">
        <f>IFERROR(__xludf.DUMMYFUNCTION("""COMPUTED_VALUE"""),"Donjai")</f>
        <v>Donjai</v>
      </c>
      <c r="T2518" s="3" t="str">
        <f>IFERROR(__xludf.DUMMYFUNCTION("""COMPUTED_VALUE"""),"Donjai")</f>
        <v>Donjai</v>
      </c>
      <c r="U2518" s="3" t="str">
        <f>IFERROR(__xludf.DUMMYFUNCTION("""COMPUTED_VALUE"""),"Donjai")</f>
        <v>Donjai</v>
      </c>
      <c r="V2518" s="3" t="str">
        <f>IFERROR(__xludf.DUMMYFUNCTION("""COMPUTED_VALUE"""),"N")</f>
        <v>N</v>
      </c>
      <c r="W2518" s="3"/>
      <c r="X2518" s="3" t="str">
        <f>IFERROR(__xludf.DUMMYFUNCTION("""COMPUTED_VALUE"""),"217 หมู่ 2 ตำบลบ้านซ่อง อำเภอพนมสารคาม จังหวัดฉะเชิงเทรา 24120")</f>
        <v>217 หมู่ 2 ตำบลบ้านซ่อง อำเภอพนมสารคาม จังหวัดฉะเชิงเทรา 24120</v>
      </c>
      <c r="Y2518" s="3"/>
      <c r="Z2518" s="3">
        <f>IFERROR(__xludf.DUMMYFUNCTION("""COMPUTED_VALUE"""),0.0)</f>
        <v>0</v>
      </c>
      <c r="AA2518" s="3">
        <f>IFERROR(__xludf.DUMMYFUNCTION("""COMPUTED_VALUE"""),0.0)</f>
        <v>0</v>
      </c>
      <c r="AB2518" s="3" t="str">
        <f>IFERROR(__xludf.DUMMYFUNCTION("""COMPUTED_VALUE"""),"ฉะเชิงเทรา")</f>
        <v>ฉะเชิงเทรา</v>
      </c>
      <c r="AC2518" s="3">
        <f>IFERROR(__xludf.DUMMYFUNCTION("""COMPUTED_VALUE"""),24120.0)</f>
        <v>24120</v>
      </c>
      <c r="AD2518" s="3"/>
      <c r="AE2518" s="3"/>
      <c r="AF2518" s="3" t="str">
        <f>IFERROR(__xludf.DUMMYFUNCTION("""COMPUTED_VALUE"""),"เพิ่มพูลทรัพย์-83257")</f>
        <v>เพิ่มพูลทรัพย์-83257</v>
      </c>
      <c r="AG2518" s="3" t="str">
        <f>IFERROR(__xludf.DUMMYFUNCTION("""COMPUTED_VALUE"""),"ตะวันออก")</f>
        <v>ตะวันออก</v>
      </c>
      <c r="AH2518" s="3" t="str">
        <f>IFERROR(__xludf.DUMMYFUNCTION("""COMPUTED_VALUE"""),"#N/A")</f>
        <v>#N/A</v>
      </c>
      <c r="AI2518" s="3" t="str">
        <f>IFERROR(__xludf.DUMMYFUNCTION("""COMPUTED_VALUE"""),"Out of warranty")</f>
        <v>Out of warranty</v>
      </c>
      <c r="AJ2518" s="3">
        <f>IFERROR(__xludf.DUMMYFUNCTION("""COMPUTED_VALUE"""),49.0)</f>
        <v>49</v>
      </c>
      <c r="AK2518" s="3"/>
      <c r="AL2518" s="3"/>
    </row>
    <row r="2519" ht="15.75" customHeight="1">
      <c r="A2519" s="1" t="str">
        <f>IFERROR(__xludf.DUMMYFUNCTION("""COMPUTED_VALUE"""),"83258")</f>
        <v>83258</v>
      </c>
      <c r="B2519" s="2">
        <f>IFERROR(__xludf.DUMMYFUNCTION("""COMPUTED_VALUE"""),83258.0)</f>
        <v>83258</v>
      </c>
      <c r="C2519" s="3" t="str">
        <f>IFERROR(__xludf.DUMMYFUNCTION("""COMPUTED_VALUE"""),"คำแก้วค้าข้าว")</f>
        <v>คำแก้วค้าข้าว</v>
      </c>
      <c r="D2519" s="3" t="str">
        <f>IFERROR(__xludf.DUMMYFUNCTION("""COMPUTED_VALUE"""),"คำแก้วค้าข้าว")</f>
        <v>คำแก้วค้าข้าว</v>
      </c>
      <c r="E2519" s="1" t="str">
        <f>IFERROR(__xludf.DUMMYFUNCTION("""COMPUTED_VALUE"""),"Donjai")</f>
        <v>Donjai</v>
      </c>
      <c r="F2519" s="1" t="str">
        <f>IFERROR(__xludf.DUMMYFUNCTION("""COMPUTED_VALUE"""),"2454781")</f>
        <v>2454781</v>
      </c>
      <c r="G2519" s="1" t="str">
        <f>IFERROR(__xludf.DUMMYFUNCTION("""COMPUTED_VALUE"""),"นายฌานกฤช นันทะโคต")</f>
        <v>นายฌานกฤช นันทะโคต</v>
      </c>
      <c r="H2519" s="1" t="str">
        <f>IFERROR(__xludf.DUMMYFUNCTION("""COMPUTED_VALUE"""),"2454781")</f>
        <v>2454781</v>
      </c>
      <c r="I2519" s="1" t="str">
        <f>IFERROR(__xludf.DUMMYFUNCTION("""COMPUTED_VALUE"""),"นายฌานกฤช นันทะโคต")</f>
        <v>นายฌานกฤช นันทะโคต</v>
      </c>
      <c r="J2519" s="3">
        <f>IFERROR(__xludf.DUMMYFUNCTION("""COMPUTED_VALUE"""),295886.0)</f>
        <v>295886</v>
      </c>
      <c r="K2519" s="3" t="str">
        <f>IFERROR(__xludf.DUMMYFUNCTION("""COMPUTED_VALUE"""),"นายจิระพงษ์ โพธิ์นิล")</f>
        <v>นายจิระพงษ์ โพธิ์นิล</v>
      </c>
      <c r="L2519" s="1" t="str">
        <f>IFERROR(__xludf.DUMMYFUNCTION("""COMPUTED_VALUE"""),"นายจิระพงษ์ โพธิ์นิล")</f>
        <v>นายจิระพงษ์ โพธิ์นิล</v>
      </c>
      <c r="M2519" s="1" t="str">
        <f>IFERROR(__xludf.DUMMYFUNCTION("""COMPUTED_VALUE"""),"0933290754")</f>
        <v>0933290754</v>
      </c>
      <c r="N2519" s="3">
        <f>IFERROR(__xludf.DUMMYFUNCTION("""COMPUTED_VALUE"""),83258.0)</f>
        <v>83258</v>
      </c>
      <c r="O2519" s="3" t="str">
        <f>IFERROR(__xludf.DUMMYFUNCTION("""COMPUTED_VALUE"""),"คำแก้วค้าข้าว")</f>
        <v>คำแก้วค้าข้าว</v>
      </c>
      <c r="P2519" s="4">
        <f>IFERROR(__xludf.DUMMYFUNCTION("""COMPUTED_VALUE"""),44557.0)</f>
        <v>44557</v>
      </c>
      <c r="Q2519" s="3" t="str">
        <f>IFERROR(__xludf.DUMMYFUNCTION("""COMPUTED_VALUE"""),"A")</f>
        <v>A</v>
      </c>
      <c r="R2519" s="3" t="str">
        <f>IFERROR(__xludf.DUMMYFUNCTION("""COMPUTED_VALUE"""),"Small Format")</f>
        <v>Small Format</v>
      </c>
      <c r="S2519" s="3" t="str">
        <f>IFERROR(__xludf.DUMMYFUNCTION("""COMPUTED_VALUE"""),"Donjai")</f>
        <v>Donjai</v>
      </c>
      <c r="T2519" s="3" t="str">
        <f>IFERROR(__xludf.DUMMYFUNCTION("""COMPUTED_VALUE"""),"05 K.Chanakrit N.")</f>
        <v>05 K.Chanakrit N.</v>
      </c>
      <c r="U2519" s="3" t="str">
        <f>IFERROR(__xludf.DUMMYFUNCTION("""COMPUTED_VALUE"""),"05 K.Chanakrit N.")</f>
        <v>05 K.Chanakrit N.</v>
      </c>
      <c r="V2519" s="3" t="str">
        <f>IFERROR(__xludf.DUMMYFUNCTION("""COMPUTED_VALUE"""),"N")</f>
        <v>N</v>
      </c>
      <c r="W2519" s="3"/>
      <c r="X2519" s="3" t="str">
        <f>IFERROR(__xludf.DUMMYFUNCTION("""COMPUTED_VALUE"""),"159 หมู่ 1 ต.ดู่ลาด อ.ทรายมูล จ.ยโสธร 35170")</f>
        <v>159 หมู่ 1 ต.ดู่ลาด อ.ทรายมูล จ.ยโสธร 35170</v>
      </c>
      <c r="Y2519" s="3"/>
      <c r="Z2519" s="3">
        <f>IFERROR(__xludf.DUMMYFUNCTION("""COMPUTED_VALUE"""),0.0)</f>
        <v>0</v>
      </c>
      <c r="AA2519" s="3">
        <f>IFERROR(__xludf.DUMMYFUNCTION("""COMPUTED_VALUE"""),0.0)</f>
        <v>0</v>
      </c>
      <c r="AB2519" s="3" t="str">
        <f>IFERROR(__xludf.DUMMYFUNCTION("""COMPUTED_VALUE"""),"ยโสธร")</f>
        <v>ยโสธร</v>
      </c>
      <c r="AC2519" s="3">
        <f>IFERROR(__xludf.DUMMYFUNCTION("""COMPUTED_VALUE"""),35170.0)</f>
        <v>35170</v>
      </c>
      <c r="AD2519" s="3"/>
      <c r="AE2519" s="3"/>
      <c r="AF2519" s="3" t="str">
        <f>IFERROR(__xludf.DUMMYFUNCTION("""COMPUTED_VALUE"""),"คำแก้วค้าข้าว-83258")</f>
        <v>คำแก้วค้าข้าว-83258</v>
      </c>
      <c r="AG2519" s="3" t="str">
        <f>IFERROR(__xludf.DUMMYFUNCTION("""COMPUTED_VALUE"""),"ตะวันออกเฉียงเหนือ")</f>
        <v>ตะวันออกเฉียงเหนือ</v>
      </c>
      <c r="AH2519" s="3" t="str">
        <f>IFERROR(__xludf.DUMMYFUNCTION("""COMPUTED_VALUE"""),"#N/A")</f>
        <v>#N/A</v>
      </c>
      <c r="AI2519" s="3" t="str">
        <f>IFERROR(__xludf.DUMMYFUNCTION("""COMPUTED_VALUE"""),"Out of warranty")</f>
        <v>Out of warranty</v>
      </c>
      <c r="AJ2519" s="3">
        <f>IFERROR(__xludf.DUMMYFUNCTION("""COMPUTED_VALUE"""),49.0)</f>
        <v>49</v>
      </c>
      <c r="AK2519" s="3"/>
      <c r="AL2519" s="3"/>
    </row>
    <row r="2520" ht="15.75" customHeight="1">
      <c r="A2520" s="1" t="str">
        <f>IFERROR(__xludf.DUMMYFUNCTION("""COMPUTED_VALUE"""),"83261")</f>
        <v>83261</v>
      </c>
      <c r="B2520" s="2">
        <f>IFERROR(__xludf.DUMMYFUNCTION("""COMPUTED_VALUE"""),83261.0)</f>
        <v>83261</v>
      </c>
      <c r="C2520" s="3" t="str">
        <f>IFERROR(__xludf.DUMMYFUNCTION("""COMPUTED_VALUE"""),"ร้าน กนกพร")</f>
        <v>ร้าน กนกพร</v>
      </c>
      <c r="D2520" s="3" t="str">
        <f>IFERROR(__xludf.DUMMYFUNCTION("""COMPUTED_VALUE"""),"ร้าน กนกพร")</f>
        <v>ร้าน กนกพร</v>
      </c>
      <c r="E2520" s="1" t="str">
        <f>IFERROR(__xludf.DUMMYFUNCTION("""COMPUTED_VALUE"""),"Donjai")</f>
        <v>Donjai</v>
      </c>
      <c r="F2520" s="1" t="str">
        <f>IFERROR(__xludf.DUMMYFUNCTION("""COMPUTED_VALUE"""),"2010016")</f>
        <v>2010016</v>
      </c>
      <c r="G2520" s="1" t="str">
        <f>IFERROR(__xludf.DUMMYFUNCTION("""COMPUTED_VALUE"""),"นายตวงธรรม ใหม่ยศ")</f>
        <v>นายตวงธรรม ใหม่ยศ</v>
      </c>
      <c r="H2520" s="1" t="str">
        <f>IFERROR(__xludf.DUMMYFUNCTION("""COMPUTED_VALUE"""),"2010016")</f>
        <v>2010016</v>
      </c>
      <c r="I2520" s="1" t="str">
        <f>IFERROR(__xludf.DUMMYFUNCTION("""COMPUTED_VALUE"""),"นายตวงธรรม ใหม่ยศ")</f>
        <v>นายตวงธรรม ใหม่ยศ</v>
      </c>
      <c r="J2520" s="3">
        <f>IFERROR(__xludf.DUMMYFUNCTION("""COMPUTED_VALUE"""),295886.0)</f>
        <v>295886</v>
      </c>
      <c r="K2520" s="3" t="str">
        <f>IFERROR(__xludf.DUMMYFUNCTION("""COMPUTED_VALUE"""),"นายจิระพงษ์ โพธิ์นิล")</f>
        <v>นายจิระพงษ์ โพธิ์นิล</v>
      </c>
      <c r="L2520" s="1" t="str">
        <f>IFERROR(__xludf.DUMMYFUNCTION("""COMPUTED_VALUE"""),"นายจิระพงษ์ โพธิ์นิล")</f>
        <v>นายจิระพงษ์ โพธิ์นิล</v>
      </c>
      <c r="M2520" s="1" t="str">
        <f>IFERROR(__xludf.DUMMYFUNCTION("""COMPUTED_VALUE"""),"0933290754")</f>
        <v>0933290754</v>
      </c>
      <c r="N2520" s="3">
        <f>IFERROR(__xludf.DUMMYFUNCTION("""COMPUTED_VALUE"""),83261.0)</f>
        <v>83261</v>
      </c>
      <c r="O2520" s="3" t="str">
        <f>IFERROR(__xludf.DUMMYFUNCTION("""COMPUTED_VALUE"""),"ร้าน กนกพร")</f>
        <v>ร้าน กนกพร</v>
      </c>
      <c r="P2520" s="4">
        <f>IFERROR(__xludf.DUMMYFUNCTION("""COMPUTED_VALUE"""),44603.0)</f>
        <v>44603</v>
      </c>
      <c r="Q2520" s="3" t="str">
        <f>IFERROR(__xludf.DUMMYFUNCTION("""COMPUTED_VALUE"""),"I")</f>
        <v>I</v>
      </c>
      <c r="R2520" s="3" t="str">
        <f>IFERROR(__xludf.DUMMYFUNCTION("""COMPUTED_VALUE"""),"Small Format")</f>
        <v>Small Format</v>
      </c>
      <c r="S2520" s="3" t="str">
        <f>IFERROR(__xludf.DUMMYFUNCTION("""COMPUTED_VALUE"""),"Donjai")</f>
        <v>Donjai</v>
      </c>
      <c r="T2520" s="3" t="str">
        <f>IFERROR(__xludf.DUMMYFUNCTION("""COMPUTED_VALUE"""),"01 K.Tuangtham M.")</f>
        <v>01 K.Tuangtham M.</v>
      </c>
      <c r="U2520" s="3" t="str">
        <f>IFERROR(__xludf.DUMMYFUNCTION("""COMPUTED_VALUE"""),"01 K.Tuangtham M.")</f>
        <v>01 K.Tuangtham M.</v>
      </c>
      <c r="V2520" s="3" t="str">
        <f>IFERROR(__xludf.DUMMYFUNCTION("""COMPUTED_VALUE"""),"N")</f>
        <v>N</v>
      </c>
      <c r="W2520" s="3"/>
      <c r="X2520" s="3" t="str">
        <f>IFERROR(__xludf.DUMMYFUNCTION("""COMPUTED_VALUE"""),"254 ถนนศรีเวียง ต.รอบเวียง อ.เมือง จ.เชียงราย 57000")</f>
        <v>254 ถนนศรีเวียง ต.รอบเวียง อ.เมือง จ.เชียงราย 57000</v>
      </c>
      <c r="Y2520" s="3"/>
      <c r="Z2520" s="3" t="str">
        <f>IFERROR(__xludf.DUMMYFUNCTION("""COMPUTED_VALUE"""),"รอบเวียง")</f>
        <v>รอบเวียง</v>
      </c>
      <c r="AA2520" s="3" t="str">
        <f>IFERROR(__xludf.DUMMYFUNCTION("""COMPUTED_VALUE"""),"เมืองเชียงราย")</f>
        <v>เมืองเชียงราย</v>
      </c>
      <c r="AB2520" s="3" t="str">
        <f>IFERROR(__xludf.DUMMYFUNCTION("""COMPUTED_VALUE"""),"เชียงราย")</f>
        <v>เชียงราย</v>
      </c>
      <c r="AC2520" s="3">
        <f>IFERROR(__xludf.DUMMYFUNCTION("""COMPUTED_VALUE"""),57000.0)</f>
        <v>57000</v>
      </c>
      <c r="AD2520" s="3"/>
      <c r="AE2520" s="3"/>
      <c r="AF2520" s="3" t="str">
        <f>IFERROR(__xludf.DUMMYFUNCTION("""COMPUTED_VALUE"""),"ร้าน กนกพร-83261")</f>
        <v>ร้าน กนกพร-83261</v>
      </c>
      <c r="AG2520" s="3" t="str">
        <f>IFERROR(__xludf.DUMMYFUNCTION("""COMPUTED_VALUE"""),"เหนือ")</f>
        <v>เหนือ</v>
      </c>
      <c r="AH2520" s="3" t="str">
        <f>IFERROR(__xludf.DUMMYFUNCTION("""COMPUTED_VALUE"""),"#N/A")</f>
        <v>#N/A</v>
      </c>
      <c r="AI2520" s="3" t="str">
        <f>IFERROR(__xludf.DUMMYFUNCTION("""COMPUTED_VALUE"""),"Out of warranty")</f>
        <v>Out of warranty</v>
      </c>
      <c r="AJ2520" s="3">
        <f>IFERROR(__xludf.DUMMYFUNCTION("""COMPUTED_VALUE"""),48.0)</f>
        <v>48</v>
      </c>
      <c r="AK2520" s="3"/>
      <c r="AL2520" s="3"/>
    </row>
    <row r="2521" ht="15.75" customHeight="1">
      <c r="A2521" s="1" t="str">
        <f>IFERROR(__xludf.DUMMYFUNCTION("""COMPUTED_VALUE"""),"83262")</f>
        <v>83262</v>
      </c>
      <c r="B2521" s="2">
        <f>IFERROR(__xludf.DUMMYFUNCTION("""COMPUTED_VALUE"""),83262.0)</f>
        <v>83262</v>
      </c>
      <c r="C2521" s="3" t="str">
        <f>IFERROR(__xludf.DUMMYFUNCTION("""COMPUTED_VALUE"""),"ร้านจันทเฆ่ (คุณบุญสงค์)")</f>
        <v>ร้านจันทเฆ่ (คุณบุญสงค์)</v>
      </c>
      <c r="D2521" s="3" t="str">
        <f>IFERROR(__xludf.DUMMYFUNCTION("""COMPUTED_VALUE"""),"ร้านจันทเฆ่ (คุณบุญสงค์)")</f>
        <v>ร้านจันทเฆ่ (คุณบุญสงค์)</v>
      </c>
      <c r="E2521" s="1" t="str">
        <f>IFERROR(__xludf.DUMMYFUNCTION("""COMPUTED_VALUE"""),"Donjai")</f>
        <v>Donjai</v>
      </c>
      <c r="F2521" s="1" t="str">
        <f>IFERROR(__xludf.DUMMYFUNCTION("""COMPUTED_VALUE"""),"015361")</f>
        <v>015361</v>
      </c>
      <c r="G2521" s="1" t="str">
        <f>IFERROR(__xludf.DUMMYFUNCTION("""COMPUTED_VALUE"""),"นายสมบูรณ์ พรหมในเมือง")</f>
        <v>นายสมบูรณ์ พรหมในเมือง</v>
      </c>
      <c r="H2521" s="1" t="str">
        <f>IFERROR(__xludf.DUMMYFUNCTION("""COMPUTED_VALUE"""),"015361")</f>
        <v>015361</v>
      </c>
      <c r="I2521" s="1" t="str">
        <f>IFERROR(__xludf.DUMMYFUNCTION("""COMPUTED_VALUE"""),"นายสมบูรณ์ พรหมในเมือง")</f>
        <v>นายสมบูรณ์ พรหมในเมือง</v>
      </c>
      <c r="J2521" s="3">
        <f>IFERROR(__xludf.DUMMYFUNCTION("""COMPUTED_VALUE"""),295886.0)</f>
        <v>295886</v>
      </c>
      <c r="K2521" s="3" t="str">
        <f>IFERROR(__xludf.DUMMYFUNCTION("""COMPUTED_VALUE"""),"นายจิระพงษ์ โพธิ์นิล")</f>
        <v>นายจิระพงษ์ โพธิ์นิล</v>
      </c>
      <c r="L2521" s="1" t="str">
        <f>IFERROR(__xludf.DUMMYFUNCTION("""COMPUTED_VALUE"""),"นายจิระพงษ์ โพธิ์นิล")</f>
        <v>นายจิระพงษ์ โพธิ์นิล</v>
      </c>
      <c r="M2521" s="1" t="str">
        <f>IFERROR(__xludf.DUMMYFUNCTION("""COMPUTED_VALUE"""),"0933290754")</f>
        <v>0933290754</v>
      </c>
      <c r="N2521" s="3">
        <f>IFERROR(__xludf.DUMMYFUNCTION("""COMPUTED_VALUE"""),83262.0)</f>
        <v>83262</v>
      </c>
      <c r="O2521" s="3" t="str">
        <f>IFERROR(__xludf.DUMMYFUNCTION("""COMPUTED_VALUE"""),"ร้านจันทเฆ่ (คุณบุญสงค์)")</f>
        <v>ร้านจันทเฆ่ (คุณบุญสงค์)</v>
      </c>
      <c r="P2521" s="4">
        <f>IFERROR(__xludf.DUMMYFUNCTION("""COMPUTED_VALUE"""),44584.0)</f>
        <v>44584</v>
      </c>
      <c r="Q2521" s="3" t="str">
        <f>IFERROR(__xludf.DUMMYFUNCTION("""COMPUTED_VALUE"""),"A")</f>
        <v>A</v>
      </c>
      <c r="R2521" s="3" t="str">
        <f>IFERROR(__xludf.DUMMYFUNCTION("""COMPUTED_VALUE"""),"Small Format")</f>
        <v>Small Format</v>
      </c>
      <c r="S2521" s="3" t="str">
        <f>IFERROR(__xludf.DUMMYFUNCTION("""COMPUTED_VALUE"""),"Donjai")</f>
        <v>Donjai</v>
      </c>
      <c r="T2521" s="3" t="str">
        <f>IFERROR(__xludf.DUMMYFUNCTION("""COMPUTED_VALUE"""),"04 K.Somboon P.")</f>
        <v>04 K.Somboon P.</v>
      </c>
      <c r="U2521" s="3" t="str">
        <f>IFERROR(__xludf.DUMMYFUNCTION("""COMPUTED_VALUE"""),"04 K.Somboon P.")</f>
        <v>04 K.Somboon P.</v>
      </c>
      <c r="V2521" s="3" t="str">
        <f>IFERROR(__xludf.DUMMYFUNCTION("""COMPUTED_VALUE"""),"N")</f>
        <v>N</v>
      </c>
      <c r="W2521" s="3"/>
      <c r="X2521" s="3" t="str">
        <f>IFERROR(__xludf.DUMMYFUNCTION("""COMPUTED_VALUE"""),"157 ต.เก่าย่าดี อ.แก้งคร้อ จ.ชัยภูมิ")</f>
        <v>157 ต.เก่าย่าดี อ.แก้งคร้อ จ.ชัยภูมิ</v>
      </c>
      <c r="Y2521" s="3"/>
      <c r="Z2521" s="3">
        <f>IFERROR(__xludf.DUMMYFUNCTION("""COMPUTED_VALUE"""),0.0)</f>
        <v>0</v>
      </c>
      <c r="AA2521" s="3">
        <f>IFERROR(__xludf.DUMMYFUNCTION("""COMPUTED_VALUE"""),0.0)</f>
        <v>0</v>
      </c>
      <c r="AB2521" s="3" t="str">
        <f>IFERROR(__xludf.DUMMYFUNCTION("""COMPUTED_VALUE"""),"ชัยภูมิ")</f>
        <v>ชัยภูมิ</v>
      </c>
      <c r="AC2521" s="3">
        <f>IFERROR(__xludf.DUMMYFUNCTION("""COMPUTED_VALUE"""),0.0)</f>
        <v>0</v>
      </c>
      <c r="AD2521" s="3"/>
      <c r="AE2521" s="3"/>
      <c r="AF2521" s="3" t="str">
        <f>IFERROR(__xludf.DUMMYFUNCTION("""COMPUTED_VALUE"""),"ร้านจันทเฆ่ (คุณบุญสงค์)-83262")</f>
        <v>ร้านจันทเฆ่ (คุณบุญสงค์)-83262</v>
      </c>
      <c r="AG2521" s="3" t="str">
        <f>IFERROR(__xludf.DUMMYFUNCTION("""COMPUTED_VALUE"""),"ตะวันออกเฉียงเหนือ")</f>
        <v>ตะวันออกเฉียงเหนือ</v>
      </c>
      <c r="AH2521" s="3" t="str">
        <f>IFERROR(__xludf.DUMMYFUNCTION("""COMPUTED_VALUE"""),"#N/A")</f>
        <v>#N/A</v>
      </c>
      <c r="AI2521" s="3" t="str">
        <f>IFERROR(__xludf.DUMMYFUNCTION("""COMPUTED_VALUE"""),"Out of warranty")</f>
        <v>Out of warranty</v>
      </c>
      <c r="AJ2521" s="3">
        <f>IFERROR(__xludf.DUMMYFUNCTION("""COMPUTED_VALUE"""),48.0)</f>
        <v>48</v>
      </c>
      <c r="AK2521" s="3"/>
      <c r="AL2521" s="3"/>
    </row>
    <row r="2522" ht="15.75" customHeight="1">
      <c r="A2522" s="1" t="str">
        <f>IFERROR(__xludf.DUMMYFUNCTION("""COMPUTED_VALUE"""),"83263")</f>
        <v>83263</v>
      </c>
      <c r="B2522" s="2">
        <f>IFERROR(__xludf.DUMMYFUNCTION("""COMPUTED_VALUE"""),83263.0)</f>
        <v>83263</v>
      </c>
      <c r="C2522" s="3" t="str">
        <f>IFERROR(__xludf.DUMMYFUNCTION("""COMPUTED_VALUE"""),"เฮียบิ๊ก")</f>
        <v>เฮียบิ๊ก</v>
      </c>
      <c r="D2522" s="3" t="str">
        <f>IFERROR(__xludf.DUMMYFUNCTION("""COMPUTED_VALUE"""),"เฮียบิ๊ก")</f>
        <v>เฮียบิ๊ก</v>
      </c>
      <c r="E2522" s="1" t="str">
        <f>IFERROR(__xludf.DUMMYFUNCTION("""COMPUTED_VALUE"""),"Donjai")</f>
        <v>Donjai</v>
      </c>
      <c r="F2522" s="1" t="str">
        <f>IFERROR(__xludf.DUMMYFUNCTION("""COMPUTED_VALUE"""),"00510143")</f>
        <v>00510143</v>
      </c>
      <c r="G2522" s="1" t="str">
        <f>IFERROR(__xludf.DUMMYFUNCTION("""COMPUTED_VALUE"""),"นายธีระวัฒน์ บุญสิทธิ์")</f>
        <v>นายธีระวัฒน์ บุญสิทธิ์</v>
      </c>
      <c r="H2522" s="1" t="str">
        <f>IFERROR(__xludf.DUMMYFUNCTION("""COMPUTED_VALUE"""),"00510143")</f>
        <v>00510143</v>
      </c>
      <c r="I2522" s="1" t="str">
        <f>IFERROR(__xludf.DUMMYFUNCTION("""COMPUTED_VALUE"""),"นายธีระวัฒน์ บุญสิทธิ์")</f>
        <v>นายธีระวัฒน์ บุญสิทธิ์</v>
      </c>
      <c r="J2522" s="3">
        <f>IFERROR(__xludf.DUMMYFUNCTION("""COMPUTED_VALUE"""),228031.0)</f>
        <v>228031</v>
      </c>
      <c r="K2522" s="3" t="str">
        <f>IFERROR(__xludf.DUMMYFUNCTION("""COMPUTED_VALUE"""),"นายธนพงษ์ วันหมัด")</f>
        <v>นายธนพงษ์ วันหมัด</v>
      </c>
      <c r="L2522" s="1" t="str">
        <f>IFERROR(__xludf.DUMMYFUNCTION("""COMPUTED_VALUE"""),"นายธนพงษ์ วันหมัด")</f>
        <v>นายธนพงษ์ วันหมัด</v>
      </c>
      <c r="M2522" s="1" t="str">
        <f>IFERROR(__xludf.DUMMYFUNCTION("""COMPUTED_VALUE"""),"0813716913")</f>
        <v>0813716913</v>
      </c>
      <c r="N2522" s="3">
        <f>IFERROR(__xludf.DUMMYFUNCTION("""COMPUTED_VALUE"""),83263.0)</f>
        <v>83263</v>
      </c>
      <c r="O2522" s="3" t="str">
        <f>IFERROR(__xludf.DUMMYFUNCTION("""COMPUTED_VALUE"""),"เฮียบิ๊ก")</f>
        <v>เฮียบิ๊ก</v>
      </c>
      <c r="P2522" s="4">
        <f>IFERROR(__xludf.DUMMYFUNCTION("""COMPUTED_VALUE"""),44589.0)</f>
        <v>44589</v>
      </c>
      <c r="Q2522" s="3" t="str">
        <f>IFERROR(__xludf.DUMMYFUNCTION("""COMPUTED_VALUE"""),"A")</f>
        <v>A</v>
      </c>
      <c r="R2522" s="3" t="str">
        <f>IFERROR(__xludf.DUMMYFUNCTION("""COMPUTED_VALUE"""),"Small Format")</f>
        <v>Small Format</v>
      </c>
      <c r="S2522" s="3" t="str">
        <f>IFERROR(__xludf.DUMMYFUNCTION("""COMPUTED_VALUE"""),"Donjai")</f>
        <v>Donjai</v>
      </c>
      <c r="T2522" s="3" t="str">
        <f>IFERROR(__xludf.DUMMYFUNCTION("""COMPUTED_VALUE"""),"12 K.Theerawat B.")</f>
        <v>12 K.Theerawat B.</v>
      </c>
      <c r="U2522" s="3" t="str">
        <f>IFERROR(__xludf.DUMMYFUNCTION("""COMPUTED_VALUE"""),"12 K.Theerawat B.")</f>
        <v>12 K.Theerawat B.</v>
      </c>
      <c r="V2522" s="3" t="str">
        <f>IFERROR(__xludf.DUMMYFUNCTION("""COMPUTED_VALUE"""),"N")</f>
        <v>N</v>
      </c>
      <c r="W2522" s="3"/>
      <c r="X2522" s="3" t="str">
        <f>IFERROR(__xludf.DUMMYFUNCTION("""COMPUTED_VALUE"""),"31/4 ม.5 บ้านปทุม ต.บ้านปทุม อ.สามโคก จ.ปทุมธานี")</f>
        <v>31/4 ม.5 บ้านปทุม ต.บ้านปทุม อ.สามโคก จ.ปทุมธานี</v>
      </c>
      <c r="Y2522" s="3"/>
      <c r="Z2522" s="3"/>
      <c r="AA2522" s="3"/>
      <c r="AB2522" s="3"/>
      <c r="AC2522" s="3"/>
      <c r="AD2522" s="3"/>
      <c r="AE2522" s="3"/>
      <c r="AF2522" s="3" t="str">
        <f>IFERROR(__xludf.DUMMYFUNCTION("""COMPUTED_VALUE"""),"เฮียบิ๊ก-83263")</f>
        <v>เฮียบิ๊ก-83263</v>
      </c>
      <c r="AG2522" s="3">
        <f>IFERROR(__xludf.DUMMYFUNCTION("""COMPUTED_VALUE"""),0.0)</f>
        <v>0</v>
      </c>
      <c r="AH2522" s="3" t="str">
        <f>IFERROR(__xludf.DUMMYFUNCTION("""COMPUTED_VALUE"""),"#N/A")</f>
        <v>#N/A</v>
      </c>
      <c r="AI2522" s="3" t="str">
        <f>IFERROR(__xludf.DUMMYFUNCTION("""COMPUTED_VALUE"""),"Out of warranty")</f>
        <v>Out of warranty</v>
      </c>
      <c r="AJ2522" s="3">
        <f>IFERROR(__xludf.DUMMYFUNCTION("""COMPUTED_VALUE"""),48.0)</f>
        <v>48</v>
      </c>
      <c r="AK2522" s="3"/>
      <c r="AL2522" s="3"/>
    </row>
    <row r="2523" ht="15.75" customHeight="1">
      <c r="A2523" s="1" t="str">
        <f>IFERROR(__xludf.DUMMYFUNCTION("""COMPUTED_VALUE"""),"83264")</f>
        <v>83264</v>
      </c>
      <c r="B2523" s="2">
        <f>IFERROR(__xludf.DUMMYFUNCTION("""COMPUTED_VALUE"""),83264.0)</f>
        <v>83264</v>
      </c>
      <c r="C2523" s="3" t="str">
        <f>IFERROR(__xludf.DUMMYFUNCTION("""COMPUTED_VALUE"""),"ร้านป้าสายคำ")</f>
        <v>ร้านป้าสายคำ</v>
      </c>
      <c r="D2523" s="3" t="str">
        <f>IFERROR(__xludf.DUMMYFUNCTION("""COMPUTED_VALUE"""),"ร้านป้าสายคำ")</f>
        <v>ร้านป้าสายคำ</v>
      </c>
      <c r="E2523" s="1" t="str">
        <f>IFERROR(__xludf.DUMMYFUNCTION("""COMPUTED_VALUE"""),"Donjai")</f>
        <v>Donjai</v>
      </c>
      <c r="F2523" s="1" t="str">
        <f>IFERROR(__xludf.DUMMYFUNCTION("""COMPUTED_VALUE"""),"2010016")</f>
        <v>2010016</v>
      </c>
      <c r="G2523" s="1" t="str">
        <f>IFERROR(__xludf.DUMMYFUNCTION("""COMPUTED_VALUE"""),"นายตวงธรรม ใหม่ยศ")</f>
        <v>นายตวงธรรม ใหม่ยศ</v>
      </c>
      <c r="H2523" s="1" t="str">
        <f>IFERROR(__xludf.DUMMYFUNCTION("""COMPUTED_VALUE"""),"2010016")</f>
        <v>2010016</v>
      </c>
      <c r="I2523" s="1" t="str">
        <f>IFERROR(__xludf.DUMMYFUNCTION("""COMPUTED_VALUE"""),"นายตวงธรรม ใหม่ยศ")</f>
        <v>นายตวงธรรม ใหม่ยศ</v>
      </c>
      <c r="J2523" s="3">
        <f>IFERROR(__xludf.DUMMYFUNCTION("""COMPUTED_VALUE"""),295886.0)</f>
        <v>295886</v>
      </c>
      <c r="K2523" s="3" t="str">
        <f>IFERROR(__xludf.DUMMYFUNCTION("""COMPUTED_VALUE"""),"นายจิระพงษ์ โพธิ์นิล")</f>
        <v>นายจิระพงษ์ โพธิ์นิล</v>
      </c>
      <c r="L2523" s="1" t="str">
        <f>IFERROR(__xludf.DUMMYFUNCTION("""COMPUTED_VALUE"""),"นายจิระพงษ์ โพธิ์นิล")</f>
        <v>นายจิระพงษ์ โพธิ์นิล</v>
      </c>
      <c r="M2523" s="1" t="str">
        <f>IFERROR(__xludf.DUMMYFUNCTION("""COMPUTED_VALUE"""),"0933290754")</f>
        <v>0933290754</v>
      </c>
      <c r="N2523" s="3">
        <f>IFERROR(__xludf.DUMMYFUNCTION("""COMPUTED_VALUE"""),83264.0)</f>
        <v>83264</v>
      </c>
      <c r="O2523" s="3" t="str">
        <f>IFERROR(__xludf.DUMMYFUNCTION("""COMPUTED_VALUE"""),"ร้านป้าสายคำ")</f>
        <v>ร้านป้าสายคำ</v>
      </c>
      <c r="P2523" s="4">
        <f>IFERROR(__xludf.DUMMYFUNCTION("""COMPUTED_VALUE"""),44592.0)</f>
        <v>44592</v>
      </c>
      <c r="Q2523" s="3" t="str">
        <f>IFERROR(__xludf.DUMMYFUNCTION("""COMPUTED_VALUE"""),"I")</f>
        <v>I</v>
      </c>
      <c r="R2523" s="3" t="str">
        <f>IFERROR(__xludf.DUMMYFUNCTION("""COMPUTED_VALUE"""),"Small Format")</f>
        <v>Small Format</v>
      </c>
      <c r="S2523" s="3" t="str">
        <f>IFERROR(__xludf.DUMMYFUNCTION("""COMPUTED_VALUE"""),"Donjai")</f>
        <v>Donjai</v>
      </c>
      <c r="T2523" s="3" t="str">
        <f>IFERROR(__xludf.DUMMYFUNCTION("""COMPUTED_VALUE"""),"01 K.Tuangtham M.")</f>
        <v>01 K.Tuangtham M.</v>
      </c>
      <c r="U2523" s="3" t="str">
        <f>IFERROR(__xludf.DUMMYFUNCTION("""COMPUTED_VALUE"""),"01 K.Tuangtham M.")</f>
        <v>01 K.Tuangtham M.</v>
      </c>
      <c r="V2523" s="3" t="str">
        <f>IFERROR(__xludf.DUMMYFUNCTION("""COMPUTED_VALUE"""),"N")</f>
        <v>N</v>
      </c>
      <c r="W2523" s="3"/>
      <c r="X2523" s="3" t="str">
        <f>IFERROR(__xludf.DUMMYFUNCTION("""COMPUTED_VALUE"""),"226 หมู่ 13 ถ. ราษฏรบำรุง ต. รอบเวียง อ.เมือง เชียงราย 50700")</f>
        <v>226 หมู่ 13 ถ. ราษฏรบำรุง ต. รอบเวียง อ.เมือง เชียงราย 50700</v>
      </c>
      <c r="Y2523" s="3"/>
      <c r="Z2523" s="3" t="str">
        <f>IFERROR(__xludf.DUMMYFUNCTION("""COMPUTED_VALUE"""),"รองเวียง")</f>
        <v>รองเวียง</v>
      </c>
      <c r="AA2523" s="3" t="str">
        <f>IFERROR(__xludf.DUMMYFUNCTION("""COMPUTED_VALUE"""),"เมืองเชียงราย")</f>
        <v>เมืองเชียงราย</v>
      </c>
      <c r="AB2523" s="3" t="str">
        <f>IFERROR(__xludf.DUMMYFUNCTION("""COMPUTED_VALUE"""),"เชียงราย")</f>
        <v>เชียงราย</v>
      </c>
      <c r="AC2523" s="3">
        <f>IFERROR(__xludf.DUMMYFUNCTION("""COMPUTED_VALUE"""),50700.0)</f>
        <v>50700</v>
      </c>
      <c r="AD2523" s="3"/>
      <c r="AE2523" s="3"/>
      <c r="AF2523" s="3" t="str">
        <f>IFERROR(__xludf.DUMMYFUNCTION("""COMPUTED_VALUE"""),"ร้านป้าสายคำ-83264")</f>
        <v>ร้านป้าสายคำ-83264</v>
      </c>
      <c r="AG2523" s="3" t="str">
        <f>IFERROR(__xludf.DUMMYFUNCTION("""COMPUTED_VALUE"""),"เหนือ")</f>
        <v>เหนือ</v>
      </c>
      <c r="AH2523" s="3" t="str">
        <f>IFERROR(__xludf.DUMMYFUNCTION("""COMPUTED_VALUE"""),"#N/A")</f>
        <v>#N/A</v>
      </c>
      <c r="AI2523" s="3" t="str">
        <f>IFERROR(__xludf.DUMMYFUNCTION("""COMPUTED_VALUE"""),"Out of warranty")</f>
        <v>Out of warranty</v>
      </c>
      <c r="AJ2523" s="3">
        <f>IFERROR(__xludf.DUMMYFUNCTION("""COMPUTED_VALUE"""),48.0)</f>
        <v>48</v>
      </c>
      <c r="AK2523" s="3"/>
      <c r="AL2523" s="3"/>
    </row>
    <row r="2524" ht="15.75" customHeight="1">
      <c r="A2524" s="1" t="str">
        <f>IFERROR(__xludf.DUMMYFUNCTION("""COMPUTED_VALUE"""),"83265")</f>
        <v>83265</v>
      </c>
      <c r="B2524" s="2">
        <f>IFERROR(__xludf.DUMMYFUNCTION("""COMPUTED_VALUE"""),83265.0)</f>
        <v>83265</v>
      </c>
      <c r="C2524" s="3" t="str">
        <f>IFERROR(__xludf.DUMMYFUNCTION("""COMPUTED_VALUE"""),"ร้านดีดี การค้า")</f>
        <v>ร้านดีดี การค้า</v>
      </c>
      <c r="D2524" s="3" t="str">
        <f>IFERROR(__xludf.DUMMYFUNCTION("""COMPUTED_VALUE"""),"ร้านดีดี การค้า")</f>
        <v>ร้านดีดี การค้า</v>
      </c>
      <c r="E2524" s="1" t="str">
        <f>IFERROR(__xludf.DUMMYFUNCTION("""COMPUTED_VALUE"""),"Donjai")</f>
        <v>Donjai</v>
      </c>
      <c r="F2524" s="1" t="str">
        <f>IFERROR(__xludf.DUMMYFUNCTION("""COMPUTED_VALUE"""),"2010016")</f>
        <v>2010016</v>
      </c>
      <c r="G2524" s="1" t="str">
        <f>IFERROR(__xludf.DUMMYFUNCTION("""COMPUTED_VALUE"""),"นายตวงธรรม ใหม่ยศ")</f>
        <v>นายตวงธรรม ใหม่ยศ</v>
      </c>
      <c r="H2524" s="1" t="str">
        <f>IFERROR(__xludf.DUMMYFUNCTION("""COMPUTED_VALUE"""),"2010016")</f>
        <v>2010016</v>
      </c>
      <c r="I2524" s="1" t="str">
        <f>IFERROR(__xludf.DUMMYFUNCTION("""COMPUTED_VALUE"""),"นายตวงธรรม ใหม่ยศ")</f>
        <v>นายตวงธรรม ใหม่ยศ</v>
      </c>
      <c r="J2524" s="3">
        <f>IFERROR(__xludf.DUMMYFUNCTION("""COMPUTED_VALUE"""),295886.0)</f>
        <v>295886</v>
      </c>
      <c r="K2524" s="3" t="str">
        <f>IFERROR(__xludf.DUMMYFUNCTION("""COMPUTED_VALUE"""),"นายจิระพงษ์ โพธิ์นิล")</f>
        <v>นายจิระพงษ์ โพธิ์นิล</v>
      </c>
      <c r="L2524" s="1" t="str">
        <f>IFERROR(__xludf.DUMMYFUNCTION("""COMPUTED_VALUE"""),"นายจิระพงษ์ โพธิ์นิล")</f>
        <v>นายจิระพงษ์ โพธิ์นิล</v>
      </c>
      <c r="M2524" s="1" t="str">
        <f>IFERROR(__xludf.DUMMYFUNCTION("""COMPUTED_VALUE"""),"0933290754")</f>
        <v>0933290754</v>
      </c>
      <c r="N2524" s="3">
        <f>IFERROR(__xludf.DUMMYFUNCTION("""COMPUTED_VALUE"""),83265.0)</f>
        <v>83265</v>
      </c>
      <c r="O2524" s="3" t="str">
        <f>IFERROR(__xludf.DUMMYFUNCTION("""COMPUTED_VALUE"""),"ร้านดีดี การค้า")</f>
        <v>ร้านดีดี การค้า</v>
      </c>
      <c r="P2524" s="4">
        <f>IFERROR(__xludf.DUMMYFUNCTION("""COMPUTED_VALUE"""),44557.0)</f>
        <v>44557</v>
      </c>
      <c r="Q2524" s="3" t="str">
        <f>IFERROR(__xludf.DUMMYFUNCTION("""COMPUTED_VALUE"""),"A")</f>
        <v>A</v>
      </c>
      <c r="R2524" s="3" t="str">
        <f>IFERROR(__xludf.DUMMYFUNCTION("""COMPUTED_VALUE"""),"Small Format")</f>
        <v>Small Format</v>
      </c>
      <c r="S2524" s="3" t="str">
        <f>IFERROR(__xludf.DUMMYFUNCTION("""COMPUTED_VALUE"""),"Donjai")</f>
        <v>Donjai</v>
      </c>
      <c r="T2524" s="3" t="str">
        <f>IFERROR(__xludf.DUMMYFUNCTION("""COMPUTED_VALUE"""),"01 K.Tuangtham M.")</f>
        <v>01 K.Tuangtham M.</v>
      </c>
      <c r="U2524" s="3" t="str">
        <f>IFERROR(__xludf.DUMMYFUNCTION("""COMPUTED_VALUE"""),"01 K.Tuangtham M.")</f>
        <v>01 K.Tuangtham M.</v>
      </c>
      <c r="V2524" s="3" t="str">
        <f>IFERROR(__xludf.DUMMYFUNCTION("""COMPUTED_VALUE"""),"N")</f>
        <v>N</v>
      </c>
      <c r="W2524" s="3"/>
      <c r="X2524" s="3" t="str">
        <f>IFERROR(__xludf.DUMMYFUNCTION("""COMPUTED_VALUE"""),"160 ม.6 ต.บ้านธิ อ.บ้านธิ จ.ลำพูน")</f>
        <v>160 ม.6 ต.บ้านธิ อ.บ้านธิ จ.ลำพูน</v>
      </c>
      <c r="Y2524" s="3"/>
      <c r="Z2524" s="3">
        <f>IFERROR(__xludf.DUMMYFUNCTION("""COMPUTED_VALUE"""),0.0)</f>
        <v>0</v>
      </c>
      <c r="AA2524" s="3">
        <f>IFERROR(__xludf.DUMMYFUNCTION("""COMPUTED_VALUE"""),0.0)</f>
        <v>0</v>
      </c>
      <c r="AB2524" s="3" t="str">
        <f>IFERROR(__xludf.DUMMYFUNCTION("""COMPUTED_VALUE"""),"ลำพูน")</f>
        <v>ลำพูน</v>
      </c>
      <c r="AC2524" s="3">
        <f>IFERROR(__xludf.DUMMYFUNCTION("""COMPUTED_VALUE"""),0.0)</f>
        <v>0</v>
      </c>
      <c r="AD2524" s="3"/>
      <c r="AE2524" s="3"/>
      <c r="AF2524" s="3" t="str">
        <f>IFERROR(__xludf.DUMMYFUNCTION("""COMPUTED_VALUE"""),"ร้านดีดี การค้า-83265")</f>
        <v>ร้านดีดี การค้า-83265</v>
      </c>
      <c r="AG2524" s="3" t="str">
        <f>IFERROR(__xludf.DUMMYFUNCTION("""COMPUTED_VALUE"""),"เหนือ")</f>
        <v>เหนือ</v>
      </c>
      <c r="AH2524" s="3" t="str">
        <f>IFERROR(__xludf.DUMMYFUNCTION("""COMPUTED_VALUE"""),"#N/A")</f>
        <v>#N/A</v>
      </c>
      <c r="AI2524" s="3" t="str">
        <f>IFERROR(__xludf.DUMMYFUNCTION("""COMPUTED_VALUE"""),"Out of warranty")</f>
        <v>Out of warranty</v>
      </c>
      <c r="AJ2524" s="3">
        <f>IFERROR(__xludf.DUMMYFUNCTION("""COMPUTED_VALUE"""),49.0)</f>
        <v>49</v>
      </c>
      <c r="AK2524" s="3"/>
      <c r="AL2524" s="3"/>
    </row>
    <row r="2525" ht="15.75" customHeight="1">
      <c r="A2525" s="1" t="str">
        <f>IFERROR(__xludf.DUMMYFUNCTION("""COMPUTED_VALUE"""),"83266")</f>
        <v>83266</v>
      </c>
      <c r="B2525" s="2">
        <f>IFERROR(__xludf.DUMMYFUNCTION("""COMPUTED_VALUE"""),83266.0)</f>
        <v>83266</v>
      </c>
      <c r="C2525" s="3" t="str">
        <f>IFERROR(__xludf.DUMMYFUNCTION("""COMPUTED_VALUE"""),"ร้านตาศิริ ( ร้านวิไลจิตร)")</f>
        <v>ร้านตาศิริ ( ร้านวิไลจิตร)</v>
      </c>
      <c r="D2525" s="3" t="str">
        <f>IFERROR(__xludf.DUMMYFUNCTION("""COMPUTED_VALUE"""),"ร้านตาศิริ ( ร้านวิไลจิตร)")</f>
        <v>ร้านตาศิริ ( ร้านวิไลจิตร)</v>
      </c>
      <c r="E2525" s="1" t="str">
        <f>IFERROR(__xludf.DUMMYFUNCTION("""COMPUTED_VALUE"""),"Donjai")</f>
        <v>Donjai</v>
      </c>
      <c r="F2525" s="1" t="str">
        <f>IFERROR(__xludf.DUMMYFUNCTION("""COMPUTED_VALUE"""),"296868")</f>
        <v>296868</v>
      </c>
      <c r="G2525" s="1" t="str">
        <f>IFERROR(__xludf.DUMMYFUNCTION("""COMPUTED_VALUE"""),"นายพีระพงษ์ แก้วดวงดี")</f>
        <v>นายพีระพงษ์ แก้วดวงดี</v>
      </c>
      <c r="H2525" s="1" t="str">
        <f>IFERROR(__xludf.DUMMYFUNCTION("""COMPUTED_VALUE"""),"296868")</f>
        <v>296868</v>
      </c>
      <c r="I2525" s="1" t="str">
        <f>IFERROR(__xludf.DUMMYFUNCTION("""COMPUTED_VALUE"""),"นายพีระพงษ์ แก้วดวงดี")</f>
        <v>นายพีระพงษ์ แก้วดวงดี</v>
      </c>
      <c r="J2525" s="3">
        <f>IFERROR(__xludf.DUMMYFUNCTION("""COMPUTED_VALUE"""),295886.0)</f>
        <v>295886</v>
      </c>
      <c r="K2525" s="3" t="str">
        <f>IFERROR(__xludf.DUMMYFUNCTION("""COMPUTED_VALUE"""),"นายจิระพงษ์ โพธิ์นิล")</f>
        <v>นายจิระพงษ์ โพธิ์นิล</v>
      </c>
      <c r="L2525" s="1" t="str">
        <f>IFERROR(__xludf.DUMMYFUNCTION("""COMPUTED_VALUE"""),"นายจิระพงษ์ โพธิ์นิล")</f>
        <v>นายจิระพงษ์ โพธิ์นิล</v>
      </c>
      <c r="M2525" s="1" t="str">
        <f>IFERROR(__xludf.DUMMYFUNCTION("""COMPUTED_VALUE"""),"0933290754")</f>
        <v>0933290754</v>
      </c>
      <c r="N2525" s="3">
        <f>IFERROR(__xludf.DUMMYFUNCTION("""COMPUTED_VALUE"""),83266.0)</f>
        <v>83266</v>
      </c>
      <c r="O2525" s="3" t="str">
        <f>IFERROR(__xludf.DUMMYFUNCTION("""COMPUTED_VALUE"""),"ร้านตาศิริ ( ร้านวิไลจิตร)")</f>
        <v>ร้านตาศิริ ( ร้านวิไลจิตร)</v>
      </c>
      <c r="P2525" s="4">
        <f>IFERROR(__xludf.DUMMYFUNCTION("""COMPUTED_VALUE"""),44592.0)</f>
        <v>44592</v>
      </c>
      <c r="Q2525" s="3" t="str">
        <f>IFERROR(__xludf.DUMMYFUNCTION("""COMPUTED_VALUE"""),"I")</f>
        <v>I</v>
      </c>
      <c r="R2525" s="3" t="str">
        <f>IFERROR(__xludf.DUMMYFUNCTION("""COMPUTED_VALUE"""),"Small Format")</f>
        <v>Small Format</v>
      </c>
      <c r="S2525" s="3" t="str">
        <f>IFERROR(__xludf.DUMMYFUNCTION("""COMPUTED_VALUE"""),"Donjai")</f>
        <v>Donjai</v>
      </c>
      <c r="T2525" s="3" t="str">
        <f>IFERROR(__xludf.DUMMYFUNCTION("""COMPUTED_VALUE"""),"03 K.Peerapong K.")</f>
        <v>03 K.Peerapong K.</v>
      </c>
      <c r="U2525" s="3" t="str">
        <f>IFERROR(__xludf.DUMMYFUNCTION("""COMPUTED_VALUE"""),"03 K.Peerapong K.")</f>
        <v>03 K.Peerapong K.</v>
      </c>
      <c r="V2525" s="3" t="str">
        <f>IFERROR(__xludf.DUMMYFUNCTION("""COMPUTED_VALUE"""),"N")</f>
        <v>N</v>
      </c>
      <c r="W2525" s="3"/>
      <c r="X2525" s="3" t="str">
        <f>IFERROR(__xludf.DUMMYFUNCTION("""COMPUTED_VALUE"""),"เลขที่ 159 ม.12 ต.ปะโค อ.กุมภวาปี จ.อุดรธานี 41370")</f>
        <v>เลขที่ 159 ม.12 ต.ปะโค อ.กุมภวาปี จ.อุดรธานี 41370</v>
      </c>
      <c r="Y2525" s="3"/>
      <c r="Z2525" s="3">
        <f>IFERROR(__xludf.DUMMYFUNCTION("""COMPUTED_VALUE"""),0.0)</f>
        <v>0</v>
      </c>
      <c r="AA2525" s="3">
        <f>IFERROR(__xludf.DUMMYFUNCTION("""COMPUTED_VALUE"""),0.0)</f>
        <v>0</v>
      </c>
      <c r="AB2525" s="3" t="str">
        <f>IFERROR(__xludf.DUMMYFUNCTION("""COMPUTED_VALUE"""),"อุดรธานี")</f>
        <v>อุดรธานี</v>
      </c>
      <c r="AC2525" s="3">
        <f>IFERROR(__xludf.DUMMYFUNCTION("""COMPUTED_VALUE"""),41370.0)</f>
        <v>41370</v>
      </c>
      <c r="AD2525" s="3"/>
      <c r="AE2525" s="3"/>
      <c r="AF2525" s="3" t="str">
        <f>IFERROR(__xludf.DUMMYFUNCTION("""COMPUTED_VALUE"""),"ร้านตาศิริ ( ร้านวิไลจิตร)-83266")</f>
        <v>ร้านตาศิริ ( ร้านวิไลจิตร)-83266</v>
      </c>
      <c r="AG2525" s="3" t="str">
        <f>IFERROR(__xludf.DUMMYFUNCTION("""COMPUTED_VALUE"""),"ตะวันออกเฉียงเหนือ")</f>
        <v>ตะวันออกเฉียงเหนือ</v>
      </c>
      <c r="AH2525" s="3" t="str">
        <f>IFERROR(__xludf.DUMMYFUNCTION("""COMPUTED_VALUE"""),"#N/A")</f>
        <v>#N/A</v>
      </c>
      <c r="AI2525" s="3" t="str">
        <f>IFERROR(__xludf.DUMMYFUNCTION("""COMPUTED_VALUE"""),"Out of warranty")</f>
        <v>Out of warranty</v>
      </c>
      <c r="AJ2525" s="3">
        <f>IFERROR(__xludf.DUMMYFUNCTION("""COMPUTED_VALUE"""),48.0)</f>
        <v>48</v>
      </c>
      <c r="AK2525" s="3"/>
      <c r="AL2525" s="3"/>
    </row>
    <row r="2526" ht="15.75" customHeight="1">
      <c r="A2526" s="1" t="str">
        <f>IFERROR(__xludf.DUMMYFUNCTION("""COMPUTED_VALUE"""),"83267")</f>
        <v>83267</v>
      </c>
      <c r="B2526" s="2">
        <f>IFERROR(__xludf.DUMMYFUNCTION("""COMPUTED_VALUE"""),83267.0)</f>
        <v>83267</v>
      </c>
      <c r="C2526" s="3" t="str">
        <f>IFERROR(__xludf.DUMMYFUNCTION("""COMPUTED_VALUE"""),"ร้านป้าโอ่ง")</f>
        <v>ร้านป้าโอ่ง</v>
      </c>
      <c r="D2526" s="3" t="str">
        <f>IFERROR(__xludf.DUMMYFUNCTION("""COMPUTED_VALUE"""),"ร้านป้าโอ่ง")</f>
        <v>ร้านป้าโอ่ง</v>
      </c>
      <c r="E2526" s="1" t="str">
        <f>IFERROR(__xludf.DUMMYFUNCTION("""COMPUTED_VALUE"""),"Donjai")</f>
        <v>Donjai</v>
      </c>
      <c r="F2526" s="1" t="str">
        <f>IFERROR(__xludf.DUMMYFUNCTION("""COMPUTED_VALUE"""),"00510143")</f>
        <v>00510143</v>
      </c>
      <c r="G2526" s="1" t="str">
        <f>IFERROR(__xludf.DUMMYFUNCTION("""COMPUTED_VALUE"""),"นายธีระวัฒน์ บุญสิทธิ์")</f>
        <v>นายธีระวัฒน์ บุญสิทธิ์</v>
      </c>
      <c r="H2526" s="1" t="str">
        <f>IFERROR(__xludf.DUMMYFUNCTION("""COMPUTED_VALUE"""),"00510143")</f>
        <v>00510143</v>
      </c>
      <c r="I2526" s="1" t="str">
        <f>IFERROR(__xludf.DUMMYFUNCTION("""COMPUTED_VALUE"""),"นายธีระวัฒน์ บุญสิทธิ์")</f>
        <v>นายธีระวัฒน์ บุญสิทธิ์</v>
      </c>
      <c r="J2526" s="3">
        <f>IFERROR(__xludf.DUMMYFUNCTION("""COMPUTED_VALUE"""),228031.0)</f>
        <v>228031</v>
      </c>
      <c r="K2526" s="3" t="str">
        <f>IFERROR(__xludf.DUMMYFUNCTION("""COMPUTED_VALUE"""),"นายธนพงษ์ วันหมัด")</f>
        <v>นายธนพงษ์ วันหมัด</v>
      </c>
      <c r="L2526" s="1" t="str">
        <f>IFERROR(__xludf.DUMMYFUNCTION("""COMPUTED_VALUE"""),"นายธนพงษ์ วันหมัด")</f>
        <v>นายธนพงษ์ วันหมัด</v>
      </c>
      <c r="M2526" s="1" t="str">
        <f>IFERROR(__xludf.DUMMYFUNCTION("""COMPUTED_VALUE"""),"0813716913")</f>
        <v>0813716913</v>
      </c>
      <c r="N2526" s="3">
        <f>IFERROR(__xludf.DUMMYFUNCTION("""COMPUTED_VALUE"""),83267.0)</f>
        <v>83267</v>
      </c>
      <c r="O2526" s="3" t="str">
        <f>IFERROR(__xludf.DUMMYFUNCTION("""COMPUTED_VALUE"""),"ร้านป้าโอ่ง")</f>
        <v>ร้านป้าโอ่ง</v>
      </c>
      <c r="P2526" s="4">
        <f>IFERROR(__xludf.DUMMYFUNCTION("""COMPUTED_VALUE"""),44561.0)</f>
        <v>44561</v>
      </c>
      <c r="Q2526" s="3" t="str">
        <f>IFERROR(__xludf.DUMMYFUNCTION("""COMPUTED_VALUE"""),"A")</f>
        <v>A</v>
      </c>
      <c r="R2526" s="3" t="str">
        <f>IFERROR(__xludf.DUMMYFUNCTION("""COMPUTED_VALUE"""),"Small Format")</f>
        <v>Small Format</v>
      </c>
      <c r="S2526" s="3" t="str">
        <f>IFERROR(__xludf.DUMMYFUNCTION("""COMPUTED_VALUE"""),"Donjai")</f>
        <v>Donjai</v>
      </c>
      <c r="T2526" s="3" t="str">
        <f>IFERROR(__xludf.DUMMYFUNCTION("""COMPUTED_VALUE"""),"12 K.Theerawat B.")</f>
        <v>12 K.Theerawat B.</v>
      </c>
      <c r="U2526" s="3" t="str">
        <f>IFERROR(__xludf.DUMMYFUNCTION("""COMPUTED_VALUE"""),"12 K.Theerawat B.")</f>
        <v>12 K.Theerawat B.</v>
      </c>
      <c r="V2526" s="3" t="str">
        <f>IFERROR(__xludf.DUMMYFUNCTION("""COMPUTED_VALUE"""),"N")</f>
        <v>N</v>
      </c>
      <c r="W2526" s="3"/>
      <c r="X2526" s="3" t="str">
        <f>IFERROR(__xludf.DUMMYFUNCTION("""COMPUTED_VALUE"""),"141 หมู่ อาคารชุดมิตรภาพ ตำบลหนองโพรง อำเภอศรีหมาโพธิ จังหวัดปราจีนบุรี 25140")</f>
        <v>141 หมู่ อาคารชุดมิตรภาพ ตำบลหนองโพรง อำเภอศรีหมาโพธิ จังหวัดปราจีนบุรี 25140</v>
      </c>
      <c r="Y2526" s="3"/>
      <c r="Z2526" s="3">
        <f>IFERROR(__xludf.DUMMYFUNCTION("""COMPUTED_VALUE"""),0.0)</f>
        <v>0</v>
      </c>
      <c r="AA2526" s="3">
        <f>IFERROR(__xludf.DUMMYFUNCTION("""COMPUTED_VALUE"""),0.0)</f>
        <v>0</v>
      </c>
      <c r="AB2526" s="3" t="str">
        <f>IFERROR(__xludf.DUMMYFUNCTION("""COMPUTED_VALUE"""),"ปราจีนบุรี")</f>
        <v>ปราจีนบุรี</v>
      </c>
      <c r="AC2526" s="3">
        <f>IFERROR(__xludf.DUMMYFUNCTION("""COMPUTED_VALUE"""),25140.0)</f>
        <v>25140</v>
      </c>
      <c r="AD2526" s="3"/>
      <c r="AE2526" s="3"/>
      <c r="AF2526" s="3" t="str">
        <f>IFERROR(__xludf.DUMMYFUNCTION("""COMPUTED_VALUE"""),"ร้านป้าโอ่ง-83267")</f>
        <v>ร้านป้าโอ่ง-83267</v>
      </c>
      <c r="AG2526" s="3" t="str">
        <f>IFERROR(__xludf.DUMMYFUNCTION("""COMPUTED_VALUE"""),"ตะวันออก")</f>
        <v>ตะวันออก</v>
      </c>
      <c r="AH2526" s="3" t="str">
        <f>IFERROR(__xludf.DUMMYFUNCTION("""COMPUTED_VALUE"""),"#N/A")</f>
        <v>#N/A</v>
      </c>
      <c r="AI2526" s="3" t="str">
        <f>IFERROR(__xludf.DUMMYFUNCTION("""COMPUTED_VALUE"""),"Out of warranty")</f>
        <v>Out of warranty</v>
      </c>
      <c r="AJ2526" s="3">
        <f>IFERROR(__xludf.DUMMYFUNCTION("""COMPUTED_VALUE"""),49.0)</f>
        <v>49</v>
      </c>
      <c r="AK2526" s="3"/>
      <c r="AL2526" s="3"/>
    </row>
    <row r="2527" ht="15.75" customHeight="1">
      <c r="A2527" s="1" t="str">
        <f>IFERROR(__xludf.DUMMYFUNCTION("""COMPUTED_VALUE"""),"83268")</f>
        <v>83268</v>
      </c>
      <c r="B2527" s="2">
        <f>IFERROR(__xludf.DUMMYFUNCTION("""COMPUTED_VALUE"""),83268.0)</f>
        <v>83268</v>
      </c>
      <c r="C2527" s="3" t="str">
        <f>IFERROR(__xludf.DUMMYFUNCTION("""COMPUTED_VALUE"""),"ร้านคุณสนอง พานิช (ตรัง)")</f>
        <v>ร้านคุณสนอง พานิช (ตรัง)</v>
      </c>
      <c r="D2527" s="3" t="str">
        <f>IFERROR(__xludf.DUMMYFUNCTION("""COMPUTED_VALUE"""),"ร้านคุณสนอง พานิช (ตรัง)")</f>
        <v>ร้านคุณสนอง พานิช (ตรัง)</v>
      </c>
      <c r="E2527" s="1" t="str">
        <f>IFERROR(__xludf.DUMMYFUNCTION("""COMPUTED_VALUE"""),"Donjai")</f>
        <v>Donjai</v>
      </c>
      <c r="F2527" s="1" t="str">
        <f>IFERROR(__xludf.DUMMYFUNCTION("""COMPUTED_VALUE"""),"20470331")</f>
        <v>20470331</v>
      </c>
      <c r="G2527" s="1" t="str">
        <f>IFERROR(__xludf.DUMMYFUNCTION("""COMPUTED_VALUE"""),"นายสมชาย ลักษณะสุวรรณ")</f>
        <v>นายสมชาย ลักษณะสุวรรณ</v>
      </c>
      <c r="H2527" s="1" t="str">
        <f>IFERROR(__xludf.DUMMYFUNCTION("""COMPUTED_VALUE"""),"20470331")</f>
        <v>20470331</v>
      </c>
      <c r="I2527" s="1" t="str">
        <f>IFERROR(__xludf.DUMMYFUNCTION("""COMPUTED_VALUE"""),"นายสมชาย ลักษณะสุวรรณ")</f>
        <v>นายสมชาย ลักษณะสุวรรณ</v>
      </c>
      <c r="J2527" s="3">
        <f>IFERROR(__xludf.DUMMYFUNCTION("""COMPUTED_VALUE"""),295541.0)</f>
        <v>295541</v>
      </c>
      <c r="K2527" s="3" t="str">
        <f>IFERROR(__xludf.DUMMYFUNCTION("""COMPUTED_VALUE"""),"นายรพิพล ศรีมาตย์")</f>
        <v>นายรพิพล ศรีมาตย์</v>
      </c>
      <c r="L2527" s="1" t="str">
        <f>IFERROR(__xludf.DUMMYFUNCTION("""COMPUTED_VALUE"""),"นายรพิพล ศรีมาตย์")</f>
        <v>นายรพิพล ศรีมาตย์</v>
      </c>
      <c r="M2527" s="1" t="str">
        <f>IFERROR(__xludf.DUMMYFUNCTION("""COMPUTED_VALUE"""),"0613966115")</f>
        <v>0613966115</v>
      </c>
      <c r="N2527" s="3">
        <f>IFERROR(__xludf.DUMMYFUNCTION("""COMPUTED_VALUE"""),83268.0)</f>
        <v>83268</v>
      </c>
      <c r="O2527" s="3" t="str">
        <f>IFERROR(__xludf.DUMMYFUNCTION("""COMPUTED_VALUE"""),"ร้านคุณสนอง พานิช (ตรัง)")</f>
        <v>ร้านคุณสนอง พานิช (ตรัง)</v>
      </c>
      <c r="P2527" s="4">
        <f>IFERROR(__xludf.DUMMYFUNCTION("""COMPUTED_VALUE"""),44581.0)</f>
        <v>44581</v>
      </c>
      <c r="Q2527" s="3" t="str">
        <f>IFERROR(__xludf.DUMMYFUNCTION("""COMPUTED_VALUE"""),"A")</f>
        <v>A</v>
      </c>
      <c r="R2527" s="3" t="str">
        <f>IFERROR(__xludf.DUMMYFUNCTION("""COMPUTED_VALUE"""),"Small Format")</f>
        <v>Small Format</v>
      </c>
      <c r="S2527" s="3" t="str">
        <f>IFERROR(__xludf.DUMMYFUNCTION("""COMPUTED_VALUE"""),"Donjai")</f>
        <v>Donjai</v>
      </c>
      <c r="T2527" s="3" t="str">
        <f>IFERROR(__xludf.DUMMYFUNCTION("""COMPUTED_VALUE"""),"15 K.Somchai L")</f>
        <v>15 K.Somchai L</v>
      </c>
      <c r="U2527" s="3" t="str">
        <f>IFERROR(__xludf.DUMMYFUNCTION("""COMPUTED_VALUE"""),"15 K.Somchai L")</f>
        <v>15 K.Somchai L</v>
      </c>
      <c r="V2527" s="3" t="str">
        <f>IFERROR(__xludf.DUMMYFUNCTION("""COMPUTED_VALUE"""),"N")</f>
        <v>N</v>
      </c>
      <c r="W2527" s="3"/>
      <c r="X2527" s="3" t="str">
        <f>IFERROR(__xludf.DUMMYFUNCTION("""COMPUTED_VALUE"""),"144/1 หมู่ 1 ต.สุโสะ อ.ปะเหลียน จ.ตรัง 92120")</f>
        <v>144/1 หมู่ 1 ต.สุโสะ อ.ปะเหลียน จ.ตรัง 92120</v>
      </c>
      <c r="Y2527" s="3"/>
      <c r="Z2527" s="3">
        <f>IFERROR(__xludf.DUMMYFUNCTION("""COMPUTED_VALUE"""),0.0)</f>
        <v>0</v>
      </c>
      <c r="AA2527" s="3">
        <f>IFERROR(__xludf.DUMMYFUNCTION("""COMPUTED_VALUE"""),0.0)</f>
        <v>0</v>
      </c>
      <c r="AB2527" s="3" t="str">
        <f>IFERROR(__xludf.DUMMYFUNCTION("""COMPUTED_VALUE"""),"ตรัง")</f>
        <v>ตรัง</v>
      </c>
      <c r="AC2527" s="3">
        <f>IFERROR(__xludf.DUMMYFUNCTION("""COMPUTED_VALUE"""),92120.0)</f>
        <v>92120</v>
      </c>
      <c r="AD2527" s="3"/>
      <c r="AE2527" s="3"/>
      <c r="AF2527" s="3" t="str">
        <f>IFERROR(__xludf.DUMMYFUNCTION("""COMPUTED_VALUE"""),"ร้านคุณสนอง พานิช (ตรัง)-83268")</f>
        <v>ร้านคุณสนอง พานิช (ตรัง)-83268</v>
      </c>
      <c r="AG2527" s="3" t="str">
        <f>IFERROR(__xludf.DUMMYFUNCTION("""COMPUTED_VALUE"""),"ใต้")</f>
        <v>ใต้</v>
      </c>
      <c r="AH2527" s="3" t="str">
        <f>IFERROR(__xludf.DUMMYFUNCTION("""COMPUTED_VALUE"""),"#N/A")</f>
        <v>#N/A</v>
      </c>
      <c r="AI2527" s="3" t="str">
        <f>IFERROR(__xludf.DUMMYFUNCTION("""COMPUTED_VALUE"""),"Out of warranty")</f>
        <v>Out of warranty</v>
      </c>
      <c r="AJ2527" s="3">
        <f>IFERROR(__xludf.DUMMYFUNCTION("""COMPUTED_VALUE"""),49.0)</f>
        <v>49</v>
      </c>
      <c r="AK2527" s="3"/>
      <c r="AL2527" s="3"/>
    </row>
    <row r="2528" ht="15.75" customHeight="1">
      <c r="A2528" s="1" t="str">
        <f>IFERROR(__xludf.DUMMYFUNCTION("""COMPUTED_VALUE"""),"83269")</f>
        <v>83269</v>
      </c>
      <c r="B2528" s="2">
        <f>IFERROR(__xludf.DUMMYFUNCTION("""COMPUTED_VALUE"""),83269.0)</f>
        <v>83269</v>
      </c>
      <c r="C2528" s="3" t="str">
        <f>IFERROR(__xludf.DUMMYFUNCTION("""COMPUTED_VALUE"""),"ร้าน แฮปปี้ มาร์ท (เปลี่ยนจาก คุณธนัต)")</f>
        <v>ร้าน แฮปปี้ มาร์ท (เปลี่ยนจาก คุณธนัต)</v>
      </c>
      <c r="D2528" s="3" t="str">
        <f>IFERROR(__xludf.DUMMYFUNCTION("""COMPUTED_VALUE"""),"ร้าน แฮปปี้ มาร์ท (เปลี่ยนจาก คุณธนัต)")</f>
        <v>ร้าน แฮปปี้ มาร์ท (เปลี่ยนจาก คุณธนัต)</v>
      </c>
      <c r="E2528" s="1" t="str">
        <f>IFERROR(__xludf.DUMMYFUNCTION("""COMPUTED_VALUE"""),"Donjai")</f>
        <v>Donjai</v>
      </c>
      <c r="F2528" s="1" t="str">
        <f>IFERROR(__xludf.DUMMYFUNCTION("""COMPUTED_VALUE"""),"20470331")</f>
        <v>20470331</v>
      </c>
      <c r="G2528" s="1" t="str">
        <f>IFERROR(__xludf.DUMMYFUNCTION("""COMPUTED_VALUE"""),"นายสมชาย ลักษณะสุวรรณ")</f>
        <v>นายสมชาย ลักษณะสุวรรณ</v>
      </c>
      <c r="H2528" s="1" t="str">
        <f>IFERROR(__xludf.DUMMYFUNCTION("""COMPUTED_VALUE"""),"20470331")</f>
        <v>20470331</v>
      </c>
      <c r="I2528" s="1" t="str">
        <f>IFERROR(__xludf.DUMMYFUNCTION("""COMPUTED_VALUE"""),"นายสมชาย ลักษณะสุวรรณ")</f>
        <v>นายสมชาย ลักษณะสุวรรณ</v>
      </c>
      <c r="J2528" s="3">
        <f>IFERROR(__xludf.DUMMYFUNCTION("""COMPUTED_VALUE"""),295541.0)</f>
        <v>295541</v>
      </c>
      <c r="K2528" s="3" t="str">
        <f>IFERROR(__xludf.DUMMYFUNCTION("""COMPUTED_VALUE"""),"นายรพิพล ศรีมาตย์")</f>
        <v>นายรพิพล ศรีมาตย์</v>
      </c>
      <c r="L2528" s="1" t="str">
        <f>IFERROR(__xludf.DUMMYFUNCTION("""COMPUTED_VALUE"""),"นายรพิพล ศรีมาตย์")</f>
        <v>นายรพิพล ศรีมาตย์</v>
      </c>
      <c r="M2528" s="1" t="str">
        <f>IFERROR(__xludf.DUMMYFUNCTION("""COMPUTED_VALUE"""),"0613966115")</f>
        <v>0613966115</v>
      </c>
      <c r="N2528" s="3">
        <f>IFERROR(__xludf.DUMMYFUNCTION("""COMPUTED_VALUE"""),83269.0)</f>
        <v>83269</v>
      </c>
      <c r="O2528" s="3" t="str">
        <f>IFERROR(__xludf.DUMMYFUNCTION("""COMPUTED_VALUE"""),"ร้าน แฮปปี้ มาร์ท (เปลี่ยนจาก คุณธนัต)")</f>
        <v>ร้าน แฮปปี้ มาร์ท (เปลี่ยนจาก คุณธนัต)</v>
      </c>
      <c r="P2528" s="4">
        <f>IFERROR(__xludf.DUMMYFUNCTION("""COMPUTED_VALUE"""),44574.0)</f>
        <v>44574</v>
      </c>
      <c r="Q2528" s="3" t="str">
        <f>IFERROR(__xludf.DUMMYFUNCTION("""COMPUTED_VALUE"""),"A")</f>
        <v>A</v>
      </c>
      <c r="R2528" s="3" t="str">
        <f>IFERROR(__xludf.DUMMYFUNCTION("""COMPUTED_VALUE"""),"Small Format")</f>
        <v>Small Format</v>
      </c>
      <c r="S2528" s="3" t="str">
        <f>IFERROR(__xludf.DUMMYFUNCTION("""COMPUTED_VALUE"""),"Donjai")</f>
        <v>Donjai</v>
      </c>
      <c r="T2528" s="3" t="str">
        <f>IFERROR(__xludf.DUMMYFUNCTION("""COMPUTED_VALUE"""),"15 K.Somchai L")</f>
        <v>15 K.Somchai L</v>
      </c>
      <c r="U2528" s="3" t="str">
        <f>IFERROR(__xludf.DUMMYFUNCTION("""COMPUTED_VALUE"""),"15 K.Somchai L")</f>
        <v>15 K.Somchai L</v>
      </c>
      <c r="V2528" s="3" t="str">
        <f>IFERROR(__xludf.DUMMYFUNCTION("""COMPUTED_VALUE"""),"N")</f>
        <v>N</v>
      </c>
      <c r="W2528" s="3"/>
      <c r="X2528" s="3" t="str">
        <f>IFERROR(__xludf.DUMMYFUNCTION("""COMPUTED_VALUE"""),"คลองแห อ.หาดใหญ่ สงขลา")</f>
        <v>คลองแห อ.หาดใหญ่ สงขลา</v>
      </c>
      <c r="Y2528" s="3"/>
      <c r="Z2528" s="3">
        <f>IFERROR(__xludf.DUMMYFUNCTION("""COMPUTED_VALUE"""),0.0)</f>
        <v>0</v>
      </c>
      <c r="AA2528" s="3">
        <f>IFERROR(__xludf.DUMMYFUNCTION("""COMPUTED_VALUE"""),0.0)</f>
        <v>0</v>
      </c>
      <c r="AB2528" s="3" t="str">
        <f>IFERROR(__xludf.DUMMYFUNCTION("""COMPUTED_VALUE"""),"สงขลา")</f>
        <v>สงขลา</v>
      </c>
      <c r="AC2528" s="3">
        <f>IFERROR(__xludf.DUMMYFUNCTION("""COMPUTED_VALUE"""),0.0)</f>
        <v>0</v>
      </c>
      <c r="AD2528" s="3"/>
      <c r="AE2528" s="3"/>
      <c r="AF2528" s="3" t="str">
        <f>IFERROR(__xludf.DUMMYFUNCTION("""COMPUTED_VALUE"""),"ร้าน แฮปปี้ มาร์ท (เปลี่ยนจาก คุณธนัต)-83269")</f>
        <v>ร้าน แฮปปี้ มาร์ท (เปลี่ยนจาก คุณธนัต)-83269</v>
      </c>
      <c r="AG2528" s="3" t="str">
        <f>IFERROR(__xludf.DUMMYFUNCTION("""COMPUTED_VALUE"""),"ใต้")</f>
        <v>ใต้</v>
      </c>
      <c r="AH2528" s="3" t="str">
        <f>IFERROR(__xludf.DUMMYFUNCTION("""COMPUTED_VALUE"""),"#N/A")</f>
        <v>#N/A</v>
      </c>
      <c r="AI2528" s="3" t="str">
        <f>IFERROR(__xludf.DUMMYFUNCTION("""COMPUTED_VALUE"""),"Out of warranty")</f>
        <v>Out of warranty</v>
      </c>
      <c r="AJ2528" s="3">
        <f>IFERROR(__xludf.DUMMYFUNCTION("""COMPUTED_VALUE"""),49.0)</f>
        <v>49</v>
      </c>
      <c r="AK2528" s="3"/>
      <c r="AL2528" s="3"/>
    </row>
    <row r="2529" ht="15.75" customHeight="1">
      <c r="A2529" s="1" t="str">
        <f>IFERROR(__xludf.DUMMYFUNCTION("""COMPUTED_VALUE"""),"83270")</f>
        <v>83270</v>
      </c>
      <c r="B2529" s="2">
        <f>IFERROR(__xludf.DUMMYFUNCTION("""COMPUTED_VALUE"""),83270.0)</f>
        <v>83270</v>
      </c>
      <c r="C2529" s="3" t="str">
        <f>IFERROR(__xludf.DUMMYFUNCTION("""COMPUTED_VALUE"""),"ร้านอาเดะ-อาแบ")</f>
        <v>ร้านอาเดะ-อาแบ</v>
      </c>
      <c r="D2529" s="3" t="str">
        <f>IFERROR(__xludf.DUMMYFUNCTION("""COMPUTED_VALUE"""),"ร้านอาเดะ-อาแบ")</f>
        <v>ร้านอาเดะ-อาแบ</v>
      </c>
      <c r="E2529" s="1" t="str">
        <f>IFERROR(__xludf.DUMMYFUNCTION("""COMPUTED_VALUE"""),"Donjai")</f>
        <v>Donjai</v>
      </c>
      <c r="F2529" s="1" t="str">
        <f>IFERROR(__xludf.DUMMYFUNCTION("""COMPUTED_VALUE"""),"20470331")</f>
        <v>20470331</v>
      </c>
      <c r="G2529" s="1" t="str">
        <f>IFERROR(__xludf.DUMMYFUNCTION("""COMPUTED_VALUE"""),"นายสมชาย ลักษณะสุวรรณ")</f>
        <v>นายสมชาย ลักษณะสุวรรณ</v>
      </c>
      <c r="H2529" s="1" t="str">
        <f>IFERROR(__xludf.DUMMYFUNCTION("""COMPUTED_VALUE"""),"20470331")</f>
        <v>20470331</v>
      </c>
      <c r="I2529" s="1" t="str">
        <f>IFERROR(__xludf.DUMMYFUNCTION("""COMPUTED_VALUE"""),"นายสมชาย ลักษณะสุวรรณ")</f>
        <v>นายสมชาย ลักษณะสุวรรณ</v>
      </c>
      <c r="J2529" s="3">
        <f>IFERROR(__xludf.DUMMYFUNCTION("""COMPUTED_VALUE"""),295541.0)</f>
        <v>295541</v>
      </c>
      <c r="K2529" s="3" t="str">
        <f>IFERROR(__xludf.DUMMYFUNCTION("""COMPUTED_VALUE"""),"นายรพิพล ศรีมาตย์")</f>
        <v>นายรพิพล ศรีมาตย์</v>
      </c>
      <c r="L2529" s="1" t="str">
        <f>IFERROR(__xludf.DUMMYFUNCTION("""COMPUTED_VALUE"""),"นายรพิพล ศรีมาตย์")</f>
        <v>นายรพิพล ศรีมาตย์</v>
      </c>
      <c r="M2529" s="1" t="str">
        <f>IFERROR(__xludf.DUMMYFUNCTION("""COMPUTED_VALUE"""),"0613966115")</f>
        <v>0613966115</v>
      </c>
      <c r="N2529" s="3">
        <f>IFERROR(__xludf.DUMMYFUNCTION("""COMPUTED_VALUE"""),83270.0)</f>
        <v>83270</v>
      </c>
      <c r="O2529" s="3" t="str">
        <f>IFERROR(__xludf.DUMMYFUNCTION("""COMPUTED_VALUE"""),"ร้านอาเดะ-อาแบ")</f>
        <v>ร้านอาเดะ-อาแบ</v>
      </c>
      <c r="P2529" s="4">
        <f>IFERROR(__xludf.DUMMYFUNCTION("""COMPUTED_VALUE"""),44570.0)</f>
        <v>44570</v>
      </c>
      <c r="Q2529" s="3" t="str">
        <f>IFERROR(__xludf.DUMMYFUNCTION("""COMPUTED_VALUE"""),"I")</f>
        <v>I</v>
      </c>
      <c r="R2529" s="3" t="str">
        <f>IFERROR(__xludf.DUMMYFUNCTION("""COMPUTED_VALUE"""),"Small Format")</f>
        <v>Small Format</v>
      </c>
      <c r="S2529" s="3" t="str">
        <f>IFERROR(__xludf.DUMMYFUNCTION("""COMPUTED_VALUE"""),"Donjai")</f>
        <v>Donjai</v>
      </c>
      <c r="T2529" s="3" t="str">
        <f>IFERROR(__xludf.DUMMYFUNCTION("""COMPUTED_VALUE"""),"15 K.Somchai L")</f>
        <v>15 K.Somchai L</v>
      </c>
      <c r="U2529" s="3" t="str">
        <f>IFERROR(__xludf.DUMMYFUNCTION("""COMPUTED_VALUE"""),"15 K.Somchai L")</f>
        <v>15 K.Somchai L</v>
      </c>
      <c r="V2529" s="3" t="str">
        <f>IFERROR(__xludf.DUMMYFUNCTION("""COMPUTED_VALUE"""),"N")</f>
        <v>N</v>
      </c>
      <c r="W2529" s="3"/>
      <c r="X2529" s="3" t="str">
        <f>IFERROR(__xludf.DUMMYFUNCTION("""COMPUTED_VALUE"""),"108/11 ม.1 ต.ปิตูมุดี อ.ยะรัง จ.ปัตตานี 94160")</f>
        <v>108/11 ม.1 ต.ปิตูมุดี อ.ยะรัง จ.ปัตตานี 94160</v>
      </c>
      <c r="Y2529" s="3"/>
      <c r="Z2529" s="3">
        <f>IFERROR(__xludf.DUMMYFUNCTION("""COMPUTED_VALUE"""),0.0)</f>
        <v>0</v>
      </c>
      <c r="AA2529" s="3">
        <f>IFERROR(__xludf.DUMMYFUNCTION("""COMPUTED_VALUE"""),0.0)</f>
        <v>0</v>
      </c>
      <c r="AB2529" s="3" t="str">
        <f>IFERROR(__xludf.DUMMYFUNCTION("""COMPUTED_VALUE"""),"ปัตตานี")</f>
        <v>ปัตตานี</v>
      </c>
      <c r="AC2529" s="3">
        <f>IFERROR(__xludf.DUMMYFUNCTION("""COMPUTED_VALUE"""),94160.0)</f>
        <v>94160</v>
      </c>
      <c r="AD2529" s="3"/>
      <c r="AE2529" s="3"/>
      <c r="AF2529" s="3" t="str">
        <f>IFERROR(__xludf.DUMMYFUNCTION("""COMPUTED_VALUE"""),"ร้านอาเดะ-อาแบ-83270")</f>
        <v>ร้านอาเดะ-อาแบ-83270</v>
      </c>
      <c r="AG2529" s="3" t="str">
        <f>IFERROR(__xludf.DUMMYFUNCTION("""COMPUTED_VALUE"""),"ใต้")</f>
        <v>ใต้</v>
      </c>
      <c r="AH2529" s="3" t="str">
        <f>IFERROR(__xludf.DUMMYFUNCTION("""COMPUTED_VALUE"""),"#N/A")</f>
        <v>#N/A</v>
      </c>
      <c r="AI2529" s="3" t="str">
        <f>IFERROR(__xludf.DUMMYFUNCTION("""COMPUTED_VALUE"""),"Out of warranty")</f>
        <v>Out of warranty</v>
      </c>
      <c r="AJ2529" s="3">
        <f>IFERROR(__xludf.DUMMYFUNCTION("""COMPUTED_VALUE"""),49.0)</f>
        <v>49</v>
      </c>
      <c r="AK2529" s="3"/>
      <c r="AL2529" s="3"/>
    </row>
    <row r="2530" ht="15.75" customHeight="1">
      <c r="A2530" s="1" t="str">
        <f>IFERROR(__xludf.DUMMYFUNCTION("""COMPUTED_VALUE"""),"83271")</f>
        <v>83271</v>
      </c>
      <c r="B2530" s="2">
        <f>IFERROR(__xludf.DUMMYFUNCTION("""COMPUTED_VALUE"""),83271.0)</f>
        <v>83271</v>
      </c>
      <c r="C2530" s="3" t="str">
        <f>IFERROR(__xludf.DUMMYFUNCTION("""COMPUTED_VALUE"""),"ร้านพนมพร@เจ๊ปก")</f>
        <v>ร้านพนมพร@เจ๊ปก</v>
      </c>
      <c r="D2530" s="3" t="str">
        <f>IFERROR(__xludf.DUMMYFUNCTION("""COMPUTED_VALUE"""),"ร้านพนมพร@เจ๊ปก")</f>
        <v>ร้านพนมพร@เจ๊ปก</v>
      </c>
      <c r="E2530" s="1" t="str">
        <f>IFERROR(__xludf.DUMMYFUNCTION("""COMPUTED_VALUE"""),"Donjai")</f>
        <v>Donjai</v>
      </c>
      <c r="F2530" s="1" t="str">
        <f>IFERROR(__xludf.DUMMYFUNCTION("""COMPUTED_VALUE"""),"2010016")</f>
        <v>2010016</v>
      </c>
      <c r="G2530" s="1" t="str">
        <f>IFERROR(__xludf.DUMMYFUNCTION("""COMPUTED_VALUE"""),"นายตวงธรรม ใหม่ยศ")</f>
        <v>นายตวงธรรม ใหม่ยศ</v>
      </c>
      <c r="H2530" s="1" t="str">
        <f>IFERROR(__xludf.DUMMYFUNCTION("""COMPUTED_VALUE"""),"2010016")</f>
        <v>2010016</v>
      </c>
      <c r="I2530" s="1" t="str">
        <f>IFERROR(__xludf.DUMMYFUNCTION("""COMPUTED_VALUE"""),"นายตวงธรรม ใหม่ยศ")</f>
        <v>นายตวงธรรม ใหม่ยศ</v>
      </c>
      <c r="J2530" s="3">
        <f>IFERROR(__xludf.DUMMYFUNCTION("""COMPUTED_VALUE"""),295886.0)</f>
        <v>295886</v>
      </c>
      <c r="K2530" s="3" t="str">
        <f>IFERROR(__xludf.DUMMYFUNCTION("""COMPUTED_VALUE"""),"นายจิระพงษ์ โพธิ์นิล")</f>
        <v>นายจิระพงษ์ โพธิ์นิล</v>
      </c>
      <c r="L2530" s="1" t="str">
        <f>IFERROR(__xludf.DUMMYFUNCTION("""COMPUTED_VALUE"""),"นายจิระพงษ์ โพธิ์นิล")</f>
        <v>นายจิระพงษ์ โพธิ์นิล</v>
      </c>
      <c r="M2530" s="1" t="str">
        <f>IFERROR(__xludf.DUMMYFUNCTION("""COMPUTED_VALUE"""),"0933290754")</f>
        <v>0933290754</v>
      </c>
      <c r="N2530" s="3">
        <f>IFERROR(__xludf.DUMMYFUNCTION("""COMPUTED_VALUE"""),83271.0)</f>
        <v>83271</v>
      </c>
      <c r="O2530" s="3" t="str">
        <f>IFERROR(__xludf.DUMMYFUNCTION("""COMPUTED_VALUE"""),"ร้านพนมพร@เจ๊ปก")</f>
        <v>ร้านพนมพร@เจ๊ปก</v>
      </c>
      <c r="P2530" s="4">
        <f>IFERROR(__xludf.DUMMYFUNCTION("""COMPUTED_VALUE"""),44575.0)</f>
        <v>44575</v>
      </c>
      <c r="Q2530" s="3" t="str">
        <f>IFERROR(__xludf.DUMMYFUNCTION("""COMPUTED_VALUE"""),"I")</f>
        <v>I</v>
      </c>
      <c r="R2530" s="3" t="str">
        <f>IFERROR(__xludf.DUMMYFUNCTION("""COMPUTED_VALUE"""),"Small Format")</f>
        <v>Small Format</v>
      </c>
      <c r="S2530" s="3" t="str">
        <f>IFERROR(__xludf.DUMMYFUNCTION("""COMPUTED_VALUE"""),"Donjai")</f>
        <v>Donjai</v>
      </c>
      <c r="T2530" s="3" t="str">
        <f>IFERROR(__xludf.DUMMYFUNCTION("""COMPUTED_VALUE"""),"01 K.Tuangtham M.")</f>
        <v>01 K.Tuangtham M.</v>
      </c>
      <c r="U2530" s="3" t="str">
        <f>IFERROR(__xludf.DUMMYFUNCTION("""COMPUTED_VALUE"""),"01 K.Tuangtham M.")</f>
        <v>01 K.Tuangtham M.</v>
      </c>
      <c r="V2530" s="3" t="str">
        <f>IFERROR(__xludf.DUMMYFUNCTION("""COMPUTED_VALUE"""),"N")</f>
        <v>N</v>
      </c>
      <c r="W2530" s="3"/>
      <c r="X2530" s="3" t="str">
        <f>IFERROR(__xludf.DUMMYFUNCTION("""COMPUTED_VALUE"""),"89/1 ม.6 ต.วังทองแดง อ.เมืองสุโขทัย จ.สุโขทัย")</f>
        <v>89/1 ม.6 ต.วังทองแดง อ.เมืองสุโขทัย จ.สุโขทัย</v>
      </c>
      <c r="Y2530" s="3"/>
      <c r="Z2530" s="3">
        <f>IFERROR(__xludf.DUMMYFUNCTION("""COMPUTED_VALUE"""),0.0)</f>
        <v>0</v>
      </c>
      <c r="AA2530" s="3">
        <f>IFERROR(__xludf.DUMMYFUNCTION("""COMPUTED_VALUE"""),0.0)</f>
        <v>0</v>
      </c>
      <c r="AB2530" s="3" t="str">
        <f>IFERROR(__xludf.DUMMYFUNCTION("""COMPUTED_VALUE"""),"สุโขทัย")</f>
        <v>สุโขทัย</v>
      </c>
      <c r="AC2530" s="3">
        <f>IFERROR(__xludf.DUMMYFUNCTION("""COMPUTED_VALUE"""),0.0)</f>
        <v>0</v>
      </c>
      <c r="AD2530" s="3"/>
      <c r="AE2530" s="3"/>
      <c r="AF2530" s="3" t="str">
        <f>IFERROR(__xludf.DUMMYFUNCTION("""COMPUTED_VALUE"""),"ร้านพนมพร@เจ๊ปก-83271")</f>
        <v>ร้านพนมพร@เจ๊ปก-83271</v>
      </c>
      <c r="AG2530" s="3" t="str">
        <f>IFERROR(__xludf.DUMMYFUNCTION("""COMPUTED_VALUE"""),"กลาง")</f>
        <v>กลาง</v>
      </c>
      <c r="AH2530" s="3" t="str">
        <f>IFERROR(__xludf.DUMMYFUNCTION("""COMPUTED_VALUE"""),"#N/A")</f>
        <v>#N/A</v>
      </c>
      <c r="AI2530" s="3" t="str">
        <f>IFERROR(__xludf.DUMMYFUNCTION("""COMPUTED_VALUE"""),"Out of warranty")</f>
        <v>Out of warranty</v>
      </c>
      <c r="AJ2530" s="3">
        <f>IFERROR(__xludf.DUMMYFUNCTION("""COMPUTED_VALUE"""),49.0)</f>
        <v>49</v>
      </c>
      <c r="AK2530" s="3"/>
      <c r="AL2530" s="3"/>
    </row>
    <row r="2531" ht="15.75" customHeight="1">
      <c r="A2531" s="1" t="str">
        <f>IFERROR(__xludf.DUMMYFUNCTION("""COMPUTED_VALUE"""),"83272")</f>
        <v>83272</v>
      </c>
      <c r="B2531" s="2">
        <f>IFERROR(__xludf.DUMMYFUNCTION("""COMPUTED_VALUE"""),83272.0)</f>
        <v>83272</v>
      </c>
      <c r="C2531" s="3" t="str">
        <f>IFERROR(__xludf.DUMMYFUNCTION("""COMPUTED_VALUE"""),"ร้านสองพี่น้อง (ลำปลายมาส) ร้านสุดสาคร")</f>
        <v>ร้านสองพี่น้อง (ลำปลายมาส) ร้านสุดสาคร</v>
      </c>
      <c r="D2531" s="3" t="str">
        <f>IFERROR(__xludf.DUMMYFUNCTION("""COMPUTED_VALUE"""),"ร้านสองพี่น้อง (ลำปลายมาส) ร้านสุดสาคร")</f>
        <v>ร้านสองพี่น้อง (ลำปลายมาส) ร้านสุดสาคร</v>
      </c>
      <c r="E2531" s="1" t="str">
        <f>IFERROR(__xludf.DUMMYFUNCTION("""COMPUTED_VALUE"""),"Donjai")</f>
        <v>Donjai</v>
      </c>
      <c r="F2531" s="1" t="str">
        <f>IFERROR(__xludf.DUMMYFUNCTION("""COMPUTED_VALUE"""),"015361")</f>
        <v>015361</v>
      </c>
      <c r="G2531" s="1" t="str">
        <f>IFERROR(__xludf.DUMMYFUNCTION("""COMPUTED_VALUE"""),"นายสมบูรณ์ พรหมในเมือง")</f>
        <v>นายสมบูรณ์ พรหมในเมือง</v>
      </c>
      <c r="H2531" s="1" t="str">
        <f>IFERROR(__xludf.DUMMYFUNCTION("""COMPUTED_VALUE"""),"015361")</f>
        <v>015361</v>
      </c>
      <c r="I2531" s="1" t="str">
        <f>IFERROR(__xludf.DUMMYFUNCTION("""COMPUTED_VALUE"""),"นายสมบูรณ์ พรหมในเมือง")</f>
        <v>นายสมบูรณ์ พรหมในเมือง</v>
      </c>
      <c r="J2531" s="3">
        <f>IFERROR(__xludf.DUMMYFUNCTION("""COMPUTED_VALUE"""),295886.0)</f>
        <v>295886</v>
      </c>
      <c r="K2531" s="3" t="str">
        <f>IFERROR(__xludf.DUMMYFUNCTION("""COMPUTED_VALUE"""),"นายจิระพงษ์ โพธิ์นิล")</f>
        <v>นายจิระพงษ์ โพธิ์นิล</v>
      </c>
      <c r="L2531" s="1" t="str">
        <f>IFERROR(__xludf.DUMMYFUNCTION("""COMPUTED_VALUE"""),"นายจิระพงษ์ โพธิ์นิล")</f>
        <v>นายจิระพงษ์ โพธิ์นิล</v>
      </c>
      <c r="M2531" s="1" t="str">
        <f>IFERROR(__xludf.DUMMYFUNCTION("""COMPUTED_VALUE"""),"0933290754")</f>
        <v>0933290754</v>
      </c>
      <c r="N2531" s="3">
        <f>IFERROR(__xludf.DUMMYFUNCTION("""COMPUTED_VALUE"""),83272.0)</f>
        <v>83272</v>
      </c>
      <c r="O2531" s="3" t="str">
        <f>IFERROR(__xludf.DUMMYFUNCTION("""COMPUTED_VALUE"""),"ร้านสองพี่น้อง (ลำปลายมาส) ร้านสุดสาคร")</f>
        <v>ร้านสองพี่น้อง (ลำปลายมาส) ร้านสุดสาคร</v>
      </c>
      <c r="P2531" s="4">
        <f>IFERROR(__xludf.DUMMYFUNCTION("""COMPUTED_VALUE"""),44576.0)</f>
        <v>44576</v>
      </c>
      <c r="Q2531" s="3" t="str">
        <f>IFERROR(__xludf.DUMMYFUNCTION("""COMPUTED_VALUE"""),"I")</f>
        <v>I</v>
      </c>
      <c r="R2531" s="3" t="str">
        <f>IFERROR(__xludf.DUMMYFUNCTION("""COMPUTED_VALUE"""),"Small Format")</f>
        <v>Small Format</v>
      </c>
      <c r="S2531" s="3" t="str">
        <f>IFERROR(__xludf.DUMMYFUNCTION("""COMPUTED_VALUE"""),"Donjai")</f>
        <v>Donjai</v>
      </c>
      <c r="T2531" s="3" t="str">
        <f>IFERROR(__xludf.DUMMYFUNCTION("""COMPUTED_VALUE"""),"04 K.Somboon P.")</f>
        <v>04 K.Somboon P.</v>
      </c>
      <c r="U2531" s="3" t="str">
        <f>IFERROR(__xludf.DUMMYFUNCTION("""COMPUTED_VALUE"""),"04 K.Somboon P.")</f>
        <v>04 K.Somboon P.</v>
      </c>
      <c r="V2531" s="3" t="str">
        <f>IFERROR(__xludf.DUMMYFUNCTION("""COMPUTED_VALUE"""),"N")</f>
        <v>N</v>
      </c>
      <c r="W2531" s="3"/>
      <c r="X2531" s="3" t="str">
        <f>IFERROR(__xludf.DUMMYFUNCTION("""COMPUTED_VALUE"""),"10/15 ต.ลำปลายมาศ อ.ลำปลายมาศ จ.บุรีรัมย์ 31130")</f>
        <v>10/15 ต.ลำปลายมาศ อ.ลำปลายมาศ จ.บุรีรัมย์ 31130</v>
      </c>
      <c r="Y2531" s="3"/>
      <c r="Z2531" s="3">
        <f>IFERROR(__xludf.DUMMYFUNCTION("""COMPUTED_VALUE"""),0.0)</f>
        <v>0</v>
      </c>
      <c r="AA2531" s="3">
        <f>IFERROR(__xludf.DUMMYFUNCTION("""COMPUTED_VALUE"""),0.0)</f>
        <v>0</v>
      </c>
      <c r="AB2531" s="3" t="str">
        <f>IFERROR(__xludf.DUMMYFUNCTION("""COMPUTED_VALUE"""),"บุรีรัมย์")</f>
        <v>บุรีรัมย์</v>
      </c>
      <c r="AC2531" s="3">
        <f>IFERROR(__xludf.DUMMYFUNCTION("""COMPUTED_VALUE"""),31130.0)</f>
        <v>31130</v>
      </c>
      <c r="AD2531" s="3"/>
      <c r="AE2531" s="3"/>
      <c r="AF2531" s="3" t="str">
        <f>IFERROR(__xludf.DUMMYFUNCTION("""COMPUTED_VALUE"""),"ร้านสองพี่น้อง (ลำปลายมาส) ร้านสุดสาคร-83272")</f>
        <v>ร้านสองพี่น้อง (ลำปลายมาส) ร้านสุดสาคร-83272</v>
      </c>
      <c r="AG2531" s="3" t="str">
        <f>IFERROR(__xludf.DUMMYFUNCTION("""COMPUTED_VALUE"""),"ตะวันออกเฉียงเหนือ")</f>
        <v>ตะวันออกเฉียงเหนือ</v>
      </c>
      <c r="AH2531" s="3" t="str">
        <f>IFERROR(__xludf.DUMMYFUNCTION("""COMPUTED_VALUE"""),"#N/A")</f>
        <v>#N/A</v>
      </c>
      <c r="AI2531" s="3" t="str">
        <f>IFERROR(__xludf.DUMMYFUNCTION("""COMPUTED_VALUE"""),"Out of warranty")</f>
        <v>Out of warranty</v>
      </c>
      <c r="AJ2531" s="3">
        <f>IFERROR(__xludf.DUMMYFUNCTION("""COMPUTED_VALUE"""),49.0)</f>
        <v>49</v>
      </c>
      <c r="AK2531" s="3"/>
      <c r="AL2531" s="3"/>
    </row>
    <row r="2532" ht="15.75" customHeight="1">
      <c r="A2532" s="1" t="str">
        <f>IFERROR(__xludf.DUMMYFUNCTION("""COMPUTED_VALUE"""),"83275")</f>
        <v>83275</v>
      </c>
      <c r="B2532" s="2">
        <f>IFERROR(__xludf.DUMMYFUNCTION("""COMPUTED_VALUE"""),83275.0)</f>
        <v>83275</v>
      </c>
      <c r="C2532" s="3" t="str">
        <f>IFERROR(__xludf.DUMMYFUNCTION("""COMPUTED_VALUE"""),"ร้าน ลานปาล์มไร่วรวรรณ")</f>
        <v>ร้าน ลานปาล์มไร่วรวรรณ</v>
      </c>
      <c r="D2532" s="3" t="str">
        <f>IFERROR(__xludf.DUMMYFUNCTION("""COMPUTED_VALUE"""),"ร้าน ลานปาล์มไร่วรวรรณ")</f>
        <v>ร้าน ลานปาล์มไร่วรวรรณ</v>
      </c>
      <c r="E2532" s="1" t="str">
        <f>IFERROR(__xludf.DUMMYFUNCTION("""COMPUTED_VALUE"""),"Donjai")</f>
        <v>Donjai</v>
      </c>
      <c r="F2532" s="1" t="str">
        <f>IFERROR(__xludf.DUMMYFUNCTION("""COMPUTED_VALUE"""),"025324")</f>
        <v>025324</v>
      </c>
      <c r="G2532" s="1" t="str">
        <f>IFERROR(__xludf.DUMMYFUNCTION("""COMPUTED_VALUE"""),"นายวิเชฎฐ์ ติรัตนะประคม")</f>
        <v>นายวิเชฎฐ์ ติรัตนะประคม</v>
      </c>
      <c r="H2532" s="1" t="str">
        <f>IFERROR(__xludf.DUMMYFUNCTION("""COMPUTED_VALUE"""),"025324")</f>
        <v>025324</v>
      </c>
      <c r="I2532" s="1" t="str">
        <f>IFERROR(__xludf.DUMMYFUNCTION("""COMPUTED_VALUE"""),"นายวิเชฎฐ์ ติรัตนะประคม")</f>
        <v>นายวิเชฎฐ์ ติรัตนะประคม</v>
      </c>
      <c r="J2532" s="3">
        <f>IFERROR(__xludf.DUMMYFUNCTION("""COMPUTED_VALUE"""),295541.0)</f>
        <v>295541</v>
      </c>
      <c r="K2532" s="3" t="str">
        <f>IFERROR(__xludf.DUMMYFUNCTION("""COMPUTED_VALUE"""),"นายรพิพล ศรีมาตย์")</f>
        <v>นายรพิพล ศรีมาตย์</v>
      </c>
      <c r="L2532" s="1" t="str">
        <f>IFERROR(__xludf.DUMMYFUNCTION("""COMPUTED_VALUE"""),"นายรพิพล ศรีมาตย์")</f>
        <v>นายรพิพล ศรีมาตย์</v>
      </c>
      <c r="M2532" s="1" t="str">
        <f>IFERROR(__xludf.DUMMYFUNCTION("""COMPUTED_VALUE"""),"0613966115")</f>
        <v>0613966115</v>
      </c>
      <c r="N2532" s="3">
        <f>IFERROR(__xludf.DUMMYFUNCTION("""COMPUTED_VALUE"""),83275.0)</f>
        <v>83275</v>
      </c>
      <c r="O2532" s="3" t="str">
        <f>IFERROR(__xludf.DUMMYFUNCTION("""COMPUTED_VALUE"""),"ร้าน ลานปาล์มไร่วรวรรณ")</f>
        <v>ร้าน ลานปาล์มไร่วรวรรณ</v>
      </c>
      <c r="P2532" s="4">
        <f>IFERROR(__xludf.DUMMYFUNCTION("""COMPUTED_VALUE"""),44695.0)</f>
        <v>44695</v>
      </c>
      <c r="Q2532" s="3" t="str">
        <f>IFERROR(__xludf.DUMMYFUNCTION("""COMPUTED_VALUE"""),"A")</f>
        <v>A</v>
      </c>
      <c r="R2532" s="3" t="str">
        <f>IFERROR(__xludf.DUMMYFUNCTION("""COMPUTED_VALUE"""),"Small Format")</f>
        <v>Small Format</v>
      </c>
      <c r="S2532" s="3" t="str">
        <f>IFERROR(__xludf.DUMMYFUNCTION("""COMPUTED_VALUE"""),"Donjai")</f>
        <v>Donjai</v>
      </c>
      <c r="T2532" s="3" t="str">
        <f>IFERROR(__xludf.DUMMYFUNCTION("""COMPUTED_VALUE"""),"14 K.Wichet T.")</f>
        <v>14 K.Wichet T.</v>
      </c>
      <c r="U2532" s="3" t="str">
        <f>IFERROR(__xludf.DUMMYFUNCTION("""COMPUTED_VALUE"""),"14 K.Wichet T.")</f>
        <v>14 K.Wichet T.</v>
      </c>
      <c r="V2532" s="3" t="str">
        <f>IFERROR(__xludf.DUMMYFUNCTION("""COMPUTED_VALUE"""),"N")</f>
        <v>N</v>
      </c>
      <c r="W2532" s="3"/>
      <c r="X2532" s="3" t="str">
        <f>IFERROR(__xludf.DUMMYFUNCTION("""COMPUTED_VALUE"""),"74 ม.8 ต.ท่าอุแท อ.กาญจนดิษฐ์ จ.สุราษฎร์ธานี สุราษฎร์ธานี 84160")</f>
        <v>74 ม.8 ต.ท่าอุแท อ.กาญจนดิษฐ์ จ.สุราษฎร์ธานี สุราษฎร์ธานี 84160</v>
      </c>
      <c r="Y2532" s="3"/>
      <c r="Z2532" s="3">
        <f>IFERROR(__xludf.DUMMYFUNCTION("""COMPUTED_VALUE"""),0.0)</f>
        <v>0</v>
      </c>
      <c r="AA2532" s="3">
        <f>IFERROR(__xludf.DUMMYFUNCTION("""COMPUTED_VALUE"""),0.0)</f>
        <v>0</v>
      </c>
      <c r="AB2532" s="3" t="str">
        <f>IFERROR(__xludf.DUMMYFUNCTION("""COMPUTED_VALUE"""),"สุราษฎร์ธานี")</f>
        <v>สุราษฎร์ธานี</v>
      </c>
      <c r="AC2532" s="3">
        <f>IFERROR(__xludf.DUMMYFUNCTION("""COMPUTED_VALUE"""),84160.0)</f>
        <v>84160</v>
      </c>
      <c r="AD2532" s="3"/>
      <c r="AE2532" s="3"/>
      <c r="AF2532" s="3" t="str">
        <f>IFERROR(__xludf.DUMMYFUNCTION("""COMPUTED_VALUE"""),"ร้าน ลานปาล์มไร่วรวรรณ-83275")</f>
        <v>ร้าน ลานปาล์มไร่วรวรรณ-83275</v>
      </c>
      <c r="AG2532" s="3" t="str">
        <f>IFERROR(__xludf.DUMMYFUNCTION("""COMPUTED_VALUE"""),"ใต้")</f>
        <v>ใต้</v>
      </c>
      <c r="AH2532" s="3" t="str">
        <f>IFERROR(__xludf.DUMMYFUNCTION("""COMPUTED_VALUE"""),"#N/A")</f>
        <v>#N/A</v>
      </c>
      <c r="AI2532" s="3" t="str">
        <f>IFERROR(__xludf.DUMMYFUNCTION("""COMPUTED_VALUE"""),"Out of warranty")</f>
        <v>Out of warranty</v>
      </c>
      <c r="AJ2532" s="3">
        <f>IFERROR(__xludf.DUMMYFUNCTION("""COMPUTED_VALUE"""),45.0)</f>
        <v>45</v>
      </c>
      <c r="AK2532" s="3"/>
      <c r="AL2532" s="3"/>
    </row>
    <row r="2533" ht="15.75" customHeight="1">
      <c r="A2533" s="1" t="str">
        <f>IFERROR(__xludf.DUMMYFUNCTION("""COMPUTED_VALUE"""),"83277")</f>
        <v>83277</v>
      </c>
      <c r="B2533" s="2">
        <f>IFERROR(__xludf.DUMMYFUNCTION("""COMPUTED_VALUE"""),83277.0)</f>
        <v>83277</v>
      </c>
      <c r="C2533" s="3" t="str">
        <f>IFERROR(__xludf.DUMMYFUNCTION("""COMPUTED_VALUE"""),"ร้านเสาวภา")</f>
        <v>ร้านเสาวภา</v>
      </c>
      <c r="D2533" s="3" t="str">
        <f>IFERROR(__xludf.DUMMYFUNCTION("""COMPUTED_VALUE"""),"ร้านเสาวภา")</f>
        <v>ร้านเสาวภา</v>
      </c>
      <c r="E2533" s="1" t="str">
        <f>IFERROR(__xludf.DUMMYFUNCTION("""COMPUTED_VALUE"""),"Donjai")</f>
        <v>Donjai</v>
      </c>
      <c r="F2533" s="1" t="str">
        <f>IFERROR(__xludf.DUMMYFUNCTION("""COMPUTED_VALUE"""),"2454781")</f>
        <v>2454781</v>
      </c>
      <c r="G2533" s="1" t="str">
        <f>IFERROR(__xludf.DUMMYFUNCTION("""COMPUTED_VALUE"""),"นายฌานกฤช นันทะโคต")</f>
        <v>นายฌานกฤช นันทะโคต</v>
      </c>
      <c r="H2533" s="1" t="str">
        <f>IFERROR(__xludf.DUMMYFUNCTION("""COMPUTED_VALUE"""),"2454781")</f>
        <v>2454781</v>
      </c>
      <c r="I2533" s="1" t="str">
        <f>IFERROR(__xludf.DUMMYFUNCTION("""COMPUTED_VALUE"""),"นายฌานกฤช นันทะโคต")</f>
        <v>นายฌานกฤช นันทะโคต</v>
      </c>
      <c r="J2533" s="3">
        <f>IFERROR(__xludf.DUMMYFUNCTION("""COMPUTED_VALUE"""),295886.0)</f>
        <v>295886</v>
      </c>
      <c r="K2533" s="3" t="str">
        <f>IFERROR(__xludf.DUMMYFUNCTION("""COMPUTED_VALUE"""),"นายจิระพงษ์ โพธิ์นิล")</f>
        <v>นายจิระพงษ์ โพธิ์นิล</v>
      </c>
      <c r="L2533" s="1" t="str">
        <f>IFERROR(__xludf.DUMMYFUNCTION("""COMPUTED_VALUE"""),"นายจิระพงษ์ โพธิ์นิล")</f>
        <v>นายจิระพงษ์ โพธิ์นิล</v>
      </c>
      <c r="M2533" s="1" t="str">
        <f>IFERROR(__xludf.DUMMYFUNCTION("""COMPUTED_VALUE"""),"0933290754")</f>
        <v>0933290754</v>
      </c>
      <c r="N2533" s="3">
        <f>IFERROR(__xludf.DUMMYFUNCTION("""COMPUTED_VALUE"""),83277.0)</f>
        <v>83277</v>
      </c>
      <c r="O2533" s="3" t="str">
        <f>IFERROR(__xludf.DUMMYFUNCTION("""COMPUTED_VALUE"""),"ร้านเสาวภา")</f>
        <v>ร้านเสาวภา</v>
      </c>
      <c r="P2533" s="4">
        <f>IFERROR(__xludf.DUMMYFUNCTION("""COMPUTED_VALUE"""),44637.0)</f>
        <v>44637</v>
      </c>
      <c r="Q2533" s="3" t="str">
        <f>IFERROR(__xludf.DUMMYFUNCTION("""COMPUTED_VALUE"""),"A")</f>
        <v>A</v>
      </c>
      <c r="R2533" s="3" t="str">
        <f>IFERROR(__xludf.DUMMYFUNCTION("""COMPUTED_VALUE"""),"Small Format")</f>
        <v>Small Format</v>
      </c>
      <c r="S2533" s="3" t="str">
        <f>IFERROR(__xludf.DUMMYFUNCTION("""COMPUTED_VALUE"""),"Donjai")</f>
        <v>Donjai</v>
      </c>
      <c r="T2533" s="3" t="str">
        <f>IFERROR(__xludf.DUMMYFUNCTION("""COMPUTED_VALUE"""),"05 K.Chanakrit N.")</f>
        <v>05 K.Chanakrit N.</v>
      </c>
      <c r="U2533" s="3" t="str">
        <f>IFERROR(__xludf.DUMMYFUNCTION("""COMPUTED_VALUE"""),"05 K.Chanakrit N.")</f>
        <v>05 K.Chanakrit N.</v>
      </c>
      <c r="V2533" s="3" t="str">
        <f>IFERROR(__xludf.DUMMYFUNCTION("""COMPUTED_VALUE"""),"N")</f>
        <v>N</v>
      </c>
      <c r="W2533" s="3"/>
      <c r="X2533" s="3" t="str">
        <f>IFERROR(__xludf.DUMMYFUNCTION("""COMPUTED_VALUE"""),"บ้านเลขที่199 บ้านเมืองเก่า ม.4 ต.กุง อ.ศิลาลาด จ.ศรีสะเกษ")</f>
        <v>บ้านเลขที่199 บ้านเมืองเก่า ม.4 ต.กุง อ.ศิลาลาด จ.ศรีสะเกษ</v>
      </c>
      <c r="Y2533" s="3"/>
      <c r="Z2533" s="3">
        <f>IFERROR(__xludf.DUMMYFUNCTION("""COMPUTED_VALUE"""),0.0)</f>
        <v>0</v>
      </c>
      <c r="AA2533" s="3">
        <f>IFERROR(__xludf.DUMMYFUNCTION("""COMPUTED_VALUE"""),0.0)</f>
        <v>0</v>
      </c>
      <c r="AB2533" s="3" t="str">
        <f>IFERROR(__xludf.DUMMYFUNCTION("""COMPUTED_VALUE"""),"ศรีสะเกษ")</f>
        <v>ศรีสะเกษ</v>
      </c>
      <c r="AC2533" s="3">
        <f>IFERROR(__xludf.DUMMYFUNCTION("""COMPUTED_VALUE"""),0.0)</f>
        <v>0</v>
      </c>
      <c r="AD2533" s="3"/>
      <c r="AE2533" s="3"/>
      <c r="AF2533" s="3" t="str">
        <f>IFERROR(__xludf.DUMMYFUNCTION("""COMPUTED_VALUE"""),"ร้านเสาวภา-83277")</f>
        <v>ร้านเสาวภา-83277</v>
      </c>
      <c r="AG2533" s="3" t="str">
        <f>IFERROR(__xludf.DUMMYFUNCTION("""COMPUTED_VALUE"""),"ตะวันออกเฉียงเหนือ")</f>
        <v>ตะวันออกเฉียงเหนือ</v>
      </c>
      <c r="AH2533" s="3" t="str">
        <f>IFERROR(__xludf.DUMMYFUNCTION("""COMPUTED_VALUE"""),"#N/A")</f>
        <v>#N/A</v>
      </c>
      <c r="AI2533" s="3" t="str">
        <f>IFERROR(__xludf.DUMMYFUNCTION("""COMPUTED_VALUE"""),"Out of warranty")</f>
        <v>Out of warranty</v>
      </c>
      <c r="AJ2533" s="3">
        <f>IFERROR(__xludf.DUMMYFUNCTION("""COMPUTED_VALUE"""),47.0)</f>
        <v>47</v>
      </c>
      <c r="AK2533" s="3"/>
      <c r="AL2533" s="3"/>
    </row>
    <row r="2534" ht="15.75" customHeight="1">
      <c r="A2534" s="1" t="str">
        <f>IFERROR(__xludf.DUMMYFUNCTION("""COMPUTED_VALUE"""),"83280")</f>
        <v>83280</v>
      </c>
      <c r="B2534" s="2">
        <f>IFERROR(__xludf.DUMMYFUNCTION("""COMPUTED_VALUE"""),83280.0)</f>
        <v>83280</v>
      </c>
      <c r="C2534" s="3" t="str">
        <f>IFERROR(__xludf.DUMMYFUNCTION("""COMPUTED_VALUE"""),"ร้านจำนงค์ พาณิชย์")</f>
        <v>ร้านจำนงค์ พาณิชย์</v>
      </c>
      <c r="D2534" s="3" t="str">
        <f>IFERROR(__xludf.DUMMYFUNCTION("""COMPUTED_VALUE"""),"ร้านจำนงค์ พาณิชย์")</f>
        <v>ร้านจำนงค์ พาณิชย์</v>
      </c>
      <c r="E2534" s="1" t="str">
        <f>IFERROR(__xludf.DUMMYFUNCTION("""COMPUTED_VALUE"""),"Donjai")</f>
        <v>Donjai</v>
      </c>
      <c r="F2534" s="1" t="str">
        <f>IFERROR(__xludf.DUMMYFUNCTION("""COMPUTED_VALUE"""),"2454781")</f>
        <v>2454781</v>
      </c>
      <c r="G2534" s="1" t="str">
        <f>IFERROR(__xludf.DUMMYFUNCTION("""COMPUTED_VALUE"""),"นายฌานกฤช นันทะโคต")</f>
        <v>นายฌานกฤช นันทะโคต</v>
      </c>
      <c r="H2534" s="1" t="str">
        <f>IFERROR(__xludf.DUMMYFUNCTION("""COMPUTED_VALUE"""),"2454781")</f>
        <v>2454781</v>
      </c>
      <c r="I2534" s="1" t="str">
        <f>IFERROR(__xludf.DUMMYFUNCTION("""COMPUTED_VALUE"""),"นายฌานกฤช นันทะโคต")</f>
        <v>นายฌานกฤช นันทะโคต</v>
      </c>
      <c r="J2534" s="3">
        <f>IFERROR(__xludf.DUMMYFUNCTION("""COMPUTED_VALUE"""),295886.0)</f>
        <v>295886</v>
      </c>
      <c r="K2534" s="3" t="str">
        <f>IFERROR(__xludf.DUMMYFUNCTION("""COMPUTED_VALUE"""),"นายจิระพงษ์ โพธิ์นิล")</f>
        <v>นายจิระพงษ์ โพธิ์นิล</v>
      </c>
      <c r="L2534" s="1" t="str">
        <f>IFERROR(__xludf.DUMMYFUNCTION("""COMPUTED_VALUE"""),"นายจิระพงษ์ โพธิ์นิล")</f>
        <v>นายจิระพงษ์ โพธิ์นิล</v>
      </c>
      <c r="M2534" s="1" t="str">
        <f>IFERROR(__xludf.DUMMYFUNCTION("""COMPUTED_VALUE"""),"0933290754")</f>
        <v>0933290754</v>
      </c>
      <c r="N2534" s="3">
        <f>IFERROR(__xludf.DUMMYFUNCTION("""COMPUTED_VALUE"""),83280.0)</f>
        <v>83280</v>
      </c>
      <c r="O2534" s="3" t="str">
        <f>IFERROR(__xludf.DUMMYFUNCTION("""COMPUTED_VALUE"""),"ร้านจำนงค์ พาณิชย์")</f>
        <v>ร้านจำนงค์ พาณิชย์</v>
      </c>
      <c r="P2534" s="4">
        <f>IFERROR(__xludf.DUMMYFUNCTION("""COMPUTED_VALUE"""),44580.0)</f>
        <v>44580</v>
      </c>
      <c r="Q2534" s="3" t="str">
        <f>IFERROR(__xludf.DUMMYFUNCTION("""COMPUTED_VALUE"""),"A")</f>
        <v>A</v>
      </c>
      <c r="R2534" s="3" t="str">
        <f>IFERROR(__xludf.DUMMYFUNCTION("""COMPUTED_VALUE"""),"Small Format")</f>
        <v>Small Format</v>
      </c>
      <c r="S2534" s="3" t="str">
        <f>IFERROR(__xludf.DUMMYFUNCTION("""COMPUTED_VALUE"""),"Donjai")</f>
        <v>Donjai</v>
      </c>
      <c r="T2534" s="3" t="str">
        <f>IFERROR(__xludf.DUMMYFUNCTION("""COMPUTED_VALUE"""),"05 K.Chanakrit N.")</f>
        <v>05 K.Chanakrit N.</v>
      </c>
      <c r="U2534" s="3" t="str">
        <f>IFERROR(__xludf.DUMMYFUNCTION("""COMPUTED_VALUE"""),"05 K.Chanakrit N.")</f>
        <v>05 K.Chanakrit N.</v>
      </c>
      <c r="V2534" s="3" t="str">
        <f>IFERROR(__xludf.DUMMYFUNCTION("""COMPUTED_VALUE"""),"N")</f>
        <v>N</v>
      </c>
      <c r="W2534" s="3"/>
      <c r="X2534" s="3" t="str">
        <f>IFERROR(__xludf.DUMMYFUNCTION("""COMPUTED_VALUE"""),"48 ม.9 ต.ไผ่ใหญ่ อ.ม่วงสามสิบ จ.อุบลราชธานี")</f>
        <v>48 ม.9 ต.ไผ่ใหญ่ อ.ม่วงสามสิบ จ.อุบลราชธานี</v>
      </c>
      <c r="Y2534" s="3"/>
      <c r="Z2534" s="3">
        <f>IFERROR(__xludf.DUMMYFUNCTION("""COMPUTED_VALUE"""),0.0)</f>
        <v>0</v>
      </c>
      <c r="AA2534" s="3">
        <f>IFERROR(__xludf.DUMMYFUNCTION("""COMPUTED_VALUE"""),0.0)</f>
        <v>0</v>
      </c>
      <c r="AB2534" s="3" t="str">
        <f>IFERROR(__xludf.DUMMYFUNCTION("""COMPUTED_VALUE"""),"อุบลราชธานี")</f>
        <v>อุบลราชธานี</v>
      </c>
      <c r="AC2534" s="3">
        <f>IFERROR(__xludf.DUMMYFUNCTION("""COMPUTED_VALUE"""),0.0)</f>
        <v>0</v>
      </c>
      <c r="AD2534" s="3"/>
      <c r="AE2534" s="3"/>
      <c r="AF2534" s="3" t="str">
        <f>IFERROR(__xludf.DUMMYFUNCTION("""COMPUTED_VALUE"""),"ร้านจำนงค์ พาณิชย์-83280")</f>
        <v>ร้านจำนงค์ พาณิชย์-83280</v>
      </c>
      <c r="AG2534" s="3" t="str">
        <f>IFERROR(__xludf.DUMMYFUNCTION("""COMPUTED_VALUE"""),"ตะวันออกเฉียงเหนือ")</f>
        <v>ตะวันออกเฉียงเหนือ</v>
      </c>
      <c r="AH2534" s="3" t="str">
        <f>IFERROR(__xludf.DUMMYFUNCTION("""COMPUTED_VALUE"""),"#N/A")</f>
        <v>#N/A</v>
      </c>
      <c r="AI2534" s="3" t="str">
        <f>IFERROR(__xludf.DUMMYFUNCTION("""COMPUTED_VALUE"""),"Out of warranty")</f>
        <v>Out of warranty</v>
      </c>
      <c r="AJ2534" s="3">
        <f>IFERROR(__xludf.DUMMYFUNCTION("""COMPUTED_VALUE"""),49.0)</f>
        <v>49</v>
      </c>
      <c r="AK2534" s="3"/>
      <c r="AL2534" s="3"/>
    </row>
    <row r="2535" ht="15.75" customHeight="1">
      <c r="A2535" s="1" t="str">
        <f>IFERROR(__xludf.DUMMYFUNCTION("""COMPUTED_VALUE"""),"83281")</f>
        <v>83281</v>
      </c>
      <c r="B2535" s="2">
        <f>IFERROR(__xludf.DUMMYFUNCTION("""COMPUTED_VALUE"""),83281.0)</f>
        <v>83281</v>
      </c>
      <c r="C2535" s="3" t="str">
        <f>IFERROR(__xludf.DUMMYFUNCTION("""COMPUTED_VALUE"""),"ร้านโอ&amp;น้อยมินิมาร์ท (ป้าน้อยพันท้ายฯ)")</f>
        <v>ร้านโอ&amp;น้อยมินิมาร์ท (ป้าน้อยพันท้ายฯ)</v>
      </c>
      <c r="D2535" s="3" t="str">
        <f>IFERROR(__xludf.DUMMYFUNCTION("""COMPUTED_VALUE"""),"ร้านโอ&amp;น้อยมินิมาร์ท (ป้าน้อยพันท้ายฯ)")</f>
        <v>ร้านโอ&amp;น้อยมินิมาร์ท (ป้าน้อยพันท้ายฯ)</v>
      </c>
      <c r="E2535" s="1" t="str">
        <f>IFERROR(__xludf.DUMMYFUNCTION("""COMPUTED_VALUE"""),"Donjai")</f>
        <v>Donjai</v>
      </c>
      <c r="F2535" s="1" t="str">
        <f>IFERROR(__xludf.DUMMYFUNCTION("""COMPUTED_VALUE"""),"296608")</f>
        <v>296608</v>
      </c>
      <c r="G2535" s="1" t="str">
        <f>IFERROR(__xludf.DUMMYFUNCTION("""COMPUTED_VALUE"""),"นายภาคภูมิ เพ็ชรนิล")</f>
        <v>นายภาคภูมิ เพ็ชรนิล</v>
      </c>
      <c r="H2535" s="1" t="str">
        <f>IFERROR(__xludf.DUMMYFUNCTION("""COMPUTED_VALUE"""),"296608")</f>
        <v>296608</v>
      </c>
      <c r="I2535" s="1" t="str">
        <f>IFERROR(__xludf.DUMMYFUNCTION("""COMPUTED_VALUE"""),"นายภาคภูมิ เพ็ชรนิล")</f>
        <v>นายภาคภูมิ เพ็ชรนิล</v>
      </c>
      <c r="J2535" s="3">
        <f>IFERROR(__xludf.DUMMYFUNCTION("""COMPUTED_VALUE"""),228031.0)</f>
        <v>228031</v>
      </c>
      <c r="K2535" s="3" t="str">
        <f>IFERROR(__xludf.DUMMYFUNCTION("""COMPUTED_VALUE"""),"นายธนพงษ์ วันหมัด")</f>
        <v>นายธนพงษ์ วันหมัด</v>
      </c>
      <c r="L2535" s="1" t="str">
        <f>IFERROR(__xludf.DUMMYFUNCTION("""COMPUTED_VALUE"""),"นายธนพงษ์ วันหมัด")</f>
        <v>นายธนพงษ์ วันหมัด</v>
      </c>
      <c r="M2535" s="1" t="str">
        <f>IFERROR(__xludf.DUMMYFUNCTION("""COMPUTED_VALUE"""),"0813716913")</f>
        <v>0813716913</v>
      </c>
      <c r="N2535" s="3">
        <f>IFERROR(__xludf.DUMMYFUNCTION("""COMPUTED_VALUE"""),83281.0)</f>
        <v>83281</v>
      </c>
      <c r="O2535" s="3" t="str">
        <f>IFERROR(__xludf.DUMMYFUNCTION("""COMPUTED_VALUE"""),"ร้านโอ&amp;น้อยมินิมาร์ท (ป้าน้อยพันท้ายฯ)")</f>
        <v>ร้านโอ&amp;น้อยมินิมาร์ท (ป้าน้อยพันท้ายฯ)</v>
      </c>
      <c r="P2535" s="4">
        <f>IFERROR(__xludf.DUMMYFUNCTION("""COMPUTED_VALUE"""),44580.0)</f>
        <v>44580</v>
      </c>
      <c r="Q2535" s="3" t="str">
        <f>IFERROR(__xludf.DUMMYFUNCTION("""COMPUTED_VALUE"""),"I")</f>
        <v>I</v>
      </c>
      <c r="R2535" s="3" t="str">
        <f>IFERROR(__xludf.DUMMYFUNCTION("""COMPUTED_VALUE"""),"Small Format")</f>
        <v>Small Format</v>
      </c>
      <c r="S2535" s="3" t="str">
        <f>IFERROR(__xludf.DUMMYFUNCTION("""COMPUTED_VALUE"""),"Donjai")</f>
        <v>Donjai</v>
      </c>
      <c r="T2535" s="3" t="str">
        <f>IFERROR(__xludf.DUMMYFUNCTION("""COMPUTED_VALUE"""),"10 K.Phakphoom P.")</f>
        <v>10 K.Phakphoom P.</v>
      </c>
      <c r="U2535" s="3" t="str">
        <f>IFERROR(__xludf.DUMMYFUNCTION("""COMPUTED_VALUE"""),"10 K.Phakphoom P.")</f>
        <v>10 K.Phakphoom P.</v>
      </c>
      <c r="V2535" s="3" t="str">
        <f>IFERROR(__xludf.DUMMYFUNCTION("""COMPUTED_VALUE"""),"N")</f>
        <v>N</v>
      </c>
      <c r="W2535" s="3"/>
      <c r="X2535" s="3" t="str">
        <f>IFERROR(__xludf.DUMMYFUNCTION("""COMPUTED_VALUE"""),"128/14 ต.แสมดำ อ.บางขุนเทียน จ.กรุงเทพ")</f>
        <v>128/14 ต.แสมดำ อ.บางขุนเทียน จ.กรุงเทพ</v>
      </c>
      <c r="Y2535" s="3"/>
      <c r="Z2535" s="3">
        <f>IFERROR(__xludf.DUMMYFUNCTION("""COMPUTED_VALUE"""),0.0)</f>
        <v>0</v>
      </c>
      <c r="AA2535" s="3">
        <f>IFERROR(__xludf.DUMMYFUNCTION("""COMPUTED_VALUE"""),0.0)</f>
        <v>0</v>
      </c>
      <c r="AB2535" s="3" t="str">
        <f>IFERROR(__xludf.DUMMYFUNCTION("""COMPUTED_VALUE"""),"กรุงเทพมหานคร")</f>
        <v>กรุงเทพมหานคร</v>
      </c>
      <c r="AC2535" s="3">
        <f>IFERROR(__xludf.DUMMYFUNCTION("""COMPUTED_VALUE"""),0.0)</f>
        <v>0</v>
      </c>
      <c r="AD2535" s="3"/>
      <c r="AE2535" s="3"/>
      <c r="AF2535" s="3" t="str">
        <f>IFERROR(__xludf.DUMMYFUNCTION("""COMPUTED_VALUE"""),"ร้านโอ&amp;น้อยมินิมาร์ท (ป้าน้อยพันท้ายฯ)-83281")</f>
        <v>ร้านโอ&amp;น้อยมินิมาร์ท (ป้าน้อยพันท้ายฯ)-83281</v>
      </c>
      <c r="AG2535" s="3" t="str">
        <f>IFERROR(__xludf.DUMMYFUNCTION("""COMPUTED_VALUE"""),"กลาง")</f>
        <v>กลาง</v>
      </c>
      <c r="AH2535" s="3" t="str">
        <f>IFERROR(__xludf.DUMMYFUNCTION("""COMPUTED_VALUE"""),"#N/A")</f>
        <v>#N/A</v>
      </c>
      <c r="AI2535" s="3" t="str">
        <f>IFERROR(__xludf.DUMMYFUNCTION("""COMPUTED_VALUE"""),"Out of warranty")</f>
        <v>Out of warranty</v>
      </c>
      <c r="AJ2535" s="3">
        <f>IFERROR(__xludf.DUMMYFUNCTION("""COMPUTED_VALUE"""),49.0)</f>
        <v>49</v>
      </c>
      <c r="AK2535" s="3"/>
      <c r="AL2535" s="3"/>
    </row>
    <row r="2536" ht="15.75" customHeight="1">
      <c r="A2536" s="1" t="str">
        <f>IFERROR(__xludf.DUMMYFUNCTION("""COMPUTED_VALUE"""),"83282")</f>
        <v>83282</v>
      </c>
      <c r="B2536" s="2">
        <f>IFERROR(__xludf.DUMMYFUNCTION("""COMPUTED_VALUE"""),83282.0)</f>
        <v>83282</v>
      </c>
      <c r="C2536" s="3" t="str">
        <f>IFERROR(__xludf.DUMMYFUNCTION("""COMPUTED_VALUE"""),"ร้านหงษ์ฟ้ารุ่งดี")</f>
        <v>ร้านหงษ์ฟ้ารุ่งดี</v>
      </c>
      <c r="D2536" s="3" t="str">
        <f>IFERROR(__xludf.DUMMYFUNCTION("""COMPUTED_VALUE"""),"ร้านหงษ์ฟ้ารุ่งดี")</f>
        <v>ร้านหงษ์ฟ้ารุ่งดี</v>
      </c>
      <c r="E2536" s="1" t="str">
        <f>IFERROR(__xludf.DUMMYFUNCTION("""COMPUTED_VALUE"""),"Donjai")</f>
        <v>Donjai</v>
      </c>
      <c r="F2536" s="1" t="str">
        <f>IFERROR(__xludf.DUMMYFUNCTION("""COMPUTED_VALUE"""),"015361")</f>
        <v>015361</v>
      </c>
      <c r="G2536" s="1" t="str">
        <f>IFERROR(__xludf.DUMMYFUNCTION("""COMPUTED_VALUE"""),"นายสมบูรณ์ พรหมในเมือง")</f>
        <v>นายสมบูรณ์ พรหมในเมือง</v>
      </c>
      <c r="H2536" s="1" t="str">
        <f>IFERROR(__xludf.DUMMYFUNCTION("""COMPUTED_VALUE"""),"015361")</f>
        <v>015361</v>
      </c>
      <c r="I2536" s="1" t="str">
        <f>IFERROR(__xludf.DUMMYFUNCTION("""COMPUTED_VALUE"""),"นายสมบูรณ์ พรหมในเมือง")</f>
        <v>นายสมบูรณ์ พรหมในเมือง</v>
      </c>
      <c r="J2536" s="3">
        <f>IFERROR(__xludf.DUMMYFUNCTION("""COMPUTED_VALUE"""),295886.0)</f>
        <v>295886</v>
      </c>
      <c r="K2536" s="3" t="str">
        <f>IFERROR(__xludf.DUMMYFUNCTION("""COMPUTED_VALUE"""),"นายจิระพงษ์ โพธิ์นิล")</f>
        <v>นายจิระพงษ์ โพธิ์นิล</v>
      </c>
      <c r="L2536" s="1" t="str">
        <f>IFERROR(__xludf.DUMMYFUNCTION("""COMPUTED_VALUE"""),"นายจิระพงษ์ โพธิ์นิล")</f>
        <v>นายจิระพงษ์ โพธิ์นิล</v>
      </c>
      <c r="M2536" s="1" t="str">
        <f>IFERROR(__xludf.DUMMYFUNCTION("""COMPUTED_VALUE"""),"0933290754")</f>
        <v>0933290754</v>
      </c>
      <c r="N2536" s="3">
        <f>IFERROR(__xludf.DUMMYFUNCTION("""COMPUTED_VALUE"""),83282.0)</f>
        <v>83282</v>
      </c>
      <c r="O2536" s="3" t="str">
        <f>IFERROR(__xludf.DUMMYFUNCTION("""COMPUTED_VALUE"""),"ร้านหงษ์ฟ้ารุ่งดี")</f>
        <v>ร้านหงษ์ฟ้ารุ่งดี</v>
      </c>
      <c r="P2536" s="4">
        <f>IFERROR(__xludf.DUMMYFUNCTION("""COMPUTED_VALUE"""),44603.0)</f>
        <v>44603</v>
      </c>
      <c r="Q2536" s="3" t="str">
        <f>IFERROR(__xludf.DUMMYFUNCTION("""COMPUTED_VALUE"""),"I")</f>
        <v>I</v>
      </c>
      <c r="R2536" s="3" t="str">
        <f>IFERROR(__xludf.DUMMYFUNCTION("""COMPUTED_VALUE"""),"Small Format")</f>
        <v>Small Format</v>
      </c>
      <c r="S2536" s="3" t="str">
        <f>IFERROR(__xludf.DUMMYFUNCTION("""COMPUTED_VALUE"""),"Donjai")</f>
        <v>Donjai</v>
      </c>
      <c r="T2536" s="3" t="str">
        <f>IFERROR(__xludf.DUMMYFUNCTION("""COMPUTED_VALUE"""),"04 K.Somboon P.")</f>
        <v>04 K.Somboon P.</v>
      </c>
      <c r="U2536" s="3" t="str">
        <f>IFERROR(__xludf.DUMMYFUNCTION("""COMPUTED_VALUE"""),"04 K.Somboon P.")</f>
        <v>04 K.Somboon P.</v>
      </c>
      <c r="V2536" s="3" t="str">
        <f>IFERROR(__xludf.DUMMYFUNCTION("""COMPUTED_VALUE"""),"N")</f>
        <v>N</v>
      </c>
      <c r="W2536" s="3"/>
      <c r="X2536" s="3" t="str">
        <f>IFERROR(__xludf.DUMMYFUNCTION("""COMPUTED_VALUE"""),"เลขที่ 164 หมู่ที่ 3 ตำบลยางใหญ่ อำเภอน้ำยืน จังหวัดอุบลราชธานี 34260")</f>
        <v>เลขที่ 164 หมู่ที่ 3 ตำบลยางใหญ่ อำเภอน้ำยืน จังหวัดอุบลราชธานี 34260</v>
      </c>
      <c r="Y2536" s="3"/>
      <c r="Z2536" s="3">
        <f>IFERROR(__xludf.DUMMYFUNCTION("""COMPUTED_VALUE"""),0.0)</f>
        <v>0</v>
      </c>
      <c r="AA2536" s="3">
        <f>IFERROR(__xludf.DUMMYFUNCTION("""COMPUTED_VALUE"""),0.0)</f>
        <v>0</v>
      </c>
      <c r="AB2536" s="3" t="str">
        <f>IFERROR(__xludf.DUMMYFUNCTION("""COMPUTED_VALUE"""),"อุบลราชธานี")</f>
        <v>อุบลราชธานี</v>
      </c>
      <c r="AC2536" s="3">
        <f>IFERROR(__xludf.DUMMYFUNCTION("""COMPUTED_VALUE"""),34260.0)</f>
        <v>34260</v>
      </c>
      <c r="AD2536" s="3"/>
      <c r="AE2536" s="3"/>
      <c r="AF2536" s="3" t="str">
        <f>IFERROR(__xludf.DUMMYFUNCTION("""COMPUTED_VALUE"""),"ร้านหงษ์ฟ้ารุ่งดี-83282")</f>
        <v>ร้านหงษ์ฟ้ารุ่งดี-83282</v>
      </c>
      <c r="AG2536" s="3" t="str">
        <f>IFERROR(__xludf.DUMMYFUNCTION("""COMPUTED_VALUE"""),"ตะวันออกเฉียงเหนือ")</f>
        <v>ตะวันออกเฉียงเหนือ</v>
      </c>
      <c r="AH2536" s="3" t="str">
        <f>IFERROR(__xludf.DUMMYFUNCTION("""COMPUTED_VALUE"""),"#N/A")</f>
        <v>#N/A</v>
      </c>
      <c r="AI2536" s="3" t="str">
        <f>IFERROR(__xludf.DUMMYFUNCTION("""COMPUTED_VALUE"""),"Out of warranty")</f>
        <v>Out of warranty</v>
      </c>
      <c r="AJ2536" s="3">
        <f>IFERROR(__xludf.DUMMYFUNCTION("""COMPUTED_VALUE"""),48.0)</f>
        <v>48</v>
      </c>
      <c r="AK2536" s="3"/>
      <c r="AL2536" s="3"/>
    </row>
    <row r="2537" ht="15.75" customHeight="1">
      <c r="A2537" s="1" t="str">
        <f>IFERROR(__xludf.DUMMYFUNCTION("""COMPUTED_VALUE"""),"83283")</f>
        <v>83283</v>
      </c>
      <c r="B2537" s="2">
        <f>IFERROR(__xludf.DUMMYFUNCTION("""COMPUTED_VALUE"""),83283.0)</f>
        <v>83283</v>
      </c>
      <c r="C2537" s="3" t="str">
        <f>IFERROR(__xludf.DUMMYFUNCTION("""COMPUTED_VALUE"""),"ร้าน CT รวมทรัพย์ เจริญพาณิชย์")</f>
        <v>ร้าน CT รวมทรัพย์ เจริญพาณิชย์</v>
      </c>
      <c r="D2537" s="3" t="str">
        <f>IFERROR(__xludf.DUMMYFUNCTION("""COMPUTED_VALUE"""),"ร้าน CT รวมทรัพย์ เจริญพาณิชย์")</f>
        <v>ร้าน CT รวมทรัพย์ เจริญพาณิชย์</v>
      </c>
      <c r="E2537" s="1" t="str">
        <f>IFERROR(__xludf.DUMMYFUNCTION("""COMPUTED_VALUE"""),"Donjai")</f>
        <v>Donjai</v>
      </c>
      <c r="F2537" s="1" t="str">
        <f>IFERROR(__xludf.DUMMYFUNCTION("""COMPUTED_VALUE"""),"015361")</f>
        <v>015361</v>
      </c>
      <c r="G2537" s="1" t="str">
        <f>IFERROR(__xludf.DUMMYFUNCTION("""COMPUTED_VALUE"""),"นายสมบูรณ์ พรหมในเมือง")</f>
        <v>นายสมบูรณ์ พรหมในเมือง</v>
      </c>
      <c r="H2537" s="1" t="str">
        <f>IFERROR(__xludf.DUMMYFUNCTION("""COMPUTED_VALUE"""),"015361")</f>
        <v>015361</v>
      </c>
      <c r="I2537" s="1" t="str">
        <f>IFERROR(__xludf.DUMMYFUNCTION("""COMPUTED_VALUE"""),"นายสมบูรณ์ พรหมในเมือง")</f>
        <v>นายสมบูรณ์ พรหมในเมือง</v>
      </c>
      <c r="J2537" s="3">
        <f>IFERROR(__xludf.DUMMYFUNCTION("""COMPUTED_VALUE"""),295886.0)</f>
        <v>295886</v>
      </c>
      <c r="K2537" s="3" t="str">
        <f>IFERROR(__xludf.DUMMYFUNCTION("""COMPUTED_VALUE"""),"นายจิระพงษ์ โพธิ์นิล")</f>
        <v>นายจิระพงษ์ โพธิ์นิล</v>
      </c>
      <c r="L2537" s="1" t="str">
        <f>IFERROR(__xludf.DUMMYFUNCTION("""COMPUTED_VALUE"""),"นายจิระพงษ์ โพธิ์นิล")</f>
        <v>นายจิระพงษ์ โพธิ์นิล</v>
      </c>
      <c r="M2537" s="1" t="str">
        <f>IFERROR(__xludf.DUMMYFUNCTION("""COMPUTED_VALUE"""),"0933290754")</f>
        <v>0933290754</v>
      </c>
      <c r="N2537" s="3">
        <f>IFERROR(__xludf.DUMMYFUNCTION("""COMPUTED_VALUE"""),83283.0)</f>
        <v>83283</v>
      </c>
      <c r="O2537" s="3" t="str">
        <f>IFERROR(__xludf.DUMMYFUNCTION("""COMPUTED_VALUE"""),"ร้าน CT รวมทรัพย์ เจริญพาณิชย์")</f>
        <v>ร้าน CT รวมทรัพย์ เจริญพาณิชย์</v>
      </c>
      <c r="P2537" s="4">
        <f>IFERROR(__xludf.DUMMYFUNCTION("""COMPUTED_VALUE"""),44603.0)</f>
        <v>44603</v>
      </c>
      <c r="Q2537" s="3" t="str">
        <f>IFERROR(__xludf.DUMMYFUNCTION("""COMPUTED_VALUE"""),"A")</f>
        <v>A</v>
      </c>
      <c r="R2537" s="3" t="str">
        <f>IFERROR(__xludf.DUMMYFUNCTION("""COMPUTED_VALUE"""),"Small Format")</f>
        <v>Small Format</v>
      </c>
      <c r="S2537" s="3" t="str">
        <f>IFERROR(__xludf.DUMMYFUNCTION("""COMPUTED_VALUE"""),"Donjai")</f>
        <v>Donjai</v>
      </c>
      <c r="T2537" s="3" t="str">
        <f>IFERROR(__xludf.DUMMYFUNCTION("""COMPUTED_VALUE"""),"04 K.Somboon P.")</f>
        <v>04 K.Somboon P.</v>
      </c>
      <c r="U2537" s="3" t="str">
        <f>IFERROR(__xludf.DUMMYFUNCTION("""COMPUTED_VALUE"""),"04 K.Somboon P.")</f>
        <v>04 K.Somboon P.</v>
      </c>
      <c r="V2537" s="3" t="str">
        <f>IFERROR(__xludf.DUMMYFUNCTION("""COMPUTED_VALUE"""),"N")</f>
        <v>N</v>
      </c>
      <c r="W2537" s="3"/>
      <c r="X2537" s="3" t="str">
        <f>IFERROR(__xludf.DUMMYFUNCTION("""COMPUTED_VALUE"""),"292 หมู่2 ต.กู่กาสิงห์ อ.เกษตรวิสัย จ.ร้อยเอ็ด 45240")</f>
        <v>292 หมู่2 ต.กู่กาสิงห์ อ.เกษตรวิสัย จ.ร้อยเอ็ด 45240</v>
      </c>
      <c r="Y2537" s="3"/>
      <c r="Z2537" s="3">
        <f>IFERROR(__xludf.DUMMYFUNCTION("""COMPUTED_VALUE"""),0.0)</f>
        <v>0</v>
      </c>
      <c r="AA2537" s="3">
        <f>IFERROR(__xludf.DUMMYFUNCTION("""COMPUTED_VALUE"""),0.0)</f>
        <v>0</v>
      </c>
      <c r="AB2537" s="3" t="str">
        <f>IFERROR(__xludf.DUMMYFUNCTION("""COMPUTED_VALUE"""),"ร้อยเอ็ด")</f>
        <v>ร้อยเอ็ด</v>
      </c>
      <c r="AC2537" s="3">
        <f>IFERROR(__xludf.DUMMYFUNCTION("""COMPUTED_VALUE"""),45240.0)</f>
        <v>45240</v>
      </c>
      <c r="AD2537" s="3"/>
      <c r="AE2537" s="3"/>
      <c r="AF2537" s="3" t="str">
        <f>IFERROR(__xludf.DUMMYFUNCTION("""COMPUTED_VALUE"""),"ร้าน CT รวมทรัพย์ เจริญพาณิชย์-83283")</f>
        <v>ร้าน CT รวมทรัพย์ เจริญพาณิชย์-83283</v>
      </c>
      <c r="AG2537" s="3" t="str">
        <f>IFERROR(__xludf.DUMMYFUNCTION("""COMPUTED_VALUE"""),"ตะวันออกเฉียงเหนือ")</f>
        <v>ตะวันออกเฉียงเหนือ</v>
      </c>
      <c r="AH2537" s="3" t="str">
        <f>IFERROR(__xludf.DUMMYFUNCTION("""COMPUTED_VALUE"""),"#N/A")</f>
        <v>#N/A</v>
      </c>
      <c r="AI2537" s="3" t="str">
        <f>IFERROR(__xludf.DUMMYFUNCTION("""COMPUTED_VALUE"""),"Out of warranty")</f>
        <v>Out of warranty</v>
      </c>
      <c r="AJ2537" s="3">
        <f>IFERROR(__xludf.DUMMYFUNCTION("""COMPUTED_VALUE"""),48.0)</f>
        <v>48</v>
      </c>
      <c r="AK2537" s="3"/>
      <c r="AL2537" s="3"/>
    </row>
    <row r="2538" ht="15.75" customHeight="1">
      <c r="A2538" s="1" t="str">
        <f>IFERROR(__xludf.DUMMYFUNCTION("""COMPUTED_VALUE"""),"83284")</f>
        <v>83284</v>
      </c>
      <c r="B2538" s="2">
        <f>IFERROR(__xludf.DUMMYFUNCTION("""COMPUTED_VALUE"""),83284.0)</f>
        <v>83284</v>
      </c>
      <c r="C2538" s="3" t="str">
        <f>IFERROR(__xludf.DUMMYFUNCTION("""COMPUTED_VALUE"""),"ร้านสมศัก พาณิช")</f>
        <v>ร้านสมศัก พาณิช</v>
      </c>
      <c r="D2538" s="3" t="str">
        <f>IFERROR(__xludf.DUMMYFUNCTION("""COMPUTED_VALUE"""),"ร้านสมศัก พาณิช")</f>
        <v>ร้านสมศัก พาณิช</v>
      </c>
      <c r="E2538" s="1" t="str">
        <f>IFERROR(__xludf.DUMMYFUNCTION("""COMPUTED_VALUE"""),"Donjai")</f>
        <v>Donjai</v>
      </c>
      <c r="F2538" s="1" t="str">
        <f>IFERROR(__xludf.DUMMYFUNCTION("""COMPUTED_VALUE"""),"296868")</f>
        <v>296868</v>
      </c>
      <c r="G2538" s="1" t="str">
        <f>IFERROR(__xludf.DUMMYFUNCTION("""COMPUTED_VALUE"""),"นายพีระพงษ์ แก้วดวงดี")</f>
        <v>นายพีระพงษ์ แก้วดวงดี</v>
      </c>
      <c r="H2538" s="1" t="str">
        <f>IFERROR(__xludf.DUMMYFUNCTION("""COMPUTED_VALUE"""),"296868")</f>
        <v>296868</v>
      </c>
      <c r="I2538" s="1" t="str">
        <f>IFERROR(__xludf.DUMMYFUNCTION("""COMPUTED_VALUE"""),"นายพีระพงษ์ แก้วดวงดี")</f>
        <v>นายพีระพงษ์ แก้วดวงดี</v>
      </c>
      <c r="J2538" s="3">
        <f>IFERROR(__xludf.DUMMYFUNCTION("""COMPUTED_VALUE"""),295886.0)</f>
        <v>295886</v>
      </c>
      <c r="K2538" s="3" t="str">
        <f>IFERROR(__xludf.DUMMYFUNCTION("""COMPUTED_VALUE"""),"นายจิระพงษ์ โพธิ์นิล")</f>
        <v>นายจิระพงษ์ โพธิ์นิล</v>
      </c>
      <c r="L2538" s="1" t="str">
        <f>IFERROR(__xludf.DUMMYFUNCTION("""COMPUTED_VALUE"""),"นายจิระพงษ์ โพธิ์นิล")</f>
        <v>นายจิระพงษ์ โพธิ์นิล</v>
      </c>
      <c r="M2538" s="1" t="str">
        <f>IFERROR(__xludf.DUMMYFUNCTION("""COMPUTED_VALUE"""),"0933290754")</f>
        <v>0933290754</v>
      </c>
      <c r="N2538" s="3">
        <f>IFERROR(__xludf.DUMMYFUNCTION("""COMPUTED_VALUE"""),83284.0)</f>
        <v>83284</v>
      </c>
      <c r="O2538" s="3" t="str">
        <f>IFERROR(__xludf.DUMMYFUNCTION("""COMPUTED_VALUE"""),"ร้านสมศัก พาณิช")</f>
        <v>ร้านสมศัก พาณิช</v>
      </c>
      <c r="P2538" s="4">
        <f>IFERROR(__xludf.DUMMYFUNCTION("""COMPUTED_VALUE"""),44588.0)</f>
        <v>44588</v>
      </c>
      <c r="Q2538" s="3" t="str">
        <f>IFERROR(__xludf.DUMMYFUNCTION("""COMPUTED_VALUE"""),"I")</f>
        <v>I</v>
      </c>
      <c r="R2538" s="3" t="str">
        <f>IFERROR(__xludf.DUMMYFUNCTION("""COMPUTED_VALUE"""),"Small Format")</f>
        <v>Small Format</v>
      </c>
      <c r="S2538" s="3" t="str">
        <f>IFERROR(__xludf.DUMMYFUNCTION("""COMPUTED_VALUE"""),"Donjai")</f>
        <v>Donjai</v>
      </c>
      <c r="T2538" s="3" t="str">
        <f>IFERROR(__xludf.DUMMYFUNCTION("""COMPUTED_VALUE"""),"03 K.Peerapong K.")</f>
        <v>03 K.Peerapong K.</v>
      </c>
      <c r="U2538" s="3" t="str">
        <f>IFERROR(__xludf.DUMMYFUNCTION("""COMPUTED_VALUE"""),"03 K.Peerapong K.")</f>
        <v>03 K.Peerapong K.</v>
      </c>
      <c r="V2538" s="3" t="str">
        <f>IFERROR(__xludf.DUMMYFUNCTION("""COMPUTED_VALUE"""),"N")</f>
        <v>N</v>
      </c>
      <c r="W2538" s="3"/>
      <c r="X2538" s="3" t="str">
        <f>IFERROR(__xludf.DUMMYFUNCTION("""COMPUTED_VALUE"""),"101 หมู่ที่ 6 ต.เด่นราษฏร์ อ.หนองฮี จ.ร้อยเอ็ด")</f>
        <v>101 หมู่ที่ 6 ต.เด่นราษฏร์ อ.หนองฮี จ.ร้อยเอ็ด</v>
      </c>
      <c r="Y2538" s="3"/>
      <c r="Z2538" s="3">
        <f>IFERROR(__xludf.DUMMYFUNCTION("""COMPUTED_VALUE"""),0.0)</f>
        <v>0</v>
      </c>
      <c r="AA2538" s="3">
        <f>IFERROR(__xludf.DUMMYFUNCTION("""COMPUTED_VALUE"""),0.0)</f>
        <v>0</v>
      </c>
      <c r="AB2538" s="3" t="str">
        <f>IFERROR(__xludf.DUMMYFUNCTION("""COMPUTED_VALUE"""),"ร้อยเอ็ด")</f>
        <v>ร้อยเอ็ด</v>
      </c>
      <c r="AC2538" s="3">
        <f>IFERROR(__xludf.DUMMYFUNCTION("""COMPUTED_VALUE"""),0.0)</f>
        <v>0</v>
      </c>
      <c r="AD2538" s="3"/>
      <c r="AE2538" s="3"/>
      <c r="AF2538" s="3" t="str">
        <f>IFERROR(__xludf.DUMMYFUNCTION("""COMPUTED_VALUE"""),"ร้านสมศัก พาณิช-83284")</f>
        <v>ร้านสมศัก พาณิช-83284</v>
      </c>
      <c r="AG2538" s="3" t="str">
        <f>IFERROR(__xludf.DUMMYFUNCTION("""COMPUTED_VALUE"""),"ตะวันออกเฉียงเหนือ")</f>
        <v>ตะวันออกเฉียงเหนือ</v>
      </c>
      <c r="AH2538" s="3" t="str">
        <f>IFERROR(__xludf.DUMMYFUNCTION("""COMPUTED_VALUE"""),"#N/A")</f>
        <v>#N/A</v>
      </c>
      <c r="AI2538" s="3" t="str">
        <f>IFERROR(__xludf.DUMMYFUNCTION("""COMPUTED_VALUE"""),"Out of warranty")</f>
        <v>Out of warranty</v>
      </c>
      <c r="AJ2538" s="3">
        <f>IFERROR(__xludf.DUMMYFUNCTION("""COMPUTED_VALUE"""),48.0)</f>
        <v>48</v>
      </c>
      <c r="AK2538" s="3"/>
      <c r="AL2538" s="3"/>
    </row>
    <row r="2539" ht="15.75" customHeight="1">
      <c r="A2539" s="1" t="str">
        <f>IFERROR(__xludf.DUMMYFUNCTION("""COMPUTED_VALUE"""),"83285")</f>
        <v>83285</v>
      </c>
      <c r="B2539" s="2">
        <f>IFERROR(__xludf.DUMMYFUNCTION("""COMPUTED_VALUE"""),83285.0)</f>
        <v>83285</v>
      </c>
      <c r="C2539" s="3" t="str">
        <f>IFERROR(__xludf.DUMMYFUNCTION("""COMPUTED_VALUE"""),"ร้านคุณฐิติรัตน์ สายวงศ์อินทร์")</f>
        <v>ร้านคุณฐิติรัตน์ สายวงศ์อินทร์</v>
      </c>
      <c r="D2539" s="3" t="str">
        <f>IFERROR(__xludf.DUMMYFUNCTION("""COMPUTED_VALUE"""),"ร้านคุณฐิติรัตน์ สายวงศ์อินทร์")</f>
        <v>ร้านคุณฐิติรัตน์ สายวงศ์อินทร์</v>
      </c>
      <c r="E2539" s="1" t="str">
        <f>IFERROR(__xludf.DUMMYFUNCTION("""COMPUTED_VALUE"""),"Donjai")</f>
        <v>Donjai</v>
      </c>
      <c r="F2539" s="1" t="str">
        <f>IFERROR(__xludf.DUMMYFUNCTION("""COMPUTED_VALUE"""),"2010016")</f>
        <v>2010016</v>
      </c>
      <c r="G2539" s="1" t="str">
        <f>IFERROR(__xludf.DUMMYFUNCTION("""COMPUTED_VALUE"""),"นายตวงธรรม ใหม่ยศ")</f>
        <v>นายตวงธรรม ใหม่ยศ</v>
      </c>
      <c r="H2539" s="1" t="str">
        <f>IFERROR(__xludf.DUMMYFUNCTION("""COMPUTED_VALUE"""),"2010016")</f>
        <v>2010016</v>
      </c>
      <c r="I2539" s="1" t="str">
        <f>IFERROR(__xludf.DUMMYFUNCTION("""COMPUTED_VALUE"""),"นายตวงธรรม ใหม่ยศ")</f>
        <v>นายตวงธรรม ใหม่ยศ</v>
      </c>
      <c r="J2539" s="3">
        <f>IFERROR(__xludf.DUMMYFUNCTION("""COMPUTED_VALUE"""),295886.0)</f>
        <v>295886</v>
      </c>
      <c r="K2539" s="3" t="str">
        <f>IFERROR(__xludf.DUMMYFUNCTION("""COMPUTED_VALUE"""),"นายจิระพงษ์ โพธิ์นิล")</f>
        <v>นายจิระพงษ์ โพธิ์นิล</v>
      </c>
      <c r="L2539" s="1" t="str">
        <f>IFERROR(__xludf.DUMMYFUNCTION("""COMPUTED_VALUE"""),"นายจิระพงษ์ โพธิ์นิล")</f>
        <v>นายจิระพงษ์ โพธิ์นิล</v>
      </c>
      <c r="M2539" s="1" t="str">
        <f>IFERROR(__xludf.DUMMYFUNCTION("""COMPUTED_VALUE"""),"0933290754")</f>
        <v>0933290754</v>
      </c>
      <c r="N2539" s="3">
        <f>IFERROR(__xludf.DUMMYFUNCTION("""COMPUTED_VALUE"""),83285.0)</f>
        <v>83285</v>
      </c>
      <c r="O2539" s="3" t="str">
        <f>IFERROR(__xludf.DUMMYFUNCTION("""COMPUTED_VALUE"""),"ร้านคุณฐิติรัตน์ สายวงศ์อินทร์")</f>
        <v>ร้านคุณฐิติรัตน์ สายวงศ์อินทร์</v>
      </c>
      <c r="P2539" s="4">
        <f>IFERROR(__xludf.DUMMYFUNCTION("""COMPUTED_VALUE"""),44592.0)</f>
        <v>44592</v>
      </c>
      <c r="Q2539" s="3" t="str">
        <f>IFERROR(__xludf.DUMMYFUNCTION("""COMPUTED_VALUE"""),"A")</f>
        <v>A</v>
      </c>
      <c r="R2539" s="3" t="str">
        <f>IFERROR(__xludf.DUMMYFUNCTION("""COMPUTED_VALUE"""),"Small Format")</f>
        <v>Small Format</v>
      </c>
      <c r="S2539" s="3" t="str">
        <f>IFERROR(__xludf.DUMMYFUNCTION("""COMPUTED_VALUE"""),"Donjai")</f>
        <v>Donjai</v>
      </c>
      <c r="T2539" s="3" t="str">
        <f>IFERROR(__xludf.DUMMYFUNCTION("""COMPUTED_VALUE"""),"01 K.Tuangtham M.")</f>
        <v>01 K.Tuangtham M.</v>
      </c>
      <c r="U2539" s="3" t="str">
        <f>IFERROR(__xludf.DUMMYFUNCTION("""COMPUTED_VALUE"""),"01 K.Tuangtham M.")</f>
        <v>01 K.Tuangtham M.</v>
      </c>
      <c r="V2539" s="3" t="str">
        <f>IFERROR(__xludf.DUMMYFUNCTION("""COMPUTED_VALUE"""),"N")</f>
        <v>N</v>
      </c>
      <c r="W2539" s="3"/>
      <c r="X2539" s="3" t="str">
        <f>IFERROR(__xludf.DUMMYFUNCTION("""COMPUTED_VALUE"""),"บ้านเลขที่ 108/9 ต.ท่าวังตาล อ.สารภี จ.เชียงใหม่ 50140")</f>
        <v>บ้านเลขที่ 108/9 ต.ท่าวังตาล อ.สารภี จ.เชียงใหม่ 50140</v>
      </c>
      <c r="Y2539" s="3"/>
      <c r="Z2539" s="3" t="str">
        <f>IFERROR(__xludf.DUMMYFUNCTION("""COMPUTED_VALUE"""),"ท่าวังตาล")</f>
        <v>ท่าวังตาล</v>
      </c>
      <c r="AA2539" s="3" t="str">
        <f>IFERROR(__xludf.DUMMYFUNCTION("""COMPUTED_VALUE"""),"สารภี")</f>
        <v>สารภี</v>
      </c>
      <c r="AB2539" s="3" t="str">
        <f>IFERROR(__xludf.DUMMYFUNCTION("""COMPUTED_VALUE"""),"เชียงใหม่")</f>
        <v>เชียงใหม่</v>
      </c>
      <c r="AC2539" s="3">
        <f>IFERROR(__xludf.DUMMYFUNCTION("""COMPUTED_VALUE"""),50140.0)</f>
        <v>50140</v>
      </c>
      <c r="AD2539" s="3"/>
      <c r="AE2539" s="3"/>
      <c r="AF2539" s="3" t="str">
        <f>IFERROR(__xludf.DUMMYFUNCTION("""COMPUTED_VALUE"""),"ร้านคุณฐิติรัตน์ สายวงศ์อินทร์-83285")</f>
        <v>ร้านคุณฐิติรัตน์ สายวงศ์อินทร์-83285</v>
      </c>
      <c r="AG2539" s="3" t="str">
        <f>IFERROR(__xludf.DUMMYFUNCTION("""COMPUTED_VALUE"""),"เหนือ")</f>
        <v>เหนือ</v>
      </c>
      <c r="AH2539" s="3" t="str">
        <f>IFERROR(__xludf.DUMMYFUNCTION("""COMPUTED_VALUE"""),"#N/A")</f>
        <v>#N/A</v>
      </c>
      <c r="AI2539" s="3" t="str">
        <f>IFERROR(__xludf.DUMMYFUNCTION("""COMPUTED_VALUE"""),"Out of warranty")</f>
        <v>Out of warranty</v>
      </c>
      <c r="AJ2539" s="3">
        <f>IFERROR(__xludf.DUMMYFUNCTION("""COMPUTED_VALUE"""),48.0)</f>
        <v>48</v>
      </c>
      <c r="AK2539" s="3"/>
      <c r="AL2539" s="3"/>
    </row>
    <row r="2540" ht="15.75" customHeight="1">
      <c r="A2540" s="1" t="str">
        <f>IFERROR(__xludf.DUMMYFUNCTION("""COMPUTED_VALUE"""),"83286")</f>
        <v>83286</v>
      </c>
      <c r="B2540" s="2">
        <f>IFERROR(__xludf.DUMMYFUNCTION("""COMPUTED_VALUE"""),83286.0)</f>
        <v>83286</v>
      </c>
      <c r="C2540" s="3" t="str">
        <f>IFERROR(__xludf.DUMMYFUNCTION("""COMPUTED_VALUE"""),"ทวีผล")</f>
        <v>ทวีผล</v>
      </c>
      <c r="D2540" s="3" t="str">
        <f>IFERROR(__xludf.DUMMYFUNCTION("""COMPUTED_VALUE"""),"ทวีผล")</f>
        <v>ทวีผล</v>
      </c>
      <c r="E2540" s="1" t="str">
        <f>IFERROR(__xludf.DUMMYFUNCTION("""COMPUTED_VALUE"""),"Donjai")</f>
        <v>Donjai</v>
      </c>
      <c r="F2540" s="1" t="str">
        <f>IFERROR(__xludf.DUMMYFUNCTION("""COMPUTED_VALUE"""),"046214")</f>
        <v>046214</v>
      </c>
      <c r="G2540" s="1" t="str">
        <f>IFERROR(__xludf.DUMMYFUNCTION("""COMPUTED_VALUE"""),"นายศักดิ์ชัย เด็ดดอกฟ้า")</f>
        <v>นายศักดิ์ชัย เด็ดดอกฟ้า</v>
      </c>
      <c r="H2540" s="1" t="str">
        <f>IFERROR(__xludf.DUMMYFUNCTION("""COMPUTED_VALUE"""),"046214")</f>
        <v>046214</v>
      </c>
      <c r="I2540" s="1" t="str">
        <f>IFERROR(__xludf.DUMMYFUNCTION("""COMPUTED_VALUE"""),"นายศักดิ์ชัย เด็ดดอกฟ้า")</f>
        <v>นายศักดิ์ชัย เด็ดดอกฟ้า</v>
      </c>
      <c r="J2540" s="3">
        <f>IFERROR(__xludf.DUMMYFUNCTION("""COMPUTED_VALUE"""),295886.0)</f>
        <v>295886</v>
      </c>
      <c r="K2540" s="3" t="str">
        <f>IFERROR(__xludf.DUMMYFUNCTION("""COMPUTED_VALUE"""),"นายจิระพงษ์ โพธิ์นิล")</f>
        <v>นายจิระพงษ์ โพธิ์นิล</v>
      </c>
      <c r="L2540" s="1" t="str">
        <f>IFERROR(__xludf.DUMMYFUNCTION("""COMPUTED_VALUE"""),"นายจิระพงษ์ โพธิ์นิล")</f>
        <v>นายจิระพงษ์ โพธิ์นิล</v>
      </c>
      <c r="M2540" s="1" t="str">
        <f>IFERROR(__xludf.DUMMYFUNCTION("""COMPUTED_VALUE"""),"0933290754")</f>
        <v>0933290754</v>
      </c>
      <c r="N2540" s="3">
        <f>IFERROR(__xludf.DUMMYFUNCTION("""COMPUTED_VALUE"""),83286.0)</f>
        <v>83286</v>
      </c>
      <c r="O2540" s="3" t="str">
        <f>IFERROR(__xludf.DUMMYFUNCTION("""COMPUTED_VALUE"""),"ทวีผล")</f>
        <v>ทวีผล</v>
      </c>
      <c r="P2540" s="4">
        <f>IFERROR(__xludf.DUMMYFUNCTION("""COMPUTED_VALUE"""),44585.0)</f>
        <v>44585</v>
      </c>
      <c r="Q2540" s="3" t="str">
        <f>IFERROR(__xludf.DUMMYFUNCTION("""COMPUTED_VALUE"""),"A")</f>
        <v>A</v>
      </c>
      <c r="R2540" s="3" t="str">
        <f>IFERROR(__xludf.DUMMYFUNCTION("""COMPUTED_VALUE"""),"Small Format")</f>
        <v>Small Format</v>
      </c>
      <c r="S2540" s="3" t="str">
        <f>IFERROR(__xludf.DUMMYFUNCTION("""COMPUTED_VALUE"""),"Donjai")</f>
        <v>Donjai</v>
      </c>
      <c r="T2540" s="3" t="str">
        <f>IFERROR(__xludf.DUMMYFUNCTION("""COMPUTED_VALUE"""),"02 K.Sakchai D")</f>
        <v>02 K.Sakchai D</v>
      </c>
      <c r="U2540" s="3" t="str">
        <f>IFERROR(__xludf.DUMMYFUNCTION("""COMPUTED_VALUE"""),"02 K.Sakchai D")</f>
        <v>02 K.Sakchai D</v>
      </c>
      <c r="V2540" s="3" t="str">
        <f>IFERROR(__xludf.DUMMYFUNCTION("""COMPUTED_VALUE"""),"N")</f>
        <v>N</v>
      </c>
      <c r="W2540" s="3"/>
      <c r="X2540" s="3" t="str">
        <f>IFERROR(__xludf.DUMMYFUNCTION("""COMPUTED_VALUE"""),"หมู่7 ซอยเทศบาล8 ตำบลไรขิง อำเภอสามพราน จังหวัดนครปฐม 73010")</f>
        <v>หมู่7 ซอยเทศบาล8 ตำบลไรขิง อำเภอสามพราน จังหวัดนครปฐม 73010</v>
      </c>
      <c r="Y2540" s="3"/>
      <c r="Z2540" s="3">
        <f>IFERROR(__xludf.DUMMYFUNCTION("""COMPUTED_VALUE"""),0.0)</f>
        <v>0</v>
      </c>
      <c r="AA2540" s="3">
        <f>IFERROR(__xludf.DUMMYFUNCTION("""COMPUTED_VALUE"""),0.0)</f>
        <v>0</v>
      </c>
      <c r="AB2540" s="3" t="str">
        <f>IFERROR(__xludf.DUMMYFUNCTION("""COMPUTED_VALUE"""),"นครปฐม")</f>
        <v>นครปฐม</v>
      </c>
      <c r="AC2540" s="3">
        <f>IFERROR(__xludf.DUMMYFUNCTION("""COMPUTED_VALUE"""),73010.0)</f>
        <v>73010</v>
      </c>
      <c r="AD2540" s="3"/>
      <c r="AE2540" s="3"/>
      <c r="AF2540" s="3" t="str">
        <f>IFERROR(__xludf.DUMMYFUNCTION("""COMPUTED_VALUE"""),"ทวีผล-83286")</f>
        <v>ทวีผล-83286</v>
      </c>
      <c r="AG2540" s="3" t="str">
        <f>IFERROR(__xludf.DUMMYFUNCTION("""COMPUTED_VALUE"""),"กลาง")</f>
        <v>กลาง</v>
      </c>
      <c r="AH2540" s="3" t="str">
        <f>IFERROR(__xludf.DUMMYFUNCTION("""COMPUTED_VALUE"""),"#N/A")</f>
        <v>#N/A</v>
      </c>
      <c r="AI2540" s="3" t="str">
        <f>IFERROR(__xludf.DUMMYFUNCTION("""COMPUTED_VALUE"""),"Out of warranty")</f>
        <v>Out of warranty</v>
      </c>
      <c r="AJ2540" s="3">
        <f>IFERROR(__xludf.DUMMYFUNCTION("""COMPUTED_VALUE"""),48.0)</f>
        <v>48</v>
      </c>
      <c r="AK2540" s="3"/>
      <c r="AL2540" s="3"/>
    </row>
    <row r="2541" ht="15.75" customHeight="1">
      <c r="A2541" s="1" t="str">
        <f>IFERROR(__xludf.DUMMYFUNCTION("""COMPUTED_VALUE"""),"83287")</f>
        <v>83287</v>
      </c>
      <c r="B2541" s="2">
        <f>IFERROR(__xludf.DUMMYFUNCTION("""COMPUTED_VALUE"""),83287.0)</f>
        <v>83287</v>
      </c>
      <c r="C2541" s="3" t="str">
        <f>IFERROR(__xludf.DUMMYFUNCTION("""COMPUTED_VALUE"""),"ร้านกาญจนาพาณิชย์")</f>
        <v>ร้านกาญจนาพาณิชย์</v>
      </c>
      <c r="D2541" s="3" t="str">
        <f>IFERROR(__xludf.DUMMYFUNCTION("""COMPUTED_VALUE"""),"ร้านกาญจนาพาณิชย์")</f>
        <v>ร้านกาญจนาพาณิชย์</v>
      </c>
      <c r="E2541" s="1" t="str">
        <f>IFERROR(__xludf.DUMMYFUNCTION("""COMPUTED_VALUE"""),"Donjai")</f>
        <v>Donjai</v>
      </c>
      <c r="F2541" s="1" t="str">
        <f>IFERROR(__xludf.DUMMYFUNCTION("""COMPUTED_VALUE"""),"296608")</f>
        <v>296608</v>
      </c>
      <c r="G2541" s="1" t="str">
        <f>IFERROR(__xludf.DUMMYFUNCTION("""COMPUTED_VALUE"""),"นายภาคภูมิ เพ็ชรนิล")</f>
        <v>นายภาคภูมิ เพ็ชรนิล</v>
      </c>
      <c r="H2541" s="1" t="str">
        <f>IFERROR(__xludf.DUMMYFUNCTION("""COMPUTED_VALUE"""),"296608")</f>
        <v>296608</v>
      </c>
      <c r="I2541" s="1" t="str">
        <f>IFERROR(__xludf.DUMMYFUNCTION("""COMPUTED_VALUE"""),"นายภาคภูมิ เพ็ชรนิล")</f>
        <v>นายภาคภูมิ เพ็ชรนิล</v>
      </c>
      <c r="J2541" s="3">
        <f>IFERROR(__xludf.DUMMYFUNCTION("""COMPUTED_VALUE"""),228031.0)</f>
        <v>228031</v>
      </c>
      <c r="K2541" s="3" t="str">
        <f>IFERROR(__xludf.DUMMYFUNCTION("""COMPUTED_VALUE"""),"นายธนพงษ์ วันหมัด")</f>
        <v>นายธนพงษ์ วันหมัด</v>
      </c>
      <c r="L2541" s="1" t="str">
        <f>IFERROR(__xludf.DUMMYFUNCTION("""COMPUTED_VALUE"""),"นายธนพงษ์ วันหมัด")</f>
        <v>นายธนพงษ์ วันหมัด</v>
      </c>
      <c r="M2541" s="1" t="str">
        <f>IFERROR(__xludf.DUMMYFUNCTION("""COMPUTED_VALUE"""),"0813716913")</f>
        <v>0813716913</v>
      </c>
      <c r="N2541" s="3">
        <f>IFERROR(__xludf.DUMMYFUNCTION("""COMPUTED_VALUE"""),83287.0)</f>
        <v>83287</v>
      </c>
      <c r="O2541" s="3" t="str">
        <f>IFERROR(__xludf.DUMMYFUNCTION("""COMPUTED_VALUE"""),"ร้านกาญจนาพาณิชย์")</f>
        <v>ร้านกาญจนาพาณิชย์</v>
      </c>
      <c r="P2541" s="4">
        <f>IFERROR(__xludf.DUMMYFUNCTION("""COMPUTED_VALUE"""),44580.0)</f>
        <v>44580</v>
      </c>
      <c r="Q2541" s="3" t="str">
        <f>IFERROR(__xludf.DUMMYFUNCTION("""COMPUTED_VALUE"""),"A")</f>
        <v>A</v>
      </c>
      <c r="R2541" s="3" t="str">
        <f>IFERROR(__xludf.DUMMYFUNCTION("""COMPUTED_VALUE"""),"Small Format")</f>
        <v>Small Format</v>
      </c>
      <c r="S2541" s="3" t="str">
        <f>IFERROR(__xludf.DUMMYFUNCTION("""COMPUTED_VALUE"""),"Donjai")</f>
        <v>Donjai</v>
      </c>
      <c r="T2541" s="3" t="str">
        <f>IFERROR(__xludf.DUMMYFUNCTION("""COMPUTED_VALUE"""),"10 K.Phakphoom P.")</f>
        <v>10 K.Phakphoom P.</v>
      </c>
      <c r="U2541" s="3" t="str">
        <f>IFERROR(__xludf.DUMMYFUNCTION("""COMPUTED_VALUE"""),"10 K.Phakphoom P.")</f>
        <v>10 K.Phakphoom P.</v>
      </c>
      <c r="V2541" s="3" t="str">
        <f>IFERROR(__xludf.DUMMYFUNCTION("""COMPUTED_VALUE"""),"N")</f>
        <v>N</v>
      </c>
      <c r="W2541" s="3"/>
      <c r="X2541" s="3" t="str">
        <f>IFERROR(__xludf.DUMMYFUNCTION("""COMPUTED_VALUE"""),"1 ซ.พระราม2 ซ.69 แยก 3-2-9 แสมดำ บางขุนเทียน กทม")</f>
        <v>1 ซ.พระราม2 ซ.69 แยก 3-2-9 แสมดำ บางขุนเทียน กทม</v>
      </c>
      <c r="Y2541" s="3"/>
      <c r="Z2541" s="3">
        <f>IFERROR(__xludf.DUMMYFUNCTION("""COMPUTED_VALUE"""),0.0)</f>
        <v>0</v>
      </c>
      <c r="AA2541" s="3">
        <f>IFERROR(__xludf.DUMMYFUNCTION("""COMPUTED_VALUE"""),0.0)</f>
        <v>0</v>
      </c>
      <c r="AB2541" s="3" t="str">
        <f>IFERROR(__xludf.DUMMYFUNCTION("""COMPUTED_VALUE"""),"กรุงเทพมหานคร")</f>
        <v>กรุงเทพมหานคร</v>
      </c>
      <c r="AC2541" s="3">
        <f>IFERROR(__xludf.DUMMYFUNCTION("""COMPUTED_VALUE"""),0.0)</f>
        <v>0</v>
      </c>
      <c r="AD2541" s="3"/>
      <c r="AE2541" s="3"/>
      <c r="AF2541" s="3" t="str">
        <f>IFERROR(__xludf.DUMMYFUNCTION("""COMPUTED_VALUE"""),"ร้านกาญจนาพาณิชย์-83287")</f>
        <v>ร้านกาญจนาพาณิชย์-83287</v>
      </c>
      <c r="AG2541" s="3" t="str">
        <f>IFERROR(__xludf.DUMMYFUNCTION("""COMPUTED_VALUE"""),"กลาง")</f>
        <v>กลาง</v>
      </c>
      <c r="AH2541" s="3" t="str">
        <f>IFERROR(__xludf.DUMMYFUNCTION("""COMPUTED_VALUE"""),"#N/A")</f>
        <v>#N/A</v>
      </c>
      <c r="AI2541" s="3" t="str">
        <f>IFERROR(__xludf.DUMMYFUNCTION("""COMPUTED_VALUE"""),"Out of warranty")</f>
        <v>Out of warranty</v>
      </c>
      <c r="AJ2541" s="3">
        <f>IFERROR(__xludf.DUMMYFUNCTION("""COMPUTED_VALUE"""),49.0)</f>
        <v>49</v>
      </c>
      <c r="AK2541" s="3"/>
      <c r="AL2541" s="3"/>
    </row>
    <row r="2542" ht="15.75" customHeight="1">
      <c r="A2542" s="1" t="str">
        <f>IFERROR(__xludf.DUMMYFUNCTION("""COMPUTED_VALUE"""),"83288")</f>
        <v>83288</v>
      </c>
      <c r="B2542" s="2">
        <f>IFERROR(__xludf.DUMMYFUNCTION("""COMPUTED_VALUE"""),83288.0)</f>
        <v>83288</v>
      </c>
      <c r="C2542" s="3" t="str">
        <f>IFERROR(__xludf.DUMMYFUNCTION("""COMPUTED_VALUE"""),"ร้าน โดนใจ By อร")</f>
        <v>ร้าน โดนใจ By อร</v>
      </c>
      <c r="D2542" s="3" t="str">
        <f>IFERROR(__xludf.DUMMYFUNCTION("""COMPUTED_VALUE"""),"ร้าน โดนใจ By อร")</f>
        <v>ร้าน โดนใจ By อร</v>
      </c>
      <c r="E2542" s="1" t="str">
        <f>IFERROR(__xludf.DUMMYFUNCTION("""COMPUTED_VALUE"""),"Donjai")</f>
        <v>Donjai</v>
      </c>
      <c r="F2542" s="1" t="str">
        <f>IFERROR(__xludf.DUMMYFUNCTION("""COMPUTED_VALUE"""),"13461215")</f>
        <v>13461215</v>
      </c>
      <c r="G2542" s="1" t="str">
        <f>IFERROR(__xludf.DUMMYFUNCTION("""COMPUTED_VALUE"""),"นายธีรภัทร สังข์เงิน")</f>
        <v>นายธีรภัทร สังข์เงิน</v>
      </c>
      <c r="H2542" s="1" t="str">
        <f>IFERROR(__xludf.DUMMYFUNCTION("""COMPUTED_VALUE"""),"13461215")</f>
        <v>13461215</v>
      </c>
      <c r="I2542" s="1" t="str">
        <f>IFERROR(__xludf.DUMMYFUNCTION("""COMPUTED_VALUE"""),"นายธีรภัทร สังข์เงิน")</f>
        <v>นายธีรภัทร สังข์เงิน</v>
      </c>
      <c r="J2542" s="3">
        <f>IFERROR(__xludf.DUMMYFUNCTION("""COMPUTED_VALUE"""),295541.0)</f>
        <v>295541</v>
      </c>
      <c r="K2542" s="3" t="str">
        <f>IFERROR(__xludf.DUMMYFUNCTION("""COMPUTED_VALUE"""),"นายรพิพล ศรีมาตย์")</f>
        <v>นายรพิพล ศรีมาตย์</v>
      </c>
      <c r="L2542" s="1" t="str">
        <f>IFERROR(__xludf.DUMMYFUNCTION("""COMPUTED_VALUE"""),"นายรพิพล ศรีมาตย์")</f>
        <v>นายรพิพล ศรีมาตย์</v>
      </c>
      <c r="M2542" s="1" t="str">
        <f>IFERROR(__xludf.DUMMYFUNCTION("""COMPUTED_VALUE"""),"0613966115")</f>
        <v>0613966115</v>
      </c>
      <c r="N2542" s="3">
        <f>IFERROR(__xludf.DUMMYFUNCTION("""COMPUTED_VALUE"""),83288.0)</f>
        <v>83288</v>
      </c>
      <c r="O2542" s="3" t="str">
        <f>IFERROR(__xludf.DUMMYFUNCTION("""COMPUTED_VALUE"""),"ร้าน โดนใจ By อร")</f>
        <v>ร้าน โดนใจ By อร</v>
      </c>
      <c r="P2542" s="4">
        <f>IFERROR(__xludf.DUMMYFUNCTION("""COMPUTED_VALUE"""),44581.0)</f>
        <v>44581</v>
      </c>
      <c r="Q2542" s="3" t="str">
        <f>IFERROR(__xludf.DUMMYFUNCTION("""COMPUTED_VALUE"""),"A")</f>
        <v>A</v>
      </c>
      <c r="R2542" s="3" t="str">
        <f>IFERROR(__xludf.DUMMYFUNCTION("""COMPUTED_VALUE"""),"Small Format")</f>
        <v>Small Format</v>
      </c>
      <c r="S2542" s="3" t="str">
        <f>IFERROR(__xludf.DUMMYFUNCTION("""COMPUTED_VALUE"""),"Donjai")</f>
        <v>Donjai</v>
      </c>
      <c r="T2542" s="3" t="str">
        <f>IFERROR(__xludf.DUMMYFUNCTION("""COMPUTED_VALUE"""),"06 K.Teerapat")</f>
        <v>06 K.Teerapat</v>
      </c>
      <c r="U2542" s="3" t="str">
        <f>IFERROR(__xludf.DUMMYFUNCTION("""COMPUTED_VALUE"""),"06 K.Teerapat")</f>
        <v>06 K.Teerapat</v>
      </c>
      <c r="V2542" s="3" t="str">
        <f>IFERROR(__xludf.DUMMYFUNCTION("""COMPUTED_VALUE"""),"N")</f>
        <v>N</v>
      </c>
      <c r="W2542" s="3"/>
      <c r="X2542" s="3" t="str">
        <f>IFERROR(__xludf.DUMMYFUNCTION("""COMPUTED_VALUE"""),"เขามะกอก6/11 ต.ห้วยใหญ่ อบางละมุงจ.ชลบุรี")</f>
        <v>เขามะกอก6/11 ต.ห้วยใหญ่ อบางละมุงจ.ชลบุรี</v>
      </c>
      <c r="Y2542" s="3"/>
      <c r="Z2542" s="3">
        <f>IFERROR(__xludf.DUMMYFUNCTION("""COMPUTED_VALUE"""),0.0)</f>
        <v>0</v>
      </c>
      <c r="AA2542" s="3">
        <f>IFERROR(__xludf.DUMMYFUNCTION("""COMPUTED_VALUE"""),0.0)</f>
        <v>0</v>
      </c>
      <c r="AB2542" s="3" t="str">
        <f>IFERROR(__xludf.DUMMYFUNCTION("""COMPUTED_VALUE"""),"ชลบุรี")</f>
        <v>ชลบุรี</v>
      </c>
      <c r="AC2542" s="3">
        <f>IFERROR(__xludf.DUMMYFUNCTION("""COMPUTED_VALUE"""),0.0)</f>
        <v>0</v>
      </c>
      <c r="AD2542" s="3"/>
      <c r="AE2542" s="3"/>
      <c r="AF2542" s="3" t="str">
        <f>IFERROR(__xludf.DUMMYFUNCTION("""COMPUTED_VALUE"""),"ร้าน โดนใจ By อร -83288")</f>
        <v>ร้าน โดนใจ By อร -83288</v>
      </c>
      <c r="AG2542" s="3" t="str">
        <f>IFERROR(__xludf.DUMMYFUNCTION("""COMPUTED_VALUE"""),"ตะวันออก")</f>
        <v>ตะวันออก</v>
      </c>
      <c r="AH2542" s="3" t="str">
        <f>IFERROR(__xludf.DUMMYFUNCTION("""COMPUTED_VALUE"""),"#N/A")</f>
        <v>#N/A</v>
      </c>
      <c r="AI2542" s="3" t="str">
        <f>IFERROR(__xludf.DUMMYFUNCTION("""COMPUTED_VALUE"""),"Out of warranty")</f>
        <v>Out of warranty</v>
      </c>
      <c r="AJ2542" s="3">
        <f>IFERROR(__xludf.DUMMYFUNCTION("""COMPUTED_VALUE"""),49.0)</f>
        <v>49</v>
      </c>
      <c r="AK2542" s="3"/>
      <c r="AL2542" s="3"/>
    </row>
    <row r="2543" ht="15.75" customHeight="1">
      <c r="A2543" s="1" t="str">
        <f>IFERROR(__xludf.DUMMYFUNCTION("""COMPUTED_VALUE"""),"83289")</f>
        <v>83289</v>
      </c>
      <c r="B2543" s="2">
        <f>IFERROR(__xludf.DUMMYFUNCTION("""COMPUTED_VALUE"""),83289.0)</f>
        <v>83289</v>
      </c>
      <c r="C2543" s="3" t="str">
        <f>IFERROR(__xludf.DUMMYFUNCTION("""COMPUTED_VALUE"""),"ร้านสายหวาน มินิมาร์ท")</f>
        <v>ร้านสายหวาน มินิมาร์ท</v>
      </c>
      <c r="D2543" s="3" t="str">
        <f>IFERROR(__xludf.DUMMYFUNCTION("""COMPUTED_VALUE"""),"ร้านสายหวาน มินิมาร์ท")</f>
        <v>ร้านสายหวาน มินิมาร์ท</v>
      </c>
      <c r="E2543" s="1" t="str">
        <f>IFERROR(__xludf.DUMMYFUNCTION("""COMPUTED_VALUE"""),"Donjai")</f>
        <v>Donjai</v>
      </c>
      <c r="F2543" s="1" t="str">
        <f>IFERROR(__xludf.DUMMYFUNCTION("""COMPUTED_VALUE"""),"296608")</f>
        <v>296608</v>
      </c>
      <c r="G2543" s="1" t="str">
        <f>IFERROR(__xludf.DUMMYFUNCTION("""COMPUTED_VALUE"""),"นายภาคภูมิ เพ็ชรนิล")</f>
        <v>นายภาคภูมิ เพ็ชรนิล</v>
      </c>
      <c r="H2543" s="1" t="str">
        <f>IFERROR(__xludf.DUMMYFUNCTION("""COMPUTED_VALUE"""),"296608")</f>
        <v>296608</v>
      </c>
      <c r="I2543" s="1" t="str">
        <f>IFERROR(__xludf.DUMMYFUNCTION("""COMPUTED_VALUE"""),"นายภาคภูมิ เพ็ชรนิล")</f>
        <v>นายภาคภูมิ เพ็ชรนิล</v>
      </c>
      <c r="J2543" s="3">
        <f>IFERROR(__xludf.DUMMYFUNCTION("""COMPUTED_VALUE"""),228031.0)</f>
        <v>228031</v>
      </c>
      <c r="K2543" s="3" t="str">
        <f>IFERROR(__xludf.DUMMYFUNCTION("""COMPUTED_VALUE"""),"นายธนพงษ์ วันหมัด")</f>
        <v>นายธนพงษ์ วันหมัด</v>
      </c>
      <c r="L2543" s="1" t="str">
        <f>IFERROR(__xludf.DUMMYFUNCTION("""COMPUTED_VALUE"""),"นายธนพงษ์ วันหมัด")</f>
        <v>นายธนพงษ์ วันหมัด</v>
      </c>
      <c r="M2543" s="1" t="str">
        <f>IFERROR(__xludf.DUMMYFUNCTION("""COMPUTED_VALUE"""),"0813716913")</f>
        <v>0813716913</v>
      </c>
      <c r="N2543" s="3">
        <f>IFERROR(__xludf.DUMMYFUNCTION("""COMPUTED_VALUE"""),83289.0)</f>
        <v>83289</v>
      </c>
      <c r="O2543" s="3" t="str">
        <f>IFERROR(__xludf.DUMMYFUNCTION("""COMPUTED_VALUE"""),"ร้านสายหวาน มินิมาร์ท")</f>
        <v>ร้านสายหวาน มินิมาร์ท</v>
      </c>
      <c r="P2543" s="4">
        <f>IFERROR(__xludf.DUMMYFUNCTION("""COMPUTED_VALUE"""),44579.0)</f>
        <v>44579</v>
      </c>
      <c r="Q2543" s="3" t="str">
        <f>IFERROR(__xludf.DUMMYFUNCTION("""COMPUTED_VALUE"""),"I")</f>
        <v>I</v>
      </c>
      <c r="R2543" s="3" t="str">
        <f>IFERROR(__xludf.DUMMYFUNCTION("""COMPUTED_VALUE"""),"Small Format")</f>
        <v>Small Format</v>
      </c>
      <c r="S2543" s="3" t="str">
        <f>IFERROR(__xludf.DUMMYFUNCTION("""COMPUTED_VALUE"""),"Donjai")</f>
        <v>Donjai</v>
      </c>
      <c r="T2543" s="3" t="str">
        <f>IFERROR(__xludf.DUMMYFUNCTION("""COMPUTED_VALUE"""),"10 K.Phakphoom P.")</f>
        <v>10 K.Phakphoom P.</v>
      </c>
      <c r="U2543" s="3" t="str">
        <f>IFERROR(__xludf.DUMMYFUNCTION("""COMPUTED_VALUE"""),"10 K.Phakphoom P.")</f>
        <v>10 K.Phakphoom P.</v>
      </c>
      <c r="V2543" s="3" t="str">
        <f>IFERROR(__xludf.DUMMYFUNCTION("""COMPUTED_VALUE"""),"N")</f>
        <v>N</v>
      </c>
      <c r="W2543" s="3"/>
      <c r="X2543" s="3" t="str">
        <f>IFERROR(__xludf.DUMMYFUNCTION("""COMPUTED_VALUE"""),"719/52 ถนน เพชรเกษม ต.ชะอำ อ.ชะอำ จ.เพชรบุรี 76120")</f>
        <v>719/52 ถนน เพชรเกษม ต.ชะอำ อ.ชะอำ จ.เพชรบุรี 76120</v>
      </c>
      <c r="Y2543" s="3"/>
      <c r="Z2543" s="3" t="str">
        <f>IFERROR(__xludf.DUMMYFUNCTION("""COMPUTED_VALUE"""),"ชะอำ")</f>
        <v>ชะอำ</v>
      </c>
      <c r="AA2543" s="3" t="str">
        <f>IFERROR(__xludf.DUMMYFUNCTION("""COMPUTED_VALUE"""),"ชะอำ")</f>
        <v>ชะอำ</v>
      </c>
      <c r="AB2543" s="3" t="str">
        <f>IFERROR(__xludf.DUMMYFUNCTION("""COMPUTED_VALUE"""),"เพชรบุรี")</f>
        <v>เพชรบุรี</v>
      </c>
      <c r="AC2543" s="3">
        <f>IFERROR(__xludf.DUMMYFUNCTION("""COMPUTED_VALUE"""),76120.0)</f>
        <v>76120</v>
      </c>
      <c r="AD2543" s="3"/>
      <c r="AE2543" s="3"/>
      <c r="AF2543" s="3" t="str">
        <f>IFERROR(__xludf.DUMMYFUNCTION("""COMPUTED_VALUE"""),"ร้านสายหวาน มินิมาร์ท-83289")</f>
        <v>ร้านสายหวาน มินิมาร์ท-83289</v>
      </c>
      <c r="AG2543" s="3" t="str">
        <f>IFERROR(__xludf.DUMMYFUNCTION("""COMPUTED_VALUE"""),"ตะวันตก")</f>
        <v>ตะวันตก</v>
      </c>
      <c r="AH2543" s="3" t="str">
        <f>IFERROR(__xludf.DUMMYFUNCTION("""COMPUTED_VALUE"""),"#N/A")</f>
        <v>#N/A</v>
      </c>
      <c r="AI2543" s="3" t="str">
        <f>IFERROR(__xludf.DUMMYFUNCTION("""COMPUTED_VALUE"""),"Out of warranty")</f>
        <v>Out of warranty</v>
      </c>
      <c r="AJ2543" s="3">
        <f>IFERROR(__xludf.DUMMYFUNCTION("""COMPUTED_VALUE"""),49.0)</f>
        <v>49</v>
      </c>
      <c r="AK2543" s="3"/>
      <c r="AL2543" s="3"/>
    </row>
    <row r="2544" ht="15.75" customHeight="1">
      <c r="A2544" s="1" t="str">
        <f>IFERROR(__xludf.DUMMYFUNCTION("""COMPUTED_VALUE"""),"83290")</f>
        <v>83290</v>
      </c>
      <c r="B2544" s="2">
        <f>IFERROR(__xludf.DUMMYFUNCTION("""COMPUTED_VALUE"""),83290.0)</f>
        <v>83290</v>
      </c>
      <c r="C2544" s="3" t="str">
        <f>IFERROR(__xludf.DUMMYFUNCTION("""COMPUTED_VALUE"""),"ร้านบิ๊กเอส บิ๊กเซลล์")</f>
        <v>ร้านบิ๊กเอส บิ๊กเซลล์</v>
      </c>
      <c r="D2544" s="3" t="str">
        <f>IFERROR(__xludf.DUMMYFUNCTION("""COMPUTED_VALUE"""),"ร้านบิ๊กเอส บิ๊กเซลล์")</f>
        <v>ร้านบิ๊กเอส บิ๊กเซลล์</v>
      </c>
      <c r="E2544" s="1" t="str">
        <f>IFERROR(__xludf.DUMMYFUNCTION("""COMPUTED_VALUE"""),"Donjai")</f>
        <v>Donjai</v>
      </c>
      <c r="F2544" s="1" t="str">
        <f>IFERROR(__xludf.DUMMYFUNCTION("""COMPUTED_VALUE"""),"296868")</f>
        <v>296868</v>
      </c>
      <c r="G2544" s="1" t="str">
        <f>IFERROR(__xludf.DUMMYFUNCTION("""COMPUTED_VALUE"""),"นายพีระพงษ์ แก้วดวงดี")</f>
        <v>นายพีระพงษ์ แก้วดวงดี</v>
      </c>
      <c r="H2544" s="1" t="str">
        <f>IFERROR(__xludf.DUMMYFUNCTION("""COMPUTED_VALUE"""),"296868")</f>
        <v>296868</v>
      </c>
      <c r="I2544" s="1" t="str">
        <f>IFERROR(__xludf.DUMMYFUNCTION("""COMPUTED_VALUE"""),"นายพีระพงษ์ แก้วดวงดี")</f>
        <v>นายพีระพงษ์ แก้วดวงดี</v>
      </c>
      <c r="J2544" s="3">
        <f>IFERROR(__xludf.DUMMYFUNCTION("""COMPUTED_VALUE"""),295886.0)</f>
        <v>295886</v>
      </c>
      <c r="K2544" s="3" t="str">
        <f>IFERROR(__xludf.DUMMYFUNCTION("""COMPUTED_VALUE"""),"นายจิระพงษ์ โพธิ์นิล")</f>
        <v>นายจิระพงษ์ โพธิ์นิล</v>
      </c>
      <c r="L2544" s="1" t="str">
        <f>IFERROR(__xludf.DUMMYFUNCTION("""COMPUTED_VALUE"""),"นายจิระพงษ์ โพธิ์นิล")</f>
        <v>นายจิระพงษ์ โพธิ์นิล</v>
      </c>
      <c r="M2544" s="1" t="str">
        <f>IFERROR(__xludf.DUMMYFUNCTION("""COMPUTED_VALUE"""),"0933290754")</f>
        <v>0933290754</v>
      </c>
      <c r="N2544" s="3">
        <f>IFERROR(__xludf.DUMMYFUNCTION("""COMPUTED_VALUE"""),83290.0)</f>
        <v>83290</v>
      </c>
      <c r="O2544" s="3" t="str">
        <f>IFERROR(__xludf.DUMMYFUNCTION("""COMPUTED_VALUE"""),"ร้านบิ๊กเอส บิ๊กเซลล์")</f>
        <v>ร้านบิ๊กเอส บิ๊กเซลล์</v>
      </c>
      <c r="P2544" s="4">
        <f>IFERROR(__xludf.DUMMYFUNCTION("""COMPUTED_VALUE"""),44588.0)</f>
        <v>44588</v>
      </c>
      <c r="Q2544" s="3" t="str">
        <f>IFERROR(__xludf.DUMMYFUNCTION("""COMPUTED_VALUE"""),"I")</f>
        <v>I</v>
      </c>
      <c r="R2544" s="3" t="str">
        <f>IFERROR(__xludf.DUMMYFUNCTION("""COMPUTED_VALUE"""),"Small Format")</f>
        <v>Small Format</v>
      </c>
      <c r="S2544" s="3" t="str">
        <f>IFERROR(__xludf.DUMMYFUNCTION("""COMPUTED_VALUE"""),"Donjai")</f>
        <v>Donjai</v>
      </c>
      <c r="T2544" s="3" t="str">
        <f>IFERROR(__xludf.DUMMYFUNCTION("""COMPUTED_VALUE"""),"03 K.Peerapong K.")</f>
        <v>03 K.Peerapong K.</v>
      </c>
      <c r="U2544" s="3" t="str">
        <f>IFERROR(__xludf.DUMMYFUNCTION("""COMPUTED_VALUE"""),"03 K.Peerapong K.")</f>
        <v>03 K.Peerapong K.</v>
      </c>
      <c r="V2544" s="3" t="str">
        <f>IFERROR(__xludf.DUMMYFUNCTION("""COMPUTED_VALUE"""),"N")</f>
        <v>N</v>
      </c>
      <c r="W2544" s="3"/>
      <c r="X2544" s="3" t="str">
        <f>IFERROR(__xludf.DUMMYFUNCTION("""COMPUTED_VALUE"""),"140/7 ม.9 ต.บ้านแก้ง อ.นาแก จ.นครพนม")</f>
        <v>140/7 ม.9 ต.บ้านแก้ง อ.นาแก จ.นครพนม</v>
      </c>
      <c r="Y2544" s="3"/>
      <c r="Z2544" s="3">
        <f>IFERROR(__xludf.DUMMYFUNCTION("""COMPUTED_VALUE"""),0.0)</f>
        <v>0</v>
      </c>
      <c r="AA2544" s="3">
        <f>IFERROR(__xludf.DUMMYFUNCTION("""COMPUTED_VALUE"""),0.0)</f>
        <v>0</v>
      </c>
      <c r="AB2544" s="3" t="str">
        <f>IFERROR(__xludf.DUMMYFUNCTION("""COMPUTED_VALUE"""),"นครพนม")</f>
        <v>นครพนม</v>
      </c>
      <c r="AC2544" s="3">
        <f>IFERROR(__xludf.DUMMYFUNCTION("""COMPUTED_VALUE"""),0.0)</f>
        <v>0</v>
      </c>
      <c r="AD2544" s="3"/>
      <c r="AE2544" s="3"/>
      <c r="AF2544" s="3" t="str">
        <f>IFERROR(__xludf.DUMMYFUNCTION("""COMPUTED_VALUE"""),"ร้านบิ๊กเอส บิ๊กเซลล์-83290")</f>
        <v>ร้านบิ๊กเอส บิ๊กเซลล์-83290</v>
      </c>
      <c r="AG2544" s="3" t="str">
        <f>IFERROR(__xludf.DUMMYFUNCTION("""COMPUTED_VALUE"""),"ตะวันออกเฉียงเหนือ")</f>
        <v>ตะวันออกเฉียงเหนือ</v>
      </c>
      <c r="AH2544" s="3" t="str">
        <f>IFERROR(__xludf.DUMMYFUNCTION("""COMPUTED_VALUE"""),"#N/A")</f>
        <v>#N/A</v>
      </c>
      <c r="AI2544" s="3" t="str">
        <f>IFERROR(__xludf.DUMMYFUNCTION("""COMPUTED_VALUE"""),"Out of warranty")</f>
        <v>Out of warranty</v>
      </c>
      <c r="AJ2544" s="3">
        <f>IFERROR(__xludf.DUMMYFUNCTION("""COMPUTED_VALUE"""),48.0)</f>
        <v>48</v>
      </c>
      <c r="AK2544" s="3"/>
      <c r="AL2544" s="3"/>
    </row>
    <row r="2545" ht="15.75" customHeight="1">
      <c r="A2545" s="1" t="str">
        <f>IFERROR(__xludf.DUMMYFUNCTION("""COMPUTED_VALUE"""),"83291")</f>
        <v>83291</v>
      </c>
      <c r="B2545" s="2">
        <f>IFERROR(__xludf.DUMMYFUNCTION("""COMPUTED_VALUE"""),83291.0)</f>
        <v>83291</v>
      </c>
      <c r="C2545" s="3" t="str">
        <f>IFERROR(__xludf.DUMMYFUNCTION("""COMPUTED_VALUE"""),"ร้านคุณสมหมาย")</f>
        <v>ร้านคุณสมหมาย</v>
      </c>
      <c r="D2545" s="3" t="str">
        <f>IFERROR(__xludf.DUMMYFUNCTION("""COMPUTED_VALUE"""),"ร้านคุณสมหมาย")</f>
        <v>ร้านคุณสมหมาย</v>
      </c>
      <c r="E2545" s="1" t="str">
        <f>IFERROR(__xludf.DUMMYFUNCTION("""COMPUTED_VALUE"""),"Donjai")</f>
        <v>Donjai</v>
      </c>
      <c r="F2545" s="1" t="str">
        <f>IFERROR(__xludf.DUMMYFUNCTION("""COMPUTED_VALUE"""),"2010023")</f>
        <v>2010023</v>
      </c>
      <c r="G2545" s="1" t="str">
        <f>IFERROR(__xludf.DUMMYFUNCTION("""COMPUTED_VALUE"""),"นายวศิน ไวยรูป")</f>
        <v>นายวศิน ไวยรูป</v>
      </c>
      <c r="H2545" s="1" t="str">
        <f>IFERROR(__xludf.DUMMYFUNCTION("""COMPUTED_VALUE"""),"2010023")</f>
        <v>2010023</v>
      </c>
      <c r="I2545" s="1" t="str">
        <f>IFERROR(__xludf.DUMMYFUNCTION("""COMPUTED_VALUE"""),"นายวศิน ไวยรูป")</f>
        <v>นายวศิน ไวยรูป</v>
      </c>
      <c r="J2545" s="3">
        <f>IFERROR(__xludf.DUMMYFUNCTION("""COMPUTED_VALUE"""),228031.0)</f>
        <v>228031</v>
      </c>
      <c r="K2545" s="3" t="str">
        <f>IFERROR(__xludf.DUMMYFUNCTION("""COMPUTED_VALUE"""),"นายธนพงษ์ วันหมัด")</f>
        <v>นายธนพงษ์ วันหมัด</v>
      </c>
      <c r="L2545" s="1" t="str">
        <f>IFERROR(__xludf.DUMMYFUNCTION("""COMPUTED_VALUE"""),"นายธนพงษ์ วันหมัด")</f>
        <v>นายธนพงษ์ วันหมัด</v>
      </c>
      <c r="M2545" s="1" t="str">
        <f>IFERROR(__xludf.DUMMYFUNCTION("""COMPUTED_VALUE"""),"0813716913")</f>
        <v>0813716913</v>
      </c>
      <c r="N2545" s="3">
        <f>IFERROR(__xludf.DUMMYFUNCTION("""COMPUTED_VALUE"""),83291.0)</f>
        <v>83291</v>
      </c>
      <c r="O2545" s="3" t="str">
        <f>IFERROR(__xludf.DUMMYFUNCTION("""COMPUTED_VALUE"""),"ร้านคุณสมหมาย")</f>
        <v>ร้านคุณสมหมาย</v>
      </c>
      <c r="P2545" s="4">
        <f>IFERROR(__xludf.DUMMYFUNCTION("""COMPUTED_VALUE"""),44582.0)</f>
        <v>44582</v>
      </c>
      <c r="Q2545" s="3" t="str">
        <f>IFERROR(__xludf.DUMMYFUNCTION("""COMPUTED_VALUE"""),"I")</f>
        <v>I</v>
      </c>
      <c r="R2545" s="3" t="str">
        <f>IFERROR(__xludf.DUMMYFUNCTION("""COMPUTED_VALUE"""),"Small Format")</f>
        <v>Small Format</v>
      </c>
      <c r="S2545" s="3" t="str">
        <f>IFERROR(__xludf.DUMMYFUNCTION("""COMPUTED_VALUE"""),"Donjai")</f>
        <v>Donjai</v>
      </c>
      <c r="T2545" s="3" t="str">
        <f>IFERROR(__xludf.DUMMYFUNCTION("""COMPUTED_VALUE"""),"Donjai")</f>
        <v>Donjai</v>
      </c>
      <c r="U2545" s="3" t="str">
        <f>IFERROR(__xludf.DUMMYFUNCTION("""COMPUTED_VALUE"""),"Donjai")</f>
        <v>Donjai</v>
      </c>
      <c r="V2545" s="3" t="str">
        <f>IFERROR(__xludf.DUMMYFUNCTION("""COMPUTED_VALUE"""),"N")</f>
        <v>N</v>
      </c>
      <c r="W2545" s="3"/>
      <c r="X2545" s="3" t="str">
        <f>IFERROR(__xludf.DUMMYFUNCTION("""COMPUTED_VALUE"""),"216 ซ.ประเสริฐมนูกิจ 29 แยก 8 ถ.ประเสริฐมนูกิจ แขวงจรเข้บัว เขตลาดพร้าว กรุงเทพ ฯ 10230")</f>
        <v>216 ซ.ประเสริฐมนูกิจ 29 แยก 8 ถ.ประเสริฐมนูกิจ แขวงจรเข้บัว เขตลาดพร้าว กรุงเทพ ฯ 10230</v>
      </c>
      <c r="Y2545" s="3"/>
      <c r="Z2545" s="3">
        <f>IFERROR(__xludf.DUMMYFUNCTION("""COMPUTED_VALUE"""),0.0)</f>
        <v>0</v>
      </c>
      <c r="AA2545" s="3">
        <f>IFERROR(__xludf.DUMMYFUNCTION("""COMPUTED_VALUE"""),0.0)</f>
        <v>0</v>
      </c>
      <c r="AB2545" s="3" t="str">
        <f>IFERROR(__xludf.DUMMYFUNCTION("""COMPUTED_VALUE"""),"กรุงเทพมหานคร")</f>
        <v>กรุงเทพมหานคร</v>
      </c>
      <c r="AC2545" s="3">
        <f>IFERROR(__xludf.DUMMYFUNCTION("""COMPUTED_VALUE"""),10230.0)</f>
        <v>10230</v>
      </c>
      <c r="AD2545" s="3"/>
      <c r="AE2545" s="3"/>
      <c r="AF2545" s="3" t="str">
        <f>IFERROR(__xludf.DUMMYFUNCTION("""COMPUTED_VALUE"""),"ร้านคุณสมหมาย-83291")</f>
        <v>ร้านคุณสมหมาย-83291</v>
      </c>
      <c r="AG2545" s="3" t="str">
        <f>IFERROR(__xludf.DUMMYFUNCTION("""COMPUTED_VALUE"""),"กลาง")</f>
        <v>กลาง</v>
      </c>
      <c r="AH2545" s="3" t="str">
        <f>IFERROR(__xludf.DUMMYFUNCTION("""COMPUTED_VALUE"""),"#N/A")</f>
        <v>#N/A</v>
      </c>
      <c r="AI2545" s="3" t="str">
        <f>IFERROR(__xludf.DUMMYFUNCTION("""COMPUTED_VALUE"""),"Out of warranty")</f>
        <v>Out of warranty</v>
      </c>
      <c r="AJ2545" s="3">
        <f>IFERROR(__xludf.DUMMYFUNCTION("""COMPUTED_VALUE"""),48.0)</f>
        <v>48</v>
      </c>
      <c r="AK2545" s="3"/>
      <c r="AL2545" s="3"/>
    </row>
    <row r="2546" ht="15.75" customHeight="1">
      <c r="A2546" s="1" t="str">
        <f>IFERROR(__xludf.DUMMYFUNCTION("""COMPUTED_VALUE"""),"83293")</f>
        <v>83293</v>
      </c>
      <c r="B2546" s="2">
        <f>IFERROR(__xludf.DUMMYFUNCTION("""COMPUTED_VALUE"""),83293.0)</f>
        <v>83293</v>
      </c>
      <c r="C2546" s="3" t="str">
        <f>IFERROR(__xludf.DUMMYFUNCTION("""COMPUTED_VALUE"""),"ร้าน โฮมฮับมินิมาร์ท")</f>
        <v>ร้าน โฮมฮับมินิมาร์ท</v>
      </c>
      <c r="D2546" s="3" t="str">
        <f>IFERROR(__xludf.DUMMYFUNCTION("""COMPUTED_VALUE"""),"ร้าน โฮมฮับมินิมาร์ท")</f>
        <v>ร้าน โฮมฮับมินิมาร์ท</v>
      </c>
      <c r="E2546" s="1" t="str">
        <f>IFERROR(__xludf.DUMMYFUNCTION("""COMPUTED_VALUE"""),"Donjai")</f>
        <v>Donjai</v>
      </c>
      <c r="F2546" s="1" t="str">
        <f>IFERROR(__xludf.DUMMYFUNCTION("""COMPUTED_VALUE"""),"296868")</f>
        <v>296868</v>
      </c>
      <c r="G2546" s="1" t="str">
        <f>IFERROR(__xludf.DUMMYFUNCTION("""COMPUTED_VALUE"""),"นายพีระพงษ์ แก้วดวงดี")</f>
        <v>นายพีระพงษ์ แก้วดวงดี</v>
      </c>
      <c r="H2546" s="1" t="str">
        <f>IFERROR(__xludf.DUMMYFUNCTION("""COMPUTED_VALUE"""),"296868")</f>
        <v>296868</v>
      </c>
      <c r="I2546" s="1" t="str">
        <f>IFERROR(__xludf.DUMMYFUNCTION("""COMPUTED_VALUE"""),"นายพีระพงษ์ แก้วดวงดี")</f>
        <v>นายพีระพงษ์ แก้วดวงดี</v>
      </c>
      <c r="J2546" s="3">
        <f>IFERROR(__xludf.DUMMYFUNCTION("""COMPUTED_VALUE"""),295886.0)</f>
        <v>295886</v>
      </c>
      <c r="K2546" s="3" t="str">
        <f>IFERROR(__xludf.DUMMYFUNCTION("""COMPUTED_VALUE"""),"นายจิระพงษ์ โพธิ์นิล")</f>
        <v>นายจิระพงษ์ โพธิ์นิล</v>
      </c>
      <c r="L2546" s="1" t="str">
        <f>IFERROR(__xludf.DUMMYFUNCTION("""COMPUTED_VALUE"""),"นายจิระพงษ์ โพธิ์นิล")</f>
        <v>นายจิระพงษ์ โพธิ์นิล</v>
      </c>
      <c r="M2546" s="1" t="str">
        <f>IFERROR(__xludf.DUMMYFUNCTION("""COMPUTED_VALUE"""),"0933290754")</f>
        <v>0933290754</v>
      </c>
      <c r="N2546" s="3">
        <f>IFERROR(__xludf.DUMMYFUNCTION("""COMPUTED_VALUE"""),83293.0)</f>
        <v>83293</v>
      </c>
      <c r="O2546" s="3" t="str">
        <f>IFERROR(__xludf.DUMMYFUNCTION("""COMPUTED_VALUE"""),"ร้าน โฮมฮับมินิมาร์ท")</f>
        <v>ร้าน โฮมฮับมินิมาร์ท</v>
      </c>
      <c r="P2546" s="4">
        <f>IFERROR(__xludf.DUMMYFUNCTION("""COMPUTED_VALUE"""),44577.0)</f>
        <v>44577</v>
      </c>
      <c r="Q2546" s="3" t="str">
        <f>IFERROR(__xludf.DUMMYFUNCTION("""COMPUTED_VALUE"""),"A")</f>
        <v>A</v>
      </c>
      <c r="R2546" s="3" t="str">
        <f>IFERROR(__xludf.DUMMYFUNCTION("""COMPUTED_VALUE"""),"Small Format")</f>
        <v>Small Format</v>
      </c>
      <c r="S2546" s="3" t="str">
        <f>IFERROR(__xludf.DUMMYFUNCTION("""COMPUTED_VALUE"""),"Donjai")</f>
        <v>Donjai</v>
      </c>
      <c r="T2546" s="3" t="str">
        <f>IFERROR(__xludf.DUMMYFUNCTION("""COMPUTED_VALUE"""),"03 K.Peerapong K.")</f>
        <v>03 K.Peerapong K.</v>
      </c>
      <c r="U2546" s="3" t="str">
        <f>IFERROR(__xludf.DUMMYFUNCTION("""COMPUTED_VALUE"""),"03 K.Peerapong K.")</f>
        <v>03 K.Peerapong K.</v>
      </c>
      <c r="V2546" s="3" t="str">
        <f>IFERROR(__xludf.DUMMYFUNCTION("""COMPUTED_VALUE"""),"N")</f>
        <v>N</v>
      </c>
      <c r="W2546" s="3"/>
      <c r="X2546" s="3" t="str">
        <f>IFERROR(__xludf.DUMMYFUNCTION("""COMPUTED_VALUE"""),"168 หมู่ 2 ตำบล บ้านผือ อำเภอ บ้านผือ จ. อุดรธานี 41160")</f>
        <v>168 หมู่ 2 ตำบล บ้านผือ อำเภอ บ้านผือ จ. อุดรธานี 41160</v>
      </c>
      <c r="Y2546" s="3"/>
      <c r="Z2546" s="3">
        <f>IFERROR(__xludf.DUMMYFUNCTION("""COMPUTED_VALUE"""),0.0)</f>
        <v>0</v>
      </c>
      <c r="AA2546" s="3">
        <f>IFERROR(__xludf.DUMMYFUNCTION("""COMPUTED_VALUE"""),0.0)</f>
        <v>0</v>
      </c>
      <c r="AB2546" s="3" t="str">
        <f>IFERROR(__xludf.DUMMYFUNCTION("""COMPUTED_VALUE"""),"อุดรธานี")</f>
        <v>อุดรธานี</v>
      </c>
      <c r="AC2546" s="3">
        <f>IFERROR(__xludf.DUMMYFUNCTION("""COMPUTED_VALUE"""),41160.0)</f>
        <v>41160</v>
      </c>
      <c r="AD2546" s="3"/>
      <c r="AE2546" s="3"/>
      <c r="AF2546" s="3" t="str">
        <f>IFERROR(__xludf.DUMMYFUNCTION("""COMPUTED_VALUE"""),"ร้าน โฮมฮับมินิมาร์ท-83293")</f>
        <v>ร้าน โฮมฮับมินิมาร์ท-83293</v>
      </c>
      <c r="AG2546" s="3" t="str">
        <f>IFERROR(__xludf.DUMMYFUNCTION("""COMPUTED_VALUE"""),"ตะวันออกเฉียงเหนือ")</f>
        <v>ตะวันออกเฉียงเหนือ</v>
      </c>
      <c r="AH2546" s="3" t="str">
        <f>IFERROR(__xludf.DUMMYFUNCTION("""COMPUTED_VALUE"""),"#N/A")</f>
        <v>#N/A</v>
      </c>
      <c r="AI2546" s="3" t="str">
        <f>IFERROR(__xludf.DUMMYFUNCTION("""COMPUTED_VALUE"""),"Out of warranty")</f>
        <v>Out of warranty</v>
      </c>
      <c r="AJ2546" s="3">
        <f>IFERROR(__xludf.DUMMYFUNCTION("""COMPUTED_VALUE"""),49.0)</f>
        <v>49</v>
      </c>
      <c r="AK2546" s="3"/>
      <c r="AL2546" s="3"/>
    </row>
    <row r="2547" ht="15.75" customHeight="1">
      <c r="A2547" s="1" t="str">
        <f>IFERROR(__xludf.DUMMYFUNCTION("""COMPUTED_VALUE"""),"83294")</f>
        <v>83294</v>
      </c>
      <c r="B2547" s="2">
        <f>IFERROR(__xludf.DUMMYFUNCTION("""COMPUTED_VALUE"""),83294.0)</f>
        <v>83294</v>
      </c>
      <c r="C2547" s="3" t="str">
        <f>IFERROR(__xludf.DUMMYFUNCTION("""COMPUTED_VALUE"""),"ร้านสมาย มาร์ท (เปลี่ยนจากอรนาฏ มินิมาร์ท)")</f>
        <v>ร้านสมาย มาร์ท (เปลี่ยนจากอรนาฏ มินิมาร์ท)</v>
      </c>
      <c r="D2547" s="3" t="str">
        <f>IFERROR(__xludf.DUMMYFUNCTION("""COMPUTED_VALUE"""),"ร้านสมาย มาร์ท (เปลี่ยนจากอรนาฏ มินิมาร์ท)")</f>
        <v>ร้านสมาย มาร์ท (เปลี่ยนจากอรนาฏ มินิมาร์ท)</v>
      </c>
      <c r="E2547" s="1" t="str">
        <f>IFERROR(__xludf.DUMMYFUNCTION("""COMPUTED_VALUE"""),"Donjai")</f>
        <v>Donjai</v>
      </c>
      <c r="F2547" s="1" t="str">
        <f>IFERROR(__xludf.DUMMYFUNCTION("""COMPUTED_VALUE"""),"025324")</f>
        <v>025324</v>
      </c>
      <c r="G2547" s="1" t="str">
        <f>IFERROR(__xludf.DUMMYFUNCTION("""COMPUTED_VALUE"""),"นายวิเชฎฐ์ ติรัตนะประคม")</f>
        <v>นายวิเชฎฐ์ ติรัตนะประคม</v>
      </c>
      <c r="H2547" s="1" t="str">
        <f>IFERROR(__xludf.DUMMYFUNCTION("""COMPUTED_VALUE"""),"025324")</f>
        <v>025324</v>
      </c>
      <c r="I2547" s="1" t="str">
        <f>IFERROR(__xludf.DUMMYFUNCTION("""COMPUTED_VALUE"""),"นายวิเชฎฐ์ ติรัตนะประคม")</f>
        <v>นายวิเชฎฐ์ ติรัตนะประคม</v>
      </c>
      <c r="J2547" s="3">
        <f>IFERROR(__xludf.DUMMYFUNCTION("""COMPUTED_VALUE"""),295541.0)</f>
        <v>295541</v>
      </c>
      <c r="K2547" s="3" t="str">
        <f>IFERROR(__xludf.DUMMYFUNCTION("""COMPUTED_VALUE"""),"นายรพิพล ศรีมาตย์")</f>
        <v>นายรพิพล ศรีมาตย์</v>
      </c>
      <c r="L2547" s="1" t="str">
        <f>IFERROR(__xludf.DUMMYFUNCTION("""COMPUTED_VALUE"""),"นายรพิพล ศรีมาตย์")</f>
        <v>นายรพิพล ศรีมาตย์</v>
      </c>
      <c r="M2547" s="1" t="str">
        <f>IFERROR(__xludf.DUMMYFUNCTION("""COMPUTED_VALUE"""),"0613966115")</f>
        <v>0613966115</v>
      </c>
      <c r="N2547" s="3">
        <f>IFERROR(__xludf.DUMMYFUNCTION("""COMPUTED_VALUE"""),83294.0)</f>
        <v>83294</v>
      </c>
      <c r="O2547" s="3" t="str">
        <f>IFERROR(__xludf.DUMMYFUNCTION("""COMPUTED_VALUE"""),"ร้านสมาย มาร์ท (เปลี่ยนจากอรนาฏ มินิมาร์ท)")</f>
        <v>ร้านสมาย มาร์ท (เปลี่ยนจากอรนาฏ มินิมาร์ท)</v>
      </c>
      <c r="P2547" s="4">
        <f>IFERROR(__xludf.DUMMYFUNCTION("""COMPUTED_VALUE"""),44578.0)</f>
        <v>44578</v>
      </c>
      <c r="Q2547" s="3" t="str">
        <f>IFERROR(__xludf.DUMMYFUNCTION("""COMPUTED_VALUE"""),"I")</f>
        <v>I</v>
      </c>
      <c r="R2547" s="3" t="str">
        <f>IFERROR(__xludf.DUMMYFUNCTION("""COMPUTED_VALUE"""),"Small Format")</f>
        <v>Small Format</v>
      </c>
      <c r="S2547" s="3" t="str">
        <f>IFERROR(__xludf.DUMMYFUNCTION("""COMPUTED_VALUE"""),"Donjai")</f>
        <v>Donjai</v>
      </c>
      <c r="T2547" s="3" t="str">
        <f>IFERROR(__xludf.DUMMYFUNCTION("""COMPUTED_VALUE"""),"14 K.Wichet T.")</f>
        <v>14 K.Wichet T.</v>
      </c>
      <c r="U2547" s="3" t="str">
        <f>IFERROR(__xludf.DUMMYFUNCTION("""COMPUTED_VALUE"""),"14 K.Wichet T.")</f>
        <v>14 K.Wichet T.</v>
      </c>
      <c r="V2547" s="3" t="str">
        <f>IFERROR(__xludf.DUMMYFUNCTION("""COMPUTED_VALUE"""),"N")</f>
        <v>N</v>
      </c>
      <c r="W2547" s="3"/>
      <c r="X2547" s="3" t="str">
        <f>IFERROR(__xludf.DUMMYFUNCTION("""COMPUTED_VALUE"""),"178 ถ.ราษฎร์อุทิศ 200 ปี ต.ป่าตอง อ.กะทู้ จ.ภูเก็ต")</f>
        <v>178 ถ.ราษฎร์อุทิศ 200 ปี ต.ป่าตอง อ.กะทู้ จ.ภูเก็ต</v>
      </c>
      <c r="Y2547" s="3"/>
      <c r="Z2547" s="3">
        <f>IFERROR(__xludf.DUMMYFUNCTION("""COMPUTED_VALUE"""),0.0)</f>
        <v>0</v>
      </c>
      <c r="AA2547" s="3">
        <f>IFERROR(__xludf.DUMMYFUNCTION("""COMPUTED_VALUE"""),0.0)</f>
        <v>0</v>
      </c>
      <c r="AB2547" s="3" t="str">
        <f>IFERROR(__xludf.DUMMYFUNCTION("""COMPUTED_VALUE"""),"ภูเก็ต")</f>
        <v>ภูเก็ต</v>
      </c>
      <c r="AC2547" s="3">
        <f>IFERROR(__xludf.DUMMYFUNCTION("""COMPUTED_VALUE"""),0.0)</f>
        <v>0</v>
      </c>
      <c r="AD2547" s="3"/>
      <c r="AE2547" s="3"/>
      <c r="AF2547" s="3" t="str">
        <f>IFERROR(__xludf.DUMMYFUNCTION("""COMPUTED_VALUE"""),"ร้านสมาย มาร์ท (เปลี่ยนจากอรนาฏ มินิมาร์ท)-83294")</f>
        <v>ร้านสมาย มาร์ท (เปลี่ยนจากอรนาฏ มินิมาร์ท)-83294</v>
      </c>
      <c r="AG2547" s="3" t="str">
        <f>IFERROR(__xludf.DUMMYFUNCTION("""COMPUTED_VALUE"""),"ใต้")</f>
        <v>ใต้</v>
      </c>
      <c r="AH2547" s="3" t="str">
        <f>IFERROR(__xludf.DUMMYFUNCTION("""COMPUTED_VALUE"""),"#N/A")</f>
        <v>#N/A</v>
      </c>
      <c r="AI2547" s="3" t="str">
        <f>IFERROR(__xludf.DUMMYFUNCTION("""COMPUTED_VALUE"""),"Out of warranty")</f>
        <v>Out of warranty</v>
      </c>
      <c r="AJ2547" s="3">
        <f>IFERROR(__xludf.DUMMYFUNCTION("""COMPUTED_VALUE"""),49.0)</f>
        <v>49</v>
      </c>
      <c r="AK2547" s="3"/>
      <c r="AL2547" s="3"/>
    </row>
    <row r="2548" ht="15.75" customHeight="1">
      <c r="A2548" s="1" t="str">
        <f>IFERROR(__xludf.DUMMYFUNCTION("""COMPUTED_VALUE"""),"83295")</f>
        <v>83295</v>
      </c>
      <c r="B2548" s="2">
        <f>IFERROR(__xludf.DUMMYFUNCTION("""COMPUTED_VALUE"""),83295.0)</f>
        <v>83295</v>
      </c>
      <c r="C2548" s="3" t="str">
        <f>IFERROR(__xludf.DUMMYFUNCTION("""COMPUTED_VALUE"""),"ร้านไพโรจน์พานิช")</f>
        <v>ร้านไพโรจน์พานิช</v>
      </c>
      <c r="D2548" s="3" t="str">
        <f>IFERROR(__xludf.DUMMYFUNCTION("""COMPUTED_VALUE"""),"ร้านไพโรจน์พานิช")</f>
        <v>ร้านไพโรจน์พานิช</v>
      </c>
      <c r="E2548" s="1" t="str">
        <f>IFERROR(__xludf.DUMMYFUNCTION("""COMPUTED_VALUE"""),"Donjai")</f>
        <v>Donjai</v>
      </c>
      <c r="F2548" s="1" t="str">
        <f>IFERROR(__xludf.DUMMYFUNCTION("""COMPUTED_VALUE"""),"296608")</f>
        <v>296608</v>
      </c>
      <c r="G2548" s="1" t="str">
        <f>IFERROR(__xludf.DUMMYFUNCTION("""COMPUTED_VALUE"""),"นายภาคภูมิ เพ็ชรนิล")</f>
        <v>นายภาคภูมิ เพ็ชรนิล</v>
      </c>
      <c r="H2548" s="1" t="str">
        <f>IFERROR(__xludf.DUMMYFUNCTION("""COMPUTED_VALUE"""),"296608")</f>
        <v>296608</v>
      </c>
      <c r="I2548" s="1" t="str">
        <f>IFERROR(__xludf.DUMMYFUNCTION("""COMPUTED_VALUE"""),"นายภาคภูมิ เพ็ชรนิล")</f>
        <v>นายภาคภูมิ เพ็ชรนิล</v>
      </c>
      <c r="J2548" s="3">
        <f>IFERROR(__xludf.DUMMYFUNCTION("""COMPUTED_VALUE"""),228031.0)</f>
        <v>228031</v>
      </c>
      <c r="K2548" s="3" t="str">
        <f>IFERROR(__xludf.DUMMYFUNCTION("""COMPUTED_VALUE"""),"นายธนพงษ์ วันหมัด")</f>
        <v>นายธนพงษ์ วันหมัด</v>
      </c>
      <c r="L2548" s="1" t="str">
        <f>IFERROR(__xludf.DUMMYFUNCTION("""COMPUTED_VALUE"""),"นายธนพงษ์ วันหมัด")</f>
        <v>นายธนพงษ์ วันหมัด</v>
      </c>
      <c r="M2548" s="1" t="str">
        <f>IFERROR(__xludf.DUMMYFUNCTION("""COMPUTED_VALUE"""),"0813716913")</f>
        <v>0813716913</v>
      </c>
      <c r="N2548" s="3">
        <f>IFERROR(__xludf.DUMMYFUNCTION("""COMPUTED_VALUE"""),83295.0)</f>
        <v>83295</v>
      </c>
      <c r="O2548" s="3" t="str">
        <f>IFERROR(__xludf.DUMMYFUNCTION("""COMPUTED_VALUE"""),"ร้านไพโรจน์พานิช")</f>
        <v>ร้านไพโรจน์พานิช</v>
      </c>
      <c r="P2548" s="4">
        <f>IFERROR(__xludf.DUMMYFUNCTION("""COMPUTED_VALUE"""),44591.0)</f>
        <v>44591</v>
      </c>
      <c r="Q2548" s="3" t="str">
        <f>IFERROR(__xludf.DUMMYFUNCTION("""COMPUTED_VALUE"""),"I")</f>
        <v>I</v>
      </c>
      <c r="R2548" s="3" t="str">
        <f>IFERROR(__xludf.DUMMYFUNCTION("""COMPUTED_VALUE"""),"Small Format")</f>
        <v>Small Format</v>
      </c>
      <c r="S2548" s="3" t="str">
        <f>IFERROR(__xludf.DUMMYFUNCTION("""COMPUTED_VALUE"""),"Donjai")</f>
        <v>Donjai</v>
      </c>
      <c r="T2548" s="3" t="str">
        <f>IFERROR(__xludf.DUMMYFUNCTION("""COMPUTED_VALUE"""),"10 K.Phakphoom P.")</f>
        <v>10 K.Phakphoom P.</v>
      </c>
      <c r="U2548" s="3" t="str">
        <f>IFERROR(__xludf.DUMMYFUNCTION("""COMPUTED_VALUE"""),"10 K.Phakphoom P.")</f>
        <v>10 K.Phakphoom P.</v>
      </c>
      <c r="V2548" s="3" t="str">
        <f>IFERROR(__xludf.DUMMYFUNCTION("""COMPUTED_VALUE"""),"N")</f>
        <v>N</v>
      </c>
      <c r="W2548" s="3"/>
      <c r="X2548" s="3" t="str">
        <f>IFERROR(__xludf.DUMMYFUNCTION("""COMPUTED_VALUE"""),"28/4 หมู่ที่ 2 ต.โคกตะบอง อ.ท่ามะกา จ.กาญจนบุรี")</f>
        <v>28/4 หมู่ที่ 2 ต.โคกตะบอง อ.ท่ามะกา จ.กาญจนบุรี</v>
      </c>
      <c r="Y2548" s="3"/>
      <c r="Z2548" s="3">
        <f>IFERROR(__xludf.DUMMYFUNCTION("""COMPUTED_VALUE"""),0.0)</f>
        <v>0</v>
      </c>
      <c r="AA2548" s="3">
        <f>IFERROR(__xludf.DUMMYFUNCTION("""COMPUTED_VALUE"""),0.0)</f>
        <v>0</v>
      </c>
      <c r="AB2548" s="3" t="str">
        <f>IFERROR(__xludf.DUMMYFUNCTION("""COMPUTED_VALUE"""),"กาญจนบุรี")</f>
        <v>กาญจนบุรี</v>
      </c>
      <c r="AC2548" s="3">
        <f>IFERROR(__xludf.DUMMYFUNCTION("""COMPUTED_VALUE"""),0.0)</f>
        <v>0</v>
      </c>
      <c r="AD2548" s="3"/>
      <c r="AE2548" s="3"/>
      <c r="AF2548" s="3" t="str">
        <f>IFERROR(__xludf.DUMMYFUNCTION("""COMPUTED_VALUE"""),"ร้านไพโรจน์พานิช-83295")</f>
        <v>ร้านไพโรจน์พานิช-83295</v>
      </c>
      <c r="AG2548" s="3" t="str">
        <f>IFERROR(__xludf.DUMMYFUNCTION("""COMPUTED_VALUE"""),"ตะวันตก")</f>
        <v>ตะวันตก</v>
      </c>
      <c r="AH2548" s="3" t="str">
        <f>IFERROR(__xludf.DUMMYFUNCTION("""COMPUTED_VALUE"""),"#N/A")</f>
        <v>#N/A</v>
      </c>
      <c r="AI2548" s="3" t="str">
        <f>IFERROR(__xludf.DUMMYFUNCTION("""COMPUTED_VALUE"""),"Out of warranty")</f>
        <v>Out of warranty</v>
      </c>
      <c r="AJ2548" s="3">
        <f>IFERROR(__xludf.DUMMYFUNCTION("""COMPUTED_VALUE"""),48.0)</f>
        <v>48</v>
      </c>
      <c r="AK2548" s="3"/>
      <c r="AL2548" s="3"/>
    </row>
    <row r="2549" ht="15.75" customHeight="1">
      <c r="A2549" s="1" t="str">
        <f>IFERROR(__xludf.DUMMYFUNCTION("""COMPUTED_VALUE"""),"83296")</f>
        <v>83296</v>
      </c>
      <c r="B2549" s="2">
        <f>IFERROR(__xludf.DUMMYFUNCTION("""COMPUTED_VALUE"""),83296.0)</f>
        <v>83296</v>
      </c>
      <c r="C2549" s="3" t="str">
        <f>IFERROR(__xludf.DUMMYFUNCTION("""COMPUTED_VALUE"""),"ร้านพี่อ้อท่าไม้ (คุณศิริลักษณ์)")</f>
        <v>ร้านพี่อ้อท่าไม้ (คุณศิริลักษณ์)</v>
      </c>
      <c r="D2549" s="3" t="str">
        <f>IFERROR(__xludf.DUMMYFUNCTION("""COMPUTED_VALUE"""),"ร้านพี่อ้อท่าไม้ (คุณศิริลักษณ์)")</f>
        <v>ร้านพี่อ้อท่าไม้ (คุณศิริลักษณ์)</v>
      </c>
      <c r="E2549" s="1" t="str">
        <f>IFERROR(__xludf.DUMMYFUNCTION("""COMPUTED_VALUE"""),"Donjai")</f>
        <v>Donjai</v>
      </c>
      <c r="F2549" s="1" t="str">
        <f>IFERROR(__xludf.DUMMYFUNCTION("""COMPUTED_VALUE"""),"296608")</f>
        <v>296608</v>
      </c>
      <c r="G2549" s="1" t="str">
        <f>IFERROR(__xludf.DUMMYFUNCTION("""COMPUTED_VALUE"""),"นายภาคภูมิ เพ็ชรนิล")</f>
        <v>นายภาคภูมิ เพ็ชรนิล</v>
      </c>
      <c r="H2549" s="1" t="str">
        <f>IFERROR(__xludf.DUMMYFUNCTION("""COMPUTED_VALUE"""),"296608")</f>
        <v>296608</v>
      </c>
      <c r="I2549" s="1" t="str">
        <f>IFERROR(__xludf.DUMMYFUNCTION("""COMPUTED_VALUE"""),"นายภาคภูมิ เพ็ชรนิล")</f>
        <v>นายภาคภูมิ เพ็ชรนิล</v>
      </c>
      <c r="J2549" s="3">
        <f>IFERROR(__xludf.DUMMYFUNCTION("""COMPUTED_VALUE"""),228031.0)</f>
        <v>228031</v>
      </c>
      <c r="K2549" s="3" t="str">
        <f>IFERROR(__xludf.DUMMYFUNCTION("""COMPUTED_VALUE"""),"นายธนพงษ์ วันหมัด")</f>
        <v>นายธนพงษ์ วันหมัด</v>
      </c>
      <c r="L2549" s="1" t="str">
        <f>IFERROR(__xludf.DUMMYFUNCTION("""COMPUTED_VALUE"""),"นายธนพงษ์ วันหมัด")</f>
        <v>นายธนพงษ์ วันหมัด</v>
      </c>
      <c r="M2549" s="1" t="str">
        <f>IFERROR(__xludf.DUMMYFUNCTION("""COMPUTED_VALUE"""),"0813716913")</f>
        <v>0813716913</v>
      </c>
      <c r="N2549" s="3">
        <f>IFERROR(__xludf.DUMMYFUNCTION("""COMPUTED_VALUE"""),83296.0)</f>
        <v>83296</v>
      </c>
      <c r="O2549" s="3" t="str">
        <f>IFERROR(__xludf.DUMMYFUNCTION("""COMPUTED_VALUE"""),"ร้านพี่อ้อท่าไม้ (คุณศิริลักษณ์)")</f>
        <v>ร้านพี่อ้อท่าไม้ (คุณศิริลักษณ์)</v>
      </c>
      <c r="P2549" s="4">
        <f>IFERROR(__xludf.DUMMYFUNCTION("""COMPUTED_VALUE"""),44582.0)</f>
        <v>44582</v>
      </c>
      <c r="Q2549" s="3" t="str">
        <f>IFERROR(__xludf.DUMMYFUNCTION("""COMPUTED_VALUE"""),"I")</f>
        <v>I</v>
      </c>
      <c r="R2549" s="3" t="str">
        <f>IFERROR(__xludf.DUMMYFUNCTION("""COMPUTED_VALUE"""),"Small Format")</f>
        <v>Small Format</v>
      </c>
      <c r="S2549" s="3" t="str">
        <f>IFERROR(__xludf.DUMMYFUNCTION("""COMPUTED_VALUE"""),"Donjai")</f>
        <v>Donjai</v>
      </c>
      <c r="T2549" s="3" t="str">
        <f>IFERROR(__xludf.DUMMYFUNCTION("""COMPUTED_VALUE"""),"10 K.Phakphoom P.")</f>
        <v>10 K.Phakphoom P.</v>
      </c>
      <c r="U2549" s="3" t="str">
        <f>IFERROR(__xludf.DUMMYFUNCTION("""COMPUTED_VALUE"""),"10 K.Phakphoom P.")</f>
        <v>10 K.Phakphoom P.</v>
      </c>
      <c r="V2549" s="3" t="str">
        <f>IFERROR(__xludf.DUMMYFUNCTION("""COMPUTED_VALUE"""),"N")</f>
        <v>N</v>
      </c>
      <c r="W2549" s="3"/>
      <c r="X2549" s="3" t="str">
        <f>IFERROR(__xludf.DUMMYFUNCTION("""COMPUTED_VALUE"""),"33/1 หมู่ที่3 ต.ท่าไม้ อ.ท่ามะกา จ.กาญจนบุรี")</f>
        <v>33/1 หมู่ที่3 ต.ท่าไม้ อ.ท่ามะกา จ.กาญจนบุรี</v>
      </c>
      <c r="Y2549" s="3"/>
      <c r="Z2549" s="3">
        <f>IFERROR(__xludf.DUMMYFUNCTION("""COMPUTED_VALUE"""),0.0)</f>
        <v>0</v>
      </c>
      <c r="AA2549" s="3">
        <f>IFERROR(__xludf.DUMMYFUNCTION("""COMPUTED_VALUE"""),0.0)</f>
        <v>0</v>
      </c>
      <c r="AB2549" s="3" t="str">
        <f>IFERROR(__xludf.DUMMYFUNCTION("""COMPUTED_VALUE"""),"กาญจนบุรี")</f>
        <v>กาญจนบุรี</v>
      </c>
      <c r="AC2549" s="3">
        <f>IFERROR(__xludf.DUMMYFUNCTION("""COMPUTED_VALUE"""),0.0)</f>
        <v>0</v>
      </c>
      <c r="AD2549" s="3"/>
      <c r="AE2549" s="3"/>
      <c r="AF2549" s="3" t="str">
        <f>IFERROR(__xludf.DUMMYFUNCTION("""COMPUTED_VALUE"""),"ร้านพี่อ้อท่าไม้ (คุณศิริลักษณ์)-83296")</f>
        <v>ร้านพี่อ้อท่าไม้ (คุณศิริลักษณ์)-83296</v>
      </c>
      <c r="AG2549" s="3" t="str">
        <f>IFERROR(__xludf.DUMMYFUNCTION("""COMPUTED_VALUE"""),"ตะวันตก")</f>
        <v>ตะวันตก</v>
      </c>
      <c r="AH2549" s="3" t="str">
        <f>IFERROR(__xludf.DUMMYFUNCTION("""COMPUTED_VALUE"""),"#N/A")</f>
        <v>#N/A</v>
      </c>
      <c r="AI2549" s="3" t="str">
        <f>IFERROR(__xludf.DUMMYFUNCTION("""COMPUTED_VALUE"""),"Out of warranty")</f>
        <v>Out of warranty</v>
      </c>
      <c r="AJ2549" s="3">
        <f>IFERROR(__xludf.DUMMYFUNCTION("""COMPUTED_VALUE"""),48.0)</f>
        <v>48</v>
      </c>
      <c r="AK2549" s="3"/>
      <c r="AL2549" s="3"/>
    </row>
    <row r="2550" ht="15.75" customHeight="1">
      <c r="A2550" s="1" t="str">
        <f>IFERROR(__xludf.DUMMYFUNCTION("""COMPUTED_VALUE"""),"83297")</f>
        <v>83297</v>
      </c>
      <c r="B2550" s="2">
        <f>IFERROR(__xludf.DUMMYFUNCTION("""COMPUTED_VALUE"""),83297.0)</f>
        <v>83297</v>
      </c>
      <c r="C2550" s="3" t="str">
        <f>IFERROR(__xludf.DUMMYFUNCTION("""COMPUTED_VALUE"""),"ร้านสะดวกซื้อ (คุณรัตน์ดา)")</f>
        <v>ร้านสะดวกซื้อ (คุณรัตน์ดา)</v>
      </c>
      <c r="D2550" s="3" t="str">
        <f>IFERROR(__xludf.DUMMYFUNCTION("""COMPUTED_VALUE"""),"ร้านสะดวกซื้อ (คุณรัตน์ดา)")</f>
        <v>ร้านสะดวกซื้อ (คุณรัตน์ดา)</v>
      </c>
      <c r="E2550" s="1" t="str">
        <f>IFERROR(__xludf.DUMMYFUNCTION("""COMPUTED_VALUE"""),"Donjai")</f>
        <v>Donjai</v>
      </c>
      <c r="F2550" s="1" t="str">
        <f>IFERROR(__xludf.DUMMYFUNCTION("""COMPUTED_VALUE"""),"296945")</f>
        <v>296945</v>
      </c>
      <c r="G2550" s="1" t="str">
        <f>IFERROR(__xludf.DUMMYFUNCTION("""COMPUTED_VALUE"""),"นายรักพงศ์ พงศ์พันธ์งาม")</f>
        <v>นายรักพงศ์ พงศ์พันธ์งาม</v>
      </c>
      <c r="H2550" s="1" t="str">
        <f>IFERROR(__xludf.DUMMYFUNCTION("""COMPUTED_VALUE"""),"296945")</f>
        <v>296945</v>
      </c>
      <c r="I2550" s="1" t="str">
        <f>IFERROR(__xludf.DUMMYFUNCTION("""COMPUTED_VALUE"""),"นายรักพงศ์ พงศ์พันธ์งาม")</f>
        <v>นายรักพงศ์ พงศ์พันธ์งาม</v>
      </c>
      <c r="J2550" s="3">
        <f>IFERROR(__xludf.DUMMYFUNCTION("""COMPUTED_VALUE"""),228031.0)</f>
        <v>228031</v>
      </c>
      <c r="K2550" s="3" t="str">
        <f>IFERROR(__xludf.DUMMYFUNCTION("""COMPUTED_VALUE"""),"นายธนพงษ์ วันหมัด")</f>
        <v>นายธนพงษ์ วันหมัด</v>
      </c>
      <c r="L2550" s="1" t="str">
        <f>IFERROR(__xludf.DUMMYFUNCTION("""COMPUTED_VALUE"""),"นายธนพงษ์ วันหมัด")</f>
        <v>นายธนพงษ์ วันหมัด</v>
      </c>
      <c r="M2550" s="1" t="str">
        <f>IFERROR(__xludf.DUMMYFUNCTION("""COMPUTED_VALUE"""),"0813716913")</f>
        <v>0813716913</v>
      </c>
      <c r="N2550" s="3">
        <f>IFERROR(__xludf.DUMMYFUNCTION("""COMPUTED_VALUE"""),83297.0)</f>
        <v>83297</v>
      </c>
      <c r="O2550" s="3" t="str">
        <f>IFERROR(__xludf.DUMMYFUNCTION("""COMPUTED_VALUE"""),"ร้านสะดวกซื้อ (คุณรัตน์ดา)")</f>
        <v>ร้านสะดวกซื้อ (คุณรัตน์ดา)</v>
      </c>
      <c r="P2550" s="4">
        <f>IFERROR(__xludf.DUMMYFUNCTION("""COMPUTED_VALUE"""),44582.0)</f>
        <v>44582</v>
      </c>
      <c r="Q2550" s="3" t="str">
        <f>IFERROR(__xludf.DUMMYFUNCTION("""COMPUTED_VALUE"""),"I")</f>
        <v>I</v>
      </c>
      <c r="R2550" s="3" t="str">
        <f>IFERROR(__xludf.DUMMYFUNCTION("""COMPUTED_VALUE"""),"Small Format")</f>
        <v>Small Format</v>
      </c>
      <c r="S2550" s="3" t="str">
        <f>IFERROR(__xludf.DUMMYFUNCTION("""COMPUTED_VALUE"""),"Donjai")</f>
        <v>Donjai</v>
      </c>
      <c r="T2550" s="3">
        <f>IFERROR(__xludf.DUMMYFUNCTION("""COMPUTED_VALUE"""),0.0)</f>
        <v>0</v>
      </c>
      <c r="U2550" s="3">
        <f>IFERROR(__xludf.DUMMYFUNCTION("""COMPUTED_VALUE"""),0.0)</f>
        <v>0</v>
      </c>
      <c r="V2550" s="3" t="str">
        <f>IFERROR(__xludf.DUMMYFUNCTION("""COMPUTED_VALUE"""),"N")</f>
        <v>N</v>
      </c>
      <c r="W2550" s="3"/>
      <c r="X2550" s="3" t="str">
        <f>IFERROR(__xludf.DUMMYFUNCTION("""COMPUTED_VALUE"""),"107/3 ม.4 ต.ทับมา อ.เมือง จ.ระยอง 21000")</f>
        <v>107/3 ม.4 ต.ทับมา อ.เมือง จ.ระยอง 21000</v>
      </c>
      <c r="Y2550" s="3"/>
      <c r="Z2550" s="3">
        <f>IFERROR(__xludf.DUMMYFUNCTION("""COMPUTED_VALUE"""),0.0)</f>
        <v>0</v>
      </c>
      <c r="AA2550" s="3">
        <f>IFERROR(__xludf.DUMMYFUNCTION("""COMPUTED_VALUE"""),0.0)</f>
        <v>0</v>
      </c>
      <c r="AB2550" s="3" t="str">
        <f>IFERROR(__xludf.DUMMYFUNCTION("""COMPUTED_VALUE"""),"ระยอง")</f>
        <v>ระยอง</v>
      </c>
      <c r="AC2550" s="3">
        <f>IFERROR(__xludf.DUMMYFUNCTION("""COMPUTED_VALUE"""),21000.0)</f>
        <v>21000</v>
      </c>
      <c r="AD2550" s="3"/>
      <c r="AE2550" s="3"/>
      <c r="AF2550" s="3" t="str">
        <f>IFERROR(__xludf.DUMMYFUNCTION("""COMPUTED_VALUE"""),"ร้านสะดวกซื้อ (คุณรัตน์ดา)-83297")</f>
        <v>ร้านสะดวกซื้อ (คุณรัตน์ดา)-83297</v>
      </c>
      <c r="AG2550" s="3" t="str">
        <f>IFERROR(__xludf.DUMMYFUNCTION("""COMPUTED_VALUE"""),"ตะวันออก")</f>
        <v>ตะวันออก</v>
      </c>
      <c r="AH2550" s="3" t="str">
        <f>IFERROR(__xludf.DUMMYFUNCTION("""COMPUTED_VALUE"""),"#N/A")</f>
        <v>#N/A</v>
      </c>
      <c r="AI2550" s="3" t="str">
        <f>IFERROR(__xludf.DUMMYFUNCTION("""COMPUTED_VALUE"""),"Out of warranty")</f>
        <v>Out of warranty</v>
      </c>
      <c r="AJ2550" s="3">
        <f>IFERROR(__xludf.DUMMYFUNCTION("""COMPUTED_VALUE"""),48.0)</f>
        <v>48</v>
      </c>
      <c r="AK2550" s="3"/>
      <c r="AL2550" s="3"/>
    </row>
    <row r="2551" ht="15.75" customHeight="1">
      <c r="A2551" s="1" t="str">
        <f>IFERROR(__xludf.DUMMYFUNCTION("""COMPUTED_VALUE"""),"83299")</f>
        <v>83299</v>
      </c>
      <c r="B2551" s="2">
        <f>IFERROR(__xludf.DUMMYFUNCTION("""COMPUTED_VALUE"""),83299.0)</f>
        <v>83299</v>
      </c>
      <c r="C2551" s="3" t="str">
        <f>IFERROR(__xludf.DUMMYFUNCTION("""COMPUTED_VALUE"""),"ร้านเอเซีย")</f>
        <v>ร้านเอเซีย</v>
      </c>
      <c r="D2551" s="3" t="str">
        <f>IFERROR(__xludf.DUMMYFUNCTION("""COMPUTED_VALUE"""),"ร้านเอเซีย")</f>
        <v>ร้านเอเซีย</v>
      </c>
      <c r="E2551" s="1" t="str">
        <f>IFERROR(__xludf.DUMMYFUNCTION("""COMPUTED_VALUE"""),"Donjai")</f>
        <v>Donjai</v>
      </c>
      <c r="F2551" s="1" t="str">
        <f>IFERROR(__xludf.DUMMYFUNCTION("""COMPUTED_VALUE"""),"296608")</f>
        <v>296608</v>
      </c>
      <c r="G2551" s="1" t="str">
        <f>IFERROR(__xludf.DUMMYFUNCTION("""COMPUTED_VALUE"""),"นายภาคภูมิ เพ็ชรนิล")</f>
        <v>นายภาคภูมิ เพ็ชรนิล</v>
      </c>
      <c r="H2551" s="1" t="str">
        <f>IFERROR(__xludf.DUMMYFUNCTION("""COMPUTED_VALUE"""),"296608")</f>
        <v>296608</v>
      </c>
      <c r="I2551" s="1" t="str">
        <f>IFERROR(__xludf.DUMMYFUNCTION("""COMPUTED_VALUE"""),"นายภาคภูมิ เพ็ชรนิล")</f>
        <v>นายภาคภูมิ เพ็ชรนิล</v>
      </c>
      <c r="J2551" s="3">
        <f>IFERROR(__xludf.DUMMYFUNCTION("""COMPUTED_VALUE"""),228031.0)</f>
        <v>228031</v>
      </c>
      <c r="K2551" s="3" t="str">
        <f>IFERROR(__xludf.DUMMYFUNCTION("""COMPUTED_VALUE"""),"นายธนพงษ์ วันหมัด")</f>
        <v>นายธนพงษ์ วันหมัด</v>
      </c>
      <c r="L2551" s="1" t="str">
        <f>IFERROR(__xludf.DUMMYFUNCTION("""COMPUTED_VALUE"""),"นายธนพงษ์ วันหมัด")</f>
        <v>นายธนพงษ์ วันหมัด</v>
      </c>
      <c r="M2551" s="1" t="str">
        <f>IFERROR(__xludf.DUMMYFUNCTION("""COMPUTED_VALUE"""),"0813716913")</f>
        <v>0813716913</v>
      </c>
      <c r="N2551" s="3">
        <f>IFERROR(__xludf.DUMMYFUNCTION("""COMPUTED_VALUE"""),83299.0)</f>
        <v>83299</v>
      </c>
      <c r="O2551" s="3" t="str">
        <f>IFERROR(__xludf.DUMMYFUNCTION("""COMPUTED_VALUE"""),"ร้านเอเซีย")</f>
        <v>ร้านเอเซีย</v>
      </c>
      <c r="P2551" s="4">
        <f>IFERROR(__xludf.DUMMYFUNCTION("""COMPUTED_VALUE"""),44585.0)</f>
        <v>44585</v>
      </c>
      <c r="Q2551" s="3" t="str">
        <f>IFERROR(__xludf.DUMMYFUNCTION("""COMPUTED_VALUE"""),"I")</f>
        <v>I</v>
      </c>
      <c r="R2551" s="3" t="str">
        <f>IFERROR(__xludf.DUMMYFUNCTION("""COMPUTED_VALUE"""),"Small Format")</f>
        <v>Small Format</v>
      </c>
      <c r="S2551" s="3" t="str">
        <f>IFERROR(__xludf.DUMMYFUNCTION("""COMPUTED_VALUE"""),"Donjai")</f>
        <v>Donjai</v>
      </c>
      <c r="T2551" s="3" t="str">
        <f>IFERROR(__xludf.DUMMYFUNCTION("""COMPUTED_VALUE"""),"10 K.Phakphoom P.")</f>
        <v>10 K.Phakphoom P.</v>
      </c>
      <c r="U2551" s="3" t="str">
        <f>IFERROR(__xludf.DUMMYFUNCTION("""COMPUTED_VALUE"""),"10 K.Phakphoom P.")</f>
        <v>10 K.Phakphoom P.</v>
      </c>
      <c r="V2551" s="3" t="str">
        <f>IFERROR(__xludf.DUMMYFUNCTION("""COMPUTED_VALUE"""),"N")</f>
        <v>N</v>
      </c>
      <c r="W2551" s="3"/>
      <c r="X2551" s="3" t="str">
        <f>IFERROR(__xludf.DUMMYFUNCTION("""COMPUTED_VALUE"""),"198/1 หมู่ 4 ตำบลยากหัก อำเภอปากท่อ จังหวัดราชบุรี 70140")</f>
        <v>198/1 หมู่ 4 ตำบลยากหัก อำเภอปากท่อ จังหวัดราชบุรี 70140</v>
      </c>
      <c r="Y2551" s="3"/>
      <c r="Z2551" s="3">
        <f>IFERROR(__xludf.DUMMYFUNCTION("""COMPUTED_VALUE"""),0.0)</f>
        <v>0</v>
      </c>
      <c r="AA2551" s="3">
        <f>IFERROR(__xludf.DUMMYFUNCTION("""COMPUTED_VALUE"""),0.0)</f>
        <v>0</v>
      </c>
      <c r="AB2551" s="3" t="str">
        <f>IFERROR(__xludf.DUMMYFUNCTION("""COMPUTED_VALUE"""),"ราชบุรี")</f>
        <v>ราชบุรี</v>
      </c>
      <c r="AC2551" s="3">
        <f>IFERROR(__xludf.DUMMYFUNCTION("""COMPUTED_VALUE"""),70140.0)</f>
        <v>70140</v>
      </c>
      <c r="AD2551" s="3"/>
      <c r="AE2551" s="3"/>
      <c r="AF2551" s="3" t="str">
        <f>IFERROR(__xludf.DUMMYFUNCTION("""COMPUTED_VALUE"""),"ร้านเอเซีย-83299")</f>
        <v>ร้านเอเซีย-83299</v>
      </c>
      <c r="AG2551" s="3" t="str">
        <f>IFERROR(__xludf.DUMMYFUNCTION("""COMPUTED_VALUE"""),"ตะวันตก")</f>
        <v>ตะวันตก</v>
      </c>
      <c r="AH2551" s="3" t="str">
        <f>IFERROR(__xludf.DUMMYFUNCTION("""COMPUTED_VALUE"""),"#N/A")</f>
        <v>#N/A</v>
      </c>
      <c r="AI2551" s="3" t="str">
        <f>IFERROR(__xludf.DUMMYFUNCTION("""COMPUTED_VALUE"""),"Out of warranty")</f>
        <v>Out of warranty</v>
      </c>
      <c r="AJ2551" s="3">
        <f>IFERROR(__xludf.DUMMYFUNCTION("""COMPUTED_VALUE"""),48.0)</f>
        <v>48</v>
      </c>
      <c r="AK2551" s="3"/>
      <c r="AL2551" s="3"/>
    </row>
    <row r="2552" ht="15.75" customHeight="1">
      <c r="A2552" s="1" t="str">
        <f>IFERROR(__xludf.DUMMYFUNCTION("""COMPUTED_VALUE"""),"83301")</f>
        <v>83301</v>
      </c>
      <c r="B2552" s="2">
        <f>IFERROR(__xludf.DUMMYFUNCTION("""COMPUTED_VALUE"""),83301.0)</f>
        <v>83301</v>
      </c>
      <c r="C2552" s="3" t="str">
        <f>IFERROR(__xludf.DUMMYFUNCTION("""COMPUTED_VALUE"""),"ร้าน De.DATOA")</f>
        <v>ร้าน De.DATOA</v>
      </c>
      <c r="D2552" s="3" t="str">
        <f>IFERROR(__xludf.DUMMYFUNCTION("""COMPUTED_VALUE"""),"ร้าน De.DATOA")</f>
        <v>ร้าน De.DATOA</v>
      </c>
      <c r="E2552" s="1" t="str">
        <f>IFERROR(__xludf.DUMMYFUNCTION("""COMPUTED_VALUE"""),"Donjai")</f>
        <v>Donjai</v>
      </c>
      <c r="F2552" s="1" t="str">
        <f>IFERROR(__xludf.DUMMYFUNCTION("""COMPUTED_VALUE"""),"20470331")</f>
        <v>20470331</v>
      </c>
      <c r="G2552" s="1" t="str">
        <f>IFERROR(__xludf.DUMMYFUNCTION("""COMPUTED_VALUE"""),"นายสมชาย ลักษณะสุวรรณ")</f>
        <v>นายสมชาย ลักษณะสุวรรณ</v>
      </c>
      <c r="H2552" s="1" t="str">
        <f>IFERROR(__xludf.DUMMYFUNCTION("""COMPUTED_VALUE"""),"20470331")</f>
        <v>20470331</v>
      </c>
      <c r="I2552" s="1" t="str">
        <f>IFERROR(__xludf.DUMMYFUNCTION("""COMPUTED_VALUE"""),"นายสมชาย ลักษณะสุวรรณ")</f>
        <v>นายสมชาย ลักษณะสุวรรณ</v>
      </c>
      <c r="J2552" s="3">
        <f>IFERROR(__xludf.DUMMYFUNCTION("""COMPUTED_VALUE"""),295541.0)</f>
        <v>295541</v>
      </c>
      <c r="K2552" s="3" t="str">
        <f>IFERROR(__xludf.DUMMYFUNCTION("""COMPUTED_VALUE"""),"นายรพิพล ศรีมาตย์")</f>
        <v>นายรพิพล ศรีมาตย์</v>
      </c>
      <c r="L2552" s="1" t="str">
        <f>IFERROR(__xludf.DUMMYFUNCTION("""COMPUTED_VALUE"""),"นายรพิพล ศรีมาตย์")</f>
        <v>นายรพิพล ศรีมาตย์</v>
      </c>
      <c r="M2552" s="1" t="str">
        <f>IFERROR(__xludf.DUMMYFUNCTION("""COMPUTED_VALUE"""),"0613966115")</f>
        <v>0613966115</v>
      </c>
      <c r="N2552" s="3">
        <f>IFERROR(__xludf.DUMMYFUNCTION("""COMPUTED_VALUE"""),83301.0)</f>
        <v>83301</v>
      </c>
      <c r="O2552" s="3" t="str">
        <f>IFERROR(__xludf.DUMMYFUNCTION("""COMPUTED_VALUE"""),"ร้าน De.DATOA")</f>
        <v>ร้าน De.DATOA</v>
      </c>
      <c r="P2552" s="4">
        <f>IFERROR(__xludf.DUMMYFUNCTION("""COMPUTED_VALUE"""),44584.0)</f>
        <v>44584</v>
      </c>
      <c r="Q2552" s="3" t="str">
        <f>IFERROR(__xludf.DUMMYFUNCTION("""COMPUTED_VALUE"""),"A")</f>
        <v>A</v>
      </c>
      <c r="R2552" s="3" t="str">
        <f>IFERROR(__xludf.DUMMYFUNCTION("""COMPUTED_VALUE"""),"Small Format")</f>
        <v>Small Format</v>
      </c>
      <c r="S2552" s="3" t="str">
        <f>IFERROR(__xludf.DUMMYFUNCTION("""COMPUTED_VALUE"""),"Donjai")</f>
        <v>Donjai</v>
      </c>
      <c r="T2552" s="3" t="str">
        <f>IFERROR(__xludf.DUMMYFUNCTION("""COMPUTED_VALUE"""),"15 K.Somchai L")</f>
        <v>15 K.Somchai L</v>
      </c>
      <c r="U2552" s="3" t="str">
        <f>IFERROR(__xludf.DUMMYFUNCTION("""COMPUTED_VALUE"""),"15 K.Somchai L")</f>
        <v>15 K.Somchai L</v>
      </c>
      <c r="V2552" s="3" t="str">
        <f>IFERROR(__xludf.DUMMYFUNCTION("""COMPUTED_VALUE"""),"N")</f>
        <v>N</v>
      </c>
      <c r="W2552" s="3"/>
      <c r="X2552" s="3" t="str">
        <f>IFERROR(__xludf.DUMMYFUNCTION("""COMPUTED_VALUE"""),"หมู่บ้านดาโตะ ต.แหลมโพธิ์ อ.ยะหริ่ง จ.ปัตตานี")</f>
        <v>หมู่บ้านดาโตะ ต.แหลมโพธิ์ อ.ยะหริ่ง จ.ปัตตานี</v>
      </c>
      <c r="Y2552" s="3"/>
      <c r="Z2552" s="3">
        <f>IFERROR(__xludf.DUMMYFUNCTION("""COMPUTED_VALUE"""),0.0)</f>
        <v>0</v>
      </c>
      <c r="AA2552" s="3">
        <f>IFERROR(__xludf.DUMMYFUNCTION("""COMPUTED_VALUE"""),0.0)</f>
        <v>0</v>
      </c>
      <c r="AB2552" s="3" t="str">
        <f>IFERROR(__xludf.DUMMYFUNCTION("""COMPUTED_VALUE"""),"ปัตตานี")</f>
        <v>ปัตตานี</v>
      </c>
      <c r="AC2552" s="3">
        <f>IFERROR(__xludf.DUMMYFUNCTION("""COMPUTED_VALUE"""),0.0)</f>
        <v>0</v>
      </c>
      <c r="AD2552" s="3"/>
      <c r="AE2552" s="3"/>
      <c r="AF2552" s="3" t="str">
        <f>IFERROR(__xludf.DUMMYFUNCTION("""COMPUTED_VALUE"""),"ร้าน De.DATOA -83301")</f>
        <v>ร้าน De.DATOA -83301</v>
      </c>
      <c r="AG2552" s="3" t="str">
        <f>IFERROR(__xludf.DUMMYFUNCTION("""COMPUTED_VALUE"""),"ใต้")</f>
        <v>ใต้</v>
      </c>
      <c r="AH2552" s="3" t="str">
        <f>IFERROR(__xludf.DUMMYFUNCTION("""COMPUTED_VALUE"""),"#N/A")</f>
        <v>#N/A</v>
      </c>
      <c r="AI2552" s="3" t="str">
        <f>IFERROR(__xludf.DUMMYFUNCTION("""COMPUTED_VALUE"""),"Out of warranty")</f>
        <v>Out of warranty</v>
      </c>
      <c r="AJ2552" s="3">
        <f>IFERROR(__xludf.DUMMYFUNCTION("""COMPUTED_VALUE"""),48.0)</f>
        <v>48</v>
      </c>
      <c r="AK2552" s="3"/>
      <c r="AL2552" s="3"/>
    </row>
    <row r="2553" ht="15.75" customHeight="1">
      <c r="A2553" s="1" t="str">
        <f>IFERROR(__xludf.DUMMYFUNCTION("""COMPUTED_VALUE"""),"83302")</f>
        <v>83302</v>
      </c>
      <c r="B2553" s="2">
        <f>IFERROR(__xludf.DUMMYFUNCTION("""COMPUTED_VALUE"""),83302.0)</f>
        <v>83302</v>
      </c>
      <c r="C2553" s="3" t="str">
        <f>IFERROR(__xludf.DUMMYFUNCTION("""COMPUTED_VALUE"""),"ร้านมาหยา (ร้านพี่ติ๋ว)")</f>
        <v>ร้านมาหยา (ร้านพี่ติ๋ว)</v>
      </c>
      <c r="D2553" s="3" t="str">
        <f>IFERROR(__xludf.DUMMYFUNCTION("""COMPUTED_VALUE"""),"ร้านมาหยา (ร้านพี่ติ๋ว)")</f>
        <v>ร้านมาหยา (ร้านพี่ติ๋ว)</v>
      </c>
      <c r="E2553" s="1" t="str">
        <f>IFERROR(__xludf.DUMMYFUNCTION("""COMPUTED_VALUE"""),"Donjai")</f>
        <v>Donjai</v>
      </c>
      <c r="F2553" s="1" t="str">
        <f>IFERROR(__xludf.DUMMYFUNCTION("""COMPUTED_VALUE"""),"025324")</f>
        <v>025324</v>
      </c>
      <c r="G2553" s="1" t="str">
        <f>IFERROR(__xludf.DUMMYFUNCTION("""COMPUTED_VALUE"""),"นายวิเชฎฐ์ ติรัตนะประคม")</f>
        <v>นายวิเชฎฐ์ ติรัตนะประคม</v>
      </c>
      <c r="H2553" s="1" t="str">
        <f>IFERROR(__xludf.DUMMYFUNCTION("""COMPUTED_VALUE"""),"025324")</f>
        <v>025324</v>
      </c>
      <c r="I2553" s="1" t="str">
        <f>IFERROR(__xludf.DUMMYFUNCTION("""COMPUTED_VALUE"""),"นายวิเชฎฐ์ ติรัตนะประคม")</f>
        <v>นายวิเชฎฐ์ ติรัตนะประคม</v>
      </c>
      <c r="J2553" s="3">
        <f>IFERROR(__xludf.DUMMYFUNCTION("""COMPUTED_VALUE"""),295541.0)</f>
        <v>295541</v>
      </c>
      <c r="K2553" s="3" t="str">
        <f>IFERROR(__xludf.DUMMYFUNCTION("""COMPUTED_VALUE"""),"นายรพิพล ศรีมาตย์")</f>
        <v>นายรพิพล ศรีมาตย์</v>
      </c>
      <c r="L2553" s="1" t="str">
        <f>IFERROR(__xludf.DUMMYFUNCTION("""COMPUTED_VALUE"""),"นายรพิพล ศรีมาตย์")</f>
        <v>นายรพิพล ศรีมาตย์</v>
      </c>
      <c r="M2553" s="1" t="str">
        <f>IFERROR(__xludf.DUMMYFUNCTION("""COMPUTED_VALUE"""),"0613966115")</f>
        <v>0613966115</v>
      </c>
      <c r="N2553" s="3">
        <f>IFERROR(__xludf.DUMMYFUNCTION("""COMPUTED_VALUE"""),83302.0)</f>
        <v>83302</v>
      </c>
      <c r="O2553" s="3" t="str">
        <f>IFERROR(__xludf.DUMMYFUNCTION("""COMPUTED_VALUE"""),"ร้านมาหยา (ร้านพี่ติ๋ว)")</f>
        <v>ร้านมาหยา (ร้านพี่ติ๋ว)</v>
      </c>
      <c r="P2553" s="4">
        <f>IFERROR(__xludf.DUMMYFUNCTION("""COMPUTED_VALUE"""),44589.0)</f>
        <v>44589</v>
      </c>
      <c r="Q2553" s="3" t="str">
        <f>IFERROR(__xludf.DUMMYFUNCTION("""COMPUTED_VALUE"""),"I")</f>
        <v>I</v>
      </c>
      <c r="R2553" s="3" t="str">
        <f>IFERROR(__xludf.DUMMYFUNCTION("""COMPUTED_VALUE"""),"Small Format")</f>
        <v>Small Format</v>
      </c>
      <c r="S2553" s="3" t="str">
        <f>IFERROR(__xludf.DUMMYFUNCTION("""COMPUTED_VALUE"""),"Donjai")</f>
        <v>Donjai</v>
      </c>
      <c r="T2553" s="3" t="str">
        <f>IFERROR(__xludf.DUMMYFUNCTION("""COMPUTED_VALUE"""),"14 K.Wichet T.")</f>
        <v>14 K.Wichet T.</v>
      </c>
      <c r="U2553" s="3" t="str">
        <f>IFERROR(__xludf.DUMMYFUNCTION("""COMPUTED_VALUE"""),"14 K.Wichet T.")</f>
        <v>14 K.Wichet T.</v>
      </c>
      <c r="V2553" s="3" t="str">
        <f>IFERROR(__xludf.DUMMYFUNCTION("""COMPUTED_VALUE"""),"N")</f>
        <v>N</v>
      </c>
      <c r="W2553" s="3"/>
      <c r="X2553" s="3" t="str">
        <f>IFERROR(__xludf.DUMMYFUNCTION("""COMPUTED_VALUE"""),"ต.เหนือคลอง อ.เหนือคลอง จ.กระบี่ 81130")</f>
        <v>ต.เหนือคลอง อ.เหนือคลอง จ.กระบี่ 81130</v>
      </c>
      <c r="Y2553" s="3"/>
      <c r="Z2553" s="3" t="str">
        <f>IFERROR(__xludf.DUMMYFUNCTION("""COMPUTED_VALUE"""),"เหนือคลอง")</f>
        <v>เหนือคลอง</v>
      </c>
      <c r="AA2553" s="3" t="str">
        <f>IFERROR(__xludf.DUMMYFUNCTION("""COMPUTED_VALUE"""),"เหนือคลอง")</f>
        <v>เหนือคลอง</v>
      </c>
      <c r="AB2553" s="3" t="str">
        <f>IFERROR(__xludf.DUMMYFUNCTION("""COMPUTED_VALUE"""),"กระบี่")</f>
        <v>กระบี่</v>
      </c>
      <c r="AC2553" s="3">
        <f>IFERROR(__xludf.DUMMYFUNCTION("""COMPUTED_VALUE"""),81130.0)</f>
        <v>81130</v>
      </c>
      <c r="AD2553" s="3"/>
      <c r="AE2553" s="3"/>
      <c r="AF2553" s="3" t="str">
        <f>IFERROR(__xludf.DUMMYFUNCTION("""COMPUTED_VALUE"""),"ร้านมาหยา (ร้านพี่ติ๋ว)-83302")</f>
        <v>ร้านมาหยา (ร้านพี่ติ๋ว)-83302</v>
      </c>
      <c r="AG2553" s="3" t="str">
        <f>IFERROR(__xludf.DUMMYFUNCTION("""COMPUTED_VALUE"""),"ใต้")</f>
        <v>ใต้</v>
      </c>
      <c r="AH2553" s="3" t="str">
        <f>IFERROR(__xludf.DUMMYFUNCTION("""COMPUTED_VALUE"""),"#N/A")</f>
        <v>#N/A</v>
      </c>
      <c r="AI2553" s="3" t="str">
        <f>IFERROR(__xludf.DUMMYFUNCTION("""COMPUTED_VALUE"""),"Out of warranty")</f>
        <v>Out of warranty</v>
      </c>
      <c r="AJ2553" s="3">
        <f>IFERROR(__xludf.DUMMYFUNCTION("""COMPUTED_VALUE"""),48.0)</f>
        <v>48</v>
      </c>
      <c r="AK2553" s="3"/>
      <c r="AL2553" s="3"/>
    </row>
    <row r="2554" ht="15.75" customHeight="1">
      <c r="A2554" s="1" t="str">
        <f>IFERROR(__xludf.DUMMYFUNCTION("""COMPUTED_VALUE"""),"83304")</f>
        <v>83304</v>
      </c>
      <c r="B2554" s="2">
        <f>IFERROR(__xludf.DUMMYFUNCTION("""COMPUTED_VALUE"""),83304.0)</f>
        <v>83304</v>
      </c>
      <c r="C2554" s="3" t="str">
        <f>IFERROR(__xludf.DUMMYFUNCTION("""COMPUTED_VALUE"""),"ร้านสายทองการค้า")</f>
        <v>ร้านสายทองการค้า</v>
      </c>
      <c r="D2554" s="3" t="str">
        <f>IFERROR(__xludf.DUMMYFUNCTION("""COMPUTED_VALUE"""),"ร้านสายทองการค้า")</f>
        <v>ร้านสายทองการค้า</v>
      </c>
      <c r="E2554" s="1" t="str">
        <f>IFERROR(__xludf.DUMMYFUNCTION("""COMPUTED_VALUE"""),"Donjai")</f>
        <v>Donjai</v>
      </c>
      <c r="F2554" s="1" t="str">
        <f>IFERROR(__xludf.DUMMYFUNCTION("""COMPUTED_VALUE"""),"2454781")</f>
        <v>2454781</v>
      </c>
      <c r="G2554" s="1" t="str">
        <f>IFERROR(__xludf.DUMMYFUNCTION("""COMPUTED_VALUE"""),"นายฌานกฤช นันทะโคต")</f>
        <v>นายฌานกฤช นันทะโคต</v>
      </c>
      <c r="H2554" s="1" t="str">
        <f>IFERROR(__xludf.DUMMYFUNCTION("""COMPUTED_VALUE"""),"2454781")</f>
        <v>2454781</v>
      </c>
      <c r="I2554" s="1" t="str">
        <f>IFERROR(__xludf.DUMMYFUNCTION("""COMPUTED_VALUE"""),"นายฌานกฤช นันทะโคต")</f>
        <v>นายฌานกฤช นันทะโคต</v>
      </c>
      <c r="J2554" s="3">
        <f>IFERROR(__xludf.DUMMYFUNCTION("""COMPUTED_VALUE"""),295886.0)</f>
        <v>295886</v>
      </c>
      <c r="K2554" s="3" t="str">
        <f>IFERROR(__xludf.DUMMYFUNCTION("""COMPUTED_VALUE"""),"นายจิระพงษ์ โพธิ์นิล")</f>
        <v>นายจิระพงษ์ โพธิ์นิล</v>
      </c>
      <c r="L2554" s="1" t="str">
        <f>IFERROR(__xludf.DUMMYFUNCTION("""COMPUTED_VALUE"""),"นายจิระพงษ์ โพธิ์นิล")</f>
        <v>นายจิระพงษ์ โพธิ์นิล</v>
      </c>
      <c r="M2554" s="1" t="str">
        <f>IFERROR(__xludf.DUMMYFUNCTION("""COMPUTED_VALUE"""),"0933290754")</f>
        <v>0933290754</v>
      </c>
      <c r="N2554" s="3">
        <f>IFERROR(__xludf.DUMMYFUNCTION("""COMPUTED_VALUE"""),83304.0)</f>
        <v>83304</v>
      </c>
      <c r="O2554" s="3" t="str">
        <f>IFERROR(__xludf.DUMMYFUNCTION("""COMPUTED_VALUE"""),"ร้านสายทองการค้า")</f>
        <v>ร้านสายทองการค้า</v>
      </c>
      <c r="P2554" s="4">
        <f>IFERROR(__xludf.DUMMYFUNCTION("""COMPUTED_VALUE"""),44587.0)</f>
        <v>44587</v>
      </c>
      <c r="Q2554" s="3" t="str">
        <f>IFERROR(__xludf.DUMMYFUNCTION("""COMPUTED_VALUE"""),"A")</f>
        <v>A</v>
      </c>
      <c r="R2554" s="3" t="str">
        <f>IFERROR(__xludf.DUMMYFUNCTION("""COMPUTED_VALUE"""),"Small Format")</f>
        <v>Small Format</v>
      </c>
      <c r="S2554" s="3" t="str">
        <f>IFERROR(__xludf.DUMMYFUNCTION("""COMPUTED_VALUE"""),"Donjai")</f>
        <v>Donjai</v>
      </c>
      <c r="T2554" s="3" t="str">
        <f>IFERROR(__xludf.DUMMYFUNCTION("""COMPUTED_VALUE"""),"05 K.Chanakrit N.")</f>
        <v>05 K.Chanakrit N.</v>
      </c>
      <c r="U2554" s="3" t="str">
        <f>IFERROR(__xludf.DUMMYFUNCTION("""COMPUTED_VALUE"""),"05 K.Chanakrit N.")</f>
        <v>05 K.Chanakrit N.</v>
      </c>
      <c r="V2554" s="3" t="str">
        <f>IFERROR(__xludf.DUMMYFUNCTION("""COMPUTED_VALUE"""),"N")</f>
        <v>N</v>
      </c>
      <c r="W2554" s="3"/>
      <c r="X2554" s="3" t="str">
        <f>IFERROR(__xludf.DUMMYFUNCTION("""COMPUTED_VALUE"""),"หมู่บ้านดงเค็ง อ.บรบือ มหาสารคาม")</f>
        <v>หมู่บ้านดงเค็ง อ.บรบือ มหาสารคาม</v>
      </c>
      <c r="Y2554" s="3"/>
      <c r="Z2554" s="3">
        <f>IFERROR(__xludf.DUMMYFUNCTION("""COMPUTED_VALUE"""),0.0)</f>
        <v>0</v>
      </c>
      <c r="AA2554" s="3">
        <f>IFERROR(__xludf.DUMMYFUNCTION("""COMPUTED_VALUE"""),0.0)</f>
        <v>0</v>
      </c>
      <c r="AB2554" s="3" t="str">
        <f>IFERROR(__xludf.DUMMYFUNCTION("""COMPUTED_VALUE"""),"มหาสารคาม")</f>
        <v>มหาสารคาม</v>
      </c>
      <c r="AC2554" s="3">
        <f>IFERROR(__xludf.DUMMYFUNCTION("""COMPUTED_VALUE"""),0.0)</f>
        <v>0</v>
      </c>
      <c r="AD2554" s="3"/>
      <c r="AE2554" s="3"/>
      <c r="AF2554" s="3" t="str">
        <f>IFERROR(__xludf.DUMMYFUNCTION("""COMPUTED_VALUE"""),"ร้านสายทองการค้า-83304")</f>
        <v>ร้านสายทองการค้า-83304</v>
      </c>
      <c r="AG2554" s="3" t="str">
        <f>IFERROR(__xludf.DUMMYFUNCTION("""COMPUTED_VALUE"""),"ตะวันออกเฉียงเหนือ")</f>
        <v>ตะวันออกเฉียงเหนือ</v>
      </c>
      <c r="AH2554" s="3" t="str">
        <f>IFERROR(__xludf.DUMMYFUNCTION("""COMPUTED_VALUE"""),"#N/A")</f>
        <v>#N/A</v>
      </c>
      <c r="AI2554" s="3" t="str">
        <f>IFERROR(__xludf.DUMMYFUNCTION("""COMPUTED_VALUE"""),"Out of warranty")</f>
        <v>Out of warranty</v>
      </c>
      <c r="AJ2554" s="3">
        <f>IFERROR(__xludf.DUMMYFUNCTION("""COMPUTED_VALUE"""),48.0)</f>
        <v>48</v>
      </c>
      <c r="AK2554" s="3"/>
      <c r="AL2554" s="3"/>
    </row>
    <row r="2555" ht="15.75" customHeight="1">
      <c r="A2555" s="1" t="str">
        <f>IFERROR(__xludf.DUMMYFUNCTION("""COMPUTED_VALUE"""),"83308")</f>
        <v>83308</v>
      </c>
      <c r="B2555" s="2">
        <f>IFERROR(__xludf.DUMMYFUNCTION("""COMPUTED_VALUE"""),83308.0)</f>
        <v>83308</v>
      </c>
      <c r="C2555" s="3" t="str">
        <f>IFERROR(__xludf.DUMMYFUNCTION("""COMPUTED_VALUE"""),"ร้านดีเลิษ มินิมาร์ท")</f>
        <v>ร้านดีเลิษ มินิมาร์ท</v>
      </c>
      <c r="D2555" s="3" t="str">
        <f>IFERROR(__xludf.DUMMYFUNCTION("""COMPUTED_VALUE"""),"ร้านดีเลิษ มินิมาร์ท")</f>
        <v>ร้านดีเลิษ มินิมาร์ท</v>
      </c>
      <c r="E2555" s="1" t="str">
        <f>IFERROR(__xludf.DUMMYFUNCTION("""COMPUTED_VALUE"""),"Donjai")</f>
        <v>Donjai</v>
      </c>
      <c r="F2555" s="1" t="str">
        <f>IFERROR(__xludf.DUMMYFUNCTION("""COMPUTED_VALUE"""),"2010016")</f>
        <v>2010016</v>
      </c>
      <c r="G2555" s="1" t="str">
        <f>IFERROR(__xludf.DUMMYFUNCTION("""COMPUTED_VALUE"""),"นายตวงธรรม ใหม่ยศ")</f>
        <v>นายตวงธรรม ใหม่ยศ</v>
      </c>
      <c r="H2555" s="1" t="str">
        <f>IFERROR(__xludf.DUMMYFUNCTION("""COMPUTED_VALUE"""),"2010016")</f>
        <v>2010016</v>
      </c>
      <c r="I2555" s="1" t="str">
        <f>IFERROR(__xludf.DUMMYFUNCTION("""COMPUTED_VALUE"""),"นายตวงธรรม ใหม่ยศ")</f>
        <v>นายตวงธรรม ใหม่ยศ</v>
      </c>
      <c r="J2555" s="3">
        <f>IFERROR(__xludf.DUMMYFUNCTION("""COMPUTED_VALUE"""),295886.0)</f>
        <v>295886</v>
      </c>
      <c r="K2555" s="3" t="str">
        <f>IFERROR(__xludf.DUMMYFUNCTION("""COMPUTED_VALUE"""),"นายจิระพงษ์ โพธิ์นิล")</f>
        <v>นายจิระพงษ์ โพธิ์นิล</v>
      </c>
      <c r="L2555" s="1" t="str">
        <f>IFERROR(__xludf.DUMMYFUNCTION("""COMPUTED_VALUE"""),"นายจิระพงษ์ โพธิ์นิล")</f>
        <v>นายจิระพงษ์ โพธิ์นิล</v>
      </c>
      <c r="M2555" s="1" t="str">
        <f>IFERROR(__xludf.DUMMYFUNCTION("""COMPUTED_VALUE"""),"0933290754")</f>
        <v>0933290754</v>
      </c>
      <c r="N2555" s="3">
        <f>IFERROR(__xludf.DUMMYFUNCTION("""COMPUTED_VALUE"""),83308.0)</f>
        <v>83308</v>
      </c>
      <c r="O2555" s="3" t="str">
        <f>IFERROR(__xludf.DUMMYFUNCTION("""COMPUTED_VALUE"""),"ร้านดีเลิษ มินิมาร์ท")</f>
        <v>ร้านดีเลิษ มินิมาร์ท</v>
      </c>
      <c r="P2555" s="4">
        <f>IFERROR(__xludf.DUMMYFUNCTION("""COMPUTED_VALUE"""),44580.0)</f>
        <v>44580</v>
      </c>
      <c r="Q2555" s="3" t="str">
        <f>IFERROR(__xludf.DUMMYFUNCTION("""COMPUTED_VALUE"""),"I")</f>
        <v>I</v>
      </c>
      <c r="R2555" s="3" t="str">
        <f>IFERROR(__xludf.DUMMYFUNCTION("""COMPUTED_VALUE"""),"Small Format")</f>
        <v>Small Format</v>
      </c>
      <c r="S2555" s="3" t="str">
        <f>IFERROR(__xludf.DUMMYFUNCTION("""COMPUTED_VALUE"""),"Donjai")</f>
        <v>Donjai</v>
      </c>
      <c r="T2555" s="3" t="str">
        <f>IFERROR(__xludf.DUMMYFUNCTION("""COMPUTED_VALUE"""),"01 K.Tuangtham M.")</f>
        <v>01 K.Tuangtham M.</v>
      </c>
      <c r="U2555" s="3" t="str">
        <f>IFERROR(__xludf.DUMMYFUNCTION("""COMPUTED_VALUE"""),"01 K.Tuangtham M.")</f>
        <v>01 K.Tuangtham M.</v>
      </c>
      <c r="V2555" s="3" t="str">
        <f>IFERROR(__xludf.DUMMYFUNCTION("""COMPUTED_VALUE"""),"N")</f>
        <v>N</v>
      </c>
      <c r="W2555" s="3"/>
      <c r="X2555" s="3" t="str">
        <f>IFERROR(__xludf.DUMMYFUNCTION("""COMPUTED_VALUE"""),"605/464 ม.10 ต.นครสวรรค์ตก อ.เมือง จ.นครสวรรค์")</f>
        <v>605/464 ม.10 ต.นครสวรรค์ตก อ.เมือง จ.นครสวรรค์</v>
      </c>
      <c r="Y2555" s="3"/>
      <c r="Z2555" s="3">
        <f>IFERROR(__xludf.DUMMYFUNCTION("""COMPUTED_VALUE"""),0.0)</f>
        <v>0</v>
      </c>
      <c r="AA2555" s="3">
        <f>IFERROR(__xludf.DUMMYFUNCTION("""COMPUTED_VALUE"""),0.0)</f>
        <v>0</v>
      </c>
      <c r="AB2555" s="3" t="str">
        <f>IFERROR(__xludf.DUMMYFUNCTION("""COMPUTED_VALUE"""),"นครสวรรค์")</f>
        <v>นครสวรรค์</v>
      </c>
      <c r="AC2555" s="3">
        <f>IFERROR(__xludf.DUMMYFUNCTION("""COMPUTED_VALUE"""),0.0)</f>
        <v>0</v>
      </c>
      <c r="AD2555" s="3"/>
      <c r="AE2555" s="3"/>
      <c r="AF2555" s="3" t="str">
        <f>IFERROR(__xludf.DUMMYFUNCTION("""COMPUTED_VALUE"""),"ร้านดีเลิษ มินิมาร์ท-83308")</f>
        <v>ร้านดีเลิษ มินิมาร์ท-83308</v>
      </c>
      <c r="AG2555" s="3" t="str">
        <f>IFERROR(__xludf.DUMMYFUNCTION("""COMPUTED_VALUE"""),"กลาง")</f>
        <v>กลาง</v>
      </c>
      <c r="AH2555" s="3" t="str">
        <f>IFERROR(__xludf.DUMMYFUNCTION("""COMPUTED_VALUE"""),"#N/A")</f>
        <v>#N/A</v>
      </c>
      <c r="AI2555" s="3" t="str">
        <f>IFERROR(__xludf.DUMMYFUNCTION("""COMPUTED_VALUE"""),"Out of warranty")</f>
        <v>Out of warranty</v>
      </c>
      <c r="AJ2555" s="3">
        <f>IFERROR(__xludf.DUMMYFUNCTION("""COMPUTED_VALUE"""),49.0)</f>
        <v>49</v>
      </c>
      <c r="AK2555" s="3"/>
      <c r="AL2555" s="3"/>
    </row>
    <row r="2556" ht="15.75" customHeight="1">
      <c r="A2556" s="1" t="str">
        <f>IFERROR(__xludf.DUMMYFUNCTION("""COMPUTED_VALUE"""),"83310")</f>
        <v>83310</v>
      </c>
      <c r="B2556" s="2">
        <f>IFERROR(__xludf.DUMMYFUNCTION("""COMPUTED_VALUE"""),83310.0)</f>
        <v>83310</v>
      </c>
      <c r="C2556" s="3" t="str">
        <f>IFERROR(__xludf.DUMMYFUNCTION("""COMPUTED_VALUE"""),"น้องกระแตท่าไม")</f>
        <v>น้องกระแตท่าไม</v>
      </c>
      <c r="D2556" s="3" t="str">
        <f>IFERROR(__xludf.DUMMYFUNCTION("""COMPUTED_VALUE"""),"น้องกระแตท่าไม")</f>
        <v>น้องกระแตท่าไม</v>
      </c>
      <c r="E2556" s="1" t="str">
        <f>IFERROR(__xludf.DUMMYFUNCTION("""COMPUTED_VALUE"""),"Donjai")</f>
        <v>Donjai</v>
      </c>
      <c r="F2556" s="1" t="str">
        <f>IFERROR(__xludf.DUMMYFUNCTION("""COMPUTED_VALUE"""),"046214")</f>
        <v>046214</v>
      </c>
      <c r="G2556" s="1" t="str">
        <f>IFERROR(__xludf.DUMMYFUNCTION("""COMPUTED_VALUE"""),"นายศักดิ์ชัย เด็ดดอกฟ้า")</f>
        <v>นายศักดิ์ชัย เด็ดดอกฟ้า</v>
      </c>
      <c r="H2556" s="1" t="str">
        <f>IFERROR(__xludf.DUMMYFUNCTION("""COMPUTED_VALUE"""),"046214")</f>
        <v>046214</v>
      </c>
      <c r="I2556" s="1" t="str">
        <f>IFERROR(__xludf.DUMMYFUNCTION("""COMPUTED_VALUE"""),"นายศักดิ์ชัย เด็ดดอกฟ้า")</f>
        <v>นายศักดิ์ชัย เด็ดดอกฟ้า</v>
      </c>
      <c r="J2556" s="3">
        <f>IFERROR(__xludf.DUMMYFUNCTION("""COMPUTED_VALUE"""),295886.0)</f>
        <v>295886</v>
      </c>
      <c r="K2556" s="3" t="str">
        <f>IFERROR(__xludf.DUMMYFUNCTION("""COMPUTED_VALUE"""),"นายจิระพงษ์ โพธิ์นิล")</f>
        <v>นายจิระพงษ์ โพธิ์นิล</v>
      </c>
      <c r="L2556" s="1" t="str">
        <f>IFERROR(__xludf.DUMMYFUNCTION("""COMPUTED_VALUE"""),"นายจิระพงษ์ โพธิ์นิล")</f>
        <v>นายจิระพงษ์ โพธิ์นิล</v>
      </c>
      <c r="M2556" s="1" t="str">
        <f>IFERROR(__xludf.DUMMYFUNCTION("""COMPUTED_VALUE"""),"0933290754")</f>
        <v>0933290754</v>
      </c>
      <c r="N2556" s="3">
        <f>IFERROR(__xludf.DUMMYFUNCTION("""COMPUTED_VALUE"""),83310.0)</f>
        <v>83310</v>
      </c>
      <c r="O2556" s="3" t="str">
        <f>IFERROR(__xludf.DUMMYFUNCTION("""COMPUTED_VALUE"""),"น้องกระแตท่าไม")</f>
        <v>น้องกระแตท่าไม</v>
      </c>
      <c r="P2556" s="4">
        <f>IFERROR(__xludf.DUMMYFUNCTION("""COMPUTED_VALUE"""),44582.0)</f>
        <v>44582</v>
      </c>
      <c r="Q2556" s="3" t="str">
        <f>IFERROR(__xludf.DUMMYFUNCTION("""COMPUTED_VALUE"""),"A")</f>
        <v>A</v>
      </c>
      <c r="R2556" s="3" t="str">
        <f>IFERROR(__xludf.DUMMYFUNCTION("""COMPUTED_VALUE"""),"Small Format")</f>
        <v>Small Format</v>
      </c>
      <c r="S2556" s="3" t="str">
        <f>IFERROR(__xludf.DUMMYFUNCTION("""COMPUTED_VALUE"""),"Donjai")</f>
        <v>Donjai</v>
      </c>
      <c r="T2556" s="3" t="str">
        <f>IFERROR(__xludf.DUMMYFUNCTION("""COMPUTED_VALUE"""),"02 K.Sakchai D")</f>
        <v>02 K.Sakchai D</v>
      </c>
      <c r="U2556" s="3" t="str">
        <f>IFERROR(__xludf.DUMMYFUNCTION("""COMPUTED_VALUE"""),"02 K.Sakchai D")</f>
        <v>02 K.Sakchai D</v>
      </c>
      <c r="V2556" s="3" t="str">
        <f>IFERROR(__xludf.DUMMYFUNCTION("""COMPUTED_VALUE"""),"N")</f>
        <v>N</v>
      </c>
      <c r="W2556" s="3"/>
      <c r="X2556" s="3" t="str">
        <f>IFERROR(__xludf.DUMMYFUNCTION("""COMPUTED_VALUE"""),"8 หมู่ที่ 4 ตำบล ท่าไม้ อำเภอพรานกระต่าย จังหวัดกำแพงเพชร")</f>
        <v>8 หมู่ที่ 4 ตำบล ท่าไม้ อำเภอพรานกระต่าย จังหวัดกำแพงเพชร</v>
      </c>
      <c r="Y2556" s="3"/>
      <c r="Z2556" s="3">
        <f>IFERROR(__xludf.DUMMYFUNCTION("""COMPUTED_VALUE"""),0.0)</f>
        <v>0</v>
      </c>
      <c r="AA2556" s="3">
        <f>IFERROR(__xludf.DUMMYFUNCTION("""COMPUTED_VALUE"""),0.0)</f>
        <v>0</v>
      </c>
      <c r="AB2556" s="3" t="str">
        <f>IFERROR(__xludf.DUMMYFUNCTION("""COMPUTED_VALUE"""),"กำแพงเพชร")</f>
        <v>กำแพงเพชร</v>
      </c>
      <c r="AC2556" s="3">
        <f>IFERROR(__xludf.DUMMYFUNCTION("""COMPUTED_VALUE"""),0.0)</f>
        <v>0</v>
      </c>
      <c r="AD2556" s="3"/>
      <c r="AE2556" s="3"/>
      <c r="AF2556" s="3" t="str">
        <f>IFERROR(__xludf.DUMMYFUNCTION("""COMPUTED_VALUE"""),"น้องกระแตท่าไม-83310")</f>
        <v>น้องกระแตท่าไม-83310</v>
      </c>
      <c r="AG2556" s="3" t="str">
        <f>IFERROR(__xludf.DUMMYFUNCTION("""COMPUTED_VALUE"""),"กลาง")</f>
        <v>กลาง</v>
      </c>
      <c r="AH2556" s="3" t="str">
        <f>IFERROR(__xludf.DUMMYFUNCTION("""COMPUTED_VALUE"""),"#N/A")</f>
        <v>#N/A</v>
      </c>
      <c r="AI2556" s="3" t="str">
        <f>IFERROR(__xludf.DUMMYFUNCTION("""COMPUTED_VALUE"""),"Out of warranty")</f>
        <v>Out of warranty</v>
      </c>
      <c r="AJ2556" s="3">
        <f>IFERROR(__xludf.DUMMYFUNCTION("""COMPUTED_VALUE"""),48.0)</f>
        <v>48</v>
      </c>
      <c r="AK2556" s="3"/>
      <c r="AL2556" s="3"/>
    </row>
    <row r="2557" ht="15.75" customHeight="1">
      <c r="A2557" s="1" t="str">
        <f>IFERROR(__xludf.DUMMYFUNCTION("""COMPUTED_VALUE"""),"83312")</f>
        <v>83312</v>
      </c>
      <c r="B2557" s="2">
        <f>IFERROR(__xludf.DUMMYFUNCTION("""COMPUTED_VALUE"""),83312.0)</f>
        <v>83312</v>
      </c>
      <c r="C2557" s="3" t="str">
        <f>IFERROR(__xludf.DUMMYFUNCTION("""COMPUTED_VALUE"""),"ร้านป้าแอ๊ด")</f>
        <v>ร้านป้าแอ๊ด</v>
      </c>
      <c r="D2557" s="3" t="str">
        <f>IFERROR(__xludf.DUMMYFUNCTION("""COMPUTED_VALUE"""),"ร้านป้าแอ๊ด")</f>
        <v>ร้านป้าแอ๊ด</v>
      </c>
      <c r="E2557" s="1" t="str">
        <f>IFERROR(__xludf.DUMMYFUNCTION("""COMPUTED_VALUE"""),"Donjai")</f>
        <v>Donjai</v>
      </c>
      <c r="F2557" s="1" t="str">
        <f>IFERROR(__xludf.DUMMYFUNCTION("""COMPUTED_VALUE"""),"2010023")</f>
        <v>2010023</v>
      </c>
      <c r="G2557" s="1" t="str">
        <f>IFERROR(__xludf.DUMMYFUNCTION("""COMPUTED_VALUE"""),"นายวศิน ไวยรูป")</f>
        <v>นายวศิน ไวยรูป</v>
      </c>
      <c r="H2557" s="1" t="str">
        <f>IFERROR(__xludf.DUMMYFUNCTION("""COMPUTED_VALUE"""),"2010023")</f>
        <v>2010023</v>
      </c>
      <c r="I2557" s="1" t="str">
        <f>IFERROR(__xludf.DUMMYFUNCTION("""COMPUTED_VALUE"""),"นายวศิน ไวยรูป")</f>
        <v>นายวศิน ไวยรูป</v>
      </c>
      <c r="J2557" s="3">
        <f>IFERROR(__xludf.DUMMYFUNCTION("""COMPUTED_VALUE"""),228031.0)</f>
        <v>228031</v>
      </c>
      <c r="K2557" s="3" t="str">
        <f>IFERROR(__xludf.DUMMYFUNCTION("""COMPUTED_VALUE"""),"นายธนพงษ์ วันหมัด")</f>
        <v>นายธนพงษ์ วันหมัด</v>
      </c>
      <c r="L2557" s="1" t="str">
        <f>IFERROR(__xludf.DUMMYFUNCTION("""COMPUTED_VALUE"""),"นายธนพงษ์ วันหมัด")</f>
        <v>นายธนพงษ์ วันหมัด</v>
      </c>
      <c r="M2557" s="1" t="str">
        <f>IFERROR(__xludf.DUMMYFUNCTION("""COMPUTED_VALUE"""),"0813716913")</f>
        <v>0813716913</v>
      </c>
      <c r="N2557" s="3">
        <f>IFERROR(__xludf.DUMMYFUNCTION("""COMPUTED_VALUE"""),83312.0)</f>
        <v>83312</v>
      </c>
      <c r="O2557" s="3" t="str">
        <f>IFERROR(__xludf.DUMMYFUNCTION("""COMPUTED_VALUE"""),"ร้านป้าแอ๊ด")</f>
        <v>ร้านป้าแอ๊ด</v>
      </c>
      <c r="P2557" s="4">
        <f>IFERROR(__xludf.DUMMYFUNCTION("""COMPUTED_VALUE"""),44595.0)</f>
        <v>44595</v>
      </c>
      <c r="Q2557" s="3" t="str">
        <f>IFERROR(__xludf.DUMMYFUNCTION("""COMPUTED_VALUE"""),"I")</f>
        <v>I</v>
      </c>
      <c r="R2557" s="3" t="str">
        <f>IFERROR(__xludf.DUMMYFUNCTION("""COMPUTED_VALUE"""),"Small Format")</f>
        <v>Small Format</v>
      </c>
      <c r="S2557" s="3" t="str">
        <f>IFERROR(__xludf.DUMMYFUNCTION("""COMPUTED_VALUE"""),"Donjai")</f>
        <v>Donjai</v>
      </c>
      <c r="T2557" s="3" t="str">
        <f>IFERROR(__xludf.DUMMYFUNCTION("""COMPUTED_VALUE"""),"Donjai")</f>
        <v>Donjai</v>
      </c>
      <c r="U2557" s="3" t="str">
        <f>IFERROR(__xludf.DUMMYFUNCTION("""COMPUTED_VALUE"""),"Donjai")</f>
        <v>Donjai</v>
      </c>
      <c r="V2557" s="3" t="str">
        <f>IFERROR(__xludf.DUMMYFUNCTION("""COMPUTED_VALUE"""),"N")</f>
        <v>N</v>
      </c>
      <c r="W2557" s="3"/>
      <c r="X2557" s="3" t="str">
        <f>IFERROR(__xludf.DUMMYFUNCTION("""COMPUTED_VALUE"""),"1/1 หมู่ 13 ต.ห้วยขมิ้น อ.หนองแค จ.สระบุรี")</f>
        <v>1/1 หมู่ 13 ต.ห้วยขมิ้น อ.หนองแค จ.สระบุรี</v>
      </c>
      <c r="Y2557" s="3"/>
      <c r="Z2557" s="3">
        <f>IFERROR(__xludf.DUMMYFUNCTION("""COMPUTED_VALUE"""),0.0)</f>
        <v>0</v>
      </c>
      <c r="AA2557" s="3">
        <f>IFERROR(__xludf.DUMMYFUNCTION("""COMPUTED_VALUE"""),0.0)</f>
        <v>0</v>
      </c>
      <c r="AB2557" s="3" t="str">
        <f>IFERROR(__xludf.DUMMYFUNCTION("""COMPUTED_VALUE"""),"สระบุรี")</f>
        <v>สระบุรี</v>
      </c>
      <c r="AC2557" s="3">
        <f>IFERROR(__xludf.DUMMYFUNCTION("""COMPUTED_VALUE"""),0.0)</f>
        <v>0</v>
      </c>
      <c r="AD2557" s="3"/>
      <c r="AE2557" s="3"/>
      <c r="AF2557" s="3" t="str">
        <f>IFERROR(__xludf.DUMMYFUNCTION("""COMPUTED_VALUE"""),"ร้านป้าแอ๊ด-83312")</f>
        <v>ร้านป้าแอ๊ด-83312</v>
      </c>
      <c r="AG2557" s="3" t="str">
        <f>IFERROR(__xludf.DUMMYFUNCTION("""COMPUTED_VALUE"""),"กลาง")</f>
        <v>กลาง</v>
      </c>
      <c r="AH2557" s="3" t="str">
        <f>IFERROR(__xludf.DUMMYFUNCTION("""COMPUTED_VALUE"""),"#N/A")</f>
        <v>#N/A</v>
      </c>
      <c r="AI2557" s="3" t="str">
        <f>IFERROR(__xludf.DUMMYFUNCTION("""COMPUTED_VALUE"""),"Out of warranty")</f>
        <v>Out of warranty</v>
      </c>
      <c r="AJ2557" s="3">
        <f>IFERROR(__xludf.DUMMYFUNCTION("""COMPUTED_VALUE"""),48.0)</f>
        <v>48</v>
      </c>
      <c r="AK2557" s="3"/>
      <c r="AL2557" s="3"/>
    </row>
    <row r="2558" ht="15.75" customHeight="1">
      <c r="A2558" s="1" t="str">
        <f>IFERROR(__xludf.DUMMYFUNCTION("""COMPUTED_VALUE"""),"83313")</f>
        <v>83313</v>
      </c>
      <c r="B2558" s="2">
        <f>IFERROR(__xludf.DUMMYFUNCTION("""COMPUTED_VALUE"""),83313.0)</f>
        <v>83313</v>
      </c>
      <c r="C2558" s="3" t="str">
        <f>IFERROR(__xludf.DUMMYFUNCTION("""COMPUTED_VALUE"""),"ร้านโดนใจ โก๊ก่ำ")</f>
        <v>ร้านโดนใจ โก๊ก่ำ</v>
      </c>
      <c r="D2558" s="3" t="str">
        <f>IFERROR(__xludf.DUMMYFUNCTION("""COMPUTED_VALUE"""),"ร้านโดนใจ โก๊ก่ำ")</f>
        <v>ร้านโดนใจ โก๊ก่ำ</v>
      </c>
      <c r="E2558" s="1" t="str">
        <f>IFERROR(__xludf.DUMMYFUNCTION("""COMPUTED_VALUE"""),"Donjai")</f>
        <v>Donjai</v>
      </c>
      <c r="F2558" s="1" t="str">
        <f>IFERROR(__xludf.DUMMYFUNCTION("""COMPUTED_VALUE"""),"296608")</f>
        <v>296608</v>
      </c>
      <c r="G2558" s="1" t="str">
        <f>IFERROR(__xludf.DUMMYFUNCTION("""COMPUTED_VALUE"""),"นายภาคภูมิ เพ็ชรนิล")</f>
        <v>นายภาคภูมิ เพ็ชรนิล</v>
      </c>
      <c r="H2558" s="1" t="str">
        <f>IFERROR(__xludf.DUMMYFUNCTION("""COMPUTED_VALUE"""),"296608")</f>
        <v>296608</v>
      </c>
      <c r="I2558" s="1" t="str">
        <f>IFERROR(__xludf.DUMMYFUNCTION("""COMPUTED_VALUE"""),"นายภาคภูมิ เพ็ชรนิล")</f>
        <v>นายภาคภูมิ เพ็ชรนิล</v>
      </c>
      <c r="J2558" s="3">
        <f>IFERROR(__xludf.DUMMYFUNCTION("""COMPUTED_VALUE"""),228031.0)</f>
        <v>228031</v>
      </c>
      <c r="K2558" s="3" t="str">
        <f>IFERROR(__xludf.DUMMYFUNCTION("""COMPUTED_VALUE"""),"นายธนพงษ์ วันหมัด")</f>
        <v>นายธนพงษ์ วันหมัด</v>
      </c>
      <c r="L2558" s="1" t="str">
        <f>IFERROR(__xludf.DUMMYFUNCTION("""COMPUTED_VALUE"""),"นายธนพงษ์ วันหมัด")</f>
        <v>นายธนพงษ์ วันหมัด</v>
      </c>
      <c r="M2558" s="1" t="str">
        <f>IFERROR(__xludf.DUMMYFUNCTION("""COMPUTED_VALUE"""),"0813716913")</f>
        <v>0813716913</v>
      </c>
      <c r="N2558" s="3">
        <f>IFERROR(__xludf.DUMMYFUNCTION("""COMPUTED_VALUE"""),83313.0)</f>
        <v>83313</v>
      </c>
      <c r="O2558" s="3" t="str">
        <f>IFERROR(__xludf.DUMMYFUNCTION("""COMPUTED_VALUE"""),"ร้านโดนใจ โก๊ก่ำ")</f>
        <v>ร้านโดนใจ โก๊ก่ำ</v>
      </c>
      <c r="P2558" s="4">
        <f>IFERROR(__xludf.DUMMYFUNCTION("""COMPUTED_VALUE"""),44590.0)</f>
        <v>44590</v>
      </c>
      <c r="Q2558" s="3" t="str">
        <f>IFERROR(__xludf.DUMMYFUNCTION("""COMPUTED_VALUE"""),"I")</f>
        <v>I</v>
      </c>
      <c r="R2558" s="3" t="str">
        <f>IFERROR(__xludf.DUMMYFUNCTION("""COMPUTED_VALUE"""),"Small Format")</f>
        <v>Small Format</v>
      </c>
      <c r="S2558" s="3" t="str">
        <f>IFERROR(__xludf.DUMMYFUNCTION("""COMPUTED_VALUE"""),"Donjai")</f>
        <v>Donjai</v>
      </c>
      <c r="T2558" s="3" t="str">
        <f>IFERROR(__xludf.DUMMYFUNCTION("""COMPUTED_VALUE"""),"10 K.Phakphoom P.")</f>
        <v>10 K.Phakphoom P.</v>
      </c>
      <c r="U2558" s="3" t="str">
        <f>IFERROR(__xludf.DUMMYFUNCTION("""COMPUTED_VALUE"""),"10 K.Phakphoom P.")</f>
        <v>10 K.Phakphoom P.</v>
      </c>
      <c r="V2558" s="3" t="str">
        <f>IFERROR(__xludf.DUMMYFUNCTION("""COMPUTED_VALUE"""),"N")</f>
        <v>N</v>
      </c>
      <c r="W2558" s="3"/>
      <c r="X2558" s="3" t="str">
        <f>IFERROR(__xludf.DUMMYFUNCTION("""COMPUTED_VALUE"""),"135/1 ม.1 ต.สระลงเรือ อ.ห้วยกระเจา จ.กาญจนบุรี 71170")</f>
        <v>135/1 ม.1 ต.สระลงเรือ อ.ห้วยกระเจา จ.กาญจนบุรี 71170</v>
      </c>
      <c r="Y2558" s="3"/>
      <c r="Z2558" s="3">
        <f>IFERROR(__xludf.DUMMYFUNCTION("""COMPUTED_VALUE"""),0.0)</f>
        <v>0</v>
      </c>
      <c r="AA2558" s="3">
        <f>IFERROR(__xludf.DUMMYFUNCTION("""COMPUTED_VALUE"""),0.0)</f>
        <v>0</v>
      </c>
      <c r="AB2558" s="3" t="str">
        <f>IFERROR(__xludf.DUMMYFUNCTION("""COMPUTED_VALUE"""),"กาญจนบุรี")</f>
        <v>กาญจนบุรี</v>
      </c>
      <c r="AC2558" s="3">
        <f>IFERROR(__xludf.DUMMYFUNCTION("""COMPUTED_VALUE"""),71170.0)</f>
        <v>71170</v>
      </c>
      <c r="AD2558" s="3"/>
      <c r="AE2558" s="3"/>
      <c r="AF2558" s="3" t="str">
        <f>IFERROR(__xludf.DUMMYFUNCTION("""COMPUTED_VALUE"""),"ร้านโดนใจ โก๊ก่ำ-83313")</f>
        <v>ร้านโดนใจ โก๊ก่ำ-83313</v>
      </c>
      <c r="AG2558" s="3" t="str">
        <f>IFERROR(__xludf.DUMMYFUNCTION("""COMPUTED_VALUE"""),"ตะวันตก")</f>
        <v>ตะวันตก</v>
      </c>
      <c r="AH2558" s="3" t="str">
        <f>IFERROR(__xludf.DUMMYFUNCTION("""COMPUTED_VALUE"""),"#N/A")</f>
        <v>#N/A</v>
      </c>
      <c r="AI2558" s="3" t="str">
        <f>IFERROR(__xludf.DUMMYFUNCTION("""COMPUTED_VALUE"""),"Out of warranty")</f>
        <v>Out of warranty</v>
      </c>
      <c r="AJ2558" s="3">
        <f>IFERROR(__xludf.DUMMYFUNCTION("""COMPUTED_VALUE"""),48.0)</f>
        <v>48</v>
      </c>
      <c r="AK2558" s="3"/>
      <c r="AL2558" s="3"/>
    </row>
    <row r="2559" ht="15.75" customHeight="1">
      <c r="A2559" s="1" t="str">
        <f>IFERROR(__xludf.DUMMYFUNCTION("""COMPUTED_VALUE"""),"83314")</f>
        <v>83314</v>
      </c>
      <c r="B2559" s="2">
        <f>IFERROR(__xludf.DUMMYFUNCTION("""COMPUTED_VALUE"""),83314.0)</f>
        <v>83314</v>
      </c>
      <c r="C2559" s="3" t="str">
        <f>IFERROR(__xludf.DUMMYFUNCTION("""COMPUTED_VALUE"""),"ร้านนิตยา บริการ")</f>
        <v>ร้านนิตยา บริการ</v>
      </c>
      <c r="D2559" s="3" t="str">
        <f>IFERROR(__xludf.DUMMYFUNCTION("""COMPUTED_VALUE"""),"ร้านนิตยา บริการ")</f>
        <v>ร้านนิตยา บริการ</v>
      </c>
      <c r="E2559" s="1" t="str">
        <f>IFERROR(__xludf.DUMMYFUNCTION("""COMPUTED_VALUE"""),"Donjai")</f>
        <v>Donjai</v>
      </c>
      <c r="F2559" s="1" t="str">
        <f>IFERROR(__xludf.DUMMYFUNCTION("""COMPUTED_VALUE"""),"296608")</f>
        <v>296608</v>
      </c>
      <c r="G2559" s="1" t="str">
        <f>IFERROR(__xludf.DUMMYFUNCTION("""COMPUTED_VALUE"""),"นายภาคภูมิ เพ็ชรนิล")</f>
        <v>นายภาคภูมิ เพ็ชรนิล</v>
      </c>
      <c r="H2559" s="1" t="str">
        <f>IFERROR(__xludf.DUMMYFUNCTION("""COMPUTED_VALUE"""),"296608")</f>
        <v>296608</v>
      </c>
      <c r="I2559" s="1" t="str">
        <f>IFERROR(__xludf.DUMMYFUNCTION("""COMPUTED_VALUE"""),"นายภาคภูมิ เพ็ชรนิล")</f>
        <v>นายภาคภูมิ เพ็ชรนิล</v>
      </c>
      <c r="J2559" s="3">
        <f>IFERROR(__xludf.DUMMYFUNCTION("""COMPUTED_VALUE"""),228031.0)</f>
        <v>228031</v>
      </c>
      <c r="K2559" s="3" t="str">
        <f>IFERROR(__xludf.DUMMYFUNCTION("""COMPUTED_VALUE"""),"นายธนพงษ์ วันหมัด")</f>
        <v>นายธนพงษ์ วันหมัด</v>
      </c>
      <c r="L2559" s="1" t="str">
        <f>IFERROR(__xludf.DUMMYFUNCTION("""COMPUTED_VALUE"""),"นายธนพงษ์ วันหมัด")</f>
        <v>นายธนพงษ์ วันหมัด</v>
      </c>
      <c r="M2559" s="1" t="str">
        <f>IFERROR(__xludf.DUMMYFUNCTION("""COMPUTED_VALUE"""),"0813716913")</f>
        <v>0813716913</v>
      </c>
      <c r="N2559" s="3">
        <f>IFERROR(__xludf.DUMMYFUNCTION("""COMPUTED_VALUE"""),83314.0)</f>
        <v>83314</v>
      </c>
      <c r="O2559" s="3" t="str">
        <f>IFERROR(__xludf.DUMMYFUNCTION("""COMPUTED_VALUE"""),"ร้านนิตยา บริการ")</f>
        <v>ร้านนิตยา บริการ</v>
      </c>
      <c r="P2559" s="4">
        <f>IFERROR(__xludf.DUMMYFUNCTION("""COMPUTED_VALUE"""),44586.0)</f>
        <v>44586</v>
      </c>
      <c r="Q2559" s="3" t="str">
        <f>IFERROR(__xludf.DUMMYFUNCTION("""COMPUTED_VALUE"""),"I")</f>
        <v>I</v>
      </c>
      <c r="R2559" s="3" t="str">
        <f>IFERROR(__xludf.DUMMYFUNCTION("""COMPUTED_VALUE"""),"Small Format")</f>
        <v>Small Format</v>
      </c>
      <c r="S2559" s="3" t="str">
        <f>IFERROR(__xludf.DUMMYFUNCTION("""COMPUTED_VALUE"""),"Donjai")</f>
        <v>Donjai</v>
      </c>
      <c r="T2559" s="3" t="str">
        <f>IFERROR(__xludf.DUMMYFUNCTION("""COMPUTED_VALUE"""),"10 K.Phakphoom P.")</f>
        <v>10 K.Phakphoom P.</v>
      </c>
      <c r="U2559" s="3" t="str">
        <f>IFERROR(__xludf.DUMMYFUNCTION("""COMPUTED_VALUE"""),"10 K.Phakphoom P.")</f>
        <v>10 K.Phakphoom P.</v>
      </c>
      <c r="V2559" s="3" t="str">
        <f>IFERROR(__xludf.DUMMYFUNCTION("""COMPUTED_VALUE"""),"N")</f>
        <v>N</v>
      </c>
      <c r="W2559" s="3"/>
      <c r="X2559" s="3" t="str">
        <f>IFERROR(__xludf.DUMMYFUNCTION("""COMPUTED_VALUE"""),"เลขที่ 115/2 ม.1 ตหนองขาว อ.ท่าม่วง จ.กาญจนบุรี 71110")</f>
        <v>เลขที่ 115/2 ม.1 ตหนองขาว อ.ท่าม่วง จ.กาญจนบุรี 71110</v>
      </c>
      <c r="Y2559" s="3"/>
      <c r="Z2559" s="3">
        <f>IFERROR(__xludf.DUMMYFUNCTION("""COMPUTED_VALUE"""),0.0)</f>
        <v>0</v>
      </c>
      <c r="AA2559" s="3">
        <f>IFERROR(__xludf.DUMMYFUNCTION("""COMPUTED_VALUE"""),0.0)</f>
        <v>0</v>
      </c>
      <c r="AB2559" s="3" t="str">
        <f>IFERROR(__xludf.DUMMYFUNCTION("""COMPUTED_VALUE"""),"กาญจนบุรี")</f>
        <v>กาญจนบุรี</v>
      </c>
      <c r="AC2559" s="3">
        <f>IFERROR(__xludf.DUMMYFUNCTION("""COMPUTED_VALUE"""),71110.0)</f>
        <v>71110</v>
      </c>
      <c r="AD2559" s="3"/>
      <c r="AE2559" s="3"/>
      <c r="AF2559" s="3" t="str">
        <f>IFERROR(__xludf.DUMMYFUNCTION("""COMPUTED_VALUE"""),"ร้านนิตยา บริการ-83314")</f>
        <v>ร้านนิตยา บริการ-83314</v>
      </c>
      <c r="AG2559" s="3" t="str">
        <f>IFERROR(__xludf.DUMMYFUNCTION("""COMPUTED_VALUE"""),"ตะวันตก")</f>
        <v>ตะวันตก</v>
      </c>
      <c r="AH2559" s="3" t="str">
        <f>IFERROR(__xludf.DUMMYFUNCTION("""COMPUTED_VALUE"""),"#N/A")</f>
        <v>#N/A</v>
      </c>
      <c r="AI2559" s="3" t="str">
        <f>IFERROR(__xludf.DUMMYFUNCTION("""COMPUTED_VALUE"""),"Out of warranty")</f>
        <v>Out of warranty</v>
      </c>
      <c r="AJ2559" s="3">
        <f>IFERROR(__xludf.DUMMYFUNCTION("""COMPUTED_VALUE"""),48.0)</f>
        <v>48</v>
      </c>
      <c r="AK2559" s="3"/>
      <c r="AL2559" s="3"/>
    </row>
    <row r="2560" ht="15.75" customHeight="1">
      <c r="A2560" s="1" t="str">
        <f>IFERROR(__xludf.DUMMYFUNCTION("""COMPUTED_VALUE"""),"83315")</f>
        <v>83315</v>
      </c>
      <c r="B2560" s="2">
        <f>IFERROR(__xludf.DUMMYFUNCTION("""COMPUTED_VALUE"""),83315.0)</f>
        <v>83315</v>
      </c>
      <c r="C2560" s="3" t="str">
        <f>IFERROR(__xludf.DUMMYFUNCTION("""COMPUTED_VALUE"""),"ร้านดาวรรณ")</f>
        <v>ร้านดาวรรณ</v>
      </c>
      <c r="D2560" s="3" t="str">
        <f>IFERROR(__xludf.DUMMYFUNCTION("""COMPUTED_VALUE"""),"ร้านดาวรรณ")</f>
        <v>ร้านดาวรรณ</v>
      </c>
      <c r="E2560" s="1" t="str">
        <f>IFERROR(__xludf.DUMMYFUNCTION("""COMPUTED_VALUE"""),"Donjai")</f>
        <v>Donjai</v>
      </c>
      <c r="F2560" s="1" t="str">
        <f>IFERROR(__xludf.DUMMYFUNCTION("""COMPUTED_VALUE"""),"296868")</f>
        <v>296868</v>
      </c>
      <c r="G2560" s="1" t="str">
        <f>IFERROR(__xludf.DUMMYFUNCTION("""COMPUTED_VALUE"""),"นายพีระพงษ์ แก้วดวงดี")</f>
        <v>นายพีระพงษ์ แก้วดวงดี</v>
      </c>
      <c r="H2560" s="1" t="str">
        <f>IFERROR(__xludf.DUMMYFUNCTION("""COMPUTED_VALUE"""),"296868")</f>
        <v>296868</v>
      </c>
      <c r="I2560" s="1" t="str">
        <f>IFERROR(__xludf.DUMMYFUNCTION("""COMPUTED_VALUE"""),"นายพีระพงษ์ แก้วดวงดี")</f>
        <v>นายพีระพงษ์ แก้วดวงดี</v>
      </c>
      <c r="J2560" s="3">
        <f>IFERROR(__xludf.DUMMYFUNCTION("""COMPUTED_VALUE"""),295886.0)</f>
        <v>295886</v>
      </c>
      <c r="K2560" s="3" t="str">
        <f>IFERROR(__xludf.DUMMYFUNCTION("""COMPUTED_VALUE"""),"นายจิระพงษ์ โพธิ์นิล")</f>
        <v>นายจิระพงษ์ โพธิ์นิล</v>
      </c>
      <c r="L2560" s="1" t="str">
        <f>IFERROR(__xludf.DUMMYFUNCTION("""COMPUTED_VALUE"""),"นายจิระพงษ์ โพธิ์นิล")</f>
        <v>นายจิระพงษ์ โพธิ์นิล</v>
      </c>
      <c r="M2560" s="1" t="str">
        <f>IFERROR(__xludf.DUMMYFUNCTION("""COMPUTED_VALUE"""),"0933290754")</f>
        <v>0933290754</v>
      </c>
      <c r="N2560" s="3">
        <f>IFERROR(__xludf.DUMMYFUNCTION("""COMPUTED_VALUE"""),83315.0)</f>
        <v>83315</v>
      </c>
      <c r="O2560" s="3" t="str">
        <f>IFERROR(__xludf.DUMMYFUNCTION("""COMPUTED_VALUE"""),"ร้านดาวรรณ")</f>
        <v>ร้านดาวรรณ</v>
      </c>
      <c r="P2560" s="4">
        <f>IFERROR(__xludf.DUMMYFUNCTION("""COMPUTED_VALUE"""),44582.0)</f>
        <v>44582</v>
      </c>
      <c r="Q2560" s="3" t="str">
        <f>IFERROR(__xludf.DUMMYFUNCTION("""COMPUTED_VALUE"""),"I")</f>
        <v>I</v>
      </c>
      <c r="R2560" s="3" t="str">
        <f>IFERROR(__xludf.DUMMYFUNCTION("""COMPUTED_VALUE"""),"Small Format")</f>
        <v>Small Format</v>
      </c>
      <c r="S2560" s="3" t="str">
        <f>IFERROR(__xludf.DUMMYFUNCTION("""COMPUTED_VALUE"""),"Donjai")</f>
        <v>Donjai</v>
      </c>
      <c r="T2560" s="3" t="str">
        <f>IFERROR(__xludf.DUMMYFUNCTION("""COMPUTED_VALUE"""),"03 K.Peerapong K.")</f>
        <v>03 K.Peerapong K.</v>
      </c>
      <c r="U2560" s="3" t="str">
        <f>IFERROR(__xludf.DUMMYFUNCTION("""COMPUTED_VALUE"""),"03 K.Peerapong K.")</f>
        <v>03 K.Peerapong K.</v>
      </c>
      <c r="V2560" s="3" t="str">
        <f>IFERROR(__xludf.DUMMYFUNCTION("""COMPUTED_VALUE"""),"N")</f>
        <v>N</v>
      </c>
      <c r="W2560" s="3"/>
      <c r="X2560" s="3" t="str">
        <f>IFERROR(__xludf.DUMMYFUNCTION("""COMPUTED_VALUE"""),"26 ม.10 บ.บะฮี ต.บะฮี อ.พรรณานิคม จ.สกลนคร 47130")</f>
        <v>26 ม.10 บ.บะฮี ต.บะฮี อ.พรรณานิคม จ.สกลนคร 47130</v>
      </c>
      <c r="Y2560" s="3"/>
      <c r="Z2560" s="3">
        <f>IFERROR(__xludf.DUMMYFUNCTION("""COMPUTED_VALUE"""),0.0)</f>
        <v>0</v>
      </c>
      <c r="AA2560" s="3">
        <f>IFERROR(__xludf.DUMMYFUNCTION("""COMPUTED_VALUE"""),0.0)</f>
        <v>0</v>
      </c>
      <c r="AB2560" s="3" t="str">
        <f>IFERROR(__xludf.DUMMYFUNCTION("""COMPUTED_VALUE"""),"สกลนคร")</f>
        <v>สกลนคร</v>
      </c>
      <c r="AC2560" s="3">
        <f>IFERROR(__xludf.DUMMYFUNCTION("""COMPUTED_VALUE"""),47130.0)</f>
        <v>47130</v>
      </c>
      <c r="AD2560" s="3"/>
      <c r="AE2560" s="3"/>
      <c r="AF2560" s="3" t="str">
        <f>IFERROR(__xludf.DUMMYFUNCTION("""COMPUTED_VALUE"""),"ร้านดาวรรณ-83315")</f>
        <v>ร้านดาวรรณ-83315</v>
      </c>
      <c r="AG2560" s="3" t="str">
        <f>IFERROR(__xludf.DUMMYFUNCTION("""COMPUTED_VALUE"""),"ตะวันออกเฉียงเหนือ")</f>
        <v>ตะวันออกเฉียงเหนือ</v>
      </c>
      <c r="AH2560" s="3" t="str">
        <f>IFERROR(__xludf.DUMMYFUNCTION("""COMPUTED_VALUE"""),"#N/A")</f>
        <v>#N/A</v>
      </c>
      <c r="AI2560" s="3" t="str">
        <f>IFERROR(__xludf.DUMMYFUNCTION("""COMPUTED_VALUE"""),"Out of warranty")</f>
        <v>Out of warranty</v>
      </c>
      <c r="AJ2560" s="3">
        <f>IFERROR(__xludf.DUMMYFUNCTION("""COMPUTED_VALUE"""),48.0)</f>
        <v>48</v>
      </c>
      <c r="AK2560" s="3"/>
      <c r="AL2560" s="3"/>
    </row>
    <row r="2561" ht="15.75" customHeight="1">
      <c r="A2561" s="1" t="str">
        <f>IFERROR(__xludf.DUMMYFUNCTION("""COMPUTED_VALUE"""),"83317")</f>
        <v>83317</v>
      </c>
      <c r="B2561" s="2">
        <f>IFERROR(__xludf.DUMMYFUNCTION("""COMPUTED_VALUE"""),83317.0)</f>
        <v>83317</v>
      </c>
      <c r="C2561" s="3" t="str">
        <f>IFERROR(__xludf.DUMMYFUNCTION("""COMPUTED_VALUE"""),"ร้าน 4 กุมาร")</f>
        <v>ร้าน 4 กุมาร</v>
      </c>
      <c r="D2561" s="3" t="str">
        <f>IFERROR(__xludf.DUMMYFUNCTION("""COMPUTED_VALUE"""),"ร้าน 4 กุมาร")</f>
        <v>ร้าน 4 กุมาร</v>
      </c>
      <c r="E2561" s="1" t="str">
        <f>IFERROR(__xludf.DUMMYFUNCTION("""COMPUTED_VALUE"""),"Donjai")</f>
        <v>Donjai</v>
      </c>
      <c r="F2561" s="1" t="str">
        <f>IFERROR(__xludf.DUMMYFUNCTION("""COMPUTED_VALUE"""),"2454781")</f>
        <v>2454781</v>
      </c>
      <c r="G2561" s="1" t="str">
        <f>IFERROR(__xludf.DUMMYFUNCTION("""COMPUTED_VALUE"""),"นายฌานกฤช นันทะโคต")</f>
        <v>นายฌานกฤช นันทะโคต</v>
      </c>
      <c r="H2561" s="1" t="str">
        <f>IFERROR(__xludf.DUMMYFUNCTION("""COMPUTED_VALUE"""),"2454781")</f>
        <v>2454781</v>
      </c>
      <c r="I2561" s="1" t="str">
        <f>IFERROR(__xludf.DUMMYFUNCTION("""COMPUTED_VALUE"""),"นายฌานกฤช นันทะโคต")</f>
        <v>นายฌานกฤช นันทะโคต</v>
      </c>
      <c r="J2561" s="3">
        <f>IFERROR(__xludf.DUMMYFUNCTION("""COMPUTED_VALUE"""),295886.0)</f>
        <v>295886</v>
      </c>
      <c r="K2561" s="3" t="str">
        <f>IFERROR(__xludf.DUMMYFUNCTION("""COMPUTED_VALUE"""),"นายจิระพงษ์ โพธิ์นิล")</f>
        <v>นายจิระพงษ์ โพธิ์นิล</v>
      </c>
      <c r="L2561" s="1" t="str">
        <f>IFERROR(__xludf.DUMMYFUNCTION("""COMPUTED_VALUE"""),"นายจิระพงษ์ โพธิ์นิล")</f>
        <v>นายจิระพงษ์ โพธิ์นิล</v>
      </c>
      <c r="M2561" s="1" t="str">
        <f>IFERROR(__xludf.DUMMYFUNCTION("""COMPUTED_VALUE"""),"0933290754")</f>
        <v>0933290754</v>
      </c>
      <c r="N2561" s="3">
        <f>IFERROR(__xludf.DUMMYFUNCTION("""COMPUTED_VALUE"""),83317.0)</f>
        <v>83317</v>
      </c>
      <c r="O2561" s="3" t="str">
        <f>IFERROR(__xludf.DUMMYFUNCTION("""COMPUTED_VALUE"""),"ร้าน 4 กุมาร")</f>
        <v>ร้าน 4 กุมาร</v>
      </c>
      <c r="P2561" s="4">
        <f>IFERROR(__xludf.DUMMYFUNCTION("""COMPUTED_VALUE"""),44589.0)</f>
        <v>44589</v>
      </c>
      <c r="Q2561" s="3" t="str">
        <f>IFERROR(__xludf.DUMMYFUNCTION("""COMPUTED_VALUE"""),"A")</f>
        <v>A</v>
      </c>
      <c r="R2561" s="3" t="str">
        <f>IFERROR(__xludf.DUMMYFUNCTION("""COMPUTED_VALUE"""),"Small Format")</f>
        <v>Small Format</v>
      </c>
      <c r="S2561" s="3" t="str">
        <f>IFERROR(__xludf.DUMMYFUNCTION("""COMPUTED_VALUE"""),"Donjai")</f>
        <v>Donjai</v>
      </c>
      <c r="T2561" s="3" t="str">
        <f>IFERROR(__xludf.DUMMYFUNCTION("""COMPUTED_VALUE"""),"05 K.Chanakrit N.")</f>
        <v>05 K.Chanakrit N.</v>
      </c>
      <c r="U2561" s="3" t="str">
        <f>IFERROR(__xludf.DUMMYFUNCTION("""COMPUTED_VALUE"""),"05 K.Chanakrit N.")</f>
        <v>05 K.Chanakrit N.</v>
      </c>
      <c r="V2561" s="3" t="str">
        <f>IFERROR(__xludf.DUMMYFUNCTION("""COMPUTED_VALUE"""),"N")</f>
        <v>N</v>
      </c>
      <c r="W2561" s="3"/>
      <c r="X2561" s="3" t="str">
        <f>IFERROR(__xludf.DUMMYFUNCTION("""COMPUTED_VALUE"""),"176 ม.13 ถ.สถิตย์นิมานกาล ต.คันไร่ อ.สิรินธร จ. อุบล 34350")</f>
        <v>176 ม.13 ถ.สถิตย์นิมานกาล ต.คันไร่ อ.สิรินธร จ. อุบล 34350</v>
      </c>
      <c r="Y2561" s="3"/>
      <c r="Z2561" s="3">
        <f>IFERROR(__xludf.DUMMYFUNCTION("""COMPUTED_VALUE"""),0.0)</f>
        <v>0</v>
      </c>
      <c r="AA2561" s="3">
        <f>IFERROR(__xludf.DUMMYFUNCTION("""COMPUTED_VALUE"""),0.0)</f>
        <v>0</v>
      </c>
      <c r="AB2561" s="3" t="str">
        <f>IFERROR(__xludf.DUMMYFUNCTION("""COMPUTED_VALUE"""),"อุบลราชธานี")</f>
        <v>อุบลราชธานี</v>
      </c>
      <c r="AC2561" s="3">
        <f>IFERROR(__xludf.DUMMYFUNCTION("""COMPUTED_VALUE"""),34350.0)</f>
        <v>34350</v>
      </c>
      <c r="AD2561" s="3"/>
      <c r="AE2561" s="3"/>
      <c r="AF2561" s="3" t="str">
        <f>IFERROR(__xludf.DUMMYFUNCTION("""COMPUTED_VALUE"""),"ร้าน 4 กุมาร-83317")</f>
        <v>ร้าน 4 กุมาร-83317</v>
      </c>
      <c r="AG2561" s="3" t="str">
        <f>IFERROR(__xludf.DUMMYFUNCTION("""COMPUTED_VALUE"""),"ตะวันออกเฉียงเหนือ")</f>
        <v>ตะวันออกเฉียงเหนือ</v>
      </c>
      <c r="AH2561" s="3" t="str">
        <f>IFERROR(__xludf.DUMMYFUNCTION("""COMPUTED_VALUE"""),"#N/A")</f>
        <v>#N/A</v>
      </c>
      <c r="AI2561" s="3" t="str">
        <f>IFERROR(__xludf.DUMMYFUNCTION("""COMPUTED_VALUE"""),"Out of warranty")</f>
        <v>Out of warranty</v>
      </c>
      <c r="AJ2561" s="3">
        <f>IFERROR(__xludf.DUMMYFUNCTION("""COMPUTED_VALUE"""),48.0)</f>
        <v>48</v>
      </c>
      <c r="AK2561" s="3"/>
      <c r="AL2561" s="3"/>
    </row>
    <row r="2562" ht="15.75" customHeight="1">
      <c r="A2562" s="1" t="str">
        <f>IFERROR(__xludf.DUMMYFUNCTION("""COMPUTED_VALUE"""),"83318")</f>
        <v>83318</v>
      </c>
      <c r="B2562" s="2">
        <f>IFERROR(__xludf.DUMMYFUNCTION("""COMPUTED_VALUE"""),83318.0)</f>
        <v>83318</v>
      </c>
      <c r="C2562" s="3" t="str">
        <f>IFERROR(__xludf.DUMMYFUNCTION("""COMPUTED_VALUE"""),"ร้านแม่จิตร")</f>
        <v>ร้านแม่จิตร</v>
      </c>
      <c r="D2562" s="3" t="str">
        <f>IFERROR(__xludf.DUMMYFUNCTION("""COMPUTED_VALUE"""),"ร้านแม่จิตร")</f>
        <v>ร้านแม่จิตร</v>
      </c>
      <c r="E2562" s="1" t="str">
        <f>IFERROR(__xludf.DUMMYFUNCTION("""COMPUTED_VALUE"""),"Donjai")</f>
        <v>Donjai</v>
      </c>
      <c r="F2562" s="1" t="str">
        <f>IFERROR(__xludf.DUMMYFUNCTION("""COMPUTED_VALUE"""),"2454781")</f>
        <v>2454781</v>
      </c>
      <c r="G2562" s="1" t="str">
        <f>IFERROR(__xludf.DUMMYFUNCTION("""COMPUTED_VALUE"""),"นายฌานกฤช นันทะโคต")</f>
        <v>นายฌานกฤช นันทะโคต</v>
      </c>
      <c r="H2562" s="1" t="str">
        <f>IFERROR(__xludf.DUMMYFUNCTION("""COMPUTED_VALUE"""),"2454781")</f>
        <v>2454781</v>
      </c>
      <c r="I2562" s="1" t="str">
        <f>IFERROR(__xludf.DUMMYFUNCTION("""COMPUTED_VALUE"""),"นายฌานกฤช นันทะโคต")</f>
        <v>นายฌานกฤช นันทะโคต</v>
      </c>
      <c r="J2562" s="3">
        <f>IFERROR(__xludf.DUMMYFUNCTION("""COMPUTED_VALUE"""),295886.0)</f>
        <v>295886</v>
      </c>
      <c r="K2562" s="3" t="str">
        <f>IFERROR(__xludf.DUMMYFUNCTION("""COMPUTED_VALUE"""),"นายจิระพงษ์ โพธิ์นิล")</f>
        <v>นายจิระพงษ์ โพธิ์นิล</v>
      </c>
      <c r="L2562" s="1" t="str">
        <f>IFERROR(__xludf.DUMMYFUNCTION("""COMPUTED_VALUE"""),"นายจิระพงษ์ โพธิ์นิล")</f>
        <v>นายจิระพงษ์ โพธิ์นิล</v>
      </c>
      <c r="M2562" s="1" t="str">
        <f>IFERROR(__xludf.DUMMYFUNCTION("""COMPUTED_VALUE"""),"0933290754")</f>
        <v>0933290754</v>
      </c>
      <c r="N2562" s="3">
        <f>IFERROR(__xludf.DUMMYFUNCTION("""COMPUTED_VALUE"""),83318.0)</f>
        <v>83318</v>
      </c>
      <c r="O2562" s="3" t="str">
        <f>IFERROR(__xludf.DUMMYFUNCTION("""COMPUTED_VALUE"""),"ร้านแม่จิตร")</f>
        <v>ร้านแม่จิตร</v>
      </c>
      <c r="P2562" s="4">
        <f>IFERROR(__xludf.DUMMYFUNCTION("""COMPUTED_VALUE"""),44590.0)</f>
        <v>44590</v>
      </c>
      <c r="Q2562" s="3" t="str">
        <f>IFERROR(__xludf.DUMMYFUNCTION("""COMPUTED_VALUE"""),"A")</f>
        <v>A</v>
      </c>
      <c r="R2562" s="3" t="str">
        <f>IFERROR(__xludf.DUMMYFUNCTION("""COMPUTED_VALUE"""),"Small Format")</f>
        <v>Small Format</v>
      </c>
      <c r="S2562" s="3" t="str">
        <f>IFERROR(__xludf.DUMMYFUNCTION("""COMPUTED_VALUE"""),"Donjai")</f>
        <v>Donjai</v>
      </c>
      <c r="T2562" s="3" t="str">
        <f>IFERROR(__xludf.DUMMYFUNCTION("""COMPUTED_VALUE"""),"05 K.Chanakrit N.")</f>
        <v>05 K.Chanakrit N.</v>
      </c>
      <c r="U2562" s="3" t="str">
        <f>IFERROR(__xludf.DUMMYFUNCTION("""COMPUTED_VALUE"""),"05 K.Chanakrit N.")</f>
        <v>05 K.Chanakrit N.</v>
      </c>
      <c r="V2562" s="3" t="str">
        <f>IFERROR(__xludf.DUMMYFUNCTION("""COMPUTED_VALUE"""),"N")</f>
        <v>N</v>
      </c>
      <c r="W2562" s="3"/>
      <c r="X2562" s="3" t="str">
        <f>IFERROR(__xludf.DUMMYFUNCTION("""COMPUTED_VALUE"""),"92/2 หมู่บ้านบัว ต.ธาตุ อ.วารินชำราบ จ.อุบลฯ 34190")</f>
        <v>92/2 หมู่บ้านบัว ต.ธาตุ อ.วารินชำราบ จ.อุบลฯ 34190</v>
      </c>
      <c r="Y2562" s="3"/>
      <c r="Z2562" s="3">
        <f>IFERROR(__xludf.DUMMYFUNCTION("""COMPUTED_VALUE"""),0.0)</f>
        <v>0</v>
      </c>
      <c r="AA2562" s="3">
        <f>IFERROR(__xludf.DUMMYFUNCTION("""COMPUTED_VALUE"""),0.0)</f>
        <v>0</v>
      </c>
      <c r="AB2562" s="3" t="str">
        <f>IFERROR(__xludf.DUMMYFUNCTION("""COMPUTED_VALUE"""),"อุบลราชธานี")</f>
        <v>อุบลราชธานี</v>
      </c>
      <c r="AC2562" s="3">
        <f>IFERROR(__xludf.DUMMYFUNCTION("""COMPUTED_VALUE"""),34190.0)</f>
        <v>34190</v>
      </c>
      <c r="AD2562" s="3"/>
      <c r="AE2562" s="3"/>
      <c r="AF2562" s="3" t="str">
        <f>IFERROR(__xludf.DUMMYFUNCTION("""COMPUTED_VALUE"""),"ร้านแม่จิตร-83318")</f>
        <v>ร้านแม่จิตร-83318</v>
      </c>
      <c r="AG2562" s="3" t="str">
        <f>IFERROR(__xludf.DUMMYFUNCTION("""COMPUTED_VALUE"""),"ตะวันออกเฉียงเหนือ")</f>
        <v>ตะวันออกเฉียงเหนือ</v>
      </c>
      <c r="AH2562" s="3" t="str">
        <f>IFERROR(__xludf.DUMMYFUNCTION("""COMPUTED_VALUE"""),"#N/A")</f>
        <v>#N/A</v>
      </c>
      <c r="AI2562" s="3" t="str">
        <f>IFERROR(__xludf.DUMMYFUNCTION("""COMPUTED_VALUE"""),"Out of warranty")</f>
        <v>Out of warranty</v>
      </c>
      <c r="AJ2562" s="3">
        <f>IFERROR(__xludf.DUMMYFUNCTION("""COMPUTED_VALUE"""),48.0)</f>
        <v>48</v>
      </c>
      <c r="AK2562" s="3"/>
      <c r="AL2562" s="3"/>
    </row>
    <row r="2563" ht="15.75" customHeight="1">
      <c r="A2563" s="1" t="str">
        <f>IFERROR(__xludf.DUMMYFUNCTION("""COMPUTED_VALUE"""),"83319")</f>
        <v>83319</v>
      </c>
      <c r="B2563" s="2">
        <f>IFERROR(__xludf.DUMMYFUNCTION("""COMPUTED_VALUE"""),83319.0)</f>
        <v>83319</v>
      </c>
      <c r="C2563" s="3" t="str">
        <f>IFERROR(__xludf.DUMMYFUNCTION("""COMPUTED_VALUE"""),"ร้าน ลาภมูลพานิชย์")</f>
        <v>ร้าน ลาภมูลพานิชย์</v>
      </c>
      <c r="D2563" s="3" t="str">
        <f>IFERROR(__xludf.DUMMYFUNCTION("""COMPUTED_VALUE"""),"ร้าน ลาภมูลพานิชย์")</f>
        <v>ร้าน ลาภมูลพานิชย์</v>
      </c>
      <c r="E2563" s="1" t="str">
        <f>IFERROR(__xludf.DUMMYFUNCTION("""COMPUTED_VALUE"""),"Donjai")</f>
        <v>Donjai</v>
      </c>
      <c r="F2563" s="1" t="str">
        <f>IFERROR(__xludf.DUMMYFUNCTION("""COMPUTED_VALUE"""),"2454781")</f>
        <v>2454781</v>
      </c>
      <c r="G2563" s="1" t="str">
        <f>IFERROR(__xludf.DUMMYFUNCTION("""COMPUTED_VALUE"""),"นายฌานกฤช นันทะโคต")</f>
        <v>นายฌานกฤช นันทะโคต</v>
      </c>
      <c r="H2563" s="1" t="str">
        <f>IFERROR(__xludf.DUMMYFUNCTION("""COMPUTED_VALUE"""),"2454781")</f>
        <v>2454781</v>
      </c>
      <c r="I2563" s="1" t="str">
        <f>IFERROR(__xludf.DUMMYFUNCTION("""COMPUTED_VALUE"""),"นายฌานกฤช นันทะโคต")</f>
        <v>นายฌานกฤช นันทะโคต</v>
      </c>
      <c r="J2563" s="3">
        <f>IFERROR(__xludf.DUMMYFUNCTION("""COMPUTED_VALUE"""),295886.0)</f>
        <v>295886</v>
      </c>
      <c r="K2563" s="3" t="str">
        <f>IFERROR(__xludf.DUMMYFUNCTION("""COMPUTED_VALUE"""),"นายจิระพงษ์ โพธิ์นิล")</f>
        <v>นายจิระพงษ์ โพธิ์นิล</v>
      </c>
      <c r="L2563" s="1" t="str">
        <f>IFERROR(__xludf.DUMMYFUNCTION("""COMPUTED_VALUE"""),"นายจิระพงษ์ โพธิ์นิล")</f>
        <v>นายจิระพงษ์ โพธิ์นิล</v>
      </c>
      <c r="M2563" s="1" t="str">
        <f>IFERROR(__xludf.DUMMYFUNCTION("""COMPUTED_VALUE"""),"0933290754")</f>
        <v>0933290754</v>
      </c>
      <c r="N2563" s="3">
        <f>IFERROR(__xludf.DUMMYFUNCTION("""COMPUTED_VALUE"""),83319.0)</f>
        <v>83319</v>
      </c>
      <c r="O2563" s="3" t="str">
        <f>IFERROR(__xludf.DUMMYFUNCTION("""COMPUTED_VALUE"""),"ร้าน ลาภมูลพานิชย์")</f>
        <v>ร้าน ลาภมูลพานิชย์</v>
      </c>
      <c r="P2563" s="4">
        <f>IFERROR(__xludf.DUMMYFUNCTION("""COMPUTED_VALUE"""),44594.0)</f>
        <v>44594</v>
      </c>
      <c r="Q2563" s="3" t="str">
        <f>IFERROR(__xludf.DUMMYFUNCTION("""COMPUTED_VALUE"""),"A")</f>
        <v>A</v>
      </c>
      <c r="R2563" s="3" t="str">
        <f>IFERROR(__xludf.DUMMYFUNCTION("""COMPUTED_VALUE"""),"Small Format")</f>
        <v>Small Format</v>
      </c>
      <c r="S2563" s="3" t="str">
        <f>IFERROR(__xludf.DUMMYFUNCTION("""COMPUTED_VALUE"""),"Donjai")</f>
        <v>Donjai</v>
      </c>
      <c r="T2563" s="3" t="str">
        <f>IFERROR(__xludf.DUMMYFUNCTION("""COMPUTED_VALUE"""),"05 K.Chanakrit N.")</f>
        <v>05 K.Chanakrit N.</v>
      </c>
      <c r="U2563" s="3" t="str">
        <f>IFERROR(__xludf.DUMMYFUNCTION("""COMPUTED_VALUE"""),"05 K.Chanakrit N.")</f>
        <v>05 K.Chanakrit N.</v>
      </c>
      <c r="V2563" s="3" t="str">
        <f>IFERROR(__xludf.DUMMYFUNCTION("""COMPUTED_VALUE"""),"N")</f>
        <v>N</v>
      </c>
      <c r="W2563" s="3"/>
      <c r="X2563" s="3" t="str">
        <f>IFERROR(__xludf.DUMMYFUNCTION("""COMPUTED_VALUE"""),"620 ม.10 ต.โนนก่อ อ.สิรินธร จ.อุบล 34350")</f>
        <v>620 ม.10 ต.โนนก่อ อ.สิรินธร จ.อุบล 34350</v>
      </c>
      <c r="Y2563" s="3"/>
      <c r="Z2563" s="3">
        <f>IFERROR(__xludf.DUMMYFUNCTION("""COMPUTED_VALUE"""),0.0)</f>
        <v>0</v>
      </c>
      <c r="AA2563" s="3">
        <f>IFERROR(__xludf.DUMMYFUNCTION("""COMPUTED_VALUE"""),0.0)</f>
        <v>0</v>
      </c>
      <c r="AB2563" s="3" t="str">
        <f>IFERROR(__xludf.DUMMYFUNCTION("""COMPUTED_VALUE"""),"อุบลราชธานี")</f>
        <v>อุบลราชธานี</v>
      </c>
      <c r="AC2563" s="3">
        <f>IFERROR(__xludf.DUMMYFUNCTION("""COMPUTED_VALUE"""),34350.0)</f>
        <v>34350</v>
      </c>
      <c r="AD2563" s="3"/>
      <c r="AE2563" s="3"/>
      <c r="AF2563" s="3" t="str">
        <f>IFERROR(__xludf.DUMMYFUNCTION("""COMPUTED_VALUE"""),"ร้าน ลาภมูลพานิชย์-83319")</f>
        <v>ร้าน ลาภมูลพานิชย์-83319</v>
      </c>
      <c r="AG2563" s="3" t="str">
        <f>IFERROR(__xludf.DUMMYFUNCTION("""COMPUTED_VALUE"""),"ตะวันออกเฉียงเหนือ")</f>
        <v>ตะวันออกเฉียงเหนือ</v>
      </c>
      <c r="AH2563" s="3" t="str">
        <f>IFERROR(__xludf.DUMMYFUNCTION("""COMPUTED_VALUE"""),"#N/A")</f>
        <v>#N/A</v>
      </c>
      <c r="AI2563" s="3" t="str">
        <f>IFERROR(__xludf.DUMMYFUNCTION("""COMPUTED_VALUE"""),"Out of warranty")</f>
        <v>Out of warranty</v>
      </c>
      <c r="AJ2563" s="3">
        <f>IFERROR(__xludf.DUMMYFUNCTION("""COMPUTED_VALUE"""),48.0)</f>
        <v>48</v>
      </c>
      <c r="AK2563" s="3"/>
      <c r="AL2563" s="3"/>
    </row>
    <row r="2564" ht="15.75" customHeight="1">
      <c r="A2564" s="1" t="str">
        <f>IFERROR(__xludf.DUMMYFUNCTION("""COMPUTED_VALUE"""),"83320")</f>
        <v>83320</v>
      </c>
      <c r="B2564" s="2">
        <f>IFERROR(__xludf.DUMMYFUNCTION("""COMPUTED_VALUE"""),83320.0)</f>
        <v>83320</v>
      </c>
      <c r="C2564" s="3" t="str">
        <f>IFERROR(__xludf.DUMMYFUNCTION("""COMPUTED_VALUE"""),"ร้านสมบัติพาณิชย์")</f>
        <v>ร้านสมบัติพาณิชย์</v>
      </c>
      <c r="D2564" s="3" t="str">
        <f>IFERROR(__xludf.DUMMYFUNCTION("""COMPUTED_VALUE"""),"ร้านสมบัติพาณิชย์")</f>
        <v>ร้านสมบัติพาณิชย์</v>
      </c>
      <c r="E2564" s="1" t="str">
        <f>IFERROR(__xludf.DUMMYFUNCTION("""COMPUTED_VALUE"""),"Donjai")</f>
        <v>Donjai</v>
      </c>
      <c r="F2564" s="1" t="str">
        <f>IFERROR(__xludf.DUMMYFUNCTION("""COMPUTED_VALUE"""),"296868")</f>
        <v>296868</v>
      </c>
      <c r="G2564" s="1" t="str">
        <f>IFERROR(__xludf.DUMMYFUNCTION("""COMPUTED_VALUE"""),"นายพีระพงษ์ แก้วดวงดี")</f>
        <v>นายพีระพงษ์ แก้วดวงดี</v>
      </c>
      <c r="H2564" s="1" t="str">
        <f>IFERROR(__xludf.DUMMYFUNCTION("""COMPUTED_VALUE"""),"296868")</f>
        <v>296868</v>
      </c>
      <c r="I2564" s="1" t="str">
        <f>IFERROR(__xludf.DUMMYFUNCTION("""COMPUTED_VALUE"""),"นายพีระพงษ์ แก้วดวงดี")</f>
        <v>นายพีระพงษ์ แก้วดวงดี</v>
      </c>
      <c r="J2564" s="3">
        <f>IFERROR(__xludf.DUMMYFUNCTION("""COMPUTED_VALUE"""),295886.0)</f>
        <v>295886</v>
      </c>
      <c r="K2564" s="3" t="str">
        <f>IFERROR(__xludf.DUMMYFUNCTION("""COMPUTED_VALUE"""),"นายจิระพงษ์ โพธิ์นิล")</f>
        <v>นายจิระพงษ์ โพธิ์นิล</v>
      </c>
      <c r="L2564" s="1" t="str">
        <f>IFERROR(__xludf.DUMMYFUNCTION("""COMPUTED_VALUE"""),"นายจิระพงษ์ โพธิ์นิล")</f>
        <v>นายจิระพงษ์ โพธิ์นิล</v>
      </c>
      <c r="M2564" s="1" t="str">
        <f>IFERROR(__xludf.DUMMYFUNCTION("""COMPUTED_VALUE"""),"0933290754")</f>
        <v>0933290754</v>
      </c>
      <c r="N2564" s="3">
        <f>IFERROR(__xludf.DUMMYFUNCTION("""COMPUTED_VALUE"""),83320.0)</f>
        <v>83320</v>
      </c>
      <c r="O2564" s="3" t="str">
        <f>IFERROR(__xludf.DUMMYFUNCTION("""COMPUTED_VALUE"""),"ร้านสมบัติพาณิชย์")</f>
        <v>ร้านสมบัติพาณิชย์</v>
      </c>
      <c r="P2564" s="4">
        <f>IFERROR(__xludf.DUMMYFUNCTION("""COMPUTED_VALUE"""),44583.0)</f>
        <v>44583</v>
      </c>
      <c r="Q2564" s="3" t="str">
        <f>IFERROR(__xludf.DUMMYFUNCTION("""COMPUTED_VALUE"""),"A")</f>
        <v>A</v>
      </c>
      <c r="R2564" s="3" t="str">
        <f>IFERROR(__xludf.DUMMYFUNCTION("""COMPUTED_VALUE"""),"Small Format")</f>
        <v>Small Format</v>
      </c>
      <c r="S2564" s="3" t="str">
        <f>IFERROR(__xludf.DUMMYFUNCTION("""COMPUTED_VALUE"""),"Donjai")</f>
        <v>Donjai</v>
      </c>
      <c r="T2564" s="3" t="str">
        <f>IFERROR(__xludf.DUMMYFUNCTION("""COMPUTED_VALUE"""),"03 K.Peerapong K.")</f>
        <v>03 K.Peerapong K.</v>
      </c>
      <c r="U2564" s="3" t="str">
        <f>IFERROR(__xludf.DUMMYFUNCTION("""COMPUTED_VALUE"""),"03 K.Peerapong K.")</f>
        <v>03 K.Peerapong K.</v>
      </c>
      <c r="V2564" s="3" t="str">
        <f>IFERROR(__xludf.DUMMYFUNCTION("""COMPUTED_VALUE"""),"N")</f>
        <v>N</v>
      </c>
      <c r="W2564" s="3"/>
      <c r="X2564" s="3" t="str">
        <f>IFERROR(__xludf.DUMMYFUNCTION("""COMPUTED_VALUE"""),"5/3 ม.15 ต.บ้านค้อ อ.โพนสวรรค์ จ.นครพนม")</f>
        <v>5/3 ม.15 ต.บ้านค้อ อ.โพนสวรรค์ จ.นครพนม</v>
      </c>
      <c r="Y2564" s="3"/>
      <c r="Z2564" s="3">
        <f>IFERROR(__xludf.DUMMYFUNCTION("""COMPUTED_VALUE"""),0.0)</f>
        <v>0</v>
      </c>
      <c r="AA2564" s="3">
        <f>IFERROR(__xludf.DUMMYFUNCTION("""COMPUTED_VALUE"""),0.0)</f>
        <v>0</v>
      </c>
      <c r="AB2564" s="3" t="str">
        <f>IFERROR(__xludf.DUMMYFUNCTION("""COMPUTED_VALUE"""),"นครพนม")</f>
        <v>นครพนม</v>
      </c>
      <c r="AC2564" s="3">
        <f>IFERROR(__xludf.DUMMYFUNCTION("""COMPUTED_VALUE"""),0.0)</f>
        <v>0</v>
      </c>
      <c r="AD2564" s="3"/>
      <c r="AE2564" s="3"/>
      <c r="AF2564" s="3" t="str">
        <f>IFERROR(__xludf.DUMMYFUNCTION("""COMPUTED_VALUE"""),"ร้านสมบัติพาณิชย์-83320")</f>
        <v>ร้านสมบัติพาณิชย์-83320</v>
      </c>
      <c r="AG2564" s="3" t="str">
        <f>IFERROR(__xludf.DUMMYFUNCTION("""COMPUTED_VALUE"""),"ตะวันออกเฉียงเหนือ")</f>
        <v>ตะวันออกเฉียงเหนือ</v>
      </c>
      <c r="AH2564" s="3" t="str">
        <f>IFERROR(__xludf.DUMMYFUNCTION("""COMPUTED_VALUE"""),"#N/A")</f>
        <v>#N/A</v>
      </c>
      <c r="AI2564" s="3" t="str">
        <f>IFERROR(__xludf.DUMMYFUNCTION("""COMPUTED_VALUE"""),"Out of warranty")</f>
        <v>Out of warranty</v>
      </c>
      <c r="AJ2564" s="3">
        <f>IFERROR(__xludf.DUMMYFUNCTION("""COMPUTED_VALUE"""),48.0)</f>
        <v>48</v>
      </c>
      <c r="AK2564" s="3"/>
      <c r="AL2564" s="3"/>
    </row>
    <row r="2565" ht="15.75" customHeight="1">
      <c r="A2565" s="1" t="str">
        <f>IFERROR(__xludf.DUMMYFUNCTION("""COMPUTED_VALUE"""),"83321")</f>
        <v>83321</v>
      </c>
      <c r="B2565" s="2">
        <f>IFERROR(__xludf.DUMMYFUNCTION("""COMPUTED_VALUE"""),83321.0)</f>
        <v>83321</v>
      </c>
      <c r="C2565" s="3" t="str">
        <f>IFERROR(__xludf.DUMMYFUNCTION("""COMPUTED_VALUE"""),"จ.เจริญ มินิมาร์ท")</f>
        <v>จ.เจริญ มินิมาร์ท</v>
      </c>
      <c r="D2565" s="3" t="str">
        <f>IFERROR(__xludf.DUMMYFUNCTION("""COMPUTED_VALUE"""),"จ.เจริญ มินิมาร์ท")</f>
        <v>จ.เจริญ มินิมาร์ท</v>
      </c>
      <c r="E2565" s="1" t="str">
        <f>IFERROR(__xludf.DUMMYFUNCTION("""COMPUTED_VALUE"""),"Donjai")</f>
        <v>Donjai</v>
      </c>
      <c r="F2565" s="1" t="str">
        <f>IFERROR(__xludf.DUMMYFUNCTION("""COMPUTED_VALUE"""),"20470331")</f>
        <v>20470331</v>
      </c>
      <c r="G2565" s="1" t="str">
        <f>IFERROR(__xludf.DUMMYFUNCTION("""COMPUTED_VALUE"""),"นายสมชาย ลักษณะสุวรรณ")</f>
        <v>นายสมชาย ลักษณะสุวรรณ</v>
      </c>
      <c r="H2565" s="1" t="str">
        <f>IFERROR(__xludf.DUMMYFUNCTION("""COMPUTED_VALUE"""),"20470331")</f>
        <v>20470331</v>
      </c>
      <c r="I2565" s="1" t="str">
        <f>IFERROR(__xludf.DUMMYFUNCTION("""COMPUTED_VALUE"""),"นายสมชาย ลักษณะสุวรรณ")</f>
        <v>นายสมชาย ลักษณะสุวรรณ</v>
      </c>
      <c r="J2565" s="3">
        <f>IFERROR(__xludf.DUMMYFUNCTION("""COMPUTED_VALUE"""),295541.0)</f>
        <v>295541</v>
      </c>
      <c r="K2565" s="3" t="str">
        <f>IFERROR(__xludf.DUMMYFUNCTION("""COMPUTED_VALUE"""),"นายรพิพล ศรีมาตย์")</f>
        <v>นายรพิพล ศรีมาตย์</v>
      </c>
      <c r="L2565" s="1" t="str">
        <f>IFERROR(__xludf.DUMMYFUNCTION("""COMPUTED_VALUE"""),"นายรพิพล ศรีมาตย์")</f>
        <v>นายรพิพล ศรีมาตย์</v>
      </c>
      <c r="M2565" s="1" t="str">
        <f>IFERROR(__xludf.DUMMYFUNCTION("""COMPUTED_VALUE"""),"0613966115")</f>
        <v>0613966115</v>
      </c>
      <c r="N2565" s="3">
        <f>IFERROR(__xludf.DUMMYFUNCTION("""COMPUTED_VALUE"""),83321.0)</f>
        <v>83321</v>
      </c>
      <c r="O2565" s="3" t="str">
        <f>IFERROR(__xludf.DUMMYFUNCTION("""COMPUTED_VALUE"""),"จ.เจริญ มินิมาร์ท")</f>
        <v>จ.เจริญ มินิมาร์ท</v>
      </c>
      <c r="P2565" s="4">
        <f>IFERROR(__xludf.DUMMYFUNCTION("""COMPUTED_VALUE"""),44577.0)</f>
        <v>44577</v>
      </c>
      <c r="Q2565" s="3" t="str">
        <f>IFERROR(__xludf.DUMMYFUNCTION("""COMPUTED_VALUE"""),"A")</f>
        <v>A</v>
      </c>
      <c r="R2565" s="3" t="str">
        <f>IFERROR(__xludf.DUMMYFUNCTION("""COMPUTED_VALUE"""),"Small Format")</f>
        <v>Small Format</v>
      </c>
      <c r="S2565" s="3" t="str">
        <f>IFERROR(__xludf.DUMMYFUNCTION("""COMPUTED_VALUE"""),"Donjai")</f>
        <v>Donjai</v>
      </c>
      <c r="T2565" s="3" t="str">
        <f>IFERROR(__xludf.DUMMYFUNCTION("""COMPUTED_VALUE"""),"15 K.Somchai L")</f>
        <v>15 K.Somchai L</v>
      </c>
      <c r="U2565" s="3" t="str">
        <f>IFERROR(__xludf.DUMMYFUNCTION("""COMPUTED_VALUE"""),"15 K.Somchai L")</f>
        <v>15 K.Somchai L</v>
      </c>
      <c r="V2565" s="3" t="str">
        <f>IFERROR(__xludf.DUMMYFUNCTION("""COMPUTED_VALUE"""),"N")</f>
        <v>N</v>
      </c>
      <c r="W2565" s="3"/>
      <c r="X2565" s="3" t="str">
        <f>IFERROR(__xludf.DUMMYFUNCTION("""COMPUTED_VALUE"""),"142/2 ม.6 ต.ระโนด อ.ระโนด จ.สงขลา 90140")</f>
        <v>142/2 ม.6 ต.ระโนด อ.ระโนด จ.สงขลา 90140</v>
      </c>
      <c r="Y2565" s="3"/>
      <c r="Z2565" s="3">
        <f>IFERROR(__xludf.DUMMYFUNCTION("""COMPUTED_VALUE"""),0.0)</f>
        <v>0</v>
      </c>
      <c r="AA2565" s="3">
        <f>IFERROR(__xludf.DUMMYFUNCTION("""COMPUTED_VALUE"""),0.0)</f>
        <v>0</v>
      </c>
      <c r="AB2565" s="3" t="str">
        <f>IFERROR(__xludf.DUMMYFUNCTION("""COMPUTED_VALUE"""),"สงขลา")</f>
        <v>สงขลา</v>
      </c>
      <c r="AC2565" s="3">
        <f>IFERROR(__xludf.DUMMYFUNCTION("""COMPUTED_VALUE"""),90140.0)</f>
        <v>90140</v>
      </c>
      <c r="AD2565" s="3"/>
      <c r="AE2565" s="3"/>
      <c r="AF2565" s="3" t="str">
        <f>IFERROR(__xludf.DUMMYFUNCTION("""COMPUTED_VALUE"""),"จ.เจริญ มินิมาร์ท-83321")</f>
        <v>จ.เจริญ มินิมาร์ท-83321</v>
      </c>
      <c r="AG2565" s="3" t="str">
        <f>IFERROR(__xludf.DUMMYFUNCTION("""COMPUTED_VALUE"""),"ใต้")</f>
        <v>ใต้</v>
      </c>
      <c r="AH2565" s="3" t="str">
        <f>IFERROR(__xludf.DUMMYFUNCTION("""COMPUTED_VALUE"""),"#N/A")</f>
        <v>#N/A</v>
      </c>
      <c r="AI2565" s="3" t="str">
        <f>IFERROR(__xludf.DUMMYFUNCTION("""COMPUTED_VALUE"""),"Out of warranty")</f>
        <v>Out of warranty</v>
      </c>
      <c r="AJ2565" s="3">
        <f>IFERROR(__xludf.DUMMYFUNCTION("""COMPUTED_VALUE"""),49.0)</f>
        <v>49</v>
      </c>
      <c r="AK2565" s="3"/>
      <c r="AL2565" s="3"/>
    </row>
    <row r="2566" ht="15.75" customHeight="1">
      <c r="A2566" s="1" t="str">
        <f>IFERROR(__xludf.DUMMYFUNCTION("""COMPUTED_VALUE"""),"83324")</f>
        <v>83324</v>
      </c>
      <c r="B2566" s="2">
        <f>IFERROR(__xludf.DUMMYFUNCTION("""COMPUTED_VALUE"""),83324.0)</f>
        <v>83324</v>
      </c>
      <c r="C2566" s="3" t="str">
        <f>IFERROR(__xludf.DUMMYFUNCTION("""COMPUTED_VALUE"""),"ร้าน อนันต์")</f>
        <v>ร้าน อนันต์</v>
      </c>
      <c r="D2566" s="3" t="str">
        <f>IFERROR(__xludf.DUMMYFUNCTION("""COMPUTED_VALUE"""),"ร้าน อนันต์")</f>
        <v>ร้าน อนันต์</v>
      </c>
      <c r="E2566" s="1" t="str">
        <f>IFERROR(__xludf.DUMMYFUNCTION("""COMPUTED_VALUE"""),"Donjai")</f>
        <v>Donjai</v>
      </c>
      <c r="F2566" s="1" t="str">
        <f>IFERROR(__xludf.DUMMYFUNCTION("""COMPUTED_VALUE"""),"025324")</f>
        <v>025324</v>
      </c>
      <c r="G2566" s="1" t="str">
        <f>IFERROR(__xludf.DUMMYFUNCTION("""COMPUTED_VALUE"""),"นายวิเชฎฐ์ ติรัตนะประคม")</f>
        <v>นายวิเชฎฐ์ ติรัตนะประคม</v>
      </c>
      <c r="H2566" s="1" t="str">
        <f>IFERROR(__xludf.DUMMYFUNCTION("""COMPUTED_VALUE"""),"025324")</f>
        <v>025324</v>
      </c>
      <c r="I2566" s="1" t="str">
        <f>IFERROR(__xludf.DUMMYFUNCTION("""COMPUTED_VALUE"""),"นายวิเชฎฐ์ ติรัตนะประคม")</f>
        <v>นายวิเชฎฐ์ ติรัตนะประคม</v>
      </c>
      <c r="J2566" s="3">
        <f>IFERROR(__xludf.DUMMYFUNCTION("""COMPUTED_VALUE"""),295541.0)</f>
        <v>295541</v>
      </c>
      <c r="K2566" s="3" t="str">
        <f>IFERROR(__xludf.DUMMYFUNCTION("""COMPUTED_VALUE"""),"นายรพิพล ศรีมาตย์")</f>
        <v>นายรพิพล ศรีมาตย์</v>
      </c>
      <c r="L2566" s="1" t="str">
        <f>IFERROR(__xludf.DUMMYFUNCTION("""COMPUTED_VALUE"""),"นายรพิพล ศรีมาตย์")</f>
        <v>นายรพิพล ศรีมาตย์</v>
      </c>
      <c r="M2566" s="1" t="str">
        <f>IFERROR(__xludf.DUMMYFUNCTION("""COMPUTED_VALUE"""),"0613966115")</f>
        <v>0613966115</v>
      </c>
      <c r="N2566" s="3">
        <f>IFERROR(__xludf.DUMMYFUNCTION("""COMPUTED_VALUE"""),83324.0)</f>
        <v>83324</v>
      </c>
      <c r="O2566" s="3" t="str">
        <f>IFERROR(__xludf.DUMMYFUNCTION("""COMPUTED_VALUE"""),"ร้าน อนันต์")</f>
        <v>ร้าน อนันต์</v>
      </c>
      <c r="P2566" s="4">
        <f>IFERROR(__xludf.DUMMYFUNCTION("""COMPUTED_VALUE"""),44587.0)</f>
        <v>44587</v>
      </c>
      <c r="Q2566" s="3" t="str">
        <f>IFERROR(__xludf.DUMMYFUNCTION("""COMPUTED_VALUE"""),"A")</f>
        <v>A</v>
      </c>
      <c r="R2566" s="3" t="str">
        <f>IFERROR(__xludf.DUMMYFUNCTION("""COMPUTED_VALUE"""),"Small Format")</f>
        <v>Small Format</v>
      </c>
      <c r="S2566" s="3" t="str">
        <f>IFERROR(__xludf.DUMMYFUNCTION("""COMPUTED_VALUE"""),"Donjai")</f>
        <v>Donjai</v>
      </c>
      <c r="T2566" s="3" t="str">
        <f>IFERROR(__xludf.DUMMYFUNCTION("""COMPUTED_VALUE"""),"14 K.Wichet T.")</f>
        <v>14 K.Wichet T.</v>
      </c>
      <c r="U2566" s="3" t="str">
        <f>IFERROR(__xludf.DUMMYFUNCTION("""COMPUTED_VALUE"""),"14 K.Wichet T.")</f>
        <v>14 K.Wichet T.</v>
      </c>
      <c r="V2566" s="3" t="str">
        <f>IFERROR(__xludf.DUMMYFUNCTION("""COMPUTED_VALUE"""),"N")</f>
        <v>N</v>
      </c>
      <c r="W2566" s="3"/>
      <c r="X2566" s="3" t="str">
        <f>IFERROR(__xludf.DUMMYFUNCTION("""COMPUTED_VALUE"""),"93/3 ม.3 ต.พรุใน อ.เกาะยาว จ.พังงา 83000")</f>
        <v>93/3 ม.3 ต.พรุใน อ.เกาะยาว จ.พังงา 83000</v>
      </c>
      <c r="Y2566" s="3"/>
      <c r="Z2566" s="3">
        <f>IFERROR(__xludf.DUMMYFUNCTION("""COMPUTED_VALUE"""),0.0)</f>
        <v>0</v>
      </c>
      <c r="AA2566" s="3">
        <f>IFERROR(__xludf.DUMMYFUNCTION("""COMPUTED_VALUE"""),0.0)</f>
        <v>0</v>
      </c>
      <c r="AB2566" s="3" t="str">
        <f>IFERROR(__xludf.DUMMYFUNCTION("""COMPUTED_VALUE"""),"พังงา")</f>
        <v>พังงา</v>
      </c>
      <c r="AC2566" s="3">
        <f>IFERROR(__xludf.DUMMYFUNCTION("""COMPUTED_VALUE"""),83000.0)</f>
        <v>83000</v>
      </c>
      <c r="AD2566" s="3"/>
      <c r="AE2566" s="3"/>
      <c r="AF2566" s="3" t="str">
        <f>IFERROR(__xludf.DUMMYFUNCTION("""COMPUTED_VALUE"""),"ร้าน อนันต์-83324")</f>
        <v>ร้าน อนันต์-83324</v>
      </c>
      <c r="AG2566" s="3" t="str">
        <f>IFERROR(__xludf.DUMMYFUNCTION("""COMPUTED_VALUE"""),"ใต้")</f>
        <v>ใต้</v>
      </c>
      <c r="AH2566" s="3" t="str">
        <f>IFERROR(__xludf.DUMMYFUNCTION("""COMPUTED_VALUE"""),"#N/A")</f>
        <v>#N/A</v>
      </c>
      <c r="AI2566" s="3" t="str">
        <f>IFERROR(__xludf.DUMMYFUNCTION("""COMPUTED_VALUE"""),"Out of warranty")</f>
        <v>Out of warranty</v>
      </c>
      <c r="AJ2566" s="3">
        <f>IFERROR(__xludf.DUMMYFUNCTION("""COMPUTED_VALUE"""),48.0)</f>
        <v>48</v>
      </c>
      <c r="AK2566" s="3"/>
      <c r="AL2566" s="3"/>
    </row>
    <row r="2567" ht="15.75" customHeight="1">
      <c r="A2567" s="1" t="str">
        <f>IFERROR(__xludf.DUMMYFUNCTION("""COMPUTED_VALUE"""),"83325")</f>
        <v>83325</v>
      </c>
      <c r="B2567" s="2">
        <f>IFERROR(__xludf.DUMMYFUNCTION("""COMPUTED_VALUE"""),83325.0)</f>
        <v>83325</v>
      </c>
      <c r="C2567" s="3" t="str">
        <f>IFERROR(__xludf.DUMMYFUNCTION("""COMPUTED_VALUE"""),"ร้านพิมพ์มาดา สตูล")</f>
        <v>ร้านพิมพ์มาดา สตูล</v>
      </c>
      <c r="D2567" s="3" t="str">
        <f>IFERROR(__xludf.DUMMYFUNCTION("""COMPUTED_VALUE"""),"ร้านพิมพ์มาดา สตูล")</f>
        <v>ร้านพิมพ์มาดา สตูล</v>
      </c>
      <c r="E2567" s="1" t="str">
        <f>IFERROR(__xludf.DUMMYFUNCTION("""COMPUTED_VALUE"""),"Donjai")</f>
        <v>Donjai</v>
      </c>
      <c r="F2567" s="1" t="str">
        <f>IFERROR(__xludf.DUMMYFUNCTION("""COMPUTED_VALUE"""),"20470331")</f>
        <v>20470331</v>
      </c>
      <c r="G2567" s="1" t="str">
        <f>IFERROR(__xludf.DUMMYFUNCTION("""COMPUTED_VALUE"""),"นายสมชาย ลักษณะสุวรรณ")</f>
        <v>นายสมชาย ลักษณะสุวรรณ</v>
      </c>
      <c r="H2567" s="1" t="str">
        <f>IFERROR(__xludf.DUMMYFUNCTION("""COMPUTED_VALUE"""),"20470331")</f>
        <v>20470331</v>
      </c>
      <c r="I2567" s="1" t="str">
        <f>IFERROR(__xludf.DUMMYFUNCTION("""COMPUTED_VALUE"""),"นายสมชาย ลักษณะสุวรรณ")</f>
        <v>นายสมชาย ลักษณะสุวรรณ</v>
      </c>
      <c r="J2567" s="3">
        <f>IFERROR(__xludf.DUMMYFUNCTION("""COMPUTED_VALUE"""),295541.0)</f>
        <v>295541</v>
      </c>
      <c r="K2567" s="3" t="str">
        <f>IFERROR(__xludf.DUMMYFUNCTION("""COMPUTED_VALUE"""),"นายรพิพล ศรีมาตย์")</f>
        <v>นายรพิพล ศรีมาตย์</v>
      </c>
      <c r="L2567" s="1" t="str">
        <f>IFERROR(__xludf.DUMMYFUNCTION("""COMPUTED_VALUE"""),"นายรพิพล ศรีมาตย์")</f>
        <v>นายรพิพล ศรีมาตย์</v>
      </c>
      <c r="M2567" s="1" t="str">
        <f>IFERROR(__xludf.DUMMYFUNCTION("""COMPUTED_VALUE"""),"0613966115")</f>
        <v>0613966115</v>
      </c>
      <c r="N2567" s="3">
        <f>IFERROR(__xludf.DUMMYFUNCTION("""COMPUTED_VALUE"""),83325.0)</f>
        <v>83325</v>
      </c>
      <c r="O2567" s="3" t="str">
        <f>IFERROR(__xludf.DUMMYFUNCTION("""COMPUTED_VALUE"""),"ร้านพิมพ์มาดา สตูล")</f>
        <v>ร้านพิมพ์มาดา สตูล</v>
      </c>
      <c r="P2567" s="4">
        <f>IFERROR(__xludf.DUMMYFUNCTION("""COMPUTED_VALUE"""),44588.0)</f>
        <v>44588</v>
      </c>
      <c r="Q2567" s="3" t="str">
        <f>IFERROR(__xludf.DUMMYFUNCTION("""COMPUTED_VALUE"""),"I")</f>
        <v>I</v>
      </c>
      <c r="R2567" s="3" t="str">
        <f>IFERROR(__xludf.DUMMYFUNCTION("""COMPUTED_VALUE"""),"Small Format")</f>
        <v>Small Format</v>
      </c>
      <c r="S2567" s="3" t="str">
        <f>IFERROR(__xludf.DUMMYFUNCTION("""COMPUTED_VALUE"""),"Donjai")</f>
        <v>Donjai</v>
      </c>
      <c r="T2567" s="3" t="str">
        <f>IFERROR(__xludf.DUMMYFUNCTION("""COMPUTED_VALUE"""),"15 K.Somchai L")</f>
        <v>15 K.Somchai L</v>
      </c>
      <c r="U2567" s="3" t="str">
        <f>IFERROR(__xludf.DUMMYFUNCTION("""COMPUTED_VALUE"""),"15 K.Somchai L")</f>
        <v>15 K.Somchai L</v>
      </c>
      <c r="V2567" s="3" t="str">
        <f>IFERROR(__xludf.DUMMYFUNCTION("""COMPUTED_VALUE"""),"N")</f>
        <v>N</v>
      </c>
      <c r="W2567" s="3"/>
      <c r="X2567" s="3" t="str">
        <f>IFERROR(__xludf.DUMMYFUNCTION("""COMPUTED_VALUE"""),"137ม.9ต.อุไดเจริญอ.ควนกาหลง จ.สตูล")</f>
        <v>137ม.9ต.อุไดเจริญอ.ควนกาหลง จ.สตูล</v>
      </c>
      <c r="Y2567" s="3"/>
      <c r="Z2567" s="3">
        <f>IFERROR(__xludf.DUMMYFUNCTION("""COMPUTED_VALUE"""),0.0)</f>
        <v>0</v>
      </c>
      <c r="AA2567" s="3">
        <f>IFERROR(__xludf.DUMMYFUNCTION("""COMPUTED_VALUE"""),0.0)</f>
        <v>0</v>
      </c>
      <c r="AB2567" s="3" t="str">
        <f>IFERROR(__xludf.DUMMYFUNCTION("""COMPUTED_VALUE"""),"สตูล")</f>
        <v>สตูล</v>
      </c>
      <c r="AC2567" s="3">
        <f>IFERROR(__xludf.DUMMYFUNCTION("""COMPUTED_VALUE"""),0.0)</f>
        <v>0</v>
      </c>
      <c r="AD2567" s="3"/>
      <c r="AE2567" s="3"/>
      <c r="AF2567" s="3" t="str">
        <f>IFERROR(__xludf.DUMMYFUNCTION("""COMPUTED_VALUE"""),"ร้านพิมพ์มาดา สตูล-83325")</f>
        <v>ร้านพิมพ์มาดา สตูล-83325</v>
      </c>
      <c r="AG2567" s="3" t="str">
        <f>IFERROR(__xludf.DUMMYFUNCTION("""COMPUTED_VALUE"""),"ใต้")</f>
        <v>ใต้</v>
      </c>
      <c r="AH2567" s="3" t="str">
        <f>IFERROR(__xludf.DUMMYFUNCTION("""COMPUTED_VALUE"""),"#N/A")</f>
        <v>#N/A</v>
      </c>
      <c r="AI2567" s="3" t="str">
        <f>IFERROR(__xludf.DUMMYFUNCTION("""COMPUTED_VALUE"""),"Out of warranty")</f>
        <v>Out of warranty</v>
      </c>
      <c r="AJ2567" s="3">
        <f>IFERROR(__xludf.DUMMYFUNCTION("""COMPUTED_VALUE"""),48.0)</f>
        <v>48</v>
      </c>
      <c r="AK2567" s="3"/>
      <c r="AL2567" s="3"/>
    </row>
    <row r="2568" ht="15.75" customHeight="1">
      <c r="A2568" s="1" t="str">
        <f>IFERROR(__xludf.DUMMYFUNCTION("""COMPUTED_VALUE"""),"83326")</f>
        <v>83326</v>
      </c>
      <c r="B2568" s="2">
        <f>IFERROR(__xludf.DUMMYFUNCTION("""COMPUTED_VALUE"""),83326.0)</f>
        <v>83326</v>
      </c>
      <c r="C2568" s="3" t="str">
        <f>IFERROR(__xludf.DUMMYFUNCTION("""COMPUTED_VALUE"""),"ร้านศิริพร พาณิชย์")</f>
        <v>ร้านศิริพร พาณิชย์</v>
      </c>
      <c r="D2568" s="3" t="str">
        <f>IFERROR(__xludf.DUMMYFUNCTION("""COMPUTED_VALUE"""),"ร้านศิริพร พาณิชย์")</f>
        <v>ร้านศิริพร พาณิชย์</v>
      </c>
      <c r="E2568" s="1" t="str">
        <f>IFERROR(__xludf.DUMMYFUNCTION("""COMPUTED_VALUE"""),"Donjai")</f>
        <v>Donjai</v>
      </c>
      <c r="F2568" s="1" t="str">
        <f>IFERROR(__xludf.DUMMYFUNCTION("""COMPUTED_VALUE"""),"2010016")</f>
        <v>2010016</v>
      </c>
      <c r="G2568" s="1" t="str">
        <f>IFERROR(__xludf.DUMMYFUNCTION("""COMPUTED_VALUE"""),"นายตวงธรรม ใหม่ยศ")</f>
        <v>นายตวงธรรม ใหม่ยศ</v>
      </c>
      <c r="H2568" s="1" t="str">
        <f>IFERROR(__xludf.DUMMYFUNCTION("""COMPUTED_VALUE"""),"2010016")</f>
        <v>2010016</v>
      </c>
      <c r="I2568" s="1" t="str">
        <f>IFERROR(__xludf.DUMMYFUNCTION("""COMPUTED_VALUE"""),"นายตวงธรรม ใหม่ยศ")</f>
        <v>นายตวงธรรม ใหม่ยศ</v>
      </c>
      <c r="J2568" s="3">
        <f>IFERROR(__xludf.DUMMYFUNCTION("""COMPUTED_VALUE"""),295886.0)</f>
        <v>295886</v>
      </c>
      <c r="K2568" s="3" t="str">
        <f>IFERROR(__xludf.DUMMYFUNCTION("""COMPUTED_VALUE"""),"นายจิระพงษ์ โพธิ์นิล")</f>
        <v>นายจิระพงษ์ โพธิ์นิล</v>
      </c>
      <c r="L2568" s="1" t="str">
        <f>IFERROR(__xludf.DUMMYFUNCTION("""COMPUTED_VALUE"""),"นายจิระพงษ์ โพธิ์นิล")</f>
        <v>นายจิระพงษ์ โพธิ์นิล</v>
      </c>
      <c r="M2568" s="1" t="str">
        <f>IFERROR(__xludf.DUMMYFUNCTION("""COMPUTED_VALUE"""),"0933290754")</f>
        <v>0933290754</v>
      </c>
      <c r="N2568" s="3">
        <f>IFERROR(__xludf.DUMMYFUNCTION("""COMPUTED_VALUE"""),83326.0)</f>
        <v>83326</v>
      </c>
      <c r="O2568" s="3" t="str">
        <f>IFERROR(__xludf.DUMMYFUNCTION("""COMPUTED_VALUE"""),"ร้านศิริพร พาณิชย์")</f>
        <v>ร้านศิริพร พาณิชย์</v>
      </c>
      <c r="P2568" s="4">
        <f>IFERROR(__xludf.DUMMYFUNCTION("""COMPUTED_VALUE"""),44592.0)</f>
        <v>44592</v>
      </c>
      <c r="Q2568" s="3" t="str">
        <f>IFERROR(__xludf.DUMMYFUNCTION("""COMPUTED_VALUE"""),"I")</f>
        <v>I</v>
      </c>
      <c r="R2568" s="3" t="str">
        <f>IFERROR(__xludf.DUMMYFUNCTION("""COMPUTED_VALUE"""),"Small Format")</f>
        <v>Small Format</v>
      </c>
      <c r="S2568" s="3" t="str">
        <f>IFERROR(__xludf.DUMMYFUNCTION("""COMPUTED_VALUE"""),"Donjai")</f>
        <v>Donjai</v>
      </c>
      <c r="T2568" s="3" t="str">
        <f>IFERROR(__xludf.DUMMYFUNCTION("""COMPUTED_VALUE"""),"01 K.Tuangtham M.")</f>
        <v>01 K.Tuangtham M.</v>
      </c>
      <c r="U2568" s="3" t="str">
        <f>IFERROR(__xludf.DUMMYFUNCTION("""COMPUTED_VALUE"""),"01 K.Tuangtham M.")</f>
        <v>01 K.Tuangtham M.</v>
      </c>
      <c r="V2568" s="3" t="str">
        <f>IFERROR(__xludf.DUMMYFUNCTION("""COMPUTED_VALUE"""),"N")</f>
        <v>N</v>
      </c>
      <c r="W2568" s="3"/>
      <c r="X2568" s="3" t="str">
        <f>IFERROR(__xludf.DUMMYFUNCTION("""COMPUTED_VALUE"""),"89/1 ม.6 ต.สบเตี๊ยะ อ.จอมทอง จ.เชียงใหม่ 50160")</f>
        <v>89/1 ม.6 ต.สบเตี๊ยะ อ.จอมทอง จ.เชียงใหม่ 50160</v>
      </c>
      <c r="Y2568" s="3"/>
      <c r="Z2568" s="3" t="str">
        <f>IFERROR(__xludf.DUMMYFUNCTION("""COMPUTED_VALUE"""),"สบเตี๊ยะ")</f>
        <v>สบเตี๊ยะ</v>
      </c>
      <c r="AA2568" s="3" t="str">
        <f>IFERROR(__xludf.DUMMYFUNCTION("""COMPUTED_VALUE"""),"จอมทอง")</f>
        <v>จอมทอง</v>
      </c>
      <c r="AB2568" s="3" t="str">
        <f>IFERROR(__xludf.DUMMYFUNCTION("""COMPUTED_VALUE"""),"เชียงใหม่")</f>
        <v>เชียงใหม่</v>
      </c>
      <c r="AC2568" s="3">
        <f>IFERROR(__xludf.DUMMYFUNCTION("""COMPUTED_VALUE"""),50160.0)</f>
        <v>50160</v>
      </c>
      <c r="AD2568" s="3"/>
      <c r="AE2568" s="3"/>
      <c r="AF2568" s="3" t="str">
        <f>IFERROR(__xludf.DUMMYFUNCTION("""COMPUTED_VALUE"""),"ร้านศิริพร พาณิชย์-83326")</f>
        <v>ร้านศิริพร พาณิชย์-83326</v>
      </c>
      <c r="AG2568" s="3" t="str">
        <f>IFERROR(__xludf.DUMMYFUNCTION("""COMPUTED_VALUE"""),"เหนือ")</f>
        <v>เหนือ</v>
      </c>
      <c r="AH2568" s="3" t="str">
        <f>IFERROR(__xludf.DUMMYFUNCTION("""COMPUTED_VALUE"""),"#N/A")</f>
        <v>#N/A</v>
      </c>
      <c r="AI2568" s="3" t="str">
        <f>IFERROR(__xludf.DUMMYFUNCTION("""COMPUTED_VALUE"""),"Out of warranty")</f>
        <v>Out of warranty</v>
      </c>
      <c r="AJ2568" s="3">
        <f>IFERROR(__xludf.DUMMYFUNCTION("""COMPUTED_VALUE"""),48.0)</f>
        <v>48</v>
      </c>
      <c r="AK2568" s="3"/>
      <c r="AL2568" s="3"/>
    </row>
    <row r="2569" ht="15.75" customHeight="1">
      <c r="A2569" s="1" t="str">
        <f>IFERROR(__xludf.DUMMYFUNCTION("""COMPUTED_VALUE"""),"83327")</f>
        <v>83327</v>
      </c>
      <c r="B2569" s="2">
        <f>IFERROR(__xludf.DUMMYFUNCTION("""COMPUTED_VALUE"""),83327.0)</f>
        <v>83327</v>
      </c>
      <c r="C2569" s="3" t="str">
        <f>IFERROR(__xludf.DUMMYFUNCTION("""COMPUTED_VALUE"""),"ร้านน้ำซ่าส์มินิมาร์ทสน")</f>
        <v>ร้านน้ำซ่าส์มินิมาร์ทสน</v>
      </c>
      <c r="D2569" s="3" t="str">
        <f>IFERROR(__xludf.DUMMYFUNCTION("""COMPUTED_VALUE"""),"ร้านน้ำซ่าส์มินิมาร์ทสน")</f>
        <v>ร้านน้ำซ่าส์มินิมาร์ทสน</v>
      </c>
      <c r="E2569" s="1" t="str">
        <f>IFERROR(__xludf.DUMMYFUNCTION("""COMPUTED_VALUE"""),"Donjai")</f>
        <v>Donjai</v>
      </c>
      <c r="F2569" s="1" t="str">
        <f>IFERROR(__xludf.DUMMYFUNCTION("""COMPUTED_VALUE"""),"2010016")</f>
        <v>2010016</v>
      </c>
      <c r="G2569" s="1" t="str">
        <f>IFERROR(__xludf.DUMMYFUNCTION("""COMPUTED_VALUE"""),"นายตวงธรรม ใหม่ยศ")</f>
        <v>นายตวงธรรม ใหม่ยศ</v>
      </c>
      <c r="H2569" s="1" t="str">
        <f>IFERROR(__xludf.DUMMYFUNCTION("""COMPUTED_VALUE"""),"2010016")</f>
        <v>2010016</v>
      </c>
      <c r="I2569" s="1" t="str">
        <f>IFERROR(__xludf.DUMMYFUNCTION("""COMPUTED_VALUE"""),"นายตวงธรรม ใหม่ยศ")</f>
        <v>นายตวงธรรม ใหม่ยศ</v>
      </c>
      <c r="J2569" s="3">
        <f>IFERROR(__xludf.DUMMYFUNCTION("""COMPUTED_VALUE"""),295886.0)</f>
        <v>295886</v>
      </c>
      <c r="K2569" s="3" t="str">
        <f>IFERROR(__xludf.DUMMYFUNCTION("""COMPUTED_VALUE"""),"นายจิระพงษ์ โพธิ์นิล")</f>
        <v>นายจิระพงษ์ โพธิ์นิล</v>
      </c>
      <c r="L2569" s="1" t="str">
        <f>IFERROR(__xludf.DUMMYFUNCTION("""COMPUTED_VALUE"""),"นายจิระพงษ์ โพธิ์นิล")</f>
        <v>นายจิระพงษ์ โพธิ์นิล</v>
      </c>
      <c r="M2569" s="1" t="str">
        <f>IFERROR(__xludf.DUMMYFUNCTION("""COMPUTED_VALUE"""),"0933290754")</f>
        <v>0933290754</v>
      </c>
      <c r="N2569" s="3">
        <f>IFERROR(__xludf.DUMMYFUNCTION("""COMPUTED_VALUE"""),83327.0)</f>
        <v>83327</v>
      </c>
      <c r="O2569" s="3" t="str">
        <f>IFERROR(__xludf.DUMMYFUNCTION("""COMPUTED_VALUE"""),"ร้านน้ำซ่าส์มินิมาร์ทสน")</f>
        <v>ร้านน้ำซ่าส์มินิมาร์ทสน</v>
      </c>
      <c r="P2569" s="4">
        <f>IFERROR(__xludf.DUMMYFUNCTION("""COMPUTED_VALUE"""),44594.0)</f>
        <v>44594</v>
      </c>
      <c r="Q2569" s="3" t="str">
        <f>IFERROR(__xludf.DUMMYFUNCTION("""COMPUTED_VALUE"""),"I")</f>
        <v>I</v>
      </c>
      <c r="R2569" s="3" t="str">
        <f>IFERROR(__xludf.DUMMYFUNCTION("""COMPUTED_VALUE"""),"Small Format")</f>
        <v>Small Format</v>
      </c>
      <c r="S2569" s="3" t="str">
        <f>IFERROR(__xludf.DUMMYFUNCTION("""COMPUTED_VALUE"""),"Donjai")</f>
        <v>Donjai</v>
      </c>
      <c r="T2569" s="3" t="str">
        <f>IFERROR(__xludf.DUMMYFUNCTION("""COMPUTED_VALUE"""),"01 K.Tuangtham M.")</f>
        <v>01 K.Tuangtham M.</v>
      </c>
      <c r="U2569" s="3" t="str">
        <f>IFERROR(__xludf.DUMMYFUNCTION("""COMPUTED_VALUE"""),"01 K.Tuangtham M.")</f>
        <v>01 K.Tuangtham M.</v>
      </c>
      <c r="V2569" s="3" t="str">
        <f>IFERROR(__xludf.DUMMYFUNCTION("""COMPUTED_VALUE"""),"N")</f>
        <v>N</v>
      </c>
      <c r="W2569" s="3"/>
      <c r="X2569" s="3" t="str">
        <f>IFERROR(__xludf.DUMMYFUNCTION("""COMPUTED_VALUE"""),"166 หมู่ที่ 2 ตำบลห้วยทราย อำเภอแม่ริม จังหวัดเชียงใหม่ 50180")</f>
        <v>166 หมู่ที่ 2 ตำบลห้วยทราย อำเภอแม่ริม จังหวัดเชียงใหม่ 50180</v>
      </c>
      <c r="Y2569" s="3"/>
      <c r="Z2569" s="3" t="str">
        <f>IFERROR(__xludf.DUMMYFUNCTION("""COMPUTED_VALUE"""),"ห้วยทราย")</f>
        <v>ห้วยทราย</v>
      </c>
      <c r="AA2569" s="3" t="str">
        <f>IFERROR(__xludf.DUMMYFUNCTION("""COMPUTED_VALUE"""),"แม่ริม")</f>
        <v>แม่ริม</v>
      </c>
      <c r="AB2569" s="3" t="str">
        <f>IFERROR(__xludf.DUMMYFUNCTION("""COMPUTED_VALUE"""),"เชียงใหม่")</f>
        <v>เชียงใหม่</v>
      </c>
      <c r="AC2569" s="3">
        <f>IFERROR(__xludf.DUMMYFUNCTION("""COMPUTED_VALUE"""),50180.0)</f>
        <v>50180</v>
      </c>
      <c r="AD2569" s="3"/>
      <c r="AE2569" s="3"/>
      <c r="AF2569" s="3" t="str">
        <f>IFERROR(__xludf.DUMMYFUNCTION("""COMPUTED_VALUE"""),"ร้านน้ำซ่าส์มินิมาร์ทสน-83327")</f>
        <v>ร้านน้ำซ่าส์มินิมาร์ทสน-83327</v>
      </c>
      <c r="AG2569" s="3" t="str">
        <f>IFERROR(__xludf.DUMMYFUNCTION("""COMPUTED_VALUE"""),"เหนือ")</f>
        <v>เหนือ</v>
      </c>
      <c r="AH2569" s="3" t="str">
        <f>IFERROR(__xludf.DUMMYFUNCTION("""COMPUTED_VALUE"""),"#N/A")</f>
        <v>#N/A</v>
      </c>
      <c r="AI2569" s="3" t="str">
        <f>IFERROR(__xludf.DUMMYFUNCTION("""COMPUTED_VALUE"""),"Out of warranty")</f>
        <v>Out of warranty</v>
      </c>
      <c r="AJ2569" s="3">
        <f>IFERROR(__xludf.DUMMYFUNCTION("""COMPUTED_VALUE"""),48.0)</f>
        <v>48</v>
      </c>
      <c r="AK2569" s="3"/>
      <c r="AL2569" s="3"/>
    </row>
    <row r="2570" ht="15.75" customHeight="1">
      <c r="A2570" s="1" t="str">
        <f>IFERROR(__xludf.DUMMYFUNCTION("""COMPUTED_VALUE"""),"83329")</f>
        <v>83329</v>
      </c>
      <c r="B2570" s="2">
        <f>IFERROR(__xludf.DUMMYFUNCTION("""COMPUTED_VALUE"""),83329.0)</f>
        <v>83329</v>
      </c>
      <c r="C2570" s="3" t="str">
        <f>IFERROR(__xludf.DUMMYFUNCTION("""COMPUTED_VALUE"""),"ร้านพี่สาว")</f>
        <v>ร้านพี่สาว</v>
      </c>
      <c r="D2570" s="3" t="str">
        <f>IFERROR(__xludf.DUMMYFUNCTION("""COMPUTED_VALUE"""),"ร้านพี่สาว")</f>
        <v>ร้านพี่สาว</v>
      </c>
      <c r="E2570" s="1" t="str">
        <f>IFERROR(__xludf.DUMMYFUNCTION("""COMPUTED_VALUE"""),"Donjai")</f>
        <v>Donjai</v>
      </c>
      <c r="F2570" s="1" t="str">
        <f>IFERROR(__xludf.DUMMYFUNCTION("""COMPUTED_VALUE"""),"025324")</f>
        <v>025324</v>
      </c>
      <c r="G2570" s="1" t="str">
        <f>IFERROR(__xludf.DUMMYFUNCTION("""COMPUTED_VALUE"""),"นายวิเชฎฐ์ ติรัตนะประคม")</f>
        <v>นายวิเชฎฐ์ ติรัตนะประคม</v>
      </c>
      <c r="H2570" s="1" t="str">
        <f>IFERROR(__xludf.DUMMYFUNCTION("""COMPUTED_VALUE"""),"025324")</f>
        <v>025324</v>
      </c>
      <c r="I2570" s="1" t="str">
        <f>IFERROR(__xludf.DUMMYFUNCTION("""COMPUTED_VALUE"""),"นายวิเชฎฐ์ ติรัตนะประคม")</f>
        <v>นายวิเชฎฐ์ ติรัตนะประคม</v>
      </c>
      <c r="J2570" s="3">
        <f>IFERROR(__xludf.DUMMYFUNCTION("""COMPUTED_VALUE"""),295541.0)</f>
        <v>295541</v>
      </c>
      <c r="K2570" s="3" t="str">
        <f>IFERROR(__xludf.DUMMYFUNCTION("""COMPUTED_VALUE"""),"นายรพิพล ศรีมาตย์")</f>
        <v>นายรพิพล ศรีมาตย์</v>
      </c>
      <c r="L2570" s="1" t="str">
        <f>IFERROR(__xludf.DUMMYFUNCTION("""COMPUTED_VALUE"""),"นายรพิพล ศรีมาตย์")</f>
        <v>นายรพิพล ศรีมาตย์</v>
      </c>
      <c r="M2570" s="1" t="str">
        <f>IFERROR(__xludf.DUMMYFUNCTION("""COMPUTED_VALUE"""),"0613966115")</f>
        <v>0613966115</v>
      </c>
      <c r="N2570" s="3">
        <f>IFERROR(__xludf.DUMMYFUNCTION("""COMPUTED_VALUE"""),83329.0)</f>
        <v>83329</v>
      </c>
      <c r="O2570" s="3" t="str">
        <f>IFERROR(__xludf.DUMMYFUNCTION("""COMPUTED_VALUE"""),"ร้านพี่สาว")</f>
        <v>ร้านพี่สาว</v>
      </c>
      <c r="P2570" s="4">
        <f>IFERROR(__xludf.DUMMYFUNCTION("""COMPUTED_VALUE"""),44584.0)</f>
        <v>44584</v>
      </c>
      <c r="Q2570" s="3" t="str">
        <f>IFERROR(__xludf.DUMMYFUNCTION("""COMPUTED_VALUE"""),"I")</f>
        <v>I</v>
      </c>
      <c r="R2570" s="3" t="str">
        <f>IFERROR(__xludf.DUMMYFUNCTION("""COMPUTED_VALUE"""),"Small Format")</f>
        <v>Small Format</v>
      </c>
      <c r="S2570" s="3" t="str">
        <f>IFERROR(__xludf.DUMMYFUNCTION("""COMPUTED_VALUE"""),"Donjai")</f>
        <v>Donjai</v>
      </c>
      <c r="T2570" s="3" t="str">
        <f>IFERROR(__xludf.DUMMYFUNCTION("""COMPUTED_VALUE"""),"14 K.Wichet T.")</f>
        <v>14 K.Wichet T.</v>
      </c>
      <c r="U2570" s="3" t="str">
        <f>IFERROR(__xludf.DUMMYFUNCTION("""COMPUTED_VALUE"""),"14 K.Wichet T.")</f>
        <v>14 K.Wichet T.</v>
      </c>
      <c r="V2570" s="3" t="str">
        <f>IFERROR(__xludf.DUMMYFUNCTION("""COMPUTED_VALUE"""),"N")</f>
        <v>N</v>
      </c>
      <c r="W2570" s="3"/>
      <c r="X2570" s="3" t="str">
        <f>IFERROR(__xludf.DUMMYFUNCTION("""COMPUTED_VALUE"""),"ต.โคกยาง อ.เหนือคลอง จ.กระบี่ 81130")</f>
        <v>ต.โคกยาง อ.เหนือคลอง จ.กระบี่ 81130</v>
      </c>
      <c r="Y2570" s="3"/>
      <c r="Z2570" s="3" t="str">
        <f>IFERROR(__xludf.DUMMYFUNCTION("""COMPUTED_VALUE"""),"โคกยาง")</f>
        <v>โคกยาง</v>
      </c>
      <c r="AA2570" s="3" t="str">
        <f>IFERROR(__xludf.DUMMYFUNCTION("""COMPUTED_VALUE"""),"เหนือคลอง")</f>
        <v>เหนือคลอง</v>
      </c>
      <c r="AB2570" s="3" t="str">
        <f>IFERROR(__xludf.DUMMYFUNCTION("""COMPUTED_VALUE"""),"กระบี่")</f>
        <v>กระบี่</v>
      </c>
      <c r="AC2570" s="3">
        <f>IFERROR(__xludf.DUMMYFUNCTION("""COMPUTED_VALUE"""),81130.0)</f>
        <v>81130</v>
      </c>
      <c r="AD2570" s="3"/>
      <c r="AE2570" s="3"/>
      <c r="AF2570" s="3" t="str">
        <f>IFERROR(__xludf.DUMMYFUNCTION("""COMPUTED_VALUE"""),"ร้านพี่สาว-83329")</f>
        <v>ร้านพี่สาว-83329</v>
      </c>
      <c r="AG2570" s="3" t="str">
        <f>IFERROR(__xludf.DUMMYFUNCTION("""COMPUTED_VALUE"""),"ใต้")</f>
        <v>ใต้</v>
      </c>
      <c r="AH2570" s="3" t="str">
        <f>IFERROR(__xludf.DUMMYFUNCTION("""COMPUTED_VALUE"""),"#N/A")</f>
        <v>#N/A</v>
      </c>
      <c r="AI2570" s="3" t="str">
        <f>IFERROR(__xludf.DUMMYFUNCTION("""COMPUTED_VALUE"""),"Out of warranty")</f>
        <v>Out of warranty</v>
      </c>
      <c r="AJ2570" s="3">
        <f>IFERROR(__xludf.DUMMYFUNCTION("""COMPUTED_VALUE"""),48.0)</f>
        <v>48</v>
      </c>
      <c r="AK2570" s="3"/>
      <c r="AL2570" s="3"/>
    </row>
    <row r="2571" ht="15.75" customHeight="1">
      <c r="A2571" s="1" t="str">
        <f>IFERROR(__xludf.DUMMYFUNCTION("""COMPUTED_VALUE"""),"83330")</f>
        <v>83330</v>
      </c>
      <c r="B2571" s="2">
        <f>IFERROR(__xludf.DUMMYFUNCTION("""COMPUTED_VALUE"""),83330.0)</f>
        <v>83330</v>
      </c>
      <c r="C2571" s="3" t="str">
        <f>IFERROR(__xludf.DUMMYFUNCTION("""COMPUTED_VALUE"""),"ร้านแม่แดง")</f>
        <v>ร้านแม่แดง</v>
      </c>
      <c r="D2571" s="3" t="str">
        <f>IFERROR(__xludf.DUMMYFUNCTION("""COMPUTED_VALUE"""),"ร้านแม่แดง")</f>
        <v>ร้านแม่แดง</v>
      </c>
      <c r="E2571" s="1" t="str">
        <f>IFERROR(__xludf.DUMMYFUNCTION("""COMPUTED_VALUE"""),"Donjai")</f>
        <v>Donjai</v>
      </c>
      <c r="F2571" s="1" t="str">
        <f>IFERROR(__xludf.DUMMYFUNCTION("""COMPUTED_VALUE"""),"2010016")</f>
        <v>2010016</v>
      </c>
      <c r="G2571" s="1" t="str">
        <f>IFERROR(__xludf.DUMMYFUNCTION("""COMPUTED_VALUE"""),"นายตวงธรรม ใหม่ยศ")</f>
        <v>นายตวงธรรม ใหม่ยศ</v>
      </c>
      <c r="H2571" s="1" t="str">
        <f>IFERROR(__xludf.DUMMYFUNCTION("""COMPUTED_VALUE"""),"2010016")</f>
        <v>2010016</v>
      </c>
      <c r="I2571" s="1" t="str">
        <f>IFERROR(__xludf.DUMMYFUNCTION("""COMPUTED_VALUE"""),"นายตวงธรรม ใหม่ยศ")</f>
        <v>นายตวงธรรม ใหม่ยศ</v>
      </c>
      <c r="J2571" s="3">
        <f>IFERROR(__xludf.DUMMYFUNCTION("""COMPUTED_VALUE"""),295886.0)</f>
        <v>295886</v>
      </c>
      <c r="K2571" s="3" t="str">
        <f>IFERROR(__xludf.DUMMYFUNCTION("""COMPUTED_VALUE"""),"นายจิระพงษ์ โพธิ์นิล")</f>
        <v>นายจิระพงษ์ โพธิ์นิล</v>
      </c>
      <c r="L2571" s="1" t="str">
        <f>IFERROR(__xludf.DUMMYFUNCTION("""COMPUTED_VALUE"""),"นายจิระพงษ์ โพธิ์นิล")</f>
        <v>นายจิระพงษ์ โพธิ์นิล</v>
      </c>
      <c r="M2571" s="1" t="str">
        <f>IFERROR(__xludf.DUMMYFUNCTION("""COMPUTED_VALUE"""),"0933290754")</f>
        <v>0933290754</v>
      </c>
      <c r="N2571" s="3">
        <f>IFERROR(__xludf.DUMMYFUNCTION("""COMPUTED_VALUE"""),83330.0)</f>
        <v>83330</v>
      </c>
      <c r="O2571" s="3" t="str">
        <f>IFERROR(__xludf.DUMMYFUNCTION("""COMPUTED_VALUE"""),"ร้านแม่แดง")</f>
        <v>ร้านแม่แดง</v>
      </c>
      <c r="P2571" s="4">
        <f>IFERROR(__xludf.DUMMYFUNCTION("""COMPUTED_VALUE"""),44593.0)</f>
        <v>44593</v>
      </c>
      <c r="Q2571" s="3" t="str">
        <f>IFERROR(__xludf.DUMMYFUNCTION("""COMPUTED_VALUE"""),"A")</f>
        <v>A</v>
      </c>
      <c r="R2571" s="3" t="str">
        <f>IFERROR(__xludf.DUMMYFUNCTION("""COMPUTED_VALUE"""),"Small Format")</f>
        <v>Small Format</v>
      </c>
      <c r="S2571" s="3" t="str">
        <f>IFERROR(__xludf.DUMMYFUNCTION("""COMPUTED_VALUE"""),"Donjai")</f>
        <v>Donjai</v>
      </c>
      <c r="T2571" s="3" t="str">
        <f>IFERROR(__xludf.DUMMYFUNCTION("""COMPUTED_VALUE"""),"01 K.Tuangtham M.")</f>
        <v>01 K.Tuangtham M.</v>
      </c>
      <c r="U2571" s="3" t="str">
        <f>IFERROR(__xludf.DUMMYFUNCTION("""COMPUTED_VALUE"""),"01 K.Tuangtham M.")</f>
        <v>01 K.Tuangtham M.</v>
      </c>
      <c r="V2571" s="3" t="str">
        <f>IFERROR(__xludf.DUMMYFUNCTION("""COMPUTED_VALUE"""),"N")</f>
        <v>N</v>
      </c>
      <c r="W2571" s="3"/>
      <c r="X2571" s="3" t="str">
        <f>IFERROR(__xludf.DUMMYFUNCTION("""COMPUTED_VALUE"""),"40 ม.11 ต.ทุ่งสะโตก อ.สันป่าตอง จ.เชียงใหม่ 50120")</f>
        <v>40 ม.11 ต.ทุ่งสะโตก อ.สันป่าตอง จ.เชียงใหม่ 50120</v>
      </c>
      <c r="Y2571" s="3"/>
      <c r="Z2571" s="3" t="str">
        <f>IFERROR(__xludf.DUMMYFUNCTION("""COMPUTED_VALUE"""),"ทุ่งสะโตก")</f>
        <v>ทุ่งสะโตก</v>
      </c>
      <c r="AA2571" s="3" t="str">
        <f>IFERROR(__xludf.DUMMYFUNCTION("""COMPUTED_VALUE"""),"สันป่าตอง")</f>
        <v>สันป่าตอง</v>
      </c>
      <c r="AB2571" s="3" t="str">
        <f>IFERROR(__xludf.DUMMYFUNCTION("""COMPUTED_VALUE"""),"เชียงใหม่")</f>
        <v>เชียงใหม่</v>
      </c>
      <c r="AC2571" s="3">
        <f>IFERROR(__xludf.DUMMYFUNCTION("""COMPUTED_VALUE"""),50120.0)</f>
        <v>50120</v>
      </c>
      <c r="AD2571" s="3"/>
      <c r="AE2571" s="3"/>
      <c r="AF2571" s="3" t="str">
        <f>IFERROR(__xludf.DUMMYFUNCTION("""COMPUTED_VALUE"""),"ร้านแม่แดง-83330")</f>
        <v>ร้านแม่แดง-83330</v>
      </c>
      <c r="AG2571" s="3" t="str">
        <f>IFERROR(__xludf.DUMMYFUNCTION("""COMPUTED_VALUE"""),"เหนือ")</f>
        <v>เหนือ</v>
      </c>
      <c r="AH2571" s="3" t="str">
        <f>IFERROR(__xludf.DUMMYFUNCTION("""COMPUTED_VALUE"""),"#N/A")</f>
        <v>#N/A</v>
      </c>
      <c r="AI2571" s="3" t="str">
        <f>IFERROR(__xludf.DUMMYFUNCTION("""COMPUTED_VALUE"""),"Out of warranty")</f>
        <v>Out of warranty</v>
      </c>
      <c r="AJ2571" s="3">
        <f>IFERROR(__xludf.DUMMYFUNCTION("""COMPUTED_VALUE"""),48.0)</f>
        <v>48</v>
      </c>
      <c r="AK2571" s="3"/>
      <c r="AL2571" s="3"/>
    </row>
    <row r="2572" ht="15.75" customHeight="1">
      <c r="A2572" s="1" t="str">
        <f>IFERROR(__xludf.DUMMYFUNCTION("""COMPUTED_VALUE"""),"83331")</f>
        <v>83331</v>
      </c>
      <c r="B2572" s="2">
        <f>IFERROR(__xludf.DUMMYFUNCTION("""COMPUTED_VALUE"""),83331.0)</f>
        <v>83331</v>
      </c>
      <c r="C2572" s="3" t="str">
        <f>IFERROR(__xludf.DUMMYFUNCTION("""COMPUTED_VALUE"""),"ส. สุขสันต์การค้า")</f>
        <v>ส. สุขสันต์การค้า</v>
      </c>
      <c r="D2572" s="3" t="str">
        <f>IFERROR(__xludf.DUMMYFUNCTION("""COMPUTED_VALUE"""),"ส. สุขสันต์การค้า")</f>
        <v>ส. สุขสันต์การค้า</v>
      </c>
      <c r="E2572" s="1" t="str">
        <f>IFERROR(__xludf.DUMMYFUNCTION("""COMPUTED_VALUE"""),"Donjai")</f>
        <v>Donjai</v>
      </c>
      <c r="F2572" s="1" t="str">
        <f>IFERROR(__xludf.DUMMYFUNCTION("""COMPUTED_VALUE"""),"20470331")</f>
        <v>20470331</v>
      </c>
      <c r="G2572" s="1" t="str">
        <f>IFERROR(__xludf.DUMMYFUNCTION("""COMPUTED_VALUE"""),"นายสมชาย ลักษณะสุวรรณ")</f>
        <v>นายสมชาย ลักษณะสุวรรณ</v>
      </c>
      <c r="H2572" s="1" t="str">
        <f>IFERROR(__xludf.DUMMYFUNCTION("""COMPUTED_VALUE"""),"20470331")</f>
        <v>20470331</v>
      </c>
      <c r="I2572" s="1" t="str">
        <f>IFERROR(__xludf.DUMMYFUNCTION("""COMPUTED_VALUE"""),"นายสมชาย ลักษณะสุวรรณ")</f>
        <v>นายสมชาย ลักษณะสุวรรณ</v>
      </c>
      <c r="J2572" s="3">
        <f>IFERROR(__xludf.DUMMYFUNCTION("""COMPUTED_VALUE"""),295541.0)</f>
        <v>295541</v>
      </c>
      <c r="K2572" s="3" t="str">
        <f>IFERROR(__xludf.DUMMYFUNCTION("""COMPUTED_VALUE"""),"นายรพิพล ศรีมาตย์")</f>
        <v>นายรพิพล ศรีมาตย์</v>
      </c>
      <c r="L2572" s="1" t="str">
        <f>IFERROR(__xludf.DUMMYFUNCTION("""COMPUTED_VALUE"""),"นายรพิพล ศรีมาตย์")</f>
        <v>นายรพิพล ศรีมาตย์</v>
      </c>
      <c r="M2572" s="1" t="str">
        <f>IFERROR(__xludf.DUMMYFUNCTION("""COMPUTED_VALUE"""),"0613966115")</f>
        <v>0613966115</v>
      </c>
      <c r="N2572" s="3">
        <f>IFERROR(__xludf.DUMMYFUNCTION("""COMPUTED_VALUE"""),83331.0)</f>
        <v>83331</v>
      </c>
      <c r="O2572" s="3" t="str">
        <f>IFERROR(__xludf.DUMMYFUNCTION("""COMPUTED_VALUE"""),"ส. สุขสันต์การค้า")</f>
        <v>ส. สุขสันต์การค้า</v>
      </c>
      <c r="P2572" s="4">
        <f>IFERROR(__xludf.DUMMYFUNCTION("""COMPUTED_VALUE"""),44574.0)</f>
        <v>44574</v>
      </c>
      <c r="Q2572" s="3" t="str">
        <f>IFERROR(__xludf.DUMMYFUNCTION("""COMPUTED_VALUE"""),"I")</f>
        <v>I</v>
      </c>
      <c r="R2572" s="3" t="str">
        <f>IFERROR(__xludf.DUMMYFUNCTION("""COMPUTED_VALUE"""),"Small Format")</f>
        <v>Small Format</v>
      </c>
      <c r="S2572" s="3" t="str">
        <f>IFERROR(__xludf.DUMMYFUNCTION("""COMPUTED_VALUE"""),"Donjai")</f>
        <v>Donjai</v>
      </c>
      <c r="T2572" s="3" t="str">
        <f>IFERROR(__xludf.DUMMYFUNCTION("""COMPUTED_VALUE"""),"15 K.Somchai L")</f>
        <v>15 K.Somchai L</v>
      </c>
      <c r="U2572" s="3" t="str">
        <f>IFERROR(__xludf.DUMMYFUNCTION("""COMPUTED_VALUE"""),"15 K.Somchai L")</f>
        <v>15 K.Somchai L</v>
      </c>
      <c r="V2572" s="3" t="str">
        <f>IFERROR(__xludf.DUMMYFUNCTION("""COMPUTED_VALUE"""),"N")</f>
        <v>N</v>
      </c>
      <c r="W2572" s="3"/>
      <c r="X2572" s="3" t="str">
        <f>IFERROR(__xludf.DUMMYFUNCTION("""COMPUTED_VALUE"""),"172 หมู่ 8 ต.ดุสิต อ.ถ้ำพรรณรา จ.นครศรีธรรมราช")</f>
        <v>172 หมู่ 8 ต.ดุสิต อ.ถ้ำพรรณรา จ.นครศรีธรรมราช</v>
      </c>
      <c r="Y2572" s="3"/>
      <c r="Z2572" s="3">
        <f>IFERROR(__xludf.DUMMYFUNCTION("""COMPUTED_VALUE"""),0.0)</f>
        <v>0</v>
      </c>
      <c r="AA2572" s="3">
        <f>IFERROR(__xludf.DUMMYFUNCTION("""COMPUTED_VALUE"""),0.0)</f>
        <v>0</v>
      </c>
      <c r="AB2572" s="3" t="str">
        <f>IFERROR(__xludf.DUMMYFUNCTION("""COMPUTED_VALUE"""),"นครศรีธรรมราช")</f>
        <v>นครศรีธรรมราช</v>
      </c>
      <c r="AC2572" s="3">
        <f>IFERROR(__xludf.DUMMYFUNCTION("""COMPUTED_VALUE"""),0.0)</f>
        <v>0</v>
      </c>
      <c r="AD2572" s="3"/>
      <c r="AE2572" s="3"/>
      <c r="AF2572" s="3" t="str">
        <f>IFERROR(__xludf.DUMMYFUNCTION("""COMPUTED_VALUE"""),"ส. สุขสันต์การค้า-83331")</f>
        <v>ส. สุขสันต์การค้า-83331</v>
      </c>
      <c r="AG2572" s="3" t="str">
        <f>IFERROR(__xludf.DUMMYFUNCTION("""COMPUTED_VALUE"""),"ใต้")</f>
        <v>ใต้</v>
      </c>
      <c r="AH2572" s="3" t="str">
        <f>IFERROR(__xludf.DUMMYFUNCTION("""COMPUTED_VALUE"""),"#N/A")</f>
        <v>#N/A</v>
      </c>
      <c r="AI2572" s="3" t="str">
        <f>IFERROR(__xludf.DUMMYFUNCTION("""COMPUTED_VALUE"""),"Out of warranty")</f>
        <v>Out of warranty</v>
      </c>
      <c r="AJ2572" s="3">
        <f>IFERROR(__xludf.DUMMYFUNCTION("""COMPUTED_VALUE"""),49.0)</f>
        <v>49</v>
      </c>
      <c r="AK2572" s="3"/>
      <c r="AL2572" s="3"/>
    </row>
    <row r="2573" ht="15.75" customHeight="1">
      <c r="A2573" s="1" t="str">
        <f>IFERROR(__xludf.DUMMYFUNCTION("""COMPUTED_VALUE"""),"83332")</f>
        <v>83332</v>
      </c>
      <c r="B2573" s="2">
        <f>IFERROR(__xludf.DUMMYFUNCTION("""COMPUTED_VALUE"""),83332.0)</f>
        <v>83332</v>
      </c>
      <c r="C2573" s="3" t="str">
        <f>IFERROR(__xludf.DUMMYFUNCTION("""COMPUTED_VALUE"""),"ร้านตาเชตร")</f>
        <v>ร้านตาเชตร</v>
      </c>
      <c r="D2573" s="3" t="str">
        <f>IFERROR(__xludf.DUMMYFUNCTION("""COMPUTED_VALUE"""),"ร้านตาเชตร")</f>
        <v>ร้านตาเชตร</v>
      </c>
      <c r="E2573" s="1" t="str">
        <f>IFERROR(__xludf.DUMMYFUNCTION("""COMPUTED_VALUE"""),"Donjai")</f>
        <v>Donjai</v>
      </c>
      <c r="F2573" s="1" t="str">
        <f>IFERROR(__xludf.DUMMYFUNCTION("""COMPUTED_VALUE"""),"296945")</f>
        <v>296945</v>
      </c>
      <c r="G2573" s="1" t="str">
        <f>IFERROR(__xludf.DUMMYFUNCTION("""COMPUTED_VALUE"""),"นายรักพงศ์ พงศ์พันธ์งาม")</f>
        <v>นายรักพงศ์ พงศ์พันธ์งาม</v>
      </c>
      <c r="H2573" s="1" t="str">
        <f>IFERROR(__xludf.DUMMYFUNCTION("""COMPUTED_VALUE"""),"296945")</f>
        <v>296945</v>
      </c>
      <c r="I2573" s="1" t="str">
        <f>IFERROR(__xludf.DUMMYFUNCTION("""COMPUTED_VALUE"""),"นายรักพงศ์ พงศ์พันธ์งาม")</f>
        <v>นายรักพงศ์ พงศ์พันธ์งาม</v>
      </c>
      <c r="J2573" s="3">
        <f>IFERROR(__xludf.DUMMYFUNCTION("""COMPUTED_VALUE"""),228031.0)</f>
        <v>228031</v>
      </c>
      <c r="K2573" s="3" t="str">
        <f>IFERROR(__xludf.DUMMYFUNCTION("""COMPUTED_VALUE"""),"นายธนพงษ์ วันหมัด")</f>
        <v>นายธนพงษ์ วันหมัด</v>
      </c>
      <c r="L2573" s="1" t="str">
        <f>IFERROR(__xludf.DUMMYFUNCTION("""COMPUTED_VALUE"""),"นายธนพงษ์ วันหมัด")</f>
        <v>นายธนพงษ์ วันหมัด</v>
      </c>
      <c r="M2573" s="1" t="str">
        <f>IFERROR(__xludf.DUMMYFUNCTION("""COMPUTED_VALUE"""),"0813716913")</f>
        <v>0813716913</v>
      </c>
      <c r="N2573" s="3">
        <f>IFERROR(__xludf.DUMMYFUNCTION("""COMPUTED_VALUE"""),83332.0)</f>
        <v>83332</v>
      </c>
      <c r="O2573" s="3" t="str">
        <f>IFERROR(__xludf.DUMMYFUNCTION("""COMPUTED_VALUE"""),"ร้านตาเชตร")</f>
        <v>ร้านตาเชตร</v>
      </c>
      <c r="P2573" s="4">
        <f>IFERROR(__xludf.DUMMYFUNCTION("""COMPUTED_VALUE"""),44591.0)</f>
        <v>44591</v>
      </c>
      <c r="Q2573" s="3" t="str">
        <f>IFERROR(__xludf.DUMMYFUNCTION("""COMPUTED_VALUE"""),"I")</f>
        <v>I</v>
      </c>
      <c r="R2573" s="3" t="str">
        <f>IFERROR(__xludf.DUMMYFUNCTION("""COMPUTED_VALUE"""),"Small Format")</f>
        <v>Small Format</v>
      </c>
      <c r="S2573" s="3" t="str">
        <f>IFERROR(__xludf.DUMMYFUNCTION("""COMPUTED_VALUE"""),"Donjai")</f>
        <v>Donjai</v>
      </c>
      <c r="T2573" s="3">
        <f>IFERROR(__xludf.DUMMYFUNCTION("""COMPUTED_VALUE"""),0.0)</f>
        <v>0</v>
      </c>
      <c r="U2573" s="3">
        <f>IFERROR(__xludf.DUMMYFUNCTION("""COMPUTED_VALUE"""),0.0)</f>
        <v>0</v>
      </c>
      <c r="V2573" s="3" t="str">
        <f>IFERROR(__xludf.DUMMYFUNCTION("""COMPUTED_VALUE"""),"N")</f>
        <v>N</v>
      </c>
      <c r="W2573" s="3"/>
      <c r="X2573" s="3" t="str">
        <f>IFERROR(__xludf.DUMMYFUNCTION("""COMPUTED_VALUE"""),"ตำบลหัวหว้า ศรีมหาโพธิ์")</f>
        <v>ตำบลหัวหว้า ศรีมหาโพธิ์</v>
      </c>
      <c r="Y2573" s="3"/>
      <c r="Z2573" s="3">
        <f>IFERROR(__xludf.DUMMYFUNCTION("""COMPUTED_VALUE"""),0.0)</f>
        <v>0</v>
      </c>
      <c r="AA2573" s="3">
        <f>IFERROR(__xludf.DUMMYFUNCTION("""COMPUTED_VALUE"""),0.0)</f>
        <v>0</v>
      </c>
      <c r="AB2573" s="3" t="str">
        <f>IFERROR(__xludf.DUMMYFUNCTION("""COMPUTED_VALUE"""),"ปราจีนบุรี")</f>
        <v>ปราจีนบุรี</v>
      </c>
      <c r="AC2573" s="3">
        <f>IFERROR(__xludf.DUMMYFUNCTION("""COMPUTED_VALUE"""),0.0)</f>
        <v>0</v>
      </c>
      <c r="AD2573" s="3"/>
      <c r="AE2573" s="3"/>
      <c r="AF2573" s="3" t="str">
        <f>IFERROR(__xludf.DUMMYFUNCTION("""COMPUTED_VALUE"""),"ร้านตาเชตร-83332")</f>
        <v>ร้านตาเชตร-83332</v>
      </c>
      <c r="AG2573" s="3" t="str">
        <f>IFERROR(__xludf.DUMMYFUNCTION("""COMPUTED_VALUE"""),"ตะวันออก")</f>
        <v>ตะวันออก</v>
      </c>
      <c r="AH2573" s="3" t="str">
        <f>IFERROR(__xludf.DUMMYFUNCTION("""COMPUTED_VALUE"""),"#N/A")</f>
        <v>#N/A</v>
      </c>
      <c r="AI2573" s="3" t="str">
        <f>IFERROR(__xludf.DUMMYFUNCTION("""COMPUTED_VALUE"""),"Out of warranty")</f>
        <v>Out of warranty</v>
      </c>
      <c r="AJ2573" s="3">
        <f>IFERROR(__xludf.DUMMYFUNCTION("""COMPUTED_VALUE"""),48.0)</f>
        <v>48</v>
      </c>
      <c r="AK2573" s="3"/>
      <c r="AL2573" s="3"/>
    </row>
    <row r="2574" ht="15.75" customHeight="1">
      <c r="A2574" s="1" t="str">
        <f>IFERROR(__xludf.DUMMYFUNCTION("""COMPUTED_VALUE"""),"83333")</f>
        <v>83333</v>
      </c>
      <c r="B2574" s="2">
        <f>IFERROR(__xludf.DUMMYFUNCTION("""COMPUTED_VALUE"""),83333.0)</f>
        <v>83333</v>
      </c>
      <c r="C2574" s="3" t="str">
        <f>IFERROR(__xludf.DUMMYFUNCTION("""COMPUTED_VALUE"""),"ร้านริมหนอง")</f>
        <v>ร้านริมหนอง</v>
      </c>
      <c r="D2574" s="3" t="str">
        <f>IFERROR(__xludf.DUMMYFUNCTION("""COMPUTED_VALUE"""),"ร้านริมหนอง")</f>
        <v>ร้านริมหนอง</v>
      </c>
      <c r="E2574" s="1" t="str">
        <f>IFERROR(__xludf.DUMMYFUNCTION("""COMPUTED_VALUE"""),"Donjai")</f>
        <v>Donjai</v>
      </c>
      <c r="F2574" s="1" t="str">
        <f>IFERROR(__xludf.DUMMYFUNCTION("""COMPUTED_VALUE"""),"296868")</f>
        <v>296868</v>
      </c>
      <c r="G2574" s="1" t="str">
        <f>IFERROR(__xludf.DUMMYFUNCTION("""COMPUTED_VALUE"""),"นายพีระพงษ์ แก้วดวงดี")</f>
        <v>นายพีระพงษ์ แก้วดวงดี</v>
      </c>
      <c r="H2574" s="1" t="str">
        <f>IFERROR(__xludf.DUMMYFUNCTION("""COMPUTED_VALUE"""),"296868")</f>
        <v>296868</v>
      </c>
      <c r="I2574" s="1" t="str">
        <f>IFERROR(__xludf.DUMMYFUNCTION("""COMPUTED_VALUE"""),"นายพีระพงษ์ แก้วดวงดี")</f>
        <v>นายพีระพงษ์ แก้วดวงดี</v>
      </c>
      <c r="J2574" s="3">
        <f>IFERROR(__xludf.DUMMYFUNCTION("""COMPUTED_VALUE"""),295886.0)</f>
        <v>295886</v>
      </c>
      <c r="K2574" s="3" t="str">
        <f>IFERROR(__xludf.DUMMYFUNCTION("""COMPUTED_VALUE"""),"นายจิระพงษ์ โพธิ์นิล")</f>
        <v>นายจิระพงษ์ โพธิ์นิล</v>
      </c>
      <c r="L2574" s="1" t="str">
        <f>IFERROR(__xludf.DUMMYFUNCTION("""COMPUTED_VALUE"""),"นายจิระพงษ์ โพธิ์นิล")</f>
        <v>นายจิระพงษ์ โพธิ์นิล</v>
      </c>
      <c r="M2574" s="1" t="str">
        <f>IFERROR(__xludf.DUMMYFUNCTION("""COMPUTED_VALUE"""),"0933290754")</f>
        <v>0933290754</v>
      </c>
      <c r="N2574" s="3">
        <f>IFERROR(__xludf.DUMMYFUNCTION("""COMPUTED_VALUE"""),83333.0)</f>
        <v>83333</v>
      </c>
      <c r="O2574" s="3" t="str">
        <f>IFERROR(__xludf.DUMMYFUNCTION("""COMPUTED_VALUE"""),"ร้านริมหนอง")</f>
        <v>ร้านริมหนอง</v>
      </c>
      <c r="P2574" s="4">
        <f>IFERROR(__xludf.DUMMYFUNCTION("""COMPUTED_VALUE"""),44647.0)</f>
        <v>44647</v>
      </c>
      <c r="Q2574" s="3" t="str">
        <f>IFERROR(__xludf.DUMMYFUNCTION("""COMPUTED_VALUE"""),"I")</f>
        <v>I</v>
      </c>
      <c r="R2574" s="3" t="str">
        <f>IFERROR(__xludf.DUMMYFUNCTION("""COMPUTED_VALUE"""),"Small Format")</f>
        <v>Small Format</v>
      </c>
      <c r="S2574" s="3" t="str">
        <f>IFERROR(__xludf.DUMMYFUNCTION("""COMPUTED_VALUE"""),"Donjai")</f>
        <v>Donjai</v>
      </c>
      <c r="T2574" s="3" t="str">
        <f>IFERROR(__xludf.DUMMYFUNCTION("""COMPUTED_VALUE"""),"03 K.Peerapong K.")</f>
        <v>03 K.Peerapong K.</v>
      </c>
      <c r="U2574" s="3" t="str">
        <f>IFERROR(__xludf.DUMMYFUNCTION("""COMPUTED_VALUE"""),"03 K.Peerapong K.")</f>
        <v>03 K.Peerapong K.</v>
      </c>
      <c r="V2574" s="3" t="str">
        <f>IFERROR(__xludf.DUMMYFUNCTION("""COMPUTED_VALUE"""),"N")</f>
        <v>N</v>
      </c>
      <c r="W2574" s="3"/>
      <c r="X2574" s="3" t="str">
        <f>IFERROR(__xludf.DUMMYFUNCTION("""COMPUTED_VALUE"""),"58 ม.5 ต.หนองผือ อ.จตุรพักพิมาน จ.ร้อยเอ็ด")</f>
        <v>58 ม.5 ต.หนองผือ อ.จตุรพักพิมาน จ.ร้อยเอ็ด</v>
      </c>
      <c r="Y2574" s="3"/>
      <c r="Z2574" s="3">
        <f>IFERROR(__xludf.DUMMYFUNCTION("""COMPUTED_VALUE"""),0.0)</f>
        <v>0</v>
      </c>
      <c r="AA2574" s="3">
        <f>IFERROR(__xludf.DUMMYFUNCTION("""COMPUTED_VALUE"""),0.0)</f>
        <v>0</v>
      </c>
      <c r="AB2574" s="3" t="str">
        <f>IFERROR(__xludf.DUMMYFUNCTION("""COMPUTED_VALUE"""),"ร้อยเอ็ด")</f>
        <v>ร้อยเอ็ด</v>
      </c>
      <c r="AC2574" s="3">
        <f>IFERROR(__xludf.DUMMYFUNCTION("""COMPUTED_VALUE"""),0.0)</f>
        <v>0</v>
      </c>
      <c r="AD2574" s="3"/>
      <c r="AE2574" s="3"/>
      <c r="AF2574" s="3" t="str">
        <f>IFERROR(__xludf.DUMMYFUNCTION("""COMPUTED_VALUE"""),"ร้านริมหนอง-83333")</f>
        <v>ร้านริมหนอง-83333</v>
      </c>
      <c r="AG2574" s="3" t="str">
        <f>IFERROR(__xludf.DUMMYFUNCTION("""COMPUTED_VALUE"""),"ตะวันออกเฉียงเหนือ")</f>
        <v>ตะวันออกเฉียงเหนือ</v>
      </c>
      <c r="AH2574" s="3" t="str">
        <f>IFERROR(__xludf.DUMMYFUNCTION("""COMPUTED_VALUE"""),"#N/A")</f>
        <v>#N/A</v>
      </c>
      <c r="AI2574" s="3" t="str">
        <f>IFERROR(__xludf.DUMMYFUNCTION("""COMPUTED_VALUE"""),"Out of warranty")</f>
        <v>Out of warranty</v>
      </c>
      <c r="AJ2574" s="3">
        <f>IFERROR(__xludf.DUMMYFUNCTION("""COMPUTED_VALUE"""),46.0)</f>
        <v>46</v>
      </c>
      <c r="AK2574" s="3"/>
      <c r="AL2574" s="3"/>
    </row>
    <row r="2575" ht="15.75" customHeight="1">
      <c r="A2575" s="1" t="str">
        <f>IFERROR(__xludf.DUMMYFUNCTION("""COMPUTED_VALUE"""),"83334")</f>
        <v>83334</v>
      </c>
      <c r="B2575" s="2">
        <f>IFERROR(__xludf.DUMMYFUNCTION("""COMPUTED_VALUE"""),83334.0)</f>
        <v>83334</v>
      </c>
      <c r="C2575" s="3" t="str">
        <f>IFERROR(__xludf.DUMMYFUNCTION("""COMPUTED_VALUE"""),"ร้านป.ทรัพย์ทวีคูณ (ชื่อเดิมร้านชัยลิขิต)")</f>
        <v>ร้านป.ทรัพย์ทวีคูณ (ชื่อเดิมร้านชัยลิขิต)</v>
      </c>
      <c r="D2575" s="3" t="str">
        <f>IFERROR(__xludf.DUMMYFUNCTION("""COMPUTED_VALUE"""),"ร้านป.ทรัพย์ทวีคูณ (ชื่อเดิมร้านชัยลิขิต)")</f>
        <v>ร้านป.ทรัพย์ทวีคูณ (ชื่อเดิมร้านชัยลิขิต)</v>
      </c>
      <c r="E2575" s="1" t="str">
        <f>IFERROR(__xludf.DUMMYFUNCTION("""COMPUTED_VALUE"""),"Donjai")</f>
        <v>Donjai</v>
      </c>
      <c r="F2575" s="1" t="str">
        <f>IFERROR(__xludf.DUMMYFUNCTION("""COMPUTED_VALUE"""),"015361")</f>
        <v>015361</v>
      </c>
      <c r="G2575" s="1" t="str">
        <f>IFERROR(__xludf.DUMMYFUNCTION("""COMPUTED_VALUE"""),"นายสมบูรณ์ พรหมในเมือง")</f>
        <v>นายสมบูรณ์ พรหมในเมือง</v>
      </c>
      <c r="H2575" s="1" t="str">
        <f>IFERROR(__xludf.DUMMYFUNCTION("""COMPUTED_VALUE"""),"015361")</f>
        <v>015361</v>
      </c>
      <c r="I2575" s="1" t="str">
        <f>IFERROR(__xludf.DUMMYFUNCTION("""COMPUTED_VALUE"""),"นายสมบูรณ์ พรหมในเมือง")</f>
        <v>นายสมบูรณ์ พรหมในเมือง</v>
      </c>
      <c r="J2575" s="3">
        <f>IFERROR(__xludf.DUMMYFUNCTION("""COMPUTED_VALUE"""),295886.0)</f>
        <v>295886</v>
      </c>
      <c r="K2575" s="3" t="str">
        <f>IFERROR(__xludf.DUMMYFUNCTION("""COMPUTED_VALUE"""),"นายจิระพงษ์ โพธิ์นิล")</f>
        <v>นายจิระพงษ์ โพธิ์นิล</v>
      </c>
      <c r="L2575" s="1" t="str">
        <f>IFERROR(__xludf.DUMMYFUNCTION("""COMPUTED_VALUE"""),"นายจิระพงษ์ โพธิ์นิล")</f>
        <v>นายจิระพงษ์ โพธิ์นิล</v>
      </c>
      <c r="M2575" s="1" t="str">
        <f>IFERROR(__xludf.DUMMYFUNCTION("""COMPUTED_VALUE"""),"0933290754")</f>
        <v>0933290754</v>
      </c>
      <c r="N2575" s="3">
        <f>IFERROR(__xludf.DUMMYFUNCTION("""COMPUTED_VALUE"""),83334.0)</f>
        <v>83334</v>
      </c>
      <c r="O2575" s="3" t="str">
        <f>IFERROR(__xludf.DUMMYFUNCTION("""COMPUTED_VALUE"""),"ร้านป.ทรัพย์ทวีคูณ (ชื่อเดิมร้านชัยลิขิต)")</f>
        <v>ร้านป.ทรัพย์ทวีคูณ (ชื่อเดิมร้านชัยลิขิต)</v>
      </c>
      <c r="P2575" s="4">
        <f>IFERROR(__xludf.DUMMYFUNCTION("""COMPUTED_VALUE"""),44591.0)</f>
        <v>44591</v>
      </c>
      <c r="Q2575" s="3" t="str">
        <f>IFERROR(__xludf.DUMMYFUNCTION("""COMPUTED_VALUE"""),"I")</f>
        <v>I</v>
      </c>
      <c r="R2575" s="3" t="str">
        <f>IFERROR(__xludf.DUMMYFUNCTION("""COMPUTED_VALUE"""),"Small Format")</f>
        <v>Small Format</v>
      </c>
      <c r="S2575" s="3" t="str">
        <f>IFERROR(__xludf.DUMMYFUNCTION("""COMPUTED_VALUE"""),"Donjai")</f>
        <v>Donjai</v>
      </c>
      <c r="T2575" s="3" t="str">
        <f>IFERROR(__xludf.DUMMYFUNCTION("""COMPUTED_VALUE"""),"04 K.Somboon P.")</f>
        <v>04 K.Somboon P.</v>
      </c>
      <c r="U2575" s="3" t="str">
        <f>IFERROR(__xludf.DUMMYFUNCTION("""COMPUTED_VALUE"""),"04 K.Somboon P.")</f>
        <v>04 K.Somboon P.</v>
      </c>
      <c r="V2575" s="3" t="str">
        <f>IFERROR(__xludf.DUMMYFUNCTION("""COMPUTED_VALUE"""),"N")</f>
        <v>N</v>
      </c>
      <c r="W2575" s="3"/>
      <c r="X2575" s="3" t="str">
        <f>IFERROR(__xludf.DUMMYFUNCTION("""COMPUTED_VALUE"""),"240 หมู่ 11 ต.ดู่ทุ่ง อ.เมือง จ.ยโสธร 35000")</f>
        <v>240 หมู่ 11 ต.ดู่ทุ่ง อ.เมือง จ.ยโสธร 35000</v>
      </c>
      <c r="Y2575" s="3"/>
      <c r="Z2575" s="3">
        <f>IFERROR(__xludf.DUMMYFUNCTION("""COMPUTED_VALUE"""),0.0)</f>
        <v>0</v>
      </c>
      <c r="AA2575" s="3">
        <f>IFERROR(__xludf.DUMMYFUNCTION("""COMPUTED_VALUE"""),0.0)</f>
        <v>0</v>
      </c>
      <c r="AB2575" s="3" t="str">
        <f>IFERROR(__xludf.DUMMYFUNCTION("""COMPUTED_VALUE"""),"ยโสธร")</f>
        <v>ยโสธร</v>
      </c>
      <c r="AC2575" s="3">
        <f>IFERROR(__xludf.DUMMYFUNCTION("""COMPUTED_VALUE"""),35000.0)</f>
        <v>35000</v>
      </c>
      <c r="AD2575" s="3"/>
      <c r="AE2575" s="3"/>
      <c r="AF2575" s="3" t="str">
        <f>IFERROR(__xludf.DUMMYFUNCTION("""COMPUTED_VALUE"""),"ร้านป.ทรัพย์ทวีคูณ (ชื่อเดิมร้านชัยลิขิต)-83334")</f>
        <v>ร้านป.ทรัพย์ทวีคูณ (ชื่อเดิมร้านชัยลิขิต)-83334</v>
      </c>
      <c r="AG2575" s="3" t="str">
        <f>IFERROR(__xludf.DUMMYFUNCTION("""COMPUTED_VALUE"""),"ตะวันออกเฉียงเหนือ")</f>
        <v>ตะวันออกเฉียงเหนือ</v>
      </c>
      <c r="AH2575" s="3" t="str">
        <f>IFERROR(__xludf.DUMMYFUNCTION("""COMPUTED_VALUE"""),"#N/A")</f>
        <v>#N/A</v>
      </c>
      <c r="AI2575" s="3" t="str">
        <f>IFERROR(__xludf.DUMMYFUNCTION("""COMPUTED_VALUE"""),"Out of warranty")</f>
        <v>Out of warranty</v>
      </c>
      <c r="AJ2575" s="3">
        <f>IFERROR(__xludf.DUMMYFUNCTION("""COMPUTED_VALUE"""),48.0)</f>
        <v>48</v>
      </c>
      <c r="AK2575" s="3"/>
      <c r="AL2575" s="3"/>
    </row>
    <row r="2576" ht="15.75" customHeight="1">
      <c r="A2576" s="1" t="str">
        <f>IFERROR(__xludf.DUMMYFUNCTION("""COMPUTED_VALUE"""),"83335")</f>
        <v>83335</v>
      </c>
      <c r="B2576" s="2">
        <f>IFERROR(__xludf.DUMMYFUNCTION("""COMPUTED_VALUE"""),83335.0)</f>
        <v>83335</v>
      </c>
      <c r="C2576" s="3" t="str">
        <f>IFERROR(__xludf.DUMMYFUNCTION("""COMPUTED_VALUE"""),"ร้านคุณรัตน์ อำเภอชุมแพ")</f>
        <v>ร้านคุณรัตน์ อำเภอชุมแพ</v>
      </c>
      <c r="D2576" s="3" t="str">
        <f>IFERROR(__xludf.DUMMYFUNCTION("""COMPUTED_VALUE"""),"ร้านคุณรัตน์ อำเภอชุมแพ")</f>
        <v>ร้านคุณรัตน์ อำเภอชุมแพ</v>
      </c>
      <c r="E2576" s="1" t="str">
        <f>IFERROR(__xludf.DUMMYFUNCTION("""COMPUTED_VALUE"""),"Donjai")</f>
        <v>Donjai</v>
      </c>
      <c r="F2576" s="1" t="str">
        <f>IFERROR(__xludf.DUMMYFUNCTION("""COMPUTED_VALUE"""),"296868")</f>
        <v>296868</v>
      </c>
      <c r="G2576" s="1" t="str">
        <f>IFERROR(__xludf.DUMMYFUNCTION("""COMPUTED_VALUE"""),"นายพีระพงษ์ แก้วดวงดี")</f>
        <v>นายพีระพงษ์ แก้วดวงดี</v>
      </c>
      <c r="H2576" s="1" t="str">
        <f>IFERROR(__xludf.DUMMYFUNCTION("""COMPUTED_VALUE"""),"296868")</f>
        <v>296868</v>
      </c>
      <c r="I2576" s="1" t="str">
        <f>IFERROR(__xludf.DUMMYFUNCTION("""COMPUTED_VALUE"""),"นายพีระพงษ์ แก้วดวงดี")</f>
        <v>นายพีระพงษ์ แก้วดวงดี</v>
      </c>
      <c r="J2576" s="3">
        <f>IFERROR(__xludf.DUMMYFUNCTION("""COMPUTED_VALUE"""),295886.0)</f>
        <v>295886</v>
      </c>
      <c r="K2576" s="3" t="str">
        <f>IFERROR(__xludf.DUMMYFUNCTION("""COMPUTED_VALUE"""),"นายจิระพงษ์ โพธิ์นิล")</f>
        <v>นายจิระพงษ์ โพธิ์นิล</v>
      </c>
      <c r="L2576" s="1" t="str">
        <f>IFERROR(__xludf.DUMMYFUNCTION("""COMPUTED_VALUE"""),"นายจิระพงษ์ โพธิ์นิล")</f>
        <v>นายจิระพงษ์ โพธิ์นิล</v>
      </c>
      <c r="M2576" s="1" t="str">
        <f>IFERROR(__xludf.DUMMYFUNCTION("""COMPUTED_VALUE"""),"0933290754")</f>
        <v>0933290754</v>
      </c>
      <c r="N2576" s="3">
        <f>IFERROR(__xludf.DUMMYFUNCTION("""COMPUTED_VALUE"""),83335.0)</f>
        <v>83335</v>
      </c>
      <c r="O2576" s="3" t="str">
        <f>IFERROR(__xludf.DUMMYFUNCTION("""COMPUTED_VALUE"""),"ร้านคุณรัตน์ อำเภอชุมแพ")</f>
        <v>ร้านคุณรัตน์ อำเภอชุมแพ</v>
      </c>
      <c r="P2576" s="4">
        <f>IFERROR(__xludf.DUMMYFUNCTION("""COMPUTED_VALUE"""),44592.0)</f>
        <v>44592</v>
      </c>
      <c r="Q2576" s="3" t="str">
        <f>IFERROR(__xludf.DUMMYFUNCTION("""COMPUTED_VALUE"""),"I")</f>
        <v>I</v>
      </c>
      <c r="R2576" s="3" t="str">
        <f>IFERROR(__xludf.DUMMYFUNCTION("""COMPUTED_VALUE"""),"Small Format")</f>
        <v>Small Format</v>
      </c>
      <c r="S2576" s="3" t="str">
        <f>IFERROR(__xludf.DUMMYFUNCTION("""COMPUTED_VALUE"""),"Donjai")</f>
        <v>Donjai</v>
      </c>
      <c r="T2576" s="3" t="str">
        <f>IFERROR(__xludf.DUMMYFUNCTION("""COMPUTED_VALUE"""),"03 K.Peerapong K.")</f>
        <v>03 K.Peerapong K.</v>
      </c>
      <c r="U2576" s="3" t="str">
        <f>IFERROR(__xludf.DUMMYFUNCTION("""COMPUTED_VALUE"""),"03 K.Peerapong K.")</f>
        <v>03 K.Peerapong K.</v>
      </c>
      <c r="V2576" s="3" t="str">
        <f>IFERROR(__xludf.DUMMYFUNCTION("""COMPUTED_VALUE"""),"N")</f>
        <v>N</v>
      </c>
      <c r="W2576" s="3"/>
      <c r="X2576" s="3" t="str">
        <f>IFERROR(__xludf.DUMMYFUNCTION("""COMPUTED_VALUE"""),"131 หมู่ที่ 7 ต.ขัวเรียง อ.ชุมแพ จ.ขอนแก่น")</f>
        <v>131 หมู่ที่ 7 ต.ขัวเรียง อ.ชุมแพ จ.ขอนแก่น</v>
      </c>
      <c r="Y2576" s="3"/>
      <c r="Z2576" s="3">
        <f>IFERROR(__xludf.DUMMYFUNCTION("""COMPUTED_VALUE"""),0.0)</f>
        <v>0</v>
      </c>
      <c r="AA2576" s="3">
        <f>IFERROR(__xludf.DUMMYFUNCTION("""COMPUTED_VALUE"""),0.0)</f>
        <v>0</v>
      </c>
      <c r="AB2576" s="3" t="str">
        <f>IFERROR(__xludf.DUMMYFUNCTION("""COMPUTED_VALUE"""),"ขอนแก่น")</f>
        <v>ขอนแก่น</v>
      </c>
      <c r="AC2576" s="3">
        <f>IFERROR(__xludf.DUMMYFUNCTION("""COMPUTED_VALUE"""),0.0)</f>
        <v>0</v>
      </c>
      <c r="AD2576" s="3"/>
      <c r="AE2576" s="3"/>
      <c r="AF2576" s="3" t="str">
        <f>IFERROR(__xludf.DUMMYFUNCTION("""COMPUTED_VALUE"""),"ร้านคุณรัตน์ อำเภอชุมแพ-83335")</f>
        <v>ร้านคุณรัตน์ อำเภอชุมแพ-83335</v>
      </c>
      <c r="AG2576" s="3" t="str">
        <f>IFERROR(__xludf.DUMMYFUNCTION("""COMPUTED_VALUE"""),"ตะวันออกเฉียงเหนือ")</f>
        <v>ตะวันออกเฉียงเหนือ</v>
      </c>
      <c r="AH2576" s="3" t="str">
        <f>IFERROR(__xludf.DUMMYFUNCTION("""COMPUTED_VALUE"""),"#N/A")</f>
        <v>#N/A</v>
      </c>
      <c r="AI2576" s="3" t="str">
        <f>IFERROR(__xludf.DUMMYFUNCTION("""COMPUTED_VALUE"""),"Out of warranty")</f>
        <v>Out of warranty</v>
      </c>
      <c r="AJ2576" s="3">
        <f>IFERROR(__xludf.DUMMYFUNCTION("""COMPUTED_VALUE"""),48.0)</f>
        <v>48</v>
      </c>
      <c r="AK2576" s="3"/>
      <c r="AL2576" s="3"/>
    </row>
    <row r="2577" ht="15.75" customHeight="1">
      <c r="A2577" s="1" t="str">
        <f>IFERROR(__xludf.DUMMYFUNCTION("""COMPUTED_VALUE"""),"83336")</f>
        <v>83336</v>
      </c>
      <c r="B2577" s="2">
        <f>IFERROR(__xludf.DUMMYFUNCTION("""COMPUTED_VALUE"""),83336.0)</f>
        <v>83336</v>
      </c>
      <c r="C2577" s="3" t="str">
        <f>IFERROR(__xludf.DUMMYFUNCTION("""COMPUTED_VALUE"""),"ร้านโชติมา")</f>
        <v>ร้านโชติมา</v>
      </c>
      <c r="D2577" s="3" t="str">
        <f>IFERROR(__xludf.DUMMYFUNCTION("""COMPUTED_VALUE"""),"ร้านโชติมา")</f>
        <v>ร้านโชติมา</v>
      </c>
      <c r="E2577" s="1" t="str">
        <f>IFERROR(__xludf.DUMMYFUNCTION("""COMPUTED_VALUE"""),"Donjai")</f>
        <v>Donjai</v>
      </c>
      <c r="F2577" s="1" t="str">
        <f>IFERROR(__xludf.DUMMYFUNCTION("""COMPUTED_VALUE"""),"296868")</f>
        <v>296868</v>
      </c>
      <c r="G2577" s="1" t="str">
        <f>IFERROR(__xludf.DUMMYFUNCTION("""COMPUTED_VALUE"""),"นายพีระพงษ์ แก้วดวงดี")</f>
        <v>นายพีระพงษ์ แก้วดวงดี</v>
      </c>
      <c r="H2577" s="1" t="str">
        <f>IFERROR(__xludf.DUMMYFUNCTION("""COMPUTED_VALUE"""),"296868")</f>
        <v>296868</v>
      </c>
      <c r="I2577" s="1" t="str">
        <f>IFERROR(__xludf.DUMMYFUNCTION("""COMPUTED_VALUE"""),"นายพีระพงษ์ แก้วดวงดี")</f>
        <v>นายพีระพงษ์ แก้วดวงดี</v>
      </c>
      <c r="J2577" s="3">
        <f>IFERROR(__xludf.DUMMYFUNCTION("""COMPUTED_VALUE"""),295886.0)</f>
        <v>295886</v>
      </c>
      <c r="K2577" s="3" t="str">
        <f>IFERROR(__xludf.DUMMYFUNCTION("""COMPUTED_VALUE"""),"นายจิระพงษ์ โพธิ์นิล")</f>
        <v>นายจิระพงษ์ โพธิ์นิล</v>
      </c>
      <c r="L2577" s="1" t="str">
        <f>IFERROR(__xludf.DUMMYFUNCTION("""COMPUTED_VALUE"""),"นายจิระพงษ์ โพธิ์นิล")</f>
        <v>นายจิระพงษ์ โพธิ์นิล</v>
      </c>
      <c r="M2577" s="1" t="str">
        <f>IFERROR(__xludf.DUMMYFUNCTION("""COMPUTED_VALUE"""),"0933290754")</f>
        <v>0933290754</v>
      </c>
      <c r="N2577" s="3">
        <f>IFERROR(__xludf.DUMMYFUNCTION("""COMPUTED_VALUE"""),83336.0)</f>
        <v>83336</v>
      </c>
      <c r="O2577" s="3" t="str">
        <f>IFERROR(__xludf.DUMMYFUNCTION("""COMPUTED_VALUE"""),"ร้านโชติมา")</f>
        <v>ร้านโชติมา</v>
      </c>
      <c r="P2577" s="4">
        <f>IFERROR(__xludf.DUMMYFUNCTION("""COMPUTED_VALUE"""),44597.0)</f>
        <v>44597</v>
      </c>
      <c r="Q2577" s="3" t="str">
        <f>IFERROR(__xludf.DUMMYFUNCTION("""COMPUTED_VALUE"""),"I")</f>
        <v>I</v>
      </c>
      <c r="R2577" s="3" t="str">
        <f>IFERROR(__xludf.DUMMYFUNCTION("""COMPUTED_VALUE"""),"Small Format")</f>
        <v>Small Format</v>
      </c>
      <c r="S2577" s="3" t="str">
        <f>IFERROR(__xludf.DUMMYFUNCTION("""COMPUTED_VALUE"""),"Donjai")</f>
        <v>Donjai</v>
      </c>
      <c r="T2577" s="3" t="str">
        <f>IFERROR(__xludf.DUMMYFUNCTION("""COMPUTED_VALUE"""),"03 K.Peerapong K.")</f>
        <v>03 K.Peerapong K.</v>
      </c>
      <c r="U2577" s="3" t="str">
        <f>IFERROR(__xludf.DUMMYFUNCTION("""COMPUTED_VALUE"""),"03 K.Peerapong K.")</f>
        <v>03 K.Peerapong K.</v>
      </c>
      <c r="V2577" s="3" t="str">
        <f>IFERROR(__xludf.DUMMYFUNCTION("""COMPUTED_VALUE"""),"N")</f>
        <v>N</v>
      </c>
      <c r="W2577" s="3"/>
      <c r="X2577" s="3" t="str">
        <f>IFERROR(__xludf.DUMMYFUNCTION("""COMPUTED_VALUE"""),"47 หมู่.6 บ้านสวนกล้วย ต.บ้านเรือ อ.ภูเวียง จ.ขอนแก่น 40150")</f>
        <v>47 หมู่.6 บ้านสวนกล้วย ต.บ้านเรือ อ.ภูเวียง จ.ขอนแก่น 40150</v>
      </c>
      <c r="Y2577" s="3"/>
      <c r="Z2577" s="3">
        <f>IFERROR(__xludf.DUMMYFUNCTION("""COMPUTED_VALUE"""),0.0)</f>
        <v>0</v>
      </c>
      <c r="AA2577" s="3">
        <f>IFERROR(__xludf.DUMMYFUNCTION("""COMPUTED_VALUE"""),0.0)</f>
        <v>0</v>
      </c>
      <c r="AB2577" s="3" t="str">
        <f>IFERROR(__xludf.DUMMYFUNCTION("""COMPUTED_VALUE"""),"ขอนแก่น")</f>
        <v>ขอนแก่น</v>
      </c>
      <c r="AC2577" s="3">
        <f>IFERROR(__xludf.DUMMYFUNCTION("""COMPUTED_VALUE"""),40150.0)</f>
        <v>40150</v>
      </c>
      <c r="AD2577" s="3"/>
      <c r="AE2577" s="3"/>
      <c r="AF2577" s="3" t="str">
        <f>IFERROR(__xludf.DUMMYFUNCTION("""COMPUTED_VALUE"""),"ร้านโชติมา-83336")</f>
        <v>ร้านโชติมา-83336</v>
      </c>
      <c r="AG2577" s="3" t="str">
        <f>IFERROR(__xludf.DUMMYFUNCTION("""COMPUTED_VALUE"""),"ตะวันออกเฉียงเหนือ")</f>
        <v>ตะวันออกเฉียงเหนือ</v>
      </c>
      <c r="AH2577" s="3" t="str">
        <f>IFERROR(__xludf.DUMMYFUNCTION("""COMPUTED_VALUE"""),"#N/A")</f>
        <v>#N/A</v>
      </c>
      <c r="AI2577" s="3" t="str">
        <f>IFERROR(__xludf.DUMMYFUNCTION("""COMPUTED_VALUE"""),"Out of warranty")</f>
        <v>Out of warranty</v>
      </c>
      <c r="AJ2577" s="3">
        <f>IFERROR(__xludf.DUMMYFUNCTION("""COMPUTED_VALUE"""),48.0)</f>
        <v>48</v>
      </c>
      <c r="AK2577" s="3"/>
      <c r="AL2577" s="3"/>
    </row>
    <row r="2578" ht="15.75" customHeight="1">
      <c r="A2578" s="1" t="str">
        <f>IFERROR(__xludf.DUMMYFUNCTION("""COMPUTED_VALUE"""),"83337")</f>
        <v>83337</v>
      </c>
      <c r="B2578" s="2">
        <f>IFERROR(__xludf.DUMMYFUNCTION("""COMPUTED_VALUE"""),83337.0)</f>
        <v>83337</v>
      </c>
      <c r="C2578" s="3" t="str">
        <f>IFERROR(__xludf.DUMMYFUNCTION("""COMPUTED_VALUE"""),"ร้านนาทองพาณิชย์")</f>
        <v>ร้านนาทองพาณิชย์</v>
      </c>
      <c r="D2578" s="3" t="str">
        <f>IFERROR(__xludf.DUMMYFUNCTION("""COMPUTED_VALUE"""),"ร้านนาทองพาณิชย์")</f>
        <v>ร้านนาทองพาณิชย์</v>
      </c>
      <c r="E2578" s="1" t="str">
        <f>IFERROR(__xludf.DUMMYFUNCTION("""COMPUTED_VALUE"""),"Donjai")</f>
        <v>Donjai</v>
      </c>
      <c r="F2578" s="1" t="str">
        <f>IFERROR(__xludf.DUMMYFUNCTION("""COMPUTED_VALUE"""),"296868")</f>
        <v>296868</v>
      </c>
      <c r="G2578" s="1" t="str">
        <f>IFERROR(__xludf.DUMMYFUNCTION("""COMPUTED_VALUE"""),"นายพีระพงษ์ แก้วดวงดี")</f>
        <v>นายพีระพงษ์ แก้วดวงดี</v>
      </c>
      <c r="H2578" s="1" t="str">
        <f>IFERROR(__xludf.DUMMYFUNCTION("""COMPUTED_VALUE"""),"296868")</f>
        <v>296868</v>
      </c>
      <c r="I2578" s="1" t="str">
        <f>IFERROR(__xludf.DUMMYFUNCTION("""COMPUTED_VALUE"""),"นายพีระพงษ์ แก้วดวงดี")</f>
        <v>นายพีระพงษ์ แก้วดวงดี</v>
      </c>
      <c r="J2578" s="3">
        <f>IFERROR(__xludf.DUMMYFUNCTION("""COMPUTED_VALUE"""),295886.0)</f>
        <v>295886</v>
      </c>
      <c r="K2578" s="3" t="str">
        <f>IFERROR(__xludf.DUMMYFUNCTION("""COMPUTED_VALUE"""),"นายจิระพงษ์ โพธิ์นิล")</f>
        <v>นายจิระพงษ์ โพธิ์นิล</v>
      </c>
      <c r="L2578" s="1" t="str">
        <f>IFERROR(__xludf.DUMMYFUNCTION("""COMPUTED_VALUE"""),"นายจิระพงษ์ โพธิ์นิล")</f>
        <v>นายจิระพงษ์ โพธิ์นิล</v>
      </c>
      <c r="M2578" s="1" t="str">
        <f>IFERROR(__xludf.DUMMYFUNCTION("""COMPUTED_VALUE"""),"0933290754")</f>
        <v>0933290754</v>
      </c>
      <c r="N2578" s="3">
        <f>IFERROR(__xludf.DUMMYFUNCTION("""COMPUTED_VALUE"""),83337.0)</f>
        <v>83337</v>
      </c>
      <c r="O2578" s="3" t="str">
        <f>IFERROR(__xludf.DUMMYFUNCTION("""COMPUTED_VALUE"""),"ร้านนาทองพาณิชย์")</f>
        <v>ร้านนาทองพาณิชย์</v>
      </c>
      <c r="P2578" s="4">
        <f>IFERROR(__xludf.DUMMYFUNCTION("""COMPUTED_VALUE"""),44598.0)</f>
        <v>44598</v>
      </c>
      <c r="Q2578" s="3" t="str">
        <f>IFERROR(__xludf.DUMMYFUNCTION("""COMPUTED_VALUE"""),"I")</f>
        <v>I</v>
      </c>
      <c r="R2578" s="3" t="str">
        <f>IFERROR(__xludf.DUMMYFUNCTION("""COMPUTED_VALUE"""),"Small Format")</f>
        <v>Small Format</v>
      </c>
      <c r="S2578" s="3" t="str">
        <f>IFERROR(__xludf.DUMMYFUNCTION("""COMPUTED_VALUE"""),"Donjai")</f>
        <v>Donjai</v>
      </c>
      <c r="T2578" s="3" t="str">
        <f>IFERROR(__xludf.DUMMYFUNCTION("""COMPUTED_VALUE"""),"03 K.Peerapong K.")</f>
        <v>03 K.Peerapong K.</v>
      </c>
      <c r="U2578" s="3" t="str">
        <f>IFERROR(__xludf.DUMMYFUNCTION("""COMPUTED_VALUE"""),"03 K.Peerapong K.")</f>
        <v>03 K.Peerapong K.</v>
      </c>
      <c r="V2578" s="3" t="str">
        <f>IFERROR(__xludf.DUMMYFUNCTION("""COMPUTED_VALUE"""),"N")</f>
        <v>N</v>
      </c>
      <c r="W2578" s="3"/>
      <c r="X2578" s="3" t="str">
        <f>IFERROR(__xludf.DUMMYFUNCTION("""COMPUTED_VALUE"""),"212 หมู่ 6 ต.หนองหัวช้าง อ.พรเจริญ จ.บึงกาฬ 38180")</f>
        <v>212 หมู่ 6 ต.หนองหัวช้าง อ.พรเจริญ จ.บึงกาฬ 38180</v>
      </c>
      <c r="Y2578" s="3"/>
      <c r="Z2578" s="3">
        <f>IFERROR(__xludf.DUMMYFUNCTION("""COMPUTED_VALUE"""),0.0)</f>
        <v>0</v>
      </c>
      <c r="AA2578" s="3">
        <f>IFERROR(__xludf.DUMMYFUNCTION("""COMPUTED_VALUE"""),0.0)</f>
        <v>0</v>
      </c>
      <c r="AB2578" s="3" t="str">
        <f>IFERROR(__xludf.DUMMYFUNCTION("""COMPUTED_VALUE"""),"บึงกาฬ")</f>
        <v>บึงกาฬ</v>
      </c>
      <c r="AC2578" s="3">
        <f>IFERROR(__xludf.DUMMYFUNCTION("""COMPUTED_VALUE"""),38180.0)</f>
        <v>38180</v>
      </c>
      <c r="AD2578" s="3"/>
      <c r="AE2578" s="3"/>
      <c r="AF2578" s="3" t="str">
        <f>IFERROR(__xludf.DUMMYFUNCTION("""COMPUTED_VALUE"""),"ร้านนาทองพาณิชย์-83337")</f>
        <v>ร้านนาทองพาณิชย์-83337</v>
      </c>
      <c r="AG2578" s="3" t="str">
        <f>IFERROR(__xludf.DUMMYFUNCTION("""COMPUTED_VALUE"""),"ตะวันออกเฉียงเหนือ")</f>
        <v>ตะวันออกเฉียงเหนือ</v>
      </c>
      <c r="AH2578" s="3" t="str">
        <f>IFERROR(__xludf.DUMMYFUNCTION("""COMPUTED_VALUE"""),"#N/A")</f>
        <v>#N/A</v>
      </c>
      <c r="AI2578" s="3" t="str">
        <f>IFERROR(__xludf.DUMMYFUNCTION("""COMPUTED_VALUE"""),"Out of warranty")</f>
        <v>Out of warranty</v>
      </c>
      <c r="AJ2578" s="3">
        <f>IFERROR(__xludf.DUMMYFUNCTION("""COMPUTED_VALUE"""),48.0)</f>
        <v>48</v>
      </c>
      <c r="AK2578" s="3"/>
      <c r="AL2578" s="3"/>
    </row>
    <row r="2579" ht="15.75" customHeight="1">
      <c r="A2579" s="1" t="str">
        <f>IFERROR(__xludf.DUMMYFUNCTION("""COMPUTED_VALUE"""),"83338")</f>
        <v>83338</v>
      </c>
      <c r="B2579" s="2">
        <f>IFERROR(__xludf.DUMMYFUNCTION("""COMPUTED_VALUE"""),83338.0)</f>
        <v>83338</v>
      </c>
      <c r="C2579" s="3" t="str">
        <f>IFERROR(__xludf.DUMMYFUNCTION("""COMPUTED_VALUE"""),"ร้าน จูนเจมินิมาร์ท")</f>
        <v>ร้าน จูนเจมินิมาร์ท</v>
      </c>
      <c r="D2579" s="3" t="str">
        <f>IFERROR(__xludf.DUMMYFUNCTION("""COMPUTED_VALUE"""),"ร้าน จูนเจมินิมาร์ท")</f>
        <v>ร้าน จูนเจมินิมาร์ท</v>
      </c>
      <c r="E2579" s="1" t="str">
        <f>IFERROR(__xludf.DUMMYFUNCTION("""COMPUTED_VALUE"""),"Donjai")</f>
        <v>Donjai</v>
      </c>
      <c r="F2579" s="1" t="str">
        <f>IFERROR(__xludf.DUMMYFUNCTION("""COMPUTED_VALUE"""),"296868")</f>
        <v>296868</v>
      </c>
      <c r="G2579" s="1" t="str">
        <f>IFERROR(__xludf.DUMMYFUNCTION("""COMPUTED_VALUE"""),"นายพีระพงษ์ แก้วดวงดี")</f>
        <v>นายพีระพงษ์ แก้วดวงดี</v>
      </c>
      <c r="H2579" s="1" t="str">
        <f>IFERROR(__xludf.DUMMYFUNCTION("""COMPUTED_VALUE"""),"296868")</f>
        <v>296868</v>
      </c>
      <c r="I2579" s="1" t="str">
        <f>IFERROR(__xludf.DUMMYFUNCTION("""COMPUTED_VALUE"""),"นายพีระพงษ์ แก้วดวงดี")</f>
        <v>นายพีระพงษ์ แก้วดวงดี</v>
      </c>
      <c r="J2579" s="3">
        <f>IFERROR(__xludf.DUMMYFUNCTION("""COMPUTED_VALUE"""),295886.0)</f>
        <v>295886</v>
      </c>
      <c r="K2579" s="3" t="str">
        <f>IFERROR(__xludf.DUMMYFUNCTION("""COMPUTED_VALUE"""),"นายจิระพงษ์ โพธิ์นิล")</f>
        <v>นายจิระพงษ์ โพธิ์นิล</v>
      </c>
      <c r="L2579" s="1" t="str">
        <f>IFERROR(__xludf.DUMMYFUNCTION("""COMPUTED_VALUE"""),"นายจิระพงษ์ โพธิ์นิล")</f>
        <v>นายจิระพงษ์ โพธิ์นิล</v>
      </c>
      <c r="M2579" s="1" t="str">
        <f>IFERROR(__xludf.DUMMYFUNCTION("""COMPUTED_VALUE"""),"0933290754")</f>
        <v>0933290754</v>
      </c>
      <c r="N2579" s="3">
        <f>IFERROR(__xludf.DUMMYFUNCTION("""COMPUTED_VALUE"""),83338.0)</f>
        <v>83338</v>
      </c>
      <c r="O2579" s="3" t="str">
        <f>IFERROR(__xludf.DUMMYFUNCTION("""COMPUTED_VALUE"""),"ร้าน จูนเจมินิมาร์ท")</f>
        <v>ร้าน จูนเจมินิมาร์ท</v>
      </c>
      <c r="P2579" s="4">
        <f>IFERROR(__xludf.DUMMYFUNCTION("""COMPUTED_VALUE"""),44597.0)</f>
        <v>44597</v>
      </c>
      <c r="Q2579" s="3" t="str">
        <f>IFERROR(__xludf.DUMMYFUNCTION("""COMPUTED_VALUE"""),"I")</f>
        <v>I</v>
      </c>
      <c r="R2579" s="3" t="str">
        <f>IFERROR(__xludf.DUMMYFUNCTION("""COMPUTED_VALUE"""),"Small Format")</f>
        <v>Small Format</v>
      </c>
      <c r="S2579" s="3" t="str">
        <f>IFERROR(__xludf.DUMMYFUNCTION("""COMPUTED_VALUE"""),"Donjai")</f>
        <v>Donjai</v>
      </c>
      <c r="T2579" s="3" t="str">
        <f>IFERROR(__xludf.DUMMYFUNCTION("""COMPUTED_VALUE"""),"03 K.Peerapong K.")</f>
        <v>03 K.Peerapong K.</v>
      </c>
      <c r="U2579" s="3" t="str">
        <f>IFERROR(__xludf.DUMMYFUNCTION("""COMPUTED_VALUE"""),"03 K.Peerapong K.")</f>
        <v>03 K.Peerapong K.</v>
      </c>
      <c r="V2579" s="3" t="str">
        <f>IFERROR(__xludf.DUMMYFUNCTION("""COMPUTED_VALUE"""),"N")</f>
        <v>N</v>
      </c>
      <c r="W2579" s="3"/>
      <c r="X2579" s="3" t="str">
        <f>IFERROR(__xludf.DUMMYFUNCTION("""COMPUTED_VALUE"""),"234 หมู่ 16 ต.ศิลา อ.เมือง จ.ขอนแก่น 40000")</f>
        <v>234 หมู่ 16 ต.ศิลา อ.เมือง จ.ขอนแก่น 40000</v>
      </c>
      <c r="Y2579" s="3"/>
      <c r="Z2579" s="3">
        <f>IFERROR(__xludf.DUMMYFUNCTION("""COMPUTED_VALUE"""),0.0)</f>
        <v>0</v>
      </c>
      <c r="AA2579" s="3">
        <f>IFERROR(__xludf.DUMMYFUNCTION("""COMPUTED_VALUE"""),0.0)</f>
        <v>0</v>
      </c>
      <c r="AB2579" s="3" t="str">
        <f>IFERROR(__xludf.DUMMYFUNCTION("""COMPUTED_VALUE"""),"ขอนแก่น")</f>
        <v>ขอนแก่น</v>
      </c>
      <c r="AC2579" s="3">
        <f>IFERROR(__xludf.DUMMYFUNCTION("""COMPUTED_VALUE"""),40000.0)</f>
        <v>40000</v>
      </c>
      <c r="AD2579" s="3"/>
      <c r="AE2579" s="3"/>
      <c r="AF2579" s="3" t="str">
        <f>IFERROR(__xludf.DUMMYFUNCTION("""COMPUTED_VALUE"""),"ร้าน จูนเจมินิมาร์ท-83338")</f>
        <v>ร้าน จูนเจมินิมาร์ท-83338</v>
      </c>
      <c r="AG2579" s="3" t="str">
        <f>IFERROR(__xludf.DUMMYFUNCTION("""COMPUTED_VALUE"""),"ตะวันออกเฉียงเหนือ")</f>
        <v>ตะวันออกเฉียงเหนือ</v>
      </c>
      <c r="AH2579" s="3" t="str">
        <f>IFERROR(__xludf.DUMMYFUNCTION("""COMPUTED_VALUE"""),"#N/A")</f>
        <v>#N/A</v>
      </c>
      <c r="AI2579" s="3" t="str">
        <f>IFERROR(__xludf.DUMMYFUNCTION("""COMPUTED_VALUE"""),"Out of warranty")</f>
        <v>Out of warranty</v>
      </c>
      <c r="AJ2579" s="3">
        <f>IFERROR(__xludf.DUMMYFUNCTION("""COMPUTED_VALUE"""),48.0)</f>
        <v>48</v>
      </c>
      <c r="AK2579" s="3"/>
      <c r="AL2579" s="3"/>
    </row>
    <row r="2580" ht="15.75" customHeight="1">
      <c r="A2580" s="1" t="str">
        <f>IFERROR(__xludf.DUMMYFUNCTION("""COMPUTED_VALUE"""),"83339")</f>
        <v>83339</v>
      </c>
      <c r="B2580" s="2">
        <f>IFERROR(__xludf.DUMMYFUNCTION("""COMPUTED_VALUE"""),83339.0)</f>
        <v>83339</v>
      </c>
      <c r="C2580" s="3" t="str">
        <f>IFERROR(__xludf.DUMMYFUNCTION("""COMPUTED_VALUE"""),"ร้านค้าอนัญญา")</f>
        <v>ร้านค้าอนัญญา</v>
      </c>
      <c r="D2580" s="3" t="str">
        <f>IFERROR(__xludf.DUMMYFUNCTION("""COMPUTED_VALUE"""),"ร้านค้าอนัญญา")</f>
        <v>ร้านค้าอนัญญา</v>
      </c>
      <c r="E2580" s="1" t="str">
        <f>IFERROR(__xludf.DUMMYFUNCTION("""COMPUTED_VALUE"""),"Donjai")</f>
        <v>Donjai</v>
      </c>
      <c r="F2580" s="1" t="str">
        <f>IFERROR(__xludf.DUMMYFUNCTION("""COMPUTED_VALUE"""),"295886")</f>
        <v>295886</v>
      </c>
      <c r="G2580" s="1" t="str">
        <f>IFERROR(__xludf.DUMMYFUNCTION("""COMPUTED_VALUE"""),"นายจิระพงษ์ โพธิ์นิล")</f>
        <v>นายจิระพงษ์ โพธิ์นิล</v>
      </c>
      <c r="H2580" s="1" t="str">
        <f>IFERROR(__xludf.DUMMYFUNCTION("""COMPUTED_VALUE"""),"295886")</f>
        <v>295886</v>
      </c>
      <c r="I2580" s="1" t="str">
        <f>IFERROR(__xludf.DUMMYFUNCTION("""COMPUTED_VALUE"""),"นายจิระพงษ์ โพธิ์นิล")</f>
        <v>นายจิระพงษ์ โพธิ์นิล</v>
      </c>
      <c r="J2580" s="3">
        <f>IFERROR(__xludf.DUMMYFUNCTION("""COMPUTED_VALUE"""),295886.0)</f>
        <v>295886</v>
      </c>
      <c r="K2580" s="3" t="str">
        <f>IFERROR(__xludf.DUMMYFUNCTION("""COMPUTED_VALUE"""),"นายจิระพงษ์ โพธิ์นิล")</f>
        <v>นายจิระพงษ์ โพธิ์นิล</v>
      </c>
      <c r="L2580" s="1" t="str">
        <f>IFERROR(__xludf.DUMMYFUNCTION("""COMPUTED_VALUE"""),"นายจิระพงษ์ โพธิ์นิล")</f>
        <v>นายจิระพงษ์ โพธิ์นิล</v>
      </c>
      <c r="M2580" s="1" t="str">
        <f>IFERROR(__xludf.DUMMYFUNCTION("""COMPUTED_VALUE"""),"0933290754")</f>
        <v>0933290754</v>
      </c>
      <c r="N2580" s="3">
        <f>IFERROR(__xludf.DUMMYFUNCTION("""COMPUTED_VALUE"""),83339.0)</f>
        <v>83339</v>
      </c>
      <c r="O2580" s="3" t="str">
        <f>IFERROR(__xludf.DUMMYFUNCTION("""COMPUTED_VALUE"""),"ร้านค้าอนัญญา")</f>
        <v>ร้านค้าอนัญญา</v>
      </c>
      <c r="P2580" s="4">
        <f>IFERROR(__xludf.DUMMYFUNCTION("""COMPUTED_VALUE"""),44633.0)</f>
        <v>44633</v>
      </c>
      <c r="Q2580" s="3" t="str">
        <f>IFERROR(__xludf.DUMMYFUNCTION("""COMPUTED_VALUE"""),"I")</f>
        <v>I</v>
      </c>
      <c r="R2580" s="3" t="str">
        <f>IFERROR(__xludf.DUMMYFUNCTION("""COMPUTED_VALUE"""),"Small Format")</f>
        <v>Small Format</v>
      </c>
      <c r="S2580" s="3" t="str">
        <f>IFERROR(__xludf.DUMMYFUNCTION("""COMPUTED_VALUE"""),"Donjai")</f>
        <v>Donjai</v>
      </c>
      <c r="T2580" s="3" t="str">
        <f>IFERROR(__xludf.DUMMYFUNCTION("""COMPUTED_VALUE"""),"นายจิระพงษ์ โพธิ์นิล")</f>
        <v>นายจิระพงษ์ โพธิ์นิล</v>
      </c>
      <c r="U2580" s="3" t="str">
        <f>IFERROR(__xludf.DUMMYFUNCTION("""COMPUTED_VALUE"""),"นายจิระพงษ์ โพธิ์นิล")</f>
        <v>นายจิระพงษ์ โพธิ์นิล</v>
      </c>
      <c r="V2580" s="3" t="str">
        <f>IFERROR(__xludf.DUMMYFUNCTION("""COMPUTED_VALUE"""),"N")</f>
        <v>N</v>
      </c>
      <c r="W2580" s="3"/>
      <c r="X2580" s="3" t="str">
        <f>IFERROR(__xludf.DUMMYFUNCTION("""COMPUTED_VALUE"""),"56 ม.2 ต.โนนศิลา อ.โนนศิลา จ.ขอนแก่น")</f>
        <v>56 ม.2 ต.โนนศิลา อ.โนนศิลา จ.ขอนแก่น</v>
      </c>
      <c r="Y2580" s="3"/>
      <c r="Z2580" s="3">
        <f>IFERROR(__xludf.DUMMYFUNCTION("""COMPUTED_VALUE"""),0.0)</f>
        <v>0</v>
      </c>
      <c r="AA2580" s="3">
        <f>IFERROR(__xludf.DUMMYFUNCTION("""COMPUTED_VALUE"""),0.0)</f>
        <v>0</v>
      </c>
      <c r="AB2580" s="3" t="str">
        <f>IFERROR(__xludf.DUMMYFUNCTION("""COMPUTED_VALUE"""),"ขอนแก่น")</f>
        <v>ขอนแก่น</v>
      </c>
      <c r="AC2580" s="3">
        <f>IFERROR(__xludf.DUMMYFUNCTION("""COMPUTED_VALUE"""),0.0)</f>
        <v>0</v>
      </c>
      <c r="AD2580" s="3"/>
      <c r="AE2580" s="3"/>
      <c r="AF2580" s="3" t="str">
        <f>IFERROR(__xludf.DUMMYFUNCTION("""COMPUTED_VALUE"""),"ร้านค้าอนัญญา-83339")</f>
        <v>ร้านค้าอนัญญา-83339</v>
      </c>
      <c r="AG2580" s="3" t="str">
        <f>IFERROR(__xludf.DUMMYFUNCTION("""COMPUTED_VALUE"""),"ตะวันออกเฉียงเหนือ")</f>
        <v>ตะวันออกเฉียงเหนือ</v>
      </c>
      <c r="AH2580" s="3" t="str">
        <f>IFERROR(__xludf.DUMMYFUNCTION("""COMPUTED_VALUE"""),"#N/A")</f>
        <v>#N/A</v>
      </c>
      <c r="AI2580" s="3" t="str">
        <f>IFERROR(__xludf.DUMMYFUNCTION("""COMPUTED_VALUE"""),"Out of warranty")</f>
        <v>Out of warranty</v>
      </c>
      <c r="AJ2580" s="3">
        <f>IFERROR(__xludf.DUMMYFUNCTION("""COMPUTED_VALUE"""),47.0)</f>
        <v>47</v>
      </c>
      <c r="AK2580" s="3"/>
      <c r="AL2580" s="3"/>
    </row>
    <row r="2581" ht="15.75" customHeight="1">
      <c r="A2581" s="1" t="str">
        <f>IFERROR(__xludf.DUMMYFUNCTION("""COMPUTED_VALUE"""),"83340")</f>
        <v>83340</v>
      </c>
      <c r="B2581" s="2">
        <f>IFERROR(__xludf.DUMMYFUNCTION("""COMPUTED_VALUE"""),83340.0)</f>
        <v>83340</v>
      </c>
      <c r="C2581" s="3" t="str">
        <f>IFERROR(__xludf.DUMMYFUNCTION("""COMPUTED_VALUE"""),"ร้านทอมมี่มินิมาร์ท")</f>
        <v>ร้านทอมมี่มินิมาร์ท</v>
      </c>
      <c r="D2581" s="3" t="str">
        <f>IFERROR(__xludf.DUMMYFUNCTION("""COMPUTED_VALUE"""),"ร้านทอมมี่มินิมาร์ท")</f>
        <v>ร้านทอมมี่มินิมาร์ท</v>
      </c>
      <c r="E2581" s="1" t="str">
        <f>IFERROR(__xludf.DUMMYFUNCTION("""COMPUTED_VALUE"""),"Donjai")</f>
        <v>Donjai</v>
      </c>
      <c r="F2581" s="1" t="str">
        <f>IFERROR(__xludf.DUMMYFUNCTION("""COMPUTED_VALUE"""),"025324")</f>
        <v>025324</v>
      </c>
      <c r="G2581" s="1" t="str">
        <f>IFERROR(__xludf.DUMMYFUNCTION("""COMPUTED_VALUE"""),"นายวิเชฎฐ์ ติรัตนะประคม")</f>
        <v>นายวิเชฎฐ์ ติรัตนะประคม</v>
      </c>
      <c r="H2581" s="1" t="str">
        <f>IFERROR(__xludf.DUMMYFUNCTION("""COMPUTED_VALUE"""),"025324")</f>
        <v>025324</v>
      </c>
      <c r="I2581" s="1" t="str">
        <f>IFERROR(__xludf.DUMMYFUNCTION("""COMPUTED_VALUE"""),"นายวิเชฎฐ์ ติรัตนะประคม")</f>
        <v>นายวิเชฎฐ์ ติรัตนะประคม</v>
      </c>
      <c r="J2581" s="3">
        <f>IFERROR(__xludf.DUMMYFUNCTION("""COMPUTED_VALUE"""),295541.0)</f>
        <v>295541</v>
      </c>
      <c r="K2581" s="3" t="str">
        <f>IFERROR(__xludf.DUMMYFUNCTION("""COMPUTED_VALUE"""),"นายรพิพล ศรีมาตย์")</f>
        <v>นายรพิพล ศรีมาตย์</v>
      </c>
      <c r="L2581" s="1" t="str">
        <f>IFERROR(__xludf.DUMMYFUNCTION("""COMPUTED_VALUE"""),"นายรพิพล ศรีมาตย์")</f>
        <v>นายรพิพล ศรีมาตย์</v>
      </c>
      <c r="M2581" s="1" t="str">
        <f>IFERROR(__xludf.DUMMYFUNCTION("""COMPUTED_VALUE"""),"0613966115")</f>
        <v>0613966115</v>
      </c>
      <c r="N2581" s="3">
        <f>IFERROR(__xludf.DUMMYFUNCTION("""COMPUTED_VALUE"""),83340.0)</f>
        <v>83340</v>
      </c>
      <c r="O2581" s="3" t="str">
        <f>IFERROR(__xludf.DUMMYFUNCTION("""COMPUTED_VALUE"""),"ร้านทอมมี่มินิมาร์ท")</f>
        <v>ร้านทอมมี่มินิมาร์ท</v>
      </c>
      <c r="P2581" s="4">
        <f>IFERROR(__xludf.DUMMYFUNCTION("""COMPUTED_VALUE"""),44885.0)</f>
        <v>44885</v>
      </c>
      <c r="Q2581" s="3" t="str">
        <f>IFERROR(__xludf.DUMMYFUNCTION("""COMPUTED_VALUE"""),"I")</f>
        <v>I</v>
      </c>
      <c r="R2581" s="3" t="str">
        <f>IFERROR(__xludf.DUMMYFUNCTION("""COMPUTED_VALUE"""),"Small Format")</f>
        <v>Small Format</v>
      </c>
      <c r="S2581" s="3" t="str">
        <f>IFERROR(__xludf.DUMMYFUNCTION("""COMPUTED_VALUE"""),"Donjai")</f>
        <v>Donjai</v>
      </c>
      <c r="T2581" s="3" t="str">
        <f>IFERROR(__xludf.DUMMYFUNCTION("""COMPUTED_VALUE"""),"14 K.Wichet T.")</f>
        <v>14 K.Wichet T.</v>
      </c>
      <c r="U2581" s="3" t="str">
        <f>IFERROR(__xludf.DUMMYFUNCTION("""COMPUTED_VALUE"""),"14 K.Wichet T.")</f>
        <v>14 K.Wichet T.</v>
      </c>
      <c r="V2581" s="3" t="str">
        <f>IFERROR(__xludf.DUMMYFUNCTION("""COMPUTED_VALUE"""),"N")</f>
        <v>N</v>
      </c>
      <c r="W2581" s="3"/>
      <c r="X2581" s="3" t="str">
        <f>IFERROR(__xludf.DUMMYFUNCTION("""COMPUTED_VALUE"""),"90/13 หมู่ 6 ต.บ้านใต้ อ.เกาะพะงัน จ.สุราษฏร์ธานี")</f>
        <v>90/13 หมู่ 6 ต.บ้านใต้ อ.เกาะพะงัน จ.สุราษฏร์ธานี</v>
      </c>
      <c r="Y2581" s="3"/>
      <c r="Z2581" s="3">
        <f>IFERROR(__xludf.DUMMYFUNCTION("""COMPUTED_VALUE"""),0.0)</f>
        <v>0</v>
      </c>
      <c r="AA2581" s="3">
        <f>IFERROR(__xludf.DUMMYFUNCTION("""COMPUTED_VALUE"""),0.0)</f>
        <v>0</v>
      </c>
      <c r="AB2581" s="3" t="str">
        <f>IFERROR(__xludf.DUMMYFUNCTION("""COMPUTED_VALUE"""),"สุราษฎร์ธานี")</f>
        <v>สุราษฎร์ธานี</v>
      </c>
      <c r="AC2581" s="3">
        <f>IFERROR(__xludf.DUMMYFUNCTION("""COMPUTED_VALUE"""),0.0)</f>
        <v>0</v>
      </c>
      <c r="AD2581" s="3"/>
      <c r="AE2581" s="3"/>
      <c r="AF2581" s="3" t="str">
        <f>IFERROR(__xludf.DUMMYFUNCTION("""COMPUTED_VALUE"""),"ร้านทอมมี่มินิมาร์ท-83340")</f>
        <v>ร้านทอมมี่มินิมาร์ท-83340</v>
      </c>
      <c r="AG2581" s="3" t="str">
        <f>IFERROR(__xludf.DUMMYFUNCTION("""COMPUTED_VALUE"""),"ใต้")</f>
        <v>ใต้</v>
      </c>
      <c r="AH2581" s="3" t="str">
        <f>IFERROR(__xludf.DUMMYFUNCTION("""COMPUTED_VALUE"""),"#N/A")</f>
        <v>#N/A</v>
      </c>
      <c r="AI2581" s="3" t="str">
        <f>IFERROR(__xludf.DUMMYFUNCTION("""COMPUTED_VALUE"""),"Out of warranty")</f>
        <v>Out of warranty</v>
      </c>
      <c r="AJ2581" s="3">
        <f>IFERROR(__xludf.DUMMYFUNCTION("""COMPUTED_VALUE"""),39.0)</f>
        <v>39</v>
      </c>
      <c r="AK2581" s="3"/>
      <c r="AL2581" s="3"/>
    </row>
    <row r="2582" ht="15.75" customHeight="1">
      <c r="A2582" s="1" t="str">
        <f>IFERROR(__xludf.DUMMYFUNCTION("""COMPUTED_VALUE"""),"83341")</f>
        <v>83341</v>
      </c>
      <c r="B2582" s="2">
        <f>IFERROR(__xludf.DUMMYFUNCTION("""COMPUTED_VALUE"""),83341.0)</f>
        <v>83341</v>
      </c>
      <c r="C2582" s="3" t="str">
        <f>IFERROR(__xludf.DUMMYFUNCTION("""COMPUTED_VALUE"""),"ร้านน้องณิชามินิมาร์ท")</f>
        <v>ร้านน้องณิชามินิมาร์ท</v>
      </c>
      <c r="D2582" s="3" t="str">
        <f>IFERROR(__xludf.DUMMYFUNCTION("""COMPUTED_VALUE"""),"ร้านน้องณิชามินิมาร์ท")</f>
        <v>ร้านน้องณิชามินิมาร์ท</v>
      </c>
      <c r="E2582" s="1" t="str">
        <f>IFERROR(__xludf.DUMMYFUNCTION("""COMPUTED_VALUE"""),"Donjai")</f>
        <v>Donjai</v>
      </c>
      <c r="F2582" s="1" t="str">
        <f>IFERROR(__xludf.DUMMYFUNCTION("""COMPUTED_VALUE"""),"296868")</f>
        <v>296868</v>
      </c>
      <c r="G2582" s="1" t="str">
        <f>IFERROR(__xludf.DUMMYFUNCTION("""COMPUTED_VALUE"""),"นายพีระพงษ์ แก้วดวงดี")</f>
        <v>นายพีระพงษ์ แก้วดวงดี</v>
      </c>
      <c r="H2582" s="1" t="str">
        <f>IFERROR(__xludf.DUMMYFUNCTION("""COMPUTED_VALUE"""),"296868")</f>
        <v>296868</v>
      </c>
      <c r="I2582" s="1" t="str">
        <f>IFERROR(__xludf.DUMMYFUNCTION("""COMPUTED_VALUE"""),"นายพีระพงษ์ แก้วดวงดี")</f>
        <v>นายพีระพงษ์ แก้วดวงดี</v>
      </c>
      <c r="J2582" s="3">
        <f>IFERROR(__xludf.DUMMYFUNCTION("""COMPUTED_VALUE"""),295886.0)</f>
        <v>295886</v>
      </c>
      <c r="K2582" s="3" t="str">
        <f>IFERROR(__xludf.DUMMYFUNCTION("""COMPUTED_VALUE"""),"นายจิระพงษ์ โพธิ์นิล")</f>
        <v>นายจิระพงษ์ โพธิ์นิล</v>
      </c>
      <c r="L2582" s="1" t="str">
        <f>IFERROR(__xludf.DUMMYFUNCTION("""COMPUTED_VALUE"""),"นายจิระพงษ์ โพธิ์นิล")</f>
        <v>นายจิระพงษ์ โพธิ์นิล</v>
      </c>
      <c r="M2582" s="1" t="str">
        <f>IFERROR(__xludf.DUMMYFUNCTION("""COMPUTED_VALUE"""),"0933290754")</f>
        <v>0933290754</v>
      </c>
      <c r="N2582" s="3">
        <f>IFERROR(__xludf.DUMMYFUNCTION("""COMPUTED_VALUE"""),83341.0)</f>
        <v>83341</v>
      </c>
      <c r="O2582" s="3" t="str">
        <f>IFERROR(__xludf.DUMMYFUNCTION("""COMPUTED_VALUE"""),"ร้านน้องณิชามินิมาร์ท")</f>
        <v>ร้านน้องณิชามินิมาร์ท</v>
      </c>
      <c r="P2582" s="4">
        <f>IFERROR(__xludf.DUMMYFUNCTION("""COMPUTED_VALUE"""),44614.0)</f>
        <v>44614</v>
      </c>
      <c r="Q2582" s="3" t="str">
        <f>IFERROR(__xludf.DUMMYFUNCTION("""COMPUTED_VALUE"""),"I")</f>
        <v>I</v>
      </c>
      <c r="R2582" s="3" t="str">
        <f>IFERROR(__xludf.DUMMYFUNCTION("""COMPUTED_VALUE"""),"Small Format")</f>
        <v>Small Format</v>
      </c>
      <c r="S2582" s="3" t="str">
        <f>IFERROR(__xludf.DUMMYFUNCTION("""COMPUTED_VALUE"""),"Donjai")</f>
        <v>Donjai</v>
      </c>
      <c r="T2582" s="3" t="str">
        <f>IFERROR(__xludf.DUMMYFUNCTION("""COMPUTED_VALUE"""),"03 K.Peerapong K.")</f>
        <v>03 K.Peerapong K.</v>
      </c>
      <c r="U2582" s="3" t="str">
        <f>IFERROR(__xludf.DUMMYFUNCTION("""COMPUTED_VALUE"""),"03 K.Peerapong K.")</f>
        <v>03 K.Peerapong K.</v>
      </c>
      <c r="V2582" s="3" t="str">
        <f>IFERROR(__xludf.DUMMYFUNCTION("""COMPUTED_VALUE"""),"N")</f>
        <v>N</v>
      </c>
      <c r="W2582" s="3"/>
      <c r="X2582" s="3" t="str">
        <f>IFERROR(__xludf.DUMMYFUNCTION("""COMPUTED_VALUE"""),"316/2 ม.3 บ.นาเหมืองน้อย ต.พังโคน อ.พังโคน จ.สกลนคร 47160")</f>
        <v>316/2 ม.3 บ.นาเหมืองน้อย ต.พังโคน อ.พังโคน จ.สกลนคร 47160</v>
      </c>
      <c r="Y2582" s="3"/>
      <c r="Z2582" s="3">
        <f>IFERROR(__xludf.DUMMYFUNCTION("""COMPUTED_VALUE"""),0.0)</f>
        <v>0</v>
      </c>
      <c r="AA2582" s="3">
        <f>IFERROR(__xludf.DUMMYFUNCTION("""COMPUTED_VALUE"""),0.0)</f>
        <v>0</v>
      </c>
      <c r="AB2582" s="3" t="str">
        <f>IFERROR(__xludf.DUMMYFUNCTION("""COMPUTED_VALUE"""),"สกลนคร")</f>
        <v>สกลนคร</v>
      </c>
      <c r="AC2582" s="3">
        <f>IFERROR(__xludf.DUMMYFUNCTION("""COMPUTED_VALUE"""),47160.0)</f>
        <v>47160</v>
      </c>
      <c r="AD2582" s="3"/>
      <c r="AE2582" s="3"/>
      <c r="AF2582" s="3" t="str">
        <f>IFERROR(__xludf.DUMMYFUNCTION("""COMPUTED_VALUE"""),"ร้านน้องณิชามินิมาร์ท-83341")</f>
        <v>ร้านน้องณิชามินิมาร์ท-83341</v>
      </c>
      <c r="AG2582" s="3" t="str">
        <f>IFERROR(__xludf.DUMMYFUNCTION("""COMPUTED_VALUE"""),"ตะวันออกเฉียงเหนือ")</f>
        <v>ตะวันออกเฉียงเหนือ</v>
      </c>
      <c r="AH2582" s="3" t="str">
        <f>IFERROR(__xludf.DUMMYFUNCTION("""COMPUTED_VALUE"""),"#N/A")</f>
        <v>#N/A</v>
      </c>
      <c r="AI2582" s="3" t="str">
        <f>IFERROR(__xludf.DUMMYFUNCTION("""COMPUTED_VALUE"""),"Out of warranty")</f>
        <v>Out of warranty</v>
      </c>
      <c r="AJ2582" s="3">
        <f>IFERROR(__xludf.DUMMYFUNCTION("""COMPUTED_VALUE"""),47.0)</f>
        <v>47</v>
      </c>
      <c r="AK2582" s="3"/>
      <c r="AL2582" s="3"/>
    </row>
    <row r="2583" ht="15.75" customHeight="1">
      <c r="A2583" s="1" t="str">
        <f>IFERROR(__xludf.DUMMYFUNCTION("""COMPUTED_VALUE"""),"83342")</f>
        <v>83342</v>
      </c>
      <c r="B2583" s="2">
        <f>IFERROR(__xludf.DUMMYFUNCTION("""COMPUTED_VALUE"""),83342.0)</f>
        <v>83342</v>
      </c>
      <c r="C2583" s="3" t="str">
        <f>IFERROR(__xludf.DUMMYFUNCTION("""COMPUTED_VALUE"""),"ร้าน สหกรณ์การเกษตร ตาลสุม")</f>
        <v>ร้าน สหกรณ์การเกษตร ตาลสุม</v>
      </c>
      <c r="D2583" s="3" t="str">
        <f>IFERROR(__xludf.DUMMYFUNCTION("""COMPUTED_VALUE"""),"ร้าน สหกรณ์การเกษตร ตาลสุม")</f>
        <v>ร้าน สหกรณ์การเกษตร ตาลสุม</v>
      </c>
      <c r="E2583" s="1" t="str">
        <f>IFERROR(__xludf.DUMMYFUNCTION("""COMPUTED_VALUE"""),"Donjai")</f>
        <v>Donjai</v>
      </c>
      <c r="F2583" s="1" t="str">
        <f>IFERROR(__xludf.DUMMYFUNCTION("""COMPUTED_VALUE"""),"015361")</f>
        <v>015361</v>
      </c>
      <c r="G2583" s="1" t="str">
        <f>IFERROR(__xludf.DUMMYFUNCTION("""COMPUTED_VALUE"""),"นายสมบูรณ์ พรหมในเมือง")</f>
        <v>นายสมบูรณ์ พรหมในเมือง</v>
      </c>
      <c r="H2583" s="1" t="str">
        <f>IFERROR(__xludf.DUMMYFUNCTION("""COMPUTED_VALUE"""),"015361")</f>
        <v>015361</v>
      </c>
      <c r="I2583" s="1" t="str">
        <f>IFERROR(__xludf.DUMMYFUNCTION("""COMPUTED_VALUE"""),"นายสมบูรณ์ พรหมในเมือง")</f>
        <v>นายสมบูรณ์ พรหมในเมือง</v>
      </c>
      <c r="J2583" s="3">
        <f>IFERROR(__xludf.DUMMYFUNCTION("""COMPUTED_VALUE"""),295886.0)</f>
        <v>295886</v>
      </c>
      <c r="K2583" s="3" t="str">
        <f>IFERROR(__xludf.DUMMYFUNCTION("""COMPUTED_VALUE"""),"นายจิระพงษ์ โพธิ์นิล")</f>
        <v>นายจิระพงษ์ โพธิ์นิล</v>
      </c>
      <c r="L2583" s="1" t="str">
        <f>IFERROR(__xludf.DUMMYFUNCTION("""COMPUTED_VALUE"""),"นายจิระพงษ์ โพธิ์นิล")</f>
        <v>นายจิระพงษ์ โพธิ์นิล</v>
      </c>
      <c r="M2583" s="1" t="str">
        <f>IFERROR(__xludf.DUMMYFUNCTION("""COMPUTED_VALUE"""),"0933290754")</f>
        <v>0933290754</v>
      </c>
      <c r="N2583" s="3">
        <f>IFERROR(__xludf.DUMMYFUNCTION("""COMPUTED_VALUE"""),83342.0)</f>
        <v>83342</v>
      </c>
      <c r="O2583" s="3" t="str">
        <f>IFERROR(__xludf.DUMMYFUNCTION("""COMPUTED_VALUE"""),"ร้าน สหกรณ์การเกษตร ตาลสุม")</f>
        <v>ร้าน สหกรณ์การเกษตร ตาลสุม</v>
      </c>
      <c r="P2583" s="4">
        <f>IFERROR(__xludf.DUMMYFUNCTION("""COMPUTED_VALUE"""),44603.0)</f>
        <v>44603</v>
      </c>
      <c r="Q2583" s="3" t="str">
        <f>IFERROR(__xludf.DUMMYFUNCTION("""COMPUTED_VALUE"""),"I")</f>
        <v>I</v>
      </c>
      <c r="R2583" s="3" t="str">
        <f>IFERROR(__xludf.DUMMYFUNCTION("""COMPUTED_VALUE"""),"Small Format")</f>
        <v>Small Format</v>
      </c>
      <c r="S2583" s="3" t="str">
        <f>IFERROR(__xludf.DUMMYFUNCTION("""COMPUTED_VALUE"""),"Donjai")</f>
        <v>Donjai</v>
      </c>
      <c r="T2583" s="3" t="str">
        <f>IFERROR(__xludf.DUMMYFUNCTION("""COMPUTED_VALUE"""),"04 K.Somboon P.")</f>
        <v>04 K.Somboon P.</v>
      </c>
      <c r="U2583" s="3" t="str">
        <f>IFERROR(__xludf.DUMMYFUNCTION("""COMPUTED_VALUE"""),"04 K.Somboon P.")</f>
        <v>04 K.Somboon P.</v>
      </c>
      <c r="V2583" s="3" t="str">
        <f>IFERROR(__xludf.DUMMYFUNCTION("""COMPUTED_VALUE"""),"N")</f>
        <v>N</v>
      </c>
      <c r="W2583" s="3"/>
      <c r="X2583" s="3" t="str">
        <f>IFERROR(__xludf.DUMMYFUNCTION("""COMPUTED_VALUE"""),"137 หมู่ 11 ต.ตาลสุม อ.ตาลสุม จ.อุบลฯ")</f>
        <v>137 หมู่ 11 ต.ตาลสุม อ.ตาลสุม จ.อุบลฯ</v>
      </c>
      <c r="Y2583" s="3"/>
      <c r="Z2583" s="3">
        <f>IFERROR(__xludf.DUMMYFUNCTION("""COMPUTED_VALUE"""),0.0)</f>
        <v>0</v>
      </c>
      <c r="AA2583" s="3">
        <f>IFERROR(__xludf.DUMMYFUNCTION("""COMPUTED_VALUE"""),0.0)</f>
        <v>0</v>
      </c>
      <c r="AB2583" s="3" t="str">
        <f>IFERROR(__xludf.DUMMYFUNCTION("""COMPUTED_VALUE"""),"อุบลราชธานี")</f>
        <v>อุบลราชธานี</v>
      </c>
      <c r="AC2583" s="3">
        <f>IFERROR(__xludf.DUMMYFUNCTION("""COMPUTED_VALUE"""),0.0)</f>
        <v>0</v>
      </c>
      <c r="AD2583" s="3"/>
      <c r="AE2583" s="3"/>
      <c r="AF2583" s="3" t="str">
        <f>IFERROR(__xludf.DUMMYFUNCTION("""COMPUTED_VALUE"""),"ร้าน สหกรณ์การเกษตร ตาลสุม-83342")</f>
        <v>ร้าน สหกรณ์การเกษตร ตาลสุม-83342</v>
      </c>
      <c r="AG2583" s="3" t="str">
        <f>IFERROR(__xludf.DUMMYFUNCTION("""COMPUTED_VALUE"""),"ตะวันออกเฉียงเหนือ")</f>
        <v>ตะวันออกเฉียงเหนือ</v>
      </c>
      <c r="AH2583" s="3" t="str">
        <f>IFERROR(__xludf.DUMMYFUNCTION("""COMPUTED_VALUE"""),"#N/A")</f>
        <v>#N/A</v>
      </c>
      <c r="AI2583" s="3" t="str">
        <f>IFERROR(__xludf.DUMMYFUNCTION("""COMPUTED_VALUE"""),"Out of warranty")</f>
        <v>Out of warranty</v>
      </c>
      <c r="AJ2583" s="3">
        <f>IFERROR(__xludf.DUMMYFUNCTION("""COMPUTED_VALUE"""),48.0)</f>
        <v>48</v>
      </c>
      <c r="AK2583" s="3"/>
      <c r="AL2583" s="3"/>
    </row>
    <row r="2584" ht="15.75" customHeight="1">
      <c r="A2584" s="1" t="str">
        <f>IFERROR(__xludf.DUMMYFUNCTION("""COMPUTED_VALUE"""),"83343")</f>
        <v>83343</v>
      </c>
      <c r="B2584" s="2">
        <f>IFERROR(__xludf.DUMMYFUNCTION("""COMPUTED_VALUE"""),83343.0)</f>
        <v>83343</v>
      </c>
      <c r="C2584" s="3" t="str">
        <f>IFERROR(__xludf.DUMMYFUNCTION("""COMPUTED_VALUE"""),"ร้าน นำภาการค้า")</f>
        <v>ร้าน นำภาการค้า</v>
      </c>
      <c r="D2584" s="3" t="str">
        <f>IFERROR(__xludf.DUMMYFUNCTION("""COMPUTED_VALUE"""),"ร้าน นำภาการค้า")</f>
        <v>ร้าน นำภาการค้า</v>
      </c>
      <c r="E2584" s="1" t="str">
        <f>IFERROR(__xludf.DUMMYFUNCTION("""COMPUTED_VALUE"""),"Donjai")</f>
        <v>Donjai</v>
      </c>
      <c r="F2584" s="1" t="str">
        <f>IFERROR(__xludf.DUMMYFUNCTION("""COMPUTED_VALUE"""),"296868")</f>
        <v>296868</v>
      </c>
      <c r="G2584" s="1" t="str">
        <f>IFERROR(__xludf.DUMMYFUNCTION("""COMPUTED_VALUE"""),"นายพีระพงษ์ แก้วดวงดี")</f>
        <v>นายพีระพงษ์ แก้วดวงดี</v>
      </c>
      <c r="H2584" s="1" t="str">
        <f>IFERROR(__xludf.DUMMYFUNCTION("""COMPUTED_VALUE"""),"296868")</f>
        <v>296868</v>
      </c>
      <c r="I2584" s="1" t="str">
        <f>IFERROR(__xludf.DUMMYFUNCTION("""COMPUTED_VALUE"""),"นายพีระพงษ์ แก้วดวงดี")</f>
        <v>นายพีระพงษ์ แก้วดวงดี</v>
      </c>
      <c r="J2584" s="3">
        <f>IFERROR(__xludf.DUMMYFUNCTION("""COMPUTED_VALUE"""),295886.0)</f>
        <v>295886</v>
      </c>
      <c r="K2584" s="3" t="str">
        <f>IFERROR(__xludf.DUMMYFUNCTION("""COMPUTED_VALUE"""),"นายจิระพงษ์ โพธิ์นิล")</f>
        <v>นายจิระพงษ์ โพธิ์นิล</v>
      </c>
      <c r="L2584" s="1" t="str">
        <f>IFERROR(__xludf.DUMMYFUNCTION("""COMPUTED_VALUE"""),"นายจิระพงษ์ โพธิ์นิล")</f>
        <v>นายจิระพงษ์ โพธิ์นิล</v>
      </c>
      <c r="M2584" s="1" t="str">
        <f>IFERROR(__xludf.DUMMYFUNCTION("""COMPUTED_VALUE"""),"0933290754")</f>
        <v>0933290754</v>
      </c>
      <c r="N2584" s="3">
        <f>IFERROR(__xludf.DUMMYFUNCTION("""COMPUTED_VALUE"""),83343.0)</f>
        <v>83343</v>
      </c>
      <c r="O2584" s="3" t="str">
        <f>IFERROR(__xludf.DUMMYFUNCTION("""COMPUTED_VALUE"""),"ร้าน นำภาการค้า")</f>
        <v>ร้าน นำภาการค้า</v>
      </c>
      <c r="P2584" s="4">
        <f>IFERROR(__xludf.DUMMYFUNCTION("""COMPUTED_VALUE"""),44592.0)</f>
        <v>44592</v>
      </c>
      <c r="Q2584" s="3" t="str">
        <f>IFERROR(__xludf.DUMMYFUNCTION("""COMPUTED_VALUE"""),"I")</f>
        <v>I</v>
      </c>
      <c r="R2584" s="3" t="str">
        <f>IFERROR(__xludf.DUMMYFUNCTION("""COMPUTED_VALUE"""),"Small Format")</f>
        <v>Small Format</v>
      </c>
      <c r="S2584" s="3" t="str">
        <f>IFERROR(__xludf.DUMMYFUNCTION("""COMPUTED_VALUE"""),"Donjai")</f>
        <v>Donjai</v>
      </c>
      <c r="T2584" s="3" t="str">
        <f>IFERROR(__xludf.DUMMYFUNCTION("""COMPUTED_VALUE"""),"03 K.Peerapong K.")</f>
        <v>03 K.Peerapong K.</v>
      </c>
      <c r="U2584" s="3" t="str">
        <f>IFERROR(__xludf.DUMMYFUNCTION("""COMPUTED_VALUE"""),"03 K.Peerapong K.")</f>
        <v>03 K.Peerapong K.</v>
      </c>
      <c r="V2584" s="3" t="str">
        <f>IFERROR(__xludf.DUMMYFUNCTION("""COMPUTED_VALUE"""),"N")</f>
        <v>N</v>
      </c>
      <c r="W2584" s="3"/>
      <c r="X2584" s="3" t="str">
        <f>IFERROR(__xludf.DUMMYFUNCTION("""COMPUTED_VALUE"""),"174 หมู่ที่ 6 ต.อินทร์แปลง อ. วานรนิวาส จ.สกลนคร")</f>
        <v>174 หมู่ที่ 6 ต.อินทร์แปลง อ. วานรนิวาส จ.สกลนคร</v>
      </c>
      <c r="Y2584" s="3"/>
      <c r="Z2584" s="3">
        <f>IFERROR(__xludf.DUMMYFUNCTION("""COMPUTED_VALUE"""),0.0)</f>
        <v>0</v>
      </c>
      <c r="AA2584" s="3">
        <f>IFERROR(__xludf.DUMMYFUNCTION("""COMPUTED_VALUE"""),0.0)</f>
        <v>0</v>
      </c>
      <c r="AB2584" s="3" t="str">
        <f>IFERROR(__xludf.DUMMYFUNCTION("""COMPUTED_VALUE"""),"สกลนคร")</f>
        <v>สกลนคร</v>
      </c>
      <c r="AC2584" s="3">
        <f>IFERROR(__xludf.DUMMYFUNCTION("""COMPUTED_VALUE"""),0.0)</f>
        <v>0</v>
      </c>
      <c r="AD2584" s="3"/>
      <c r="AE2584" s="3"/>
      <c r="AF2584" s="3" t="str">
        <f>IFERROR(__xludf.DUMMYFUNCTION("""COMPUTED_VALUE"""),"ร้าน นำภาการค้า-83343")</f>
        <v>ร้าน นำภาการค้า-83343</v>
      </c>
      <c r="AG2584" s="3" t="str">
        <f>IFERROR(__xludf.DUMMYFUNCTION("""COMPUTED_VALUE"""),"ตะวันออกเฉียงเหนือ")</f>
        <v>ตะวันออกเฉียงเหนือ</v>
      </c>
      <c r="AH2584" s="3" t="str">
        <f>IFERROR(__xludf.DUMMYFUNCTION("""COMPUTED_VALUE"""),"#N/A")</f>
        <v>#N/A</v>
      </c>
      <c r="AI2584" s="3" t="str">
        <f>IFERROR(__xludf.DUMMYFUNCTION("""COMPUTED_VALUE"""),"Out of warranty")</f>
        <v>Out of warranty</v>
      </c>
      <c r="AJ2584" s="3">
        <f>IFERROR(__xludf.DUMMYFUNCTION("""COMPUTED_VALUE"""),48.0)</f>
        <v>48</v>
      </c>
      <c r="AK2584" s="3"/>
      <c r="AL2584" s="3"/>
    </row>
    <row r="2585" ht="15.75" customHeight="1">
      <c r="A2585" s="1" t="str">
        <f>IFERROR(__xludf.DUMMYFUNCTION("""COMPUTED_VALUE"""),"83345")</f>
        <v>83345</v>
      </c>
      <c r="B2585" s="2">
        <f>IFERROR(__xludf.DUMMYFUNCTION("""COMPUTED_VALUE"""),83345.0)</f>
        <v>83345</v>
      </c>
      <c r="C2585" s="3" t="str">
        <f>IFERROR(__xludf.DUMMYFUNCTION("""COMPUTED_VALUE"""),"ร้านหน่อยรุ่งโรจน์ (คำผง)")</f>
        <v>ร้านหน่อยรุ่งโรจน์ (คำผง)</v>
      </c>
      <c r="D2585" s="3" t="str">
        <f>IFERROR(__xludf.DUMMYFUNCTION("""COMPUTED_VALUE"""),"ร้านหน่อยรุ่งโรจน์ (คำผง)")</f>
        <v>ร้านหน่อยรุ่งโรจน์ (คำผง)</v>
      </c>
      <c r="E2585" s="1" t="str">
        <f>IFERROR(__xludf.DUMMYFUNCTION("""COMPUTED_VALUE"""),"Donjai")</f>
        <v>Donjai</v>
      </c>
      <c r="F2585" s="1" t="str">
        <f>IFERROR(__xludf.DUMMYFUNCTION("""COMPUTED_VALUE"""),"2010023")</f>
        <v>2010023</v>
      </c>
      <c r="G2585" s="1" t="str">
        <f>IFERROR(__xludf.DUMMYFUNCTION("""COMPUTED_VALUE"""),"นายวศิน ไวยรูป")</f>
        <v>นายวศิน ไวยรูป</v>
      </c>
      <c r="H2585" s="1" t="str">
        <f>IFERROR(__xludf.DUMMYFUNCTION("""COMPUTED_VALUE"""),"2010023")</f>
        <v>2010023</v>
      </c>
      <c r="I2585" s="1" t="str">
        <f>IFERROR(__xludf.DUMMYFUNCTION("""COMPUTED_VALUE"""),"นายวศิน ไวยรูป")</f>
        <v>นายวศิน ไวยรูป</v>
      </c>
      <c r="J2585" s="3">
        <f>IFERROR(__xludf.DUMMYFUNCTION("""COMPUTED_VALUE"""),228031.0)</f>
        <v>228031</v>
      </c>
      <c r="K2585" s="3" t="str">
        <f>IFERROR(__xludf.DUMMYFUNCTION("""COMPUTED_VALUE"""),"นายธนพงษ์ วันหมัด")</f>
        <v>นายธนพงษ์ วันหมัด</v>
      </c>
      <c r="L2585" s="1" t="str">
        <f>IFERROR(__xludf.DUMMYFUNCTION("""COMPUTED_VALUE"""),"นายธนพงษ์ วันหมัด")</f>
        <v>นายธนพงษ์ วันหมัด</v>
      </c>
      <c r="M2585" s="1" t="str">
        <f>IFERROR(__xludf.DUMMYFUNCTION("""COMPUTED_VALUE"""),"0813716913")</f>
        <v>0813716913</v>
      </c>
      <c r="N2585" s="3">
        <f>IFERROR(__xludf.DUMMYFUNCTION("""COMPUTED_VALUE"""),83345.0)</f>
        <v>83345</v>
      </c>
      <c r="O2585" s="3" t="str">
        <f>IFERROR(__xludf.DUMMYFUNCTION("""COMPUTED_VALUE"""),"ร้านหน่อยรุ่งโรจน์ (คำผง)")</f>
        <v>ร้านหน่อยรุ่งโรจน์ (คำผง)</v>
      </c>
      <c r="P2585" s="4">
        <f>IFERROR(__xludf.DUMMYFUNCTION("""COMPUTED_VALUE"""),44585.0)</f>
        <v>44585</v>
      </c>
      <c r="Q2585" s="3" t="str">
        <f>IFERROR(__xludf.DUMMYFUNCTION("""COMPUTED_VALUE"""),"I")</f>
        <v>I</v>
      </c>
      <c r="R2585" s="3" t="str">
        <f>IFERROR(__xludf.DUMMYFUNCTION("""COMPUTED_VALUE"""),"Small Format")</f>
        <v>Small Format</v>
      </c>
      <c r="S2585" s="3" t="str">
        <f>IFERROR(__xludf.DUMMYFUNCTION("""COMPUTED_VALUE"""),"Donjai")</f>
        <v>Donjai</v>
      </c>
      <c r="T2585" s="3" t="str">
        <f>IFERROR(__xludf.DUMMYFUNCTION("""COMPUTED_VALUE"""),"Donjai")</f>
        <v>Donjai</v>
      </c>
      <c r="U2585" s="3" t="str">
        <f>IFERROR(__xludf.DUMMYFUNCTION("""COMPUTED_VALUE"""),"Donjai")</f>
        <v>Donjai</v>
      </c>
      <c r="V2585" s="3" t="str">
        <f>IFERROR(__xludf.DUMMYFUNCTION("""COMPUTED_VALUE"""),"N")</f>
        <v>N</v>
      </c>
      <c r="W2585" s="3"/>
      <c r="X2585" s="3" t="str">
        <f>IFERROR(__xludf.DUMMYFUNCTION("""COMPUTED_VALUE"""),"187 ซอยอ่อนนุช 27 ถนนสุขุมวิท 77 แขวงสวนหลวง เขตสวนหลวง กรุงเทพ 10250")</f>
        <v>187 ซอยอ่อนนุช 27 ถนนสุขุมวิท 77 แขวงสวนหลวง เขตสวนหลวง กรุงเทพ 10250</v>
      </c>
      <c r="Y2585" s="3"/>
      <c r="Z2585" s="3">
        <f>IFERROR(__xludf.DUMMYFUNCTION("""COMPUTED_VALUE"""),0.0)</f>
        <v>0</v>
      </c>
      <c r="AA2585" s="3">
        <f>IFERROR(__xludf.DUMMYFUNCTION("""COMPUTED_VALUE"""),0.0)</f>
        <v>0</v>
      </c>
      <c r="AB2585" s="3" t="str">
        <f>IFERROR(__xludf.DUMMYFUNCTION("""COMPUTED_VALUE"""),"กรุงเทพมหานคร")</f>
        <v>กรุงเทพมหานคร</v>
      </c>
      <c r="AC2585" s="3">
        <f>IFERROR(__xludf.DUMMYFUNCTION("""COMPUTED_VALUE"""),10250.0)</f>
        <v>10250</v>
      </c>
      <c r="AD2585" s="3"/>
      <c r="AE2585" s="3"/>
      <c r="AF2585" s="3" t="str">
        <f>IFERROR(__xludf.DUMMYFUNCTION("""COMPUTED_VALUE"""),"ร้านหน่อยรุ่งโรจน์ (คำผง)-83345")</f>
        <v>ร้านหน่อยรุ่งโรจน์ (คำผง)-83345</v>
      </c>
      <c r="AG2585" s="3" t="str">
        <f>IFERROR(__xludf.DUMMYFUNCTION("""COMPUTED_VALUE"""),"กลาง")</f>
        <v>กลาง</v>
      </c>
      <c r="AH2585" s="3" t="str">
        <f>IFERROR(__xludf.DUMMYFUNCTION("""COMPUTED_VALUE"""),"#N/A")</f>
        <v>#N/A</v>
      </c>
      <c r="AI2585" s="3" t="str">
        <f>IFERROR(__xludf.DUMMYFUNCTION("""COMPUTED_VALUE"""),"Out of warranty")</f>
        <v>Out of warranty</v>
      </c>
      <c r="AJ2585" s="3">
        <f>IFERROR(__xludf.DUMMYFUNCTION("""COMPUTED_VALUE"""),48.0)</f>
        <v>48</v>
      </c>
      <c r="AK2585" s="3"/>
      <c r="AL2585" s="3"/>
    </row>
    <row r="2586" ht="15.75" customHeight="1">
      <c r="A2586" s="1" t="str">
        <f>IFERROR(__xludf.DUMMYFUNCTION("""COMPUTED_VALUE"""),"83346")</f>
        <v>83346</v>
      </c>
      <c r="B2586" s="2">
        <f>IFERROR(__xludf.DUMMYFUNCTION("""COMPUTED_VALUE"""),83346.0)</f>
        <v>83346</v>
      </c>
      <c r="C2586" s="3" t="str">
        <f>IFERROR(__xludf.DUMMYFUNCTION("""COMPUTED_VALUE"""),"ร้านหนองบ่อมาร์ท (ท่าช้างมินิมาร์ท)")</f>
        <v>ร้านหนองบ่อมาร์ท (ท่าช้างมินิมาร์ท)</v>
      </c>
      <c r="D2586" s="3" t="str">
        <f>IFERROR(__xludf.DUMMYFUNCTION("""COMPUTED_VALUE"""),"ร้านหนองบ่อมาร์ท (ท่าช้างมินิมาร์ท)")</f>
        <v>ร้านหนองบ่อมาร์ท (ท่าช้างมินิมาร์ท)</v>
      </c>
      <c r="E2586" s="1" t="str">
        <f>IFERROR(__xludf.DUMMYFUNCTION("""COMPUTED_VALUE"""),"Donjai")</f>
        <v>Donjai</v>
      </c>
      <c r="F2586" s="1" t="str">
        <f>IFERROR(__xludf.DUMMYFUNCTION("""COMPUTED_VALUE"""),"20470331")</f>
        <v>20470331</v>
      </c>
      <c r="G2586" s="1" t="str">
        <f>IFERROR(__xludf.DUMMYFUNCTION("""COMPUTED_VALUE"""),"นายสมชาย ลักษณะสุวรรณ")</f>
        <v>นายสมชาย ลักษณะสุวรรณ</v>
      </c>
      <c r="H2586" s="1" t="str">
        <f>IFERROR(__xludf.DUMMYFUNCTION("""COMPUTED_VALUE"""),"20470331")</f>
        <v>20470331</v>
      </c>
      <c r="I2586" s="1" t="str">
        <f>IFERROR(__xludf.DUMMYFUNCTION("""COMPUTED_VALUE"""),"นายสมชาย ลักษณะสุวรรณ")</f>
        <v>นายสมชาย ลักษณะสุวรรณ</v>
      </c>
      <c r="J2586" s="3">
        <f>IFERROR(__xludf.DUMMYFUNCTION("""COMPUTED_VALUE"""),295541.0)</f>
        <v>295541</v>
      </c>
      <c r="K2586" s="3" t="str">
        <f>IFERROR(__xludf.DUMMYFUNCTION("""COMPUTED_VALUE"""),"นายรพิพล ศรีมาตย์")</f>
        <v>นายรพิพล ศรีมาตย์</v>
      </c>
      <c r="L2586" s="1" t="str">
        <f>IFERROR(__xludf.DUMMYFUNCTION("""COMPUTED_VALUE"""),"นายรพิพล ศรีมาตย์")</f>
        <v>นายรพิพล ศรีมาตย์</v>
      </c>
      <c r="M2586" s="1" t="str">
        <f>IFERROR(__xludf.DUMMYFUNCTION("""COMPUTED_VALUE"""),"0613966115")</f>
        <v>0613966115</v>
      </c>
      <c r="N2586" s="3">
        <f>IFERROR(__xludf.DUMMYFUNCTION("""COMPUTED_VALUE"""),83346.0)</f>
        <v>83346</v>
      </c>
      <c r="O2586" s="3" t="str">
        <f>IFERROR(__xludf.DUMMYFUNCTION("""COMPUTED_VALUE"""),"ร้านหนองบ่อมาร์ท (ท่าช้างมินิมาร์ท)")</f>
        <v>ร้านหนองบ่อมาร์ท (ท่าช้างมินิมาร์ท)</v>
      </c>
      <c r="P2586" s="4">
        <f>IFERROR(__xludf.DUMMYFUNCTION("""COMPUTED_VALUE"""),44623.0)</f>
        <v>44623</v>
      </c>
      <c r="Q2586" s="3" t="str">
        <f>IFERROR(__xludf.DUMMYFUNCTION("""COMPUTED_VALUE"""),"A")</f>
        <v>A</v>
      </c>
      <c r="R2586" s="3" t="str">
        <f>IFERROR(__xludf.DUMMYFUNCTION("""COMPUTED_VALUE"""),"Small Format")</f>
        <v>Small Format</v>
      </c>
      <c r="S2586" s="3" t="str">
        <f>IFERROR(__xludf.DUMMYFUNCTION("""COMPUTED_VALUE"""),"Donjai")</f>
        <v>Donjai</v>
      </c>
      <c r="T2586" s="3" t="str">
        <f>IFERROR(__xludf.DUMMYFUNCTION("""COMPUTED_VALUE"""),"15 K.Somchai L")</f>
        <v>15 K.Somchai L</v>
      </c>
      <c r="U2586" s="3" t="str">
        <f>IFERROR(__xludf.DUMMYFUNCTION("""COMPUTED_VALUE"""),"15 K.Somchai L")</f>
        <v>15 K.Somchai L</v>
      </c>
      <c r="V2586" s="3" t="str">
        <f>IFERROR(__xludf.DUMMYFUNCTION("""COMPUTED_VALUE"""),"N")</f>
        <v>N</v>
      </c>
      <c r="W2586" s="3"/>
      <c r="X2586" s="3" t="str">
        <f>IFERROR(__xludf.DUMMYFUNCTION("""COMPUTED_VALUE"""),"30/2 หมู่ 10 ต.คลองแห อ.หาดใหญ่ จ.สงขลา 90110")</f>
        <v>30/2 หมู่ 10 ต.คลองแห อ.หาดใหญ่ จ.สงขลา 90110</v>
      </c>
      <c r="Y2586" s="3"/>
      <c r="Z2586" s="3">
        <f>IFERROR(__xludf.DUMMYFUNCTION("""COMPUTED_VALUE"""),0.0)</f>
        <v>0</v>
      </c>
      <c r="AA2586" s="3">
        <f>IFERROR(__xludf.DUMMYFUNCTION("""COMPUTED_VALUE"""),0.0)</f>
        <v>0</v>
      </c>
      <c r="AB2586" s="3" t="str">
        <f>IFERROR(__xludf.DUMMYFUNCTION("""COMPUTED_VALUE"""),"สงขลา")</f>
        <v>สงขลา</v>
      </c>
      <c r="AC2586" s="3">
        <f>IFERROR(__xludf.DUMMYFUNCTION("""COMPUTED_VALUE"""),90110.0)</f>
        <v>90110</v>
      </c>
      <c r="AD2586" s="3"/>
      <c r="AE2586" s="3"/>
      <c r="AF2586" s="3" t="str">
        <f>IFERROR(__xludf.DUMMYFUNCTION("""COMPUTED_VALUE"""),"ร้านหนองบ่อมาร์ท (ท่าช้างมินิมาร์ท)-83346")</f>
        <v>ร้านหนองบ่อมาร์ท (ท่าช้างมินิมาร์ท)-83346</v>
      </c>
      <c r="AG2586" s="3" t="str">
        <f>IFERROR(__xludf.DUMMYFUNCTION("""COMPUTED_VALUE"""),"ใต้")</f>
        <v>ใต้</v>
      </c>
      <c r="AH2586" s="3" t="str">
        <f>IFERROR(__xludf.DUMMYFUNCTION("""COMPUTED_VALUE"""),"#N/A")</f>
        <v>#N/A</v>
      </c>
      <c r="AI2586" s="3" t="str">
        <f>IFERROR(__xludf.DUMMYFUNCTION("""COMPUTED_VALUE"""),"Out of warranty")</f>
        <v>Out of warranty</v>
      </c>
      <c r="AJ2586" s="3">
        <f>IFERROR(__xludf.DUMMYFUNCTION("""COMPUTED_VALUE"""),47.0)</f>
        <v>47</v>
      </c>
      <c r="AK2586" s="3"/>
      <c r="AL2586" s="3"/>
    </row>
    <row r="2587" ht="15.75" customHeight="1">
      <c r="A2587" s="1" t="str">
        <f>IFERROR(__xludf.DUMMYFUNCTION("""COMPUTED_VALUE"""),"83347")</f>
        <v>83347</v>
      </c>
      <c r="B2587" s="2">
        <f>IFERROR(__xludf.DUMMYFUNCTION("""COMPUTED_VALUE"""),83347.0)</f>
        <v>83347</v>
      </c>
      <c r="C2587" s="3" t="str">
        <f>IFERROR(__xludf.DUMMYFUNCTION("""COMPUTED_VALUE"""),"ปันหอม")</f>
        <v>ปันหอม</v>
      </c>
      <c r="D2587" s="3" t="str">
        <f>IFERROR(__xludf.DUMMYFUNCTION("""COMPUTED_VALUE"""),"ปันหอม")</f>
        <v>ปันหอม</v>
      </c>
      <c r="E2587" s="1" t="str">
        <f>IFERROR(__xludf.DUMMYFUNCTION("""COMPUTED_VALUE"""),"Donjai")</f>
        <v>Donjai</v>
      </c>
      <c r="F2587" s="1" t="str">
        <f>IFERROR(__xludf.DUMMYFUNCTION("""COMPUTED_VALUE"""),"2452378")</f>
        <v>2452378</v>
      </c>
      <c r="G2587" s="1" t="str">
        <f>IFERROR(__xludf.DUMMYFUNCTION("""COMPUTED_VALUE"""),"นายศักดิ์ดา พวงประดับ")</f>
        <v>นายศักดิ์ดา พวงประดับ</v>
      </c>
      <c r="H2587" s="1" t="str">
        <f>IFERROR(__xludf.DUMMYFUNCTION("""COMPUTED_VALUE"""),"2452378")</f>
        <v>2452378</v>
      </c>
      <c r="I2587" s="1" t="str">
        <f>IFERROR(__xludf.DUMMYFUNCTION("""COMPUTED_VALUE"""),"นายศักดิ์ดา พวงประดับ")</f>
        <v>นายศักดิ์ดา พวงประดับ</v>
      </c>
      <c r="J2587" s="3">
        <f>IFERROR(__xludf.DUMMYFUNCTION("""COMPUTED_VALUE"""),228031.0)</f>
        <v>228031</v>
      </c>
      <c r="K2587" s="3" t="str">
        <f>IFERROR(__xludf.DUMMYFUNCTION("""COMPUTED_VALUE"""),"นายธนพงษ์ วันหมัด")</f>
        <v>นายธนพงษ์ วันหมัด</v>
      </c>
      <c r="L2587" s="1" t="str">
        <f>IFERROR(__xludf.DUMMYFUNCTION("""COMPUTED_VALUE"""),"นายธนพงษ์ วันหมัด")</f>
        <v>นายธนพงษ์ วันหมัด</v>
      </c>
      <c r="M2587" s="1" t="str">
        <f>IFERROR(__xludf.DUMMYFUNCTION("""COMPUTED_VALUE"""),"0813716913")</f>
        <v>0813716913</v>
      </c>
      <c r="N2587" s="3">
        <f>IFERROR(__xludf.DUMMYFUNCTION("""COMPUTED_VALUE"""),83347.0)</f>
        <v>83347</v>
      </c>
      <c r="O2587" s="3" t="str">
        <f>IFERROR(__xludf.DUMMYFUNCTION("""COMPUTED_VALUE"""),"ปันหอม")</f>
        <v>ปันหอม</v>
      </c>
      <c r="P2587" s="4">
        <f>IFERROR(__xludf.DUMMYFUNCTION("""COMPUTED_VALUE"""),44606.0)</f>
        <v>44606</v>
      </c>
      <c r="Q2587" s="3" t="str">
        <f>IFERROR(__xludf.DUMMYFUNCTION("""COMPUTED_VALUE"""),"A")</f>
        <v>A</v>
      </c>
      <c r="R2587" s="3" t="str">
        <f>IFERROR(__xludf.DUMMYFUNCTION("""COMPUTED_VALUE"""),"Small Format")</f>
        <v>Small Format</v>
      </c>
      <c r="S2587" s="3" t="str">
        <f>IFERROR(__xludf.DUMMYFUNCTION("""COMPUTED_VALUE"""),"Donjai")</f>
        <v>Donjai</v>
      </c>
      <c r="T2587" s="3" t="str">
        <f>IFERROR(__xludf.DUMMYFUNCTION("""COMPUTED_VALUE"""),"11 K.Sakda P.")</f>
        <v>11 K.Sakda P.</v>
      </c>
      <c r="U2587" s="3" t="str">
        <f>IFERROR(__xludf.DUMMYFUNCTION("""COMPUTED_VALUE"""),"11 K.Sakda P.")</f>
        <v>11 K.Sakda P.</v>
      </c>
      <c r="V2587" s="3" t="str">
        <f>IFERROR(__xludf.DUMMYFUNCTION("""COMPUTED_VALUE"""),"N")</f>
        <v>N</v>
      </c>
      <c r="W2587" s="3"/>
      <c r="X2587" s="3" t="str">
        <f>IFERROR(__xludf.DUMMYFUNCTION("""COMPUTED_VALUE"""),"1/1 ซอยร่มเกล้า 19 ถนนร่มเกล้า ตำบลคลองสามประเวศ เขตลาดกระบัง กรุงเทพ 10520")</f>
        <v>1/1 ซอยร่มเกล้า 19 ถนนร่มเกล้า ตำบลคลองสามประเวศ เขตลาดกระบัง กรุงเทพ 10520</v>
      </c>
      <c r="Y2587" s="3"/>
      <c r="Z2587" s="3" t="str">
        <f>IFERROR(__xludf.DUMMYFUNCTION("""COMPUTED_VALUE"""),"คลองสสามประเวศ")</f>
        <v>คลองสสามประเวศ</v>
      </c>
      <c r="AA2587" s="3" t="str">
        <f>IFERROR(__xludf.DUMMYFUNCTION("""COMPUTED_VALUE"""),"ประเวศ")</f>
        <v>ประเวศ</v>
      </c>
      <c r="AB2587" s="3" t="str">
        <f>IFERROR(__xludf.DUMMYFUNCTION("""COMPUTED_VALUE"""),"กรุงเทพมหานคร")</f>
        <v>กรุงเทพมหานคร</v>
      </c>
      <c r="AC2587" s="3">
        <f>IFERROR(__xludf.DUMMYFUNCTION("""COMPUTED_VALUE"""),10520.0)</f>
        <v>10520</v>
      </c>
      <c r="AD2587" s="3"/>
      <c r="AE2587" s="3"/>
      <c r="AF2587" s="3" t="str">
        <f>IFERROR(__xludf.DUMMYFUNCTION("""COMPUTED_VALUE"""),"ปันหอม-83347")</f>
        <v>ปันหอม-83347</v>
      </c>
      <c r="AG2587" s="3" t="str">
        <f>IFERROR(__xludf.DUMMYFUNCTION("""COMPUTED_VALUE"""),"กลาง")</f>
        <v>กลาง</v>
      </c>
      <c r="AH2587" s="3" t="str">
        <f>IFERROR(__xludf.DUMMYFUNCTION("""COMPUTED_VALUE"""),"#N/A")</f>
        <v>#N/A</v>
      </c>
      <c r="AI2587" s="3" t="str">
        <f>IFERROR(__xludf.DUMMYFUNCTION("""COMPUTED_VALUE"""),"Out of warranty")</f>
        <v>Out of warranty</v>
      </c>
      <c r="AJ2587" s="3">
        <f>IFERROR(__xludf.DUMMYFUNCTION("""COMPUTED_VALUE"""),48.0)</f>
        <v>48</v>
      </c>
      <c r="AK2587" s="3"/>
      <c r="AL2587" s="3"/>
    </row>
    <row r="2588" ht="15.75" customHeight="1">
      <c r="A2588" s="1" t="str">
        <f>IFERROR(__xludf.DUMMYFUNCTION("""COMPUTED_VALUE"""),"83348")</f>
        <v>83348</v>
      </c>
      <c r="B2588" s="2">
        <f>IFERROR(__xludf.DUMMYFUNCTION("""COMPUTED_VALUE"""),83348.0)</f>
        <v>83348</v>
      </c>
      <c r="C2588" s="3" t="str">
        <f>IFERROR(__xludf.DUMMYFUNCTION("""COMPUTED_VALUE"""),"ร้านอาม่า (ร้านเฮียสุรินทร์)")</f>
        <v>ร้านอาม่า (ร้านเฮียสุรินทร์)</v>
      </c>
      <c r="D2588" s="3" t="str">
        <f>IFERROR(__xludf.DUMMYFUNCTION("""COMPUTED_VALUE"""),"ร้านอาม่า (ร้านเฮียสุรินทร์)")</f>
        <v>ร้านอาม่า (ร้านเฮียสุรินทร์)</v>
      </c>
      <c r="E2588" s="1" t="str">
        <f>IFERROR(__xludf.DUMMYFUNCTION("""COMPUTED_VALUE"""),"Donjai")</f>
        <v>Donjai</v>
      </c>
      <c r="F2588" s="1" t="str">
        <f>IFERROR(__xludf.DUMMYFUNCTION("""COMPUTED_VALUE"""),"2452378")</f>
        <v>2452378</v>
      </c>
      <c r="G2588" s="1" t="str">
        <f>IFERROR(__xludf.DUMMYFUNCTION("""COMPUTED_VALUE"""),"นายศักดิ์ดา พวงประดับ")</f>
        <v>นายศักดิ์ดา พวงประดับ</v>
      </c>
      <c r="H2588" s="1" t="str">
        <f>IFERROR(__xludf.DUMMYFUNCTION("""COMPUTED_VALUE"""),"2452378")</f>
        <v>2452378</v>
      </c>
      <c r="I2588" s="1" t="str">
        <f>IFERROR(__xludf.DUMMYFUNCTION("""COMPUTED_VALUE"""),"นายศักดิ์ดา พวงประดับ")</f>
        <v>นายศักดิ์ดา พวงประดับ</v>
      </c>
      <c r="J2588" s="3">
        <f>IFERROR(__xludf.DUMMYFUNCTION("""COMPUTED_VALUE"""),228031.0)</f>
        <v>228031</v>
      </c>
      <c r="K2588" s="3" t="str">
        <f>IFERROR(__xludf.DUMMYFUNCTION("""COMPUTED_VALUE"""),"นายธนพงษ์ วันหมัด")</f>
        <v>นายธนพงษ์ วันหมัด</v>
      </c>
      <c r="L2588" s="1" t="str">
        <f>IFERROR(__xludf.DUMMYFUNCTION("""COMPUTED_VALUE"""),"นายธนพงษ์ วันหมัด")</f>
        <v>นายธนพงษ์ วันหมัด</v>
      </c>
      <c r="M2588" s="1" t="str">
        <f>IFERROR(__xludf.DUMMYFUNCTION("""COMPUTED_VALUE"""),"0813716913")</f>
        <v>0813716913</v>
      </c>
      <c r="N2588" s="3">
        <f>IFERROR(__xludf.DUMMYFUNCTION("""COMPUTED_VALUE"""),83348.0)</f>
        <v>83348</v>
      </c>
      <c r="O2588" s="3" t="str">
        <f>IFERROR(__xludf.DUMMYFUNCTION("""COMPUTED_VALUE"""),"ร้านอาม่า (ร้านเฮียสุรินทร์)")</f>
        <v>ร้านอาม่า (ร้านเฮียสุรินทร์)</v>
      </c>
      <c r="P2588" s="4">
        <f>IFERROR(__xludf.DUMMYFUNCTION("""COMPUTED_VALUE"""),44596.0)</f>
        <v>44596</v>
      </c>
      <c r="Q2588" s="3" t="str">
        <f>IFERROR(__xludf.DUMMYFUNCTION("""COMPUTED_VALUE"""),"I")</f>
        <v>I</v>
      </c>
      <c r="R2588" s="3" t="str">
        <f>IFERROR(__xludf.DUMMYFUNCTION("""COMPUTED_VALUE"""),"Small Format")</f>
        <v>Small Format</v>
      </c>
      <c r="S2588" s="3" t="str">
        <f>IFERROR(__xludf.DUMMYFUNCTION("""COMPUTED_VALUE"""),"Donjai")</f>
        <v>Donjai</v>
      </c>
      <c r="T2588" s="3" t="str">
        <f>IFERROR(__xludf.DUMMYFUNCTION("""COMPUTED_VALUE"""),"11 K.Sakda P.")</f>
        <v>11 K.Sakda P.</v>
      </c>
      <c r="U2588" s="3" t="str">
        <f>IFERROR(__xludf.DUMMYFUNCTION("""COMPUTED_VALUE"""),"11 K.Sakda P.")</f>
        <v>11 K.Sakda P.</v>
      </c>
      <c r="V2588" s="3" t="str">
        <f>IFERROR(__xludf.DUMMYFUNCTION("""COMPUTED_VALUE"""),"N")</f>
        <v>N</v>
      </c>
      <c r="W2588" s="3"/>
      <c r="X2588" s="3" t="str">
        <f>IFERROR(__xludf.DUMMYFUNCTION("""COMPUTED_VALUE"""),"70/6 ซ.บุญอยู่ ถนนดินแดง แขวงสามเสนใน เขตพญาไท กรุงเทพมหานคร 10400")</f>
        <v>70/6 ซ.บุญอยู่ ถนนดินแดง แขวงสามเสนใน เขตพญาไท กรุงเทพมหานคร 10400</v>
      </c>
      <c r="Y2588" s="3"/>
      <c r="Z2588" s="3">
        <f>IFERROR(__xludf.DUMMYFUNCTION("""COMPUTED_VALUE"""),0.0)</f>
        <v>0</v>
      </c>
      <c r="AA2588" s="3">
        <f>IFERROR(__xludf.DUMMYFUNCTION("""COMPUTED_VALUE"""),0.0)</f>
        <v>0</v>
      </c>
      <c r="AB2588" s="3" t="str">
        <f>IFERROR(__xludf.DUMMYFUNCTION("""COMPUTED_VALUE"""),"กรุงเทพมหานคร")</f>
        <v>กรุงเทพมหานคร</v>
      </c>
      <c r="AC2588" s="3">
        <f>IFERROR(__xludf.DUMMYFUNCTION("""COMPUTED_VALUE"""),10400.0)</f>
        <v>10400</v>
      </c>
      <c r="AD2588" s="3"/>
      <c r="AE2588" s="3"/>
      <c r="AF2588" s="3" t="str">
        <f>IFERROR(__xludf.DUMMYFUNCTION("""COMPUTED_VALUE"""),"ร้านอาม่า (ร้านเฮียสุรินทร์)-83348")</f>
        <v>ร้านอาม่า (ร้านเฮียสุรินทร์)-83348</v>
      </c>
      <c r="AG2588" s="3" t="str">
        <f>IFERROR(__xludf.DUMMYFUNCTION("""COMPUTED_VALUE"""),"กลาง")</f>
        <v>กลาง</v>
      </c>
      <c r="AH2588" s="3" t="str">
        <f>IFERROR(__xludf.DUMMYFUNCTION("""COMPUTED_VALUE"""),"#N/A")</f>
        <v>#N/A</v>
      </c>
      <c r="AI2588" s="3" t="str">
        <f>IFERROR(__xludf.DUMMYFUNCTION("""COMPUTED_VALUE"""),"Out of warranty")</f>
        <v>Out of warranty</v>
      </c>
      <c r="AJ2588" s="3">
        <f>IFERROR(__xludf.DUMMYFUNCTION("""COMPUTED_VALUE"""),48.0)</f>
        <v>48</v>
      </c>
      <c r="AK2588" s="3"/>
      <c r="AL2588" s="3"/>
    </row>
    <row r="2589" ht="15.75" customHeight="1">
      <c r="A2589" s="1" t="str">
        <f>IFERROR(__xludf.DUMMYFUNCTION("""COMPUTED_VALUE"""),"83349")</f>
        <v>83349</v>
      </c>
      <c r="B2589" s="2">
        <f>IFERROR(__xludf.DUMMYFUNCTION("""COMPUTED_VALUE"""),83349.0)</f>
        <v>83349</v>
      </c>
      <c r="C2589" s="3" t="str">
        <f>IFERROR(__xludf.DUMMYFUNCTION("""COMPUTED_VALUE"""),"ร้านพงษ์ศักดิ์ สโตร์ (คุณสุพัตรา )ลาดพร้าว")</f>
        <v>ร้านพงษ์ศักดิ์ สโตร์ (คุณสุพัตรา )ลาดพร้าว</v>
      </c>
      <c r="D2589" s="3" t="str">
        <f>IFERROR(__xludf.DUMMYFUNCTION("""COMPUTED_VALUE"""),"ร้านพงษ์ศักดิ์ สโตร์ (คุณสุพัตรา )ลาดพร้าว")</f>
        <v>ร้านพงษ์ศักดิ์ สโตร์ (คุณสุพัตรา )ลาดพร้าว</v>
      </c>
      <c r="E2589" s="1" t="str">
        <f>IFERROR(__xludf.DUMMYFUNCTION("""COMPUTED_VALUE"""),"Donjai")</f>
        <v>Donjai</v>
      </c>
      <c r="F2589" s="1" t="str">
        <f>IFERROR(__xludf.DUMMYFUNCTION("""COMPUTED_VALUE"""),"2010023")</f>
        <v>2010023</v>
      </c>
      <c r="G2589" s="1" t="str">
        <f>IFERROR(__xludf.DUMMYFUNCTION("""COMPUTED_VALUE"""),"นายวศิน ไวยรูป")</f>
        <v>นายวศิน ไวยรูป</v>
      </c>
      <c r="H2589" s="1" t="str">
        <f>IFERROR(__xludf.DUMMYFUNCTION("""COMPUTED_VALUE"""),"2010023")</f>
        <v>2010023</v>
      </c>
      <c r="I2589" s="1" t="str">
        <f>IFERROR(__xludf.DUMMYFUNCTION("""COMPUTED_VALUE"""),"นายวศิน ไวยรูป")</f>
        <v>นายวศิน ไวยรูป</v>
      </c>
      <c r="J2589" s="3">
        <f>IFERROR(__xludf.DUMMYFUNCTION("""COMPUTED_VALUE"""),228031.0)</f>
        <v>228031</v>
      </c>
      <c r="K2589" s="3" t="str">
        <f>IFERROR(__xludf.DUMMYFUNCTION("""COMPUTED_VALUE"""),"นายธนพงษ์ วันหมัด")</f>
        <v>นายธนพงษ์ วันหมัด</v>
      </c>
      <c r="L2589" s="1" t="str">
        <f>IFERROR(__xludf.DUMMYFUNCTION("""COMPUTED_VALUE"""),"นายธนพงษ์ วันหมัด")</f>
        <v>นายธนพงษ์ วันหมัด</v>
      </c>
      <c r="M2589" s="1" t="str">
        <f>IFERROR(__xludf.DUMMYFUNCTION("""COMPUTED_VALUE"""),"0813716913")</f>
        <v>0813716913</v>
      </c>
      <c r="N2589" s="3">
        <f>IFERROR(__xludf.DUMMYFUNCTION("""COMPUTED_VALUE"""),83349.0)</f>
        <v>83349</v>
      </c>
      <c r="O2589" s="3" t="str">
        <f>IFERROR(__xludf.DUMMYFUNCTION("""COMPUTED_VALUE"""),"ร้านพงษ์ศักดิ์ สโตร์ (คุณสุพัตรา )ลาดพร้าว")</f>
        <v>ร้านพงษ์ศักดิ์ สโตร์ (คุณสุพัตรา )ลาดพร้าว</v>
      </c>
      <c r="P2589" s="4">
        <f>IFERROR(__xludf.DUMMYFUNCTION("""COMPUTED_VALUE"""),44610.0)</f>
        <v>44610</v>
      </c>
      <c r="Q2589" s="3" t="str">
        <f>IFERROR(__xludf.DUMMYFUNCTION("""COMPUTED_VALUE"""),"I")</f>
        <v>I</v>
      </c>
      <c r="R2589" s="3" t="str">
        <f>IFERROR(__xludf.DUMMYFUNCTION("""COMPUTED_VALUE"""),"Small Format")</f>
        <v>Small Format</v>
      </c>
      <c r="S2589" s="3" t="str">
        <f>IFERROR(__xludf.DUMMYFUNCTION("""COMPUTED_VALUE"""),"Donjai")</f>
        <v>Donjai</v>
      </c>
      <c r="T2589" s="3" t="str">
        <f>IFERROR(__xludf.DUMMYFUNCTION("""COMPUTED_VALUE"""),"Donjai")</f>
        <v>Donjai</v>
      </c>
      <c r="U2589" s="3" t="str">
        <f>IFERROR(__xludf.DUMMYFUNCTION("""COMPUTED_VALUE"""),"Donjai")</f>
        <v>Donjai</v>
      </c>
      <c r="V2589" s="3" t="str">
        <f>IFERROR(__xludf.DUMMYFUNCTION("""COMPUTED_VALUE"""),"N")</f>
        <v>N</v>
      </c>
      <c r="W2589" s="3"/>
      <c r="X2589" s="3" t="str">
        <f>IFERROR(__xludf.DUMMYFUNCTION("""COMPUTED_VALUE"""),"361 ซอยลาดพร้าว 109 ถนน ลาดพร้าว แขวงคลองจั่น เขต บางกะปิ กรุงเทพ")</f>
        <v>361 ซอยลาดพร้าว 109 ถนน ลาดพร้าว แขวงคลองจั่น เขต บางกะปิ กรุงเทพ</v>
      </c>
      <c r="Y2589" s="3"/>
      <c r="Z2589" s="3">
        <f>IFERROR(__xludf.DUMMYFUNCTION("""COMPUTED_VALUE"""),0.0)</f>
        <v>0</v>
      </c>
      <c r="AA2589" s="3">
        <f>IFERROR(__xludf.DUMMYFUNCTION("""COMPUTED_VALUE"""),0.0)</f>
        <v>0</v>
      </c>
      <c r="AB2589" s="3" t="str">
        <f>IFERROR(__xludf.DUMMYFUNCTION("""COMPUTED_VALUE"""),"กรุงเทพมหานคร")</f>
        <v>กรุงเทพมหานคร</v>
      </c>
      <c r="AC2589" s="3">
        <f>IFERROR(__xludf.DUMMYFUNCTION("""COMPUTED_VALUE"""),0.0)</f>
        <v>0</v>
      </c>
      <c r="AD2589" s="3"/>
      <c r="AE2589" s="3"/>
      <c r="AF2589" s="3" t="str">
        <f>IFERROR(__xludf.DUMMYFUNCTION("""COMPUTED_VALUE"""),"ร้านพงษ์ศักดิ์ สโตร์ (คุณสุพัตรา )ลาดพร้าว-83349")</f>
        <v>ร้านพงษ์ศักดิ์ สโตร์ (คุณสุพัตรา )ลาดพร้าว-83349</v>
      </c>
      <c r="AG2589" s="3" t="str">
        <f>IFERROR(__xludf.DUMMYFUNCTION("""COMPUTED_VALUE"""),"กลาง")</f>
        <v>กลาง</v>
      </c>
      <c r="AH2589" s="3" t="str">
        <f>IFERROR(__xludf.DUMMYFUNCTION("""COMPUTED_VALUE"""),"#N/A")</f>
        <v>#N/A</v>
      </c>
      <c r="AI2589" s="3" t="str">
        <f>IFERROR(__xludf.DUMMYFUNCTION("""COMPUTED_VALUE"""),"Out of warranty")</f>
        <v>Out of warranty</v>
      </c>
      <c r="AJ2589" s="3">
        <f>IFERROR(__xludf.DUMMYFUNCTION("""COMPUTED_VALUE"""),48.0)</f>
        <v>48</v>
      </c>
      <c r="AK2589" s="3"/>
      <c r="AL2589" s="3"/>
    </row>
    <row r="2590" ht="15.75" customHeight="1">
      <c r="A2590" s="1" t="str">
        <f>IFERROR(__xludf.DUMMYFUNCTION("""COMPUTED_VALUE"""),"83350")</f>
        <v>83350</v>
      </c>
      <c r="B2590" s="2">
        <f>IFERROR(__xludf.DUMMYFUNCTION("""COMPUTED_VALUE"""),83350.0)</f>
        <v>83350</v>
      </c>
      <c r="C2590" s="3" t="str">
        <f>IFERROR(__xludf.DUMMYFUNCTION("""COMPUTED_VALUE"""),"ร้านโดนใจน้องฮันนี่")</f>
        <v>ร้านโดนใจน้องฮันนี่</v>
      </c>
      <c r="D2590" s="3" t="str">
        <f>IFERROR(__xludf.DUMMYFUNCTION("""COMPUTED_VALUE"""),"ร้านโดนใจน้องฮันนี่")</f>
        <v>ร้านโดนใจน้องฮันนี่</v>
      </c>
      <c r="E2590" s="1" t="str">
        <f>IFERROR(__xludf.DUMMYFUNCTION("""COMPUTED_VALUE"""),"Donjai")</f>
        <v>Donjai</v>
      </c>
      <c r="F2590" s="1" t="str">
        <f>IFERROR(__xludf.DUMMYFUNCTION("""COMPUTED_VALUE"""),"296945")</f>
        <v>296945</v>
      </c>
      <c r="G2590" s="1" t="str">
        <f>IFERROR(__xludf.DUMMYFUNCTION("""COMPUTED_VALUE"""),"นายรักพงศ์ พงศ์พันธ์งาม")</f>
        <v>นายรักพงศ์ พงศ์พันธ์งาม</v>
      </c>
      <c r="H2590" s="1" t="str">
        <f>IFERROR(__xludf.DUMMYFUNCTION("""COMPUTED_VALUE"""),"296945")</f>
        <v>296945</v>
      </c>
      <c r="I2590" s="1" t="str">
        <f>IFERROR(__xludf.DUMMYFUNCTION("""COMPUTED_VALUE"""),"นายรักพงศ์ พงศ์พันธ์งาม")</f>
        <v>นายรักพงศ์ พงศ์พันธ์งาม</v>
      </c>
      <c r="J2590" s="3">
        <f>IFERROR(__xludf.DUMMYFUNCTION("""COMPUTED_VALUE"""),228031.0)</f>
        <v>228031</v>
      </c>
      <c r="K2590" s="3" t="str">
        <f>IFERROR(__xludf.DUMMYFUNCTION("""COMPUTED_VALUE"""),"นายธนพงษ์ วันหมัด")</f>
        <v>นายธนพงษ์ วันหมัด</v>
      </c>
      <c r="L2590" s="1" t="str">
        <f>IFERROR(__xludf.DUMMYFUNCTION("""COMPUTED_VALUE"""),"นายธนพงษ์ วันหมัด")</f>
        <v>นายธนพงษ์ วันหมัด</v>
      </c>
      <c r="M2590" s="1" t="str">
        <f>IFERROR(__xludf.DUMMYFUNCTION("""COMPUTED_VALUE"""),"0813716913")</f>
        <v>0813716913</v>
      </c>
      <c r="N2590" s="3">
        <f>IFERROR(__xludf.DUMMYFUNCTION("""COMPUTED_VALUE"""),83350.0)</f>
        <v>83350</v>
      </c>
      <c r="O2590" s="3" t="str">
        <f>IFERROR(__xludf.DUMMYFUNCTION("""COMPUTED_VALUE"""),"ร้านโดนใจน้องฮันนี่")</f>
        <v>ร้านโดนใจน้องฮันนี่</v>
      </c>
      <c r="P2590" s="4">
        <f>IFERROR(__xludf.DUMMYFUNCTION("""COMPUTED_VALUE"""),44619.0)</f>
        <v>44619</v>
      </c>
      <c r="Q2590" s="3" t="str">
        <f>IFERROR(__xludf.DUMMYFUNCTION("""COMPUTED_VALUE"""),"I")</f>
        <v>I</v>
      </c>
      <c r="R2590" s="3" t="str">
        <f>IFERROR(__xludf.DUMMYFUNCTION("""COMPUTED_VALUE"""),"Small Format")</f>
        <v>Small Format</v>
      </c>
      <c r="S2590" s="3" t="str">
        <f>IFERROR(__xludf.DUMMYFUNCTION("""COMPUTED_VALUE"""),"Donjai")</f>
        <v>Donjai</v>
      </c>
      <c r="T2590" s="3">
        <f>IFERROR(__xludf.DUMMYFUNCTION("""COMPUTED_VALUE"""),0.0)</f>
        <v>0</v>
      </c>
      <c r="U2590" s="3">
        <f>IFERROR(__xludf.DUMMYFUNCTION("""COMPUTED_VALUE"""),0.0)</f>
        <v>0</v>
      </c>
      <c r="V2590" s="3" t="str">
        <f>IFERROR(__xludf.DUMMYFUNCTION("""COMPUTED_VALUE"""),"N")</f>
        <v>N</v>
      </c>
      <c r="W2590" s="3"/>
      <c r="X2590" s="3" t="str">
        <f>IFERROR(__xludf.DUMMYFUNCTION("""COMPUTED_VALUE"""),"27/10 ถนนสุขาภิบาล5 ตำบลบางพลี อำเภอบางพลี จังหวัดสมุทรปราการ")</f>
        <v>27/10 ถนนสุขาภิบาล5 ตำบลบางพลี อำเภอบางพลี จังหวัดสมุทรปราการ</v>
      </c>
      <c r="Y2590" s="3"/>
      <c r="Z2590" s="3">
        <f>IFERROR(__xludf.DUMMYFUNCTION("""COMPUTED_VALUE"""),0.0)</f>
        <v>0</v>
      </c>
      <c r="AA2590" s="3">
        <f>IFERROR(__xludf.DUMMYFUNCTION("""COMPUTED_VALUE"""),0.0)</f>
        <v>0</v>
      </c>
      <c r="AB2590" s="3" t="str">
        <f>IFERROR(__xludf.DUMMYFUNCTION("""COMPUTED_VALUE"""),"สมุทรปราการ")</f>
        <v>สมุทรปราการ</v>
      </c>
      <c r="AC2590" s="3">
        <f>IFERROR(__xludf.DUMMYFUNCTION("""COMPUTED_VALUE"""),0.0)</f>
        <v>0</v>
      </c>
      <c r="AD2590" s="3"/>
      <c r="AE2590" s="3"/>
      <c r="AF2590" s="3" t="str">
        <f>IFERROR(__xludf.DUMMYFUNCTION("""COMPUTED_VALUE"""),"ร้านโดนใจน้องฮันนี่-83350")</f>
        <v>ร้านโดนใจน้องฮันนี่-83350</v>
      </c>
      <c r="AG2590" s="3" t="str">
        <f>IFERROR(__xludf.DUMMYFUNCTION("""COMPUTED_VALUE"""),"กลาง")</f>
        <v>กลาง</v>
      </c>
      <c r="AH2590" s="3" t="str">
        <f>IFERROR(__xludf.DUMMYFUNCTION("""COMPUTED_VALUE"""),"#N/A")</f>
        <v>#N/A</v>
      </c>
      <c r="AI2590" s="3" t="str">
        <f>IFERROR(__xludf.DUMMYFUNCTION("""COMPUTED_VALUE"""),"Out of warranty")</f>
        <v>Out of warranty</v>
      </c>
      <c r="AJ2590" s="3">
        <f>IFERROR(__xludf.DUMMYFUNCTION("""COMPUTED_VALUE"""),47.0)</f>
        <v>47</v>
      </c>
      <c r="AK2590" s="3"/>
      <c r="AL2590" s="3"/>
    </row>
    <row r="2591" ht="15.75" customHeight="1">
      <c r="A2591" s="1" t="str">
        <f>IFERROR(__xludf.DUMMYFUNCTION("""COMPUTED_VALUE"""),"83351")</f>
        <v>83351</v>
      </c>
      <c r="B2591" s="2">
        <f>IFERROR(__xludf.DUMMYFUNCTION("""COMPUTED_VALUE"""),83351.0)</f>
        <v>83351</v>
      </c>
      <c r="C2591" s="3" t="str">
        <f>IFERROR(__xludf.DUMMYFUNCTION("""COMPUTED_VALUE"""),"ร้านโดนใจKIM&amp;J")</f>
        <v>ร้านโดนใจKIM&amp;J</v>
      </c>
      <c r="D2591" s="3" t="str">
        <f>IFERROR(__xludf.DUMMYFUNCTION("""COMPUTED_VALUE"""),"ร้านโดนใจKIM&amp;J")</f>
        <v>ร้านโดนใจKIM&amp;J</v>
      </c>
      <c r="E2591" s="1" t="str">
        <f>IFERROR(__xludf.DUMMYFUNCTION("""COMPUTED_VALUE"""),"Donjai")</f>
        <v>Donjai</v>
      </c>
      <c r="F2591" s="1" t="str">
        <f>IFERROR(__xludf.DUMMYFUNCTION("""COMPUTED_VALUE"""),"2010023")</f>
        <v>2010023</v>
      </c>
      <c r="G2591" s="1" t="str">
        <f>IFERROR(__xludf.DUMMYFUNCTION("""COMPUTED_VALUE"""),"นายวศิน ไวยรูป")</f>
        <v>นายวศิน ไวยรูป</v>
      </c>
      <c r="H2591" s="1" t="str">
        <f>IFERROR(__xludf.DUMMYFUNCTION("""COMPUTED_VALUE"""),"2010023")</f>
        <v>2010023</v>
      </c>
      <c r="I2591" s="1" t="str">
        <f>IFERROR(__xludf.DUMMYFUNCTION("""COMPUTED_VALUE"""),"นายวศิน ไวยรูป")</f>
        <v>นายวศิน ไวยรูป</v>
      </c>
      <c r="J2591" s="3">
        <f>IFERROR(__xludf.DUMMYFUNCTION("""COMPUTED_VALUE"""),228031.0)</f>
        <v>228031</v>
      </c>
      <c r="K2591" s="3" t="str">
        <f>IFERROR(__xludf.DUMMYFUNCTION("""COMPUTED_VALUE"""),"นายธนพงษ์ วันหมัด")</f>
        <v>นายธนพงษ์ วันหมัด</v>
      </c>
      <c r="L2591" s="1" t="str">
        <f>IFERROR(__xludf.DUMMYFUNCTION("""COMPUTED_VALUE"""),"นายธนพงษ์ วันหมัด")</f>
        <v>นายธนพงษ์ วันหมัด</v>
      </c>
      <c r="M2591" s="1" t="str">
        <f>IFERROR(__xludf.DUMMYFUNCTION("""COMPUTED_VALUE"""),"0813716913")</f>
        <v>0813716913</v>
      </c>
      <c r="N2591" s="3">
        <f>IFERROR(__xludf.DUMMYFUNCTION("""COMPUTED_VALUE"""),83351.0)</f>
        <v>83351</v>
      </c>
      <c r="O2591" s="3" t="str">
        <f>IFERROR(__xludf.DUMMYFUNCTION("""COMPUTED_VALUE"""),"ร้านโดนใจKIM&amp;J")</f>
        <v>ร้านโดนใจKIM&amp;J</v>
      </c>
      <c r="P2591" s="4">
        <f>IFERROR(__xludf.DUMMYFUNCTION("""COMPUTED_VALUE"""),44613.0)</f>
        <v>44613</v>
      </c>
      <c r="Q2591" s="3" t="str">
        <f>IFERROR(__xludf.DUMMYFUNCTION("""COMPUTED_VALUE"""),"I")</f>
        <v>I</v>
      </c>
      <c r="R2591" s="3" t="str">
        <f>IFERROR(__xludf.DUMMYFUNCTION("""COMPUTED_VALUE"""),"Small Format")</f>
        <v>Small Format</v>
      </c>
      <c r="S2591" s="3" t="str">
        <f>IFERROR(__xludf.DUMMYFUNCTION("""COMPUTED_VALUE"""),"Donjai")</f>
        <v>Donjai</v>
      </c>
      <c r="T2591" s="3" t="str">
        <f>IFERROR(__xludf.DUMMYFUNCTION("""COMPUTED_VALUE"""),"Donjai")</f>
        <v>Donjai</v>
      </c>
      <c r="U2591" s="3" t="str">
        <f>IFERROR(__xludf.DUMMYFUNCTION("""COMPUTED_VALUE"""),"Donjai")</f>
        <v>Donjai</v>
      </c>
      <c r="V2591" s="3" t="str">
        <f>IFERROR(__xludf.DUMMYFUNCTION("""COMPUTED_VALUE"""),"N")</f>
        <v>N</v>
      </c>
      <c r="W2591" s="3"/>
      <c r="X2591" s="3" t="str">
        <f>IFERROR(__xludf.DUMMYFUNCTION("""COMPUTED_VALUE"""),"56/5 ถนนรามคำแหง แขวงดอกไม้ เขตประเวศ จังหวัด กรุงเทพมหานคร 10260")</f>
        <v>56/5 ถนนรามคำแหง แขวงดอกไม้ เขตประเวศ จังหวัด กรุงเทพมหานคร 10260</v>
      </c>
      <c r="Y2591" s="3"/>
      <c r="Z2591" s="3" t="str">
        <f>IFERROR(__xludf.DUMMYFUNCTION("""COMPUTED_VALUE"""),"ดอกไม้")</f>
        <v>ดอกไม้</v>
      </c>
      <c r="AA2591" s="3" t="str">
        <f>IFERROR(__xludf.DUMMYFUNCTION("""COMPUTED_VALUE"""),"ประเวศ")</f>
        <v>ประเวศ</v>
      </c>
      <c r="AB2591" s="3" t="str">
        <f>IFERROR(__xludf.DUMMYFUNCTION("""COMPUTED_VALUE"""),"กรุงเทพมหานคร")</f>
        <v>กรุงเทพมหานคร</v>
      </c>
      <c r="AC2591" s="3">
        <f>IFERROR(__xludf.DUMMYFUNCTION("""COMPUTED_VALUE"""),10260.0)</f>
        <v>10260</v>
      </c>
      <c r="AD2591" s="3"/>
      <c r="AE2591" s="3"/>
      <c r="AF2591" s="3" t="str">
        <f>IFERROR(__xludf.DUMMYFUNCTION("""COMPUTED_VALUE"""),"ร้านโดนใจKIM&amp;J-83351")</f>
        <v>ร้านโดนใจKIM&amp;J-83351</v>
      </c>
      <c r="AG2591" s="3" t="str">
        <f>IFERROR(__xludf.DUMMYFUNCTION("""COMPUTED_VALUE"""),"กลาง")</f>
        <v>กลาง</v>
      </c>
      <c r="AH2591" s="3" t="str">
        <f>IFERROR(__xludf.DUMMYFUNCTION("""COMPUTED_VALUE"""),"#N/A")</f>
        <v>#N/A</v>
      </c>
      <c r="AI2591" s="3" t="str">
        <f>IFERROR(__xludf.DUMMYFUNCTION("""COMPUTED_VALUE"""),"Out of warranty")</f>
        <v>Out of warranty</v>
      </c>
      <c r="AJ2591" s="3">
        <f>IFERROR(__xludf.DUMMYFUNCTION("""COMPUTED_VALUE"""),47.0)</f>
        <v>47</v>
      </c>
      <c r="AK2591" s="3"/>
      <c r="AL2591" s="3"/>
    </row>
    <row r="2592" ht="15.75" customHeight="1">
      <c r="A2592" s="1" t="str">
        <f>IFERROR(__xludf.DUMMYFUNCTION("""COMPUTED_VALUE"""),"83352")</f>
        <v>83352</v>
      </c>
      <c r="B2592" s="2">
        <f>IFERROR(__xludf.DUMMYFUNCTION("""COMPUTED_VALUE"""),83352.0)</f>
        <v>83352</v>
      </c>
      <c r="C2592" s="3" t="str">
        <f>IFERROR(__xludf.DUMMYFUNCTION("""COMPUTED_VALUE"""),"ร้านโดนใจ มีตังเป๋าตุง")</f>
        <v>ร้านโดนใจ มีตังเป๋าตุง</v>
      </c>
      <c r="D2592" s="3" t="str">
        <f>IFERROR(__xludf.DUMMYFUNCTION("""COMPUTED_VALUE"""),"ร้านโดนใจ มีตังเป๋าตุง")</f>
        <v>ร้านโดนใจ มีตังเป๋าตุง</v>
      </c>
      <c r="E2592" s="1" t="str">
        <f>IFERROR(__xludf.DUMMYFUNCTION("""COMPUTED_VALUE"""),"Donjai")</f>
        <v>Donjai</v>
      </c>
      <c r="F2592" s="1" t="str">
        <f>IFERROR(__xludf.DUMMYFUNCTION("""COMPUTED_VALUE"""),"2451655")</f>
        <v>2451655</v>
      </c>
      <c r="G2592" s="1" t="str">
        <f>IFERROR(__xludf.DUMMYFUNCTION("""COMPUTED_VALUE"""),"นายวิษณุพงษ์ ชินบุตร")</f>
        <v>นายวิษณุพงษ์ ชินบุตร</v>
      </c>
      <c r="H2592" s="1" t="str">
        <f>IFERROR(__xludf.DUMMYFUNCTION("""COMPUTED_VALUE"""),"2451655")</f>
        <v>2451655</v>
      </c>
      <c r="I2592" s="1" t="str">
        <f>IFERROR(__xludf.DUMMYFUNCTION("""COMPUTED_VALUE"""),"นายวิษณุพงษ์ ชินบุตร")</f>
        <v>นายวิษณุพงษ์ ชินบุตร</v>
      </c>
      <c r="J2592" s="3">
        <f>IFERROR(__xludf.DUMMYFUNCTION("""COMPUTED_VALUE"""),228031.0)</f>
        <v>228031</v>
      </c>
      <c r="K2592" s="3" t="str">
        <f>IFERROR(__xludf.DUMMYFUNCTION("""COMPUTED_VALUE"""),"นายธนพงษ์ วันหมัด")</f>
        <v>นายธนพงษ์ วันหมัด</v>
      </c>
      <c r="L2592" s="1" t="str">
        <f>IFERROR(__xludf.DUMMYFUNCTION("""COMPUTED_VALUE"""),"นายธนพงษ์ วันหมัด")</f>
        <v>นายธนพงษ์ วันหมัด</v>
      </c>
      <c r="M2592" s="1" t="str">
        <f>IFERROR(__xludf.DUMMYFUNCTION("""COMPUTED_VALUE"""),"0813716913")</f>
        <v>0813716913</v>
      </c>
      <c r="N2592" s="3">
        <f>IFERROR(__xludf.DUMMYFUNCTION("""COMPUTED_VALUE"""),83352.0)</f>
        <v>83352</v>
      </c>
      <c r="O2592" s="3" t="str">
        <f>IFERROR(__xludf.DUMMYFUNCTION("""COMPUTED_VALUE"""),"ร้านโดนใจ มีตังเป๋าตุง")</f>
        <v>ร้านโดนใจ มีตังเป๋าตุง</v>
      </c>
      <c r="P2592" s="4">
        <f>IFERROR(__xludf.DUMMYFUNCTION("""COMPUTED_VALUE"""),44606.0)</f>
        <v>44606</v>
      </c>
      <c r="Q2592" s="3" t="str">
        <f>IFERROR(__xludf.DUMMYFUNCTION("""COMPUTED_VALUE"""),"I")</f>
        <v>I</v>
      </c>
      <c r="R2592" s="3" t="str">
        <f>IFERROR(__xludf.DUMMYFUNCTION("""COMPUTED_VALUE"""),"Small Format")</f>
        <v>Small Format</v>
      </c>
      <c r="S2592" s="3" t="str">
        <f>IFERROR(__xludf.DUMMYFUNCTION("""COMPUTED_VALUE"""),"Donjai")</f>
        <v>Donjai</v>
      </c>
      <c r="T2592" s="3" t="str">
        <f>IFERROR(__xludf.DUMMYFUNCTION("""COMPUTED_VALUE"""),"13 K.Wisanupong Ch")</f>
        <v>13 K.Wisanupong Ch</v>
      </c>
      <c r="U2592" s="3" t="str">
        <f>IFERROR(__xludf.DUMMYFUNCTION("""COMPUTED_VALUE"""),"13 K.Wisanupong Ch")</f>
        <v>13 K.Wisanupong Ch</v>
      </c>
      <c r="V2592" s="3" t="str">
        <f>IFERROR(__xludf.DUMMYFUNCTION("""COMPUTED_VALUE"""),"N")</f>
        <v>N</v>
      </c>
      <c r="W2592" s="3"/>
      <c r="X2592" s="3" t="str">
        <f>IFERROR(__xludf.DUMMYFUNCTION("""COMPUTED_VALUE"""),"เลขที่ 104/95 หมู่ 12 ซ.รัตนโชค 12 ต.บางปลา อ.บางพลี จ.สมุทรปราการ 10540")</f>
        <v>เลขที่ 104/95 หมู่ 12 ซ.รัตนโชค 12 ต.บางปลา อ.บางพลี จ.สมุทรปราการ 10540</v>
      </c>
      <c r="Y2592" s="3"/>
      <c r="Z2592" s="3">
        <f>IFERROR(__xludf.DUMMYFUNCTION("""COMPUTED_VALUE"""),0.0)</f>
        <v>0</v>
      </c>
      <c r="AA2592" s="3">
        <f>IFERROR(__xludf.DUMMYFUNCTION("""COMPUTED_VALUE"""),0.0)</f>
        <v>0</v>
      </c>
      <c r="AB2592" s="3" t="str">
        <f>IFERROR(__xludf.DUMMYFUNCTION("""COMPUTED_VALUE"""),"สมุทรปราการ")</f>
        <v>สมุทรปราการ</v>
      </c>
      <c r="AC2592" s="3">
        <f>IFERROR(__xludf.DUMMYFUNCTION("""COMPUTED_VALUE"""),10540.0)</f>
        <v>10540</v>
      </c>
      <c r="AD2592" s="3"/>
      <c r="AE2592" s="3"/>
      <c r="AF2592" s="3" t="str">
        <f>IFERROR(__xludf.DUMMYFUNCTION("""COMPUTED_VALUE"""),"ร้านโดนใจ มีตังเป๋าตุง-83352")</f>
        <v>ร้านโดนใจ มีตังเป๋าตุง-83352</v>
      </c>
      <c r="AG2592" s="3" t="str">
        <f>IFERROR(__xludf.DUMMYFUNCTION("""COMPUTED_VALUE"""),"กลาง")</f>
        <v>กลาง</v>
      </c>
      <c r="AH2592" s="3" t="str">
        <f>IFERROR(__xludf.DUMMYFUNCTION("""COMPUTED_VALUE"""),"#N/A")</f>
        <v>#N/A</v>
      </c>
      <c r="AI2592" s="3" t="str">
        <f>IFERROR(__xludf.DUMMYFUNCTION("""COMPUTED_VALUE"""),"Out of warranty")</f>
        <v>Out of warranty</v>
      </c>
      <c r="AJ2592" s="3">
        <f>IFERROR(__xludf.DUMMYFUNCTION("""COMPUTED_VALUE"""),48.0)</f>
        <v>48</v>
      </c>
      <c r="AK2592" s="3"/>
      <c r="AL2592" s="3"/>
    </row>
    <row r="2593" ht="15.75" customHeight="1">
      <c r="A2593" s="1" t="str">
        <f>IFERROR(__xludf.DUMMYFUNCTION("""COMPUTED_VALUE"""),"83356")</f>
        <v>83356</v>
      </c>
      <c r="B2593" s="2">
        <f>IFERROR(__xludf.DUMMYFUNCTION("""COMPUTED_VALUE"""),83356.0)</f>
        <v>83356</v>
      </c>
      <c r="C2593" s="3" t="str">
        <f>IFERROR(__xludf.DUMMYFUNCTION("""COMPUTED_VALUE"""),"ร้านธ.รุ่งเรือง (คุณปราโมทย์)")</f>
        <v>ร้านธ.รุ่งเรือง (คุณปราโมทย์)</v>
      </c>
      <c r="D2593" s="3" t="str">
        <f>IFERROR(__xludf.DUMMYFUNCTION("""COMPUTED_VALUE"""),"ร้านธ.รุ่งเรือง (คุณปราโมทย์)")</f>
        <v>ร้านธ.รุ่งเรือง (คุณปราโมทย์)</v>
      </c>
      <c r="E2593" s="1" t="str">
        <f>IFERROR(__xludf.DUMMYFUNCTION("""COMPUTED_VALUE"""),"Donjai")</f>
        <v>Donjai</v>
      </c>
      <c r="F2593" s="1" t="str">
        <f>IFERROR(__xludf.DUMMYFUNCTION("""COMPUTED_VALUE"""),"296608")</f>
        <v>296608</v>
      </c>
      <c r="G2593" s="1" t="str">
        <f>IFERROR(__xludf.DUMMYFUNCTION("""COMPUTED_VALUE"""),"นายภาคภูมิ เพ็ชรนิล")</f>
        <v>นายภาคภูมิ เพ็ชรนิล</v>
      </c>
      <c r="H2593" s="1" t="str">
        <f>IFERROR(__xludf.DUMMYFUNCTION("""COMPUTED_VALUE"""),"296608")</f>
        <v>296608</v>
      </c>
      <c r="I2593" s="1" t="str">
        <f>IFERROR(__xludf.DUMMYFUNCTION("""COMPUTED_VALUE"""),"นายภาคภูมิ เพ็ชรนิล")</f>
        <v>นายภาคภูมิ เพ็ชรนิล</v>
      </c>
      <c r="J2593" s="3">
        <f>IFERROR(__xludf.DUMMYFUNCTION("""COMPUTED_VALUE"""),228031.0)</f>
        <v>228031</v>
      </c>
      <c r="K2593" s="3" t="str">
        <f>IFERROR(__xludf.DUMMYFUNCTION("""COMPUTED_VALUE"""),"นายธนพงษ์ วันหมัด")</f>
        <v>นายธนพงษ์ วันหมัด</v>
      </c>
      <c r="L2593" s="1" t="str">
        <f>IFERROR(__xludf.DUMMYFUNCTION("""COMPUTED_VALUE"""),"นายธนพงษ์ วันหมัด")</f>
        <v>นายธนพงษ์ วันหมัด</v>
      </c>
      <c r="M2593" s="1" t="str">
        <f>IFERROR(__xludf.DUMMYFUNCTION("""COMPUTED_VALUE"""),"0813716913")</f>
        <v>0813716913</v>
      </c>
      <c r="N2593" s="3">
        <f>IFERROR(__xludf.DUMMYFUNCTION("""COMPUTED_VALUE"""),83356.0)</f>
        <v>83356</v>
      </c>
      <c r="O2593" s="3" t="str">
        <f>IFERROR(__xludf.DUMMYFUNCTION("""COMPUTED_VALUE"""),"ร้านธ.รุ่งเรือง (คุณปราโมทย์)")</f>
        <v>ร้านธ.รุ่งเรือง (คุณปราโมทย์)</v>
      </c>
      <c r="P2593" s="4">
        <f>IFERROR(__xludf.DUMMYFUNCTION("""COMPUTED_VALUE"""),44722.0)</f>
        <v>44722</v>
      </c>
      <c r="Q2593" s="3" t="str">
        <f>IFERROR(__xludf.DUMMYFUNCTION("""COMPUTED_VALUE"""),"I")</f>
        <v>I</v>
      </c>
      <c r="R2593" s="3" t="str">
        <f>IFERROR(__xludf.DUMMYFUNCTION("""COMPUTED_VALUE"""),"Small Format")</f>
        <v>Small Format</v>
      </c>
      <c r="S2593" s="3" t="str">
        <f>IFERROR(__xludf.DUMMYFUNCTION("""COMPUTED_VALUE"""),"Donjai")</f>
        <v>Donjai</v>
      </c>
      <c r="T2593" s="3" t="str">
        <f>IFERROR(__xludf.DUMMYFUNCTION("""COMPUTED_VALUE"""),"10 K.Phakphoom P.")</f>
        <v>10 K.Phakphoom P.</v>
      </c>
      <c r="U2593" s="3" t="str">
        <f>IFERROR(__xludf.DUMMYFUNCTION("""COMPUTED_VALUE"""),"10 K.Phakphoom P.")</f>
        <v>10 K.Phakphoom P.</v>
      </c>
      <c r="V2593" s="3" t="str">
        <f>IFERROR(__xludf.DUMMYFUNCTION("""COMPUTED_VALUE"""),"N")</f>
        <v>N</v>
      </c>
      <c r="W2593" s="3"/>
      <c r="X2593" s="3" t="str">
        <f>IFERROR(__xludf.DUMMYFUNCTION("""COMPUTED_VALUE"""),"48 หมู่ 1 ต.บ้านลาด อ.บ้านลาด จ.เพชรบุรี 76150")</f>
        <v>48 หมู่ 1 ต.บ้านลาด อ.บ้านลาด จ.เพชรบุรี 76150</v>
      </c>
      <c r="Y2593" s="3"/>
      <c r="Z2593" s="3" t="str">
        <f>IFERROR(__xludf.DUMMYFUNCTION("""COMPUTED_VALUE"""),"บ้านลาด")</f>
        <v>บ้านลาด</v>
      </c>
      <c r="AA2593" s="3" t="str">
        <f>IFERROR(__xludf.DUMMYFUNCTION("""COMPUTED_VALUE"""),"บ้านลาด")</f>
        <v>บ้านลาด</v>
      </c>
      <c r="AB2593" s="3" t="str">
        <f>IFERROR(__xludf.DUMMYFUNCTION("""COMPUTED_VALUE"""),"เพชรบุรี")</f>
        <v>เพชรบุรี</v>
      </c>
      <c r="AC2593" s="3">
        <f>IFERROR(__xludf.DUMMYFUNCTION("""COMPUTED_VALUE"""),76150.0)</f>
        <v>76150</v>
      </c>
      <c r="AD2593" s="3"/>
      <c r="AE2593" s="3"/>
      <c r="AF2593" s="3" t="str">
        <f>IFERROR(__xludf.DUMMYFUNCTION("""COMPUTED_VALUE"""),"ร้านธ.รุ่งเรือง (คุณปราโมทย์)-83356")</f>
        <v>ร้านธ.รุ่งเรือง (คุณปราโมทย์)-83356</v>
      </c>
      <c r="AG2593" s="3" t="str">
        <f>IFERROR(__xludf.DUMMYFUNCTION("""COMPUTED_VALUE"""),"ตะวันตก")</f>
        <v>ตะวันตก</v>
      </c>
      <c r="AH2593" s="3" t="str">
        <f>IFERROR(__xludf.DUMMYFUNCTION("""COMPUTED_VALUE"""),"#N/A")</f>
        <v>#N/A</v>
      </c>
      <c r="AI2593" s="3" t="str">
        <f>IFERROR(__xludf.DUMMYFUNCTION("""COMPUTED_VALUE"""),"Out of warranty")</f>
        <v>Out of warranty</v>
      </c>
      <c r="AJ2593" s="3">
        <f>IFERROR(__xludf.DUMMYFUNCTION("""COMPUTED_VALUE"""),44.0)</f>
        <v>44</v>
      </c>
      <c r="AK2593" s="3"/>
      <c r="AL2593" s="3"/>
    </row>
    <row r="2594" ht="15.75" customHeight="1">
      <c r="A2594" s="1" t="str">
        <f>IFERROR(__xludf.DUMMYFUNCTION("""COMPUTED_VALUE"""),"83357")</f>
        <v>83357</v>
      </c>
      <c r="B2594" s="2">
        <f>IFERROR(__xludf.DUMMYFUNCTION("""COMPUTED_VALUE"""),83357.0)</f>
        <v>83357</v>
      </c>
      <c r="C2594" s="3" t="str">
        <f>IFERROR(__xludf.DUMMYFUNCTION("""COMPUTED_VALUE"""),"ร้านเจ๊เปิ้ลมินิมาร์ท")</f>
        <v>ร้านเจ๊เปิ้ลมินิมาร์ท</v>
      </c>
      <c r="D2594" s="3" t="str">
        <f>IFERROR(__xludf.DUMMYFUNCTION("""COMPUTED_VALUE"""),"ร้านเจ๊เปิ้ลมินิมาร์ท")</f>
        <v>ร้านเจ๊เปิ้ลมินิมาร์ท</v>
      </c>
      <c r="E2594" s="1" t="str">
        <f>IFERROR(__xludf.DUMMYFUNCTION("""COMPUTED_VALUE"""),"Donjai")</f>
        <v>Donjai</v>
      </c>
      <c r="F2594" s="1" t="str">
        <f>IFERROR(__xludf.DUMMYFUNCTION("""COMPUTED_VALUE"""),"296608")</f>
        <v>296608</v>
      </c>
      <c r="G2594" s="1" t="str">
        <f>IFERROR(__xludf.DUMMYFUNCTION("""COMPUTED_VALUE"""),"นายภาคภูมิ เพ็ชรนิล")</f>
        <v>นายภาคภูมิ เพ็ชรนิล</v>
      </c>
      <c r="H2594" s="1" t="str">
        <f>IFERROR(__xludf.DUMMYFUNCTION("""COMPUTED_VALUE"""),"296608")</f>
        <v>296608</v>
      </c>
      <c r="I2594" s="1" t="str">
        <f>IFERROR(__xludf.DUMMYFUNCTION("""COMPUTED_VALUE"""),"นายภาคภูมิ เพ็ชรนิล")</f>
        <v>นายภาคภูมิ เพ็ชรนิล</v>
      </c>
      <c r="J2594" s="3">
        <f>IFERROR(__xludf.DUMMYFUNCTION("""COMPUTED_VALUE"""),228031.0)</f>
        <v>228031</v>
      </c>
      <c r="K2594" s="3" t="str">
        <f>IFERROR(__xludf.DUMMYFUNCTION("""COMPUTED_VALUE"""),"นายธนพงษ์ วันหมัด")</f>
        <v>นายธนพงษ์ วันหมัด</v>
      </c>
      <c r="L2594" s="1" t="str">
        <f>IFERROR(__xludf.DUMMYFUNCTION("""COMPUTED_VALUE"""),"นายธนพงษ์ วันหมัด")</f>
        <v>นายธนพงษ์ วันหมัด</v>
      </c>
      <c r="M2594" s="1" t="str">
        <f>IFERROR(__xludf.DUMMYFUNCTION("""COMPUTED_VALUE"""),"0813716913")</f>
        <v>0813716913</v>
      </c>
      <c r="N2594" s="3">
        <f>IFERROR(__xludf.DUMMYFUNCTION("""COMPUTED_VALUE"""),83357.0)</f>
        <v>83357</v>
      </c>
      <c r="O2594" s="3" t="str">
        <f>IFERROR(__xludf.DUMMYFUNCTION("""COMPUTED_VALUE"""),"ร้านเจ๊เปิ้ลมินิมาร์ท")</f>
        <v>ร้านเจ๊เปิ้ลมินิมาร์ท</v>
      </c>
      <c r="P2594" s="4">
        <f>IFERROR(__xludf.DUMMYFUNCTION("""COMPUTED_VALUE"""),44606.0)</f>
        <v>44606</v>
      </c>
      <c r="Q2594" s="3" t="str">
        <f>IFERROR(__xludf.DUMMYFUNCTION("""COMPUTED_VALUE"""),"A")</f>
        <v>A</v>
      </c>
      <c r="R2594" s="3" t="str">
        <f>IFERROR(__xludf.DUMMYFUNCTION("""COMPUTED_VALUE"""),"Small Format")</f>
        <v>Small Format</v>
      </c>
      <c r="S2594" s="3" t="str">
        <f>IFERROR(__xludf.DUMMYFUNCTION("""COMPUTED_VALUE"""),"Donjai")</f>
        <v>Donjai</v>
      </c>
      <c r="T2594" s="3" t="str">
        <f>IFERROR(__xludf.DUMMYFUNCTION("""COMPUTED_VALUE"""),"10 K.Phakphoom P.")</f>
        <v>10 K.Phakphoom P.</v>
      </c>
      <c r="U2594" s="3" t="str">
        <f>IFERROR(__xludf.DUMMYFUNCTION("""COMPUTED_VALUE"""),"10 K.Phakphoom P.")</f>
        <v>10 K.Phakphoom P.</v>
      </c>
      <c r="V2594" s="3" t="str">
        <f>IFERROR(__xludf.DUMMYFUNCTION("""COMPUTED_VALUE"""),"N")</f>
        <v>N</v>
      </c>
      <c r="W2594" s="3"/>
      <c r="X2594" s="3" t="str">
        <f>IFERROR(__xludf.DUMMYFUNCTION("""COMPUTED_VALUE"""),"55 หมู่ 2 ต.หนองชุมพลเหนือ อ.เขาย้อย จ.เพชรบุรี 76140")</f>
        <v>55 หมู่ 2 ต.หนองชุมพลเหนือ อ.เขาย้อย จ.เพชรบุรี 76140</v>
      </c>
      <c r="Y2594" s="3"/>
      <c r="Z2594" s="3" t="str">
        <f>IFERROR(__xludf.DUMMYFUNCTION("""COMPUTED_VALUE"""),"หนองชุมพลเหนือ")</f>
        <v>หนองชุมพลเหนือ</v>
      </c>
      <c r="AA2594" s="3" t="str">
        <f>IFERROR(__xludf.DUMMYFUNCTION("""COMPUTED_VALUE"""),"เขาย้อย")</f>
        <v>เขาย้อย</v>
      </c>
      <c r="AB2594" s="3" t="str">
        <f>IFERROR(__xludf.DUMMYFUNCTION("""COMPUTED_VALUE"""),"เพชรบุรี")</f>
        <v>เพชรบุรี</v>
      </c>
      <c r="AC2594" s="3">
        <f>IFERROR(__xludf.DUMMYFUNCTION("""COMPUTED_VALUE"""),76140.0)</f>
        <v>76140</v>
      </c>
      <c r="AD2594" s="3"/>
      <c r="AE2594" s="3"/>
      <c r="AF2594" s="3" t="str">
        <f>IFERROR(__xludf.DUMMYFUNCTION("""COMPUTED_VALUE"""),"ร้านเจ๊เปิ้ลมินิมาร์ท-83357")</f>
        <v>ร้านเจ๊เปิ้ลมินิมาร์ท-83357</v>
      </c>
      <c r="AG2594" s="3" t="str">
        <f>IFERROR(__xludf.DUMMYFUNCTION("""COMPUTED_VALUE"""),"ตะวันตก")</f>
        <v>ตะวันตก</v>
      </c>
      <c r="AH2594" s="3" t="str">
        <f>IFERROR(__xludf.DUMMYFUNCTION("""COMPUTED_VALUE"""),"#N/A")</f>
        <v>#N/A</v>
      </c>
      <c r="AI2594" s="3" t="str">
        <f>IFERROR(__xludf.DUMMYFUNCTION("""COMPUTED_VALUE"""),"Out of warranty")</f>
        <v>Out of warranty</v>
      </c>
      <c r="AJ2594" s="3">
        <f>IFERROR(__xludf.DUMMYFUNCTION("""COMPUTED_VALUE"""),48.0)</f>
        <v>48</v>
      </c>
      <c r="AK2594" s="3"/>
      <c r="AL2594" s="3"/>
    </row>
    <row r="2595" ht="15.75" customHeight="1">
      <c r="A2595" s="1" t="str">
        <f>IFERROR(__xludf.DUMMYFUNCTION("""COMPUTED_VALUE"""),"83358")</f>
        <v>83358</v>
      </c>
      <c r="B2595" s="2">
        <f>IFERROR(__xludf.DUMMYFUNCTION("""COMPUTED_VALUE"""),83358.0)</f>
        <v>83358</v>
      </c>
      <c r="C2595" s="3" t="str">
        <f>IFERROR(__xludf.DUMMYFUNCTION("""COMPUTED_VALUE"""),"ร้านน้องตองการค้า")</f>
        <v>ร้านน้องตองการค้า</v>
      </c>
      <c r="D2595" s="3" t="str">
        <f>IFERROR(__xludf.DUMMYFUNCTION("""COMPUTED_VALUE"""),"ร้านน้องตองการค้า")</f>
        <v>ร้านน้องตองการค้า</v>
      </c>
      <c r="E2595" s="1" t="str">
        <f>IFERROR(__xludf.DUMMYFUNCTION("""COMPUTED_VALUE"""),"Donjai")</f>
        <v>Donjai</v>
      </c>
      <c r="F2595" s="1" t="str">
        <f>IFERROR(__xludf.DUMMYFUNCTION("""COMPUTED_VALUE"""),"296868")</f>
        <v>296868</v>
      </c>
      <c r="G2595" s="1" t="str">
        <f>IFERROR(__xludf.DUMMYFUNCTION("""COMPUTED_VALUE"""),"นายพีระพงษ์ แก้วดวงดี")</f>
        <v>นายพีระพงษ์ แก้วดวงดี</v>
      </c>
      <c r="H2595" s="1" t="str">
        <f>IFERROR(__xludf.DUMMYFUNCTION("""COMPUTED_VALUE"""),"296868")</f>
        <v>296868</v>
      </c>
      <c r="I2595" s="1" t="str">
        <f>IFERROR(__xludf.DUMMYFUNCTION("""COMPUTED_VALUE"""),"นายพีระพงษ์ แก้วดวงดี")</f>
        <v>นายพีระพงษ์ แก้วดวงดี</v>
      </c>
      <c r="J2595" s="3">
        <f>IFERROR(__xludf.DUMMYFUNCTION("""COMPUTED_VALUE"""),295886.0)</f>
        <v>295886</v>
      </c>
      <c r="K2595" s="3" t="str">
        <f>IFERROR(__xludf.DUMMYFUNCTION("""COMPUTED_VALUE"""),"นายจิระพงษ์ โพธิ์นิล")</f>
        <v>นายจิระพงษ์ โพธิ์นิล</v>
      </c>
      <c r="L2595" s="1" t="str">
        <f>IFERROR(__xludf.DUMMYFUNCTION("""COMPUTED_VALUE"""),"นายจิระพงษ์ โพธิ์นิล")</f>
        <v>นายจิระพงษ์ โพธิ์นิล</v>
      </c>
      <c r="M2595" s="1" t="str">
        <f>IFERROR(__xludf.DUMMYFUNCTION("""COMPUTED_VALUE"""),"0933290754")</f>
        <v>0933290754</v>
      </c>
      <c r="N2595" s="3">
        <f>IFERROR(__xludf.DUMMYFUNCTION("""COMPUTED_VALUE"""),83358.0)</f>
        <v>83358</v>
      </c>
      <c r="O2595" s="3" t="str">
        <f>IFERROR(__xludf.DUMMYFUNCTION("""COMPUTED_VALUE"""),"ร้านน้องตองการค้า")</f>
        <v>ร้านน้องตองการค้า</v>
      </c>
      <c r="P2595" s="4">
        <f>IFERROR(__xludf.DUMMYFUNCTION("""COMPUTED_VALUE"""),44601.0)</f>
        <v>44601</v>
      </c>
      <c r="Q2595" s="3" t="str">
        <f>IFERROR(__xludf.DUMMYFUNCTION("""COMPUTED_VALUE"""),"I")</f>
        <v>I</v>
      </c>
      <c r="R2595" s="3" t="str">
        <f>IFERROR(__xludf.DUMMYFUNCTION("""COMPUTED_VALUE"""),"Small Format")</f>
        <v>Small Format</v>
      </c>
      <c r="S2595" s="3" t="str">
        <f>IFERROR(__xludf.DUMMYFUNCTION("""COMPUTED_VALUE"""),"Donjai")</f>
        <v>Donjai</v>
      </c>
      <c r="T2595" s="3" t="str">
        <f>IFERROR(__xludf.DUMMYFUNCTION("""COMPUTED_VALUE"""),"03 K.Peerapong K.")</f>
        <v>03 K.Peerapong K.</v>
      </c>
      <c r="U2595" s="3" t="str">
        <f>IFERROR(__xludf.DUMMYFUNCTION("""COMPUTED_VALUE"""),"03 K.Peerapong K.")</f>
        <v>03 K.Peerapong K.</v>
      </c>
      <c r="V2595" s="3" t="str">
        <f>IFERROR(__xludf.DUMMYFUNCTION("""COMPUTED_VALUE"""),"N")</f>
        <v>N</v>
      </c>
      <c r="W2595" s="3"/>
      <c r="X2595" s="3" t="str">
        <f>IFERROR(__xludf.DUMMYFUNCTION("""COMPUTED_VALUE"""),"126 หมู่ 9 ต.เอราวัณ อ.เอราวัณ จ.เลย 42220")</f>
        <v>126 หมู่ 9 ต.เอราวัณ อ.เอราวัณ จ.เลย 42220</v>
      </c>
      <c r="Y2595" s="3"/>
      <c r="Z2595" s="3" t="str">
        <f>IFERROR(__xludf.DUMMYFUNCTION("""COMPUTED_VALUE"""),"เอราวัณ")</f>
        <v>เอราวัณ</v>
      </c>
      <c r="AA2595" s="3" t="str">
        <f>IFERROR(__xludf.DUMMYFUNCTION("""COMPUTED_VALUE"""),"เอราวัณ")</f>
        <v>เอราวัณ</v>
      </c>
      <c r="AB2595" s="3" t="str">
        <f>IFERROR(__xludf.DUMMYFUNCTION("""COMPUTED_VALUE"""),"เลย")</f>
        <v>เลย</v>
      </c>
      <c r="AC2595" s="3">
        <f>IFERROR(__xludf.DUMMYFUNCTION("""COMPUTED_VALUE"""),42220.0)</f>
        <v>42220</v>
      </c>
      <c r="AD2595" s="3"/>
      <c r="AE2595" s="3"/>
      <c r="AF2595" s="3" t="str">
        <f>IFERROR(__xludf.DUMMYFUNCTION("""COMPUTED_VALUE"""),"ร้านน้องตองการค้า-83358")</f>
        <v>ร้านน้องตองการค้า-83358</v>
      </c>
      <c r="AG2595" s="3" t="str">
        <f>IFERROR(__xludf.DUMMYFUNCTION("""COMPUTED_VALUE"""),"ตะวันออกเฉียงเหนือ")</f>
        <v>ตะวันออกเฉียงเหนือ</v>
      </c>
      <c r="AH2595" s="3" t="str">
        <f>IFERROR(__xludf.DUMMYFUNCTION("""COMPUTED_VALUE"""),"#N/A")</f>
        <v>#N/A</v>
      </c>
      <c r="AI2595" s="3" t="str">
        <f>IFERROR(__xludf.DUMMYFUNCTION("""COMPUTED_VALUE"""),"Out of warranty")</f>
        <v>Out of warranty</v>
      </c>
      <c r="AJ2595" s="3">
        <f>IFERROR(__xludf.DUMMYFUNCTION("""COMPUTED_VALUE"""),48.0)</f>
        <v>48</v>
      </c>
      <c r="AK2595" s="3"/>
      <c r="AL2595" s="3"/>
    </row>
    <row r="2596" ht="15.75" customHeight="1">
      <c r="A2596" s="1" t="str">
        <f>IFERROR(__xludf.DUMMYFUNCTION("""COMPUTED_VALUE"""),"83359")</f>
        <v>83359</v>
      </c>
      <c r="B2596" s="2">
        <f>IFERROR(__xludf.DUMMYFUNCTION("""COMPUTED_VALUE"""),83359.0)</f>
        <v>83359</v>
      </c>
      <c r="C2596" s="3" t="str">
        <f>IFERROR(__xludf.DUMMYFUNCTION("""COMPUTED_VALUE"""),"ร้านกอล์ฟ ริมชี มินิมาร์ท")</f>
        <v>ร้านกอล์ฟ ริมชี มินิมาร์ท</v>
      </c>
      <c r="D2596" s="3" t="str">
        <f>IFERROR(__xludf.DUMMYFUNCTION("""COMPUTED_VALUE"""),"ร้านกอล์ฟ ริมชี มินิมาร์ท")</f>
        <v>ร้านกอล์ฟ ริมชี มินิมาร์ท</v>
      </c>
      <c r="E2596" s="1" t="str">
        <f>IFERROR(__xludf.DUMMYFUNCTION("""COMPUTED_VALUE"""),"Donjai")</f>
        <v>Donjai</v>
      </c>
      <c r="F2596" s="1" t="str">
        <f>IFERROR(__xludf.DUMMYFUNCTION("""COMPUTED_VALUE"""),"295886")</f>
        <v>295886</v>
      </c>
      <c r="G2596" s="1" t="str">
        <f>IFERROR(__xludf.DUMMYFUNCTION("""COMPUTED_VALUE"""),"นายจิระพงษ์ โพธิ์นิล")</f>
        <v>นายจิระพงษ์ โพธิ์นิล</v>
      </c>
      <c r="H2596" s="1" t="str">
        <f>IFERROR(__xludf.DUMMYFUNCTION("""COMPUTED_VALUE"""),"295886")</f>
        <v>295886</v>
      </c>
      <c r="I2596" s="1" t="str">
        <f>IFERROR(__xludf.DUMMYFUNCTION("""COMPUTED_VALUE"""),"นายจิระพงษ์ โพธิ์นิล")</f>
        <v>นายจิระพงษ์ โพธิ์นิล</v>
      </c>
      <c r="J2596" s="3">
        <f>IFERROR(__xludf.DUMMYFUNCTION("""COMPUTED_VALUE"""),295886.0)</f>
        <v>295886</v>
      </c>
      <c r="K2596" s="3" t="str">
        <f>IFERROR(__xludf.DUMMYFUNCTION("""COMPUTED_VALUE"""),"นายจิระพงษ์ โพธิ์นิล")</f>
        <v>นายจิระพงษ์ โพธิ์นิล</v>
      </c>
      <c r="L2596" s="1" t="str">
        <f>IFERROR(__xludf.DUMMYFUNCTION("""COMPUTED_VALUE"""),"นายจิระพงษ์ โพธิ์นิล")</f>
        <v>นายจิระพงษ์ โพธิ์นิล</v>
      </c>
      <c r="M2596" s="1" t="str">
        <f>IFERROR(__xludf.DUMMYFUNCTION("""COMPUTED_VALUE"""),"0933290754")</f>
        <v>0933290754</v>
      </c>
      <c r="N2596" s="3">
        <f>IFERROR(__xludf.DUMMYFUNCTION("""COMPUTED_VALUE"""),83359.0)</f>
        <v>83359</v>
      </c>
      <c r="O2596" s="3" t="str">
        <f>IFERROR(__xludf.DUMMYFUNCTION("""COMPUTED_VALUE"""),"ร้านกอล์ฟ ริมชี มินิมาร์ท")</f>
        <v>ร้านกอล์ฟ ริมชี มินิมาร์ท</v>
      </c>
      <c r="P2596" s="4">
        <f>IFERROR(__xludf.DUMMYFUNCTION("""COMPUTED_VALUE"""),44721.0)</f>
        <v>44721</v>
      </c>
      <c r="Q2596" s="3" t="str">
        <f>IFERROR(__xludf.DUMMYFUNCTION("""COMPUTED_VALUE"""),"I")</f>
        <v>I</v>
      </c>
      <c r="R2596" s="3" t="str">
        <f>IFERROR(__xludf.DUMMYFUNCTION("""COMPUTED_VALUE"""),"Small Format")</f>
        <v>Small Format</v>
      </c>
      <c r="S2596" s="3" t="str">
        <f>IFERROR(__xludf.DUMMYFUNCTION("""COMPUTED_VALUE"""),"Donjai")</f>
        <v>Donjai</v>
      </c>
      <c r="T2596" s="3" t="str">
        <f>IFERROR(__xludf.DUMMYFUNCTION("""COMPUTED_VALUE"""),"นายจิระพงษ์ โพธิ์นิล")</f>
        <v>นายจิระพงษ์ โพธิ์นิล</v>
      </c>
      <c r="U2596" s="3" t="str">
        <f>IFERROR(__xludf.DUMMYFUNCTION("""COMPUTED_VALUE"""),"นายจิระพงษ์ โพธิ์นิล")</f>
        <v>นายจิระพงษ์ โพธิ์นิล</v>
      </c>
      <c r="V2596" s="3" t="str">
        <f>IFERROR(__xludf.DUMMYFUNCTION("""COMPUTED_VALUE"""),"N")</f>
        <v>N</v>
      </c>
      <c r="W2596" s="3"/>
      <c r="X2596" s="3" t="str">
        <f>IFERROR(__xludf.DUMMYFUNCTION("""COMPUTED_VALUE"""),"87 ม.6 บ.นาเลิง ต.นาเลิง อ.เสลภูมิ จ. ร้อยเอ็ด 45120")</f>
        <v>87 ม.6 บ.นาเลิง ต.นาเลิง อ.เสลภูมิ จ. ร้อยเอ็ด 45120</v>
      </c>
      <c r="Y2596" s="3"/>
      <c r="Z2596" s="3">
        <f>IFERROR(__xludf.DUMMYFUNCTION("""COMPUTED_VALUE"""),0.0)</f>
        <v>0</v>
      </c>
      <c r="AA2596" s="3">
        <f>IFERROR(__xludf.DUMMYFUNCTION("""COMPUTED_VALUE"""),0.0)</f>
        <v>0</v>
      </c>
      <c r="AB2596" s="3" t="str">
        <f>IFERROR(__xludf.DUMMYFUNCTION("""COMPUTED_VALUE"""),"ร้อยเอ็ด")</f>
        <v>ร้อยเอ็ด</v>
      </c>
      <c r="AC2596" s="3">
        <f>IFERROR(__xludf.DUMMYFUNCTION("""COMPUTED_VALUE"""),45120.0)</f>
        <v>45120</v>
      </c>
      <c r="AD2596" s="3"/>
      <c r="AE2596" s="3"/>
      <c r="AF2596" s="3" t="str">
        <f>IFERROR(__xludf.DUMMYFUNCTION("""COMPUTED_VALUE"""),"ร้านกอล์ฟ ริมชี มินิมาร์ท-83359")</f>
        <v>ร้านกอล์ฟ ริมชี มินิมาร์ท-83359</v>
      </c>
      <c r="AG2596" s="3" t="str">
        <f>IFERROR(__xludf.DUMMYFUNCTION("""COMPUTED_VALUE"""),"ตะวันออกเฉียงเหนือ")</f>
        <v>ตะวันออกเฉียงเหนือ</v>
      </c>
      <c r="AH2596" s="3" t="str">
        <f>IFERROR(__xludf.DUMMYFUNCTION("""COMPUTED_VALUE"""),"#N/A")</f>
        <v>#N/A</v>
      </c>
      <c r="AI2596" s="3" t="str">
        <f>IFERROR(__xludf.DUMMYFUNCTION("""COMPUTED_VALUE"""),"Out of warranty")</f>
        <v>Out of warranty</v>
      </c>
      <c r="AJ2596" s="3">
        <f>IFERROR(__xludf.DUMMYFUNCTION("""COMPUTED_VALUE"""),44.0)</f>
        <v>44</v>
      </c>
      <c r="AK2596" s="3"/>
      <c r="AL2596" s="3"/>
    </row>
    <row r="2597" ht="15.75" customHeight="1">
      <c r="A2597" s="1" t="str">
        <f>IFERROR(__xludf.DUMMYFUNCTION("""COMPUTED_VALUE"""),"83360")</f>
        <v>83360</v>
      </c>
      <c r="B2597" s="2">
        <f>IFERROR(__xludf.DUMMYFUNCTION("""COMPUTED_VALUE"""),83360.0)</f>
        <v>83360</v>
      </c>
      <c r="C2597" s="3" t="str">
        <f>IFERROR(__xludf.DUMMYFUNCTION("""COMPUTED_VALUE"""),"มะเหมี่ยวซุปเปอร์")</f>
        <v>มะเหมี่ยวซุปเปอร์</v>
      </c>
      <c r="D2597" s="3" t="str">
        <f>IFERROR(__xludf.DUMMYFUNCTION("""COMPUTED_VALUE"""),"มะเหมี่ยวซุปเปอร์")</f>
        <v>มะเหมี่ยวซุปเปอร์</v>
      </c>
      <c r="E2597" s="1" t="str">
        <f>IFERROR(__xludf.DUMMYFUNCTION("""COMPUTED_VALUE"""),"Donjai")</f>
        <v>Donjai</v>
      </c>
      <c r="F2597" s="1" t="str">
        <f>IFERROR(__xludf.DUMMYFUNCTION("""COMPUTED_VALUE"""),"296868")</f>
        <v>296868</v>
      </c>
      <c r="G2597" s="1" t="str">
        <f>IFERROR(__xludf.DUMMYFUNCTION("""COMPUTED_VALUE"""),"นายพีระพงษ์ แก้วดวงดี")</f>
        <v>นายพีระพงษ์ แก้วดวงดี</v>
      </c>
      <c r="H2597" s="1" t="str">
        <f>IFERROR(__xludf.DUMMYFUNCTION("""COMPUTED_VALUE"""),"296868")</f>
        <v>296868</v>
      </c>
      <c r="I2597" s="1" t="str">
        <f>IFERROR(__xludf.DUMMYFUNCTION("""COMPUTED_VALUE"""),"นายพีระพงษ์ แก้วดวงดี")</f>
        <v>นายพีระพงษ์ แก้วดวงดี</v>
      </c>
      <c r="J2597" s="3">
        <f>IFERROR(__xludf.DUMMYFUNCTION("""COMPUTED_VALUE"""),295886.0)</f>
        <v>295886</v>
      </c>
      <c r="K2597" s="3" t="str">
        <f>IFERROR(__xludf.DUMMYFUNCTION("""COMPUTED_VALUE"""),"นายจิระพงษ์ โพธิ์นิล")</f>
        <v>นายจิระพงษ์ โพธิ์นิล</v>
      </c>
      <c r="L2597" s="1" t="str">
        <f>IFERROR(__xludf.DUMMYFUNCTION("""COMPUTED_VALUE"""),"นายจิระพงษ์ โพธิ์นิล")</f>
        <v>นายจิระพงษ์ โพธิ์นิล</v>
      </c>
      <c r="M2597" s="1" t="str">
        <f>IFERROR(__xludf.DUMMYFUNCTION("""COMPUTED_VALUE"""),"0933290754")</f>
        <v>0933290754</v>
      </c>
      <c r="N2597" s="3">
        <f>IFERROR(__xludf.DUMMYFUNCTION("""COMPUTED_VALUE"""),83360.0)</f>
        <v>83360</v>
      </c>
      <c r="O2597" s="3" t="str">
        <f>IFERROR(__xludf.DUMMYFUNCTION("""COMPUTED_VALUE"""),"มะเหมี่ยวซุปเปอร์")</f>
        <v>มะเหมี่ยวซุปเปอร์</v>
      </c>
      <c r="P2597" s="4">
        <f>IFERROR(__xludf.DUMMYFUNCTION("""COMPUTED_VALUE"""),44588.0)</f>
        <v>44588</v>
      </c>
      <c r="Q2597" s="3" t="str">
        <f>IFERROR(__xludf.DUMMYFUNCTION("""COMPUTED_VALUE"""),"A")</f>
        <v>A</v>
      </c>
      <c r="R2597" s="3" t="str">
        <f>IFERROR(__xludf.DUMMYFUNCTION("""COMPUTED_VALUE"""),"Small Format")</f>
        <v>Small Format</v>
      </c>
      <c r="S2597" s="3" t="str">
        <f>IFERROR(__xludf.DUMMYFUNCTION("""COMPUTED_VALUE"""),"Donjai")</f>
        <v>Donjai</v>
      </c>
      <c r="T2597" s="3" t="str">
        <f>IFERROR(__xludf.DUMMYFUNCTION("""COMPUTED_VALUE"""),"03 K.Peerapong K.")</f>
        <v>03 K.Peerapong K.</v>
      </c>
      <c r="U2597" s="3" t="str">
        <f>IFERROR(__xludf.DUMMYFUNCTION("""COMPUTED_VALUE"""),"03 K.Peerapong K.")</f>
        <v>03 K.Peerapong K.</v>
      </c>
      <c r="V2597" s="3" t="str">
        <f>IFERROR(__xludf.DUMMYFUNCTION("""COMPUTED_VALUE"""),"N")</f>
        <v>N</v>
      </c>
      <c r="W2597" s="3"/>
      <c r="X2597" s="3" t="str">
        <f>IFERROR(__xludf.DUMMYFUNCTION("""COMPUTED_VALUE"""),"ตำบล สะอาด อำเภอน้ำพอง ขอนแก่น 40310 ประเทศไทย")</f>
        <v>ตำบล สะอาด อำเภอน้ำพอง ขอนแก่น 40310 ประเทศไทย</v>
      </c>
      <c r="Y2597" s="3"/>
      <c r="Z2597" s="3">
        <f>IFERROR(__xludf.DUMMYFUNCTION("""COMPUTED_VALUE"""),0.0)</f>
        <v>0</v>
      </c>
      <c r="AA2597" s="3">
        <f>IFERROR(__xludf.DUMMYFUNCTION("""COMPUTED_VALUE"""),0.0)</f>
        <v>0</v>
      </c>
      <c r="AB2597" s="3" t="str">
        <f>IFERROR(__xludf.DUMMYFUNCTION("""COMPUTED_VALUE"""),"ขอนแก่น")</f>
        <v>ขอนแก่น</v>
      </c>
      <c r="AC2597" s="3">
        <f>IFERROR(__xludf.DUMMYFUNCTION("""COMPUTED_VALUE"""),0.0)</f>
        <v>0</v>
      </c>
      <c r="AD2597" s="3"/>
      <c r="AE2597" s="3"/>
      <c r="AF2597" s="3" t="str">
        <f>IFERROR(__xludf.DUMMYFUNCTION("""COMPUTED_VALUE"""),"มะเหมี่ยวซุปเปอร์-83360")</f>
        <v>มะเหมี่ยวซุปเปอร์-83360</v>
      </c>
      <c r="AG2597" s="3" t="str">
        <f>IFERROR(__xludf.DUMMYFUNCTION("""COMPUTED_VALUE"""),"ตะวันออกเฉียงเหนือ")</f>
        <v>ตะวันออกเฉียงเหนือ</v>
      </c>
      <c r="AH2597" s="3" t="str">
        <f>IFERROR(__xludf.DUMMYFUNCTION("""COMPUTED_VALUE"""),"#N/A")</f>
        <v>#N/A</v>
      </c>
      <c r="AI2597" s="3" t="str">
        <f>IFERROR(__xludf.DUMMYFUNCTION("""COMPUTED_VALUE"""),"Out of warranty")</f>
        <v>Out of warranty</v>
      </c>
      <c r="AJ2597" s="3">
        <f>IFERROR(__xludf.DUMMYFUNCTION("""COMPUTED_VALUE"""),48.0)</f>
        <v>48</v>
      </c>
      <c r="AK2597" s="3"/>
      <c r="AL2597" s="3"/>
    </row>
    <row r="2598" ht="15.75" customHeight="1">
      <c r="A2598" s="1" t="str">
        <f>IFERROR(__xludf.DUMMYFUNCTION("""COMPUTED_VALUE"""),"83361")</f>
        <v>83361</v>
      </c>
      <c r="B2598" s="2">
        <f>IFERROR(__xludf.DUMMYFUNCTION("""COMPUTED_VALUE"""),83361.0)</f>
        <v>83361</v>
      </c>
      <c r="C2598" s="3" t="str">
        <f>IFERROR(__xludf.DUMMYFUNCTION("""COMPUTED_VALUE"""),"ร้านแม่ใจ")</f>
        <v>ร้านแม่ใจ</v>
      </c>
      <c r="D2598" s="3" t="str">
        <f>IFERROR(__xludf.DUMMYFUNCTION("""COMPUTED_VALUE"""),"ร้านแม่ใจ")</f>
        <v>ร้านแม่ใจ</v>
      </c>
      <c r="E2598" s="1" t="str">
        <f>IFERROR(__xludf.DUMMYFUNCTION("""COMPUTED_VALUE"""),"Donjai")</f>
        <v>Donjai</v>
      </c>
      <c r="F2598" s="1" t="str">
        <f>IFERROR(__xludf.DUMMYFUNCTION("""COMPUTED_VALUE"""),"015361")</f>
        <v>015361</v>
      </c>
      <c r="G2598" s="1" t="str">
        <f>IFERROR(__xludf.DUMMYFUNCTION("""COMPUTED_VALUE"""),"นายสมบูรณ์ พรหมในเมือง")</f>
        <v>นายสมบูรณ์ พรหมในเมือง</v>
      </c>
      <c r="H2598" s="1" t="str">
        <f>IFERROR(__xludf.DUMMYFUNCTION("""COMPUTED_VALUE"""),"015361")</f>
        <v>015361</v>
      </c>
      <c r="I2598" s="1" t="str">
        <f>IFERROR(__xludf.DUMMYFUNCTION("""COMPUTED_VALUE"""),"นายสมบูรณ์ พรหมในเมือง")</f>
        <v>นายสมบูรณ์ พรหมในเมือง</v>
      </c>
      <c r="J2598" s="3">
        <f>IFERROR(__xludf.DUMMYFUNCTION("""COMPUTED_VALUE"""),295886.0)</f>
        <v>295886</v>
      </c>
      <c r="K2598" s="3" t="str">
        <f>IFERROR(__xludf.DUMMYFUNCTION("""COMPUTED_VALUE"""),"นายจิระพงษ์ โพธิ์นิล")</f>
        <v>นายจิระพงษ์ โพธิ์นิล</v>
      </c>
      <c r="L2598" s="1" t="str">
        <f>IFERROR(__xludf.DUMMYFUNCTION("""COMPUTED_VALUE"""),"นายจิระพงษ์ โพธิ์นิล")</f>
        <v>นายจิระพงษ์ โพธิ์นิล</v>
      </c>
      <c r="M2598" s="1" t="str">
        <f>IFERROR(__xludf.DUMMYFUNCTION("""COMPUTED_VALUE"""),"0933290754")</f>
        <v>0933290754</v>
      </c>
      <c r="N2598" s="3">
        <f>IFERROR(__xludf.DUMMYFUNCTION("""COMPUTED_VALUE"""),83361.0)</f>
        <v>83361</v>
      </c>
      <c r="O2598" s="3" t="str">
        <f>IFERROR(__xludf.DUMMYFUNCTION("""COMPUTED_VALUE"""),"ร้านแม่ใจ")</f>
        <v>ร้านแม่ใจ</v>
      </c>
      <c r="P2598" s="4">
        <f>IFERROR(__xludf.DUMMYFUNCTION("""COMPUTED_VALUE"""),44612.0)</f>
        <v>44612</v>
      </c>
      <c r="Q2598" s="3" t="str">
        <f>IFERROR(__xludf.DUMMYFUNCTION("""COMPUTED_VALUE"""),"I")</f>
        <v>I</v>
      </c>
      <c r="R2598" s="3" t="str">
        <f>IFERROR(__xludf.DUMMYFUNCTION("""COMPUTED_VALUE"""),"Small Format")</f>
        <v>Small Format</v>
      </c>
      <c r="S2598" s="3" t="str">
        <f>IFERROR(__xludf.DUMMYFUNCTION("""COMPUTED_VALUE"""),"Donjai")</f>
        <v>Donjai</v>
      </c>
      <c r="T2598" s="3" t="str">
        <f>IFERROR(__xludf.DUMMYFUNCTION("""COMPUTED_VALUE"""),"04 K.Somboon P.")</f>
        <v>04 K.Somboon P.</v>
      </c>
      <c r="U2598" s="3" t="str">
        <f>IFERROR(__xludf.DUMMYFUNCTION("""COMPUTED_VALUE"""),"04 K.Somboon P.")</f>
        <v>04 K.Somboon P.</v>
      </c>
      <c r="V2598" s="3" t="str">
        <f>IFERROR(__xludf.DUMMYFUNCTION("""COMPUTED_VALUE"""),"N")</f>
        <v>N</v>
      </c>
      <c r="W2598" s="3"/>
      <c r="X2598" s="3" t="str">
        <f>IFERROR(__xludf.DUMMYFUNCTION("""COMPUTED_VALUE"""),"79/35 ม.15 ต.แวงน่าง อ.เมือง จ.มหาสารคาม")</f>
        <v>79/35 ม.15 ต.แวงน่าง อ.เมือง จ.มหาสารคาม</v>
      </c>
      <c r="Y2598" s="3"/>
      <c r="Z2598" s="3">
        <f>IFERROR(__xludf.DUMMYFUNCTION("""COMPUTED_VALUE"""),0.0)</f>
        <v>0</v>
      </c>
      <c r="AA2598" s="3">
        <f>IFERROR(__xludf.DUMMYFUNCTION("""COMPUTED_VALUE"""),0.0)</f>
        <v>0</v>
      </c>
      <c r="AB2598" s="3" t="str">
        <f>IFERROR(__xludf.DUMMYFUNCTION("""COMPUTED_VALUE"""),"มหาสารคาม")</f>
        <v>มหาสารคาม</v>
      </c>
      <c r="AC2598" s="3">
        <f>IFERROR(__xludf.DUMMYFUNCTION("""COMPUTED_VALUE"""),0.0)</f>
        <v>0</v>
      </c>
      <c r="AD2598" s="3"/>
      <c r="AE2598" s="3"/>
      <c r="AF2598" s="3" t="str">
        <f>IFERROR(__xludf.DUMMYFUNCTION("""COMPUTED_VALUE"""),"ร้านแม่ใจ-83361")</f>
        <v>ร้านแม่ใจ-83361</v>
      </c>
      <c r="AG2598" s="3" t="str">
        <f>IFERROR(__xludf.DUMMYFUNCTION("""COMPUTED_VALUE"""),"ตะวันออกเฉียงเหนือ")</f>
        <v>ตะวันออกเฉียงเหนือ</v>
      </c>
      <c r="AH2598" s="3" t="str">
        <f>IFERROR(__xludf.DUMMYFUNCTION("""COMPUTED_VALUE"""),"#N/A")</f>
        <v>#N/A</v>
      </c>
      <c r="AI2598" s="3" t="str">
        <f>IFERROR(__xludf.DUMMYFUNCTION("""COMPUTED_VALUE"""),"Out of warranty")</f>
        <v>Out of warranty</v>
      </c>
      <c r="AJ2598" s="3">
        <f>IFERROR(__xludf.DUMMYFUNCTION("""COMPUTED_VALUE"""),48.0)</f>
        <v>48</v>
      </c>
      <c r="AK2598" s="3"/>
      <c r="AL2598" s="3"/>
    </row>
    <row r="2599" ht="15.75" customHeight="1">
      <c r="A2599" s="1" t="str">
        <f>IFERROR(__xludf.DUMMYFUNCTION("""COMPUTED_VALUE"""),"83362")</f>
        <v>83362</v>
      </c>
      <c r="B2599" s="2">
        <f>IFERROR(__xludf.DUMMYFUNCTION("""COMPUTED_VALUE"""),83362.0)</f>
        <v>83362</v>
      </c>
      <c r="C2599" s="3" t="str">
        <f>IFERROR(__xludf.DUMMYFUNCTION("""COMPUTED_VALUE"""),"ร้านค้า ณา-ข้าว")</f>
        <v>ร้านค้า ณา-ข้าว</v>
      </c>
      <c r="D2599" s="3" t="str">
        <f>IFERROR(__xludf.DUMMYFUNCTION("""COMPUTED_VALUE"""),"ร้านค้า ณา-ข้าว")</f>
        <v>ร้านค้า ณา-ข้าว</v>
      </c>
      <c r="E2599" s="1" t="str">
        <f>IFERROR(__xludf.DUMMYFUNCTION("""COMPUTED_VALUE"""),"Donjai")</f>
        <v>Donjai</v>
      </c>
      <c r="F2599" s="1" t="str">
        <f>IFERROR(__xludf.DUMMYFUNCTION("""COMPUTED_VALUE"""),"296868")</f>
        <v>296868</v>
      </c>
      <c r="G2599" s="1" t="str">
        <f>IFERROR(__xludf.DUMMYFUNCTION("""COMPUTED_VALUE"""),"นายพีระพงษ์ แก้วดวงดี")</f>
        <v>นายพีระพงษ์ แก้วดวงดี</v>
      </c>
      <c r="H2599" s="1" t="str">
        <f>IFERROR(__xludf.DUMMYFUNCTION("""COMPUTED_VALUE"""),"296868")</f>
        <v>296868</v>
      </c>
      <c r="I2599" s="1" t="str">
        <f>IFERROR(__xludf.DUMMYFUNCTION("""COMPUTED_VALUE"""),"นายพีระพงษ์ แก้วดวงดี")</f>
        <v>นายพีระพงษ์ แก้วดวงดี</v>
      </c>
      <c r="J2599" s="3">
        <f>IFERROR(__xludf.DUMMYFUNCTION("""COMPUTED_VALUE"""),295886.0)</f>
        <v>295886</v>
      </c>
      <c r="K2599" s="3" t="str">
        <f>IFERROR(__xludf.DUMMYFUNCTION("""COMPUTED_VALUE"""),"นายจิระพงษ์ โพธิ์นิล")</f>
        <v>นายจิระพงษ์ โพธิ์นิล</v>
      </c>
      <c r="L2599" s="1" t="str">
        <f>IFERROR(__xludf.DUMMYFUNCTION("""COMPUTED_VALUE"""),"นายจิระพงษ์ โพธิ์นิล")</f>
        <v>นายจิระพงษ์ โพธิ์นิล</v>
      </c>
      <c r="M2599" s="1" t="str">
        <f>IFERROR(__xludf.DUMMYFUNCTION("""COMPUTED_VALUE"""),"0933290754")</f>
        <v>0933290754</v>
      </c>
      <c r="N2599" s="3">
        <f>IFERROR(__xludf.DUMMYFUNCTION("""COMPUTED_VALUE"""),83362.0)</f>
        <v>83362</v>
      </c>
      <c r="O2599" s="3" t="str">
        <f>IFERROR(__xludf.DUMMYFUNCTION("""COMPUTED_VALUE"""),"ร้านค้า ณา-ข้าว")</f>
        <v>ร้านค้า ณา-ข้าว</v>
      </c>
      <c r="P2599" s="4">
        <f>IFERROR(__xludf.DUMMYFUNCTION("""COMPUTED_VALUE"""),44609.0)</f>
        <v>44609</v>
      </c>
      <c r="Q2599" s="3" t="str">
        <f>IFERROR(__xludf.DUMMYFUNCTION("""COMPUTED_VALUE"""),"I")</f>
        <v>I</v>
      </c>
      <c r="R2599" s="3" t="str">
        <f>IFERROR(__xludf.DUMMYFUNCTION("""COMPUTED_VALUE"""),"Small Format")</f>
        <v>Small Format</v>
      </c>
      <c r="S2599" s="3" t="str">
        <f>IFERROR(__xludf.DUMMYFUNCTION("""COMPUTED_VALUE"""),"Donjai")</f>
        <v>Donjai</v>
      </c>
      <c r="T2599" s="3" t="str">
        <f>IFERROR(__xludf.DUMMYFUNCTION("""COMPUTED_VALUE"""),"03 K.Peerapong K.")</f>
        <v>03 K.Peerapong K.</v>
      </c>
      <c r="U2599" s="3" t="str">
        <f>IFERROR(__xludf.DUMMYFUNCTION("""COMPUTED_VALUE"""),"03 K.Peerapong K.")</f>
        <v>03 K.Peerapong K.</v>
      </c>
      <c r="V2599" s="3" t="str">
        <f>IFERROR(__xludf.DUMMYFUNCTION("""COMPUTED_VALUE"""),"N")</f>
        <v>N</v>
      </c>
      <c r="W2599" s="3"/>
      <c r="X2599" s="3" t="str">
        <f>IFERROR(__xludf.DUMMYFUNCTION("""COMPUTED_VALUE"""),"85 หมู่ 9 อ.กระนวน จ.ขอนแก่น")</f>
        <v>85 หมู่ 9 อ.กระนวน จ.ขอนแก่น</v>
      </c>
      <c r="Y2599" s="3"/>
      <c r="Z2599" s="3">
        <f>IFERROR(__xludf.DUMMYFUNCTION("""COMPUTED_VALUE"""),0.0)</f>
        <v>0</v>
      </c>
      <c r="AA2599" s="3">
        <f>IFERROR(__xludf.DUMMYFUNCTION("""COMPUTED_VALUE"""),0.0)</f>
        <v>0</v>
      </c>
      <c r="AB2599" s="3" t="str">
        <f>IFERROR(__xludf.DUMMYFUNCTION("""COMPUTED_VALUE"""),"ขอนแก่น")</f>
        <v>ขอนแก่น</v>
      </c>
      <c r="AC2599" s="3">
        <f>IFERROR(__xludf.DUMMYFUNCTION("""COMPUTED_VALUE"""),0.0)</f>
        <v>0</v>
      </c>
      <c r="AD2599" s="3"/>
      <c r="AE2599" s="3"/>
      <c r="AF2599" s="3" t="str">
        <f>IFERROR(__xludf.DUMMYFUNCTION("""COMPUTED_VALUE"""),"ร้านค้า ณา-ข้าว-83362")</f>
        <v>ร้านค้า ณา-ข้าว-83362</v>
      </c>
      <c r="AG2599" s="3" t="str">
        <f>IFERROR(__xludf.DUMMYFUNCTION("""COMPUTED_VALUE"""),"ตะวันออกเฉียงเหนือ")</f>
        <v>ตะวันออกเฉียงเหนือ</v>
      </c>
      <c r="AH2599" s="3" t="str">
        <f>IFERROR(__xludf.DUMMYFUNCTION("""COMPUTED_VALUE"""),"#N/A")</f>
        <v>#N/A</v>
      </c>
      <c r="AI2599" s="3" t="str">
        <f>IFERROR(__xludf.DUMMYFUNCTION("""COMPUTED_VALUE"""),"Out of warranty")</f>
        <v>Out of warranty</v>
      </c>
      <c r="AJ2599" s="3">
        <f>IFERROR(__xludf.DUMMYFUNCTION("""COMPUTED_VALUE"""),48.0)</f>
        <v>48</v>
      </c>
      <c r="AK2599" s="3"/>
      <c r="AL2599" s="3"/>
    </row>
    <row r="2600" ht="15.75" customHeight="1">
      <c r="A2600" s="1" t="str">
        <f>IFERROR(__xludf.DUMMYFUNCTION("""COMPUTED_VALUE"""),"83363")</f>
        <v>83363</v>
      </c>
      <c r="B2600" s="2">
        <f>IFERROR(__xludf.DUMMYFUNCTION("""COMPUTED_VALUE"""),83363.0)</f>
        <v>83363</v>
      </c>
      <c r="C2600" s="3" t="str">
        <f>IFERROR(__xludf.DUMMYFUNCTION("""COMPUTED_VALUE"""),"ร้านแม่หนูชาติ (คุณมัณฑนศิลป์ )")</f>
        <v>ร้านแม่หนูชาติ (คุณมัณฑนศิลป์ )</v>
      </c>
      <c r="D2600" s="3" t="str">
        <f>IFERROR(__xludf.DUMMYFUNCTION("""COMPUTED_VALUE"""),"ร้านแม่หนูชาติ (คุณมัณฑนศิลป์ )")</f>
        <v>ร้านแม่หนูชาติ (คุณมัณฑนศิลป์ )</v>
      </c>
      <c r="E2600" s="1" t="str">
        <f>IFERROR(__xludf.DUMMYFUNCTION("""COMPUTED_VALUE"""),"Donjai")</f>
        <v>Donjai</v>
      </c>
      <c r="F2600" s="1" t="str">
        <f>IFERROR(__xludf.DUMMYFUNCTION("""COMPUTED_VALUE"""),"025324")</f>
        <v>025324</v>
      </c>
      <c r="G2600" s="1" t="str">
        <f>IFERROR(__xludf.DUMMYFUNCTION("""COMPUTED_VALUE"""),"นายวิเชฎฐ์ ติรัตนะประคม")</f>
        <v>นายวิเชฎฐ์ ติรัตนะประคม</v>
      </c>
      <c r="H2600" s="1" t="str">
        <f>IFERROR(__xludf.DUMMYFUNCTION("""COMPUTED_VALUE"""),"025324")</f>
        <v>025324</v>
      </c>
      <c r="I2600" s="1" t="str">
        <f>IFERROR(__xludf.DUMMYFUNCTION("""COMPUTED_VALUE"""),"นายวิเชฎฐ์ ติรัตนะประคม")</f>
        <v>นายวิเชฎฐ์ ติรัตนะประคม</v>
      </c>
      <c r="J2600" s="3">
        <f>IFERROR(__xludf.DUMMYFUNCTION("""COMPUTED_VALUE"""),295541.0)</f>
        <v>295541</v>
      </c>
      <c r="K2600" s="3" t="str">
        <f>IFERROR(__xludf.DUMMYFUNCTION("""COMPUTED_VALUE"""),"นายรพิพล ศรีมาตย์")</f>
        <v>นายรพิพล ศรีมาตย์</v>
      </c>
      <c r="L2600" s="1" t="str">
        <f>IFERROR(__xludf.DUMMYFUNCTION("""COMPUTED_VALUE"""),"นายรพิพล ศรีมาตย์")</f>
        <v>นายรพิพล ศรีมาตย์</v>
      </c>
      <c r="M2600" s="1" t="str">
        <f>IFERROR(__xludf.DUMMYFUNCTION("""COMPUTED_VALUE"""),"0613966115")</f>
        <v>0613966115</v>
      </c>
      <c r="N2600" s="3">
        <f>IFERROR(__xludf.DUMMYFUNCTION("""COMPUTED_VALUE"""),83363.0)</f>
        <v>83363</v>
      </c>
      <c r="O2600" s="3" t="str">
        <f>IFERROR(__xludf.DUMMYFUNCTION("""COMPUTED_VALUE"""),"ร้านแม่หนูชาติ (คุณมัณฑนศิลป์ )")</f>
        <v>ร้านแม่หนูชาติ (คุณมัณฑนศิลป์ )</v>
      </c>
      <c r="P2600" s="4">
        <f>IFERROR(__xludf.DUMMYFUNCTION("""COMPUTED_VALUE"""),44600.0)</f>
        <v>44600</v>
      </c>
      <c r="Q2600" s="3" t="str">
        <f>IFERROR(__xludf.DUMMYFUNCTION("""COMPUTED_VALUE"""),"I")</f>
        <v>I</v>
      </c>
      <c r="R2600" s="3" t="str">
        <f>IFERROR(__xludf.DUMMYFUNCTION("""COMPUTED_VALUE"""),"Small Format")</f>
        <v>Small Format</v>
      </c>
      <c r="S2600" s="3" t="str">
        <f>IFERROR(__xludf.DUMMYFUNCTION("""COMPUTED_VALUE"""),"Donjai")</f>
        <v>Donjai</v>
      </c>
      <c r="T2600" s="3" t="str">
        <f>IFERROR(__xludf.DUMMYFUNCTION("""COMPUTED_VALUE"""),"14 K.Wichet T.")</f>
        <v>14 K.Wichet T.</v>
      </c>
      <c r="U2600" s="3" t="str">
        <f>IFERROR(__xludf.DUMMYFUNCTION("""COMPUTED_VALUE"""),"14 K.Wichet T.")</f>
        <v>14 K.Wichet T.</v>
      </c>
      <c r="V2600" s="3" t="str">
        <f>IFERROR(__xludf.DUMMYFUNCTION("""COMPUTED_VALUE"""),"N")</f>
        <v>N</v>
      </c>
      <c r="W2600" s="3"/>
      <c r="X2600" s="3" t="str">
        <f>IFERROR(__xludf.DUMMYFUNCTION("""COMPUTED_VALUE"""),"ต.กระบี่น้อย อ.เมืองกระบี่ จ.กระบี่ 81000")</f>
        <v>ต.กระบี่น้อย อ.เมืองกระบี่ จ.กระบี่ 81000</v>
      </c>
      <c r="Y2600" s="3"/>
      <c r="Z2600" s="3" t="str">
        <f>IFERROR(__xludf.DUMMYFUNCTION("""COMPUTED_VALUE"""),"กระบี่น้อย")</f>
        <v>กระบี่น้อย</v>
      </c>
      <c r="AA2600" s="3" t="str">
        <f>IFERROR(__xludf.DUMMYFUNCTION("""COMPUTED_VALUE"""),"เมืองกระบี่")</f>
        <v>เมืองกระบี่</v>
      </c>
      <c r="AB2600" s="3" t="str">
        <f>IFERROR(__xludf.DUMMYFUNCTION("""COMPUTED_VALUE"""),"กระบี่")</f>
        <v>กระบี่</v>
      </c>
      <c r="AC2600" s="3">
        <f>IFERROR(__xludf.DUMMYFUNCTION("""COMPUTED_VALUE"""),81000.0)</f>
        <v>81000</v>
      </c>
      <c r="AD2600" s="3"/>
      <c r="AE2600" s="3"/>
      <c r="AF2600" s="3" t="str">
        <f>IFERROR(__xludf.DUMMYFUNCTION("""COMPUTED_VALUE"""),"ร้านแม่หนูชาติ (คุณมัณฑนศิลป์ )-83363")</f>
        <v>ร้านแม่หนูชาติ (คุณมัณฑนศิลป์ )-83363</v>
      </c>
      <c r="AG2600" s="3" t="str">
        <f>IFERROR(__xludf.DUMMYFUNCTION("""COMPUTED_VALUE"""),"ใต้")</f>
        <v>ใต้</v>
      </c>
      <c r="AH2600" s="3" t="str">
        <f>IFERROR(__xludf.DUMMYFUNCTION("""COMPUTED_VALUE"""),"#N/A")</f>
        <v>#N/A</v>
      </c>
      <c r="AI2600" s="3" t="str">
        <f>IFERROR(__xludf.DUMMYFUNCTION("""COMPUTED_VALUE"""),"Out of warranty")</f>
        <v>Out of warranty</v>
      </c>
      <c r="AJ2600" s="3">
        <f>IFERROR(__xludf.DUMMYFUNCTION("""COMPUTED_VALUE"""),48.0)</f>
        <v>48</v>
      </c>
      <c r="AK2600" s="3"/>
      <c r="AL2600" s="3"/>
    </row>
    <row r="2601" ht="15.75" customHeight="1">
      <c r="A2601" s="1" t="str">
        <f>IFERROR(__xludf.DUMMYFUNCTION("""COMPUTED_VALUE"""),"83364")</f>
        <v>83364</v>
      </c>
      <c r="B2601" s="2">
        <f>IFERROR(__xludf.DUMMYFUNCTION("""COMPUTED_VALUE"""),83364.0)</f>
        <v>83364</v>
      </c>
      <c r="C2601" s="3" t="str">
        <f>IFERROR(__xludf.DUMMYFUNCTION("""COMPUTED_VALUE"""),"ร้านคุณเสริฐศรี")</f>
        <v>ร้านคุณเสริฐศรี</v>
      </c>
      <c r="D2601" s="3" t="str">
        <f>IFERROR(__xludf.DUMMYFUNCTION("""COMPUTED_VALUE"""),"ร้านคุณเสริฐศรี")</f>
        <v>ร้านคุณเสริฐศรี</v>
      </c>
      <c r="E2601" s="1" t="str">
        <f>IFERROR(__xludf.DUMMYFUNCTION("""COMPUTED_VALUE"""),"Donjai")</f>
        <v>Donjai</v>
      </c>
      <c r="F2601" s="1" t="str">
        <f>IFERROR(__xludf.DUMMYFUNCTION("""COMPUTED_VALUE"""),"2010023")</f>
        <v>2010023</v>
      </c>
      <c r="G2601" s="1" t="str">
        <f>IFERROR(__xludf.DUMMYFUNCTION("""COMPUTED_VALUE"""),"นายวศิน ไวยรูป")</f>
        <v>นายวศิน ไวยรูป</v>
      </c>
      <c r="H2601" s="1" t="str">
        <f>IFERROR(__xludf.DUMMYFUNCTION("""COMPUTED_VALUE"""),"2010023")</f>
        <v>2010023</v>
      </c>
      <c r="I2601" s="1" t="str">
        <f>IFERROR(__xludf.DUMMYFUNCTION("""COMPUTED_VALUE"""),"นายวศิน ไวยรูป")</f>
        <v>นายวศิน ไวยรูป</v>
      </c>
      <c r="J2601" s="3">
        <f>IFERROR(__xludf.DUMMYFUNCTION("""COMPUTED_VALUE"""),228031.0)</f>
        <v>228031</v>
      </c>
      <c r="K2601" s="3" t="str">
        <f>IFERROR(__xludf.DUMMYFUNCTION("""COMPUTED_VALUE"""),"นายธนพงษ์ วันหมัด")</f>
        <v>นายธนพงษ์ วันหมัด</v>
      </c>
      <c r="L2601" s="1" t="str">
        <f>IFERROR(__xludf.DUMMYFUNCTION("""COMPUTED_VALUE"""),"นายธนพงษ์ วันหมัด")</f>
        <v>นายธนพงษ์ วันหมัด</v>
      </c>
      <c r="M2601" s="1" t="str">
        <f>IFERROR(__xludf.DUMMYFUNCTION("""COMPUTED_VALUE"""),"0813716913")</f>
        <v>0813716913</v>
      </c>
      <c r="N2601" s="3">
        <f>IFERROR(__xludf.DUMMYFUNCTION("""COMPUTED_VALUE"""),83364.0)</f>
        <v>83364</v>
      </c>
      <c r="O2601" s="3" t="str">
        <f>IFERROR(__xludf.DUMMYFUNCTION("""COMPUTED_VALUE"""),"ร้านคุณเสริฐศรี")</f>
        <v>ร้านคุณเสริฐศรี</v>
      </c>
      <c r="P2601" s="4">
        <f>IFERROR(__xludf.DUMMYFUNCTION("""COMPUTED_VALUE"""),44602.0)</f>
        <v>44602</v>
      </c>
      <c r="Q2601" s="3" t="str">
        <f>IFERROR(__xludf.DUMMYFUNCTION("""COMPUTED_VALUE"""),"I")</f>
        <v>I</v>
      </c>
      <c r="R2601" s="3" t="str">
        <f>IFERROR(__xludf.DUMMYFUNCTION("""COMPUTED_VALUE"""),"Small Format")</f>
        <v>Small Format</v>
      </c>
      <c r="S2601" s="3" t="str">
        <f>IFERROR(__xludf.DUMMYFUNCTION("""COMPUTED_VALUE"""),"Donjai")</f>
        <v>Donjai</v>
      </c>
      <c r="T2601" s="3" t="str">
        <f>IFERROR(__xludf.DUMMYFUNCTION("""COMPUTED_VALUE"""),"Donjai")</f>
        <v>Donjai</v>
      </c>
      <c r="U2601" s="3" t="str">
        <f>IFERROR(__xludf.DUMMYFUNCTION("""COMPUTED_VALUE"""),"Donjai")</f>
        <v>Donjai</v>
      </c>
      <c r="V2601" s="3" t="str">
        <f>IFERROR(__xludf.DUMMYFUNCTION("""COMPUTED_VALUE"""),"N")</f>
        <v>N</v>
      </c>
      <c r="W2601" s="3"/>
      <c r="X2601" s="3" t="str">
        <f>IFERROR(__xludf.DUMMYFUNCTION("""COMPUTED_VALUE"""),"13/9 ตำบลบางขนาก อำเภอบางน้ำเปรี้ยว จังหวัดฉะเชิงเทรา 24150")</f>
        <v>13/9 ตำบลบางขนาก อำเภอบางน้ำเปรี้ยว จังหวัดฉะเชิงเทรา 24150</v>
      </c>
      <c r="Y2601" s="3"/>
      <c r="Z2601" s="3">
        <f>IFERROR(__xludf.DUMMYFUNCTION("""COMPUTED_VALUE"""),0.0)</f>
        <v>0</v>
      </c>
      <c r="AA2601" s="3">
        <f>IFERROR(__xludf.DUMMYFUNCTION("""COMPUTED_VALUE"""),0.0)</f>
        <v>0</v>
      </c>
      <c r="AB2601" s="3" t="str">
        <f>IFERROR(__xludf.DUMMYFUNCTION("""COMPUTED_VALUE"""),"ฉะเชิงเทรา")</f>
        <v>ฉะเชิงเทรา</v>
      </c>
      <c r="AC2601" s="3">
        <f>IFERROR(__xludf.DUMMYFUNCTION("""COMPUTED_VALUE"""),24150.0)</f>
        <v>24150</v>
      </c>
      <c r="AD2601" s="3"/>
      <c r="AE2601" s="3"/>
      <c r="AF2601" s="3" t="str">
        <f>IFERROR(__xludf.DUMMYFUNCTION("""COMPUTED_VALUE"""),"ร้านคุณเสริฐศรี-83364")</f>
        <v>ร้านคุณเสริฐศรี-83364</v>
      </c>
      <c r="AG2601" s="3" t="str">
        <f>IFERROR(__xludf.DUMMYFUNCTION("""COMPUTED_VALUE"""),"ตะวันออก")</f>
        <v>ตะวันออก</v>
      </c>
      <c r="AH2601" s="3" t="str">
        <f>IFERROR(__xludf.DUMMYFUNCTION("""COMPUTED_VALUE"""),"#N/A")</f>
        <v>#N/A</v>
      </c>
      <c r="AI2601" s="3" t="str">
        <f>IFERROR(__xludf.DUMMYFUNCTION("""COMPUTED_VALUE"""),"Out of warranty")</f>
        <v>Out of warranty</v>
      </c>
      <c r="AJ2601" s="3">
        <f>IFERROR(__xludf.DUMMYFUNCTION("""COMPUTED_VALUE"""),48.0)</f>
        <v>48</v>
      </c>
      <c r="AK2601" s="3"/>
      <c r="AL2601" s="3"/>
    </row>
    <row r="2602" ht="15.75" customHeight="1">
      <c r="A2602" s="1" t="str">
        <f>IFERROR(__xludf.DUMMYFUNCTION("""COMPUTED_VALUE"""),"83365")</f>
        <v>83365</v>
      </c>
      <c r="B2602" s="2">
        <f>IFERROR(__xludf.DUMMYFUNCTION("""COMPUTED_VALUE"""),83365.0)</f>
        <v>83365</v>
      </c>
      <c r="C2602" s="3" t="str">
        <f>IFERROR(__xludf.DUMMYFUNCTION("""COMPUTED_VALUE"""),"ร้านเนย ช็อป")</f>
        <v>ร้านเนย ช็อป</v>
      </c>
      <c r="D2602" s="3" t="str">
        <f>IFERROR(__xludf.DUMMYFUNCTION("""COMPUTED_VALUE"""),"ร้านเนย ช็อป")</f>
        <v>ร้านเนย ช็อป</v>
      </c>
      <c r="E2602" s="1" t="str">
        <f>IFERROR(__xludf.DUMMYFUNCTION("""COMPUTED_VALUE"""),"Donjai")</f>
        <v>Donjai</v>
      </c>
      <c r="F2602" s="1" t="str">
        <f>IFERROR(__xludf.DUMMYFUNCTION("""COMPUTED_VALUE"""),"015361")</f>
        <v>015361</v>
      </c>
      <c r="G2602" s="1" t="str">
        <f>IFERROR(__xludf.DUMMYFUNCTION("""COMPUTED_VALUE"""),"นายสมบูรณ์ พรหมในเมือง")</f>
        <v>นายสมบูรณ์ พรหมในเมือง</v>
      </c>
      <c r="H2602" s="1" t="str">
        <f>IFERROR(__xludf.DUMMYFUNCTION("""COMPUTED_VALUE"""),"015361")</f>
        <v>015361</v>
      </c>
      <c r="I2602" s="1" t="str">
        <f>IFERROR(__xludf.DUMMYFUNCTION("""COMPUTED_VALUE"""),"นายสมบูรณ์ พรหมในเมือง")</f>
        <v>นายสมบูรณ์ พรหมในเมือง</v>
      </c>
      <c r="J2602" s="3">
        <f>IFERROR(__xludf.DUMMYFUNCTION("""COMPUTED_VALUE"""),295886.0)</f>
        <v>295886</v>
      </c>
      <c r="K2602" s="3" t="str">
        <f>IFERROR(__xludf.DUMMYFUNCTION("""COMPUTED_VALUE"""),"นายจิระพงษ์ โพธิ์นิล")</f>
        <v>นายจิระพงษ์ โพธิ์นิล</v>
      </c>
      <c r="L2602" s="1" t="str">
        <f>IFERROR(__xludf.DUMMYFUNCTION("""COMPUTED_VALUE"""),"นายจิระพงษ์ โพธิ์นิล")</f>
        <v>นายจิระพงษ์ โพธิ์นิล</v>
      </c>
      <c r="M2602" s="1" t="str">
        <f>IFERROR(__xludf.DUMMYFUNCTION("""COMPUTED_VALUE"""),"0933290754")</f>
        <v>0933290754</v>
      </c>
      <c r="N2602" s="3">
        <f>IFERROR(__xludf.DUMMYFUNCTION("""COMPUTED_VALUE"""),83365.0)</f>
        <v>83365</v>
      </c>
      <c r="O2602" s="3" t="str">
        <f>IFERROR(__xludf.DUMMYFUNCTION("""COMPUTED_VALUE"""),"ร้านเนย ช็อป")</f>
        <v>ร้านเนย ช็อป</v>
      </c>
      <c r="P2602" s="4">
        <f>IFERROR(__xludf.DUMMYFUNCTION("""COMPUTED_VALUE"""),44626.0)</f>
        <v>44626</v>
      </c>
      <c r="Q2602" s="3" t="str">
        <f>IFERROR(__xludf.DUMMYFUNCTION("""COMPUTED_VALUE"""),"A")</f>
        <v>A</v>
      </c>
      <c r="R2602" s="3" t="str">
        <f>IFERROR(__xludf.DUMMYFUNCTION("""COMPUTED_VALUE"""),"Small Format")</f>
        <v>Small Format</v>
      </c>
      <c r="S2602" s="3" t="str">
        <f>IFERROR(__xludf.DUMMYFUNCTION("""COMPUTED_VALUE"""),"Donjai")</f>
        <v>Donjai</v>
      </c>
      <c r="T2602" s="3" t="str">
        <f>IFERROR(__xludf.DUMMYFUNCTION("""COMPUTED_VALUE"""),"04 K.Somboon P.")</f>
        <v>04 K.Somboon P.</v>
      </c>
      <c r="U2602" s="3" t="str">
        <f>IFERROR(__xludf.DUMMYFUNCTION("""COMPUTED_VALUE"""),"04 K.Somboon P.")</f>
        <v>04 K.Somboon P.</v>
      </c>
      <c r="V2602" s="3" t="str">
        <f>IFERROR(__xludf.DUMMYFUNCTION("""COMPUTED_VALUE"""),"N")</f>
        <v>N</v>
      </c>
      <c r="W2602" s="3"/>
      <c r="X2602" s="3" t="str">
        <f>IFERROR(__xludf.DUMMYFUNCTION("""COMPUTED_VALUE"""),"39/2 ม.8 ต.ลุ่มน้ำชี อ.บ้านเขว้า จ.ชัยภูมิ")</f>
        <v>39/2 ม.8 ต.ลุ่มน้ำชี อ.บ้านเขว้า จ.ชัยภูมิ</v>
      </c>
      <c r="Y2602" s="3"/>
      <c r="Z2602" s="3">
        <f>IFERROR(__xludf.DUMMYFUNCTION("""COMPUTED_VALUE"""),0.0)</f>
        <v>0</v>
      </c>
      <c r="AA2602" s="3">
        <f>IFERROR(__xludf.DUMMYFUNCTION("""COMPUTED_VALUE"""),0.0)</f>
        <v>0</v>
      </c>
      <c r="AB2602" s="3" t="str">
        <f>IFERROR(__xludf.DUMMYFUNCTION("""COMPUTED_VALUE"""),"ชัยภูมิ")</f>
        <v>ชัยภูมิ</v>
      </c>
      <c r="AC2602" s="3">
        <f>IFERROR(__xludf.DUMMYFUNCTION("""COMPUTED_VALUE"""),0.0)</f>
        <v>0</v>
      </c>
      <c r="AD2602" s="3"/>
      <c r="AE2602" s="3"/>
      <c r="AF2602" s="3" t="str">
        <f>IFERROR(__xludf.DUMMYFUNCTION("""COMPUTED_VALUE"""),"ร้านเนย ช็อป-83365")</f>
        <v>ร้านเนย ช็อป-83365</v>
      </c>
      <c r="AG2602" s="3" t="str">
        <f>IFERROR(__xludf.DUMMYFUNCTION("""COMPUTED_VALUE"""),"ตะวันออกเฉียงเหนือ")</f>
        <v>ตะวันออกเฉียงเหนือ</v>
      </c>
      <c r="AH2602" s="3" t="str">
        <f>IFERROR(__xludf.DUMMYFUNCTION("""COMPUTED_VALUE"""),"#N/A")</f>
        <v>#N/A</v>
      </c>
      <c r="AI2602" s="3" t="str">
        <f>IFERROR(__xludf.DUMMYFUNCTION("""COMPUTED_VALUE"""),"Out of warranty")</f>
        <v>Out of warranty</v>
      </c>
      <c r="AJ2602" s="3">
        <f>IFERROR(__xludf.DUMMYFUNCTION("""COMPUTED_VALUE"""),47.0)</f>
        <v>47</v>
      </c>
      <c r="AK2602" s="3"/>
      <c r="AL2602" s="3"/>
    </row>
    <row r="2603" ht="15.75" customHeight="1">
      <c r="A2603" s="1" t="str">
        <f>IFERROR(__xludf.DUMMYFUNCTION("""COMPUTED_VALUE"""),"83366")</f>
        <v>83366</v>
      </c>
      <c r="B2603" s="2">
        <f>IFERROR(__xludf.DUMMYFUNCTION("""COMPUTED_VALUE"""),83366.0)</f>
        <v>83366</v>
      </c>
      <c r="C2603" s="3" t="str">
        <f>IFERROR(__xludf.DUMMYFUNCTION("""COMPUTED_VALUE"""),"ร้านพี่เดือน")</f>
        <v>ร้านพี่เดือน</v>
      </c>
      <c r="D2603" s="3" t="str">
        <f>IFERROR(__xludf.DUMMYFUNCTION("""COMPUTED_VALUE"""),"ร้านพี่เดือน")</f>
        <v>ร้านพี่เดือน</v>
      </c>
      <c r="E2603" s="1" t="str">
        <f>IFERROR(__xludf.DUMMYFUNCTION("""COMPUTED_VALUE"""),"Donjai")</f>
        <v>Donjai</v>
      </c>
      <c r="F2603" s="1" t="str">
        <f>IFERROR(__xludf.DUMMYFUNCTION("""COMPUTED_VALUE"""),"296608")</f>
        <v>296608</v>
      </c>
      <c r="G2603" s="1" t="str">
        <f>IFERROR(__xludf.DUMMYFUNCTION("""COMPUTED_VALUE"""),"นายภาคภูมิ เพ็ชรนิล")</f>
        <v>นายภาคภูมิ เพ็ชรนิล</v>
      </c>
      <c r="H2603" s="1" t="str">
        <f>IFERROR(__xludf.DUMMYFUNCTION("""COMPUTED_VALUE"""),"296608")</f>
        <v>296608</v>
      </c>
      <c r="I2603" s="1" t="str">
        <f>IFERROR(__xludf.DUMMYFUNCTION("""COMPUTED_VALUE"""),"นายภาคภูมิ เพ็ชรนิล")</f>
        <v>นายภาคภูมิ เพ็ชรนิล</v>
      </c>
      <c r="J2603" s="3">
        <f>IFERROR(__xludf.DUMMYFUNCTION("""COMPUTED_VALUE"""),228031.0)</f>
        <v>228031</v>
      </c>
      <c r="K2603" s="3" t="str">
        <f>IFERROR(__xludf.DUMMYFUNCTION("""COMPUTED_VALUE"""),"นายธนพงษ์ วันหมัด")</f>
        <v>นายธนพงษ์ วันหมัด</v>
      </c>
      <c r="L2603" s="1" t="str">
        <f>IFERROR(__xludf.DUMMYFUNCTION("""COMPUTED_VALUE"""),"นายธนพงษ์ วันหมัด")</f>
        <v>นายธนพงษ์ วันหมัด</v>
      </c>
      <c r="M2603" s="1" t="str">
        <f>IFERROR(__xludf.DUMMYFUNCTION("""COMPUTED_VALUE"""),"0813716913")</f>
        <v>0813716913</v>
      </c>
      <c r="N2603" s="3">
        <f>IFERROR(__xludf.DUMMYFUNCTION("""COMPUTED_VALUE"""),83366.0)</f>
        <v>83366</v>
      </c>
      <c r="O2603" s="3" t="str">
        <f>IFERROR(__xludf.DUMMYFUNCTION("""COMPUTED_VALUE"""),"ร้านพี่เดือน")</f>
        <v>ร้านพี่เดือน</v>
      </c>
      <c r="P2603" s="4">
        <f>IFERROR(__xludf.DUMMYFUNCTION("""COMPUTED_VALUE"""),44606.0)</f>
        <v>44606</v>
      </c>
      <c r="Q2603" s="3" t="str">
        <f>IFERROR(__xludf.DUMMYFUNCTION("""COMPUTED_VALUE"""),"A")</f>
        <v>A</v>
      </c>
      <c r="R2603" s="3" t="str">
        <f>IFERROR(__xludf.DUMMYFUNCTION("""COMPUTED_VALUE"""),"Small Format")</f>
        <v>Small Format</v>
      </c>
      <c r="S2603" s="3" t="str">
        <f>IFERROR(__xludf.DUMMYFUNCTION("""COMPUTED_VALUE"""),"Donjai")</f>
        <v>Donjai</v>
      </c>
      <c r="T2603" s="3" t="str">
        <f>IFERROR(__xludf.DUMMYFUNCTION("""COMPUTED_VALUE"""),"10 K.Phakphoom P.")</f>
        <v>10 K.Phakphoom P.</v>
      </c>
      <c r="U2603" s="3" t="str">
        <f>IFERROR(__xludf.DUMMYFUNCTION("""COMPUTED_VALUE"""),"10 K.Phakphoom P.")</f>
        <v>10 K.Phakphoom P.</v>
      </c>
      <c r="V2603" s="3" t="str">
        <f>IFERROR(__xludf.DUMMYFUNCTION("""COMPUTED_VALUE"""),"N")</f>
        <v>N</v>
      </c>
      <c r="W2603" s="3"/>
      <c r="X2603" s="3" t="str">
        <f>IFERROR(__xludf.DUMMYFUNCTION("""COMPUTED_VALUE"""),"37/2 ม.4 ต.ไทยยาวาส อ.นครชัยศรี จ. นครปฐม 73120")</f>
        <v>37/2 ม.4 ต.ไทยยาวาส อ.นครชัยศรี จ. นครปฐม 73120</v>
      </c>
      <c r="Y2603" s="3"/>
      <c r="Z2603" s="3">
        <f>IFERROR(__xludf.DUMMYFUNCTION("""COMPUTED_VALUE"""),0.0)</f>
        <v>0</v>
      </c>
      <c r="AA2603" s="3">
        <f>IFERROR(__xludf.DUMMYFUNCTION("""COMPUTED_VALUE"""),0.0)</f>
        <v>0</v>
      </c>
      <c r="AB2603" s="3" t="str">
        <f>IFERROR(__xludf.DUMMYFUNCTION("""COMPUTED_VALUE"""),"นครปฐม")</f>
        <v>นครปฐม</v>
      </c>
      <c r="AC2603" s="3">
        <f>IFERROR(__xludf.DUMMYFUNCTION("""COMPUTED_VALUE"""),73120.0)</f>
        <v>73120</v>
      </c>
      <c r="AD2603" s="3"/>
      <c r="AE2603" s="3"/>
      <c r="AF2603" s="3" t="str">
        <f>IFERROR(__xludf.DUMMYFUNCTION("""COMPUTED_VALUE"""),"ร้านพี่เดือน-83366")</f>
        <v>ร้านพี่เดือน-83366</v>
      </c>
      <c r="AG2603" s="3" t="str">
        <f>IFERROR(__xludf.DUMMYFUNCTION("""COMPUTED_VALUE"""),"กลาง")</f>
        <v>กลาง</v>
      </c>
      <c r="AH2603" s="3" t="str">
        <f>IFERROR(__xludf.DUMMYFUNCTION("""COMPUTED_VALUE"""),"#N/A")</f>
        <v>#N/A</v>
      </c>
      <c r="AI2603" s="3" t="str">
        <f>IFERROR(__xludf.DUMMYFUNCTION("""COMPUTED_VALUE"""),"Out of warranty")</f>
        <v>Out of warranty</v>
      </c>
      <c r="AJ2603" s="3">
        <f>IFERROR(__xludf.DUMMYFUNCTION("""COMPUTED_VALUE"""),48.0)</f>
        <v>48</v>
      </c>
      <c r="AK2603" s="3"/>
      <c r="AL2603" s="3"/>
    </row>
    <row r="2604" ht="15.75" customHeight="1">
      <c r="A2604" s="1" t="str">
        <f>IFERROR(__xludf.DUMMYFUNCTION("""COMPUTED_VALUE"""),"83367")</f>
        <v>83367</v>
      </c>
      <c r="B2604" s="2">
        <f>IFERROR(__xludf.DUMMYFUNCTION("""COMPUTED_VALUE"""),83367.0)</f>
        <v>83367</v>
      </c>
      <c r="C2604" s="3" t="str">
        <f>IFERROR(__xludf.DUMMYFUNCTION("""COMPUTED_VALUE"""),"ร้านโชคศรี มินิมาร์ท")</f>
        <v>ร้านโชคศรี มินิมาร์ท</v>
      </c>
      <c r="D2604" s="3" t="str">
        <f>IFERROR(__xludf.DUMMYFUNCTION("""COMPUTED_VALUE"""),"ร้านโชคศรี มินิมาร์ท")</f>
        <v>ร้านโชคศรี มินิมาร์ท</v>
      </c>
      <c r="E2604" s="1" t="str">
        <f>IFERROR(__xludf.DUMMYFUNCTION("""COMPUTED_VALUE"""),"Donjai")</f>
        <v>Donjai</v>
      </c>
      <c r="F2604" s="1" t="str">
        <f>IFERROR(__xludf.DUMMYFUNCTION("""COMPUTED_VALUE"""),"296868")</f>
        <v>296868</v>
      </c>
      <c r="G2604" s="1" t="str">
        <f>IFERROR(__xludf.DUMMYFUNCTION("""COMPUTED_VALUE"""),"นายพีระพงษ์ แก้วดวงดี")</f>
        <v>นายพีระพงษ์ แก้วดวงดี</v>
      </c>
      <c r="H2604" s="1" t="str">
        <f>IFERROR(__xludf.DUMMYFUNCTION("""COMPUTED_VALUE"""),"296868")</f>
        <v>296868</v>
      </c>
      <c r="I2604" s="1" t="str">
        <f>IFERROR(__xludf.DUMMYFUNCTION("""COMPUTED_VALUE"""),"นายพีระพงษ์ แก้วดวงดี")</f>
        <v>นายพีระพงษ์ แก้วดวงดี</v>
      </c>
      <c r="J2604" s="3">
        <f>IFERROR(__xludf.DUMMYFUNCTION("""COMPUTED_VALUE"""),295886.0)</f>
        <v>295886</v>
      </c>
      <c r="K2604" s="3" t="str">
        <f>IFERROR(__xludf.DUMMYFUNCTION("""COMPUTED_VALUE"""),"นายจิระพงษ์ โพธิ์นิล")</f>
        <v>นายจิระพงษ์ โพธิ์นิล</v>
      </c>
      <c r="L2604" s="1" t="str">
        <f>IFERROR(__xludf.DUMMYFUNCTION("""COMPUTED_VALUE"""),"นายจิระพงษ์ โพธิ์นิล")</f>
        <v>นายจิระพงษ์ โพธิ์นิล</v>
      </c>
      <c r="M2604" s="1" t="str">
        <f>IFERROR(__xludf.DUMMYFUNCTION("""COMPUTED_VALUE"""),"0933290754")</f>
        <v>0933290754</v>
      </c>
      <c r="N2604" s="3">
        <f>IFERROR(__xludf.DUMMYFUNCTION("""COMPUTED_VALUE"""),83367.0)</f>
        <v>83367</v>
      </c>
      <c r="O2604" s="3" t="str">
        <f>IFERROR(__xludf.DUMMYFUNCTION("""COMPUTED_VALUE"""),"ร้านโชคศรี มินิมาร์ท")</f>
        <v>ร้านโชคศรี มินิมาร์ท</v>
      </c>
      <c r="P2604" s="4">
        <f>IFERROR(__xludf.DUMMYFUNCTION("""COMPUTED_VALUE"""),44604.0)</f>
        <v>44604</v>
      </c>
      <c r="Q2604" s="3" t="str">
        <f>IFERROR(__xludf.DUMMYFUNCTION("""COMPUTED_VALUE"""),"A")</f>
        <v>A</v>
      </c>
      <c r="R2604" s="3" t="str">
        <f>IFERROR(__xludf.DUMMYFUNCTION("""COMPUTED_VALUE"""),"Small Format")</f>
        <v>Small Format</v>
      </c>
      <c r="S2604" s="3" t="str">
        <f>IFERROR(__xludf.DUMMYFUNCTION("""COMPUTED_VALUE"""),"Donjai")</f>
        <v>Donjai</v>
      </c>
      <c r="T2604" s="3" t="str">
        <f>IFERROR(__xludf.DUMMYFUNCTION("""COMPUTED_VALUE"""),"03 K.Peerapong K.")</f>
        <v>03 K.Peerapong K.</v>
      </c>
      <c r="U2604" s="3" t="str">
        <f>IFERROR(__xludf.DUMMYFUNCTION("""COMPUTED_VALUE"""),"03 K.Peerapong K.")</f>
        <v>03 K.Peerapong K.</v>
      </c>
      <c r="V2604" s="3" t="str">
        <f>IFERROR(__xludf.DUMMYFUNCTION("""COMPUTED_VALUE"""),"N")</f>
        <v>N</v>
      </c>
      <c r="W2604" s="3"/>
      <c r="X2604" s="3" t="str">
        <f>IFERROR(__xludf.DUMMYFUNCTION("""COMPUTED_VALUE"""),"51 ม.14 ต.พุ่มแก อ.นาแก จ.นครพนม 48130")</f>
        <v>51 ม.14 ต.พุ่มแก อ.นาแก จ.นครพนม 48130</v>
      </c>
      <c r="Y2604" s="3"/>
      <c r="Z2604" s="3">
        <f>IFERROR(__xludf.DUMMYFUNCTION("""COMPUTED_VALUE"""),0.0)</f>
        <v>0</v>
      </c>
      <c r="AA2604" s="3">
        <f>IFERROR(__xludf.DUMMYFUNCTION("""COMPUTED_VALUE"""),0.0)</f>
        <v>0</v>
      </c>
      <c r="AB2604" s="3" t="str">
        <f>IFERROR(__xludf.DUMMYFUNCTION("""COMPUTED_VALUE"""),"นครพนม")</f>
        <v>นครพนม</v>
      </c>
      <c r="AC2604" s="3">
        <f>IFERROR(__xludf.DUMMYFUNCTION("""COMPUTED_VALUE"""),48130.0)</f>
        <v>48130</v>
      </c>
      <c r="AD2604" s="3"/>
      <c r="AE2604" s="3"/>
      <c r="AF2604" s="3" t="str">
        <f>IFERROR(__xludf.DUMMYFUNCTION("""COMPUTED_VALUE"""),"ร้านโชคศรี มินิมาร์ท-83367")</f>
        <v>ร้านโชคศรี มินิมาร์ท-83367</v>
      </c>
      <c r="AG2604" s="3" t="str">
        <f>IFERROR(__xludf.DUMMYFUNCTION("""COMPUTED_VALUE"""),"ตะวันออกเฉียงเหนือ")</f>
        <v>ตะวันออกเฉียงเหนือ</v>
      </c>
      <c r="AH2604" s="3" t="str">
        <f>IFERROR(__xludf.DUMMYFUNCTION("""COMPUTED_VALUE"""),"#N/A")</f>
        <v>#N/A</v>
      </c>
      <c r="AI2604" s="3" t="str">
        <f>IFERROR(__xludf.DUMMYFUNCTION("""COMPUTED_VALUE"""),"Out of warranty")</f>
        <v>Out of warranty</v>
      </c>
      <c r="AJ2604" s="3">
        <f>IFERROR(__xludf.DUMMYFUNCTION("""COMPUTED_VALUE"""),48.0)</f>
        <v>48</v>
      </c>
      <c r="AK2604" s="3"/>
      <c r="AL2604" s="3"/>
    </row>
    <row r="2605" ht="15.75" customHeight="1">
      <c r="A2605" s="1" t="str">
        <f>IFERROR(__xludf.DUMMYFUNCTION("""COMPUTED_VALUE"""),"83368")</f>
        <v>83368</v>
      </c>
      <c r="B2605" s="2">
        <f>IFERROR(__xludf.DUMMYFUNCTION("""COMPUTED_VALUE"""),83368.0)</f>
        <v>83368</v>
      </c>
      <c r="C2605" s="3" t="str">
        <f>IFERROR(__xludf.DUMMYFUNCTION("""COMPUTED_VALUE"""),"ร้านณัฟตาลีย์ มินิมาร์ท (นริศาการค้า)")</f>
        <v>ร้านณัฟตาลีย์ มินิมาร์ท (นริศาการค้า)</v>
      </c>
      <c r="D2605" s="3" t="str">
        <f>IFERROR(__xludf.DUMMYFUNCTION("""COMPUTED_VALUE"""),"ร้านณัฟตาลีย์ มินิมาร์ท (นริศาการค้า)")</f>
        <v>ร้านณัฟตาลีย์ มินิมาร์ท (นริศาการค้า)</v>
      </c>
      <c r="E2605" s="1" t="str">
        <f>IFERROR(__xludf.DUMMYFUNCTION("""COMPUTED_VALUE"""),"Donjai")</f>
        <v>Donjai</v>
      </c>
      <c r="F2605" s="1" t="str">
        <f>IFERROR(__xludf.DUMMYFUNCTION("""COMPUTED_VALUE"""),"20470331")</f>
        <v>20470331</v>
      </c>
      <c r="G2605" s="1" t="str">
        <f>IFERROR(__xludf.DUMMYFUNCTION("""COMPUTED_VALUE"""),"นายสมชาย ลักษณะสุวรรณ")</f>
        <v>นายสมชาย ลักษณะสุวรรณ</v>
      </c>
      <c r="H2605" s="1" t="str">
        <f>IFERROR(__xludf.DUMMYFUNCTION("""COMPUTED_VALUE"""),"20470331")</f>
        <v>20470331</v>
      </c>
      <c r="I2605" s="1" t="str">
        <f>IFERROR(__xludf.DUMMYFUNCTION("""COMPUTED_VALUE"""),"นายสมชาย ลักษณะสุวรรณ")</f>
        <v>นายสมชาย ลักษณะสุวรรณ</v>
      </c>
      <c r="J2605" s="3">
        <f>IFERROR(__xludf.DUMMYFUNCTION("""COMPUTED_VALUE"""),295541.0)</f>
        <v>295541</v>
      </c>
      <c r="K2605" s="3" t="str">
        <f>IFERROR(__xludf.DUMMYFUNCTION("""COMPUTED_VALUE"""),"นายรพิพล ศรีมาตย์")</f>
        <v>นายรพิพล ศรีมาตย์</v>
      </c>
      <c r="L2605" s="1" t="str">
        <f>IFERROR(__xludf.DUMMYFUNCTION("""COMPUTED_VALUE"""),"นายรพิพล ศรีมาตย์")</f>
        <v>นายรพิพล ศรีมาตย์</v>
      </c>
      <c r="M2605" s="1" t="str">
        <f>IFERROR(__xludf.DUMMYFUNCTION("""COMPUTED_VALUE"""),"0613966115")</f>
        <v>0613966115</v>
      </c>
      <c r="N2605" s="3">
        <f>IFERROR(__xludf.DUMMYFUNCTION("""COMPUTED_VALUE"""),83368.0)</f>
        <v>83368</v>
      </c>
      <c r="O2605" s="3" t="str">
        <f>IFERROR(__xludf.DUMMYFUNCTION("""COMPUTED_VALUE"""),"ร้านณัฟตาลีย์ มินิมาร์ท (นริศาการค้า)")</f>
        <v>ร้านณัฟตาลีย์ มินิมาร์ท (นริศาการค้า)</v>
      </c>
      <c r="P2605" s="4">
        <f>IFERROR(__xludf.DUMMYFUNCTION("""COMPUTED_VALUE"""),44721.0)</f>
        <v>44721</v>
      </c>
      <c r="Q2605" s="3" t="str">
        <f>IFERROR(__xludf.DUMMYFUNCTION("""COMPUTED_VALUE"""),"A")</f>
        <v>A</v>
      </c>
      <c r="R2605" s="3" t="str">
        <f>IFERROR(__xludf.DUMMYFUNCTION("""COMPUTED_VALUE"""),"Small Format")</f>
        <v>Small Format</v>
      </c>
      <c r="S2605" s="3" t="str">
        <f>IFERROR(__xludf.DUMMYFUNCTION("""COMPUTED_VALUE"""),"Donjai")</f>
        <v>Donjai</v>
      </c>
      <c r="T2605" s="3" t="str">
        <f>IFERROR(__xludf.DUMMYFUNCTION("""COMPUTED_VALUE"""),"15 K.Somchai L")</f>
        <v>15 K.Somchai L</v>
      </c>
      <c r="U2605" s="3" t="str">
        <f>IFERROR(__xludf.DUMMYFUNCTION("""COMPUTED_VALUE"""),"15 K.Somchai L")</f>
        <v>15 K.Somchai L</v>
      </c>
      <c r="V2605" s="3" t="str">
        <f>IFERROR(__xludf.DUMMYFUNCTION("""COMPUTED_VALUE"""),"N")</f>
        <v>N</v>
      </c>
      <c r="W2605" s="3"/>
      <c r="X2605" s="3" t="str">
        <f>IFERROR(__xludf.DUMMYFUNCTION("""COMPUTED_VALUE"""),"280/1 ม.8 ต.ปะลุกาสาเมาะ อ.บาเจาะ จ.นราธิวาส")</f>
        <v>280/1 ม.8 ต.ปะลุกาสาเมาะ อ.บาเจาะ จ.นราธิวาส</v>
      </c>
      <c r="Y2605" s="3"/>
      <c r="Z2605" s="3">
        <f>IFERROR(__xludf.DUMMYFUNCTION("""COMPUTED_VALUE"""),0.0)</f>
        <v>0</v>
      </c>
      <c r="AA2605" s="3">
        <f>IFERROR(__xludf.DUMMYFUNCTION("""COMPUTED_VALUE"""),0.0)</f>
        <v>0</v>
      </c>
      <c r="AB2605" s="3" t="str">
        <f>IFERROR(__xludf.DUMMYFUNCTION("""COMPUTED_VALUE"""),"นราธิวาส")</f>
        <v>นราธิวาส</v>
      </c>
      <c r="AC2605" s="3">
        <f>IFERROR(__xludf.DUMMYFUNCTION("""COMPUTED_VALUE"""),0.0)</f>
        <v>0</v>
      </c>
      <c r="AD2605" s="3"/>
      <c r="AE2605" s="3"/>
      <c r="AF2605" s="3" t="str">
        <f>IFERROR(__xludf.DUMMYFUNCTION("""COMPUTED_VALUE"""),"ร้านณัฟตาลีย์ มินิมาร์ท (นริศาการค้า)-83368")</f>
        <v>ร้านณัฟตาลีย์ มินิมาร์ท (นริศาการค้า)-83368</v>
      </c>
      <c r="AG2605" s="3" t="str">
        <f>IFERROR(__xludf.DUMMYFUNCTION("""COMPUTED_VALUE"""),"ใต้")</f>
        <v>ใต้</v>
      </c>
      <c r="AH2605" s="3" t="str">
        <f>IFERROR(__xludf.DUMMYFUNCTION("""COMPUTED_VALUE"""),"#N/A")</f>
        <v>#N/A</v>
      </c>
      <c r="AI2605" s="3" t="str">
        <f>IFERROR(__xludf.DUMMYFUNCTION("""COMPUTED_VALUE"""),"Out of warranty")</f>
        <v>Out of warranty</v>
      </c>
      <c r="AJ2605" s="3">
        <f>IFERROR(__xludf.DUMMYFUNCTION("""COMPUTED_VALUE"""),44.0)</f>
        <v>44</v>
      </c>
      <c r="AK2605" s="3"/>
      <c r="AL2605" s="3"/>
    </row>
    <row r="2606" ht="15.75" customHeight="1">
      <c r="A2606" s="1" t="str">
        <f>IFERROR(__xludf.DUMMYFUNCTION("""COMPUTED_VALUE"""),"83369")</f>
        <v>83369</v>
      </c>
      <c r="B2606" s="2">
        <f>IFERROR(__xludf.DUMMYFUNCTION("""COMPUTED_VALUE"""),83369.0)</f>
        <v>83369</v>
      </c>
      <c r="C2606" s="3" t="str">
        <f>IFERROR(__xludf.DUMMYFUNCTION("""COMPUTED_VALUE"""),"ร้านริสกี มินิมาร์ท")</f>
        <v>ร้านริสกี มินิมาร์ท</v>
      </c>
      <c r="D2606" s="3" t="str">
        <f>IFERROR(__xludf.DUMMYFUNCTION("""COMPUTED_VALUE"""),"ร้านริสกี มินิมาร์ท")</f>
        <v>ร้านริสกี มินิมาร์ท</v>
      </c>
      <c r="E2606" s="1" t="str">
        <f>IFERROR(__xludf.DUMMYFUNCTION("""COMPUTED_VALUE"""),"Donjai")</f>
        <v>Donjai</v>
      </c>
      <c r="F2606" s="1" t="str">
        <f>IFERROR(__xludf.DUMMYFUNCTION("""COMPUTED_VALUE"""),"20470331")</f>
        <v>20470331</v>
      </c>
      <c r="G2606" s="1" t="str">
        <f>IFERROR(__xludf.DUMMYFUNCTION("""COMPUTED_VALUE"""),"นายสมชาย ลักษณะสุวรรณ")</f>
        <v>นายสมชาย ลักษณะสุวรรณ</v>
      </c>
      <c r="H2606" s="1" t="str">
        <f>IFERROR(__xludf.DUMMYFUNCTION("""COMPUTED_VALUE"""),"20470331")</f>
        <v>20470331</v>
      </c>
      <c r="I2606" s="1" t="str">
        <f>IFERROR(__xludf.DUMMYFUNCTION("""COMPUTED_VALUE"""),"นายสมชาย ลักษณะสุวรรณ")</f>
        <v>นายสมชาย ลักษณะสุวรรณ</v>
      </c>
      <c r="J2606" s="3">
        <f>IFERROR(__xludf.DUMMYFUNCTION("""COMPUTED_VALUE"""),295541.0)</f>
        <v>295541</v>
      </c>
      <c r="K2606" s="3" t="str">
        <f>IFERROR(__xludf.DUMMYFUNCTION("""COMPUTED_VALUE"""),"นายรพิพล ศรีมาตย์")</f>
        <v>นายรพิพล ศรีมาตย์</v>
      </c>
      <c r="L2606" s="1" t="str">
        <f>IFERROR(__xludf.DUMMYFUNCTION("""COMPUTED_VALUE"""),"นายรพิพล ศรีมาตย์")</f>
        <v>นายรพิพล ศรีมาตย์</v>
      </c>
      <c r="M2606" s="1" t="str">
        <f>IFERROR(__xludf.DUMMYFUNCTION("""COMPUTED_VALUE"""),"0613966115")</f>
        <v>0613966115</v>
      </c>
      <c r="N2606" s="3">
        <f>IFERROR(__xludf.DUMMYFUNCTION("""COMPUTED_VALUE"""),83369.0)</f>
        <v>83369</v>
      </c>
      <c r="O2606" s="3" t="str">
        <f>IFERROR(__xludf.DUMMYFUNCTION("""COMPUTED_VALUE"""),"ร้านริสกี มินิมาร์ท")</f>
        <v>ร้านริสกี มินิมาร์ท</v>
      </c>
      <c r="P2606" s="4">
        <f>IFERROR(__xludf.DUMMYFUNCTION("""COMPUTED_VALUE"""),44614.0)</f>
        <v>44614</v>
      </c>
      <c r="Q2606" s="3" t="str">
        <f>IFERROR(__xludf.DUMMYFUNCTION("""COMPUTED_VALUE"""),"I")</f>
        <v>I</v>
      </c>
      <c r="R2606" s="3" t="str">
        <f>IFERROR(__xludf.DUMMYFUNCTION("""COMPUTED_VALUE"""),"Small Format")</f>
        <v>Small Format</v>
      </c>
      <c r="S2606" s="3" t="str">
        <f>IFERROR(__xludf.DUMMYFUNCTION("""COMPUTED_VALUE"""),"Donjai")</f>
        <v>Donjai</v>
      </c>
      <c r="T2606" s="3" t="str">
        <f>IFERROR(__xludf.DUMMYFUNCTION("""COMPUTED_VALUE"""),"15 K.Somchai L")</f>
        <v>15 K.Somchai L</v>
      </c>
      <c r="U2606" s="3" t="str">
        <f>IFERROR(__xludf.DUMMYFUNCTION("""COMPUTED_VALUE"""),"15 K.Somchai L")</f>
        <v>15 K.Somchai L</v>
      </c>
      <c r="V2606" s="3" t="str">
        <f>IFERROR(__xludf.DUMMYFUNCTION("""COMPUTED_VALUE"""),"N")</f>
        <v>N</v>
      </c>
      <c r="W2606" s="3"/>
      <c r="X2606" s="3" t="str">
        <f>IFERROR(__xludf.DUMMYFUNCTION("""COMPUTED_VALUE"""),"33 ม.4 ต.ตะมะยูง อ.ศรีสาคร จ.นราธิวาส")</f>
        <v>33 ม.4 ต.ตะมะยูง อ.ศรีสาคร จ.นราธิวาส</v>
      </c>
      <c r="Y2606" s="3"/>
      <c r="Z2606" s="3">
        <f>IFERROR(__xludf.DUMMYFUNCTION("""COMPUTED_VALUE"""),0.0)</f>
        <v>0</v>
      </c>
      <c r="AA2606" s="3">
        <f>IFERROR(__xludf.DUMMYFUNCTION("""COMPUTED_VALUE"""),0.0)</f>
        <v>0</v>
      </c>
      <c r="AB2606" s="3" t="str">
        <f>IFERROR(__xludf.DUMMYFUNCTION("""COMPUTED_VALUE"""),"นราธิวาส")</f>
        <v>นราธิวาส</v>
      </c>
      <c r="AC2606" s="3">
        <f>IFERROR(__xludf.DUMMYFUNCTION("""COMPUTED_VALUE"""),0.0)</f>
        <v>0</v>
      </c>
      <c r="AD2606" s="3"/>
      <c r="AE2606" s="3"/>
      <c r="AF2606" s="3" t="str">
        <f>IFERROR(__xludf.DUMMYFUNCTION("""COMPUTED_VALUE"""),"ร้านริสกี มินิมาร์ท-83369")</f>
        <v>ร้านริสกี มินิมาร์ท-83369</v>
      </c>
      <c r="AG2606" s="3" t="str">
        <f>IFERROR(__xludf.DUMMYFUNCTION("""COMPUTED_VALUE"""),"ใต้")</f>
        <v>ใต้</v>
      </c>
      <c r="AH2606" s="3" t="str">
        <f>IFERROR(__xludf.DUMMYFUNCTION("""COMPUTED_VALUE"""),"#N/A")</f>
        <v>#N/A</v>
      </c>
      <c r="AI2606" s="3" t="str">
        <f>IFERROR(__xludf.DUMMYFUNCTION("""COMPUTED_VALUE"""),"Out of warranty")</f>
        <v>Out of warranty</v>
      </c>
      <c r="AJ2606" s="3">
        <f>IFERROR(__xludf.DUMMYFUNCTION("""COMPUTED_VALUE"""),47.0)</f>
        <v>47</v>
      </c>
      <c r="AK2606" s="3"/>
      <c r="AL2606" s="3"/>
    </row>
    <row r="2607" ht="15.75" customHeight="1">
      <c r="A2607" s="1" t="str">
        <f>IFERROR(__xludf.DUMMYFUNCTION("""COMPUTED_VALUE"""),"83371")</f>
        <v>83371</v>
      </c>
      <c r="B2607" s="2">
        <f>IFERROR(__xludf.DUMMYFUNCTION("""COMPUTED_VALUE"""),83371.0)</f>
        <v>83371</v>
      </c>
      <c r="C2607" s="3" t="str">
        <f>IFERROR(__xludf.DUMMYFUNCTION("""COMPUTED_VALUE"""),"ร้านอุมาวดี")</f>
        <v>ร้านอุมาวดี</v>
      </c>
      <c r="D2607" s="3" t="str">
        <f>IFERROR(__xludf.DUMMYFUNCTION("""COMPUTED_VALUE"""),"ร้านอุมาวดี")</f>
        <v>ร้านอุมาวดี</v>
      </c>
      <c r="E2607" s="1" t="str">
        <f>IFERROR(__xludf.DUMMYFUNCTION("""COMPUTED_VALUE"""),"Donjai")</f>
        <v>Donjai</v>
      </c>
      <c r="F2607" s="1" t="str">
        <f>IFERROR(__xludf.DUMMYFUNCTION("""COMPUTED_VALUE"""),"20470331")</f>
        <v>20470331</v>
      </c>
      <c r="G2607" s="1" t="str">
        <f>IFERROR(__xludf.DUMMYFUNCTION("""COMPUTED_VALUE"""),"นายสมชาย ลักษณะสุวรรณ")</f>
        <v>นายสมชาย ลักษณะสุวรรณ</v>
      </c>
      <c r="H2607" s="1" t="str">
        <f>IFERROR(__xludf.DUMMYFUNCTION("""COMPUTED_VALUE"""),"20470331")</f>
        <v>20470331</v>
      </c>
      <c r="I2607" s="1" t="str">
        <f>IFERROR(__xludf.DUMMYFUNCTION("""COMPUTED_VALUE"""),"นายสมชาย ลักษณะสุวรรณ")</f>
        <v>นายสมชาย ลักษณะสุวรรณ</v>
      </c>
      <c r="J2607" s="3">
        <f>IFERROR(__xludf.DUMMYFUNCTION("""COMPUTED_VALUE"""),295541.0)</f>
        <v>295541</v>
      </c>
      <c r="K2607" s="3" t="str">
        <f>IFERROR(__xludf.DUMMYFUNCTION("""COMPUTED_VALUE"""),"นายรพิพล ศรีมาตย์")</f>
        <v>นายรพิพล ศรีมาตย์</v>
      </c>
      <c r="L2607" s="1" t="str">
        <f>IFERROR(__xludf.DUMMYFUNCTION("""COMPUTED_VALUE"""),"นายรพิพล ศรีมาตย์")</f>
        <v>นายรพิพล ศรีมาตย์</v>
      </c>
      <c r="M2607" s="1" t="str">
        <f>IFERROR(__xludf.DUMMYFUNCTION("""COMPUTED_VALUE"""),"0613966115")</f>
        <v>0613966115</v>
      </c>
      <c r="N2607" s="3">
        <f>IFERROR(__xludf.DUMMYFUNCTION("""COMPUTED_VALUE"""),83371.0)</f>
        <v>83371</v>
      </c>
      <c r="O2607" s="3" t="str">
        <f>IFERROR(__xludf.DUMMYFUNCTION("""COMPUTED_VALUE"""),"ร้านอุมาวดี")</f>
        <v>ร้านอุมาวดี</v>
      </c>
      <c r="P2607" s="4">
        <f>IFERROR(__xludf.DUMMYFUNCTION("""COMPUTED_VALUE"""),44612.0)</f>
        <v>44612</v>
      </c>
      <c r="Q2607" s="3" t="str">
        <f>IFERROR(__xludf.DUMMYFUNCTION("""COMPUTED_VALUE"""),"A")</f>
        <v>A</v>
      </c>
      <c r="R2607" s="3" t="str">
        <f>IFERROR(__xludf.DUMMYFUNCTION("""COMPUTED_VALUE"""),"Small Format")</f>
        <v>Small Format</v>
      </c>
      <c r="S2607" s="3" t="str">
        <f>IFERROR(__xludf.DUMMYFUNCTION("""COMPUTED_VALUE"""),"Donjai")</f>
        <v>Donjai</v>
      </c>
      <c r="T2607" s="3" t="str">
        <f>IFERROR(__xludf.DUMMYFUNCTION("""COMPUTED_VALUE"""),"15 K.Somchai L")</f>
        <v>15 K.Somchai L</v>
      </c>
      <c r="U2607" s="3" t="str">
        <f>IFERROR(__xludf.DUMMYFUNCTION("""COMPUTED_VALUE"""),"15 K.Somchai L")</f>
        <v>15 K.Somchai L</v>
      </c>
      <c r="V2607" s="3" t="str">
        <f>IFERROR(__xludf.DUMMYFUNCTION("""COMPUTED_VALUE"""),"N")</f>
        <v>N</v>
      </c>
      <c r="W2607" s="3"/>
      <c r="X2607" s="3" t="str">
        <f>IFERROR(__xludf.DUMMYFUNCTION("""COMPUTED_VALUE"""),"บ้านเลขที่ 3 หมู่ 4 ต.ทุ่งใหญ่ อ.หาดใหญ่ จ.สงขลา")</f>
        <v>บ้านเลขที่ 3 หมู่ 4 ต.ทุ่งใหญ่ อ.หาดใหญ่ จ.สงขลา</v>
      </c>
      <c r="Y2607" s="3"/>
      <c r="Z2607" s="3">
        <f>IFERROR(__xludf.DUMMYFUNCTION("""COMPUTED_VALUE"""),0.0)</f>
        <v>0</v>
      </c>
      <c r="AA2607" s="3">
        <f>IFERROR(__xludf.DUMMYFUNCTION("""COMPUTED_VALUE"""),0.0)</f>
        <v>0</v>
      </c>
      <c r="AB2607" s="3" t="str">
        <f>IFERROR(__xludf.DUMMYFUNCTION("""COMPUTED_VALUE"""),"สงขลา")</f>
        <v>สงขลา</v>
      </c>
      <c r="AC2607" s="3">
        <f>IFERROR(__xludf.DUMMYFUNCTION("""COMPUTED_VALUE"""),0.0)</f>
        <v>0</v>
      </c>
      <c r="AD2607" s="3"/>
      <c r="AE2607" s="3"/>
      <c r="AF2607" s="3" t="str">
        <f>IFERROR(__xludf.DUMMYFUNCTION("""COMPUTED_VALUE"""),"ร้านอุมาวดี-83371")</f>
        <v>ร้านอุมาวดี-83371</v>
      </c>
      <c r="AG2607" s="3" t="str">
        <f>IFERROR(__xludf.DUMMYFUNCTION("""COMPUTED_VALUE"""),"ใต้")</f>
        <v>ใต้</v>
      </c>
      <c r="AH2607" s="3" t="str">
        <f>IFERROR(__xludf.DUMMYFUNCTION("""COMPUTED_VALUE"""),"#N/A")</f>
        <v>#N/A</v>
      </c>
      <c r="AI2607" s="3" t="str">
        <f>IFERROR(__xludf.DUMMYFUNCTION("""COMPUTED_VALUE"""),"Out of warranty")</f>
        <v>Out of warranty</v>
      </c>
      <c r="AJ2607" s="3">
        <f>IFERROR(__xludf.DUMMYFUNCTION("""COMPUTED_VALUE"""),48.0)</f>
        <v>48</v>
      </c>
      <c r="AK2607" s="3"/>
      <c r="AL2607" s="3"/>
    </row>
    <row r="2608" ht="15.75" customHeight="1">
      <c r="A2608" s="1" t="str">
        <f>IFERROR(__xludf.DUMMYFUNCTION("""COMPUTED_VALUE"""),"83373")</f>
        <v>83373</v>
      </c>
      <c r="B2608" s="2">
        <f>IFERROR(__xludf.DUMMYFUNCTION("""COMPUTED_VALUE"""),83373.0)</f>
        <v>83373</v>
      </c>
      <c r="C2608" s="3" t="str">
        <f>IFERROR(__xludf.DUMMYFUNCTION("""COMPUTED_VALUE"""),"ร้านกิ่งก้อย2")</f>
        <v>ร้านกิ่งก้อย2</v>
      </c>
      <c r="D2608" s="3" t="str">
        <f>IFERROR(__xludf.DUMMYFUNCTION("""COMPUTED_VALUE"""),"ร้านกิ่งก้อย2")</f>
        <v>ร้านกิ่งก้อย2</v>
      </c>
      <c r="E2608" s="1" t="str">
        <f>IFERROR(__xludf.DUMMYFUNCTION("""COMPUTED_VALUE"""),"Donjai")</f>
        <v>Donjai</v>
      </c>
      <c r="F2608" s="1" t="str">
        <f>IFERROR(__xludf.DUMMYFUNCTION("""COMPUTED_VALUE"""),"015361")</f>
        <v>015361</v>
      </c>
      <c r="G2608" s="1" t="str">
        <f>IFERROR(__xludf.DUMMYFUNCTION("""COMPUTED_VALUE"""),"นายสมบูรณ์ พรหมในเมือง")</f>
        <v>นายสมบูรณ์ พรหมในเมือง</v>
      </c>
      <c r="H2608" s="1" t="str">
        <f>IFERROR(__xludf.DUMMYFUNCTION("""COMPUTED_VALUE"""),"015361")</f>
        <v>015361</v>
      </c>
      <c r="I2608" s="1" t="str">
        <f>IFERROR(__xludf.DUMMYFUNCTION("""COMPUTED_VALUE"""),"นายสมบูรณ์ พรหมในเมือง")</f>
        <v>นายสมบูรณ์ พรหมในเมือง</v>
      </c>
      <c r="J2608" s="3">
        <f>IFERROR(__xludf.DUMMYFUNCTION("""COMPUTED_VALUE"""),295886.0)</f>
        <v>295886</v>
      </c>
      <c r="K2608" s="3" t="str">
        <f>IFERROR(__xludf.DUMMYFUNCTION("""COMPUTED_VALUE"""),"นายจิระพงษ์ โพธิ์นิล")</f>
        <v>นายจิระพงษ์ โพธิ์นิล</v>
      </c>
      <c r="L2608" s="1" t="str">
        <f>IFERROR(__xludf.DUMMYFUNCTION("""COMPUTED_VALUE"""),"นายจิระพงษ์ โพธิ์นิล")</f>
        <v>นายจิระพงษ์ โพธิ์นิล</v>
      </c>
      <c r="M2608" s="1" t="str">
        <f>IFERROR(__xludf.DUMMYFUNCTION("""COMPUTED_VALUE"""),"0933290754")</f>
        <v>0933290754</v>
      </c>
      <c r="N2608" s="3">
        <f>IFERROR(__xludf.DUMMYFUNCTION("""COMPUTED_VALUE"""),83373.0)</f>
        <v>83373</v>
      </c>
      <c r="O2608" s="3" t="str">
        <f>IFERROR(__xludf.DUMMYFUNCTION("""COMPUTED_VALUE"""),"ร้านกิ่งก้อย2")</f>
        <v>ร้านกิ่งก้อย2</v>
      </c>
      <c r="P2608" s="4">
        <f>IFERROR(__xludf.DUMMYFUNCTION("""COMPUTED_VALUE"""),44679.0)</f>
        <v>44679</v>
      </c>
      <c r="Q2608" s="3" t="str">
        <f>IFERROR(__xludf.DUMMYFUNCTION("""COMPUTED_VALUE"""),"I")</f>
        <v>I</v>
      </c>
      <c r="R2608" s="3" t="str">
        <f>IFERROR(__xludf.DUMMYFUNCTION("""COMPUTED_VALUE"""),"Small Format")</f>
        <v>Small Format</v>
      </c>
      <c r="S2608" s="3" t="str">
        <f>IFERROR(__xludf.DUMMYFUNCTION("""COMPUTED_VALUE"""),"Donjai")</f>
        <v>Donjai</v>
      </c>
      <c r="T2608" s="3" t="str">
        <f>IFERROR(__xludf.DUMMYFUNCTION("""COMPUTED_VALUE"""),"04 K.Somboon P.")</f>
        <v>04 K.Somboon P.</v>
      </c>
      <c r="U2608" s="3" t="str">
        <f>IFERROR(__xludf.DUMMYFUNCTION("""COMPUTED_VALUE"""),"04 K.Somboon P.")</f>
        <v>04 K.Somboon P.</v>
      </c>
      <c r="V2608" s="3" t="str">
        <f>IFERROR(__xludf.DUMMYFUNCTION("""COMPUTED_VALUE"""),"N")</f>
        <v>N</v>
      </c>
      <c r="W2608" s="3"/>
      <c r="X2608" s="3" t="str">
        <f>IFERROR(__xludf.DUMMYFUNCTION("""COMPUTED_VALUE"""),"เลขที่ 188 หมู่ที่ 9 ซอย 9 อ. น้ำยืน จ.อุบลราธานี 34260")</f>
        <v>เลขที่ 188 หมู่ที่ 9 ซอย 9 อ. น้ำยืน จ.อุบลราธานี 34260</v>
      </c>
      <c r="Y2608" s="3"/>
      <c r="Z2608" s="3">
        <f>IFERROR(__xludf.DUMMYFUNCTION("""COMPUTED_VALUE"""),0.0)</f>
        <v>0</v>
      </c>
      <c r="AA2608" s="3">
        <f>IFERROR(__xludf.DUMMYFUNCTION("""COMPUTED_VALUE"""),0.0)</f>
        <v>0</v>
      </c>
      <c r="AB2608" s="3" t="str">
        <f>IFERROR(__xludf.DUMMYFUNCTION("""COMPUTED_VALUE"""),"อุบลราชธานี")</f>
        <v>อุบลราชธานี</v>
      </c>
      <c r="AC2608" s="3">
        <f>IFERROR(__xludf.DUMMYFUNCTION("""COMPUTED_VALUE"""),34260.0)</f>
        <v>34260</v>
      </c>
      <c r="AD2608" s="3"/>
      <c r="AE2608" s="3"/>
      <c r="AF2608" s="3" t="str">
        <f>IFERROR(__xludf.DUMMYFUNCTION("""COMPUTED_VALUE"""),"ร้านกิ่งก้อย2-83373")</f>
        <v>ร้านกิ่งก้อย2-83373</v>
      </c>
      <c r="AG2608" s="3" t="str">
        <f>IFERROR(__xludf.DUMMYFUNCTION("""COMPUTED_VALUE"""),"ตะวันออกเฉียงเหนือ")</f>
        <v>ตะวันออกเฉียงเหนือ</v>
      </c>
      <c r="AH2608" s="3" t="str">
        <f>IFERROR(__xludf.DUMMYFUNCTION("""COMPUTED_VALUE"""),"#N/A")</f>
        <v>#N/A</v>
      </c>
      <c r="AI2608" s="3" t="str">
        <f>IFERROR(__xludf.DUMMYFUNCTION("""COMPUTED_VALUE"""),"Out of warranty")</f>
        <v>Out of warranty</v>
      </c>
      <c r="AJ2608" s="3">
        <f>IFERROR(__xludf.DUMMYFUNCTION("""COMPUTED_VALUE"""),45.0)</f>
        <v>45</v>
      </c>
      <c r="AK2608" s="3"/>
      <c r="AL2608" s="3"/>
    </row>
    <row r="2609" ht="15.75" customHeight="1">
      <c r="A2609" s="1" t="str">
        <f>IFERROR(__xludf.DUMMYFUNCTION("""COMPUTED_VALUE"""),"83374")</f>
        <v>83374</v>
      </c>
      <c r="B2609" s="2">
        <f>IFERROR(__xludf.DUMMYFUNCTION("""COMPUTED_VALUE"""),83374.0)</f>
        <v>83374</v>
      </c>
      <c r="C2609" s="3" t="str">
        <f>IFERROR(__xludf.DUMMYFUNCTION("""COMPUTED_VALUE"""),"ร้านนิภามินิมาร์ท")</f>
        <v>ร้านนิภามินิมาร์ท</v>
      </c>
      <c r="D2609" s="3" t="str">
        <f>IFERROR(__xludf.DUMMYFUNCTION("""COMPUTED_VALUE"""),"ร้านนิภามินิมาร์ท")</f>
        <v>ร้านนิภามินิมาร์ท</v>
      </c>
      <c r="E2609" s="1" t="str">
        <f>IFERROR(__xludf.DUMMYFUNCTION("""COMPUTED_VALUE"""),"Donjai")</f>
        <v>Donjai</v>
      </c>
      <c r="F2609" s="1" t="str">
        <f>IFERROR(__xludf.DUMMYFUNCTION("""COMPUTED_VALUE"""),"015361")</f>
        <v>015361</v>
      </c>
      <c r="G2609" s="1" t="str">
        <f>IFERROR(__xludf.DUMMYFUNCTION("""COMPUTED_VALUE"""),"นายสมบูรณ์ พรหมในเมือง")</f>
        <v>นายสมบูรณ์ พรหมในเมือง</v>
      </c>
      <c r="H2609" s="1" t="str">
        <f>IFERROR(__xludf.DUMMYFUNCTION("""COMPUTED_VALUE"""),"015361")</f>
        <v>015361</v>
      </c>
      <c r="I2609" s="1" t="str">
        <f>IFERROR(__xludf.DUMMYFUNCTION("""COMPUTED_VALUE"""),"นายสมบูรณ์ พรหมในเมือง")</f>
        <v>นายสมบูรณ์ พรหมในเมือง</v>
      </c>
      <c r="J2609" s="3">
        <f>IFERROR(__xludf.DUMMYFUNCTION("""COMPUTED_VALUE"""),295886.0)</f>
        <v>295886</v>
      </c>
      <c r="K2609" s="3" t="str">
        <f>IFERROR(__xludf.DUMMYFUNCTION("""COMPUTED_VALUE"""),"นายจิระพงษ์ โพธิ์นิล")</f>
        <v>นายจิระพงษ์ โพธิ์นิล</v>
      </c>
      <c r="L2609" s="1" t="str">
        <f>IFERROR(__xludf.DUMMYFUNCTION("""COMPUTED_VALUE"""),"นายจิระพงษ์ โพธิ์นิล")</f>
        <v>นายจิระพงษ์ โพธิ์นิล</v>
      </c>
      <c r="M2609" s="1" t="str">
        <f>IFERROR(__xludf.DUMMYFUNCTION("""COMPUTED_VALUE"""),"0933290754")</f>
        <v>0933290754</v>
      </c>
      <c r="N2609" s="3">
        <f>IFERROR(__xludf.DUMMYFUNCTION("""COMPUTED_VALUE"""),83374.0)</f>
        <v>83374</v>
      </c>
      <c r="O2609" s="3" t="str">
        <f>IFERROR(__xludf.DUMMYFUNCTION("""COMPUTED_VALUE"""),"ร้านนิภามินิมาร์ท")</f>
        <v>ร้านนิภามินิมาร์ท</v>
      </c>
      <c r="P2609" s="4">
        <f>IFERROR(__xludf.DUMMYFUNCTION("""COMPUTED_VALUE"""),44638.0)</f>
        <v>44638</v>
      </c>
      <c r="Q2609" s="3" t="str">
        <f>IFERROR(__xludf.DUMMYFUNCTION("""COMPUTED_VALUE"""),"I")</f>
        <v>I</v>
      </c>
      <c r="R2609" s="3" t="str">
        <f>IFERROR(__xludf.DUMMYFUNCTION("""COMPUTED_VALUE"""),"Small Format")</f>
        <v>Small Format</v>
      </c>
      <c r="S2609" s="3" t="str">
        <f>IFERROR(__xludf.DUMMYFUNCTION("""COMPUTED_VALUE"""),"Donjai")</f>
        <v>Donjai</v>
      </c>
      <c r="T2609" s="3" t="str">
        <f>IFERROR(__xludf.DUMMYFUNCTION("""COMPUTED_VALUE"""),"04 K.Somboon P.")</f>
        <v>04 K.Somboon P.</v>
      </c>
      <c r="U2609" s="3" t="str">
        <f>IFERROR(__xludf.DUMMYFUNCTION("""COMPUTED_VALUE"""),"04 K.Somboon P.")</f>
        <v>04 K.Somboon P.</v>
      </c>
      <c r="V2609" s="3" t="str">
        <f>IFERROR(__xludf.DUMMYFUNCTION("""COMPUTED_VALUE"""),"N")</f>
        <v>N</v>
      </c>
      <c r="W2609" s="3"/>
      <c r="X2609" s="3" t="str">
        <f>IFERROR(__xludf.DUMMYFUNCTION("""COMPUTED_VALUE"""),"บ้านหล่าใหญ่เลขที่130หมู่13ต.โนนราษี อ.บรบือ จ.มหาสารคาม")</f>
        <v>บ้านหล่าใหญ่เลขที่130หมู่13ต.โนนราษี อ.บรบือ จ.มหาสารคาม</v>
      </c>
      <c r="Y2609" s="3"/>
      <c r="Z2609" s="3">
        <f>IFERROR(__xludf.DUMMYFUNCTION("""COMPUTED_VALUE"""),0.0)</f>
        <v>0</v>
      </c>
      <c r="AA2609" s="3">
        <f>IFERROR(__xludf.DUMMYFUNCTION("""COMPUTED_VALUE"""),0.0)</f>
        <v>0</v>
      </c>
      <c r="AB2609" s="3" t="str">
        <f>IFERROR(__xludf.DUMMYFUNCTION("""COMPUTED_VALUE"""),"มหาสารคาม")</f>
        <v>มหาสารคาม</v>
      </c>
      <c r="AC2609" s="3">
        <f>IFERROR(__xludf.DUMMYFUNCTION("""COMPUTED_VALUE"""),0.0)</f>
        <v>0</v>
      </c>
      <c r="AD2609" s="3"/>
      <c r="AE2609" s="3"/>
      <c r="AF2609" s="3" t="str">
        <f>IFERROR(__xludf.DUMMYFUNCTION("""COMPUTED_VALUE"""),"ร้านนิภามินิมาร์ท-83374")</f>
        <v>ร้านนิภามินิมาร์ท-83374</v>
      </c>
      <c r="AG2609" s="3" t="str">
        <f>IFERROR(__xludf.DUMMYFUNCTION("""COMPUTED_VALUE"""),"ตะวันออกเฉียงเหนือ")</f>
        <v>ตะวันออกเฉียงเหนือ</v>
      </c>
      <c r="AH2609" s="3" t="str">
        <f>IFERROR(__xludf.DUMMYFUNCTION("""COMPUTED_VALUE"""),"#N/A")</f>
        <v>#N/A</v>
      </c>
      <c r="AI2609" s="3" t="str">
        <f>IFERROR(__xludf.DUMMYFUNCTION("""COMPUTED_VALUE"""),"Out of warranty")</f>
        <v>Out of warranty</v>
      </c>
      <c r="AJ2609" s="3">
        <f>IFERROR(__xludf.DUMMYFUNCTION("""COMPUTED_VALUE"""),47.0)</f>
        <v>47</v>
      </c>
      <c r="AK2609" s="3"/>
      <c r="AL2609" s="3"/>
    </row>
    <row r="2610" ht="15.75" customHeight="1">
      <c r="A2610" s="1" t="str">
        <f>IFERROR(__xludf.DUMMYFUNCTION("""COMPUTED_VALUE"""),"83375")</f>
        <v>83375</v>
      </c>
      <c r="B2610" s="2">
        <f>IFERROR(__xludf.DUMMYFUNCTION("""COMPUTED_VALUE"""),83375.0)</f>
        <v>83375</v>
      </c>
      <c r="C2610" s="3" t="str">
        <f>IFERROR(__xludf.DUMMYFUNCTION("""COMPUTED_VALUE"""),"ร้านตระกูล พาณิชย์ (นิรันดร์การค้า)")</f>
        <v>ร้านตระกูล พาณิชย์ (นิรันดร์การค้า)</v>
      </c>
      <c r="D2610" s="3" t="str">
        <f>IFERROR(__xludf.DUMMYFUNCTION("""COMPUTED_VALUE"""),"ร้านตระกูล พาณิชย์ (นิรันดร์การค้า)")</f>
        <v>ร้านตระกูล พาณิชย์ (นิรันดร์การค้า)</v>
      </c>
      <c r="E2610" s="1" t="str">
        <f>IFERROR(__xludf.DUMMYFUNCTION("""COMPUTED_VALUE"""),"Donjai")</f>
        <v>Donjai</v>
      </c>
      <c r="F2610" s="1" t="str">
        <f>IFERROR(__xludf.DUMMYFUNCTION("""COMPUTED_VALUE"""),"015361")</f>
        <v>015361</v>
      </c>
      <c r="G2610" s="1" t="str">
        <f>IFERROR(__xludf.DUMMYFUNCTION("""COMPUTED_VALUE"""),"นายสมบูรณ์ พรหมในเมือง")</f>
        <v>นายสมบูรณ์ พรหมในเมือง</v>
      </c>
      <c r="H2610" s="1" t="str">
        <f>IFERROR(__xludf.DUMMYFUNCTION("""COMPUTED_VALUE"""),"015361")</f>
        <v>015361</v>
      </c>
      <c r="I2610" s="1" t="str">
        <f>IFERROR(__xludf.DUMMYFUNCTION("""COMPUTED_VALUE"""),"นายสมบูรณ์ พรหมในเมือง")</f>
        <v>นายสมบูรณ์ พรหมในเมือง</v>
      </c>
      <c r="J2610" s="3">
        <f>IFERROR(__xludf.DUMMYFUNCTION("""COMPUTED_VALUE"""),295886.0)</f>
        <v>295886</v>
      </c>
      <c r="K2610" s="3" t="str">
        <f>IFERROR(__xludf.DUMMYFUNCTION("""COMPUTED_VALUE"""),"นายจิระพงษ์ โพธิ์นิล")</f>
        <v>นายจิระพงษ์ โพธิ์นิล</v>
      </c>
      <c r="L2610" s="1" t="str">
        <f>IFERROR(__xludf.DUMMYFUNCTION("""COMPUTED_VALUE"""),"นายจิระพงษ์ โพธิ์นิล")</f>
        <v>นายจิระพงษ์ โพธิ์นิล</v>
      </c>
      <c r="M2610" s="1" t="str">
        <f>IFERROR(__xludf.DUMMYFUNCTION("""COMPUTED_VALUE"""),"0933290754")</f>
        <v>0933290754</v>
      </c>
      <c r="N2610" s="3">
        <f>IFERROR(__xludf.DUMMYFUNCTION("""COMPUTED_VALUE"""),83375.0)</f>
        <v>83375</v>
      </c>
      <c r="O2610" s="3" t="str">
        <f>IFERROR(__xludf.DUMMYFUNCTION("""COMPUTED_VALUE"""),"ร้านตระกูล พาณิชย์ (นิรันดร์การค้า)")</f>
        <v>ร้านตระกูล พาณิชย์ (นิรันดร์การค้า)</v>
      </c>
      <c r="P2610" s="4">
        <f>IFERROR(__xludf.DUMMYFUNCTION("""COMPUTED_VALUE"""),44611.0)</f>
        <v>44611</v>
      </c>
      <c r="Q2610" s="3" t="str">
        <f>IFERROR(__xludf.DUMMYFUNCTION("""COMPUTED_VALUE"""),"I")</f>
        <v>I</v>
      </c>
      <c r="R2610" s="3" t="str">
        <f>IFERROR(__xludf.DUMMYFUNCTION("""COMPUTED_VALUE"""),"Small Format")</f>
        <v>Small Format</v>
      </c>
      <c r="S2610" s="3" t="str">
        <f>IFERROR(__xludf.DUMMYFUNCTION("""COMPUTED_VALUE"""),"Donjai")</f>
        <v>Donjai</v>
      </c>
      <c r="T2610" s="3" t="str">
        <f>IFERROR(__xludf.DUMMYFUNCTION("""COMPUTED_VALUE"""),"04 K.Somboon P.")</f>
        <v>04 K.Somboon P.</v>
      </c>
      <c r="U2610" s="3" t="str">
        <f>IFERROR(__xludf.DUMMYFUNCTION("""COMPUTED_VALUE"""),"04 K.Somboon P.")</f>
        <v>04 K.Somboon P.</v>
      </c>
      <c r="V2610" s="3" t="str">
        <f>IFERROR(__xludf.DUMMYFUNCTION("""COMPUTED_VALUE"""),"N")</f>
        <v>N</v>
      </c>
      <c r="W2610" s="3"/>
      <c r="X2610" s="3" t="str">
        <f>IFERROR(__xludf.DUMMYFUNCTION("""COMPUTED_VALUE"""),"29 หมู่ 1 ต.นาห่อม อ.ทุ่งศรีอุดม จ.อุบลราชธานี 34260")</f>
        <v>29 หมู่ 1 ต.นาห่อม อ.ทุ่งศรีอุดม จ.อุบลราชธานี 34260</v>
      </c>
      <c r="Y2610" s="3"/>
      <c r="Z2610" s="3">
        <f>IFERROR(__xludf.DUMMYFUNCTION("""COMPUTED_VALUE"""),0.0)</f>
        <v>0</v>
      </c>
      <c r="AA2610" s="3">
        <f>IFERROR(__xludf.DUMMYFUNCTION("""COMPUTED_VALUE"""),0.0)</f>
        <v>0</v>
      </c>
      <c r="AB2610" s="3" t="str">
        <f>IFERROR(__xludf.DUMMYFUNCTION("""COMPUTED_VALUE"""),"อุบลราชธานี")</f>
        <v>อุบลราชธานี</v>
      </c>
      <c r="AC2610" s="3">
        <f>IFERROR(__xludf.DUMMYFUNCTION("""COMPUTED_VALUE"""),34260.0)</f>
        <v>34260</v>
      </c>
      <c r="AD2610" s="3"/>
      <c r="AE2610" s="3"/>
      <c r="AF2610" s="3" t="str">
        <f>IFERROR(__xludf.DUMMYFUNCTION("""COMPUTED_VALUE"""),"ร้านตระกูล พาณิชย์ (นิรันดร์การค้า)-83375")</f>
        <v>ร้านตระกูล พาณิชย์ (นิรันดร์การค้า)-83375</v>
      </c>
      <c r="AG2610" s="3" t="str">
        <f>IFERROR(__xludf.DUMMYFUNCTION("""COMPUTED_VALUE"""),"ตะวันออกเฉียงเหนือ")</f>
        <v>ตะวันออกเฉียงเหนือ</v>
      </c>
      <c r="AH2610" s="3" t="str">
        <f>IFERROR(__xludf.DUMMYFUNCTION("""COMPUTED_VALUE"""),"#N/A")</f>
        <v>#N/A</v>
      </c>
      <c r="AI2610" s="3" t="str">
        <f>IFERROR(__xludf.DUMMYFUNCTION("""COMPUTED_VALUE"""),"Out of warranty")</f>
        <v>Out of warranty</v>
      </c>
      <c r="AJ2610" s="3">
        <f>IFERROR(__xludf.DUMMYFUNCTION("""COMPUTED_VALUE"""),48.0)</f>
        <v>48</v>
      </c>
      <c r="AK2610" s="3"/>
      <c r="AL2610" s="3"/>
    </row>
    <row r="2611" ht="15.75" customHeight="1">
      <c r="A2611" s="1" t="str">
        <f>IFERROR(__xludf.DUMMYFUNCTION("""COMPUTED_VALUE"""),"83376")</f>
        <v>83376</v>
      </c>
      <c r="B2611" s="2">
        <f>IFERROR(__xludf.DUMMYFUNCTION("""COMPUTED_VALUE"""),83376.0)</f>
        <v>83376</v>
      </c>
      <c r="C2611" s="3" t="str">
        <f>IFERROR(__xludf.DUMMYFUNCTION("""COMPUTED_VALUE"""),"เอกลักษ์")</f>
        <v>เอกลักษ์</v>
      </c>
      <c r="D2611" s="3" t="str">
        <f>IFERROR(__xludf.DUMMYFUNCTION("""COMPUTED_VALUE"""),"เอกลักษ์")</f>
        <v>เอกลักษ์</v>
      </c>
      <c r="E2611" s="1" t="str">
        <f>IFERROR(__xludf.DUMMYFUNCTION("""COMPUTED_VALUE"""),"Donjai")</f>
        <v>Donjai</v>
      </c>
      <c r="F2611" s="1" t="str">
        <f>IFERROR(__xludf.DUMMYFUNCTION("""COMPUTED_VALUE"""),"015361")</f>
        <v>015361</v>
      </c>
      <c r="G2611" s="1" t="str">
        <f>IFERROR(__xludf.DUMMYFUNCTION("""COMPUTED_VALUE"""),"นายสมบูรณ์ พรหมในเมือง")</f>
        <v>นายสมบูรณ์ พรหมในเมือง</v>
      </c>
      <c r="H2611" s="1" t="str">
        <f>IFERROR(__xludf.DUMMYFUNCTION("""COMPUTED_VALUE"""),"015361")</f>
        <v>015361</v>
      </c>
      <c r="I2611" s="1" t="str">
        <f>IFERROR(__xludf.DUMMYFUNCTION("""COMPUTED_VALUE"""),"นายสมบูรณ์ พรหมในเมือง")</f>
        <v>นายสมบูรณ์ พรหมในเมือง</v>
      </c>
      <c r="J2611" s="3">
        <f>IFERROR(__xludf.DUMMYFUNCTION("""COMPUTED_VALUE"""),295886.0)</f>
        <v>295886</v>
      </c>
      <c r="K2611" s="3" t="str">
        <f>IFERROR(__xludf.DUMMYFUNCTION("""COMPUTED_VALUE"""),"นายจิระพงษ์ โพธิ์นิล")</f>
        <v>นายจิระพงษ์ โพธิ์นิล</v>
      </c>
      <c r="L2611" s="1" t="str">
        <f>IFERROR(__xludf.DUMMYFUNCTION("""COMPUTED_VALUE"""),"นายจิระพงษ์ โพธิ์นิล")</f>
        <v>นายจิระพงษ์ โพธิ์นิล</v>
      </c>
      <c r="M2611" s="1" t="str">
        <f>IFERROR(__xludf.DUMMYFUNCTION("""COMPUTED_VALUE"""),"0933290754")</f>
        <v>0933290754</v>
      </c>
      <c r="N2611" s="3">
        <f>IFERROR(__xludf.DUMMYFUNCTION("""COMPUTED_VALUE"""),83376.0)</f>
        <v>83376</v>
      </c>
      <c r="O2611" s="3" t="str">
        <f>IFERROR(__xludf.DUMMYFUNCTION("""COMPUTED_VALUE"""),"เอกลักษ์")</f>
        <v>เอกลักษ์</v>
      </c>
      <c r="P2611" s="4">
        <f>IFERROR(__xludf.DUMMYFUNCTION("""COMPUTED_VALUE"""),44620.0)</f>
        <v>44620</v>
      </c>
      <c r="Q2611" s="3" t="str">
        <f>IFERROR(__xludf.DUMMYFUNCTION("""COMPUTED_VALUE"""),"I")</f>
        <v>I</v>
      </c>
      <c r="R2611" s="3" t="str">
        <f>IFERROR(__xludf.DUMMYFUNCTION("""COMPUTED_VALUE"""),"Small Format")</f>
        <v>Small Format</v>
      </c>
      <c r="S2611" s="3" t="str">
        <f>IFERROR(__xludf.DUMMYFUNCTION("""COMPUTED_VALUE"""),"Donjai")</f>
        <v>Donjai</v>
      </c>
      <c r="T2611" s="3" t="str">
        <f>IFERROR(__xludf.DUMMYFUNCTION("""COMPUTED_VALUE"""),"04 K.Somboon P.")</f>
        <v>04 K.Somboon P.</v>
      </c>
      <c r="U2611" s="3" t="str">
        <f>IFERROR(__xludf.DUMMYFUNCTION("""COMPUTED_VALUE"""),"04 K.Somboon P.")</f>
        <v>04 K.Somboon P.</v>
      </c>
      <c r="V2611" s="3" t="str">
        <f>IFERROR(__xludf.DUMMYFUNCTION("""COMPUTED_VALUE"""),"N")</f>
        <v>N</v>
      </c>
      <c r="W2611" s="3"/>
      <c r="X2611" s="3" t="str">
        <f>IFERROR(__xludf.DUMMYFUNCTION("""COMPUTED_VALUE"""),"14/1 ม.14 ต.สีวิเชียร อ.น้ำยืน จ.อุบลราชธานี 34260")</f>
        <v>14/1 ม.14 ต.สีวิเชียร อ.น้ำยืน จ.อุบลราชธานี 34260</v>
      </c>
      <c r="Y2611" s="3"/>
      <c r="Z2611" s="3">
        <f>IFERROR(__xludf.DUMMYFUNCTION("""COMPUTED_VALUE"""),0.0)</f>
        <v>0</v>
      </c>
      <c r="AA2611" s="3">
        <f>IFERROR(__xludf.DUMMYFUNCTION("""COMPUTED_VALUE"""),0.0)</f>
        <v>0</v>
      </c>
      <c r="AB2611" s="3" t="str">
        <f>IFERROR(__xludf.DUMMYFUNCTION("""COMPUTED_VALUE"""),"อุบลราชธานี")</f>
        <v>อุบลราชธานี</v>
      </c>
      <c r="AC2611" s="3">
        <f>IFERROR(__xludf.DUMMYFUNCTION("""COMPUTED_VALUE"""),34260.0)</f>
        <v>34260</v>
      </c>
      <c r="AD2611" s="3"/>
      <c r="AE2611" s="3"/>
      <c r="AF2611" s="3" t="str">
        <f>IFERROR(__xludf.DUMMYFUNCTION("""COMPUTED_VALUE"""),"เอกลักษ์-83376")</f>
        <v>เอกลักษ์-83376</v>
      </c>
      <c r="AG2611" s="3" t="str">
        <f>IFERROR(__xludf.DUMMYFUNCTION("""COMPUTED_VALUE"""),"ตะวันออกเฉียงเหนือ")</f>
        <v>ตะวันออกเฉียงเหนือ</v>
      </c>
      <c r="AH2611" s="3" t="str">
        <f>IFERROR(__xludf.DUMMYFUNCTION("""COMPUTED_VALUE"""),"#N/A")</f>
        <v>#N/A</v>
      </c>
      <c r="AI2611" s="3" t="str">
        <f>IFERROR(__xludf.DUMMYFUNCTION("""COMPUTED_VALUE"""),"Out of warranty")</f>
        <v>Out of warranty</v>
      </c>
      <c r="AJ2611" s="3">
        <f>IFERROR(__xludf.DUMMYFUNCTION("""COMPUTED_VALUE"""),47.0)</f>
        <v>47</v>
      </c>
      <c r="AK2611" s="3"/>
      <c r="AL2611" s="3"/>
    </row>
    <row r="2612" ht="15.75" customHeight="1">
      <c r="A2612" s="1" t="str">
        <f>IFERROR(__xludf.DUMMYFUNCTION("""COMPUTED_VALUE"""),"83377")</f>
        <v>83377</v>
      </c>
      <c r="B2612" s="2">
        <f>IFERROR(__xludf.DUMMYFUNCTION("""COMPUTED_VALUE"""),83377.0)</f>
        <v>83377</v>
      </c>
      <c r="C2612" s="3" t="str">
        <f>IFERROR(__xludf.DUMMYFUNCTION("""COMPUTED_VALUE"""),"ร้านอัยรีน จิปาถะ")</f>
        <v>ร้านอัยรีน จิปาถะ</v>
      </c>
      <c r="D2612" s="3" t="str">
        <f>IFERROR(__xludf.DUMMYFUNCTION("""COMPUTED_VALUE"""),"ร้านอัยรีน จิปาถะ")</f>
        <v>ร้านอัยรีน จิปาถะ</v>
      </c>
      <c r="E2612" s="1" t="str">
        <f>IFERROR(__xludf.DUMMYFUNCTION("""COMPUTED_VALUE"""),"Donjai")</f>
        <v>Donjai</v>
      </c>
      <c r="F2612" s="1" t="str">
        <f>IFERROR(__xludf.DUMMYFUNCTION("""COMPUTED_VALUE"""),"20470331")</f>
        <v>20470331</v>
      </c>
      <c r="G2612" s="1" t="str">
        <f>IFERROR(__xludf.DUMMYFUNCTION("""COMPUTED_VALUE"""),"นายสมชาย ลักษณะสุวรรณ")</f>
        <v>นายสมชาย ลักษณะสุวรรณ</v>
      </c>
      <c r="H2612" s="1" t="str">
        <f>IFERROR(__xludf.DUMMYFUNCTION("""COMPUTED_VALUE"""),"20470331")</f>
        <v>20470331</v>
      </c>
      <c r="I2612" s="1" t="str">
        <f>IFERROR(__xludf.DUMMYFUNCTION("""COMPUTED_VALUE"""),"นายสมชาย ลักษณะสุวรรณ")</f>
        <v>นายสมชาย ลักษณะสุวรรณ</v>
      </c>
      <c r="J2612" s="3">
        <f>IFERROR(__xludf.DUMMYFUNCTION("""COMPUTED_VALUE"""),295541.0)</f>
        <v>295541</v>
      </c>
      <c r="K2612" s="3" t="str">
        <f>IFERROR(__xludf.DUMMYFUNCTION("""COMPUTED_VALUE"""),"นายรพิพล ศรีมาตย์")</f>
        <v>นายรพิพล ศรีมาตย์</v>
      </c>
      <c r="L2612" s="1" t="str">
        <f>IFERROR(__xludf.DUMMYFUNCTION("""COMPUTED_VALUE"""),"นายรพิพล ศรีมาตย์")</f>
        <v>นายรพิพล ศรีมาตย์</v>
      </c>
      <c r="M2612" s="1" t="str">
        <f>IFERROR(__xludf.DUMMYFUNCTION("""COMPUTED_VALUE"""),"0613966115")</f>
        <v>0613966115</v>
      </c>
      <c r="N2612" s="3">
        <f>IFERROR(__xludf.DUMMYFUNCTION("""COMPUTED_VALUE"""),83377.0)</f>
        <v>83377</v>
      </c>
      <c r="O2612" s="3" t="str">
        <f>IFERROR(__xludf.DUMMYFUNCTION("""COMPUTED_VALUE"""),"ร้านอัยรีน จิปาถะ")</f>
        <v>ร้านอัยรีน จิปาถะ</v>
      </c>
      <c r="P2612" s="4">
        <f>IFERROR(__xludf.DUMMYFUNCTION("""COMPUTED_VALUE"""),44606.0)</f>
        <v>44606</v>
      </c>
      <c r="Q2612" s="3" t="str">
        <f>IFERROR(__xludf.DUMMYFUNCTION("""COMPUTED_VALUE"""),"I")</f>
        <v>I</v>
      </c>
      <c r="R2612" s="3" t="str">
        <f>IFERROR(__xludf.DUMMYFUNCTION("""COMPUTED_VALUE"""),"Small Format")</f>
        <v>Small Format</v>
      </c>
      <c r="S2612" s="3" t="str">
        <f>IFERROR(__xludf.DUMMYFUNCTION("""COMPUTED_VALUE"""),"Donjai")</f>
        <v>Donjai</v>
      </c>
      <c r="T2612" s="3" t="str">
        <f>IFERROR(__xludf.DUMMYFUNCTION("""COMPUTED_VALUE"""),"15 K.Somchai L")</f>
        <v>15 K.Somchai L</v>
      </c>
      <c r="U2612" s="3" t="str">
        <f>IFERROR(__xludf.DUMMYFUNCTION("""COMPUTED_VALUE"""),"15 K.Somchai L")</f>
        <v>15 K.Somchai L</v>
      </c>
      <c r="V2612" s="3" t="str">
        <f>IFERROR(__xludf.DUMMYFUNCTION("""COMPUTED_VALUE"""),"N")</f>
        <v>N</v>
      </c>
      <c r="W2612" s="3"/>
      <c r="X2612" s="3" t="str">
        <f>IFERROR(__xludf.DUMMYFUNCTION("""COMPUTED_VALUE"""),"72/4 ม.4 ต.ไทรทอง อ.ไม้แก่น จ.ปัตตานี")</f>
        <v>72/4 ม.4 ต.ไทรทอง อ.ไม้แก่น จ.ปัตตานี</v>
      </c>
      <c r="Y2612" s="3"/>
      <c r="Z2612" s="3">
        <f>IFERROR(__xludf.DUMMYFUNCTION("""COMPUTED_VALUE"""),0.0)</f>
        <v>0</v>
      </c>
      <c r="AA2612" s="3">
        <f>IFERROR(__xludf.DUMMYFUNCTION("""COMPUTED_VALUE"""),0.0)</f>
        <v>0</v>
      </c>
      <c r="AB2612" s="3" t="str">
        <f>IFERROR(__xludf.DUMMYFUNCTION("""COMPUTED_VALUE"""),"ปัตตานี")</f>
        <v>ปัตตานี</v>
      </c>
      <c r="AC2612" s="3">
        <f>IFERROR(__xludf.DUMMYFUNCTION("""COMPUTED_VALUE"""),0.0)</f>
        <v>0</v>
      </c>
      <c r="AD2612" s="3"/>
      <c r="AE2612" s="3"/>
      <c r="AF2612" s="3" t="str">
        <f>IFERROR(__xludf.DUMMYFUNCTION("""COMPUTED_VALUE"""),"ร้านอัยรีน จิปาถะ-83377")</f>
        <v>ร้านอัยรีน จิปาถะ-83377</v>
      </c>
      <c r="AG2612" s="3" t="str">
        <f>IFERROR(__xludf.DUMMYFUNCTION("""COMPUTED_VALUE"""),"ใต้")</f>
        <v>ใต้</v>
      </c>
      <c r="AH2612" s="3" t="str">
        <f>IFERROR(__xludf.DUMMYFUNCTION("""COMPUTED_VALUE"""),"#N/A")</f>
        <v>#N/A</v>
      </c>
      <c r="AI2612" s="3" t="str">
        <f>IFERROR(__xludf.DUMMYFUNCTION("""COMPUTED_VALUE"""),"Out of warranty")</f>
        <v>Out of warranty</v>
      </c>
      <c r="AJ2612" s="3">
        <f>IFERROR(__xludf.DUMMYFUNCTION("""COMPUTED_VALUE"""),48.0)</f>
        <v>48</v>
      </c>
      <c r="AK2612" s="3"/>
      <c r="AL2612" s="3"/>
    </row>
    <row r="2613" ht="15.75" customHeight="1">
      <c r="A2613" s="1" t="str">
        <f>IFERROR(__xludf.DUMMYFUNCTION("""COMPUTED_VALUE"""),"83379")</f>
        <v>83379</v>
      </c>
      <c r="B2613" s="2">
        <f>IFERROR(__xludf.DUMMYFUNCTION("""COMPUTED_VALUE"""),83379.0)</f>
        <v>83379</v>
      </c>
      <c r="C2613" s="3" t="str">
        <f>IFERROR(__xludf.DUMMYFUNCTION("""COMPUTED_VALUE"""),"ร้านต้นยาง")</f>
        <v>ร้านต้นยาง</v>
      </c>
      <c r="D2613" s="3" t="str">
        <f>IFERROR(__xludf.DUMMYFUNCTION("""COMPUTED_VALUE"""),"ร้านต้นยาง")</f>
        <v>ร้านต้นยาง</v>
      </c>
      <c r="E2613" s="1" t="str">
        <f>IFERROR(__xludf.DUMMYFUNCTION("""COMPUTED_VALUE"""),"Donjai")</f>
        <v>Donjai</v>
      </c>
      <c r="F2613" s="1" t="str">
        <f>IFERROR(__xludf.DUMMYFUNCTION("""COMPUTED_VALUE"""),"2452376")</f>
        <v>2452376</v>
      </c>
      <c r="G2613" s="1" t="str">
        <f>IFERROR(__xludf.DUMMYFUNCTION("""COMPUTED_VALUE"""),"นายภาคภูมิ ทวีกุล")</f>
        <v>นายภาคภูมิ ทวีกุล</v>
      </c>
      <c r="H2613" s="1" t="str">
        <f>IFERROR(__xludf.DUMMYFUNCTION("""COMPUTED_VALUE"""),"2452376")</f>
        <v>2452376</v>
      </c>
      <c r="I2613" s="1" t="str">
        <f>IFERROR(__xludf.DUMMYFUNCTION("""COMPUTED_VALUE"""),"นายภาคภูมิ ทวีกุล")</f>
        <v>นายภาคภูมิ ทวีกุล</v>
      </c>
      <c r="J2613" s="3">
        <f>IFERROR(__xludf.DUMMYFUNCTION("""COMPUTED_VALUE"""),295541.0)</f>
        <v>295541</v>
      </c>
      <c r="K2613" s="3" t="str">
        <f>IFERROR(__xludf.DUMMYFUNCTION("""COMPUTED_VALUE"""),"นายรพิพล ศรีมาตย์")</f>
        <v>นายรพิพล ศรีมาตย์</v>
      </c>
      <c r="L2613" s="1" t="str">
        <f>IFERROR(__xludf.DUMMYFUNCTION("""COMPUTED_VALUE"""),"นายรพิพล ศรีมาตย์")</f>
        <v>นายรพิพล ศรีมาตย์</v>
      </c>
      <c r="M2613" s="1" t="str">
        <f>IFERROR(__xludf.DUMMYFUNCTION("""COMPUTED_VALUE"""),"0613966115")</f>
        <v>0613966115</v>
      </c>
      <c r="N2613" s="3">
        <f>IFERROR(__xludf.DUMMYFUNCTION("""COMPUTED_VALUE"""),83379.0)</f>
        <v>83379</v>
      </c>
      <c r="O2613" s="3" t="str">
        <f>IFERROR(__xludf.DUMMYFUNCTION("""COMPUTED_VALUE"""),"ร้านต้นยาง")</f>
        <v>ร้านต้นยาง</v>
      </c>
      <c r="P2613" s="4">
        <f>IFERROR(__xludf.DUMMYFUNCTION("""COMPUTED_VALUE"""),44606.0)</f>
        <v>44606</v>
      </c>
      <c r="Q2613" s="3" t="str">
        <f>IFERROR(__xludf.DUMMYFUNCTION("""COMPUTED_VALUE"""),"I")</f>
        <v>I</v>
      </c>
      <c r="R2613" s="3" t="str">
        <f>IFERROR(__xludf.DUMMYFUNCTION("""COMPUTED_VALUE"""),"Small Format")</f>
        <v>Small Format</v>
      </c>
      <c r="S2613" s="3" t="str">
        <f>IFERROR(__xludf.DUMMYFUNCTION("""COMPUTED_VALUE"""),"Donjai")</f>
        <v>Donjai</v>
      </c>
      <c r="T2613" s="3" t="str">
        <f>IFERROR(__xludf.DUMMYFUNCTION("""COMPUTED_VALUE"""),"08 K.Parkphum T.")</f>
        <v>08 K.Parkphum T.</v>
      </c>
      <c r="U2613" s="3" t="str">
        <f>IFERROR(__xludf.DUMMYFUNCTION("""COMPUTED_VALUE"""),"08 K.Parkphum T.")</f>
        <v>08 K.Parkphum T.</v>
      </c>
      <c r="V2613" s="3" t="str">
        <f>IFERROR(__xludf.DUMMYFUNCTION("""COMPUTED_VALUE"""),"N")</f>
        <v>N</v>
      </c>
      <c r="W2613" s="3"/>
      <c r="X2613" s="3" t="str">
        <f>IFERROR(__xludf.DUMMYFUNCTION("""COMPUTED_VALUE"""),"137/9 หมู่4 ต.นิคมพัฒนา อ.นิคมพัฒนา จ.ระยอง 21180")</f>
        <v>137/9 หมู่4 ต.นิคมพัฒนา อ.นิคมพัฒนา จ.ระยอง 21180</v>
      </c>
      <c r="Y2613" s="3"/>
      <c r="Z2613" s="3">
        <f>IFERROR(__xludf.DUMMYFUNCTION("""COMPUTED_VALUE"""),0.0)</f>
        <v>0</v>
      </c>
      <c r="AA2613" s="3">
        <f>IFERROR(__xludf.DUMMYFUNCTION("""COMPUTED_VALUE"""),0.0)</f>
        <v>0</v>
      </c>
      <c r="AB2613" s="3" t="str">
        <f>IFERROR(__xludf.DUMMYFUNCTION("""COMPUTED_VALUE"""),"ระยอง")</f>
        <v>ระยอง</v>
      </c>
      <c r="AC2613" s="3">
        <f>IFERROR(__xludf.DUMMYFUNCTION("""COMPUTED_VALUE"""),21180.0)</f>
        <v>21180</v>
      </c>
      <c r="AD2613" s="3"/>
      <c r="AE2613" s="3"/>
      <c r="AF2613" s="3" t="str">
        <f>IFERROR(__xludf.DUMMYFUNCTION("""COMPUTED_VALUE"""),"ร้านต้นยาง-83379")</f>
        <v>ร้านต้นยาง-83379</v>
      </c>
      <c r="AG2613" s="3" t="str">
        <f>IFERROR(__xludf.DUMMYFUNCTION("""COMPUTED_VALUE"""),"ตะวันออก")</f>
        <v>ตะวันออก</v>
      </c>
      <c r="AH2613" s="3" t="str">
        <f>IFERROR(__xludf.DUMMYFUNCTION("""COMPUTED_VALUE"""),"#N/A")</f>
        <v>#N/A</v>
      </c>
      <c r="AI2613" s="3" t="str">
        <f>IFERROR(__xludf.DUMMYFUNCTION("""COMPUTED_VALUE"""),"Out of warranty")</f>
        <v>Out of warranty</v>
      </c>
      <c r="AJ2613" s="3">
        <f>IFERROR(__xludf.DUMMYFUNCTION("""COMPUTED_VALUE"""),48.0)</f>
        <v>48</v>
      </c>
      <c r="AK2613" s="3"/>
      <c r="AL2613" s="3"/>
    </row>
    <row r="2614" ht="15.75" customHeight="1">
      <c r="A2614" s="1" t="str">
        <f>IFERROR(__xludf.DUMMYFUNCTION("""COMPUTED_VALUE"""),"83380")</f>
        <v>83380</v>
      </c>
      <c r="B2614" s="2">
        <f>IFERROR(__xludf.DUMMYFUNCTION("""COMPUTED_VALUE"""),83380.0)</f>
        <v>83380</v>
      </c>
      <c r="C2614" s="3" t="str">
        <f>IFERROR(__xludf.DUMMYFUNCTION("""COMPUTED_VALUE"""),"ร้าน เจเจ มินิมาร์ท (ร้านคุณแหม่ม)")</f>
        <v>ร้าน เจเจ มินิมาร์ท (ร้านคุณแหม่ม)</v>
      </c>
      <c r="D2614" s="3" t="str">
        <f>IFERROR(__xludf.DUMMYFUNCTION("""COMPUTED_VALUE"""),"ร้าน เจเจ มินิมาร์ท (ร้านคุณแหม่ม)")</f>
        <v>ร้าน เจเจ มินิมาร์ท (ร้านคุณแหม่ม)</v>
      </c>
      <c r="E2614" s="1" t="str">
        <f>IFERROR(__xludf.DUMMYFUNCTION("""COMPUTED_VALUE"""),"Donjai")</f>
        <v>Donjai</v>
      </c>
      <c r="F2614" s="1" t="str">
        <f>IFERROR(__xludf.DUMMYFUNCTION("""COMPUTED_VALUE"""),"2451655")</f>
        <v>2451655</v>
      </c>
      <c r="G2614" s="1" t="str">
        <f>IFERROR(__xludf.DUMMYFUNCTION("""COMPUTED_VALUE"""),"นายวิษณุพงษ์ ชินบุตร")</f>
        <v>นายวิษณุพงษ์ ชินบุตร</v>
      </c>
      <c r="H2614" s="1" t="str">
        <f>IFERROR(__xludf.DUMMYFUNCTION("""COMPUTED_VALUE"""),"2451655")</f>
        <v>2451655</v>
      </c>
      <c r="I2614" s="1" t="str">
        <f>IFERROR(__xludf.DUMMYFUNCTION("""COMPUTED_VALUE"""),"นายวิษณุพงษ์ ชินบุตร")</f>
        <v>นายวิษณุพงษ์ ชินบุตร</v>
      </c>
      <c r="J2614" s="3">
        <f>IFERROR(__xludf.DUMMYFUNCTION("""COMPUTED_VALUE"""),228031.0)</f>
        <v>228031</v>
      </c>
      <c r="K2614" s="3" t="str">
        <f>IFERROR(__xludf.DUMMYFUNCTION("""COMPUTED_VALUE"""),"นายธนพงษ์ วันหมัด")</f>
        <v>นายธนพงษ์ วันหมัด</v>
      </c>
      <c r="L2614" s="1" t="str">
        <f>IFERROR(__xludf.DUMMYFUNCTION("""COMPUTED_VALUE"""),"นายธนพงษ์ วันหมัด")</f>
        <v>นายธนพงษ์ วันหมัด</v>
      </c>
      <c r="M2614" s="1" t="str">
        <f>IFERROR(__xludf.DUMMYFUNCTION("""COMPUTED_VALUE"""),"0813716913")</f>
        <v>0813716913</v>
      </c>
      <c r="N2614" s="3">
        <f>IFERROR(__xludf.DUMMYFUNCTION("""COMPUTED_VALUE"""),83380.0)</f>
        <v>83380</v>
      </c>
      <c r="O2614" s="3" t="str">
        <f>IFERROR(__xludf.DUMMYFUNCTION("""COMPUTED_VALUE"""),"ร้าน เจเจ มินิมาร์ท (ร้านคุณแหม่ม)")</f>
        <v>ร้าน เจเจ มินิมาร์ท (ร้านคุณแหม่ม)</v>
      </c>
      <c r="P2614" s="4">
        <f>IFERROR(__xludf.DUMMYFUNCTION("""COMPUTED_VALUE"""),44625.0)</f>
        <v>44625</v>
      </c>
      <c r="Q2614" s="3" t="str">
        <f>IFERROR(__xludf.DUMMYFUNCTION("""COMPUTED_VALUE"""),"A")</f>
        <v>A</v>
      </c>
      <c r="R2614" s="3" t="str">
        <f>IFERROR(__xludf.DUMMYFUNCTION("""COMPUTED_VALUE"""),"Small Format")</f>
        <v>Small Format</v>
      </c>
      <c r="S2614" s="3" t="str">
        <f>IFERROR(__xludf.DUMMYFUNCTION("""COMPUTED_VALUE"""),"Donjai")</f>
        <v>Donjai</v>
      </c>
      <c r="T2614" s="3" t="str">
        <f>IFERROR(__xludf.DUMMYFUNCTION("""COMPUTED_VALUE"""),"13 K.Wisanupong Ch")</f>
        <v>13 K.Wisanupong Ch</v>
      </c>
      <c r="U2614" s="3" t="str">
        <f>IFERROR(__xludf.DUMMYFUNCTION("""COMPUTED_VALUE"""),"13 K.Wisanupong Ch")</f>
        <v>13 K.Wisanupong Ch</v>
      </c>
      <c r="V2614" s="3" t="str">
        <f>IFERROR(__xludf.DUMMYFUNCTION("""COMPUTED_VALUE"""),"N")</f>
        <v>N</v>
      </c>
      <c r="W2614" s="3"/>
      <c r="X2614" s="3" t="str">
        <f>IFERROR(__xludf.DUMMYFUNCTION("""COMPUTED_VALUE"""),"ต.โคกขาม อำเภอเมืองสมุทรสาคร สมุทรสาคร")</f>
        <v>ต.โคกขาม อำเภอเมืองสมุทรสาคร สมุทรสาคร</v>
      </c>
      <c r="Y2614" s="3"/>
      <c r="Z2614" s="3">
        <f>IFERROR(__xludf.DUMMYFUNCTION("""COMPUTED_VALUE"""),0.0)</f>
        <v>0</v>
      </c>
      <c r="AA2614" s="3">
        <f>IFERROR(__xludf.DUMMYFUNCTION("""COMPUTED_VALUE"""),0.0)</f>
        <v>0</v>
      </c>
      <c r="AB2614" s="3" t="str">
        <f>IFERROR(__xludf.DUMMYFUNCTION("""COMPUTED_VALUE"""),"สมุทรสาคร")</f>
        <v>สมุทรสาคร</v>
      </c>
      <c r="AC2614" s="3">
        <f>IFERROR(__xludf.DUMMYFUNCTION("""COMPUTED_VALUE"""),0.0)</f>
        <v>0</v>
      </c>
      <c r="AD2614" s="3"/>
      <c r="AE2614" s="3"/>
      <c r="AF2614" s="3" t="str">
        <f>IFERROR(__xludf.DUMMYFUNCTION("""COMPUTED_VALUE"""),"ร้าน เจเจ มินิมาร์ท (ร้านคุณแหม่ม)-83380")</f>
        <v>ร้าน เจเจ มินิมาร์ท (ร้านคุณแหม่ม)-83380</v>
      </c>
      <c r="AG2614" s="3" t="str">
        <f>IFERROR(__xludf.DUMMYFUNCTION("""COMPUTED_VALUE"""),"กลาง")</f>
        <v>กลาง</v>
      </c>
      <c r="AH2614" s="3" t="str">
        <f>IFERROR(__xludf.DUMMYFUNCTION("""COMPUTED_VALUE"""),"#N/A")</f>
        <v>#N/A</v>
      </c>
      <c r="AI2614" s="3" t="str">
        <f>IFERROR(__xludf.DUMMYFUNCTION("""COMPUTED_VALUE"""),"Out of warranty")</f>
        <v>Out of warranty</v>
      </c>
      <c r="AJ2614" s="3">
        <f>IFERROR(__xludf.DUMMYFUNCTION("""COMPUTED_VALUE"""),47.0)</f>
        <v>47</v>
      </c>
      <c r="AK2614" s="3"/>
      <c r="AL2614" s="3"/>
    </row>
    <row r="2615" ht="15.75" customHeight="1">
      <c r="A2615" s="1" t="str">
        <f>IFERROR(__xludf.DUMMYFUNCTION("""COMPUTED_VALUE"""),"83381")</f>
        <v>83381</v>
      </c>
      <c r="B2615" s="2">
        <f>IFERROR(__xludf.DUMMYFUNCTION("""COMPUTED_VALUE"""),83381.0)</f>
        <v>83381</v>
      </c>
      <c r="C2615" s="3" t="str">
        <f>IFERROR(__xludf.DUMMYFUNCTION("""COMPUTED_VALUE"""),"ร้านเจนซี (คุณทิพวรรณ)")</f>
        <v>ร้านเจนซี (คุณทิพวรรณ)</v>
      </c>
      <c r="D2615" s="3" t="str">
        <f>IFERROR(__xludf.DUMMYFUNCTION("""COMPUTED_VALUE"""),"ร้านเจนซี (คุณทิพวรรณ)")</f>
        <v>ร้านเจนซี (คุณทิพวรรณ)</v>
      </c>
      <c r="E2615" s="1" t="str">
        <f>IFERROR(__xludf.DUMMYFUNCTION("""COMPUTED_VALUE"""),"Donjai")</f>
        <v>Donjai</v>
      </c>
      <c r="F2615" s="1" t="str">
        <f>IFERROR(__xludf.DUMMYFUNCTION("""COMPUTED_VALUE"""),"03510104")</f>
        <v>03510104</v>
      </c>
      <c r="G2615" s="1" t="str">
        <f>IFERROR(__xludf.DUMMYFUNCTION("""COMPUTED_VALUE"""),"นายวิโรจน์ อับดุลสมัด")</f>
        <v>นายวิโรจน์ อับดุลสมัด</v>
      </c>
      <c r="H2615" s="1" t="str">
        <f>IFERROR(__xludf.DUMMYFUNCTION("""COMPUTED_VALUE"""),"03510104")</f>
        <v>03510104</v>
      </c>
      <c r="I2615" s="1" t="str">
        <f>IFERROR(__xludf.DUMMYFUNCTION("""COMPUTED_VALUE"""),"นายวิโรจน์ อับดุลสมัด")</f>
        <v>นายวิโรจน์ อับดุลสมัด</v>
      </c>
      <c r="J2615" s="3">
        <f>IFERROR(__xludf.DUMMYFUNCTION("""COMPUTED_VALUE"""),228031.0)</f>
        <v>228031</v>
      </c>
      <c r="K2615" s="3" t="str">
        <f>IFERROR(__xludf.DUMMYFUNCTION("""COMPUTED_VALUE"""),"นายธนพงษ์ วันหมัด")</f>
        <v>นายธนพงษ์ วันหมัด</v>
      </c>
      <c r="L2615" s="1" t="str">
        <f>IFERROR(__xludf.DUMMYFUNCTION("""COMPUTED_VALUE"""),"นายธนพงษ์ วันหมัด")</f>
        <v>นายธนพงษ์ วันหมัด</v>
      </c>
      <c r="M2615" s="1" t="str">
        <f>IFERROR(__xludf.DUMMYFUNCTION("""COMPUTED_VALUE"""),"0813716913")</f>
        <v>0813716913</v>
      </c>
      <c r="N2615" s="3">
        <f>IFERROR(__xludf.DUMMYFUNCTION("""COMPUTED_VALUE"""),83381.0)</f>
        <v>83381</v>
      </c>
      <c r="O2615" s="3" t="str">
        <f>IFERROR(__xludf.DUMMYFUNCTION("""COMPUTED_VALUE"""),"ร้านเจนซี (คุณทิพวรรณ)")</f>
        <v>ร้านเจนซี (คุณทิพวรรณ)</v>
      </c>
      <c r="P2615" s="4">
        <f>IFERROR(__xludf.DUMMYFUNCTION("""COMPUTED_VALUE"""),44682.0)</f>
        <v>44682</v>
      </c>
      <c r="Q2615" s="3" t="str">
        <f>IFERROR(__xludf.DUMMYFUNCTION("""COMPUTED_VALUE"""),"I")</f>
        <v>I</v>
      </c>
      <c r="R2615" s="3" t="str">
        <f>IFERROR(__xludf.DUMMYFUNCTION("""COMPUTED_VALUE"""),"Small Format")</f>
        <v>Small Format</v>
      </c>
      <c r="S2615" s="3" t="str">
        <f>IFERROR(__xludf.DUMMYFUNCTION("""COMPUTED_VALUE"""),"Donjai")</f>
        <v>Donjai</v>
      </c>
      <c r="T2615" s="3" t="str">
        <f>IFERROR(__xludf.DUMMYFUNCTION("""COMPUTED_VALUE"""),"09 K.Wirode A")</f>
        <v>09 K.Wirode A</v>
      </c>
      <c r="U2615" s="3" t="str">
        <f>IFERROR(__xludf.DUMMYFUNCTION("""COMPUTED_VALUE"""),"09 K.Wirode A")</f>
        <v>09 K.Wirode A</v>
      </c>
      <c r="V2615" s="3" t="str">
        <f>IFERROR(__xludf.DUMMYFUNCTION("""COMPUTED_VALUE"""),"N")</f>
        <v>N</v>
      </c>
      <c r="W2615" s="3"/>
      <c r="X2615" s="3" t="str">
        <f>IFERROR(__xludf.DUMMYFUNCTION("""COMPUTED_VALUE"""),"29/1 ซอยลาดพร้าว110แยก2 แขวง วังทองหลาง เขต วังทองหลาง จังหวัดกรุงเทพฯ")</f>
        <v>29/1 ซอยลาดพร้าว110แยก2 แขวง วังทองหลาง เขต วังทองหลาง จังหวัดกรุงเทพฯ</v>
      </c>
      <c r="Y2615" s="3"/>
      <c r="Z2615" s="3">
        <f>IFERROR(__xludf.DUMMYFUNCTION("""COMPUTED_VALUE"""),0.0)</f>
        <v>0</v>
      </c>
      <c r="AA2615" s="3">
        <f>IFERROR(__xludf.DUMMYFUNCTION("""COMPUTED_VALUE"""),0.0)</f>
        <v>0</v>
      </c>
      <c r="AB2615" s="3" t="str">
        <f>IFERROR(__xludf.DUMMYFUNCTION("""COMPUTED_VALUE"""),"กรุงเทพมหานคร")</f>
        <v>กรุงเทพมหานคร</v>
      </c>
      <c r="AC2615" s="3">
        <f>IFERROR(__xludf.DUMMYFUNCTION("""COMPUTED_VALUE"""),0.0)</f>
        <v>0</v>
      </c>
      <c r="AD2615" s="3"/>
      <c r="AE2615" s="3"/>
      <c r="AF2615" s="3" t="str">
        <f>IFERROR(__xludf.DUMMYFUNCTION("""COMPUTED_VALUE"""),"ร้านเจนซี (คุณทิพวรรณ)-83381")</f>
        <v>ร้านเจนซี (คุณทิพวรรณ)-83381</v>
      </c>
      <c r="AG2615" s="3" t="str">
        <f>IFERROR(__xludf.DUMMYFUNCTION("""COMPUTED_VALUE"""),"กลาง")</f>
        <v>กลาง</v>
      </c>
      <c r="AH2615" s="3" t="str">
        <f>IFERROR(__xludf.DUMMYFUNCTION("""COMPUTED_VALUE"""),"#N/A")</f>
        <v>#N/A</v>
      </c>
      <c r="AI2615" s="3" t="str">
        <f>IFERROR(__xludf.DUMMYFUNCTION("""COMPUTED_VALUE"""),"Out of warranty")</f>
        <v>Out of warranty</v>
      </c>
      <c r="AJ2615" s="3">
        <f>IFERROR(__xludf.DUMMYFUNCTION("""COMPUTED_VALUE"""),45.0)</f>
        <v>45</v>
      </c>
      <c r="AK2615" s="3"/>
      <c r="AL2615" s="3"/>
    </row>
    <row r="2616" ht="15.75" customHeight="1">
      <c r="A2616" s="1" t="str">
        <f>IFERROR(__xludf.DUMMYFUNCTION("""COMPUTED_VALUE"""),"83383")</f>
        <v>83383</v>
      </c>
      <c r="B2616" s="2">
        <f>IFERROR(__xludf.DUMMYFUNCTION("""COMPUTED_VALUE"""),83383.0)</f>
        <v>83383</v>
      </c>
      <c r="C2616" s="3" t="str">
        <f>IFERROR(__xludf.DUMMYFUNCTION("""COMPUTED_VALUE"""),"ร้าน(เจริญรัตน์)คุณรัตน์")</f>
        <v>ร้าน(เจริญรัตน์)คุณรัตน์</v>
      </c>
      <c r="D2616" s="3" t="str">
        <f>IFERROR(__xludf.DUMMYFUNCTION("""COMPUTED_VALUE"""),"ร้าน(เจริญรัตน์)คุณรัตน์")</f>
        <v>ร้าน(เจริญรัตน์)คุณรัตน์</v>
      </c>
      <c r="E2616" s="1" t="str">
        <f>IFERROR(__xludf.DUMMYFUNCTION("""COMPUTED_VALUE"""),"Donjai")</f>
        <v>Donjai</v>
      </c>
      <c r="F2616" s="1" t="str">
        <f>IFERROR(__xludf.DUMMYFUNCTION("""COMPUTED_VALUE"""),"296608")</f>
        <v>296608</v>
      </c>
      <c r="G2616" s="1" t="str">
        <f>IFERROR(__xludf.DUMMYFUNCTION("""COMPUTED_VALUE"""),"นายภาคภูมิ เพ็ชรนิล")</f>
        <v>นายภาคภูมิ เพ็ชรนิล</v>
      </c>
      <c r="H2616" s="1" t="str">
        <f>IFERROR(__xludf.DUMMYFUNCTION("""COMPUTED_VALUE"""),"296608")</f>
        <v>296608</v>
      </c>
      <c r="I2616" s="1" t="str">
        <f>IFERROR(__xludf.DUMMYFUNCTION("""COMPUTED_VALUE"""),"นายภาคภูมิ เพ็ชรนิล")</f>
        <v>นายภาคภูมิ เพ็ชรนิล</v>
      </c>
      <c r="J2616" s="3">
        <f>IFERROR(__xludf.DUMMYFUNCTION("""COMPUTED_VALUE"""),228031.0)</f>
        <v>228031</v>
      </c>
      <c r="K2616" s="3" t="str">
        <f>IFERROR(__xludf.DUMMYFUNCTION("""COMPUTED_VALUE"""),"นายธนพงษ์ วันหมัด")</f>
        <v>นายธนพงษ์ วันหมัด</v>
      </c>
      <c r="L2616" s="1" t="str">
        <f>IFERROR(__xludf.DUMMYFUNCTION("""COMPUTED_VALUE"""),"นายธนพงษ์ วันหมัด")</f>
        <v>นายธนพงษ์ วันหมัด</v>
      </c>
      <c r="M2616" s="1" t="str">
        <f>IFERROR(__xludf.DUMMYFUNCTION("""COMPUTED_VALUE"""),"0813716913")</f>
        <v>0813716913</v>
      </c>
      <c r="N2616" s="3">
        <f>IFERROR(__xludf.DUMMYFUNCTION("""COMPUTED_VALUE"""),83383.0)</f>
        <v>83383</v>
      </c>
      <c r="O2616" s="3" t="str">
        <f>IFERROR(__xludf.DUMMYFUNCTION("""COMPUTED_VALUE"""),"ร้าน(เจริญรัตน์)คุณรัตน์")</f>
        <v>ร้าน(เจริญรัตน์)คุณรัตน์</v>
      </c>
      <c r="P2616" s="4">
        <f>IFERROR(__xludf.DUMMYFUNCTION("""COMPUTED_VALUE"""),44609.0)</f>
        <v>44609</v>
      </c>
      <c r="Q2616" s="3" t="str">
        <f>IFERROR(__xludf.DUMMYFUNCTION("""COMPUTED_VALUE"""),"I")</f>
        <v>I</v>
      </c>
      <c r="R2616" s="3" t="str">
        <f>IFERROR(__xludf.DUMMYFUNCTION("""COMPUTED_VALUE"""),"Small Format")</f>
        <v>Small Format</v>
      </c>
      <c r="S2616" s="3" t="str">
        <f>IFERROR(__xludf.DUMMYFUNCTION("""COMPUTED_VALUE"""),"Donjai")</f>
        <v>Donjai</v>
      </c>
      <c r="T2616" s="3" t="str">
        <f>IFERROR(__xludf.DUMMYFUNCTION("""COMPUTED_VALUE"""),"10 K.Phakphoom P.")</f>
        <v>10 K.Phakphoom P.</v>
      </c>
      <c r="U2616" s="3" t="str">
        <f>IFERROR(__xludf.DUMMYFUNCTION("""COMPUTED_VALUE"""),"10 K.Phakphoom P.")</f>
        <v>10 K.Phakphoom P.</v>
      </c>
      <c r="V2616" s="3" t="str">
        <f>IFERROR(__xludf.DUMMYFUNCTION("""COMPUTED_VALUE"""),"N")</f>
        <v>N</v>
      </c>
      <c r="W2616" s="3"/>
      <c r="X2616" s="3" t="str">
        <f>IFERROR(__xludf.DUMMYFUNCTION("""COMPUTED_VALUE"""),"ม.ลดาวัล ซ.4 ต.เสาธงหิน อ.บางใหญ่ จ.นนทบุรี")</f>
        <v>ม.ลดาวัล ซ.4 ต.เสาธงหิน อ.บางใหญ่ จ.นนทบุรี</v>
      </c>
      <c r="Y2616" s="3"/>
      <c r="Z2616" s="3">
        <f>IFERROR(__xludf.DUMMYFUNCTION("""COMPUTED_VALUE"""),0.0)</f>
        <v>0</v>
      </c>
      <c r="AA2616" s="3">
        <f>IFERROR(__xludf.DUMMYFUNCTION("""COMPUTED_VALUE"""),0.0)</f>
        <v>0</v>
      </c>
      <c r="AB2616" s="3" t="str">
        <f>IFERROR(__xludf.DUMMYFUNCTION("""COMPUTED_VALUE"""),"นนทบุรี")</f>
        <v>นนทบุรี</v>
      </c>
      <c r="AC2616" s="3">
        <f>IFERROR(__xludf.DUMMYFUNCTION("""COMPUTED_VALUE"""),0.0)</f>
        <v>0</v>
      </c>
      <c r="AD2616" s="3"/>
      <c r="AE2616" s="3"/>
      <c r="AF2616" s="3" t="str">
        <f>IFERROR(__xludf.DUMMYFUNCTION("""COMPUTED_VALUE"""),"ร้าน(เจริญรัตน์)คุณรัตน์-83383")</f>
        <v>ร้าน(เจริญรัตน์)คุณรัตน์-83383</v>
      </c>
      <c r="AG2616" s="3" t="str">
        <f>IFERROR(__xludf.DUMMYFUNCTION("""COMPUTED_VALUE"""),"กลาง")</f>
        <v>กลาง</v>
      </c>
      <c r="AH2616" s="3" t="str">
        <f>IFERROR(__xludf.DUMMYFUNCTION("""COMPUTED_VALUE"""),"#N/A")</f>
        <v>#N/A</v>
      </c>
      <c r="AI2616" s="3" t="str">
        <f>IFERROR(__xludf.DUMMYFUNCTION("""COMPUTED_VALUE"""),"Out of warranty")</f>
        <v>Out of warranty</v>
      </c>
      <c r="AJ2616" s="3">
        <f>IFERROR(__xludf.DUMMYFUNCTION("""COMPUTED_VALUE"""),48.0)</f>
        <v>48</v>
      </c>
      <c r="AK2616" s="3"/>
      <c r="AL2616" s="3"/>
    </row>
    <row r="2617" ht="15.75" customHeight="1">
      <c r="A2617" s="1" t="str">
        <f>IFERROR(__xludf.DUMMYFUNCTION("""COMPUTED_VALUE"""),"83384")</f>
        <v>83384</v>
      </c>
      <c r="B2617" s="2">
        <f>IFERROR(__xludf.DUMMYFUNCTION("""COMPUTED_VALUE"""),83384.0)</f>
        <v>83384</v>
      </c>
      <c r="C2617" s="3" t="str">
        <f>IFERROR(__xludf.DUMMYFUNCTION("""COMPUTED_VALUE"""),"ร้านพรชัย ของชำ")</f>
        <v>ร้านพรชัย ของชำ</v>
      </c>
      <c r="D2617" s="3" t="str">
        <f>IFERROR(__xludf.DUMMYFUNCTION("""COMPUTED_VALUE"""),"ร้านพรชัย ของชำ")</f>
        <v>ร้านพรชัย ของชำ</v>
      </c>
      <c r="E2617" s="1" t="str">
        <f>IFERROR(__xludf.DUMMYFUNCTION("""COMPUTED_VALUE"""),"Donjai")</f>
        <v>Donjai</v>
      </c>
      <c r="F2617" s="1" t="str">
        <f>IFERROR(__xludf.DUMMYFUNCTION("""COMPUTED_VALUE"""),"2010023")</f>
        <v>2010023</v>
      </c>
      <c r="G2617" s="1" t="str">
        <f>IFERROR(__xludf.DUMMYFUNCTION("""COMPUTED_VALUE"""),"นายวศิน ไวยรูป")</f>
        <v>นายวศิน ไวยรูป</v>
      </c>
      <c r="H2617" s="1" t="str">
        <f>IFERROR(__xludf.DUMMYFUNCTION("""COMPUTED_VALUE"""),"2010023")</f>
        <v>2010023</v>
      </c>
      <c r="I2617" s="1" t="str">
        <f>IFERROR(__xludf.DUMMYFUNCTION("""COMPUTED_VALUE"""),"นายวศิน ไวยรูป")</f>
        <v>นายวศิน ไวยรูป</v>
      </c>
      <c r="J2617" s="3">
        <f>IFERROR(__xludf.DUMMYFUNCTION("""COMPUTED_VALUE"""),228031.0)</f>
        <v>228031</v>
      </c>
      <c r="K2617" s="3" t="str">
        <f>IFERROR(__xludf.DUMMYFUNCTION("""COMPUTED_VALUE"""),"นายธนพงษ์ วันหมัด")</f>
        <v>นายธนพงษ์ วันหมัด</v>
      </c>
      <c r="L2617" s="1" t="str">
        <f>IFERROR(__xludf.DUMMYFUNCTION("""COMPUTED_VALUE"""),"นายธนพงษ์ วันหมัด")</f>
        <v>นายธนพงษ์ วันหมัด</v>
      </c>
      <c r="M2617" s="1" t="str">
        <f>IFERROR(__xludf.DUMMYFUNCTION("""COMPUTED_VALUE"""),"0813716913")</f>
        <v>0813716913</v>
      </c>
      <c r="N2617" s="3">
        <f>IFERROR(__xludf.DUMMYFUNCTION("""COMPUTED_VALUE"""),83384.0)</f>
        <v>83384</v>
      </c>
      <c r="O2617" s="3" t="str">
        <f>IFERROR(__xludf.DUMMYFUNCTION("""COMPUTED_VALUE"""),"ร้านพรชัย ของชำ")</f>
        <v>ร้านพรชัย ของชำ</v>
      </c>
      <c r="P2617" s="4">
        <f>IFERROR(__xludf.DUMMYFUNCTION("""COMPUTED_VALUE"""),44695.0)</f>
        <v>44695</v>
      </c>
      <c r="Q2617" s="3" t="str">
        <f>IFERROR(__xludf.DUMMYFUNCTION("""COMPUTED_VALUE"""),"I")</f>
        <v>I</v>
      </c>
      <c r="R2617" s="3" t="str">
        <f>IFERROR(__xludf.DUMMYFUNCTION("""COMPUTED_VALUE"""),"Small Format")</f>
        <v>Small Format</v>
      </c>
      <c r="S2617" s="3" t="str">
        <f>IFERROR(__xludf.DUMMYFUNCTION("""COMPUTED_VALUE"""),"Donjai")</f>
        <v>Donjai</v>
      </c>
      <c r="T2617" s="3" t="str">
        <f>IFERROR(__xludf.DUMMYFUNCTION("""COMPUTED_VALUE"""),"Donjai")</f>
        <v>Donjai</v>
      </c>
      <c r="U2617" s="3" t="str">
        <f>IFERROR(__xludf.DUMMYFUNCTION("""COMPUTED_VALUE"""),"Donjai")</f>
        <v>Donjai</v>
      </c>
      <c r="V2617" s="3" t="str">
        <f>IFERROR(__xludf.DUMMYFUNCTION("""COMPUTED_VALUE"""),"N")</f>
        <v>N</v>
      </c>
      <c r="W2617" s="3"/>
      <c r="X2617" s="3" t="str">
        <f>IFERROR(__xludf.DUMMYFUNCTION("""COMPUTED_VALUE"""),"1/7​คุ้มเกล้า7 แสนแสบ มีนบุรี กรุงเทพมหานคร 10510")</f>
        <v>1/7​คุ้มเกล้า7 แสนแสบ มีนบุรี กรุงเทพมหานคร 10510</v>
      </c>
      <c r="Y2617" s="3"/>
      <c r="Z2617" s="3">
        <f>IFERROR(__xludf.DUMMYFUNCTION("""COMPUTED_VALUE"""),0.0)</f>
        <v>0</v>
      </c>
      <c r="AA2617" s="3">
        <f>IFERROR(__xludf.DUMMYFUNCTION("""COMPUTED_VALUE"""),0.0)</f>
        <v>0</v>
      </c>
      <c r="AB2617" s="3" t="str">
        <f>IFERROR(__xludf.DUMMYFUNCTION("""COMPUTED_VALUE"""),"กรุงเทพมหานคร")</f>
        <v>กรุงเทพมหานคร</v>
      </c>
      <c r="AC2617" s="3">
        <f>IFERROR(__xludf.DUMMYFUNCTION("""COMPUTED_VALUE"""),10510.0)</f>
        <v>10510</v>
      </c>
      <c r="AD2617" s="3"/>
      <c r="AE2617" s="3"/>
      <c r="AF2617" s="3" t="str">
        <f>IFERROR(__xludf.DUMMYFUNCTION("""COMPUTED_VALUE"""),"ร้านพรชัย ของชำ-83384")</f>
        <v>ร้านพรชัย ของชำ-83384</v>
      </c>
      <c r="AG2617" s="3" t="str">
        <f>IFERROR(__xludf.DUMMYFUNCTION("""COMPUTED_VALUE"""),"กลาง")</f>
        <v>กลาง</v>
      </c>
      <c r="AH2617" s="3" t="str">
        <f>IFERROR(__xludf.DUMMYFUNCTION("""COMPUTED_VALUE"""),"#N/A")</f>
        <v>#N/A</v>
      </c>
      <c r="AI2617" s="3" t="str">
        <f>IFERROR(__xludf.DUMMYFUNCTION("""COMPUTED_VALUE"""),"Out of warranty")</f>
        <v>Out of warranty</v>
      </c>
      <c r="AJ2617" s="3">
        <f>IFERROR(__xludf.DUMMYFUNCTION("""COMPUTED_VALUE"""),45.0)</f>
        <v>45</v>
      </c>
      <c r="AK2617" s="3"/>
      <c r="AL2617" s="3"/>
    </row>
    <row r="2618" ht="15.75" customHeight="1">
      <c r="A2618" s="1" t="str">
        <f>IFERROR(__xludf.DUMMYFUNCTION("""COMPUTED_VALUE"""),"83386")</f>
        <v>83386</v>
      </c>
      <c r="B2618" s="2">
        <f>IFERROR(__xludf.DUMMYFUNCTION("""COMPUTED_VALUE"""),83386.0)</f>
        <v>83386</v>
      </c>
      <c r="C2618" s="3" t="str">
        <f>IFERROR(__xludf.DUMMYFUNCTION("""COMPUTED_VALUE"""),"ร้านเทพประทาน")</f>
        <v>ร้านเทพประทาน</v>
      </c>
      <c r="D2618" s="3" t="str">
        <f>IFERROR(__xludf.DUMMYFUNCTION("""COMPUTED_VALUE"""),"ร้านเทพประทาน")</f>
        <v>ร้านเทพประทาน</v>
      </c>
      <c r="E2618" s="1" t="str">
        <f>IFERROR(__xludf.DUMMYFUNCTION("""COMPUTED_VALUE"""),"Donjai")</f>
        <v>Donjai</v>
      </c>
      <c r="F2618" s="1" t="str">
        <f>IFERROR(__xludf.DUMMYFUNCTION("""COMPUTED_VALUE"""),"015361")</f>
        <v>015361</v>
      </c>
      <c r="G2618" s="1" t="str">
        <f>IFERROR(__xludf.DUMMYFUNCTION("""COMPUTED_VALUE"""),"นายสมบูรณ์ พรหมในเมือง")</f>
        <v>นายสมบูรณ์ พรหมในเมือง</v>
      </c>
      <c r="H2618" s="1" t="str">
        <f>IFERROR(__xludf.DUMMYFUNCTION("""COMPUTED_VALUE"""),"015361")</f>
        <v>015361</v>
      </c>
      <c r="I2618" s="1" t="str">
        <f>IFERROR(__xludf.DUMMYFUNCTION("""COMPUTED_VALUE"""),"นายสมบูรณ์ พรหมในเมือง")</f>
        <v>นายสมบูรณ์ พรหมในเมือง</v>
      </c>
      <c r="J2618" s="3">
        <f>IFERROR(__xludf.DUMMYFUNCTION("""COMPUTED_VALUE"""),295886.0)</f>
        <v>295886</v>
      </c>
      <c r="K2618" s="3" t="str">
        <f>IFERROR(__xludf.DUMMYFUNCTION("""COMPUTED_VALUE"""),"นายจิระพงษ์ โพธิ์นิล")</f>
        <v>นายจิระพงษ์ โพธิ์นิล</v>
      </c>
      <c r="L2618" s="1" t="str">
        <f>IFERROR(__xludf.DUMMYFUNCTION("""COMPUTED_VALUE"""),"นายจิระพงษ์ โพธิ์นิล")</f>
        <v>นายจิระพงษ์ โพธิ์นิล</v>
      </c>
      <c r="M2618" s="1" t="str">
        <f>IFERROR(__xludf.DUMMYFUNCTION("""COMPUTED_VALUE"""),"0933290754")</f>
        <v>0933290754</v>
      </c>
      <c r="N2618" s="3">
        <f>IFERROR(__xludf.DUMMYFUNCTION("""COMPUTED_VALUE"""),83386.0)</f>
        <v>83386</v>
      </c>
      <c r="O2618" s="3" t="str">
        <f>IFERROR(__xludf.DUMMYFUNCTION("""COMPUTED_VALUE"""),"ร้านเทพประทาน")</f>
        <v>ร้านเทพประทาน</v>
      </c>
      <c r="P2618" s="4">
        <f>IFERROR(__xludf.DUMMYFUNCTION("""COMPUTED_VALUE"""),44675.0)</f>
        <v>44675</v>
      </c>
      <c r="Q2618" s="3" t="str">
        <f>IFERROR(__xludf.DUMMYFUNCTION("""COMPUTED_VALUE"""),"I")</f>
        <v>I</v>
      </c>
      <c r="R2618" s="3" t="str">
        <f>IFERROR(__xludf.DUMMYFUNCTION("""COMPUTED_VALUE"""),"Small Format")</f>
        <v>Small Format</v>
      </c>
      <c r="S2618" s="3" t="str">
        <f>IFERROR(__xludf.DUMMYFUNCTION("""COMPUTED_VALUE"""),"Donjai")</f>
        <v>Donjai</v>
      </c>
      <c r="T2618" s="3" t="str">
        <f>IFERROR(__xludf.DUMMYFUNCTION("""COMPUTED_VALUE"""),"04 K.Somboon P.")</f>
        <v>04 K.Somboon P.</v>
      </c>
      <c r="U2618" s="3" t="str">
        <f>IFERROR(__xludf.DUMMYFUNCTION("""COMPUTED_VALUE"""),"04 K.Somboon P.")</f>
        <v>04 K.Somboon P.</v>
      </c>
      <c r="V2618" s="3" t="str">
        <f>IFERROR(__xludf.DUMMYFUNCTION("""COMPUTED_VALUE"""),"N")</f>
        <v>N</v>
      </c>
      <c r="W2618" s="3"/>
      <c r="X2618" s="3" t="str">
        <f>IFERROR(__xludf.DUMMYFUNCTION("""COMPUTED_VALUE"""),"45 บ้านตาตุม ต.ห้วยใต้ อ.ขุขันธ์ จ.ศรีสะเกษ")</f>
        <v>45 บ้านตาตุม ต.ห้วยใต้ อ.ขุขันธ์ จ.ศรีสะเกษ</v>
      </c>
      <c r="Y2618" s="3"/>
      <c r="Z2618" s="3">
        <f>IFERROR(__xludf.DUMMYFUNCTION("""COMPUTED_VALUE"""),0.0)</f>
        <v>0</v>
      </c>
      <c r="AA2618" s="3">
        <f>IFERROR(__xludf.DUMMYFUNCTION("""COMPUTED_VALUE"""),0.0)</f>
        <v>0</v>
      </c>
      <c r="AB2618" s="3" t="str">
        <f>IFERROR(__xludf.DUMMYFUNCTION("""COMPUTED_VALUE"""),"ศรีสะเกษ")</f>
        <v>ศรีสะเกษ</v>
      </c>
      <c r="AC2618" s="3">
        <f>IFERROR(__xludf.DUMMYFUNCTION("""COMPUTED_VALUE"""),0.0)</f>
        <v>0</v>
      </c>
      <c r="AD2618" s="3"/>
      <c r="AE2618" s="3"/>
      <c r="AF2618" s="3" t="str">
        <f>IFERROR(__xludf.DUMMYFUNCTION("""COMPUTED_VALUE"""),"ร้านเทพประทาน-83386")</f>
        <v>ร้านเทพประทาน-83386</v>
      </c>
      <c r="AG2618" s="3" t="str">
        <f>IFERROR(__xludf.DUMMYFUNCTION("""COMPUTED_VALUE"""),"ตะวันออกเฉียงเหนือ")</f>
        <v>ตะวันออกเฉียงเหนือ</v>
      </c>
      <c r="AH2618" s="3" t="str">
        <f>IFERROR(__xludf.DUMMYFUNCTION("""COMPUTED_VALUE"""),"#N/A")</f>
        <v>#N/A</v>
      </c>
      <c r="AI2618" s="3" t="str">
        <f>IFERROR(__xludf.DUMMYFUNCTION("""COMPUTED_VALUE"""),"Out of warranty")</f>
        <v>Out of warranty</v>
      </c>
      <c r="AJ2618" s="3">
        <f>IFERROR(__xludf.DUMMYFUNCTION("""COMPUTED_VALUE"""),45.0)</f>
        <v>45</v>
      </c>
      <c r="AK2618" s="3"/>
      <c r="AL2618" s="3"/>
    </row>
    <row r="2619" ht="15.75" customHeight="1">
      <c r="A2619" s="1" t="str">
        <f>IFERROR(__xludf.DUMMYFUNCTION("""COMPUTED_VALUE"""),"83388")</f>
        <v>83388</v>
      </c>
      <c r="B2619" s="2">
        <f>IFERROR(__xludf.DUMMYFUNCTION("""COMPUTED_VALUE"""),83388.0)</f>
        <v>83388</v>
      </c>
      <c r="C2619" s="3" t="str">
        <f>IFERROR(__xludf.DUMMYFUNCTION("""COMPUTED_VALUE"""),"ร้าน BT Shop (คุณกัญญาภัทร)")</f>
        <v>ร้าน BT Shop (คุณกัญญาภัทร)</v>
      </c>
      <c r="D2619" s="3" t="str">
        <f>IFERROR(__xludf.DUMMYFUNCTION("""COMPUTED_VALUE"""),"ร้าน BT Shop (คุณกัญญาภัทร)")</f>
        <v>ร้าน BT Shop (คุณกัญญาภัทร)</v>
      </c>
      <c r="E2619" s="1" t="str">
        <f>IFERROR(__xludf.DUMMYFUNCTION("""COMPUTED_VALUE"""),"Donjai")</f>
        <v>Donjai</v>
      </c>
      <c r="F2619" s="1" t="str">
        <f>IFERROR(__xludf.DUMMYFUNCTION("""COMPUTED_VALUE"""),"296945")</f>
        <v>296945</v>
      </c>
      <c r="G2619" s="1" t="str">
        <f>IFERROR(__xludf.DUMMYFUNCTION("""COMPUTED_VALUE"""),"นายรักพงศ์ พงศ์พันธ์งาม")</f>
        <v>นายรักพงศ์ พงศ์พันธ์งาม</v>
      </c>
      <c r="H2619" s="1" t="str">
        <f>IFERROR(__xludf.DUMMYFUNCTION("""COMPUTED_VALUE"""),"296945")</f>
        <v>296945</v>
      </c>
      <c r="I2619" s="1" t="str">
        <f>IFERROR(__xludf.DUMMYFUNCTION("""COMPUTED_VALUE"""),"นายรักพงศ์ พงศ์พันธ์งาม")</f>
        <v>นายรักพงศ์ พงศ์พันธ์งาม</v>
      </c>
      <c r="J2619" s="3">
        <f>IFERROR(__xludf.DUMMYFUNCTION("""COMPUTED_VALUE"""),228031.0)</f>
        <v>228031</v>
      </c>
      <c r="K2619" s="3" t="str">
        <f>IFERROR(__xludf.DUMMYFUNCTION("""COMPUTED_VALUE"""),"นายธนพงษ์ วันหมัด")</f>
        <v>นายธนพงษ์ วันหมัด</v>
      </c>
      <c r="L2619" s="1" t="str">
        <f>IFERROR(__xludf.DUMMYFUNCTION("""COMPUTED_VALUE"""),"นายธนพงษ์ วันหมัด")</f>
        <v>นายธนพงษ์ วันหมัด</v>
      </c>
      <c r="M2619" s="1" t="str">
        <f>IFERROR(__xludf.DUMMYFUNCTION("""COMPUTED_VALUE"""),"0813716913")</f>
        <v>0813716913</v>
      </c>
      <c r="N2619" s="3">
        <f>IFERROR(__xludf.DUMMYFUNCTION("""COMPUTED_VALUE"""),83388.0)</f>
        <v>83388</v>
      </c>
      <c r="O2619" s="3" t="str">
        <f>IFERROR(__xludf.DUMMYFUNCTION("""COMPUTED_VALUE"""),"ร้าน BT Shop (คุณกัญญาภัทร)")</f>
        <v>ร้าน BT Shop (คุณกัญญาภัทร)</v>
      </c>
      <c r="P2619" s="4">
        <f>IFERROR(__xludf.DUMMYFUNCTION("""COMPUTED_VALUE"""),44597.0)</f>
        <v>44597</v>
      </c>
      <c r="Q2619" s="3" t="str">
        <f>IFERROR(__xludf.DUMMYFUNCTION("""COMPUTED_VALUE"""),"I")</f>
        <v>I</v>
      </c>
      <c r="R2619" s="3" t="str">
        <f>IFERROR(__xludf.DUMMYFUNCTION("""COMPUTED_VALUE"""),"Small Format")</f>
        <v>Small Format</v>
      </c>
      <c r="S2619" s="3" t="str">
        <f>IFERROR(__xludf.DUMMYFUNCTION("""COMPUTED_VALUE"""),"Donjai")</f>
        <v>Donjai</v>
      </c>
      <c r="T2619" s="3">
        <f>IFERROR(__xludf.DUMMYFUNCTION("""COMPUTED_VALUE"""),0.0)</f>
        <v>0</v>
      </c>
      <c r="U2619" s="3">
        <f>IFERROR(__xludf.DUMMYFUNCTION("""COMPUTED_VALUE"""),0.0)</f>
        <v>0</v>
      </c>
      <c r="V2619" s="3" t="str">
        <f>IFERROR(__xludf.DUMMYFUNCTION("""COMPUTED_VALUE"""),"N")</f>
        <v>N</v>
      </c>
      <c r="W2619" s="3"/>
      <c r="X2619" s="3" t="str">
        <f>IFERROR(__xludf.DUMMYFUNCTION("""COMPUTED_VALUE"""),"ซอย นาคดี-มังกร ถ.แพรกษา อเมืองสมุทรปราการ จ.สมุทรปราการ")</f>
        <v>ซอย นาคดี-มังกร ถ.แพรกษา อเมืองสมุทรปราการ จ.สมุทรปราการ</v>
      </c>
      <c r="Y2619" s="3"/>
      <c r="Z2619" s="3">
        <f>IFERROR(__xludf.DUMMYFUNCTION("""COMPUTED_VALUE"""),0.0)</f>
        <v>0</v>
      </c>
      <c r="AA2619" s="3">
        <f>IFERROR(__xludf.DUMMYFUNCTION("""COMPUTED_VALUE"""),0.0)</f>
        <v>0</v>
      </c>
      <c r="AB2619" s="3" t="str">
        <f>IFERROR(__xludf.DUMMYFUNCTION("""COMPUTED_VALUE"""),"สมุทรปราการ")</f>
        <v>สมุทรปราการ</v>
      </c>
      <c r="AC2619" s="3">
        <f>IFERROR(__xludf.DUMMYFUNCTION("""COMPUTED_VALUE"""),0.0)</f>
        <v>0</v>
      </c>
      <c r="AD2619" s="3"/>
      <c r="AE2619" s="3"/>
      <c r="AF2619" s="3" t="str">
        <f>IFERROR(__xludf.DUMMYFUNCTION("""COMPUTED_VALUE"""),"ร้าน BT Shop (คุณกัญญาภัทร)-83388")</f>
        <v>ร้าน BT Shop (คุณกัญญาภัทร)-83388</v>
      </c>
      <c r="AG2619" s="3" t="str">
        <f>IFERROR(__xludf.DUMMYFUNCTION("""COMPUTED_VALUE"""),"กลาง")</f>
        <v>กลาง</v>
      </c>
      <c r="AH2619" s="3" t="str">
        <f>IFERROR(__xludf.DUMMYFUNCTION("""COMPUTED_VALUE"""),"#N/A")</f>
        <v>#N/A</v>
      </c>
      <c r="AI2619" s="3" t="str">
        <f>IFERROR(__xludf.DUMMYFUNCTION("""COMPUTED_VALUE"""),"Out of warranty")</f>
        <v>Out of warranty</v>
      </c>
      <c r="AJ2619" s="3">
        <f>IFERROR(__xludf.DUMMYFUNCTION("""COMPUTED_VALUE"""),48.0)</f>
        <v>48</v>
      </c>
      <c r="AK2619" s="3"/>
      <c r="AL2619" s="3"/>
    </row>
    <row r="2620" ht="15.75" customHeight="1">
      <c r="A2620" s="1" t="str">
        <f>IFERROR(__xludf.DUMMYFUNCTION("""COMPUTED_VALUE"""),"83389")</f>
        <v>83389</v>
      </c>
      <c r="B2620" s="2">
        <f>IFERROR(__xludf.DUMMYFUNCTION("""COMPUTED_VALUE"""),83389.0)</f>
        <v>83389</v>
      </c>
      <c r="C2620" s="3" t="str">
        <f>IFERROR(__xludf.DUMMYFUNCTION("""COMPUTED_VALUE"""),"ร้านคุณมาลา(คุณปิ่น)")</f>
        <v>ร้านคุณมาลา(คุณปิ่น)</v>
      </c>
      <c r="D2620" s="3" t="str">
        <f>IFERROR(__xludf.DUMMYFUNCTION("""COMPUTED_VALUE"""),"ร้านคุณมาลา(คุณปิ่น)")</f>
        <v>ร้านคุณมาลา(คุณปิ่น)</v>
      </c>
      <c r="E2620" s="1" t="str">
        <f>IFERROR(__xludf.DUMMYFUNCTION("""COMPUTED_VALUE"""),"Donjai")</f>
        <v>Donjai</v>
      </c>
      <c r="F2620" s="1" t="str">
        <f>IFERROR(__xludf.DUMMYFUNCTION("""COMPUTED_VALUE"""),"296945")</f>
        <v>296945</v>
      </c>
      <c r="G2620" s="1" t="str">
        <f>IFERROR(__xludf.DUMMYFUNCTION("""COMPUTED_VALUE"""),"นายรักพงศ์ พงศ์พันธ์งาม")</f>
        <v>นายรักพงศ์ พงศ์พันธ์งาม</v>
      </c>
      <c r="H2620" s="1" t="str">
        <f>IFERROR(__xludf.DUMMYFUNCTION("""COMPUTED_VALUE"""),"296945")</f>
        <v>296945</v>
      </c>
      <c r="I2620" s="1" t="str">
        <f>IFERROR(__xludf.DUMMYFUNCTION("""COMPUTED_VALUE"""),"นายรักพงศ์ พงศ์พันธ์งาม")</f>
        <v>นายรักพงศ์ พงศ์พันธ์งาม</v>
      </c>
      <c r="J2620" s="3">
        <f>IFERROR(__xludf.DUMMYFUNCTION("""COMPUTED_VALUE"""),228031.0)</f>
        <v>228031</v>
      </c>
      <c r="K2620" s="3" t="str">
        <f>IFERROR(__xludf.DUMMYFUNCTION("""COMPUTED_VALUE"""),"นายธนพงษ์ วันหมัด")</f>
        <v>นายธนพงษ์ วันหมัด</v>
      </c>
      <c r="L2620" s="1" t="str">
        <f>IFERROR(__xludf.DUMMYFUNCTION("""COMPUTED_VALUE"""),"นายธนพงษ์ วันหมัด")</f>
        <v>นายธนพงษ์ วันหมัด</v>
      </c>
      <c r="M2620" s="1" t="str">
        <f>IFERROR(__xludf.DUMMYFUNCTION("""COMPUTED_VALUE"""),"0813716913")</f>
        <v>0813716913</v>
      </c>
      <c r="N2620" s="3">
        <f>IFERROR(__xludf.DUMMYFUNCTION("""COMPUTED_VALUE"""),83389.0)</f>
        <v>83389</v>
      </c>
      <c r="O2620" s="3" t="str">
        <f>IFERROR(__xludf.DUMMYFUNCTION("""COMPUTED_VALUE"""),"ร้านคุณมาลา(คุณปิ่น)")</f>
        <v>ร้านคุณมาลา(คุณปิ่น)</v>
      </c>
      <c r="P2620" s="4">
        <f>IFERROR(__xludf.DUMMYFUNCTION("""COMPUTED_VALUE"""),44632.0)</f>
        <v>44632</v>
      </c>
      <c r="Q2620" s="3" t="str">
        <f>IFERROR(__xludf.DUMMYFUNCTION("""COMPUTED_VALUE"""),"I")</f>
        <v>I</v>
      </c>
      <c r="R2620" s="3" t="str">
        <f>IFERROR(__xludf.DUMMYFUNCTION("""COMPUTED_VALUE"""),"Small Format")</f>
        <v>Small Format</v>
      </c>
      <c r="S2620" s="3" t="str">
        <f>IFERROR(__xludf.DUMMYFUNCTION("""COMPUTED_VALUE"""),"Donjai")</f>
        <v>Donjai</v>
      </c>
      <c r="T2620" s="3">
        <f>IFERROR(__xludf.DUMMYFUNCTION("""COMPUTED_VALUE"""),0.0)</f>
        <v>0</v>
      </c>
      <c r="U2620" s="3">
        <f>IFERROR(__xludf.DUMMYFUNCTION("""COMPUTED_VALUE"""),0.0)</f>
        <v>0</v>
      </c>
      <c r="V2620" s="3" t="str">
        <f>IFERROR(__xludf.DUMMYFUNCTION("""COMPUTED_VALUE"""),"N")</f>
        <v>N</v>
      </c>
      <c r="W2620" s="3"/>
      <c r="X2620" s="3" t="str">
        <f>IFERROR(__xludf.DUMMYFUNCTION("""COMPUTED_VALUE"""),"66/3 ม.8 ตบางปูใหม่ อ.เมืองสมุทรปราการ")</f>
        <v>66/3 ม.8 ตบางปูใหม่ อ.เมืองสมุทรปราการ</v>
      </c>
      <c r="Y2620" s="3"/>
      <c r="Z2620" s="3">
        <f>IFERROR(__xludf.DUMMYFUNCTION("""COMPUTED_VALUE"""),0.0)</f>
        <v>0</v>
      </c>
      <c r="AA2620" s="3">
        <f>IFERROR(__xludf.DUMMYFUNCTION("""COMPUTED_VALUE"""),0.0)</f>
        <v>0</v>
      </c>
      <c r="AB2620" s="3" t="str">
        <f>IFERROR(__xludf.DUMMYFUNCTION("""COMPUTED_VALUE"""),"สมุทรปราการ")</f>
        <v>สมุทรปราการ</v>
      </c>
      <c r="AC2620" s="3">
        <f>IFERROR(__xludf.DUMMYFUNCTION("""COMPUTED_VALUE"""),0.0)</f>
        <v>0</v>
      </c>
      <c r="AD2620" s="3"/>
      <c r="AE2620" s="3"/>
      <c r="AF2620" s="3" t="str">
        <f>IFERROR(__xludf.DUMMYFUNCTION("""COMPUTED_VALUE"""),"ร้านคุณมาลา(คุณปิ่น)-83389")</f>
        <v>ร้านคุณมาลา(คุณปิ่น)-83389</v>
      </c>
      <c r="AG2620" s="3" t="str">
        <f>IFERROR(__xludf.DUMMYFUNCTION("""COMPUTED_VALUE"""),"กลาง")</f>
        <v>กลาง</v>
      </c>
      <c r="AH2620" s="3" t="str">
        <f>IFERROR(__xludf.DUMMYFUNCTION("""COMPUTED_VALUE"""),"#N/A")</f>
        <v>#N/A</v>
      </c>
      <c r="AI2620" s="3" t="str">
        <f>IFERROR(__xludf.DUMMYFUNCTION("""COMPUTED_VALUE"""),"Out of warranty")</f>
        <v>Out of warranty</v>
      </c>
      <c r="AJ2620" s="3">
        <f>IFERROR(__xludf.DUMMYFUNCTION("""COMPUTED_VALUE"""),47.0)</f>
        <v>47</v>
      </c>
      <c r="AK2620" s="3"/>
      <c r="AL2620" s="3"/>
    </row>
    <row r="2621" ht="15.75" customHeight="1">
      <c r="A2621" s="1" t="str">
        <f>IFERROR(__xludf.DUMMYFUNCTION("""COMPUTED_VALUE"""),"83392")</f>
        <v>83392</v>
      </c>
      <c r="B2621" s="2">
        <f>IFERROR(__xludf.DUMMYFUNCTION("""COMPUTED_VALUE"""),83392.0)</f>
        <v>83392</v>
      </c>
      <c r="C2621" s="3" t="str">
        <f>IFERROR(__xludf.DUMMYFUNCTION("""COMPUTED_VALUE"""),"ร้านทองใบ")</f>
        <v>ร้านทองใบ</v>
      </c>
      <c r="D2621" s="3" t="str">
        <f>IFERROR(__xludf.DUMMYFUNCTION("""COMPUTED_VALUE"""),"ร้านทองใบ")</f>
        <v>ร้านทองใบ</v>
      </c>
      <c r="E2621" s="1" t="str">
        <f>IFERROR(__xludf.DUMMYFUNCTION("""COMPUTED_VALUE"""),"Donjai")</f>
        <v>Donjai</v>
      </c>
      <c r="F2621" s="1" t="str">
        <f>IFERROR(__xludf.DUMMYFUNCTION("""COMPUTED_VALUE"""),"296868")</f>
        <v>296868</v>
      </c>
      <c r="G2621" s="1" t="str">
        <f>IFERROR(__xludf.DUMMYFUNCTION("""COMPUTED_VALUE"""),"นายพีระพงษ์ แก้วดวงดี")</f>
        <v>นายพีระพงษ์ แก้วดวงดี</v>
      </c>
      <c r="H2621" s="1" t="str">
        <f>IFERROR(__xludf.DUMMYFUNCTION("""COMPUTED_VALUE"""),"296868")</f>
        <v>296868</v>
      </c>
      <c r="I2621" s="1" t="str">
        <f>IFERROR(__xludf.DUMMYFUNCTION("""COMPUTED_VALUE"""),"นายพีระพงษ์ แก้วดวงดี")</f>
        <v>นายพีระพงษ์ แก้วดวงดี</v>
      </c>
      <c r="J2621" s="3">
        <f>IFERROR(__xludf.DUMMYFUNCTION("""COMPUTED_VALUE"""),295886.0)</f>
        <v>295886</v>
      </c>
      <c r="K2621" s="3" t="str">
        <f>IFERROR(__xludf.DUMMYFUNCTION("""COMPUTED_VALUE"""),"นายจิระพงษ์ โพธิ์นิล")</f>
        <v>นายจิระพงษ์ โพธิ์นิล</v>
      </c>
      <c r="L2621" s="1" t="str">
        <f>IFERROR(__xludf.DUMMYFUNCTION("""COMPUTED_VALUE"""),"นายจิระพงษ์ โพธิ์นิล")</f>
        <v>นายจิระพงษ์ โพธิ์นิล</v>
      </c>
      <c r="M2621" s="1" t="str">
        <f>IFERROR(__xludf.DUMMYFUNCTION("""COMPUTED_VALUE"""),"0933290754")</f>
        <v>0933290754</v>
      </c>
      <c r="N2621" s="3">
        <f>IFERROR(__xludf.DUMMYFUNCTION("""COMPUTED_VALUE"""),83392.0)</f>
        <v>83392</v>
      </c>
      <c r="O2621" s="3" t="str">
        <f>IFERROR(__xludf.DUMMYFUNCTION("""COMPUTED_VALUE"""),"ร้านทองใบ")</f>
        <v>ร้านทองใบ</v>
      </c>
      <c r="P2621" s="4">
        <f>IFERROR(__xludf.DUMMYFUNCTION("""COMPUTED_VALUE"""),44647.0)</f>
        <v>44647</v>
      </c>
      <c r="Q2621" s="3" t="str">
        <f>IFERROR(__xludf.DUMMYFUNCTION("""COMPUTED_VALUE"""),"I")</f>
        <v>I</v>
      </c>
      <c r="R2621" s="3" t="str">
        <f>IFERROR(__xludf.DUMMYFUNCTION("""COMPUTED_VALUE"""),"Small Format")</f>
        <v>Small Format</v>
      </c>
      <c r="S2621" s="3" t="str">
        <f>IFERROR(__xludf.DUMMYFUNCTION("""COMPUTED_VALUE"""),"Donjai")</f>
        <v>Donjai</v>
      </c>
      <c r="T2621" s="3" t="str">
        <f>IFERROR(__xludf.DUMMYFUNCTION("""COMPUTED_VALUE"""),"03 K.Peerapong K.")</f>
        <v>03 K.Peerapong K.</v>
      </c>
      <c r="U2621" s="3" t="str">
        <f>IFERROR(__xludf.DUMMYFUNCTION("""COMPUTED_VALUE"""),"03 K.Peerapong K.")</f>
        <v>03 K.Peerapong K.</v>
      </c>
      <c r="V2621" s="3" t="str">
        <f>IFERROR(__xludf.DUMMYFUNCTION("""COMPUTED_VALUE"""),"N")</f>
        <v>N</v>
      </c>
      <c r="W2621" s="3"/>
      <c r="X2621" s="3" t="str">
        <f>IFERROR(__xludf.DUMMYFUNCTION("""COMPUTED_VALUE"""),"123 หมู่ 8 ต.คำสะอาด อ.สว่างแดนดิน จ.สกลนคร 47110")</f>
        <v>123 หมู่ 8 ต.คำสะอาด อ.สว่างแดนดิน จ.สกลนคร 47110</v>
      </c>
      <c r="Y2621" s="3"/>
      <c r="Z2621" s="3">
        <f>IFERROR(__xludf.DUMMYFUNCTION("""COMPUTED_VALUE"""),0.0)</f>
        <v>0</v>
      </c>
      <c r="AA2621" s="3">
        <f>IFERROR(__xludf.DUMMYFUNCTION("""COMPUTED_VALUE"""),0.0)</f>
        <v>0</v>
      </c>
      <c r="AB2621" s="3" t="str">
        <f>IFERROR(__xludf.DUMMYFUNCTION("""COMPUTED_VALUE"""),"สกลนคร")</f>
        <v>สกลนคร</v>
      </c>
      <c r="AC2621" s="3">
        <f>IFERROR(__xludf.DUMMYFUNCTION("""COMPUTED_VALUE"""),47110.0)</f>
        <v>47110</v>
      </c>
      <c r="AD2621" s="3"/>
      <c r="AE2621" s="3"/>
      <c r="AF2621" s="3" t="str">
        <f>IFERROR(__xludf.DUMMYFUNCTION("""COMPUTED_VALUE"""),"ร้านทองใบ-83392")</f>
        <v>ร้านทองใบ-83392</v>
      </c>
      <c r="AG2621" s="3" t="str">
        <f>IFERROR(__xludf.DUMMYFUNCTION("""COMPUTED_VALUE"""),"ตะวันออกเฉียงเหนือ")</f>
        <v>ตะวันออกเฉียงเหนือ</v>
      </c>
      <c r="AH2621" s="3" t="str">
        <f>IFERROR(__xludf.DUMMYFUNCTION("""COMPUTED_VALUE"""),"#N/A")</f>
        <v>#N/A</v>
      </c>
      <c r="AI2621" s="3" t="str">
        <f>IFERROR(__xludf.DUMMYFUNCTION("""COMPUTED_VALUE"""),"Out of warranty")</f>
        <v>Out of warranty</v>
      </c>
      <c r="AJ2621" s="3">
        <f>IFERROR(__xludf.DUMMYFUNCTION("""COMPUTED_VALUE"""),46.0)</f>
        <v>46</v>
      </c>
      <c r="AK2621" s="3"/>
      <c r="AL2621" s="3"/>
    </row>
    <row r="2622" ht="15.75" customHeight="1">
      <c r="A2622" s="1" t="str">
        <f>IFERROR(__xludf.DUMMYFUNCTION("""COMPUTED_VALUE"""),"83394")</f>
        <v>83394</v>
      </c>
      <c r="B2622" s="2">
        <f>IFERROR(__xludf.DUMMYFUNCTION("""COMPUTED_VALUE"""),83394.0)</f>
        <v>83394</v>
      </c>
      <c r="C2622" s="3" t="str">
        <f>IFERROR(__xludf.DUMMYFUNCTION("""COMPUTED_VALUE"""),"ร้านรุ่งธิวา")</f>
        <v>ร้านรุ่งธิวา</v>
      </c>
      <c r="D2622" s="3" t="str">
        <f>IFERROR(__xludf.DUMMYFUNCTION("""COMPUTED_VALUE"""),"ร้านรุ่งธิวา")</f>
        <v>ร้านรุ่งธิวา</v>
      </c>
      <c r="E2622" s="1" t="str">
        <f>IFERROR(__xludf.DUMMYFUNCTION("""COMPUTED_VALUE"""),"Donjai")</f>
        <v>Donjai</v>
      </c>
      <c r="F2622" s="1" t="str">
        <f>IFERROR(__xludf.DUMMYFUNCTION("""COMPUTED_VALUE"""),"00510143")</f>
        <v>00510143</v>
      </c>
      <c r="G2622" s="1" t="str">
        <f>IFERROR(__xludf.DUMMYFUNCTION("""COMPUTED_VALUE"""),"นายธีระวัฒน์ บุญสิทธิ์")</f>
        <v>นายธีระวัฒน์ บุญสิทธิ์</v>
      </c>
      <c r="H2622" s="1" t="str">
        <f>IFERROR(__xludf.DUMMYFUNCTION("""COMPUTED_VALUE"""),"00510143")</f>
        <v>00510143</v>
      </c>
      <c r="I2622" s="1" t="str">
        <f>IFERROR(__xludf.DUMMYFUNCTION("""COMPUTED_VALUE"""),"นายธีระวัฒน์ บุญสิทธิ์")</f>
        <v>นายธีระวัฒน์ บุญสิทธิ์</v>
      </c>
      <c r="J2622" s="3">
        <f>IFERROR(__xludf.DUMMYFUNCTION("""COMPUTED_VALUE"""),228031.0)</f>
        <v>228031</v>
      </c>
      <c r="K2622" s="3" t="str">
        <f>IFERROR(__xludf.DUMMYFUNCTION("""COMPUTED_VALUE"""),"นายธนพงษ์ วันหมัด")</f>
        <v>นายธนพงษ์ วันหมัด</v>
      </c>
      <c r="L2622" s="1" t="str">
        <f>IFERROR(__xludf.DUMMYFUNCTION("""COMPUTED_VALUE"""),"นายธนพงษ์ วันหมัด")</f>
        <v>นายธนพงษ์ วันหมัด</v>
      </c>
      <c r="M2622" s="1" t="str">
        <f>IFERROR(__xludf.DUMMYFUNCTION("""COMPUTED_VALUE"""),"0813716913")</f>
        <v>0813716913</v>
      </c>
      <c r="N2622" s="3">
        <f>IFERROR(__xludf.DUMMYFUNCTION("""COMPUTED_VALUE"""),83394.0)</f>
        <v>83394</v>
      </c>
      <c r="O2622" s="3" t="str">
        <f>IFERROR(__xludf.DUMMYFUNCTION("""COMPUTED_VALUE"""),"ร้านรุ่งธิวา")</f>
        <v>ร้านรุ่งธิวา</v>
      </c>
      <c r="P2622" s="4">
        <f>IFERROR(__xludf.DUMMYFUNCTION("""COMPUTED_VALUE"""),44683.0)</f>
        <v>44683</v>
      </c>
      <c r="Q2622" s="3" t="str">
        <f>IFERROR(__xludf.DUMMYFUNCTION("""COMPUTED_VALUE"""),"A")</f>
        <v>A</v>
      </c>
      <c r="R2622" s="3" t="str">
        <f>IFERROR(__xludf.DUMMYFUNCTION("""COMPUTED_VALUE"""),"Small Format")</f>
        <v>Small Format</v>
      </c>
      <c r="S2622" s="3" t="str">
        <f>IFERROR(__xludf.DUMMYFUNCTION("""COMPUTED_VALUE"""),"Donjai")</f>
        <v>Donjai</v>
      </c>
      <c r="T2622" s="3" t="str">
        <f>IFERROR(__xludf.DUMMYFUNCTION("""COMPUTED_VALUE"""),"12 K.Theerawat B.")</f>
        <v>12 K.Theerawat B.</v>
      </c>
      <c r="U2622" s="3" t="str">
        <f>IFERROR(__xludf.DUMMYFUNCTION("""COMPUTED_VALUE"""),"12 K.Theerawat B.")</f>
        <v>12 K.Theerawat B.</v>
      </c>
      <c r="V2622" s="3" t="str">
        <f>IFERROR(__xludf.DUMMYFUNCTION("""COMPUTED_VALUE"""),"N")</f>
        <v>N</v>
      </c>
      <c r="W2622" s="3"/>
      <c r="X2622" s="3" t="str">
        <f>IFERROR(__xludf.DUMMYFUNCTION("""COMPUTED_VALUE"""),"92/1 ม.9 ต.วังน้ำเย็น อ.วังน้ำเย็น จ.สระแก้ว")</f>
        <v>92/1 ม.9 ต.วังน้ำเย็น อ.วังน้ำเย็น จ.สระแก้ว</v>
      </c>
      <c r="Y2622" s="3"/>
      <c r="Z2622" s="3">
        <f>IFERROR(__xludf.DUMMYFUNCTION("""COMPUTED_VALUE"""),0.0)</f>
        <v>0</v>
      </c>
      <c r="AA2622" s="3">
        <f>IFERROR(__xludf.DUMMYFUNCTION("""COMPUTED_VALUE"""),0.0)</f>
        <v>0</v>
      </c>
      <c r="AB2622" s="3" t="str">
        <f>IFERROR(__xludf.DUMMYFUNCTION("""COMPUTED_VALUE"""),"สระแก้ว")</f>
        <v>สระแก้ว</v>
      </c>
      <c r="AC2622" s="3">
        <f>IFERROR(__xludf.DUMMYFUNCTION("""COMPUTED_VALUE"""),0.0)</f>
        <v>0</v>
      </c>
      <c r="AD2622" s="3"/>
      <c r="AE2622" s="3"/>
      <c r="AF2622" s="3" t="str">
        <f>IFERROR(__xludf.DUMMYFUNCTION("""COMPUTED_VALUE"""),"ร้านรุ่งธิวา-83394")</f>
        <v>ร้านรุ่งธิวา-83394</v>
      </c>
      <c r="AG2622" s="3" t="str">
        <f>IFERROR(__xludf.DUMMYFUNCTION("""COMPUTED_VALUE"""),"ตะวันออก")</f>
        <v>ตะวันออก</v>
      </c>
      <c r="AH2622" s="3" t="str">
        <f>IFERROR(__xludf.DUMMYFUNCTION("""COMPUTED_VALUE"""),"#N/A")</f>
        <v>#N/A</v>
      </c>
      <c r="AI2622" s="3" t="str">
        <f>IFERROR(__xludf.DUMMYFUNCTION("""COMPUTED_VALUE"""),"Out of warranty")</f>
        <v>Out of warranty</v>
      </c>
      <c r="AJ2622" s="3">
        <f>IFERROR(__xludf.DUMMYFUNCTION("""COMPUTED_VALUE"""),45.0)</f>
        <v>45</v>
      </c>
      <c r="AK2622" s="3"/>
      <c r="AL2622" s="3"/>
    </row>
    <row r="2623" ht="15.75" customHeight="1">
      <c r="A2623" s="1" t="str">
        <f>IFERROR(__xludf.DUMMYFUNCTION("""COMPUTED_VALUE"""),"83395")</f>
        <v>83395</v>
      </c>
      <c r="B2623" s="2">
        <f>IFERROR(__xludf.DUMMYFUNCTION("""COMPUTED_VALUE"""),83395.0)</f>
        <v>83395</v>
      </c>
      <c r="C2623" s="3" t="str">
        <f>IFERROR(__xludf.DUMMYFUNCTION("""COMPUTED_VALUE"""),"ร้านเจ้น้อยพาณิชย์")</f>
        <v>ร้านเจ้น้อยพาณิชย์</v>
      </c>
      <c r="D2623" s="3" t="str">
        <f>IFERROR(__xludf.DUMMYFUNCTION("""COMPUTED_VALUE"""),"ร้านเจ้น้อยพาณิชย์")</f>
        <v>ร้านเจ้น้อยพาณิชย์</v>
      </c>
      <c r="E2623" s="1" t="str">
        <f>IFERROR(__xludf.DUMMYFUNCTION("""COMPUTED_VALUE"""),"Donjai")</f>
        <v>Donjai</v>
      </c>
      <c r="F2623" s="1" t="str">
        <f>IFERROR(__xludf.DUMMYFUNCTION("""COMPUTED_VALUE"""),"015361")</f>
        <v>015361</v>
      </c>
      <c r="G2623" s="1" t="str">
        <f>IFERROR(__xludf.DUMMYFUNCTION("""COMPUTED_VALUE"""),"นายสมบูรณ์ พรหมในเมือง")</f>
        <v>นายสมบูรณ์ พรหมในเมือง</v>
      </c>
      <c r="H2623" s="1" t="str">
        <f>IFERROR(__xludf.DUMMYFUNCTION("""COMPUTED_VALUE"""),"015361")</f>
        <v>015361</v>
      </c>
      <c r="I2623" s="1" t="str">
        <f>IFERROR(__xludf.DUMMYFUNCTION("""COMPUTED_VALUE"""),"นายสมบูรณ์ พรหมในเมือง")</f>
        <v>นายสมบูรณ์ พรหมในเมือง</v>
      </c>
      <c r="J2623" s="3">
        <f>IFERROR(__xludf.DUMMYFUNCTION("""COMPUTED_VALUE"""),295886.0)</f>
        <v>295886</v>
      </c>
      <c r="K2623" s="3" t="str">
        <f>IFERROR(__xludf.DUMMYFUNCTION("""COMPUTED_VALUE"""),"นายจิระพงษ์ โพธิ์นิล")</f>
        <v>นายจิระพงษ์ โพธิ์นิล</v>
      </c>
      <c r="L2623" s="1" t="str">
        <f>IFERROR(__xludf.DUMMYFUNCTION("""COMPUTED_VALUE"""),"นายจิระพงษ์ โพธิ์นิล")</f>
        <v>นายจิระพงษ์ โพธิ์นิล</v>
      </c>
      <c r="M2623" s="1" t="str">
        <f>IFERROR(__xludf.DUMMYFUNCTION("""COMPUTED_VALUE"""),"0933290754")</f>
        <v>0933290754</v>
      </c>
      <c r="N2623" s="3">
        <f>IFERROR(__xludf.DUMMYFUNCTION("""COMPUTED_VALUE"""),83395.0)</f>
        <v>83395</v>
      </c>
      <c r="O2623" s="3" t="str">
        <f>IFERROR(__xludf.DUMMYFUNCTION("""COMPUTED_VALUE"""),"ร้านเจ้น้อยพาณิชย์")</f>
        <v>ร้านเจ้น้อยพาณิชย์</v>
      </c>
      <c r="P2623" s="4">
        <f>IFERROR(__xludf.DUMMYFUNCTION("""COMPUTED_VALUE"""),44613.0)</f>
        <v>44613</v>
      </c>
      <c r="Q2623" s="3" t="str">
        <f>IFERROR(__xludf.DUMMYFUNCTION("""COMPUTED_VALUE"""),"I")</f>
        <v>I</v>
      </c>
      <c r="R2623" s="3" t="str">
        <f>IFERROR(__xludf.DUMMYFUNCTION("""COMPUTED_VALUE"""),"Small Format")</f>
        <v>Small Format</v>
      </c>
      <c r="S2623" s="3" t="str">
        <f>IFERROR(__xludf.DUMMYFUNCTION("""COMPUTED_VALUE"""),"Donjai")</f>
        <v>Donjai</v>
      </c>
      <c r="T2623" s="3" t="str">
        <f>IFERROR(__xludf.DUMMYFUNCTION("""COMPUTED_VALUE"""),"04 K.Somboon P.")</f>
        <v>04 K.Somboon P.</v>
      </c>
      <c r="U2623" s="3" t="str">
        <f>IFERROR(__xludf.DUMMYFUNCTION("""COMPUTED_VALUE"""),"04 K.Somboon P.")</f>
        <v>04 K.Somboon P.</v>
      </c>
      <c r="V2623" s="3" t="str">
        <f>IFERROR(__xludf.DUMMYFUNCTION("""COMPUTED_VALUE"""),"N")</f>
        <v>N</v>
      </c>
      <c r="W2623" s="3"/>
      <c r="X2623" s="3" t="str">
        <f>IFERROR(__xludf.DUMMYFUNCTION("""COMPUTED_VALUE"""),"198 ม.23 ต.ห้วยบง อ.ด่านขุนทด จ.นครราชสีมา 30210")</f>
        <v>198 ม.23 ต.ห้วยบง อ.ด่านขุนทด จ.นครราชสีมา 30210</v>
      </c>
      <c r="Y2623" s="3"/>
      <c r="Z2623" s="3">
        <f>IFERROR(__xludf.DUMMYFUNCTION("""COMPUTED_VALUE"""),0.0)</f>
        <v>0</v>
      </c>
      <c r="AA2623" s="3">
        <f>IFERROR(__xludf.DUMMYFUNCTION("""COMPUTED_VALUE"""),0.0)</f>
        <v>0</v>
      </c>
      <c r="AB2623" s="3" t="str">
        <f>IFERROR(__xludf.DUMMYFUNCTION("""COMPUTED_VALUE"""),"นครราชสีมา")</f>
        <v>นครราชสีมา</v>
      </c>
      <c r="AC2623" s="3">
        <f>IFERROR(__xludf.DUMMYFUNCTION("""COMPUTED_VALUE"""),30210.0)</f>
        <v>30210</v>
      </c>
      <c r="AD2623" s="3"/>
      <c r="AE2623" s="3"/>
      <c r="AF2623" s="3" t="str">
        <f>IFERROR(__xludf.DUMMYFUNCTION("""COMPUTED_VALUE"""),"ร้านเจ้น้อยพาณิชย์-83395")</f>
        <v>ร้านเจ้น้อยพาณิชย์-83395</v>
      </c>
      <c r="AG2623" s="3" t="str">
        <f>IFERROR(__xludf.DUMMYFUNCTION("""COMPUTED_VALUE"""),"ตะวันออกเฉียงเหนือ")</f>
        <v>ตะวันออกเฉียงเหนือ</v>
      </c>
      <c r="AH2623" s="3" t="str">
        <f>IFERROR(__xludf.DUMMYFUNCTION("""COMPUTED_VALUE"""),"#N/A")</f>
        <v>#N/A</v>
      </c>
      <c r="AI2623" s="3" t="str">
        <f>IFERROR(__xludf.DUMMYFUNCTION("""COMPUTED_VALUE"""),"Out of warranty")</f>
        <v>Out of warranty</v>
      </c>
      <c r="AJ2623" s="3">
        <f>IFERROR(__xludf.DUMMYFUNCTION("""COMPUTED_VALUE"""),47.0)</f>
        <v>47</v>
      </c>
      <c r="AK2623" s="3"/>
      <c r="AL2623" s="3"/>
    </row>
    <row r="2624" ht="15.75" customHeight="1">
      <c r="A2624" s="1" t="str">
        <f>IFERROR(__xludf.DUMMYFUNCTION("""COMPUTED_VALUE"""),"83396")</f>
        <v>83396</v>
      </c>
      <c r="B2624" s="2">
        <f>IFERROR(__xludf.DUMMYFUNCTION("""COMPUTED_VALUE"""),83396.0)</f>
        <v>83396</v>
      </c>
      <c r="C2624" s="3" t="str">
        <f>IFERROR(__xludf.DUMMYFUNCTION("""COMPUTED_VALUE"""),"ร้านวลีพร")</f>
        <v>ร้านวลีพร</v>
      </c>
      <c r="D2624" s="3" t="str">
        <f>IFERROR(__xludf.DUMMYFUNCTION("""COMPUTED_VALUE"""),"ร้านวลีพร")</f>
        <v>ร้านวลีพร</v>
      </c>
      <c r="E2624" s="1" t="str">
        <f>IFERROR(__xludf.DUMMYFUNCTION("""COMPUTED_VALUE"""),"Donjai")</f>
        <v>Donjai</v>
      </c>
      <c r="F2624" s="1" t="str">
        <f>IFERROR(__xludf.DUMMYFUNCTION("""COMPUTED_VALUE"""),"296608")</f>
        <v>296608</v>
      </c>
      <c r="G2624" s="1" t="str">
        <f>IFERROR(__xludf.DUMMYFUNCTION("""COMPUTED_VALUE"""),"นายภาคภูมิ เพ็ชรนิล")</f>
        <v>นายภาคภูมิ เพ็ชรนิล</v>
      </c>
      <c r="H2624" s="1" t="str">
        <f>IFERROR(__xludf.DUMMYFUNCTION("""COMPUTED_VALUE"""),"296608")</f>
        <v>296608</v>
      </c>
      <c r="I2624" s="1" t="str">
        <f>IFERROR(__xludf.DUMMYFUNCTION("""COMPUTED_VALUE"""),"นายภาคภูมิ เพ็ชรนิล")</f>
        <v>นายภาคภูมิ เพ็ชรนิล</v>
      </c>
      <c r="J2624" s="3">
        <f>IFERROR(__xludf.DUMMYFUNCTION("""COMPUTED_VALUE"""),228031.0)</f>
        <v>228031</v>
      </c>
      <c r="K2624" s="3" t="str">
        <f>IFERROR(__xludf.DUMMYFUNCTION("""COMPUTED_VALUE"""),"นายธนพงษ์ วันหมัด")</f>
        <v>นายธนพงษ์ วันหมัด</v>
      </c>
      <c r="L2624" s="1" t="str">
        <f>IFERROR(__xludf.DUMMYFUNCTION("""COMPUTED_VALUE"""),"นายธนพงษ์ วันหมัด")</f>
        <v>นายธนพงษ์ วันหมัด</v>
      </c>
      <c r="M2624" s="1" t="str">
        <f>IFERROR(__xludf.DUMMYFUNCTION("""COMPUTED_VALUE"""),"0813716913")</f>
        <v>0813716913</v>
      </c>
      <c r="N2624" s="3">
        <f>IFERROR(__xludf.DUMMYFUNCTION("""COMPUTED_VALUE"""),83396.0)</f>
        <v>83396</v>
      </c>
      <c r="O2624" s="3" t="str">
        <f>IFERROR(__xludf.DUMMYFUNCTION("""COMPUTED_VALUE"""),"ร้านวลีพร")</f>
        <v>ร้านวลีพร</v>
      </c>
      <c r="P2624" s="4">
        <f>IFERROR(__xludf.DUMMYFUNCTION("""COMPUTED_VALUE"""),44648.0)</f>
        <v>44648</v>
      </c>
      <c r="Q2624" s="3" t="str">
        <f>IFERROR(__xludf.DUMMYFUNCTION("""COMPUTED_VALUE"""),"I")</f>
        <v>I</v>
      </c>
      <c r="R2624" s="3" t="str">
        <f>IFERROR(__xludf.DUMMYFUNCTION("""COMPUTED_VALUE"""),"Small Format")</f>
        <v>Small Format</v>
      </c>
      <c r="S2624" s="3" t="str">
        <f>IFERROR(__xludf.DUMMYFUNCTION("""COMPUTED_VALUE"""),"Donjai")</f>
        <v>Donjai</v>
      </c>
      <c r="T2624" s="3" t="str">
        <f>IFERROR(__xludf.DUMMYFUNCTION("""COMPUTED_VALUE"""),"10 K.Phakphoom P.")</f>
        <v>10 K.Phakphoom P.</v>
      </c>
      <c r="U2624" s="3" t="str">
        <f>IFERROR(__xludf.DUMMYFUNCTION("""COMPUTED_VALUE"""),"10 K.Phakphoom P.")</f>
        <v>10 K.Phakphoom P.</v>
      </c>
      <c r="V2624" s="3" t="str">
        <f>IFERROR(__xludf.DUMMYFUNCTION("""COMPUTED_VALUE"""),"N")</f>
        <v>N</v>
      </c>
      <c r="W2624" s="3"/>
      <c r="X2624" s="3" t="str">
        <f>IFERROR(__xludf.DUMMYFUNCTION("""COMPUTED_VALUE"""),"44/1 หมู่2 ต.บ่อพลอย อ.บ่อพลอย จ.กาญจนบุรี")</f>
        <v>44/1 หมู่2 ต.บ่อพลอย อ.บ่อพลอย จ.กาญจนบุรี</v>
      </c>
      <c r="Y2624" s="3"/>
      <c r="Z2624" s="3">
        <f>IFERROR(__xludf.DUMMYFUNCTION("""COMPUTED_VALUE"""),0.0)</f>
        <v>0</v>
      </c>
      <c r="AA2624" s="3">
        <f>IFERROR(__xludf.DUMMYFUNCTION("""COMPUTED_VALUE"""),0.0)</f>
        <v>0</v>
      </c>
      <c r="AB2624" s="3" t="str">
        <f>IFERROR(__xludf.DUMMYFUNCTION("""COMPUTED_VALUE"""),"กาญจนบุรี")</f>
        <v>กาญจนบุรี</v>
      </c>
      <c r="AC2624" s="3">
        <f>IFERROR(__xludf.DUMMYFUNCTION("""COMPUTED_VALUE"""),0.0)</f>
        <v>0</v>
      </c>
      <c r="AD2624" s="3"/>
      <c r="AE2624" s="3"/>
      <c r="AF2624" s="3" t="str">
        <f>IFERROR(__xludf.DUMMYFUNCTION("""COMPUTED_VALUE"""),"ร้านวลีพร-83396")</f>
        <v>ร้านวลีพร-83396</v>
      </c>
      <c r="AG2624" s="3" t="str">
        <f>IFERROR(__xludf.DUMMYFUNCTION("""COMPUTED_VALUE"""),"ตะวันตก")</f>
        <v>ตะวันตก</v>
      </c>
      <c r="AH2624" s="3" t="str">
        <f>IFERROR(__xludf.DUMMYFUNCTION("""COMPUTED_VALUE"""),"#N/A")</f>
        <v>#N/A</v>
      </c>
      <c r="AI2624" s="3" t="str">
        <f>IFERROR(__xludf.DUMMYFUNCTION("""COMPUTED_VALUE"""),"Out of warranty")</f>
        <v>Out of warranty</v>
      </c>
      <c r="AJ2624" s="3">
        <f>IFERROR(__xludf.DUMMYFUNCTION("""COMPUTED_VALUE"""),46.0)</f>
        <v>46</v>
      </c>
      <c r="AK2624" s="3"/>
      <c r="AL2624" s="3"/>
    </row>
    <row r="2625" ht="15.75" customHeight="1">
      <c r="A2625" s="1" t="str">
        <f>IFERROR(__xludf.DUMMYFUNCTION("""COMPUTED_VALUE"""),"83398")</f>
        <v>83398</v>
      </c>
      <c r="B2625" s="2">
        <f>IFERROR(__xludf.DUMMYFUNCTION("""COMPUTED_VALUE"""),83398.0)</f>
        <v>83398</v>
      </c>
      <c r="C2625" s="3" t="str">
        <f>IFERROR(__xludf.DUMMYFUNCTION("""COMPUTED_VALUE"""),"ร้านแพรพานิชย์_การะเกด")</f>
        <v>ร้านแพรพานิชย์_การะเกด</v>
      </c>
      <c r="D2625" s="3" t="str">
        <f>IFERROR(__xludf.DUMMYFUNCTION("""COMPUTED_VALUE"""),"ร้านแพรพานิชย์_การะเกด")</f>
        <v>ร้านแพรพานิชย์_การะเกด</v>
      </c>
      <c r="E2625" s="1" t="str">
        <f>IFERROR(__xludf.DUMMYFUNCTION("""COMPUTED_VALUE"""),"Donjai")</f>
        <v>Donjai</v>
      </c>
      <c r="F2625" s="1" t="str">
        <f>IFERROR(__xludf.DUMMYFUNCTION("""COMPUTED_VALUE"""),"20470331")</f>
        <v>20470331</v>
      </c>
      <c r="G2625" s="1" t="str">
        <f>IFERROR(__xludf.DUMMYFUNCTION("""COMPUTED_VALUE"""),"นายสมชาย ลักษณะสุวรรณ")</f>
        <v>นายสมชาย ลักษณะสุวรรณ</v>
      </c>
      <c r="H2625" s="1" t="str">
        <f>IFERROR(__xludf.DUMMYFUNCTION("""COMPUTED_VALUE"""),"20470331")</f>
        <v>20470331</v>
      </c>
      <c r="I2625" s="1" t="str">
        <f>IFERROR(__xludf.DUMMYFUNCTION("""COMPUTED_VALUE"""),"นายสมชาย ลักษณะสุวรรณ")</f>
        <v>นายสมชาย ลักษณะสุวรรณ</v>
      </c>
      <c r="J2625" s="3">
        <f>IFERROR(__xludf.DUMMYFUNCTION("""COMPUTED_VALUE"""),295541.0)</f>
        <v>295541</v>
      </c>
      <c r="K2625" s="3" t="str">
        <f>IFERROR(__xludf.DUMMYFUNCTION("""COMPUTED_VALUE"""),"นายรพิพล ศรีมาตย์")</f>
        <v>นายรพิพล ศรีมาตย์</v>
      </c>
      <c r="L2625" s="1" t="str">
        <f>IFERROR(__xludf.DUMMYFUNCTION("""COMPUTED_VALUE"""),"นายรพิพล ศรีมาตย์")</f>
        <v>นายรพิพล ศรีมาตย์</v>
      </c>
      <c r="M2625" s="1" t="str">
        <f>IFERROR(__xludf.DUMMYFUNCTION("""COMPUTED_VALUE"""),"0613966115")</f>
        <v>0613966115</v>
      </c>
      <c r="N2625" s="3">
        <f>IFERROR(__xludf.DUMMYFUNCTION("""COMPUTED_VALUE"""),83398.0)</f>
        <v>83398</v>
      </c>
      <c r="O2625" s="3" t="str">
        <f>IFERROR(__xludf.DUMMYFUNCTION("""COMPUTED_VALUE"""),"ร้านแพรพานิชย์_การะเกด")</f>
        <v>ร้านแพรพานิชย์_การะเกด</v>
      </c>
      <c r="P2625" s="4">
        <f>IFERROR(__xludf.DUMMYFUNCTION("""COMPUTED_VALUE"""),44602.0)</f>
        <v>44602</v>
      </c>
      <c r="Q2625" s="3" t="str">
        <f>IFERROR(__xludf.DUMMYFUNCTION("""COMPUTED_VALUE"""),"I")</f>
        <v>I</v>
      </c>
      <c r="R2625" s="3" t="str">
        <f>IFERROR(__xludf.DUMMYFUNCTION("""COMPUTED_VALUE"""),"Small Format")</f>
        <v>Small Format</v>
      </c>
      <c r="S2625" s="3" t="str">
        <f>IFERROR(__xludf.DUMMYFUNCTION("""COMPUTED_VALUE"""),"Donjai")</f>
        <v>Donjai</v>
      </c>
      <c r="T2625" s="3" t="str">
        <f>IFERROR(__xludf.DUMMYFUNCTION("""COMPUTED_VALUE"""),"15 K.Somchai L")</f>
        <v>15 K.Somchai L</v>
      </c>
      <c r="U2625" s="3" t="str">
        <f>IFERROR(__xludf.DUMMYFUNCTION("""COMPUTED_VALUE"""),"15 K.Somchai L")</f>
        <v>15 K.Somchai L</v>
      </c>
      <c r="V2625" s="3" t="str">
        <f>IFERROR(__xludf.DUMMYFUNCTION("""COMPUTED_VALUE"""),"N")</f>
        <v>N</v>
      </c>
      <c r="W2625" s="3"/>
      <c r="X2625" s="3" t="str">
        <f>IFERROR(__xludf.DUMMYFUNCTION("""COMPUTED_VALUE"""),"249 หมู่ 6 ถ.นครศรีฯ-หัวไทร ต.การะเกด อ.เชียรใหญ่ จ.นครศรีธรรมราช")</f>
        <v>249 หมู่ 6 ถ.นครศรีฯ-หัวไทร ต.การะเกด อ.เชียรใหญ่ จ.นครศรีธรรมราช</v>
      </c>
      <c r="Y2625" s="3"/>
      <c r="Z2625" s="3">
        <f>IFERROR(__xludf.DUMMYFUNCTION("""COMPUTED_VALUE"""),0.0)</f>
        <v>0</v>
      </c>
      <c r="AA2625" s="3">
        <f>IFERROR(__xludf.DUMMYFUNCTION("""COMPUTED_VALUE"""),0.0)</f>
        <v>0</v>
      </c>
      <c r="AB2625" s="3" t="str">
        <f>IFERROR(__xludf.DUMMYFUNCTION("""COMPUTED_VALUE"""),"นครศรีธรรมราช")</f>
        <v>นครศรีธรรมราช</v>
      </c>
      <c r="AC2625" s="3">
        <f>IFERROR(__xludf.DUMMYFUNCTION("""COMPUTED_VALUE"""),0.0)</f>
        <v>0</v>
      </c>
      <c r="AD2625" s="3"/>
      <c r="AE2625" s="3"/>
      <c r="AF2625" s="3" t="str">
        <f>IFERROR(__xludf.DUMMYFUNCTION("""COMPUTED_VALUE"""),"ร้านแพรพานิชย์_การะเกด-83398")</f>
        <v>ร้านแพรพานิชย์_การะเกด-83398</v>
      </c>
      <c r="AG2625" s="3" t="str">
        <f>IFERROR(__xludf.DUMMYFUNCTION("""COMPUTED_VALUE"""),"ใต้")</f>
        <v>ใต้</v>
      </c>
      <c r="AH2625" s="3" t="str">
        <f>IFERROR(__xludf.DUMMYFUNCTION("""COMPUTED_VALUE"""),"#N/A")</f>
        <v>#N/A</v>
      </c>
      <c r="AI2625" s="3" t="str">
        <f>IFERROR(__xludf.DUMMYFUNCTION("""COMPUTED_VALUE"""),"Out of warranty")</f>
        <v>Out of warranty</v>
      </c>
      <c r="AJ2625" s="3">
        <f>IFERROR(__xludf.DUMMYFUNCTION("""COMPUTED_VALUE"""),48.0)</f>
        <v>48</v>
      </c>
      <c r="AK2625" s="3"/>
      <c r="AL2625" s="3"/>
    </row>
    <row r="2626" ht="15.75" customHeight="1">
      <c r="A2626" s="1" t="str">
        <f>IFERROR(__xludf.DUMMYFUNCTION("""COMPUTED_VALUE"""),"83399")</f>
        <v>83399</v>
      </c>
      <c r="B2626" s="2">
        <f>IFERROR(__xludf.DUMMYFUNCTION("""COMPUTED_VALUE"""),83399.0)</f>
        <v>83399</v>
      </c>
      <c r="C2626" s="3" t="str">
        <f>IFERROR(__xludf.DUMMYFUNCTION("""COMPUTED_VALUE"""),"ร้านเพื่อนกัน")</f>
        <v>ร้านเพื่อนกัน</v>
      </c>
      <c r="D2626" s="3" t="str">
        <f>IFERROR(__xludf.DUMMYFUNCTION("""COMPUTED_VALUE"""),"ร้านเพื่อนกัน")</f>
        <v>ร้านเพื่อนกัน</v>
      </c>
      <c r="E2626" s="1" t="str">
        <f>IFERROR(__xludf.DUMMYFUNCTION("""COMPUTED_VALUE"""),"Donjai")</f>
        <v>Donjai</v>
      </c>
      <c r="F2626" s="1" t="str">
        <f>IFERROR(__xludf.DUMMYFUNCTION("""COMPUTED_VALUE"""),"2010023")</f>
        <v>2010023</v>
      </c>
      <c r="G2626" s="1" t="str">
        <f>IFERROR(__xludf.DUMMYFUNCTION("""COMPUTED_VALUE"""),"นายวศิน ไวยรูป")</f>
        <v>นายวศิน ไวยรูป</v>
      </c>
      <c r="H2626" s="1" t="str">
        <f>IFERROR(__xludf.DUMMYFUNCTION("""COMPUTED_VALUE"""),"2010023")</f>
        <v>2010023</v>
      </c>
      <c r="I2626" s="1" t="str">
        <f>IFERROR(__xludf.DUMMYFUNCTION("""COMPUTED_VALUE"""),"นายวศิน ไวยรูป")</f>
        <v>นายวศิน ไวยรูป</v>
      </c>
      <c r="J2626" s="3">
        <f>IFERROR(__xludf.DUMMYFUNCTION("""COMPUTED_VALUE"""),228031.0)</f>
        <v>228031</v>
      </c>
      <c r="K2626" s="3" t="str">
        <f>IFERROR(__xludf.DUMMYFUNCTION("""COMPUTED_VALUE"""),"นายธนพงษ์ วันหมัด")</f>
        <v>นายธนพงษ์ วันหมัด</v>
      </c>
      <c r="L2626" s="1" t="str">
        <f>IFERROR(__xludf.DUMMYFUNCTION("""COMPUTED_VALUE"""),"นายธนพงษ์ วันหมัด")</f>
        <v>นายธนพงษ์ วันหมัด</v>
      </c>
      <c r="M2626" s="1" t="str">
        <f>IFERROR(__xludf.DUMMYFUNCTION("""COMPUTED_VALUE"""),"0813716913")</f>
        <v>0813716913</v>
      </c>
      <c r="N2626" s="3">
        <f>IFERROR(__xludf.DUMMYFUNCTION("""COMPUTED_VALUE"""),83399.0)</f>
        <v>83399</v>
      </c>
      <c r="O2626" s="3" t="str">
        <f>IFERROR(__xludf.DUMMYFUNCTION("""COMPUTED_VALUE"""),"ร้านเพื่อนกัน")</f>
        <v>ร้านเพื่อนกัน</v>
      </c>
      <c r="P2626" s="4">
        <f>IFERROR(__xludf.DUMMYFUNCTION("""COMPUTED_VALUE"""),44691.0)</f>
        <v>44691</v>
      </c>
      <c r="Q2626" s="3" t="str">
        <f>IFERROR(__xludf.DUMMYFUNCTION("""COMPUTED_VALUE"""),"I")</f>
        <v>I</v>
      </c>
      <c r="R2626" s="3" t="str">
        <f>IFERROR(__xludf.DUMMYFUNCTION("""COMPUTED_VALUE"""),"Small Format")</f>
        <v>Small Format</v>
      </c>
      <c r="S2626" s="3" t="str">
        <f>IFERROR(__xludf.DUMMYFUNCTION("""COMPUTED_VALUE"""),"Donjai")</f>
        <v>Donjai</v>
      </c>
      <c r="T2626" s="3" t="str">
        <f>IFERROR(__xludf.DUMMYFUNCTION("""COMPUTED_VALUE"""),"Donjai")</f>
        <v>Donjai</v>
      </c>
      <c r="U2626" s="3" t="str">
        <f>IFERROR(__xludf.DUMMYFUNCTION("""COMPUTED_VALUE"""),"Donjai")</f>
        <v>Donjai</v>
      </c>
      <c r="V2626" s="3" t="str">
        <f>IFERROR(__xludf.DUMMYFUNCTION("""COMPUTED_VALUE"""),"N")</f>
        <v>N</v>
      </c>
      <c r="W2626" s="3"/>
      <c r="X2626" s="3" t="str">
        <f>IFERROR(__xludf.DUMMYFUNCTION("""COMPUTED_VALUE"""),"15/2 หมู่ 1 ซอย.13 ถนนรังสิต-องค์รักษ์ ต.บึงบอน เขตหนองเสือ จ.ปทุมธานี 12170")</f>
        <v>15/2 หมู่ 1 ซอย.13 ถนนรังสิต-องค์รักษ์ ต.บึงบอน เขตหนองเสือ จ.ปทุมธานี 12170</v>
      </c>
      <c r="Y2626" s="3"/>
      <c r="Z2626" s="3">
        <f>IFERROR(__xludf.DUMMYFUNCTION("""COMPUTED_VALUE"""),0.0)</f>
        <v>0</v>
      </c>
      <c r="AA2626" s="3">
        <f>IFERROR(__xludf.DUMMYFUNCTION("""COMPUTED_VALUE"""),0.0)</f>
        <v>0</v>
      </c>
      <c r="AB2626" s="3" t="str">
        <f>IFERROR(__xludf.DUMMYFUNCTION("""COMPUTED_VALUE"""),"ปทุมธานี")</f>
        <v>ปทุมธานี</v>
      </c>
      <c r="AC2626" s="3">
        <f>IFERROR(__xludf.DUMMYFUNCTION("""COMPUTED_VALUE"""),12170.0)</f>
        <v>12170</v>
      </c>
      <c r="AD2626" s="3"/>
      <c r="AE2626" s="3"/>
      <c r="AF2626" s="3" t="str">
        <f>IFERROR(__xludf.DUMMYFUNCTION("""COMPUTED_VALUE"""),"ร้านเพื่อนกัน-83399")</f>
        <v>ร้านเพื่อนกัน-83399</v>
      </c>
      <c r="AG2626" s="3" t="str">
        <f>IFERROR(__xludf.DUMMYFUNCTION("""COMPUTED_VALUE"""),"กลาง")</f>
        <v>กลาง</v>
      </c>
      <c r="AH2626" s="3" t="str">
        <f>IFERROR(__xludf.DUMMYFUNCTION("""COMPUTED_VALUE"""),"#N/A")</f>
        <v>#N/A</v>
      </c>
      <c r="AI2626" s="3" t="str">
        <f>IFERROR(__xludf.DUMMYFUNCTION("""COMPUTED_VALUE"""),"Out of warranty")</f>
        <v>Out of warranty</v>
      </c>
      <c r="AJ2626" s="3">
        <f>IFERROR(__xludf.DUMMYFUNCTION("""COMPUTED_VALUE"""),45.0)</f>
        <v>45</v>
      </c>
      <c r="AK2626" s="3"/>
      <c r="AL2626" s="3"/>
    </row>
    <row r="2627" ht="15.75" customHeight="1">
      <c r="A2627" s="1" t="str">
        <f>IFERROR(__xludf.DUMMYFUNCTION("""COMPUTED_VALUE"""),"83400")</f>
        <v>83400</v>
      </c>
      <c r="B2627" s="2">
        <f>IFERROR(__xludf.DUMMYFUNCTION("""COMPUTED_VALUE"""),83400.0)</f>
        <v>83400</v>
      </c>
      <c r="C2627" s="3" t="str">
        <f>IFERROR(__xludf.DUMMYFUNCTION("""COMPUTED_VALUE"""),"ร้านทัศนีย์การค้า")</f>
        <v>ร้านทัศนีย์การค้า</v>
      </c>
      <c r="D2627" s="3" t="str">
        <f>IFERROR(__xludf.DUMMYFUNCTION("""COMPUTED_VALUE"""),"ร้านทัศนีย์การค้า")</f>
        <v>ร้านทัศนีย์การค้า</v>
      </c>
      <c r="E2627" s="1" t="str">
        <f>IFERROR(__xludf.DUMMYFUNCTION("""COMPUTED_VALUE"""),"Donjai")</f>
        <v>Donjai</v>
      </c>
      <c r="F2627" s="1" t="str">
        <f>IFERROR(__xludf.DUMMYFUNCTION("""COMPUTED_VALUE"""),"296868")</f>
        <v>296868</v>
      </c>
      <c r="G2627" s="1" t="str">
        <f>IFERROR(__xludf.DUMMYFUNCTION("""COMPUTED_VALUE"""),"นายพีระพงษ์ แก้วดวงดี")</f>
        <v>นายพีระพงษ์ แก้วดวงดี</v>
      </c>
      <c r="H2627" s="1" t="str">
        <f>IFERROR(__xludf.DUMMYFUNCTION("""COMPUTED_VALUE"""),"296868")</f>
        <v>296868</v>
      </c>
      <c r="I2627" s="1" t="str">
        <f>IFERROR(__xludf.DUMMYFUNCTION("""COMPUTED_VALUE"""),"นายพีระพงษ์ แก้วดวงดี")</f>
        <v>นายพีระพงษ์ แก้วดวงดี</v>
      </c>
      <c r="J2627" s="3">
        <f>IFERROR(__xludf.DUMMYFUNCTION("""COMPUTED_VALUE"""),295886.0)</f>
        <v>295886</v>
      </c>
      <c r="K2627" s="3" t="str">
        <f>IFERROR(__xludf.DUMMYFUNCTION("""COMPUTED_VALUE"""),"นายจิระพงษ์ โพธิ์นิล")</f>
        <v>นายจิระพงษ์ โพธิ์นิล</v>
      </c>
      <c r="L2627" s="1" t="str">
        <f>IFERROR(__xludf.DUMMYFUNCTION("""COMPUTED_VALUE"""),"นายจิระพงษ์ โพธิ์นิล")</f>
        <v>นายจิระพงษ์ โพธิ์นิล</v>
      </c>
      <c r="M2627" s="1" t="str">
        <f>IFERROR(__xludf.DUMMYFUNCTION("""COMPUTED_VALUE"""),"0933290754")</f>
        <v>0933290754</v>
      </c>
      <c r="N2627" s="3">
        <f>IFERROR(__xludf.DUMMYFUNCTION("""COMPUTED_VALUE"""),83400.0)</f>
        <v>83400</v>
      </c>
      <c r="O2627" s="3" t="str">
        <f>IFERROR(__xludf.DUMMYFUNCTION("""COMPUTED_VALUE"""),"ร้านทัศนีย์การค้า")</f>
        <v>ร้านทัศนีย์การค้า</v>
      </c>
      <c r="P2627" s="4">
        <f>IFERROR(__xludf.DUMMYFUNCTION("""COMPUTED_VALUE"""),44620.0)</f>
        <v>44620</v>
      </c>
      <c r="Q2627" s="3" t="str">
        <f>IFERROR(__xludf.DUMMYFUNCTION("""COMPUTED_VALUE"""),"A")</f>
        <v>A</v>
      </c>
      <c r="R2627" s="3" t="str">
        <f>IFERROR(__xludf.DUMMYFUNCTION("""COMPUTED_VALUE"""),"Small Format")</f>
        <v>Small Format</v>
      </c>
      <c r="S2627" s="3" t="str">
        <f>IFERROR(__xludf.DUMMYFUNCTION("""COMPUTED_VALUE"""),"Donjai")</f>
        <v>Donjai</v>
      </c>
      <c r="T2627" s="3" t="str">
        <f>IFERROR(__xludf.DUMMYFUNCTION("""COMPUTED_VALUE"""),"03 K.Peerapong K.")</f>
        <v>03 K.Peerapong K.</v>
      </c>
      <c r="U2627" s="3" t="str">
        <f>IFERROR(__xludf.DUMMYFUNCTION("""COMPUTED_VALUE"""),"03 K.Peerapong K.")</f>
        <v>03 K.Peerapong K.</v>
      </c>
      <c r="V2627" s="3" t="str">
        <f>IFERROR(__xludf.DUMMYFUNCTION("""COMPUTED_VALUE"""),"N")</f>
        <v>N</v>
      </c>
      <c r="W2627" s="3"/>
      <c r="X2627" s="3" t="str">
        <f>IFERROR(__xludf.DUMMYFUNCTION("""COMPUTED_VALUE"""),"203 ม.4 บ้านนาคูณ ตำบลบ้านค้อ อำเภอ บ้านผือ จังหวัด อุดรธานี 41160")</f>
        <v>203 ม.4 บ้านนาคูณ ตำบลบ้านค้อ อำเภอ บ้านผือ จังหวัด อุดรธานี 41160</v>
      </c>
      <c r="Y2627" s="3"/>
      <c r="Z2627" s="3">
        <f>IFERROR(__xludf.DUMMYFUNCTION("""COMPUTED_VALUE"""),0.0)</f>
        <v>0</v>
      </c>
      <c r="AA2627" s="3">
        <f>IFERROR(__xludf.DUMMYFUNCTION("""COMPUTED_VALUE"""),0.0)</f>
        <v>0</v>
      </c>
      <c r="AB2627" s="3" t="str">
        <f>IFERROR(__xludf.DUMMYFUNCTION("""COMPUTED_VALUE"""),"อุดรธานี")</f>
        <v>อุดรธานี</v>
      </c>
      <c r="AC2627" s="3">
        <f>IFERROR(__xludf.DUMMYFUNCTION("""COMPUTED_VALUE"""),41160.0)</f>
        <v>41160</v>
      </c>
      <c r="AD2627" s="3"/>
      <c r="AE2627" s="3"/>
      <c r="AF2627" s="3" t="str">
        <f>IFERROR(__xludf.DUMMYFUNCTION("""COMPUTED_VALUE"""),"ร้านทัศนีย์การค้า-83400")</f>
        <v>ร้านทัศนีย์การค้า-83400</v>
      </c>
      <c r="AG2627" s="3" t="str">
        <f>IFERROR(__xludf.DUMMYFUNCTION("""COMPUTED_VALUE"""),"ตะวันออกเฉียงเหนือ")</f>
        <v>ตะวันออกเฉียงเหนือ</v>
      </c>
      <c r="AH2627" s="3" t="str">
        <f>IFERROR(__xludf.DUMMYFUNCTION("""COMPUTED_VALUE"""),"#N/A")</f>
        <v>#N/A</v>
      </c>
      <c r="AI2627" s="3" t="str">
        <f>IFERROR(__xludf.DUMMYFUNCTION("""COMPUTED_VALUE"""),"Out of warranty")</f>
        <v>Out of warranty</v>
      </c>
      <c r="AJ2627" s="3">
        <f>IFERROR(__xludf.DUMMYFUNCTION("""COMPUTED_VALUE"""),47.0)</f>
        <v>47</v>
      </c>
      <c r="AK2627" s="3"/>
      <c r="AL2627" s="3"/>
    </row>
    <row r="2628" ht="15.75" customHeight="1">
      <c r="A2628" s="1" t="str">
        <f>IFERROR(__xludf.DUMMYFUNCTION("""COMPUTED_VALUE"""),"83402")</f>
        <v>83402</v>
      </c>
      <c r="B2628" s="2">
        <f>IFERROR(__xludf.DUMMYFUNCTION("""COMPUTED_VALUE"""),83402.0)</f>
        <v>83402</v>
      </c>
      <c r="C2628" s="3" t="str">
        <f>IFERROR(__xludf.DUMMYFUNCTION("""COMPUTED_VALUE"""),"ร้านดอกอ้อมินิมาร์ท")</f>
        <v>ร้านดอกอ้อมินิมาร์ท</v>
      </c>
      <c r="D2628" s="3" t="str">
        <f>IFERROR(__xludf.DUMMYFUNCTION("""COMPUTED_VALUE"""),"ร้านดอกอ้อมินิมาร์ท")</f>
        <v>ร้านดอกอ้อมินิมาร์ท</v>
      </c>
      <c r="E2628" s="1" t="str">
        <f>IFERROR(__xludf.DUMMYFUNCTION("""COMPUTED_VALUE"""),"Donjai")</f>
        <v>Donjai</v>
      </c>
      <c r="F2628" s="1" t="str">
        <f>IFERROR(__xludf.DUMMYFUNCTION("""COMPUTED_VALUE"""),"296868")</f>
        <v>296868</v>
      </c>
      <c r="G2628" s="1" t="str">
        <f>IFERROR(__xludf.DUMMYFUNCTION("""COMPUTED_VALUE"""),"นายพีระพงษ์ แก้วดวงดี")</f>
        <v>นายพีระพงษ์ แก้วดวงดี</v>
      </c>
      <c r="H2628" s="1" t="str">
        <f>IFERROR(__xludf.DUMMYFUNCTION("""COMPUTED_VALUE"""),"296868")</f>
        <v>296868</v>
      </c>
      <c r="I2628" s="1" t="str">
        <f>IFERROR(__xludf.DUMMYFUNCTION("""COMPUTED_VALUE"""),"นายพีระพงษ์ แก้วดวงดี")</f>
        <v>นายพีระพงษ์ แก้วดวงดี</v>
      </c>
      <c r="J2628" s="3">
        <f>IFERROR(__xludf.DUMMYFUNCTION("""COMPUTED_VALUE"""),295886.0)</f>
        <v>295886</v>
      </c>
      <c r="K2628" s="3" t="str">
        <f>IFERROR(__xludf.DUMMYFUNCTION("""COMPUTED_VALUE"""),"นายจิระพงษ์ โพธิ์นิล")</f>
        <v>นายจิระพงษ์ โพธิ์นิล</v>
      </c>
      <c r="L2628" s="1" t="str">
        <f>IFERROR(__xludf.DUMMYFUNCTION("""COMPUTED_VALUE"""),"นายจิระพงษ์ โพธิ์นิล")</f>
        <v>นายจิระพงษ์ โพธิ์นิล</v>
      </c>
      <c r="M2628" s="1" t="str">
        <f>IFERROR(__xludf.DUMMYFUNCTION("""COMPUTED_VALUE"""),"0933290754")</f>
        <v>0933290754</v>
      </c>
      <c r="N2628" s="3">
        <f>IFERROR(__xludf.DUMMYFUNCTION("""COMPUTED_VALUE"""),83402.0)</f>
        <v>83402</v>
      </c>
      <c r="O2628" s="3" t="str">
        <f>IFERROR(__xludf.DUMMYFUNCTION("""COMPUTED_VALUE"""),"ร้านดอกอ้อมินิมาร์ท")</f>
        <v>ร้านดอกอ้อมินิมาร์ท</v>
      </c>
      <c r="P2628" s="4">
        <f>IFERROR(__xludf.DUMMYFUNCTION("""COMPUTED_VALUE"""),44637.0)</f>
        <v>44637</v>
      </c>
      <c r="Q2628" s="3" t="str">
        <f>IFERROR(__xludf.DUMMYFUNCTION("""COMPUTED_VALUE"""),"A")</f>
        <v>A</v>
      </c>
      <c r="R2628" s="3" t="str">
        <f>IFERROR(__xludf.DUMMYFUNCTION("""COMPUTED_VALUE"""),"Small Format")</f>
        <v>Small Format</v>
      </c>
      <c r="S2628" s="3" t="str">
        <f>IFERROR(__xludf.DUMMYFUNCTION("""COMPUTED_VALUE"""),"Donjai")</f>
        <v>Donjai</v>
      </c>
      <c r="T2628" s="3" t="str">
        <f>IFERROR(__xludf.DUMMYFUNCTION("""COMPUTED_VALUE"""),"03 K.Peerapong K.")</f>
        <v>03 K.Peerapong K.</v>
      </c>
      <c r="U2628" s="3" t="str">
        <f>IFERROR(__xludf.DUMMYFUNCTION("""COMPUTED_VALUE"""),"03 K.Peerapong K.")</f>
        <v>03 K.Peerapong K.</v>
      </c>
      <c r="V2628" s="3" t="str">
        <f>IFERROR(__xludf.DUMMYFUNCTION("""COMPUTED_VALUE"""),"N")</f>
        <v>N</v>
      </c>
      <c r="W2628" s="3"/>
      <c r="X2628" s="3" t="str">
        <f>IFERROR(__xludf.DUMMYFUNCTION("""COMPUTED_VALUE"""),"122 ม.14 ต.พังงู อ.หนองหาร จ.อูดรธานี 41130")</f>
        <v>122 ม.14 ต.พังงู อ.หนองหาร จ.อูดรธานี 41130</v>
      </c>
      <c r="Y2628" s="3"/>
      <c r="Z2628" s="3">
        <f>IFERROR(__xludf.DUMMYFUNCTION("""COMPUTED_VALUE"""),0.0)</f>
        <v>0</v>
      </c>
      <c r="AA2628" s="3">
        <f>IFERROR(__xludf.DUMMYFUNCTION("""COMPUTED_VALUE"""),0.0)</f>
        <v>0</v>
      </c>
      <c r="AB2628" s="3" t="str">
        <f>IFERROR(__xludf.DUMMYFUNCTION("""COMPUTED_VALUE"""),"อุดรธานี")</f>
        <v>อุดรธานี</v>
      </c>
      <c r="AC2628" s="3">
        <f>IFERROR(__xludf.DUMMYFUNCTION("""COMPUTED_VALUE"""),41130.0)</f>
        <v>41130</v>
      </c>
      <c r="AD2628" s="3"/>
      <c r="AE2628" s="3"/>
      <c r="AF2628" s="3" t="str">
        <f>IFERROR(__xludf.DUMMYFUNCTION("""COMPUTED_VALUE"""),"ร้านดอกอ้อมินิมาร์ท-83402")</f>
        <v>ร้านดอกอ้อมินิมาร์ท-83402</v>
      </c>
      <c r="AG2628" s="3" t="str">
        <f>IFERROR(__xludf.DUMMYFUNCTION("""COMPUTED_VALUE"""),"ตะวันออกเฉียงเหนือ")</f>
        <v>ตะวันออกเฉียงเหนือ</v>
      </c>
      <c r="AH2628" s="3" t="str">
        <f>IFERROR(__xludf.DUMMYFUNCTION("""COMPUTED_VALUE"""),"#N/A")</f>
        <v>#N/A</v>
      </c>
      <c r="AI2628" s="3" t="str">
        <f>IFERROR(__xludf.DUMMYFUNCTION("""COMPUTED_VALUE"""),"Out of warranty")</f>
        <v>Out of warranty</v>
      </c>
      <c r="AJ2628" s="3">
        <f>IFERROR(__xludf.DUMMYFUNCTION("""COMPUTED_VALUE"""),47.0)</f>
        <v>47</v>
      </c>
      <c r="AK2628" s="3"/>
      <c r="AL2628" s="3"/>
    </row>
    <row r="2629" ht="15.75" customHeight="1">
      <c r="A2629" s="1" t="str">
        <f>IFERROR(__xludf.DUMMYFUNCTION("""COMPUTED_VALUE"""),"83403")</f>
        <v>83403</v>
      </c>
      <c r="B2629" s="2">
        <f>IFERROR(__xludf.DUMMYFUNCTION("""COMPUTED_VALUE"""),83403.0)</f>
        <v>83403</v>
      </c>
      <c r="C2629" s="3" t="str">
        <f>IFERROR(__xludf.DUMMYFUNCTION("""COMPUTED_VALUE"""),"ร้านทุ่งคาเจริญโภคภัณฑ์")</f>
        <v>ร้านทุ่งคาเจริญโภคภัณฑ์</v>
      </c>
      <c r="D2629" s="3" t="str">
        <f>IFERROR(__xludf.DUMMYFUNCTION("""COMPUTED_VALUE"""),"ร้านทุ่งคาเจริญโภคภัณฑ์")</f>
        <v>ร้านทุ่งคาเจริญโภคภัณฑ์</v>
      </c>
      <c r="E2629" s="1" t="str">
        <f>IFERROR(__xludf.DUMMYFUNCTION("""COMPUTED_VALUE"""),"Donjai")</f>
        <v>Donjai</v>
      </c>
      <c r="F2629" s="1" t="str">
        <f>IFERROR(__xludf.DUMMYFUNCTION("""COMPUTED_VALUE"""),"025324")</f>
        <v>025324</v>
      </c>
      <c r="G2629" s="1" t="str">
        <f>IFERROR(__xludf.DUMMYFUNCTION("""COMPUTED_VALUE"""),"นายวิเชฎฐ์ ติรัตนะประคม")</f>
        <v>นายวิเชฎฐ์ ติรัตนะประคม</v>
      </c>
      <c r="H2629" s="1" t="str">
        <f>IFERROR(__xludf.DUMMYFUNCTION("""COMPUTED_VALUE"""),"025324")</f>
        <v>025324</v>
      </c>
      <c r="I2629" s="1" t="str">
        <f>IFERROR(__xludf.DUMMYFUNCTION("""COMPUTED_VALUE"""),"นายวิเชฎฐ์ ติรัตนะประคม")</f>
        <v>นายวิเชฎฐ์ ติรัตนะประคม</v>
      </c>
      <c r="J2629" s="3">
        <f>IFERROR(__xludf.DUMMYFUNCTION("""COMPUTED_VALUE"""),295541.0)</f>
        <v>295541</v>
      </c>
      <c r="K2629" s="3" t="str">
        <f>IFERROR(__xludf.DUMMYFUNCTION("""COMPUTED_VALUE"""),"นายรพิพล ศรีมาตย์")</f>
        <v>นายรพิพล ศรีมาตย์</v>
      </c>
      <c r="L2629" s="1" t="str">
        <f>IFERROR(__xludf.DUMMYFUNCTION("""COMPUTED_VALUE"""),"นายรพิพล ศรีมาตย์")</f>
        <v>นายรพิพล ศรีมาตย์</v>
      </c>
      <c r="M2629" s="1" t="str">
        <f>IFERROR(__xludf.DUMMYFUNCTION("""COMPUTED_VALUE"""),"0613966115")</f>
        <v>0613966115</v>
      </c>
      <c r="N2629" s="3">
        <f>IFERROR(__xludf.DUMMYFUNCTION("""COMPUTED_VALUE"""),83403.0)</f>
        <v>83403</v>
      </c>
      <c r="O2629" s="3" t="str">
        <f>IFERROR(__xludf.DUMMYFUNCTION("""COMPUTED_VALUE"""),"ร้านทุ่งคาเจริญโภคภัณฑ์")</f>
        <v>ร้านทุ่งคาเจริญโภคภัณฑ์</v>
      </c>
      <c r="P2629" s="4">
        <f>IFERROR(__xludf.DUMMYFUNCTION("""COMPUTED_VALUE"""),44601.0)</f>
        <v>44601</v>
      </c>
      <c r="Q2629" s="3" t="str">
        <f>IFERROR(__xludf.DUMMYFUNCTION("""COMPUTED_VALUE"""),"A")</f>
        <v>A</v>
      </c>
      <c r="R2629" s="3" t="str">
        <f>IFERROR(__xludf.DUMMYFUNCTION("""COMPUTED_VALUE"""),"Small Format")</f>
        <v>Small Format</v>
      </c>
      <c r="S2629" s="3" t="str">
        <f>IFERROR(__xludf.DUMMYFUNCTION("""COMPUTED_VALUE"""),"Donjai")</f>
        <v>Donjai</v>
      </c>
      <c r="T2629" s="3" t="str">
        <f>IFERROR(__xludf.DUMMYFUNCTION("""COMPUTED_VALUE"""),"14 K.Wichet T.")</f>
        <v>14 K.Wichet T.</v>
      </c>
      <c r="U2629" s="3" t="str">
        <f>IFERROR(__xludf.DUMMYFUNCTION("""COMPUTED_VALUE"""),"14 K.Wichet T.")</f>
        <v>14 K.Wichet T.</v>
      </c>
      <c r="V2629" s="3" t="str">
        <f>IFERROR(__xludf.DUMMYFUNCTION("""COMPUTED_VALUE"""),"N")</f>
        <v>N</v>
      </c>
      <c r="W2629" s="3"/>
      <c r="X2629" s="3" t="str">
        <f>IFERROR(__xludf.DUMMYFUNCTION("""COMPUTED_VALUE"""),"126/1 ม.5 ต.ทุ่งคา อ.เมือง จ.ชุมพร")</f>
        <v>126/1 ม.5 ต.ทุ่งคา อ.เมือง จ.ชุมพร</v>
      </c>
      <c r="Y2629" s="3"/>
      <c r="Z2629" s="3">
        <f>IFERROR(__xludf.DUMMYFUNCTION("""COMPUTED_VALUE"""),0.0)</f>
        <v>0</v>
      </c>
      <c r="AA2629" s="3">
        <f>IFERROR(__xludf.DUMMYFUNCTION("""COMPUTED_VALUE"""),0.0)</f>
        <v>0</v>
      </c>
      <c r="AB2629" s="3" t="str">
        <f>IFERROR(__xludf.DUMMYFUNCTION("""COMPUTED_VALUE"""),"ชุมพร")</f>
        <v>ชุมพร</v>
      </c>
      <c r="AC2629" s="3">
        <f>IFERROR(__xludf.DUMMYFUNCTION("""COMPUTED_VALUE"""),0.0)</f>
        <v>0</v>
      </c>
      <c r="AD2629" s="3"/>
      <c r="AE2629" s="3"/>
      <c r="AF2629" s="3" t="str">
        <f>IFERROR(__xludf.DUMMYFUNCTION("""COMPUTED_VALUE"""),"ร้านทุ่งคาเจริญโภคภัณฑ์-83403")</f>
        <v>ร้านทุ่งคาเจริญโภคภัณฑ์-83403</v>
      </c>
      <c r="AG2629" s="3" t="str">
        <f>IFERROR(__xludf.DUMMYFUNCTION("""COMPUTED_VALUE"""),"ใต้")</f>
        <v>ใต้</v>
      </c>
      <c r="AH2629" s="3" t="str">
        <f>IFERROR(__xludf.DUMMYFUNCTION("""COMPUTED_VALUE"""),"#N/A")</f>
        <v>#N/A</v>
      </c>
      <c r="AI2629" s="3" t="str">
        <f>IFERROR(__xludf.DUMMYFUNCTION("""COMPUTED_VALUE"""),"Out of warranty")</f>
        <v>Out of warranty</v>
      </c>
      <c r="AJ2629" s="3">
        <f>IFERROR(__xludf.DUMMYFUNCTION("""COMPUTED_VALUE"""),48.0)</f>
        <v>48</v>
      </c>
      <c r="AK2629" s="3"/>
      <c r="AL2629" s="3"/>
    </row>
    <row r="2630" ht="15.75" customHeight="1">
      <c r="A2630" s="1" t="str">
        <f>IFERROR(__xludf.DUMMYFUNCTION("""COMPUTED_VALUE"""),"83404")</f>
        <v>83404</v>
      </c>
      <c r="B2630" s="2">
        <f>IFERROR(__xludf.DUMMYFUNCTION("""COMPUTED_VALUE"""),83404.0)</f>
        <v>83404</v>
      </c>
      <c r="C2630" s="3" t="str">
        <f>IFERROR(__xludf.DUMMYFUNCTION("""COMPUTED_VALUE"""),"ร้านแก้วตา")</f>
        <v>ร้านแก้วตา</v>
      </c>
      <c r="D2630" s="3" t="str">
        <f>IFERROR(__xludf.DUMMYFUNCTION("""COMPUTED_VALUE"""),"ร้านแก้วตา")</f>
        <v>ร้านแก้วตา</v>
      </c>
      <c r="E2630" s="1" t="str">
        <f>IFERROR(__xludf.DUMMYFUNCTION("""COMPUTED_VALUE"""),"Donjai")</f>
        <v>Donjai</v>
      </c>
      <c r="F2630" s="1" t="str">
        <f>IFERROR(__xludf.DUMMYFUNCTION("""COMPUTED_VALUE"""),"025324")</f>
        <v>025324</v>
      </c>
      <c r="G2630" s="1" t="str">
        <f>IFERROR(__xludf.DUMMYFUNCTION("""COMPUTED_VALUE"""),"นายวิเชฎฐ์ ติรัตนะประคม")</f>
        <v>นายวิเชฎฐ์ ติรัตนะประคม</v>
      </c>
      <c r="H2630" s="1" t="str">
        <f>IFERROR(__xludf.DUMMYFUNCTION("""COMPUTED_VALUE"""),"025324")</f>
        <v>025324</v>
      </c>
      <c r="I2630" s="1" t="str">
        <f>IFERROR(__xludf.DUMMYFUNCTION("""COMPUTED_VALUE"""),"นายวิเชฎฐ์ ติรัตนะประคม")</f>
        <v>นายวิเชฎฐ์ ติรัตนะประคม</v>
      </c>
      <c r="J2630" s="3">
        <f>IFERROR(__xludf.DUMMYFUNCTION("""COMPUTED_VALUE"""),295541.0)</f>
        <v>295541</v>
      </c>
      <c r="K2630" s="3" t="str">
        <f>IFERROR(__xludf.DUMMYFUNCTION("""COMPUTED_VALUE"""),"นายรพิพล ศรีมาตย์")</f>
        <v>นายรพิพล ศรีมาตย์</v>
      </c>
      <c r="L2630" s="1" t="str">
        <f>IFERROR(__xludf.DUMMYFUNCTION("""COMPUTED_VALUE"""),"นายรพิพล ศรีมาตย์")</f>
        <v>นายรพิพล ศรีมาตย์</v>
      </c>
      <c r="M2630" s="1" t="str">
        <f>IFERROR(__xludf.DUMMYFUNCTION("""COMPUTED_VALUE"""),"0613966115")</f>
        <v>0613966115</v>
      </c>
      <c r="N2630" s="3">
        <f>IFERROR(__xludf.DUMMYFUNCTION("""COMPUTED_VALUE"""),83404.0)</f>
        <v>83404</v>
      </c>
      <c r="O2630" s="3" t="str">
        <f>IFERROR(__xludf.DUMMYFUNCTION("""COMPUTED_VALUE"""),"ร้านแก้วตา")</f>
        <v>ร้านแก้วตา</v>
      </c>
      <c r="P2630" s="4">
        <f>IFERROR(__xludf.DUMMYFUNCTION("""COMPUTED_VALUE"""),44739.0)</f>
        <v>44739</v>
      </c>
      <c r="Q2630" s="3" t="str">
        <f>IFERROR(__xludf.DUMMYFUNCTION("""COMPUTED_VALUE"""),"A")</f>
        <v>A</v>
      </c>
      <c r="R2630" s="3" t="str">
        <f>IFERROR(__xludf.DUMMYFUNCTION("""COMPUTED_VALUE"""),"Small Format")</f>
        <v>Small Format</v>
      </c>
      <c r="S2630" s="3" t="str">
        <f>IFERROR(__xludf.DUMMYFUNCTION("""COMPUTED_VALUE"""),"Donjai")</f>
        <v>Donjai</v>
      </c>
      <c r="T2630" s="3" t="str">
        <f>IFERROR(__xludf.DUMMYFUNCTION("""COMPUTED_VALUE"""),"14 K.Wichet T.")</f>
        <v>14 K.Wichet T.</v>
      </c>
      <c r="U2630" s="3" t="str">
        <f>IFERROR(__xludf.DUMMYFUNCTION("""COMPUTED_VALUE"""),"14 K.Wichet T.")</f>
        <v>14 K.Wichet T.</v>
      </c>
      <c r="V2630" s="3" t="str">
        <f>IFERROR(__xludf.DUMMYFUNCTION("""COMPUTED_VALUE"""),"N")</f>
        <v>N</v>
      </c>
      <c r="W2630" s="3"/>
      <c r="X2630" s="3" t="str">
        <f>IFERROR(__xludf.DUMMYFUNCTION("""COMPUTED_VALUE"""),"ถ.เพชรเกษม ต.บางใหญ่ อ.กระบุรี จ.ระนอง 85110")</f>
        <v>ถ.เพชรเกษม ต.บางใหญ่ อ.กระบุรี จ.ระนอง 85110</v>
      </c>
      <c r="Y2630" s="3"/>
      <c r="Z2630" s="3">
        <f>IFERROR(__xludf.DUMMYFUNCTION("""COMPUTED_VALUE"""),0.0)</f>
        <v>0</v>
      </c>
      <c r="AA2630" s="3">
        <f>IFERROR(__xludf.DUMMYFUNCTION("""COMPUTED_VALUE"""),0.0)</f>
        <v>0</v>
      </c>
      <c r="AB2630" s="3" t="str">
        <f>IFERROR(__xludf.DUMMYFUNCTION("""COMPUTED_VALUE"""),"ระนอง")</f>
        <v>ระนอง</v>
      </c>
      <c r="AC2630" s="3">
        <f>IFERROR(__xludf.DUMMYFUNCTION("""COMPUTED_VALUE"""),85110.0)</f>
        <v>85110</v>
      </c>
      <c r="AD2630" s="3"/>
      <c r="AE2630" s="3"/>
      <c r="AF2630" s="3" t="str">
        <f>IFERROR(__xludf.DUMMYFUNCTION("""COMPUTED_VALUE"""),"ร้านแก้วตา-83404")</f>
        <v>ร้านแก้วตา-83404</v>
      </c>
      <c r="AG2630" s="3" t="str">
        <f>IFERROR(__xludf.DUMMYFUNCTION("""COMPUTED_VALUE"""),"ใต้")</f>
        <v>ใต้</v>
      </c>
      <c r="AH2630" s="3" t="str">
        <f>IFERROR(__xludf.DUMMYFUNCTION("""COMPUTED_VALUE"""),"#N/A")</f>
        <v>#N/A</v>
      </c>
      <c r="AI2630" s="3" t="str">
        <f>IFERROR(__xludf.DUMMYFUNCTION("""COMPUTED_VALUE"""),"Out of warranty")</f>
        <v>Out of warranty</v>
      </c>
      <c r="AJ2630" s="3">
        <f>IFERROR(__xludf.DUMMYFUNCTION("""COMPUTED_VALUE"""),43.0)</f>
        <v>43</v>
      </c>
      <c r="AK2630" s="3"/>
      <c r="AL2630" s="3"/>
    </row>
    <row r="2631" ht="15.75" customHeight="1">
      <c r="A2631" s="1" t="str">
        <f>IFERROR(__xludf.DUMMYFUNCTION("""COMPUTED_VALUE"""),"83405")</f>
        <v>83405</v>
      </c>
      <c r="B2631" s="2">
        <f>IFERROR(__xludf.DUMMYFUNCTION("""COMPUTED_VALUE"""),83405.0)</f>
        <v>83405</v>
      </c>
      <c r="C2631" s="3" t="str">
        <f>IFERROR(__xludf.DUMMYFUNCTION("""COMPUTED_VALUE"""),"ร้านยายดวง")</f>
        <v>ร้านยายดวง</v>
      </c>
      <c r="D2631" s="3" t="str">
        <f>IFERROR(__xludf.DUMMYFUNCTION("""COMPUTED_VALUE"""),"ร้านยายดวง")</f>
        <v>ร้านยายดวง</v>
      </c>
      <c r="E2631" s="1" t="str">
        <f>IFERROR(__xludf.DUMMYFUNCTION("""COMPUTED_VALUE"""),"Donjai")</f>
        <v>Donjai</v>
      </c>
      <c r="F2631" s="1" t="str">
        <f>IFERROR(__xludf.DUMMYFUNCTION("""COMPUTED_VALUE"""),"015361")</f>
        <v>015361</v>
      </c>
      <c r="G2631" s="1" t="str">
        <f>IFERROR(__xludf.DUMMYFUNCTION("""COMPUTED_VALUE"""),"นายสมบูรณ์ พรหมในเมือง")</f>
        <v>นายสมบูรณ์ พรหมในเมือง</v>
      </c>
      <c r="H2631" s="1" t="str">
        <f>IFERROR(__xludf.DUMMYFUNCTION("""COMPUTED_VALUE"""),"015361")</f>
        <v>015361</v>
      </c>
      <c r="I2631" s="1" t="str">
        <f>IFERROR(__xludf.DUMMYFUNCTION("""COMPUTED_VALUE"""),"นายสมบูรณ์ พรหมในเมือง")</f>
        <v>นายสมบูรณ์ พรหมในเมือง</v>
      </c>
      <c r="J2631" s="3">
        <f>IFERROR(__xludf.DUMMYFUNCTION("""COMPUTED_VALUE"""),295886.0)</f>
        <v>295886</v>
      </c>
      <c r="K2631" s="3" t="str">
        <f>IFERROR(__xludf.DUMMYFUNCTION("""COMPUTED_VALUE"""),"นายจิระพงษ์ โพธิ์นิล")</f>
        <v>นายจิระพงษ์ โพธิ์นิล</v>
      </c>
      <c r="L2631" s="1" t="str">
        <f>IFERROR(__xludf.DUMMYFUNCTION("""COMPUTED_VALUE"""),"นายจิระพงษ์ โพธิ์นิล")</f>
        <v>นายจิระพงษ์ โพธิ์นิล</v>
      </c>
      <c r="M2631" s="1" t="str">
        <f>IFERROR(__xludf.DUMMYFUNCTION("""COMPUTED_VALUE"""),"0933290754")</f>
        <v>0933290754</v>
      </c>
      <c r="N2631" s="3">
        <f>IFERROR(__xludf.DUMMYFUNCTION("""COMPUTED_VALUE"""),83405.0)</f>
        <v>83405</v>
      </c>
      <c r="O2631" s="3" t="str">
        <f>IFERROR(__xludf.DUMMYFUNCTION("""COMPUTED_VALUE"""),"ร้านยายดวง")</f>
        <v>ร้านยายดวง</v>
      </c>
      <c r="P2631" s="4">
        <f>IFERROR(__xludf.DUMMYFUNCTION("""COMPUTED_VALUE"""),44585.0)</f>
        <v>44585</v>
      </c>
      <c r="Q2631" s="3" t="str">
        <f>IFERROR(__xludf.DUMMYFUNCTION("""COMPUTED_VALUE"""),"A")</f>
        <v>A</v>
      </c>
      <c r="R2631" s="3" t="str">
        <f>IFERROR(__xludf.DUMMYFUNCTION("""COMPUTED_VALUE"""),"Small Format")</f>
        <v>Small Format</v>
      </c>
      <c r="S2631" s="3" t="str">
        <f>IFERROR(__xludf.DUMMYFUNCTION("""COMPUTED_VALUE"""),"Donjai")</f>
        <v>Donjai</v>
      </c>
      <c r="T2631" s="3" t="str">
        <f>IFERROR(__xludf.DUMMYFUNCTION("""COMPUTED_VALUE"""),"04 K.Somboon P.")</f>
        <v>04 K.Somboon P.</v>
      </c>
      <c r="U2631" s="3" t="str">
        <f>IFERROR(__xludf.DUMMYFUNCTION("""COMPUTED_VALUE"""),"04 K.Somboon P.")</f>
        <v>04 K.Somboon P.</v>
      </c>
      <c r="V2631" s="3" t="str">
        <f>IFERROR(__xludf.DUMMYFUNCTION("""COMPUTED_VALUE"""),"N")</f>
        <v>N</v>
      </c>
      <c r="W2631" s="3"/>
      <c r="X2631" s="3" t="str">
        <f>IFERROR(__xludf.DUMMYFUNCTION("""COMPUTED_VALUE"""),"313 หมู่ที่2 ต. บ้านหว้า อ.เมืองขอนแก่น จขอนแก่น")</f>
        <v>313 หมู่ที่2 ต. บ้านหว้า อ.เมืองขอนแก่น จขอนแก่น</v>
      </c>
      <c r="Y2631" s="3"/>
      <c r="Z2631" s="3">
        <f>IFERROR(__xludf.DUMMYFUNCTION("""COMPUTED_VALUE"""),0.0)</f>
        <v>0</v>
      </c>
      <c r="AA2631" s="3">
        <f>IFERROR(__xludf.DUMMYFUNCTION("""COMPUTED_VALUE"""),0.0)</f>
        <v>0</v>
      </c>
      <c r="AB2631" s="3" t="str">
        <f>IFERROR(__xludf.DUMMYFUNCTION("""COMPUTED_VALUE"""),"ขอนแก่น")</f>
        <v>ขอนแก่น</v>
      </c>
      <c r="AC2631" s="3">
        <f>IFERROR(__xludf.DUMMYFUNCTION("""COMPUTED_VALUE"""),0.0)</f>
        <v>0</v>
      </c>
      <c r="AD2631" s="3"/>
      <c r="AE2631" s="3"/>
      <c r="AF2631" s="3" t="str">
        <f>IFERROR(__xludf.DUMMYFUNCTION("""COMPUTED_VALUE"""),"ร้านยายดวง-83405")</f>
        <v>ร้านยายดวง-83405</v>
      </c>
      <c r="AG2631" s="3" t="str">
        <f>IFERROR(__xludf.DUMMYFUNCTION("""COMPUTED_VALUE"""),"ตะวันออกเฉียงเหนือ")</f>
        <v>ตะวันออกเฉียงเหนือ</v>
      </c>
      <c r="AH2631" s="3" t="str">
        <f>IFERROR(__xludf.DUMMYFUNCTION("""COMPUTED_VALUE"""),"#N/A")</f>
        <v>#N/A</v>
      </c>
      <c r="AI2631" s="3" t="str">
        <f>IFERROR(__xludf.DUMMYFUNCTION("""COMPUTED_VALUE"""),"Out of warranty")</f>
        <v>Out of warranty</v>
      </c>
      <c r="AJ2631" s="3">
        <f>IFERROR(__xludf.DUMMYFUNCTION("""COMPUTED_VALUE"""),48.0)</f>
        <v>48</v>
      </c>
      <c r="AK2631" s="3"/>
      <c r="AL2631" s="3"/>
    </row>
    <row r="2632" ht="15.75" customHeight="1">
      <c r="A2632" s="1" t="str">
        <f>IFERROR(__xludf.DUMMYFUNCTION("""COMPUTED_VALUE"""),"83406")</f>
        <v>83406</v>
      </c>
      <c r="B2632" s="2">
        <f>IFERROR(__xludf.DUMMYFUNCTION("""COMPUTED_VALUE"""),83406.0)</f>
        <v>83406</v>
      </c>
      <c r="C2632" s="3" t="str">
        <f>IFERROR(__xludf.DUMMYFUNCTION("""COMPUTED_VALUE"""),"ร้านคุ้มเลย")</f>
        <v>ร้านคุ้มเลย</v>
      </c>
      <c r="D2632" s="3" t="str">
        <f>IFERROR(__xludf.DUMMYFUNCTION("""COMPUTED_VALUE"""),"ร้านคุ้มเลย")</f>
        <v>ร้านคุ้มเลย</v>
      </c>
      <c r="E2632" s="1" t="str">
        <f>IFERROR(__xludf.DUMMYFUNCTION("""COMPUTED_VALUE"""),"Donjai")</f>
        <v>Donjai</v>
      </c>
      <c r="F2632" s="1" t="str">
        <f>IFERROR(__xludf.DUMMYFUNCTION("""COMPUTED_VALUE"""),"296868")</f>
        <v>296868</v>
      </c>
      <c r="G2632" s="1" t="str">
        <f>IFERROR(__xludf.DUMMYFUNCTION("""COMPUTED_VALUE"""),"นายพีระพงษ์ แก้วดวงดี")</f>
        <v>นายพีระพงษ์ แก้วดวงดี</v>
      </c>
      <c r="H2632" s="1" t="str">
        <f>IFERROR(__xludf.DUMMYFUNCTION("""COMPUTED_VALUE"""),"296868")</f>
        <v>296868</v>
      </c>
      <c r="I2632" s="1" t="str">
        <f>IFERROR(__xludf.DUMMYFUNCTION("""COMPUTED_VALUE"""),"นายพีระพงษ์ แก้วดวงดี")</f>
        <v>นายพีระพงษ์ แก้วดวงดี</v>
      </c>
      <c r="J2632" s="3">
        <f>IFERROR(__xludf.DUMMYFUNCTION("""COMPUTED_VALUE"""),295886.0)</f>
        <v>295886</v>
      </c>
      <c r="K2632" s="3" t="str">
        <f>IFERROR(__xludf.DUMMYFUNCTION("""COMPUTED_VALUE"""),"นายจิระพงษ์ โพธิ์นิล")</f>
        <v>นายจิระพงษ์ โพธิ์นิล</v>
      </c>
      <c r="L2632" s="1" t="str">
        <f>IFERROR(__xludf.DUMMYFUNCTION("""COMPUTED_VALUE"""),"นายจิระพงษ์ โพธิ์นิล")</f>
        <v>นายจิระพงษ์ โพธิ์นิล</v>
      </c>
      <c r="M2632" s="1" t="str">
        <f>IFERROR(__xludf.DUMMYFUNCTION("""COMPUTED_VALUE"""),"0933290754")</f>
        <v>0933290754</v>
      </c>
      <c r="N2632" s="3">
        <f>IFERROR(__xludf.DUMMYFUNCTION("""COMPUTED_VALUE"""),83406.0)</f>
        <v>83406</v>
      </c>
      <c r="O2632" s="3" t="str">
        <f>IFERROR(__xludf.DUMMYFUNCTION("""COMPUTED_VALUE"""),"ร้านคุ้มเลย")</f>
        <v>ร้านคุ้มเลย</v>
      </c>
      <c r="P2632" s="4">
        <f>IFERROR(__xludf.DUMMYFUNCTION("""COMPUTED_VALUE"""),44589.0)</f>
        <v>44589</v>
      </c>
      <c r="Q2632" s="3" t="str">
        <f>IFERROR(__xludf.DUMMYFUNCTION("""COMPUTED_VALUE"""),"I")</f>
        <v>I</v>
      </c>
      <c r="R2632" s="3" t="str">
        <f>IFERROR(__xludf.DUMMYFUNCTION("""COMPUTED_VALUE"""),"Small Format")</f>
        <v>Small Format</v>
      </c>
      <c r="S2632" s="3" t="str">
        <f>IFERROR(__xludf.DUMMYFUNCTION("""COMPUTED_VALUE"""),"Donjai")</f>
        <v>Donjai</v>
      </c>
      <c r="T2632" s="3" t="str">
        <f>IFERROR(__xludf.DUMMYFUNCTION("""COMPUTED_VALUE"""),"03 K.Peerapong K.")</f>
        <v>03 K.Peerapong K.</v>
      </c>
      <c r="U2632" s="3" t="str">
        <f>IFERROR(__xludf.DUMMYFUNCTION("""COMPUTED_VALUE"""),"03 K.Peerapong K.")</f>
        <v>03 K.Peerapong K.</v>
      </c>
      <c r="V2632" s="3" t="str">
        <f>IFERROR(__xludf.DUMMYFUNCTION("""COMPUTED_VALUE"""),"N")</f>
        <v>N</v>
      </c>
      <c r="W2632" s="3"/>
      <c r="X2632" s="3" t="str">
        <f>IFERROR(__xludf.DUMMYFUNCTION("""COMPUTED_VALUE"""),"263 หมู่3 ต.ด่านซ้าย อ.ด่านซ้าย จ.เลย 42120")</f>
        <v>263 หมู่3 ต.ด่านซ้าย อ.ด่านซ้าย จ.เลย 42120</v>
      </c>
      <c r="Y2632" s="3"/>
      <c r="Z2632" s="3" t="str">
        <f>IFERROR(__xludf.DUMMYFUNCTION("""COMPUTED_VALUE"""),"ด่านซ้าย")</f>
        <v>ด่านซ้าย</v>
      </c>
      <c r="AA2632" s="3" t="str">
        <f>IFERROR(__xludf.DUMMYFUNCTION("""COMPUTED_VALUE"""),"ด่านซ้าย")</f>
        <v>ด่านซ้าย</v>
      </c>
      <c r="AB2632" s="3" t="str">
        <f>IFERROR(__xludf.DUMMYFUNCTION("""COMPUTED_VALUE"""),"เลย")</f>
        <v>เลย</v>
      </c>
      <c r="AC2632" s="3">
        <f>IFERROR(__xludf.DUMMYFUNCTION("""COMPUTED_VALUE"""),42120.0)</f>
        <v>42120</v>
      </c>
      <c r="AD2632" s="3"/>
      <c r="AE2632" s="3"/>
      <c r="AF2632" s="3" t="str">
        <f>IFERROR(__xludf.DUMMYFUNCTION("""COMPUTED_VALUE"""),"ร้านคุ้มเลย-83406")</f>
        <v>ร้านคุ้มเลย-83406</v>
      </c>
      <c r="AG2632" s="3" t="str">
        <f>IFERROR(__xludf.DUMMYFUNCTION("""COMPUTED_VALUE"""),"ตะวันออกเฉียงเหนือ")</f>
        <v>ตะวันออกเฉียงเหนือ</v>
      </c>
      <c r="AH2632" s="3" t="str">
        <f>IFERROR(__xludf.DUMMYFUNCTION("""COMPUTED_VALUE"""),"#N/A")</f>
        <v>#N/A</v>
      </c>
      <c r="AI2632" s="3" t="str">
        <f>IFERROR(__xludf.DUMMYFUNCTION("""COMPUTED_VALUE"""),"Out of warranty")</f>
        <v>Out of warranty</v>
      </c>
      <c r="AJ2632" s="3">
        <f>IFERROR(__xludf.DUMMYFUNCTION("""COMPUTED_VALUE"""),48.0)</f>
        <v>48</v>
      </c>
      <c r="AK2632" s="3"/>
      <c r="AL2632" s="3"/>
    </row>
    <row r="2633" ht="15.75" customHeight="1">
      <c r="A2633" s="1" t="str">
        <f>IFERROR(__xludf.DUMMYFUNCTION("""COMPUTED_VALUE"""),"83407")</f>
        <v>83407</v>
      </c>
      <c r="B2633" s="2">
        <f>IFERROR(__xludf.DUMMYFUNCTION("""COMPUTED_VALUE"""),83407.0)</f>
        <v>83407</v>
      </c>
      <c r="C2633" s="3" t="str">
        <f>IFERROR(__xludf.DUMMYFUNCTION("""COMPUTED_VALUE"""),"ร้านป้าเหลือพาณิชย์")</f>
        <v>ร้านป้าเหลือพาณิชย์</v>
      </c>
      <c r="D2633" s="3" t="str">
        <f>IFERROR(__xludf.DUMMYFUNCTION("""COMPUTED_VALUE"""),"ร้านป้าเหลือพาณิชย์")</f>
        <v>ร้านป้าเหลือพาณิชย์</v>
      </c>
      <c r="E2633" s="1" t="str">
        <f>IFERROR(__xludf.DUMMYFUNCTION("""COMPUTED_VALUE"""),"Donjai")</f>
        <v>Donjai</v>
      </c>
      <c r="F2633" s="1" t="str">
        <f>IFERROR(__xludf.DUMMYFUNCTION("""COMPUTED_VALUE"""),"00510143")</f>
        <v>00510143</v>
      </c>
      <c r="G2633" s="1" t="str">
        <f>IFERROR(__xludf.DUMMYFUNCTION("""COMPUTED_VALUE"""),"นายธีระวัฒน์ บุญสิทธิ์")</f>
        <v>นายธีระวัฒน์ บุญสิทธิ์</v>
      </c>
      <c r="H2633" s="1" t="str">
        <f>IFERROR(__xludf.DUMMYFUNCTION("""COMPUTED_VALUE"""),"00510143")</f>
        <v>00510143</v>
      </c>
      <c r="I2633" s="1" t="str">
        <f>IFERROR(__xludf.DUMMYFUNCTION("""COMPUTED_VALUE"""),"นายธีระวัฒน์ บุญสิทธิ์")</f>
        <v>นายธีระวัฒน์ บุญสิทธิ์</v>
      </c>
      <c r="J2633" s="3">
        <f>IFERROR(__xludf.DUMMYFUNCTION("""COMPUTED_VALUE"""),228031.0)</f>
        <v>228031</v>
      </c>
      <c r="K2633" s="3" t="str">
        <f>IFERROR(__xludf.DUMMYFUNCTION("""COMPUTED_VALUE"""),"นายธนพงษ์ วันหมัด")</f>
        <v>นายธนพงษ์ วันหมัด</v>
      </c>
      <c r="L2633" s="1" t="str">
        <f>IFERROR(__xludf.DUMMYFUNCTION("""COMPUTED_VALUE"""),"นายธนพงษ์ วันหมัด")</f>
        <v>นายธนพงษ์ วันหมัด</v>
      </c>
      <c r="M2633" s="1" t="str">
        <f>IFERROR(__xludf.DUMMYFUNCTION("""COMPUTED_VALUE"""),"0813716913")</f>
        <v>0813716913</v>
      </c>
      <c r="N2633" s="3">
        <f>IFERROR(__xludf.DUMMYFUNCTION("""COMPUTED_VALUE"""),83407.0)</f>
        <v>83407</v>
      </c>
      <c r="O2633" s="3" t="str">
        <f>IFERROR(__xludf.DUMMYFUNCTION("""COMPUTED_VALUE"""),"ร้านป้าเหลือพาณิชย์")</f>
        <v>ร้านป้าเหลือพาณิชย์</v>
      </c>
      <c r="P2633" s="4">
        <f>IFERROR(__xludf.DUMMYFUNCTION("""COMPUTED_VALUE"""),44626.0)</f>
        <v>44626</v>
      </c>
      <c r="Q2633" s="3" t="str">
        <f>IFERROR(__xludf.DUMMYFUNCTION("""COMPUTED_VALUE"""),"A")</f>
        <v>A</v>
      </c>
      <c r="R2633" s="3" t="str">
        <f>IFERROR(__xludf.DUMMYFUNCTION("""COMPUTED_VALUE"""),"Small Format")</f>
        <v>Small Format</v>
      </c>
      <c r="S2633" s="3" t="str">
        <f>IFERROR(__xludf.DUMMYFUNCTION("""COMPUTED_VALUE"""),"Donjai")</f>
        <v>Donjai</v>
      </c>
      <c r="T2633" s="3" t="str">
        <f>IFERROR(__xludf.DUMMYFUNCTION("""COMPUTED_VALUE"""),"12 K.Theerawat B.")</f>
        <v>12 K.Theerawat B.</v>
      </c>
      <c r="U2633" s="3" t="str">
        <f>IFERROR(__xludf.DUMMYFUNCTION("""COMPUTED_VALUE"""),"12 K.Theerawat B.")</f>
        <v>12 K.Theerawat B.</v>
      </c>
      <c r="V2633" s="3" t="str">
        <f>IFERROR(__xludf.DUMMYFUNCTION("""COMPUTED_VALUE"""),"N")</f>
        <v>N</v>
      </c>
      <c r="W2633" s="3"/>
      <c r="X2633" s="3" t="str">
        <f>IFERROR(__xludf.DUMMYFUNCTION("""COMPUTED_VALUE"""),"34 ม.15 ต.หัวหว้า อ.ศรีมหาโพธิ จ.ปราจีนบุรี")</f>
        <v>34 ม.15 ต.หัวหว้า อ.ศรีมหาโพธิ จ.ปราจีนบุรี</v>
      </c>
      <c r="Y2633" s="3"/>
      <c r="Z2633" s="3">
        <f>IFERROR(__xludf.DUMMYFUNCTION("""COMPUTED_VALUE"""),0.0)</f>
        <v>0</v>
      </c>
      <c r="AA2633" s="3">
        <f>IFERROR(__xludf.DUMMYFUNCTION("""COMPUTED_VALUE"""),0.0)</f>
        <v>0</v>
      </c>
      <c r="AB2633" s="3" t="str">
        <f>IFERROR(__xludf.DUMMYFUNCTION("""COMPUTED_VALUE"""),"ปราจีนบุรี")</f>
        <v>ปราจีนบุรี</v>
      </c>
      <c r="AC2633" s="3">
        <f>IFERROR(__xludf.DUMMYFUNCTION("""COMPUTED_VALUE"""),0.0)</f>
        <v>0</v>
      </c>
      <c r="AD2633" s="3"/>
      <c r="AE2633" s="3"/>
      <c r="AF2633" s="3" t="str">
        <f>IFERROR(__xludf.DUMMYFUNCTION("""COMPUTED_VALUE"""),"ร้านป้าเหลือพาณิชย์-83407")</f>
        <v>ร้านป้าเหลือพาณิชย์-83407</v>
      </c>
      <c r="AG2633" s="3" t="str">
        <f>IFERROR(__xludf.DUMMYFUNCTION("""COMPUTED_VALUE"""),"ตะวันออก")</f>
        <v>ตะวันออก</v>
      </c>
      <c r="AH2633" s="3" t="str">
        <f>IFERROR(__xludf.DUMMYFUNCTION("""COMPUTED_VALUE"""),"#N/A")</f>
        <v>#N/A</v>
      </c>
      <c r="AI2633" s="3" t="str">
        <f>IFERROR(__xludf.DUMMYFUNCTION("""COMPUTED_VALUE"""),"Out of warranty")</f>
        <v>Out of warranty</v>
      </c>
      <c r="AJ2633" s="3">
        <f>IFERROR(__xludf.DUMMYFUNCTION("""COMPUTED_VALUE"""),47.0)</f>
        <v>47</v>
      </c>
      <c r="AK2633" s="3"/>
      <c r="AL2633" s="3"/>
    </row>
    <row r="2634" ht="15.75" customHeight="1">
      <c r="A2634" s="1" t="str">
        <f>IFERROR(__xludf.DUMMYFUNCTION("""COMPUTED_VALUE"""),"83410")</f>
        <v>83410</v>
      </c>
      <c r="B2634" s="2">
        <f>IFERROR(__xludf.DUMMYFUNCTION("""COMPUTED_VALUE"""),83410.0)</f>
        <v>83410</v>
      </c>
      <c r="C2634" s="3" t="str">
        <f>IFERROR(__xludf.DUMMYFUNCTION("""COMPUTED_VALUE"""),"ร้านกำนันปรีชา บ้านกรด (ร้านกำนัน)")</f>
        <v>ร้านกำนันปรีชา บ้านกรด (ร้านกำนัน)</v>
      </c>
      <c r="D2634" s="3" t="str">
        <f>IFERROR(__xludf.DUMMYFUNCTION("""COMPUTED_VALUE"""),"ร้านกำนันปรีชา บ้านกรด (ร้านกำนัน)")</f>
        <v>ร้านกำนันปรีชา บ้านกรด (ร้านกำนัน)</v>
      </c>
      <c r="E2634" s="1" t="str">
        <f>IFERROR(__xludf.DUMMYFUNCTION("""COMPUTED_VALUE"""),"Donjai")</f>
        <v>Donjai</v>
      </c>
      <c r="F2634" s="1" t="str">
        <f>IFERROR(__xludf.DUMMYFUNCTION("""COMPUTED_VALUE"""),"2010023")</f>
        <v>2010023</v>
      </c>
      <c r="G2634" s="1" t="str">
        <f>IFERROR(__xludf.DUMMYFUNCTION("""COMPUTED_VALUE"""),"นายวศิน ไวยรูป")</f>
        <v>นายวศิน ไวยรูป</v>
      </c>
      <c r="H2634" s="1" t="str">
        <f>IFERROR(__xludf.DUMMYFUNCTION("""COMPUTED_VALUE"""),"2010023")</f>
        <v>2010023</v>
      </c>
      <c r="I2634" s="1" t="str">
        <f>IFERROR(__xludf.DUMMYFUNCTION("""COMPUTED_VALUE"""),"นายวศิน ไวยรูป")</f>
        <v>นายวศิน ไวยรูป</v>
      </c>
      <c r="J2634" s="3">
        <f>IFERROR(__xludf.DUMMYFUNCTION("""COMPUTED_VALUE"""),228031.0)</f>
        <v>228031</v>
      </c>
      <c r="K2634" s="3" t="str">
        <f>IFERROR(__xludf.DUMMYFUNCTION("""COMPUTED_VALUE"""),"นายธนพงษ์ วันหมัด")</f>
        <v>นายธนพงษ์ วันหมัด</v>
      </c>
      <c r="L2634" s="1" t="str">
        <f>IFERROR(__xludf.DUMMYFUNCTION("""COMPUTED_VALUE"""),"นายธนพงษ์ วันหมัด")</f>
        <v>นายธนพงษ์ วันหมัด</v>
      </c>
      <c r="M2634" s="1" t="str">
        <f>IFERROR(__xludf.DUMMYFUNCTION("""COMPUTED_VALUE"""),"0813716913")</f>
        <v>0813716913</v>
      </c>
      <c r="N2634" s="3">
        <f>IFERROR(__xludf.DUMMYFUNCTION("""COMPUTED_VALUE"""),83410.0)</f>
        <v>83410</v>
      </c>
      <c r="O2634" s="3" t="str">
        <f>IFERROR(__xludf.DUMMYFUNCTION("""COMPUTED_VALUE"""),"ร้านกำนันปรีชา บ้านกรด (ร้านกำนัน)")</f>
        <v>ร้านกำนันปรีชา บ้านกรด (ร้านกำนัน)</v>
      </c>
      <c r="P2634" s="4">
        <f>IFERROR(__xludf.DUMMYFUNCTION("""COMPUTED_VALUE"""),44606.0)</f>
        <v>44606</v>
      </c>
      <c r="Q2634" s="3" t="str">
        <f>IFERROR(__xludf.DUMMYFUNCTION("""COMPUTED_VALUE"""),"I")</f>
        <v>I</v>
      </c>
      <c r="R2634" s="3" t="str">
        <f>IFERROR(__xludf.DUMMYFUNCTION("""COMPUTED_VALUE"""),"Small Format")</f>
        <v>Small Format</v>
      </c>
      <c r="S2634" s="3" t="str">
        <f>IFERROR(__xludf.DUMMYFUNCTION("""COMPUTED_VALUE"""),"Donjai")</f>
        <v>Donjai</v>
      </c>
      <c r="T2634" s="3" t="str">
        <f>IFERROR(__xludf.DUMMYFUNCTION("""COMPUTED_VALUE"""),"Donjai")</f>
        <v>Donjai</v>
      </c>
      <c r="U2634" s="3" t="str">
        <f>IFERROR(__xludf.DUMMYFUNCTION("""COMPUTED_VALUE"""),"Donjai")</f>
        <v>Donjai</v>
      </c>
      <c r="V2634" s="3" t="str">
        <f>IFERROR(__xludf.DUMMYFUNCTION("""COMPUTED_VALUE"""),"N")</f>
        <v>N</v>
      </c>
      <c r="W2634" s="3"/>
      <c r="X2634" s="3" t="str">
        <f>IFERROR(__xludf.DUMMYFUNCTION("""COMPUTED_VALUE"""),"12/1 หมู่ 5 ต.บ้านกรด อ.บางปะอิน จ.พระนครศรีอยุธยา")</f>
        <v>12/1 หมู่ 5 ต.บ้านกรด อ.บางปะอิน จ.พระนครศรีอยุธยา</v>
      </c>
      <c r="Y2634" s="3"/>
      <c r="Z2634" s="3">
        <f>IFERROR(__xludf.DUMMYFUNCTION("""COMPUTED_VALUE"""),0.0)</f>
        <v>0</v>
      </c>
      <c r="AA2634" s="3">
        <f>IFERROR(__xludf.DUMMYFUNCTION("""COMPUTED_VALUE"""),0.0)</f>
        <v>0</v>
      </c>
      <c r="AB2634" s="3" t="str">
        <f>IFERROR(__xludf.DUMMYFUNCTION("""COMPUTED_VALUE"""),"พระนครศรีอยุธยา")</f>
        <v>พระนครศรีอยุธยา</v>
      </c>
      <c r="AC2634" s="3">
        <f>IFERROR(__xludf.DUMMYFUNCTION("""COMPUTED_VALUE"""),0.0)</f>
        <v>0</v>
      </c>
      <c r="AD2634" s="3"/>
      <c r="AE2634" s="3"/>
      <c r="AF2634" s="3" t="str">
        <f>IFERROR(__xludf.DUMMYFUNCTION("""COMPUTED_VALUE"""),"ร้านกำนันปรีชา บ้านกรด (ร้านกำนัน)-83410")</f>
        <v>ร้านกำนันปรีชา บ้านกรด (ร้านกำนัน)-83410</v>
      </c>
      <c r="AG2634" s="3" t="str">
        <f>IFERROR(__xludf.DUMMYFUNCTION("""COMPUTED_VALUE"""),"กลาง")</f>
        <v>กลาง</v>
      </c>
      <c r="AH2634" s="3" t="str">
        <f>IFERROR(__xludf.DUMMYFUNCTION("""COMPUTED_VALUE"""),"#N/A")</f>
        <v>#N/A</v>
      </c>
      <c r="AI2634" s="3" t="str">
        <f>IFERROR(__xludf.DUMMYFUNCTION("""COMPUTED_VALUE"""),"Out of warranty")</f>
        <v>Out of warranty</v>
      </c>
      <c r="AJ2634" s="3">
        <f>IFERROR(__xludf.DUMMYFUNCTION("""COMPUTED_VALUE"""),48.0)</f>
        <v>48</v>
      </c>
      <c r="AK2634" s="3"/>
      <c r="AL2634" s="3"/>
    </row>
    <row r="2635" ht="15.75" customHeight="1">
      <c r="A2635" s="1" t="str">
        <f>IFERROR(__xludf.DUMMYFUNCTION("""COMPUTED_VALUE"""),"83411")</f>
        <v>83411</v>
      </c>
      <c r="B2635" s="2">
        <f>IFERROR(__xludf.DUMMYFUNCTION("""COMPUTED_VALUE"""),83411.0)</f>
        <v>83411</v>
      </c>
      <c r="C2635" s="3" t="str">
        <f>IFERROR(__xludf.DUMMYFUNCTION("""COMPUTED_VALUE"""),"คุณแพทตี้สโตร์")</f>
        <v>คุณแพทตี้สโตร์</v>
      </c>
      <c r="D2635" s="3" t="str">
        <f>IFERROR(__xludf.DUMMYFUNCTION("""COMPUTED_VALUE"""),"คุณแพทตี้สโตร์")</f>
        <v>คุณแพทตี้สโตร์</v>
      </c>
      <c r="E2635" s="1" t="str">
        <f>IFERROR(__xludf.DUMMYFUNCTION("""COMPUTED_VALUE"""),"Donjai")</f>
        <v>Donjai</v>
      </c>
      <c r="F2635" s="1" t="str">
        <f>IFERROR(__xludf.DUMMYFUNCTION("""COMPUTED_VALUE"""),"296608")</f>
        <v>296608</v>
      </c>
      <c r="G2635" s="1" t="str">
        <f>IFERROR(__xludf.DUMMYFUNCTION("""COMPUTED_VALUE"""),"นายภาคภูมิ เพ็ชรนิล")</f>
        <v>นายภาคภูมิ เพ็ชรนิล</v>
      </c>
      <c r="H2635" s="1" t="str">
        <f>IFERROR(__xludf.DUMMYFUNCTION("""COMPUTED_VALUE"""),"296608")</f>
        <v>296608</v>
      </c>
      <c r="I2635" s="1" t="str">
        <f>IFERROR(__xludf.DUMMYFUNCTION("""COMPUTED_VALUE"""),"นายภาคภูมิ เพ็ชรนิล")</f>
        <v>นายภาคภูมิ เพ็ชรนิล</v>
      </c>
      <c r="J2635" s="3">
        <f>IFERROR(__xludf.DUMMYFUNCTION("""COMPUTED_VALUE"""),228031.0)</f>
        <v>228031</v>
      </c>
      <c r="K2635" s="3" t="str">
        <f>IFERROR(__xludf.DUMMYFUNCTION("""COMPUTED_VALUE"""),"นายธนพงษ์ วันหมัด")</f>
        <v>นายธนพงษ์ วันหมัด</v>
      </c>
      <c r="L2635" s="1" t="str">
        <f>IFERROR(__xludf.DUMMYFUNCTION("""COMPUTED_VALUE"""),"นายธนพงษ์ วันหมัด")</f>
        <v>นายธนพงษ์ วันหมัด</v>
      </c>
      <c r="M2635" s="1" t="str">
        <f>IFERROR(__xludf.DUMMYFUNCTION("""COMPUTED_VALUE"""),"0813716913")</f>
        <v>0813716913</v>
      </c>
      <c r="N2635" s="3">
        <f>IFERROR(__xludf.DUMMYFUNCTION("""COMPUTED_VALUE"""),83411.0)</f>
        <v>83411</v>
      </c>
      <c r="O2635" s="3" t="str">
        <f>IFERROR(__xludf.DUMMYFUNCTION("""COMPUTED_VALUE"""),"คุณแพทตี้สโตร์")</f>
        <v>คุณแพทตี้สโตร์</v>
      </c>
      <c r="P2635" s="4">
        <f>IFERROR(__xludf.DUMMYFUNCTION("""COMPUTED_VALUE"""),44607.0)</f>
        <v>44607</v>
      </c>
      <c r="Q2635" s="3" t="str">
        <f>IFERROR(__xludf.DUMMYFUNCTION("""COMPUTED_VALUE"""),"I")</f>
        <v>I</v>
      </c>
      <c r="R2635" s="3" t="str">
        <f>IFERROR(__xludf.DUMMYFUNCTION("""COMPUTED_VALUE"""),"Small Format")</f>
        <v>Small Format</v>
      </c>
      <c r="S2635" s="3" t="str">
        <f>IFERROR(__xludf.DUMMYFUNCTION("""COMPUTED_VALUE"""),"Donjai")</f>
        <v>Donjai</v>
      </c>
      <c r="T2635" s="3" t="str">
        <f>IFERROR(__xludf.DUMMYFUNCTION("""COMPUTED_VALUE"""),"10 K.Phakphoom P.")</f>
        <v>10 K.Phakphoom P.</v>
      </c>
      <c r="U2635" s="3" t="str">
        <f>IFERROR(__xludf.DUMMYFUNCTION("""COMPUTED_VALUE"""),"10 K.Phakphoom P.")</f>
        <v>10 K.Phakphoom P.</v>
      </c>
      <c r="V2635" s="3" t="str">
        <f>IFERROR(__xludf.DUMMYFUNCTION("""COMPUTED_VALUE"""),"N")</f>
        <v>N</v>
      </c>
      <c r="W2635" s="3"/>
      <c r="X2635" s="3" t="str">
        <f>IFERROR(__xludf.DUMMYFUNCTION("""COMPUTED_VALUE"""),"47/2 ม.8 ต.วัดประดู่ อ.อัมพวา จ.สมุทรสงคราม")</f>
        <v>47/2 ม.8 ต.วัดประดู่ อ.อัมพวา จ.สมุทรสงคราม</v>
      </c>
      <c r="Y2635" s="3"/>
      <c r="Z2635" s="3">
        <f>IFERROR(__xludf.DUMMYFUNCTION("""COMPUTED_VALUE"""),0.0)</f>
        <v>0</v>
      </c>
      <c r="AA2635" s="3">
        <f>IFERROR(__xludf.DUMMYFUNCTION("""COMPUTED_VALUE"""),0.0)</f>
        <v>0</v>
      </c>
      <c r="AB2635" s="3" t="str">
        <f>IFERROR(__xludf.DUMMYFUNCTION("""COMPUTED_VALUE"""),"สมุทรสงคราม")</f>
        <v>สมุทรสงคราม</v>
      </c>
      <c r="AC2635" s="3">
        <f>IFERROR(__xludf.DUMMYFUNCTION("""COMPUTED_VALUE"""),0.0)</f>
        <v>0</v>
      </c>
      <c r="AD2635" s="3"/>
      <c r="AE2635" s="3"/>
      <c r="AF2635" s="3" t="str">
        <f>IFERROR(__xludf.DUMMYFUNCTION("""COMPUTED_VALUE"""),"คุณแพทตี้สโตร์-83411")</f>
        <v>คุณแพทตี้สโตร์-83411</v>
      </c>
      <c r="AG2635" s="3" t="str">
        <f>IFERROR(__xludf.DUMMYFUNCTION("""COMPUTED_VALUE"""),"กลาง")</f>
        <v>กลาง</v>
      </c>
      <c r="AH2635" s="3" t="str">
        <f>IFERROR(__xludf.DUMMYFUNCTION("""COMPUTED_VALUE"""),"#N/A")</f>
        <v>#N/A</v>
      </c>
      <c r="AI2635" s="3" t="str">
        <f>IFERROR(__xludf.DUMMYFUNCTION("""COMPUTED_VALUE"""),"Out of warranty")</f>
        <v>Out of warranty</v>
      </c>
      <c r="AJ2635" s="3">
        <f>IFERROR(__xludf.DUMMYFUNCTION("""COMPUTED_VALUE"""),48.0)</f>
        <v>48</v>
      </c>
      <c r="AK2635" s="3"/>
      <c r="AL2635" s="3"/>
    </row>
    <row r="2636" ht="15.75" customHeight="1">
      <c r="A2636" s="1" t="str">
        <f>IFERROR(__xludf.DUMMYFUNCTION("""COMPUTED_VALUE"""),"83414")</f>
        <v>83414</v>
      </c>
      <c r="B2636" s="2">
        <f>IFERROR(__xludf.DUMMYFUNCTION("""COMPUTED_VALUE"""),83414.0)</f>
        <v>83414</v>
      </c>
      <c r="C2636" s="3" t="str">
        <f>IFERROR(__xludf.DUMMYFUNCTION("""COMPUTED_VALUE"""),"ร้านโดนใจ 28 Shop (มะปราง)")</f>
        <v>ร้านโดนใจ 28 Shop (มะปราง)</v>
      </c>
      <c r="D2636" s="3" t="str">
        <f>IFERROR(__xludf.DUMMYFUNCTION("""COMPUTED_VALUE"""),"ร้านโดนใจ 28 Shop (มะปราง)")</f>
        <v>ร้านโดนใจ 28 Shop (มะปราง)</v>
      </c>
      <c r="E2636" s="1" t="str">
        <f>IFERROR(__xludf.DUMMYFUNCTION("""COMPUTED_VALUE"""),"Donjai")</f>
        <v>Donjai</v>
      </c>
      <c r="F2636" s="1" t="str">
        <f>IFERROR(__xludf.DUMMYFUNCTION("""COMPUTED_VALUE"""),"2010023")</f>
        <v>2010023</v>
      </c>
      <c r="G2636" s="1" t="str">
        <f>IFERROR(__xludf.DUMMYFUNCTION("""COMPUTED_VALUE"""),"นายวศิน ไวยรูป")</f>
        <v>นายวศิน ไวยรูป</v>
      </c>
      <c r="H2636" s="1" t="str">
        <f>IFERROR(__xludf.DUMMYFUNCTION("""COMPUTED_VALUE"""),"2010023")</f>
        <v>2010023</v>
      </c>
      <c r="I2636" s="1" t="str">
        <f>IFERROR(__xludf.DUMMYFUNCTION("""COMPUTED_VALUE"""),"นายวศิน ไวยรูป")</f>
        <v>นายวศิน ไวยรูป</v>
      </c>
      <c r="J2636" s="3">
        <f>IFERROR(__xludf.DUMMYFUNCTION("""COMPUTED_VALUE"""),228031.0)</f>
        <v>228031</v>
      </c>
      <c r="K2636" s="3" t="str">
        <f>IFERROR(__xludf.DUMMYFUNCTION("""COMPUTED_VALUE"""),"นายธนพงษ์ วันหมัด")</f>
        <v>นายธนพงษ์ วันหมัด</v>
      </c>
      <c r="L2636" s="1" t="str">
        <f>IFERROR(__xludf.DUMMYFUNCTION("""COMPUTED_VALUE"""),"นายธนพงษ์ วันหมัด")</f>
        <v>นายธนพงษ์ วันหมัด</v>
      </c>
      <c r="M2636" s="1" t="str">
        <f>IFERROR(__xludf.DUMMYFUNCTION("""COMPUTED_VALUE"""),"0813716913")</f>
        <v>0813716913</v>
      </c>
      <c r="N2636" s="3">
        <f>IFERROR(__xludf.DUMMYFUNCTION("""COMPUTED_VALUE"""),83414.0)</f>
        <v>83414</v>
      </c>
      <c r="O2636" s="3" t="str">
        <f>IFERROR(__xludf.DUMMYFUNCTION("""COMPUTED_VALUE"""),"ร้านโดนใจ 28 Shop (มะปราง)")</f>
        <v>ร้านโดนใจ 28 Shop (มะปราง)</v>
      </c>
      <c r="P2636" s="4">
        <f>IFERROR(__xludf.DUMMYFUNCTION("""COMPUTED_VALUE"""),44631.0)</f>
        <v>44631</v>
      </c>
      <c r="Q2636" s="3" t="str">
        <f>IFERROR(__xludf.DUMMYFUNCTION("""COMPUTED_VALUE"""),"I")</f>
        <v>I</v>
      </c>
      <c r="R2636" s="3" t="str">
        <f>IFERROR(__xludf.DUMMYFUNCTION("""COMPUTED_VALUE"""),"Small Format")</f>
        <v>Small Format</v>
      </c>
      <c r="S2636" s="3" t="str">
        <f>IFERROR(__xludf.DUMMYFUNCTION("""COMPUTED_VALUE"""),"Donjai")</f>
        <v>Donjai</v>
      </c>
      <c r="T2636" s="3" t="str">
        <f>IFERROR(__xludf.DUMMYFUNCTION("""COMPUTED_VALUE"""),"Donjai")</f>
        <v>Donjai</v>
      </c>
      <c r="U2636" s="3" t="str">
        <f>IFERROR(__xludf.DUMMYFUNCTION("""COMPUTED_VALUE"""),"Donjai")</f>
        <v>Donjai</v>
      </c>
      <c r="V2636" s="3" t="str">
        <f>IFERROR(__xludf.DUMMYFUNCTION("""COMPUTED_VALUE"""),"N")</f>
        <v>N</v>
      </c>
      <c r="W2636" s="3"/>
      <c r="X2636" s="3" t="str">
        <f>IFERROR(__xludf.DUMMYFUNCTION("""COMPUTED_VALUE"""),"ซ.อ่อนนุช 54 ถนนอ่อนนุช อ่อนนุช กทม")</f>
        <v>ซ.อ่อนนุช 54 ถนนอ่อนนุช อ่อนนุช กทม</v>
      </c>
      <c r="Y2636" s="3"/>
      <c r="Z2636" s="3">
        <f>IFERROR(__xludf.DUMMYFUNCTION("""COMPUTED_VALUE"""),0.0)</f>
        <v>0</v>
      </c>
      <c r="AA2636" s="3">
        <f>IFERROR(__xludf.DUMMYFUNCTION("""COMPUTED_VALUE"""),0.0)</f>
        <v>0</v>
      </c>
      <c r="AB2636" s="3" t="str">
        <f>IFERROR(__xludf.DUMMYFUNCTION("""COMPUTED_VALUE"""),"กรุงเทพมหานคร")</f>
        <v>กรุงเทพมหานคร</v>
      </c>
      <c r="AC2636" s="3">
        <f>IFERROR(__xludf.DUMMYFUNCTION("""COMPUTED_VALUE"""),0.0)</f>
        <v>0</v>
      </c>
      <c r="AD2636" s="3"/>
      <c r="AE2636" s="3"/>
      <c r="AF2636" s="3" t="str">
        <f>IFERROR(__xludf.DUMMYFUNCTION("""COMPUTED_VALUE"""),"ร้านโดนใจ 28 Shop (มะปราง)-83414")</f>
        <v>ร้านโดนใจ 28 Shop (มะปราง)-83414</v>
      </c>
      <c r="AG2636" s="3" t="str">
        <f>IFERROR(__xludf.DUMMYFUNCTION("""COMPUTED_VALUE"""),"กลาง")</f>
        <v>กลาง</v>
      </c>
      <c r="AH2636" s="3" t="str">
        <f>IFERROR(__xludf.DUMMYFUNCTION("""COMPUTED_VALUE"""),"#N/A")</f>
        <v>#N/A</v>
      </c>
      <c r="AI2636" s="3" t="str">
        <f>IFERROR(__xludf.DUMMYFUNCTION("""COMPUTED_VALUE"""),"Out of warranty")</f>
        <v>Out of warranty</v>
      </c>
      <c r="AJ2636" s="3">
        <f>IFERROR(__xludf.DUMMYFUNCTION("""COMPUTED_VALUE"""),47.0)</f>
        <v>47</v>
      </c>
      <c r="AK2636" s="3"/>
      <c r="AL2636" s="3"/>
    </row>
    <row r="2637" ht="15.75" customHeight="1">
      <c r="A2637" s="1" t="str">
        <f>IFERROR(__xludf.DUMMYFUNCTION("""COMPUTED_VALUE"""),"83415")</f>
        <v>83415</v>
      </c>
      <c r="B2637" s="2">
        <f>IFERROR(__xludf.DUMMYFUNCTION("""COMPUTED_VALUE"""),83415.0)</f>
        <v>83415</v>
      </c>
      <c r="C2637" s="3" t="str">
        <f>IFERROR(__xludf.DUMMYFUNCTION("""COMPUTED_VALUE"""),"ศูนย์ถาวร (สหกรณ์บ้านเรา)")</f>
        <v>ศูนย์ถาวร (สหกรณ์บ้านเรา)</v>
      </c>
      <c r="D2637" s="3" t="str">
        <f>IFERROR(__xludf.DUMMYFUNCTION("""COMPUTED_VALUE"""),"ศูนย์ถาวร (สหกรณ์บ้านเรา)")</f>
        <v>ศูนย์ถาวร (สหกรณ์บ้านเรา)</v>
      </c>
      <c r="E2637" s="1" t="str">
        <f>IFERROR(__xludf.DUMMYFUNCTION("""COMPUTED_VALUE"""),"Donjai")</f>
        <v>Donjai</v>
      </c>
      <c r="F2637" s="1" t="str">
        <f>IFERROR(__xludf.DUMMYFUNCTION("""COMPUTED_VALUE"""),"015361")</f>
        <v>015361</v>
      </c>
      <c r="G2637" s="1" t="str">
        <f>IFERROR(__xludf.DUMMYFUNCTION("""COMPUTED_VALUE"""),"นายสมบูรณ์ พรหมในเมือง")</f>
        <v>นายสมบูรณ์ พรหมในเมือง</v>
      </c>
      <c r="H2637" s="1" t="str">
        <f>IFERROR(__xludf.DUMMYFUNCTION("""COMPUTED_VALUE"""),"015361")</f>
        <v>015361</v>
      </c>
      <c r="I2637" s="1" t="str">
        <f>IFERROR(__xludf.DUMMYFUNCTION("""COMPUTED_VALUE"""),"นายสมบูรณ์ พรหมในเมือง")</f>
        <v>นายสมบูรณ์ พรหมในเมือง</v>
      </c>
      <c r="J2637" s="3">
        <f>IFERROR(__xludf.DUMMYFUNCTION("""COMPUTED_VALUE"""),295886.0)</f>
        <v>295886</v>
      </c>
      <c r="K2637" s="3" t="str">
        <f>IFERROR(__xludf.DUMMYFUNCTION("""COMPUTED_VALUE"""),"นายจิระพงษ์ โพธิ์นิล")</f>
        <v>นายจิระพงษ์ โพธิ์นิล</v>
      </c>
      <c r="L2637" s="1" t="str">
        <f>IFERROR(__xludf.DUMMYFUNCTION("""COMPUTED_VALUE"""),"นายจิระพงษ์ โพธิ์นิล")</f>
        <v>นายจิระพงษ์ โพธิ์นิล</v>
      </c>
      <c r="M2637" s="1" t="str">
        <f>IFERROR(__xludf.DUMMYFUNCTION("""COMPUTED_VALUE"""),"0933290754")</f>
        <v>0933290754</v>
      </c>
      <c r="N2637" s="3">
        <f>IFERROR(__xludf.DUMMYFUNCTION("""COMPUTED_VALUE"""),83415.0)</f>
        <v>83415</v>
      </c>
      <c r="O2637" s="3" t="str">
        <f>IFERROR(__xludf.DUMMYFUNCTION("""COMPUTED_VALUE"""),"ศูนย์ถาวร (สหกรณ์บ้านเรา)")</f>
        <v>ศูนย์ถาวร (สหกรณ์บ้านเรา)</v>
      </c>
      <c r="P2637" s="4">
        <f>IFERROR(__xludf.DUMMYFUNCTION("""COMPUTED_VALUE"""),44606.0)</f>
        <v>44606</v>
      </c>
      <c r="Q2637" s="3" t="str">
        <f>IFERROR(__xludf.DUMMYFUNCTION("""COMPUTED_VALUE"""),"A")</f>
        <v>A</v>
      </c>
      <c r="R2637" s="3" t="str">
        <f>IFERROR(__xludf.DUMMYFUNCTION("""COMPUTED_VALUE"""),"Small Format")</f>
        <v>Small Format</v>
      </c>
      <c r="S2637" s="3" t="str">
        <f>IFERROR(__xludf.DUMMYFUNCTION("""COMPUTED_VALUE"""),"Donjai")</f>
        <v>Donjai</v>
      </c>
      <c r="T2637" s="3" t="str">
        <f>IFERROR(__xludf.DUMMYFUNCTION("""COMPUTED_VALUE"""),"04 K.Somboon P.")</f>
        <v>04 K.Somboon P.</v>
      </c>
      <c r="U2637" s="3" t="str">
        <f>IFERROR(__xludf.DUMMYFUNCTION("""COMPUTED_VALUE"""),"04 K.Somboon P.")</f>
        <v>04 K.Somboon P.</v>
      </c>
      <c r="V2637" s="3" t="str">
        <f>IFERROR(__xludf.DUMMYFUNCTION("""COMPUTED_VALUE"""),"N")</f>
        <v>N</v>
      </c>
      <c r="W2637" s="3"/>
      <c r="X2637" s="3" t="str">
        <f>IFERROR(__xludf.DUMMYFUNCTION("""COMPUTED_VALUE"""),"122 ม.1 ต.ถาวร อ.เฉลิมพระเกีตรติ จ.บุรีรัมย์")</f>
        <v>122 ม.1 ต.ถาวร อ.เฉลิมพระเกีตรติ จ.บุรีรัมย์</v>
      </c>
      <c r="Y2637" s="3"/>
      <c r="Z2637" s="3">
        <f>IFERROR(__xludf.DUMMYFUNCTION("""COMPUTED_VALUE"""),0.0)</f>
        <v>0</v>
      </c>
      <c r="AA2637" s="3">
        <f>IFERROR(__xludf.DUMMYFUNCTION("""COMPUTED_VALUE"""),0.0)</f>
        <v>0</v>
      </c>
      <c r="AB2637" s="3" t="str">
        <f>IFERROR(__xludf.DUMMYFUNCTION("""COMPUTED_VALUE"""),"บุรีรัมย์")</f>
        <v>บุรีรัมย์</v>
      </c>
      <c r="AC2637" s="3">
        <f>IFERROR(__xludf.DUMMYFUNCTION("""COMPUTED_VALUE"""),0.0)</f>
        <v>0</v>
      </c>
      <c r="AD2637" s="3"/>
      <c r="AE2637" s="3"/>
      <c r="AF2637" s="3" t="str">
        <f>IFERROR(__xludf.DUMMYFUNCTION("""COMPUTED_VALUE"""),"ศูนย์ถาวร (สหกรณ์บ้านเรา)-83415")</f>
        <v>ศูนย์ถาวร (สหกรณ์บ้านเรา)-83415</v>
      </c>
      <c r="AG2637" s="3" t="str">
        <f>IFERROR(__xludf.DUMMYFUNCTION("""COMPUTED_VALUE"""),"ตะวันออกเฉียงเหนือ")</f>
        <v>ตะวันออกเฉียงเหนือ</v>
      </c>
      <c r="AH2637" s="3" t="str">
        <f>IFERROR(__xludf.DUMMYFUNCTION("""COMPUTED_VALUE"""),"#N/A")</f>
        <v>#N/A</v>
      </c>
      <c r="AI2637" s="3" t="str">
        <f>IFERROR(__xludf.DUMMYFUNCTION("""COMPUTED_VALUE"""),"Out of warranty")</f>
        <v>Out of warranty</v>
      </c>
      <c r="AJ2637" s="3">
        <f>IFERROR(__xludf.DUMMYFUNCTION("""COMPUTED_VALUE"""),48.0)</f>
        <v>48</v>
      </c>
      <c r="AK2637" s="3"/>
      <c r="AL2637" s="3"/>
    </row>
    <row r="2638" ht="15.75" customHeight="1">
      <c r="A2638" s="1" t="str">
        <f>IFERROR(__xludf.DUMMYFUNCTION("""COMPUTED_VALUE"""),"83417")</f>
        <v>83417</v>
      </c>
      <c r="B2638" s="2">
        <f>IFERROR(__xludf.DUMMYFUNCTION("""COMPUTED_VALUE"""),83417.0)</f>
        <v>83417</v>
      </c>
      <c r="C2638" s="3" t="str">
        <f>IFERROR(__xludf.DUMMYFUNCTION("""COMPUTED_VALUE"""),"ร้านเก่งพาณิชย์ (เปลี่ยนชื่อจากร้านคุณเก่ง)")</f>
        <v>ร้านเก่งพาณิชย์ (เปลี่ยนชื่อจากร้านคุณเก่ง)</v>
      </c>
      <c r="D2638" s="3" t="str">
        <f>IFERROR(__xludf.DUMMYFUNCTION("""COMPUTED_VALUE"""),"ร้านเก่งพาณิชย์ (เปลี่ยนชื่อจากร้านคุณเก่ง)")</f>
        <v>ร้านเก่งพาณิชย์ (เปลี่ยนชื่อจากร้านคุณเก่ง)</v>
      </c>
      <c r="E2638" s="1" t="str">
        <f>IFERROR(__xludf.DUMMYFUNCTION("""COMPUTED_VALUE"""),"Donjai")</f>
        <v>Donjai</v>
      </c>
      <c r="F2638" s="1" t="str">
        <f>IFERROR(__xludf.DUMMYFUNCTION("""COMPUTED_VALUE"""),"2454781")</f>
        <v>2454781</v>
      </c>
      <c r="G2638" s="1" t="str">
        <f>IFERROR(__xludf.DUMMYFUNCTION("""COMPUTED_VALUE"""),"นายฌานกฤช นันทะโคต")</f>
        <v>นายฌานกฤช นันทะโคต</v>
      </c>
      <c r="H2638" s="1" t="str">
        <f>IFERROR(__xludf.DUMMYFUNCTION("""COMPUTED_VALUE"""),"2454781")</f>
        <v>2454781</v>
      </c>
      <c r="I2638" s="1" t="str">
        <f>IFERROR(__xludf.DUMMYFUNCTION("""COMPUTED_VALUE"""),"นายฌานกฤช นันทะโคต")</f>
        <v>นายฌานกฤช นันทะโคต</v>
      </c>
      <c r="J2638" s="3">
        <f>IFERROR(__xludf.DUMMYFUNCTION("""COMPUTED_VALUE"""),295886.0)</f>
        <v>295886</v>
      </c>
      <c r="K2638" s="3" t="str">
        <f>IFERROR(__xludf.DUMMYFUNCTION("""COMPUTED_VALUE"""),"นายจิระพงษ์ โพธิ์นิล")</f>
        <v>นายจิระพงษ์ โพธิ์นิล</v>
      </c>
      <c r="L2638" s="1" t="str">
        <f>IFERROR(__xludf.DUMMYFUNCTION("""COMPUTED_VALUE"""),"นายจิระพงษ์ โพธิ์นิล")</f>
        <v>นายจิระพงษ์ โพธิ์นิล</v>
      </c>
      <c r="M2638" s="1" t="str">
        <f>IFERROR(__xludf.DUMMYFUNCTION("""COMPUTED_VALUE"""),"0933290754")</f>
        <v>0933290754</v>
      </c>
      <c r="N2638" s="3">
        <f>IFERROR(__xludf.DUMMYFUNCTION("""COMPUTED_VALUE"""),83417.0)</f>
        <v>83417</v>
      </c>
      <c r="O2638" s="3" t="str">
        <f>IFERROR(__xludf.DUMMYFUNCTION("""COMPUTED_VALUE"""),"ร้านเก่งพาณิชย์ (เปลี่ยนชื่อจากร้านคุณเก่ง)")</f>
        <v>ร้านเก่งพาณิชย์ (เปลี่ยนชื่อจากร้านคุณเก่ง)</v>
      </c>
      <c r="P2638" s="4">
        <f>IFERROR(__xludf.DUMMYFUNCTION("""COMPUTED_VALUE"""),44607.0)</f>
        <v>44607</v>
      </c>
      <c r="Q2638" s="3" t="str">
        <f>IFERROR(__xludf.DUMMYFUNCTION("""COMPUTED_VALUE"""),"A")</f>
        <v>A</v>
      </c>
      <c r="R2638" s="3" t="str">
        <f>IFERROR(__xludf.DUMMYFUNCTION("""COMPUTED_VALUE"""),"Small Format")</f>
        <v>Small Format</v>
      </c>
      <c r="S2638" s="3" t="str">
        <f>IFERROR(__xludf.DUMMYFUNCTION("""COMPUTED_VALUE"""),"Donjai")</f>
        <v>Donjai</v>
      </c>
      <c r="T2638" s="3" t="str">
        <f>IFERROR(__xludf.DUMMYFUNCTION("""COMPUTED_VALUE"""),"05 K.Chanakrit N.")</f>
        <v>05 K.Chanakrit N.</v>
      </c>
      <c r="U2638" s="3" t="str">
        <f>IFERROR(__xludf.DUMMYFUNCTION("""COMPUTED_VALUE"""),"05 K.Chanakrit N.")</f>
        <v>05 K.Chanakrit N.</v>
      </c>
      <c r="V2638" s="3" t="str">
        <f>IFERROR(__xludf.DUMMYFUNCTION("""COMPUTED_VALUE"""),"N")</f>
        <v>N</v>
      </c>
      <c r="W2638" s="3"/>
      <c r="X2638" s="3" t="str">
        <f>IFERROR(__xludf.DUMMYFUNCTION("""COMPUTED_VALUE"""),"เลขที่ 36 ม.3 ต.ดอนจาน อ.ดอนจาน จ.กาฬสินธุ์ 46000")</f>
        <v>เลขที่ 36 ม.3 ต.ดอนจาน อ.ดอนจาน จ.กาฬสินธุ์ 46000</v>
      </c>
      <c r="Y2638" s="3"/>
      <c r="Z2638" s="3">
        <f>IFERROR(__xludf.DUMMYFUNCTION("""COMPUTED_VALUE"""),0.0)</f>
        <v>0</v>
      </c>
      <c r="AA2638" s="3">
        <f>IFERROR(__xludf.DUMMYFUNCTION("""COMPUTED_VALUE"""),0.0)</f>
        <v>0</v>
      </c>
      <c r="AB2638" s="3" t="str">
        <f>IFERROR(__xludf.DUMMYFUNCTION("""COMPUTED_VALUE"""),"กาฬสินธุ์")</f>
        <v>กาฬสินธุ์</v>
      </c>
      <c r="AC2638" s="3">
        <f>IFERROR(__xludf.DUMMYFUNCTION("""COMPUTED_VALUE"""),46000.0)</f>
        <v>46000</v>
      </c>
      <c r="AD2638" s="3"/>
      <c r="AE2638" s="3"/>
      <c r="AF2638" s="3" t="str">
        <f>IFERROR(__xludf.DUMMYFUNCTION("""COMPUTED_VALUE"""),"ร้านเก่งพาณิชย์ (เปลี่ยนชื่อจากร้านคุณเก่ง)-83417")</f>
        <v>ร้านเก่งพาณิชย์ (เปลี่ยนชื่อจากร้านคุณเก่ง)-83417</v>
      </c>
      <c r="AG2638" s="3" t="str">
        <f>IFERROR(__xludf.DUMMYFUNCTION("""COMPUTED_VALUE"""),"ตะวันออกเฉียงเหนือ")</f>
        <v>ตะวันออกเฉียงเหนือ</v>
      </c>
      <c r="AH2638" s="3" t="str">
        <f>IFERROR(__xludf.DUMMYFUNCTION("""COMPUTED_VALUE"""),"#N/A")</f>
        <v>#N/A</v>
      </c>
      <c r="AI2638" s="3" t="str">
        <f>IFERROR(__xludf.DUMMYFUNCTION("""COMPUTED_VALUE"""),"Out of warranty")</f>
        <v>Out of warranty</v>
      </c>
      <c r="AJ2638" s="3">
        <f>IFERROR(__xludf.DUMMYFUNCTION("""COMPUTED_VALUE"""),48.0)</f>
        <v>48</v>
      </c>
      <c r="AK2638" s="3"/>
      <c r="AL2638" s="3"/>
    </row>
    <row r="2639" ht="15.75" customHeight="1">
      <c r="A2639" s="1" t="str">
        <f>IFERROR(__xludf.DUMMYFUNCTION("""COMPUTED_VALUE"""),"83418")</f>
        <v>83418</v>
      </c>
      <c r="B2639" s="2">
        <f>IFERROR(__xludf.DUMMYFUNCTION("""COMPUTED_VALUE"""),83418.0)</f>
        <v>83418</v>
      </c>
      <c r="C2639" s="3" t="str">
        <f>IFERROR(__xludf.DUMMYFUNCTION("""COMPUTED_VALUE"""),"ร้านปลื้มป่าน")</f>
        <v>ร้านปลื้มป่าน</v>
      </c>
      <c r="D2639" s="3" t="str">
        <f>IFERROR(__xludf.DUMMYFUNCTION("""COMPUTED_VALUE"""),"ร้านปลื้มป่าน")</f>
        <v>ร้านปลื้มป่าน</v>
      </c>
      <c r="E2639" s="1" t="str">
        <f>IFERROR(__xludf.DUMMYFUNCTION("""COMPUTED_VALUE"""),"Donjai")</f>
        <v>Donjai</v>
      </c>
      <c r="F2639" s="1" t="str">
        <f>IFERROR(__xludf.DUMMYFUNCTION("""COMPUTED_VALUE"""),"2010023")</f>
        <v>2010023</v>
      </c>
      <c r="G2639" s="1" t="str">
        <f>IFERROR(__xludf.DUMMYFUNCTION("""COMPUTED_VALUE"""),"นายวศิน ไวยรูป")</f>
        <v>นายวศิน ไวยรูป</v>
      </c>
      <c r="H2639" s="1" t="str">
        <f>IFERROR(__xludf.DUMMYFUNCTION("""COMPUTED_VALUE"""),"2010023")</f>
        <v>2010023</v>
      </c>
      <c r="I2639" s="1" t="str">
        <f>IFERROR(__xludf.DUMMYFUNCTION("""COMPUTED_VALUE"""),"นายวศิน ไวยรูป")</f>
        <v>นายวศิน ไวยรูป</v>
      </c>
      <c r="J2639" s="3">
        <f>IFERROR(__xludf.DUMMYFUNCTION("""COMPUTED_VALUE"""),228031.0)</f>
        <v>228031</v>
      </c>
      <c r="K2639" s="3" t="str">
        <f>IFERROR(__xludf.DUMMYFUNCTION("""COMPUTED_VALUE"""),"นายธนพงษ์ วันหมัด")</f>
        <v>นายธนพงษ์ วันหมัด</v>
      </c>
      <c r="L2639" s="1" t="str">
        <f>IFERROR(__xludf.DUMMYFUNCTION("""COMPUTED_VALUE"""),"นายธนพงษ์ วันหมัด")</f>
        <v>นายธนพงษ์ วันหมัด</v>
      </c>
      <c r="M2639" s="1" t="str">
        <f>IFERROR(__xludf.DUMMYFUNCTION("""COMPUTED_VALUE"""),"0813716913")</f>
        <v>0813716913</v>
      </c>
      <c r="N2639" s="3">
        <f>IFERROR(__xludf.DUMMYFUNCTION("""COMPUTED_VALUE"""),83418.0)</f>
        <v>83418</v>
      </c>
      <c r="O2639" s="3" t="str">
        <f>IFERROR(__xludf.DUMMYFUNCTION("""COMPUTED_VALUE"""),"ร้านปลื้มป่าน")</f>
        <v>ร้านปลื้มป่าน</v>
      </c>
      <c r="P2639" s="4">
        <f>IFERROR(__xludf.DUMMYFUNCTION("""COMPUTED_VALUE"""),44596.0)</f>
        <v>44596</v>
      </c>
      <c r="Q2639" s="3" t="str">
        <f>IFERROR(__xludf.DUMMYFUNCTION("""COMPUTED_VALUE"""),"I")</f>
        <v>I</v>
      </c>
      <c r="R2639" s="3" t="str">
        <f>IFERROR(__xludf.DUMMYFUNCTION("""COMPUTED_VALUE"""),"Small Format")</f>
        <v>Small Format</v>
      </c>
      <c r="S2639" s="3" t="str">
        <f>IFERROR(__xludf.DUMMYFUNCTION("""COMPUTED_VALUE"""),"Donjai")</f>
        <v>Donjai</v>
      </c>
      <c r="T2639" s="3" t="str">
        <f>IFERROR(__xludf.DUMMYFUNCTION("""COMPUTED_VALUE"""),"Donjai")</f>
        <v>Donjai</v>
      </c>
      <c r="U2639" s="3" t="str">
        <f>IFERROR(__xludf.DUMMYFUNCTION("""COMPUTED_VALUE"""),"Donjai")</f>
        <v>Donjai</v>
      </c>
      <c r="V2639" s="3" t="str">
        <f>IFERROR(__xludf.DUMMYFUNCTION("""COMPUTED_VALUE"""),"N")</f>
        <v>N</v>
      </c>
      <c r="W2639" s="3"/>
      <c r="X2639" s="3" t="str">
        <f>IFERROR(__xludf.DUMMYFUNCTION("""COMPUTED_VALUE"""),"ถ.สุขาภิบาล2 ซอย 1 เขตประเวศ กทม")</f>
        <v>ถ.สุขาภิบาล2 ซอย 1 เขตประเวศ กทม</v>
      </c>
      <c r="Y2639" s="3"/>
      <c r="Z2639" s="3">
        <f>IFERROR(__xludf.DUMMYFUNCTION("""COMPUTED_VALUE"""),0.0)</f>
        <v>0</v>
      </c>
      <c r="AA2639" s="3" t="str">
        <f>IFERROR(__xludf.DUMMYFUNCTION("""COMPUTED_VALUE"""),"ประเวศ")</f>
        <v>ประเวศ</v>
      </c>
      <c r="AB2639" s="3" t="str">
        <f>IFERROR(__xludf.DUMMYFUNCTION("""COMPUTED_VALUE"""),"กรุงเทพมหานคร")</f>
        <v>กรุงเทพมหานคร</v>
      </c>
      <c r="AC2639" s="3">
        <f>IFERROR(__xludf.DUMMYFUNCTION("""COMPUTED_VALUE"""),0.0)</f>
        <v>0</v>
      </c>
      <c r="AD2639" s="3"/>
      <c r="AE2639" s="3"/>
      <c r="AF2639" s="3" t="str">
        <f>IFERROR(__xludf.DUMMYFUNCTION("""COMPUTED_VALUE"""),"ร้านปลื้มป่าน-83418")</f>
        <v>ร้านปลื้มป่าน-83418</v>
      </c>
      <c r="AG2639" s="3" t="str">
        <f>IFERROR(__xludf.DUMMYFUNCTION("""COMPUTED_VALUE"""),"กลาง")</f>
        <v>กลาง</v>
      </c>
      <c r="AH2639" s="3" t="str">
        <f>IFERROR(__xludf.DUMMYFUNCTION("""COMPUTED_VALUE"""),"#N/A")</f>
        <v>#N/A</v>
      </c>
      <c r="AI2639" s="3" t="str">
        <f>IFERROR(__xludf.DUMMYFUNCTION("""COMPUTED_VALUE"""),"Out of warranty")</f>
        <v>Out of warranty</v>
      </c>
      <c r="AJ2639" s="3">
        <f>IFERROR(__xludf.DUMMYFUNCTION("""COMPUTED_VALUE"""),48.0)</f>
        <v>48</v>
      </c>
      <c r="AK2639" s="3"/>
      <c r="AL2639" s="3"/>
    </row>
    <row r="2640" ht="15.75" customHeight="1">
      <c r="A2640" s="1" t="str">
        <f>IFERROR(__xludf.DUMMYFUNCTION("""COMPUTED_VALUE"""),"83420")</f>
        <v>83420</v>
      </c>
      <c r="B2640" s="2">
        <f>IFERROR(__xludf.DUMMYFUNCTION("""COMPUTED_VALUE"""),83420.0)</f>
        <v>83420</v>
      </c>
      <c r="C2640" s="3" t="str">
        <f>IFERROR(__xludf.DUMMYFUNCTION("""COMPUTED_VALUE"""),"ร้านวรัญญา ลาภาณิชย์")</f>
        <v>ร้านวรัญญา ลาภาณิชย์</v>
      </c>
      <c r="D2640" s="3" t="str">
        <f>IFERROR(__xludf.DUMMYFUNCTION("""COMPUTED_VALUE"""),"ร้านวรัญญา ลาภาณิชย์")</f>
        <v>ร้านวรัญญา ลาภาณิชย์</v>
      </c>
      <c r="E2640" s="1" t="str">
        <f>IFERROR(__xludf.DUMMYFUNCTION("""COMPUTED_VALUE"""),"Donjai")</f>
        <v>Donjai</v>
      </c>
      <c r="F2640" s="1" t="str">
        <f>IFERROR(__xludf.DUMMYFUNCTION("""COMPUTED_VALUE"""),"046214")</f>
        <v>046214</v>
      </c>
      <c r="G2640" s="1" t="str">
        <f>IFERROR(__xludf.DUMMYFUNCTION("""COMPUTED_VALUE"""),"นายศักดิ์ชัย เด็ดดอกฟ้า")</f>
        <v>นายศักดิ์ชัย เด็ดดอกฟ้า</v>
      </c>
      <c r="H2640" s="1" t="str">
        <f>IFERROR(__xludf.DUMMYFUNCTION("""COMPUTED_VALUE"""),"046214")</f>
        <v>046214</v>
      </c>
      <c r="I2640" s="1" t="str">
        <f>IFERROR(__xludf.DUMMYFUNCTION("""COMPUTED_VALUE"""),"นายศักดิ์ชัย เด็ดดอกฟ้า")</f>
        <v>นายศักดิ์ชัย เด็ดดอกฟ้า</v>
      </c>
      <c r="J2640" s="3">
        <f>IFERROR(__xludf.DUMMYFUNCTION("""COMPUTED_VALUE"""),295886.0)</f>
        <v>295886</v>
      </c>
      <c r="K2640" s="3" t="str">
        <f>IFERROR(__xludf.DUMMYFUNCTION("""COMPUTED_VALUE"""),"นายจิระพงษ์ โพธิ์นิล")</f>
        <v>นายจิระพงษ์ โพธิ์นิล</v>
      </c>
      <c r="L2640" s="1" t="str">
        <f>IFERROR(__xludf.DUMMYFUNCTION("""COMPUTED_VALUE"""),"นายจิระพงษ์ โพธิ์นิล")</f>
        <v>นายจิระพงษ์ โพธิ์นิล</v>
      </c>
      <c r="M2640" s="1" t="str">
        <f>IFERROR(__xludf.DUMMYFUNCTION("""COMPUTED_VALUE"""),"0933290754")</f>
        <v>0933290754</v>
      </c>
      <c r="N2640" s="3">
        <f>IFERROR(__xludf.DUMMYFUNCTION("""COMPUTED_VALUE"""),83420.0)</f>
        <v>83420</v>
      </c>
      <c r="O2640" s="3" t="str">
        <f>IFERROR(__xludf.DUMMYFUNCTION("""COMPUTED_VALUE"""),"ร้านวรัญญา ลาภาณิชย์")</f>
        <v>ร้านวรัญญา ลาภาณิชย์</v>
      </c>
      <c r="P2640" s="4">
        <f>IFERROR(__xludf.DUMMYFUNCTION("""COMPUTED_VALUE"""),44620.0)</f>
        <v>44620</v>
      </c>
      <c r="Q2640" s="3" t="str">
        <f>IFERROR(__xludf.DUMMYFUNCTION("""COMPUTED_VALUE"""),"A")</f>
        <v>A</v>
      </c>
      <c r="R2640" s="3" t="str">
        <f>IFERROR(__xludf.DUMMYFUNCTION("""COMPUTED_VALUE"""),"Small Format")</f>
        <v>Small Format</v>
      </c>
      <c r="S2640" s="3" t="str">
        <f>IFERROR(__xludf.DUMMYFUNCTION("""COMPUTED_VALUE"""),"Donjai")</f>
        <v>Donjai</v>
      </c>
      <c r="T2640" s="3" t="str">
        <f>IFERROR(__xludf.DUMMYFUNCTION("""COMPUTED_VALUE"""),"02 K.Sakchai D")</f>
        <v>02 K.Sakchai D</v>
      </c>
      <c r="U2640" s="3" t="str">
        <f>IFERROR(__xludf.DUMMYFUNCTION("""COMPUTED_VALUE"""),"02 K.Sakchai D")</f>
        <v>02 K.Sakchai D</v>
      </c>
      <c r="V2640" s="3" t="str">
        <f>IFERROR(__xludf.DUMMYFUNCTION("""COMPUTED_VALUE"""),"N")</f>
        <v>N</v>
      </c>
      <c r="W2640" s="3"/>
      <c r="X2640" s="3" t="str">
        <f>IFERROR(__xludf.DUMMYFUNCTION("""COMPUTED_VALUE"""),"54 หมู่2 ต.นครเดิฐ อ.ศรีนคร จ.สุโขทัย 64180")</f>
        <v>54 หมู่2 ต.นครเดิฐ อ.ศรีนคร จ.สุโขทัย 64180</v>
      </c>
      <c r="Y2640" s="3"/>
      <c r="Z2640" s="3">
        <f>IFERROR(__xludf.DUMMYFUNCTION("""COMPUTED_VALUE"""),0.0)</f>
        <v>0</v>
      </c>
      <c r="AA2640" s="3">
        <f>IFERROR(__xludf.DUMMYFUNCTION("""COMPUTED_VALUE"""),0.0)</f>
        <v>0</v>
      </c>
      <c r="AB2640" s="3" t="str">
        <f>IFERROR(__xludf.DUMMYFUNCTION("""COMPUTED_VALUE"""),"สุโขทัย")</f>
        <v>สุโขทัย</v>
      </c>
      <c r="AC2640" s="3">
        <f>IFERROR(__xludf.DUMMYFUNCTION("""COMPUTED_VALUE"""),64180.0)</f>
        <v>64180</v>
      </c>
      <c r="AD2640" s="3"/>
      <c r="AE2640" s="3"/>
      <c r="AF2640" s="3" t="str">
        <f>IFERROR(__xludf.DUMMYFUNCTION("""COMPUTED_VALUE"""),"ร้านวรัญญา ลาภาณิชย์-83420")</f>
        <v>ร้านวรัญญา ลาภาณิชย์-83420</v>
      </c>
      <c r="AG2640" s="3" t="str">
        <f>IFERROR(__xludf.DUMMYFUNCTION("""COMPUTED_VALUE"""),"กลาง")</f>
        <v>กลาง</v>
      </c>
      <c r="AH2640" s="3" t="str">
        <f>IFERROR(__xludf.DUMMYFUNCTION("""COMPUTED_VALUE"""),"#N/A")</f>
        <v>#N/A</v>
      </c>
      <c r="AI2640" s="3" t="str">
        <f>IFERROR(__xludf.DUMMYFUNCTION("""COMPUTED_VALUE"""),"Out of warranty")</f>
        <v>Out of warranty</v>
      </c>
      <c r="AJ2640" s="3">
        <f>IFERROR(__xludf.DUMMYFUNCTION("""COMPUTED_VALUE"""),47.0)</f>
        <v>47</v>
      </c>
      <c r="AK2640" s="3"/>
      <c r="AL2640" s="3"/>
    </row>
    <row r="2641" ht="15.75" customHeight="1">
      <c r="A2641" s="1" t="str">
        <f>IFERROR(__xludf.DUMMYFUNCTION("""COMPUTED_VALUE"""),"83421")</f>
        <v>83421</v>
      </c>
      <c r="B2641" s="2">
        <f>IFERROR(__xludf.DUMMYFUNCTION("""COMPUTED_VALUE"""),83421.0)</f>
        <v>83421</v>
      </c>
      <c r="C2641" s="3" t="str">
        <f>IFERROR(__xludf.DUMMYFUNCTION("""COMPUTED_VALUE"""),"ร้านร่งเรืองทรัพย์")</f>
        <v>ร้านร่งเรืองทรัพย์</v>
      </c>
      <c r="D2641" s="3" t="str">
        <f>IFERROR(__xludf.DUMMYFUNCTION("""COMPUTED_VALUE"""),"ร้านร่งเรืองทรัพย์")</f>
        <v>ร้านร่งเรืองทรัพย์</v>
      </c>
      <c r="E2641" s="1" t="str">
        <f>IFERROR(__xludf.DUMMYFUNCTION("""COMPUTED_VALUE"""),"Donjai")</f>
        <v>Donjai</v>
      </c>
      <c r="F2641" s="1" t="str">
        <f>IFERROR(__xludf.DUMMYFUNCTION("""COMPUTED_VALUE"""),"046214")</f>
        <v>046214</v>
      </c>
      <c r="G2641" s="1" t="str">
        <f>IFERROR(__xludf.DUMMYFUNCTION("""COMPUTED_VALUE"""),"นายศักดิ์ชัย เด็ดดอกฟ้า")</f>
        <v>นายศักดิ์ชัย เด็ดดอกฟ้า</v>
      </c>
      <c r="H2641" s="1" t="str">
        <f>IFERROR(__xludf.DUMMYFUNCTION("""COMPUTED_VALUE"""),"046214")</f>
        <v>046214</v>
      </c>
      <c r="I2641" s="1" t="str">
        <f>IFERROR(__xludf.DUMMYFUNCTION("""COMPUTED_VALUE"""),"นายศักดิ์ชัย เด็ดดอกฟ้า")</f>
        <v>นายศักดิ์ชัย เด็ดดอกฟ้า</v>
      </c>
      <c r="J2641" s="3">
        <f>IFERROR(__xludf.DUMMYFUNCTION("""COMPUTED_VALUE"""),295886.0)</f>
        <v>295886</v>
      </c>
      <c r="K2641" s="3" t="str">
        <f>IFERROR(__xludf.DUMMYFUNCTION("""COMPUTED_VALUE"""),"นายจิระพงษ์ โพธิ์นิล")</f>
        <v>นายจิระพงษ์ โพธิ์นิล</v>
      </c>
      <c r="L2641" s="1" t="str">
        <f>IFERROR(__xludf.DUMMYFUNCTION("""COMPUTED_VALUE"""),"นายจิระพงษ์ โพธิ์นิล")</f>
        <v>นายจิระพงษ์ โพธิ์นิล</v>
      </c>
      <c r="M2641" s="1" t="str">
        <f>IFERROR(__xludf.DUMMYFUNCTION("""COMPUTED_VALUE"""),"0933290754")</f>
        <v>0933290754</v>
      </c>
      <c r="N2641" s="3">
        <f>IFERROR(__xludf.DUMMYFUNCTION("""COMPUTED_VALUE"""),83421.0)</f>
        <v>83421</v>
      </c>
      <c r="O2641" s="3" t="str">
        <f>IFERROR(__xludf.DUMMYFUNCTION("""COMPUTED_VALUE"""),"ร้านร่งเรืองทรัพย์")</f>
        <v>ร้านร่งเรืองทรัพย์</v>
      </c>
      <c r="P2641" s="4">
        <f>IFERROR(__xludf.DUMMYFUNCTION("""COMPUTED_VALUE"""),44611.0)</f>
        <v>44611</v>
      </c>
      <c r="Q2641" s="3" t="str">
        <f>IFERROR(__xludf.DUMMYFUNCTION("""COMPUTED_VALUE"""),"I")</f>
        <v>I</v>
      </c>
      <c r="R2641" s="3" t="str">
        <f>IFERROR(__xludf.DUMMYFUNCTION("""COMPUTED_VALUE"""),"Small Format")</f>
        <v>Small Format</v>
      </c>
      <c r="S2641" s="3" t="str">
        <f>IFERROR(__xludf.DUMMYFUNCTION("""COMPUTED_VALUE"""),"Donjai")</f>
        <v>Donjai</v>
      </c>
      <c r="T2641" s="3" t="str">
        <f>IFERROR(__xludf.DUMMYFUNCTION("""COMPUTED_VALUE"""),"02 K.Sakchai D")</f>
        <v>02 K.Sakchai D</v>
      </c>
      <c r="U2641" s="3" t="str">
        <f>IFERROR(__xludf.DUMMYFUNCTION("""COMPUTED_VALUE"""),"02 K.Sakchai D")</f>
        <v>02 K.Sakchai D</v>
      </c>
      <c r="V2641" s="3" t="str">
        <f>IFERROR(__xludf.DUMMYFUNCTION("""COMPUTED_VALUE"""),"N")</f>
        <v>N</v>
      </c>
      <c r="W2641" s="3"/>
      <c r="X2641" s="3" t="str">
        <f>IFERROR(__xludf.DUMMYFUNCTION("""COMPUTED_VALUE"""),"20/4 ม.6 ต.ปากช่อง อ.หล่มสัก จ.เพชรบูรณ์ 67110")</f>
        <v>20/4 ม.6 ต.ปากช่อง อ.หล่มสัก จ.เพชรบูรณ์ 67110</v>
      </c>
      <c r="Y2641" s="3"/>
      <c r="Z2641" s="3" t="str">
        <f>IFERROR(__xludf.DUMMYFUNCTION("""COMPUTED_VALUE"""),"ปากช่อง")</f>
        <v>ปากช่อง</v>
      </c>
      <c r="AA2641" s="3" t="str">
        <f>IFERROR(__xludf.DUMMYFUNCTION("""COMPUTED_VALUE"""),"หล่มสัก")</f>
        <v>หล่มสัก</v>
      </c>
      <c r="AB2641" s="3" t="str">
        <f>IFERROR(__xludf.DUMMYFUNCTION("""COMPUTED_VALUE"""),"เพชรบูรณ์")</f>
        <v>เพชรบูรณ์</v>
      </c>
      <c r="AC2641" s="3">
        <f>IFERROR(__xludf.DUMMYFUNCTION("""COMPUTED_VALUE"""),67110.0)</f>
        <v>67110</v>
      </c>
      <c r="AD2641" s="3"/>
      <c r="AE2641" s="3"/>
      <c r="AF2641" s="3" t="str">
        <f>IFERROR(__xludf.DUMMYFUNCTION("""COMPUTED_VALUE"""),"ร้านร่งเรืองทรัพย์-83421")</f>
        <v>ร้านร่งเรืองทรัพย์-83421</v>
      </c>
      <c r="AG2641" s="3" t="str">
        <f>IFERROR(__xludf.DUMMYFUNCTION("""COMPUTED_VALUE"""),"กลาง")</f>
        <v>กลาง</v>
      </c>
      <c r="AH2641" s="3" t="str">
        <f>IFERROR(__xludf.DUMMYFUNCTION("""COMPUTED_VALUE"""),"#N/A")</f>
        <v>#N/A</v>
      </c>
      <c r="AI2641" s="3" t="str">
        <f>IFERROR(__xludf.DUMMYFUNCTION("""COMPUTED_VALUE"""),"Out of warranty")</f>
        <v>Out of warranty</v>
      </c>
      <c r="AJ2641" s="3">
        <f>IFERROR(__xludf.DUMMYFUNCTION("""COMPUTED_VALUE"""),48.0)</f>
        <v>48</v>
      </c>
      <c r="AK2641" s="3"/>
      <c r="AL2641" s="3"/>
    </row>
    <row r="2642" ht="15.75" customHeight="1">
      <c r="A2642" s="1" t="str">
        <f>IFERROR(__xludf.DUMMYFUNCTION("""COMPUTED_VALUE"""),"83423")</f>
        <v>83423</v>
      </c>
      <c r="B2642" s="2">
        <f>IFERROR(__xludf.DUMMYFUNCTION("""COMPUTED_VALUE"""),83423.0)</f>
        <v>83423</v>
      </c>
      <c r="C2642" s="3" t="str">
        <f>IFERROR(__xludf.DUMMYFUNCTION("""COMPUTED_VALUE"""),"ร้าน P&amp;T (ร้านปาริฉัตร)")</f>
        <v>ร้าน P&amp;T (ร้านปาริฉัตร)</v>
      </c>
      <c r="D2642" s="3" t="str">
        <f>IFERROR(__xludf.DUMMYFUNCTION("""COMPUTED_VALUE"""),"ร้าน P&amp;T (ร้านปาริฉัตร)")</f>
        <v>ร้าน P&amp;T (ร้านปาริฉัตร)</v>
      </c>
      <c r="E2642" s="1" t="str">
        <f>IFERROR(__xludf.DUMMYFUNCTION("""COMPUTED_VALUE"""),"Donjai")</f>
        <v>Donjai</v>
      </c>
      <c r="F2642" s="1" t="str">
        <f>IFERROR(__xludf.DUMMYFUNCTION("""COMPUTED_VALUE"""),"2010023")</f>
        <v>2010023</v>
      </c>
      <c r="G2642" s="1" t="str">
        <f>IFERROR(__xludf.DUMMYFUNCTION("""COMPUTED_VALUE"""),"นายวศิน ไวยรูป")</f>
        <v>นายวศิน ไวยรูป</v>
      </c>
      <c r="H2642" s="1" t="str">
        <f>IFERROR(__xludf.DUMMYFUNCTION("""COMPUTED_VALUE"""),"2010023")</f>
        <v>2010023</v>
      </c>
      <c r="I2642" s="1" t="str">
        <f>IFERROR(__xludf.DUMMYFUNCTION("""COMPUTED_VALUE"""),"นายวศิน ไวยรูป")</f>
        <v>นายวศิน ไวยรูป</v>
      </c>
      <c r="J2642" s="3">
        <f>IFERROR(__xludf.DUMMYFUNCTION("""COMPUTED_VALUE"""),228031.0)</f>
        <v>228031</v>
      </c>
      <c r="K2642" s="3" t="str">
        <f>IFERROR(__xludf.DUMMYFUNCTION("""COMPUTED_VALUE"""),"นายธนพงษ์ วันหมัด")</f>
        <v>นายธนพงษ์ วันหมัด</v>
      </c>
      <c r="L2642" s="1" t="str">
        <f>IFERROR(__xludf.DUMMYFUNCTION("""COMPUTED_VALUE"""),"นายธนพงษ์ วันหมัด")</f>
        <v>นายธนพงษ์ วันหมัด</v>
      </c>
      <c r="M2642" s="1" t="str">
        <f>IFERROR(__xludf.DUMMYFUNCTION("""COMPUTED_VALUE"""),"0813716913")</f>
        <v>0813716913</v>
      </c>
      <c r="N2642" s="3">
        <f>IFERROR(__xludf.DUMMYFUNCTION("""COMPUTED_VALUE"""),83423.0)</f>
        <v>83423</v>
      </c>
      <c r="O2642" s="3" t="str">
        <f>IFERROR(__xludf.DUMMYFUNCTION("""COMPUTED_VALUE"""),"ร้าน P&amp;T (ร้านปาริฉัตร)")</f>
        <v>ร้าน P&amp;T (ร้านปาริฉัตร)</v>
      </c>
      <c r="P2642" s="4">
        <f>IFERROR(__xludf.DUMMYFUNCTION("""COMPUTED_VALUE"""),44599.0)</f>
        <v>44599</v>
      </c>
      <c r="Q2642" s="3" t="str">
        <f>IFERROR(__xludf.DUMMYFUNCTION("""COMPUTED_VALUE"""),"I")</f>
        <v>I</v>
      </c>
      <c r="R2642" s="3" t="str">
        <f>IFERROR(__xludf.DUMMYFUNCTION("""COMPUTED_VALUE"""),"Small Format")</f>
        <v>Small Format</v>
      </c>
      <c r="S2642" s="3" t="str">
        <f>IFERROR(__xludf.DUMMYFUNCTION("""COMPUTED_VALUE"""),"Donjai")</f>
        <v>Donjai</v>
      </c>
      <c r="T2642" s="3" t="str">
        <f>IFERROR(__xludf.DUMMYFUNCTION("""COMPUTED_VALUE"""),"Donjai")</f>
        <v>Donjai</v>
      </c>
      <c r="U2642" s="3" t="str">
        <f>IFERROR(__xludf.DUMMYFUNCTION("""COMPUTED_VALUE"""),"Donjai")</f>
        <v>Donjai</v>
      </c>
      <c r="V2642" s="3" t="str">
        <f>IFERROR(__xludf.DUMMYFUNCTION("""COMPUTED_VALUE"""),"N")</f>
        <v>N</v>
      </c>
      <c r="W2642" s="3"/>
      <c r="X2642" s="3" t="str">
        <f>IFERROR(__xludf.DUMMYFUNCTION("""COMPUTED_VALUE"""),"434/8 ซอยพระเทพรัตนโมลี5 ถนนประชาพัฒน แขวงทับยาว เขตลาดกระบัง")</f>
        <v>434/8 ซอยพระเทพรัตนโมลี5 ถนนประชาพัฒน แขวงทับยาว เขตลาดกระบัง</v>
      </c>
      <c r="Y2642" s="3"/>
      <c r="Z2642" s="3">
        <f>IFERROR(__xludf.DUMMYFUNCTION("""COMPUTED_VALUE"""),0.0)</f>
        <v>0</v>
      </c>
      <c r="AA2642" s="3">
        <f>IFERROR(__xludf.DUMMYFUNCTION("""COMPUTED_VALUE"""),0.0)</f>
        <v>0</v>
      </c>
      <c r="AB2642" s="3" t="str">
        <f>IFERROR(__xludf.DUMMYFUNCTION("""COMPUTED_VALUE"""),"กรุงเทพมหานคร")</f>
        <v>กรุงเทพมหานคร</v>
      </c>
      <c r="AC2642" s="3">
        <f>IFERROR(__xludf.DUMMYFUNCTION("""COMPUTED_VALUE"""),0.0)</f>
        <v>0</v>
      </c>
      <c r="AD2642" s="3"/>
      <c r="AE2642" s="3"/>
      <c r="AF2642" s="3" t="str">
        <f>IFERROR(__xludf.DUMMYFUNCTION("""COMPUTED_VALUE"""),"ร้าน P&amp;T (ร้านปาริฉัตร)-83423")</f>
        <v>ร้าน P&amp;T (ร้านปาริฉัตร)-83423</v>
      </c>
      <c r="AG2642" s="3" t="str">
        <f>IFERROR(__xludf.DUMMYFUNCTION("""COMPUTED_VALUE"""),"กลาง")</f>
        <v>กลาง</v>
      </c>
      <c r="AH2642" s="3" t="str">
        <f>IFERROR(__xludf.DUMMYFUNCTION("""COMPUTED_VALUE"""),"#N/A")</f>
        <v>#N/A</v>
      </c>
      <c r="AI2642" s="3" t="str">
        <f>IFERROR(__xludf.DUMMYFUNCTION("""COMPUTED_VALUE"""),"Out of warranty")</f>
        <v>Out of warranty</v>
      </c>
      <c r="AJ2642" s="3">
        <f>IFERROR(__xludf.DUMMYFUNCTION("""COMPUTED_VALUE"""),48.0)</f>
        <v>48</v>
      </c>
      <c r="AK2642" s="3"/>
      <c r="AL2642" s="3"/>
    </row>
    <row r="2643" ht="15.75" customHeight="1">
      <c r="A2643" s="1" t="str">
        <f>IFERROR(__xludf.DUMMYFUNCTION("""COMPUTED_VALUE"""),"83424")</f>
        <v>83424</v>
      </c>
      <c r="B2643" s="2">
        <f>IFERROR(__xludf.DUMMYFUNCTION("""COMPUTED_VALUE"""),83424.0)</f>
        <v>83424</v>
      </c>
      <c r="C2643" s="3" t="str">
        <f>IFERROR(__xludf.DUMMYFUNCTION("""COMPUTED_VALUE"""),"ร้านปอร์ไฮสปีด")</f>
        <v>ร้านปอร์ไฮสปีด</v>
      </c>
      <c r="D2643" s="3" t="str">
        <f>IFERROR(__xludf.DUMMYFUNCTION("""COMPUTED_VALUE"""),"ร้านปอร์ไฮสปีด")</f>
        <v>ร้านปอร์ไฮสปีด</v>
      </c>
      <c r="E2643" s="1" t="str">
        <f>IFERROR(__xludf.DUMMYFUNCTION("""COMPUTED_VALUE"""),"Donjai")</f>
        <v>Donjai</v>
      </c>
      <c r="F2643" s="1" t="str">
        <f>IFERROR(__xludf.DUMMYFUNCTION("""COMPUTED_VALUE"""),"015361")</f>
        <v>015361</v>
      </c>
      <c r="G2643" s="1" t="str">
        <f>IFERROR(__xludf.DUMMYFUNCTION("""COMPUTED_VALUE"""),"นายสมบูรณ์ พรหมในเมือง")</f>
        <v>นายสมบูรณ์ พรหมในเมือง</v>
      </c>
      <c r="H2643" s="1" t="str">
        <f>IFERROR(__xludf.DUMMYFUNCTION("""COMPUTED_VALUE"""),"015361")</f>
        <v>015361</v>
      </c>
      <c r="I2643" s="1" t="str">
        <f>IFERROR(__xludf.DUMMYFUNCTION("""COMPUTED_VALUE"""),"นายสมบูรณ์ พรหมในเมือง")</f>
        <v>นายสมบูรณ์ พรหมในเมือง</v>
      </c>
      <c r="J2643" s="3">
        <f>IFERROR(__xludf.DUMMYFUNCTION("""COMPUTED_VALUE"""),295886.0)</f>
        <v>295886</v>
      </c>
      <c r="K2643" s="3" t="str">
        <f>IFERROR(__xludf.DUMMYFUNCTION("""COMPUTED_VALUE"""),"นายจิระพงษ์ โพธิ์นิล")</f>
        <v>นายจิระพงษ์ โพธิ์นิล</v>
      </c>
      <c r="L2643" s="1" t="str">
        <f>IFERROR(__xludf.DUMMYFUNCTION("""COMPUTED_VALUE"""),"นายจิระพงษ์ โพธิ์นิล")</f>
        <v>นายจิระพงษ์ โพธิ์นิล</v>
      </c>
      <c r="M2643" s="1" t="str">
        <f>IFERROR(__xludf.DUMMYFUNCTION("""COMPUTED_VALUE"""),"0933290754")</f>
        <v>0933290754</v>
      </c>
      <c r="N2643" s="3">
        <f>IFERROR(__xludf.DUMMYFUNCTION("""COMPUTED_VALUE"""),83424.0)</f>
        <v>83424</v>
      </c>
      <c r="O2643" s="3" t="str">
        <f>IFERROR(__xludf.DUMMYFUNCTION("""COMPUTED_VALUE"""),"ร้านปอร์ไฮสปีด")</f>
        <v>ร้านปอร์ไฮสปีด</v>
      </c>
      <c r="P2643" s="4">
        <f>IFERROR(__xludf.DUMMYFUNCTION("""COMPUTED_VALUE"""),44604.0)</f>
        <v>44604</v>
      </c>
      <c r="Q2643" s="3" t="str">
        <f>IFERROR(__xludf.DUMMYFUNCTION("""COMPUTED_VALUE"""),"I")</f>
        <v>I</v>
      </c>
      <c r="R2643" s="3" t="str">
        <f>IFERROR(__xludf.DUMMYFUNCTION("""COMPUTED_VALUE"""),"Small Format")</f>
        <v>Small Format</v>
      </c>
      <c r="S2643" s="3" t="str">
        <f>IFERROR(__xludf.DUMMYFUNCTION("""COMPUTED_VALUE"""),"Donjai")</f>
        <v>Donjai</v>
      </c>
      <c r="T2643" s="3" t="str">
        <f>IFERROR(__xludf.DUMMYFUNCTION("""COMPUTED_VALUE"""),"04 K.Somboon P.")</f>
        <v>04 K.Somboon P.</v>
      </c>
      <c r="U2643" s="3" t="str">
        <f>IFERROR(__xludf.DUMMYFUNCTION("""COMPUTED_VALUE"""),"04 K.Somboon P.")</f>
        <v>04 K.Somboon P.</v>
      </c>
      <c r="V2643" s="3" t="str">
        <f>IFERROR(__xludf.DUMMYFUNCTION("""COMPUTED_VALUE"""),"N")</f>
        <v>N</v>
      </c>
      <c r="W2643" s="3"/>
      <c r="X2643" s="3" t="str">
        <f>IFERROR(__xludf.DUMMYFUNCTION("""COMPUTED_VALUE"""),"75 หมู่1 ต.ดม อ.สังขะ จ.สุรินทร์")</f>
        <v>75 หมู่1 ต.ดม อ.สังขะ จ.สุรินทร์</v>
      </c>
      <c r="Y2643" s="3"/>
      <c r="Z2643" s="3">
        <f>IFERROR(__xludf.DUMMYFUNCTION("""COMPUTED_VALUE"""),0.0)</f>
        <v>0</v>
      </c>
      <c r="AA2643" s="3">
        <f>IFERROR(__xludf.DUMMYFUNCTION("""COMPUTED_VALUE"""),0.0)</f>
        <v>0</v>
      </c>
      <c r="AB2643" s="3" t="str">
        <f>IFERROR(__xludf.DUMMYFUNCTION("""COMPUTED_VALUE"""),"สุรินทร์")</f>
        <v>สุรินทร์</v>
      </c>
      <c r="AC2643" s="3">
        <f>IFERROR(__xludf.DUMMYFUNCTION("""COMPUTED_VALUE"""),0.0)</f>
        <v>0</v>
      </c>
      <c r="AD2643" s="3"/>
      <c r="AE2643" s="3"/>
      <c r="AF2643" s="3" t="str">
        <f>IFERROR(__xludf.DUMMYFUNCTION("""COMPUTED_VALUE"""),"ร้านปอร์ไฮสปีด-83424")</f>
        <v>ร้านปอร์ไฮสปีด-83424</v>
      </c>
      <c r="AG2643" s="3" t="str">
        <f>IFERROR(__xludf.DUMMYFUNCTION("""COMPUTED_VALUE"""),"ตะวันออกเฉียงเหนือ")</f>
        <v>ตะวันออกเฉียงเหนือ</v>
      </c>
      <c r="AH2643" s="3" t="str">
        <f>IFERROR(__xludf.DUMMYFUNCTION("""COMPUTED_VALUE"""),"#N/A")</f>
        <v>#N/A</v>
      </c>
      <c r="AI2643" s="3" t="str">
        <f>IFERROR(__xludf.DUMMYFUNCTION("""COMPUTED_VALUE"""),"Out of warranty")</f>
        <v>Out of warranty</v>
      </c>
      <c r="AJ2643" s="3">
        <f>IFERROR(__xludf.DUMMYFUNCTION("""COMPUTED_VALUE"""),48.0)</f>
        <v>48</v>
      </c>
      <c r="AK2643" s="3"/>
      <c r="AL2643" s="3"/>
    </row>
    <row r="2644" ht="15.75" customHeight="1">
      <c r="A2644" s="1" t="str">
        <f>IFERROR(__xludf.DUMMYFUNCTION("""COMPUTED_VALUE"""),"83425")</f>
        <v>83425</v>
      </c>
      <c r="B2644" s="2">
        <f>IFERROR(__xludf.DUMMYFUNCTION("""COMPUTED_VALUE"""),83425.0)</f>
        <v>83425</v>
      </c>
      <c r="C2644" s="3" t="str">
        <f>IFERROR(__xludf.DUMMYFUNCTION("""COMPUTED_VALUE"""),"ร้านฉัตร นิภาวรรณ")</f>
        <v>ร้านฉัตร นิภาวรรณ</v>
      </c>
      <c r="D2644" s="3" t="str">
        <f>IFERROR(__xludf.DUMMYFUNCTION("""COMPUTED_VALUE"""),"ร้านฉัตร นิภาวรรณ")</f>
        <v>ร้านฉัตร นิภาวรรณ</v>
      </c>
      <c r="E2644" s="1" t="str">
        <f>IFERROR(__xludf.DUMMYFUNCTION("""COMPUTED_VALUE"""),"Donjai")</f>
        <v>Donjai</v>
      </c>
      <c r="F2644" s="1" t="str">
        <f>IFERROR(__xludf.DUMMYFUNCTION("""COMPUTED_VALUE"""),"046214")</f>
        <v>046214</v>
      </c>
      <c r="G2644" s="1" t="str">
        <f>IFERROR(__xludf.DUMMYFUNCTION("""COMPUTED_VALUE"""),"นายศักดิ์ชัย เด็ดดอกฟ้า")</f>
        <v>นายศักดิ์ชัย เด็ดดอกฟ้า</v>
      </c>
      <c r="H2644" s="1" t="str">
        <f>IFERROR(__xludf.DUMMYFUNCTION("""COMPUTED_VALUE"""),"046214")</f>
        <v>046214</v>
      </c>
      <c r="I2644" s="1" t="str">
        <f>IFERROR(__xludf.DUMMYFUNCTION("""COMPUTED_VALUE"""),"นายศักดิ์ชัย เด็ดดอกฟ้า")</f>
        <v>นายศักดิ์ชัย เด็ดดอกฟ้า</v>
      </c>
      <c r="J2644" s="3">
        <f>IFERROR(__xludf.DUMMYFUNCTION("""COMPUTED_VALUE"""),295886.0)</f>
        <v>295886</v>
      </c>
      <c r="K2644" s="3" t="str">
        <f>IFERROR(__xludf.DUMMYFUNCTION("""COMPUTED_VALUE"""),"นายจิระพงษ์ โพธิ์นิล")</f>
        <v>นายจิระพงษ์ โพธิ์นิล</v>
      </c>
      <c r="L2644" s="1" t="str">
        <f>IFERROR(__xludf.DUMMYFUNCTION("""COMPUTED_VALUE"""),"นายจิระพงษ์ โพธิ์นิล")</f>
        <v>นายจิระพงษ์ โพธิ์นิล</v>
      </c>
      <c r="M2644" s="1" t="str">
        <f>IFERROR(__xludf.DUMMYFUNCTION("""COMPUTED_VALUE"""),"0933290754")</f>
        <v>0933290754</v>
      </c>
      <c r="N2644" s="3">
        <f>IFERROR(__xludf.DUMMYFUNCTION("""COMPUTED_VALUE"""),83425.0)</f>
        <v>83425</v>
      </c>
      <c r="O2644" s="3" t="str">
        <f>IFERROR(__xludf.DUMMYFUNCTION("""COMPUTED_VALUE"""),"ร้านฉัตร นิภาวรรณ")</f>
        <v>ร้านฉัตร นิภาวรรณ</v>
      </c>
      <c r="P2644" s="4">
        <f>IFERROR(__xludf.DUMMYFUNCTION("""COMPUTED_VALUE"""),44606.0)</f>
        <v>44606</v>
      </c>
      <c r="Q2644" s="3" t="str">
        <f>IFERROR(__xludf.DUMMYFUNCTION("""COMPUTED_VALUE"""),"A")</f>
        <v>A</v>
      </c>
      <c r="R2644" s="3" t="str">
        <f>IFERROR(__xludf.DUMMYFUNCTION("""COMPUTED_VALUE"""),"Small Format")</f>
        <v>Small Format</v>
      </c>
      <c r="S2644" s="3" t="str">
        <f>IFERROR(__xludf.DUMMYFUNCTION("""COMPUTED_VALUE"""),"Donjai")</f>
        <v>Donjai</v>
      </c>
      <c r="T2644" s="3" t="str">
        <f>IFERROR(__xludf.DUMMYFUNCTION("""COMPUTED_VALUE"""),"02 K.Sakchai D")</f>
        <v>02 K.Sakchai D</v>
      </c>
      <c r="U2644" s="3" t="str">
        <f>IFERROR(__xludf.DUMMYFUNCTION("""COMPUTED_VALUE"""),"02 K.Sakchai D")</f>
        <v>02 K.Sakchai D</v>
      </c>
      <c r="V2644" s="3" t="str">
        <f>IFERROR(__xludf.DUMMYFUNCTION("""COMPUTED_VALUE"""),"N")</f>
        <v>N</v>
      </c>
      <c r="W2644" s="3"/>
      <c r="X2644" s="3" t="str">
        <f>IFERROR(__xludf.DUMMYFUNCTION("""COMPUTED_VALUE"""),"เลขที่ 216 หมู่ 2 ต.ศรีกะอาง อ.บ้านนา จ.นครนายก")</f>
        <v>เลขที่ 216 หมู่ 2 ต.ศรีกะอาง อ.บ้านนา จ.นครนายก</v>
      </c>
      <c r="Y2644" s="3"/>
      <c r="Z2644" s="3">
        <f>IFERROR(__xludf.DUMMYFUNCTION("""COMPUTED_VALUE"""),0.0)</f>
        <v>0</v>
      </c>
      <c r="AA2644" s="3">
        <f>IFERROR(__xludf.DUMMYFUNCTION("""COMPUTED_VALUE"""),0.0)</f>
        <v>0</v>
      </c>
      <c r="AB2644" s="3" t="str">
        <f>IFERROR(__xludf.DUMMYFUNCTION("""COMPUTED_VALUE"""),"สุรินทร์")</f>
        <v>สุรินทร์</v>
      </c>
      <c r="AC2644" s="3">
        <f>IFERROR(__xludf.DUMMYFUNCTION("""COMPUTED_VALUE"""),0.0)</f>
        <v>0</v>
      </c>
      <c r="AD2644" s="3"/>
      <c r="AE2644" s="3"/>
      <c r="AF2644" s="3" t="str">
        <f>IFERROR(__xludf.DUMMYFUNCTION("""COMPUTED_VALUE"""),"ร้านฉัตร นิภาวรรณ-83425")</f>
        <v>ร้านฉัตร นิภาวรรณ-83425</v>
      </c>
      <c r="AG2644" s="3" t="str">
        <f>IFERROR(__xludf.DUMMYFUNCTION("""COMPUTED_VALUE"""),"ตะวันออกเฉียงเหนือ")</f>
        <v>ตะวันออกเฉียงเหนือ</v>
      </c>
      <c r="AH2644" s="3" t="str">
        <f>IFERROR(__xludf.DUMMYFUNCTION("""COMPUTED_VALUE"""),"#N/A")</f>
        <v>#N/A</v>
      </c>
      <c r="AI2644" s="3" t="str">
        <f>IFERROR(__xludf.DUMMYFUNCTION("""COMPUTED_VALUE"""),"Out of warranty")</f>
        <v>Out of warranty</v>
      </c>
      <c r="AJ2644" s="3">
        <f>IFERROR(__xludf.DUMMYFUNCTION("""COMPUTED_VALUE"""),48.0)</f>
        <v>48</v>
      </c>
      <c r="AK2644" s="3"/>
      <c r="AL2644" s="3"/>
    </row>
    <row r="2645" ht="15.75" customHeight="1">
      <c r="A2645" s="1" t="str">
        <f>IFERROR(__xludf.DUMMYFUNCTION("""COMPUTED_VALUE"""),"83426")</f>
        <v>83426</v>
      </c>
      <c r="B2645" s="2">
        <f>IFERROR(__xludf.DUMMYFUNCTION("""COMPUTED_VALUE"""),83426.0)</f>
        <v>83426</v>
      </c>
      <c r="C2645" s="3" t="str">
        <f>IFERROR(__xludf.DUMMYFUNCTION("""COMPUTED_VALUE"""),"ร้าน พีแอนด์พีมินิมาร์ท")</f>
        <v>ร้าน พีแอนด์พีมินิมาร์ท</v>
      </c>
      <c r="D2645" s="3" t="str">
        <f>IFERROR(__xludf.DUMMYFUNCTION("""COMPUTED_VALUE"""),"ร้าน พีแอนด์พีมินิมาร์ท")</f>
        <v>ร้าน พีแอนด์พีมินิมาร์ท</v>
      </c>
      <c r="E2645" s="1" t="str">
        <f>IFERROR(__xludf.DUMMYFUNCTION("""COMPUTED_VALUE"""),"Donjai")</f>
        <v>Donjai</v>
      </c>
      <c r="F2645" s="1" t="str">
        <f>IFERROR(__xludf.DUMMYFUNCTION("""COMPUTED_VALUE"""),"015361")</f>
        <v>015361</v>
      </c>
      <c r="G2645" s="1" t="str">
        <f>IFERROR(__xludf.DUMMYFUNCTION("""COMPUTED_VALUE"""),"นายสมบูรณ์ พรหมในเมือง")</f>
        <v>นายสมบูรณ์ พรหมในเมือง</v>
      </c>
      <c r="H2645" s="1" t="str">
        <f>IFERROR(__xludf.DUMMYFUNCTION("""COMPUTED_VALUE"""),"015361")</f>
        <v>015361</v>
      </c>
      <c r="I2645" s="1" t="str">
        <f>IFERROR(__xludf.DUMMYFUNCTION("""COMPUTED_VALUE"""),"นายสมบูรณ์ พรหมในเมือง")</f>
        <v>นายสมบูรณ์ พรหมในเมือง</v>
      </c>
      <c r="J2645" s="3">
        <f>IFERROR(__xludf.DUMMYFUNCTION("""COMPUTED_VALUE"""),295886.0)</f>
        <v>295886</v>
      </c>
      <c r="K2645" s="3" t="str">
        <f>IFERROR(__xludf.DUMMYFUNCTION("""COMPUTED_VALUE"""),"นายจิระพงษ์ โพธิ์นิล")</f>
        <v>นายจิระพงษ์ โพธิ์นิล</v>
      </c>
      <c r="L2645" s="1" t="str">
        <f>IFERROR(__xludf.DUMMYFUNCTION("""COMPUTED_VALUE"""),"นายจิระพงษ์ โพธิ์นิล")</f>
        <v>นายจิระพงษ์ โพธิ์นิล</v>
      </c>
      <c r="M2645" s="1" t="str">
        <f>IFERROR(__xludf.DUMMYFUNCTION("""COMPUTED_VALUE"""),"0933290754")</f>
        <v>0933290754</v>
      </c>
      <c r="N2645" s="3">
        <f>IFERROR(__xludf.DUMMYFUNCTION("""COMPUTED_VALUE"""),83426.0)</f>
        <v>83426</v>
      </c>
      <c r="O2645" s="3" t="str">
        <f>IFERROR(__xludf.DUMMYFUNCTION("""COMPUTED_VALUE"""),"ร้าน พีแอนด์พีมินิมาร์ท")</f>
        <v>ร้าน พีแอนด์พีมินิมาร์ท</v>
      </c>
      <c r="P2645" s="4">
        <f>IFERROR(__xludf.DUMMYFUNCTION("""COMPUTED_VALUE"""),44692.0)</f>
        <v>44692</v>
      </c>
      <c r="Q2645" s="3" t="str">
        <f>IFERROR(__xludf.DUMMYFUNCTION("""COMPUTED_VALUE"""),"I")</f>
        <v>I</v>
      </c>
      <c r="R2645" s="3" t="str">
        <f>IFERROR(__xludf.DUMMYFUNCTION("""COMPUTED_VALUE"""),"Small Format")</f>
        <v>Small Format</v>
      </c>
      <c r="S2645" s="3" t="str">
        <f>IFERROR(__xludf.DUMMYFUNCTION("""COMPUTED_VALUE"""),"Donjai")</f>
        <v>Donjai</v>
      </c>
      <c r="T2645" s="3" t="str">
        <f>IFERROR(__xludf.DUMMYFUNCTION("""COMPUTED_VALUE"""),"04 K.Somboon P.")</f>
        <v>04 K.Somboon P.</v>
      </c>
      <c r="U2645" s="3" t="str">
        <f>IFERROR(__xludf.DUMMYFUNCTION("""COMPUTED_VALUE"""),"04 K.Somboon P.")</f>
        <v>04 K.Somboon P.</v>
      </c>
      <c r="V2645" s="3" t="str">
        <f>IFERROR(__xludf.DUMMYFUNCTION("""COMPUTED_VALUE"""),"N")</f>
        <v>N</v>
      </c>
      <c r="W2645" s="3"/>
      <c r="X2645" s="3" t="str">
        <f>IFERROR(__xludf.DUMMYFUNCTION("""COMPUTED_VALUE"""),"10 ม.8 ระเว พิบูลมังสาหาร อุบลราชธานี 34110")</f>
        <v>10 ม.8 ระเว พิบูลมังสาหาร อุบลราชธานี 34110</v>
      </c>
      <c r="Y2645" s="3"/>
      <c r="Z2645" s="3">
        <f>IFERROR(__xludf.DUMMYFUNCTION("""COMPUTED_VALUE"""),0.0)</f>
        <v>0</v>
      </c>
      <c r="AA2645" s="3">
        <f>IFERROR(__xludf.DUMMYFUNCTION("""COMPUTED_VALUE"""),0.0)</f>
        <v>0</v>
      </c>
      <c r="AB2645" s="3" t="str">
        <f>IFERROR(__xludf.DUMMYFUNCTION("""COMPUTED_VALUE"""),"อุบลราชธานี")</f>
        <v>อุบลราชธานี</v>
      </c>
      <c r="AC2645" s="3">
        <f>IFERROR(__xludf.DUMMYFUNCTION("""COMPUTED_VALUE"""),34110.0)</f>
        <v>34110</v>
      </c>
      <c r="AD2645" s="3"/>
      <c r="AE2645" s="3"/>
      <c r="AF2645" s="3" t="str">
        <f>IFERROR(__xludf.DUMMYFUNCTION("""COMPUTED_VALUE"""),"ร้าน พีแอนด์พีมินิมาร์ท-83426")</f>
        <v>ร้าน พีแอนด์พีมินิมาร์ท-83426</v>
      </c>
      <c r="AG2645" s="3" t="str">
        <f>IFERROR(__xludf.DUMMYFUNCTION("""COMPUTED_VALUE"""),"ตะวันออกเฉียงเหนือ")</f>
        <v>ตะวันออกเฉียงเหนือ</v>
      </c>
      <c r="AH2645" s="3" t="str">
        <f>IFERROR(__xludf.DUMMYFUNCTION("""COMPUTED_VALUE"""),"#N/A")</f>
        <v>#N/A</v>
      </c>
      <c r="AI2645" s="3" t="str">
        <f>IFERROR(__xludf.DUMMYFUNCTION("""COMPUTED_VALUE"""),"Out of warranty")</f>
        <v>Out of warranty</v>
      </c>
      <c r="AJ2645" s="3">
        <f>IFERROR(__xludf.DUMMYFUNCTION("""COMPUTED_VALUE"""),45.0)</f>
        <v>45</v>
      </c>
      <c r="AK2645" s="3"/>
      <c r="AL2645" s="3"/>
    </row>
    <row r="2646" ht="15.75" customHeight="1">
      <c r="A2646" s="1" t="str">
        <f>IFERROR(__xludf.DUMMYFUNCTION("""COMPUTED_VALUE"""),"83428")</f>
        <v>83428</v>
      </c>
      <c r="B2646" s="2">
        <f>IFERROR(__xludf.DUMMYFUNCTION("""COMPUTED_VALUE"""),83428.0)</f>
        <v>83428</v>
      </c>
      <c r="C2646" s="3" t="str">
        <f>IFERROR(__xludf.DUMMYFUNCTION("""COMPUTED_VALUE"""),"ร้าน พี &amp; ภูมิ (บ้านสวนลุงมุข)")</f>
        <v>ร้าน พี &amp; ภูมิ (บ้านสวนลุงมุข)</v>
      </c>
      <c r="D2646" s="3" t="str">
        <f>IFERROR(__xludf.DUMMYFUNCTION("""COMPUTED_VALUE"""),"ร้าน พี &amp; ภูมิ (บ้านสวนลุงมุข)")</f>
        <v>ร้าน พี &amp; ภูมิ (บ้านสวนลุงมุข)</v>
      </c>
      <c r="E2646" s="1" t="str">
        <f>IFERROR(__xludf.DUMMYFUNCTION("""COMPUTED_VALUE"""),"Donjai")</f>
        <v>Donjai</v>
      </c>
      <c r="F2646" s="1" t="str">
        <f>IFERROR(__xludf.DUMMYFUNCTION("""COMPUTED_VALUE"""),"025324")</f>
        <v>025324</v>
      </c>
      <c r="G2646" s="1" t="str">
        <f>IFERROR(__xludf.DUMMYFUNCTION("""COMPUTED_VALUE"""),"นายวิเชฎฐ์ ติรัตนะประคม")</f>
        <v>นายวิเชฎฐ์ ติรัตนะประคม</v>
      </c>
      <c r="H2646" s="1" t="str">
        <f>IFERROR(__xludf.DUMMYFUNCTION("""COMPUTED_VALUE"""),"025324")</f>
        <v>025324</v>
      </c>
      <c r="I2646" s="1" t="str">
        <f>IFERROR(__xludf.DUMMYFUNCTION("""COMPUTED_VALUE"""),"นายวิเชฎฐ์ ติรัตนะประคม")</f>
        <v>นายวิเชฎฐ์ ติรัตนะประคม</v>
      </c>
      <c r="J2646" s="3">
        <f>IFERROR(__xludf.DUMMYFUNCTION("""COMPUTED_VALUE"""),295541.0)</f>
        <v>295541</v>
      </c>
      <c r="K2646" s="3" t="str">
        <f>IFERROR(__xludf.DUMMYFUNCTION("""COMPUTED_VALUE"""),"นายรพิพล ศรีมาตย์")</f>
        <v>นายรพิพล ศรีมาตย์</v>
      </c>
      <c r="L2646" s="1" t="str">
        <f>IFERROR(__xludf.DUMMYFUNCTION("""COMPUTED_VALUE"""),"นายรพิพล ศรีมาตย์")</f>
        <v>นายรพิพล ศรีมาตย์</v>
      </c>
      <c r="M2646" s="1" t="str">
        <f>IFERROR(__xludf.DUMMYFUNCTION("""COMPUTED_VALUE"""),"0613966115")</f>
        <v>0613966115</v>
      </c>
      <c r="N2646" s="3">
        <f>IFERROR(__xludf.DUMMYFUNCTION("""COMPUTED_VALUE"""),83428.0)</f>
        <v>83428</v>
      </c>
      <c r="O2646" s="3" t="str">
        <f>IFERROR(__xludf.DUMMYFUNCTION("""COMPUTED_VALUE"""),"ร้าน พี &amp; ภูมิ (บ้านสวนลุงมุข)")</f>
        <v>ร้าน พี &amp; ภูมิ (บ้านสวนลุงมุข)</v>
      </c>
      <c r="P2646" s="4">
        <f>IFERROR(__xludf.DUMMYFUNCTION("""COMPUTED_VALUE"""),44637.0)</f>
        <v>44637</v>
      </c>
      <c r="Q2646" s="3" t="str">
        <f>IFERROR(__xludf.DUMMYFUNCTION("""COMPUTED_VALUE"""),"A")</f>
        <v>A</v>
      </c>
      <c r="R2646" s="3" t="str">
        <f>IFERROR(__xludf.DUMMYFUNCTION("""COMPUTED_VALUE"""),"Small Format")</f>
        <v>Small Format</v>
      </c>
      <c r="S2646" s="3" t="str">
        <f>IFERROR(__xludf.DUMMYFUNCTION("""COMPUTED_VALUE"""),"Donjai")</f>
        <v>Donjai</v>
      </c>
      <c r="T2646" s="3" t="str">
        <f>IFERROR(__xludf.DUMMYFUNCTION("""COMPUTED_VALUE"""),"14 K.Wichet T.")</f>
        <v>14 K.Wichet T.</v>
      </c>
      <c r="U2646" s="3" t="str">
        <f>IFERROR(__xludf.DUMMYFUNCTION("""COMPUTED_VALUE"""),"14 K.Wichet T.")</f>
        <v>14 K.Wichet T.</v>
      </c>
      <c r="V2646" s="3" t="str">
        <f>IFERROR(__xludf.DUMMYFUNCTION("""COMPUTED_VALUE"""),"N")</f>
        <v>N</v>
      </c>
      <c r="W2646" s="3"/>
      <c r="X2646" s="3" t="str">
        <f>IFERROR(__xludf.DUMMYFUNCTION("""COMPUTED_VALUE"""),"ต.ฉลอง อ.สิชล จ.นครศรีธรรมราช")</f>
        <v>ต.ฉลอง อ.สิชล จ.นครศรีธรรมราช</v>
      </c>
      <c r="Y2646" s="3"/>
      <c r="Z2646" s="3">
        <f>IFERROR(__xludf.DUMMYFUNCTION("""COMPUTED_VALUE"""),0.0)</f>
        <v>0</v>
      </c>
      <c r="AA2646" s="3">
        <f>IFERROR(__xludf.DUMMYFUNCTION("""COMPUTED_VALUE"""),0.0)</f>
        <v>0</v>
      </c>
      <c r="AB2646" s="3" t="str">
        <f>IFERROR(__xludf.DUMMYFUNCTION("""COMPUTED_VALUE"""),"นครศรีธรรมราช")</f>
        <v>นครศรีธรรมราช</v>
      </c>
      <c r="AC2646" s="3">
        <f>IFERROR(__xludf.DUMMYFUNCTION("""COMPUTED_VALUE"""),0.0)</f>
        <v>0</v>
      </c>
      <c r="AD2646" s="3"/>
      <c r="AE2646" s="3"/>
      <c r="AF2646" s="3" t="str">
        <f>IFERROR(__xludf.DUMMYFUNCTION("""COMPUTED_VALUE"""),"ร้าน พี &amp; ภูมิ (บ้านสวนลุงมุข)-83428")</f>
        <v>ร้าน พี &amp; ภูมิ (บ้านสวนลุงมุข)-83428</v>
      </c>
      <c r="AG2646" s="3" t="str">
        <f>IFERROR(__xludf.DUMMYFUNCTION("""COMPUTED_VALUE"""),"ใต้")</f>
        <v>ใต้</v>
      </c>
      <c r="AH2646" s="3" t="str">
        <f>IFERROR(__xludf.DUMMYFUNCTION("""COMPUTED_VALUE"""),"#N/A")</f>
        <v>#N/A</v>
      </c>
      <c r="AI2646" s="3" t="str">
        <f>IFERROR(__xludf.DUMMYFUNCTION("""COMPUTED_VALUE"""),"Out of warranty")</f>
        <v>Out of warranty</v>
      </c>
      <c r="AJ2646" s="3">
        <f>IFERROR(__xludf.DUMMYFUNCTION("""COMPUTED_VALUE"""),47.0)</f>
        <v>47</v>
      </c>
      <c r="AK2646" s="3"/>
      <c r="AL2646" s="3"/>
    </row>
    <row r="2647" ht="15.75" customHeight="1">
      <c r="A2647" s="1" t="str">
        <f>IFERROR(__xludf.DUMMYFUNCTION("""COMPUTED_VALUE"""),"83429")</f>
        <v>83429</v>
      </c>
      <c r="B2647" s="2">
        <f>IFERROR(__xludf.DUMMYFUNCTION("""COMPUTED_VALUE"""),83429.0)</f>
        <v>83429</v>
      </c>
      <c r="C2647" s="3" t="str">
        <f>IFERROR(__xludf.DUMMYFUNCTION("""COMPUTED_VALUE"""),"ร้านเป็น ร้านออม- ออย มินิมาร์ท (ออมออยมินิมาร์ท)")</f>
        <v>ร้านเป็น ร้านออม- ออย มินิมาร์ท (ออมออยมินิมาร์ท)</v>
      </c>
      <c r="D2647" s="3" t="str">
        <f>IFERROR(__xludf.DUMMYFUNCTION("""COMPUTED_VALUE"""),"ร้านเป็น ร้านออม- ออย มินิมาร์ท (ออมออยมินิมาร์ท)")</f>
        <v>ร้านเป็น ร้านออม- ออย มินิมาร์ท (ออมออยมินิมาร์ท)</v>
      </c>
      <c r="E2647" s="1" t="str">
        <f>IFERROR(__xludf.DUMMYFUNCTION("""COMPUTED_VALUE"""),"Donjai")</f>
        <v>Donjai</v>
      </c>
      <c r="F2647" s="1" t="str">
        <f>IFERROR(__xludf.DUMMYFUNCTION("""COMPUTED_VALUE"""),"015361")</f>
        <v>015361</v>
      </c>
      <c r="G2647" s="1" t="str">
        <f>IFERROR(__xludf.DUMMYFUNCTION("""COMPUTED_VALUE"""),"นายสมบูรณ์ พรหมในเมือง")</f>
        <v>นายสมบูรณ์ พรหมในเมือง</v>
      </c>
      <c r="H2647" s="1" t="str">
        <f>IFERROR(__xludf.DUMMYFUNCTION("""COMPUTED_VALUE"""),"015361")</f>
        <v>015361</v>
      </c>
      <c r="I2647" s="1" t="str">
        <f>IFERROR(__xludf.DUMMYFUNCTION("""COMPUTED_VALUE"""),"นายสมบูรณ์ พรหมในเมือง")</f>
        <v>นายสมบูรณ์ พรหมในเมือง</v>
      </c>
      <c r="J2647" s="3">
        <f>IFERROR(__xludf.DUMMYFUNCTION("""COMPUTED_VALUE"""),295886.0)</f>
        <v>295886</v>
      </c>
      <c r="K2647" s="3" t="str">
        <f>IFERROR(__xludf.DUMMYFUNCTION("""COMPUTED_VALUE"""),"นายจิระพงษ์ โพธิ์นิล")</f>
        <v>นายจิระพงษ์ โพธิ์นิล</v>
      </c>
      <c r="L2647" s="1" t="str">
        <f>IFERROR(__xludf.DUMMYFUNCTION("""COMPUTED_VALUE"""),"นายจิระพงษ์ โพธิ์นิล")</f>
        <v>นายจิระพงษ์ โพธิ์นิล</v>
      </c>
      <c r="M2647" s="1" t="str">
        <f>IFERROR(__xludf.DUMMYFUNCTION("""COMPUTED_VALUE"""),"0933290754")</f>
        <v>0933290754</v>
      </c>
      <c r="N2647" s="3">
        <f>IFERROR(__xludf.DUMMYFUNCTION("""COMPUTED_VALUE"""),83429.0)</f>
        <v>83429</v>
      </c>
      <c r="O2647" s="3" t="str">
        <f>IFERROR(__xludf.DUMMYFUNCTION("""COMPUTED_VALUE"""),"ร้านเป็น ร้านออม- ออย มินิมาร์ท (ออมออยมินิมาร์ท)")</f>
        <v>ร้านเป็น ร้านออม- ออย มินิมาร์ท (ออมออยมินิมาร์ท)</v>
      </c>
      <c r="P2647" s="4">
        <f>IFERROR(__xludf.DUMMYFUNCTION("""COMPUTED_VALUE"""),44634.0)</f>
        <v>44634</v>
      </c>
      <c r="Q2647" s="3" t="str">
        <f>IFERROR(__xludf.DUMMYFUNCTION("""COMPUTED_VALUE"""),"A")</f>
        <v>A</v>
      </c>
      <c r="R2647" s="3" t="str">
        <f>IFERROR(__xludf.DUMMYFUNCTION("""COMPUTED_VALUE"""),"Small Format")</f>
        <v>Small Format</v>
      </c>
      <c r="S2647" s="3" t="str">
        <f>IFERROR(__xludf.DUMMYFUNCTION("""COMPUTED_VALUE"""),"Donjai")</f>
        <v>Donjai</v>
      </c>
      <c r="T2647" s="3" t="str">
        <f>IFERROR(__xludf.DUMMYFUNCTION("""COMPUTED_VALUE"""),"04 K.Somboon P.")</f>
        <v>04 K.Somboon P.</v>
      </c>
      <c r="U2647" s="3" t="str">
        <f>IFERROR(__xludf.DUMMYFUNCTION("""COMPUTED_VALUE"""),"04 K.Somboon P.")</f>
        <v>04 K.Somboon P.</v>
      </c>
      <c r="V2647" s="3" t="str">
        <f>IFERROR(__xludf.DUMMYFUNCTION("""COMPUTED_VALUE"""),"N")</f>
        <v>N</v>
      </c>
      <c r="W2647" s="3"/>
      <c r="X2647" s="3" t="str">
        <f>IFERROR(__xludf.DUMMYFUNCTION("""COMPUTED_VALUE"""),"126 ม.8 ต.หนองบัวตะเกียด อ.ด่านขุนทด จ.นครราชสีมา")</f>
        <v>126 ม.8 ต.หนองบัวตะเกียด อ.ด่านขุนทด จ.นครราชสีมา</v>
      </c>
      <c r="Y2647" s="3"/>
      <c r="Z2647" s="3">
        <f>IFERROR(__xludf.DUMMYFUNCTION("""COMPUTED_VALUE"""),0.0)</f>
        <v>0</v>
      </c>
      <c r="AA2647" s="3">
        <f>IFERROR(__xludf.DUMMYFUNCTION("""COMPUTED_VALUE"""),0.0)</f>
        <v>0</v>
      </c>
      <c r="AB2647" s="3" t="str">
        <f>IFERROR(__xludf.DUMMYFUNCTION("""COMPUTED_VALUE"""),"นครราชสีมา")</f>
        <v>นครราชสีมา</v>
      </c>
      <c r="AC2647" s="3">
        <f>IFERROR(__xludf.DUMMYFUNCTION("""COMPUTED_VALUE"""),0.0)</f>
        <v>0</v>
      </c>
      <c r="AD2647" s="3"/>
      <c r="AE2647" s="3"/>
      <c r="AF2647" s="3" t="str">
        <f>IFERROR(__xludf.DUMMYFUNCTION("""COMPUTED_VALUE"""),"ร้านเป็น ร้านออม- ออย มินิมาร์ท (ออมออยมินิมาร์ท)-83429")</f>
        <v>ร้านเป็น ร้านออม- ออย มินิมาร์ท (ออมออยมินิมาร์ท)-83429</v>
      </c>
      <c r="AG2647" s="3" t="str">
        <f>IFERROR(__xludf.DUMMYFUNCTION("""COMPUTED_VALUE"""),"ตะวันออกเฉียงเหนือ")</f>
        <v>ตะวันออกเฉียงเหนือ</v>
      </c>
      <c r="AH2647" s="3" t="str">
        <f>IFERROR(__xludf.DUMMYFUNCTION("""COMPUTED_VALUE"""),"#N/A")</f>
        <v>#N/A</v>
      </c>
      <c r="AI2647" s="3" t="str">
        <f>IFERROR(__xludf.DUMMYFUNCTION("""COMPUTED_VALUE"""),"Out of warranty")</f>
        <v>Out of warranty</v>
      </c>
      <c r="AJ2647" s="3">
        <f>IFERROR(__xludf.DUMMYFUNCTION("""COMPUTED_VALUE"""),47.0)</f>
        <v>47</v>
      </c>
      <c r="AK2647" s="3"/>
      <c r="AL2647" s="3"/>
    </row>
    <row r="2648" ht="15.75" customHeight="1">
      <c r="A2648" s="1" t="str">
        <f>IFERROR(__xludf.DUMMYFUNCTION("""COMPUTED_VALUE"""),"83430")</f>
        <v>83430</v>
      </c>
      <c r="B2648" s="2">
        <f>IFERROR(__xludf.DUMMYFUNCTION("""COMPUTED_VALUE"""),83430.0)</f>
        <v>83430</v>
      </c>
      <c r="C2648" s="3" t="str">
        <f>IFERROR(__xludf.DUMMYFUNCTION("""COMPUTED_VALUE"""),"ร้านคุณกมล (ชื่อเดิม DJ383 ร้าน เค.ซี. สโตร์ )")</f>
        <v>ร้านคุณกมล (ชื่อเดิม DJ383 ร้าน เค.ซี. สโตร์ )</v>
      </c>
      <c r="D2648" s="3" t="str">
        <f>IFERROR(__xludf.DUMMYFUNCTION("""COMPUTED_VALUE"""),"ร้านคุณกมล (ชื่อเดิม DJ383 ร้าน เค.ซี. สโตร์ )")</f>
        <v>ร้านคุณกมล (ชื่อเดิม DJ383 ร้าน เค.ซี. สโตร์ )</v>
      </c>
      <c r="E2648" s="1" t="str">
        <f>IFERROR(__xludf.DUMMYFUNCTION("""COMPUTED_VALUE"""),"Donjai")</f>
        <v>Donjai</v>
      </c>
      <c r="F2648" s="1" t="str">
        <f>IFERROR(__xludf.DUMMYFUNCTION("""COMPUTED_VALUE"""),"2010023")</f>
        <v>2010023</v>
      </c>
      <c r="G2648" s="1" t="str">
        <f>IFERROR(__xludf.DUMMYFUNCTION("""COMPUTED_VALUE"""),"นายวศิน ไวยรูป")</f>
        <v>นายวศิน ไวยรูป</v>
      </c>
      <c r="H2648" s="1" t="str">
        <f>IFERROR(__xludf.DUMMYFUNCTION("""COMPUTED_VALUE"""),"2010023")</f>
        <v>2010023</v>
      </c>
      <c r="I2648" s="1" t="str">
        <f>IFERROR(__xludf.DUMMYFUNCTION("""COMPUTED_VALUE"""),"นายวศิน ไวยรูป")</f>
        <v>นายวศิน ไวยรูป</v>
      </c>
      <c r="J2648" s="3">
        <f>IFERROR(__xludf.DUMMYFUNCTION("""COMPUTED_VALUE"""),228031.0)</f>
        <v>228031</v>
      </c>
      <c r="K2648" s="3" t="str">
        <f>IFERROR(__xludf.DUMMYFUNCTION("""COMPUTED_VALUE"""),"นายธนพงษ์ วันหมัด")</f>
        <v>นายธนพงษ์ วันหมัด</v>
      </c>
      <c r="L2648" s="1" t="str">
        <f>IFERROR(__xludf.DUMMYFUNCTION("""COMPUTED_VALUE"""),"นายธนพงษ์ วันหมัด")</f>
        <v>นายธนพงษ์ วันหมัด</v>
      </c>
      <c r="M2648" s="1" t="str">
        <f>IFERROR(__xludf.DUMMYFUNCTION("""COMPUTED_VALUE"""),"0813716913")</f>
        <v>0813716913</v>
      </c>
      <c r="N2648" s="3">
        <f>IFERROR(__xludf.DUMMYFUNCTION("""COMPUTED_VALUE"""),83430.0)</f>
        <v>83430</v>
      </c>
      <c r="O2648" s="3" t="str">
        <f>IFERROR(__xludf.DUMMYFUNCTION("""COMPUTED_VALUE"""),"ร้านคุณกมล (ชื่อเดิม DJ383 ร้าน เค.ซี. สโตร์ )")</f>
        <v>ร้านคุณกมล (ชื่อเดิม DJ383 ร้าน เค.ซี. สโตร์ )</v>
      </c>
      <c r="P2648" s="4">
        <f>IFERROR(__xludf.DUMMYFUNCTION("""COMPUTED_VALUE"""),44593.0)</f>
        <v>44593</v>
      </c>
      <c r="Q2648" s="3" t="str">
        <f>IFERROR(__xludf.DUMMYFUNCTION("""COMPUTED_VALUE"""),"I")</f>
        <v>I</v>
      </c>
      <c r="R2648" s="3" t="str">
        <f>IFERROR(__xludf.DUMMYFUNCTION("""COMPUTED_VALUE"""),"Small Format")</f>
        <v>Small Format</v>
      </c>
      <c r="S2648" s="3" t="str">
        <f>IFERROR(__xludf.DUMMYFUNCTION("""COMPUTED_VALUE"""),"Donjai")</f>
        <v>Donjai</v>
      </c>
      <c r="T2648" s="3" t="str">
        <f>IFERROR(__xludf.DUMMYFUNCTION("""COMPUTED_VALUE"""),"Donjai")</f>
        <v>Donjai</v>
      </c>
      <c r="U2648" s="3" t="str">
        <f>IFERROR(__xludf.DUMMYFUNCTION("""COMPUTED_VALUE"""),"Donjai")</f>
        <v>Donjai</v>
      </c>
      <c r="V2648" s="3" t="str">
        <f>IFERROR(__xludf.DUMMYFUNCTION("""COMPUTED_VALUE"""),"N")</f>
        <v>N</v>
      </c>
      <c r="W2648" s="3"/>
      <c r="X2648" s="3" t="str">
        <f>IFERROR(__xludf.DUMMYFUNCTION("""COMPUTED_VALUE"""),"8 ถ.ไทยรามัญ แขวง สามวาตะวันตก เขต คลองสามวา กทม 10510")</f>
        <v>8 ถ.ไทยรามัญ แขวง สามวาตะวันตก เขต คลองสามวา กทม 10510</v>
      </c>
      <c r="Y2648" s="3"/>
      <c r="Z2648" s="3" t="str">
        <f>IFERROR(__xludf.DUMMYFUNCTION("""COMPUTED_VALUE"""),"สามวาตะวันตก")</f>
        <v>สามวาตะวันตก</v>
      </c>
      <c r="AA2648" s="3" t="str">
        <f>IFERROR(__xludf.DUMMYFUNCTION("""COMPUTED_VALUE"""),"คลองสามวา")</f>
        <v>คลองสามวา</v>
      </c>
      <c r="AB2648" s="3" t="str">
        <f>IFERROR(__xludf.DUMMYFUNCTION("""COMPUTED_VALUE"""),"กรุงเทพมหานคร")</f>
        <v>กรุงเทพมหานคร</v>
      </c>
      <c r="AC2648" s="3">
        <f>IFERROR(__xludf.DUMMYFUNCTION("""COMPUTED_VALUE"""),10510.0)</f>
        <v>10510</v>
      </c>
      <c r="AD2648" s="3"/>
      <c r="AE2648" s="3"/>
      <c r="AF2648" s="3" t="str">
        <f>IFERROR(__xludf.DUMMYFUNCTION("""COMPUTED_VALUE"""),"ร้านคุณกมล (ชื่อเดิม DJ383 ร้าน เค.ซี. สโตร์ )-83430")</f>
        <v>ร้านคุณกมล (ชื่อเดิม DJ383 ร้าน เค.ซี. สโตร์ )-83430</v>
      </c>
      <c r="AG2648" s="3" t="str">
        <f>IFERROR(__xludf.DUMMYFUNCTION("""COMPUTED_VALUE"""),"กลาง")</f>
        <v>กลาง</v>
      </c>
      <c r="AH2648" s="3" t="str">
        <f>IFERROR(__xludf.DUMMYFUNCTION("""COMPUTED_VALUE"""),"#N/A")</f>
        <v>#N/A</v>
      </c>
      <c r="AI2648" s="3" t="str">
        <f>IFERROR(__xludf.DUMMYFUNCTION("""COMPUTED_VALUE"""),"Out of warranty")</f>
        <v>Out of warranty</v>
      </c>
      <c r="AJ2648" s="3">
        <f>IFERROR(__xludf.DUMMYFUNCTION("""COMPUTED_VALUE"""),48.0)</f>
        <v>48</v>
      </c>
      <c r="AK2648" s="3"/>
      <c r="AL2648" s="3"/>
    </row>
    <row r="2649" ht="15.75" customHeight="1">
      <c r="A2649" s="1" t="str">
        <f>IFERROR(__xludf.DUMMYFUNCTION("""COMPUTED_VALUE"""),"83431")</f>
        <v>83431</v>
      </c>
      <c r="B2649" s="2">
        <f>IFERROR(__xludf.DUMMYFUNCTION("""COMPUTED_VALUE"""),83431.0)</f>
        <v>83431</v>
      </c>
      <c r="C2649" s="3" t="str">
        <f>IFERROR(__xludf.DUMMYFUNCTION("""COMPUTED_VALUE"""),"ร้านฟ้าใส")</f>
        <v>ร้านฟ้าใส</v>
      </c>
      <c r="D2649" s="3" t="str">
        <f>IFERROR(__xludf.DUMMYFUNCTION("""COMPUTED_VALUE"""),"ร้านฟ้าใส")</f>
        <v>ร้านฟ้าใส</v>
      </c>
      <c r="E2649" s="1" t="str">
        <f>IFERROR(__xludf.DUMMYFUNCTION("""COMPUTED_VALUE"""),"Donjai")</f>
        <v>Donjai</v>
      </c>
      <c r="F2649" s="1" t="str">
        <f>IFERROR(__xludf.DUMMYFUNCTION("""COMPUTED_VALUE"""),"2010023")</f>
        <v>2010023</v>
      </c>
      <c r="G2649" s="1" t="str">
        <f>IFERROR(__xludf.DUMMYFUNCTION("""COMPUTED_VALUE"""),"นายวศิน ไวยรูป")</f>
        <v>นายวศิน ไวยรูป</v>
      </c>
      <c r="H2649" s="1" t="str">
        <f>IFERROR(__xludf.DUMMYFUNCTION("""COMPUTED_VALUE"""),"2010023")</f>
        <v>2010023</v>
      </c>
      <c r="I2649" s="1" t="str">
        <f>IFERROR(__xludf.DUMMYFUNCTION("""COMPUTED_VALUE"""),"นายวศิน ไวยรูป")</f>
        <v>นายวศิน ไวยรูป</v>
      </c>
      <c r="J2649" s="3">
        <f>IFERROR(__xludf.DUMMYFUNCTION("""COMPUTED_VALUE"""),228031.0)</f>
        <v>228031</v>
      </c>
      <c r="K2649" s="3" t="str">
        <f>IFERROR(__xludf.DUMMYFUNCTION("""COMPUTED_VALUE"""),"นายธนพงษ์ วันหมัด")</f>
        <v>นายธนพงษ์ วันหมัด</v>
      </c>
      <c r="L2649" s="1" t="str">
        <f>IFERROR(__xludf.DUMMYFUNCTION("""COMPUTED_VALUE"""),"นายธนพงษ์ วันหมัด")</f>
        <v>นายธนพงษ์ วันหมัด</v>
      </c>
      <c r="M2649" s="1" t="str">
        <f>IFERROR(__xludf.DUMMYFUNCTION("""COMPUTED_VALUE"""),"0813716913")</f>
        <v>0813716913</v>
      </c>
      <c r="N2649" s="3">
        <f>IFERROR(__xludf.DUMMYFUNCTION("""COMPUTED_VALUE"""),83431.0)</f>
        <v>83431</v>
      </c>
      <c r="O2649" s="3" t="str">
        <f>IFERROR(__xludf.DUMMYFUNCTION("""COMPUTED_VALUE"""),"ร้านฟ้าใส")</f>
        <v>ร้านฟ้าใส</v>
      </c>
      <c r="P2649" s="4">
        <f>IFERROR(__xludf.DUMMYFUNCTION("""COMPUTED_VALUE"""),44612.0)</f>
        <v>44612</v>
      </c>
      <c r="Q2649" s="3" t="str">
        <f>IFERROR(__xludf.DUMMYFUNCTION("""COMPUTED_VALUE"""),"I")</f>
        <v>I</v>
      </c>
      <c r="R2649" s="3" t="str">
        <f>IFERROR(__xludf.DUMMYFUNCTION("""COMPUTED_VALUE"""),"Small Format")</f>
        <v>Small Format</v>
      </c>
      <c r="S2649" s="3" t="str">
        <f>IFERROR(__xludf.DUMMYFUNCTION("""COMPUTED_VALUE"""),"Donjai")</f>
        <v>Donjai</v>
      </c>
      <c r="T2649" s="3" t="str">
        <f>IFERROR(__xludf.DUMMYFUNCTION("""COMPUTED_VALUE"""),"Donjai")</f>
        <v>Donjai</v>
      </c>
      <c r="U2649" s="3" t="str">
        <f>IFERROR(__xludf.DUMMYFUNCTION("""COMPUTED_VALUE"""),"Donjai")</f>
        <v>Donjai</v>
      </c>
      <c r="V2649" s="3" t="str">
        <f>IFERROR(__xludf.DUMMYFUNCTION("""COMPUTED_VALUE"""),"N")</f>
        <v>N</v>
      </c>
      <c r="W2649" s="3"/>
      <c r="X2649" s="3" t="str">
        <f>IFERROR(__xludf.DUMMYFUNCTION("""COMPUTED_VALUE"""),"560 ถนนประชาราษฎร์สาย 1 แขวงบางซื่อ เขตบางซื่อ กรุงเทพมหานคร 10800")</f>
        <v>560 ถนนประชาราษฎร์สาย 1 แขวงบางซื่อ เขตบางซื่อ กรุงเทพมหานคร 10800</v>
      </c>
      <c r="Y2649" s="3"/>
      <c r="Z2649" s="3">
        <f>IFERROR(__xludf.DUMMYFUNCTION("""COMPUTED_VALUE"""),0.0)</f>
        <v>0</v>
      </c>
      <c r="AA2649" s="3">
        <f>IFERROR(__xludf.DUMMYFUNCTION("""COMPUTED_VALUE"""),0.0)</f>
        <v>0</v>
      </c>
      <c r="AB2649" s="3" t="str">
        <f>IFERROR(__xludf.DUMMYFUNCTION("""COMPUTED_VALUE"""),"กรุงเทพมหานคร")</f>
        <v>กรุงเทพมหานคร</v>
      </c>
      <c r="AC2649" s="3">
        <f>IFERROR(__xludf.DUMMYFUNCTION("""COMPUTED_VALUE"""),10800.0)</f>
        <v>10800</v>
      </c>
      <c r="AD2649" s="3"/>
      <c r="AE2649" s="3"/>
      <c r="AF2649" s="3" t="str">
        <f>IFERROR(__xludf.DUMMYFUNCTION("""COMPUTED_VALUE"""),"ร้านฟ้าใส-83431")</f>
        <v>ร้านฟ้าใส-83431</v>
      </c>
      <c r="AG2649" s="3" t="str">
        <f>IFERROR(__xludf.DUMMYFUNCTION("""COMPUTED_VALUE"""),"กลาง")</f>
        <v>กลาง</v>
      </c>
      <c r="AH2649" s="3" t="str">
        <f>IFERROR(__xludf.DUMMYFUNCTION("""COMPUTED_VALUE"""),"#N/A")</f>
        <v>#N/A</v>
      </c>
      <c r="AI2649" s="3" t="str">
        <f>IFERROR(__xludf.DUMMYFUNCTION("""COMPUTED_VALUE"""),"Out of warranty")</f>
        <v>Out of warranty</v>
      </c>
      <c r="AJ2649" s="3">
        <f>IFERROR(__xludf.DUMMYFUNCTION("""COMPUTED_VALUE"""),48.0)</f>
        <v>48</v>
      </c>
      <c r="AK2649" s="3"/>
      <c r="AL2649" s="3"/>
    </row>
    <row r="2650" ht="15.75" customHeight="1">
      <c r="A2650" s="1" t="str">
        <f>IFERROR(__xludf.DUMMYFUNCTION("""COMPUTED_VALUE"""),"83435")</f>
        <v>83435</v>
      </c>
      <c r="B2650" s="2">
        <f>IFERROR(__xludf.DUMMYFUNCTION("""COMPUTED_VALUE"""),83435.0)</f>
        <v>83435</v>
      </c>
      <c r="C2650" s="3" t="str">
        <f>IFERROR(__xludf.DUMMYFUNCTION("""COMPUTED_VALUE"""),"ร้านพัชรีธงฟ้า")</f>
        <v>ร้านพัชรีธงฟ้า</v>
      </c>
      <c r="D2650" s="3" t="str">
        <f>IFERROR(__xludf.DUMMYFUNCTION("""COMPUTED_VALUE"""),"ร้านพัชรีธงฟ้า")</f>
        <v>ร้านพัชรีธงฟ้า</v>
      </c>
      <c r="E2650" s="1" t="str">
        <f>IFERROR(__xludf.DUMMYFUNCTION("""COMPUTED_VALUE"""),"Donjai")</f>
        <v>Donjai</v>
      </c>
      <c r="F2650" s="1" t="str">
        <f>IFERROR(__xludf.DUMMYFUNCTION("""COMPUTED_VALUE"""),"2010023")</f>
        <v>2010023</v>
      </c>
      <c r="G2650" s="1" t="str">
        <f>IFERROR(__xludf.DUMMYFUNCTION("""COMPUTED_VALUE"""),"นายวศิน ไวยรูป")</f>
        <v>นายวศิน ไวยรูป</v>
      </c>
      <c r="H2650" s="1" t="str">
        <f>IFERROR(__xludf.DUMMYFUNCTION("""COMPUTED_VALUE"""),"2010023")</f>
        <v>2010023</v>
      </c>
      <c r="I2650" s="1" t="str">
        <f>IFERROR(__xludf.DUMMYFUNCTION("""COMPUTED_VALUE"""),"นายวศิน ไวยรูป")</f>
        <v>นายวศิน ไวยรูป</v>
      </c>
      <c r="J2650" s="3">
        <f>IFERROR(__xludf.DUMMYFUNCTION("""COMPUTED_VALUE"""),228031.0)</f>
        <v>228031</v>
      </c>
      <c r="K2650" s="3" t="str">
        <f>IFERROR(__xludf.DUMMYFUNCTION("""COMPUTED_VALUE"""),"นายธนพงษ์ วันหมัด")</f>
        <v>นายธนพงษ์ วันหมัด</v>
      </c>
      <c r="L2650" s="1" t="str">
        <f>IFERROR(__xludf.DUMMYFUNCTION("""COMPUTED_VALUE"""),"นายธนพงษ์ วันหมัด")</f>
        <v>นายธนพงษ์ วันหมัด</v>
      </c>
      <c r="M2650" s="1" t="str">
        <f>IFERROR(__xludf.DUMMYFUNCTION("""COMPUTED_VALUE"""),"0813716913")</f>
        <v>0813716913</v>
      </c>
      <c r="N2650" s="3">
        <f>IFERROR(__xludf.DUMMYFUNCTION("""COMPUTED_VALUE"""),83435.0)</f>
        <v>83435</v>
      </c>
      <c r="O2650" s="3" t="str">
        <f>IFERROR(__xludf.DUMMYFUNCTION("""COMPUTED_VALUE"""),"ร้านพัชรีธงฟ้า")</f>
        <v>ร้านพัชรีธงฟ้า</v>
      </c>
      <c r="P2650" s="4">
        <f>IFERROR(__xludf.DUMMYFUNCTION("""COMPUTED_VALUE"""),44595.0)</f>
        <v>44595</v>
      </c>
      <c r="Q2650" s="3" t="str">
        <f>IFERROR(__xludf.DUMMYFUNCTION("""COMPUTED_VALUE"""),"I")</f>
        <v>I</v>
      </c>
      <c r="R2650" s="3" t="str">
        <f>IFERROR(__xludf.DUMMYFUNCTION("""COMPUTED_VALUE"""),"Small Format")</f>
        <v>Small Format</v>
      </c>
      <c r="S2650" s="3" t="str">
        <f>IFERROR(__xludf.DUMMYFUNCTION("""COMPUTED_VALUE"""),"Donjai")</f>
        <v>Donjai</v>
      </c>
      <c r="T2650" s="3" t="str">
        <f>IFERROR(__xludf.DUMMYFUNCTION("""COMPUTED_VALUE"""),"Donjai")</f>
        <v>Donjai</v>
      </c>
      <c r="U2650" s="3" t="str">
        <f>IFERROR(__xludf.DUMMYFUNCTION("""COMPUTED_VALUE"""),"Donjai")</f>
        <v>Donjai</v>
      </c>
      <c r="V2650" s="3" t="str">
        <f>IFERROR(__xludf.DUMMYFUNCTION("""COMPUTED_VALUE"""),"N")</f>
        <v>N</v>
      </c>
      <c r="W2650" s="3"/>
      <c r="X2650" s="3" t="str">
        <f>IFERROR(__xludf.DUMMYFUNCTION("""COMPUTED_VALUE"""),"85/20 หมู่8 ซอย18แยก6 ถ.รัตนาธิเบศร์ ต.บางกระสอ อ.เมืองนนทบุรี จ.นนทบุรี")</f>
        <v>85/20 หมู่8 ซอย18แยก6 ถ.รัตนาธิเบศร์ ต.บางกระสอ อ.เมืองนนทบุรี จ.นนทบุรี</v>
      </c>
      <c r="Y2650" s="3"/>
      <c r="Z2650" s="3">
        <f>IFERROR(__xludf.DUMMYFUNCTION("""COMPUTED_VALUE"""),0.0)</f>
        <v>0</v>
      </c>
      <c r="AA2650" s="3">
        <f>IFERROR(__xludf.DUMMYFUNCTION("""COMPUTED_VALUE"""),0.0)</f>
        <v>0</v>
      </c>
      <c r="AB2650" s="3" t="str">
        <f>IFERROR(__xludf.DUMMYFUNCTION("""COMPUTED_VALUE"""),"นนทบุรี")</f>
        <v>นนทบุรี</v>
      </c>
      <c r="AC2650" s="3">
        <f>IFERROR(__xludf.DUMMYFUNCTION("""COMPUTED_VALUE"""),0.0)</f>
        <v>0</v>
      </c>
      <c r="AD2650" s="3"/>
      <c r="AE2650" s="3"/>
      <c r="AF2650" s="3" t="str">
        <f>IFERROR(__xludf.DUMMYFUNCTION("""COMPUTED_VALUE"""),"ร้านพัชรีธงฟ้า-83435")</f>
        <v>ร้านพัชรีธงฟ้า-83435</v>
      </c>
      <c r="AG2650" s="3" t="str">
        <f>IFERROR(__xludf.DUMMYFUNCTION("""COMPUTED_VALUE"""),"กลาง")</f>
        <v>กลาง</v>
      </c>
      <c r="AH2650" s="3" t="str">
        <f>IFERROR(__xludf.DUMMYFUNCTION("""COMPUTED_VALUE"""),"#N/A")</f>
        <v>#N/A</v>
      </c>
      <c r="AI2650" s="3" t="str">
        <f>IFERROR(__xludf.DUMMYFUNCTION("""COMPUTED_VALUE"""),"Out of warranty")</f>
        <v>Out of warranty</v>
      </c>
      <c r="AJ2650" s="3">
        <f>IFERROR(__xludf.DUMMYFUNCTION("""COMPUTED_VALUE"""),48.0)</f>
        <v>48</v>
      </c>
      <c r="AK2650" s="3"/>
      <c r="AL2650" s="3"/>
    </row>
    <row r="2651" ht="15.75" customHeight="1">
      <c r="A2651" s="1" t="str">
        <f>IFERROR(__xludf.DUMMYFUNCTION("""COMPUTED_VALUE"""),"83436")</f>
        <v>83436</v>
      </c>
      <c r="B2651" s="2">
        <f>IFERROR(__xludf.DUMMYFUNCTION("""COMPUTED_VALUE"""),83436.0)</f>
        <v>83436</v>
      </c>
      <c r="C2651" s="3" t="str">
        <f>IFERROR(__xludf.DUMMYFUNCTION("""COMPUTED_VALUE"""),"ร้านพิมพ์ชนกมินิมาร์ท")</f>
        <v>ร้านพิมพ์ชนกมินิมาร์ท</v>
      </c>
      <c r="D2651" s="3" t="str">
        <f>IFERROR(__xludf.DUMMYFUNCTION("""COMPUTED_VALUE"""),"ร้านพิมพ์ชนกมินิมาร์ท")</f>
        <v>ร้านพิมพ์ชนกมินิมาร์ท</v>
      </c>
      <c r="E2651" s="1" t="str">
        <f>IFERROR(__xludf.DUMMYFUNCTION("""COMPUTED_VALUE"""),"Donjai")</f>
        <v>Donjai</v>
      </c>
      <c r="F2651" s="1" t="str">
        <f>IFERROR(__xludf.DUMMYFUNCTION("""COMPUTED_VALUE"""),"296866")</f>
        <v>296866</v>
      </c>
      <c r="G2651" s="1" t="str">
        <f>IFERROR(__xludf.DUMMYFUNCTION("""COMPUTED_VALUE"""),"นายณัฐภูมิ สุจริตธรรม")</f>
        <v>นายณัฐภูมิ สุจริตธรรม</v>
      </c>
      <c r="H2651" s="1" t="str">
        <f>IFERROR(__xludf.DUMMYFUNCTION("""COMPUTED_VALUE"""),"296866")</f>
        <v>296866</v>
      </c>
      <c r="I2651" s="1" t="str">
        <f>IFERROR(__xludf.DUMMYFUNCTION("""COMPUTED_VALUE"""),"นายณัฐภูมิ สุจริตธรรม")</f>
        <v>นายณัฐภูมิ สุจริตธรรม</v>
      </c>
      <c r="J2651" s="3">
        <f>IFERROR(__xludf.DUMMYFUNCTION("""COMPUTED_VALUE"""),228031.0)</f>
        <v>228031</v>
      </c>
      <c r="K2651" s="3" t="str">
        <f>IFERROR(__xludf.DUMMYFUNCTION("""COMPUTED_VALUE"""),"นายธนพงษ์ วันหมัด")</f>
        <v>นายธนพงษ์ วันหมัด</v>
      </c>
      <c r="L2651" s="1" t="str">
        <f>IFERROR(__xludf.DUMMYFUNCTION("""COMPUTED_VALUE"""),"นายธนพงษ์ วันหมัด")</f>
        <v>นายธนพงษ์ วันหมัด</v>
      </c>
      <c r="M2651" s="1" t="str">
        <f>IFERROR(__xludf.DUMMYFUNCTION("""COMPUTED_VALUE"""),"0813716913")</f>
        <v>0813716913</v>
      </c>
      <c r="N2651" s="3">
        <f>IFERROR(__xludf.DUMMYFUNCTION("""COMPUTED_VALUE"""),83436.0)</f>
        <v>83436</v>
      </c>
      <c r="O2651" s="3" t="str">
        <f>IFERROR(__xludf.DUMMYFUNCTION("""COMPUTED_VALUE"""),"ร้านพิมพ์ชนกมินิมาร์ท")</f>
        <v>ร้านพิมพ์ชนกมินิมาร์ท</v>
      </c>
      <c r="P2651" s="4">
        <f>IFERROR(__xludf.DUMMYFUNCTION("""COMPUTED_VALUE"""),44596.0)</f>
        <v>44596</v>
      </c>
      <c r="Q2651" s="3" t="str">
        <f>IFERROR(__xludf.DUMMYFUNCTION("""COMPUTED_VALUE"""),"I")</f>
        <v>I</v>
      </c>
      <c r="R2651" s="3" t="str">
        <f>IFERROR(__xludf.DUMMYFUNCTION("""COMPUTED_VALUE"""),"Small Format")</f>
        <v>Small Format</v>
      </c>
      <c r="S2651" s="3" t="str">
        <f>IFERROR(__xludf.DUMMYFUNCTION("""COMPUTED_VALUE"""),"Donjai")</f>
        <v>Donjai</v>
      </c>
      <c r="T2651" s="3" t="str">
        <f>IFERROR(__xludf.DUMMYFUNCTION("""COMPUTED_VALUE"""),"#N/A")</f>
        <v>#N/A</v>
      </c>
      <c r="U2651" s="3" t="str">
        <f>IFERROR(__xludf.DUMMYFUNCTION("""COMPUTED_VALUE"""),"#N/A")</f>
        <v>#N/A</v>
      </c>
      <c r="V2651" s="3" t="str">
        <f>IFERROR(__xludf.DUMMYFUNCTION("""COMPUTED_VALUE"""),"N")</f>
        <v>N</v>
      </c>
      <c r="W2651" s="3"/>
      <c r="X2651" s="3" t="str">
        <f>IFERROR(__xludf.DUMMYFUNCTION("""COMPUTED_VALUE"""),"274 ม.3 บ้านกลาง ต.บ้านกลาง อ.หล่มสัก จ.เพชรบูรณ์ 67110")</f>
        <v>274 ม.3 บ้านกลาง ต.บ้านกลาง อ.หล่มสัก จ.เพชรบูรณ์ 67110</v>
      </c>
      <c r="Y2651" s="3"/>
      <c r="Z2651" s="3" t="str">
        <f>IFERROR(__xludf.DUMMYFUNCTION("""COMPUTED_VALUE"""),"บ้านกลาง")</f>
        <v>บ้านกลาง</v>
      </c>
      <c r="AA2651" s="3" t="str">
        <f>IFERROR(__xludf.DUMMYFUNCTION("""COMPUTED_VALUE"""),"หล่มสัก")</f>
        <v>หล่มสัก</v>
      </c>
      <c r="AB2651" s="3" t="str">
        <f>IFERROR(__xludf.DUMMYFUNCTION("""COMPUTED_VALUE"""),"เพชรบูรณ์")</f>
        <v>เพชรบูรณ์</v>
      </c>
      <c r="AC2651" s="3">
        <f>IFERROR(__xludf.DUMMYFUNCTION("""COMPUTED_VALUE"""),67110.0)</f>
        <v>67110</v>
      </c>
      <c r="AD2651" s="3"/>
      <c r="AE2651" s="3"/>
      <c r="AF2651" s="3" t="str">
        <f>IFERROR(__xludf.DUMMYFUNCTION("""COMPUTED_VALUE"""),"ร้านพิมพ์ชนกมินิมาร์ท-83436")</f>
        <v>ร้านพิมพ์ชนกมินิมาร์ท-83436</v>
      </c>
      <c r="AG2651" s="3" t="str">
        <f>IFERROR(__xludf.DUMMYFUNCTION("""COMPUTED_VALUE"""),"กลาง")</f>
        <v>กลาง</v>
      </c>
      <c r="AH2651" s="3" t="str">
        <f>IFERROR(__xludf.DUMMYFUNCTION("""COMPUTED_VALUE"""),"#N/A")</f>
        <v>#N/A</v>
      </c>
      <c r="AI2651" s="3" t="str">
        <f>IFERROR(__xludf.DUMMYFUNCTION("""COMPUTED_VALUE"""),"Out of warranty")</f>
        <v>Out of warranty</v>
      </c>
      <c r="AJ2651" s="3">
        <f>IFERROR(__xludf.DUMMYFUNCTION("""COMPUTED_VALUE"""),48.0)</f>
        <v>48</v>
      </c>
      <c r="AK2651" s="3"/>
      <c r="AL2651" s="3"/>
    </row>
    <row r="2652" ht="15.75" customHeight="1">
      <c r="A2652" s="1" t="str">
        <f>IFERROR(__xludf.DUMMYFUNCTION("""COMPUTED_VALUE"""),"83437")</f>
        <v>83437</v>
      </c>
      <c r="B2652" s="2">
        <f>IFERROR(__xludf.DUMMYFUNCTION("""COMPUTED_VALUE"""),83437.0)</f>
        <v>83437</v>
      </c>
      <c r="C2652" s="3" t="str">
        <f>IFERROR(__xludf.DUMMYFUNCTION("""COMPUTED_VALUE"""),"ร้านจิงจัง(รองเล็ก)")</f>
        <v>ร้านจิงจัง(รองเล็ก)</v>
      </c>
      <c r="D2652" s="3" t="str">
        <f>IFERROR(__xludf.DUMMYFUNCTION("""COMPUTED_VALUE"""),"ร้านจิงจัง(รองเล็ก)")</f>
        <v>ร้านจิงจัง(รองเล็ก)</v>
      </c>
      <c r="E2652" s="1" t="str">
        <f>IFERROR(__xludf.DUMMYFUNCTION("""COMPUTED_VALUE"""),"Donjai")</f>
        <v>Donjai</v>
      </c>
      <c r="F2652" s="1" t="str">
        <f>IFERROR(__xludf.DUMMYFUNCTION("""COMPUTED_VALUE"""),"296608")</f>
        <v>296608</v>
      </c>
      <c r="G2652" s="1" t="str">
        <f>IFERROR(__xludf.DUMMYFUNCTION("""COMPUTED_VALUE"""),"นายภาคภูมิ เพ็ชรนิล")</f>
        <v>นายภาคภูมิ เพ็ชรนิล</v>
      </c>
      <c r="H2652" s="1" t="str">
        <f>IFERROR(__xludf.DUMMYFUNCTION("""COMPUTED_VALUE"""),"296608")</f>
        <v>296608</v>
      </c>
      <c r="I2652" s="1" t="str">
        <f>IFERROR(__xludf.DUMMYFUNCTION("""COMPUTED_VALUE"""),"นายภาคภูมิ เพ็ชรนิล")</f>
        <v>นายภาคภูมิ เพ็ชรนิล</v>
      </c>
      <c r="J2652" s="3">
        <f>IFERROR(__xludf.DUMMYFUNCTION("""COMPUTED_VALUE"""),228031.0)</f>
        <v>228031</v>
      </c>
      <c r="K2652" s="3" t="str">
        <f>IFERROR(__xludf.DUMMYFUNCTION("""COMPUTED_VALUE"""),"นายธนพงษ์ วันหมัด")</f>
        <v>นายธนพงษ์ วันหมัด</v>
      </c>
      <c r="L2652" s="1" t="str">
        <f>IFERROR(__xludf.DUMMYFUNCTION("""COMPUTED_VALUE"""),"นายธนพงษ์ วันหมัด")</f>
        <v>นายธนพงษ์ วันหมัด</v>
      </c>
      <c r="M2652" s="1" t="str">
        <f>IFERROR(__xludf.DUMMYFUNCTION("""COMPUTED_VALUE"""),"0813716913")</f>
        <v>0813716913</v>
      </c>
      <c r="N2652" s="3">
        <f>IFERROR(__xludf.DUMMYFUNCTION("""COMPUTED_VALUE"""),83437.0)</f>
        <v>83437</v>
      </c>
      <c r="O2652" s="3" t="str">
        <f>IFERROR(__xludf.DUMMYFUNCTION("""COMPUTED_VALUE"""),"ร้านจิงจัง(รองเล็ก)")</f>
        <v>ร้านจิงจัง(รองเล็ก)</v>
      </c>
      <c r="P2652" s="4">
        <f>IFERROR(__xludf.DUMMYFUNCTION("""COMPUTED_VALUE"""),44634.0)</f>
        <v>44634</v>
      </c>
      <c r="Q2652" s="3" t="str">
        <f>IFERROR(__xludf.DUMMYFUNCTION("""COMPUTED_VALUE"""),"I")</f>
        <v>I</v>
      </c>
      <c r="R2652" s="3" t="str">
        <f>IFERROR(__xludf.DUMMYFUNCTION("""COMPUTED_VALUE"""),"Small Format")</f>
        <v>Small Format</v>
      </c>
      <c r="S2652" s="3" t="str">
        <f>IFERROR(__xludf.DUMMYFUNCTION("""COMPUTED_VALUE"""),"Donjai")</f>
        <v>Donjai</v>
      </c>
      <c r="T2652" s="3" t="str">
        <f>IFERROR(__xludf.DUMMYFUNCTION("""COMPUTED_VALUE"""),"10 K.Phakphoom P.")</f>
        <v>10 K.Phakphoom P.</v>
      </c>
      <c r="U2652" s="3" t="str">
        <f>IFERROR(__xludf.DUMMYFUNCTION("""COMPUTED_VALUE"""),"10 K.Phakphoom P.")</f>
        <v>10 K.Phakphoom P.</v>
      </c>
      <c r="V2652" s="3" t="str">
        <f>IFERROR(__xludf.DUMMYFUNCTION("""COMPUTED_VALUE"""),"N")</f>
        <v>N</v>
      </c>
      <c r="W2652" s="3"/>
      <c r="X2652" s="3" t="str">
        <f>IFERROR(__xludf.DUMMYFUNCTION("""COMPUTED_VALUE"""),"36/3 ม.4 ต.บางนางลี่ อ.อัมพวา จ.สมุทรสงคราม")</f>
        <v>36/3 ม.4 ต.บางนางลี่ อ.อัมพวา จ.สมุทรสงคราม</v>
      </c>
      <c r="Y2652" s="3"/>
      <c r="Z2652" s="3">
        <f>IFERROR(__xludf.DUMMYFUNCTION("""COMPUTED_VALUE"""),0.0)</f>
        <v>0</v>
      </c>
      <c r="AA2652" s="3">
        <f>IFERROR(__xludf.DUMMYFUNCTION("""COMPUTED_VALUE"""),0.0)</f>
        <v>0</v>
      </c>
      <c r="AB2652" s="3" t="str">
        <f>IFERROR(__xludf.DUMMYFUNCTION("""COMPUTED_VALUE"""),"สมุทรสงคราม")</f>
        <v>สมุทรสงคราม</v>
      </c>
      <c r="AC2652" s="3">
        <f>IFERROR(__xludf.DUMMYFUNCTION("""COMPUTED_VALUE"""),0.0)</f>
        <v>0</v>
      </c>
      <c r="AD2652" s="3"/>
      <c r="AE2652" s="3"/>
      <c r="AF2652" s="3" t="str">
        <f>IFERROR(__xludf.DUMMYFUNCTION("""COMPUTED_VALUE"""),"ร้านจิงจัง(รองเล็ก)-83437")</f>
        <v>ร้านจิงจัง(รองเล็ก)-83437</v>
      </c>
      <c r="AG2652" s="3" t="str">
        <f>IFERROR(__xludf.DUMMYFUNCTION("""COMPUTED_VALUE"""),"กลาง")</f>
        <v>กลาง</v>
      </c>
      <c r="AH2652" s="3" t="str">
        <f>IFERROR(__xludf.DUMMYFUNCTION("""COMPUTED_VALUE"""),"#N/A")</f>
        <v>#N/A</v>
      </c>
      <c r="AI2652" s="3" t="str">
        <f>IFERROR(__xludf.DUMMYFUNCTION("""COMPUTED_VALUE"""),"Out of warranty")</f>
        <v>Out of warranty</v>
      </c>
      <c r="AJ2652" s="3">
        <f>IFERROR(__xludf.DUMMYFUNCTION("""COMPUTED_VALUE"""),47.0)</f>
        <v>47</v>
      </c>
      <c r="AK2652" s="3"/>
      <c r="AL2652" s="3"/>
    </row>
    <row r="2653" ht="15.75" customHeight="1">
      <c r="A2653" s="1" t="str">
        <f>IFERROR(__xludf.DUMMYFUNCTION("""COMPUTED_VALUE"""),"83441")</f>
        <v>83441</v>
      </c>
      <c r="B2653" s="2">
        <f>IFERROR(__xludf.DUMMYFUNCTION("""COMPUTED_VALUE"""),83441.0)</f>
        <v>83441</v>
      </c>
      <c r="C2653" s="3" t="str">
        <f>IFERROR(__xludf.DUMMYFUNCTION("""COMPUTED_VALUE"""),"ร้าน ทรัพย์ไพศาล อ.ม่วงสามสิบ")</f>
        <v>ร้าน ทรัพย์ไพศาล อ.ม่วงสามสิบ</v>
      </c>
      <c r="D2653" s="3" t="str">
        <f>IFERROR(__xludf.DUMMYFUNCTION("""COMPUTED_VALUE"""),"ร้าน ทรัพย์ไพศาล อ.ม่วงสามสิบ")</f>
        <v>ร้าน ทรัพย์ไพศาล อ.ม่วงสามสิบ</v>
      </c>
      <c r="E2653" s="1" t="str">
        <f>IFERROR(__xludf.DUMMYFUNCTION("""COMPUTED_VALUE"""),"Donjai")</f>
        <v>Donjai</v>
      </c>
      <c r="F2653" s="1" t="str">
        <f>IFERROR(__xludf.DUMMYFUNCTION("""COMPUTED_VALUE"""),"2454781")</f>
        <v>2454781</v>
      </c>
      <c r="G2653" s="1" t="str">
        <f>IFERROR(__xludf.DUMMYFUNCTION("""COMPUTED_VALUE"""),"นายฌานกฤช นันทะโคต")</f>
        <v>นายฌานกฤช นันทะโคต</v>
      </c>
      <c r="H2653" s="1" t="str">
        <f>IFERROR(__xludf.DUMMYFUNCTION("""COMPUTED_VALUE"""),"2454781")</f>
        <v>2454781</v>
      </c>
      <c r="I2653" s="1" t="str">
        <f>IFERROR(__xludf.DUMMYFUNCTION("""COMPUTED_VALUE"""),"นายฌานกฤช นันทะโคต")</f>
        <v>นายฌานกฤช นันทะโคต</v>
      </c>
      <c r="J2653" s="3">
        <f>IFERROR(__xludf.DUMMYFUNCTION("""COMPUTED_VALUE"""),295886.0)</f>
        <v>295886</v>
      </c>
      <c r="K2653" s="3" t="str">
        <f>IFERROR(__xludf.DUMMYFUNCTION("""COMPUTED_VALUE"""),"นายจิระพงษ์ โพธิ์นิล")</f>
        <v>นายจิระพงษ์ โพธิ์นิล</v>
      </c>
      <c r="L2653" s="1" t="str">
        <f>IFERROR(__xludf.DUMMYFUNCTION("""COMPUTED_VALUE"""),"นายจิระพงษ์ โพธิ์นิล")</f>
        <v>นายจิระพงษ์ โพธิ์นิล</v>
      </c>
      <c r="M2653" s="1" t="str">
        <f>IFERROR(__xludf.DUMMYFUNCTION("""COMPUTED_VALUE"""),"0933290754")</f>
        <v>0933290754</v>
      </c>
      <c r="N2653" s="3">
        <f>IFERROR(__xludf.DUMMYFUNCTION("""COMPUTED_VALUE"""),83441.0)</f>
        <v>83441</v>
      </c>
      <c r="O2653" s="3" t="str">
        <f>IFERROR(__xludf.DUMMYFUNCTION("""COMPUTED_VALUE"""),"ร้าน ทรัพย์ไพศาล อ.ม่วงสามสิบ")</f>
        <v>ร้าน ทรัพย์ไพศาล อ.ม่วงสามสิบ</v>
      </c>
      <c r="P2653" s="4">
        <f>IFERROR(__xludf.DUMMYFUNCTION("""COMPUTED_VALUE"""),44609.0)</f>
        <v>44609</v>
      </c>
      <c r="Q2653" s="3" t="str">
        <f>IFERROR(__xludf.DUMMYFUNCTION("""COMPUTED_VALUE"""),"A")</f>
        <v>A</v>
      </c>
      <c r="R2653" s="3" t="str">
        <f>IFERROR(__xludf.DUMMYFUNCTION("""COMPUTED_VALUE"""),"Small Format")</f>
        <v>Small Format</v>
      </c>
      <c r="S2653" s="3" t="str">
        <f>IFERROR(__xludf.DUMMYFUNCTION("""COMPUTED_VALUE"""),"Donjai")</f>
        <v>Donjai</v>
      </c>
      <c r="T2653" s="3" t="str">
        <f>IFERROR(__xludf.DUMMYFUNCTION("""COMPUTED_VALUE"""),"05 K.Chanakrit N.")</f>
        <v>05 K.Chanakrit N.</v>
      </c>
      <c r="U2653" s="3" t="str">
        <f>IFERROR(__xludf.DUMMYFUNCTION("""COMPUTED_VALUE"""),"05 K.Chanakrit N.")</f>
        <v>05 K.Chanakrit N.</v>
      </c>
      <c r="V2653" s="3" t="str">
        <f>IFERROR(__xludf.DUMMYFUNCTION("""COMPUTED_VALUE"""),"N")</f>
        <v>N</v>
      </c>
      <c r="W2653" s="3"/>
      <c r="X2653" s="3" t="str">
        <f>IFERROR(__xludf.DUMMYFUNCTION("""COMPUTED_VALUE"""),"อ.ม่วงสามสิบ อุบลราชธานี")</f>
        <v>อ.ม่วงสามสิบ อุบลราชธานี</v>
      </c>
      <c r="Y2653" s="3"/>
      <c r="Z2653" s="3">
        <f>IFERROR(__xludf.DUMMYFUNCTION("""COMPUTED_VALUE"""),0.0)</f>
        <v>0</v>
      </c>
      <c r="AA2653" s="3">
        <f>IFERROR(__xludf.DUMMYFUNCTION("""COMPUTED_VALUE"""),0.0)</f>
        <v>0</v>
      </c>
      <c r="AB2653" s="3" t="str">
        <f>IFERROR(__xludf.DUMMYFUNCTION("""COMPUTED_VALUE"""),"อุบลราชธานี")</f>
        <v>อุบลราชธานี</v>
      </c>
      <c r="AC2653" s="3">
        <f>IFERROR(__xludf.DUMMYFUNCTION("""COMPUTED_VALUE"""),0.0)</f>
        <v>0</v>
      </c>
      <c r="AD2653" s="3"/>
      <c r="AE2653" s="3"/>
      <c r="AF2653" s="3" t="str">
        <f>IFERROR(__xludf.DUMMYFUNCTION("""COMPUTED_VALUE"""),"ร้าน ทรัพย์ไพศาล อ.ม่วงสามสิบ-83441")</f>
        <v>ร้าน ทรัพย์ไพศาล อ.ม่วงสามสิบ-83441</v>
      </c>
      <c r="AG2653" s="3" t="str">
        <f>IFERROR(__xludf.DUMMYFUNCTION("""COMPUTED_VALUE"""),"ตะวันออกเฉียงเหนือ")</f>
        <v>ตะวันออกเฉียงเหนือ</v>
      </c>
      <c r="AH2653" s="3" t="str">
        <f>IFERROR(__xludf.DUMMYFUNCTION("""COMPUTED_VALUE"""),"#N/A")</f>
        <v>#N/A</v>
      </c>
      <c r="AI2653" s="3" t="str">
        <f>IFERROR(__xludf.DUMMYFUNCTION("""COMPUTED_VALUE"""),"Out of warranty")</f>
        <v>Out of warranty</v>
      </c>
      <c r="AJ2653" s="3">
        <f>IFERROR(__xludf.DUMMYFUNCTION("""COMPUTED_VALUE"""),48.0)</f>
        <v>48</v>
      </c>
      <c r="AK2653" s="3"/>
      <c r="AL2653" s="3"/>
    </row>
    <row r="2654" ht="15.75" customHeight="1">
      <c r="A2654" s="1" t="str">
        <f>IFERROR(__xludf.DUMMYFUNCTION("""COMPUTED_VALUE"""),"83442")</f>
        <v>83442</v>
      </c>
      <c r="B2654" s="2">
        <f>IFERROR(__xludf.DUMMYFUNCTION("""COMPUTED_VALUE"""),83442.0)</f>
        <v>83442</v>
      </c>
      <c r="C2654" s="3" t="str">
        <f>IFERROR(__xludf.DUMMYFUNCTION("""COMPUTED_VALUE"""),"ร้านถุงเงิน ถุงทอง ( มงคลการเกษตร อ.ดอนมดแดง)")</f>
        <v>ร้านถุงเงิน ถุงทอง ( มงคลการเกษตร อ.ดอนมดแดง)</v>
      </c>
      <c r="D2654" s="3" t="str">
        <f>IFERROR(__xludf.DUMMYFUNCTION("""COMPUTED_VALUE"""),"ร้านถุงเงิน ถุงทอง ( มงคลการเกษตร อ.ดอนมดแดง)")</f>
        <v>ร้านถุงเงิน ถุงทอง ( มงคลการเกษตร อ.ดอนมดแดง)</v>
      </c>
      <c r="E2654" s="1" t="str">
        <f>IFERROR(__xludf.DUMMYFUNCTION("""COMPUTED_VALUE"""),"Donjai")</f>
        <v>Donjai</v>
      </c>
      <c r="F2654" s="1" t="str">
        <f>IFERROR(__xludf.DUMMYFUNCTION("""COMPUTED_VALUE"""),"2454781")</f>
        <v>2454781</v>
      </c>
      <c r="G2654" s="1" t="str">
        <f>IFERROR(__xludf.DUMMYFUNCTION("""COMPUTED_VALUE"""),"นายฌานกฤช นันทะโคต")</f>
        <v>นายฌานกฤช นันทะโคต</v>
      </c>
      <c r="H2654" s="1" t="str">
        <f>IFERROR(__xludf.DUMMYFUNCTION("""COMPUTED_VALUE"""),"2454781")</f>
        <v>2454781</v>
      </c>
      <c r="I2654" s="1" t="str">
        <f>IFERROR(__xludf.DUMMYFUNCTION("""COMPUTED_VALUE"""),"นายฌานกฤช นันทะโคต")</f>
        <v>นายฌานกฤช นันทะโคต</v>
      </c>
      <c r="J2654" s="3">
        <f>IFERROR(__xludf.DUMMYFUNCTION("""COMPUTED_VALUE"""),295886.0)</f>
        <v>295886</v>
      </c>
      <c r="K2654" s="3" t="str">
        <f>IFERROR(__xludf.DUMMYFUNCTION("""COMPUTED_VALUE"""),"นายจิระพงษ์ โพธิ์นิล")</f>
        <v>นายจิระพงษ์ โพธิ์นิล</v>
      </c>
      <c r="L2654" s="1" t="str">
        <f>IFERROR(__xludf.DUMMYFUNCTION("""COMPUTED_VALUE"""),"นายจิระพงษ์ โพธิ์นิล")</f>
        <v>นายจิระพงษ์ โพธิ์นิล</v>
      </c>
      <c r="M2654" s="1" t="str">
        <f>IFERROR(__xludf.DUMMYFUNCTION("""COMPUTED_VALUE"""),"0933290754")</f>
        <v>0933290754</v>
      </c>
      <c r="N2654" s="3">
        <f>IFERROR(__xludf.DUMMYFUNCTION("""COMPUTED_VALUE"""),83442.0)</f>
        <v>83442</v>
      </c>
      <c r="O2654" s="3" t="str">
        <f>IFERROR(__xludf.DUMMYFUNCTION("""COMPUTED_VALUE"""),"ร้านถุงเงิน ถุงทอง ( มงคลการเกษตร อ.ดอนมดแดง)")</f>
        <v>ร้านถุงเงิน ถุงทอง ( มงคลการเกษตร อ.ดอนมดแดง)</v>
      </c>
      <c r="P2654" s="4">
        <f>IFERROR(__xludf.DUMMYFUNCTION("""COMPUTED_VALUE"""),44611.0)</f>
        <v>44611</v>
      </c>
      <c r="Q2654" s="3" t="str">
        <f>IFERROR(__xludf.DUMMYFUNCTION("""COMPUTED_VALUE"""),"I")</f>
        <v>I</v>
      </c>
      <c r="R2654" s="3" t="str">
        <f>IFERROR(__xludf.DUMMYFUNCTION("""COMPUTED_VALUE"""),"Small Format")</f>
        <v>Small Format</v>
      </c>
      <c r="S2654" s="3" t="str">
        <f>IFERROR(__xludf.DUMMYFUNCTION("""COMPUTED_VALUE"""),"Donjai")</f>
        <v>Donjai</v>
      </c>
      <c r="T2654" s="3" t="str">
        <f>IFERROR(__xludf.DUMMYFUNCTION("""COMPUTED_VALUE"""),"05 K.Chanakrit N.")</f>
        <v>05 K.Chanakrit N.</v>
      </c>
      <c r="U2654" s="3" t="str">
        <f>IFERROR(__xludf.DUMMYFUNCTION("""COMPUTED_VALUE"""),"05 K.Chanakrit N.")</f>
        <v>05 K.Chanakrit N.</v>
      </c>
      <c r="V2654" s="3" t="str">
        <f>IFERROR(__xludf.DUMMYFUNCTION("""COMPUTED_VALUE"""),"N")</f>
        <v>N</v>
      </c>
      <c r="W2654" s="3"/>
      <c r="X2654" s="3" t="str">
        <f>IFERROR(__xludf.DUMMYFUNCTION("""COMPUTED_VALUE"""),"อ.ดอนมดแดง อุบลราชธานี")</f>
        <v>อ.ดอนมดแดง อุบลราชธานี</v>
      </c>
      <c r="Y2654" s="3"/>
      <c r="Z2654" s="3">
        <f>IFERROR(__xludf.DUMMYFUNCTION("""COMPUTED_VALUE"""),0.0)</f>
        <v>0</v>
      </c>
      <c r="AA2654" s="3">
        <f>IFERROR(__xludf.DUMMYFUNCTION("""COMPUTED_VALUE"""),0.0)</f>
        <v>0</v>
      </c>
      <c r="AB2654" s="3" t="str">
        <f>IFERROR(__xludf.DUMMYFUNCTION("""COMPUTED_VALUE"""),"อุบลราชธานี")</f>
        <v>อุบลราชธานี</v>
      </c>
      <c r="AC2654" s="3">
        <f>IFERROR(__xludf.DUMMYFUNCTION("""COMPUTED_VALUE"""),0.0)</f>
        <v>0</v>
      </c>
      <c r="AD2654" s="3"/>
      <c r="AE2654" s="3"/>
      <c r="AF2654" s="3" t="str">
        <f>IFERROR(__xludf.DUMMYFUNCTION("""COMPUTED_VALUE"""),"ร้านถุงเงิน ถุงทอง ( มงคลการเกษตร อ.ดอนมดแดง)-83442")</f>
        <v>ร้านถุงเงิน ถุงทอง ( มงคลการเกษตร อ.ดอนมดแดง)-83442</v>
      </c>
      <c r="AG2654" s="3" t="str">
        <f>IFERROR(__xludf.DUMMYFUNCTION("""COMPUTED_VALUE"""),"ตะวันออกเฉียงเหนือ")</f>
        <v>ตะวันออกเฉียงเหนือ</v>
      </c>
      <c r="AH2654" s="3" t="str">
        <f>IFERROR(__xludf.DUMMYFUNCTION("""COMPUTED_VALUE"""),"#N/A")</f>
        <v>#N/A</v>
      </c>
      <c r="AI2654" s="3" t="str">
        <f>IFERROR(__xludf.DUMMYFUNCTION("""COMPUTED_VALUE"""),"Out of warranty")</f>
        <v>Out of warranty</v>
      </c>
      <c r="AJ2654" s="3">
        <f>IFERROR(__xludf.DUMMYFUNCTION("""COMPUTED_VALUE"""),48.0)</f>
        <v>48</v>
      </c>
      <c r="AK2654" s="3"/>
      <c r="AL2654" s="3"/>
    </row>
    <row r="2655" ht="15.75" customHeight="1">
      <c r="A2655" s="1" t="str">
        <f>IFERROR(__xludf.DUMMYFUNCTION("""COMPUTED_VALUE"""),"83443")</f>
        <v>83443</v>
      </c>
      <c r="B2655" s="2">
        <f>IFERROR(__xludf.DUMMYFUNCTION("""COMPUTED_VALUE"""),83443.0)</f>
        <v>83443</v>
      </c>
      <c r="C2655" s="3" t="str">
        <f>IFERROR(__xludf.DUMMYFUNCTION("""COMPUTED_VALUE"""),"ร้านพ่อครูมินิมาร์ท")</f>
        <v>ร้านพ่อครูมินิมาร์ท</v>
      </c>
      <c r="D2655" s="3" t="str">
        <f>IFERROR(__xludf.DUMMYFUNCTION("""COMPUTED_VALUE"""),"ร้านพ่อครูมินิมาร์ท")</f>
        <v>ร้านพ่อครูมินิมาร์ท</v>
      </c>
      <c r="E2655" s="1" t="str">
        <f>IFERROR(__xludf.DUMMYFUNCTION("""COMPUTED_VALUE"""),"Donjai")</f>
        <v>Donjai</v>
      </c>
      <c r="F2655" s="1" t="str">
        <f>IFERROR(__xludf.DUMMYFUNCTION("""COMPUTED_VALUE"""),"015361")</f>
        <v>015361</v>
      </c>
      <c r="G2655" s="1" t="str">
        <f>IFERROR(__xludf.DUMMYFUNCTION("""COMPUTED_VALUE"""),"นายสมบูรณ์ พรหมในเมือง")</f>
        <v>นายสมบูรณ์ พรหมในเมือง</v>
      </c>
      <c r="H2655" s="1" t="str">
        <f>IFERROR(__xludf.DUMMYFUNCTION("""COMPUTED_VALUE"""),"015361")</f>
        <v>015361</v>
      </c>
      <c r="I2655" s="1" t="str">
        <f>IFERROR(__xludf.DUMMYFUNCTION("""COMPUTED_VALUE"""),"นายสมบูรณ์ พรหมในเมือง")</f>
        <v>นายสมบูรณ์ พรหมในเมือง</v>
      </c>
      <c r="J2655" s="3">
        <f>IFERROR(__xludf.DUMMYFUNCTION("""COMPUTED_VALUE"""),295886.0)</f>
        <v>295886</v>
      </c>
      <c r="K2655" s="3" t="str">
        <f>IFERROR(__xludf.DUMMYFUNCTION("""COMPUTED_VALUE"""),"นายจิระพงษ์ โพธิ์นิล")</f>
        <v>นายจิระพงษ์ โพธิ์นิล</v>
      </c>
      <c r="L2655" s="1" t="str">
        <f>IFERROR(__xludf.DUMMYFUNCTION("""COMPUTED_VALUE"""),"นายจิระพงษ์ โพธิ์นิล")</f>
        <v>นายจิระพงษ์ โพธิ์นิล</v>
      </c>
      <c r="M2655" s="1" t="str">
        <f>IFERROR(__xludf.DUMMYFUNCTION("""COMPUTED_VALUE"""),"0933290754")</f>
        <v>0933290754</v>
      </c>
      <c r="N2655" s="3">
        <f>IFERROR(__xludf.DUMMYFUNCTION("""COMPUTED_VALUE"""),83443.0)</f>
        <v>83443</v>
      </c>
      <c r="O2655" s="3" t="str">
        <f>IFERROR(__xludf.DUMMYFUNCTION("""COMPUTED_VALUE"""),"ร้านพ่อครูมินิมาร์ท")</f>
        <v>ร้านพ่อครูมินิมาร์ท</v>
      </c>
      <c r="P2655" s="4">
        <f>IFERROR(__xludf.DUMMYFUNCTION("""COMPUTED_VALUE"""),44603.0)</f>
        <v>44603</v>
      </c>
      <c r="Q2655" s="3" t="str">
        <f>IFERROR(__xludf.DUMMYFUNCTION("""COMPUTED_VALUE"""),"A")</f>
        <v>A</v>
      </c>
      <c r="R2655" s="3" t="str">
        <f>IFERROR(__xludf.DUMMYFUNCTION("""COMPUTED_VALUE"""),"Small Format")</f>
        <v>Small Format</v>
      </c>
      <c r="S2655" s="3" t="str">
        <f>IFERROR(__xludf.DUMMYFUNCTION("""COMPUTED_VALUE"""),"Donjai")</f>
        <v>Donjai</v>
      </c>
      <c r="T2655" s="3" t="str">
        <f>IFERROR(__xludf.DUMMYFUNCTION("""COMPUTED_VALUE"""),"04 K.Somboon P.")</f>
        <v>04 K.Somboon P.</v>
      </c>
      <c r="U2655" s="3" t="str">
        <f>IFERROR(__xludf.DUMMYFUNCTION("""COMPUTED_VALUE"""),"04 K.Somboon P.")</f>
        <v>04 K.Somboon P.</v>
      </c>
      <c r="V2655" s="3" t="str">
        <f>IFERROR(__xludf.DUMMYFUNCTION("""COMPUTED_VALUE"""),"N")</f>
        <v>N</v>
      </c>
      <c r="W2655" s="3"/>
      <c r="X2655" s="3" t="str">
        <f>IFERROR(__xludf.DUMMYFUNCTION("""COMPUTED_VALUE"""),"270 หมู่ที่ 5 ตำบลดอนหัน อำเภอเมืองขอนแก่น จังหวัดขอนแก่น 40260")</f>
        <v>270 หมู่ที่ 5 ตำบลดอนหัน อำเภอเมืองขอนแก่น จังหวัดขอนแก่น 40260</v>
      </c>
      <c r="Y2655" s="3"/>
      <c r="Z2655" s="3">
        <f>IFERROR(__xludf.DUMMYFUNCTION("""COMPUTED_VALUE"""),0.0)</f>
        <v>0</v>
      </c>
      <c r="AA2655" s="3">
        <f>IFERROR(__xludf.DUMMYFUNCTION("""COMPUTED_VALUE"""),0.0)</f>
        <v>0</v>
      </c>
      <c r="AB2655" s="3" t="str">
        <f>IFERROR(__xludf.DUMMYFUNCTION("""COMPUTED_VALUE"""),"ขอนแก่น")</f>
        <v>ขอนแก่น</v>
      </c>
      <c r="AC2655" s="3">
        <f>IFERROR(__xludf.DUMMYFUNCTION("""COMPUTED_VALUE"""),40260.0)</f>
        <v>40260</v>
      </c>
      <c r="AD2655" s="3"/>
      <c r="AE2655" s="3"/>
      <c r="AF2655" s="3" t="str">
        <f>IFERROR(__xludf.DUMMYFUNCTION("""COMPUTED_VALUE"""),"ร้านพ่อครูมินิมาร์ท-83443")</f>
        <v>ร้านพ่อครูมินิมาร์ท-83443</v>
      </c>
      <c r="AG2655" s="3" t="str">
        <f>IFERROR(__xludf.DUMMYFUNCTION("""COMPUTED_VALUE"""),"ตะวันออกเฉียงเหนือ")</f>
        <v>ตะวันออกเฉียงเหนือ</v>
      </c>
      <c r="AH2655" s="3" t="str">
        <f>IFERROR(__xludf.DUMMYFUNCTION("""COMPUTED_VALUE"""),"#N/A")</f>
        <v>#N/A</v>
      </c>
      <c r="AI2655" s="3" t="str">
        <f>IFERROR(__xludf.DUMMYFUNCTION("""COMPUTED_VALUE"""),"Out of warranty")</f>
        <v>Out of warranty</v>
      </c>
      <c r="AJ2655" s="3">
        <f>IFERROR(__xludf.DUMMYFUNCTION("""COMPUTED_VALUE"""),48.0)</f>
        <v>48</v>
      </c>
      <c r="AK2655" s="3"/>
      <c r="AL2655" s="3"/>
    </row>
    <row r="2656" ht="15.75" customHeight="1">
      <c r="A2656" s="1" t="str">
        <f>IFERROR(__xludf.DUMMYFUNCTION("""COMPUTED_VALUE"""),"83444")</f>
        <v>83444</v>
      </c>
      <c r="B2656" s="2">
        <f>IFERROR(__xludf.DUMMYFUNCTION("""COMPUTED_VALUE"""),83444.0)</f>
        <v>83444</v>
      </c>
      <c r="C2656" s="3" t="str">
        <f>IFERROR(__xludf.DUMMYFUNCTION("""COMPUTED_VALUE"""),"ร้านอนันตา")</f>
        <v>ร้านอนันตา</v>
      </c>
      <c r="D2656" s="3" t="str">
        <f>IFERROR(__xludf.DUMMYFUNCTION("""COMPUTED_VALUE"""),"ร้านอนันตา")</f>
        <v>ร้านอนันตา</v>
      </c>
      <c r="E2656" s="1" t="str">
        <f>IFERROR(__xludf.DUMMYFUNCTION("""COMPUTED_VALUE"""),"Donjai")</f>
        <v>Donjai</v>
      </c>
      <c r="F2656" s="1" t="str">
        <f>IFERROR(__xludf.DUMMYFUNCTION("""COMPUTED_VALUE"""),"296868")</f>
        <v>296868</v>
      </c>
      <c r="G2656" s="1" t="str">
        <f>IFERROR(__xludf.DUMMYFUNCTION("""COMPUTED_VALUE"""),"นายพีระพงษ์ แก้วดวงดี")</f>
        <v>นายพีระพงษ์ แก้วดวงดี</v>
      </c>
      <c r="H2656" s="1" t="str">
        <f>IFERROR(__xludf.DUMMYFUNCTION("""COMPUTED_VALUE"""),"296868")</f>
        <v>296868</v>
      </c>
      <c r="I2656" s="1" t="str">
        <f>IFERROR(__xludf.DUMMYFUNCTION("""COMPUTED_VALUE"""),"นายพีระพงษ์ แก้วดวงดี")</f>
        <v>นายพีระพงษ์ แก้วดวงดี</v>
      </c>
      <c r="J2656" s="3">
        <f>IFERROR(__xludf.DUMMYFUNCTION("""COMPUTED_VALUE"""),295886.0)</f>
        <v>295886</v>
      </c>
      <c r="K2656" s="3" t="str">
        <f>IFERROR(__xludf.DUMMYFUNCTION("""COMPUTED_VALUE"""),"นายจิระพงษ์ โพธิ์นิล")</f>
        <v>นายจิระพงษ์ โพธิ์นิล</v>
      </c>
      <c r="L2656" s="1" t="str">
        <f>IFERROR(__xludf.DUMMYFUNCTION("""COMPUTED_VALUE"""),"นายจิระพงษ์ โพธิ์นิล")</f>
        <v>นายจิระพงษ์ โพธิ์นิล</v>
      </c>
      <c r="M2656" s="1" t="str">
        <f>IFERROR(__xludf.DUMMYFUNCTION("""COMPUTED_VALUE"""),"0933290754")</f>
        <v>0933290754</v>
      </c>
      <c r="N2656" s="3">
        <f>IFERROR(__xludf.DUMMYFUNCTION("""COMPUTED_VALUE"""),83444.0)</f>
        <v>83444</v>
      </c>
      <c r="O2656" s="3" t="str">
        <f>IFERROR(__xludf.DUMMYFUNCTION("""COMPUTED_VALUE"""),"ร้านอนันตา")</f>
        <v>ร้านอนันตา</v>
      </c>
      <c r="P2656" s="4">
        <f>IFERROR(__xludf.DUMMYFUNCTION("""COMPUTED_VALUE"""),44603.0)</f>
        <v>44603</v>
      </c>
      <c r="Q2656" s="3" t="str">
        <f>IFERROR(__xludf.DUMMYFUNCTION("""COMPUTED_VALUE"""),"I")</f>
        <v>I</v>
      </c>
      <c r="R2656" s="3" t="str">
        <f>IFERROR(__xludf.DUMMYFUNCTION("""COMPUTED_VALUE"""),"Small Format")</f>
        <v>Small Format</v>
      </c>
      <c r="S2656" s="3" t="str">
        <f>IFERROR(__xludf.DUMMYFUNCTION("""COMPUTED_VALUE"""),"Donjai")</f>
        <v>Donjai</v>
      </c>
      <c r="T2656" s="3" t="str">
        <f>IFERROR(__xludf.DUMMYFUNCTION("""COMPUTED_VALUE"""),"03 K.Peerapong K.")</f>
        <v>03 K.Peerapong K.</v>
      </c>
      <c r="U2656" s="3" t="str">
        <f>IFERROR(__xludf.DUMMYFUNCTION("""COMPUTED_VALUE"""),"03 K.Peerapong K.")</f>
        <v>03 K.Peerapong K.</v>
      </c>
      <c r="V2656" s="3" t="str">
        <f>IFERROR(__xludf.DUMMYFUNCTION("""COMPUTED_VALUE"""),"N")</f>
        <v>N</v>
      </c>
      <c r="W2656" s="3"/>
      <c r="X2656" s="3" t="str">
        <f>IFERROR(__xludf.DUMMYFUNCTION("""COMPUTED_VALUE"""),"121หมู่ 5 ตำบล หาดคำ อำเภอ เมือง จ. หนองคาย 43000")</f>
        <v>121หมู่ 5 ตำบล หาดคำ อำเภอ เมือง จ. หนองคาย 43000</v>
      </c>
      <c r="Y2656" s="3"/>
      <c r="Z2656" s="3">
        <f>IFERROR(__xludf.DUMMYFUNCTION("""COMPUTED_VALUE"""),0.0)</f>
        <v>0</v>
      </c>
      <c r="AA2656" s="3">
        <f>IFERROR(__xludf.DUMMYFUNCTION("""COMPUTED_VALUE"""),0.0)</f>
        <v>0</v>
      </c>
      <c r="AB2656" s="3" t="str">
        <f>IFERROR(__xludf.DUMMYFUNCTION("""COMPUTED_VALUE"""),"หนองคาย")</f>
        <v>หนองคาย</v>
      </c>
      <c r="AC2656" s="3">
        <f>IFERROR(__xludf.DUMMYFUNCTION("""COMPUTED_VALUE"""),43000.0)</f>
        <v>43000</v>
      </c>
      <c r="AD2656" s="3"/>
      <c r="AE2656" s="3"/>
      <c r="AF2656" s="3" t="str">
        <f>IFERROR(__xludf.DUMMYFUNCTION("""COMPUTED_VALUE"""),"ร้านอนันตา-83444")</f>
        <v>ร้านอนันตา-83444</v>
      </c>
      <c r="AG2656" s="3" t="str">
        <f>IFERROR(__xludf.DUMMYFUNCTION("""COMPUTED_VALUE"""),"ตะวันออกเฉียงเหนือ")</f>
        <v>ตะวันออกเฉียงเหนือ</v>
      </c>
      <c r="AH2656" s="3" t="str">
        <f>IFERROR(__xludf.DUMMYFUNCTION("""COMPUTED_VALUE"""),"#N/A")</f>
        <v>#N/A</v>
      </c>
      <c r="AI2656" s="3" t="str">
        <f>IFERROR(__xludf.DUMMYFUNCTION("""COMPUTED_VALUE"""),"Out of warranty")</f>
        <v>Out of warranty</v>
      </c>
      <c r="AJ2656" s="3">
        <f>IFERROR(__xludf.DUMMYFUNCTION("""COMPUTED_VALUE"""),48.0)</f>
        <v>48</v>
      </c>
      <c r="AK2656" s="3"/>
      <c r="AL2656" s="3"/>
    </row>
    <row r="2657" ht="15.75" customHeight="1">
      <c r="A2657" s="1" t="str">
        <f>IFERROR(__xludf.DUMMYFUNCTION("""COMPUTED_VALUE"""),"83445")</f>
        <v>83445</v>
      </c>
      <c r="B2657" s="2">
        <f>IFERROR(__xludf.DUMMYFUNCTION("""COMPUTED_VALUE"""),83445.0)</f>
        <v>83445</v>
      </c>
      <c r="C2657" s="3" t="str">
        <f>IFERROR(__xludf.DUMMYFUNCTION("""COMPUTED_VALUE"""),"ร้านปิ่นมุกมินิมาร์ท")</f>
        <v>ร้านปิ่นมุกมินิมาร์ท</v>
      </c>
      <c r="D2657" s="3" t="str">
        <f>IFERROR(__xludf.DUMMYFUNCTION("""COMPUTED_VALUE"""),"ร้านปิ่นมุกมินิมาร์ท")</f>
        <v>ร้านปิ่นมุกมินิมาร์ท</v>
      </c>
      <c r="E2657" s="1" t="str">
        <f>IFERROR(__xludf.DUMMYFUNCTION("""COMPUTED_VALUE"""),"Donjai")</f>
        <v>Donjai</v>
      </c>
      <c r="F2657" s="1" t="str">
        <f>IFERROR(__xludf.DUMMYFUNCTION("""COMPUTED_VALUE"""),"015361")</f>
        <v>015361</v>
      </c>
      <c r="G2657" s="1" t="str">
        <f>IFERROR(__xludf.DUMMYFUNCTION("""COMPUTED_VALUE"""),"นายสมบูรณ์ พรหมในเมือง")</f>
        <v>นายสมบูรณ์ พรหมในเมือง</v>
      </c>
      <c r="H2657" s="1" t="str">
        <f>IFERROR(__xludf.DUMMYFUNCTION("""COMPUTED_VALUE"""),"015361")</f>
        <v>015361</v>
      </c>
      <c r="I2657" s="1" t="str">
        <f>IFERROR(__xludf.DUMMYFUNCTION("""COMPUTED_VALUE"""),"นายสมบูรณ์ พรหมในเมือง")</f>
        <v>นายสมบูรณ์ พรหมในเมือง</v>
      </c>
      <c r="J2657" s="3">
        <f>IFERROR(__xludf.DUMMYFUNCTION("""COMPUTED_VALUE"""),295886.0)</f>
        <v>295886</v>
      </c>
      <c r="K2657" s="3" t="str">
        <f>IFERROR(__xludf.DUMMYFUNCTION("""COMPUTED_VALUE"""),"นายจิระพงษ์ โพธิ์นิล")</f>
        <v>นายจิระพงษ์ โพธิ์นิล</v>
      </c>
      <c r="L2657" s="1" t="str">
        <f>IFERROR(__xludf.DUMMYFUNCTION("""COMPUTED_VALUE"""),"นายจิระพงษ์ โพธิ์นิล")</f>
        <v>นายจิระพงษ์ โพธิ์นิล</v>
      </c>
      <c r="M2657" s="1" t="str">
        <f>IFERROR(__xludf.DUMMYFUNCTION("""COMPUTED_VALUE"""),"0933290754")</f>
        <v>0933290754</v>
      </c>
      <c r="N2657" s="3">
        <f>IFERROR(__xludf.DUMMYFUNCTION("""COMPUTED_VALUE"""),83445.0)</f>
        <v>83445</v>
      </c>
      <c r="O2657" s="3" t="str">
        <f>IFERROR(__xludf.DUMMYFUNCTION("""COMPUTED_VALUE"""),"ร้านปิ่นมุกมินิมาร์ท")</f>
        <v>ร้านปิ่นมุกมินิมาร์ท</v>
      </c>
      <c r="P2657" s="4">
        <f>IFERROR(__xludf.DUMMYFUNCTION("""COMPUTED_VALUE"""),44633.0)</f>
        <v>44633</v>
      </c>
      <c r="Q2657" s="3" t="str">
        <f>IFERROR(__xludf.DUMMYFUNCTION("""COMPUTED_VALUE"""),"I")</f>
        <v>I</v>
      </c>
      <c r="R2657" s="3" t="str">
        <f>IFERROR(__xludf.DUMMYFUNCTION("""COMPUTED_VALUE"""),"Small Format")</f>
        <v>Small Format</v>
      </c>
      <c r="S2657" s="3" t="str">
        <f>IFERROR(__xludf.DUMMYFUNCTION("""COMPUTED_VALUE"""),"Donjai")</f>
        <v>Donjai</v>
      </c>
      <c r="T2657" s="3" t="str">
        <f>IFERROR(__xludf.DUMMYFUNCTION("""COMPUTED_VALUE"""),"04 K.Somboon P.")</f>
        <v>04 K.Somboon P.</v>
      </c>
      <c r="U2657" s="3" t="str">
        <f>IFERROR(__xludf.DUMMYFUNCTION("""COMPUTED_VALUE"""),"04 K.Somboon P.")</f>
        <v>04 K.Somboon P.</v>
      </c>
      <c r="V2657" s="3" t="str">
        <f>IFERROR(__xludf.DUMMYFUNCTION("""COMPUTED_VALUE"""),"N")</f>
        <v>N</v>
      </c>
      <c r="W2657" s="3"/>
      <c r="X2657" s="3" t="str">
        <f>IFERROR(__xludf.DUMMYFUNCTION("""COMPUTED_VALUE"""),"2 หมู่ 2 บ้านดงยาง ต.กู่สวนแตง อ.บ้านใหม่ไชยพจน์ จ.บุรีรัมย์ 31120")</f>
        <v>2 หมู่ 2 บ้านดงยาง ต.กู่สวนแตง อ.บ้านใหม่ไชยพจน์ จ.บุรีรัมย์ 31120</v>
      </c>
      <c r="Y2657" s="3"/>
      <c r="Z2657" s="3">
        <f>IFERROR(__xludf.DUMMYFUNCTION("""COMPUTED_VALUE"""),0.0)</f>
        <v>0</v>
      </c>
      <c r="AA2657" s="3">
        <f>IFERROR(__xludf.DUMMYFUNCTION("""COMPUTED_VALUE"""),0.0)</f>
        <v>0</v>
      </c>
      <c r="AB2657" s="3" t="str">
        <f>IFERROR(__xludf.DUMMYFUNCTION("""COMPUTED_VALUE"""),"บุรีรัมย์")</f>
        <v>บุรีรัมย์</v>
      </c>
      <c r="AC2657" s="3">
        <f>IFERROR(__xludf.DUMMYFUNCTION("""COMPUTED_VALUE"""),31120.0)</f>
        <v>31120</v>
      </c>
      <c r="AD2657" s="3"/>
      <c r="AE2657" s="3"/>
      <c r="AF2657" s="3" t="str">
        <f>IFERROR(__xludf.DUMMYFUNCTION("""COMPUTED_VALUE"""),"ร้านปิ่นมุกมินิมาร์ท-83445")</f>
        <v>ร้านปิ่นมุกมินิมาร์ท-83445</v>
      </c>
      <c r="AG2657" s="3" t="str">
        <f>IFERROR(__xludf.DUMMYFUNCTION("""COMPUTED_VALUE"""),"ตะวันออกเฉียงเหนือ")</f>
        <v>ตะวันออกเฉียงเหนือ</v>
      </c>
      <c r="AH2657" s="3" t="str">
        <f>IFERROR(__xludf.DUMMYFUNCTION("""COMPUTED_VALUE"""),"#N/A")</f>
        <v>#N/A</v>
      </c>
      <c r="AI2657" s="3" t="str">
        <f>IFERROR(__xludf.DUMMYFUNCTION("""COMPUTED_VALUE"""),"Out of warranty")</f>
        <v>Out of warranty</v>
      </c>
      <c r="AJ2657" s="3">
        <f>IFERROR(__xludf.DUMMYFUNCTION("""COMPUTED_VALUE"""),47.0)</f>
        <v>47</v>
      </c>
      <c r="AK2657" s="3"/>
      <c r="AL2657" s="3"/>
    </row>
    <row r="2658" ht="15.75" customHeight="1">
      <c r="A2658" s="1" t="str">
        <f>IFERROR(__xludf.DUMMYFUNCTION("""COMPUTED_VALUE"""),"83446")</f>
        <v>83446</v>
      </c>
      <c r="B2658" s="2">
        <f>IFERROR(__xludf.DUMMYFUNCTION("""COMPUTED_VALUE"""),83446.0)</f>
        <v>83446</v>
      </c>
      <c r="C2658" s="3" t="str">
        <f>IFERROR(__xludf.DUMMYFUNCTION("""COMPUTED_VALUE"""),"ร้านบ้านนม หนองจอก")</f>
        <v>ร้านบ้านนม หนองจอก</v>
      </c>
      <c r="D2658" s="3" t="str">
        <f>IFERROR(__xludf.DUMMYFUNCTION("""COMPUTED_VALUE"""),"ร้านบ้านนม หนองจอก")</f>
        <v>ร้านบ้านนม หนองจอก</v>
      </c>
      <c r="E2658" s="1" t="str">
        <f>IFERROR(__xludf.DUMMYFUNCTION("""COMPUTED_VALUE"""),"Donjai")</f>
        <v>Donjai</v>
      </c>
      <c r="F2658" s="1" t="str">
        <f>IFERROR(__xludf.DUMMYFUNCTION("""COMPUTED_VALUE"""),"296579")</f>
        <v>296579</v>
      </c>
      <c r="G2658" s="1" t="str">
        <f>IFERROR(__xludf.DUMMYFUNCTION("""COMPUTED_VALUE"""),"นายชนม์ณภัทร กุลพัฒน์จินดา")</f>
        <v>นายชนม์ณภัทร กุลพัฒน์จินดา</v>
      </c>
      <c r="H2658" s="1" t="str">
        <f>IFERROR(__xludf.DUMMYFUNCTION("""COMPUTED_VALUE"""),"296579")</f>
        <v>296579</v>
      </c>
      <c r="I2658" s="1" t="str">
        <f>IFERROR(__xludf.DUMMYFUNCTION("""COMPUTED_VALUE"""),"นายชนม์ณภัทร กุลพัฒน์จินดา")</f>
        <v>นายชนม์ณภัทร กุลพัฒน์จินดา</v>
      </c>
      <c r="J2658" s="3">
        <f>IFERROR(__xludf.DUMMYFUNCTION("""COMPUTED_VALUE"""),228031.0)</f>
        <v>228031</v>
      </c>
      <c r="K2658" s="3" t="str">
        <f>IFERROR(__xludf.DUMMYFUNCTION("""COMPUTED_VALUE"""),"นายธนพงษ์ วันหมัด")</f>
        <v>นายธนพงษ์ วันหมัด</v>
      </c>
      <c r="L2658" s="1" t="str">
        <f>IFERROR(__xludf.DUMMYFUNCTION("""COMPUTED_VALUE"""),"นายธนพงษ์ วันหมัด")</f>
        <v>นายธนพงษ์ วันหมัด</v>
      </c>
      <c r="M2658" s="1" t="str">
        <f>IFERROR(__xludf.DUMMYFUNCTION("""COMPUTED_VALUE"""),"0813716913")</f>
        <v>0813716913</v>
      </c>
      <c r="N2658" s="3">
        <f>IFERROR(__xludf.DUMMYFUNCTION("""COMPUTED_VALUE"""),83446.0)</f>
        <v>83446</v>
      </c>
      <c r="O2658" s="3" t="str">
        <f>IFERROR(__xludf.DUMMYFUNCTION("""COMPUTED_VALUE"""),"ร้านบ้านนม หนองจอก")</f>
        <v>ร้านบ้านนม หนองจอก</v>
      </c>
      <c r="P2658" s="4">
        <f>IFERROR(__xludf.DUMMYFUNCTION("""COMPUTED_VALUE"""),44605.0)</f>
        <v>44605</v>
      </c>
      <c r="Q2658" s="3" t="str">
        <f>IFERROR(__xludf.DUMMYFUNCTION("""COMPUTED_VALUE"""),"I")</f>
        <v>I</v>
      </c>
      <c r="R2658" s="3" t="str">
        <f>IFERROR(__xludf.DUMMYFUNCTION("""COMPUTED_VALUE"""),"Small Format")</f>
        <v>Small Format</v>
      </c>
      <c r="S2658" s="3" t="str">
        <f>IFERROR(__xludf.DUMMYFUNCTION("""COMPUTED_VALUE"""),"Donjai")</f>
        <v>Donjai</v>
      </c>
      <c r="T2658" s="3" t="str">
        <f>IFERROR(__xludf.DUMMYFUNCTION("""COMPUTED_VALUE"""),"#N/A")</f>
        <v>#N/A</v>
      </c>
      <c r="U2658" s="3" t="str">
        <f>IFERROR(__xludf.DUMMYFUNCTION("""COMPUTED_VALUE"""),"#N/A")</f>
        <v>#N/A</v>
      </c>
      <c r="V2658" s="3" t="str">
        <f>IFERROR(__xludf.DUMMYFUNCTION("""COMPUTED_VALUE"""),"N")</f>
        <v>N</v>
      </c>
      <c r="W2658" s="3"/>
      <c r="X2658" s="3" t="str">
        <f>IFERROR(__xludf.DUMMYFUNCTION("""COMPUTED_VALUE"""),"แขวงคู้ฝั่งเหนือ เขตหนองจอก กรุงเทพ 10530")</f>
        <v>แขวงคู้ฝั่งเหนือ เขตหนองจอก กรุงเทพ 10530</v>
      </c>
      <c r="Y2658" s="3"/>
      <c r="Z2658" s="3">
        <f>IFERROR(__xludf.DUMMYFUNCTION("""COMPUTED_VALUE"""),0.0)</f>
        <v>0</v>
      </c>
      <c r="AA2658" s="3">
        <f>IFERROR(__xludf.DUMMYFUNCTION("""COMPUTED_VALUE"""),0.0)</f>
        <v>0</v>
      </c>
      <c r="AB2658" s="3" t="str">
        <f>IFERROR(__xludf.DUMMYFUNCTION("""COMPUTED_VALUE"""),"กรุงเทพมหานคร")</f>
        <v>กรุงเทพมหานคร</v>
      </c>
      <c r="AC2658" s="3">
        <f>IFERROR(__xludf.DUMMYFUNCTION("""COMPUTED_VALUE"""),10530.0)</f>
        <v>10530</v>
      </c>
      <c r="AD2658" s="3"/>
      <c r="AE2658" s="3"/>
      <c r="AF2658" s="3" t="str">
        <f>IFERROR(__xludf.DUMMYFUNCTION("""COMPUTED_VALUE"""),"ร้านบ้านนม หนองจอก-83446")</f>
        <v>ร้านบ้านนม หนองจอก-83446</v>
      </c>
      <c r="AG2658" s="3" t="str">
        <f>IFERROR(__xludf.DUMMYFUNCTION("""COMPUTED_VALUE"""),"กลาง")</f>
        <v>กลาง</v>
      </c>
      <c r="AH2658" s="3" t="str">
        <f>IFERROR(__xludf.DUMMYFUNCTION("""COMPUTED_VALUE"""),"#N/A")</f>
        <v>#N/A</v>
      </c>
      <c r="AI2658" s="3" t="str">
        <f>IFERROR(__xludf.DUMMYFUNCTION("""COMPUTED_VALUE"""),"Out of warranty")</f>
        <v>Out of warranty</v>
      </c>
      <c r="AJ2658" s="3">
        <f>IFERROR(__xludf.DUMMYFUNCTION("""COMPUTED_VALUE"""),48.0)</f>
        <v>48</v>
      </c>
      <c r="AK2658" s="3"/>
      <c r="AL2658" s="3"/>
    </row>
    <row r="2659" ht="15.75" customHeight="1">
      <c r="A2659" s="1" t="str">
        <f>IFERROR(__xludf.DUMMYFUNCTION("""COMPUTED_VALUE"""),"83447")</f>
        <v>83447</v>
      </c>
      <c r="B2659" s="2">
        <f>IFERROR(__xludf.DUMMYFUNCTION("""COMPUTED_VALUE"""),83447.0)</f>
        <v>83447</v>
      </c>
      <c r="C2659" s="3" t="str">
        <f>IFERROR(__xludf.DUMMYFUNCTION("""COMPUTED_VALUE"""),"ร้านเติมเต็ม ช็อป")</f>
        <v>ร้านเติมเต็ม ช็อป</v>
      </c>
      <c r="D2659" s="3" t="str">
        <f>IFERROR(__xludf.DUMMYFUNCTION("""COMPUTED_VALUE"""),"ร้านเติมเต็ม ช็อป")</f>
        <v>ร้านเติมเต็ม ช็อป</v>
      </c>
      <c r="E2659" s="1" t="str">
        <f>IFERROR(__xludf.DUMMYFUNCTION("""COMPUTED_VALUE"""),"Donjai")</f>
        <v>Donjai</v>
      </c>
      <c r="F2659" s="1" t="str">
        <f>IFERROR(__xludf.DUMMYFUNCTION("""COMPUTED_VALUE"""),"296945")</f>
        <v>296945</v>
      </c>
      <c r="G2659" s="1" t="str">
        <f>IFERROR(__xludf.DUMMYFUNCTION("""COMPUTED_VALUE"""),"นายรักพงศ์ พงศ์พันธ์งาม")</f>
        <v>นายรักพงศ์ พงศ์พันธ์งาม</v>
      </c>
      <c r="H2659" s="1" t="str">
        <f>IFERROR(__xludf.DUMMYFUNCTION("""COMPUTED_VALUE"""),"296945")</f>
        <v>296945</v>
      </c>
      <c r="I2659" s="1" t="str">
        <f>IFERROR(__xludf.DUMMYFUNCTION("""COMPUTED_VALUE"""),"นายรักพงศ์ พงศ์พันธ์งาม")</f>
        <v>นายรักพงศ์ พงศ์พันธ์งาม</v>
      </c>
      <c r="J2659" s="3">
        <f>IFERROR(__xludf.DUMMYFUNCTION("""COMPUTED_VALUE"""),228031.0)</f>
        <v>228031</v>
      </c>
      <c r="K2659" s="3" t="str">
        <f>IFERROR(__xludf.DUMMYFUNCTION("""COMPUTED_VALUE"""),"นายธนพงษ์ วันหมัด")</f>
        <v>นายธนพงษ์ วันหมัด</v>
      </c>
      <c r="L2659" s="1" t="str">
        <f>IFERROR(__xludf.DUMMYFUNCTION("""COMPUTED_VALUE"""),"นายธนพงษ์ วันหมัด")</f>
        <v>นายธนพงษ์ วันหมัด</v>
      </c>
      <c r="M2659" s="1" t="str">
        <f>IFERROR(__xludf.DUMMYFUNCTION("""COMPUTED_VALUE"""),"0813716913")</f>
        <v>0813716913</v>
      </c>
      <c r="N2659" s="3">
        <f>IFERROR(__xludf.DUMMYFUNCTION("""COMPUTED_VALUE"""),83447.0)</f>
        <v>83447</v>
      </c>
      <c r="O2659" s="3" t="str">
        <f>IFERROR(__xludf.DUMMYFUNCTION("""COMPUTED_VALUE"""),"ร้านเติมเต็ม ช็อป")</f>
        <v>ร้านเติมเต็ม ช็อป</v>
      </c>
      <c r="P2659" s="4">
        <f>IFERROR(__xludf.DUMMYFUNCTION("""COMPUTED_VALUE"""),44606.0)</f>
        <v>44606</v>
      </c>
      <c r="Q2659" s="3" t="str">
        <f>IFERROR(__xludf.DUMMYFUNCTION("""COMPUTED_VALUE"""),"I")</f>
        <v>I</v>
      </c>
      <c r="R2659" s="3" t="str">
        <f>IFERROR(__xludf.DUMMYFUNCTION("""COMPUTED_VALUE"""),"Small Format")</f>
        <v>Small Format</v>
      </c>
      <c r="S2659" s="3" t="str">
        <f>IFERROR(__xludf.DUMMYFUNCTION("""COMPUTED_VALUE"""),"Donjai")</f>
        <v>Donjai</v>
      </c>
      <c r="T2659" s="3">
        <f>IFERROR(__xludf.DUMMYFUNCTION("""COMPUTED_VALUE"""),0.0)</f>
        <v>0</v>
      </c>
      <c r="U2659" s="3">
        <f>IFERROR(__xludf.DUMMYFUNCTION("""COMPUTED_VALUE"""),0.0)</f>
        <v>0</v>
      </c>
      <c r="V2659" s="3" t="str">
        <f>IFERROR(__xludf.DUMMYFUNCTION("""COMPUTED_VALUE"""),"N")</f>
        <v>N</v>
      </c>
      <c r="W2659" s="3"/>
      <c r="X2659" s="3" t="str">
        <f>IFERROR(__xludf.DUMMYFUNCTION("""COMPUTED_VALUE"""),"76 ม.6 ต.ผ่านศึก อ.อรัญประเทศ จ.สระแก้ว")</f>
        <v>76 ม.6 ต.ผ่านศึก อ.อรัญประเทศ จ.สระแก้ว</v>
      </c>
      <c r="Y2659" s="3"/>
      <c r="Z2659" s="3">
        <f>IFERROR(__xludf.DUMMYFUNCTION("""COMPUTED_VALUE"""),0.0)</f>
        <v>0</v>
      </c>
      <c r="AA2659" s="3">
        <f>IFERROR(__xludf.DUMMYFUNCTION("""COMPUTED_VALUE"""),0.0)</f>
        <v>0</v>
      </c>
      <c r="AB2659" s="3" t="str">
        <f>IFERROR(__xludf.DUMMYFUNCTION("""COMPUTED_VALUE"""),"สระแก้ว")</f>
        <v>สระแก้ว</v>
      </c>
      <c r="AC2659" s="3">
        <f>IFERROR(__xludf.DUMMYFUNCTION("""COMPUTED_VALUE"""),0.0)</f>
        <v>0</v>
      </c>
      <c r="AD2659" s="3"/>
      <c r="AE2659" s="3"/>
      <c r="AF2659" s="3" t="str">
        <f>IFERROR(__xludf.DUMMYFUNCTION("""COMPUTED_VALUE"""),"ร้านเติมเต็ม ช็อป-83447")</f>
        <v>ร้านเติมเต็ม ช็อป-83447</v>
      </c>
      <c r="AG2659" s="3" t="str">
        <f>IFERROR(__xludf.DUMMYFUNCTION("""COMPUTED_VALUE"""),"ตะวันออก")</f>
        <v>ตะวันออก</v>
      </c>
      <c r="AH2659" s="3" t="str">
        <f>IFERROR(__xludf.DUMMYFUNCTION("""COMPUTED_VALUE"""),"#N/A")</f>
        <v>#N/A</v>
      </c>
      <c r="AI2659" s="3" t="str">
        <f>IFERROR(__xludf.DUMMYFUNCTION("""COMPUTED_VALUE"""),"Out of warranty")</f>
        <v>Out of warranty</v>
      </c>
      <c r="AJ2659" s="3">
        <f>IFERROR(__xludf.DUMMYFUNCTION("""COMPUTED_VALUE"""),48.0)</f>
        <v>48</v>
      </c>
      <c r="AK2659" s="3"/>
      <c r="AL2659" s="3"/>
    </row>
    <row r="2660" ht="15.75" customHeight="1">
      <c r="A2660" s="1" t="str">
        <f>IFERROR(__xludf.DUMMYFUNCTION("""COMPUTED_VALUE"""),"83448")</f>
        <v>83448</v>
      </c>
      <c r="B2660" s="2">
        <f>IFERROR(__xludf.DUMMYFUNCTION("""COMPUTED_VALUE"""),83448.0)</f>
        <v>83448</v>
      </c>
      <c r="C2660" s="3" t="str">
        <f>IFERROR(__xludf.DUMMYFUNCTION("""COMPUTED_VALUE"""),"ล้านจิตต์")</f>
        <v>ล้านจิตต์</v>
      </c>
      <c r="D2660" s="3" t="str">
        <f>IFERROR(__xludf.DUMMYFUNCTION("""COMPUTED_VALUE"""),"ล้านจิตต์")</f>
        <v>ล้านจิตต์</v>
      </c>
      <c r="E2660" s="1" t="str">
        <f>IFERROR(__xludf.DUMMYFUNCTION("""COMPUTED_VALUE"""),"Donjai")</f>
        <v>Donjai</v>
      </c>
      <c r="F2660" s="1" t="str">
        <f>IFERROR(__xludf.DUMMYFUNCTION("""COMPUTED_VALUE"""),"296608")</f>
        <v>296608</v>
      </c>
      <c r="G2660" s="1" t="str">
        <f>IFERROR(__xludf.DUMMYFUNCTION("""COMPUTED_VALUE"""),"นายภาคภูมิ เพ็ชรนิล")</f>
        <v>นายภาคภูมิ เพ็ชรนิล</v>
      </c>
      <c r="H2660" s="1" t="str">
        <f>IFERROR(__xludf.DUMMYFUNCTION("""COMPUTED_VALUE"""),"296608")</f>
        <v>296608</v>
      </c>
      <c r="I2660" s="1" t="str">
        <f>IFERROR(__xludf.DUMMYFUNCTION("""COMPUTED_VALUE"""),"นายภาคภูมิ เพ็ชรนิล")</f>
        <v>นายภาคภูมิ เพ็ชรนิล</v>
      </c>
      <c r="J2660" s="3">
        <f>IFERROR(__xludf.DUMMYFUNCTION("""COMPUTED_VALUE"""),228031.0)</f>
        <v>228031</v>
      </c>
      <c r="K2660" s="3" t="str">
        <f>IFERROR(__xludf.DUMMYFUNCTION("""COMPUTED_VALUE"""),"นายธนพงษ์ วันหมัด")</f>
        <v>นายธนพงษ์ วันหมัด</v>
      </c>
      <c r="L2660" s="1" t="str">
        <f>IFERROR(__xludf.DUMMYFUNCTION("""COMPUTED_VALUE"""),"นายธนพงษ์ วันหมัด")</f>
        <v>นายธนพงษ์ วันหมัด</v>
      </c>
      <c r="M2660" s="1" t="str">
        <f>IFERROR(__xludf.DUMMYFUNCTION("""COMPUTED_VALUE"""),"0813716913")</f>
        <v>0813716913</v>
      </c>
      <c r="N2660" s="3">
        <f>IFERROR(__xludf.DUMMYFUNCTION("""COMPUTED_VALUE"""),83448.0)</f>
        <v>83448</v>
      </c>
      <c r="O2660" s="3" t="str">
        <f>IFERROR(__xludf.DUMMYFUNCTION("""COMPUTED_VALUE"""),"ล้านจิตต์")</f>
        <v>ล้านจิตต์</v>
      </c>
      <c r="P2660" s="4">
        <f>IFERROR(__xludf.DUMMYFUNCTION("""COMPUTED_VALUE"""),44612.0)</f>
        <v>44612</v>
      </c>
      <c r="Q2660" s="3" t="str">
        <f>IFERROR(__xludf.DUMMYFUNCTION("""COMPUTED_VALUE"""),"I")</f>
        <v>I</v>
      </c>
      <c r="R2660" s="3" t="str">
        <f>IFERROR(__xludf.DUMMYFUNCTION("""COMPUTED_VALUE"""),"Small Format")</f>
        <v>Small Format</v>
      </c>
      <c r="S2660" s="3" t="str">
        <f>IFERROR(__xludf.DUMMYFUNCTION("""COMPUTED_VALUE"""),"Donjai")</f>
        <v>Donjai</v>
      </c>
      <c r="T2660" s="3" t="str">
        <f>IFERROR(__xludf.DUMMYFUNCTION("""COMPUTED_VALUE"""),"10 K.Phakphoom P.")</f>
        <v>10 K.Phakphoom P.</v>
      </c>
      <c r="U2660" s="3" t="str">
        <f>IFERROR(__xludf.DUMMYFUNCTION("""COMPUTED_VALUE"""),"10 K.Phakphoom P.")</f>
        <v>10 K.Phakphoom P.</v>
      </c>
      <c r="V2660" s="3" t="str">
        <f>IFERROR(__xludf.DUMMYFUNCTION("""COMPUTED_VALUE"""),"N")</f>
        <v>N</v>
      </c>
      <c r="W2660" s="3"/>
      <c r="X2660" s="3" t="str">
        <f>IFERROR(__xludf.DUMMYFUNCTION("""COMPUTED_VALUE"""),"9/3 หมู่4 ต.บางหญ้าแพรก อ.เมือง จ.สมุทรสาคร 74000")</f>
        <v>9/3 หมู่4 ต.บางหญ้าแพรก อ.เมือง จ.สมุทรสาคร 74000</v>
      </c>
      <c r="Y2660" s="3"/>
      <c r="Z2660" s="3">
        <f>IFERROR(__xludf.DUMMYFUNCTION("""COMPUTED_VALUE"""),0.0)</f>
        <v>0</v>
      </c>
      <c r="AA2660" s="3">
        <f>IFERROR(__xludf.DUMMYFUNCTION("""COMPUTED_VALUE"""),0.0)</f>
        <v>0</v>
      </c>
      <c r="AB2660" s="3" t="str">
        <f>IFERROR(__xludf.DUMMYFUNCTION("""COMPUTED_VALUE"""),"สมุทรสาคร")</f>
        <v>สมุทรสาคร</v>
      </c>
      <c r="AC2660" s="3">
        <f>IFERROR(__xludf.DUMMYFUNCTION("""COMPUTED_VALUE"""),74000.0)</f>
        <v>74000</v>
      </c>
      <c r="AD2660" s="3"/>
      <c r="AE2660" s="3"/>
      <c r="AF2660" s="3" t="str">
        <f>IFERROR(__xludf.DUMMYFUNCTION("""COMPUTED_VALUE"""),"ล้านจิตต์-83448")</f>
        <v>ล้านจิตต์-83448</v>
      </c>
      <c r="AG2660" s="3" t="str">
        <f>IFERROR(__xludf.DUMMYFUNCTION("""COMPUTED_VALUE"""),"กลาง")</f>
        <v>กลาง</v>
      </c>
      <c r="AH2660" s="3" t="str">
        <f>IFERROR(__xludf.DUMMYFUNCTION("""COMPUTED_VALUE"""),"#N/A")</f>
        <v>#N/A</v>
      </c>
      <c r="AI2660" s="3" t="str">
        <f>IFERROR(__xludf.DUMMYFUNCTION("""COMPUTED_VALUE"""),"Out of warranty")</f>
        <v>Out of warranty</v>
      </c>
      <c r="AJ2660" s="3">
        <f>IFERROR(__xludf.DUMMYFUNCTION("""COMPUTED_VALUE"""),48.0)</f>
        <v>48</v>
      </c>
      <c r="AK2660" s="3"/>
      <c r="AL2660" s="3"/>
    </row>
    <row r="2661" ht="15.75" customHeight="1">
      <c r="A2661" s="1" t="str">
        <f>IFERROR(__xludf.DUMMYFUNCTION("""COMPUTED_VALUE"""),"83449")</f>
        <v>83449</v>
      </c>
      <c r="B2661" s="2">
        <f>IFERROR(__xludf.DUMMYFUNCTION("""COMPUTED_VALUE"""),83449.0)</f>
        <v>83449</v>
      </c>
      <c r="C2661" s="3" t="str">
        <f>IFERROR(__xludf.DUMMYFUNCTION("""COMPUTED_VALUE"""),"ร้านอารีญา")</f>
        <v>ร้านอารีญา</v>
      </c>
      <c r="D2661" s="3" t="str">
        <f>IFERROR(__xludf.DUMMYFUNCTION("""COMPUTED_VALUE"""),"ร้านอารีญา")</f>
        <v>ร้านอารีญา</v>
      </c>
      <c r="E2661" s="1" t="str">
        <f>IFERROR(__xludf.DUMMYFUNCTION("""COMPUTED_VALUE"""),"Donjai")</f>
        <v>Donjai</v>
      </c>
      <c r="F2661" s="1" t="str">
        <f>IFERROR(__xludf.DUMMYFUNCTION("""COMPUTED_VALUE"""),"296868")</f>
        <v>296868</v>
      </c>
      <c r="G2661" s="1" t="str">
        <f>IFERROR(__xludf.DUMMYFUNCTION("""COMPUTED_VALUE"""),"นายพีระพงษ์ แก้วดวงดี")</f>
        <v>นายพีระพงษ์ แก้วดวงดี</v>
      </c>
      <c r="H2661" s="1" t="str">
        <f>IFERROR(__xludf.DUMMYFUNCTION("""COMPUTED_VALUE"""),"296868")</f>
        <v>296868</v>
      </c>
      <c r="I2661" s="1" t="str">
        <f>IFERROR(__xludf.DUMMYFUNCTION("""COMPUTED_VALUE"""),"นายพีระพงษ์ แก้วดวงดี")</f>
        <v>นายพีระพงษ์ แก้วดวงดี</v>
      </c>
      <c r="J2661" s="3">
        <f>IFERROR(__xludf.DUMMYFUNCTION("""COMPUTED_VALUE"""),295886.0)</f>
        <v>295886</v>
      </c>
      <c r="K2661" s="3" t="str">
        <f>IFERROR(__xludf.DUMMYFUNCTION("""COMPUTED_VALUE"""),"นายจิระพงษ์ โพธิ์นิล")</f>
        <v>นายจิระพงษ์ โพธิ์นิล</v>
      </c>
      <c r="L2661" s="1" t="str">
        <f>IFERROR(__xludf.DUMMYFUNCTION("""COMPUTED_VALUE"""),"นายจิระพงษ์ โพธิ์นิล")</f>
        <v>นายจิระพงษ์ โพธิ์นิล</v>
      </c>
      <c r="M2661" s="1" t="str">
        <f>IFERROR(__xludf.DUMMYFUNCTION("""COMPUTED_VALUE"""),"0933290754")</f>
        <v>0933290754</v>
      </c>
      <c r="N2661" s="3">
        <f>IFERROR(__xludf.DUMMYFUNCTION("""COMPUTED_VALUE"""),83449.0)</f>
        <v>83449</v>
      </c>
      <c r="O2661" s="3" t="str">
        <f>IFERROR(__xludf.DUMMYFUNCTION("""COMPUTED_VALUE"""),"ร้านอารีญา")</f>
        <v>ร้านอารีญา</v>
      </c>
      <c r="P2661" s="4">
        <f>IFERROR(__xludf.DUMMYFUNCTION("""COMPUTED_VALUE"""),44611.0)</f>
        <v>44611</v>
      </c>
      <c r="Q2661" s="3" t="str">
        <f>IFERROR(__xludf.DUMMYFUNCTION("""COMPUTED_VALUE"""),"I")</f>
        <v>I</v>
      </c>
      <c r="R2661" s="3" t="str">
        <f>IFERROR(__xludf.DUMMYFUNCTION("""COMPUTED_VALUE"""),"Small Format")</f>
        <v>Small Format</v>
      </c>
      <c r="S2661" s="3" t="str">
        <f>IFERROR(__xludf.DUMMYFUNCTION("""COMPUTED_VALUE"""),"Donjai")</f>
        <v>Donjai</v>
      </c>
      <c r="T2661" s="3" t="str">
        <f>IFERROR(__xludf.DUMMYFUNCTION("""COMPUTED_VALUE"""),"03 K.Peerapong K.")</f>
        <v>03 K.Peerapong K.</v>
      </c>
      <c r="U2661" s="3" t="str">
        <f>IFERROR(__xludf.DUMMYFUNCTION("""COMPUTED_VALUE"""),"03 K.Peerapong K.")</f>
        <v>03 K.Peerapong K.</v>
      </c>
      <c r="V2661" s="3" t="str">
        <f>IFERROR(__xludf.DUMMYFUNCTION("""COMPUTED_VALUE"""),"N")</f>
        <v>N</v>
      </c>
      <c r="W2661" s="3"/>
      <c r="X2661" s="3" t="str">
        <f>IFERROR(__xludf.DUMMYFUNCTION("""COMPUTED_VALUE"""),"242 ม.3 บ้าน โคกป่าฝาง ต.ปะโค อ.เมือง จ.หนองคาย 43000")</f>
        <v>242 ม.3 บ้าน โคกป่าฝาง ต.ปะโค อ.เมือง จ.หนองคาย 43000</v>
      </c>
      <c r="Y2661" s="3"/>
      <c r="Z2661" s="3">
        <f>IFERROR(__xludf.DUMMYFUNCTION("""COMPUTED_VALUE"""),0.0)</f>
        <v>0</v>
      </c>
      <c r="AA2661" s="3">
        <f>IFERROR(__xludf.DUMMYFUNCTION("""COMPUTED_VALUE"""),0.0)</f>
        <v>0</v>
      </c>
      <c r="AB2661" s="3" t="str">
        <f>IFERROR(__xludf.DUMMYFUNCTION("""COMPUTED_VALUE"""),"หนองคาย")</f>
        <v>หนองคาย</v>
      </c>
      <c r="AC2661" s="3">
        <f>IFERROR(__xludf.DUMMYFUNCTION("""COMPUTED_VALUE"""),43000.0)</f>
        <v>43000</v>
      </c>
      <c r="AD2661" s="3"/>
      <c r="AE2661" s="3"/>
      <c r="AF2661" s="3" t="str">
        <f>IFERROR(__xludf.DUMMYFUNCTION("""COMPUTED_VALUE"""),"ร้านอารีญา-83449")</f>
        <v>ร้านอารีญา-83449</v>
      </c>
      <c r="AG2661" s="3" t="str">
        <f>IFERROR(__xludf.DUMMYFUNCTION("""COMPUTED_VALUE"""),"ตะวันออกเฉียงเหนือ")</f>
        <v>ตะวันออกเฉียงเหนือ</v>
      </c>
      <c r="AH2661" s="3" t="str">
        <f>IFERROR(__xludf.DUMMYFUNCTION("""COMPUTED_VALUE"""),"#N/A")</f>
        <v>#N/A</v>
      </c>
      <c r="AI2661" s="3" t="str">
        <f>IFERROR(__xludf.DUMMYFUNCTION("""COMPUTED_VALUE"""),"Out of warranty")</f>
        <v>Out of warranty</v>
      </c>
      <c r="AJ2661" s="3">
        <f>IFERROR(__xludf.DUMMYFUNCTION("""COMPUTED_VALUE"""),48.0)</f>
        <v>48</v>
      </c>
      <c r="AK2661" s="3"/>
      <c r="AL2661" s="3"/>
    </row>
    <row r="2662" ht="15.75" customHeight="1">
      <c r="A2662" s="1" t="str">
        <f>IFERROR(__xludf.DUMMYFUNCTION("""COMPUTED_VALUE"""),"83450")</f>
        <v>83450</v>
      </c>
      <c r="B2662" s="2">
        <f>IFERROR(__xludf.DUMMYFUNCTION("""COMPUTED_VALUE"""),83450.0)</f>
        <v>83450</v>
      </c>
      <c r="C2662" s="3" t="str">
        <f>IFERROR(__xludf.DUMMYFUNCTION("""COMPUTED_VALUE"""),"ร้านพลอยกมลมินิมาร์ท")</f>
        <v>ร้านพลอยกมลมินิมาร์ท</v>
      </c>
      <c r="D2662" s="3" t="str">
        <f>IFERROR(__xludf.DUMMYFUNCTION("""COMPUTED_VALUE"""),"ร้านพลอยกมลมินิมาร์ท")</f>
        <v>ร้านพลอยกมลมินิมาร์ท</v>
      </c>
      <c r="E2662" s="1" t="str">
        <f>IFERROR(__xludf.DUMMYFUNCTION("""COMPUTED_VALUE"""),"Donjai")</f>
        <v>Donjai</v>
      </c>
      <c r="F2662" s="1" t="str">
        <f>IFERROR(__xludf.DUMMYFUNCTION("""COMPUTED_VALUE"""),"296579")</f>
        <v>296579</v>
      </c>
      <c r="G2662" s="1" t="str">
        <f>IFERROR(__xludf.DUMMYFUNCTION("""COMPUTED_VALUE"""),"นายชนม์ณภัทร กุลพัฒน์จินดา")</f>
        <v>นายชนม์ณภัทร กุลพัฒน์จินดา</v>
      </c>
      <c r="H2662" s="1" t="str">
        <f>IFERROR(__xludf.DUMMYFUNCTION("""COMPUTED_VALUE"""),"296579")</f>
        <v>296579</v>
      </c>
      <c r="I2662" s="1" t="str">
        <f>IFERROR(__xludf.DUMMYFUNCTION("""COMPUTED_VALUE"""),"นายชนม์ณภัทร กุลพัฒน์จินดา")</f>
        <v>นายชนม์ณภัทร กุลพัฒน์จินดา</v>
      </c>
      <c r="J2662" s="3">
        <f>IFERROR(__xludf.DUMMYFUNCTION("""COMPUTED_VALUE"""),228031.0)</f>
        <v>228031</v>
      </c>
      <c r="K2662" s="3" t="str">
        <f>IFERROR(__xludf.DUMMYFUNCTION("""COMPUTED_VALUE"""),"นายธนพงษ์ วันหมัด")</f>
        <v>นายธนพงษ์ วันหมัด</v>
      </c>
      <c r="L2662" s="1" t="str">
        <f>IFERROR(__xludf.DUMMYFUNCTION("""COMPUTED_VALUE"""),"นายธนพงษ์ วันหมัด")</f>
        <v>นายธนพงษ์ วันหมัด</v>
      </c>
      <c r="M2662" s="1" t="str">
        <f>IFERROR(__xludf.DUMMYFUNCTION("""COMPUTED_VALUE"""),"0813716913")</f>
        <v>0813716913</v>
      </c>
      <c r="N2662" s="3">
        <f>IFERROR(__xludf.DUMMYFUNCTION("""COMPUTED_VALUE"""),83450.0)</f>
        <v>83450</v>
      </c>
      <c r="O2662" s="3" t="str">
        <f>IFERROR(__xludf.DUMMYFUNCTION("""COMPUTED_VALUE"""),"ร้านพลอยกมลมินิมาร์ท")</f>
        <v>ร้านพลอยกมลมินิมาร์ท</v>
      </c>
      <c r="P2662" s="4">
        <f>IFERROR(__xludf.DUMMYFUNCTION("""COMPUTED_VALUE"""),44606.0)</f>
        <v>44606</v>
      </c>
      <c r="Q2662" s="3" t="str">
        <f>IFERROR(__xludf.DUMMYFUNCTION("""COMPUTED_VALUE"""),"I")</f>
        <v>I</v>
      </c>
      <c r="R2662" s="3" t="str">
        <f>IFERROR(__xludf.DUMMYFUNCTION("""COMPUTED_VALUE"""),"Small Format")</f>
        <v>Small Format</v>
      </c>
      <c r="S2662" s="3" t="str">
        <f>IFERROR(__xludf.DUMMYFUNCTION("""COMPUTED_VALUE"""),"Donjai")</f>
        <v>Donjai</v>
      </c>
      <c r="T2662" s="3" t="str">
        <f>IFERROR(__xludf.DUMMYFUNCTION("""COMPUTED_VALUE"""),"#N/A")</f>
        <v>#N/A</v>
      </c>
      <c r="U2662" s="3" t="str">
        <f>IFERROR(__xludf.DUMMYFUNCTION("""COMPUTED_VALUE"""),"#N/A")</f>
        <v>#N/A</v>
      </c>
      <c r="V2662" s="3" t="str">
        <f>IFERROR(__xludf.DUMMYFUNCTION("""COMPUTED_VALUE"""),"N")</f>
        <v>N</v>
      </c>
      <c r="W2662" s="3"/>
      <c r="X2662" s="3" t="str">
        <f>IFERROR(__xludf.DUMMYFUNCTION("""COMPUTED_VALUE"""),"22/8 ถ.ป๊อบปูล่า ต.บ้านใหม่ อ.ปากเกร็ด จ.นนทุบรี 11120")</f>
        <v>22/8 ถ.ป๊อบปูล่า ต.บ้านใหม่ อ.ปากเกร็ด จ.นนทุบรี 11120</v>
      </c>
      <c r="Y2662" s="3"/>
      <c r="Z2662" s="3">
        <f>IFERROR(__xludf.DUMMYFUNCTION("""COMPUTED_VALUE"""),0.0)</f>
        <v>0</v>
      </c>
      <c r="AA2662" s="3">
        <f>IFERROR(__xludf.DUMMYFUNCTION("""COMPUTED_VALUE"""),0.0)</f>
        <v>0</v>
      </c>
      <c r="AB2662" s="3" t="str">
        <f>IFERROR(__xludf.DUMMYFUNCTION("""COMPUTED_VALUE"""),"นนทบุรี")</f>
        <v>นนทบุรี</v>
      </c>
      <c r="AC2662" s="3">
        <f>IFERROR(__xludf.DUMMYFUNCTION("""COMPUTED_VALUE"""),11120.0)</f>
        <v>11120</v>
      </c>
      <c r="AD2662" s="3"/>
      <c r="AE2662" s="3"/>
      <c r="AF2662" s="3" t="str">
        <f>IFERROR(__xludf.DUMMYFUNCTION("""COMPUTED_VALUE"""),"ร้านพลอยกมลมินิมาร์ท-83450")</f>
        <v>ร้านพลอยกมลมินิมาร์ท-83450</v>
      </c>
      <c r="AG2662" s="3" t="str">
        <f>IFERROR(__xludf.DUMMYFUNCTION("""COMPUTED_VALUE"""),"กลาง")</f>
        <v>กลาง</v>
      </c>
      <c r="AH2662" s="3" t="str">
        <f>IFERROR(__xludf.DUMMYFUNCTION("""COMPUTED_VALUE"""),"#N/A")</f>
        <v>#N/A</v>
      </c>
      <c r="AI2662" s="3" t="str">
        <f>IFERROR(__xludf.DUMMYFUNCTION("""COMPUTED_VALUE"""),"Out of warranty")</f>
        <v>Out of warranty</v>
      </c>
      <c r="AJ2662" s="3">
        <f>IFERROR(__xludf.DUMMYFUNCTION("""COMPUTED_VALUE"""),48.0)</f>
        <v>48</v>
      </c>
      <c r="AK2662" s="3"/>
      <c r="AL2662" s="3"/>
    </row>
    <row r="2663" ht="15.75" customHeight="1">
      <c r="A2663" s="1" t="str">
        <f>IFERROR(__xludf.DUMMYFUNCTION("""COMPUTED_VALUE"""),"83451")</f>
        <v>83451</v>
      </c>
      <c r="B2663" s="2">
        <f>IFERROR(__xludf.DUMMYFUNCTION("""COMPUTED_VALUE"""),83451.0)</f>
        <v>83451</v>
      </c>
      <c r="C2663" s="3" t="str">
        <f>IFERROR(__xludf.DUMMYFUNCTION("""COMPUTED_VALUE"""),"ร้านตาคลุต")</f>
        <v>ร้านตาคลุต</v>
      </c>
      <c r="D2663" s="3" t="str">
        <f>IFERROR(__xludf.DUMMYFUNCTION("""COMPUTED_VALUE"""),"ร้านตาคลุต")</f>
        <v>ร้านตาคลุต</v>
      </c>
      <c r="E2663" s="1" t="str">
        <f>IFERROR(__xludf.DUMMYFUNCTION("""COMPUTED_VALUE"""),"Donjai")</f>
        <v>Donjai</v>
      </c>
      <c r="F2663" s="1" t="str">
        <f>IFERROR(__xludf.DUMMYFUNCTION("""COMPUTED_VALUE"""),"025324")</f>
        <v>025324</v>
      </c>
      <c r="G2663" s="1" t="str">
        <f>IFERROR(__xludf.DUMMYFUNCTION("""COMPUTED_VALUE"""),"นายวิเชฎฐ์ ติรัตนะประคม")</f>
        <v>นายวิเชฎฐ์ ติรัตนะประคม</v>
      </c>
      <c r="H2663" s="1" t="str">
        <f>IFERROR(__xludf.DUMMYFUNCTION("""COMPUTED_VALUE"""),"025324")</f>
        <v>025324</v>
      </c>
      <c r="I2663" s="1" t="str">
        <f>IFERROR(__xludf.DUMMYFUNCTION("""COMPUTED_VALUE"""),"นายวิเชฎฐ์ ติรัตนะประคม")</f>
        <v>นายวิเชฎฐ์ ติรัตนะประคม</v>
      </c>
      <c r="J2663" s="3">
        <f>IFERROR(__xludf.DUMMYFUNCTION("""COMPUTED_VALUE"""),295541.0)</f>
        <v>295541</v>
      </c>
      <c r="K2663" s="3" t="str">
        <f>IFERROR(__xludf.DUMMYFUNCTION("""COMPUTED_VALUE"""),"นายรพิพล ศรีมาตย์")</f>
        <v>นายรพิพล ศรีมาตย์</v>
      </c>
      <c r="L2663" s="1" t="str">
        <f>IFERROR(__xludf.DUMMYFUNCTION("""COMPUTED_VALUE"""),"นายรพิพล ศรีมาตย์")</f>
        <v>นายรพิพล ศรีมาตย์</v>
      </c>
      <c r="M2663" s="1" t="str">
        <f>IFERROR(__xludf.DUMMYFUNCTION("""COMPUTED_VALUE"""),"0613966115")</f>
        <v>0613966115</v>
      </c>
      <c r="N2663" s="3">
        <f>IFERROR(__xludf.DUMMYFUNCTION("""COMPUTED_VALUE"""),83451.0)</f>
        <v>83451</v>
      </c>
      <c r="O2663" s="3" t="str">
        <f>IFERROR(__xludf.DUMMYFUNCTION("""COMPUTED_VALUE"""),"ร้านตาคลุต")</f>
        <v>ร้านตาคลุต</v>
      </c>
      <c r="P2663" s="4">
        <f>IFERROR(__xludf.DUMMYFUNCTION("""COMPUTED_VALUE"""),44609.0)</f>
        <v>44609</v>
      </c>
      <c r="Q2663" s="3" t="str">
        <f>IFERROR(__xludf.DUMMYFUNCTION("""COMPUTED_VALUE"""),"A")</f>
        <v>A</v>
      </c>
      <c r="R2663" s="3" t="str">
        <f>IFERROR(__xludf.DUMMYFUNCTION("""COMPUTED_VALUE"""),"Small Format")</f>
        <v>Small Format</v>
      </c>
      <c r="S2663" s="3" t="str">
        <f>IFERROR(__xludf.DUMMYFUNCTION("""COMPUTED_VALUE"""),"Donjai")</f>
        <v>Donjai</v>
      </c>
      <c r="T2663" s="3" t="str">
        <f>IFERROR(__xludf.DUMMYFUNCTION("""COMPUTED_VALUE"""),"14 K.Wichet T.")</f>
        <v>14 K.Wichet T.</v>
      </c>
      <c r="U2663" s="3" t="str">
        <f>IFERROR(__xludf.DUMMYFUNCTION("""COMPUTED_VALUE"""),"14 K.Wichet T.")</f>
        <v>14 K.Wichet T.</v>
      </c>
      <c r="V2663" s="3" t="str">
        <f>IFERROR(__xludf.DUMMYFUNCTION("""COMPUTED_VALUE"""),"N")</f>
        <v>N</v>
      </c>
      <c r="W2663" s="3"/>
      <c r="X2663" s="3" t="str">
        <f>IFERROR(__xludf.DUMMYFUNCTION("""COMPUTED_VALUE"""),"157/6 หมู่ที่ 9 ตำบลตากแดด อำเภอเมือง จังหวัดชุมพร")</f>
        <v>157/6 หมู่ที่ 9 ตำบลตากแดด อำเภอเมือง จังหวัดชุมพร</v>
      </c>
      <c r="Y2663" s="3"/>
      <c r="Z2663" s="3">
        <f>IFERROR(__xludf.DUMMYFUNCTION("""COMPUTED_VALUE"""),0.0)</f>
        <v>0</v>
      </c>
      <c r="AA2663" s="3">
        <f>IFERROR(__xludf.DUMMYFUNCTION("""COMPUTED_VALUE"""),0.0)</f>
        <v>0</v>
      </c>
      <c r="AB2663" s="3" t="str">
        <f>IFERROR(__xludf.DUMMYFUNCTION("""COMPUTED_VALUE"""),"ชุมพร")</f>
        <v>ชุมพร</v>
      </c>
      <c r="AC2663" s="3">
        <f>IFERROR(__xludf.DUMMYFUNCTION("""COMPUTED_VALUE"""),0.0)</f>
        <v>0</v>
      </c>
      <c r="AD2663" s="3"/>
      <c r="AE2663" s="3"/>
      <c r="AF2663" s="3" t="str">
        <f>IFERROR(__xludf.DUMMYFUNCTION("""COMPUTED_VALUE"""),"ร้านตาคลุต-83451")</f>
        <v>ร้านตาคลุต-83451</v>
      </c>
      <c r="AG2663" s="3" t="str">
        <f>IFERROR(__xludf.DUMMYFUNCTION("""COMPUTED_VALUE"""),"ใต้")</f>
        <v>ใต้</v>
      </c>
      <c r="AH2663" s="3" t="str">
        <f>IFERROR(__xludf.DUMMYFUNCTION("""COMPUTED_VALUE"""),"#N/A")</f>
        <v>#N/A</v>
      </c>
      <c r="AI2663" s="3" t="str">
        <f>IFERROR(__xludf.DUMMYFUNCTION("""COMPUTED_VALUE"""),"Out of warranty")</f>
        <v>Out of warranty</v>
      </c>
      <c r="AJ2663" s="3">
        <f>IFERROR(__xludf.DUMMYFUNCTION("""COMPUTED_VALUE"""),48.0)</f>
        <v>48</v>
      </c>
      <c r="AK2663" s="3"/>
      <c r="AL2663" s="3"/>
    </row>
    <row r="2664" ht="15.75" customHeight="1">
      <c r="A2664" s="1" t="str">
        <f>IFERROR(__xludf.DUMMYFUNCTION("""COMPUTED_VALUE"""),"83455")</f>
        <v>83455</v>
      </c>
      <c r="B2664" s="2">
        <f>IFERROR(__xludf.DUMMYFUNCTION("""COMPUTED_VALUE"""),83455.0)</f>
        <v>83455</v>
      </c>
      <c r="C2664" s="3" t="str">
        <f>IFERROR(__xludf.DUMMYFUNCTION("""COMPUTED_VALUE"""),"ร้านสาม ก. พาณิชย์")</f>
        <v>ร้านสาม ก. พาณิชย์</v>
      </c>
      <c r="D2664" s="3" t="str">
        <f>IFERROR(__xludf.DUMMYFUNCTION("""COMPUTED_VALUE"""),"ร้านสาม ก. พาณิชย์")</f>
        <v>ร้านสาม ก. พาณิชย์</v>
      </c>
      <c r="E2664" s="1" t="str">
        <f>IFERROR(__xludf.DUMMYFUNCTION("""COMPUTED_VALUE"""),"Donjai")</f>
        <v>Donjai</v>
      </c>
      <c r="F2664" s="1" t="str">
        <f>IFERROR(__xludf.DUMMYFUNCTION("""COMPUTED_VALUE"""),"296868")</f>
        <v>296868</v>
      </c>
      <c r="G2664" s="1" t="str">
        <f>IFERROR(__xludf.DUMMYFUNCTION("""COMPUTED_VALUE"""),"นายพีระพงษ์ แก้วดวงดี")</f>
        <v>นายพีระพงษ์ แก้วดวงดี</v>
      </c>
      <c r="H2664" s="1" t="str">
        <f>IFERROR(__xludf.DUMMYFUNCTION("""COMPUTED_VALUE"""),"296868")</f>
        <v>296868</v>
      </c>
      <c r="I2664" s="1" t="str">
        <f>IFERROR(__xludf.DUMMYFUNCTION("""COMPUTED_VALUE"""),"นายพีระพงษ์ แก้วดวงดี")</f>
        <v>นายพีระพงษ์ แก้วดวงดี</v>
      </c>
      <c r="J2664" s="3">
        <f>IFERROR(__xludf.DUMMYFUNCTION("""COMPUTED_VALUE"""),295886.0)</f>
        <v>295886</v>
      </c>
      <c r="K2664" s="3" t="str">
        <f>IFERROR(__xludf.DUMMYFUNCTION("""COMPUTED_VALUE"""),"นายจิระพงษ์ โพธิ์นิล")</f>
        <v>นายจิระพงษ์ โพธิ์นิล</v>
      </c>
      <c r="L2664" s="1" t="str">
        <f>IFERROR(__xludf.DUMMYFUNCTION("""COMPUTED_VALUE"""),"นายจิระพงษ์ โพธิ์นิล")</f>
        <v>นายจิระพงษ์ โพธิ์นิล</v>
      </c>
      <c r="M2664" s="1" t="str">
        <f>IFERROR(__xludf.DUMMYFUNCTION("""COMPUTED_VALUE"""),"0933290754")</f>
        <v>0933290754</v>
      </c>
      <c r="N2664" s="3">
        <f>IFERROR(__xludf.DUMMYFUNCTION("""COMPUTED_VALUE"""),83455.0)</f>
        <v>83455</v>
      </c>
      <c r="O2664" s="3" t="str">
        <f>IFERROR(__xludf.DUMMYFUNCTION("""COMPUTED_VALUE"""),"ร้านสาม ก. พาณิชย์")</f>
        <v>ร้านสาม ก. พาณิชย์</v>
      </c>
      <c r="P2664" s="4">
        <f>IFERROR(__xludf.DUMMYFUNCTION("""COMPUTED_VALUE"""),44606.0)</f>
        <v>44606</v>
      </c>
      <c r="Q2664" s="3" t="str">
        <f>IFERROR(__xludf.DUMMYFUNCTION("""COMPUTED_VALUE"""),"A")</f>
        <v>A</v>
      </c>
      <c r="R2664" s="3" t="str">
        <f>IFERROR(__xludf.DUMMYFUNCTION("""COMPUTED_VALUE"""),"Small Format")</f>
        <v>Small Format</v>
      </c>
      <c r="S2664" s="3" t="str">
        <f>IFERROR(__xludf.DUMMYFUNCTION("""COMPUTED_VALUE"""),"Donjai")</f>
        <v>Donjai</v>
      </c>
      <c r="T2664" s="3" t="str">
        <f>IFERROR(__xludf.DUMMYFUNCTION("""COMPUTED_VALUE"""),"03 K.Peerapong K.")</f>
        <v>03 K.Peerapong K.</v>
      </c>
      <c r="U2664" s="3" t="str">
        <f>IFERROR(__xludf.DUMMYFUNCTION("""COMPUTED_VALUE"""),"03 K.Peerapong K.")</f>
        <v>03 K.Peerapong K.</v>
      </c>
      <c r="V2664" s="3" t="str">
        <f>IFERROR(__xludf.DUMMYFUNCTION("""COMPUTED_VALUE"""),"N")</f>
        <v>N</v>
      </c>
      <c r="W2664" s="3"/>
      <c r="X2664" s="3" t="str">
        <f>IFERROR(__xludf.DUMMYFUNCTION("""COMPUTED_VALUE"""),"249 ม.9 ต.นาเลียง อ.นาแก จ.นครพนม")</f>
        <v>249 ม.9 ต.นาเลียง อ.นาแก จ.นครพนม</v>
      </c>
      <c r="Y2664" s="3"/>
      <c r="Z2664" s="3">
        <f>IFERROR(__xludf.DUMMYFUNCTION("""COMPUTED_VALUE"""),0.0)</f>
        <v>0</v>
      </c>
      <c r="AA2664" s="3">
        <f>IFERROR(__xludf.DUMMYFUNCTION("""COMPUTED_VALUE"""),0.0)</f>
        <v>0</v>
      </c>
      <c r="AB2664" s="3" t="str">
        <f>IFERROR(__xludf.DUMMYFUNCTION("""COMPUTED_VALUE"""),"นครพนม")</f>
        <v>นครพนม</v>
      </c>
      <c r="AC2664" s="3">
        <f>IFERROR(__xludf.DUMMYFUNCTION("""COMPUTED_VALUE"""),0.0)</f>
        <v>0</v>
      </c>
      <c r="AD2664" s="3"/>
      <c r="AE2664" s="3"/>
      <c r="AF2664" s="3" t="str">
        <f>IFERROR(__xludf.DUMMYFUNCTION("""COMPUTED_VALUE"""),"ร้านสาม ก. พาณิชย์-83455")</f>
        <v>ร้านสาม ก. พาณิชย์-83455</v>
      </c>
      <c r="AG2664" s="3" t="str">
        <f>IFERROR(__xludf.DUMMYFUNCTION("""COMPUTED_VALUE"""),"ตะวันออกเฉียงเหนือ")</f>
        <v>ตะวันออกเฉียงเหนือ</v>
      </c>
      <c r="AH2664" s="3" t="str">
        <f>IFERROR(__xludf.DUMMYFUNCTION("""COMPUTED_VALUE"""),"#N/A")</f>
        <v>#N/A</v>
      </c>
      <c r="AI2664" s="3" t="str">
        <f>IFERROR(__xludf.DUMMYFUNCTION("""COMPUTED_VALUE"""),"Out of warranty")</f>
        <v>Out of warranty</v>
      </c>
      <c r="AJ2664" s="3">
        <f>IFERROR(__xludf.DUMMYFUNCTION("""COMPUTED_VALUE"""),48.0)</f>
        <v>48</v>
      </c>
      <c r="AK2664" s="3"/>
      <c r="AL2664" s="3"/>
    </row>
    <row r="2665" ht="15.75" customHeight="1">
      <c r="A2665" s="1" t="str">
        <f>IFERROR(__xludf.DUMMYFUNCTION("""COMPUTED_VALUE"""),"83456")</f>
        <v>83456</v>
      </c>
      <c r="B2665" s="2">
        <f>IFERROR(__xludf.DUMMYFUNCTION("""COMPUTED_VALUE"""),83456.0)</f>
        <v>83456</v>
      </c>
      <c r="C2665" s="3" t="str">
        <f>IFERROR(__xludf.DUMMYFUNCTION("""COMPUTED_VALUE"""),"ร้านบ้านเลขที่8")</f>
        <v>ร้านบ้านเลขที่8</v>
      </c>
      <c r="D2665" s="3" t="str">
        <f>IFERROR(__xludf.DUMMYFUNCTION("""COMPUTED_VALUE"""),"ร้านบ้านเลขที่8")</f>
        <v>ร้านบ้านเลขที่8</v>
      </c>
      <c r="E2665" s="1" t="str">
        <f>IFERROR(__xludf.DUMMYFUNCTION("""COMPUTED_VALUE"""),"Donjai")</f>
        <v>Donjai</v>
      </c>
      <c r="F2665" s="1" t="str">
        <f>IFERROR(__xludf.DUMMYFUNCTION("""COMPUTED_VALUE"""),"2010023")</f>
        <v>2010023</v>
      </c>
      <c r="G2665" s="1" t="str">
        <f>IFERROR(__xludf.DUMMYFUNCTION("""COMPUTED_VALUE"""),"นายวศิน ไวยรูป")</f>
        <v>นายวศิน ไวยรูป</v>
      </c>
      <c r="H2665" s="1" t="str">
        <f>IFERROR(__xludf.DUMMYFUNCTION("""COMPUTED_VALUE"""),"2010023")</f>
        <v>2010023</v>
      </c>
      <c r="I2665" s="1" t="str">
        <f>IFERROR(__xludf.DUMMYFUNCTION("""COMPUTED_VALUE"""),"นายวศิน ไวยรูป")</f>
        <v>นายวศิน ไวยรูป</v>
      </c>
      <c r="J2665" s="3">
        <f>IFERROR(__xludf.DUMMYFUNCTION("""COMPUTED_VALUE"""),228031.0)</f>
        <v>228031</v>
      </c>
      <c r="K2665" s="3" t="str">
        <f>IFERROR(__xludf.DUMMYFUNCTION("""COMPUTED_VALUE"""),"นายธนพงษ์ วันหมัด")</f>
        <v>นายธนพงษ์ วันหมัด</v>
      </c>
      <c r="L2665" s="1" t="str">
        <f>IFERROR(__xludf.DUMMYFUNCTION("""COMPUTED_VALUE"""),"นายธนพงษ์ วันหมัด")</f>
        <v>นายธนพงษ์ วันหมัด</v>
      </c>
      <c r="M2665" s="1" t="str">
        <f>IFERROR(__xludf.DUMMYFUNCTION("""COMPUTED_VALUE"""),"0813716913")</f>
        <v>0813716913</v>
      </c>
      <c r="N2665" s="3">
        <f>IFERROR(__xludf.DUMMYFUNCTION("""COMPUTED_VALUE"""),83456.0)</f>
        <v>83456</v>
      </c>
      <c r="O2665" s="3" t="str">
        <f>IFERROR(__xludf.DUMMYFUNCTION("""COMPUTED_VALUE"""),"ร้านบ้านเลขที่8")</f>
        <v>ร้านบ้านเลขที่8</v>
      </c>
      <c r="P2665" s="4">
        <f>IFERROR(__xludf.DUMMYFUNCTION("""COMPUTED_VALUE"""),44620.0)</f>
        <v>44620</v>
      </c>
      <c r="Q2665" s="3" t="str">
        <f>IFERROR(__xludf.DUMMYFUNCTION("""COMPUTED_VALUE"""),"I")</f>
        <v>I</v>
      </c>
      <c r="R2665" s="3" t="str">
        <f>IFERROR(__xludf.DUMMYFUNCTION("""COMPUTED_VALUE"""),"Small Format")</f>
        <v>Small Format</v>
      </c>
      <c r="S2665" s="3" t="str">
        <f>IFERROR(__xludf.DUMMYFUNCTION("""COMPUTED_VALUE"""),"Donjai")</f>
        <v>Donjai</v>
      </c>
      <c r="T2665" s="3" t="str">
        <f>IFERROR(__xludf.DUMMYFUNCTION("""COMPUTED_VALUE"""),"Donjai")</f>
        <v>Donjai</v>
      </c>
      <c r="U2665" s="3" t="str">
        <f>IFERROR(__xludf.DUMMYFUNCTION("""COMPUTED_VALUE"""),"Donjai")</f>
        <v>Donjai</v>
      </c>
      <c r="V2665" s="3" t="str">
        <f>IFERROR(__xludf.DUMMYFUNCTION("""COMPUTED_VALUE"""),"N")</f>
        <v>N</v>
      </c>
      <c r="W2665" s="3"/>
      <c r="X2665" s="3" t="str">
        <f>IFERROR(__xludf.DUMMYFUNCTION("""COMPUTED_VALUE"""),"199/8 หมู่13 ซ.ประเสริฐมนูกิจ48 ถ.เกษตรนวมินทร์ คลองกุ่ม บึงกุ่ม กทม 10240")</f>
        <v>199/8 หมู่13 ซ.ประเสริฐมนูกิจ48 ถ.เกษตรนวมินทร์ คลองกุ่ม บึงกุ่ม กทม 10240</v>
      </c>
      <c r="Y2665" s="3"/>
      <c r="Z2665" s="3">
        <f>IFERROR(__xludf.DUMMYFUNCTION("""COMPUTED_VALUE"""),0.0)</f>
        <v>0</v>
      </c>
      <c r="AA2665" s="3">
        <f>IFERROR(__xludf.DUMMYFUNCTION("""COMPUTED_VALUE"""),0.0)</f>
        <v>0</v>
      </c>
      <c r="AB2665" s="3" t="str">
        <f>IFERROR(__xludf.DUMMYFUNCTION("""COMPUTED_VALUE"""),"กรุงเทพมหานคร")</f>
        <v>กรุงเทพมหานคร</v>
      </c>
      <c r="AC2665" s="3">
        <f>IFERROR(__xludf.DUMMYFUNCTION("""COMPUTED_VALUE"""),10240.0)</f>
        <v>10240</v>
      </c>
      <c r="AD2665" s="3"/>
      <c r="AE2665" s="3"/>
      <c r="AF2665" s="3" t="str">
        <f>IFERROR(__xludf.DUMMYFUNCTION("""COMPUTED_VALUE"""),"ร้านบ้านเลขที่8-83456")</f>
        <v>ร้านบ้านเลขที่8-83456</v>
      </c>
      <c r="AG2665" s="3" t="str">
        <f>IFERROR(__xludf.DUMMYFUNCTION("""COMPUTED_VALUE"""),"กลาง")</f>
        <v>กลาง</v>
      </c>
      <c r="AH2665" s="3" t="str">
        <f>IFERROR(__xludf.DUMMYFUNCTION("""COMPUTED_VALUE"""),"#N/A")</f>
        <v>#N/A</v>
      </c>
      <c r="AI2665" s="3" t="str">
        <f>IFERROR(__xludf.DUMMYFUNCTION("""COMPUTED_VALUE"""),"Out of warranty")</f>
        <v>Out of warranty</v>
      </c>
      <c r="AJ2665" s="3">
        <f>IFERROR(__xludf.DUMMYFUNCTION("""COMPUTED_VALUE"""),47.0)</f>
        <v>47</v>
      </c>
      <c r="AK2665" s="3"/>
      <c r="AL2665" s="3"/>
    </row>
    <row r="2666" ht="15.75" customHeight="1">
      <c r="A2666" s="1" t="str">
        <f>IFERROR(__xludf.DUMMYFUNCTION("""COMPUTED_VALUE"""),"83457")</f>
        <v>83457</v>
      </c>
      <c r="B2666" s="2">
        <f>IFERROR(__xludf.DUMMYFUNCTION("""COMPUTED_VALUE"""),83457.0)</f>
        <v>83457</v>
      </c>
      <c r="C2666" s="3" t="str">
        <f>IFERROR(__xludf.DUMMYFUNCTION("""COMPUTED_VALUE"""),"ร้านธนทรัพย์เจริญการค้า")</f>
        <v>ร้านธนทรัพย์เจริญการค้า</v>
      </c>
      <c r="D2666" s="3" t="str">
        <f>IFERROR(__xludf.DUMMYFUNCTION("""COMPUTED_VALUE"""),"ร้านธนทรัพย์เจริญการค้า")</f>
        <v>ร้านธนทรัพย์เจริญการค้า</v>
      </c>
      <c r="E2666" s="1" t="str">
        <f>IFERROR(__xludf.DUMMYFUNCTION("""COMPUTED_VALUE"""),"Donjai")</f>
        <v>Donjai</v>
      </c>
      <c r="F2666" s="1" t="str">
        <f>IFERROR(__xludf.DUMMYFUNCTION("""COMPUTED_VALUE"""),"2451655")</f>
        <v>2451655</v>
      </c>
      <c r="G2666" s="1" t="str">
        <f>IFERROR(__xludf.DUMMYFUNCTION("""COMPUTED_VALUE"""),"นายวิษณุพงษ์ ชินบุตร")</f>
        <v>นายวิษณุพงษ์ ชินบุตร</v>
      </c>
      <c r="H2666" s="1" t="str">
        <f>IFERROR(__xludf.DUMMYFUNCTION("""COMPUTED_VALUE"""),"2451655")</f>
        <v>2451655</v>
      </c>
      <c r="I2666" s="1" t="str">
        <f>IFERROR(__xludf.DUMMYFUNCTION("""COMPUTED_VALUE"""),"นายวิษณุพงษ์ ชินบุตร")</f>
        <v>นายวิษณุพงษ์ ชินบุตร</v>
      </c>
      <c r="J2666" s="3">
        <f>IFERROR(__xludf.DUMMYFUNCTION("""COMPUTED_VALUE"""),228031.0)</f>
        <v>228031</v>
      </c>
      <c r="K2666" s="3" t="str">
        <f>IFERROR(__xludf.DUMMYFUNCTION("""COMPUTED_VALUE"""),"นายธนพงษ์ วันหมัด")</f>
        <v>นายธนพงษ์ วันหมัด</v>
      </c>
      <c r="L2666" s="1" t="str">
        <f>IFERROR(__xludf.DUMMYFUNCTION("""COMPUTED_VALUE"""),"นายธนพงษ์ วันหมัด")</f>
        <v>นายธนพงษ์ วันหมัด</v>
      </c>
      <c r="M2666" s="1" t="str">
        <f>IFERROR(__xludf.DUMMYFUNCTION("""COMPUTED_VALUE"""),"0813716913")</f>
        <v>0813716913</v>
      </c>
      <c r="N2666" s="3">
        <f>IFERROR(__xludf.DUMMYFUNCTION("""COMPUTED_VALUE"""),83457.0)</f>
        <v>83457</v>
      </c>
      <c r="O2666" s="3" t="str">
        <f>IFERROR(__xludf.DUMMYFUNCTION("""COMPUTED_VALUE"""),"ร้านธนทรัพย์เจริญการค้า")</f>
        <v>ร้านธนทรัพย์เจริญการค้า</v>
      </c>
      <c r="P2666" s="4">
        <f>IFERROR(__xludf.DUMMYFUNCTION("""COMPUTED_VALUE"""),44703.0)</f>
        <v>44703</v>
      </c>
      <c r="Q2666" s="3" t="str">
        <f>IFERROR(__xludf.DUMMYFUNCTION("""COMPUTED_VALUE"""),"A")</f>
        <v>A</v>
      </c>
      <c r="R2666" s="3" t="str">
        <f>IFERROR(__xludf.DUMMYFUNCTION("""COMPUTED_VALUE"""),"Small Format")</f>
        <v>Small Format</v>
      </c>
      <c r="S2666" s="3" t="str">
        <f>IFERROR(__xludf.DUMMYFUNCTION("""COMPUTED_VALUE"""),"Donjai")</f>
        <v>Donjai</v>
      </c>
      <c r="T2666" s="3" t="str">
        <f>IFERROR(__xludf.DUMMYFUNCTION("""COMPUTED_VALUE"""),"13 K.Wisanupong Ch")</f>
        <v>13 K.Wisanupong Ch</v>
      </c>
      <c r="U2666" s="3" t="str">
        <f>IFERROR(__xludf.DUMMYFUNCTION("""COMPUTED_VALUE"""),"13 K.Wisanupong Ch")</f>
        <v>13 K.Wisanupong Ch</v>
      </c>
      <c r="V2666" s="3" t="str">
        <f>IFERROR(__xludf.DUMMYFUNCTION("""COMPUTED_VALUE"""),"N")</f>
        <v>N</v>
      </c>
      <c r="W2666" s="3"/>
      <c r="X2666" s="3" t="str">
        <f>IFERROR(__xludf.DUMMYFUNCTION("""COMPUTED_VALUE"""),"214/1 ม12 บ้านเก่า เมือง กาญจนบุรี 71000")</f>
        <v>214/1 ม12 บ้านเก่า เมือง กาญจนบุรี 71000</v>
      </c>
      <c r="Y2666" s="3"/>
      <c r="Z2666" s="3">
        <f>IFERROR(__xludf.DUMMYFUNCTION("""COMPUTED_VALUE"""),0.0)</f>
        <v>0</v>
      </c>
      <c r="AA2666" s="3">
        <f>IFERROR(__xludf.DUMMYFUNCTION("""COMPUTED_VALUE"""),0.0)</f>
        <v>0</v>
      </c>
      <c r="AB2666" s="3" t="str">
        <f>IFERROR(__xludf.DUMMYFUNCTION("""COMPUTED_VALUE"""),"กาญจนบุรี")</f>
        <v>กาญจนบุรี</v>
      </c>
      <c r="AC2666" s="3">
        <f>IFERROR(__xludf.DUMMYFUNCTION("""COMPUTED_VALUE"""),71000.0)</f>
        <v>71000</v>
      </c>
      <c r="AD2666" s="3"/>
      <c r="AE2666" s="3"/>
      <c r="AF2666" s="3" t="str">
        <f>IFERROR(__xludf.DUMMYFUNCTION("""COMPUTED_VALUE"""),"ร้านธนทรัพย์เจริญการค้า-83457")</f>
        <v>ร้านธนทรัพย์เจริญการค้า-83457</v>
      </c>
      <c r="AG2666" s="3" t="str">
        <f>IFERROR(__xludf.DUMMYFUNCTION("""COMPUTED_VALUE"""),"ตะวันตก")</f>
        <v>ตะวันตก</v>
      </c>
      <c r="AH2666" s="3" t="str">
        <f>IFERROR(__xludf.DUMMYFUNCTION("""COMPUTED_VALUE"""),"#N/A")</f>
        <v>#N/A</v>
      </c>
      <c r="AI2666" s="3" t="str">
        <f>IFERROR(__xludf.DUMMYFUNCTION("""COMPUTED_VALUE"""),"Out of warranty")</f>
        <v>Out of warranty</v>
      </c>
      <c r="AJ2666" s="3">
        <f>IFERROR(__xludf.DUMMYFUNCTION("""COMPUTED_VALUE"""),44.0)</f>
        <v>44</v>
      </c>
      <c r="AK2666" s="3"/>
      <c r="AL2666" s="3"/>
    </row>
    <row r="2667" ht="15.75" customHeight="1">
      <c r="A2667" s="1" t="str">
        <f>IFERROR(__xludf.DUMMYFUNCTION("""COMPUTED_VALUE"""),"83458")</f>
        <v>83458</v>
      </c>
      <c r="B2667" s="2">
        <f>IFERROR(__xludf.DUMMYFUNCTION("""COMPUTED_VALUE"""),83458.0)</f>
        <v>83458</v>
      </c>
      <c r="C2667" s="3" t="str">
        <f>IFERROR(__xludf.DUMMYFUNCTION("""COMPUTED_VALUE"""),"ร้านเจ๊กุ้ง")</f>
        <v>ร้านเจ๊กุ้ง</v>
      </c>
      <c r="D2667" s="3" t="str">
        <f>IFERROR(__xludf.DUMMYFUNCTION("""COMPUTED_VALUE"""),"ร้านเจ๊กุ้ง")</f>
        <v>ร้านเจ๊กุ้ง</v>
      </c>
      <c r="E2667" s="1" t="str">
        <f>IFERROR(__xludf.DUMMYFUNCTION("""COMPUTED_VALUE"""),"Donjai")</f>
        <v>Donjai</v>
      </c>
      <c r="F2667" s="1" t="str">
        <f>IFERROR(__xludf.DUMMYFUNCTION("""COMPUTED_VALUE"""),"00510143")</f>
        <v>00510143</v>
      </c>
      <c r="G2667" s="1" t="str">
        <f>IFERROR(__xludf.DUMMYFUNCTION("""COMPUTED_VALUE"""),"นายธีระวัฒน์ บุญสิทธิ์")</f>
        <v>นายธีระวัฒน์ บุญสิทธิ์</v>
      </c>
      <c r="H2667" s="1" t="str">
        <f>IFERROR(__xludf.DUMMYFUNCTION("""COMPUTED_VALUE"""),"00510143")</f>
        <v>00510143</v>
      </c>
      <c r="I2667" s="1" t="str">
        <f>IFERROR(__xludf.DUMMYFUNCTION("""COMPUTED_VALUE"""),"นายธีระวัฒน์ บุญสิทธิ์")</f>
        <v>นายธีระวัฒน์ บุญสิทธิ์</v>
      </c>
      <c r="J2667" s="3">
        <f>IFERROR(__xludf.DUMMYFUNCTION("""COMPUTED_VALUE"""),228031.0)</f>
        <v>228031</v>
      </c>
      <c r="K2667" s="3" t="str">
        <f>IFERROR(__xludf.DUMMYFUNCTION("""COMPUTED_VALUE"""),"นายธนพงษ์ วันหมัด")</f>
        <v>นายธนพงษ์ วันหมัด</v>
      </c>
      <c r="L2667" s="1" t="str">
        <f>IFERROR(__xludf.DUMMYFUNCTION("""COMPUTED_VALUE"""),"นายธนพงษ์ วันหมัด")</f>
        <v>นายธนพงษ์ วันหมัด</v>
      </c>
      <c r="M2667" s="1" t="str">
        <f>IFERROR(__xludf.DUMMYFUNCTION("""COMPUTED_VALUE"""),"0813716913")</f>
        <v>0813716913</v>
      </c>
      <c r="N2667" s="3">
        <f>IFERROR(__xludf.DUMMYFUNCTION("""COMPUTED_VALUE"""),83458.0)</f>
        <v>83458</v>
      </c>
      <c r="O2667" s="3" t="str">
        <f>IFERROR(__xludf.DUMMYFUNCTION("""COMPUTED_VALUE"""),"ร้านเจ๊กุ้ง")</f>
        <v>ร้านเจ๊กุ้ง</v>
      </c>
      <c r="P2667" s="4">
        <f>IFERROR(__xludf.DUMMYFUNCTION("""COMPUTED_VALUE"""),44593.0)</f>
        <v>44593</v>
      </c>
      <c r="Q2667" s="3" t="str">
        <f>IFERROR(__xludf.DUMMYFUNCTION("""COMPUTED_VALUE"""),"A")</f>
        <v>A</v>
      </c>
      <c r="R2667" s="3" t="str">
        <f>IFERROR(__xludf.DUMMYFUNCTION("""COMPUTED_VALUE"""),"Small Format")</f>
        <v>Small Format</v>
      </c>
      <c r="S2667" s="3" t="str">
        <f>IFERROR(__xludf.DUMMYFUNCTION("""COMPUTED_VALUE"""),"Donjai")</f>
        <v>Donjai</v>
      </c>
      <c r="T2667" s="3" t="str">
        <f>IFERROR(__xludf.DUMMYFUNCTION("""COMPUTED_VALUE"""),"12 K.Theerawat B.")</f>
        <v>12 K.Theerawat B.</v>
      </c>
      <c r="U2667" s="3" t="str">
        <f>IFERROR(__xludf.DUMMYFUNCTION("""COMPUTED_VALUE"""),"12 K.Theerawat B.")</f>
        <v>12 K.Theerawat B.</v>
      </c>
      <c r="V2667" s="3" t="str">
        <f>IFERROR(__xludf.DUMMYFUNCTION("""COMPUTED_VALUE"""),"N")</f>
        <v>N</v>
      </c>
      <c r="W2667" s="3"/>
      <c r="X2667" s="3" t="str">
        <f>IFERROR(__xludf.DUMMYFUNCTION("""COMPUTED_VALUE"""),"327 ม.6 ต.หนองหว้า อ.เขาฉกรรจ์ จ.สระแก้ว 27000")</f>
        <v>327 ม.6 ต.หนองหว้า อ.เขาฉกรรจ์ จ.สระแก้ว 27000</v>
      </c>
      <c r="Y2667" s="3"/>
      <c r="Z2667" s="3">
        <f>IFERROR(__xludf.DUMMYFUNCTION("""COMPUTED_VALUE"""),0.0)</f>
        <v>0</v>
      </c>
      <c r="AA2667" s="3">
        <f>IFERROR(__xludf.DUMMYFUNCTION("""COMPUTED_VALUE"""),0.0)</f>
        <v>0</v>
      </c>
      <c r="AB2667" s="3" t="str">
        <f>IFERROR(__xludf.DUMMYFUNCTION("""COMPUTED_VALUE"""),"สระแก้ว")</f>
        <v>สระแก้ว</v>
      </c>
      <c r="AC2667" s="3">
        <f>IFERROR(__xludf.DUMMYFUNCTION("""COMPUTED_VALUE"""),27000.0)</f>
        <v>27000</v>
      </c>
      <c r="AD2667" s="3"/>
      <c r="AE2667" s="3"/>
      <c r="AF2667" s="3" t="str">
        <f>IFERROR(__xludf.DUMMYFUNCTION("""COMPUTED_VALUE"""),"ร้านเจ๊กุ้ง-83458")</f>
        <v>ร้านเจ๊กุ้ง-83458</v>
      </c>
      <c r="AG2667" s="3" t="str">
        <f>IFERROR(__xludf.DUMMYFUNCTION("""COMPUTED_VALUE"""),"ตะวันออก")</f>
        <v>ตะวันออก</v>
      </c>
      <c r="AH2667" s="3" t="str">
        <f>IFERROR(__xludf.DUMMYFUNCTION("""COMPUTED_VALUE"""),"#N/A")</f>
        <v>#N/A</v>
      </c>
      <c r="AI2667" s="3" t="str">
        <f>IFERROR(__xludf.DUMMYFUNCTION("""COMPUTED_VALUE"""),"Out of warranty")</f>
        <v>Out of warranty</v>
      </c>
      <c r="AJ2667" s="3">
        <f>IFERROR(__xludf.DUMMYFUNCTION("""COMPUTED_VALUE"""),48.0)</f>
        <v>48</v>
      </c>
      <c r="AK2667" s="3"/>
      <c r="AL2667" s="3"/>
    </row>
    <row r="2668" ht="15.75" customHeight="1">
      <c r="A2668" s="1" t="str">
        <f>IFERROR(__xludf.DUMMYFUNCTION("""COMPUTED_VALUE"""),"83459")</f>
        <v>83459</v>
      </c>
      <c r="B2668" s="2">
        <f>IFERROR(__xludf.DUMMYFUNCTION("""COMPUTED_VALUE"""),83459.0)</f>
        <v>83459</v>
      </c>
      <c r="C2668" s="3" t="str">
        <f>IFERROR(__xludf.DUMMYFUNCTION("""COMPUTED_VALUE"""),"ร้านเอวาค้าส่ง")</f>
        <v>ร้านเอวาค้าส่ง</v>
      </c>
      <c r="D2668" s="3" t="str">
        <f>IFERROR(__xludf.DUMMYFUNCTION("""COMPUTED_VALUE"""),"ร้านเอวาค้าส่ง")</f>
        <v>ร้านเอวาค้าส่ง</v>
      </c>
      <c r="E2668" s="1" t="str">
        <f>IFERROR(__xludf.DUMMYFUNCTION("""COMPUTED_VALUE"""),"Donjai")</f>
        <v>Donjai</v>
      </c>
      <c r="F2668" s="1" t="str">
        <f>IFERROR(__xludf.DUMMYFUNCTION("""COMPUTED_VALUE"""),"296945")</f>
        <v>296945</v>
      </c>
      <c r="G2668" s="1" t="str">
        <f>IFERROR(__xludf.DUMMYFUNCTION("""COMPUTED_VALUE"""),"นายรักพงศ์ พงศ์พันธ์งาม")</f>
        <v>นายรักพงศ์ พงศ์พันธ์งาม</v>
      </c>
      <c r="H2668" s="1" t="str">
        <f>IFERROR(__xludf.DUMMYFUNCTION("""COMPUTED_VALUE"""),"296945")</f>
        <v>296945</v>
      </c>
      <c r="I2668" s="1" t="str">
        <f>IFERROR(__xludf.DUMMYFUNCTION("""COMPUTED_VALUE"""),"นายรักพงศ์ พงศ์พันธ์งาม")</f>
        <v>นายรักพงศ์ พงศ์พันธ์งาม</v>
      </c>
      <c r="J2668" s="3">
        <f>IFERROR(__xludf.DUMMYFUNCTION("""COMPUTED_VALUE"""),228031.0)</f>
        <v>228031</v>
      </c>
      <c r="K2668" s="3" t="str">
        <f>IFERROR(__xludf.DUMMYFUNCTION("""COMPUTED_VALUE"""),"นายธนพงษ์ วันหมัด")</f>
        <v>นายธนพงษ์ วันหมัด</v>
      </c>
      <c r="L2668" s="1" t="str">
        <f>IFERROR(__xludf.DUMMYFUNCTION("""COMPUTED_VALUE"""),"นายธนพงษ์ วันหมัด")</f>
        <v>นายธนพงษ์ วันหมัด</v>
      </c>
      <c r="M2668" s="1" t="str">
        <f>IFERROR(__xludf.DUMMYFUNCTION("""COMPUTED_VALUE"""),"0813716913")</f>
        <v>0813716913</v>
      </c>
      <c r="N2668" s="3">
        <f>IFERROR(__xludf.DUMMYFUNCTION("""COMPUTED_VALUE"""),83459.0)</f>
        <v>83459</v>
      </c>
      <c r="O2668" s="3" t="str">
        <f>IFERROR(__xludf.DUMMYFUNCTION("""COMPUTED_VALUE"""),"ร้านเอวาค้าส่ง")</f>
        <v>ร้านเอวาค้าส่ง</v>
      </c>
      <c r="P2668" s="4">
        <f>IFERROR(__xludf.DUMMYFUNCTION("""COMPUTED_VALUE"""),44640.0)</f>
        <v>44640</v>
      </c>
      <c r="Q2668" s="3" t="str">
        <f>IFERROR(__xludf.DUMMYFUNCTION("""COMPUTED_VALUE"""),"I")</f>
        <v>I</v>
      </c>
      <c r="R2668" s="3" t="str">
        <f>IFERROR(__xludf.DUMMYFUNCTION("""COMPUTED_VALUE"""),"Small Format")</f>
        <v>Small Format</v>
      </c>
      <c r="S2668" s="3" t="str">
        <f>IFERROR(__xludf.DUMMYFUNCTION("""COMPUTED_VALUE"""),"Donjai")</f>
        <v>Donjai</v>
      </c>
      <c r="T2668" s="3">
        <f>IFERROR(__xludf.DUMMYFUNCTION("""COMPUTED_VALUE"""),0.0)</f>
        <v>0</v>
      </c>
      <c r="U2668" s="3">
        <f>IFERROR(__xludf.DUMMYFUNCTION("""COMPUTED_VALUE"""),0.0)</f>
        <v>0</v>
      </c>
      <c r="V2668" s="3" t="str">
        <f>IFERROR(__xludf.DUMMYFUNCTION("""COMPUTED_VALUE"""),"N")</f>
        <v>N</v>
      </c>
      <c r="W2668" s="3"/>
      <c r="X2668" s="3" t="str">
        <f>IFERROR(__xludf.DUMMYFUNCTION("""COMPUTED_VALUE"""),"18/64 หมู่ 4 ถ.อบต แสมสาร ต.แสมสาร อ.สัตหีบ จ.ชลบุรี")</f>
        <v>18/64 หมู่ 4 ถ.อบต แสมสาร ต.แสมสาร อ.สัตหีบ จ.ชลบุรี</v>
      </c>
      <c r="Y2668" s="3"/>
      <c r="Z2668" s="3">
        <f>IFERROR(__xludf.DUMMYFUNCTION("""COMPUTED_VALUE"""),0.0)</f>
        <v>0</v>
      </c>
      <c r="AA2668" s="3">
        <f>IFERROR(__xludf.DUMMYFUNCTION("""COMPUTED_VALUE"""),0.0)</f>
        <v>0</v>
      </c>
      <c r="AB2668" s="3" t="str">
        <f>IFERROR(__xludf.DUMMYFUNCTION("""COMPUTED_VALUE"""),"ชลบุรี")</f>
        <v>ชลบุรี</v>
      </c>
      <c r="AC2668" s="3">
        <f>IFERROR(__xludf.DUMMYFUNCTION("""COMPUTED_VALUE"""),0.0)</f>
        <v>0</v>
      </c>
      <c r="AD2668" s="3"/>
      <c r="AE2668" s="3"/>
      <c r="AF2668" s="3" t="str">
        <f>IFERROR(__xludf.DUMMYFUNCTION("""COMPUTED_VALUE"""),"ร้านเอวาค้าส่ง-83459")</f>
        <v>ร้านเอวาค้าส่ง-83459</v>
      </c>
      <c r="AG2668" s="3" t="str">
        <f>IFERROR(__xludf.DUMMYFUNCTION("""COMPUTED_VALUE"""),"ตะวันออก")</f>
        <v>ตะวันออก</v>
      </c>
      <c r="AH2668" s="3" t="str">
        <f>IFERROR(__xludf.DUMMYFUNCTION("""COMPUTED_VALUE"""),"#N/A")</f>
        <v>#N/A</v>
      </c>
      <c r="AI2668" s="3" t="str">
        <f>IFERROR(__xludf.DUMMYFUNCTION("""COMPUTED_VALUE"""),"Out of warranty")</f>
        <v>Out of warranty</v>
      </c>
      <c r="AJ2668" s="3">
        <f>IFERROR(__xludf.DUMMYFUNCTION("""COMPUTED_VALUE"""),47.0)</f>
        <v>47</v>
      </c>
      <c r="AK2668" s="3"/>
      <c r="AL2668" s="3"/>
    </row>
    <row r="2669" ht="15.75" customHeight="1">
      <c r="A2669" s="1" t="str">
        <f>IFERROR(__xludf.DUMMYFUNCTION("""COMPUTED_VALUE"""),"83460")</f>
        <v>83460</v>
      </c>
      <c r="B2669" s="2">
        <f>IFERROR(__xludf.DUMMYFUNCTION("""COMPUTED_VALUE"""),83460.0)</f>
        <v>83460</v>
      </c>
      <c r="C2669" s="3" t="str">
        <f>IFERROR(__xludf.DUMMYFUNCTION("""COMPUTED_VALUE"""),"ร้านลุงเรียม")</f>
        <v>ร้านลุงเรียม</v>
      </c>
      <c r="D2669" s="3" t="str">
        <f>IFERROR(__xludf.DUMMYFUNCTION("""COMPUTED_VALUE"""),"ร้านลุงเรียม")</f>
        <v>ร้านลุงเรียม</v>
      </c>
      <c r="E2669" s="1" t="str">
        <f>IFERROR(__xludf.DUMMYFUNCTION("""COMPUTED_VALUE"""),"Donjai")</f>
        <v>Donjai</v>
      </c>
      <c r="F2669" s="1" t="str">
        <f>IFERROR(__xludf.DUMMYFUNCTION("""COMPUTED_VALUE"""),"046214")</f>
        <v>046214</v>
      </c>
      <c r="G2669" s="1" t="str">
        <f>IFERROR(__xludf.DUMMYFUNCTION("""COMPUTED_VALUE"""),"นายศักดิ์ชัย เด็ดดอกฟ้า")</f>
        <v>นายศักดิ์ชัย เด็ดดอกฟ้า</v>
      </c>
      <c r="H2669" s="1" t="str">
        <f>IFERROR(__xludf.DUMMYFUNCTION("""COMPUTED_VALUE"""),"046214")</f>
        <v>046214</v>
      </c>
      <c r="I2669" s="1" t="str">
        <f>IFERROR(__xludf.DUMMYFUNCTION("""COMPUTED_VALUE"""),"นายศักดิ์ชัย เด็ดดอกฟ้า")</f>
        <v>นายศักดิ์ชัย เด็ดดอกฟ้า</v>
      </c>
      <c r="J2669" s="3">
        <f>IFERROR(__xludf.DUMMYFUNCTION("""COMPUTED_VALUE"""),295886.0)</f>
        <v>295886</v>
      </c>
      <c r="K2669" s="3" t="str">
        <f>IFERROR(__xludf.DUMMYFUNCTION("""COMPUTED_VALUE"""),"นายจิระพงษ์ โพธิ์นิล")</f>
        <v>นายจิระพงษ์ โพธิ์นิล</v>
      </c>
      <c r="L2669" s="1" t="str">
        <f>IFERROR(__xludf.DUMMYFUNCTION("""COMPUTED_VALUE"""),"นายจิระพงษ์ โพธิ์นิล")</f>
        <v>นายจิระพงษ์ โพธิ์นิล</v>
      </c>
      <c r="M2669" s="1" t="str">
        <f>IFERROR(__xludf.DUMMYFUNCTION("""COMPUTED_VALUE"""),"0933290754")</f>
        <v>0933290754</v>
      </c>
      <c r="N2669" s="3">
        <f>IFERROR(__xludf.DUMMYFUNCTION("""COMPUTED_VALUE"""),83460.0)</f>
        <v>83460</v>
      </c>
      <c r="O2669" s="3" t="str">
        <f>IFERROR(__xludf.DUMMYFUNCTION("""COMPUTED_VALUE"""),"ร้านลุงเรียม")</f>
        <v>ร้านลุงเรียม</v>
      </c>
      <c r="P2669" s="4">
        <f>IFERROR(__xludf.DUMMYFUNCTION("""COMPUTED_VALUE"""),44607.0)</f>
        <v>44607</v>
      </c>
      <c r="Q2669" s="3" t="str">
        <f>IFERROR(__xludf.DUMMYFUNCTION("""COMPUTED_VALUE"""),"A")</f>
        <v>A</v>
      </c>
      <c r="R2669" s="3" t="str">
        <f>IFERROR(__xludf.DUMMYFUNCTION("""COMPUTED_VALUE"""),"Small Format")</f>
        <v>Small Format</v>
      </c>
      <c r="S2669" s="3" t="str">
        <f>IFERROR(__xludf.DUMMYFUNCTION("""COMPUTED_VALUE"""),"Donjai")</f>
        <v>Donjai</v>
      </c>
      <c r="T2669" s="3" t="str">
        <f>IFERROR(__xludf.DUMMYFUNCTION("""COMPUTED_VALUE"""),"02 K.Sakchai D")</f>
        <v>02 K.Sakchai D</v>
      </c>
      <c r="U2669" s="3" t="str">
        <f>IFERROR(__xludf.DUMMYFUNCTION("""COMPUTED_VALUE"""),"02 K.Sakchai D")</f>
        <v>02 K.Sakchai D</v>
      </c>
      <c r="V2669" s="3" t="str">
        <f>IFERROR(__xludf.DUMMYFUNCTION("""COMPUTED_VALUE"""),"N")</f>
        <v>N</v>
      </c>
      <c r="W2669" s="3"/>
      <c r="X2669" s="3" t="str">
        <f>IFERROR(__xludf.DUMMYFUNCTION("""COMPUTED_VALUE"""),"246 ม.10 ต.น้ำชุน อ.หล่มสัก จ.เพชรบูรณ์ 67110")</f>
        <v>246 ม.10 ต.น้ำชุน อ.หล่มสัก จ.เพชรบูรณ์ 67110</v>
      </c>
      <c r="Y2669" s="3"/>
      <c r="Z2669" s="3" t="str">
        <f>IFERROR(__xludf.DUMMYFUNCTION("""COMPUTED_VALUE"""),"น้ำชุน")</f>
        <v>น้ำชุน</v>
      </c>
      <c r="AA2669" s="3" t="str">
        <f>IFERROR(__xludf.DUMMYFUNCTION("""COMPUTED_VALUE"""),"หล่มสัก")</f>
        <v>หล่มสัก</v>
      </c>
      <c r="AB2669" s="3" t="str">
        <f>IFERROR(__xludf.DUMMYFUNCTION("""COMPUTED_VALUE"""),"เพชรบูรณ์")</f>
        <v>เพชรบูรณ์</v>
      </c>
      <c r="AC2669" s="3">
        <f>IFERROR(__xludf.DUMMYFUNCTION("""COMPUTED_VALUE"""),67110.0)</f>
        <v>67110</v>
      </c>
      <c r="AD2669" s="3"/>
      <c r="AE2669" s="3"/>
      <c r="AF2669" s="3" t="str">
        <f>IFERROR(__xludf.DUMMYFUNCTION("""COMPUTED_VALUE"""),"ร้านลุงเรียม-83460")</f>
        <v>ร้านลุงเรียม-83460</v>
      </c>
      <c r="AG2669" s="3" t="str">
        <f>IFERROR(__xludf.DUMMYFUNCTION("""COMPUTED_VALUE"""),"กลาง")</f>
        <v>กลาง</v>
      </c>
      <c r="AH2669" s="3" t="str">
        <f>IFERROR(__xludf.DUMMYFUNCTION("""COMPUTED_VALUE"""),"#N/A")</f>
        <v>#N/A</v>
      </c>
      <c r="AI2669" s="3" t="str">
        <f>IFERROR(__xludf.DUMMYFUNCTION("""COMPUTED_VALUE"""),"Out of warranty")</f>
        <v>Out of warranty</v>
      </c>
      <c r="AJ2669" s="3">
        <f>IFERROR(__xludf.DUMMYFUNCTION("""COMPUTED_VALUE"""),48.0)</f>
        <v>48</v>
      </c>
      <c r="AK2669" s="3"/>
      <c r="AL2669" s="3"/>
    </row>
    <row r="2670" ht="15.75" customHeight="1">
      <c r="A2670" s="1" t="str">
        <f>IFERROR(__xludf.DUMMYFUNCTION("""COMPUTED_VALUE"""),"83461")</f>
        <v>83461</v>
      </c>
      <c r="B2670" s="2">
        <f>IFERROR(__xludf.DUMMYFUNCTION("""COMPUTED_VALUE"""),83461.0)</f>
        <v>83461</v>
      </c>
      <c r="C2670" s="3" t="str">
        <f>IFERROR(__xludf.DUMMYFUNCTION("""COMPUTED_VALUE"""),"ร้านโชคพัฒนา")</f>
        <v>ร้านโชคพัฒนา</v>
      </c>
      <c r="D2670" s="3" t="str">
        <f>IFERROR(__xludf.DUMMYFUNCTION("""COMPUTED_VALUE"""),"ร้านโชคพัฒนา")</f>
        <v>ร้านโชคพัฒนา</v>
      </c>
      <c r="E2670" s="1" t="str">
        <f>IFERROR(__xludf.DUMMYFUNCTION("""COMPUTED_VALUE"""),"Donjai")</f>
        <v>Donjai</v>
      </c>
      <c r="F2670" s="1" t="str">
        <f>IFERROR(__xludf.DUMMYFUNCTION("""COMPUTED_VALUE"""),"296608")</f>
        <v>296608</v>
      </c>
      <c r="G2670" s="1" t="str">
        <f>IFERROR(__xludf.DUMMYFUNCTION("""COMPUTED_VALUE"""),"นายภาคภูมิ เพ็ชรนิล")</f>
        <v>นายภาคภูมิ เพ็ชรนิล</v>
      </c>
      <c r="H2670" s="1" t="str">
        <f>IFERROR(__xludf.DUMMYFUNCTION("""COMPUTED_VALUE"""),"296608")</f>
        <v>296608</v>
      </c>
      <c r="I2670" s="1" t="str">
        <f>IFERROR(__xludf.DUMMYFUNCTION("""COMPUTED_VALUE"""),"นายภาคภูมิ เพ็ชรนิล")</f>
        <v>นายภาคภูมิ เพ็ชรนิล</v>
      </c>
      <c r="J2670" s="3">
        <f>IFERROR(__xludf.DUMMYFUNCTION("""COMPUTED_VALUE"""),228031.0)</f>
        <v>228031</v>
      </c>
      <c r="K2670" s="3" t="str">
        <f>IFERROR(__xludf.DUMMYFUNCTION("""COMPUTED_VALUE"""),"นายธนพงษ์ วันหมัด")</f>
        <v>นายธนพงษ์ วันหมัด</v>
      </c>
      <c r="L2670" s="1" t="str">
        <f>IFERROR(__xludf.DUMMYFUNCTION("""COMPUTED_VALUE"""),"นายธนพงษ์ วันหมัด")</f>
        <v>นายธนพงษ์ วันหมัด</v>
      </c>
      <c r="M2670" s="1" t="str">
        <f>IFERROR(__xludf.DUMMYFUNCTION("""COMPUTED_VALUE"""),"0813716913")</f>
        <v>0813716913</v>
      </c>
      <c r="N2670" s="3">
        <f>IFERROR(__xludf.DUMMYFUNCTION("""COMPUTED_VALUE"""),83461.0)</f>
        <v>83461</v>
      </c>
      <c r="O2670" s="3" t="str">
        <f>IFERROR(__xludf.DUMMYFUNCTION("""COMPUTED_VALUE"""),"ร้านโชคพัฒนา")</f>
        <v>ร้านโชคพัฒนา</v>
      </c>
      <c r="P2670" s="4">
        <f>IFERROR(__xludf.DUMMYFUNCTION("""COMPUTED_VALUE"""),44614.0)</f>
        <v>44614</v>
      </c>
      <c r="Q2670" s="3" t="str">
        <f>IFERROR(__xludf.DUMMYFUNCTION("""COMPUTED_VALUE"""),"I")</f>
        <v>I</v>
      </c>
      <c r="R2670" s="3" t="str">
        <f>IFERROR(__xludf.DUMMYFUNCTION("""COMPUTED_VALUE"""),"Small Format")</f>
        <v>Small Format</v>
      </c>
      <c r="S2670" s="3" t="str">
        <f>IFERROR(__xludf.DUMMYFUNCTION("""COMPUTED_VALUE"""),"Donjai")</f>
        <v>Donjai</v>
      </c>
      <c r="T2670" s="3" t="str">
        <f>IFERROR(__xludf.DUMMYFUNCTION("""COMPUTED_VALUE"""),"10 K.Phakphoom P.")</f>
        <v>10 K.Phakphoom P.</v>
      </c>
      <c r="U2670" s="3" t="str">
        <f>IFERROR(__xludf.DUMMYFUNCTION("""COMPUTED_VALUE"""),"10 K.Phakphoom P.")</f>
        <v>10 K.Phakphoom P.</v>
      </c>
      <c r="V2670" s="3" t="str">
        <f>IFERROR(__xludf.DUMMYFUNCTION("""COMPUTED_VALUE"""),"N")</f>
        <v>N</v>
      </c>
      <c r="W2670" s="3"/>
      <c r="X2670" s="3" t="str">
        <f>IFERROR(__xludf.DUMMYFUNCTION("""COMPUTED_VALUE"""),"234 หมู่ 3 ซอยเกิดเอี่ยม ถนน ปู่เจ้า ต.สำโรงกลาง อ พระประแดง จ.สมุทรปราการ 10130")</f>
        <v>234 หมู่ 3 ซอยเกิดเอี่ยม ถนน ปู่เจ้า ต.สำโรงกลาง อ พระประแดง จ.สมุทรปราการ 10130</v>
      </c>
      <c r="Y2670" s="3"/>
      <c r="Z2670" s="3">
        <f>IFERROR(__xludf.DUMMYFUNCTION("""COMPUTED_VALUE"""),0.0)</f>
        <v>0</v>
      </c>
      <c r="AA2670" s="3">
        <f>IFERROR(__xludf.DUMMYFUNCTION("""COMPUTED_VALUE"""),0.0)</f>
        <v>0</v>
      </c>
      <c r="AB2670" s="3" t="str">
        <f>IFERROR(__xludf.DUMMYFUNCTION("""COMPUTED_VALUE"""),"สมุทรปราการ")</f>
        <v>สมุทรปราการ</v>
      </c>
      <c r="AC2670" s="3">
        <f>IFERROR(__xludf.DUMMYFUNCTION("""COMPUTED_VALUE"""),10130.0)</f>
        <v>10130</v>
      </c>
      <c r="AD2670" s="3"/>
      <c r="AE2670" s="3"/>
      <c r="AF2670" s="3" t="str">
        <f>IFERROR(__xludf.DUMMYFUNCTION("""COMPUTED_VALUE"""),"ร้านโชคพัฒนา-83461")</f>
        <v>ร้านโชคพัฒนา-83461</v>
      </c>
      <c r="AG2670" s="3" t="str">
        <f>IFERROR(__xludf.DUMMYFUNCTION("""COMPUTED_VALUE"""),"กลาง")</f>
        <v>กลาง</v>
      </c>
      <c r="AH2670" s="3" t="str">
        <f>IFERROR(__xludf.DUMMYFUNCTION("""COMPUTED_VALUE"""),"#N/A")</f>
        <v>#N/A</v>
      </c>
      <c r="AI2670" s="3" t="str">
        <f>IFERROR(__xludf.DUMMYFUNCTION("""COMPUTED_VALUE"""),"Out of warranty")</f>
        <v>Out of warranty</v>
      </c>
      <c r="AJ2670" s="3">
        <f>IFERROR(__xludf.DUMMYFUNCTION("""COMPUTED_VALUE"""),47.0)</f>
        <v>47</v>
      </c>
      <c r="AK2670" s="3"/>
      <c r="AL2670" s="3"/>
    </row>
    <row r="2671" ht="15.75" customHeight="1">
      <c r="A2671" s="1" t="str">
        <f>IFERROR(__xludf.DUMMYFUNCTION("""COMPUTED_VALUE"""),"83463")</f>
        <v>83463</v>
      </c>
      <c r="B2671" s="2">
        <f>IFERROR(__xludf.DUMMYFUNCTION("""COMPUTED_VALUE"""),83463.0)</f>
        <v>83463</v>
      </c>
      <c r="C2671" s="3" t="str">
        <f>IFERROR(__xludf.DUMMYFUNCTION("""COMPUTED_VALUE"""),"ร้านเล่าแซ่บ")</f>
        <v>ร้านเล่าแซ่บ</v>
      </c>
      <c r="D2671" s="3" t="str">
        <f>IFERROR(__xludf.DUMMYFUNCTION("""COMPUTED_VALUE"""),"ร้านเล่าแซ่บ")</f>
        <v>ร้านเล่าแซ่บ</v>
      </c>
      <c r="E2671" s="1" t="str">
        <f>IFERROR(__xludf.DUMMYFUNCTION("""COMPUTED_VALUE"""),"Donjai")</f>
        <v>Donjai</v>
      </c>
      <c r="F2671" s="1" t="str">
        <f>IFERROR(__xludf.DUMMYFUNCTION("""COMPUTED_VALUE"""),"295886")</f>
        <v>295886</v>
      </c>
      <c r="G2671" s="1" t="str">
        <f>IFERROR(__xludf.DUMMYFUNCTION("""COMPUTED_VALUE"""),"นายจิระพงษ์ โพธิ์นิล")</f>
        <v>นายจิระพงษ์ โพธิ์นิล</v>
      </c>
      <c r="H2671" s="1" t="str">
        <f>IFERROR(__xludf.DUMMYFUNCTION("""COMPUTED_VALUE"""),"295886")</f>
        <v>295886</v>
      </c>
      <c r="I2671" s="1" t="str">
        <f>IFERROR(__xludf.DUMMYFUNCTION("""COMPUTED_VALUE"""),"นายจิระพงษ์ โพธิ์นิล")</f>
        <v>นายจิระพงษ์ โพธิ์นิล</v>
      </c>
      <c r="J2671" s="3">
        <f>IFERROR(__xludf.DUMMYFUNCTION("""COMPUTED_VALUE"""),295886.0)</f>
        <v>295886</v>
      </c>
      <c r="K2671" s="3" t="str">
        <f>IFERROR(__xludf.DUMMYFUNCTION("""COMPUTED_VALUE"""),"นายจิระพงษ์ โพธิ์นิล")</f>
        <v>นายจิระพงษ์ โพธิ์นิล</v>
      </c>
      <c r="L2671" s="1" t="str">
        <f>IFERROR(__xludf.DUMMYFUNCTION("""COMPUTED_VALUE"""),"นายจิระพงษ์ โพธิ์นิล")</f>
        <v>นายจิระพงษ์ โพธิ์นิล</v>
      </c>
      <c r="M2671" s="1" t="str">
        <f>IFERROR(__xludf.DUMMYFUNCTION("""COMPUTED_VALUE"""),"0933290754")</f>
        <v>0933290754</v>
      </c>
      <c r="N2671" s="3">
        <f>IFERROR(__xludf.DUMMYFUNCTION("""COMPUTED_VALUE"""),83463.0)</f>
        <v>83463</v>
      </c>
      <c r="O2671" s="3" t="str">
        <f>IFERROR(__xludf.DUMMYFUNCTION("""COMPUTED_VALUE"""),"ร้านเล่าแซ่บ")</f>
        <v>ร้านเล่าแซ่บ</v>
      </c>
      <c r="P2671" s="4">
        <f>IFERROR(__xludf.DUMMYFUNCTION("""COMPUTED_VALUE"""),44597.0)</f>
        <v>44597</v>
      </c>
      <c r="Q2671" s="3" t="str">
        <f>IFERROR(__xludf.DUMMYFUNCTION("""COMPUTED_VALUE"""),"I")</f>
        <v>I</v>
      </c>
      <c r="R2671" s="3" t="str">
        <f>IFERROR(__xludf.DUMMYFUNCTION("""COMPUTED_VALUE"""),"Small Format")</f>
        <v>Small Format</v>
      </c>
      <c r="S2671" s="3" t="str">
        <f>IFERROR(__xludf.DUMMYFUNCTION("""COMPUTED_VALUE"""),"Donjai")</f>
        <v>Donjai</v>
      </c>
      <c r="T2671" s="3" t="str">
        <f>IFERROR(__xludf.DUMMYFUNCTION("""COMPUTED_VALUE"""),"นายจิระพงษ์ โพธิ์นิล")</f>
        <v>นายจิระพงษ์ โพธิ์นิล</v>
      </c>
      <c r="U2671" s="3" t="str">
        <f>IFERROR(__xludf.DUMMYFUNCTION("""COMPUTED_VALUE"""),"นายจิระพงษ์ โพธิ์นิล")</f>
        <v>นายจิระพงษ์ โพธิ์นิล</v>
      </c>
      <c r="V2671" s="3" t="str">
        <f>IFERROR(__xludf.DUMMYFUNCTION("""COMPUTED_VALUE"""),"N")</f>
        <v>N</v>
      </c>
      <c r="W2671" s="3"/>
      <c r="X2671" s="3" t="str">
        <f>IFERROR(__xludf.DUMMYFUNCTION("""COMPUTED_VALUE"""),"323หมู่
  9บ้านหนองขามต.เมืองเก่าอ.เมืองจ.ขอนแก่น1")</f>
        <v>323หมู่
  9บ้านหนองขามต.เมืองเก่าอ.เมืองจ.ขอนแก่น1</v>
      </c>
      <c r="Y2671" s="3"/>
      <c r="Z2671" s="3">
        <f>IFERROR(__xludf.DUMMYFUNCTION("""COMPUTED_VALUE"""),0.0)</f>
        <v>0</v>
      </c>
      <c r="AA2671" s="3">
        <f>IFERROR(__xludf.DUMMYFUNCTION("""COMPUTED_VALUE"""),0.0)</f>
        <v>0</v>
      </c>
      <c r="AB2671" s="3" t="str">
        <f>IFERROR(__xludf.DUMMYFUNCTION("""COMPUTED_VALUE"""),"ขอนแก่น")</f>
        <v>ขอนแก่น</v>
      </c>
      <c r="AC2671" s="3">
        <f>IFERROR(__xludf.DUMMYFUNCTION("""COMPUTED_VALUE"""),0.0)</f>
        <v>0</v>
      </c>
      <c r="AD2671" s="3"/>
      <c r="AE2671" s="3"/>
      <c r="AF2671" s="3" t="str">
        <f>IFERROR(__xludf.DUMMYFUNCTION("""COMPUTED_VALUE"""),"ร้านเล่าแซ่บ-83463")</f>
        <v>ร้านเล่าแซ่บ-83463</v>
      </c>
      <c r="AG2671" s="3" t="str">
        <f>IFERROR(__xludf.DUMMYFUNCTION("""COMPUTED_VALUE"""),"ตะวันออกเฉียงเหนือ")</f>
        <v>ตะวันออกเฉียงเหนือ</v>
      </c>
      <c r="AH2671" s="3" t="str">
        <f>IFERROR(__xludf.DUMMYFUNCTION("""COMPUTED_VALUE"""),"#N/A")</f>
        <v>#N/A</v>
      </c>
      <c r="AI2671" s="3" t="str">
        <f>IFERROR(__xludf.DUMMYFUNCTION("""COMPUTED_VALUE"""),"Out of warranty")</f>
        <v>Out of warranty</v>
      </c>
      <c r="AJ2671" s="3">
        <f>IFERROR(__xludf.DUMMYFUNCTION("""COMPUTED_VALUE"""),48.0)</f>
        <v>48</v>
      </c>
      <c r="AK2671" s="3"/>
      <c r="AL2671" s="3"/>
    </row>
    <row r="2672" ht="15.75" customHeight="1">
      <c r="A2672" s="1" t="str">
        <f>IFERROR(__xludf.DUMMYFUNCTION("""COMPUTED_VALUE"""),"83464")</f>
        <v>83464</v>
      </c>
      <c r="B2672" s="2">
        <f>IFERROR(__xludf.DUMMYFUNCTION("""COMPUTED_VALUE"""),83464.0)</f>
        <v>83464</v>
      </c>
      <c r="C2672" s="3" t="str">
        <f>IFERROR(__xludf.DUMMYFUNCTION("""COMPUTED_VALUE"""),"ร้านยีนต์พาณิชย์")</f>
        <v>ร้านยีนต์พาณิชย์</v>
      </c>
      <c r="D2672" s="3" t="str">
        <f>IFERROR(__xludf.DUMMYFUNCTION("""COMPUTED_VALUE"""),"ร้านยีนต์พาณิชย์")</f>
        <v>ร้านยีนต์พาณิชย์</v>
      </c>
      <c r="E2672" s="1" t="str">
        <f>IFERROR(__xludf.DUMMYFUNCTION("""COMPUTED_VALUE"""),"Donjai")</f>
        <v>Donjai</v>
      </c>
      <c r="F2672" s="1" t="str">
        <f>IFERROR(__xludf.DUMMYFUNCTION("""COMPUTED_VALUE"""),"2010023")</f>
        <v>2010023</v>
      </c>
      <c r="G2672" s="1" t="str">
        <f>IFERROR(__xludf.DUMMYFUNCTION("""COMPUTED_VALUE"""),"นายวศิน ไวยรูป")</f>
        <v>นายวศิน ไวยรูป</v>
      </c>
      <c r="H2672" s="1" t="str">
        <f>IFERROR(__xludf.DUMMYFUNCTION("""COMPUTED_VALUE"""),"2010023")</f>
        <v>2010023</v>
      </c>
      <c r="I2672" s="1" t="str">
        <f>IFERROR(__xludf.DUMMYFUNCTION("""COMPUTED_VALUE"""),"นายวศิน ไวยรูป")</f>
        <v>นายวศิน ไวยรูป</v>
      </c>
      <c r="J2672" s="3">
        <f>IFERROR(__xludf.DUMMYFUNCTION("""COMPUTED_VALUE"""),228031.0)</f>
        <v>228031</v>
      </c>
      <c r="K2672" s="3" t="str">
        <f>IFERROR(__xludf.DUMMYFUNCTION("""COMPUTED_VALUE"""),"นายธนพงษ์ วันหมัด")</f>
        <v>นายธนพงษ์ วันหมัด</v>
      </c>
      <c r="L2672" s="1" t="str">
        <f>IFERROR(__xludf.DUMMYFUNCTION("""COMPUTED_VALUE"""),"นายธนพงษ์ วันหมัด")</f>
        <v>นายธนพงษ์ วันหมัด</v>
      </c>
      <c r="M2672" s="1" t="str">
        <f>IFERROR(__xludf.DUMMYFUNCTION("""COMPUTED_VALUE"""),"0813716913")</f>
        <v>0813716913</v>
      </c>
      <c r="N2672" s="3">
        <f>IFERROR(__xludf.DUMMYFUNCTION("""COMPUTED_VALUE"""),83464.0)</f>
        <v>83464</v>
      </c>
      <c r="O2672" s="3" t="str">
        <f>IFERROR(__xludf.DUMMYFUNCTION("""COMPUTED_VALUE"""),"ร้านยีนต์พาณิชย์")</f>
        <v>ร้านยีนต์พาณิชย์</v>
      </c>
      <c r="P2672" s="4">
        <f>IFERROR(__xludf.DUMMYFUNCTION("""COMPUTED_VALUE"""),44617.0)</f>
        <v>44617</v>
      </c>
      <c r="Q2672" s="3" t="str">
        <f>IFERROR(__xludf.DUMMYFUNCTION("""COMPUTED_VALUE"""),"I")</f>
        <v>I</v>
      </c>
      <c r="R2672" s="3" t="str">
        <f>IFERROR(__xludf.DUMMYFUNCTION("""COMPUTED_VALUE"""),"Small Format")</f>
        <v>Small Format</v>
      </c>
      <c r="S2672" s="3" t="str">
        <f>IFERROR(__xludf.DUMMYFUNCTION("""COMPUTED_VALUE"""),"Donjai")</f>
        <v>Donjai</v>
      </c>
      <c r="T2672" s="3" t="str">
        <f>IFERROR(__xludf.DUMMYFUNCTION("""COMPUTED_VALUE"""),"Donjai")</f>
        <v>Donjai</v>
      </c>
      <c r="U2672" s="3" t="str">
        <f>IFERROR(__xludf.DUMMYFUNCTION("""COMPUTED_VALUE"""),"Donjai")</f>
        <v>Donjai</v>
      </c>
      <c r="V2672" s="3" t="str">
        <f>IFERROR(__xludf.DUMMYFUNCTION("""COMPUTED_VALUE"""),"N")</f>
        <v>N</v>
      </c>
      <c r="W2672" s="3"/>
      <c r="X2672" s="3" t="str">
        <f>IFERROR(__xludf.DUMMYFUNCTION("""COMPUTED_VALUE"""),"38/7 หมู่ 7 ถนนเลียบคลอง แขวง บึงคำพร้อย เขต ลำลูกกา จังหวัด ปทุมธานี 12150")</f>
        <v>38/7 หมู่ 7 ถนนเลียบคลอง แขวง บึงคำพร้อย เขต ลำลูกกา จังหวัด ปทุมธานี 12150</v>
      </c>
      <c r="Y2672" s="3"/>
      <c r="Z2672" s="3">
        <f>IFERROR(__xludf.DUMMYFUNCTION("""COMPUTED_VALUE"""),0.0)</f>
        <v>0</v>
      </c>
      <c r="AA2672" s="3">
        <f>IFERROR(__xludf.DUMMYFUNCTION("""COMPUTED_VALUE"""),0.0)</f>
        <v>0</v>
      </c>
      <c r="AB2672" s="3" t="str">
        <f>IFERROR(__xludf.DUMMYFUNCTION("""COMPUTED_VALUE"""),"ปทุมธานี")</f>
        <v>ปทุมธานี</v>
      </c>
      <c r="AC2672" s="3">
        <f>IFERROR(__xludf.DUMMYFUNCTION("""COMPUTED_VALUE"""),12150.0)</f>
        <v>12150</v>
      </c>
      <c r="AD2672" s="3"/>
      <c r="AE2672" s="3"/>
      <c r="AF2672" s="3" t="str">
        <f>IFERROR(__xludf.DUMMYFUNCTION("""COMPUTED_VALUE"""),"ร้านยีนต์พาณิชย์-83464")</f>
        <v>ร้านยีนต์พาณิชย์-83464</v>
      </c>
      <c r="AG2672" s="3" t="str">
        <f>IFERROR(__xludf.DUMMYFUNCTION("""COMPUTED_VALUE"""),"กลาง")</f>
        <v>กลาง</v>
      </c>
      <c r="AH2672" s="3" t="str">
        <f>IFERROR(__xludf.DUMMYFUNCTION("""COMPUTED_VALUE"""),"#N/A")</f>
        <v>#N/A</v>
      </c>
      <c r="AI2672" s="3" t="str">
        <f>IFERROR(__xludf.DUMMYFUNCTION("""COMPUTED_VALUE"""),"Out of warranty")</f>
        <v>Out of warranty</v>
      </c>
      <c r="AJ2672" s="3">
        <f>IFERROR(__xludf.DUMMYFUNCTION("""COMPUTED_VALUE"""),47.0)</f>
        <v>47</v>
      </c>
      <c r="AK2672" s="3"/>
      <c r="AL2672" s="3"/>
    </row>
    <row r="2673" ht="15.75" customHeight="1">
      <c r="A2673" s="1" t="str">
        <f>IFERROR(__xludf.DUMMYFUNCTION("""COMPUTED_VALUE"""),"83465")</f>
        <v>83465</v>
      </c>
      <c r="B2673" s="2">
        <f>IFERROR(__xludf.DUMMYFUNCTION("""COMPUTED_VALUE"""),83465.0)</f>
        <v>83465</v>
      </c>
      <c r="C2673" s="3" t="str">
        <f>IFERROR(__xludf.DUMMYFUNCTION("""COMPUTED_VALUE"""),"ร้านจินดา")</f>
        <v>ร้านจินดา</v>
      </c>
      <c r="D2673" s="3" t="str">
        <f>IFERROR(__xludf.DUMMYFUNCTION("""COMPUTED_VALUE"""),"ร้านจินดา")</f>
        <v>ร้านจินดา</v>
      </c>
      <c r="E2673" s="1" t="str">
        <f>IFERROR(__xludf.DUMMYFUNCTION("""COMPUTED_VALUE"""),"Donjai")</f>
        <v>Donjai</v>
      </c>
      <c r="F2673" s="1" t="str">
        <f>IFERROR(__xludf.DUMMYFUNCTION("""COMPUTED_VALUE"""),"025324")</f>
        <v>025324</v>
      </c>
      <c r="G2673" s="1" t="str">
        <f>IFERROR(__xludf.DUMMYFUNCTION("""COMPUTED_VALUE"""),"นายวิเชฎฐ์ ติรัตนะประคม")</f>
        <v>นายวิเชฎฐ์ ติรัตนะประคม</v>
      </c>
      <c r="H2673" s="1" t="str">
        <f>IFERROR(__xludf.DUMMYFUNCTION("""COMPUTED_VALUE"""),"025324")</f>
        <v>025324</v>
      </c>
      <c r="I2673" s="1" t="str">
        <f>IFERROR(__xludf.DUMMYFUNCTION("""COMPUTED_VALUE"""),"นายวิเชฎฐ์ ติรัตนะประคม")</f>
        <v>นายวิเชฎฐ์ ติรัตนะประคม</v>
      </c>
      <c r="J2673" s="3">
        <f>IFERROR(__xludf.DUMMYFUNCTION("""COMPUTED_VALUE"""),295541.0)</f>
        <v>295541</v>
      </c>
      <c r="K2673" s="3" t="str">
        <f>IFERROR(__xludf.DUMMYFUNCTION("""COMPUTED_VALUE"""),"นายรพิพล ศรีมาตย์")</f>
        <v>นายรพิพล ศรีมาตย์</v>
      </c>
      <c r="L2673" s="1" t="str">
        <f>IFERROR(__xludf.DUMMYFUNCTION("""COMPUTED_VALUE"""),"นายรพิพล ศรีมาตย์")</f>
        <v>นายรพิพล ศรีมาตย์</v>
      </c>
      <c r="M2673" s="1" t="str">
        <f>IFERROR(__xludf.DUMMYFUNCTION("""COMPUTED_VALUE"""),"0613966115")</f>
        <v>0613966115</v>
      </c>
      <c r="N2673" s="3">
        <f>IFERROR(__xludf.DUMMYFUNCTION("""COMPUTED_VALUE"""),83465.0)</f>
        <v>83465</v>
      </c>
      <c r="O2673" s="3" t="str">
        <f>IFERROR(__xludf.DUMMYFUNCTION("""COMPUTED_VALUE"""),"ร้านจินดา")</f>
        <v>ร้านจินดา</v>
      </c>
      <c r="P2673" s="4">
        <f>IFERROR(__xludf.DUMMYFUNCTION("""COMPUTED_VALUE"""),44718.0)</f>
        <v>44718</v>
      </c>
      <c r="Q2673" s="3" t="str">
        <f>IFERROR(__xludf.DUMMYFUNCTION("""COMPUTED_VALUE"""),"A")</f>
        <v>A</v>
      </c>
      <c r="R2673" s="3" t="str">
        <f>IFERROR(__xludf.DUMMYFUNCTION("""COMPUTED_VALUE"""),"Small Format")</f>
        <v>Small Format</v>
      </c>
      <c r="S2673" s="3" t="str">
        <f>IFERROR(__xludf.DUMMYFUNCTION("""COMPUTED_VALUE"""),"Donjai")</f>
        <v>Donjai</v>
      </c>
      <c r="T2673" s="3" t="str">
        <f>IFERROR(__xludf.DUMMYFUNCTION("""COMPUTED_VALUE"""),"14 K.Wichet T.")</f>
        <v>14 K.Wichet T.</v>
      </c>
      <c r="U2673" s="3" t="str">
        <f>IFERROR(__xludf.DUMMYFUNCTION("""COMPUTED_VALUE"""),"14 K.Wichet T.")</f>
        <v>14 K.Wichet T.</v>
      </c>
      <c r="V2673" s="3" t="str">
        <f>IFERROR(__xludf.DUMMYFUNCTION("""COMPUTED_VALUE"""),"N")</f>
        <v>N</v>
      </c>
      <c r="W2673" s="3"/>
      <c r="X2673" s="3" t="str">
        <f>IFERROR(__xludf.DUMMYFUNCTION("""COMPUTED_VALUE"""),"45/2 ม.8 ต.ท่าขึ้น อ.ท่าศาลา จ.นครศรีธรรมราช")</f>
        <v>45/2 ม.8 ต.ท่าขึ้น อ.ท่าศาลา จ.นครศรีธรรมราช</v>
      </c>
      <c r="Y2673" s="3"/>
      <c r="Z2673" s="3">
        <f>IFERROR(__xludf.DUMMYFUNCTION("""COMPUTED_VALUE"""),0.0)</f>
        <v>0</v>
      </c>
      <c r="AA2673" s="3">
        <f>IFERROR(__xludf.DUMMYFUNCTION("""COMPUTED_VALUE"""),0.0)</f>
        <v>0</v>
      </c>
      <c r="AB2673" s="3" t="str">
        <f>IFERROR(__xludf.DUMMYFUNCTION("""COMPUTED_VALUE"""),"นครศรีธรรมราช")</f>
        <v>นครศรีธรรมราช</v>
      </c>
      <c r="AC2673" s="3">
        <f>IFERROR(__xludf.DUMMYFUNCTION("""COMPUTED_VALUE"""),0.0)</f>
        <v>0</v>
      </c>
      <c r="AD2673" s="3"/>
      <c r="AE2673" s="3"/>
      <c r="AF2673" s="3" t="str">
        <f>IFERROR(__xludf.DUMMYFUNCTION("""COMPUTED_VALUE"""),"ร้านจินดา-83465")</f>
        <v>ร้านจินดา-83465</v>
      </c>
      <c r="AG2673" s="3" t="str">
        <f>IFERROR(__xludf.DUMMYFUNCTION("""COMPUTED_VALUE"""),"ใต้")</f>
        <v>ใต้</v>
      </c>
      <c r="AH2673" s="3" t="str">
        <f>IFERROR(__xludf.DUMMYFUNCTION("""COMPUTED_VALUE"""),"#N/A")</f>
        <v>#N/A</v>
      </c>
      <c r="AI2673" s="3" t="str">
        <f>IFERROR(__xludf.DUMMYFUNCTION("""COMPUTED_VALUE"""),"Out of warranty")</f>
        <v>Out of warranty</v>
      </c>
      <c r="AJ2673" s="3">
        <f>IFERROR(__xludf.DUMMYFUNCTION("""COMPUTED_VALUE"""),44.0)</f>
        <v>44</v>
      </c>
      <c r="AK2673" s="3"/>
      <c r="AL2673" s="3"/>
    </row>
    <row r="2674" ht="15.75" customHeight="1">
      <c r="A2674" s="1" t="str">
        <f>IFERROR(__xludf.DUMMYFUNCTION("""COMPUTED_VALUE"""),"83466")</f>
        <v>83466</v>
      </c>
      <c r="B2674" s="2">
        <f>IFERROR(__xludf.DUMMYFUNCTION("""COMPUTED_VALUE"""),83466.0)</f>
        <v>83466</v>
      </c>
      <c r="C2674" s="3" t="str">
        <f>IFERROR(__xludf.DUMMYFUNCTION("""COMPUTED_VALUE"""),"ร้านค้าชุมชน")</f>
        <v>ร้านค้าชุมชน</v>
      </c>
      <c r="D2674" s="3" t="str">
        <f>IFERROR(__xludf.DUMMYFUNCTION("""COMPUTED_VALUE"""),"ร้านค้าชุมชน")</f>
        <v>ร้านค้าชุมชน</v>
      </c>
      <c r="E2674" s="1" t="str">
        <f>IFERROR(__xludf.DUMMYFUNCTION("""COMPUTED_VALUE"""),"Donjai")</f>
        <v>Donjai</v>
      </c>
      <c r="F2674" s="1" t="str">
        <f>IFERROR(__xludf.DUMMYFUNCTION("""COMPUTED_VALUE"""),"296868")</f>
        <v>296868</v>
      </c>
      <c r="G2674" s="1" t="str">
        <f>IFERROR(__xludf.DUMMYFUNCTION("""COMPUTED_VALUE"""),"นายพีระพงษ์ แก้วดวงดี")</f>
        <v>นายพีระพงษ์ แก้วดวงดี</v>
      </c>
      <c r="H2674" s="1" t="str">
        <f>IFERROR(__xludf.DUMMYFUNCTION("""COMPUTED_VALUE"""),"296868")</f>
        <v>296868</v>
      </c>
      <c r="I2674" s="1" t="str">
        <f>IFERROR(__xludf.DUMMYFUNCTION("""COMPUTED_VALUE"""),"นายพีระพงษ์ แก้วดวงดี")</f>
        <v>นายพีระพงษ์ แก้วดวงดี</v>
      </c>
      <c r="J2674" s="3">
        <f>IFERROR(__xludf.DUMMYFUNCTION("""COMPUTED_VALUE"""),295886.0)</f>
        <v>295886</v>
      </c>
      <c r="K2674" s="3" t="str">
        <f>IFERROR(__xludf.DUMMYFUNCTION("""COMPUTED_VALUE"""),"นายจิระพงษ์ โพธิ์นิล")</f>
        <v>นายจิระพงษ์ โพธิ์นิล</v>
      </c>
      <c r="L2674" s="1" t="str">
        <f>IFERROR(__xludf.DUMMYFUNCTION("""COMPUTED_VALUE"""),"นายจิระพงษ์ โพธิ์นิล")</f>
        <v>นายจิระพงษ์ โพธิ์นิล</v>
      </c>
      <c r="M2674" s="1" t="str">
        <f>IFERROR(__xludf.DUMMYFUNCTION("""COMPUTED_VALUE"""),"0933290754")</f>
        <v>0933290754</v>
      </c>
      <c r="N2674" s="3">
        <f>IFERROR(__xludf.DUMMYFUNCTION("""COMPUTED_VALUE"""),83466.0)</f>
        <v>83466</v>
      </c>
      <c r="O2674" s="3" t="str">
        <f>IFERROR(__xludf.DUMMYFUNCTION("""COMPUTED_VALUE"""),"ร้านค้าชุมชน")</f>
        <v>ร้านค้าชุมชน</v>
      </c>
      <c r="P2674" s="4">
        <f>IFERROR(__xludf.DUMMYFUNCTION("""COMPUTED_VALUE"""),44604.0)</f>
        <v>44604</v>
      </c>
      <c r="Q2674" s="3" t="str">
        <f>IFERROR(__xludf.DUMMYFUNCTION("""COMPUTED_VALUE"""),"I")</f>
        <v>I</v>
      </c>
      <c r="R2674" s="3" t="str">
        <f>IFERROR(__xludf.DUMMYFUNCTION("""COMPUTED_VALUE"""),"Small Format")</f>
        <v>Small Format</v>
      </c>
      <c r="S2674" s="3" t="str">
        <f>IFERROR(__xludf.DUMMYFUNCTION("""COMPUTED_VALUE"""),"Donjai")</f>
        <v>Donjai</v>
      </c>
      <c r="T2674" s="3" t="str">
        <f>IFERROR(__xludf.DUMMYFUNCTION("""COMPUTED_VALUE"""),"03 K.Peerapong K.")</f>
        <v>03 K.Peerapong K.</v>
      </c>
      <c r="U2674" s="3" t="str">
        <f>IFERROR(__xludf.DUMMYFUNCTION("""COMPUTED_VALUE"""),"03 K.Peerapong K.")</f>
        <v>03 K.Peerapong K.</v>
      </c>
      <c r="V2674" s="3" t="str">
        <f>IFERROR(__xludf.DUMMYFUNCTION("""COMPUTED_VALUE"""),"N")</f>
        <v>N</v>
      </c>
      <c r="W2674" s="3"/>
      <c r="X2674" s="3" t="str">
        <f>IFERROR(__xludf.DUMMYFUNCTION("""COMPUTED_VALUE"""),"หมู่7บ้านโนนสมบัติต.อ้อมกออ.บ้านดุงจ.อุดรธานี41190")</f>
        <v>หมู่7บ้านโนนสมบัติต.อ้อมกออ.บ้านดุงจ.อุดรธานี41190</v>
      </c>
      <c r="Y2674" s="3"/>
      <c r="Z2674" s="3">
        <f>IFERROR(__xludf.DUMMYFUNCTION("""COMPUTED_VALUE"""),0.0)</f>
        <v>0</v>
      </c>
      <c r="AA2674" s="3">
        <f>IFERROR(__xludf.DUMMYFUNCTION("""COMPUTED_VALUE"""),0.0)</f>
        <v>0</v>
      </c>
      <c r="AB2674" s="3" t="str">
        <f>IFERROR(__xludf.DUMMYFUNCTION("""COMPUTED_VALUE"""),"อุดรธานี")</f>
        <v>อุดรธานี</v>
      </c>
      <c r="AC2674" s="3">
        <f>IFERROR(__xludf.DUMMYFUNCTION("""COMPUTED_VALUE"""),41190.0)</f>
        <v>41190</v>
      </c>
      <c r="AD2674" s="3"/>
      <c r="AE2674" s="3"/>
      <c r="AF2674" s="3" t="str">
        <f>IFERROR(__xludf.DUMMYFUNCTION("""COMPUTED_VALUE"""),"ร้านค้าชุมชน -83466")</f>
        <v>ร้านค้าชุมชน -83466</v>
      </c>
      <c r="AG2674" s="3" t="str">
        <f>IFERROR(__xludf.DUMMYFUNCTION("""COMPUTED_VALUE"""),"ตะวันออกเฉียงเหนือ")</f>
        <v>ตะวันออกเฉียงเหนือ</v>
      </c>
      <c r="AH2674" s="3" t="str">
        <f>IFERROR(__xludf.DUMMYFUNCTION("""COMPUTED_VALUE"""),"#N/A")</f>
        <v>#N/A</v>
      </c>
      <c r="AI2674" s="3" t="str">
        <f>IFERROR(__xludf.DUMMYFUNCTION("""COMPUTED_VALUE"""),"Out of warranty")</f>
        <v>Out of warranty</v>
      </c>
      <c r="AJ2674" s="3">
        <f>IFERROR(__xludf.DUMMYFUNCTION("""COMPUTED_VALUE"""),48.0)</f>
        <v>48</v>
      </c>
      <c r="AK2674" s="3"/>
      <c r="AL2674" s="3"/>
    </row>
    <row r="2675" ht="15.75" customHeight="1">
      <c r="A2675" s="1" t="str">
        <f>IFERROR(__xludf.DUMMYFUNCTION("""COMPUTED_VALUE"""),"83467")</f>
        <v>83467</v>
      </c>
      <c r="B2675" s="2">
        <f>IFERROR(__xludf.DUMMYFUNCTION("""COMPUTED_VALUE"""),83467.0)</f>
        <v>83467</v>
      </c>
      <c r="C2675" s="3" t="str">
        <f>IFERROR(__xludf.DUMMYFUNCTION("""COMPUTED_VALUE"""),"ร้านเฮียเบลล์ (พิชาพัฒน์)")</f>
        <v>ร้านเฮียเบลล์ (พิชาพัฒน์)</v>
      </c>
      <c r="D2675" s="3" t="str">
        <f>IFERROR(__xludf.DUMMYFUNCTION("""COMPUTED_VALUE"""),"ร้านเฮียเบลล์ (พิชาพัฒน์)")</f>
        <v>ร้านเฮียเบลล์ (พิชาพัฒน์)</v>
      </c>
      <c r="E2675" s="1" t="str">
        <f>IFERROR(__xludf.DUMMYFUNCTION("""COMPUTED_VALUE"""),"Donjai")</f>
        <v>Donjai</v>
      </c>
      <c r="F2675" s="1" t="str">
        <f>IFERROR(__xludf.DUMMYFUNCTION("""COMPUTED_VALUE"""),"025324")</f>
        <v>025324</v>
      </c>
      <c r="G2675" s="1" t="str">
        <f>IFERROR(__xludf.DUMMYFUNCTION("""COMPUTED_VALUE"""),"นายวิเชฎฐ์ ติรัตนะประคม")</f>
        <v>นายวิเชฎฐ์ ติรัตนะประคม</v>
      </c>
      <c r="H2675" s="1" t="str">
        <f>IFERROR(__xludf.DUMMYFUNCTION("""COMPUTED_VALUE"""),"025324")</f>
        <v>025324</v>
      </c>
      <c r="I2675" s="1" t="str">
        <f>IFERROR(__xludf.DUMMYFUNCTION("""COMPUTED_VALUE"""),"นายวิเชฎฐ์ ติรัตนะประคม")</f>
        <v>นายวิเชฎฐ์ ติรัตนะประคม</v>
      </c>
      <c r="J2675" s="3">
        <f>IFERROR(__xludf.DUMMYFUNCTION("""COMPUTED_VALUE"""),295541.0)</f>
        <v>295541</v>
      </c>
      <c r="K2675" s="3" t="str">
        <f>IFERROR(__xludf.DUMMYFUNCTION("""COMPUTED_VALUE"""),"นายรพิพล ศรีมาตย์")</f>
        <v>นายรพิพล ศรีมาตย์</v>
      </c>
      <c r="L2675" s="1" t="str">
        <f>IFERROR(__xludf.DUMMYFUNCTION("""COMPUTED_VALUE"""),"นายรพิพล ศรีมาตย์")</f>
        <v>นายรพิพล ศรีมาตย์</v>
      </c>
      <c r="M2675" s="1" t="str">
        <f>IFERROR(__xludf.DUMMYFUNCTION("""COMPUTED_VALUE"""),"0613966115")</f>
        <v>0613966115</v>
      </c>
      <c r="N2675" s="3">
        <f>IFERROR(__xludf.DUMMYFUNCTION("""COMPUTED_VALUE"""),83467.0)</f>
        <v>83467</v>
      </c>
      <c r="O2675" s="3" t="str">
        <f>IFERROR(__xludf.DUMMYFUNCTION("""COMPUTED_VALUE"""),"ร้านเฮียเบลล์ (พิชาพัฒน์)")</f>
        <v>ร้านเฮียเบลล์ (พิชาพัฒน์)</v>
      </c>
      <c r="P2675" s="4">
        <f>IFERROR(__xludf.DUMMYFUNCTION("""COMPUTED_VALUE"""),44691.0)</f>
        <v>44691</v>
      </c>
      <c r="Q2675" s="3" t="str">
        <f>IFERROR(__xludf.DUMMYFUNCTION("""COMPUTED_VALUE"""),"A")</f>
        <v>A</v>
      </c>
      <c r="R2675" s="3" t="str">
        <f>IFERROR(__xludf.DUMMYFUNCTION("""COMPUTED_VALUE"""),"Small Format")</f>
        <v>Small Format</v>
      </c>
      <c r="S2675" s="3" t="str">
        <f>IFERROR(__xludf.DUMMYFUNCTION("""COMPUTED_VALUE"""),"Donjai")</f>
        <v>Donjai</v>
      </c>
      <c r="T2675" s="3" t="str">
        <f>IFERROR(__xludf.DUMMYFUNCTION("""COMPUTED_VALUE"""),"14 K.Wichet T.")</f>
        <v>14 K.Wichet T.</v>
      </c>
      <c r="U2675" s="3" t="str">
        <f>IFERROR(__xludf.DUMMYFUNCTION("""COMPUTED_VALUE"""),"14 K.Wichet T.")</f>
        <v>14 K.Wichet T.</v>
      </c>
      <c r="V2675" s="3" t="str">
        <f>IFERROR(__xludf.DUMMYFUNCTION("""COMPUTED_VALUE"""),"N")</f>
        <v>N</v>
      </c>
      <c r="W2675" s="3"/>
      <c r="X2675" s="3" t="str">
        <f>IFERROR(__xludf.DUMMYFUNCTION("""COMPUTED_VALUE"""),"25/1 ตำบลดอนสัก อำเภอดอนสัก จังหวัดสุราษฎร์ธานี 84220")</f>
        <v>25/1 ตำบลดอนสัก อำเภอดอนสัก จังหวัดสุราษฎร์ธานี 84220</v>
      </c>
      <c r="Y2675" s="3"/>
      <c r="Z2675" s="3">
        <f>IFERROR(__xludf.DUMMYFUNCTION("""COMPUTED_VALUE"""),0.0)</f>
        <v>0</v>
      </c>
      <c r="AA2675" s="3">
        <f>IFERROR(__xludf.DUMMYFUNCTION("""COMPUTED_VALUE"""),0.0)</f>
        <v>0</v>
      </c>
      <c r="AB2675" s="3" t="str">
        <f>IFERROR(__xludf.DUMMYFUNCTION("""COMPUTED_VALUE"""),"สุราษฎร์ธานี")</f>
        <v>สุราษฎร์ธานี</v>
      </c>
      <c r="AC2675" s="3">
        <f>IFERROR(__xludf.DUMMYFUNCTION("""COMPUTED_VALUE"""),84220.0)</f>
        <v>84220</v>
      </c>
      <c r="AD2675" s="3"/>
      <c r="AE2675" s="3"/>
      <c r="AF2675" s="3" t="str">
        <f>IFERROR(__xludf.DUMMYFUNCTION("""COMPUTED_VALUE"""),"ร้านเฮียเบลล์ (พิชาพัฒน์)-83467")</f>
        <v>ร้านเฮียเบลล์ (พิชาพัฒน์)-83467</v>
      </c>
      <c r="AG2675" s="3" t="str">
        <f>IFERROR(__xludf.DUMMYFUNCTION("""COMPUTED_VALUE"""),"ใต้")</f>
        <v>ใต้</v>
      </c>
      <c r="AH2675" s="3" t="str">
        <f>IFERROR(__xludf.DUMMYFUNCTION("""COMPUTED_VALUE"""),"#N/A")</f>
        <v>#N/A</v>
      </c>
      <c r="AI2675" s="3" t="str">
        <f>IFERROR(__xludf.DUMMYFUNCTION("""COMPUTED_VALUE"""),"Out of warranty")</f>
        <v>Out of warranty</v>
      </c>
      <c r="AJ2675" s="3">
        <f>IFERROR(__xludf.DUMMYFUNCTION("""COMPUTED_VALUE"""),45.0)</f>
        <v>45</v>
      </c>
      <c r="AK2675" s="3"/>
      <c r="AL2675" s="3"/>
    </row>
    <row r="2676" ht="15.75" customHeight="1">
      <c r="A2676" s="1" t="str">
        <f>IFERROR(__xludf.DUMMYFUNCTION("""COMPUTED_VALUE"""),"83472")</f>
        <v>83472</v>
      </c>
      <c r="B2676" s="2">
        <f>IFERROR(__xludf.DUMMYFUNCTION("""COMPUTED_VALUE"""),83472.0)</f>
        <v>83472</v>
      </c>
      <c r="C2676" s="3" t="str">
        <f>IFERROR(__xludf.DUMMYFUNCTION("""COMPUTED_VALUE"""),"ร้านถุงเงินถุงทอง")</f>
        <v>ร้านถุงเงินถุงทอง</v>
      </c>
      <c r="D2676" s="3" t="str">
        <f>IFERROR(__xludf.DUMMYFUNCTION("""COMPUTED_VALUE"""),"ร้านถุงเงินถุงทอง")</f>
        <v>ร้านถุงเงินถุงทอง</v>
      </c>
      <c r="E2676" s="1" t="str">
        <f>IFERROR(__xludf.DUMMYFUNCTION("""COMPUTED_VALUE"""),"Donjai")</f>
        <v>Donjai</v>
      </c>
      <c r="F2676" s="1" t="str">
        <f>IFERROR(__xludf.DUMMYFUNCTION("""COMPUTED_VALUE"""),"296608")</f>
        <v>296608</v>
      </c>
      <c r="G2676" s="1" t="str">
        <f>IFERROR(__xludf.DUMMYFUNCTION("""COMPUTED_VALUE"""),"นายภาคภูมิ เพ็ชรนิล")</f>
        <v>นายภาคภูมิ เพ็ชรนิล</v>
      </c>
      <c r="H2676" s="1" t="str">
        <f>IFERROR(__xludf.DUMMYFUNCTION("""COMPUTED_VALUE"""),"296608")</f>
        <v>296608</v>
      </c>
      <c r="I2676" s="1" t="str">
        <f>IFERROR(__xludf.DUMMYFUNCTION("""COMPUTED_VALUE"""),"นายภาคภูมิ เพ็ชรนิล")</f>
        <v>นายภาคภูมิ เพ็ชรนิล</v>
      </c>
      <c r="J2676" s="3">
        <f>IFERROR(__xludf.DUMMYFUNCTION("""COMPUTED_VALUE"""),228031.0)</f>
        <v>228031</v>
      </c>
      <c r="K2676" s="3" t="str">
        <f>IFERROR(__xludf.DUMMYFUNCTION("""COMPUTED_VALUE"""),"นายธนพงษ์ วันหมัด")</f>
        <v>นายธนพงษ์ วันหมัด</v>
      </c>
      <c r="L2676" s="1" t="str">
        <f>IFERROR(__xludf.DUMMYFUNCTION("""COMPUTED_VALUE"""),"นายธนพงษ์ วันหมัด")</f>
        <v>นายธนพงษ์ วันหมัด</v>
      </c>
      <c r="M2676" s="1" t="str">
        <f>IFERROR(__xludf.DUMMYFUNCTION("""COMPUTED_VALUE"""),"0813716913")</f>
        <v>0813716913</v>
      </c>
      <c r="N2676" s="3">
        <f>IFERROR(__xludf.DUMMYFUNCTION("""COMPUTED_VALUE"""),83472.0)</f>
        <v>83472</v>
      </c>
      <c r="O2676" s="3" t="str">
        <f>IFERROR(__xludf.DUMMYFUNCTION("""COMPUTED_VALUE"""),"ร้านถุงเงินถุงทอง")</f>
        <v>ร้านถุงเงินถุงทอง</v>
      </c>
      <c r="P2676" s="4">
        <f>IFERROR(__xludf.DUMMYFUNCTION("""COMPUTED_VALUE"""),44613.0)</f>
        <v>44613</v>
      </c>
      <c r="Q2676" s="3" t="str">
        <f>IFERROR(__xludf.DUMMYFUNCTION("""COMPUTED_VALUE"""),"I")</f>
        <v>I</v>
      </c>
      <c r="R2676" s="3" t="str">
        <f>IFERROR(__xludf.DUMMYFUNCTION("""COMPUTED_VALUE"""),"Small Format")</f>
        <v>Small Format</v>
      </c>
      <c r="S2676" s="3" t="str">
        <f>IFERROR(__xludf.DUMMYFUNCTION("""COMPUTED_VALUE"""),"Donjai")</f>
        <v>Donjai</v>
      </c>
      <c r="T2676" s="3" t="str">
        <f>IFERROR(__xludf.DUMMYFUNCTION("""COMPUTED_VALUE"""),"10 K.Phakphoom P.")</f>
        <v>10 K.Phakphoom P.</v>
      </c>
      <c r="U2676" s="3" t="str">
        <f>IFERROR(__xludf.DUMMYFUNCTION("""COMPUTED_VALUE"""),"10 K.Phakphoom P.")</f>
        <v>10 K.Phakphoom P.</v>
      </c>
      <c r="V2676" s="3" t="str">
        <f>IFERROR(__xludf.DUMMYFUNCTION("""COMPUTED_VALUE"""),"N")</f>
        <v>N</v>
      </c>
      <c r="W2676" s="3"/>
      <c r="X2676" s="3" t="str">
        <f>IFERROR(__xludf.DUMMYFUNCTION("""COMPUTED_VALUE"""),"33/2 ม.2 ต.ท่าราบ อ.เมืองราชบุรี จ.ราชบุรี 70000")</f>
        <v>33/2 ม.2 ต.ท่าราบ อ.เมืองราชบุรี จ.ราชบุรี 70000</v>
      </c>
      <c r="Y2676" s="3"/>
      <c r="Z2676" s="3">
        <f>IFERROR(__xludf.DUMMYFUNCTION("""COMPUTED_VALUE"""),0.0)</f>
        <v>0</v>
      </c>
      <c r="AA2676" s="3">
        <f>IFERROR(__xludf.DUMMYFUNCTION("""COMPUTED_VALUE"""),0.0)</f>
        <v>0</v>
      </c>
      <c r="AB2676" s="3" t="str">
        <f>IFERROR(__xludf.DUMMYFUNCTION("""COMPUTED_VALUE"""),"ราชบุรี")</f>
        <v>ราชบุรี</v>
      </c>
      <c r="AC2676" s="3">
        <f>IFERROR(__xludf.DUMMYFUNCTION("""COMPUTED_VALUE"""),70000.0)</f>
        <v>70000</v>
      </c>
      <c r="AD2676" s="3"/>
      <c r="AE2676" s="3"/>
      <c r="AF2676" s="3" t="str">
        <f>IFERROR(__xludf.DUMMYFUNCTION("""COMPUTED_VALUE"""),"ร้านถุงเงินถุงทอง-83472")</f>
        <v>ร้านถุงเงินถุงทอง-83472</v>
      </c>
      <c r="AG2676" s="3" t="str">
        <f>IFERROR(__xludf.DUMMYFUNCTION("""COMPUTED_VALUE"""),"ตะวันตก")</f>
        <v>ตะวันตก</v>
      </c>
      <c r="AH2676" s="3" t="str">
        <f>IFERROR(__xludf.DUMMYFUNCTION("""COMPUTED_VALUE"""),"#N/A")</f>
        <v>#N/A</v>
      </c>
      <c r="AI2676" s="3" t="str">
        <f>IFERROR(__xludf.DUMMYFUNCTION("""COMPUTED_VALUE"""),"Out of warranty")</f>
        <v>Out of warranty</v>
      </c>
      <c r="AJ2676" s="3">
        <f>IFERROR(__xludf.DUMMYFUNCTION("""COMPUTED_VALUE"""),47.0)</f>
        <v>47</v>
      </c>
      <c r="AK2676" s="3"/>
      <c r="AL2676" s="3"/>
    </row>
    <row r="2677" ht="15.75" customHeight="1">
      <c r="A2677" s="1" t="str">
        <f>IFERROR(__xludf.DUMMYFUNCTION("""COMPUTED_VALUE"""),"83473")</f>
        <v>83473</v>
      </c>
      <c r="B2677" s="2">
        <f>IFERROR(__xludf.DUMMYFUNCTION("""COMPUTED_VALUE"""),83473.0)</f>
        <v>83473</v>
      </c>
      <c r="C2677" s="3" t="str">
        <f>IFERROR(__xludf.DUMMYFUNCTION("""COMPUTED_VALUE"""),"ร้านJR Express")</f>
        <v>ร้านJR Express</v>
      </c>
      <c r="D2677" s="3" t="str">
        <f>IFERROR(__xludf.DUMMYFUNCTION("""COMPUTED_VALUE"""),"ร้านJR Express")</f>
        <v>ร้านJR Express</v>
      </c>
      <c r="E2677" s="1" t="str">
        <f>IFERROR(__xludf.DUMMYFUNCTION("""COMPUTED_VALUE"""),"Donjai")</f>
        <v>Donjai</v>
      </c>
      <c r="F2677" s="1" t="str">
        <f>IFERROR(__xludf.DUMMYFUNCTION("""COMPUTED_VALUE"""),"2010023")</f>
        <v>2010023</v>
      </c>
      <c r="G2677" s="1" t="str">
        <f>IFERROR(__xludf.DUMMYFUNCTION("""COMPUTED_VALUE"""),"นายวศิน ไวยรูป")</f>
        <v>นายวศิน ไวยรูป</v>
      </c>
      <c r="H2677" s="1" t="str">
        <f>IFERROR(__xludf.DUMMYFUNCTION("""COMPUTED_VALUE"""),"2010023")</f>
        <v>2010023</v>
      </c>
      <c r="I2677" s="1" t="str">
        <f>IFERROR(__xludf.DUMMYFUNCTION("""COMPUTED_VALUE"""),"นายวศิน ไวยรูป")</f>
        <v>นายวศิน ไวยรูป</v>
      </c>
      <c r="J2677" s="3">
        <f>IFERROR(__xludf.DUMMYFUNCTION("""COMPUTED_VALUE"""),228031.0)</f>
        <v>228031</v>
      </c>
      <c r="K2677" s="3" t="str">
        <f>IFERROR(__xludf.DUMMYFUNCTION("""COMPUTED_VALUE"""),"นายธนพงษ์ วันหมัด")</f>
        <v>นายธนพงษ์ วันหมัด</v>
      </c>
      <c r="L2677" s="1" t="str">
        <f>IFERROR(__xludf.DUMMYFUNCTION("""COMPUTED_VALUE"""),"นายธนพงษ์ วันหมัด")</f>
        <v>นายธนพงษ์ วันหมัด</v>
      </c>
      <c r="M2677" s="1" t="str">
        <f>IFERROR(__xludf.DUMMYFUNCTION("""COMPUTED_VALUE"""),"0813716913")</f>
        <v>0813716913</v>
      </c>
      <c r="N2677" s="3">
        <f>IFERROR(__xludf.DUMMYFUNCTION("""COMPUTED_VALUE"""),83473.0)</f>
        <v>83473</v>
      </c>
      <c r="O2677" s="3" t="str">
        <f>IFERROR(__xludf.DUMMYFUNCTION("""COMPUTED_VALUE"""),"ร้านJR Express")</f>
        <v>ร้านJR Express</v>
      </c>
      <c r="P2677" s="4">
        <f>IFERROR(__xludf.DUMMYFUNCTION("""COMPUTED_VALUE"""),44606.0)</f>
        <v>44606</v>
      </c>
      <c r="Q2677" s="3" t="str">
        <f>IFERROR(__xludf.DUMMYFUNCTION("""COMPUTED_VALUE"""),"I")</f>
        <v>I</v>
      </c>
      <c r="R2677" s="3" t="str">
        <f>IFERROR(__xludf.DUMMYFUNCTION("""COMPUTED_VALUE"""),"Small Format")</f>
        <v>Small Format</v>
      </c>
      <c r="S2677" s="3" t="str">
        <f>IFERROR(__xludf.DUMMYFUNCTION("""COMPUTED_VALUE"""),"Donjai")</f>
        <v>Donjai</v>
      </c>
      <c r="T2677" s="3" t="str">
        <f>IFERROR(__xludf.DUMMYFUNCTION("""COMPUTED_VALUE"""),"Donjai")</f>
        <v>Donjai</v>
      </c>
      <c r="U2677" s="3" t="str">
        <f>IFERROR(__xludf.DUMMYFUNCTION("""COMPUTED_VALUE"""),"Donjai")</f>
        <v>Donjai</v>
      </c>
      <c r="V2677" s="3" t="str">
        <f>IFERROR(__xludf.DUMMYFUNCTION("""COMPUTED_VALUE"""),"N")</f>
        <v>N</v>
      </c>
      <c r="W2677" s="3"/>
      <c r="X2677" s="3" t="str">
        <f>IFERROR(__xludf.DUMMYFUNCTION("""COMPUTED_VALUE"""),"279 ม.3 ต.บ้านกล้วย. อ.เมือง. จ.ชัยนาท")</f>
        <v>279 ม.3 ต.บ้านกล้วย. อ.เมือง. จ.ชัยนาท</v>
      </c>
      <c r="Y2677" s="3"/>
      <c r="Z2677" s="3">
        <f>IFERROR(__xludf.DUMMYFUNCTION("""COMPUTED_VALUE"""),0.0)</f>
        <v>0</v>
      </c>
      <c r="AA2677" s="3">
        <f>IFERROR(__xludf.DUMMYFUNCTION("""COMPUTED_VALUE"""),0.0)</f>
        <v>0</v>
      </c>
      <c r="AB2677" s="3" t="str">
        <f>IFERROR(__xludf.DUMMYFUNCTION("""COMPUTED_VALUE"""),"ชัยนาท")</f>
        <v>ชัยนาท</v>
      </c>
      <c r="AC2677" s="3">
        <f>IFERROR(__xludf.DUMMYFUNCTION("""COMPUTED_VALUE"""),0.0)</f>
        <v>0</v>
      </c>
      <c r="AD2677" s="3"/>
      <c r="AE2677" s="3"/>
      <c r="AF2677" s="3" t="str">
        <f>IFERROR(__xludf.DUMMYFUNCTION("""COMPUTED_VALUE"""),"ร้านJR Express-83473")</f>
        <v>ร้านJR Express-83473</v>
      </c>
      <c r="AG2677" s="3" t="str">
        <f>IFERROR(__xludf.DUMMYFUNCTION("""COMPUTED_VALUE"""),"กลาง")</f>
        <v>กลาง</v>
      </c>
      <c r="AH2677" s="3" t="str">
        <f>IFERROR(__xludf.DUMMYFUNCTION("""COMPUTED_VALUE"""),"#N/A")</f>
        <v>#N/A</v>
      </c>
      <c r="AI2677" s="3" t="str">
        <f>IFERROR(__xludf.DUMMYFUNCTION("""COMPUTED_VALUE"""),"Out of warranty")</f>
        <v>Out of warranty</v>
      </c>
      <c r="AJ2677" s="3">
        <f>IFERROR(__xludf.DUMMYFUNCTION("""COMPUTED_VALUE"""),48.0)</f>
        <v>48</v>
      </c>
      <c r="AK2677" s="3"/>
      <c r="AL2677" s="3"/>
    </row>
    <row r="2678" ht="15.75" customHeight="1">
      <c r="A2678" s="1" t="str">
        <f>IFERROR(__xludf.DUMMYFUNCTION("""COMPUTED_VALUE"""),"83474")</f>
        <v>83474</v>
      </c>
      <c r="B2678" s="2">
        <f>IFERROR(__xludf.DUMMYFUNCTION("""COMPUTED_VALUE"""),83474.0)</f>
        <v>83474</v>
      </c>
      <c r="C2678" s="3" t="str">
        <f>IFERROR(__xludf.DUMMYFUNCTION("""COMPUTED_VALUE"""),"ร้านเจ้เจ็ก")</f>
        <v>ร้านเจ้เจ็ก</v>
      </c>
      <c r="D2678" s="3" t="str">
        <f>IFERROR(__xludf.DUMMYFUNCTION("""COMPUTED_VALUE"""),"ร้านเจ้เจ็ก")</f>
        <v>ร้านเจ้เจ็ก</v>
      </c>
      <c r="E2678" s="1" t="str">
        <f>IFERROR(__xludf.DUMMYFUNCTION("""COMPUTED_VALUE"""),"Donjai")</f>
        <v>Donjai</v>
      </c>
      <c r="F2678" s="1" t="str">
        <f>IFERROR(__xludf.DUMMYFUNCTION("""COMPUTED_VALUE"""),"00510143")</f>
        <v>00510143</v>
      </c>
      <c r="G2678" s="1" t="str">
        <f>IFERROR(__xludf.DUMMYFUNCTION("""COMPUTED_VALUE"""),"นายธีระวัฒน์ บุญสิทธิ์")</f>
        <v>นายธีระวัฒน์ บุญสิทธิ์</v>
      </c>
      <c r="H2678" s="1" t="str">
        <f>IFERROR(__xludf.DUMMYFUNCTION("""COMPUTED_VALUE"""),"00510143")</f>
        <v>00510143</v>
      </c>
      <c r="I2678" s="1" t="str">
        <f>IFERROR(__xludf.DUMMYFUNCTION("""COMPUTED_VALUE"""),"นายธีระวัฒน์ บุญสิทธิ์")</f>
        <v>นายธีระวัฒน์ บุญสิทธิ์</v>
      </c>
      <c r="J2678" s="3">
        <f>IFERROR(__xludf.DUMMYFUNCTION("""COMPUTED_VALUE"""),228031.0)</f>
        <v>228031</v>
      </c>
      <c r="K2678" s="3" t="str">
        <f>IFERROR(__xludf.DUMMYFUNCTION("""COMPUTED_VALUE"""),"นายธนพงษ์ วันหมัด")</f>
        <v>นายธนพงษ์ วันหมัด</v>
      </c>
      <c r="L2678" s="1" t="str">
        <f>IFERROR(__xludf.DUMMYFUNCTION("""COMPUTED_VALUE"""),"นายธนพงษ์ วันหมัด")</f>
        <v>นายธนพงษ์ วันหมัด</v>
      </c>
      <c r="M2678" s="1" t="str">
        <f>IFERROR(__xludf.DUMMYFUNCTION("""COMPUTED_VALUE"""),"0813716913")</f>
        <v>0813716913</v>
      </c>
      <c r="N2678" s="3">
        <f>IFERROR(__xludf.DUMMYFUNCTION("""COMPUTED_VALUE"""),83474.0)</f>
        <v>83474</v>
      </c>
      <c r="O2678" s="3" t="str">
        <f>IFERROR(__xludf.DUMMYFUNCTION("""COMPUTED_VALUE"""),"ร้านเจ้เจ็ก")</f>
        <v>ร้านเจ้เจ็ก</v>
      </c>
      <c r="P2678" s="4">
        <f>IFERROR(__xludf.DUMMYFUNCTION("""COMPUTED_VALUE"""),44605.0)</f>
        <v>44605</v>
      </c>
      <c r="Q2678" s="3" t="str">
        <f>IFERROR(__xludf.DUMMYFUNCTION("""COMPUTED_VALUE"""),"I")</f>
        <v>I</v>
      </c>
      <c r="R2678" s="3" t="str">
        <f>IFERROR(__xludf.DUMMYFUNCTION("""COMPUTED_VALUE"""),"Small Format")</f>
        <v>Small Format</v>
      </c>
      <c r="S2678" s="3" t="str">
        <f>IFERROR(__xludf.DUMMYFUNCTION("""COMPUTED_VALUE"""),"Donjai")</f>
        <v>Donjai</v>
      </c>
      <c r="T2678" s="3" t="str">
        <f>IFERROR(__xludf.DUMMYFUNCTION("""COMPUTED_VALUE"""),"12 K.Theerawat B.")</f>
        <v>12 K.Theerawat B.</v>
      </c>
      <c r="U2678" s="3" t="str">
        <f>IFERROR(__xludf.DUMMYFUNCTION("""COMPUTED_VALUE"""),"12 K.Theerawat B.")</f>
        <v>12 K.Theerawat B.</v>
      </c>
      <c r="V2678" s="3" t="str">
        <f>IFERROR(__xludf.DUMMYFUNCTION("""COMPUTED_VALUE"""),"N")</f>
        <v>N</v>
      </c>
      <c r="W2678" s="3"/>
      <c r="X2678" s="3" t="str">
        <f>IFERROR(__xludf.DUMMYFUNCTION("""COMPUTED_VALUE"""),"77 หมู่ที่ 2 ต.เขาสามสิบ อ.เขากรรจ์ จ.สระแก้ว")</f>
        <v>77 หมู่ที่ 2 ต.เขาสามสิบ อ.เขากรรจ์ จ.สระแก้ว</v>
      </c>
      <c r="Y2678" s="3"/>
      <c r="Z2678" s="3">
        <f>IFERROR(__xludf.DUMMYFUNCTION("""COMPUTED_VALUE"""),0.0)</f>
        <v>0</v>
      </c>
      <c r="AA2678" s="3">
        <f>IFERROR(__xludf.DUMMYFUNCTION("""COMPUTED_VALUE"""),0.0)</f>
        <v>0</v>
      </c>
      <c r="AB2678" s="3" t="str">
        <f>IFERROR(__xludf.DUMMYFUNCTION("""COMPUTED_VALUE"""),"สระแก้ว")</f>
        <v>สระแก้ว</v>
      </c>
      <c r="AC2678" s="3">
        <f>IFERROR(__xludf.DUMMYFUNCTION("""COMPUTED_VALUE"""),0.0)</f>
        <v>0</v>
      </c>
      <c r="AD2678" s="3"/>
      <c r="AE2678" s="3"/>
      <c r="AF2678" s="3" t="str">
        <f>IFERROR(__xludf.DUMMYFUNCTION("""COMPUTED_VALUE"""),"ร้านเจ้เจ็ก-83474")</f>
        <v>ร้านเจ้เจ็ก-83474</v>
      </c>
      <c r="AG2678" s="3" t="str">
        <f>IFERROR(__xludf.DUMMYFUNCTION("""COMPUTED_VALUE"""),"ตะวันออก")</f>
        <v>ตะวันออก</v>
      </c>
      <c r="AH2678" s="3" t="str">
        <f>IFERROR(__xludf.DUMMYFUNCTION("""COMPUTED_VALUE"""),"#N/A")</f>
        <v>#N/A</v>
      </c>
      <c r="AI2678" s="3" t="str">
        <f>IFERROR(__xludf.DUMMYFUNCTION("""COMPUTED_VALUE"""),"Out of warranty")</f>
        <v>Out of warranty</v>
      </c>
      <c r="AJ2678" s="3">
        <f>IFERROR(__xludf.DUMMYFUNCTION("""COMPUTED_VALUE"""),48.0)</f>
        <v>48</v>
      </c>
      <c r="AK2678" s="3"/>
      <c r="AL2678" s="3"/>
    </row>
    <row r="2679" ht="15.75" customHeight="1">
      <c r="A2679" s="1" t="str">
        <f>IFERROR(__xludf.DUMMYFUNCTION("""COMPUTED_VALUE"""),"83475")</f>
        <v>83475</v>
      </c>
      <c r="B2679" s="2">
        <f>IFERROR(__xludf.DUMMYFUNCTION("""COMPUTED_VALUE"""),83475.0)</f>
        <v>83475</v>
      </c>
      <c r="C2679" s="3" t="str">
        <f>IFERROR(__xludf.DUMMYFUNCTION("""COMPUTED_VALUE"""),"คอดีเยาะห์")</f>
        <v>คอดีเยาะห์</v>
      </c>
      <c r="D2679" s="3" t="str">
        <f>IFERROR(__xludf.DUMMYFUNCTION("""COMPUTED_VALUE"""),"คอดีเยาะห์")</f>
        <v>คอดีเยาะห์</v>
      </c>
      <c r="E2679" s="1" t="str">
        <f>IFERROR(__xludf.DUMMYFUNCTION("""COMPUTED_VALUE"""),"Donjai")</f>
        <v>Donjai</v>
      </c>
      <c r="F2679" s="1" t="str">
        <f>IFERROR(__xludf.DUMMYFUNCTION("""COMPUTED_VALUE"""),"296608")</f>
        <v>296608</v>
      </c>
      <c r="G2679" s="1" t="str">
        <f>IFERROR(__xludf.DUMMYFUNCTION("""COMPUTED_VALUE"""),"นายภาคภูมิ เพ็ชรนิล")</f>
        <v>นายภาคภูมิ เพ็ชรนิล</v>
      </c>
      <c r="H2679" s="1" t="str">
        <f>IFERROR(__xludf.DUMMYFUNCTION("""COMPUTED_VALUE"""),"296608")</f>
        <v>296608</v>
      </c>
      <c r="I2679" s="1" t="str">
        <f>IFERROR(__xludf.DUMMYFUNCTION("""COMPUTED_VALUE"""),"นายภาคภูมิ เพ็ชรนิล")</f>
        <v>นายภาคภูมิ เพ็ชรนิล</v>
      </c>
      <c r="J2679" s="3">
        <f>IFERROR(__xludf.DUMMYFUNCTION("""COMPUTED_VALUE"""),228031.0)</f>
        <v>228031</v>
      </c>
      <c r="K2679" s="3" t="str">
        <f>IFERROR(__xludf.DUMMYFUNCTION("""COMPUTED_VALUE"""),"นายธนพงษ์ วันหมัด")</f>
        <v>นายธนพงษ์ วันหมัด</v>
      </c>
      <c r="L2679" s="1" t="str">
        <f>IFERROR(__xludf.DUMMYFUNCTION("""COMPUTED_VALUE"""),"นายธนพงษ์ วันหมัด")</f>
        <v>นายธนพงษ์ วันหมัด</v>
      </c>
      <c r="M2679" s="1" t="str">
        <f>IFERROR(__xludf.DUMMYFUNCTION("""COMPUTED_VALUE"""),"0813716913")</f>
        <v>0813716913</v>
      </c>
      <c r="N2679" s="3">
        <f>IFERROR(__xludf.DUMMYFUNCTION("""COMPUTED_VALUE"""),83475.0)</f>
        <v>83475</v>
      </c>
      <c r="O2679" s="3" t="str">
        <f>IFERROR(__xludf.DUMMYFUNCTION("""COMPUTED_VALUE"""),"คอดีเยาะห์")</f>
        <v>คอดีเยาะห์</v>
      </c>
      <c r="P2679" s="4">
        <f>IFERROR(__xludf.DUMMYFUNCTION("""COMPUTED_VALUE"""),44592.0)</f>
        <v>44592</v>
      </c>
      <c r="Q2679" s="3" t="str">
        <f>IFERROR(__xludf.DUMMYFUNCTION("""COMPUTED_VALUE"""),"A")</f>
        <v>A</v>
      </c>
      <c r="R2679" s="3" t="str">
        <f>IFERROR(__xludf.DUMMYFUNCTION("""COMPUTED_VALUE"""),"Small Format")</f>
        <v>Small Format</v>
      </c>
      <c r="S2679" s="3" t="str">
        <f>IFERROR(__xludf.DUMMYFUNCTION("""COMPUTED_VALUE"""),"Donjai")</f>
        <v>Donjai</v>
      </c>
      <c r="T2679" s="3" t="str">
        <f>IFERROR(__xludf.DUMMYFUNCTION("""COMPUTED_VALUE"""),"10 K.Phakphoom P.")</f>
        <v>10 K.Phakphoom P.</v>
      </c>
      <c r="U2679" s="3" t="str">
        <f>IFERROR(__xludf.DUMMYFUNCTION("""COMPUTED_VALUE"""),"10 K.Phakphoom P.")</f>
        <v>10 K.Phakphoom P.</v>
      </c>
      <c r="V2679" s="3" t="str">
        <f>IFERROR(__xludf.DUMMYFUNCTION("""COMPUTED_VALUE"""),"N")</f>
        <v>N</v>
      </c>
      <c r="W2679" s="3"/>
      <c r="X2679" s="3" t="str">
        <f>IFERROR(__xludf.DUMMYFUNCTION("""COMPUTED_VALUE"""),"85/1216 หมู่บ้านวิเศษสุขนคร แขวงทุ่งครุ เขตทุ่งครุ กท. 10140")</f>
        <v>85/1216 หมู่บ้านวิเศษสุขนคร แขวงทุ่งครุ เขตทุ่งครุ กท. 10140</v>
      </c>
      <c r="Y2679" s="3"/>
      <c r="Z2679" s="3">
        <f>IFERROR(__xludf.DUMMYFUNCTION("""COMPUTED_VALUE"""),0.0)</f>
        <v>0</v>
      </c>
      <c r="AA2679" s="3">
        <f>IFERROR(__xludf.DUMMYFUNCTION("""COMPUTED_VALUE"""),0.0)</f>
        <v>0</v>
      </c>
      <c r="AB2679" s="3" t="str">
        <f>IFERROR(__xludf.DUMMYFUNCTION("""COMPUTED_VALUE"""),"กรุงเทพมหานคร")</f>
        <v>กรุงเทพมหานคร</v>
      </c>
      <c r="AC2679" s="3">
        <f>IFERROR(__xludf.DUMMYFUNCTION("""COMPUTED_VALUE"""),10140.0)</f>
        <v>10140</v>
      </c>
      <c r="AD2679" s="3"/>
      <c r="AE2679" s="3"/>
      <c r="AF2679" s="3" t="str">
        <f>IFERROR(__xludf.DUMMYFUNCTION("""COMPUTED_VALUE"""),"คอดีเยาะห์-83475")</f>
        <v>คอดีเยาะห์-83475</v>
      </c>
      <c r="AG2679" s="3" t="str">
        <f>IFERROR(__xludf.DUMMYFUNCTION("""COMPUTED_VALUE"""),"กลาง")</f>
        <v>กลาง</v>
      </c>
      <c r="AH2679" s="3" t="str">
        <f>IFERROR(__xludf.DUMMYFUNCTION("""COMPUTED_VALUE"""),"#N/A")</f>
        <v>#N/A</v>
      </c>
      <c r="AI2679" s="3" t="str">
        <f>IFERROR(__xludf.DUMMYFUNCTION("""COMPUTED_VALUE"""),"Out of warranty")</f>
        <v>Out of warranty</v>
      </c>
      <c r="AJ2679" s="3">
        <f>IFERROR(__xludf.DUMMYFUNCTION("""COMPUTED_VALUE"""),48.0)</f>
        <v>48</v>
      </c>
      <c r="AK2679" s="3"/>
      <c r="AL2679" s="3"/>
    </row>
    <row r="2680" ht="15.75" customHeight="1">
      <c r="A2680" s="1" t="str">
        <f>IFERROR(__xludf.DUMMYFUNCTION("""COMPUTED_VALUE"""),"83476")</f>
        <v>83476</v>
      </c>
      <c r="B2680" s="2">
        <f>IFERROR(__xludf.DUMMYFUNCTION("""COMPUTED_VALUE"""),83476.0)</f>
        <v>83476</v>
      </c>
      <c r="C2680" s="3" t="str">
        <f>IFERROR(__xludf.DUMMYFUNCTION("""COMPUTED_VALUE"""),"ร้านอู้ฟู่")</f>
        <v>ร้านอู้ฟู่</v>
      </c>
      <c r="D2680" s="3" t="str">
        <f>IFERROR(__xludf.DUMMYFUNCTION("""COMPUTED_VALUE"""),"ร้านอู้ฟู่")</f>
        <v>ร้านอู้ฟู่</v>
      </c>
      <c r="E2680" s="1" t="str">
        <f>IFERROR(__xludf.DUMMYFUNCTION("""COMPUTED_VALUE"""),"Donjai")</f>
        <v>Donjai</v>
      </c>
      <c r="F2680" s="1" t="str">
        <f>IFERROR(__xludf.DUMMYFUNCTION("""COMPUTED_VALUE"""),"296868")</f>
        <v>296868</v>
      </c>
      <c r="G2680" s="1" t="str">
        <f>IFERROR(__xludf.DUMMYFUNCTION("""COMPUTED_VALUE"""),"นายพีระพงษ์ แก้วดวงดี")</f>
        <v>นายพีระพงษ์ แก้วดวงดี</v>
      </c>
      <c r="H2680" s="1" t="str">
        <f>IFERROR(__xludf.DUMMYFUNCTION("""COMPUTED_VALUE"""),"296868")</f>
        <v>296868</v>
      </c>
      <c r="I2680" s="1" t="str">
        <f>IFERROR(__xludf.DUMMYFUNCTION("""COMPUTED_VALUE"""),"นายพีระพงษ์ แก้วดวงดี")</f>
        <v>นายพีระพงษ์ แก้วดวงดี</v>
      </c>
      <c r="J2680" s="3">
        <f>IFERROR(__xludf.DUMMYFUNCTION("""COMPUTED_VALUE"""),295886.0)</f>
        <v>295886</v>
      </c>
      <c r="K2680" s="3" t="str">
        <f>IFERROR(__xludf.DUMMYFUNCTION("""COMPUTED_VALUE"""),"นายจิระพงษ์ โพธิ์นิล")</f>
        <v>นายจิระพงษ์ โพธิ์นิล</v>
      </c>
      <c r="L2680" s="1" t="str">
        <f>IFERROR(__xludf.DUMMYFUNCTION("""COMPUTED_VALUE"""),"นายจิระพงษ์ โพธิ์นิล")</f>
        <v>นายจิระพงษ์ โพธิ์นิล</v>
      </c>
      <c r="M2680" s="1" t="str">
        <f>IFERROR(__xludf.DUMMYFUNCTION("""COMPUTED_VALUE"""),"0933290754")</f>
        <v>0933290754</v>
      </c>
      <c r="N2680" s="3">
        <f>IFERROR(__xludf.DUMMYFUNCTION("""COMPUTED_VALUE"""),83476.0)</f>
        <v>83476</v>
      </c>
      <c r="O2680" s="3" t="str">
        <f>IFERROR(__xludf.DUMMYFUNCTION("""COMPUTED_VALUE"""),"ร้านอู้ฟู่")</f>
        <v>ร้านอู้ฟู่</v>
      </c>
      <c r="P2680" s="4">
        <f>IFERROR(__xludf.DUMMYFUNCTION("""COMPUTED_VALUE"""),44614.0)</f>
        <v>44614</v>
      </c>
      <c r="Q2680" s="3" t="str">
        <f>IFERROR(__xludf.DUMMYFUNCTION("""COMPUTED_VALUE"""),"I")</f>
        <v>I</v>
      </c>
      <c r="R2680" s="3" t="str">
        <f>IFERROR(__xludf.DUMMYFUNCTION("""COMPUTED_VALUE"""),"Small Format")</f>
        <v>Small Format</v>
      </c>
      <c r="S2680" s="3" t="str">
        <f>IFERROR(__xludf.DUMMYFUNCTION("""COMPUTED_VALUE"""),"Donjai")</f>
        <v>Donjai</v>
      </c>
      <c r="T2680" s="3" t="str">
        <f>IFERROR(__xludf.DUMMYFUNCTION("""COMPUTED_VALUE"""),"03 K.Peerapong K.")</f>
        <v>03 K.Peerapong K.</v>
      </c>
      <c r="U2680" s="3" t="str">
        <f>IFERROR(__xludf.DUMMYFUNCTION("""COMPUTED_VALUE"""),"03 K.Peerapong K.")</f>
        <v>03 K.Peerapong K.</v>
      </c>
      <c r="V2680" s="3" t="str">
        <f>IFERROR(__xludf.DUMMYFUNCTION("""COMPUTED_VALUE"""),"N")</f>
        <v>N</v>
      </c>
      <c r="W2680" s="3"/>
      <c r="X2680" s="3" t="str">
        <f>IFERROR(__xludf.DUMMYFUNCTION("""COMPUTED_VALUE"""),"141 ม.5 ต.ธาตุพนม อ.ธาตุพนม จ.นครพนม")</f>
        <v>141 ม.5 ต.ธาตุพนม อ.ธาตุพนม จ.นครพนม</v>
      </c>
      <c r="Y2680" s="3"/>
      <c r="Z2680" s="3">
        <f>IFERROR(__xludf.DUMMYFUNCTION("""COMPUTED_VALUE"""),0.0)</f>
        <v>0</v>
      </c>
      <c r="AA2680" s="3">
        <f>IFERROR(__xludf.DUMMYFUNCTION("""COMPUTED_VALUE"""),0.0)</f>
        <v>0</v>
      </c>
      <c r="AB2680" s="3" t="str">
        <f>IFERROR(__xludf.DUMMYFUNCTION("""COMPUTED_VALUE"""),"นครพนม")</f>
        <v>นครพนม</v>
      </c>
      <c r="AC2680" s="3">
        <f>IFERROR(__xludf.DUMMYFUNCTION("""COMPUTED_VALUE"""),0.0)</f>
        <v>0</v>
      </c>
      <c r="AD2680" s="3"/>
      <c r="AE2680" s="3"/>
      <c r="AF2680" s="3" t="str">
        <f>IFERROR(__xludf.DUMMYFUNCTION("""COMPUTED_VALUE"""),"ร้านอู้ฟู่-83476")</f>
        <v>ร้านอู้ฟู่-83476</v>
      </c>
      <c r="AG2680" s="3" t="str">
        <f>IFERROR(__xludf.DUMMYFUNCTION("""COMPUTED_VALUE"""),"ตะวันออกเฉียงเหนือ")</f>
        <v>ตะวันออกเฉียงเหนือ</v>
      </c>
      <c r="AH2680" s="3" t="str">
        <f>IFERROR(__xludf.DUMMYFUNCTION("""COMPUTED_VALUE"""),"#N/A")</f>
        <v>#N/A</v>
      </c>
      <c r="AI2680" s="3" t="str">
        <f>IFERROR(__xludf.DUMMYFUNCTION("""COMPUTED_VALUE"""),"Out of warranty")</f>
        <v>Out of warranty</v>
      </c>
      <c r="AJ2680" s="3">
        <f>IFERROR(__xludf.DUMMYFUNCTION("""COMPUTED_VALUE"""),47.0)</f>
        <v>47</v>
      </c>
      <c r="AK2680" s="3"/>
      <c r="AL2680" s="3"/>
    </row>
    <row r="2681" ht="15.75" customHeight="1">
      <c r="A2681" s="1" t="str">
        <f>IFERROR(__xludf.DUMMYFUNCTION("""COMPUTED_VALUE"""),"83477")</f>
        <v>83477</v>
      </c>
      <c r="B2681" s="2">
        <f>IFERROR(__xludf.DUMMYFUNCTION("""COMPUTED_VALUE"""),83477.0)</f>
        <v>83477</v>
      </c>
      <c r="C2681" s="3" t="str">
        <f>IFERROR(__xludf.DUMMYFUNCTION("""COMPUTED_VALUE"""),"ร้าน B-MART (บีมินิมาร์ท)")</f>
        <v>ร้าน B-MART (บีมินิมาร์ท)</v>
      </c>
      <c r="D2681" s="3" t="str">
        <f>IFERROR(__xludf.DUMMYFUNCTION("""COMPUTED_VALUE"""),"ร้าน B-MART (บีมินิมาร์ท)")</f>
        <v>ร้าน B-MART (บีมินิมาร์ท)</v>
      </c>
      <c r="E2681" s="1" t="str">
        <f>IFERROR(__xludf.DUMMYFUNCTION("""COMPUTED_VALUE"""),"Donjai")</f>
        <v>Donjai</v>
      </c>
      <c r="F2681" s="1" t="str">
        <f>IFERROR(__xludf.DUMMYFUNCTION("""COMPUTED_VALUE"""),"025324")</f>
        <v>025324</v>
      </c>
      <c r="G2681" s="1" t="str">
        <f>IFERROR(__xludf.DUMMYFUNCTION("""COMPUTED_VALUE"""),"นายวิเชฎฐ์ ติรัตนะประคม")</f>
        <v>นายวิเชฎฐ์ ติรัตนะประคม</v>
      </c>
      <c r="H2681" s="1" t="str">
        <f>IFERROR(__xludf.DUMMYFUNCTION("""COMPUTED_VALUE"""),"025324")</f>
        <v>025324</v>
      </c>
      <c r="I2681" s="1" t="str">
        <f>IFERROR(__xludf.DUMMYFUNCTION("""COMPUTED_VALUE"""),"นายวิเชฎฐ์ ติรัตนะประคม")</f>
        <v>นายวิเชฎฐ์ ติรัตนะประคม</v>
      </c>
      <c r="J2681" s="3">
        <f>IFERROR(__xludf.DUMMYFUNCTION("""COMPUTED_VALUE"""),295541.0)</f>
        <v>295541</v>
      </c>
      <c r="K2681" s="3" t="str">
        <f>IFERROR(__xludf.DUMMYFUNCTION("""COMPUTED_VALUE"""),"นายรพิพล ศรีมาตย์")</f>
        <v>นายรพิพล ศรีมาตย์</v>
      </c>
      <c r="L2681" s="1" t="str">
        <f>IFERROR(__xludf.DUMMYFUNCTION("""COMPUTED_VALUE"""),"นายรพิพล ศรีมาตย์")</f>
        <v>นายรพิพล ศรีมาตย์</v>
      </c>
      <c r="M2681" s="1" t="str">
        <f>IFERROR(__xludf.DUMMYFUNCTION("""COMPUTED_VALUE"""),"0613966115")</f>
        <v>0613966115</v>
      </c>
      <c r="N2681" s="3">
        <f>IFERROR(__xludf.DUMMYFUNCTION("""COMPUTED_VALUE"""),83477.0)</f>
        <v>83477</v>
      </c>
      <c r="O2681" s="3" t="str">
        <f>IFERROR(__xludf.DUMMYFUNCTION("""COMPUTED_VALUE"""),"ร้าน B-MART (บีมินิมาร์ท)")</f>
        <v>ร้าน B-MART (บีมินิมาร์ท)</v>
      </c>
      <c r="P2681" s="4">
        <f>IFERROR(__xludf.DUMMYFUNCTION("""COMPUTED_VALUE"""),44680.0)</f>
        <v>44680</v>
      </c>
      <c r="Q2681" s="3" t="str">
        <f>IFERROR(__xludf.DUMMYFUNCTION("""COMPUTED_VALUE"""),"A")</f>
        <v>A</v>
      </c>
      <c r="R2681" s="3" t="str">
        <f>IFERROR(__xludf.DUMMYFUNCTION("""COMPUTED_VALUE"""),"Small Format")</f>
        <v>Small Format</v>
      </c>
      <c r="S2681" s="3" t="str">
        <f>IFERROR(__xludf.DUMMYFUNCTION("""COMPUTED_VALUE"""),"Donjai")</f>
        <v>Donjai</v>
      </c>
      <c r="T2681" s="3" t="str">
        <f>IFERROR(__xludf.DUMMYFUNCTION("""COMPUTED_VALUE"""),"14 K.Wichet T.")</f>
        <v>14 K.Wichet T.</v>
      </c>
      <c r="U2681" s="3" t="str">
        <f>IFERROR(__xludf.DUMMYFUNCTION("""COMPUTED_VALUE"""),"14 K.Wichet T.")</f>
        <v>14 K.Wichet T.</v>
      </c>
      <c r="V2681" s="3" t="str">
        <f>IFERROR(__xludf.DUMMYFUNCTION("""COMPUTED_VALUE"""),"N")</f>
        <v>N</v>
      </c>
      <c r="W2681" s="3"/>
      <c r="X2681" s="3" t="str">
        <f>IFERROR(__xludf.DUMMYFUNCTION("""COMPUTED_VALUE"""),"17 ม.2 ท่าสะท้อน พุนพิน สุราษฎร์ธานี 63000")</f>
        <v>17 ม.2 ท่าสะท้อน พุนพิน สุราษฎร์ธานี 63000</v>
      </c>
      <c r="Y2681" s="3"/>
      <c r="Z2681" s="3">
        <f>IFERROR(__xludf.DUMMYFUNCTION("""COMPUTED_VALUE"""),0.0)</f>
        <v>0</v>
      </c>
      <c r="AA2681" s="3">
        <f>IFERROR(__xludf.DUMMYFUNCTION("""COMPUTED_VALUE"""),0.0)</f>
        <v>0</v>
      </c>
      <c r="AB2681" s="3" t="str">
        <f>IFERROR(__xludf.DUMMYFUNCTION("""COMPUTED_VALUE"""),"สุราษฎร์ธานี")</f>
        <v>สุราษฎร์ธานี</v>
      </c>
      <c r="AC2681" s="3">
        <f>IFERROR(__xludf.DUMMYFUNCTION("""COMPUTED_VALUE"""),63000.0)</f>
        <v>63000</v>
      </c>
      <c r="AD2681" s="3"/>
      <c r="AE2681" s="3"/>
      <c r="AF2681" s="3" t="str">
        <f>IFERROR(__xludf.DUMMYFUNCTION("""COMPUTED_VALUE"""),"ร้าน B-MART (บีมินิมาร์ท)-83477")</f>
        <v>ร้าน B-MART (บีมินิมาร์ท)-83477</v>
      </c>
      <c r="AG2681" s="3" t="str">
        <f>IFERROR(__xludf.DUMMYFUNCTION("""COMPUTED_VALUE"""),"ใต้")</f>
        <v>ใต้</v>
      </c>
      <c r="AH2681" s="3" t="str">
        <f>IFERROR(__xludf.DUMMYFUNCTION("""COMPUTED_VALUE"""),"#N/A")</f>
        <v>#N/A</v>
      </c>
      <c r="AI2681" s="3" t="str">
        <f>IFERROR(__xludf.DUMMYFUNCTION("""COMPUTED_VALUE"""),"Out of warranty")</f>
        <v>Out of warranty</v>
      </c>
      <c r="AJ2681" s="3">
        <f>IFERROR(__xludf.DUMMYFUNCTION("""COMPUTED_VALUE"""),45.0)</f>
        <v>45</v>
      </c>
      <c r="AK2681" s="3"/>
      <c r="AL2681" s="3"/>
    </row>
    <row r="2682" ht="15.75" customHeight="1">
      <c r="A2682" s="1" t="str">
        <f>IFERROR(__xludf.DUMMYFUNCTION("""COMPUTED_VALUE"""),"83479")</f>
        <v>83479</v>
      </c>
      <c r="B2682" s="2">
        <f>IFERROR(__xludf.DUMMYFUNCTION("""COMPUTED_VALUE"""),83479.0)</f>
        <v>83479</v>
      </c>
      <c r="C2682" s="3" t="str">
        <f>IFERROR(__xludf.DUMMYFUNCTION("""COMPUTED_VALUE"""),"ร้านเจ้ไร")</f>
        <v>ร้านเจ้ไร</v>
      </c>
      <c r="D2682" s="3" t="str">
        <f>IFERROR(__xludf.DUMMYFUNCTION("""COMPUTED_VALUE"""),"ร้านเจ้ไร")</f>
        <v>ร้านเจ้ไร</v>
      </c>
      <c r="E2682" s="1" t="str">
        <f>IFERROR(__xludf.DUMMYFUNCTION("""COMPUTED_VALUE"""),"Donjai")</f>
        <v>Donjai</v>
      </c>
      <c r="F2682" s="1" t="str">
        <f>IFERROR(__xludf.DUMMYFUNCTION("""COMPUTED_VALUE"""),"296945")</f>
        <v>296945</v>
      </c>
      <c r="G2682" s="1" t="str">
        <f>IFERROR(__xludf.DUMMYFUNCTION("""COMPUTED_VALUE"""),"นายรักพงศ์ พงศ์พันธ์งาม")</f>
        <v>นายรักพงศ์ พงศ์พันธ์งาม</v>
      </c>
      <c r="H2682" s="1" t="str">
        <f>IFERROR(__xludf.DUMMYFUNCTION("""COMPUTED_VALUE"""),"296945")</f>
        <v>296945</v>
      </c>
      <c r="I2682" s="1" t="str">
        <f>IFERROR(__xludf.DUMMYFUNCTION("""COMPUTED_VALUE"""),"นายรักพงศ์ พงศ์พันธ์งาม")</f>
        <v>นายรักพงศ์ พงศ์พันธ์งาม</v>
      </c>
      <c r="J2682" s="3">
        <f>IFERROR(__xludf.DUMMYFUNCTION("""COMPUTED_VALUE"""),228031.0)</f>
        <v>228031</v>
      </c>
      <c r="K2682" s="3" t="str">
        <f>IFERROR(__xludf.DUMMYFUNCTION("""COMPUTED_VALUE"""),"นายธนพงษ์ วันหมัด")</f>
        <v>นายธนพงษ์ วันหมัด</v>
      </c>
      <c r="L2682" s="1" t="str">
        <f>IFERROR(__xludf.DUMMYFUNCTION("""COMPUTED_VALUE"""),"นายธนพงษ์ วันหมัด")</f>
        <v>นายธนพงษ์ วันหมัด</v>
      </c>
      <c r="M2682" s="1" t="str">
        <f>IFERROR(__xludf.DUMMYFUNCTION("""COMPUTED_VALUE"""),"0813716913")</f>
        <v>0813716913</v>
      </c>
      <c r="N2682" s="3">
        <f>IFERROR(__xludf.DUMMYFUNCTION("""COMPUTED_VALUE"""),83479.0)</f>
        <v>83479</v>
      </c>
      <c r="O2682" s="3" t="str">
        <f>IFERROR(__xludf.DUMMYFUNCTION("""COMPUTED_VALUE"""),"ร้านเจ้ไร")</f>
        <v>ร้านเจ้ไร</v>
      </c>
      <c r="P2682" s="4">
        <f>IFERROR(__xludf.DUMMYFUNCTION("""COMPUTED_VALUE"""),44613.0)</f>
        <v>44613</v>
      </c>
      <c r="Q2682" s="3" t="str">
        <f>IFERROR(__xludf.DUMMYFUNCTION("""COMPUTED_VALUE"""),"I")</f>
        <v>I</v>
      </c>
      <c r="R2682" s="3" t="str">
        <f>IFERROR(__xludf.DUMMYFUNCTION("""COMPUTED_VALUE"""),"Small Format")</f>
        <v>Small Format</v>
      </c>
      <c r="S2682" s="3" t="str">
        <f>IFERROR(__xludf.DUMMYFUNCTION("""COMPUTED_VALUE"""),"Donjai")</f>
        <v>Donjai</v>
      </c>
      <c r="T2682" s="3">
        <f>IFERROR(__xludf.DUMMYFUNCTION("""COMPUTED_VALUE"""),0.0)</f>
        <v>0</v>
      </c>
      <c r="U2682" s="3">
        <f>IFERROR(__xludf.DUMMYFUNCTION("""COMPUTED_VALUE"""),0.0)</f>
        <v>0</v>
      </c>
      <c r="V2682" s="3" t="str">
        <f>IFERROR(__xludf.DUMMYFUNCTION("""COMPUTED_VALUE"""),"N")</f>
        <v>N</v>
      </c>
      <c r="W2682" s="3"/>
      <c r="X2682" s="3" t="str">
        <f>IFERROR(__xludf.DUMMYFUNCTION("""COMPUTED_VALUE"""),"ต.หนองหว้า อ.เขาฉกรรจ์ จ.สระแก้ว")</f>
        <v>ต.หนองหว้า อ.เขาฉกรรจ์ จ.สระแก้ว</v>
      </c>
      <c r="Y2682" s="3"/>
      <c r="Z2682" s="3">
        <f>IFERROR(__xludf.DUMMYFUNCTION("""COMPUTED_VALUE"""),0.0)</f>
        <v>0</v>
      </c>
      <c r="AA2682" s="3">
        <f>IFERROR(__xludf.DUMMYFUNCTION("""COMPUTED_VALUE"""),0.0)</f>
        <v>0</v>
      </c>
      <c r="AB2682" s="3" t="str">
        <f>IFERROR(__xludf.DUMMYFUNCTION("""COMPUTED_VALUE"""),"สระแก้ว")</f>
        <v>สระแก้ว</v>
      </c>
      <c r="AC2682" s="3">
        <f>IFERROR(__xludf.DUMMYFUNCTION("""COMPUTED_VALUE"""),0.0)</f>
        <v>0</v>
      </c>
      <c r="AD2682" s="3"/>
      <c r="AE2682" s="3"/>
      <c r="AF2682" s="3" t="str">
        <f>IFERROR(__xludf.DUMMYFUNCTION("""COMPUTED_VALUE"""),"ร้านเจ้ไร-83479")</f>
        <v>ร้านเจ้ไร-83479</v>
      </c>
      <c r="AG2682" s="3" t="str">
        <f>IFERROR(__xludf.DUMMYFUNCTION("""COMPUTED_VALUE"""),"ตะวันออก")</f>
        <v>ตะวันออก</v>
      </c>
      <c r="AH2682" s="3" t="str">
        <f>IFERROR(__xludf.DUMMYFUNCTION("""COMPUTED_VALUE"""),"#N/A")</f>
        <v>#N/A</v>
      </c>
      <c r="AI2682" s="3" t="str">
        <f>IFERROR(__xludf.DUMMYFUNCTION("""COMPUTED_VALUE"""),"Out of warranty")</f>
        <v>Out of warranty</v>
      </c>
      <c r="AJ2682" s="3">
        <f>IFERROR(__xludf.DUMMYFUNCTION("""COMPUTED_VALUE"""),47.0)</f>
        <v>47</v>
      </c>
      <c r="AK2682" s="3"/>
      <c r="AL2682" s="3"/>
    </row>
    <row r="2683" ht="15.75" customHeight="1">
      <c r="A2683" s="1" t="str">
        <f>IFERROR(__xludf.DUMMYFUNCTION("""COMPUTED_VALUE"""),"83481")</f>
        <v>83481</v>
      </c>
      <c r="B2683" s="2">
        <f>IFERROR(__xludf.DUMMYFUNCTION("""COMPUTED_VALUE"""),83481.0)</f>
        <v>83481</v>
      </c>
      <c r="C2683" s="3" t="str">
        <f>IFERROR(__xludf.DUMMYFUNCTION("""COMPUTED_VALUE"""),"ร้านคุณประภาศรี (ร้านป้าประภาศรี)")</f>
        <v>ร้านคุณประภาศรี (ร้านป้าประภาศรี)</v>
      </c>
      <c r="D2683" s="3" t="str">
        <f>IFERROR(__xludf.DUMMYFUNCTION("""COMPUTED_VALUE"""),"ร้านคุณประภาศรี (ร้านป้าประภาศรี)")</f>
        <v>ร้านคุณประภาศรี (ร้านป้าประภาศรี)</v>
      </c>
      <c r="E2683" s="1" t="str">
        <f>IFERROR(__xludf.DUMMYFUNCTION("""COMPUTED_VALUE"""),"Donjai")</f>
        <v>Donjai</v>
      </c>
      <c r="F2683" s="1" t="str">
        <f>IFERROR(__xludf.DUMMYFUNCTION("""COMPUTED_VALUE"""),"046214")</f>
        <v>046214</v>
      </c>
      <c r="G2683" s="1" t="str">
        <f>IFERROR(__xludf.DUMMYFUNCTION("""COMPUTED_VALUE"""),"นายศักดิ์ชัย เด็ดดอกฟ้า")</f>
        <v>นายศักดิ์ชัย เด็ดดอกฟ้า</v>
      </c>
      <c r="H2683" s="1" t="str">
        <f>IFERROR(__xludf.DUMMYFUNCTION("""COMPUTED_VALUE"""),"046214")</f>
        <v>046214</v>
      </c>
      <c r="I2683" s="1" t="str">
        <f>IFERROR(__xludf.DUMMYFUNCTION("""COMPUTED_VALUE"""),"นายศักดิ์ชัย เด็ดดอกฟ้า")</f>
        <v>นายศักดิ์ชัย เด็ดดอกฟ้า</v>
      </c>
      <c r="J2683" s="3">
        <f>IFERROR(__xludf.DUMMYFUNCTION("""COMPUTED_VALUE"""),295886.0)</f>
        <v>295886</v>
      </c>
      <c r="K2683" s="3" t="str">
        <f>IFERROR(__xludf.DUMMYFUNCTION("""COMPUTED_VALUE"""),"นายจิระพงษ์ โพธิ์นิล")</f>
        <v>นายจิระพงษ์ โพธิ์นิล</v>
      </c>
      <c r="L2683" s="1" t="str">
        <f>IFERROR(__xludf.DUMMYFUNCTION("""COMPUTED_VALUE"""),"นายจิระพงษ์ โพธิ์นิล")</f>
        <v>นายจิระพงษ์ โพธิ์นิล</v>
      </c>
      <c r="M2683" s="1" t="str">
        <f>IFERROR(__xludf.DUMMYFUNCTION("""COMPUTED_VALUE"""),"0933290754")</f>
        <v>0933290754</v>
      </c>
      <c r="N2683" s="3">
        <f>IFERROR(__xludf.DUMMYFUNCTION("""COMPUTED_VALUE"""),83481.0)</f>
        <v>83481</v>
      </c>
      <c r="O2683" s="3" t="str">
        <f>IFERROR(__xludf.DUMMYFUNCTION("""COMPUTED_VALUE"""),"ร้านคุณประภาศรี (ร้านป้าประภาศรี)")</f>
        <v>ร้านคุณประภาศรี (ร้านป้าประภาศรี)</v>
      </c>
      <c r="P2683" s="4">
        <f>IFERROR(__xludf.DUMMYFUNCTION("""COMPUTED_VALUE"""),44631.0)</f>
        <v>44631</v>
      </c>
      <c r="Q2683" s="3" t="str">
        <f>IFERROR(__xludf.DUMMYFUNCTION("""COMPUTED_VALUE"""),"A")</f>
        <v>A</v>
      </c>
      <c r="R2683" s="3" t="str">
        <f>IFERROR(__xludf.DUMMYFUNCTION("""COMPUTED_VALUE"""),"Small Format")</f>
        <v>Small Format</v>
      </c>
      <c r="S2683" s="3" t="str">
        <f>IFERROR(__xludf.DUMMYFUNCTION("""COMPUTED_VALUE"""),"Donjai")</f>
        <v>Donjai</v>
      </c>
      <c r="T2683" s="3" t="str">
        <f>IFERROR(__xludf.DUMMYFUNCTION("""COMPUTED_VALUE"""),"02 K.Sakchai D")</f>
        <v>02 K.Sakchai D</v>
      </c>
      <c r="U2683" s="3" t="str">
        <f>IFERROR(__xludf.DUMMYFUNCTION("""COMPUTED_VALUE"""),"02 K.Sakchai D")</f>
        <v>02 K.Sakchai D</v>
      </c>
      <c r="V2683" s="3" t="str">
        <f>IFERROR(__xludf.DUMMYFUNCTION("""COMPUTED_VALUE"""),"N")</f>
        <v>N</v>
      </c>
      <c r="W2683" s="3"/>
      <c r="X2683" s="3" t="str">
        <f>IFERROR(__xludf.DUMMYFUNCTION("""COMPUTED_VALUE"""),"31 ม.1 ต.หอไกร อ.บางมูลนาก จ.พิจิตร")</f>
        <v>31 ม.1 ต.หอไกร อ.บางมูลนาก จ.พิจิตร</v>
      </c>
      <c r="Y2683" s="3"/>
      <c r="Z2683" s="3">
        <f>IFERROR(__xludf.DUMMYFUNCTION("""COMPUTED_VALUE"""),0.0)</f>
        <v>0</v>
      </c>
      <c r="AA2683" s="3">
        <f>IFERROR(__xludf.DUMMYFUNCTION("""COMPUTED_VALUE"""),0.0)</f>
        <v>0</v>
      </c>
      <c r="AB2683" s="3" t="str">
        <f>IFERROR(__xludf.DUMMYFUNCTION("""COMPUTED_VALUE"""),"พิจิตร")</f>
        <v>พิจิตร</v>
      </c>
      <c r="AC2683" s="3">
        <f>IFERROR(__xludf.DUMMYFUNCTION("""COMPUTED_VALUE"""),0.0)</f>
        <v>0</v>
      </c>
      <c r="AD2683" s="3"/>
      <c r="AE2683" s="3"/>
      <c r="AF2683" s="3" t="str">
        <f>IFERROR(__xludf.DUMMYFUNCTION("""COMPUTED_VALUE"""),"ร้านคุณประภาศรี (ร้านป้าประภาศรี)-83481")</f>
        <v>ร้านคุณประภาศรี (ร้านป้าประภาศรี)-83481</v>
      </c>
      <c r="AG2683" s="3" t="str">
        <f>IFERROR(__xludf.DUMMYFUNCTION("""COMPUTED_VALUE"""),"กลาง")</f>
        <v>กลาง</v>
      </c>
      <c r="AH2683" s="3" t="str">
        <f>IFERROR(__xludf.DUMMYFUNCTION("""COMPUTED_VALUE"""),"#N/A")</f>
        <v>#N/A</v>
      </c>
      <c r="AI2683" s="3" t="str">
        <f>IFERROR(__xludf.DUMMYFUNCTION("""COMPUTED_VALUE"""),"Out of warranty")</f>
        <v>Out of warranty</v>
      </c>
      <c r="AJ2683" s="3">
        <f>IFERROR(__xludf.DUMMYFUNCTION("""COMPUTED_VALUE"""),47.0)</f>
        <v>47</v>
      </c>
      <c r="AK2683" s="3"/>
      <c r="AL2683" s="3"/>
    </row>
    <row r="2684" ht="15.75" customHeight="1">
      <c r="A2684" s="1" t="str">
        <f>IFERROR(__xludf.DUMMYFUNCTION("""COMPUTED_VALUE"""),"83482")</f>
        <v>83482</v>
      </c>
      <c r="B2684" s="2">
        <f>IFERROR(__xludf.DUMMYFUNCTION("""COMPUTED_VALUE"""),83482.0)</f>
        <v>83482</v>
      </c>
      <c r="C2684" s="3" t="str">
        <f>IFERROR(__xludf.DUMMYFUNCTION("""COMPUTED_VALUE"""),"ครูมาร์ท2")</f>
        <v>ครูมาร์ท2</v>
      </c>
      <c r="D2684" s="3" t="str">
        <f>IFERROR(__xludf.DUMMYFUNCTION("""COMPUTED_VALUE"""),"ครูมาร์ท2")</f>
        <v>ครูมาร์ท2</v>
      </c>
      <c r="E2684" s="1" t="str">
        <f>IFERROR(__xludf.DUMMYFUNCTION("""COMPUTED_VALUE"""),"Donjai")</f>
        <v>Donjai</v>
      </c>
      <c r="F2684" s="1" t="str">
        <f>IFERROR(__xludf.DUMMYFUNCTION("""COMPUTED_VALUE"""),"025324")</f>
        <v>025324</v>
      </c>
      <c r="G2684" s="1" t="str">
        <f>IFERROR(__xludf.DUMMYFUNCTION("""COMPUTED_VALUE"""),"นายวิเชฎฐ์ ติรัตนะประคม")</f>
        <v>นายวิเชฎฐ์ ติรัตนะประคม</v>
      </c>
      <c r="H2684" s="1" t="str">
        <f>IFERROR(__xludf.DUMMYFUNCTION("""COMPUTED_VALUE"""),"025324")</f>
        <v>025324</v>
      </c>
      <c r="I2684" s="1" t="str">
        <f>IFERROR(__xludf.DUMMYFUNCTION("""COMPUTED_VALUE"""),"นายวิเชฎฐ์ ติรัตนะประคม")</f>
        <v>นายวิเชฎฐ์ ติรัตนะประคม</v>
      </c>
      <c r="J2684" s="3">
        <f>IFERROR(__xludf.DUMMYFUNCTION("""COMPUTED_VALUE"""),295541.0)</f>
        <v>295541</v>
      </c>
      <c r="K2684" s="3" t="str">
        <f>IFERROR(__xludf.DUMMYFUNCTION("""COMPUTED_VALUE"""),"นายรพิพล ศรีมาตย์")</f>
        <v>นายรพิพล ศรีมาตย์</v>
      </c>
      <c r="L2684" s="1" t="str">
        <f>IFERROR(__xludf.DUMMYFUNCTION("""COMPUTED_VALUE"""),"นายรพิพล ศรีมาตย์")</f>
        <v>นายรพิพล ศรีมาตย์</v>
      </c>
      <c r="M2684" s="1" t="str">
        <f>IFERROR(__xludf.DUMMYFUNCTION("""COMPUTED_VALUE"""),"0613966115")</f>
        <v>0613966115</v>
      </c>
      <c r="N2684" s="3">
        <f>IFERROR(__xludf.DUMMYFUNCTION("""COMPUTED_VALUE"""),83482.0)</f>
        <v>83482</v>
      </c>
      <c r="O2684" s="3" t="str">
        <f>IFERROR(__xludf.DUMMYFUNCTION("""COMPUTED_VALUE"""),"ครูมาร์ท2")</f>
        <v>ครูมาร์ท2</v>
      </c>
      <c r="P2684" s="4">
        <f>IFERROR(__xludf.DUMMYFUNCTION("""COMPUTED_VALUE"""),44619.0)</f>
        <v>44619</v>
      </c>
      <c r="Q2684" s="3" t="str">
        <f>IFERROR(__xludf.DUMMYFUNCTION("""COMPUTED_VALUE"""),"A")</f>
        <v>A</v>
      </c>
      <c r="R2684" s="3" t="str">
        <f>IFERROR(__xludf.DUMMYFUNCTION("""COMPUTED_VALUE"""),"Small Format")</f>
        <v>Small Format</v>
      </c>
      <c r="S2684" s="3" t="str">
        <f>IFERROR(__xludf.DUMMYFUNCTION("""COMPUTED_VALUE"""),"Donjai")</f>
        <v>Donjai</v>
      </c>
      <c r="T2684" s="3" t="str">
        <f>IFERROR(__xludf.DUMMYFUNCTION("""COMPUTED_VALUE"""),"14 K.Wichet T.")</f>
        <v>14 K.Wichet T.</v>
      </c>
      <c r="U2684" s="3" t="str">
        <f>IFERROR(__xludf.DUMMYFUNCTION("""COMPUTED_VALUE"""),"14 K.Wichet T.")</f>
        <v>14 K.Wichet T.</v>
      </c>
      <c r="V2684" s="3" t="str">
        <f>IFERROR(__xludf.DUMMYFUNCTION("""COMPUTED_VALUE"""),"N")</f>
        <v>N</v>
      </c>
      <c r="W2684" s="3"/>
      <c r="X2684" s="3" t="str">
        <f>IFERROR(__xludf.DUMMYFUNCTION("""COMPUTED_VALUE"""),"37/13 ม.5 ถ.เทพกษัตรี ต.เกาะแก้ว อ.เมือง จ.ภูเก็ต 83000")</f>
        <v>37/13 ม.5 ถ.เทพกษัตรี ต.เกาะแก้ว อ.เมือง จ.ภูเก็ต 83000</v>
      </c>
      <c r="Y2684" s="3"/>
      <c r="Z2684" s="3">
        <f>IFERROR(__xludf.DUMMYFUNCTION("""COMPUTED_VALUE"""),0.0)</f>
        <v>0</v>
      </c>
      <c r="AA2684" s="3">
        <f>IFERROR(__xludf.DUMMYFUNCTION("""COMPUTED_VALUE"""),0.0)</f>
        <v>0</v>
      </c>
      <c r="AB2684" s="3" t="str">
        <f>IFERROR(__xludf.DUMMYFUNCTION("""COMPUTED_VALUE"""),"ภูเก็ต")</f>
        <v>ภูเก็ต</v>
      </c>
      <c r="AC2684" s="3">
        <f>IFERROR(__xludf.DUMMYFUNCTION("""COMPUTED_VALUE"""),83000.0)</f>
        <v>83000</v>
      </c>
      <c r="AD2684" s="3"/>
      <c r="AE2684" s="3"/>
      <c r="AF2684" s="3" t="str">
        <f>IFERROR(__xludf.DUMMYFUNCTION("""COMPUTED_VALUE"""),"ครูมาร์ท2-83482")</f>
        <v>ครูมาร์ท2-83482</v>
      </c>
      <c r="AG2684" s="3" t="str">
        <f>IFERROR(__xludf.DUMMYFUNCTION("""COMPUTED_VALUE"""),"ใต้")</f>
        <v>ใต้</v>
      </c>
      <c r="AH2684" s="3" t="str">
        <f>IFERROR(__xludf.DUMMYFUNCTION("""COMPUTED_VALUE"""),"#N/A")</f>
        <v>#N/A</v>
      </c>
      <c r="AI2684" s="3" t="str">
        <f>IFERROR(__xludf.DUMMYFUNCTION("""COMPUTED_VALUE"""),"Out of warranty")</f>
        <v>Out of warranty</v>
      </c>
      <c r="AJ2684" s="3">
        <f>IFERROR(__xludf.DUMMYFUNCTION("""COMPUTED_VALUE"""),47.0)</f>
        <v>47</v>
      </c>
      <c r="AK2684" s="3"/>
      <c r="AL2684" s="3"/>
    </row>
    <row r="2685" ht="15.75" customHeight="1">
      <c r="A2685" s="1" t="str">
        <f>IFERROR(__xludf.DUMMYFUNCTION("""COMPUTED_VALUE"""),"83484")</f>
        <v>83484</v>
      </c>
      <c r="B2685" s="2">
        <f>IFERROR(__xludf.DUMMYFUNCTION("""COMPUTED_VALUE"""),83484.0)</f>
        <v>83484</v>
      </c>
      <c r="C2685" s="3" t="str">
        <f>IFERROR(__xludf.DUMMYFUNCTION("""COMPUTED_VALUE"""),"ทวีทรัพย์")</f>
        <v>ทวีทรัพย์</v>
      </c>
      <c r="D2685" s="3" t="str">
        <f>IFERROR(__xludf.DUMMYFUNCTION("""COMPUTED_VALUE"""),"ทวีทรัพย์")</f>
        <v>ทวีทรัพย์</v>
      </c>
      <c r="E2685" s="1" t="str">
        <f>IFERROR(__xludf.DUMMYFUNCTION("""COMPUTED_VALUE"""),"Donjai")</f>
        <v>Donjai</v>
      </c>
      <c r="F2685" s="1" t="str">
        <f>IFERROR(__xludf.DUMMYFUNCTION("""COMPUTED_VALUE"""),"015361")</f>
        <v>015361</v>
      </c>
      <c r="G2685" s="1" t="str">
        <f>IFERROR(__xludf.DUMMYFUNCTION("""COMPUTED_VALUE"""),"นายสมบูรณ์ พรหมในเมือง")</f>
        <v>นายสมบูรณ์ พรหมในเมือง</v>
      </c>
      <c r="H2685" s="1" t="str">
        <f>IFERROR(__xludf.DUMMYFUNCTION("""COMPUTED_VALUE"""),"015361")</f>
        <v>015361</v>
      </c>
      <c r="I2685" s="1" t="str">
        <f>IFERROR(__xludf.DUMMYFUNCTION("""COMPUTED_VALUE"""),"นายสมบูรณ์ พรหมในเมือง")</f>
        <v>นายสมบูรณ์ พรหมในเมือง</v>
      </c>
      <c r="J2685" s="3">
        <f>IFERROR(__xludf.DUMMYFUNCTION("""COMPUTED_VALUE"""),295886.0)</f>
        <v>295886</v>
      </c>
      <c r="K2685" s="3" t="str">
        <f>IFERROR(__xludf.DUMMYFUNCTION("""COMPUTED_VALUE"""),"นายจิระพงษ์ โพธิ์นิล")</f>
        <v>นายจิระพงษ์ โพธิ์นิล</v>
      </c>
      <c r="L2685" s="1" t="str">
        <f>IFERROR(__xludf.DUMMYFUNCTION("""COMPUTED_VALUE"""),"นายจิระพงษ์ โพธิ์นิล")</f>
        <v>นายจิระพงษ์ โพธิ์นิล</v>
      </c>
      <c r="M2685" s="1" t="str">
        <f>IFERROR(__xludf.DUMMYFUNCTION("""COMPUTED_VALUE"""),"0933290754")</f>
        <v>0933290754</v>
      </c>
      <c r="N2685" s="3">
        <f>IFERROR(__xludf.DUMMYFUNCTION("""COMPUTED_VALUE"""),83484.0)</f>
        <v>83484</v>
      </c>
      <c r="O2685" s="3" t="str">
        <f>IFERROR(__xludf.DUMMYFUNCTION("""COMPUTED_VALUE"""),"ทวีทรัพย์")</f>
        <v>ทวีทรัพย์</v>
      </c>
      <c r="P2685" s="4">
        <f>IFERROR(__xludf.DUMMYFUNCTION("""COMPUTED_VALUE"""),44589.0)</f>
        <v>44589</v>
      </c>
      <c r="Q2685" s="3" t="str">
        <f>IFERROR(__xludf.DUMMYFUNCTION("""COMPUTED_VALUE"""),"I")</f>
        <v>I</v>
      </c>
      <c r="R2685" s="3" t="str">
        <f>IFERROR(__xludf.DUMMYFUNCTION("""COMPUTED_VALUE"""),"Small Format")</f>
        <v>Small Format</v>
      </c>
      <c r="S2685" s="3" t="str">
        <f>IFERROR(__xludf.DUMMYFUNCTION("""COMPUTED_VALUE"""),"Donjai")</f>
        <v>Donjai</v>
      </c>
      <c r="T2685" s="3" t="str">
        <f>IFERROR(__xludf.DUMMYFUNCTION("""COMPUTED_VALUE"""),"04 K.Somboon P.")</f>
        <v>04 K.Somboon P.</v>
      </c>
      <c r="U2685" s="3" t="str">
        <f>IFERROR(__xludf.DUMMYFUNCTION("""COMPUTED_VALUE"""),"04 K.Somboon P.")</f>
        <v>04 K.Somboon P.</v>
      </c>
      <c r="V2685" s="3" t="str">
        <f>IFERROR(__xludf.DUMMYFUNCTION("""COMPUTED_VALUE"""),"N")</f>
        <v>N</v>
      </c>
      <c r="W2685" s="3"/>
      <c r="X2685" s="3" t="str">
        <f>IFERROR(__xludf.DUMMYFUNCTION("""COMPUTED_VALUE"""),"เลขที่ 37 หมู่ 15 ต.พุดซา อ.เมือง จ.นครราชสีมา 30000")</f>
        <v>เลขที่ 37 หมู่ 15 ต.พุดซา อ.เมือง จ.นครราชสีมา 30000</v>
      </c>
      <c r="Y2685" s="3"/>
      <c r="Z2685" s="3">
        <f>IFERROR(__xludf.DUMMYFUNCTION("""COMPUTED_VALUE"""),0.0)</f>
        <v>0</v>
      </c>
      <c r="AA2685" s="3">
        <f>IFERROR(__xludf.DUMMYFUNCTION("""COMPUTED_VALUE"""),0.0)</f>
        <v>0</v>
      </c>
      <c r="AB2685" s="3" t="str">
        <f>IFERROR(__xludf.DUMMYFUNCTION("""COMPUTED_VALUE"""),"นครราชสีมา")</f>
        <v>นครราชสีมา</v>
      </c>
      <c r="AC2685" s="3">
        <f>IFERROR(__xludf.DUMMYFUNCTION("""COMPUTED_VALUE"""),30000.0)</f>
        <v>30000</v>
      </c>
      <c r="AD2685" s="3"/>
      <c r="AE2685" s="3"/>
      <c r="AF2685" s="3" t="str">
        <f>IFERROR(__xludf.DUMMYFUNCTION("""COMPUTED_VALUE"""),"ทวีทรัพย์-83484")</f>
        <v>ทวีทรัพย์-83484</v>
      </c>
      <c r="AG2685" s="3" t="str">
        <f>IFERROR(__xludf.DUMMYFUNCTION("""COMPUTED_VALUE"""),"ตะวันออกเฉียงเหนือ")</f>
        <v>ตะวันออกเฉียงเหนือ</v>
      </c>
      <c r="AH2685" s="3" t="str">
        <f>IFERROR(__xludf.DUMMYFUNCTION("""COMPUTED_VALUE"""),"#N/A")</f>
        <v>#N/A</v>
      </c>
      <c r="AI2685" s="3" t="str">
        <f>IFERROR(__xludf.DUMMYFUNCTION("""COMPUTED_VALUE"""),"Out of warranty")</f>
        <v>Out of warranty</v>
      </c>
      <c r="AJ2685" s="3">
        <f>IFERROR(__xludf.DUMMYFUNCTION("""COMPUTED_VALUE"""),48.0)</f>
        <v>48</v>
      </c>
      <c r="AK2685" s="3"/>
      <c r="AL2685" s="3"/>
    </row>
    <row r="2686" ht="15.75" customHeight="1">
      <c r="A2686" s="1" t="str">
        <f>IFERROR(__xludf.DUMMYFUNCTION("""COMPUTED_VALUE"""),"83485")</f>
        <v>83485</v>
      </c>
      <c r="B2686" s="2">
        <f>IFERROR(__xludf.DUMMYFUNCTION("""COMPUTED_VALUE"""),83485.0)</f>
        <v>83485</v>
      </c>
      <c r="C2686" s="3" t="str">
        <f>IFERROR(__xludf.DUMMYFUNCTION("""COMPUTED_VALUE"""),"ร้านนิตยาพร")</f>
        <v>ร้านนิตยาพร</v>
      </c>
      <c r="D2686" s="3" t="str">
        <f>IFERROR(__xludf.DUMMYFUNCTION("""COMPUTED_VALUE"""),"ร้านนิตยาพร")</f>
        <v>ร้านนิตยาพร</v>
      </c>
      <c r="E2686" s="1" t="str">
        <f>IFERROR(__xludf.DUMMYFUNCTION("""COMPUTED_VALUE"""),"Donjai")</f>
        <v>Donjai</v>
      </c>
      <c r="F2686" s="1" t="str">
        <f>IFERROR(__xludf.DUMMYFUNCTION("""COMPUTED_VALUE"""),"296868")</f>
        <v>296868</v>
      </c>
      <c r="G2686" s="1" t="str">
        <f>IFERROR(__xludf.DUMMYFUNCTION("""COMPUTED_VALUE"""),"นายพีระพงษ์ แก้วดวงดี")</f>
        <v>นายพีระพงษ์ แก้วดวงดี</v>
      </c>
      <c r="H2686" s="1" t="str">
        <f>IFERROR(__xludf.DUMMYFUNCTION("""COMPUTED_VALUE"""),"296868")</f>
        <v>296868</v>
      </c>
      <c r="I2686" s="1" t="str">
        <f>IFERROR(__xludf.DUMMYFUNCTION("""COMPUTED_VALUE"""),"นายพีระพงษ์ แก้วดวงดี")</f>
        <v>นายพีระพงษ์ แก้วดวงดี</v>
      </c>
      <c r="J2686" s="3">
        <f>IFERROR(__xludf.DUMMYFUNCTION("""COMPUTED_VALUE"""),295886.0)</f>
        <v>295886</v>
      </c>
      <c r="K2686" s="3" t="str">
        <f>IFERROR(__xludf.DUMMYFUNCTION("""COMPUTED_VALUE"""),"นายจิระพงษ์ โพธิ์นิล")</f>
        <v>นายจิระพงษ์ โพธิ์นิล</v>
      </c>
      <c r="L2686" s="1" t="str">
        <f>IFERROR(__xludf.DUMMYFUNCTION("""COMPUTED_VALUE"""),"นายจิระพงษ์ โพธิ์นิล")</f>
        <v>นายจิระพงษ์ โพธิ์นิล</v>
      </c>
      <c r="M2686" s="1" t="str">
        <f>IFERROR(__xludf.DUMMYFUNCTION("""COMPUTED_VALUE"""),"0933290754")</f>
        <v>0933290754</v>
      </c>
      <c r="N2686" s="3">
        <f>IFERROR(__xludf.DUMMYFUNCTION("""COMPUTED_VALUE"""),83485.0)</f>
        <v>83485</v>
      </c>
      <c r="O2686" s="3" t="str">
        <f>IFERROR(__xludf.DUMMYFUNCTION("""COMPUTED_VALUE"""),"ร้านนิตยาพร")</f>
        <v>ร้านนิตยาพร</v>
      </c>
      <c r="P2686" s="4">
        <f>IFERROR(__xludf.DUMMYFUNCTION("""COMPUTED_VALUE"""),44601.0)</f>
        <v>44601</v>
      </c>
      <c r="Q2686" s="3" t="str">
        <f>IFERROR(__xludf.DUMMYFUNCTION("""COMPUTED_VALUE"""),"I")</f>
        <v>I</v>
      </c>
      <c r="R2686" s="3" t="str">
        <f>IFERROR(__xludf.DUMMYFUNCTION("""COMPUTED_VALUE"""),"Small Format")</f>
        <v>Small Format</v>
      </c>
      <c r="S2686" s="3" t="str">
        <f>IFERROR(__xludf.DUMMYFUNCTION("""COMPUTED_VALUE"""),"Donjai")</f>
        <v>Donjai</v>
      </c>
      <c r="T2686" s="3" t="str">
        <f>IFERROR(__xludf.DUMMYFUNCTION("""COMPUTED_VALUE"""),"03 K.Peerapong K.")</f>
        <v>03 K.Peerapong K.</v>
      </c>
      <c r="U2686" s="3" t="str">
        <f>IFERROR(__xludf.DUMMYFUNCTION("""COMPUTED_VALUE"""),"03 K.Peerapong K.")</f>
        <v>03 K.Peerapong K.</v>
      </c>
      <c r="V2686" s="3" t="str">
        <f>IFERROR(__xludf.DUMMYFUNCTION("""COMPUTED_VALUE"""),"N")</f>
        <v>N</v>
      </c>
      <c r="W2686" s="3"/>
      <c r="X2686" s="3" t="str">
        <f>IFERROR(__xludf.DUMMYFUNCTION("""COMPUTED_VALUE"""),"บ้านโนนทัน ต.โนนสมบูรณ์ อ.บ้านแฮด จ.ขอนแก่น")</f>
        <v>บ้านโนนทัน ต.โนนสมบูรณ์ อ.บ้านแฮด จ.ขอนแก่น</v>
      </c>
      <c r="Y2686" s="3"/>
      <c r="Z2686" s="3">
        <f>IFERROR(__xludf.DUMMYFUNCTION("""COMPUTED_VALUE"""),0.0)</f>
        <v>0</v>
      </c>
      <c r="AA2686" s="3">
        <f>IFERROR(__xludf.DUMMYFUNCTION("""COMPUTED_VALUE"""),0.0)</f>
        <v>0</v>
      </c>
      <c r="AB2686" s="3" t="str">
        <f>IFERROR(__xludf.DUMMYFUNCTION("""COMPUTED_VALUE"""),"ขอนแก่น")</f>
        <v>ขอนแก่น</v>
      </c>
      <c r="AC2686" s="3">
        <f>IFERROR(__xludf.DUMMYFUNCTION("""COMPUTED_VALUE"""),0.0)</f>
        <v>0</v>
      </c>
      <c r="AD2686" s="3"/>
      <c r="AE2686" s="3"/>
      <c r="AF2686" s="3" t="str">
        <f>IFERROR(__xludf.DUMMYFUNCTION("""COMPUTED_VALUE"""),"ร้านนิตยาพร-83485")</f>
        <v>ร้านนิตยาพร-83485</v>
      </c>
      <c r="AG2686" s="3" t="str">
        <f>IFERROR(__xludf.DUMMYFUNCTION("""COMPUTED_VALUE"""),"ตะวันออกเฉียงเหนือ")</f>
        <v>ตะวันออกเฉียงเหนือ</v>
      </c>
      <c r="AH2686" s="3" t="str">
        <f>IFERROR(__xludf.DUMMYFUNCTION("""COMPUTED_VALUE"""),"#N/A")</f>
        <v>#N/A</v>
      </c>
      <c r="AI2686" s="3" t="str">
        <f>IFERROR(__xludf.DUMMYFUNCTION("""COMPUTED_VALUE"""),"Out of warranty")</f>
        <v>Out of warranty</v>
      </c>
      <c r="AJ2686" s="3">
        <f>IFERROR(__xludf.DUMMYFUNCTION("""COMPUTED_VALUE"""),48.0)</f>
        <v>48</v>
      </c>
      <c r="AK2686" s="3"/>
      <c r="AL2686" s="3"/>
    </row>
    <row r="2687" ht="15.75" customHeight="1">
      <c r="A2687" s="1" t="str">
        <f>IFERROR(__xludf.DUMMYFUNCTION("""COMPUTED_VALUE"""),"83486")</f>
        <v>83486</v>
      </c>
      <c r="B2687" s="2">
        <f>IFERROR(__xludf.DUMMYFUNCTION("""COMPUTED_VALUE"""),83486.0)</f>
        <v>83486</v>
      </c>
      <c r="C2687" s="3" t="str">
        <f>IFERROR(__xludf.DUMMYFUNCTION("""COMPUTED_VALUE"""),"ร้านเฮงเฮง 2 (ร้าน JJ สะดวกซื้อ )")</f>
        <v>ร้านเฮงเฮง 2 (ร้าน JJ สะดวกซื้อ )</v>
      </c>
      <c r="D2687" s="3" t="str">
        <f>IFERROR(__xludf.DUMMYFUNCTION("""COMPUTED_VALUE"""),"ร้านเฮงเฮง 2 (ร้าน JJ สะดวกซื้อ )")</f>
        <v>ร้านเฮงเฮง 2 (ร้าน JJ สะดวกซื้อ )</v>
      </c>
      <c r="E2687" s="1" t="str">
        <f>IFERROR(__xludf.DUMMYFUNCTION("""COMPUTED_VALUE"""),"Donjai")</f>
        <v>Donjai</v>
      </c>
      <c r="F2687" s="1" t="str">
        <f>IFERROR(__xludf.DUMMYFUNCTION("""COMPUTED_VALUE"""),"296945")</f>
        <v>296945</v>
      </c>
      <c r="G2687" s="1" t="str">
        <f>IFERROR(__xludf.DUMMYFUNCTION("""COMPUTED_VALUE"""),"นายรักพงศ์ พงศ์พันธ์งาม")</f>
        <v>นายรักพงศ์ พงศ์พันธ์งาม</v>
      </c>
      <c r="H2687" s="1" t="str">
        <f>IFERROR(__xludf.DUMMYFUNCTION("""COMPUTED_VALUE"""),"296945")</f>
        <v>296945</v>
      </c>
      <c r="I2687" s="1" t="str">
        <f>IFERROR(__xludf.DUMMYFUNCTION("""COMPUTED_VALUE"""),"นายรักพงศ์ พงศ์พันธ์งาม")</f>
        <v>นายรักพงศ์ พงศ์พันธ์งาม</v>
      </c>
      <c r="J2687" s="3">
        <f>IFERROR(__xludf.DUMMYFUNCTION("""COMPUTED_VALUE"""),228031.0)</f>
        <v>228031</v>
      </c>
      <c r="K2687" s="3" t="str">
        <f>IFERROR(__xludf.DUMMYFUNCTION("""COMPUTED_VALUE"""),"นายธนพงษ์ วันหมัด")</f>
        <v>นายธนพงษ์ วันหมัด</v>
      </c>
      <c r="L2687" s="1" t="str">
        <f>IFERROR(__xludf.DUMMYFUNCTION("""COMPUTED_VALUE"""),"นายธนพงษ์ วันหมัด")</f>
        <v>นายธนพงษ์ วันหมัด</v>
      </c>
      <c r="M2687" s="1" t="str">
        <f>IFERROR(__xludf.DUMMYFUNCTION("""COMPUTED_VALUE"""),"0813716913")</f>
        <v>0813716913</v>
      </c>
      <c r="N2687" s="3">
        <f>IFERROR(__xludf.DUMMYFUNCTION("""COMPUTED_VALUE"""),83486.0)</f>
        <v>83486</v>
      </c>
      <c r="O2687" s="3" t="str">
        <f>IFERROR(__xludf.DUMMYFUNCTION("""COMPUTED_VALUE"""),"ร้านเฮงเฮง 2 (ร้าน JJ สะดวกซื้อ )")</f>
        <v>ร้านเฮงเฮง 2 (ร้าน JJ สะดวกซื้อ )</v>
      </c>
      <c r="P2687" s="4">
        <f>IFERROR(__xludf.DUMMYFUNCTION("""COMPUTED_VALUE"""),44592.0)</f>
        <v>44592</v>
      </c>
      <c r="Q2687" s="3" t="str">
        <f>IFERROR(__xludf.DUMMYFUNCTION("""COMPUTED_VALUE"""),"I")</f>
        <v>I</v>
      </c>
      <c r="R2687" s="3" t="str">
        <f>IFERROR(__xludf.DUMMYFUNCTION("""COMPUTED_VALUE"""),"Small Format")</f>
        <v>Small Format</v>
      </c>
      <c r="S2687" s="3" t="str">
        <f>IFERROR(__xludf.DUMMYFUNCTION("""COMPUTED_VALUE"""),"Donjai")</f>
        <v>Donjai</v>
      </c>
      <c r="T2687" s="3">
        <f>IFERROR(__xludf.DUMMYFUNCTION("""COMPUTED_VALUE"""),0.0)</f>
        <v>0</v>
      </c>
      <c r="U2687" s="3">
        <f>IFERROR(__xludf.DUMMYFUNCTION("""COMPUTED_VALUE"""),0.0)</f>
        <v>0</v>
      </c>
      <c r="V2687" s="3" t="str">
        <f>IFERROR(__xludf.DUMMYFUNCTION("""COMPUTED_VALUE"""),"N")</f>
        <v>N</v>
      </c>
      <c r="W2687" s="3"/>
      <c r="X2687" s="3" t="str">
        <f>IFERROR(__xludf.DUMMYFUNCTION("""COMPUTED_VALUE"""),"96/176 หมู่ 3 ต.สำนักท้อน อ. บ้านฉาง จ. ระยอง")</f>
        <v>96/176 หมู่ 3 ต.สำนักท้อน อ. บ้านฉาง จ. ระยอง</v>
      </c>
      <c r="Y2687" s="3"/>
      <c r="Z2687" s="3">
        <f>IFERROR(__xludf.DUMMYFUNCTION("""COMPUTED_VALUE"""),0.0)</f>
        <v>0</v>
      </c>
      <c r="AA2687" s="3">
        <f>IFERROR(__xludf.DUMMYFUNCTION("""COMPUTED_VALUE"""),0.0)</f>
        <v>0</v>
      </c>
      <c r="AB2687" s="3" t="str">
        <f>IFERROR(__xludf.DUMMYFUNCTION("""COMPUTED_VALUE"""),"ระยอง")</f>
        <v>ระยอง</v>
      </c>
      <c r="AC2687" s="3">
        <f>IFERROR(__xludf.DUMMYFUNCTION("""COMPUTED_VALUE"""),0.0)</f>
        <v>0</v>
      </c>
      <c r="AD2687" s="3"/>
      <c r="AE2687" s="3"/>
      <c r="AF2687" s="3" t="str">
        <f>IFERROR(__xludf.DUMMYFUNCTION("""COMPUTED_VALUE"""),"ร้านเฮงเฮง 2 (ร้าน JJ สะดวกซื้อ )-83486")</f>
        <v>ร้านเฮงเฮง 2 (ร้าน JJ สะดวกซื้อ )-83486</v>
      </c>
      <c r="AG2687" s="3" t="str">
        <f>IFERROR(__xludf.DUMMYFUNCTION("""COMPUTED_VALUE"""),"ตะวันออก")</f>
        <v>ตะวันออก</v>
      </c>
      <c r="AH2687" s="3" t="str">
        <f>IFERROR(__xludf.DUMMYFUNCTION("""COMPUTED_VALUE"""),"#N/A")</f>
        <v>#N/A</v>
      </c>
      <c r="AI2687" s="3" t="str">
        <f>IFERROR(__xludf.DUMMYFUNCTION("""COMPUTED_VALUE"""),"Out of warranty")</f>
        <v>Out of warranty</v>
      </c>
      <c r="AJ2687" s="3">
        <f>IFERROR(__xludf.DUMMYFUNCTION("""COMPUTED_VALUE"""),48.0)</f>
        <v>48</v>
      </c>
      <c r="AK2687" s="3"/>
      <c r="AL2687" s="3"/>
    </row>
    <row r="2688" ht="15.75" customHeight="1">
      <c r="A2688" s="1" t="str">
        <f>IFERROR(__xludf.DUMMYFUNCTION("""COMPUTED_VALUE"""),"83488")</f>
        <v>83488</v>
      </c>
      <c r="B2688" s="2">
        <f>IFERROR(__xludf.DUMMYFUNCTION("""COMPUTED_VALUE"""),83488.0)</f>
        <v>83488</v>
      </c>
      <c r="C2688" s="3" t="str">
        <f>IFERROR(__xludf.DUMMYFUNCTION("""COMPUTED_VALUE"""),"ร้านกัญญาณัฎฐ์")</f>
        <v>ร้านกัญญาณัฎฐ์</v>
      </c>
      <c r="D2688" s="3" t="str">
        <f>IFERROR(__xludf.DUMMYFUNCTION("""COMPUTED_VALUE"""),"ร้านกัญญาณัฎฐ์")</f>
        <v>ร้านกัญญาณัฎฐ์</v>
      </c>
      <c r="E2688" s="1" t="str">
        <f>IFERROR(__xludf.DUMMYFUNCTION("""COMPUTED_VALUE"""),"Donjai")</f>
        <v>Donjai</v>
      </c>
      <c r="F2688" s="1" t="str">
        <f>IFERROR(__xludf.DUMMYFUNCTION("""COMPUTED_VALUE"""),"00510143")</f>
        <v>00510143</v>
      </c>
      <c r="G2688" s="1" t="str">
        <f>IFERROR(__xludf.DUMMYFUNCTION("""COMPUTED_VALUE"""),"นายธีระวัฒน์ บุญสิทธิ์")</f>
        <v>นายธีระวัฒน์ บุญสิทธิ์</v>
      </c>
      <c r="H2688" s="1" t="str">
        <f>IFERROR(__xludf.DUMMYFUNCTION("""COMPUTED_VALUE"""),"00510143")</f>
        <v>00510143</v>
      </c>
      <c r="I2688" s="1" t="str">
        <f>IFERROR(__xludf.DUMMYFUNCTION("""COMPUTED_VALUE"""),"นายธีระวัฒน์ บุญสิทธิ์")</f>
        <v>นายธีระวัฒน์ บุญสิทธิ์</v>
      </c>
      <c r="J2688" s="3">
        <f>IFERROR(__xludf.DUMMYFUNCTION("""COMPUTED_VALUE"""),228031.0)</f>
        <v>228031</v>
      </c>
      <c r="K2688" s="3" t="str">
        <f>IFERROR(__xludf.DUMMYFUNCTION("""COMPUTED_VALUE"""),"นายธนพงษ์ วันหมัด")</f>
        <v>นายธนพงษ์ วันหมัด</v>
      </c>
      <c r="L2688" s="1" t="str">
        <f>IFERROR(__xludf.DUMMYFUNCTION("""COMPUTED_VALUE"""),"นายธนพงษ์ วันหมัด")</f>
        <v>นายธนพงษ์ วันหมัด</v>
      </c>
      <c r="M2688" s="1" t="str">
        <f>IFERROR(__xludf.DUMMYFUNCTION("""COMPUTED_VALUE"""),"0813716913")</f>
        <v>0813716913</v>
      </c>
      <c r="N2688" s="3">
        <f>IFERROR(__xludf.DUMMYFUNCTION("""COMPUTED_VALUE"""),83488.0)</f>
        <v>83488</v>
      </c>
      <c r="O2688" s="3" t="str">
        <f>IFERROR(__xludf.DUMMYFUNCTION("""COMPUTED_VALUE"""),"ร้านกัญญาณัฎฐ์")</f>
        <v>ร้านกัญญาณัฎฐ์</v>
      </c>
      <c r="P2688" s="4">
        <f>IFERROR(__xludf.DUMMYFUNCTION("""COMPUTED_VALUE"""),44592.0)</f>
        <v>44592</v>
      </c>
      <c r="Q2688" s="3" t="str">
        <f>IFERROR(__xludf.DUMMYFUNCTION("""COMPUTED_VALUE"""),"A")</f>
        <v>A</v>
      </c>
      <c r="R2688" s="3" t="str">
        <f>IFERROR(__xludf.DUMMYFUNCTION("""COMPUTED_VALUE"""),"Small Format")</f>
        <v>Small Format</v>
      </c>
      <c r="S2688" s="3" t="str">
        <f>IFERROR(__xludf.DUMMYFUNCTION("""COMPUTED_VALUE"""),"Donjai")</f>
        <v>Donjai</v>
      </c>
      <c r="T2688" s="3" t="str">
        <f>IFERROR(__xludf.DUMMYFUNCTION("""COMPUTED_VALUE"""),"12 K.Theerawat B.")</f>
        <v>12 K.Theerawat B.</v>
      </c>
      <c r="U2688" s="3" t="str">
        <f>IFERROR(__xludf.DUMMYFUNCTION("""COMPUTED_VALUE"""),"12 K.Theerawat B.")</f>
        <v>12 K.Theerawat B.</v>
      </c>
      <c r="V2688" s="3" t="str">
        <f>IFERROR(__xludf.DUMMYFUNCTION("""COMPUTED_VALUE"""),"N")</f>
        <v>N</v>
      </c>
      <c r="W2688" s="3"/>
      <c r="X2688" s="3" t="str">
        <f>IFERROR(__xludf.DUMMYFUNCTION("""COMPUTED_VALUE"""),"3 หมู่ที่15 ต.ท่าแยก อ.เมืองสระแก้ว จ.สระแก้ว")</f>
        <v>3 หมู่ที่15 ต.ท่าแยก อ.เมืองสระแก้ว จ.สระแก้ว</v>
      </c>
      <c r="Y2688" s="3"/>
      <c r="Z2688" s="3">
        <f>IFERROR(__xludf.DUMMYFUNCTION("""COMPUTED_VALUE"""),0.0)</f>
        <v>0</v>
      </c>
      <c r="AA2688" s="3">
        <f>IFERROR(__xludf.DUMMYFUNCTION("""COMPUTED_VALUE"""),0.0)</f>
        <v>0</v>
      </c>
      <c r="AB2688" s="3" t="str">
        <f>IFERROR(__xludf.DUMMYFUNCTION("""COMPUTED_VALUE"""),"สระแก้ว")</f>
        <v>สระแก้ว</v>
      </c>
      <c r="AC2688" s="3">
        <f>IFERROR(__xludf.DUMMYFUNCTION("""COMPUTED_VALUE"""),0.0)</f>
        <v>0</v>
      </c>
      <c r="AD2688" s="3"/>
      <c r="AE2688" s="3"/>
      <c r="AF2688" s="3" t="str">
        <f>IFERROR(__xludf.DUMMYFUNCTION("""COMPUTED_VALUE"""),"ร้านกัญญาณัฎฐ์-83488")</f>
        <v>ร้านกัญญาณัฎฐ์-83488</v>
      </c>
      <c r="AG2688" s="3" t="str">
        <f>IFERROR(__xludf.DUMMYFUNCTION("""COMPUTED_VALUE"""),"ตะวันออก")</f>
        <v>ตะวันออก</v>
      </c>
      <c r="AH2688" s="3" t="str">
        <f>IFERROR(__xludf.DUMMYFUNCTION("""COMPUTED_VALUE"""),"#N/A")</f>
        <v>#N/A</v>
      </c>
      <c r="AI2688" s="3" t="str">
        <f>IFERROR(__xludf.DUMMYFUNCTION("""COMPUTED_VALUE"""),"Out of warranty")</f>
        <v>Out of warranty</v>
      </c>
      <c r="AJ2688" s="3">
        <f>IFERROR(__xludf.DUMMYFUNCTION("""COMPUTED_VALUE"""),48.0)</f>
        <v>48</v>
      </c>
      <c r="AK2688" s="3"/>
      <c r="AL2688" s="3"/>
    </row>
    <row r="2689" ht="15.75" customHeight="1">
      <c r="A2689" s="1" t="str">
        <f>IFERROR(__xludf.DUMMYFUNCTION("""COMPUTED_VALUE"""),"83490")</f>
        <v>83490</v>
      </c>
      <c r="B2689" s="2">
        <f>IFERROR(__xludf.DUMMYFUNCTION("""COMPUTED_VALUE"""),83490.0)</f>
        <v>83490</v>
      </c>
      <c r="C2689" s="3" t="str">
        <f>IFERROR(__xludf.DUMMYFUNCTION("""COMPUTED_VALUE"""),"ร้าน แพมแพม")</f>
        <v>ร้าน แพมแพม</v>
      </c>
      <c r="D2689" s="3" t="str">
        <f>IFERROR(__xludf.DUMMYFUNCTION("""COMPUTED_VALUE"""),"ร้าน แพมแพม")</f>
        <v>ร้าน แพมแพม</v>
      </c>
      <c r="E2689" s="1" t="str">
        <f>IFERROR(__xludf.DUMMYFUNCTION("""COMPUTED_VALUE"""),"Donjai")</f>
        <v>Donjai</v>
      </c>
      <c r="F2689" s="1" t="str">
        <f>IFERROR(__xludf.DUMMYFUNCTION("""COMPUTED_VALUE"""),"2010023")</f>
        <v>2010023</v>
      </c>
      <c r="G2689" s="1" t="str">
        <f>IFERROR(__xludf.DUMMYFUNCTION("""COMPUTED_VALUE"""),"นายวศิน ไวยรูป")</f>
        <v>นายวศิน ไวยรูป</v>
      </c>
      <c r="H2689" s="1" t="str">
        <f>IFERROR(__xludf.DUMMYFUNCTION("""COMPUTED_VALUE"""),"2010023")</f>
        <v>2010023</v>
      </c>
      <c r="I2689" s="1" t="str">
        <f>IFERROR(__xludf.DUMMYFUNCTION("""COMPUTED_VALUE"""),"นายวศิน ไวยรูป")</f>
        <v>นายวศิน ไวยรูป</v>
      </c>
      <c r="J2689" s="3">
        <f>IFERROR(__xludf.DUMMYFUNCTION("""COMPUTED_VALUE"""),228031.0)</f>
        <v>228031</v>
      </c>
      <c r="K2689" s="3" t="str">
        <f>IFERROR(__xludf.DUMMYFUNCTION("""COMPUTED_VALUE"""),"นายธนพงษ์ วันหมัด")</f>
        <v>นายธนพงษ์ วันหมัด</v>
      </c>
      <c r="L2689" s="1" t="str">
        <f>IFERROR(__xludf.DUMMYFUNCTION("""COMPUTED_VALUE"""),"นายธนพงษ์ วันหมัด")</f>
        <v>นายธนพงษ์ วันหมัด</v>
      </c>
      <c r="M2689" s="1" t="str">
        <f>IFERROR(__xludf.DUMMYFUNCTION("""COMPUTED_VALUE"""),"0813716913")</f>
        <v>0813716913</v>
      </c>
      <c r="N2689" s="3">
        <f>IFERROR(__xludf.DUMMYFUNCTION("""COMPUTED_VALUE"""),83490.0)</f>
        <v>83490</v>
      </c>
      <c r="O2689" s="3" t="str">
        <f>IFERROR(__xludf.DUMMYFUNCTION("""COMPUTED_VALUE"""),"ร้าน แพมแพม")</f>
        <v>ร้าน แพมแพม</v>
      </c>
      <c r="P2689" s="4">
        <f>IFERROR(__xludf.DUMMYFUNCTION("""COMPUTED_VALUE"""),44596.0)</f>
        <v>44596</v>
      </c>
      <c r="Q2689" s="3" t="str">
        <f>IFERROR(__xludf.DUMMYFUNCTION("""COMPUTED_VALUE"""),"I")</f>
        <v>I</v>
      </c>
      <c r="R2689" s="3" t="str">
        <f>IFERROR(__xludf.DUMMYFUNCTION("""COMPUTED_VALUE"""),"Small Format")</f>
        <v>Small Format</v>
      </c>
      <c r="S2689" s="3" t="str">
        <f>IFERROR(__xludf.DUMMYFUNCTION("""COMPUTED_VALUE"""),"Donjai")</f>
        <v>Donjai</v>
      </c>
      <c r="T2689" s="3" t="str">
        <f>IFERROR(__xludf.DUMMYFUNCTION("""COMPUTED_VALUE"""),"Donjai")</f>
        <v>Donjai</v>
      </c>
      <c r="U2689" s="3" t="str">
        <f>IFERROR(__xludf.DUMMYFUNCTION("""COMPUTED_VALUE"""),"Donjai")</f>
        <v>Donjai</v>
      </c>
      <c r="V2689" s="3" t="str">
        <f>IFERROR(__xludf.DUMMYFUNCTION("""COMPUTED_VALUE"""),"N")</f>
        <v>N</v>
      </c>
      <c r="W2689" s="3"/>
      <c r="X2689" s="3" t="str">
        <f>IFERROR(__xludf.DUMMYFUNCTION("""COMPUTED_VALUE"""),"232 ถนน หทัยราษฎร์")</f>
        <v>232 ถนน หทัยราษฎร์</v>
      </c>
      <c r="Y2689" s="3"/>
      <c r="Z2689" s="3">
        <f>IFERROR(__xludf.DUMMYFUNCTION("""COMPUTED_VALUE"""),0.0)</f>
        <v>0</v>
      </c>
      <c r="AA2689" s="3">
        <f>IFERROR(__xludf.DUMMYFUNCTION("""COMPUTED_VALUE"""),0.0)</f>
        <v>0</v>
      </c>
      <c r="AB2689" s="3" t="str">
        <f>IFERROR(__xludf.DUMMYFUNCTION("""COMPUTED_VALUE"""),"กรุงเทพมหานคร")</f>
        <v>กรุงเทพมหานคร</v>
      </c>
      <c r="AC2689" s="3">
        <f>IFERROR(__xludf.DUMMYFUNCTION("""COMPUTED_VALUE"""),0.0)</f>
        <v>0</v>
      </c>
      <c r="AD2689" s="3"/>
      <c r="AE2689" s="3"/>
      <c r="AF2689" s="3" t="str">
        <f>IFERROR(__xludf.DUMMYFUNCTION("""COMPUTED_VALUE"""),"ร้าน แพมแพม-83490")</f>
        <v>ร้าน แพมแพม-83490</v>
      </c>
      <c r="AG2689" s="3" t="str">
        <f>IFERROR(__xludf.DUMMYFUNCTION("""COMPUTED_VALUE"""),"กลาง")</f>
        <v>กลาง</v>
      </c>
      <c r="AH2689" s="3" t="str">
        <f>IFERROR(__xludf.DUMMYFUNCTION("""COMPUTED_VALUE"""),"#N/A")</f>
        <v>#N/A</v>
      </c>
      <c r="AI2689" s="3" t="str">
        <f>IFERROR(__xludf.DUMMYFUNCTION("""COMPUTED_VALUE"""),"Out of warranty")</f>
        <v>Out of warranty</v>
      </c>
      <c r="AJ2689" s="3">
        <f>IFERROR(__xludf.DUMMYFUNCTION("""COMPUTED_VALUE"""),48.0)</f>
        <v>48</v>
      </c>
      <c r="AK2689" s="3"/>
      <c r="AL2689" s="3"/>
    </row>
    <row r="2690" ht="15.75" customHeight="1">
      <c r="A2690" s="1" t="str">
        <f>IFERROR(__xludf.DUMMYFUNCTION("""COMPUTED_VALUE"""),"83491")</f>
        <v>83491</v>
      </c>
      <c r="B2690" s="2">
        <f>IFERROR(__xludf.DUMMYFUNCTION("""COMPUTED_VALUE"""),83491.0)</f>
        <v>83491</v>
      </c>
      <c r="C2690" s="3" t="str">
        <f>IFERROR(__xludf.DUMMYFUNCTION("""COMPUTED_VALUE"""),"ร้านจ่ารัญ (ร้านธนกาญจน์_แฟลตตำรวจปากพนัง )")</f>
        <v>ร้านจ่ารัญ (ร้านธนกาญจน์_แฟลตตำรวจปากพนัง )</v>
      </c>
      <c r="D2690" s="3" t="str">
        <f>IFERROR(__xludf.DUMMYFUNCTION("""COMPUTED_VALUE"""),"ร้านจ่ารัญ (ร้านธนกาญจน์_แฟลตตำรวจปากพนัง )")</f>
        <v>ร้านจ่ารัญ (ร้านธนกาญจน์_แฟลตตำรวจปากพนัง )</v>
      </c>
      <c r="E2690" s="1" t="str">
        <f>IFERROR(__xludf.DUMMYFUNCTION("""COMPUTED_VALUE"""),"Donjai")</f>
        <v>Donjai</v>
      </c>
      <c r="F2690" s="1" t="str">
        <f>IFERROR(__xludf.DUMMYFUNCTION("""COMPUTED_VALUE"""),"20470331")</f>
        <v>20470331</v>
      </c>
      <c r="G2690" s="1" t="str">
        <f>IFERROR(__xludf.DUMMYFUNCTION("""COMPUTED_VALUE"""),"นายสมชาย ลักษณะสุวรรณ")</f>
        <v>นายสมชาย ลักษณะสุวรรณ</v>
      </c>
      <c r="H2690" s="1" t="str">
        <f>IFERROR(__xludf.DUMMYFUNCTION("""COMPUTED_VALUE"""),"20470331")</f>
        <v>20470331</v>
      </c>
      <c r="I2690" s="1" t="str">
        <f>IFERROR(__xludf.DUMMYFUNCTION("""COMPUTED_VALUE"""),"นายสมชาย ลักษณะสุวรรณ")</f>
        <v>นายสมชาย ลักษณะสุวรรณ</v>
      </c>
      <c r="J2690" s="3">
        <f>IFERROR(__xludf.DUMMYFUNCTION("""COMPUTED_VALUE"""),295541.0)</f>
        <v>295541</v>
      </c>
      <c r="K2690" s="3" t="str">
        <f>IFERROR(__xludf.DUMMYFUNCTION("""COMPUTED_VALUE"""),"นายรพิพล ศรีมาตย์")</f>
        <v>นายรพิพล ศรีมาตย์</v>
      </c>
      <c r="L2690" s="1" t="str">
        <f>IFERROR(__xludf.DUMMYFUNCTION("""COMPUTED_VALUE"""),"นายรพิพล ศรีมาตย์")</f>
        <v>นายรพิพล ศรีมาตย์</v>
      </c>
      <c r="M2690" s="1" t="str">
        <f>IFERROR(__xludf.DUMMYFUNCTION("""COMPUTED_VALUE"""),"0613966115")</f>
        <v>0613966115</v>
      </c>
      <c r="N2690" s="3">
        <f>IFERROR(__xludf.DUMMYFUNCTION("""COMPUTED_VALUE"""),83491.0)</f>
        <v>83491</v>
      </c>
      <c r="O2690" s="3" t="str">
        <f>IFERROR(__xludf.DUMMYFUNCTION("""COMPUTED_VALUE"""),"ร้านจ่ารัญ (ร้านธนกาญจน์_แฟลตตำรวจปากพนัง )")</f>
        <v>ร้านจ่ารัญ (ร้านธนกาญจน์_แฟลตตำรวจปากพนัง )</v>
      </c>
      <c r="P2690" s="4">
        <f>IFERROR(__xludf.DUMMYFUNCTION("""COMPUTED_VALUE"""),44593.0)</f>
        <v>44593</v>
      </c>
      <c r="Q2690" s="3" t="str">
        <f>IFERROR(__xludf.DUMMYFUNCTION("""COMPUTED_VALUE"""),"I")</f>
        <v>I</v>
      </c>
      <c r="R2690" s="3" t="str">
        <f>IFERROR(__xludf.DUMMYFUNCTION("""COMPUTED_VALUE"""),"Small Format")</f>
        <v>Small Format</v>
      </c>
      <c r="S2690" s="3" t="str">
        <f>IFERROR(__xludf.DUMMYFUNCTION("""COMPUTED_VALUE"""),"Donjai")</f>
        <v>Donjai</v>
      </c>
      <c r="T2690" s="3" t="str">
        <f>IFERROR(__xludf.DUMMYFUNCTION("""COMPUTED_VALUE"""),"15 K.Somchai L")</f>
        <v>15 K.Somchai L</v>
      </c>
      <c r="U2690" s="3" t="str">
        <f>IFERROR(__xludf.DUMMYFUNCTION("""COMPUTED_VALUE"""),"15 K.Somchai L")</f>
        <v>15 K.Somchai L</v>
      </c>
      <c r="V2690" s="3" t="str">
        <f>IFERROR(__xludf.DUMMYFUNCTION("""COMPUTED_VALUE"""),"N")</f>
        <v>N</v>
      </c>
      <c r="W2690" s="3"/>
      <c r="X2690" s="3" t="str">
        <f>IFERROR(__xludf.DUMMYFUNCTION("""COMPUTED_VALUE"""),"2/10 ถ.ชายทะเล อ.ปากพนัง จ.นครศรีธรรมราช")</f>
        <v>2/10 ถ.ชายทะเล อ.ปากพนัง จ.นครศรีธรรมราช</v>
      </c>
      <c r="Y2690" s="3"/>
      <c r="Z2690" s="3">
        <f>IFERROR(__xludf.DUMMYFUNCTION("""COMPUTED_VALUE"""),0.0)</f>
        <v>0</v>
      </c>
      <c r="AA2690" s="3">
        <f>IFERROR(__xludf.DUMMYFUNCTION("""COMPUTED_VALUE"""),0.0)</f>
        <v>0</v>
      </c>
      <c r="AB2690" s="3" t="str">
        <f>IFERROR(__xludf.DUMMYFUNCTION("""COMPUTED_VALUE"""),"นครศรีธรรมราช")</f>
        <v>นครศรีธรรมราช</v>
      </c>
      <c r="AC2690" s="3">
        <f>IFERROR(__xludf.DUMMYFUNCTION("""COMPUTED_VALUE"""),0.0)</f>
        <v>0</v>
      </c>
      <c r="AD2690" s="3"/>
      <c r="AE2690" s="3"/>
      <c r="AF2690" s="3" t="str">
        <f>IFERROR(__xludf.DUMMYFUNCTION("""COMPUTED_VALUE"""),"ร้านจ่ารัญ (ร้านธนกาญจน์_แฟลตตำรวจปากพนัง )-83491")</f>
        <v>ร้านจ่ารัญ (ร้านธนกาญจน์_แฟลตตำรวจปากพนัง )-83491</v>
      </c>
      <c r="AG2690" s="3" t="str">
        <f>IFERROR(__xludf.DUMMYFUNCTION("""COMPUTED_VALUE"""),"ใต้")</f>
        <v>ใต้</v>
      </c>
      <c r="AH2690" s="3" t="str">
        <f>IFERROR(__xludf.DUMMYFUNCTION("""COMPUTED_VALUE"""),"#N/A")</f>
        <v>#N/A</v>
      </c>
      <c r="AI2690" s="3" t="str">
        <f>IFERROR(__xludf.DUMMYFUNCTION("""COMPUTED_VALUE"""),"Out of warranty")</f>
        <v>Out of warranty</v>
      </c>
      <c r="AJ2690" s="3">
        <f>IFERROR(__xludf.DUMMYFUNCTION("""COMPUTED_VALUE"""),48.0)</f>
        <v>48</v>
      </c>
      <c r="AK2690" s="3"/>
      <c r="AL2690" s="3"/>
    </row>
    <row r="2691" ht="15.75" customHeight="1">
      <c r="A2691" s="1" t="str">
        <f>IFERROR(__xludf.DUMMYFUNCTION("""COMPUTED_VALUE"""),"83493")</f>
        <v>83493</v>
      </c>
      <c r="B2691" s="2">
        <f>IFERROR(__xludf.DUMMYFUNCTION("""COMPUTED_VALUE"""),83493.0)</f>
        <v>83493</v>
      </c>
      <c r="C2691" s="3" t="str">
        <f>IFERROR(__xludf.DUMMYFUNCTION("""COMPUTED_VALUE"""),"ร้านพี่จอย (หน้าวัดเขาขุนพนม)")</f>
        <v>ร้านพี่จอย (หน้าวัดเขาขุนพนม)</v>
      </c>
      <c r="D2691" s="3" t="str">
        <f>IFERROR(__xludf.DUMMYFUNCTION("""COMPUTED_VALUE"""),"ร้านพี่จอย (หน้าวัดเขาขุนพนม)")</f>
        <v>ร้านพี่จอย (หน้าวัดเขาขุนพนม)</v>
      </c>
      <c r="E2691" s="1" t="str">
        <f>IFERROR(__xludf.DUMMYFUNCTION("""COMPUTED_VALUE"""),"Donjai")</f>
        <v>Donjai</v>
      </c>
      <c r="F2691" s="1" t="str">
        <f>IFERROR(__xludf.DUMMYFUNCTION("""COMPUTED_VALUE"""),"025324")</f>
        <v>025324</v>
      </c>
      <c r="G2691" s="1" t="str">
        <f>IFERROR(__xludf.DUMMYFUNCTION("""COMPUTED_VALUE"""),"นายวิเชฎฐ์ ติรัตนะประคม")</f>
        <v>นายวิเชฎฐ์ ติรัตนะประคม</v>
      </c>
      <c r="H2691" s="1" t="str">
        <f>IFERROR(__xludf.DUMMYFUNCTION("""COMPUTED_VALUE"""),"025324")</f>
        <v>025324</v>
      </c>
      <c r="I2691" s="1" t="str">
        <f>IFERROR(__xludf.DUMMYFUNCTION("""COMPUTED_VALUE"""),"นายวิเชฎฐ์ ติรัตนะประคม")</f>
        <v>นายวิเชฎฐ์ ติรัตนะประคม</v>
      </c>
      <c r="J2691" s="3">
        <f>IFERROR(__xludf.DUMMYFUNCTION("""COMPUTED_VALUE"""),295541.0)</f>
        <v>295541</v>
      </c>
      <c r="K2691" s="3" t="str">
        <f>IFERROR(__xludf.DUMMYFUNCTION("""COMPUTED_VALUE"""),"นายรพิพล ศรีมาตย์")</f>
        <v>นายรพิพล ศรีมาตย์</v>
      </c>
      <c r="L2691" s="1" t="str">
        <f>IFERROR(__xludf.DUMMYFUNCTION("""COMPUTED_VALUE"""),"นายรพิพล ศรีมาตย์")</f>
        <v>นายรพิพล ศรีมาตย์</v>
      </c>
      <c r="M2691" s="1" t="str">
        <f>IFERROR(__xludf.DUMMYFUNCTION("""COMPUTED_VALUE"""),"0613966115")</f>
        <v>0613966115</v>
      </c>
      <c r="N2691" s="3">
        <f>IFERROR(__xludf.DUMMYFUNCTION("""COMPUTED_VALUE"""),83493.0)</f>
        <v>83493</v>
      </c>
      <c r="O2691" s="3" t="str">
        <f>IFERROR(__xludf.DUMMYFUNCTION("""COMPUTED_VALUE"""),"ร้านพี่จอย (หน้าวัดเขาขุนพนม)")</f>
        <v>ร้านพี่จอย (หน้าวัดเขาขุนพนม)</v>
      </c>
      <c r="P2691" s="4">
        <f>IFERROR(__xludf.DUMMYFUNCTION("""COMPUTED_VALUE"""),44599.0)</f>
        <v>44599</v>
      </c>
      <c r="Q2691" s="3" t="str">
        <f>IFERROR(__xludf.DUMMYFUNCTION("""COMPUTED_VALUE"""),"A")</f>
        <v>A</v>
      </c>
      <c r="R2691" s="3" t="str">
        <f>IFERROR(__xludf.DUMMYFUNCTION("""COMPUTED_VALUE"""),"Small Format")</f>
        <v>Small Format</v>
      </c>
      <c r="S2691" s="3" t="str">
        <f>IFERROR(__xludf.DUMMYFUNCTION("""COMPUTED_VALUE"""),"Donjai")</f>
        <v>Donjai</v>
      </c>
      <c r="T2691" s="3" t="str">
        <f>IFERROR(__xludf.DUMMYFUNCTION("""COMPUTED_VALUE"""),"14 K.Wichet T.")</f>
        <v>14 K.Wichet T.</v>
      </c>
      <c r="U2691" s="3" t="str">
        <f>IFERROR(__xludf.DUMMYFUNCTION("""COMPUTED_VALUE"""),"14 K.Wichet T.")</f>
        <v>14 K.Wichet T.</v>
      </c>
      <c r="V2691" s="3" t="str">
        <f>IFERROR(__xludf.DUMMYFUNCTION("""COMPUTED_VALUE"""),"N")</f>
        <v>N</v>
      </c>
      <c r="W2691" s="3"/>
      <c r="X2691" s="3" t="str">
        <f>IFERROR(__xludf.DUMMYFUNCTION("""COMPUTED_VALUE"""),"64/1 หมู่ 4 ต.บ้านเกาะ อ.พรหมคีรี จ.นครศรีธรรมราช")</f>
        <v>64/1 หมู่ 4 ต.บ้านเกาะ อ.พรหมคีรี จ.นครศรีธรรมราช</v>
      </c>
      <c r="Y2691" s="3"/>
      <c r="Z2691" s="3">
        <f>IFERROR(__xludf.DUMMYFUNCTION("""COMPUTED_VALUE"""),0.0)</f>
        <v>0</v>
      </c>
      <c r="AA2691" s="3">
        <f>IFERROR(__xludf.DUMMYFUNCTION("""COMPUTED_VALUE"""),0.0)</f>
        <v>0</v>
      </c>
      <c r="AB2691" s="3" t="str">
        <f>IFERROR(__xludf.DUMMYFUNCTION("""COMPUTED_VALUE"""),"นครศรีธรรมราช")</f>
        <v>นครศรีธรรมราช</v>
      </c>
      <c r="AC2691" s="3">
        <f>IFERROR(__xludf.DUMMYFUNCTION("""COMPUTED_VALUE"""),0.0)</f>
        <v>0</v>
      </c>
      <c r="AD2691" s="3"/>
      <c r="AE2691" s="3"/>
      <c r="AF2691" s="3" t="str">
        <f>IFERROR(__xludf.DUMMYFUNCTION("""COMPUTED_VALUE"""),"ร้านพี่จอย (หน้าวัดเขาขุนพนม)-83493")</f>
        <v>ร้านพี่จอย (หน้าวัดเขาขุนพนม)-83493</v>
      </c>
      <c r="AG2691" s="3" t="str">
        <f>IFERROR(__xludf.DUMMYFUNCTION("""COMPUTED_VALUE"""),"ใต้")</f>
        <v>ใต้</v>
      </c>
      <c r="AH2691" s="3" t="str">
        <f>IFERROR(__xludf.DUMMYFUNCTION("""COMPUTED_VALUE"""),"#N/A")</f>
        <v>#N/A</v>
      </c>
      <c r="AI2691" s="3" t="str">
        <f>IFERROR(__xludf.DUMMYFUNCTION("""COMPUTED_VALUE"""),"Out of warranty")</f>
        <v>Out of warranty</v>
      </c>
      <c r="AJ2691" s="3">
        <f>IFERROR(__xludf.DUMMYFUNCTION("""COMPUTED_VALUE"""),48.0)</f>
        <v>48</v>
      </c>
      <c r="AK2691" s="3"/>
      <c r="AL2691" s="3"/>
    </row>
    <row r="2692" ht="15.75" customHeight="1">
      <c r="A2692" s="1" t="str">
        <f>IFERROR(__xludf.DUMMYFUNCTION("""COMPUTED_VALUE"""),"83494")</f>
        <v>83494</v>
      </c>
      <c r="B2692" s="2">
        <f>IFERROR(__xludf.DUMMYFUNCTION("""COMPUTED_VALUE"""),83494.0)</f>
        <v>83494</v>
      </c>
      <c r="C2692" s="3" t="str">
        <f>IFERROR(__xludf.DUMMYFUNCTION("""COMPUTED_VALUE"""),"ร้านพี่จารีมินิมาร์ท (จารีมินิมาร์ท )")</f>
        <v>ร้านพี่จารีมินิมาร์ท (จารีมินิมาร์ท )</v>
      </c>
      <c r="D2692" s="3" t="str">
        <f>IFERROR(__xludf.DUMMYFUNCTION("""COMPUTED_VALUE"""),"ร้านพี่จารีมินิมาร์ท (จารีมินิมาร์ท )")</f>
        <v>ร้านพี่จารีมินิมาร์ท (จารีมินิมาร์ท )</v>
      </c>
      <c r="E2692" s="1" t="str">
        <f>IFERROR(__xludf.DUMMYFUNCTION("""COMPUTED_VALUE"""),"Donjai")</f>
        <v>Donjai</v>
      </c>
      <c r="F2692" s="1" t="str">
        <f>IFERROR(__xludf.DUMMYFUNCTION("""COMPUTED_VALUE"""),"20470331")</f>
        <v>20470331</v>
      </c>
      <c r="G2692" s="1" t="str">
        <f>IFERROR(__xludf.DUMMYFUNCTION("""COMPUTED_VALUE"""),"นายสมชาย ลักษณะสุวรรณ")</f>
        <v>นายสมชาย ลักษณะสุวรรณ</v>
      </c>
      <c r="H2692" s="1" t="str">
        <f>IFERROR(__xludf.DUMMYFUNCTION("""COMPUTED_VALUE"""),"20470331")</f>
        <v>20470331</v>
      </c>
      <c r="I2692" s="1" t="str">
        <f>IFERROR(__xludf.DUMMYFUNCTION("""COMPUTED_VALUE"""),"นายสมชาย ลักษณะสุวรรณ")</f>
        <v>นายสมชาย ลักษณะสุวรรณ</v>
      </c>
      <c r="J2692" s="3">
        <f>IFERROR(__xludf.DUMMYFUNCTION("""COMPUTED_VALUE"""),295541.0)</f>
        <v>295541</v>
      </c>
      <c r="K2692" s="3" t="str">
        <f>IFERROR(__xludf.DUMMYFUNCTION("""COMPUTED_VALUE"""),"นายรพิพล ศรีมาตย์")</f>
        <v>นายรพิพล ศรีมาตย์</v>
      </c>
      <c r="L2692" s="1" t="str">
        <f>IFERROR(__xludf.DUMMYFUNCTION("""COMPUTED_VALUE"""),"นายรพิพล ศรีมาตย์")</f>
        <v>นายรพิพล ศรีมาตย์</v>
      </c>
      <c r="M2692" s="1" t="str">
        <f>IFERROR(__xludf.DUMMYFUNCTION("""COMPUTED_VALUE"""),"0613966115")</f>
        <v>0613966115</v>
      </c>
      <c r="N2692" s="3">
        <f>IFERROR(__xludf.DUMMYFUNCTION("""COMPUTED_VALUE"""),83494.0)</f>
        <v>83494</v>
      </c>
      <c r="O2692" s="3" t="str">
        <f>IFERROR(__xludf.DUMMYFUNCTION("""COMPUTED_VALUE"""),"ร้านพี่จารีมินิมาร์ท (จารีมินิมาร์ท )")</f>
        <v>ร้านพี่จารีมินิมาร์ท (จารีมินิมาร์ท )</v>
      </c>
      <c r="P2692" s="4">
        <f>IFERROR(__xludf.DUMMYFUNCTION("""COMPUTED_VALUE"""),44596.0)</f>
        <v>44596</v>
      </c>
      <c r="Q2692" s="3" t="str">
        <f>IFERROR(__xludf.DUMMYFUNCTION("""COMPUTED_VALUE"""),"I")</f>
        <v>I</v>
      </c>
      <c r="R2692" s="3" t="str">
        <f>IFERROR(__xludf.DUMMYFUNCTION("""COMPUTED_VALUE"""),"Small Format")</f>
        <v>Small Format</v>
      </c>
      <c r="S2692" s="3" t="str">
        <f>IFERROR(__xludf.DUMMYFUNCTION("""COMPUTED_VALUE"""),"Donjai")</f>
        <v>Donjai</v>
      </c>
      <c r="T2692" s="3" t="str">
        <f>IFERROR(__xludf.DUMMYFUNCTION("""COMPUTED_VALUE"""),"15 K.Somchai L")</f>
        <v>15 K.Somchai L</v>
      </c>
      <c r="U2692" s="3" t="str">
        <f>IFERROR(__xludf.DUMMYFUNCTION("""COMPUTED_VALUE"""),"15 K.Somchai L")</f>
        <v>15 K.Somchai L</v>
      </c>
      <c r="V2692" s="3" t="str">
        <f>IFERROR(__xludf.DUMMYFUNCTION("""COMPUTED_VALUE"""),"N")</f>
        <v>N</v>
      </c>
      <c r="W2692" s="3"/>
      <c r="X2692" s="3" t="str">
        <f>IFERROR(__xludf.DUMMYFUNCTION("""COMPUTED_VALUE"""),"35 หมู่ 1 ต.กะหรอ อ.นบพิตำ จ.นครศรีธรรมราช")</f>
        <v>35 หมู่ 1 ต.กะหรอ อ.นบพิตำ จ.นครศรีธรรมราช</v>
      </c>
      <c r="Y2692" s="3"/>
      <c r="Z2692" s="3">
        <f>IFERROR(__xludf.DUMMYFUNCTION("""COMPUTED_VALUE"""),0.0)</f>
        <v>0</v>
      </c>
      <c r="AA2692" s="3">
        <f>IFERROR(__xludf.DUMMYFUNCTION("""COMPUTED_VALUE"""),0.0)</f>
        <v>0</v>
      </c>
      <c r="AB2692" s="3" t="str">
        <f>IFERROR(__xludf.DUMMYFUNCTION("""COMPUTED_VALUE"""),"นครศรีธรรมราช")</f>
        <v>นครศรีธรรมราช</v>
      </c>
      <c r="AC2692" s="3">
        <f>IFERROR(__xludf.DUMMYFUNCTION("""COMPUTED_VALUE"""),0.0)</f>
        <v>0</v>
      </c>
      <c r="AD2692" s="3"/>
      <c r="AE2692" s="3"/>
      <c r="AF2692" s="3" t="str">
        <f>IFERROR(__xludf.DUMMYFUNCTION("""COMPUTED_VALUE"""),"ร้านพี่จารีมินิมาร์ท (จารีมินิมาร์ท )-83494")</f>
        <v>ร้านพี่จารีมินิมาร์ท (จารีมินิมาร์ท )-83494</v>
      </c>
      <c r="AG2692" s="3" t="str">
        <f>IFERROR(__xludf.DUMMYFUNCTION("""COMPUTED_VALUE"""),"ใต้")</f>
        <v>ใต้</v>
      </c>
      <c r="AH2692" s="3" t="str">
        <f>IFERROR(__xludf.DUMMYFUNCTION("""COMPUTED_VALUE"""),"#N/A")</f>
        <v>#N/A</v>
      </c>
      <c r="AI2692" s="3" t="str">
        <f>IFERROR(__xludf.DUMMYFUNCTION("""COMPUTED_VALUE"""),"Out of warranty")</f>
        <v>Out of warranty</v>
      </c>
      <c r="AJ2692" s="3">
        <f>IFERROR(__xludf.DUMMYFUNCTION("""COMPUTED_VALUE"""),48.0)</f>
        <v>48</v>
      </c>
      <c r="AK2692" s="3"/>
      <c r="AL2692" s="3"/>
    </row>
    <row r="2693" ht="15.75" customHeight="1">
      <c r="A2693" s="1" t="str">
        <f>IFERROR(__xludf.DUMMYFUNCTION("""COMPUTED_VALUE"""),"83495")</f>
        <v>83495</v>
      </c>
      <c r="B2693" s="2">
        <f>IFERROR(__xludf.DUMMYFUNCTION("""COMPUTED_VALUE"""),83495.0)</f>
        <v>83495</v>
      </c>
      <c r="C2693" s="3" t="str">
        <f>IFERROR(__xludf.DUMMYFUNCTION("""COMPUTED_VALUE"""),"ร้านคุณสุรวิช")</f>
        <v>ร้านคุณสุรวิช</v>
      </c>
      <c r="D2693" s="3" t="str">
        <f>IFERROR(__xludf.DUMMYFUNCTION("""COMPUTED_VALUE"""),"ร้านคุณสุรวิช")</f>
        <v>ร้านคุณสุรวิช</v>
      </c>
      <c r="E2693" s="1" t="str">
        <f>IFERROR(__xludf.DUMMYFUNCTION("""COMPUTED_VALUE"""),"Donjai")</f>
        <v>Donjai</v>
      </c>
      <c r="F2693" s="1" t="str">
        <f>IFERROR(__xludf.DUMMYFUNCTION("""COMPUTED_VALUE"""),"2452378")</f>
        <v>2452378</v>
      </c>
      <c r="G2693" s="1" t="str">
        <f>IFERROR(__xludf.DUMMYFUNCTION("""COMPUTED_VALUE"""),"นายศักดิ์ดา พวงประดับ")</f>
        <v>นายศักดิ์ดา พวงประดับ</v>
      </c>
      <c r="H2693" s="1" t="str">
        <f>IFERROR(__xludf.DUMMYFUNCTION("""COMPUTED_VALUE"""),"2452378")</f>
        <v>2452378</v>
      </c>
      <c r="I2693" s="1" t="str">
        <f>IFERROR(__xludf.DUMMYFUNCTION("""COMPUTED_VALUE"""),"นายศักดิ์ดา พวงประดับ")</f>
        <v>นายศักดิ์ดา พวงประดับ</v>
      </c>
      <c r="J2693" s="3">
        <f>IFERROR(__xludf.DUMMYFUNCTION("""COMPUTED_VALUE"""),228031.0)</f>
        <v>228031</v>
      </c>
      <c r="K2693" s="3" t="str">
        <f>IFERROR(__xludf.DUMMYFUNCTION("""COMPUTED_VALUE"""),"นายธนพงษ์ วันหมัด")</f>
        <v>นายธนพงษ์ วันหมัด</v>
      </c>
      <c r="L2693" s="1" t="str">
        <f>IFERROR(__xludf.DUMMYFUNCTION("""COMPUTED_VALUE"""),"นายธนพงษ์ วันหมัด")</f>
        <v>นายธนพงษ์ วันหมัด</v>
      </c>
      <c r="M2693" s="1" t="str">
        <f>IFERROR(__xludf.DUMMYFUNCTION("""COMPUTED_VALUE"""),"0813716913")</f>
        <v>0813716913</v>
      </c>
      <c r="N2693" s="3">
        <f>IFERROR(__xludf.DUMMYFUNCTION("""COMPUTED_VALUE"""),83495.0)</f>
        <v>83495</v>
      </c>
      <c r="O2693" s="3" t="str">
        <f>IFERROR(__xludf.DUMMYFUNCTION("""COMPUTED_VALUE"""),"ร้านคุณสุรวิช")</f>
        <v>ร้านคุณสุรวิช</v>
      </c>
      <c r="P2693" s="4">
        <f>IFERROR(__xludf.DUMMYFUNCTION("""COMPUTED_VALUE"""),44591.0)</f>
        <v>44591</v>
      </c>
      <c r="Q2693" s="3" t="str">
        <f>IFERROR(__xludf.DUMMYFUNCTION("""COMPUTED_VALUE"""),"A")</f>
        <v>A</v>
      </c>
      <c r="R2693" s="3" t="str">
        <f>IFERROR(__xludf.DUMMYFUNCTION("""COMPUTED_VALUE"""),"Small Format")</f>
        <v>Small Format</v>
      </c>
      <c r="S2693" s="3" t="str">
        <f>IFERROR(__xludf.DUMMYFUNCTION("""COMPUTED_VALUE"""),"Donjai")</f>
        <v>Donjai</v>
      </c>
      <c r="T2693" s="3" t="str">
        <f>IFERROR(__xludf.DUMMYFUNCTION("""COMPUTED_VALUE"""),"11 K.Sakda P.")</f>
        <v>11 K.Sakda P.</v>
      </c>
      <c r="U2693" s="3" t="str">
        <f>IFERROR(__xludf.DUMMYFUNCTION("""COMPUTED_VALUE"""),"11 K.Sakda P.")</f>
        <v>11 K.Sakda P.</v>
      </c>
      <c r="V2693" s="3" t="str">
        <f>IFERROR(__xludf.DUMMYFUNCTION("""COMPUTED_VALUE"""),"N")</f>
        <v>N</v>
      </c>
      <c r="W2693" s="3"/>
      <c r="X2693" s="3" t="str">
        <f>IFERROR(__xludf.DUMMYFUNCTION("""COMPUTED_VALUE"""),"22 ซ.สุขุมวิท 62 แยก5-4 ถ.สุขุมวิท 62 แขวงบางจาก เขตพระโขนง กทม. 10260")</f>
        <v>22 ซ.สุขุมวิท 62 แยก5-4 ถ.สุขุมวิท 62 แขวงบางจาก เขตพระโขนง กทม. 10260</v>
      </c>
      <c r="Y2693" s="3"/>
      <c r="Z2693" s="3">
        <f>IFERROR(__xludf.DUMMYFUNCTION("""COMPUTED_VALUE"""),0.0)</f>
        <v>0</v>
      </c>
      <c r="AA2693" s="3">
        <f>IFERROR(__xludf.DUMMYFUNCTION("""COMPUTED_VALUE"""),0.0)</f>
        <v>0</v>
      </c>
      <c r="AB2693" s="3" t="str">
        <f>IFERROR(__xludf.DUMMYFUNCTION("""COMPUTED_VALUE"""),"กรุงเทพมหานคร")</f>
        <v>กรุงเทพมหานคร</v>
      </c>
      <c r="AC2693" s="3">
        <f>IFERROR(__xludf.DUMMYFUNCTION("""COMPUTED_VALUE"""),10260.0)</f>
        <v>10260</v>
      </c>
      <c r="AD2693" s="3"/>
      <c r="AE2693" s="3"/>
      <c r="AF2693" s="3" t="str">
        <f>IFERROR(__xludf.DUMMYFUNCTION("""COMPUTED_VALUE"""),"ร้านคุณสุรวิช-83495")</f>
        <v>ร้านคุณสุรวิช-83495</v>
      </c>
      <c r="AG2693" s="3" t="str">
        <f>IFERROR(__xludf.DUMMYFUNCTION("""COMPUTED_VALUE"""),"กลาง")</f>
        <v>กลาง</v>
      </c>
      <c r="AH2693" s="3" t="str">
        <f>IFERROR(__xludf.DUMMYFUNCTION("""COMPUTED_VALUE"""),"#N/A")</f>
        <v>#N/A</v>
      </c>
      <c r="AI2693" s="3" t="str">
        <f>IFERROR(__xludf.DUMMYFUNCTION("""COMPUTED_VALUE"""),"Out of warranty")</f>
        <v>Out of warranty</v>
      </c>
      <c r="AJ2693" s="3">
        <f>IFERROR(__xludf.DUMMYFUNCTION("""COMPUTED_VALUE"""),48.0)</f>
        <v>48</v>
      </c>
      <c r="AK2693" s="3"/>
      <c r="AL2693" s="3"/>
    </row>
    <row r="2694" ht="15.75" customHeight="1">
      <c r="A2694" s="1" t="str">
        <f>IFERROR(__xludf.DUMMYFUNCTION("""COMPUTED_VALUE"""),"83496")</f>
        <v>83496</v>
      </c>
      <c r="B2694" s="2">
        <f>IFERROR(__xludf.DUMMYFUNCTION("""COMPUTED_VALUE"""),83496.0)</f>
        <v>83496</v>
      </c>
      <c r="C2694" s="3" t="str">
        <f>IFERROR(__xludf.DUMMYFUNCTION("""COMPUTED_VALUE"""),"ร้านโดนใจ By คุณเกด")</f>
        <v>ร้านโดนใจ By คุณเกด</v>
      </c>
      <c r="D2694" s="3" t="str">
        <f>IFERROR(__xludf.DUMMYFUNCTION("""COMPUTED_VALUE"""),"ร้านโดนใจ By คุณเกด")</f>
        <v>ร้านโดนใจ By คุณเกด</v>
      </c>
      <c r="E2694" s="1" t="str">
        <f>IFERROR(__xludf.DUMMYFUNCTION("""COMPUTED_VALUE"""),"Donjai")</f>
        <v>Donjai</v>
      </c>
      <c r="F2694" s="1" t="str">
        <f>IFERROR(__xludf.DUMMYFUNCTION("""COMPUTED_VALUE"""),"2010023")</f>
        <v>2010023</v>
      </c>
      <c r="G2694" s="1" t="str">
        <f>IFERROR(__xludf.DUMMYFUNCTION("""COMPUTED_VALUE"""),"นายวศิน ไวยรูป")</f>
        <v>นายวศิน ไวยรูป</v>
      </c>
      <c r="H2694" s="1" t="str">
        <f>IFERROR(__xludf.DUMMYFUNCTION("""COMPUTED_VALUE"""),"2010023")</f>
        <v>2010023</v>
      </c>
      <c r="I2694" s="1" t="str">
        <f>IFERROR(__xludf.DUMMYFUNCTION("""COMPUTED_VALUE"""),"นายวศิน ไวยรูป")</f>
        <v>นายวศิน ไวยรูป</v>
      </c>
      <c r="J2694" s="3">
        <f>IFERROR(__xludf.DUMMYFUNCTION("""COMPUTED_VALUE"""),228031.0)</f>
        <v>228031</v>
      </c>
      <c r="K2694" s="3" t="str">
        <f>IFERROR(__xludf.DUMMYFUNCTION("""COMPUTED_VALUE"""),"นายธนพงษ์ วันหมัด")</f>
        <v>นายธนพงษ์ วันหมัด</v>
      </c>
      <c r="L2694" s="1" t="str">
        <f>IFERROR(__xludf.DUMMYFUNCTION("""COMPUTED_VALUE"""),"นายธนพงษ์ วันหมัด")</f>
        <v>นายธนพงษ์ วันหมัด</v>
      </c>
      <c r="M2694" s="1" t="str">
        <f>IFERROR(__xludf.DUMMYFUNCTION("""COMPUTED_VALUE"""),"0813716913")</f>
        <v>0813716913</v>
      </c>
      <c r="N2694" s="3">
        <f>IFERROR(__xludf.DUMMYFUNCTION("""COMPUTED_VALUE"""),83496.0)</f>
        <v>83496</v>
      </c>
      <c r="O2694" s="3" t="str">
        <f>IFERROR(__xludf.DUMMYFUNCTION("""COMPUTED_VALUE"""),"ร้านโดนใจ By คุณเกด")</f>
        <v>ร้านโดนใจ By คุณเกด</v>
      </c>
      <c r="P2694" s="4">
        <f>IFERROR(__xludf.DUMMYFUNCTION("""COMPUTED_VALUE"""),44601.0)</f>
        <v>44601</v>
      </c>
      <c r="Q2694" s="3" t="str">
        <f>IFERROR(__xludf.DUMMYFUNCTION("""COMPUTED_VALUE"""),"I")</f>
        <v>I</v>
      </c>
      <c r="R2694" s="3" t="str">
        <f>IFERROR(__xludf.DUMMYFUNCTION("""COMPUTED_VALUE"""),"Small Format")</f>
        <v>Small Format</v>
      </c>
      <c r="S2694" s="3" t="str">
        <f>IFERROR(__xludf.DUMMYFUNCTION("""COMPUTED_VALUE"""),"Donjai")</f>
        <v>Donjai</v>
      </c>
      <c r="T2694" s="3" t="str">
        <f>IFERROR(__xludf.DUMMYFUNCTION("""COMPUTED_VALUE"""),"Donjai")</f>
        <v>Donjai</v>
      </c>
      <c r="U2694" s="3" t="str">
        <f>IFERROR(__xludf.DUMMYFUNCTION("""COMPUTED_VALUE"""),"Donjai")</f>
        <v>Donjai</v>
      </c>
      <c r="V2694" s="3" t="str">
        <f>IFERROR(__xludf.DUMMYFUNCTION("""COMPUTED_VALUE"""),"N")</f>
        <v>N</v>
      </c>
      <c r="W2694" s="3"/>
      <c r="X2694" s="3" t="str">
        <f>IFERROR(__xludf.DUMMYFUNCTION("""COMPUTED_VALUE"""),"ต.บึงคำพร้อย อ.ลำลูกกา จ.ปทุมธานี 12150")</f>
        <v>ต.บึงคำพร้อย อ.ลำลูกกา จ.ปทุมธานี 12150</v>
      </c>
      <c r="Y2694" s="3"/>
      <c r="Z2694" s="3">
        <f>IFERROR(__xludf.DUMMYFUNCTION("""COMPUTED_VALUE"""),0.0)</f>
        <v>0</v>
      </c>
      <c r="AA2694" s="3">
        <f>IFERROR(__xludf.DUMMYFUNCTION("""COMPUTED_VALUE"""),0.0)</f>
        <v>0</v>
      </c>
      <c r="AB2694" s="3" t="str">
        <f>IFERROR(__xludf.DUMMYFUNCTION("""COMPUTED_VALUE"""),"ปทุมธานี")</f>
        <v>ปทุมธานี</v>
      </c>
      <c r="AC2694" s="3">
        <f>IFERROR(__xludf.DUMMYFUNCTION("""COMPUTED_VALUE"""),12150.0)</f>
        <v>12150</v>
      </c>
      <c r="AD2694" s="3"/>
      <c r="AE2694" s="3"/>
      <c r="AF2694" s="3" t="str">
        <f>IFERROR(__xludf.DUMMYFUNCTION("""COMPUTED_VALUE"""),"ร้านโดนใจ By คุณเกด-83496")</f>
        <v>ร้านโดนใจ By คุณเกด-83496</v>
      </c>
      <c r="AG2694" s="3" t="str">
        <f>IFERROR(__xludf.DUMMYFUNCTION("""COMPUTED_VALUE"""),"กลาง")</f>
        <v>กลาง</v>
      </c>
      <c r="AH2694" s="3" t="str">
        <f>IFERROR(__xludf.DUMMYFUNCTION("""COMPUTED_VALUE"""),"#N/A")</f>
        <v>#N/A</v>
      </c>
      <c r="AI2694" s="3" t="str">
        <f>IFERROR(__xludf.DUMMYFUNCTION("""COMPUTED_VALUE"""),"Out of warranty")</f>
        <v>Out of warranty</v>
      </c>
      <c r="AJ2694" s="3">
        <f>IFERROR(__xludf.DUMMYFUNCTION("""COMPUTED_VALUE"""),48.0)</f>
        <v>48</v>
      </c>
      <c r="AK2694" s="3"/>
      <c r="AL2694" s="3"/>
    </row>
    <row r="2695" ht="15.75" customHeight="1">
      <c r="A2695" s="1" t="str">
        <f>IFERROR(__xludf.DUMMYFUNCTION("""COMPUTED_VALUE"""),"83498")</f>
        <v>83498</v>
      </c>
      <c r="B2695" s="2">
        <f>IFERROR(__xludf.DUMMYFUNCTION("""COMPUTED_VALUE"""),83498.0)</f>
        <v>83498</v>
      </c>
      <c r="C2695" s="3" t="str">
        <f>IFERROR(__xludf.DUMMYFUNCTION("""COMPUTED_VALUE"""),"ร้าน ปฐมพงษ์")</f>
        <v>ร้าน ปฐมพงษ์</v>
      </c>
      <c r="D2695" s="3" t="str">
        <f>IFERROR(__xludf.DUMMYFUNCTION("""COMPUTED_VALUE"""),"ร้าน ปฐมพงษ์")</f>
        <v>ร้าน ปฐมพงษ์</v>
      </c>
      <c r="E2695" s="1" t="str">
        <f>IFERROR(__xludf.DUMMYFUNCTION("""COMPUTED_VALUE"""),"Donjai")</f>
        <v>Donjai</v>
      </c>
      <c r="F2695" s="1" t="str">
        <f>IFERROR(__xludf.DUMMYFUNCTION("""COMPUTED_VALUE"""),"296608")</f>
        <v>296608</v>
      </c>
      <c r="G2695" s="1" t="str">
        <f>IFERROR(__xludf.DUMMYFUNCTION("""COMPUTED_VALUE"""),"นายภาคภูมิ เพ็ชรนิล")</f>
        <v>นายภาคภูมิ เพ็ชรนิล</v>
      </c>
      <c r="H2695" s="1" t="str">
        <f>IFERROR(__xludf.DUMMYFUNCTION("""COMPUTED_VALUE"""),"296608")</f>
        <v>296608</v>
      </c>
      <c r="I2695" s="1" t="str">
        <f>IFERROR(__xludf.DUMMYFUNCTION("""COMPUTED_VALUE"""),"นายภาคภูมิ เพ็ชรนิล")</f>
        <v>นายภาคภูมิ เพ็ชรนิล</v>
      </c>
      <c r="J2695" s="3">
        <f>IFERROR(__xludf.DUMMYFUNCTION("""COMPUTED_VALUE"""),228031.0)</f>
        <v>228031</v>
      </c>
      <c r="K2695" s="3" t="str">
        <f>IFERROR(__xludf.DUMMYFUNCTION("""COMPUTED_VALUE"""),"นายธนพงษ์ วันหมัด")</f>
        <v>นายธนพงษ์ วันหมัด</v>
      </c>
      <c r="L2695" s="1" t="str">
        <f>IFERROR(__xludf.DUMMYFUNCTION("""COMPUTED_VALUE"""),"นายธนพงษ์ วันหมัด")</f>
        <v>นายธนพงษ์ วันหมัด</v>
      </c>
      <c r="M2695" s="1" t="str">
        <f>IFERROR(__xludf.DUMMYFUNCTION("""COMPUTED_VALUE"""),"0813716913")</f>
        <v>0813716913</v>
      </c>
      <c r="N2695" s="3">
        <f>IFERROR(__xludf.DUMMYFUNCTION("""COMPUTED_VALUE"""),83498.0)</f>
        <v>83498</v>
      </c>
      <c r="O2695" s="3" t="str">
        <f>IFERROR(__xludf.DUMMYFUNCTION("""COMPUTED_VALUE"""),"ร้าน ปฐมพงษ์")</f>
        <v>ร้าน ปฐมพงษ์</v>
      </c>
      <c r="P2695" s="4">
        <f>IFERROR(__xludf.DUMMYFUNCTION("""COMPUTED_VALUE"""),44593.0)</f>
        <v>44593</v>
      </c>
      <c r="Q2695" s="3" t="str">
        <f>IFERROR(__xludf.DUMMYFUNCTION("""COMPUTED_VALUE"""),"I")</f>
        <v>I</v>
      </c>
      <c r="R2695" s="3" t="str">
        <f>IFERROR(__xludf.DUMMYFUNCTION("""COMPUTED_VALUE"""),"Small Format")</f>
        <v>Small Format</v>
      </c>
      <c r="S2695" s="3" t="str">
        <f>IFERROR(__xludf.DUMMYFUNCTION("""COMPUTED_VALUE"""),"Donjai")</f>
        <v>Donjai</v>
      </c>
      <c r="T2695" s="3" t="str">
        <f>IFERROR(__xludf.DUMMYFUNCTION("""COMPUTED_VALUE"""),"10 K.Phakphoom P.")</f>
        <v>10 K.Phakphoom P.</v>
      </c>
      <c r="U2695" s="3" t="str">
        <f>IFERROR(__xludf.DUMMYFUNCTION("""COMPUTED_VALUE"""),"10 K.Phakphoom P.")</f>
        <v>10 K.Phakphoom P.</v>
      </c>
      <c r="V2695" s="3" t="str">
        <f>IFERROR(__xludf.DUMMYFUNCTION("""COMPUTED_VALUE"""),"N")</f>
        <v>N</v>
      </c>
      <c r="W2695" s="3"/>
      <c r="X2695" s="3" t="str">
        <f>IFERROR(__xludf.DUMMYFUNCTION("""COMPUTED_VALUE"""),"5/8 หมู่2 ถ.เพชรเกษม ต.หนองดินแดง อ.เมือง จ.นครปฐม 73000")</f>
        <v>5/8 หมู่2 ถ.เพชรเกษม ต.หนองดินแดง อ.เมือง จ.นครปฐม 73000</v>
      </c>
      <c r="Y2695" s="3"/>
      <c r="Z2695" s="3">
        <f>IFERROR(__xludf.DUMMYFUNCTION("""COMPUTED_VALUE"""),0.0)</f>
        <v>0</v>
      </c>
      <c r="AA2695" s="3">
        <f>IFERROR(__xludf.DUMMYFUNCTION("""COMPUTED_VALUE"""),0.0)</f>
        <v>0</v>
      </c>
      <c r="AB2695" s="3" t="str">
        <f>IFERROR(__xludf.DUMMYFUNCTION("""COMPUTED_VALUE"""),"นครปฐม")</f>
        <v>นครปฐม</v>
      </c>
      <c r="AC2695" s="3">
        <f>IFERROR(__xludf.DUMMYFUNCTION("""COMPUTED_VALUE"""),73000.0)</f>
        <v>73000</v>
      </c>
      <c r="AD2695" s="3"/>
      <c r="AE2695" s="3"/>
      <c r="AF2695" s="3" t="str">
        <f>IFERROR(__xludf.DUMMYFUNCTION("""COMPUTED_VALUE"""),"ร้าน ปฐมพงษ์-83498")</f>
        <v>ร้าน ปฐมพงษ์-83498</v>
      </c>
      <c r="AG2695" s="3" t="str">
        <f>IFERROR(__xludf.DUMMYFUNCTION("""COMPUTED_VALUE"""),"กลาง")</f>
        <v>กลาง</v>
      </c>
      <c r="AH2695" s="3" t="str">
        <f>IFERROR(__xludf.DUMMYFUNCTION("""COMPUTED_VALUE"""),"#N/A")</f>
        <v>#N/A</v>
      </c>
      <c r="AI2695" s="3" t="str">
        <f>IFERROR(__xludf.DUMMYFUNCTION("""COMPUTED_VALUE"""),"Out of warranty")</f>
        <v>Out of warranty</v>
      </c>
      <c r="AJ2695" s="3">
        <f>IFERROR(__xludf.DUMMYFUNCTION("""COMPUTED_VALUE"""),48.0)</f>
        <v>48</v>
      </c>
      <c r="AK2695" s="3"/>
      <c r="AL2695" s="3"/>
    </row>
    <row r="2696" ht="15.75" customHeight="1">
      <c r="A2696" s="1" t="str">
        <f>IFERROR(__xludf.DUMMYFUNCTION("""COMPUTED_VALUE"""),"83499")</f>
        <v>83499</v>
      </c>
      <c r="B2696" s="2">
        <f>IFERROR(__xludf.DUMMYFUNCTION("""COMPUTED_VALUE"""),83499.0)</f>
        <v>83499</v>
      </c>
      <c r="C2696" s="3" t="str">
        <f>IFERROR(__xludf.DUMMYFUNCTION("""COMPUTED_VALUE"""),"ร้านรจนา มินิมาร์ท")</f>
        <v>ร้านรจนา มินิมาร์ท</v>
      </c>
      <c r="D2696" s="3" t="str">
        <f>IFERROR(__xludf.DUMMYFUNCTION("""COMPUTED_VALUE"""),"ร้านรจนา มินิมาร์ท")</f>
        <v>ร้านรจนา มินิมาร์ท</v>
      </c>
      <c r="E2696" s="1" t="str">
        <f>IFERROR(__xludf.DUMMYFUNCTION("""COMPUTED_VALUE"""),"Donjai")</f>
        <v>Donjai</v>
      </c>
      <c r="F2696" s="1" t="str">
        <f>IFERROR(__xludf.DUMMYFUNCTION("""COMPUTED_VALUE"""),"296868")</f>
        <v>296868</v>
      </c>
      <c r="G2696" s="1" t="str">
        <f>IFERROR(__xludf.DUMMYFUNCTION("""COMPUTED_VALUE"""),"นายพีระพงษ์ แก้วดวงดี")</f>
        <v>นายพีระพงษ์ แก้วดวงดี</v>
      </c>
      <c r="H2696" s="1" t="str">
        <f>IFERROR(__xludf.DUMMYFUNCTION("""COMPUTED_VALUE"""),"296868")</f>
        <v>296868</v>
      </c>
      <c r="I2696" s="1" t="str">
        <f>IFERROR(__xludf.DUMMYFUNCTION("""COMPUTED_VALUE"""),"นายพีระพงษ์ แก้วดวงดี")</f>
        <v>นายพีระพงษ์ แก้วดวงดี</v>
      </c>
      <c r="J2696" s="3">
        <f>IFERROR(__xludf.DUMMYFUNCTION("""COMPUTED_VALUE"""),295886.0)</f>
        <v>295886</v>
      </c>
      <c r="K2696" s="3" t="str">
        <f>IFERROR(__xludf.DUMMYFUNCTION("""COMPUTED_VALUE"""),"นายจิระพงษ์ โพธิ์นิล")</f>
        <v>นายจิระพงษ์ โพธิ์นิล</v>
      </c>
      <c r="L2696" s="1" t="str">
        <f>IFERROR(__xludf.DUMMYFUNCTION("""COMPUTED_VALUE"""),"นายจิระพงษ์ โพธิ์นิล")</f>
        <v>นายจิระพงษ์ โพธิ์นิล</v>
      </c>
      <c r="M2696" s="1" t="str">
        <f>IFERROR(__xludf.DUMMYFUNCTION("""COMPUTED_VALUE"""),"0933290754")</f>
        <v>0933290754</v>
      </c>
      <c r="N2696" s="3">
        <f>IFERROR(__xludf.DUMMYFUNCTION("""COMPUTED_VALUE"""),83499.0)</f>
        <v>83499</v>
      </c>
      <c r="O2696" s="3" t="str">
        <f>IFERROR(__xludf.DUMMYFUNCTION("""COMPUTED_VALUE"""),"ร้านรจนา มินิมาร์ท")</f>
        <v>ร้านรจนา มินิมาร์ท</v>
      </c>
      <c r="P2696" s="4">
        <f>IFERROR(__xludf.DUMMYFUNCTION("""COMPUTED_VALUE"""),44596.0)</f>
        <v>44596</v>
      </c>
      <c r="Q2696" s="3" t="str">
        <f>IFERROR(__xludf.DUMMYFUNCTION("""COMPUTED_VALUE"""),"I")</f>
        <v>I</v>
      </c>
      <c r="R2696" s="3" t="str">
        <f>IFERROR(__xludf.DUMMYFUNCTION("""COMPUTED_VALUE"""),"Small Format")</f>
        <v>Small Format</v>
      </c>
      <c r="S2696" s="3" t="str">
        <f>IFERROR(__xludf.DUMMYFUNCTION("""COMPUTED_VALUE"""),"Donjai")</f>
        <v>Donjai</v>
      </c>
      <c r="T2696" s="3" t="str">
        <f>IFERROR(__xludf.DUMMYFUNCTION("""COMPUTED_VALUE"""),"03 K.Peerapong K.")</f>
        <v>03 K.Peerapong K.</v>
      </c>
      <c r="U2696" s="3" t="str">
        <f>IFERROR(__xludf.DUMMYFUNCTION("""COMPUTED_VALUE"""),"03 K.Peerapong K.")</f>
        <v>03 K.Peerapong K.</v>
      </c>
      <c r="V2696" s="3" t="str">
        <f>IFERROR(__xludf.DUMMYFUNCTION("""COMPUTED_VALUE"""),"N")</f>
        <v>N</v>
      </c>
      <c r="W2696" s="3"/>
      <c r="X2696" s="3" t="str">
        <f>IFERROR(__xludf.DUMMYFUNCTION("""COMPUTED_VALUE"""),"33 หมู่ 2 ต.ดูนสาด อ.กระนวน จ.ขอนแก่น")</f>
        <v>33 หมู่ 2 ต.ดูนสาด อ.กระนวน จ.ขอนแก่น</v>
      </c>
      <c r="Y2696" s="3"/>
      <c r="Z2696" s="3">
        <f>IFERROR(__xludf.DUMMYFUNCTION("""COMPUTED_VALUE"""),0.0)</f>
        <v>0</v>
      </c>
      <c r="AA2696" s="3">
        <f>IFERROR(__xludf.DUMMYFUNCTION("""COMPUTED_VALUE"""),0.0)</f>
        <v>0</v>
      </c>
      <c r="AB2696" s="3" t="str">
        <f>IFERROR(__xludf.DUMMYFUNCTION("""COMPUTED_VALUE"""),"ขอนแก่น")</f>
        <v>ขอนแก่น</v>
      </c>
      <c r="AC2696" s="3">
        <f>IFERROR(__xludf.DUMMYFUNCTION("""COMPUTED_VALUE"""),0.0)</f>
        <v>0</v>
      </c>
      <c r="AD2696" s="3"/>
      <c r="AE2696" s="3"/>
      <c r="AF2696" s="3" t="str">
        <f>IFERROR(__xludf.DUMMYFUNCTION("""COMPUTED_VALUE"""),"ร้านรจนา มินิมาร์ท-83499")</f>
        <v>ร้านรจนา มินิมาร์ท-83499</v>
      </c>
      <c r="AG2696" s="3" t="str">
        <f>IFERROR(__xludf.DUMMYFUNCTION("""COMPUTED_VALUE"""),"ตะวันออกเฉียงเหนือ")</f>
        <v>ตะวันออกเฉียงเหนือ</v>
      </c>
      <c r="AH2696" s="3" t="str">
        <f>IFERROR(__xludf.DUMMYFUNCTION("""COMPUTED_VALUE"""),"#N/A")</f>
        <v>#N/A</v>
      </c>
      <c r="AI2696" s="3" t="str">
        <f>IFERROR(__xludf.DUMMYFUNCTION("""COMPUTED_VALUE"""),"Out of warranty")</f>
        <v>Out of warranty</v>
      </c>
      <c r="AJ2696" s="3">
        <f>IFERROR(__xludf.DUMMYFUNCTION("""COMPUTED_VALUE"""),48.0)</f>
        <v>48</v>
      </c>
      <c r="AK2696" s="3"/>
      <c r="AL2696" s="3"/>
    </row>
    <row r="2697" ht="15.75" customHeight="1">
      <c r="A2697" s="1" t="str">
        <f>IFERROR(__xludf.DUMMYFUNCTION("""COMPUTED_VALUE"""),"83500")</f>
        <v>83500</v>
      </c>
      <c r="B2697" s="2">
        <f>IFERROR(__xludf.DUMMYFUNCTION("""COMPUTED_VALUE"""),83500.0)</f>
        <v>83500</v>
      </c>
      <c r="C2697" s="3" t="str">
        <f>IFERROR(__xludf.DUMMYFUNCTION("""COMPUTED_VALUE"""),"ร้านต้นอ้อ")</f>
        <v>ร้านต้นอ้อ</v>
      </c>
      <c r="D2697" s="3" t="str">
        <f>IFERROR(__xludf.DUMMYFUNCTION("""COMPUTED_VALUE"""),"ร้านต้นอ้อ")</f>
        <v>ร้านต้นอ้อ</v>
      </c>
      <c r="E2697" s="1" t="str">
        <f>IFERROR(__xludf.DUMMYFUNCTION("""COMPUTED_VALUE"""),"Donjai")</f>
        <v>Donjai</v>
      </c>
      <c r="F2697" s="1" t="str">
        <f>IFERROR(__xludf.DUMMYFUNCTION("""COMPUTED_VALUE"""),"20470331")</f>
        <v>20470331</v>
      </c>
      <c r="G2697" s="1" t="str">
        <f>IFERROR(__xludf.DUMMYFUNCTION("""COMPUTED_VALUE"""),"นายสมชาย ลักษณะสุวรรณ")</f>
        <v>นายสมชาย ลักษณะสุวรรณ</v>
      </c>
      <c r="H2697" s="1" t="str">
        <f>IFERROR(__xludf.DUMMYFUNCTION("""COMPUTED_VALUE"""),"20470331")</f>
        <v>20470331</v>
      </c>
      <c r="I2697" s="1" t="str">
        <f>IFERROR(__xludf.DUMMYFUNCTION("""COMPUTED_VALUE"""),"นายสมชาย ลักษณะสุวรรณ")</f>
        <v>นายสมชาย ลักษณะสุวรรณ</v>
      </c>
      <c r="J2697" s="3">
        <f>IFERROR(__xludf.DUMMYFUNCTION("""COMPUTED_VALUE"""),295541.0)</f>
        <v>295541</v>
      </c>
      <c r="K2697" s="3" t="str">
        <f>IFERROR(__xludf.DUMMYFUNCTION("""COMPUTED_VALUE"""),"นายรพิพล ศรีมาตย์")</f>
        <v>นายรพิพล ศรีมาตย์</v>
      </c>
      <c r="L2697" s="1" t="str">
        <f>IFERROR(__xludf.DUMMYFUNCTION("""COMPUTED_VALUE"""),"นายรพิพล ศรีมาตย์")</f>
        <v>นายรพิพล ศรีมาตย์</v>
      </c>
      <c r="M2697" s="1" t="str">
        <f>IFERROR(__xludf.DUMMYFUNCTION("""COMPUTED_VALUE"""),"0613966115")</f>
        <v>0613966115</v>
      </c>
      <c r="N2697" s="3">
        <f>IFERROR(__xludf.DUMMYFUNCTION("""COMPUTED_VALUE"""),83500.0)</f>
        <v>83500</v>
      </c>
      <c r="O2697" s="3" t="str">
        <f>IFERROR(__xludf.DUMMYFUNCTION("""COMPUTED_VALUE"""),"ร้านต้นอ้อ")</f>
        <v>ร้านต้นอ้อ</v>
      </c>
      <c r="P2697" s="4">
        <f>IFERROR(__xludf.DUMMYFUNCTION("""COMPUTED_VALUE"""),44619.0)</f>
        <v>44619</v>
      </c>
      <c r="Q2697" s="3" t="str">
        <f>IFERROR(__xludf.DUMMYFUNCTION("""COMPUTED_VALUE"""),"A")</f>
        <v>A</v>
      </c>
      <c r="R2697" s="3" t="str">
        <f>IFERROR(__xludf.DUMMYFUNCTION("""COMPUTED_VALUE"""),"Small Format")</f>
        <v>Small Format</v>
      </c>
      <c r="S2697" s="3" t="str">
        <f>IFERROR(__xludf.DUMMYFUNCTION("""COMPUTED_VALUE"""),"Donjai")</f>
        <v>Donjai</v>
      </c>
      <c r="T2697" s="3" t="str">
        <f>IFERROR(__xludf.DUMMYFUNCTION("""COMPUTED_VALUE"""),"15 K.Somchai L")</f>
        <v>15 K.Somchai L</v>
      </c>
      <c r="U2697" s="3" t="str">
        <f>IFERROR(__xludf.DUMMYFUNCTION("""COMPUTED_VALUE"""),"15 K.Somchai L")</f>
        <v>15 K.Somchai L</v>
      </c>
      <c r="V2697" s="3" t="str">
        <f>IFERROR(__xludf.DUMMYFUNCTION("""COMPUTED_VALUE"""),"N")</f>
        <v>N</v>
      </c>
      <c r="W2697" s="3"/>
      <c r="X2697" s="3" t="str">
        <f>IFERROR(__xludf.DUMMYFUNCTION("""COMPUTED_VALUE"""),"บ้านเลขที่ 11/4 หมู่ 3 ต.พะตง อ.หาดใหญ่ จ.สงขลา")</f>
        <v>บ้านเลขที่ 11/4 หมู่ 3 ต.พะตง อ.หาดใหญ่ จ.สงขลา</v>
      </c>
      <c r="Y2697" s="3"/>
      <c r="Z2697" s="3">
        <f>IFERROR(__xludf.DUMMYFUNCTION("""COMPUTED_VALUE"""),0.0)</f>
        <v>0</v>
      </c>
      <c r="AA2697" s="3">
        <f>IFERROR(__xludf.DUMMYFUNCTION("""COMPUTED_VALUE"""),0.0)</f>
        <v>0</v>
      </c>
      <c r="AB2697" s="3" t="str">
        <f>IFERROR(__xludf.DUMMYFUNCTION("""COMPUTED_VALUE"""),"สงขลา")</f>
        <v>สงขลา</v>
      </c>
      <c r="AC2697" s="3">
        <f>IFERROR(__xludf.DUMMYFUNCTION("""COMPUTED_VALUE"""),0.0)</f>
        <v>0</v>
      </c>
      <c r="AD2697" s="3"/>
      <c r="AE2697" s="3"/>
      <c r="AF2697" s="3" t="str">
        <f>IFERROR(__xludf.DUMMYFUNCTION("""COMPUTED_VALUE"""),"ร้านต้นอ้อ-83500")</f>
        <v>ร้านต้นอ้อ-83500</v>
      </c>
      <c r="AG2697" s="3" t="str">
        <f>IFERROR(__xludf.DUMMYFUNCTION("""COMPUTED_VALUE"""),"ใต้")</f>
        <v>ใต้</v>
      </c>
      <c r="AH2697" s="3" t="str">
        <f>IFERROR(__xludf.DUMMYFUNCTION("""COMPUTED_VALUE"""),"#N/A")</f>
        <v>#N/A</v>
      </c>
      <c r="AI2697" s="3" t="str">
        <f>IFERROR(__xludf.DUMMYFUNCTION("""COMPUTED_VALUE"""),"Out of warranty")</f>
        <v>Out of warranty</v>
      </c>
      <c r="AJ2697" s="3">
        <f>IFERROR(__xludf.DUMMYFUNCTION("""COMPUTED_VALUE"""),47.0)</f>
        <v>47</v>
      </c>
      <c r="AK2697" s="3"/>
      <c r="AL2697" s="3"/>
    </row>
    <row r="2698" ht="15.75" customHeight="1">
      <c r="A2698" s="1" t="str">
        <f>IFERROR(__xludf.DUMMYFUNCTION("""COMPUTED_VALUE"""),"83501")</f>
        <v>83501</v>
      </c>
      <c r="B2698" s="2">
        <f>IFERROR(__xludf.DUMMYFUNCTION("""COMPUTED_VALUE"""),83501.0)</f>
        <v>83501</v>
      </c>
      <c r="C2698" s="3" t="str">
        <f>IFERROR(__xludf.DUMMYFUNCTION("""COMPUTED_VALUE"""),"ร้านโดนใจ By ก้อย")</f>
        <v>ร้านโดนใจ By ก้อย</v>
      </c>
      <c r="D2698" s="3" t="str">
        <f>IFERROR(__xludf.DUMMYFUNCTION("""COMPUTED_VALUE"""),"ร้านโดนใจ By ก้อย")</f>
        <v>ร้านโดนใจ By ก้อย</v>
      </c>
      <c r="E2698" s="1" t="str">
        <f>IFERROR(__xludf.DUMMYFUNCTION("""COMPUTED_VALUE"""),"Donjai")</f>
        <v>Donjai</v>
      </c>
      <c r="F2698" s="1" t="str">
        <f>IFERROR(__xludf.DUMMYFUNCTION("""COMPUTED_VALUE"""),"296945")</f>
        <v>296945</v>
      </c>
      <c r="G2698" s="1" t="str">
        <f>IFERROR(__xludf.DUMMYFUNCTION("""COMPUTED_VALUE"""),"นายรักพงศ์ พงศ์พันธ์งาม")</f>
        <v>นายรักพงศ์ พงศ์พันธ์งาม</v>
      </c>
      <c r="H2698" s="1" t="str">
        <f>IFERROR(__xludf.DUMMYFUNCTION("""COMPUTED_VALUE"""),"296945")</f>
        <v>296945</v>
      </c>
      <c r="I2698" s="1" t="str">
        <f>IFERROR(__xludf.DUMMYFUNCTION("""COMPUTED_VALUE"""),"นายรักพงศ์ พงศ์พันธ์งาม")</f>
        <v>นายรักพงศ์ พงศ์พันธ์งาม</v>
      </c>
      <c r="J2698" s="3">
        <f>IFERROR(__xludf.DUMMYFUNCTION("""COMPUTED_VALUE"""),228031.0)</f>
        <v>228031</v>
      </c>
      <c r="K2698" s="3" t="str">
        <f>IFERROR(__xludf.DUMMYFUNCTION("""COMPUTED_VALUE"""),"นายธนพงษ์ วันหมัด")</f>
        <v>นายธนพงษ์ วันหมัด</v>
      </c>
      <c r="L2698" s="1" t="str">
        <f>IFERROR(__xludf.DUMMYFUNCTION("""COMPUTED_VALUE"""),"นายธนพงษ์ วันหมัด")</f>
        <v>นายธนพงษ์ วันหมัด</v>
      </c>
      <c r="M2698" s="1" t="str">
        <f>IFERROR(__xludf.DUMMYFUNCTION("""COMPUTED_VALUE"""),"0813716913")</f>
        <v>0813716913</v>
      </c>
      <c r="N2698" s="3">
        <f>IFERROR(__xludf.DUMMYFUNCTION("""COMPUTED_VALUE"""),83501.0)</f>
        <v>83501</v>
      </c>
      <c r="O2698" s="3" t="str">
        <f>IFERROR(__xludf.DUMMYFUNCTION("""COMPUTED_VALUE"""),"ร้านโดนใจ By ก้อย")</f>
        <v>ร้านโดนใจ By ก้อย</v>
      </c>
      <c r="P2698" s="4">
        <f>IFERROR(__xludf.DUMMYFUNCTION("""COMPUTED_VALUE"""),44602.0)</f>
        <v>44602</v>
      </c>
      <c r="Q2698" s="3" t="str">
        <f>IFERROR(__xludf.DUMMYFUNCTION("""COMPUTED_VALUE"""),"I")</f>
        <v>I</v>
      </c>
      <c r="R2698" s="3" t="str">
        <f>IFERROR(__xludf.DUMMYFUNCTION("""COMPUTED_VALUE"""),"Small Format")</f>
        <v>Small Format</v>
      </c>
      <c r="S2698" s="3" t="str">
        <f>IFERROR(__xludf.DUMMYFUNCTION("""COMPUTED_VALUE"""),"Donjai")</f>
        <v>Donjai</v>
      </c>
      <c r="T2698" s="3">
        <f>IFERROR(__xludf.DUMMYFUNCTION("""COMPUTED_VALUE"""),0.0)</f>
        <v>0</v>
      </c>
      <c r="U2698" s="3">
        <f>IFERROR(__xludf.DUMMYFUNCTION("""COMPUTED_VALUE"""),0.0)</f>
        <v>0</v>
      </c>
      <c r="V2698" s="3" t="str">
        <f>IFERROR(__xludf.DUMMYFUNCTION("""COMPUTED_VALUE"""),"N")</f>
        <v>N</v>
      </c>
      <c r="W2698" s="3"/>
      <c r="X2698" s="3" t="str">
        <f>IFERROR(__xludf.DUMMYFUNCTION("""COMPUTED_VALUE"""),"ซอยซากนอก 16 ต.ห้วยใหญ่ อ.บางละมุง จ.ชลบุรี")</f>
        <v>ซอยซากนอก 16 ต.ห้วยใหญ่ อ.บางละมุง จ.ชลบุรี</v>
      </c>
      <c r="Y2698" s="3"/>
      <c r="Z2698" s="3">
        <f>IFERROR(__xludf.DUMMYFUNCTION("""COMPUTED_VALUE"""),0.0)</f>
        <v>0</v>
      </c>
      <c r="AA2698" s="3">
        <f>IFERROR(__xludf.DUMMYFUNCTION("""COMPUTED_VALUE"""),0.0)</f>
        <v>0</v>
      </c>
      <c r="AB2698" s="3" t="str">
        <f>IFERROR(__xludf.DUMMYFUNCTION("""COMPUTED_VALUE"""),"ชลบุรี")</f>
        <v>ชลบุรี</v>
      </c>
      <c r="AC2698" s="3">
        <f>IFERROR(__xludf.DUMMYFUNCTION("""COMPUTED_VALUE"""),0.0)</f>
        <v>0</v>
      </c>
      <c r="AD2698" s="3"/>
      <c r="AE2698" s="3"/>
      <c r="AF2698" s="3" t="str">
        <f>IFERROR(__xludf.DUMMYFUNCTION("""COMPUTED_VALUE"""),"ร้านโดนใจ By ก้อย-83501")</f>
        <v>ร้านโดนใจ By ก้อย-83501</v>
      </c>
      <c r="AG2698" s="3" t="str">
        <f>IFERROR(__xludf.DUMMYFUNCTION("""COMPUTED_VALUE"""),"ตะวันออก")</f>
        <v>ตะวันออก</v>
      </c>
      <c r="AH2698" s="3" t="str">
        <f>IFERROR(__xludf.DUMMYFUNCTION("""COMPUTED_VALUE"""),"#N/A")</f>
        <v>#N/A</v>
      </c>
      <c r="AI2698" s="3" t="str">
        <f>IFERROR(__xludf.DUMMYFUNCTION("""COMPUTED_VALUE"""),"Out of warranty")</f>
        <v>Out of warranty</v>
      </c>
      <c r="AJ2698" s="3">
        <f>IFERROR(__xludf.DUMMYFUNCTION("""COMPUTED_VALUE"""),48.0)</f>
        <v>48</v>
      </c>
      <c r="AK2698" s="3"/>
      <c r="AL2698" s="3"/>
    </row>
    <row r="2699" ht="15.75" customHeight="1">
      <c r="A2699" s="1" t="str">
        <f>IFERROR(__xludf.DUMMYFUNCTION("""COMPUTED_VALUE"""),"83502")</f>
        <v>83502</v>
      </c>
      <c r="B2699" s="2">
        <f>IFERROR(__xludf.DUMMYFUNCTION("""COMPUTED_VALUE"""),83502.0)</f>
        <v>83502</v>
      </c>
      <c r="C2699" s="3" t="str">
        <f>IFERROR(__xludf.DUMMYFUNCTION("""COMPUTED_VALUE"""),"ร้านพิมพ์ลอย(คุณพิมพ์ทิพย์)")</f>
        <v>ร้านพิมพ์ลอย(คุณพิมพ์ทิพย์)</v>
      </c>
      <c r="D2699" s="3" t="str">
        <f>IFERROR(__xludf.DUMMYFUNCTION("""COMPUTED_VALUE"""),"ร้านพิมพ์ลอย(คุณพิมพ์ทิพย์)")</f>
        <v>ร้านพิมพ์ลอย(คุณพิมพ์ทิพย์)</v>
      </c>
      <c r="E2699" s="1" t="str">
        <f>IFERROR(__xludf.DUMMYFUNCTION("""COMPUTED_VALUE"""),"Donjai")</f>
        <v>Donjai</v>
      </c>
      <c r="F2699" s="1" t="str">
        <f>IFERROR(__xludf.DUMMYFUNCTION("""COMPUTED_VALUE"""),"2454781")</f>
        <v>2454781</v>
      </c>
      <c r="G2699" s="1" t="str">
        <f>IFERROR(__xludf.DUMMYFUNCTION("""COMPUTED_VALUE"""),"นายฌานกฤช นันทะโคต")</f>
        <v>นายฌานกฤช นันทะโคต</v>
      </c>
      <c r="H2699" s="1" t="str">
        <f>IFERROR(__xludf.DUMMYFUNCTION("""COMPUTED_VALUE"""),"2454781")</f>
        <v>2454781</v>
      </c>
      <c r="I2699" s="1" t="str">
        <f>IFERROR(__xludf.DUMMYFUNCTION("""COMPUTED_VALUE"""),"นายฌานกฤช นันทะโคต")</f>
        <v>นายฌานกฤช นันทะโคต</v>
      </c>
      <c r="J2699" s="3">
        <f>IFERROR(__xludf.DUMMYFUNCTION("""COMPUTED_VALUE"""),295886.0)</f>
        <v>295886</v>
      </c>
      <c r="K2699" s="3" t="str">
        <f>IFERROR(__xludf.DUMMYFUNCTION("""COMPUTED_VALUE"""),"นายจิระพงษ์ โพธิ์นิล")</f>
        <v>นายจิระพงษ์ โพธิ์นิล</v>
      </c>
      <c r="L2699" s="1" t="str">
        <f>IFERROR(__xludf.DUMMYFUNCTION("""COMPUTED_VALUE"""),"นายจิระพงษ์ โพธิ์นิล")</f>
        <v>นายจิระพงษ์ โพธิ์นิล</v>
      </c>
      <c r="M2699" s="1" t="str">
        <f>IFERROR(__xludf.DUMMYFUNCTION("""COMPUTED_VALUE"""),"0933290754")</f>
        <v>0933290754</v>
      </c>
      <c r="N2699" s="3">
        <f>IFERROR(__xludf.DUMMYFUNCTION("""COMPUTED_VALUE"""),83502.0)</f>
        <v>83502</v>
      </c>
      <c r="O2699" s="3" t="str">
        <f>IFERROR(__xludf.DUMMYFUNCTION("""COMPUTED_VALUE"""),"ร้านพิมพ์ลอย(คุณพิมพ์ทิพย์)")</f>
        <v>ร้านพิมพ์ลอย(คุณพิมพ์ทิพย์)</v>
      </c>
      <c r="P2699" s="4">
        <f>IFERROR(__xludf.DUMMYFUNCTION("""COMPUTED_VALUE"""),44715.0)</f>
        <v>44715</v>
      </c>
      <c r="Q2699" s="3" t="str">
        <f>IFERROR(__xludf.DUMMYFUNCTION("""COMPUTED_VALUE"""),"A")</f>
        <v>A</v>
      </c>
      <c r="R2699" s="3" t="str">
        <f>IFERROR(__xludf.DUMMYFUNCTION("""COMPUTED_VALUE"""),"Small Format")</f>
        <v>Small Format</v>
      </c>
      <c r="S2699" s="3" t="str">
        <f>IFERROR(__xludf.DUMMYFUNCTION("""COMPUTED_VALUE"""),"Donjai")</f>
        <v>Donjai</v>
      </c>
      <c r="T2699" s="3" t="str">
        <f>IFERROR(__xludf.DUMMYFUNCTION("""COMPUTED_VALUE"""),"05 K.Chanakrit N.")</f>
        <v>05 K.Chanakrit N.</v>
      </c>
      <c r="U2699" s="3" t="str">
        <f>IFERROR(__xludf.DUMMYFUNCTION("""COMPUTED_VALUE"""),"05 K.Chanakrit N.")</f>
        <v>05 K.Chanakrit N.</v>
      </c>
      <c r="V2699" s="3" t="str">
        <f>IFERROR(__xludf.DUMMYFUNCTION("""COMPUTED_VALUE"""),"N")</f>
        <v>N</v>
      </c>
      <c r="W2699" s="3"/>
      <c r="X2699" s="3" t="str">
        <f>IFERROR(__xludf.DUMMYFUNCTION("""COMPUTED_VALUE"""),"46/8 หมุ 9 คำขวาง วารินชำราบ อุบลราชธานี 34190")</f>
        <v>46/8 หมุ 9 คำขวาง วารินชำราบ อุบลราชธานี 34190</v>
      </c>
      <c r="Y2699" s="3"/>
      <c r="Z2699" s="3">
        <f>IFERROR(__xludf.DUMMYFUNCTION("""COMPUTED_VALUE"""),0.0)</f>
        <v>0</v>
      </c>
      <c r="AA2699" s="3">
        <f>IFERROR(__xludf.DUMMYFUNCTION("""COMPUTED_VALUE"""),0.0)</f>
        <v>0</v>
      </c>
      <c r="AB2699" s="3" t="str">
        <f>IFERROR(__xludf.DUMMYFUNCTION("""COMPUTED_VALUE"""),"อุบลราชธานี")</f>
        <v>อุบลราชธานี</v>
      </c>
      <c r="AC2699" s="3">
        <f>IFERROR(__xludf.DUMMYFUNCTION("""COMPUTED_VALUE"""),34190.0)</f>
        <v>34190</v>
      </c>
      <c r="AD2699" s="3"/>
      <c r="AE2699" s="3"/>
      <c r="AF2699" s="3" t="str">
        <f>IFERROR(__xludf.DUMMYFUNCTION("""COMPUTED_VALUE"""),"ร้านพิมพ์ลอย(คุณพิมพ์ทิพย์)-83502")</f>
        <v>ร้านพิมพ์ลอย(คุณพิมพ์ทิพย์)-83502</v>
      </c>
      <c r="AG2699" s="3" t="str">
        <f>IFERROR(__xludf.DUMMYFUNCTION("""COMPUTED_VALUE"""),"ตะวันออกเฉียงเหนือ")</f>
        <v>ตะวันออกเฉียงเหนือ</v>
      </c>
      <c r="AH2699" s="3" t="str">
        <f>IFERROR(__xludf.DUMMYFUNCTION("""COMPUTED_VALUE"""),"#N/A")</f>
        <v>#N/A</v>
      </c>
      <c r="AI2699" s="3" t="str">
        <f>IFERROR(__xludf.DUMMYFUNCTION("""COMPUTED_VALUE"""),"Out of warranty")</f>
        <v>Out of warranty</v>
      </c>
      <c r="AJ2699" s="3">
        <f>IFERROR(__xludf.DUMMYFUNCTION("""COMPUTED_VALUE"""),44.0)</f>
        <v>44</v>
      </c>
      <c r="AK2699" s="3"/>
      <c r="AL2699" s="3"/>
    </row>
    <row r="2700" ht="15.75" customHeight="1">
      <c r="A2700" s="1" t="str">
        <f>IFERROR(__xludf.DUMMYFUNCTION("""COMPUTED_VALUE"""),"83503")</f>
        <v>83503</v>
      </c>
      <c r="B2700" s="2">
        <f>IFERROR(__xludf.DUMMYFUNCTION("""COMPUTED_VALUE"""),83503.0)</f>
        <v>83503</v>
      </c>
      <c r="C2700" s="3" t="str">
        <f>IFERROR(__xludf.DUMMYFUNCTION("""COMPUTED_VALUE"""),"เอสเคการค้า (เปลี่ยนจาก ร้านกะโดนัท)")</f>
        <v>เอสเคการค้า (เปลี่ยนจาก ร้านกะโดนัท)</v>
      </c>
      <c r="D2700" s="3" t="str">
        <f>IFERROR(__xludf.DUMMYFUNCTION("""COMPUTED_VALUE"""),"เอสเคการค้า (เปลี่ยนจาก ร้านกะโดนัท)")</f>
        <v>เอสเคการค้า (เปลี่ยนจาก ร้านกะโดนัท)</v>
      </c>
      <c r="E2700" s="1" t="str">
        <f>IFERROR(__xludf.DUMMYFUNCTION("""COMPUTED_VALUE"""),"Donjai")</f>
        <v>Donjai</v>
      </c>
      <c r="F2700" s="1" t="str">
        <f>IFERROR(__xludf.DUMMYFUNCTION("""COMPUTED_VALUE"""),"20470331")</f>
        <v>20470331</v>
      </c>
      <c r="G2700" s="1" t="str">
        <f>IFERROR(__xludf.DUMMYFUNCTION("""COMPUTED_VALUE"""),"นายสมชาย ลักษณะสุวรรณ")</f>
        <v>นายสมชาย ลักษณะสุวรรณ</v>
      </c>
      <c r="H2700" s="1" t="str">
        <f>IFERROR(__xludf.DUMMYFUNCTION("""COMPUTED_VALUE"""),"20470331")</f>
        <v>20470331</v>
      </c>
      <c r="I2700" s="1" t="str">
        <f>IFERROR(__xludf.DUMMYFUNCTION("""COMPUTED_VALUE"""),"นายสมชาย ลักษณะสุวรรณ")</f>
        <v>นายสมชาย ลักษณะสุวรรณ</v>
      </c>
      <c r="J2700" s="3">
        <f>IFERROR(__xludf.DUMMYFUNCTION("""COMPUTED_VALUE"""),295541.0)</f>
        <v>295541</v>
      </c>
      <c r="K2700" s="3" t="str">
        <f>IFERROR(__xludf.DUMMYFUNCTION("""COMPUTED_VALUE"""),"นายรพิพล ศรีมาตย์")</f>
        <v>นายรพิพล ศรีมาตย์</v>
      </c>
      <c r="L2700" s="1" t="str">
        <f>IFERROR(__xludf.DUMMYFUNCTION("""COMPUTED_VALUE"""),"นายรพิพล ศรีมาตย์")</f>
        <v>นายรพิพล ศรีมาตย์</v>
      </c>
      <c r="M2700" s="1" t="str">
        <f>IFERROR(__xludf.DUMMYFUNCTION("""COMPUTED_VALUE"""),"0613966115")</f>
        <v>0613966115</v>
      </c>
      <c r="N2700" s="3">
        <f>IFERROR(__xludf.DUMMYFUNCTION("""COMPUTED_VALUE"""),83503.0)</f>
        <v>83503</v>
      </c>
      <c r="O2700" s="3" t="str">
        <f>IFERROR(__xludf.DUMMYFUNCTION("""COMPUTED_VALUE"""),"เอสเคการค้า (เปลี่ยนจาก ร้านกะโดนัท)")</f>
        <v>เอสเคการค้า (เปลี่ยนจาก ร้านกะโดนัท)</v>
      </c>
      <c r="P2700" s="4">
        <f>IFERROR(__xludf.DUMMYFUNCTION("""COMPUTED_VALUE"""),44637.0)</f>
        <v>44637</v>
      </c>
      <c r="Q2700" s="3" t="str">
        <f>IFERROR(__xludf.DUMMYFUNCTION("""COMPUTED_VALUE"""),"I")</f>
        <v>I</v>
      </c>
      <c r="R2700" s="3" t="str">
        <f>IFERROR(__xludf.DUMMYFUNCTION("""COMPUTED_VALUE"""),"Small Format")</f>
        <v>Small Format</v>
      </c>
      <c r="S2700" s="3" t="str">
        <f>IFERROR(__xludf.DUMMYFUNCTION("""COMPUTED_VALUE"""),"Donjai")</f>
        <v>Donjai</v>
      </c>
      <c r="T2700" s="3" t="str">
        <f>IFERROR(__xludf.DUMMYFUNCTION("""COMPUTED_VALUE"""),"15 K.Somchai L")</f>
        <v>15 K.Somchai L</v>
      </c>
      <c r="U2700" s="3" t="str">
        <f>IFERROR(__xludf.DUMMYFUNCTION("""COMPUTED_VALUE"""),"15 K.Somchai L")</f>
        <v>15 K.Somchai L</v>
      </c>
      <c r="V2700" s="3" t="str">
        <f>IFERROR(__xludf.DUMMYFUNCTION("""COMPUTED_VALUE"""),"N")</f>
        <v>N</v>
      </c>
      <c r="W2700" s="3"/>
      <c r="X2700" s="3" t="str">
        <f>IFERROR(__xludf.DUMMYFUNCTION("""COMPUTED_VALUE"""),"เลขที่ 72/2 ม.1 ต.เตราะบอน อ.สายบุรี จ.ปัตตานี")</f>
        <v>เลขที่ 72/2 ม.1 ต.เตราะบอน อ.สายบุรี จ.ปัตตานี</v>
      </c>
      <c r="Y2700" s="3"/>
      <c r="Z2700" s="3">
        <f>IFERROR(__xludf.DUMMYFUNCTION("""COMPUTED_VALUE"""),0.0)</f>
        <v>0</v>
      </c>
      <c r="AA2700" s="3">
        <f>IFERROR(__xludf.DUMMYFUNCTION("""COMPUTED_VALUE"""),0.0)</f>
        <v>0</v>
      </c>
      <c r="AB2700" s="3" t="str">
        <f>IFERROR(__xludf.DUMMYFUNCTION("""COMPUTED_VALUE"""),"ปัตตานี")</f>
        <v>ปัตตานี</v>
      </c>
      <c r="AC2700" s="3">
        <f>IFERROR(__xludf.DUMMYFUNCTION("""COMPUTED_VALUE"""),0.0)</f>
        <v>0</v>
      </c>
      <c r="AD2700" s="3"/>
      <c r="AE2700" s="3"/>
      <c r="AF2700" s="3" t="str">
        <f>IFERROR(__xludf.DUMMYFUNCTION("""COMPUTED_VALUE"""),"เอสเคการค้า (เปลี่ยนจาก ร้านกะโดนัท)-83503")</f>
        <v>เอสเคการค้า (เปลี่ยนจาก ร้านกะโดนัท)-83503</v>
      </c>
      <c r="AG2700" s="3" t="str">
        <f>IFERROR(__xludf.DUMMYFUNCTION("""COMPUTED_VALUE"""),"ใต้")</f>
        <v>ใต้</v>
      </c>
      <c r="AH2700" s="3" t="str">
        <f>IFERROR(__xludf.DUMMYFUNCTION("""COMPUTED_VALUE"""),"#N/A")</f>
        <v>#N/A</v>
      </c>
      <c r="AI2700" s="3" t="str">
        <f>IFERROR(__xludf.DUMMYFUNCTION("""COMPUTED_VALUE"""),"Out of warranty")</f>
        <v>Out of warranty</v>
      </c>
      <c r="AJ2700" s="3">
        <f>IFERROR(__xludf.DUMMYFUNCTION("""COMPUTED_VALUE"""),47.0)</f>
        <v>47</v>
      </c>
      <c r="AK2700" s="3"/>
      <c r="AL2700" s="3"/>
    </row>
    <row r="2701" ht="15.75" customHeight="1">
      <c r="A2701" s="1" t="str">
        <f>IFERROR(__xludf.DUMMYFUNCTION("""COMPUTED_VALUE"""),"83504")</f>
        <v>83504</v>
      </c>
      <c r="B2701" s="2">
        <f>IFERROR(__xludf.DUMMYFUNCTION("""COMPUTED_VALUE"""),83504.0)</f>
        <v>83504</v>
      </c>
      <c r="C2701" s="3" t="str">
        <f>IFERROR(__xludf.DUMMYFUNCTION("""COMPUTED_VALUE"""),"ร้านทิพย์มินิมาร์ท")</f>
        <v>ร้านทิพย์มินิมาร์ท</v>
      </c>
      <c r="D2701" s="3" t="str">
        <f>IFERROR(__xludf.DUMMYFUNCTION("""COMPUTED_VALUE"""),"ร้านทิพย์มินิมาร์ท")</f>
        <v>ร้านทิพย์มินิมาร์ท</v>
      </c>
      <c r="E2701" s="1" t="str">
        <f>IFERROR(__xludf.DUMMYFUNCTION("""COMPUTED_VALUE"""),"Donjai")</f>
        <v>Donjai</v>
      </c>
      <c r="F2701" s="1" t="str">
        <f>IFERROR(__xludf.DUMMYFUNCTION("""COMPUTED_VALUE"""),"00510143")</f>
        <v>00510143</v>
      </c>
      <c r="G2701" s="1" t="str">
        <f>IFERROR(__xludf.DUMMYFUNCTION("""COMPUTED_VALUE"""),"นายธีระวัฒน์ บุญสิทธิ์")</f>
        <v>นายธีระวัฒน์ บุญสิทธิ์</v>
      </c>
      <c r="H2701" s="1" t="str">
        <f>IFERROR(__xludf.DUMMYFUNCTION("""COMPUTED_VALUE"""),"00510143")</f>
        <v>00510143</v>
      </c>
      <c r="I2701" s="1" t="str">
        <f>IFERROR(__xludf.DUMMYFUNCTION("""COMPUTED_VALUE"""),"นายธีระวัฒน์ บุญสิทธิ์")</f>
        <v>นายธีระวัฒน์ บุญสิทธิ์</v>
      </c>
      <c r="J2701" s="3">
        <f>IFERROR(__xludf.DUMMYFUNCTION("""COMPUTED_VALUE"""),228031.0)</f>
        <v>228031</v>
      </c>
      <c r="K2701" s="3" t="str">
        <f>IFERROR(__xludf.DUMMYFUNCTION("""COMPUTED_VALUE"""),"นายธนพงษ์ วันหมัด")</f>
        <v>นายธนพงษ์ วันหมัด</v>
      </c>
      <c r="L2701" s="1" t="str">
        <f>IFERROR(__xludf.DUMMYFUNCTION("""COMPUTED_VALUE"""),"นายธนพงษ์ วันหมัด")</f>
        <v>นายธนพงษ์ วันหมัด</v>
      </c>
      <c r="M2701" s="1" t="str">
        <f>IFERROR(__xludf.DUMMYFUNCTION("""COMPUTED_VALUE"""),"0813716913")</f>
        <v>0813716913</v>
      </c>
      <c r="N2701" s="3">
        <f>IFERROR(__xludf.DUMMYFUNCTION("""COMPUTED_VALUE"""),83504.0)</f>
        <v>83504</v>
      </c>
      <c r="O2701" s="3" t="str">
        <f>IFERROR(__xludf.DUMMYFUNCTION("""COMPUTED_VALUE"""),"ร้านทิพย์มินิมาร์ท")</f>
        <v>ร้านทิพย์มินิมาร์ท</v>
      </c>
      <c r="P2701" s="4">
        <f>IFERROR(__xludf.DUMMYFUNCTION("""COMPUTED_VALUE"""),44616.0)</f>
        <v>44616</v>
      </c>
      <c r="Q2701" s="3" t="str">
        <f>IFERROR(__xludf.DUMMYFUNCTION("""COMPUTED_VALUE"""),"A")</f>
        <v>A</v>
      </c>
      <c r="R2701" s="3" t="str">
        <f>IFERROR(__xludf.DUMMYFUNCTION("""COMPUTED_VALUE"""),"Small Format")</f>
        <v>Small Format</v>
      </c>
      <c r="S2701" s="3" t="str">
        <f>IFERROR(__xludf.DUMMYFUNCTION("""COMPUTED_VALUE"""),"Donjai")</f>
        <v>Donjai</v>
      </c>
      <c r="T2701" s="3" t="str">
        <f>IFERROR(__xludf.DUMMYFUNCTION("""COMPUTED_VALUE"""),"12 K.Theerawat B.")</f>
        <v>12 K.Theerawat B.</v>
      </c>
      <c r="U2701" s="3" t="str">
        <f>IFERROR(__xludf.DUMMYFUNCTION("""COMPUTED_VALUE"""),"12 K.Theerawat B.")</f>
        <v>12 K.Theerawat B.</v>
      </c>
      <c r="V2701" s="3" t="str">
        <f>IFERROR(__xludf.DUMMYFUNCTION("""COMPUTED_VALUE"""),"N")</f>
        <v>N</v>
      </c>
      <c r="W2701" s="3"/>
      <c r="X2701" s="3" t="str">
        <f>IFERROR(__xludf.DUMMYFUNCTION("""COMPUTED_VALUE"""),"56/16 หมู่3 หมู่บ้านพฤกษา40 ต.คลองสาม อ.คลองหลวง จ.ปทุมธานี")</f>
        <v>56/16 หมู่3 หมู่บ้านพฤกษา40 ต.คลองสาม อ.คลองหลวง จ.ปทุมธานี</v>
      </c>
      <c r="Y2701" s="3"/>
      <c r="Z2701" s="3">
        <f>IFERROR(__xludf.DUMMYFUNCTION("""COMPUTED_VALUE"""),0.0)</f>
        <v>0</v>
      </c>
      <c r="AA2701" s="3">
        <f>IFERROR(__xludf.DUMMYFUNCTION("""COMPUTED_VALUE"""),0.0)</f>
        <v>0</v>
      </c>
      <c r="AB2701" s="3" t="str">
        <f>IFERROR(__xludf.DUMMYFUNCTION("""COMPUTED_VALUE"""),"ปทุมธานี")</f>
        <v>ปทุมธานี</v>
      </c>
      <c r="AC2701" s="3">
        <f>IFERROR(__xludf.DUMMYFUNCTION("""COMPUTED_VALUE"""),0.0)</f>
        <v>0</v>
      </c>
      <c r="AD2701" s="3"/>
      <c r="AE2701" s="3"/>
      <c r="AF2701" s="3" t="str">
        <f>IFERROR(__xludf.DUMMYFUNCTION("""COMPUTED_VALUE"""),"ร้านทิพย์มินิมาร์ท-83504")</f>
        <v>ร้านทิพย์มินิมาร์ท-83504</v>
      </c>
      <c r="AG2701" s="3" t="str">
        <f>IFERROR(__xludf.DUMMYFUNCTION("""COMPUTED_VALUE"""),"กลาง")</f>
        <v>กลาง</v>
      </c>
      <c r="AH2701" s="3" t="str">
        <f>IFERROR(__xludf.DUMMYFUNCTION("""COMPUTED_VALUE"""),"#N/A")</f>
        <v>#N/A</v>
      </c>
      <c r="AI2701" s="3" t="str">
        <f>IFERROR(__xludf.DUMMYFUNCTION("""COMPUTED_VALUE"""),"Out of warranty")</f>
        <v>Out of warranty</v>
      </c>
      <c r="AJ2701" s="3">
        <f>IFERROR(__xludf.DUMMYFUNCTION("""COMPUTED_VALUE"""),47.0)</f>
        <v>47</v>
      </c>
      <c r="AK2701" s="3"/>
      <c r="AL2701" s="3"/>
    </row>
    <row r="2702" ht="15.75" customHeight="1">
      <c r="A2702" s="1" t="str">
        <f>IFERROR(__xludf.DUMMYFUNCTION("""COMPUTED_VALUE"""),"83505")</f>
        <v>83505</v>
      </c>
      <c r="B2702" s="2">
        <f>IFERROR(__xludf.DUMMYFUNCTION("""COMPUTED_VALUE"""),83505.0)</f>
        <v>83505</v>
      </c>
      <c r="C2702" s="3" t="str">
        <f>IFERROR(__xludf.DUMMYFUNCTION("""COMPUTED_VALUE"""),"ร้านบอลบริการ")</f>
        <v>ร้านบอลบริการ</v>
      </c>
      <c r="D2702" s="3" t="str">
        <f>IFERROR(__xludf.DUMMYFUNCTION("""COMPUTED_VALUE"""),"ร้านบอลบริการ")</f>
        <v>ร้านบอลบริการ</v>
      </c>
      <c r="E2702" s="1" t="str">
        <f>IFERROR(__xludf.DUMMYFUNCTION("""COMPUTED_VALUE"""),"Donjai")</f>
        <v>Donjai</v>
      </c>
      <c r="F2702" s="1" t="str">
        <f>IFERROR(__xludf.DUMMYFUNCTION("""COMPUTED_VALUE"""),"296608")</f>
        <v>296608</v>
      </c>
      <c r="G2702" s="1" t="str">
        <f>IFERROR(__xludf.DUMMYFUNCTION("""COMPUTED_VALUE"""),"นายภาคภูมิ เพ็ชรนิล")</f>
        <v>นายภาคภูมิ เพ็ชรนิล</v>
      </c>
      <c r="H2702" s="1" t="str">
        <f>IFERROR(__xludf.DUMMYFUNCTION("""COMPUTED_VALUE"""),"296608")</f>
        <v>296608</v>
      </c>
      <c r="I2702" s="1" t="str">
        <f>IFERROR(__xludf.DUMMYFUNCTION("""COMPUTED_VALUE"""),"นายภาคภูมิ เพ็ชรนิล")</f>
        <v>นายภาคภูมิ เพ็ชรนิล</v>
      </c>
      <c r="J2702" s="3">
        <f>IFERROR(__xludf.DUMMYFUNCTION("""COMPUTED_VALUE"""),228031.0)</f>
        <v>228031</v>
      </c>
      <c r="K2702" s="3" t="str">
        <f>IFERROR(__xludf.DUMMYFUNCTION("""COMPUTED_VALUE"""),"นายธนพงษ์ วันหมัด")</f>
        <v>นายธนพงษ์ วันหมัด</v>
      </c>
      <c r="L2702" s="1" t="str">
        <f>IFERROR(__xludf.DUMMYFUNCTION("""COMPUTED_VALUE"""),"นายธนพงษ์ วันหมัด")</f>
        <v>นายธนพงษ์ วันหมัด</v>
      </c>
      <c r="M2702" s="1" t="str">
        <f>IFERROR(__xludf.DUMMYFUNCTION("""COMPUTED_VALUE"""),"0813716913")</f>
        <v>0813716913</v>
      </c>
      <c r="N2702" s="3">
        <f>IFERROR(__xludf.DUMMYFUNCTION("""COMPUTED_VALUE"""),83505.0)</f>
        <v>83505</v>
      </c>
      <c r="O2702" s="3" t="str">
        <f>IFERROR(__xludf.DUMMYFUNCTION("""COMPUTED_VALUE"""),"ร้านบอลบริการ")</f>
        <v>ร้านบอลบริการ</v>
      </c>
      <c r="P2702" s="4">
        <f>IFERROR(__xludf.DUMMYFUNCTION("""COMPUTED_VALUE"""),44635.0)</f>
        <v>44635</v>
      </c>
      <c r="Q2702" s="3" t="str">
        <f>IFERROR(__xludf.DUMMYFUNCTION("""COMPUTED_VALUE"""),"I")</f>
        <v>I</v>
      </c>
      <c r="R2702" s="3" t="str">
        <f>IFERROR(__xludf.DUMMYFUNCTION("""COMPUTED_VALUE"""),"Small Format")</f>
        <v>Small Format</v>
      </c>
      <c r="S2702" s="3" t="str">
        <f>IFERROR(__xludf.DUMMYFUNCTION("""COMPUTED_VALUE"""),"Donjai")</f>
        <v>Donjai</v>
      </c>
      <c r="T2702" s="3" t="str">
        <f>IFERROR(__xludf.DUMMYFUNCTION("""COMPUTED_VALUE"""),"10 K.Phakphoom P.")</f>
        <v>10 K.Phakphoom P.</v>
      </c>
      <c r="U2702" s="3" t="str">
        <f>IFERROR(__xludf.DUMMYFUNCTION("""COMPUTED_VALUE"""),"10 K.Phakphoom P.")</f>
        <v>10 K.Phakphoom P.</v>
      </c>
      <c r="V2702" s="3" t="str">
        <f>IFERROR(__xludf.DUMMYFUNCTION("""COMPUTED_VALUE"""),"N")</f>
        <v>N</v>
      </c>
      <c r="W2702" s="3"/>
      <c r="X2702" s="3" t="str">
        <f>IFERROR(__xludf.DUMMYFUNCTION("""COMPUTED_VALUE"""),"21/3 หมู่ที่4 ตำบลพงสวาย อำเภอเมืองราชบุรี จังหวัดราชบุรี")</f>
        <v>21/3 หมู่ที่4 ตำบลพงสวาย อำเภอเมืองราชบุรี จังหวัดราชบุรี</v>
      </c>
      <c r="Y2702" s="3"/>
      <c r="Z2702" s="3">
        <f>IFERROR(__xludf.DUMMYFUNCTION("""COMPUTED_VALUE"""),0.0)</f>
        <v>0</v>
      </c>
      <c r="AA2702" s="3">
        <f>IFERROR(__xludf.DUMMYFUNCTION("""COMPUTED_VALUE"""),0.0)</f>
        <v>0</v>
      </c>
      <c r="AB2702" s="3" t="str">
        <f>IFERROR(__xludf.DUMMYFUNCTION("""COMPUTED_VALUE"""),"ราชบุรี")</f>
        <v>ราชบุรี</v>
      </c>
      <c r="AC2702" s="3">
        <f>IFERROR(__xludf.DUMMYFUNCTION("""COMPUTED_VALUE"""),0.0)</f>
        <v>0</v>
      </c>
      <c r="AD2702" s="3"/>
      <c r="AE2702" s="3"/>
      <c r="AF2702" s="3" t="str">
        <f>IFERROR(__xludf.DUMMYFUNCTION("""COMPUTED_VALUE"""),"ร้านบอลบริการ-83505")</f>
        <v>ร้านบอลบริการ-83505</v>
      </c>
      <c r="AG2702" s="3" t="str">
        <f>IFERROR(__xludf.DUMMYFUNCTION("""COMPUTED_VALUE"""),"ตะวันตก")</f>
        <v>ตะวันตก</v>
      </c>
      <c r="AH2702" s="3" t="str">
        <f>IFERROR(__xludf.DUMMYFUNCTION("""COMPUTED_VALUE"""),"#N/A")</f>
        <v>#N/A</v>
      </c>
      <c r="AI2702" s="3" t="str">
        <f>IFERROR(__xludf.DUMMYFUNCTION("""COMPUTED_VALUE"""),"Out of warranty")</f>
        <v>Out of warranty</v>
      </c>
      <c r="AJ2702" s="3">
        <f>IFERROR(__xludf.DUMMYFUNCTION("""COMPUTED_VALUE"""),47.0)</f>
        <v>47</v>
      </c>
      <c r="AK2702" s="3"/>
      <c r="AL2702" s="3"/>
    </row>
    <row r="2703" ht="15.75" customHeight="1">
      <c r="A2703" s="1" t="str">
        <f>IFERROR(__xludf.DUMMYFUNCTION("""COMPUTED_VALUE"""),"83506")</f>
        <v>83506</v>
      </c>
      <c r="B2703" s="2">
        <f>IFERROR(__xludf.DUMMYFUNCTION("""COMPUTED_VALUE"""),83506.0)</f>
        <v>83506</v>
      </c>
      <c r="C2703" s="3" t="str">
        <f>IFERROR(__xludf.DUMMYFUNCTION("""COMPUTED_VALUE"""),"ร้านมิคกี้มินิมาร์ท")</f>
        <v>ร้านมิคกี้มินิมาร์ท</v>
      </c>
      <c r="D2703" s="3" t="str">
        <f>IFERROR(__xludf.DUMMYFUNCTION("""COMPUTED_VALUE"""),"ร้านมิคกี้มินิมาร์ท")</f>
        <v>ร้านมิคกี้มินิมาร์ท</v>
      </c>
      <c r="E2703" s="1" t="str">
        <f>IFERROR(__xludf.DUMMYFUNCTION("""COMPUTED_VALUE"""),"Donjai")</f>
        <v>Donjai</v>
      </c>
      <c r="F2703" s="1" t="str">
        <f>IFERROR(__xludf.DUMMYFUNCTION("""COMPUTED_VALUE"""),"2010016")</f>
        <v>2010016</v>
      </c>
      <c r="G2703" s="1" t="str">
        <f>IFERROR(__xludf.DUMMYFUNCTION("""COMPUTED_VALUE"""),"นายตวงธรรม ใหม่ยศ")</f>
        <v>นายตวงธรรม ใหม่ยศ</v>
      </c>
      <c r="H2703" s="1" t="str">
        <f>IFERROR(__xludf.DUMMYFUNCTION("""COMPUTED_VALUE"""),"2010016")</f>
        <v>2010016</v>
      </c>
      <c r="I2703" s="1" t="str">
        <f>IFERROR(__xludf.DUMMYFUNCTION("""COMPUTED_VALUE"""),"นายตวงธรรม ใหม่ยศ")</f>
        <v>นายตวงธรรม ใหม่ยศ</v>
      </c>
      <c r="J2703" s="3">
        <f>IFERROR(__xludf.DUMMYFUNCTION("""COMPUTED_VALUE"""),295886.0)</f>
        <v>295886</v>
      </c>
      <c r="K2703" s="3" t="str">
        <f>IFERROR(__xludf.DUMMYFUNCTION("""COMPUTED_VALUE"""),"นายจิระพงษ์ โพธิ์นิล")</f>
        <v>นายจิระพงษ์ โพธิ์นิล</v>
      </c>
      <c r="L2703" s="1" t="str">
        <f>IFERROR(__xludf.DUMMYFUNCTION("""COMPUTED_VALUE"""),"นายจิระพงษ์ โพธิ์นิล")</f>
        <v>นายจิระพงษ์ โพธิ์นิล</v>
      </c>
      <c r="M2703" s="1" t="str">
        <f>IFERROR(__xludf.DUMMYFUNCTION("""COMPUTED_VALUE"""),"0933290754")</f>
        <v>0933290754</v>
      </c>
      <c r="N2703" s="3">
        <f>IFERROR(__xludf.DUMMYFUNCTION("""COMPUTED_VALUE"""),83506.0)</f>
        <v>83506</v>
      </c>
      <c r="O2703" s="3" t="str">
        <f>IFERROR(__xludf.DUMMYFUNCTION("""COMPUTED_VALUE"""),"ร้านมิคกี้มินิมาร์ท")</f>
        <v>ร้านมิคกี้มินิมาร์ท</v>
      </c>
      <c r="P2703" s="4">
        <f>IFERROR(__xludf.DUMMYFUNCTION("""COMPUTED_VALUE"""),44595.0)</f>
        <v>44595</v>
      </c>
      <c r="Q2703" s="3" t="str">
        <f>IFERROR(__xludf.DUMMYFUNCTION("""COMPUTED_VALUE"""),"I")</f>
        <v>I</v>
      </c>
      <c r="R2703" s="3" t="str">
        <f>IFERROR(__xludf.DUMMYFUNCTION("""COMPUTED_VALUE"""),"Small Format")</f>
        <v>Small Format</v>
      </c>
      <c r="S2703" s="3" t="str">
        <f>IFERROR(__xludf.DUMMYFUNCTION("""COMPUTED_VALUE"""),"Donjai")</f>
        <v>Donjai</v>
      </c>
      <c r="T2703" s="3" t="str">
        <f>IFERROR(__xludf.DUMMYFUNCTION("""COMPUTED_VALUE"""),"01 K.Tuangtham M.")</f>
        <v>01 K.Tuangtham M.</v>
      </c>
      <c r="U2703" s="3" t="str">
        <f>IFERROR(__xludf.DUMMYFUNCTION("""COMPUTED_VALUE"""),"01 K.Tuangtham M.")</f>
        <v>01 K.Tuangtham M.</v>
      </c>
      <c r="V2703" s="3" t="str">
        <f>IFERROR(__xludf.DUMMYFUNCTION("""COMPUTED_VALUE"""),"N")</f>
        <v>N</v>
      </c>
      <c r="W2703" s="3"/>
      <c r="X2703" s="3" t="str">
        <f>IFERROR(__xludf.DUMMYFUNCTION("""COMPUTED_VALUE"""),"394 ม.5 หมู่บ้านศรีลังกา ต.เสริมงาม อ.เสริมงาม จ.ลำปาง")</f>
        <v>394 ม.5 หมู่บ้านศรีลังกา ต.เสริมงาม อ.เสริมงาม จ.ลำปาง</v>
      </c>
      <c r="Y2703" s="3"/>
      <c r="Z2703" s="3">
        <f>IFERROR(__xludf.DUMMYFUNCTION("""COMPUTED_VALUE"""),0.0)</f>
        <v>0</v>
      </c>
      <c r="AA2703" s="3">
        <f>IFERROR(__xludf.DUMMYFUNCTION("""COMPUTED_VALUE"""),0.0)</f>
        <v>0</v>
      </c>
      <c r="AB2703" s="3" t="str">
        <f>IFERROR(__xludf.DUMMYFUNCTION("""COMPUTED_VALUE"""),"ลำปาง")</f>
        <v>ลำปาง</v>
      </c>
      <c r="AC2703" s="3">
        <f>IFERROR(__xludf.DUMMYFUNCTION("""COMPUTED_VALUE"""),0.0)</f>
        <v>0</v>
      </c>
      <c r="AD2703" s="3"/>
      <c r="AE2703" s="3"/>
      <c r="AF2703" s="3" t="str">
        <f>IFERROR(__xludf.DUMMYFUNCTION("""COMPUTED_VALUE"""),"ร้านมิคกี้มินิมาร์ท-83506")</f>
        <v>ร้านมิคกี้มินิมาร์ท-83506</v>
      </c>
      <c r="AG2703" s="3" t="str">
        <f>IFERROR(__xludf.DUMMYFUNCTION("""COMPUTED_VALUE"""),"เหนือ")</f>
        <v>เหนือ</v>
      </c>
      <c r="AH2703" s="3" t="str">
        <f>IFERROR(__xludf.DUMMYFUNCTION("""COMPUTED_VALUE"""),"#N/A")</f>
        <v>#N/A</v>
      </c>
      <c r="AI2703" s="3" t="str">
        <f>IFERROR(__xludf.DUMMYFUNCTION("""COMPUTED_VALUE"""),"Out of warranty")</f>
        <v>Out of warranty</v>
      </c>
      <c r="AJ2703" s="3">
        <f>IFERROR(__xludf.DUMMYFUNCTION("""COMPUTED_VALUE"""),48.0)</f>
        <v>48</v>
      </c>
      <c r="AK2703" s="3"/>
      <c r="AL2703" s="3"/>
    </row>
    <row r="2704" ht="15.75" customHeight="1">
      <c r="A2704" s="1" t="str">
        <f>IFERROR(__xludf.DUMMYFUNCTION("""COMPUTED_VALUE"""),"83507")</f>
        <v>83507</v>
      </c>
      <c r="B2704" s="2">
        <f>IFERROR(__xludf.DUMMYFUNCTION("""COMPUTED_VALUE"""),83507.0)</f>
        <v>83507</v>
      </c>
      <c r="C2704" s="3" t="str">
        <f>IFERROR(__xludf.DUMMYFUNCTION("""COMPUTED_VALUE"""),"ร้านจัสมินมินิมาร์ท")</f>
        <v>ร้านจัสมินมินิมาร์ท</v>
      </c>
      <c r="D2704" s="3" t="str">
        <f>IFERROR(__xludf.DUMMYFUNCTION("""COMPUTED_VALUE"""),"ร้านจัสมินมินิมาร์ท")</f>
        <v>ร้านจัสมินมินิมาร์ท</v>
      </c>
      <c r="E2704" s="1" t="str">
        <f>IFERROR(__xludf.DUMMYFUNCTION("""COMPUTED_VALUE"""),"Donjai")</f>
        <v>Donjai</v>
      </c>
      <c r="F2704" s="1" t="str">
        <f>IFERROR(__xludf.DUMMYFUNCTION("""COMPUTED_VALUE"""),"20470331")</f>
        <v>20470331</v>
      </c>
      <c r="G2704" s="1" t="str">
        <f>IFERROR(__xludf.DUMMYFUNCTION("""COMPUTED_VALUE"""),"นายสมชาย ลักษณะสุวรรณ")</f>
        <v>นายสมชาย ลักษณะสุวรรณ</v>
      </c>
      <c r="H2704" s="1" t="str">
        <f>IFERROR(__xludf.DUMMYFUNCTION("""COMPUTED_VALUE"""),"20470331")</f>
        <v>20470331</v>
      </c>
      <c r="I2704" s="1" t="str">
        <f>IFERROR(__xludf.DUMMYFUNCTION("""COMPUTED_VALUE"""),"นายสมชาย ลักษณะสุวรรณ")</f>
        <v>นายสมชาย ลักษณะสุวรรณ</v>
      </c>
      <c r="J2704" s="3">
        <f>IFERROR(__xludf.DUMMYFUNCTION("""COMPUTED_VALUE"""),295541.0)</f>
        <v>295541</v>
      </c>
      <c r="K2704" s="3" t="str">
        <f>IFERROR(__xludf.DUMMYFUNCTION("""COMPUTED_VALUE"""),"นายรพิพล ศรีมาตย์")</f>
        <v>นายรพิพล ศรีมาตย์</v>
      </c>
      <c r="L2704" s="1" t="str">
        <f>IFERROR(__xludf.DUMMYFUNCTION("""COMPUTED_VALUE"""),"นายรพิพล ศรีมาตย์")</f>
        <v>นายรพิพล ศรีมาตย์</v>
      </c>
      <c r="M2704" s="1" t="str">
        <f>IFERROR(__xludf.DUMMYFUNCTION("""COMPUTED_VALUE"""),"0613966115")</f>
        <v>0613966115</v>
      </c>
      <c r="N2704" s="3">
        <f>IFERROR(__xludf.DUMMYFUNCTION("""COMPUTED_VALUE"""),83507.0)</f>
        <v>83507</v>
      </c>
      <c r="O2704" s="3" t="str">
        <f>IFERROR(__xludf.DUMMYFUNCTION("""COMPUTED_VALUE"""),"ร้านจัสมินมินิมาร์ท")</f>
        <v>ร้านจัสมินมินิมาร์ท</v>
      </c>
      <c r="P2704" s="4">
        <f>IFERROR(__xludf.DUMMYFUNCTION("""COMPUTED_VALUE"""),44611.0)</f>
        <v>44611</v>
      </c>
      <c r="Q2704" s="3" t="str">
        <f>IFERROR(__xludf.DUMMYFUNCTION("""COMPUTED_VALUE"""),"I")</f>
        <v>I</v>
      </c>
      <c r="R2704" s="3" t="str">
        <f>IFERROR(__xludf.DUMMYFUNCTION("""COMPUTED_VALUE"""),"Small Format")</f>
        <v>Small Format</v>
      </c>
      <c r="S2704" s="3" t="str">
        <f>IFERROR(__xludf.DUMMYFUNCTION("""COMPUTED_VALUE"""),"Donjai")</f>
        <v>Donjai</v>
      </c>
      <c r="T2704" s="3" t="str">
        <f>IFERROR(__xludf.DUMMYFUNCTION("""COMPUTED_VALUE"""),"15 K.Somchai L")</f>
        <v>15 K.Somchai L</v>
      </c>
      <c r="U2704" s="3" t="str">
        <f>IFERROR(__xludf.DUMMYFUNCTION("""COMPUTED_VALUE"""),"15 K.Somchai L")</f>
        <v>15 K.Somchai L</v>
      </c>
      <c r="V2704" s="3" t="str">
        <f>IFERROR(__xludf.DUMMYFUNCTION("""COMPUTED_VALUE"""),"N")</f>
        <v>N</v>
      </c>
      <c r="W2704" s="3"/>
      <c r="X2704" s="3" t="str">
        <f>IFERROR(__xludf.DUMMYFUNCTION("""COMPUTED_VALUE"""),"246 ม 4 ต ท่าชะมวง อ รัตภูมิ สงขลา")</f>
        <v>246 ม 4 ต ท่าชะมวง อ รัตภูมิ สงขลา</v>
      </c>
      <c r="Y2704" s="3"/>
      <c r="Z2704" s="3">
        <f>IFERROR(__xludf.DUMMYFUNCTION("""COMPUTED_VALUE"""),0.0)</f>
        <v>0</v>
      </c>
      <c r="AA2704" s="3">
        <f>IFERROR(__xludf.DUMMYFUNCTION("""COMPUTED_VALUE"""),0.0)</f>
        <v>0</v>
      </c>
      <c r="AB2704" s="3" t="str">
        <f>IFERROR(__xludf.DUMMYFUNCTION("""COMPUTED_VALUE"""),"สงขลา")</f>
        <v>สงขลา</v>
      </c>
      <c r="AC2704" s="3">
        <f>IFERROR(__xludf.DUMMYFUNCTION("""COMPUTED_VALUE"""),0.0)</f>
        <v>0</v>
      </c>
      <c r="AD2704" s="3"/>
      <c r="AE2704" s="3"/>
      <c r="AF2704" s="3" t="str">
        <f>IFERROR(__xludf.DUMMYFUNCTION("""COMPUTED_VALUE"""),"ร้านจัสมินมินิมาร์ท-83507")</f>
        <v>ร้านจัสมินมินิมาร์ท-83507</v>
      </c>
      <c r="AG2704" s="3" t="str">
        <f>IFERROR(__xludf.DUMMYFUNCTION("""COMPUTED_VALUE"""),"ใต้")</f>
        <v>ใต้</v>
      </c>
      <c r="AH2704" s="3" t="str">
        <f>IFERROR(__xludf.DUMMYFUNCTION("""COMPUTED_VALUE"""),"#N/A")</f>
        <v>#N/A</v>
      </c>
      <c r="AI2704" s="3" t="str">
        <f>IFERROR(__xludf.DUMMYFUNCTION("""COMPUTED_VALUE"""),"Out of warranty")</f>
        <v>Out of warranty</v>
      </c>
      <c r="AJ2704" s="3">
        <f>IFERROR(__xludf.DUMMYFUNCTION("""COMPUTED_VALUE"""),48.0)</f>
        <v>48</v>
      </c>
      <c r="AK2704" s="3"/>
      <c r="AL2704" s="3"/>
    </row>
    <row r="2705" ht="15.75" customHeight="1">
      <c r="A2705" s="1" t="str">
        <f>IFERROR(__xludf.DUMMYFUNCTION("""COMPUTED_VALUE"""),"83508")</f>
        <v>83508</v>
      </c>
      <c r="B2705" s="2">
        <f>IFERROR(__xludf.DUMMYFUNCTION("""COMPUTED_VALUE"""),83508.0)</f>
        <v>83508</v>
      </c>
      <c r="C2705" s="3" t="str">
        <f>IFERROR(__xludf.DUMMYFUNCTION("""COMPUTED_VALUE"""),"เนาวรัตน์")</f>
        <v>เนาวรัตน์</v>
      </c>
      <c r="D2705" s="3" t="str">
        <f>IFERROR(__xludf.DUMMYFUNCTION("""COMPUTED_VALUE"""),"เนาวรัตน์")</f>
        <v>เนาวรัตน์</v>
      </c>
      <c r="E2705" s="1" t="str">
        <f>IFERROR(__xludf.DUMMYFUNCTION("""COMPUTED_VALUE"""),"Donjai")</f>
        <v>Donjai</v>
      </c>
      <c r="F2705" s="1" t="str">
        <f>IFERROR(__xludf.DUMMYFUNCTION("""COMPUTED_VALUE"""),"046214")</f>
        <v>046214</v>
      </c>
      <c r="G2705" s="1" t="str">
        <f>IFERROR(__xludf.DUMMYFUNCTION("""COMPUTED_VALUE"""),"นายศักดิ์ชัย เด็ดดอกฟ้า")</f>
        <v>นายศักดิ์ชัย เด็ดดอกฟ้า</v>
      </c>
      <c r="H2705" s="1" t="str">
        <f>IFERROR(__xludf.DUMMYFUNCTION("""COMPUTED_VALUE"""),"046214")</f>
        <v>046214</v>
      </c>
      <c r="I2705" s="1" t="str">
        <f>IFERROR(__xludf.DUMMYFUNCTION("""COMPUTED_VALUE"""),"นายศักดิ์ชัย เด็ดดอกฟ้า")</f>
        <v>นายศักดิ์ชัย เด็ดดอกฟ้า</v>
      </c>
      <c r="J2705" s="3">
        <f>IFERROR(__xludf.DUMMYFUNCTION("""COMPUTED_VALUE"""),295886.0)</f>
        <v>295886</v>
      </c>
      <c r="K2705" s="3" t="str">
        <f>IFERROR(__xludf.DUMMYFUNCTION("""COMPUTED_VALUE"""),"นายจิระพงษ์ โพธิ์นิล")</f>
        <v>นายจิระพงษ์ โพธิ์นิล</v>
      </c>
      <c r="L2705" s="1" t="str">
        <f>IFERROR(__xludf.DUMMYFUNCTION("""COMPUTED_VALUE"""),"นายจิระพงษ์ โพธิ์นิล")</f>
        <v>นายจิระพงษ์ โพธิ์นิล</v>
      </c>
      <c r="M2705" s="1" t="str">
        <f>IFERROR(__xludf.DUMMYFUNCTION("""COMPUTED_VALUE"""),"0933290754")</f>
        <v>0933290754</v>
      </c>
      <c r="N2705" s="3">
        <f>IFERROR(__xludf.DUMMYFUNCTION("""COMPUTED_VALUE"""),83508.0)</f>
        <v>83508</v>
      </c>
      <c r="O2705" s="3" t="str">
        <f>IFERROR(__xludf.DUMMYFUNCTION("""COMPUTED_VALUE"""),"เนาวรัตน์")</f>
        <v>เนาวรัตน์</v>
      </c>
      <c r="P2705" s="4">
        <f>IFERROR(__xludf.DUMMYFUNCTION("""COMPUTED_VALUE"""),44619.0)</f>
        <v>44619</v>
      </c>
      <c r="Q2705" s="3" t="str">
        <f>IFERROR(__xludf.DUMMYFUNCTION("""COMPUTED_VALUE"""),"A")</f>
        <v>A</v>
      </c>
      <c r="R2705" s="3" t="str">
        <f>IFERROR(__xludf.DUMMYFUNCTION("""COMPUTED_VALUE"""),"Small Format")</f>
        <v>Small Format</v>
      </c>
      <c r="S2705" s="3" t="str">
        <f>IFERROR(__xludf.DUMMYFUNCTION("""COMPUTED_VALUE"""),"Donjai")</f>
        <v>Donjai</v>
      </c>
      <c r="T2705" s="3" t="str">
        <f>IFERROR(__xludf.DUMMYFUNCTION("""COMPUTED_VALUE"""),"02 K.Sakchai D")</f>
        <v>02 K.Sakchai D</v>
      </c>
      <c r="U2705" s="3" t="str">
        <f>IFERROR(__xludf.DUMMYFUNCTION("""COMPUTED_VALUE"""),"02 K.Sakchai D")</f>
        <v>02 K.Sakchai D</v>
      </c>
      <c r="V2705" s="3" t="str">
        <f>IFERROR(__xludf.DUMMYFUNCTION("""COMPUTED_VALUE"""),"N")</f>
        <v>N</v>
      </c>
      <c r="W2705" s="3"/>
      <c r="X2705" s="3" t="str">
        <f>IFERROR(__xludf.DUMMYFUNCTION("""COMPUTED_VALUE"""),"50/2 หมู่7 ต.โก่งธนู อ.เมือง จ.ลพบุรี 15000")</f>
        <v>50/2 หมู่7 ต.โก่งธนู อ.เมือง จ.ลพบุรี 15000</v>
      </c>
      <c r="Y2705" s="3"/>
      <c r="Z2705" s="3">
        <f>IFERROR(__xludf.DUMMYFUNCTION("""COMPUTED_VALUE"""),0.0)</f>
        <v>0</v>
      </c>
      <c r="AA2705" s="3">
        <f>IFERROR(__xludf.DUMMYFUNCTION("""COMPUTED_VALUE"""),0.0)</f>
        <v>0</v>
      </c>
      <c r="AB2705" s="3" t="str">
        <f>IFERROR(__xludf.DUMMYFUNCTION("""COMPUTED_VALUE"""),"ลพบุรี")</f>
        <v>ลพบุรี</v>
      </c>
      <c r="AC2705" s="3">
        <f>IFERROR(__xludf.DUMMYFUNCTION("""COMPUTED_VALUE"""),15000.0)</f>
        <v>15000</v>
      </c>
      <c r="AD2705" s="3"/>
      <c r="AE2705" s="3"/>
      <c r="AF2705" s="3" t="str">
        <f>IFERROR(__xludf.DUMMYFUNCTION("""COMPUTED_VALUE"""),"เนาวรัตน์-83508")</f>
        <v>เนาวรัตน์-83508</v>
      </c>
      <c r="AG2705" s="3" t="str">
        <f>IFERROR(__xludf.DUMMYFUNCTION("""COMPUTED_VALUE"""),"กลาง")</f>
        <v>กลาง</v>
      </c>
      <c r="AH2705" s="3" t="str">
        <f>IFERROR(__xludf.DUMMYFUNCTION("""COMPUTED_VALUE"""),"#N/A")</f>
        <v>#N/A</v>
      </c>
      <c r="AI2705" s="3" t="str">
        <f>IFERROR(__xludf.DUMMYFUNCTION("""COMPUTED_VALUE"""),"Out of warranty")</f>
        <v>Out of warranty</v>
      </c>
      <c r="AJ2705" s="3">
        <f>IFERROR(__xludf.DUMMYFUNCTION("""COMPUTED_VALUE"""),47.0)</f>
        <v>47</v>
      </c>
      <c r="AK2705" s="3"/>
      <c r="AL2705" s="3"/>
    </row>
    <row r="2706" ht="15.75" customHeight="1">
      <c r="A2706" s="1" t="str">
        <f>IFERROR(__xludf.DUMMYFUNCTION("""COMPUTED_VALUE"""),"83509")</f>
        <v>83509</v>
      </c>
      <c r="B2706" s="2">
        <f>IFERROR(__xludf.DUMMYFUNCTION("""COMPUTED_VALUE"""),83509.0)</f>
        <v>83509</v>
      </c>
      <c r="C2706" s="3" t="str">
        <f>IFERROR(__xludf.DUMMYFUNCTION("""COMPUTED_VALUE"""),"ร้านน้องป๊อป")</f>
        <v>ร้านน้องป๊อป</v>
      </c>
      <c r="D2706" s="3" t="str">
        <f>IFERROR(__xludf.DUMMYFUNCTION("""COMPUTED_VALUE"""),"ร้านน้องป๊อป")</f>
        <v>ร้านน้องป๊อป</v>
      </c>
      <c r="E2706" s="1" t="str">
        <f>IFERROR(__xludf.DUMMYFUNCTION("""COMPUTED_VALUE"""),"Donjai")</f>
        <v>Donjai</v>
      </c>
      <c r="F2706" s="1" t="str">
        <f>IFERROR(__xludf.DUMMYFUNCTION("""COMPUTED_VALUE"""),"025324")</f>
        <v>025324</v>
      </c>
      <c r="G2706" s="1" t="str">
        <f>IFERROR(__xludf.DUMMYFUNCTION("""COMPUTED_VALUE"""),"นายวิเชฎฐ์ ติรัตนะประคม")</f>
        <v>นายวิเชฎฐ์ ติรัตนะประคม</v>
      </c>
      <c r="H2706" s="1" t="str">
        <f>IFERROR(__xludf.DUMMYFUNCTION("""COMPUTED_VALUE"""),"025324")</f>
        <v>025324</v>
      </c>
      <c r="I2706" s="1" t="str">
        <f>IFERROR(__xludf.DUMMYFUNCTION("""COMPUTED_VALUE"""),"นายวิเชฎฐ์ ติรัตนะประคม")</f>
        <v>นายวิเชฎฐ์ ติรัตนะประคม</v>
      </c>
      <c r="J2706" s="3">
        <f>IFERROR(__xludf.DUMMYFUNCTION("""COMPUTED_VALUE"""),295541.0)</f>
        <v>295541</v>
      </c>
      <c r="K2706" s="3" t="str">
        <f>IFERROR(__xludf.DUMMYFUNCTION("""COMPUTED_VALUE"""),"นายรพิพล ศรีมาตย์")</f>
        <v>นายรพิพล ศรีมาตย์</v>
      </c>
      <c r="L2706" s="1" t="str">
        <f>IFERROR(__xludf.DUMMYFUNCTION("""COMPUTED_VALUE"""),"นายรพิพล ศรีมาตย์")</f>
        <v>นายรพิพล ศรีมาตย์</v>
      </c>
      <c r="M2706" s="1" t="str">
        <f>IFERROR(__xludf.DUMMYFUNCTION("""COMPUTED_VALUE"""),"0613966115")</f>
        <v>0613966115</v>
      </c>
      <c r="N2706" s="3">
        <f>IFERROR(__xludf.DUMMYFUNCTION("""COMPUTED_VALUE"""),83509.0)</f>
        <v>83509</v>
      </c>
      <c r="O2706" s="3" t="str">
        <f>IFERROR(__xludf.DUMMYFUNCTION("""COMPUTED_VALUE"""),"ร้านน้องป๊อป")</f>
        <v>ร้านน้องป๊อป</v>
      </c>
      <c r="P2706" s="4">
        <f>IFERROR(__xludf.DUMMYFUNCTION("""COMPUTED_VALUE"""),44638.0)</f>
        <v>44638</v>
      </c>
      <c r="Q2706" s="3" t="str">
        <f>IFERROR(__xludf.DUMMYFUNCTION("""COMPUTED_VALUE"""),"I")</f>
        <v>I</v>
      </c>
      <c r="R2706" s="3" t="str">
        <f>IFERROR(__xludf.DUMMYFUNCTION("""COMPUTED_VALUE"""),"Small Format")</f>
        <v>Small Format</v>
      </c>
      <c r="S2706" s="3" t="str">
        <f>IFERROR(__xludf.DUMMYFUNCTION("""COMPUTED_VALUE"""),"Donjai")</f>
        <v>Donjai</v>
      </c>
      <c r="T2706" s="3" t="str">
        <f>IFERROR(__xludf.DUMMYFUNCTION("""COMPUTED_VALUE"""),"14 K.Wichet T.")</f>
        <v>14 K.Wichet T.</v>
      </c>
      <c r="U2706" s="3" t="str">
        <f>IFERROR(__xludf.DUMMYFUNCTION("""COMPUTED_VALUE"""),"14 K.Wichet T.")</f>
        <v>14 K.Wichet T.</v>
      </c>
      <c r="V2706" s="3" t="str">
        <f>IFERROR(__xludf.DUMMYFUNCTION("""COMPUTED_VALUE"""),"N")</f>
        <v>N</v>
      </c>
      <c r="W2706" s="3"/>
      <c r="X2706" s="3" t="str">
        <f>IFERROR(__xludf.DUMMYFUNCTION("""COMPUTED_VALUE"""),"45/1 ม9 ต สี่ขีด อ สิชล จ.นครศรีธรรมราช")</f>
        <v>45/1 ม9 ต สี่ขีด อ สิชล จ.นครศรีธรรมราช</v>
      </c>
      <c r="Y2706" s="3"/>
      <c r="Z2706" s="3">
        <f>IFERROR(__xludf.DUMMYFUNCTION("""COMPUTED_VALUE"""),0.0)</f>
        <v>0</v>
      </c>
      <c r="AA2706" s="3">
        <f>IFERROR(__xludf.DUMMYFUNCTION("""COMPUTED_VALUE"""),0.0)</f>
        <v>0</v>
      </c>
      <c r="AB2706" s="3" t="str">
        <f>IFERROR(__xludf.DUMMYFUNCTION("""COMPUTED_VALUE"""),"นครศรีธรรมราช")</f>
        <v>นครศรีธรรมราช</v>
      </c>
      <c r="AC2706" s="3">
        <f>IFERROR(__xludf.DUMMYFUNCTION("""COMPUTED_VALUE"""),0.0)</f>
        <v>0</v>
      </c>
      <c r="AD2706" s="3"/>
      <c r="AE2706" s="3"/>
      <c r="AF2706" s="3" t="str">
        <f>IFERROR(__xludf.DUMMYFUNCTION("""COMPUTED_VALUE"""),"ร้านน้องป๊อป-83509")</f>
        <v>ร้านน้องป๊อป-83509</v>
      </c>
      <c r="AG2706" s="3" t="str">
        <f>IFERROR(__xludf.DUMMYFUNCTION("""COMPUTED_VALUE"""),"ใต้")</f>
        <v>ใต้</v>
      </c>
      <c r="AH2706" s="3" t="str">
        <f>IFERROR(__xludf.DUMMYFUNCTION("""COMPUTED_VALUE"""),"#N/A")</f>
        <v>#N/A</v>
      </c>
      <c r="AI2706" s="3" t="str">
        <f>IFERROR(__xludf.DUMMYFUNCTION("""COMPUTED_VALUE"""),"Out of warranty")</f>
        <v>Out of warranty</v>
      </c>
      <c r="AJ2706" s="3">
        <f>IFERROR(__xludf.DUMMYFUNCTION("""COMPUTED_VALUE"""),47.0)</f>
        <v>47</v>
      </c>
      <c r="AK2706" s="3"/>
      <c r="AL2706" s="3"/>
    </row>
    <row r="2707" ht="15.75" customHeight="1">
      <c r="A2707" s="1" t="str">
        <f>IFERROR(__xludf.DUMMYFUNCTION("""COMPUTED_VALUE"""),"83511")</f>
        <v>83511</v>
      </c>
      <c r="B2707" s="2">
        <f>IFERROR(__xludf.DUMMYFUNCTION("""COMPUTED_VALUE"""),83511.0)</f>
        <v>83511</v>
      </c>
      <c r="C2707" s="3" t="str">
        <f>IFERROR(__xludf.DUMMYFUNCTION("""COMPUTED_VALUE"""),"ร้านไตเติ้ล")</f>
        <v>ร้านไตเติ้ล</v>
      </c>
      <c r="D2707" s="3" t="str">
        <f>IFERROR(__xludf.DUMMYFUNCTION("""COMPUTED_VALUE"""),"ร้านไตเติ้ล")</f>
        <v>ร้านไตเติ้ล</v>
      </c>
      <c r="E2707" s="1" t="str">
        <f>IFERROR(__xludf.DUMMYFUNCTION("""COMPUTED_VALUE"""),"Donjai")</f>
        <v>Donjai</v>
      </c>
      <c r="F2707" s="1" t="str">
        <f>IFERROR(__xludf.DUMMYFUNCTION("""COMPUTED_VALUE"""),"00510143")</f>
        <v>00510143</v>
      </c>
      <c r="G2707" s="1" t="str">
        <f>IFERROR(__xludf.DUMMYFUNCTION("""COMPUTED_VALUE"""),"นายธีระวัฒน์ บุญสิทธิ์")</f>
        <v>นายธีระวัฒน์ บุญสิทธิ์</v>
      </c>
      <c r="H2707" s="1" t="str">
        <f>IFERROR(__xludf.DUMMYFUNCTION("""COMPUTED_VALUE"""),"00510143")</f>
        <v>00510143</v>
      </c>
      <c r="I2707" s="1" t="str">
        <f>IFERROR(__xludf.DUMMYFUNCTION("""COMPUTED_VALUE"""),"นายธีระวัฒน์ บุญสิทธิ์")</f>
        <v>นายธีระวัฒน์ บุญสิทธิ์</v>
      </c>
      <c r="J2707" s="3">
        <f>IFERROR(__xludf.DUMMYFUNCTION("""COMPUTED_VALUE"""),228031.0)</f>
        <v>228031</v>
      </c>
      <c r="K2707" s="3" t="str">
        <f>IFERROR(__xludf.DUMMYFUNCTION("""COMPUTED_VALUE"""),"นายธนพงษ์ วันหมัด")</f>
        <v>นายธนพงษ์ วันหมัด</v>
      </c>
      <c r="L2707" s="1" t="str">
        <f>IFERROR(__xludf.DUMMYFUNCTION("""COMPUTED_VALUE"""),"นายธนพงษ์ วันหมัด")</f>
        <v>นายธนพงษ์ วันหมัด</v>
      </c>
      <c r="M2707" s="1" t="str">
        <f>IFERROR(__xludf.DUMMYFUNCTION("""COMPUTED_VALUE"""),"0813716913")</f>
        <v>0813716913</v>
      </c>
      <c r="N2707" s="3">
        <f>IFERROR(__xludf.DUMMYFUNCTION("""COMPUTED_VALUE"""),83511.0)</f>
        <v>83511</v>
      </c>
      <c r="O2707" s="3" t="str">
        <f>IFERROR(__xludf.DUMMYFUNCTION("""COMPUTED_VALUE"""),"ร้านไตเติ้ล")</f>
        <v>ร้านไตเติ้ล</v>
      </c>
      <c r="P2707" s="4">
        <f>IFERROR(__xludf.DUMMYFUNCTION("""COMPUTED_VALUE"""),44610.0)</f>
        <v>44610</v>
      </c>
      <c r="Q2707" s="3" t="str">
        <f>IFERROR(__xludf.DUMMYFUNCTION("""COMPUTED_VALUE"""),"A")</f>
        <v>A</v>
      </c>
      <c r="R2707" s="3" t="str">
        <f>IFERROR(__xludf.DUMMYFUNCTION("""COMPUTED_VALUE"""),"Small Format")</f>
        <v>Small Format</v>
      </c>
      <c r="S2707" s="3" t="str">
        <f>IFERROR(__xludf.DUMMYFUNCTION("""COMPUTED_VALUE"""),"Donjai")</f>
        <v>Donjai</v>
      </c>
      <c r="T2707" s="3" t="str">
        <f>IFERROR(__xludf.DUMMYFUNCTION("""COMPUTED_VALUE"""),"12 K.Theerawat B.")</f>
        <v>12 K.Theerawat B.</v>
      </c>
      <c r="U2707" s="3" t="str">
        <f>IFERROR(__xludf.DUMMYFUNCTION("""COMPUTED_VALUE"""),"12 K.Theerawat B.")</f>
        <v>12 K.Theerawat B.</v>
      </c>
      <c r="V2707" s="3" t="str">
        <f>IFERROR(__xludf.DUMMYFUNCTION("""COMPUTED_VALUE"""),"N")</f>
        <v>N</v>
      </c>
      <c r="W2707" s="3"/>
      <c r="X2707" s="3" t="str">
        <f>IFERROR(__xludf.DUMMYFUNCTION("""COMPUTED_VALUE"""),"43/3 ม.9 ต.หัวหว้า อ.ศรีมหาโพธิ จ.ปราจีนบุรี 25140")</f>
        <v>43/3 ม.9 ต.หัวหว้า อ.ศรีมหาโพธิ จ.ปราจีนบุรี 25140</v>
      </c>
      <c r="Y2707" s="3"/>
      <c r="Z2707" s="3">
        <f>IFERROR(__xludf.DUMMYFUNCTION("""COMPUTED_VALUE"""),0.0)</f>
        <v>0</v>
      </c>
      <c r="AA2707" s="3">
        <f>IFERROR(__xludf.DUMMYFUNCTION("""COMPUTED_VALUE"""),0.0)</f>
        <v>0</v>
      </c>
      <c r="AB2707" s="3" t="str">
        <f>IFERROR(__xludf.DUMMYFUNCTION("""COMPUTED_VALUE"""),"ปราจีนบุรี")</f>
        <v>ปราจีนบุรี</v>
      </c>
      <c r="AC2707" s="3">
        <f>IFERROR(__xludf.DUMMYFUNCTION("""COMPUTED_VALUE"""),25140.0)</f>
        <v>25140</v>
      </c>
      <c r="AD2707" s="3"/>
      <c r="AE2707" s="3"/>
      <c r="AF2707" s="3" t="str">
        <f>IFERROR(__xludf.DUMMYFUNCTION("""COMPUTED_VALUE"""),"ร้านไตเติ้ล-83511")</f>
        <v>ร้านไตเติ้ล-83511</v>
      </c>
      <c r="AG2707" s="3" t="str">
        <f>IFERROR(__xludf.DUMMYFUNCTION("""COMPUTED_VALUE"""),"ตะวันออก")</f>
        <v>ตะวันออก</v>
      </c>
      <c r="AH2707" s="3" t="str">
        <f>IFERROR(__xludf.DUMMYFUNCTION("""COMPUTED_VALUE"""),"#N/A")</f>
        <v>#N/A</v>
      </c>
      <c r="AI2707" s="3" t="str">
        <f>IFERROR(__xludf.DUMMYFUNCTION("""COMPUTED_VALUE"""),"Out of warranty")</f>
        <v>Out of warranty</v>
      </c>
      <c r="AJ2707" s="3">
        <f>IFERROR(__xludf.DUMMYFUNCTION("""COMPUTED_VALUE"""),48.0)</f>
        <v>48</v>
      </c>
      <c r="AK2707" s="3"/>
      <c r="AL2707" s="3"/>
    </row>
    <row r="2708" ht="15.75" customHeight="1">
      <c r="A2708" s="1" t="str">
        <f>IFERROR(__xludf.DUMMYFUNCTION("""COMPUTED_VALUE"""),"83512")</f>
        <v>83512</v>
      </c>
      <c r="B2708" s="2">
        <f>IFERROR(__xludf.DUMMYFUNCTION("""COMPUTED_VALUE"""),83512.0)</f>
        <v>83512</v>
      </c>
      <c r="C2708" s="3" t="str">
        <f>IFERROR(__xludf.DUMMYFUNCTION("""COMPUTED_VALUE"""),"ร้านเมียหรั่ง")</f>
        <v>ร้านเมียหรั่ง</v>
      </c>
      <c r="D2708" s="3" t="str">
        <f>IFERROR(__xludf.DUMMYFUNCTION("""COMPUTED_VALUE"""),"ร้านเมียหรั่ง")</f>
        <v>ร้านเมียหรั่ง</v>
      </c>
      <c r="E2708" s="1" t="str">
        <f>IFERROR(__xludf.DUMMYFUNCTION("""COMPUTED_VALUE"""),"Donjai")</f>
        <v>Donjai</v>
      </c>
      <c r="F2708" s="1" t="str">
        <f>IFERROR(__xludf.DUMMYFUNCTION("""COMPUTED_VALUE"""),"296608")</f>
        <v>296608</v>
      </c>
      <c r="G2708" s="1" t="str">
        <f>IFERROR(__xludf.DUMMYFUNCTION("""COMPUTED_VALUE"""),"นายภาคภูมิ เพ็ชรนิล")</f>
        <v>นายภาคภูมิ เพ็ชรนิล</v>
      </c>
      <c r="H2708" s="1" t="str">
        <f>IFERROR(__xludf.DUMMYFUNCTION("""COMPUTED_VALUE"""),"296608")</f>
        <v>296608</v>
      </c>
      <c r="I2708" s="1" t="str">
        <f>IFERROR(__xludf.DUMMYFUNCTION("""COMPUTED_VALUE"""),"นายภาคภูมิ เพ็ชรนิล")</f>
        <v>นายภาคภูมิ เพ็ชรนิล</v>
      </c>
      <c r="J2708" s="3">
        <f>IFERROR(__xludf.DUMMYFUNCTION("""COMPUTED_VALUE"""),228031.0)</f>
        <v>228031</v>
      </c>
      <c r="K2708" s="3" t="str">
        <f>IFERROR(__xludf.DUMMYFUNCTION("""COMPUTED_VALUE"""),"นายธนพงษ์ วันหมัด")</f>
        <v>นายธนพงษ์ วันหมัด</v>
      </c>
      <c r="L2708" s="1" t="str">
        <f>IFERROR(__xludf.DUMMYFUNCTION("""COMPUTED_VALUE"""),"นายธนพงษ์ วันหมัด")</f>
        <v>นายธนพงษ์ วันหมัด</v>
      </c>
      <c r="M2708" s="1" t="str">
        <f>IFERROR(__xludf.DUMMYFUNCTION("""COMPUTED_VALUE"""),"0813716913")</f>
        <v>0813716913</v>
      </c>
      <c r="N2708" s="3">
        <f>IFERROR(__xludf.DUMMYFUNCTION("""COMPUTED_VALUE"""),83512.0)</f>
        <v>83512</v>
      </c>
      <c r="O2708" s="3" t="str">
        <f>IFERROR(__xludf.DUMMYFUNCTION("""COMPUTED_VALUE"""),"ร้านเมียหรั่ง")</f>
        <v>ร้านเมียหรั่ง</v>
      </c>
      <c r="P2708" s="4">
        <f>IFERROR(__xludf.DUMMYFUNCTION("""COMPUTED_VALUE"""),44622.0)</f>
        <v>44622</v>
      </c>
      <c r="Q2708" s="3" t="str">
        <f>IFERROR(__xludf.DUMMYFUNCTION("""COMPUTED_VALUE"""),"I")</f>
        <v>I</v>
      </c>
      <c r="R2708" s="3" t="str">
        <f>IFERROR(__xludf.DUMMYFUNCTION("""COMPUTED_VALUE"""),"Small Format")</f>
        <v>Small Format</v>
      </c>
      <c r="S2708" s="3" t="str">
        <f>IFERROR(__xludf.DUMMYFUNCTION("""COMPUTED_VALUE"""),"Donjai")</f>
        <v>Donjai</v>
      </c>
      <c r="T2708" s="3" t="str">
        <f>IFERROR(__xludf.DUMMYFUNCTION("""COMPUTED_VALUE"""),"10 K.Phakphoom P.")</f>
        <v>10 K.Phakphoom P.</v>
      </c>
      <c r="U2708" s="3" t="str">
        <f>IFERROR(__xludf.DUMMYFUNCTION("""COMPUTED_VALUE"""),"10 K.Phakphoom P.")</f>
        <v>10 K.Phakphoom P.</v>
      </c>
      <c r="V2708" s="3" t="str">
        <f>IFERROR(__xludf.DUMMYFUNCTION("""COMPUTED_VALUE"""),"N")</f>
        <v>N</v>
      </c>
      <c r="W2708" s="3"/>
      <c r="X2708" s="3" t="str">
        <f>IFERROR(__xludf.DUMMYFUNCTION("""COMPUTED_VALUE"""),"146/148 ซ.91 ต.หนองแก อ.หัวหิน จ.ประจวบคีรีขันธ์")</f>
        <v>146/148 ซ.91 ต.หนองแก อ.หัวหิน จ.ประจวบคีรีขันธ์</v>
      </c>
      <c r="Y2708" s="3"/>
      <c r="Z2708" s="3">
        <f>IFERROR(__xludf.DUMMYFUNCTION("""COMPUTED_VALUE"""),0.0)</f>
        <v>0</v>
      </c>
      <c r="AA2708" s="3">
        <f>IFERROR(__xludf.DUMMYFUNCTION("""COMPUTED_VALUE"""),0.0)</f>
        <v>0</v>
      </c>
      <c r="AB2708" s="3" t="str">
        <f>IFERROR(__xludf.DUMMYFUNCTION("""COMPUTED_VALUE"""),"ประจวบคีรีขันธ์")</f>
        <v>ประจวบคีรีขันธ์</v>
      </c>
      <c r="AC2708" s="3">
        <f>IFERROR(__xludf.DUMMYFUNCTION("""COMPUTED_VALUE"""),0.0)</f>
        <v>0</v>
      </c>
      <c r="AD2708" s="3"/>
      <c r="AE2708" s="3"/>
      <c r="AF2708" s="3" t="str">
        <f>IFERROR(__xludf.DUMMYFUNCTION("""COMPUTED_VALUE"""),"ร้านเมียหรั่ง-83512")</f>
        <v>ร้านเมียหรั่ง-83512</v>
      </c>
      <c r="AG2708" s="3" t="str">
        <f>IFERROR(__xludf.DUMMYFUNCTION("""COMPUTED_VALUE"""),"ตะวันตก")</f>
        <v>ตะวันตก</v>
      </c>
      <c r="AH2708" s="3" t="str">
        <f>IFERROR(__xludf.DUMMYFUNCTION("""COMPUTED_VALUE"""),"#N/A")</f>
        <v>#N/A</v>
      </c>
      <c r="AI2708" s="3" t="str">
        <f>IFERROR(__xludf.DUMMYFUNCTION("""COMPUTED_VALUE"""),"Out of warranty")</f>
        <v>Out of warranty</v>
      </c>
      <c r="AJ2708" s="3">
        <f>IFERROR(__xludf.DUMMYFUNCTION("""COMPUTED_VALUE"""),47.0)</f>
        <v>47</v>
      </c>
      <c r="AK2708" s="3"/>
      <c r="AL2708" s="3"/>
    </row>
    <row r="2709" ht="15.75" customHeight="1">
      <c r="A2709" s="1" t="str">
        <f>IFERROR(__xludf.DUMMYFUNCTION("""COMPUTED_VALUE"""),"83513")</f>
        <v>83513</v>
      </c>
      <c r="B2709" s="2">
        <f>IFERROR(__xludf.DUMMYFUNCTION("""COMPUTED_VALUE"""),83513.0)</f>
        <v>83513</v>
      </c>
      <c r="C2709" s="3" t="str">
        <f>IFERROR(__xludf.DUMMYFUNCTION("""COMPUTED_VALUE"""),"ร้านต้นน้ำเบสท์มาร์ท")</f>
        <v>ร้านต้นน้ำเบสท์มาร์ท</v>
      </c>
      <c r="D2709" s="3" t="str">
        <f>IFERROR(__xludf.DUMMYFUNCTION("""COMPUTED_VALUE"""),"ร้านต้นน้ำเบสท์มาร์ท")</f>
        <v>ร้านต้นน้ำเบสท์มาร์ท</v>
      </c>
      <c r="E2709" s="1" t="str">
        <f>IFERROR(__xludf.DUMMYFUNCTION("""COMPUTED_VALUE"""),"Donjai")</f>
        <v>Donjai</v>
      </c>
      <c r="F2709" s="1" t="str">
        <f>IFERROR(__xludf.DUMMYFUNCTION("""COMPUTED_VALUE"""),"2454781")</f>
        <v>2454781</v>
      </c>
      <c r="G2709" s="1" t="str">
        <f>IFERROR(__xludf.DUMMYFUNCTION("""COMPUTED_VALUE"""),"นายฌานกฤช นันทะโคต")</f>
        <v>นายฌานกฤช นันทะโคต</v>
      </c>
      <c r="H2709" s="1" t="str">
        <f>IFERROR(__xludf.DUMMYFUNCTION("""COMPUTED_VALUE"""),"2454781")</f>
        <v>2454781</v>
      </c>
      <c r="I2709" s="1" t="str">
        <f>IFERROR(__xludf.DUMMYFUNCTION("""COMPUTED_VALUE"""),"นายฌานกฤช นันทะโคต")</f>
        <v>นายฌานกฤช นันทะโคต</v>
      </c>
      <c r="J2709" s="3">
        <f>IFERROR(__xludf.DUMMYFUNCTION("""COMPUTED_VALUE"""),295886.0)</f>
        <v>295886</v>
      </c>
      <c r="K2709" s="3" t="str">
        <f>IFERROR(__xludf.DUMMYFUNCTION("""COMPUTED_VALUE"""),"นายจิระพงษ์ โพธิ์นิล")</f>
        <v>นายจิระพงษ์ โพธิ์นิล</v>
      </c>
      <c r="L2709" s="1" t="str">
        <f>IFERROR(__xludf.DUMMYFUNCTION("""COMPUTED_VALUE"""),"นายจิระพงษ์ โพธิ์นิล")</f>
        <v>นายจิระพงษ์ โพธิ์นิล</v>
      </c>
      <c r="M2709" s="1" t="str">
        <f>IFERROR(__xludf.DUMMYFUNCTION("""COMPUTED_VALUE"""),"0933290754")</f>
        <v>0933290754</v>
      </c>
      <c r="N2709" s="3">
        <f>IFERROR(__xludf.DUMMYFUNCTION("""COMPUTED_VALUE"""),83513.0)</f>
        <v>83513</v>
      </c>
      <c r="O2709" s="3" t="str">
        <f>IFERROR(__xludf.DUMMYFUNCTION("""COMPUTED_VALUE"""),"ร้านต้นน้ำเบสท์มาร์ท")</f>
        <v>ร้านต้นน้ำเบสท์มาร์ท</v>
      </c>
      <c r="P2709" s="4">
        <f>IFERROR(__xludf.DUMMYFUNCTION("""COMPUTED_VALUE"""),44623.0)</f>
        <v>44623</v>
      </c>
      <c r="Q2709" s="3" t="str">
        <f>IFERROR(__xludf.DUMMYFUNCTION("""COMPUTED_VALUE"""),"A")</f>
        <v>A</v>
      </c>
      <c r="R2709" s="3" t="str">
        <f>IFERROR(__xludf.DUMMYFUNCTION("""COMPUTED_VALUE"""),"Small Format")</f>
        <v>Small Format</v>
      </c>
      <c r="S2709" s="3" t="str">
        <f>IFERROR(__xludf.DUMMYFUNCTION("""COMPUTED_VALUE"""),"Donjai")</f>
        <v>Donjai</v>
      </c>
      <c r="T2709" s="3" t="str">
        <f>IFERROR(__xludf.DUMMYFUNCTION("""COMPUTED_VALUE"""),"05 K.Chanakrit N.")</f>
        <v>05 K.Chanakrit N.</v>
      </c>
      <c r="U2709" s="3" t="str">
        <f>IFERROR(__xludf.DUMMYFUNCTION("""COMPUTED_VALUE"""),"05 K.Chanakrit N.")</f>
        <v>05 K.Chanakrit N.</v>
      </c>
      <c r="V2709" s="3" t="str">
        <f>IFERROR(__xludf.DUMMYFUNCTION("""COMPUTED_VALUE"""),"N")</f>
        <v>N</v>
      </c>
      <c r="W2709" s="3"/>
      <c r="X2709" s="3" t="str">
        <f>IFERROR(__xludf.DUMMYFUNCTION("""COMPUTED_VALUE"""),"259/179 หมู่9 ต.โนนผึ้ง อ.วารินชำราบ จ.อุบลราชธานี")</f>
        <v>259/179 หมู่9 ต.โนนผึ้ง อ.วารินชำราบ จ.อุบลราชธานี</v>
      </c>
      <c r="Y2709" s="3"/>
      <c r="Z2709" s="3">
        <f>IFERROR(__xludf.DUMMYFUNCTION("""COMPUTED_VALUE"""),0.0)</f>
        <v>0</v>
      </c>
      <c r="AA2709" s="3">
        <f>IFERROR(__xludf.DUMMYFUNCTION("""COMPUTED_VALUE"""),0.0)</f>
        <v>0</v>
      </c>
      <c r="AB2709" s="3" t="str">
        <f>IFERROR(__xludf.DUMMYFUNCTION("""COMPUTED_VALUE"""),"อุบลราชธานี")</f>
        <v>อุบลราชธานี</v>
      </c>
      <c r="AC2709" s="3">
        <f>IFERROR(__xludf.DUMMYFUNCTION("""COMPUTED_VALUE"""),0.0)</f>
        <v>0</v>
      </c>
      <c r="AD2709" s="3"/>
      <c r="AE2709" s="3"/>
      <c r="AF2709" s="3" t="str">
        <f>IFERROR(__xludf.DUMMYFUNCTION("""COMPUTED_VALUE"""),"ร้านต้นน้ำเบสท์มาร์ท-83513")</f>
        <v>ร้านต้นน้ำเบสท์มาร์ท-83513</v>
      </c>
      <c r="AG2709" s="3" t="str">
        <f>IFERROR(__xludf.DUMMYFUNCTION("""COMPUTED_VALUE"""),"ตะวันออกเฉียงเหนือ")</f>
        <v>ตะวันออกเฉียงเหนือ</v>
      </c>
      <c r="AH2709" s="3" t="str">
        <f>IFERROR(__xludf.DUMMYFUNCTION("""COMPUTED_VALUE"""),"#N/A")</f>
        <v>#N/A</v>
      </c>
      <c r="AI2709" s="3" t="str">
        <f>IFERROR(__xludf.DUMMYFUNCTION("""COMPUTED_VALUE"""),"Out of warranty")</f>
        <v>Out of warranty</v>
      </c>
      <c r="AJ2709" s="3">
        <f>IFERROR(__xludf.DUMMYFUNCTION("""COMPUTED_VALUE"""),47.0)</f>
        <v>47</v>
      </c>
      <c r="AK2709" s="3"/>
      <c r="AL2709" s="3"/>
    </row>
    <row r="2710" ht="15.75" customHeight="1">
      <c r="A2710" s="1" t="str">
        <f>IFERROR(__xludf.DUMMYFUNCTION("""COMPUTED_VALUE"""),"83514")</f>
        <v>83514</v>
      </c>
      <c r="B2710" s="2">
        <f>IFERROR(__xludf.DUMMYFUNCTION("""COMPUTED_VALUE"""),83514.0)</f>
        <v>83514</v>
      </c>
      <c r="C2710" s="3" t="str">
        <f>IFERROR(__xludf.DUMMYFUNCTION("""COMPUTED_VALUE"""),"ร้าน Mr Been Minimart")</f>
        <v>ร้าน Mr Been Minimart</v>
      </c>
      <c r="D2710" s="3" t="str">
        <f>IFERROR(__xludf.DUMMYFUNCTION("""COMPUTED_VALUE"""),"ร้าน Mr Been Minimart")</f>
        <v>ร้าน Mr Been Minimart</v>
      </c>
      <c r="E2710" s="1" t="str">
        <f>IFERROR(__xludf.DUMMYFUNCTION("""COMPUTED_VALUE"""),"Donjai")</f>
        <v>Donjai</v>
      </c>
      <c r="F2710" s="1" t="str">
        <f>IFERROR(__xludf.DUMMYFUNCTION("""COMPUTED_VALUE"""),"20470331")</f>
        <v>20470331</v>
      </c>
      <c r="G2710" s="1" t="str">
        <f>IFERROR(__xludf.DUMMYFUNCTION("""COMPUTED_VALUE"""),"นายสมชาย ลักษณะสุวรรณ")</f>
        <v>นายสมชาย ลักษณะสุวรรณ</v>
      </c>
      <c r="H2710" s="1" t="str">
        <f>IFERROR(__xludf.DUMMYFUNCTION("""COMPUTED_VALUE"""),"20470331")</f>
        <v>20470331</v>
      </c>
      <c r="I2710" s="1" t="str">
        <f>IFERROR(__xludf.DUMMYFUNCTION("""COMPUTED_VALUE"""),"นายสมชาย ลักษณะสุวรรณ")</f>
        <v>นายสมชาย ลักษณะสุวรรณ</v>
      </c>
      <c r="J2710" s="3">
        <f>IFERROR(__xludf.DUMMYFUNCTION("""COMPUTED_VALUE"""),295541.0)</f>
        <v>295541</v>
      </c>
      <c r="K2710" s="3" t="str">
        <f>IFERROR(__xludf.DUMMYFUNCTION("""COMPUTED_VALUE"""),"นายรพิพล ศรีมาตย์")</f>
        <v>นายรพิพล ศรีมาตย์</v>
      </c>
      <c r="L2710" s="1" t="str">
        <f>IFERROR(__xludf.DUMMYFUNCTION("""COMPUTED_VALUE"""),"นายรพิพล ศรีมาตย์")</f>
        <v>นายรพิพล ศรีมาตย์</v>
      </c>
      <c r="M2710" s="1" t="str">
        <f>IFERROR(__xludf.DUMMYFUNCTION("""COMPUTED_VALUE"""),"0613966115")</f>
        <v>0613966115</v>
      </c>
      <c r="N2710" s="3">
        <f>IFERROR(__xludf.DUMMYFUNCTION("""COMPUTED_VALUE"""),83514.0)</f>
        <v>83514</v>
      </c>
      <c r="O2710" s="3" t="str">
        <f>IFERROR(__xludf.DUMMYFUNCTION("""COMPUTED_VALUE"""),"ร้าน Mr Been Minimart")</f>
        <v>ร้าน Mr Been Minimart</v>
      </c>
      <c r="P2710" s="4">
        <f>IFERROR(__xludf.DUMMYFUNCTION("""COMPUTED_VALUE"""),44614.0)</f>
        <v>44614</v>
      </c>
      <c r="Q2710" s="3" t="str">
        <f>IFERROR(__xludf.DUMMYFUNCTION("""COMPUTED_VALUE"""),"I")</f>
        <v>I</v>
      </c>
      <c r="R2710" s="3" t="str">
        <f>IFERROR(__xludf.DUMMYFUNCTION("""COMPUTED_VALUE"""),"Small Format")</f>
        <v>Small Format</v>
      </c>
      <c r="S2710" s="3" t="str">
        <f>IFERROR(__xludf.DUMMYFUNCTION("""COMPUTED_VALUE"""),"Donjai")</f>
        <v>Donjai</v>
      </c>
      <c r="T2710" s="3" t="str">
        <f>IFERROR(__xludf.DUMMYFUNCTION("""COMPUTED_VALUE"""),"15 K.Somchai L")</f>
        <v>15 K.Somchai L</v>
      </c>
      <c r="U2710" s="3" t="str">
        <f>IFERROR(__xludf.DUMMYFUNCTION("""COMPUTED_VALUE"""),"15 K.Somchai L")</f>
        <v>15 K.Somchai L</v>
      </c>
      <c r="V2710" s="3" t="str">
        <f>IFERROR(__xludf.DUMMYFUNCTION("""COMPUTED_VALUE"""),"N")</f>
        <v>N</v>
      </c>
      <c r="W2710" s="3"/>
      <c r="X2710" s="3" t="str">
        <f>IFERROR(__xludf.DUMMYFUNCTION("""COMPUTED_VALUE"""),"176/19 ม6 ต หัวเขา อ สิงหนคร จ สงขลา 90280")</f>
        <v>176/19 ม6 ต หัวเขา อ สิงหนคร จ สงขลา 90280</v>
      </c>
      <c r="Y2710" s="3"/>
      <c r="Z2710" s="3">
        <f>IFERROR(__xludf.DUMMYFUNCTION("""COMPUTED_VALUE"""),0.0)</f>
        <v>0</v>
      </c>
      <c r="AA2710" s="3">
        <f>IFERROR(__xludf.DUMMYFUNCTION("""COMPUTED_VALUE"""),0.0)</f>
        <v>0</v>
      </c>
      <c r="AB2710" s="3" t="str">
        <f>IFERROR(__xludf.DUMMYFUNCTION("""COMPUTED_VALUE"""),"สงขลา")</f>
        <v>สงขลา</v>
      </c>
      <c r="AC2710" s="3">
        <f>IFERROR(__xludf.DUMMYFUNCTION("""COMPUTED_VALUE"""),90280.0)</f>
        <v>90280</v>
      </c>
      <c r="AD2710" s="3"/>
      <c r="AE2710" s="3"/>
      <c r="AF2710" s="3" t="str">
        <f>IFERROR(__xludf.DUMMYFUNCTION("""COMPUTED_VALUE"""),"ร้าน Mr Been Minimart-83514")</f>
        <v>ร้าน Mr Been Minimart-83514</v>
      </c>
      <c r="AG2710" s="3" t="str">
        <f>IFERROR(__xludf.DUMMYFUNCTION("""COMPUTED_VALUE"""),"ใต้")</f>
        <v>ใต้</v>
      </c>
      <c r="AH2710" s="3" t="str">
        <f>IFERROR(__xludf.DUMMYFUNCTION("""COMPUTED_VALUE"""),"#N/A")</f>
        <v>#N/A</v>
      </c>
      <c r="AI2710" s="3" t="str">
        <f>IFERROR(__xludf.DUMMYFUNCTION("""COMPUTED_VALUE"""),"Out of warranty")</f>
        <v>Out of warranty</v>
      </c>
      <c r="AJ2710" s="3">
        <f>IFERROR(__xludf.DUMMYFUNCTION("""COMPUTED_VALUE"""),47.0)</f>
        <v>47</v>
      </c>
      <c r="AK2710" s="3"/>
      <c r="AL2710" s="3"/>
    </row>
    <row r="2711" ht="15.75" customHeight="1">
      <c r="A2711" s="1" t="str">
        <f>IFERROR(__xludf.DUMMYFUNCTION("""COMPUTED_VALUE"""),"83515")</f>
        <v>83515</v>
      </c>
      <c r="B2711" s="2">
        <f>IFERROR(__xludf.DUMMYFUNCTION("""COMPUTED_VALUE"""),83515.0)</f>
        <v>83515</v>
      </c>
      <c r="C2711" s="3" t="str">
        <f>IFERROR(__xludf.DUMMYFUNCTION("""COMPUTED_VALUE"""),"อลิน มาร์ท (Alin Mart)")</f>
        <v>อลิน มาร์ท (Alin Mart)</v>
      </c>
      <c r="D2711" s="3" t="str">
        <f>IFERROR(__xludf.DUMMYFUNCTION("""COMPUTED_VALUE"""),"อลิน มาร์ท (Alin Mart)")</f>
        <v>อลิน มาร์ท (Alin Mart)</v>
      </c>
      <c r="E2711" s="1" t="str">
        <f>IFERROR(__xludf.DUMMYFUNCTION("""COMPUTED_VALUE"""),"Donjai")</f>
        <v>Donjai</v>
      </c>
      <c r="F2711" s="1" t="str">
        <f>IFERROR(__xludf.DUMMYFUNCTION("""COMPUTED_VALUE"""),"20470331")</f>
        <v>20470331</v>
      </c>
      <c r="G2711" s="1" t="str">
        <f>IFERROR(__xludf.DUMMYFUNCTION("""COMPUTED_VALUE"""),"นายสมชาย ลักษณะสุวรรณ")</f>
        <v>นายสมชาย ลักษณะสุวรรณ</v>
      </c>
      <c r="H2711" s="1" t="str">
        <f>IFERROR(__xludf.DUMMYFUNCTION("""COMPUTED_VALUE"""),"20470331")</f>
        <v>20470331</v>
      </c>
      <c r="I2711" s="1" t="str">
        <f>IFERROR(__xludf.DUMMYFUNCTION("""COMPUTED_VALUE"""),"นายสมชาย ลักษณะสุวรรณ")</f>
        <v>นายสมชาย ลักษณะสุวรรณ</v>
      </c>
      <c r="J2711" s="3">
        <f>IFERROR(__xludf.DUMMYFUNCTION("""COMPUTED_VALUE"""),295541.0)</f>
        <v>295541</v>
      </c>
      <c r="K2711" s="3" t="str">
        <f>IFERROR(__xludf.DUMMYFUNCTION("""COMPUTED_VALUE"""),"นายรพิพล ศรีมาตย์")</f>
        <v>นายรพิพล ศรีมาตย์</v>
      </c>
      <c r="L2711" s="1" t="str">
        <f>IFERROR(__xludf.DUMMYFUNCTION("""COMPUTED_VALUE"""),"นายรพิพล ศรีมาตย์")</f>
        <v>นายรพิพล ศรีมาตย์</v>
      </c>
      <c r="M2711" s="1" t="str">
        <f>IFERROR(__xludf.DUMMYFUNCTION("""COMPUTED_VALUE"""),"0613966115")</f>
        <v>0613966115</v>
      </c>
      <c r="N2711" s="3">
        <f>IFERROR(__xludf.DUMMYFUNCTION("""COMPUTED_VALUE"""),83515.0)</f>
        <v>83515</v>
      </c>
      <c r="O2711" s="3" t="str">
        <f>IFERROR(__xludf.DUMMYFUNCTION("""COMPUTED_VALUE"""),"อลิน มาร์ท (Alin Mart)")</f>
        <v>อลิน มาร์ท (Alin Mart)</v>
      </c>
      <c r="P2711" s="4">
        <f>IFERROR(__xludf.DUMMYFUNCTION("""COMPUTED_VALUE"""),44616.0)</f>
        <v>44616</v>
      </c>
      <c r="Q2711" s="3" t="str">
        <f>IFERROR(__xludf.DUMMYFUNCTION("""COMPUTED_VALUE"""),"I")</f>
        <v>I</v>
      </c>
      <c r="R2711" s="3" t="str">
        <f>IFERROR(__xludf.DUMMYFUNCTION("""COMPUTED_VALUE"""),"Small Format")</f>
        <v>Small Format</v>
      </c>
      <c r="S2711" s="3" t="str">
        <f>IFERROR(__xludf.DUMMYFUNCTION("""COMPUTED_VALUE"""),"Donjai")</f>
        <v>Donjai</v>
      </c>
      <c r="T2711" s="3" t="str">
        <f>IFERROR(__xludf.DUMMYFUNCTION("""COMPUTED_VALUE"""),"15 K.Somchai L")</f>
        <v>15 K.Somchai L</v>
      </c>
      <c r="U2711" s="3" t="str">
        <f>IFERROR(__xludf.DUMMYFUNCTION("""COMPUTED_VALUE"""),"15 K.Somchai L")</f>
        <v>15 K.Somchai L</v>
      </c>
      <c r="V2711" s="3" t="str">
        <f>IFERROR(__xludf.DUMMYFUNCTION("""COMPUTED_VALUE"""),"N")</f>
        <v>N</v>
      </c>
      <c r="W2711" s="3"/>
      <c r="X2711" s="3" t="str">
        <f>IFERROR(__xludf.DUMMYFUNCTION("""COMPUTED_VALUE"""),"999/19 หมู่บ้านสุธาทิพย์3 ม.4 ต. คลองแห อ.หาดใหญ่ จ.สงขลา 90110")</f>
        <v>999/19 หมู่บ้านสุธาทิพย์3 ม.4 ต. คลองแห อ.หาดใหญ่ จ.สงขลา 90110</v>
      </c>
      <c r="Y2711" s="3"/>
      <c r="Z2711" s="3">
        <f>IFERROR(__xludf.DUMMYFUNCTION("""COMPUTED_VALUE"""),0.0)</f>
        <v>0</v>
      </c>
      <c r="AA2711" s="3">
        <f>IFERROR(__xludf.DUMMYFUNCTION("""COMPUTED_VALUE"""),0.0)</f>
        <v>0</v>
      </c>
      <c r="AB2711" s="3" t="str">
        <f>IFERROR(__xludf.DUMMYFUNCTION("""COMPUTED_VALUE"""),"สงขลา")</f>
        <v>สงขลา</v>
      </c>
      <c r="AC2711" s="3">
        <f>IFERROR(__xludf.DUMMYFUNCTION("""COMPUTED_VALUE"""),90110.0)</f>
        <v>90110</v>
      </c>
      <c r="AD2711" s="3"/>
      <c r="AE2711" s="3"/>
      <c r="AF2711" s="3" t="str">
        <f>IFERROR(__xludf.DUMMYFUNCTION("""COMPUTED_VALUE"""),"อลิน มาร์ท (Alin Mart)-83515")</f>
        <v>อลิน มาร์ท (Alin Mart)-83515</v>
      </c>
      <c r="AG2711" s="3" t="str">
        <f>IFERROR(__xludf.DUMMYFUNCTION("""COMPUTED_VALUE"""),"ใต้")</f>
        <v>ใต้</v>
      </c>
      <c r="AH2711" s="3" t="str">
        <f>IFERROR(__xludf.DUMMYFUNCTION("""COMPUTED_VALUE"""),"#N/A")</f>
        <v>#N/A</v>
      </c>
      <c r="AI2711" s="3" t="str">
        <f>IFERROR(__xludf.DUMMYFUNCTION("""COMPUTED_VALUE"""),"Out of warranty")</f>
        <v>Out of warranty</v>
      </c>
      <c r="AJ2711" s="3">
        <f>IFERROR(__xludf.DUMMYFUNCTION("""COMPUTED_VALUE"""),47.0)</f>
        <v>47</v>
      </c>
      <c r="AK2711" s="3"/>
      <c r="AL2711" s="3"/>
    </row>
    <row r="2712" ht="15.75" customHeight="1">
      <c r="A2712" s="1" t="str">
        <f>IFERROR(__xludf.DUMMYFUNCTION("""COMPUTED_VALUE"""),"83516")</f>
        <v>83516</v>
      </c>
      <c r="B2712" s="2">
        <f>IFERROR(__xludf.DUMMYFUNCTION("""COMPUTED_VALUE"""),83516.0)</f>
        <v>83516</v>
      </c>
      <c r="C2712" s="3" t="str">
        <f>IFERROR(__xludf.DUMMYFUNCTION("""COMPUTED_VALUE"""),"คมศักดิ์")</f>
        <v>คมศักดิ์</v>
      </c>
      <c r="D2712" s="3" t="str">
        <f>IFERROR(__xludf.DUMMYFUNCTION("""COMPUTED_VALUE"""),"คมศักดิ์")</f>
        <v>คมศักดิ์</v>
      </c>
      <c r="E2712" s="1" t="str">
        <f>IFERROR(__xludf.DUMMYFUNCTION("""COMPUTED_VALUE"""),"Donjai")</f>
        <v>Donjai</v>
      </c>
      <c r="F2712" s="1" t="str">
        <f>IFERROR(__xludf.DUMMYFUNCTION("""COMPUTED_VALUE"""),"2451655")</f>
        <v>2451655</v>
      </c>
      <c r="G2712" s="1" t="str">
        <f>IFERROR(__xludf.DUMMYFUNCTION("""COMPUTED_VALUE"""),"นายวิษณุพงษ์ ชินบุตร")</f>
        <v>นายวิษณุพงษ์ ชินบุตร</v>
      </c>
      <c r="H2712" s="1" t="str">
        <f>IFERROR(__xludf.DUMMYFUNCTION("""COMPUTED_VALUE"""),"2451655")</f>
        <v>2451655</v>
      </c>
      <c r="I2712" s="1" t="str">
        <f>IFERROR(__xludf.DUMMYFUNCTION("""COMPUTED_VALUE"""),"นายวิษณุพงษ์ ชินบุตร")</f>
        <v>นายวิษณุพงษ์ ชินบุตร</v>
      </c>
      <c r="J2712" s="3">
        <f>IFERROR(__xludf.DUMMYFUNCTION("""COMPUTED_VALUE"""),228031.0)</f>
        <v>228031</v>
      </c>
      <c r="K2712" s="3" t="str">
        <f>IFERROR(__xludf.DUMMYFUNCTION("""COMPUTED_VALUE"""),"นายธนพงษ์ วันหมัด")</f>
        <v>นายธนพงษ์ วันหมัด</v>
      </c>
      <c r="L2712" s="1" t="str">
        <f>IFERROR(__xludf.DUMMYFUNCTION("""COMPUTED_VALUE"""),"นายธนพงษ์ วันหมัด")</f>
        <v>นายธนพงษ์ วันหมัด</v>
      </c>
      <c r="M2712" s="1" t="str">
        <f>IFERROR(__xludf.DUMMYFUNCTION("""COMPUTED_VALUE"""),"0813716913")</f>
        <v>0813716913</v>
      </c>
      <c r="N2712" s="3">
        <f>IFERROR(__xludf.DUMMYFUNCTION("""COMPUTED_VALUE"""),83516.0)</f>
        <v>83516</v>
      </c>
      <c r="O2712" s="3" t="str">
        <f>IFERROR(__xludf.DUMMYFUNCTION("""COMPUTED_VALUE"""),"คมศักดิ์")</f>
        <v>คมศักดิ์</v>
      </c>
      <c r="P2712" s="4">
        <f>IFERROR(__xludf.DUMMYFUNCTION("""COMPUTED_VALUE"""),44627.0)</f>
        <v>44627</v>
      </c>
      <c r="Q2712" s="3" t="str">
        <f>IFERROR(__xludf.DUMMYFUNCTION("""COMPUTED_VALUE"""),"A")</f>
        <v>A</v>
      </c>
      <c r="R2712" s="3" t="str">
        <f>IFERROR(__xludf.DUMMYFUNCTION("""COMPUTED_VALUE"""),"Small Format")</f>
        <v>Small Format</v>
      </c>
      <c r="S2712" s="3" t="str">
        <f>IFERROR(__xludf.DUMMYFUNCTION("""COMPUTED_VALUE"""),"Donjai")</f>
        <v>Donjai</v>
      </c>
      <c r="T2712" s="3" t="str">
        <f>IFERROR(__xludf.DUMMYFUNCTION("""COMPUTED_VALUE"""),"13 K.Wisanupong Ch")</f>
        <v>13 K.Wisanupong Ch</v>
      </c>
      <c r="U2712" s="3" t="str">
        <f>IFERROR(__xludf.DUMMYFUNCTION("""COMPUTED_VALUE"""),"13 K.Wisanupong Ch")</f>
        <v>13 K.Wisanupong Ch</v>
      </c>
      <c r="V2712" s="3" t="str">
        <f>IFERROR(__xludf.DUMMYFUNCTION("""COMPUTED_VALUE"""),"N")</f>
        <v>N</v>
      </c>
      <c r="W2712" s="3"/>
      <c r="X2712" s="3" t="str">
        <f>IFERROR(__xludf.DUMMYFUNCTION("""COMPUTED_VALUE"""),"21/1 หมู่ 1 ต.คลองเขิน อ.เมืองฯ จ.สมุทรสงคราม 75000")</f>
        <v>21/1 หมู่ 1 ต.คลองเขิน อ.เมืองฯ จ.สมุทรสงคราม 75000</v>
      </c>
      <c r="Y2712" s="3"/>
      <c r="Z2712" s="3">
        <f>IFERROR(__xludf.DUMMYFUNCTION("""COMPUTED_VALUE"""),0.0)</f>
        <v>0</v>
      </c>
      <c r="AA2712" s="3">
        <f>IFERROR(__xludf.DUMMYFUNCTION("""COMPUTED_VALUE"""),0.0)</f>
        <v>0</v>
      </c>
      <c r="AB2712" s="3" t="str">
        <f>IFERROR(__xludf.DUMMYFUNCTION("""COMPUTED_VALUE"""),"สมุทรสงคราม")</f>
        <v>สมุทรสงคราม</v>
      </c>
      <c r="AC2712" s="3">
        <f>IFERROR(__xludf.DUMMYFUNCTION("""COMPUTED_VALUE"""),75000.0)</f>
        <v>75000</v>
      </c>
      <c r="AD2712" s="3"/>
      <c r="AE2712" s="3"/>
      <c r="AF2712" s="3" t="str">
        <f>IFERROR(__xludf.DUMMYFUNCTION("""COMPUTED_VALUE"""),"คมศักดิ์-83516")</f>
        <v>คมศักดิ์-83516</v>
      </c>
      <c r="AG2712" s="3" t="str">
        <f>IFERROR(__xludf.DUMMYFUNCTION("""COMPUTED_VALUE"""),"กลาง")</f>
        <v>กลาง</v>
      </c>
      <c r="AH2712" s="3" t="str">
        <f>IFERROR(__xludf.DUMMYFUNCTION("""COMPUTED_VALUE"""),"#N/A")</f>
        <v>#N/A</v>
      </c>
      <c r="AI2712" s="3" t="str">
        <f>IFERROR(__xludf.DUMMYFUNCTION("""COMPUTED_VALUE"""),"Out of warranty")</f>
        <v>Out of warranty</v>
      </c>
      <c r="AJ2712" s="3">
        <f>IFERROR(__xludf.DUMMYFUNCTION("""COMPUTED_VALUE"""),47.0)</f>
        <v>47</v>
      </c>
      <c r="AK2712" s="3"/>
      <c r="AL2712" s="3"/>
    </row>
    <row r="2713" ht="15.75" customHeight="1">
      <c r="A2713" s="1" t="str">
        <f>IFERROR(__xludf.DUMMYFUNCTION("""COMPUTED_VALUE"""),"83517")</f>
        <v>83517</v>
      </c>
      <c r="B2713" s="2">
        <f>IFERROR(__xludf.DUMMYFUNCTION("""COMPUTED_VALUE"""),83517.0)</f>
        <v>83517</v>
      </c>
      <c r="C2713" s="3" t="str">
        <f>IFERROR(__xludf.DUMMYFUNCTION("""COMPUTED_VALUE"""),"ร้านเอมเบล(เอ็มเบลล์)")</f>
        <v>ร้านเอมเบล(เอ็มเบลล์)</v>
      </c>
      <c r="D2713" s="3" t="str">
        <f>IFERROR(__xludf.DUMMYFUNCTION("""COMPUTED_VALUE"""),"ร้านเอมเบล(เอ็มเบลล์)")</f>
        <v>ร้านเอมเบล(เอ็มเบลล์)</v>
      </c>
      <c r="E2713" s="1" t="str">
        <f>IFERROR(__xludf.DUMMYFUNCTION("""COMPUTED_VALUE"""),"Donjai")</f>
        <v>Donjai</v>
      </c>
      <c r="F2713" s="1" t="str">
        <f>IFERROR(__xludf.DUMMYFUNCTION("""COMPUTED_VALUE"""),"2454781")</f>
        <v>2454781</v>
      </c>
      <c r="G2713" s="1" t="str">
        <f>IFERROR(__xludf.DUMMYFUNCTION("""COMPUTED_VALUE"""),"นายฌานกฤช นันทะโคต")</f>
        <v>นายฌานกฤช นันทะโคต</v>
      </c>
      <c r="H2713" s="1" t="str">
        <f>IFERROR(__xludf.DUMMYFUNCTION("""COMPUTED_VALUE"""),"2454781")</f>
        <v>2454781</v>
      </c>
      <c r="I2713" s="1" t="str">
        <f>IFERROR(__xludf.DUMMYFUNCTION("""COMPUTED_VALUE"""),"นายฌานกฤช นันทะโคต")</f>
        <v>นายฌานกฤช นันทะโคต</v>
      </c>
      <c r="J2713" s="3">
        <f>IFERROR(__xludf.DUMMYFUNCTION("""COMPUTED_VALUE"""),295886.0)</f>
        <v>295886</v>
      </c>
      <c r="K2713" s="3" t="str">
        <f>IFERROR(__xludf.DUMMYFUNCTION("""COMPUTED_VALUE"""),"นายจิระพงษ์ โพธิ์นิล")</f>
        <v>นายจิระพงษ์ โพธิ์นิล</v>
      </c>
      <c r="L2713" s="1" t="str">
        <f>IFERROR(__xludf.DUMMYFUNCTION("""COMPUTED_VALUE"""),"นายจิระพงษ์ โพธิ์นิล")</f>
        <v>นายจิระพงษ์ โพธิ์นิล</v>
      </c>
      <c r="M2713" s="1" t="str">
        <f>IFERROR(__xludf.DUMMYFUNCTION("""COMPUTED_VALUE"""),"0933290754")</f>
        <v>0933290754</v>
      </c>
      <c r="N2713" s="3">
        <f>IFERROR(__xludf.DUMMYFUNCTION("""COMPUTED_VALUE"""),83517.0)</f>
        <v>83517</v>
      </c>
      <c r="O2713" s="3" t="str">
        <f>IFERROR(__xludf.DUMMYFUNCTION("""COMPUTED_VALUE"""),"ร้านเอมเบล(เอ็มเบลล์)")</f>
        <v>ร้านเอมเบล(เอ็มเบลล์)</v>
      </c>
      <c r="P2713" s="4">
        <f>IFERROR(__xludf.DUMMYFUNCTION("""COMPUTED_VALUE"""),44619.0)</f>
        <v>44619</v>
      </c>
      <c r="Q2713" s="3" t="str">
        <f>IFERROR(__xludf.DUMMYFUNCTION("""COMPUTED_VALUE"""),"A")</f>
        <v>A</v>
      </c>
      <c r="R2713" s="3" t="str">
        <f>IFERROR(__xludf.DUMMYFUNCTION("""COMPUTED_VALUE"""),"Small Format")</f>
        <v>Small Format</v>
      </c>
      <c r="S2713" s="3" t="str">
        <f>IFERROR(__xludf.DUMMYFUNCTION("""COMPUTED_VALUE"""),"Donjai")</f>
        <v>Donjai</v>
      </c>
      <c r="T2713" s="3" t="str">
        <f>IFERROR(__xludf.DUMMYFUNCTION("""COMPUTED_VALUE"""),"05 K.Chanakrit N.")</f>
        <v>05 K.Chanakrit N.</v>
      </c>
      <c r="U2713" s="3" t="str">
        <f>IFERROR(__xludf.DUMMYFUNCTION("""COMPUTED_VALUE"""),"05 K.Chanakrit N.")</f>
        <v>05 K.Chanakrit N.</v>
      </c>
      <c r="V2713" s="3" t="str">
        <f>IFERROR(__xludf.DUMMYFUNCTION("""COMPUTED_VALUE"""),"N")</f>
        <v>N</v>
      </c>
      <c r="W2713" s="3"/>
      <c r="X2713" s="3" t="str">
        <f>IFERROR(__xludf.DUMMYFUNCTION("""COMPUTED_VALUE"""),"13หมู่8 ต.เปื่อย อ.ลืออำนาจ จ.อำนาจเจริญ 37120")</f>
        <v>13หมู่8 ต.เปื่อย อ.ลืออำนาจ จ.อำนาจเจริญ 37120</v>
      </c>
      <c r="Y2713" s="3"/>
      <c r="Z2713" s="3">
        <f>IFERROR(__xludf.DUMMYFUNCTION("""COMPUTED_VALUE"""),0.0)</f>
        <v>0</v>
      </c>
      <c r="AA2713" s="3">
        <f>IFERROR(__xludf.DUMMYFUNCTION("""COMPUTED_VALUE"""),0.0)</f>
        <v>0</v>
      </c>
      <c r="AB2713" s="3" t="str">
        <f>IFERROR(__xludf.DUMMYFUNCTION("""COMPUTED_VALUE"""),"อำนาจเจริญ")</f>
        <v>อำนาจเจริญ</v>
      </c>
      <c r="AC2713" s="3">
        <f>IFERROR(__xludf.DUMMYFUNCTION("""COMPUTED_VALUE"""),37120.0)</f>
        <v>37120</v>
      </c>
      <c r="AD2713" s="3"/>
      <c r="AE2713" s="3"/>
      <c r="AF2713" s="3" t="str">
        <f>IFERROR(__xludf.DUMMYFUNCTION("""COMPUTED_VALUE"""),"ร้านเอมเบล(เอ็มเบลล์)-83517")</f>
        <v>ร้านเอมเบล(เอ็มเบลล์)-83517</v>
      </c>
      <c r="AG2713" s="3" t="str">
        <f>IFERROR(__xludf.DUMMYFUNCTION("""COMPUTED_VALUE"""),"ตะวันออกเฉียงเหนือ")</f>
        <v>ตะวันออกเฉียงเหนือ</v>
      </c>
      <c r="AH2713" s="3" t="str">
        <f>IFERROR(__xludf.DUMMYFUNCTION("""COMPUTED_VALUE"""),"#N/A")</f>
        <v>#N/A</v>
      </c>
      <c r="AI2713" s="3" t="str">
        <f>IFERROR(__xludf.DUMMYFUNCTION("""COMPUTED_VALUE"""),"Out of warranty")</f>
        <v>Out of warranty</v>
      </c>
      <c r="AJ2713" s="3">
        <f>IFERROR(__xludf.DUMMYFUNCTION("""COMPUTED_VALUE"""),47.0)</f>
        <v>47</v>
      </c>
      <c r="AK2713" s="3"/>
      <c r="AL2713" s="3"/>
    </row>
    <row r="2714" ht="15.75" customHeight="1">
      <c r="A2714" s="1" t="str">
        <f>IFERROR(__xludf.DUMMYFUNCTION("""COMPUTED_VALUE"""),"83518")</f>
        <v>83518</v>
      </c>
      <c r="B2714" s="2">
        <f>IFERROR(__xludf.DUMMYFUNCTION("""COMPUTED_VALUE"""),83518.0)</f>
        <v>83518</v>
      </c>
      <c r="C2714" s="3" t="str">
        <f>IFERROR(__xludf.DUMMYFUNCTION("""COMPUTED_VALUE"""),"ร้านพงศ์สุขรัตน์เฮ้าส์")</f>
        <v>ร้านพงศ์สุขรัตน์เฮ้าส์</v>
      </c>
      <c r="D2714" s="3" t="str">
        <f>IFERROR(__xludf.DUMMYFUNCTION("""COMPUTED_VALUE"""),"ร้านพงศ์สุขรัตน์เฮ้าส์")</f>
        <v>ร้านพงศ์สุขรัตน์เฮ้าส์</v>
      </c>
      <c r="E2714" s="1" t="str">
        <f>IFERROR(__xludf.DUMMYFUNCTION("""COMPUTED_VALUE"""),"Donjai")</f>
        <v>Donjai</v>
      </c>
      <c r="F2714" s="1" t="str">
        <f>IFERROR(__xludf.DUMMYFUNCTION("""COMPUTED_VALUE"""),"2010016")</f>
        <v>2010016</v>
      </c>
      <c r="G2714" s="1" t="str">
        <f>IFERROR(__xludf.DUMMYFUNCTION("""COMPUTED_VALUE"""),"นายตวงธรรม ใหม่ยศ")</f>
        <v>นายตวงธรรม ใหม่ยศ</v>
      </c>
      <c r="H2714" s="1" t="str">
        <f>IFERROR(__xludf.DUMMYFUNCTION("""COMPUTED_VALUE"""),"2010016")</f>
        <v>2010016</v>
      </c>
      <c r="I2714" s="1" t="str">
        <f>IFERROR(__xludf.DUMMYFUNCTION("""COMPUTED_VALUE"""),"นายตวงธรรม ใหม่ยศ")</f>
        <v>นายตวงธรรม ใหม่ยศ</v>
      </c>
      <c r="J2714" s="3">
        <f>IFERROR(__xludf.DUMMYFUNCTION("""COMPUTED_VALUE"""),295886.0)</f>
        <v>295886</v>
      </c>
      <c r="K2714" s="3" t="str">
        <f>IFERROR(__xludf.DUMMYFUNCTION("""COMPUTED_VALUE"""),"นายจิระพงษ์ โพธิ์นิล")</f>
        <v>นายจิระพงษ์ โพธิ์นิล</v>
      </c>
      <c r="L2714" s="1" t="str">
        <f>IFERROR(__xludf.DUMMYFUNCTION("""COMPUTED_VALUE"""),"นายจิระพงษ์ โพธิ์นิล")</f>
        <v>นายจิระพงษ์ โพธิ์นิล</v>
      </c>
      <c r="M2714" s="1" t="str">
        <f>IFERROR(__xludf.DUMMYFUNCTION("""COMPUTED_VALUE"""),"0933290754")</f>
        <v>0933290754</v>
      </c>
      <c r="N2714" s="3">
        <f>IFERROR(__xludf.DUMMYFUNCTION("""COMPUTED_VALUE"""),83518.0)</f>
        <v>83518</v>
      </c>
      <c r="O2714" s="3" t="str">
        <f>IFERROR(__xludf.DUMMYFUNCTION("""COMPUTED_VALUE"""),"ร้านพงศ์สุขรัตน์เฮ้าส์")</f>
        <v>ร้านพงศ์สุขรัตน์เฮ้าส์</v>
      </c>
      <c r="P2714" s="4">
        <f>IFERROR(__xludf.DUMMYFUNCTION("""COMPUTED_VALUE"""),44634.0)</f>
        <v>44634</v>
      </c>
      <c r="Q2714" s="3" t="str">
        <f>IFERROR(__xludf.DUMMYFUNCTION("""COMPUTED_VALUE"""),"I")</f>
        <v>I</v>
      </c>
      <c r="R2714" s="3" t="str">
        <f>IFERROR(__xludf.DUMMYFUNCTION("""COMPUTED_VALUE"""),"Small Format")</f>
        <v>Small Format</v>
      </c>
      <c r="S2714" s="3" t="str">
        <f>IFERROR(__xludf.DUMMYFUNCTION("""COMPUTED_VALUE"""),"Donjai")</f>
        <v>Donjai</v>
      </c>
      <c r="T2714" s="3" t="str">
        <f>IFERROR(__xludf.DUMMYFUNCTION("""COMPUTED_VALUE"""),"01 K.Tuangtham M.")</f>
        <v>01 K.Tuangtham M.</v>
      </c>
      <c r="U2714" s="3" t="str">
        <f>IFERROR(__xludf.DUMMYFUNCTION("""COMPUTED_VALUE"""),"01 K.Tuangtham M.")</f>
        <v>01 K.Tuangtham M.</v>
      </c>
      <c r="V2714" s="3" t="str">
        <f>IFERROR(__xludf.DUMMYFUNCTION("""COMPUTED_VALUE"""),"N")</f>
        <v>N</v>
      </c>
      <c r="W2714" s="3"/>
      <c r="X2714" s="3" t="str">
        <f>IFERROR(__xludf.DUMMYFUNCTION("""COMPUTED_VALUE"""),"331/1หมู่ที่1 ต.วังชิ้น อ.วังชิ้น แพร่")</f>
        <v>331/1หมู่ที่1 ต.วังชิ้น อ.วังชิ้น แพร่</v>
      </c>
      <c r="Y2714" s="3"/>
      <c r="Z2714" s="3" t="str">
        <f>IFERROR(__xludf.DUMMYFUNCTION("""COMPUTED_VALUE"""),"วังชิ้น")</f>
        <v>วังชิ้น</v>
      </c>
      <c r="AA2714" s="3" t="str">
        <f>IFERROR(__xludf.DUMMYFUNCTION("""COMPUTED_VALUE"""),"วังชิ้น")</f>
        <v>วังชิ้น</v>
      </c>
      <c r="AB2714" s="3" t="str">
        <f>IFERROR(__xludf.DUMMYFUNCTION("""COMPUTED_VALUE"""),"แพร่")</f>
        <v>แพร่</v>
      </c>
      <c r="AC2714" s="3">
        <f>IFERROR(__xludf.DUMMYFUNCTION("""COMPUTED_VALUE"""),0.0)</f>
        <v>0</v>
      </c>
      <c r="AD2714" s="3"/>
      <c r="AE2714" s="3"/>
      <c r="AF2714" s="3" t="str">
        <f>IFERROR(__xludf.DUMMYFUNCTION("""COMPUTED_VALUE"""),"ร้านพงศ์สุขรัตน์เฮ้าส์-83518")</f>
        <v>ร้านพงศ์สุขรัตน์เฮ้าส์-83518</v>
      </c>
      <c r="AG2714" s="3" t="str">
        <f>IFERROR(__xludf.DUMMYFUNCTION("""COMPUTED_VALUE"""),"เหนือ")</f>
        <v>เหนือ</v>
      </c>
      <c r="AH2714" s="3" t="str">
        <f>IFERROR(__xludf.DUMMYFUNCTION("""COMPUTED_VALUE"""),"#N/A")</f>
        <v>#N/A</v>
      </c>
      <c r="AI2714" s="3" t="str">
        <f>IFERROR(__xludf.DUMMYFUNCTION("""COMPUTED_VALUE"""),"Out of warranty")</f>
        <v>Out of warranty</v>
      </c>
      <c r="AJ2714" s="3">
        <f>IFERROR(__xludf.DUMMYFUNCTION("""COMPUTED_VALUE"""),47.0)</f>
        <v>47</v>
      </c>
      <c r="AK2714" s="3"/>
      <c r="AL2714" s="3"/>
    </row>
    <row r="2715" ht="15.75" customHeight="1">
      <c r="A2715" s="1" t="str">
        <f>IFERROR(__xludf.DUMMYFUNCTION("""COMPUTED_VALUE"""),"83519")</f>
        <v>83519</v>
      </c>
      <c r="B2715" s="2">
        <f>IFERROR(__xludf.DUMMYFUNCTION("""COMPUTED_VALUE"""),83519.0)</f>
        <v>83519</v>
      </c>
      <c r="C2715" s="3" t="str">
        <f>IFERROR(__xludf.DUMMYFUNCTION("""COMPUTED_VALUE"""),"ร้านDD")</f>
        <v>ร้านDD</v>
      </c>
      <c r="D2715" s="3" t="str">
        <f>IFERROR(__xludf.DUMMYFUNCTION("""COMPUTED_VALUE"""),"ร้านDD")</f>
        <v>ร้านDD</v>
      </c>
      <c r="E2715" s="1" t="str">
        <f>IFERROR(__xludf.DUMMYFUNCTION("""COMPUTED_VALUE"""),"Donjai")</f>
        <v>Donjai</v>
      </c>
      <c r="F2715" s="1" t="str">
        <f>IFERROR(__xludf.DUMMYFUNCTION("""COMPUTED_VALUE"""),"015361")</f>
        <v>015361</v>
      </c>
      <c r="G2715" s="1" t="str">
        <f>IFERROR(__xludf.DUMMYFUNCTION("""COMPUTED_VALUE"""),"นายสมบูรณ์ พรหมในเมือง")</f>
        <v>นายสมบูรณ์ พรหมในเมือง</v>
      </c>
      <c r="H2715" s="1" t="str">
        <f>IFERROR(__xludf.DUMMYFUNCTION("""COMPUTED_VALUE"""),"015361")</f>
        <v>015361</v>
      </c>
      <c r="I2715" s="1" t="str">
        <f>IFERROR(__xludf.DUMMYFUNCTION("""COMPUTED_VALUE"""),"นายสมบูรณ์ พรหมในเมือง")</f>
        <v>นายสมบูรณ์ พรหมในเมือง</v>
      </c>
      <c r="J2715" s="3">
        <f>IFERROR(__xludf.DUMMYFUNCTION("""COMPUTED_VALUE"""),295886.0)</f>
        <v>295886</v>
      </c>
      <c r="K2715" s="3" t="str">
        <f>IFERROR(__xludf.DUMMYFUNCTION("""COMPUTED_VALUE"""),"นายจิระพงษ์ โพธิ์นิล")</f>
        <v>นายจิระพงษ์ โพธิ์นิล</v>
      </c>
      <c r="L2715" s="1" t="str">
        <f>IFERROR(__xludf.DUMMYFUNCTION("""COMPUTED_VALUE"""),"นายจิระพงษ์ โพธิ์นิล")</f>
        <v>นายจิระพงษ์ โพธิ์นิล</v>
      </c>
      <c r="M2715" s="1" t="str">
        <f>IFERROR(__xludf.DUMMYFUNCTION("""COMPUTED_VALUE"""),"0933290754")</f>
        <v>0933290754</v>
      </c>
      <c r="N2715" s="3">
        <f>IFERROR(__xludf.DUMMYFUNCTION("""COMPUTED_VALUE"""),83519.0)</f>
        <v>83519</v>
      </c>
      <c r="O2715" s="3" t="str">
        <f>IFERROR(__xludf.DUMMYFUNCTION("""COMPUTED_VALUE"""),"ร้านDD")</f>
        <v>ร้านDD</v>
      </c>
      <c r="P2715" s="4">
        <f>IFERROR(__xludf.DUMMYFUNCTION("""COMPUTED_VALUE"""),44606.0)</f>
        <v>44606</v>
      </c>
      <c r="Q2715" s="3" t="str">
        <f>IFERROR(__xludf.DUMMYFUNCTION("""COMPUTED_VALUE"""),"I")</f>
        <v>I</v>
      </c>
      <c r="R2715" s="3" t="str">
        <f>IFERROR(__xludf.DUMMYFUNCTION("""COMPUTED_VALUE"""),"Small Format")</f>
        <v>Small Format</v>
      </c>
      <c r="S2715" s="3" t="str">
        <f>IFERROR(__xludf.DUMMYFUNCTION("""COMPUTED_VALUE"""),"Donjai")</f>
        <v>Donjai</v>
      </c>
      <c r="T2715" s="3" t="str">
        <f>IFERROR(__xludf.DUMMYFUNCTION("""COMPUTED_VALUE"""),"04 K.Somboon P.")</f>
        <v>04 K.Somboon P.</v>
      </c>
      <c r="U2715" s="3" t="str">
        <f>IFERROR(__xludf.DUMMYFUNCTION("""COMPUTED_VALUE"""),"04 K.Somboon P.")</f>
        <v>04 K.Somboon P.</v>
      </c>
      <c r="V2715" s="3" t="str">
        <f>IFERROR(__xludf.DUMMYFUNCTION("""COMPUTED_VALUE"""),"N")</f>
        <v>N</v>
      </c>
      <c r="W2715" s="3"/>
      <c r="X2715" s="3" t="str">
        <f>IFERROR(__xludf.DUMMYFUNCTION("""COMPUTED_VALUE"""),"611/2 ต.เชียงยืน อ.เชียงยืน จ.มหาสารคาม")</f>
        <v>611/2 ต.เชียงยืน อ.เชียงยืน จ.มหาสารคาม</v>
      </c>
      <c r="Y2715" s="3"/>
      <c r="Z2715" s="3">
        <f>IFERROR(__xludf.DUMMYFUNCTION("""COMPUTED_VALUE"""),0.0)</f>
        <v>0</v>
      </c>
      <c r="AA2715" s="3">
        <f>IFERROR(__xludf.DUMMYFUNCTION("""COMPUTED_VALUE"""),0.0)</f>
        <v>0</v>
      </c>
      <c r="AB2715" s="3" t="str">
        <f>IFERROR(__xludf.DUMMYFUNCTION("""COMPUTED_VALUE"""),"มหาสารคาม")</f>
        <v>มหาสารคาม</v>
      </c>
      <c r="AC2715" s="3">
        <f>IFERROR(__xludf.DUMMYFUNCTION("""COMPUTED_VALUE"""),0.0)</f>
        <v>0</v>
      </c>
      <c r="AD2715" s="3"/>
      <c r="AE2715" s="3"/>
      <c r="AF2715" s="3" t="str">
        <f>IFERROR(__xludf.DUMMYFUNCTION("""COMPUTED_VALUE"""),"ร้านDD-83519")</f>
        <v>ร้านDD-83519</v>
      </c>
      <c r="AG2715" s="3" t="str">
        <f>IFERROR(__xludf.DUMMYFUNCTION("""COMPUTED_VALUE"""),"ตะวันออกเฉียงเหนือ")</f>
        <v>ตะวันออกเฉียงเหนือ</v>
      </c>
      <c r="AH2715" s="3" t="str">
        <f>IFERROR(__xludf.DUMMYFUNCTION("""COMPUTED_VALUE"""),"#N/A")</f>
        <v>#N/A</v>
      </c>
      <c r="AI2715" s="3" t="str">
        <f>IFERROR(__xludf.DUMMYFUNCTION("""COMPUTED_VALUE"""),"Out of warranty")</f>
        <v>Out of warranty</v>
      </c>
      <c r="AJ2715" s="3">
        <f>IFERROR(__xludf.DUMMYFUNCTION("""COMPUTED_VALUE"""),48.0)</f>
        <v>48</v>
      </c>
      <c r="AK2715" s="3"/>
      <c r="AL2715" s="3"/>
    </row>
    <row r="2716" ht="15.75" customHeight="1">
      <c r="A2716" s="1" t="str">
        <f>IFERROR(__xludf.DUMMYFUNCTION("""COMPUTED_VALUE"""),"83522")</f>
        <v>83522</v>
      </c>
      <c r="B2716" s="2">
        <f>IFERROR(__xludf.DUMMYFUNCTION("""COMPUTED_VALUE"""),83522.0)</f>
        <v>83522</v>
      </c>
      <c r="C2716" s="3" t="str">
        <f>IFERROR(__xludf.DUMMYFUNCTION("""COMPUTED_VALUE"""),"ร้านอังคณา มินิมาร์ท")</f>
        <v>ร้านอังคณา มินิมาร์ท</v>
      </c>
      <c r="D2716" s="3" t="str">
        <f>IFERROR(__xludf.DUMMYFUNCTION("""COMPUTED_VALUE"""),"ร้านอังคณา มินิมาร์ท")</f>
        <v>ร้านอังคณา มินิมาร์ท</v>
      </c>
      <c r="E2716" s="1" t="str">
        <f>IFERROR(__xludf.DUMMYFUNCTION("""COMPUTED_VALUE"""),"Donjai")</f>
        <v>Donjai</v>
      </c>
      <c r="F2716" s="1" t="str">
        <f>IFERROR(__xludf.DUMMYFUNCTION("""COMPUTED_VALUE"""),"296945")</f>
        <v>296945</v>
      </c>
      <c r="G2716" s="1" t="str">
        <f>IFERROR(__xludf.DUMMYFUNCTION("""COMPUTED_VALUE"""),"นายรักพงศ์ พงศ์พันธ์งาม")</f>
        <v>นายรักพงศ์ พงศ์พันธ์งาม</v>
      </c>
      <c r="H2716" s="1" t="str">
        <f>IFERROR(__xludf.DUMMYFUNCTION("""COMPUTED_VALUE"""),"296945")</f>
        <v>296945</v>
      </c>
      <c r="I2716" s="1" t="str">
        <f>IFERROR(__xludf.DUMMYFUNCTION("""COMPUTED_VALUE"""),"นายรักพงศ์ พงศ์พันธ์งาม")</f>
        <v>นายรักพงศ์ พงศ์พันธ์งาม</v>
      </c>
      <c r="J2716" s="3">
        <f>IFERROR(__xludf.DUMMYFUNCTION("""COMPUTED_VALUE"""),228031.0)</f>
        <v>228031</v>
      </c>
      <c r="K2716" s="3" t="str">
        <f>IFERROR(__xludf.DUMMYFUNCTION("""COMPUTED_VALUE"""),"นายธนพงษ์ วันหมัด")</f>
        <v>นายธนพงษ์ วันหมัด</v>
      </c>
      <c r="L2716" s="1" t="str">
        <f>IFERROR(__xludf.DUMMYFUNCTION("""COMPUTED_VALUE"""),"นายธนพงษ์ วันหมัด")</f>
        <v>นายธนพงษ์ วันหมัด</v>
      </c>
      <c r="M2716" s="1" t="str">
        <f>IFERROR(__xludf.DUMMYFUNCTION("""COMPUTED_VALUE"""),"0813716913")</f>
        <v>0813716913</v>
      </c>
      <c r="N2716" s="3">
        <f>IFERROR(__xludf.DUMMYFUNCTION("""COMPUTED_VALUE"""),83522.0)</f>
        <v>83522</v>
      </c>
      <c r="O2716" s="3" t="str">
        <f>IFERROR(__xludf.DUMMYFUNCTION("""COMPUTED_VALUE"""),"ร้านอังคณา มินิมาร์ท")</f>
        <v>ร้านอังคณา มินิมาร์ท</v>
      </c>
      <c r="P2716" s="4">
        <f>IFERROR(__xludf.DUMMYFUNCTION("""COMPUTED_VALUE"""),44609.0)</f>
        <v>44609</v>
      </c>
      <c r="Q2716" s="3" t="str">
        <f>IFERROR(__xludf.DUMMYFUNCTION("""COMPUTED_VALUE"""),"I")</f>
        <v>I</v>
      </c>
      <c r="R2716" s="3" t="str">
        <f>IFERROR(__xludf.DUMMYFUNCTION("""COMPUTED_VALUE"""),"Small Format")</f>
        <v>Small Format</v>
      </c>
      <c r="S2716" s="3" t="str">
        <f>IFERROR(__xludf.DUMMYFUNCTION("""COMPUTED_VALUE"""),"Donjai")</f>
        <v>Donjai</v>
      </c>
      <c r="T2716" s="3">
        <f>IFERROR(__xludf.DUMMYFUNCTION("""COMPUTED_VALUE"""),0.0)</f>
        <v>0</v>
      </c>
      <c r="U2716" s="3">
        <f>IFERROR(__xludf.DUMMYFUNCTION("""COMPUTED_VALUE"""),0.0)</f>
        <v>0</v>
      </c>
      <c r="V2716" s="3" t="str">
        <f>IFERROR(__xludf.DUMMYFUNCTION("""COMPUTED_VALUE"""),"N")</f>
        <v>N</v>
      </c>
      <c r="W2716" s="3"/>
      <c r="X2716" s="3" t="str">
        <f>IFERROR(__xludf.DUMMYFUNCTION("""COMPUTED_VALUE"""),"50 ต.ซากพง อ.แกลง จ.ระยอง")</f>
        <v>50 ต.ซากพง อ.แกลง จ.ระยอง</v>
      </c>
      <c r="Y2716" s="3"/>
      <c r="Z2716" s="3">
        <f>IFERROR(__xludf.DUMMYFUNCTION("""COMPUTED_VALUE"""),0.0)</f>
        <v>0</v>
      </c>
      <c r="AA2716" s="3">
        <f>IFERROR(__xludf.DUMMYFUNCTION("""COMPUTED_VALUE"""),0.0)</f>
        <v>0</v>
      </c>
      <c r="AB2716" s="3" t="str">
        <f>IFERROR(__xludf.DUMMYFUNCTION("""COMPUTED_VALUE"""),"ระยอง")</f>
        <v>ระยอง</v>
      </c>
      <c r="AC2716" s="3">
        <f>IFERROR(__xludf.DUMMYFUNCTION("""COMPUTED_VALUE"""),0.0)</f>
        <v>0</v>
      </c>
      <c r="AD2716" s="3"/>
      <c r="AE2716" s="3"/>
      <c r="AF2716" s="3" t="str">
        <f>IFERROR(__xludf.DUMMYFUNCTION("""COMPUTED_VALUE"""),"ร้านอังคณา มินิมาร์ท-83522")</f>
        <v>ร้านอังคณา มินิมาร์ท-83522</v>
      </c>
      <c r="AG2716" s="3" t="str">
        <f>IFERROR(__xludf.DUMMYFUNCTION("""COMPUTED_VALUE"""),"ตะวันออก")</f>
        <v>ตะวันออก</v>
      </c>
      <c r="AH2716" s="3" t="str">
        <f>IFERROR(__xludf.DUMMYFUNCTION("""COMPUTED_VALUE"""),"#N/A")</f>
        <v>#N/A</v>
      </c>
      <c r="AI2716" s="3" t="str">
        <f>IFERROR(__xludf.DUMMYFUNCTION("""COMPUTED_VALUE"""),"Out of warranty")</f>
        <v>Out of warranty</v>
      </c>
      <c r="AJ2716" s="3">
        <f>IFERROR(__xludf.DUMMYFUNCTION("""COMPUTED_VALUE"""),48.0)</f>
        <v>48</v>
      </c>
      <c r="AK2716" s="3"/>
      <c r="AL2716" s="3"/>
    </row>
    <row r="2717" ht="15.75" customHeight="1">
      <c r="A2717" s="1" t="str">
        <f>IFERROR(__xludf.DUMMYFUNCTION("""COMPUTED_VALUE"""),"83523")</f>
        <v>83523</v>
      </c>
      <c r="B2717" s="2">
        <f>IFERROR(__xludf.DUMMYFUNCTION("""COMPUTED_VALUE"""),83523.0)</f>
        <v>83523</v>
      </c>
      <c r="C2717" s="3" t="str">
        <f>IFERROR(__xludf.DUMMYFUNCTION("""COMPUTED_VALUE"""),"ร้านอุไร รุ่งเรือง")</f>
        <v>ร้านอุไร รุ่งเรือง</v>
      </c>
      <c r="D2717" s="3" t="str">
        <f>IFERROR(__xludf.DUMMYFUNCTION("""COMPUTED_VALUE"""),"ร้านอุไร รุ่งเรือง")</f>
        <v>ร้านอุไร รุ่งเรือง</v>
      </c>
      <c r="E2717" s="1" t="str">
        <f>IFERROR(__xludf.DUMMYFUNCTION("""COMPUTED_VALUE"""),"Donjai")</f>
        <v>Donjai</v>
      </c>
      <c r="F2717" s="1" t="str">
        <f>IFERROR(__xludf.DUMMYFUNCTION("""COMPUTED_VALUE"""),"2010016")</f>
        <v>2010016</v>
      </c>
      <c r="G2717" s="1" t="str">
        <f>IFERROR(__xludf.DUMMYFUNCTION("""COMPUTED_VALUE"""),"นายตวงธรรม ใหม่ยศ")</f>
        <v>นายตวงธรรม ใหม่ยศ</v>
      </c>
      <c r="H2717" s="1" t="str">
        <f>IFERROR(__xludf.DUMMYFUNCTION("""COMPUTED_VALUE"""),"2010016")</f>
        <v>2010016</v>
      </c>
      <c r="I2717" s="1" t="str">
        <f>IFERROR(__xludf.DUMMYFUNCTION("""COMPUTED_VALUE"""),"นายตวงธรรม ใหม่ยศ")</f>
        <v>นายตวงธรรม ใหม่ยศ</v>
      </c>
      <c r="J2717" s="3">
        <f>IFERROR(__xludf.DUMMYFUNCTION("""COMPUTED_VALUE"""),295886.0)</f>
        <v>295886</v>
      </c>
      <c r="K2717" s="3" t="str">
        <f>IFERROR(__xludf.DUMMYFUNCTION("""COMPUTED_VALUE"""),"นายจิระพงษ์ โพธิ์นิล")</f>
        <v>นายจิระพงษ์ โพธิ์นิล</v>
      </c>
      <c r="L2717" s="1" t="str">
        <f>IFERROR(__xludf.DUMMYFUNCTION("""COMPUTED_VALUE"""),"นายจิระพงษ์ โพธิ์นิล")</f>
        <v>นายจิระพงษ์ โพธิ์นิล</v>
      </c>
      <c r="M2717" s="1" t="str">
        <f>IFERROR(__xludf.DUMMYFUNCTION("""COMPUTED_VALUE"""),"0933290754")</f>
        <v>0933290754</v>
      </c>
      <c r="N2717" s="3">
        <f>IFERROR(__xludf.DUMMYFUNCTION("""COMPUTED_VALUE"""),83523.0)</f>
        <v>83523</v>
      </c>
      <c r="O2717" s="3" t="str">
        <f>IFERROR(__xludf.DUMMYFUNCTION("""COMPUTED_VALUE"""),"ร้านอุไร รุ่งเรือง")</f>
        <v>ร้านอุไร รุ่งเรือง</v>
      </c>
      <c r="P2717" s="4">
        <f>IFERROR(__xludf.DUMMYFUNCTION("""COMPUTED_VALUE"""),44603.0)</f>
        <v>44603</v>
      </c>
      <c r="Q2717" s="3" t="str">
        <f>IFERROR(__xludf.DUMMYFUNCTION("""COMPUTED_VALUE"""),"I")</f>
        <v>I</v>
      </c>
      <c r="R2717" s="3" t="str">
        <f>IFERROR(__xludf.DUMMYFUNCTION("""COMPUTED_VALUE"""),"Small Format")</f>
        <v>Small Format</v>
      </c>
      <c r="S2717" s="3" t="str">
        <f>IFERROR(__xludf.DUMMYFUNCTION("""COMPUTED_VALUE"""),"Donjai")</f>
        <v>Donjai</v>
      </c>
      <c r="T2717" s="3" t="str">
        <f>IFERROR(__xludf.DUMMYFUNCTION("""COMPUTED_VALUE"""),"01 K.Tuangtham M.")</f>
        <v>01 K.Tuangtham M.</v>
      </c>
      <c r="U2717" s="3" t="str">
        <f>IFERROR(__xludf.DUMMYFUNCTION("""COMPUTED_VALUE"""),"01 K.Tuangtham M.")</f>
        <v>01 K.Tuangtham M.</v>
      </c>
      <c r="V2717" s="3" t="str">
        <f>IFERROR(__xludf.DUMMYFUNCTION("""COMPUTED_VALUE"""),"N")</f>
        <v>N</v>
      </c>
      <c r="W2717" s="3"/>
      <c r="X2717" s="3" t="str">
        <f>IFERROR(__xludf.DUMMYFUNCTION("""COMPUTED_VALUE"""),"47/2 หมู่ที่ 10 ต.หนองกลับ อ.หนองบัว จ.นครสวรรค์ 60110")</f>
        <v>47/2 หมู่ที่ 10 ต.หนองกลับ อ.หนองบัว จ.นครสวรรค์ 60110</v>
      </c>
      <c r="Y2717" s="3"/>
      <c r="Z2717" s="3">
        <f>IFERROR(__xludf.DUMMYFUNCTION("""COMPUTED_VALUE"""),0.0)</f>
        <v>0</v>
      </c>
      <c r="AA2717" s="3">
        <f>IFERROR(__xludf.DUMMYFUNCTION("""COMPUTED_VALUE"""),0.0)</f>
        <v>0</v>
      </c>
      <c r="AB2717" s="3" t="str">
        <f>IFERROR(__xludf.DUMMYFUNCTION("""COMPUTED_VALUE"""),"นครสวรรค์")</f>
        <v>นครสวรรค์</v>
      </c>
      <c r="AC2717" s="3">
        <f>IFERROR(__xludf.DUMMYFUNCTION("""COMPUTED_VALUE"""),60110.0)</f>
        <v>60110</v>
      </c>
      <c r="AD2717" s="3"/>
      <c r="AE2717" s="3"/>
      <c r="AF2717" s="3" t="str">
        <f>IFERROR(__xludf.DUMMYFUNCTION("""COMPUTED_VALUE"""),"ร้านอุไร รุ่งเรือง-83523")</f>
        <v>ร้านอุไร รุ่งเรือง-83523</v>
      </c>
      <c r="AG2717" s="3" t="str">
        <f>IFERROR(__xludf.DUMMYFUNCTION("""COMPUTED_VALUE"""),"กลาง")</f>
        <v>กลาง</v>
      </c>
      <c r="AH2717" s="3" t="str">
        <f>IFERROR(__xludf.DUMMYFUNCTION("""COMPUTED_VALUE"""),"#N/A")</f>
        <v>#N/A</v>
      </c>
      <c r="AI2717" s="3" t="str">
        <f>IFERROR(__xludf.DUMMYFUNCTION("""COMPUTED_VALUE"""),"Out of warranty")</f>
        <v>Out of warranty</v>
      </c>
      <c r="AJ2717" s="3">
        <f>IFERROR(__xludf.DUMMYFUNCTION("""COMPUTED_VALUE"""),48.0)</f>
        <v>48</v>
      </c>
      <c r="AK2717" s="3"/>
      <c r="AL2717" s="3"/>
    </row>
    <row r="2718" ht="15.75" customHeight="1">
      <c r="A2718" s="1" t="str">
        <f>IFERROR(__xludf.DUMMYFUNCTION("""COMPUTED_VALUE"""),"83526")</f>
        <v>83526</v>
      </c>
      <c r="B2718" s="2">
        <f>IFERROR(__xludf.DUMMYFUNCTION("""COMPUTED_VALUE"""),83526.0)</f>
        <v>83526</v>
      </c>
      <c r="C2718" s="3" t="str">
        <f>IFERROR(__xludf.DUMMYFUNCTION("""COMPUTED_VALUE"""),"ร้านนาวามินิมาร์ท")</f>
        <v>ร้านนาวามินิมาร์ท</v>
      </c>
      <c r="D2718" s="3" t="str">
        <f>IFERROR(__xludf.DUMMYFUNCTION("""COMPUTED_VALUE"""),"ร้านนาวามินิมาร์ท ( Size S )")</f>
        <v>ร้านนาวามินิมาร์ท ( Size S )</v>
      </c>
      <c r="E2718" s="1" t="str">
        <f>IFERROR(__xludf.DUMMYFUNCTION("""COMPUTED_VALUE"""),"Donjai")</f>
        <v>Donjai</v>
      </c>
      <c r="F2718" s="1" t="str">
        <f>IFERROR(__xludf.DUMMYFUNCTION("""COMPUTED_VALUE"""),"2010016")</f>
        <v>2010016</v>
      </c>
      <c r="G2718" s="1" t="str">
        <f>IFERROR(__xludf.DUMMYFUNCTION("""COMPUTED_VALUE"""),"นายตวงธรรม ใหม่ยศ")</f>
        <v>นายตวงธรรม ใหม่ยศ</v>
      </c>
      <c r="H2718" s="1" t="str">
        <f>IFERROR(__xludf.DUMMYFUNCTION("""COMPUTED_VALUE"""),"2010016")</f>
        <v>2010016</v>
      </c>
      <c r="I2718" s="1" t="str">
        <f>IFERROR(__xludf.DUMMYFUNCTION("""COMPUTED_VALUE"""),"นายตวงธรรม ใหม่ยศ")</f>
        <v>นายตวงธรรม ใหม่ยศ</v>
      </c>
      <c r="J2718" s="3">
        <f>IFERROR(__xludf.DUMMYFUNCTION("""COMPUTED_VALUE"""),295886.0)</f>
        <v>295886</v>
      </c>
      <c r="K2718" s="3" t="str">
        <f>IFERROR(__xludf.DUMMYFUNCTION("""COMPUTED_VALUE"""),"นายจิระพงษ์ โพธิ์นิล")</f>
        <v>นายจิระพงษ์ โพธิ์นิล</v>
      </c>
      <c r="L2718" s="1" t="str">
        <f>IFERROR(__xludf.DUMMYFUNCTION("""COMPUTED_VALUE"""),"นายจิระพงษ์ โพธิ์นิล")</f>
        <v>นายจิระพงษ์ โพธิ์นิล</v>
      </c>
      <c r="M2718" s="1" t="str">
        <f>IFERROR(__xludf.DUMMYFUNCTION("""COMPUTED_VALUE"""),"0933290754")</f>
        <v>0933290754</v>
      </c>
      <c r="N2718" s="3">
        <f>IFERROR(__xludf.DUMMYFUNCTION("""COMPUTED_VALUE"""),83526.0)</f>
        <v>83526</v>
      </c>
      <c r="O2718" s="3" t="str">
        <f>IFERROR(__xludf.DUMMYFUNCTION("""COMPUTED_VALUE"""),"ร้านนาวามินิมาร์ท")</f>
        <v>ร้านนาวามินิมาร์ท</v>
      </c>
      <c r="P2718" s="4">
        <f>IFERROR(__xludf.DUMMYFUNCTION("""COMPUTED_VALUE"""),44606.0)</f>
        <v>44606</v>
      </c>
      <c r="Q2718" s="3" t="str">
        <f>IFERROR(__xludf.DUMMYFUNCTION("""COMPUTED_VALUE"""),"I")</f>
        <v>I</v>
      </c>
      <c r="R2718" s="3" t="str">
        <f>IFERROR(__xludf.DUMMYFUNCTION("""COMPUTED_VALUE"""),"Small Format")</f>
        <v>Small Format</v>
      </c>
      <c r="S2718" s="3" t="str">
        <f>IFERROR(__xludf.DUMMYFUNCTION("""COMPUTED_VALUE"""),"Donjai")</f>
        <v>Donjai</v>
      </c>
      <c r="T2718" s="3" t="str">
        <f>IFERROR(__xludf.DUMMYFUNCTION("""COMPUTED_VALUE"""),"01 K.Tuangtham M.")</f>
        <v>01 K.Tuangtham M.</v>
      </c>
      <c r="U2718" s="3" t="str">
        <f>IFERROR(__xludf.DUMMYFUNCTION("""COMPUTED_VALUE"""),"01 K.Tuangtham M.")</f>
        <v>01 K.Tuangtham M.</v>
      </c>
      <c r="V2718" s="3" t="str">
        <f>IFERROR(__xludf.DUMMYFUNCTION("""COMPUTED_VALUE"""),"N")</f>
        <v>N</v>
      </c>
      <c r="W2718" s="3"/>
      <c r="X2718" s="3" t="str">
        <f>IFERROR(__xludf.DUMMYFUNCTION("""COMPUTED_VALUE"""),"ต.หัวง้ม อ.พาน จ.เชียงราย 57120")</f>
        <v>ต.หัวง้ม อ.พาน จ.เชียงราย 57120</v>
      </c>
      <c r="Y2718" s="3"/>
      <c r="Z2718" s="3" t="str">
        <f>IFERROR(__xludf.DUMMYFUNCTION("""COMPUTED_VALUE"""),"หัวง้ม")</f>
        <v>หัวง้ม</v>
      </c>
      <c r="AA2718" s="3" t="str">
        <f>IFERROR(__xludf.DUMMYFUNCTION("""COMPUTED_VALUE"""),"พาน")</f>
        <v>พาน</v>
      </c>
      <c r="AB2718" s="3" t="str">
        <f>IFERROR(__xludf.DUMMYFUNCTION("""COMPUTED_VALUE"""),"เชียงราย")</f>
        <v>เชียงราย</v>
      </c>
      <c r="AC2718" s="3">
        <f>IFERROR(__xludf.DUMMYFUNCTION("""COMPUTED_VALUE"""),57120.0)</f>
        <v>57120</v>
      </c>
      <c r="AD2718" s="3"/>
      <c r="AE2718" s="3"/>
      <c r="AF2718" s="3" t="str">
        <f>IFERROR(__xludf.DUMMYFUNCTION("""COMPUTED_VALUE"""),"ร้านนาวามินิมาร์ท-83526")</f>
        <v>ร้านนาวามินิมาร์ท-83526</v>
      </c>
      <c r="AG2718" s="3" t="str">
        <f>IFERROR(__xludf.DUMMYFUNCTION("""COMPUTED_VALUE"""),"เหนือ")</f>
        <v>เหนือ</v>
      </c>
      <c r="AH2718" s="3" t="str">
        <f>IFERROR(__xludf.DUMMYFUNCTION("""COMPUTED_VALUE"""),"#N/A")</f>
        <v>#N/A</v>
      </c>
      <c r="AI2718" s="3" t="str">
        <f>IFERROR(__xludf.DUMMYFUNCTION("""COMPUTED_VALUE"""),"Out of warranty")</f>
        <v>Out of warranty</v>
      </c>
      <c r="AJ2718" s="3">
        <f>IFERROR(__xludf.DUMMYFUNCTION("""COMPUTED_VALUE"""),48.0)</f>
        <v>48</v>
      </c>
      <c r="AK2718" s="3"/>
      <c r="AL2718" s="3"/>
    </row>
    <row r="2719" ht="15.75" customHeight="1">
      <c r="A2719" s="1" t="str">
        <f>IFERROR(__xludf.DUMMYFUNCTION("""COMPUTED_VALUE"""),"83527")</f>
        <v>83527</v>
      </c>
      <c r="B2719" s="2">
        <f>IFERROR(__xludf.DUMMYFUNCTION("""COMPUTED_VALUE"""),83527.0)</f>
        <v>83527</v>
      </c>
      <c r="C2719" s="3" t="str">
        <f>IFERROR(__xludf.DUMMYFUNCTION("""COMPUTED_VALUE"""),"ร้านจี้นุ้ย")</f>
        <v>ร้านจี้นุ้ย</v>
      </c>
      <c r="D2719" s="3" t="str">
        <f>IFERROR(__xludf.DUMMYFUNCTION("""COMPUTED_VALUE"""),"ร้านจี้นุ้ย")</f>
        <v>ร้านจี้นุ้ย</v>
      </c>
      <c r="E2719" s="1" t="str">
        <f>IFERROR(__xludf.DUMMYFUNCTION("""COMPUTED_VALUE"""),"Donjai")</f>
        <v>Donjai</v>
      </c>
      <c r="F2719" s="1" t="str">
        <f>IFERROR(__xludf.DUMMYFUNCTION("""COMPUTED_VALUE"""),"20470331")</f>
        <v>20470331</v>
      </c>
      <c r="G2719" s="1" t="str">
        <f>IFERROR(__xludf.DUMMYFUNCTION("""COMPUTED_VALUE"""),"นายสมชาย ลักษณะสุวรรณ")</f>
        <v>นายสมชาย ลักษณะสุวรรณ</v>
      </c>
      <c r="H2719" s="1" t="str">
        <f>IFERROR(__xludf.DUMMYFUNCTION("""COMPUTED_VALUE"""),"20470331")</f>
        <v>20470331</v>
      </c>
      <c r="I2719" s="1" t="str">
        <f>IFERROR(__xludf.DUMMYFUNCTION("""COMPUTED_VALUE"""),"นายสมชาย ลักษณะสุวรรณ")</f>
        <v>นายสมชาย ลักษณะสุวรรณ</v>
      </c>
      <c r="J2719" s="3">
        <f>IFERROR(__xludf.DUMMYFUNCTION("""COMPUTED_VALUE"""),295541.0)</f>
        <v>295541</v>
      </c>
      <c r="K2719" s="3" t="str">
        <f>IFERROR(__xludf.DUMMYFUNCTION("""COMPUTED_VALUE"""),"นายรพิพล ศรีมาตย์")</f>
        <v>นายรพิพล ศรีมาตย์</v>
      </c>
      <c r="L2719" s="1" t="str">
        <f>IFERROR(__xludf.DUMMYFUNCTION("""COMPUTED_VALUE"""),"นายรพิพล ศรีมาตย์")</f>
        <v>นายรพิพล ศรีมาตย์</v>
      </c>
      <c r="M2719" s="1" t="str">
        <f>IFERROR(__xludf.DUMMYFUNCTION("""COMPUTED_VALUE"""),"0613966115")</f>
        <v>0613966115</v>
      </c>
      <c r="N2719" s="3">
        <f>IFERROR(__xludf.DUMMYFUNCTION("""COMPUTED_VALUE"""),83527.0)</f>
        <v>83527</v>
      </c>
      <c r="O2719" s="3" t="str">
        <f>IFERROR(__xludf.DUMMYFUNCTION("""COMPUTED_VALUE"""),"ร้านจี้นุ้ย")</f>
        <v>ร้านจี้นุ้ย</v>
      </c>
      <c r="P2719" s="4">
        <f>IFERROR(__xludf.DUMMYFUNCTION("""COMPUTED_VALUE"""),44626.0)</f>
        <v>44626</v>
      </c>
      <c r="Q2719" s="3" t="str">
        <f>IFERROR(__xludf.DUMMYFUNCTION("""COMPUTED_VALUE"""),"A")</f>
        <v>A</v>
      </c>
      <c r="R2719" s="3" t="str">
        <f>IFERROR(__xludf.DUMMYFUNCTION("""COMPUTED_VALUE"""),"Small Format")</f>
        <v>Small Format</v>
      </c>
      <c r="S2719" s="3" t="str">
        <f>IFERROR(__xludf.DUMMYFUNCTION("""COMPUTED_VALUE"""),"Donjai")</f>
        <v>Donjai</v>
      </c>
      <c r="T2719" s="3" t="str">
        <f>IFERROR(__xludf.DUMMYFUNCTION("""COMPUTED_VALUE"""),"15 K.Somchai L")</f>
        <v>15 K.Somchai L</v>
      </c>
      <c r="U2719" s="3" t="str">
        <f>IFERROR(__xludf.DUMMYFUNCTION("""COMPUTED_VALUE"""),"15 K.Somchai L")</f>
        <v>15 K.Somchai L</v>
      </c>
      <c r="V2719" s="3" t="str">
        <f>IFERROR(__xludf.DUMMYFUNCTION("""COMPUTED_VALUE"""),"N")</f>
        <v>N</v>
      </c>
      <c r="W2719" s="3"/>
      <c r="X2719" s="3" t="str">
        <f>IFERROR(__xludf.DUMMYFUNCTION("""COMPUTED_VALUE"""),"17/1 หมู่ที่ 9 ต.ถ้ำ อ.ตะกั่วทุ่ง จ.พังงา")</f>
        <v>17/1 หมู่ที่ 9 ต.ถ้ำ อ.ตะกั่วทุ่ง จ.พังงา</v>
      </c>
      <c r="Y2719" s="3"/>
      <c r="Z2719" s="3">
        <f>IFERROR(__xludf.DUMMYFUNCTION("""COMPUTED_VALUE"""),0.0)</f>
        <v>0</v>
      </c>
      <c r="AA2719" s="3">
        <f>IFERROR(__xludf.DUMMYFUNCTION("""COMPUTED_VALUE"""),0.0)</f>
        <v>0</v>
      </c>
      <c r="AB2719" s="3" t="str">
        <f>IFERROR(__xludf.DUMMYFUNCTION("""COMPUTED_VALUE"""),"พังงา")</f>
        <v>พังงา</v>
      </c>
      <c r="AC2719" s="3">
        <f>IFERROR(__xludf.DUMMYFUNCTION("""COMPUTED_VALUE"""),0.0)</f>
        <v>0</v>
      </c>
      <c r="AD2719" s="3"/>
      <c r="AE2719" s="3"/>
      <c r="AF2719" s="3" t="str">
        <f>IFERROR(__xludf.DUMMYFUNCTION("""COMPUTED_VALUE"""),"ร้านจี้นุ้ย-83527")</f>
        <v>ร้านจี้นุ้ย-83527</v>
      </c>
      <c r="AG2719" s="3" t="str">
        <f>IFERROR(__xludf.DUMMYFUNCTION("""COMPUTED_VALUE"""),"ใต้")</f>
        <v>ใต้</v>
      </c>
      <c r="AH2719" s="3" t="str">
        <f>IFERROR(__xludf.DUMMYFUNCTION("""COMPUTED_VALUE"""),"#N/A")</f>
        <v>#N/A</v>
      </c>
      <c r="AI2719" s="3" t="str">
        <f>IFERROR(__xludf.DUMMYFUNCTION("""COMPUTED_VALUE"""),"Out of warranty")</f>
        <v>Out of warranty</v>
      </c>
      <c r="AJ2719" s="3">
        <f>IFERROR(__xludf.DUMMYFUNCTION("""COMPUTED_VALUE"""),47.0)</f>
        <v>47</v>
      </c>
      <c r="AK2719" s="3"/>
      <c r="AL2719" s="3"/>
    </row>
    <row r="2720" ht="15.75" customHeight="1">
      <c r="A2720" s="1" t="str">
        <f>IFERROR(__xludf.DUMMYFUNCTION("""COMPUTED_VALUE"""),"83528")</f>
        <v>83528</v>
      </c>
      <c r="B2720" s="2">
        <f>IFERROR(__xludf.DUMMYFUNCTION("""COMPUTED_VALUE"""),83528.0)</f>
        <v>83528</v>
      </c>
      <c r="C2720" s="3" t="str">
        <f>IFERROR(__xludf.DUMMYFUNCTION("""COMPUTED_VALUE"""),"ร้านซุปเปอร์ A ( ร้านอยู่นครปฐม)")</f>
        <v>ร้านซุปเปอร์ A ( ร้านอยู่นครปฐม)</v>
      </c>
      <c r="D2720" s="3" t="str">
        <f>IFERROR(__xludf.DUMMYFUNCTION("""COMPUTED_VALUE"""),"ร้านซุปเปอร์ A ( ร้านอยู่นครปฐม)")</f>
        <v>ร้านซุปเปอร์ A ( ร้านอยู่นครปฐม)</v>
      </c>
      <c r="E2720" s="1" t="str">
        <f>IFERROR(__xludf.DUMMYFUNCTION("""COMPUTED_VALUE"""),"Donjai")</f>
        <v>Donjai</v>
      </c>
      <c r="F2720" s="1" t="str">
        <f>IFERROR(__xludf.DUMMYFUNCTION("""COMPUTED_VALUE"""),"296608")</f>
        <v>296608</v>
      </c>
      <c r="G2720" s="1" t="str">
        <f>IFERROR(__xludf.DUMMYFUNCTION("""COMPUTED_VALUE"""),"นายภาคภูมิ เพ็ชรนิล")</f>
        <v>นายภาคภูมิ เพ็ชรนิล</v>
      </c>
      <c r="H2720" s="1" t="str">
        <f>IFERROR(__xludf.DUMMYFUNCTION("""COMPUTED_VALUE"""),"296608")</f>
        <v>296608</v>
      </c>
      <c r="I2720" s="1" t="str">
        <f>IFERROR(__xludf.DUMMYFUNCTION("""COMPUTED_VALUE"""),"นายภาคภูมิ เพ็ชรนิล")</f>
        <v>นายภาคภูมิ เพ็ชรนิล</v>
      </c>
      <c r="J2720" s="3">
        <f>IFERROR(__xludf.DUMMYFUNCTION("""COMPUTED_VALUE"""),228031.0)</f>
        <v>228031</v>
      </c>
      <c r="K2720" s="3" t="str">
        <f>IFERROR(__xludf.DUMMYFUNCTION("""COMPUTED_VALUE"""),"นายธนพงษ์ วันหมัด")</f>
        <v>นายธนพงษ์ วันหมัด</v>
      </c>
      <c r="L2720" s="1" t="str">
        <f>IFERROR(__xludf.DUMMYFUNCTION("""COMPUTED_VALUE"""),"นายธนพงษ์ วันหมัด")</f>
        <v>นายธนพงษ์ วันหมัด</v>
      </c>
      <c r="M2720" s="1" t="str">
        <f>IFERROR(__xludf.DUMMYFUNCTION("""COMPUTED_VALUE"""),"0813716913")</f>
        <v>0813716913</v>
      </c>
      <c r="N2720" s="3">
        <f>IFERROR(__xludf.DUMMYFUNCTION("""COMPUTED_VALUE"""),83528.0)</f>
        <v>83528</v>
      </c>
      <c r="O2720" s="3" t="str">
        <f>IFERROR(__xludf.DUMMYFUNCTION("""COMPUTED_VALUE"""),"ร้านซุปเปอร์ A ( ร้านอยู่นครปฐม)")</f>
        <v>ร้านซุปเปอร์ A ( ร้านอยู่นครปฐม)</v>
      </c>
      <c r="P2720" s="4">
        <f>IFERROR(__xludf.DUMMYFUNCTION("""COMPUTED_VALUE"""),44612.0)</f>
        <v>44612</v>
      </c>
      <c r="Q2720" s="3" t="str">
        <f>IFERROR(__xludf.DUMMYFUNCTION("""COMPUTED_VALUE"""),"I")</f>
        <v>I</v>
      </c>
      <c r="R2720" s="3" t="str">
        <f>IFERROR(__xludf.DUMMYFUNCTION("""COMPUTED_VALUE"""),"Small Format")</f>
        <v>Small Format</v>
      </c>
      <c r="S2720" s="3" t="str">
        <f>IFERROR(__xludf.DUMMYFUNCTION("""COMPUTED_VALUE"""),"Donjai")</f>
        <v>Donjai</v>
      </c>
      <c r="T2720" s="3" t="str">
        <f>IFERROR(__xludf.DUMMYFUNCTION("""COMPUTED_VALUE"""),"10 K.Phakphoom P.")</f>
        <v>10 K.Phakphoom P.</v>
      </c>
      <c r="U2720" s="3" t="str">
        <f>IFERROR(__xludf.DUMMYFUNCTION("""COMPUTED_VALUE"""),"10 K.Phakphoom P.")</f>
        <v>10 K.Phakphoom P.</v>
      </c>
      <c r="V2720" s="3" t="str">
        <f>IFERROR(__xludf.DUMMYFUNCTION("""COMPUTED_VALUE"""),"N")</f>
        <v>N</v>
      </c>
      <c r="W2720" s="3"/>
      <c r="X2720" s="3" t="str">
        <f>IFERROR(__xludf.DUMMYFUNCTION("""COMPUTED_VALUE"""),"135 ม.8 ต.บางปลา อ.บางเลน จ.นครปฐม 73130")</f>
        <v>135 ม.8 ต.บางปลา อ.บางเลน จ.นครปฐม 73130</v>
      </c>
      <c r="Y2720" s="3"/>
      <c r="Z2720" s="3">
        <f>IFERROR(__xludf.DUMMYFUNCTION("""COMPUTED_VALUE"""),0.0)</f>
        <v>0</v>
      </c>
      <c r="AA2720" s="3">
        <f>IFERROR(__xludf.DUMMYFUNCTION("""COMPUTED_VALUE"""),0.0)</f>
        <v>0</v>
      </c>
      <c r="AB2720" s="3" t="str">
        <f>IFERROR(__xludf.DUMMYFUNCTION("""COMPUTED_VALUE"""),"นครปฐม")</f>
        <v>นครปฐม</v>
      </c>
      <c r="AC2720" s="3">
        <f>IFERROR(__xludf.DUMMYFUNCTION("""COMPUTED_VALUE"""),73130.0)</f>
        <v>73130</v>
      </c>
      <c r="AD2720" s="3"/>
      <c r="AE2720" s="3"/>
      <c r="AF2720" s="3" t="str">
        <f>IFERROR(__xludf.DUMMYFUNCTION("""COMPUTED_VALUE"""),"ร้านซุปเปอร์ A ( ร้านอยู่นครปฐม)-83528")</f>
        <v>ร้านซุปเปอร์ A ( ร้านอยู่นครปฐม)-83528</v>
      </c>
      <c r="AG2720" s="3" t="str">
        <f>IFERROR(__xludf.DUMMYFUNCTION("""COMPUTED_VALUE"""),"กลาง")</f>
        <v>กลาง</v>
      </c>
      <c r="AH2720" s="3" t="str">
        <f>IFERROR(__xludf.DUMMYFUNCTION("""COMPUTED_VALUE"""),"#N/A")</f>
        <v>#N/A</v>
      </c>
      <c r="AI2720" s="3" t="str">
        <f>IFERROR(__xludf.DUMMYFUNCTION("""COMPUTED_VALUE"""),"Out of warranty")</f>
        <v>Out of warranty</v>
      </c>
      <c r="AJ2720" s="3">
        <f>IFERROR(__xludf.DUMMYFUNCTION("""COMPUTED_VALUE"""),48.0)</f>
        <v>48</v>
      </c>
      <c r="AK2720" s="3"/>
      <c r="AL2720" s="3"/>
    </row>
    <row r="2721" ht="15.75" customHeight="1">
      <c r="A2721" s="1" t="str">
        <f>IFERROR(__xludf.DUMMYFUNCTION("""COMPUTED_VALUE"""),"83529")</f>
        <v>83529</v>
      </c>
      <c r="B2721" s="2">
        <f>IFERROR(__xludf.DUMMYFUNCTION("""COMPUTED_VALUE"""),83529.0)</f>
        <v>83529</v>
      </c>
      <c r="C2721" s="3" t="str">
        <f>IFERROR(__xludf.DUMMYFUNCTION("""COMPUTED_VALUE"""),"จันทร์อ่อนการค้า")</f>
        <v>จันทร์อ่อนการค้า</v>
      </c>
      <c r="D2721" s="3" t="str">
        <f>IFERROR(__xludf.DUMMYFUNCTION("""COMPUTED_VALUE"""),"จันทร์อ่อนการค้า")</f>
        <v>จันทร์อ่อนการค้า</v>
      </c>
      <c r="E2721" s="1" t="str">
        <f>IFERROR(__xludf.DUMMYFUNCTION("""COMPUTED_VALUE"""),"Donjai")</f>
        <v>Donjai</v>
      </c>
      <c r="F2721" s="1" t="str">
        <f>IFERROR(__xludf.DUMMYFUNCTION("""COMPUTED_VALUE"""),"296608")</f>
        <v>296608</v>
      </c>
      <c r="G2721" s="1" t="str">
        <f>IFERROR(__xludf.DUMMYFUNCTION("""COMPUTED_VALUE"""),"นายภาคภูมิ เพ็ชรนิล")</f>
        <v>นายภาคภูมิ เพ็ชรนิล</v>
      </c>
      <c r="H2721" s="1" t="str">
        <f>IFERROR(__xludf.DUMMYFUNCTION("""COMPUTED_VALUE"""),"296608")</f>
        <v>296608</v>
      </c>
      <c r="I2721" s="1" t="str">
        <f>IFERROR(__xludf.DUMMYFUNCTION("""COMPUTED_VALUE"""),"นายภาคภูมิ เพ็ชรนิล")</f>
        <v>นายภาคภูมิ เพ็ชรนิล</v>
      </c>
      <c r="J2721" s="3">
        <f>IFERROR(__xludf.DUMMYFUNCTION("""COMPUTED_VALUE"""),228031.0)</f>
        <v>228031</v>
      </c>
      <c r="K2721" s="3" t="str">
        <f>IFERROR(__xludf.DUMMYFUNCTION("""COMPUTED_VALUE"""),"นายธนพงษ์ วันหมัด")</f>
        <v>นายธนพงษ์ วันหมัด</v>
      </c>
      <c r="L2721" s="1" t="str">
        <f>IFERROR(__xludf.DUMMYFUNCTION("""COMPUTED_VALUE"""),"นายธนพงษ์ วันหมัด")</f>
        <v>นายธนพงษ์ วันหมัด</v>
      </c>
      <c r="M2721" s="1" t="str">
        <f>IFERROR(__xludf.DUMMYFUNCTION("""COMPUTED_VALUE"""),"0813716913")</f>
        <v>0813716913</v>
      </c>
      <c r="N2721" s="3">
        <f>IFERROR(__xludf.DUMMYFUNCTION("""COMPUTED_VALUE"""),83529.0)</f>
        <v>83529</v>
      </c>
      <c r="O2721" s="3" t="str">
        <f>IFERROR(__xludf.DUMMYFUNCTION("""COMPUTED_VALUE"""),"จันทร์อ่อนการค้า")</f>
        <v>จันทร์อ่อนการค้า</v>
      </c>
      <c r="P2721" s="4">
        <f>IFERROR(__xludf.DUMMYFUNCTION("""COMPUTED_VALUE"""),44614.0)</f>
        <v>44614</v>
      </c>
      <c r="Q2721" s="3" t="str">
        <f>IFERROR(__xludf.DUMMYFUNCTION("""COMPUTED_VALUE"""),"I")</f>
        <v>I</v>
      </c>
      <c r="R2721" s="3" t="str">
        <f>IFERROR(__xludf.DUMMYFUNCTION("""COMPUTED_VALUE"""),"Small Format")</f>
        <v>Small Format</v>
      </c>
      <c r="S2721" s="3" t="str">
        <f>IFERROR(__xludf.DUMMYFUNCTION("""COMPUTED_VALUE"""),"Donjai")</f>
        <v>Donjai</v>
      </c>
      <c r="T2721" s="3" t="str">
        <f>IFERROR(__xludf.DUMMYFUNCTION("""COMPUTED_VALUE"""),"10 K.Phakphoom P.")</f>
        <v>10 K.Phakphoom P.</v>
      </c>
      <c r="U2721" s="3" t="str">
        <f>IFERROR(__xludf.DUMMYFUNCTION("""COMPUTED_VALUE"""),"10 K.Phakphoom P.")</f>
        <v>10 K.Phakphoom P.</v>
      </c>
      <c r="V2721" s="3" t="str">
        <f>IFERROR(__xludf.DUMMYFUNCTION("""COMPUTED_VALUE"""),"N")</f>
        <v>N</v>
      </c>
      <c r="W2721" s="3"/>
      <c r="X2721" s="3" t="str">
        <f>IFERROR(__xludf.DUMMYFUNCTION("""COMPUTED_VALUE"""),"84/6 ม.6 ถ.ไทยวิถี ต.นางตะเคียน อ.เมืองฯ จ.สมุทรสงคราม")</f>
        <v>84/6 ม.6 ถ.ไทยวิถี ต.นางตะเคียน อ.เมืองฯ จ.สมุทรสงคราม</v>
      </c>
      <c r="Y2721" s="3"/>
      <c r="Z2721" s="3">
        <f>IFERROR(__xludf.DUMMYFUNCTION("""COMPUTED_VALUE"""),0.0)</f>
        <v>0</v>
      </c>
      <c r="AA2721" s="3">
        <f>IFERROR(__xludf.DUMMYFUNCTION("""COMPUTED_VALUE"""),0.0)</f>
        <v>0</v>
      </c>
      <c r="AB2721" s="3" t="str">
        <f>IFERROR(__xludf.DUMMYFUNCTION("""COMPUTED_VALUE"""),"สมุทรสงคราม")</f>
        <v>สมุทรสงคราม</v>
      </c>
      <c r="AC2721" s="3">
        <f>IFERROR(__xludf.DUMMYFUNCTION("""COMPUTED_VALUE"""),0.0)</f>
        <v>0</v>
      </c>
      <c r="AD2721" s="3"/>
      <c r="AE2721" s="3"/>
      <c r="AF2721" s="3" t="str">
        <f>IFERROR(__xludf.DUMMYFUNCTION("""COMPUTED_VALUE"""),"จันทร์อ่อนการค้า-83529")</f>
        <v>จันทร์อ่อนการค้า-83529</v>
      </c>
      <c r="AG2721" s="3" t="str">
        <f>IFERROR(__xludf.DUMMYFUNCTION("""COMPUTED_VALUE"""),"กลาง")</f>
        <v>กลาง</v>
      </c>
      <c r="AH2721" s="3" t="str">
        <f>IFERROR(__xludf.DUMMYFUNCTION("""COMPUTED_VALUE"""),"#N/A")</f>
        <v>#N/A</v>
      </c>
      <c r="AI2721" s="3" t="str">
        <f>IFERROR(__xludf.DUMMYFUNCTION("""COMPUTED_VALUE"""),"Out of warranty")</f>
        <v>Out of warranty</v>
      </c>
      <c r="AJ2721" s="3">
        <f>IFERROR(__xludf.DUMMYFUNCTION("""COMPUTED_VALUE"""),47.0)</f>
        <v>47</v>
      </c>
      <c r="AK2721" s="3"/>
      <c r="AL2721" s="3"/>
    </row>
    <row r="2722" ht="15.75" customHeight="1">
      <c r="A2722" s="1" t="str">
        <f>IFERROR(__xludf.DUMMYFUNCTION("""COMPUTED_VALUE"""),"83530")</f>
        <v>83530</v>
      </c>
      <c r="B2722" s="2">
        <f>IFERROR(__xludf.DUMMYFUNCTION("""COMPUTED_VALUE"""),83530.0)</f>
        <v>83530</v>
      </c>
      <c r="C2722" s="3" t="str">
        <f>IFERROR(__xludf.DUMMYFUNCTION("""COMPUTED_VALUE"""),"ร้านเย็นใจ มาร์ท")</f>
        <v>ร้านเย็นใจ มาร์ท</v>
      </c>
      <c r="D2722" s="3" t="str">
        <f>IFERROR(__xludf.DUMMYFUNCTION("""COMPUTED_VALUE"""),"ร้านเย็นใจ มาร์ท")</f>
        <v>ร้านเย็นใจ มาร์ท</v>
      </c>
      <c r="E2722" s="1" t="str">
        <f>IFERROR(__xludf.DUMMYFUNCTION("""COMPUTED_VALUE"""),"Donjai")</f>
        <v>Donjai</v>
      </c>
      <c r="F2722" s="1" t="str">
        <f>IFERROR(__xludf.DUMMYFUNCTION("""COMPUTED_VALUE"""),"2010016")</f>
        <v>2010016</v>
      </c>
      <c r="G2722" s="1" t="str">
        <f>IFERROR(__xludf.DUMMYFUNCTION("""COMPUTED_VALUE"""),"นายตวงธรรม ใหม่ยศ")</f>
        <v>นายตวงธรรม ใหม่ยศ</v>
      </c>
      <c r="H2722" s="1" t="str">
        <f>IFERROR(__xludf.DUMMYFUNCTION("""COMPUTED_VALUE"""),"2010016")</f>
        <v>2010016</v>
      </c>
      <c r="I2722" s="1" t="str">
        <f>IFERROR(__xludf.DUMMYFUNCTION("""COMPUTED_VALUE"""),"นายตวงธรรม ใหม่ยศ")</f>
        <v>นายตวงธรรม ใหม่ยศ</v>
      </c>
      <c r="J2722" s="3">
        <f>IFERROR(__xludf.DUMMYFUNCTION("""COMPUTED_VALUE"""),295886.0)</f>
        <v>295886</v>
      </c>
      <c r="K2722" s="3" t="str">
        <f>IFERROR(__xludf.DUMMYFUNCTION("""COMPUTED_VALUE"""),"นายจิระพงษ์ โพธิ์นิล")</f>
        <v>นายจิระพงษ์ โพธิ์นิล</v>
      </c>
      <c r="L2722" s="1" t="str">
        <f>IFERROR(__xludf.DUMMYFUNCTION("""COMPUTED_VALUE"""),"นายจิระพงษ์ โพธิ์นิล")</f>
        <v>นายจิระพงษ์ โพธิ์นิล</v>
      </c>
      <c r="M2722" s="1" t="str">
        <f>IFERROR(__xludf.DUMMYFUNCTION("""COMPUTED_VALUE"""),"0933290754")</f>
        <v>0933290754</v>
      </c>
      <c r="N2722" s="3">
        <f>IFERROR(__xludf.DUMMYFUNCTION("""COMPUTED_VALUE"""),83530.0)</f>
        <v>83530</v>
      </c>
      <c r="O2722" s="3" t="str">
        <f>IFERROR(__xludf.DUMMYFUNCTION("""COMPUTED_VALUE"""),"ร้านเย็นใจ มาร์ท")</f>
        <v>ร้านเย็นใจ มาร์ท</v>
      </c>
      <c r="P2722" s="4">
        <f>IFERROR(__xludf.DUMMYFUNCTION("""COMPUTED_VALUE"""),44615.0)</f>
        <v>44615</v>
      </c>
      <c r="Q2722" s="3" t="str">
        <f>IFERROR(__xludf.DUMMYFUNCTION("""COMPUTED_VALUE"""),"A")</f>
        <v>A</v>
      </c>
      <c r="R2722" s="3" t="str">
        <f>IFERROR(__xludf.DUMMYFUNCTION("""COMPUTED_VALUE"""),"Small Format")</f>
        <v>Small Format</v>
      </c>
      <c r="S2722" s="3" t="str">
        <f>IFERROR(__xludf.DUMMYFUNCTION("""COMPUTED_VALUE"""),"Donjai")</f>
        <v>Donjai</v>
      </c>
      <c r="T2722" s="3" t="str">
        <f>IFERROR(__xludf.DUMMYFUNCTION("""COMPUTED_VALUE"""),"01 K.Tuangtham M.")</f>
        <v>01 K.Tuangtham M.</v>
      </c>
      <c r="U2722" s="3" t="str">
        <f>IFERROR(__xludf.DUMMYFUNCTION("""COMPUTED_VALUE"""),"01 K.Tuangtham M.")</f>
        <v>01 K.Tuangtham M.</v>
      </c>
      <c r="V2722" s="3" t="str">
        <f>IFERROR(__xludf.DUMMYFUNCTION("""COMPUTED_VALUE"""),"N")</f>
        <v>N</v>
      </c>
      <c r="W2722" s="3"/>
      <c r="X2722" s="3" t="str">
        <f>IFERROR(__xludf.DUMMYFUNCTION("""COMPUTED_VALUE"""),"121 หมู่ที่ 5 ต ป่าแมต อำเภอเมืองแพร่ จังหวัดแพร่")</f>
        <v>121 หมู่ที่ 5 ต ป่าแมต อำเภอเมืองแพร่ จังหวัดแพร่</v>
      </c>
      <c r="Y2722" s="3"/>
      <c r="Z2722" s="3" t="str">
        <f>IFERROR(__xludf.DUMMYFUNCTION("""COMPUTED_VALUE"""),"ป่าแมต")</f>
        <v>ป่าแมต</v>
      </c>
      <c r="AA2722" s="3" t="str">
        <f>IFERROR(__xludf.DUMMYFUNCTION("""COMPUTED_VALUE"""),"เมืองแพร่")</f>
        <v>เมืองแพร่</v>
      </c>
      <c r="AB2722" s="3" t="str">
        <f>IFERROR(__xludf.DUMMYFUNCTION("""COMPUTED_VALUE"""),"แพร่")</f>
        <v>แพร่</v>
      </c>
      <c r="AC2722" s="3">
        <f>IFERROR(__xludf.DUMMYFUNCTION("""COMPUTED_VALUE"""),27210.0)</f>
        <v>27210</v>
      </c>
      <c r="AD2722" s="3"/>
      <c r="AE2722" s="3"/>
      <c r="AF2722" s="3" t="str">
        <f>IFERROR(__xludf.DUMMYFUNCTION("""COMPUTED_VALUE"""),"ร้านเย็นใจ มาร์ท-83530")</f>
        <v>ร้านเย็นใจ มาร์ท-83530</v>
      </c>
      <c r="AG2722" s="3" t="str">
        <f>IFERROR(__xludf.DUMMYFUNCTION("""COMPUTED_VALUE"""),"เหนือ")</f>
        <v>เหนือ</v>
      </c>
      <c r="AH2722" s="3" t="str">
        <f>IFERROR(__xludf.DUMMYFUNCTION("""COMPUTED_VALUE"""),"#N/A")</f>
        <v>#N/A</v>
      </c>
      <c r="AI2722" s="3" t="str">
        <f>IFERROR(__xludf.DUMMYFUNCTION("""COMPUTED_VALUE"""),"Out of warranty")</f>
        <v>Out of warranty</v>
      </c>
      <c r="AJ2722" s="3">
        <f>IFERROR(__xludf.DUMMYFUNCTION("""COMPUTED_VALUE"""),47.0)</f>
        <v>47</v>
      </c>
      <c r="AK2722" s="3"/>
      <c r="AL2722" s="3"/>
    </row>
    <row r="2723" ht="15.75" customHeight="1">
      <c r="A2723" s="1" t="str">
        <f>IFERROR(__xludf.DUMMYFUNCTION("""COMPUTED_VALUE"""),"83531")</f>
        <v>83531</v>
      </c>
      <c r="B2723" s="2">
        <f>IFERROR(__xludf.DUMMYFUNCTION("""COMPUTED_VALUE"""),83531.0)</f>
        <v>83531</v>
      </c>
      <c r="C2723" s="3" t="str">
        <f>IFERROR(__xludf.DUMMYFUNCTION("""COMPUTED_VALUE"""),"ร้านป๊ากับม๊า")</f>
        <v>ร้านป๊ากับม๊า</v>
      </c>
      <c r="D2723" s="3" t="str">
        <f>IFERROR(__xludf.DUMMYFUNCTION("""COMPUTED_VALUE"""),"ร้านป๊ากับม๊า")</f>
        <v>ร้านป๊ากับม๊า</v>
      </c>
      <c r="E2723" s="1" t="str">
        <f>IFERROR(__xludf.DUMMYFUNCTION("""COMPUTED_VALUE"""),"Donjai")</f>
        <v>Donjai</v>
      </c>
      <c r="F2723" s="1" t="str">
        <f>IFERROR(__xludf.DUMMYFUNCTION("""COMPUTED_VALUE"""),"296608")</f>
        <v>296608</v>
      </c>
      <c r="G2723" s="1" t="str">
        <f>IFERROR(__xludf.DUMMYFUNCTION("""COMPUTED_VALUE"""),"นายภาคภูมิ เพ็ชรนิล")</f>
        <v>นายภาคภูมิ เพ็ชรนิล</v>
      </c>
      <c r="H2723" s="1" t="str">
        <f>IFERROR(__xludf.DUMMYFUNCTION("""COMPUTED_VALUE"""),"296608")</f>
        <v>296608</v>
      </c>
      <c r="I2723" s="1" t="str">
        <f>IFERROR(__xludf.DUMMYFUNCTION("""COMPUTED_VALUE"""),"นายภาคภูมิ เพ็ชรนิล")</f>
        <v>นายภาคภูมิ เพ็ชรนิล</v>
      </c>
      <c r="J2723" s="3">
        <f>IFERROR(__xludf.DUMMYFUNCTION("""COMPUTED_VALUE"""),228031.0)</f>
        <v>228031</v>
      </c>
      <c r="K2723" s="3" t="str">
        <f>IFERROR(__xludf.DUMMYFUNCTION("""COMPUTED_VALUE"""),"นายธนพงษ์ วันหมัด")</f>
        <v>นายธนพงษ์ วันหมัด</v>
      </c>
      <c r="L2723" s="1" t="str">
        <f>IFERROR(__xludf.DUMMYFUNCTION("""COMPUTED_VALUE"""),"นายธนพงษ์ วันหมัด")</f>
        <v>นายธนพงษ์ วันหมัด</v>
      </c>
      <c r="M2723" s="1" t="str">
        <f>IFERROR(__xludf.DUMMYFUNCTION("""COMPUTED_VALUE"""),"0813716913")</f>
        <v>0813716913</v>
      </c>
      <c r="N2723" s="3">
        <f>IFERROR(__xludf.DUMMYFUNCTION("""COMPUTED_VALUE"""),83531.0)</f>
        <v>83531</v>
      </c>
      <c r="O2723" s="3" t="str">
        <f>IFERROR(__xludf.DUMMYFUNCTION("""COMPUTED_VALUE"""),"ร้านป๊ากับม๊า")</f>
        <v>ร้านป๊ากับม๊า</v>
      </c>
      <c r="P2723" s="4">
        <f>IFERROR(__xludf.DUMMYFUNCTION("""COMPUTED_VALUE"""),44616.0)</f>
        <v>44616</v>
      </c>
      <c r="Q2723" s="3" t="str">
        <f>IFERROR(__xludf.DUMMYFUNCTION("""COMPUTED_VALUE"""),"I")</f>
        <v>I</v>
      </c>
      <c r="R2723" s="3" t="str">
        <f>IFERROR(__xludf.DUMMYFUNCTION("""COMPUTED_VALUE"""),"Small Format")</f>
        <v>Small Format</v>
      </c>
      <c r="S2723" s="3" t="str">
        <f>IFERROR(__xludf.DUMMYFUNCTION("""COMPUTED_VALUE"""),"Donjai")</f>
        <v>Donjai</v>
      </c>
      <c r="T2723" s="3" t="str">
        <f>IFERROR(__xludf.DUMMYFUNCTION("""COMPUTED_VALUE"""),"10 K.Phakphoom P.")</f>
        <v>10 K.Phakphoom P.</v>
      </c>
      <c r="U2723" s="3" t="str">
        <f>IFERROR(__xludf.DUMMYFUNCTION("""COMPUTED_VALUE"""),"10 K.Phakphoom P.")</f>
        <v>10 K.Phakphoom P.</v>
      </c>
      <c r="V2723" s="3" t="str">
        <f>IFERROR(__xludf.DUMMYFUNCTION("""COMPUTED_VALUE"""),"N")</f>
        <v>N</v>
      </c>
      <c r="W2723" s="3"/>
      <c r="X2723" s="3" t="str">
        <f>IFERROR(__xludf.DUMMYFUNCTION("""COMPUTED_VALUE"""),"ตรีพฤกษ์ 333/39 หมู่10 ตำบลนครปฐม อำเภอเมือง จ.นครปฐม 73000")</f>
        <v>ตรีพฤกษ์ 333/39 หมู่10 ตำบลนครปฐม อำเภอเมือง จ.นครปฐม 73000</v>
      </c>
      <c r="Y2723" s="3"/>
      <c r="Z2723" s="3">
        <f>IFERROR(__xludf.DUMMYFUNCTION("""COMPUTED_VALUE"""),0.0)</f>
        <v>0</v>
      </c>
      <c r="AA2723" s="3">
        <f>IFERROR(__xludf.DUMMYFUNCTION("""COMPUTED_VALUE"""),0.0)</f>
        <v>0</v>
      </c>
      <c r="AB2723" s="3" t="str">
        <f>IFERROR(__xludf.DUMMYFUNCTION("""COMPUTED_VALUE"""),"นครปฐม")</f>
        <v>นครปฐม</v>
      </c>
      <c r="AC2723" s="3">
        <f>IFERROR(__xludf.DUMMYFUNCTION("""COMPUTED_VALUE"""),73000.0)</f>
        <v>73000</v>
      </c>
      <c r="AD2723" s="3"/>
      <c r="AE2723" s="3"/>
      <c r="AF2723" s="3" t="str">
        <f>IFERROR(__xludf.DUMMYFUNCTION("""COMPUTED_VALUE"""),"ร้านป๊ากับม๊า-83531")</f>
        <v>ร้านป๊ากับม๊า-83531</v>
      </c>
      <c r="AG2723" s="3" t="str">
        <f>IFERROR(__xludf.DUMMYFUNCTION("""COMPUTED_VALUE"""),"กลาง")</f>
        <v>กลาง</v>
      </c>
      <c r="AH2723" s="3" t="str">
        <f>IFERROR(__xludf.DUMMYFUNCTION("""COMPUTED_VALUE"""),"#N/A")</f>
        <v>#N/A</v>
      </c>
      <c r="AI2723" s="3" t="str">
        <f>IFERROR(__xludf.DUMMYFUNCTION("""COMPUTED_VALUE"""),"Out of warranty")</f>
        <v>Out of warranty</v>
      </c>
      <c r="AJ2723" s="3">
        <f>IFERROR(__xludf.DUMMYFUNCTION("""COMPUTED_VALUE"""),47.0)</f>
        <v>47</v>
      </c>
      <c r="AK2723" s="3"/>
      <c r="AL2723" s="3"/>
    </row>
    <row r="2724" ht="15.75" customHeight="1">
      <c r="A2724" s="1" t="str">
        <f>IFERROR(__xludf.DUMMYFUNCTION("""COMPUTED_VALUE"""),"83532")</f>
        <v>83532</v>
      </c>
      <c r="B2724" s="2">
        <f>IFERROR(__xludf.DUMMYFUNCTION("""COMPUTED_VALUE"""),83532.0)</f>
        <v>83532</v>
      </c>
      <c r="C2724" s="3" t="str">
        <f>IFERROR(__xludf.DUMMYFUNCTION("""COMPUTED_VALUE"""),"ร้านสมจิตต์การค้า")</f>
        <v>ร้านสมจิตต์การค้า</v>
      </c>
      <c r="D2724" s="3" t="str">
        <f>IFERROR(__xludf.DUMMYFUNCTION("""COMPUTED_VALUE"""),"ร้านสมจิตต์การค้า")</f>
        <v>ร้านสมจิตต์การค้า</v>
      </c>
      <c r="E2724" s="1" t="str">
        <f>IFERROR(__xludf.DUMMYFUNCTION("""COMPUTED_VALUE"""),"Donjai")</f>
        <v>Donjai</v>
      </c>
      <c r="F2724" s="1" t="str">
        <f>IFERROR(__xludf.DUMMYFUNCTION("""COMPUTED_VALUE"""),"2010023")</f>
        <v>2010023</v>
      </c>
      <c r="G2724" s="1" t="str">
        <f>IFERROR(__xludf.DUMMYFUNCTION("""COMPUTED_VALUE"""),"นายวศิน ไวยรูป")</f>
        <v>นายวศิน ไวยรูป</v>
      </c>
      <c r="H2724" s="1" t="str">
        <f>IFERROR(__xludf.DUMMYFUNCTION("""COMPUTED_VALUE"""),"2010023")</f>
        <v>2010023</v>
      </c>
      <c r="I2724" s="1" t="str">
        <f>IFERROR(__xludf.DUMMYFUNCTION("""COMPUTED_VALUE"""),"นายวศิน ไวยรูป")</f>
        <v>นายวศิน ไวยรูป</v>
      </c>
      <c r="J2724" s="3">
        <f>IFERROR(__xludf.DUMMYFUNCTION("""COMPUTED_VALUE"""),228031.0)</f>
        <v>228031</v>
      </c>
      <c r="K2724" s="3" t="str">
        <f>IFERROR(__xludf.DUMMYFUNCTION("""COMPUTED_VALUE"""),"นายธนพงษ์ วันหมัด")</f>
        <v>นายธนพงษ์ วันหมัด</v>
      </c>
      <c r="L2724" s="1" t="str">
        <f>IFERROR(__xludf.DUMMYFUNCTION("""COMPUTED_VALUE"""),"นายธนพงษ์ วันหมัด")</f>
        <v>นายธนพงษ์ วันหมัด</v>
      </c>
      <c r="M2724" s="1" t="str">
        <f>IFERROR(__xludf.DUMMYFUNCTION("""COMPUTED_VALUE"""),"0813716913")</f>
        <v>0813716913</v>
      </c>
      <c r="N2724" s="3">
        <f>IFERROR(__xludf.DUMMYFUNCTION("""COMPUTED_VALUE"""),83532.0)</f>
        <v>83532</v>
      </c>
      <c r="O2724" s="3" t="str">
        <f>IFERROR(__xludf.DUMMYFUNCTION("""COMPUTED_VALUE"""),"ร้านสมจิตต์การค้า")</f>
        <v>ร้านสมจิตต์การค้า</v>
      </c>
      <c r="P2724" s="4">
        <f>IFERROR(__xludf.DUMMYFUNCTION("""COMPUTED_VALUE"""),44620.0)</f>
        <v>44620</v>
      </c>
      <c r="Q2724" s="3" t="str">
        <f>IFERROR(__xludf.DUMMYFUNCTION("""COMPUTED_VALUE"""),"I")</f>
        <v>I</v>
      </c>
      <c r="R2724" s="3" t="str">
        <f>IFERROR(__xludf.DUMMYFUNCTION("""COMPUTED_VALUE"""),"Small Format")</f>
        <v>Small Format</v>
      </c>
      <c r="S2724" s="3" t="str">
        <f>IFERROR(__xludf.DUMMYFUNCTION("""COMPUTED_VALUE"""),"Donjai")</f>
        <v>Donjai</v>
      </c>
      <c r="T2724" s="3" t="str">
        <f>IFERROR(__xludf.DUMMYFUNCTION("""COMPUTED_VALUE"""),"Donjai")</f>
        <v>Donjai</v>
      </c>
      <c r="U2724" s="3" t="str">
        <f>IFERROR(__xludf.DUMMYFUNCTION("""COMPUTED_VALUE"""),"Donjai")</f>
        <v>Donjai</v>
      </c>
      <c r="V2724" s="3" t="str">
        <f>IFERROR(__xludf.DUMMYFUNCTION("""COMPUTED_VALUE"""),"N")</f>
        <v>N</v>
      </c>
      <c r="W2724" s="3"/>
      <c r="X2724" s="3" t="str">
        <f>IFERROR(__xludf.DUMMYFUNCTION("""COMPUTED_VALUE"""),"47/7 หมู่3 ต.คลองข่อย อ.ปากเกร็ด จ.นนทบุรี 11120")</f>
        <v>47/7 หมู่3 ต.คลองข่อย อ.ปากเกร็ด จ.นนทบุรี 11120</v>
      </c>
      <c r="Y2724" s="3"/>
      <c r="Z2724" s="3">
        <f>IFERROR(__xludf.DUMMYFUNCTION("""COMPUTED_VALUE"""),0.0)</f>
        <v>0</v>
      </c>
      <c r="AA2724" s="3">
        <f>IFERROR(__xludf.DUMMYFUNCTION("""COMPUTED_VALUE"""),0.0)</f>
        <v>0</v>
      </c>
      <c r="AB2724" s="3" t="str">
        <f>IFERROR(__xludf.DUMMYFUNCTION("""COMPUTED_VALUE"""),"นนทบุรี")</f>
        <v>นนทบุรี</v>
      </c>
      <c r="AC2724" s="3">
        <f>IFERROR(__xludf.DUMMYFUNCTION("""COMPUTED_VALUE"""),11120.0)</f>
        <v>11120</v>
      </c>
      <c r="AD2724" s="3"/>
      <c r="AE2724" s="3"/>
      <c r="AF2724" s="3" t="str">
        <f>IFERROR(__xludf.DUMMYFUNCTION("""COMPUTED_VALUE"""),"ร้านสมจิตต์การค้า-83532")</f>
        <v>ร้านสมจิตต์การค้า-83532</v>
      </c>
      <c r="AG2724" s="3" t="str">
        <f>IFERROR(__xludf.DUMMYFUNCTION("""COMPUTED_VALUE"""),"กลาง")</f>
        <v>กลาง</v>
      </c>
      <c r="AH2724" s="3" t="str">
        <f>IFERROR(__xludf.DUMMYFUNCTION("""COMPUTED_VALUE"""),"#N/A")</f>
        <v>#N/A</v>
      </c>
      <c r="AI2724" s="3" t="str">
        <f>IFERROR(__xludf.DUMMYFUNCTION("""COMPUTED_VALUE"""),"Out of warranty")</f>
        <v>Out of warranty</v>
      </c>
      <c r="AJ2724" s="3">
        <f>IFERROR(__xludf.DUMMYFUNCTION("""COMPUTED_VALUE"""),47.0)</f>
        <v>47</v>
      </c>
      <c r="AK2724" s="3"/>
      <c r="AL2724" s="3"/>
    </row>
    <row r="2725" ht="15.75" customHeight="1">
      <c r="A2725" s="1" t="str">
        <f>IFERROR(__xludf.DUMMYFUNCTION("""COMPUTED_VALUE"""),"83533")</f>
        <v>83533</v>
      </c>
      <c r="B2725" s="2">
        <f>IFERROR(__xludf.DUMMYFUNCTION("""COMPUTED_VALUE"""),83533.0)</f>
        <v>83533</v>
      </c>
      <c r="C2725" s="3" t="str">
        <f>IFERROR(__xludf.DUMMYFUNCTION("""COMPUTED_VALUE"""),"ร้านโดนใจ ใจดี")</f>
        <v>ร้านโดนใจ ใจดี</v>
      </c>
      <c r="D2725" s="3" t="str">
        <f>IFERROR(__xludf.DUMMYFUNCTION("""COMPUTED_VALUE"""),"ร้านโดนใจ ใจดี")</f>
        <v>ร้านโดนใจ ใจดี</v>
      </c>
      <c r="E2725" s="1" t="str">
        <f>IFERROR(__xludf.DUMMYFUNCTION("""COMPUTED_VALUE"""),"Donjai")</f>
        <v>Donjai</v>
      </c>
      <c r="F2725" s="1" t="str">
        <f>IFERROR(__xludf.DUMMYFUNCTION("""COMPUTED_VALUE"""),"20470331")</f>
        <v>20470331</v>
      </c>
      <c r="G2725" s="1" t="str">
        <f>IFERROR(__xludf.DUMMYFUNCTION("""COMPUTED_VALUE"""),"นายสมชาย ลักษณะสุวรรณ")</f>
        <v>นายสมชาย ลักษณะสุวรรณ</v>
      </c>
      <c r="H2725" s="1" t="str">
        <f>IFERROR(__xludf.DUMMYFUNCTION("""COMPUTED_VALUE"""),"20470331")</f>
        <v>20470331</v>
      </c>
      <c r="I2725" s="1" t="str">
        <f>IFERROR(__xludf.DUMMYFUNCTION("""COMPUTED_VALUE"""),"นายสมชาย ลักษณะสุวรรณ")</f>
        <v>นายสมชาย ลักษณะสุวรรณ</v>
      </c>
      <c r="J2725" s="3">
        <f>IFERROR(__xludf.DUMMYFUNCTION("""COMPUTED_VALUE"""),295541.0)</f>
        <v>295541</v>
      </c>
      <c r="K2725" s="3" t="str">
        <f>IFERROR(__xludf.DUMMYFUNCTION("""COMPUTED_VALUE"""),"นายรพิพล ศรีมาตย์")</f>
        <v>นายรพิพล ศรีมาตย์</v>
      </c>
      <c r="L2725" s="1" t="str">
        <f>IFERROR(__xludf.DUMMYFUNCTION("""COMPUTED_VALUE"""),"นายรพิพล ศรีมาตย์")</f>
        <v>นายรพิพล ศรีมาตย์</v>
      </c>
      <c r="M2725" s="1" t="str">
        <f>IFERROR(__xludf.DUMMYFUNCTION("""COMPUTED_VALUE"""),"0613966115")</f>
        <v>0613966115</v>
      </c>
      <c r="N2725" s="3">
        <f>IFERROR(__xludf.DUMMYFUNCTION("""COMPUTED_VALUE"""),83533.0)</f>
        <v>83533</v>
      </c>
      <c r="O2725" s="3" t="str">
        <f>IFERROR(__xludf.DUMMYFUNCTION("""COMPUTED_VALUE"""),"ร้านโดนใจ ใจดี")</f>
        <v>ร้านโดนใจ ใจดี</v>
      </c>
      <c r="P2725" s="4">
        <f>IFERROR(__xludf.DUMMYFUNCTION("""COMPUTED_VALUE"""),44605.0)</f>
        <v>44605</v>
      </c>
      <c r="Q2725" s="3" t="str">
        <f>IFERROR(__xludf.DUMMYFUNCTION("""COMPUTED_VALUE"""),"I")</f>
        <v>I</v>
      </c>
      <c r="R2725" s="3" t="str">
        <f>IFERROR(__xludf.DUMMYFUNCTION("""COMPUTED_VALUE"""),"Small Format")</f>
        <v>Small Format</v>
      </c>
      <c r="S2725" s="3" t="str">
        <f>IFERROR(__xludf.DUMMYFUNCTION("""COMPUTED_VALUE"""),"Donjai")</f>
        <v>Donjai</v>
      </c>
      <c r="T2725" s="3" t="str">
        <f>IFERROR(__xludf.DUMMYFUNCTION("""COMPUTED_VALUE"""),"15 K.Somchai L")</f>
        <v>15 K.Somchai L</v>
      </c>
      <c r="U2725" s="3" t="str">
        <f>IFERROR(__xludf.DUMMYFUNCTION("""COMPUTED_VALUE"""),"15 K.Somchai L")</f>
        <v>15 K.Somchai L</v>
      </c>
      <c r="V2725" s="3" t="str">
        <f>IFERROR(__xludf.DUMMYFUNCTION("""COMPUTED_VALUE"""),"N")</f>
        <v>N</v>
      </c>
      <c r="W2725" s="3"/>
      <c r="X2725" s="3" t="str">
        <f>IFERROR(__xludf.DUMMYFUNCTION("""COMPUTED_VALUE"""),"เลขที่ 110/4 ม.2 ต.บางปู อ.ยะหริ่ง จ.ปัตตานี 94150")</f>
        <v>เลขที่ 110/4 ม.2 ต.บางปู อ.ยะหริ่ง จ.ปัตตานี 94150</v>
      </c>
      <c r="Y2725" s="3"/>
      <c r="Z2725" s="3">
        <f>IFERROR(__xludf.DUMMYFUNCTION("""COMPUTED_VALUE"""),0.0)</f>
        <v>0</v>
      </c>
      <c r="AA2725" s="3">
        <f>IFERROR(__xludf.DUMMYFUNCTION("""COMPUTED_VALUE"""),0.0)</f>
        <v>0</v>
      </c>
      <c r="AB2725" s="3" t="str">
        <f>IFERROR(__xludf.DUMMYFUNCTION("""COMPUTED_VALUE"""),"ปัตตานี")</f>
        <v>ปัตตานี</v>
      </c>
      <c r="AC2725" s="3">
        <f>IFERROR(__xludf.DUMMYFUNCTION("""COMPUTED_VALUE"""),94150.0)</f>
        <v>94150</v>
      </c>
      <c r="AD2725" s="3"/>
      <c r="AE2725" s="3"/>
      <c r="AF2725" s="3" t="str">
        <f>IFERROR(__xludf.DUMMYFUNCTION("""COMPUTED_VALUE"""),"ร้านโดนใจ ใจดี-83533")</f>
        <v>ร้านโดนใจ ใจดี-83533</v>
      </c>
      <c r="AG2725" s="3" t="str">
        <f>IFERROR(__xludf.DUMMYFUNCTION("""COMPUTED_VALUE"""),"ใต้")</f>
        <v>ใต้</v>
      </c>
      <c r="AH2725" s="3" t="str">
        <f>IFERROR(__xludf.DUMMYFUNCTION("""COMPUTED_VALUE"""),"#N/A")</f>
        <v>#N/A</v>
      </c>
      <c r="AI2725" s="3" t="str">
        <f>IFERROR(__xludf.DUMMYFUNCTION("""COMPUTED_VALUE"""),"Out of warranty")</f>
        <v>Out of warranty</v>
      </c>
      <c r="AJ2725" s="3">
        <f>IFERROR(__xludf.DUMMYFUNCTION("""COMPUTED_VALUE"""),48.0)</f>
        <v>48</v>
      </c>
      <c r="AK2725" s="3"/>
      <c r="AL2725" s="3"/>
    </row>
    <row r="2726" ht="15.75" customHeight="1">
      <c r="A2726" s="1" t="str">
        <f>IFERROR(__xludf.DUMMYFUNCTION("""COMPUTED_VALUE"""),"83534")</f>
        <v>83534</v>
      </c>
      <c r="B2726" s="2">
        <f>IFERROR(__xludf.DUMMYFUNCTION("""COMPUTED_VALUE"""),83534.0)</f>
        <v>83534</v>
      </c>
      <c r="C2726" s="3" t="str">
        <f>IFERROR(__xludf.DUMMYFUNCTION("""COMPUTED_VALUE"""),"ร้านโดนใจ จินตนา พาณิชย์")</f>
        <v>ร้านโดนใจ จินตนา พาณิชย์</v>
      </c>
      <c r="D2726" s="3" t="str">
        <f>IFERROR(__xludf.DUMMYFUNCTION("""COMPUTED_VALUE"""),"ร้านโดนใจ จินตนา พาณิชย์")</f>
        <v>ร้านโดนใจ จินตนา พาณิชย์</v>
      </c>
      <c r="E2726" s="1" t="str">
        <f>IFERROR(__xludf.DUMMYFUNCTION("""COMPUTED_VALUE"""),"Donjai")</f>
        <v>Donjai</v>
      </c>
      <c r="F2726" s="1" t="str">
        <f>IFERROR(__xludf.DUMMYFUNCTION("""COMPUTED_VALUE"""),"2451655")</f>
        <v>2451655</v>
      </c>
      <c r="G2726" s="1" t="str">
        <f>IFERROR(__xludf.DUMMYFUNCTION("""COMPUTED_VALUE"""),"นายวิษณุพงษ์ ชินบุตร")</f>
        <v>นายวิษณุพงษ์ ชินบุตร</v>
      </c>
      <c r="H2726" s="1" t="str">
        <f>IFERROR(__xludf.DUMMYFUNCTION("""COMPUTED_VALUE"""),"2451655")</f>
        <v>2451655</v>
      </c>
      <c r="I2726" s="1" t="str">
        <f>IFERROR(__xludf.DUMMYFUNCTION("""COMPUTED_VALUE"""),"นายวิษณุพงษ์ ชินบุตร")</f>
        <v>นายวิษณุพงษ์ ชินบุตร</v>
      </c>
      <c r="J2726" s="3">
        <f>IFERROR(__xludf.DUMMYFUNCTION("""COMPUTED_VALUE"""),228031.0)</f>
        <v>228031</v>
      </c>
      <c r="K2726" s="3" t="str">
        <f>IFERROR(__xludf.DUMMYFUNCTION("""COMPUTED_VALUE"""),"นายธนพงษ์ วันหมัด")</f>
        <v>นายธนพงษ์ วันหมัด</v>
      </c>
      <c r="L2726" s="1" t="str">
        <f>IFERROR(__xludf.DUMMYFUNCTION("""COMPUTED_VALUE"""),"นายธนพงษ์ วันหมัด")</f>
        <v>นายธนพงษ์ วันหมัด</v>
      </c>
      <c r="M2726" s="1" t="str">
        <f>IFERROR(__xludf.DUMMYFUNCTION("""COMPUTED_VALUE"""),"0813716913")</f>
        <v>0813716913</v>
      </c>
      <c r="N2726" s="3">
        <f>IFERROR(__xludf.DUMMYFUNCTION("""COMPUTED_VALUE"""),83534.0)</f>
        <v>83534</v>
      </c>
      <c r="O2726" s="3" t="str">
        <f>IFERROR(__xludf.DUMMYFUNCTION("""COMPUTED_VALUE"""),"ร้านโดนใจ จินตนา พาณิชย์")</f>
        <v>ร้านโดนใจ จินตนา พาณิชย์</v>
      </c>
      <c r="P2726" s="4">
        <f>IFERROR(__xludf.DUMMYFUNCTION("""COMPUTED_VALUE"""),44644.0)</f>
        <v>44644</v>
      </c>
      <c r="Q2726" s="3" t="str">
        <f>IFERROR(__xludf.DUMMYFUNCTION("""COMPUTED_VALUE"""),"A")</f>
        <v>A</v>
      </c>
      <c r="R2726" s="3" t="str">
        <f>IFERROR(__xludf.DUMMYFUNCTION("""COMPUTED_VALUE"""),"Small Format")</f>
        <v>Small Format</v>
      </c>
      <c r="S2726" s="3" t="str">
        <f>IFERROR(__xludf.DUMMYFUNCTION("""COMPUTED_VALUE"""),"Donjai")</f>
        <v>Donjai</v>
      </c>
      <c r="T2726" s="3" t="str">
        <f>IFERROR(__xludf.DUMMYFUNCTION("""COMPUTED_VALUE"""),"13 K.Wisanupong Ch")</f>
        <v>13 K.Wisanupong Ch</v>
      </c>
      <c r="U2726" s="3" t="str">
        <f>IFERROR(__xludf.DUMMYFUNCTION("""COMPUTED_VALUE"""),"13 K.Wisanupong Ch")</f>
        <v>13 K.Wisanupong Ch</v>
      </c>
      <c r="V2726" s="3" t="str">
        <f>IFERROR(__xludf.DUMMYFUNCTION("""COMPUTED_VALUE"""),"N")</f>
        <v>N</v>
      </c>
      <c r="W2726" s="3"/>
      <c r="X2726" s="3" t="str">
        <f>IFERROR(__xludf.DUMMYFUNCTION("""COMPUTED_VALUE"""),"2/1ม.1 ต.วังกระแจะ อ.ไทรโยค จ.กาญจนบุรี")</f>
        <v>2/1ม.1 ต.วังกระแจะ อ.ไทรโยค จ.กาญจนบุรี</v>
      </c>
      <c r="Y2726" s="3"/>
      <c r="Z2726" s="3">
        <f>IFERROR(__xludf.DUMMYFUNCTION("""COMPUTED_VALUE"""),0.0)</f>
        <v>0</v>
      </c>
      <c r="AA2726" s="3">
        <f>IFERROR(__xludf.DUMMYFUNCTION("""COMPUTED_VALUE"""),0.0)</f>
        <v>0</v>
      </c>
      <c r="AB2726" s="3" t="str">
        <f>IFERROR(__xludf.DUMMYFUNCTION("""COMPUTED_VALUE"""),"กาญจนบุรี")</f>
        <v>กาญจนบุรี</v>
      </c>
      <c r="AC2726" s="3">
        <f>IFERROR(__xludf.DUMMYFUNCTION("""COMPUTED_VALUE"""),0.0)</f>
        <v>0</v>
      </c>
      <c r="AD2726" s="3"/>
      <c r="AE2726" s="3"/>
      <c r="AF2726" s="3" t="str">
        <f>IFERROR(__xludf.DUMMYFUNCTION("""COMPUTED_VALUE"""),"ร้านโดนใจ จินตนา พาณิชย์-83534")</f>
        <v>ร้านโดนใจ จินตนา พาณิชย์-83534</v>
      </c>
      <c r="AG2726" s="3" t="str">
        <f>IFERROR(__xludf.DUMMYFUNCTION("""COMPUTED_VALUE"""),"ตะวันตก")</f>
        <v>ตะวันตก</v>
      </c>
      <c r="AH2726" s="3" t="str">
        <f>IFERROR(__xludf.DUMMYFUNCTION("""COMPUTED_VALUE"""),"#N/A")</f>
        <v>#N/A</v>
      </c>
      <c r="AI2726" s="3" t="str">
        <f>IFERROR(__xludf.DUMMYFUNCTION("""COMPUTED_VALUE"""),"Out of warranty")</f>
        <v>Out of warranty</v>
      </c>
      <c r="AJ2726" s="3">
        <f>IFERROR(__xludf.DUMMYFUNCTION("""COMPUTED_VALUE"""),46.0)</f>
        <v>46</v>
      </c>
      <c r="AK2726" s="3"/>
      <c r="AL2726" s="3"/>
    </row>
    <row r="2727" ht="15.75" customHeight="1">
      <c r="A2727" s="1" t="str">
        <f>IFERROR(__xludf.DUMMYFUNCTION("""COMPUTED_VALUE"""),"83535")</f>
        <v>83535</v>
      </c>
      <c r="B2727" s="2">
        <f>IFERROR(__xludf.DUMMYFUNCTION("""COMPUTED_VALUE"""),83535.0)</f>
        <v>83535</v>
      </c>
      <c r="C2727" s="3" t="str">
        <f>IFERROR(__xludf.DUMMYFUNCTION("""COMPUTED_VALUE"""),"ร้านยวงทอง มินิมาร์ท")</f>
        <v>ร้านยวงทอง มินิมาร์ท</v>
      </c>
      <c r="D2727" s="3" t="str">
        <f>IFERROR(__xludf.DUMMYFUNCTION("""COMPUTED_VALUE"""),"ร้านยวงทอง มินิมาร์ท")</f>
        <v>ร้านยวงทอง มินิมาร์ท</v>
      </c>
      <c r="E2727" s="1" t="str">
        <f>IFERROR(__xludf.DUMMYFUNCTION("""COMPUTED_VALUE"""),"Donjai")</f>
        <v>Donjai</v>
      </c>
      <c r="F2727" s="1" t="str">
        <f>IFERROR(__xludf.DUMMYFUNCTION("""COMPUTED_VALUE"""),"20470331")</f>
        <v>20470331</v>
      </c>
      <c r="G2727" s="1" t="str">
        <f>IFERROR(__xludf.DUMMYFUNCTION("""COMPUTED_VALUE"""),"นายสมชาย ลักษณะสุวรรณ")</f>
        <v>นายสมชาย ลักษณะสุวรรณ</v>
      </c>
      <c r="H2727" s="1" t="str">
        <f>IFERROR(__xludf.DUMMYFUNCTION("""COMPUTED_VALUE"""),"20470331")</f>
        <v>20470331</v>
      </c>
      <c r="I2727" s="1" t="str">
        <f>IFERROR(__xludf.DUMMYFUNCTION("""COMPUTED_VALUE"""),"นายสมชาย ลักษณะสุวรรณ")</f>
        <v>นายสมชาย ลักษณะสุวรรณ</v>
      </c>
      <c r="J2727" s="3">
        <f>IFERROR(__xludf.DUMMYFUNCTION("""COMPUTED_VALUE"""),295541.0)</f>
        <v>295541</v>
      </c>
      <c r="K2727" s="3" t="str">
        <f>IFERROR(__xludf.DUMMYFUNCTION("""COMPUTED_VALUE"""),"นายรพิพล ศรีมาตย์")</f>
        <v>นายรพิพล ศรีมาตย์</v>
      </c>
      <c r="L2727" s="1" t="str">
        <f>IFERROR(__xludf.DUMMYFUNCTION("""COMPUTED_VALUE"""),"นายรพิพล ศรีมาตย์")</f>
        <v>นายรพิพล ศรีมาตย์</v>
      </c>
      <c r="M2727" s="1" t="str">
        <f>IFERROR(__xludf.DUMMYFUNCTION("""COMPUTED_VALUE"""),"0613966115")</f>
        <v>0613966115</v>
      </c>
      <c r="N2727" s="3">
        <f>IFERROR(__xludf.DUMMYFUNCTION("""COMPUTED_VALUE"""),83535.0)</f>
        <v>83535</v>
      </c>
      <c r="O2727" s="3" t="str">
        <f>IFERROR(__xludf.DUMMYFUNCTION("""COMPUTED_VALUE"""),"ร้านยวงทอง มินิมาร์ท")</f>
        <v>ร้านยวงทอง มินิมาร์ท</v>
      </c>
      <c r="P2727" s="4">
        <f>IFERROR(__xludf.DUMMYFUNCTION("""COMPUTED_VALUE"""),44620.0)</f>
        <v>44620</v>
      </c>
      <c r="Q2727" s="3" t="str">
        <f>IFERROR(__xludf.DUMMYFUNCTION("""COMPUTED_VALUE"""),"I")</f>
        <v>I</v>
      </c>
      <c r="R2727" s="3" t="str">
        <f>IFERROR(__xludf.DUMMYFUNCTION("""COMPUTED_VALUE"""),"Small Format")</f>
        <v>Small Format</v>
      </c>
      <c r="S2727" s="3" t="str">
        <f>IFERROR(__xludf.DUMMYFUNCTION("""COMPUTED_VALUE"""),"Donjai")</f>
        <v>Donjai</v>
      </c>
      <c r="T2727" s="3" t="str">
        <f>IFERROR(__xludf.DUMMYFUNCTION("""COMPUTED_VALUE"""),"15 K.Somchai L")</f>
        <v>15 K.Somchai L</v>
      </c>
      <c r="U2727" s="3" t="str">
        <f>IFERROR(__xludf.DUMMYFUNCTION("""COMPUTED_VALUE"""),"15 K.Somchai L")</f>
        <v>15 K.Somchai L</v>
      </c>
      <c r="V2727" s="3" t="str">
        <f>IFERROR(__xludf.DUMMYFUNCTION("""COMPUTED_VALUE"""),"N")</f>
        <v>N</v>
      </c>
      <c r="W2727" s="3"/>
      <c r="X2727" s="3" t="str">
        <f>IFERROR(__xludf.DUMMYFUNCTION("""COMPUTED_VALUE"""),"ต.สทิงหมอ้ อ.สิงหนคร จ.สงขลา")</f>
        <v>ต.สทิงหมอ้ อ.สิงหนคร จ.สงขลา</v>
      </c>
      <c r="Y2727" s="3"/>
      <c r="Z2727" s="3">
        <f>IFERROR(__xludf.DUMMYFUNCTION("""COMPUTED_VALUE"""),0.0)</f>
        <v>0</v>
      </c>
      <c r="AA2727" s="3">
        <f>IFERROR(__xludf.DUMMYFUNCTION("""COMPUTED_VALUE"""),0.0)</f>
        <v>0</v>
      </c>
      <c r="AB2727" s="3" t="str">
        <f>IFERROR(__xludf.DUMMYFUNCTION("""COMPUTED_VALUE"""),"สงขลา")</f>
        <v>สงขลา</v>
      </c>
      <c r="AC2727" s="3">
        <f>IFERROR(__xludf.DUMMYFUNCTION("""COMPUTED_VALUE"""),0.0)</f>
        <v>0</v>
      </c>
      <c r="AD2727" s="3"/>
      <c r="AE2727" s="3"/>
      <c r="AF2727" s="3" t="str">
        <f>IFERROR(__xludf.DUMMYFUNCTION("""COMPUTED_VALUE"""),"ร้านยวงทอง มินิมาร์ท-83535")</f>
        <v>ร้านยวงทอง มินิมาร์ท-83535</v>
      </c>
      <c r="AG2727" s="3" t="str">
        <f>IFERROR(__xludf.DUMMYFUNCTION("""COMPUTED_VALUE"""),"ใต้")</f>
        <v>ใต้</v>
      </c>
      <c r="AH2727" s="3" t="str">
        <f>IFERROR(__xludf.DUMMYFUNCTION("""COMPUTED_VALUE"""),"#N/A")</f>
        <v>#N/A</v>
      </c>
      <c r="AI2727" s="3" t="str">
        <f>IFERROR(__xludf.DUMMYFUNCTION("""COMPUTED_VALUE"""),"Out of warranty")</f>
        <v>Out of warranty</v>
      </c>
      <c r="AJ2727" s="3">
        <f>IFERROR(__xludf.DUMMYFUNCTION("""COMPUTED_VALUE"""),47.0)</f>
        <v>47</v>
      </c>
      <c r="AK2727" s="3"/>
      <c r="AL2727" s="3"/>
    </row>
    <row r="2728" ht="15.75" customHeight="1">
      <c r="A2728" s="1" t="str">
        <f>IFERROR(__xludf.DUMMYFUNCTION("""COMPUTED_VALUE"""),"83538")</f>
        <v>83538</v>
      </c>
      <c r="B2728" s="2">
        <f>IFERROR(__xludf.DUMMYFUNCTION("""COMPUTED_VALUE"""),83538.0)</f>
        <v>83538</v>
      </c>
      <c r="C2728" s="3" t="str">
        <f>IFERROR(__xludf.DUMMYFUNCTION("""COMPUTED_VALUE"""),"กำไร")</f>
        <v>กำไร</v>
      </c>
      <c r="D2728" s="3" t="str">
        <f>IFERROR(__xludf.DUMMYFUNCTION("""COMPUTED_VALUE"""),"กำไร")</f>
        <v>กำไร</v>
      </c>
      <c r="E2728" s="1" t="str">
        <f>IFERROR(__xludf.DUMMYFUNCTION("""COMPUTED_VALUE"""),"Donjai")</f>
        <v>Donjai</v>
      </c>
      <c r="F2728" s="1" t="str">
        <f>IFERROR(__xludf.DUMMYFUNCTION("""COMPUTED_VALUE"""),"03510104")</f>
        <v>03510104</v>
      </c>
      <c r="G2728" s="1" t="str">
        <f>IFERROR(__xludf.DUMMYFUNCTION("""COMPUTED_VALUE"""),"นายวิโรจน์ อับดุลสมัด")</f>
        <v>นายวิโรจน์ อับดุลสมัด</v>
      </c>
      <c r="H2728" s="1" t="str">
        <f>IFERROR(__xludf.DUMMYFUNCTION("""COMPUTED_VALUE"""),"03510104")</f>
        <v>03510104</v>
      </c>
      <c r="I2728" s="1" t="str">
        <f>IFERROR(__xludf.DUMMYFUNCTION("""COMPUTED_VALUE"""),"นายวิโรจน์ อับดุลสมัด")</f>
        <v>นายวิโรจน์ อับดุลสมัด</v>
      </c>
      <c r="J2728" s="3">
        <f>IFERROR(__xludf.DUMMYFUNCTION("""COMPUTED_VALUE"""),228031.0)</f>
        <v>228031</v>
      </c>
      <c r="K2728" s="3" t="str">
        <f>IFERROR(__xludf.DUMMYFUNCTION("""COMPUTED_VALUE"""),"นายธนพงษ์ วันหมัด")</f>
        <v>นายธนพงษ์ วันหมัด</v>
      </c>
      <c r="L2728" s="1" t="str">
        <f>IFERROR(__xludf.DUMMYFUNCTION("""COMPUTED_VALUE"""),"นายธนพงษ์ วันหมัด")</f>
        <v>นายธนพงษ์ วันหมัด</v>
      </c>
      <c r="M2728" s="1" t="str">
        <f>IFERROR(__xludf.DUMMYFUNCTION("""COMPUTED_VALUE"""),"0813716913")</f>
        <v>0813716913</v>
      </c>
      <c r="N2728" s="3">
        <f>IFERROR(__xludf.DUMMYFUNCTION("""COMPUTED_VALUE"""),83538.0)</f>
        <v>83538</v>
      </c>
      <c r="O2728" s="3" t="str">
        <f>IFERROR(__xludf.DUMMYFUNCTION("""COMPUTED_VALUE"""),"กำไร")</f>
        <v>กำไร</v>
      </c>
      <c r="P2728" s="4">
        <f>IFERROR(__xludf.DUMMYFUNCTION("""COMPUTED_VALUE"""),44608.0)</f>
        <v>44608</v>
      </c>
      <c r="Q2728" s="3" t="str">
        <f>IFERROR(__xludf.DUMMYFUNCTION("""COMPUTED_VALUE"""),"A")</f>
        <v>A</v>
      </c>
      <c r="R2728" s="3" t="str">
        <f>IFERROR(__xludf.DUMMYFUNCTION("""COMPUTED_VALUE"""),"Small Format")</f>
        <v>Small Format</v>
      </c>
      <c r="S2728" s="3" t="str">
        <f>IFERROR(__xludf.DUMMYFUNCTION("""COMPUTED_VALUE"""),"Donjai")</f>
        <v>Donjai</v>
      </c>
      <c r="T2728" s="3" t="str">
        <f>IFERROR(__xludf.DUMMYFUNCTION("""COMPUTED_VALUE"""),"09 K.Wirode A")</f>
        <v>09 K.Wirode A</v>
      </c>
      <c r="U2728" s="3" t="str">
        <f>IFERROR(__xludf.DUMMYFUNCTION("""COMPUTED_VALUE"""),"09 K.Wirode A")</f>
        <v>09 K.Wirode A</v>
      </c>
      <c r="V2728" s="3" t="str">
        <f>IFERROR(__xludf.DUMMYFUNCTION("""COMPUTED_VALUE"""),"N")</f>
        <v>N</v>
      </c>
      <c r="W2728" s="3"/>
      <c r="X2728" s="3" t="str">
        <f>IFERROR(__xludf.DUMMYFUNCTION("""COMPUTED_VALUE"""),"6 ซอยนาคนิวาส 53 ถนนลาดพร้าว71 แขวงลาดพร้าว เขตลาดพร้าว กรุงเทพ 10230")</f>
        <v>6 ซอยนาคนิวาส 53 ถนนลาดพร้าว71 แขวงลาดพร้าว เขตลาดพร้าว กรุงเทพ 10230</v>
      </c>
      <c r="Y2728" s="3"/>
      <c r="Z2728" s="3">
        <f>IFERROR(__xludf.DUMMYFUNCTION("""COMPUTED_VALUE"""),0.0)</f>
        <v>0</v>
      </c>
      <c r="AA2728" s="3">
        <f>IFERROR(__xludf.DUMMYFUNCTION("""COMPUTED_VALUE"""),0.0)</f>
        <v>0</v>
      </c>
      <c r="AB2728" s="3" t="str">
        <f>IFERROR(__xludf.DUMMYFUNCTION("""COMPUTED_VALUE"""),"กรุงเทพมหานคร")</f>
        <v>กรุงเทพมหานคร</v>
      </c>
      <c r="AC2728" s="3">
        <f>IFERROR(__xludf.DUMMYFUNCTION("""COMPUTED_VALUE"""),10230.0)</f>
        <v>10230</v>
      </c>
      <c r="AD2728" s="3"/>
      <c r="AE2728" s="3"/>
      <c r="AF2728" s="3" t="str">
        <f>IFERROR(__xludf.DUMMYFUNCTION("""COMPUTED_VALUE"""),"กำไร-83538")</f>
        <v>กำไร-83538</v>
      </c>
      <c r="AG2728" s="3" t="str">
        <f>IFERROR(__xludf.DUMMYFUNCTION("""COMPUTED_VALUE"""),"กลาง")</f>
        <v>กลาง</v>
      </c>
      <c r="AH2728" s="3" t="str">
        <f>IFERROR(__xludf.DUMMYFUNCTION("""COMPUTED_VALUE"""),"#N/A")</f>
        <v>#N/A</v>
      </c>
      <c r="AI2728" s="3" t="str">
        <f>IFERROR(__xludf.DUMMYFUNCTION("""COMPUTED_VALUE"""),"Out of warranty")</f>
        <v>Out of warranty</v>
      </c>
      <c r="AJ2728" s="3">
        <f>IFERROR(__xludf.DUMMYFUNCTION("""COMPUTED_VALUE"""),48.0)</f>
        <v>48</v>
      </c>
      <c r="AK2728" s="3"/>
      <c r="AL2728" s="3"/>
    </row>
    <row r="2729" ht="15.75" customHeight="1">
      <c r="A2729" s="1" t="str">
        <f>IFERROR(__xludf.DUMMYFUNCTION("""COMPUTED_VALUE"""),"83539")</f>
        <v>83539</v>
      </c>
      <c r="B2729" s="2">
        <f>IFERROR(__xludf.DUMMYFUNCTION("""COMPUTED_VALUE"""),83539.0)</f>
        <v>83539</v>
      </c>
      <c r="C2729" s="3" t="str">
        <f>IFERROR(__xludf.DUMMYFUNCTION("""COMPUTED_VALUE"""),"ร้านร้านณัฐพร มินิมาร์ท เชียงใหม่ (ณัฐพร มินิมาร์ท)")</f>
        <v>ร้านร้านณัฐพร มินิมาร์ท เชียงใหม่ (ณัฐพร มินิมาร์ท)</v>
      </c>
      <c r="D2729" s="3" t="str">
        <f>IFERROR(__xludf.DUMMYFUNCTION("""COMPUTED_VALUE"""),"ร้านร้านณัฐพร มินิมาร์ท เชียงใหม่ (ณัฐพร มินิมาร์ท)")</f>
        <v>ร้านร้านณัฐพร มินิมาร์ท เชียงใหม่ (ณัฐพร มินิมาร์ท)</v>
      </c>
      <c r="E2729" s="1" t="str">
        <f>IFERROR(__xludf.DUMMYFUNCTION("""COMPUTED_VALUE"""),"Donjai")</f>
        <v>Donjai</v>
      </c>
      <c r="F2729" s="1" t="str">
        <f>IFERROR(__xludf.DUMMYFUNCTION("""COMPUTED_VALUE"""),"2010016")</f>
        <v>2010016</v>
      </c>
      <c r="G2729" s="1" t="str">
        <f>IFERROR(__xludf.DUMMYFUNCTION("""COMPUTED_VALUE"""),"นายตวงธรรม ใหม่ยศ")</f>
        <v>นายตวงธรรม ใหม่ยศ</v>
      </c>
      <c r="H2729" s="1" t="str">
        <f>IFERROR(__xludf.DUMMYFUNCTION("""COMPUTED_VALUE"""),"2010016")</f>
        <v>2010016</v>
      </c>
      <c r="I2729" s="1" t="str">
        <f>IFERROR(__xludf.DUMMYFUNCTION("""COMPUTED_VALUE"""),"นายตวงธรรม ใหม่ยศ")</f>
        <v>นายตวงธรรม ใหม่ยศ</v>
      </c>
      <c r="J2729" s="3">
        <f>IFERROR(__xludf.DUMMYFUNCTION("""COMPUTED_VALUE"""),295886.0)</f>
        <v>295886</v>
      </c>
      <c r="K2729" s="3" t="str">
        <f>IFERROR(__xludf.DUMMYFUNCTION("""COMPUTED_VALUE"""),"นายจิระพงษ์ โพธิ์นิล")</f>
        <v>นายจิระพงษ์ โพธิ์นิล</v>
      </c>
      <c r="L2729" s="1" t="str">
        <f>IFERROR(__xludf.DUMMYFUNCTION("""COMPUTED_VALUE"""),"นายจิระพงษ์ โพธิ์นิล")</f>
        <v>นายจิระพงษ์ โพธิ์นิล</v>
      </c>
      <c r="M2729" s="1" t="str">
        <f>IFERROR(__xludf.DUMMYFUNCTION("""COMPUTED_VALUE"""),"0933290754")</f>
        <v>0933290754</v>
      </c>
      <c r="N2729" s="3">
        <f>IFERROR(__xludf.DUMMYFUNCTION("""COMPUTED_VALUE"""),83539.0)</f>
        <v>83539</v>
      </c>
      <c r="O2729" s="3" t="str">
        <f>IFERROR(__xludf.DUMMYFUNCTION("""COMPUTED_VALUE"""),"ร้านร้านณัฐพร มินิมาร์ท เชียงใหม่ (ณัฐพร มินิมาร์ท)")</f>
        <v>ร้านร้านณัฐพร มินิมาร์ท เชียงใหม่ (ณัฐพร มินิมาร์ท)</v>
      </c>
      <c r="P2729" s="4">
        <f>IFERROR(__xludf.DUMMYFUNCTION("""COMPUTED_VALUE"""),44621.0)</f>
        <v>44621</v>
      </c>
      <c r="Q2729" s="3" t="str">
        <f>IFERROR(__xludf.DUMMYFUNCTION("""COMPUTED_VALUE"""),"A")</f>
        <v>A</v>
      </c>
      <c r="R2729" s="3" t="str">
        <f>IFERROR(__xludf.DUMMYFUNCTION("""COMPUTED_VALUE"""),"Small Format")</f>
        <v>Small Format</v>
      </c>
      <c r="S2729" s="3" t="str">
        <f>IFERROR(__xludf.DUMMYFUNCTION("""COMPUTED_VALUE"""),"Donjai")</f>
        <v>Donjai</v>
      </c>
      <c r="T2729" s="3" t="str">
        <f>IFERROR(__xludf.DUMMYFUNCTION("""COMPUTED_VALUE"""),"01 K.Tuangtham M.")</f>
        <v>01 K.Tuangtham M.</v>
      </c>
      <c r="U2729" s="3" t="str">
        <f>IFERROR(__xludf.DUMMYFUNCTION("""COMPUTED_VALUE"""),"01 K.Tuangtham M.")</f>
        <v>01 K.Tuangtham M.</v>
      </c>
      <c r="V2729" s="3" t="str">
        <f>IFERROR(__xludf.DUMMYFUNCTION("""COMPUTED_VALUE"""),"N")</f>
        <v>N</v>
      </c>
      <c r="W2729" s="3"/>
      <c r="X2729" s="3" t="str">
        <f>IFERROR(__xludf.DUMMYFUNCTION("""COMPUTED_VALUE"""),"105/2 หมู่ที่4 ต.แม่งอน อ.ฝาง จ.เชียงใหม่")</f>
        <v>105/2 หมู่ที่4 ต.แม่งอน อ.ฝาง จ.เชียงใหม่</v>
      </c>
      <c r="Y2729" s="3"/>
      <c r="Z2729" s="3" t="str">
        <f>IFERROR(__xludf.DUMMYFUNCTION("""COMPUTED_VALUE"""),"แม่งอน")</f>
        <v>แม่งอน</v>
      </c>
      <c r="AA2729" s="3" t="str">
        <f>IFERROR(__xludf.DUMMYFUNCTION("""COMPUTED_VALUE"""),"ฝาง")</f>
        <v>ฝาง</v>
      </c>
      <c r="AB2729" s="3" t="str">
        <f>IFERROR(__xludf.DUMMYFUNCTION("""COMPUTED_VALUE"""),"เชียงใหม่")</f>
        <v>เชียงใหม่</v>
      </c>
      <c r="AC2729" s="3">
        <f>IFERROR(__xludf.DUMMYFUNCTION("""COMPUTED_VALUE"""),0.0)</f>
        <v>0</v>
      </c>
      <c r="AD2729" s="3"/>
      <c r="AE2729" s="3"/>
      <c r="AF2729" s="3" t="str">
        <f>IFERROR(__xludf.DUMMYFUNCTION("""COMPUTED_VALUE"""),"ร้านร้านณัฐพร มินิมาร์ท เชียงใหม่ (ณัฐพร มินิมาร์ท)-83539")</f>
        <v>ร้านร้านณัฐพร มินิมาร์ท เชียงใหม่ (ณัฐพร มินิมาร์ท)-83539</v>
      </c>
      <c r="AG2729" s="3" t="str">
        <f>IFERROR(__xludf.DUMMYFUNCTION("""COMPUTED_VALUE"""),"เหนือ")</f>
        <v>เหนือ</v>
      </c>
      <c r="AH2729" s="3" t="str">
        <f>IFERROR(__xludf.DUMMYFUNCTION("""COMPUTED_VALUE"""),"#N/A")</f>
        <v>#N/A</v>
      </c>
      <c r="AI2729" s="3" t="str">
        <f>IFERROR(__xludf.DUMMYFUNCTION("""COMPUTED_VALUE"""),"Out of warranty")</f>
        <v>Out of warranty</v>
      </c>
      <c r="AJ2729" s="3">
        <f>IFERROR(__xludf.DUMMYFUNCTION("""COMPUTED_VALUE"""),47.0)</f>
        <v>47</v>
      </c>
      <c r="AK2729" s="3"/>
      <c r="AL2729" s="3"/>
    </row>
    <row r="2730" ht="15.75" customHeight="1">
      <c r="A2730" s="1" t="str">
        <f>IFERROR(__xludf.DUMMYFUNCTION("""COMPUTED_VALUE"""),"83541")</f>
        <v>83541</v>
      </c>
      <c r="B2730" s="2">
        <f>IFERROR(__xludf.DUMMYFUNCTION("""COMPUTED_VALUE"""),83541.0)</f>
        <v>83541</v>
      </c>
      <c r="C2730" s="3" t="str">
        <f>IFERROR(__xludf.DUMMYFUNCTION("""COMPUTED_VALUE"""),"ร้านรจนา มินิมาร์ท(รจนา)")</f>
        <v>ร้านรจนา มินิมาร์ท(รจนา)</v>
      </c>
      <c r="D2730" s="3" t="str">
        <f>IFERROR(__xludf.DUMMYFUNCTION("""COMPUTED_VALUE"""),"ร้านรจนา มินิมาร์ท(รจนา)")</f>
        <v>ร้านรจนา มินิมาร์ท(รจนา)</v>
      </c>
      <c r="E2730" s="1" t="str">
        <f>IFERROR(__xludf.DUMMYFUNCTION("""COMPUTED_VALUE"""),"Donjai")</f>
        <v>Donjai</v>
      </c>
      <c r="F2730" s="1" t="str">
        <f>IFERROR(__xludf.DUMMYFUNCTION("""COMPUTED_VALUE"""),"2454781")</f>
        <v>2454781</v>
      </c>
      <c r="G2730" s="1" t="str">
        <f>IFERROR(__xludf.DUMMYFUNCTION("""COMPUTED_VALUE"""),"นายฌานกฤช นันทะโคต")</f>
        <v>นายฌานกฤช นันทะโคต</v>
      </c>
      <c r="H2730" s="1" t="str">
        <f>IFERROR(__xludf.DUMMYFUNCTION("""COMPUTED_VALUE"""),"2454781")</f>
        <v>2454781</v>
      </c>
      <c r="I2730" s="1" t="str">
        <f>IFERROR(__xludf.DUMMYFUNCTION("""COMPUTED_VALUE"""),"นายฌานกฤช นันทะโคต")</f>
        <v>นายฌานกฤช นันทะโคต</v>
      </c>
      <c r="J2730" s="3">
        <f>IFERROR(__xludf.DUMMYFUNCTION("""COMPUTED_VALUE"""),295886.0)</f>
        <v>295886</v>
      </c>
      <c r="K2730" s="3" t="str">
        <f>IFERROR(__xludf.DUMMYFUNCTION("""COMPUTED_VALUE"""),"นายจิระพงษ์ โพธิ์นิล")</f>
        <v>นายจิระพงษ์ โพธิ์นิล</v>
      </c>
      <c r="L2730" s="1" t="str">
        <f>IFERROR(__xludf.DUMMYFUNCTION("""COMPUTED_VALUE"""),"นายจิระพงษ์ โพธิ์นิล")</f>
        <v>นายจิระพงษ์ โพธิ์นิล</v>
      </c>
      <c r="M2730" s="1" t="str">
        <f>IFERROR(__xludf.DUMMYFUNCTION("""COMPUTED_VALUE"""),"0933290754")</f>
        <v>0933290754</v>
      </c>
      <c r="N2730" s="3">
        <f>IFERROR(__xludf.DUMMYFUNCTION("""COMPUTED_VALUE"""),83541.0)</f>
        <v>83541</v>
      </c>
      <c r="O2730" s="3" t="str">
        <f>IFERROR(__xludf.DUMMYFUNCTION("""COMPUTED_VALUE"""),"ร้านรจนา มินิมาร์ท(รจนา)")</f>
        <v>ร้านรจนา มินิมาร์ท(รจนา)</v>
      </c>
      <c r="P2730" s="4">
        <f>IFERROR(__xludf.DUMMYFUNCTION("""COMPUTED_VALUE"""),44630.0)</f>
        <v>44630</v>
      </c>
      <c r="Q2730" s="3" t="str">
        <f>IFERROR(__xludf.DUMMYFUNCTION("""COMPUTED_VALUE"""),"A")</f>
        <v>A</v>
      </c>
      <c r="R2730" s="3" t="str">
        <f>IFERROR(__xludf.DUMMYFUNCTION("""COMPUTED_VALUE"""),"Small Format")</f>
        <v>Small Format</v>
      </c>
      <c r="S2730" s="3" t="str">
        <f>IFERROR(__xludf.DUMMYFUNCTION("""COMPUTED_VALUE"""),"Donjai")</f>
        <v>Donjai</v>
      </c>
      <c r="T2730" s="3" t="str">
        <f>IFERROR(__xludf.DUMMYFUNCTION("""COMPUTED_VALUE"""),"05 K.Chanakrit N.")</f>
        <v>05 K.Chanakrit N.</v>
      </c>
      <c r="U2730" s="3" t="str">
        <f>IFERROR(__xludf.DUMMYFUNCTION("""COMPUTED_VALUE"""),"05 K.Chanakrit N.")</f>
        <v>05 K.Chanakrit N.</v>
      </c>
      <c r="V2730" s="3" t="str">
        <f>IFERROR(__xludf.DUMMYFUNCTION("""COMPUTED_VALUE"""),"N")</f>
        <v>N</v>
      </c>
      <c r="W2730" s="3"/>
      <c r="X2730" s="3" t="str">
        <f>IFERROR(__xludf.DUMMYFUNCTION("""COMPUTED_VALUE"""),"34/2 หมู่2 ต.คำเขื่อนแก้ว อ.สิรินธร จ.อุบลราชธานี 35350")</f>
        <v>34/2 หมู่2 ต.คำเขื่อนแก้ว อ.สิรินธร จ.อุบลราชธานี 35350</v>
      </c>
      <c r="Y2730" s="3"/>
      <c r="Z2730" s="3">
        <f>IFERROR(__xludf.DUMMYFUNCTION("""COMPUTED_VALUE"""),0.0)</f>
        <v>0</v>
      </c>
      <c r="AA2730" s="3">
        <f>IFERROR(__xludf.DUMMYFUNCTION("""COMPUTED_VALUE"""),0.0)</f>
        <v>0</v>
      </c>
      <c r="AB2730" s="3" t="str">
        <f>IFERROR(__xludf.DUMMYFUNCTION("""COMPUTED_VALUE"""),"อุบลราชธานี")</f>
        <v>อุบลราชธานี</v>
      </c>
      <c r="AC2730" s="3">
        <f>IFERROR(__xludf.DUMMYFUNCTION("""COMPUTED_VALUE"""),35350.0)</f>
        <v>35350</v>
      </c>
      <c r="AD2730" s="3"/>
      <c r="AE2730" s="3"/>
      <c r="AF2730" s="3" t="str">
        <f>IFERROR(__xludf.DUMMYFUNCTION("""COMPUTED_VALUE"""),"ร้านรจนา มินิมาร์ท(รจนา)-83541")</f>
        <v>ร้านรจนา มินิมาร์ท(รจนา)-83541</v>
      </c>
      <c r="AG2730" s="3" t="str">
        <f>IFERROR(__xludf.DUMMYFUNCTION("""COMPUTED_VALUE"""),"ตะวันออกเฉียงเหนือ")</f>
        <v>ตะวันออกเฉียงเหนือ</v>
      </c>
      <c r="AH2730" s="3" t="str">
        <f>IFERROR(__xludf.DUMMYFUNCTION("""COMPUTED_VALUE"""),"#N/A")</f>
        <v>#N/A</v>
      </c>
      <c r="AI2730" s="3" t="str">
        <f>IFERROR(__xludf.DUMMYFUNCTION("""COMPUTED_VALUE"""),"Out of warranty")</f>
        <v>Out of warranty</v>
      </c>
      <c r="AJ2730" s="3">
        <f>IFERROR(__xludf.DUMMYFUNCTION("""COMPUTED_VALUE"""),47.0)</f>
        <v>47</v>
      </c>
      <c r="AK2730" s="3"/>
      <c r="AL2730" s="3"/>
    </row>
    <row r="2731" ht="15.75" customHeight="1">
      <c r="A2731" s="1" t="str">
        <f>IFERROR(__xludf.DUMMYFUNCTION("""COMPUTED_VALUE"""),"83542")</f>
        <v>83542</v>
      </c>
      <c r="B2731" s="2">
        <f>IFERROR(__xludf.DUMMYFUNCTION("""COMPUTED_VALUE"""),83542.0)</f>
        <v>83542</v>
      </c>
      <c r="C2731" s="3" t="str">
        <f>IFERROR(__xludf.DUMMYFUNCTION("""COMPUTED_VALUE"""),"ร้านโดนใจโภคนิษฐ์ มินิมาร์ท")</f>
        <v>ร้านโดนใจโภคนิษฐ์ มินิมาร์ท</v>
      </c>
      <c r="D2731" s="3" t="str">
        <f>IFERROR(__xludf.DUMMYFUNCTION("""COMPUTED_VALUE"""),"ร้านโดนใจโภคนิษฐ์ มินิมาร์ท")</f>
        <v>ร้านโดนใจโภคนิษฐ์ มินิมาร์ท</v>
      </c>
      <c r="E2731" s="1" t="str">
        <f>IFERROR(__xludf.DUMMYFUNCTION("""COMPUTED_VALUE"""),"Donjai")</f>
        <v>Donjai</v>
      </c>
      <c r="F2731" s="1" t="str">
        <f>IFERROR(__xludf.DUMMYFUNCTION("""COMPUTED_VALUE"""),"20470331")</f>
        <v>20470331</v>
      </c>
      <c r="G2731" s="1" t="str">
        <f>IFERROR(__xludf.DUMMYFUNCTION("""COMPUTED_VALUE"""),"นายสมชาย ลักษณะสุวรรณ")</f>
        <v>นายสมชาย ลักษณะสุวรรณ</v>
      </c>
      <c r="H2731" s="1" t="str">
        <f>IFERROR(__xludf.DUMMYFUNCTION("""COMPUTED_VALUE"""),"20470331")</f>
        <v>20470331</v>
      </c>
      <c r="I2731" s="1" t="str">
        <f>IFERROR(__xludf.DUMMYFUNCTION("""COMPUTED_VALUE"""),"นายสมชาย ลักษณะสุวรรณ")</f>
        <v>นายสมชาย ลักษณะสุวรรณ</v>
      </c>
      <c r="J2731" s="3">
        <f>IFERROR(__xludf.DUMMYFUNCTION("""COMPUTED_VALUE"""),295541.0)</f>
        <v>295541</v>
      </c>
      <c r="K2731" s="3" t="str">
        <f>IFERROR(__xludf.DUMMYFUNCTION("""COMPUTED_VALUE"""),"นายรพิพล ศรีมาตย์")</f>
        <v>นายรพิพล ศรีมาตย์</v>
      </c>
      <c r="L2731" s="1" t="str">
        <f>IFERROR(__xludf.DUMMYFUNCTION("""COMPUTED_VALUE"""),"นายรพิพล ศรีมาตย์")</f>
        <v>นายรพิพล ศรีมาตย์</v>
      </c>
      <c r="M2731" s="1" t="str">
        <f>IFERROR(__xludf.DUMMYFUNCTION("""COMPUTED_VALUE"""),"0613966115")</f>
        <v>0613966115</v>
      </c>
      <c r="N2731" s="3">
        <f>IFERROR(__xludf.DUMMYFUNCTION("""COMPUTED_VALUE"""),83542.0)</f>
        <v>83542</v>
      </c>
      <c r="O2731" s="3" t="str">
        <f>IFERROR(__xludf.DUMMYFUNCTION("""COMPUTED_VALUE"""),"ร้านโดนใจโภคนิษฐ์ มินิมาร์ท")</f>
        <v>ร้านโดนใจโภคนิษฐ์ มินิมาร์ท</v>
      </c>
      <c r="P2731" s="4">
        <f>IFERROR(__xludf.DUMMYFUNCTION("""COMPUTED_VALUE"""),44606.0)</f>
        <v>44606</v>
      </c>
      <c r="Q2731" s="3" t="str">
        <f>IFERROR(__xludf.DUMMYFUNCTION("""COMPUTED_VALUE"""),"I")</f>
        <v>I</v>
      </c>
      <c r="R2731" s="3" t="str">
        <f>IFERROR(__xludf.DUMMYFUNCTION("""COMPUTED_VALUE"""),"Small Format")</f>
        <v>Small Format</v>
      </c>
      <c r="S2731" s="3" t="str">
        <f>IFERROR(__xludf.DUMMYFUNCTION("""COMPUTED_VALUE"""),"Donjai")</f>
        <v>Donjai</v>
      </c>
      <c r="T2731" s="3" t="str">
        <f>IFERROR(__xludf.DUMMYFUNCTION("""COMPUTED_VALUE"""),"15 K.Somchai L")</f>
        <v>15 K.Somchai L</v>
      </c>
      <c r="U2731" s="3" t="str">
        <f>IFERROR(__xludf.DUMMYFUNCTION("""COMPUTED_VALUE"""),"15 K.Somchai L")</f>
        <v>15 K.Somchai L</v>
      </c>
      <c r="V2731" s="3" t="str">
        <f>IFERROR(__xludf.DUMMYFUNCTION("""COMPUTED_VALUE"""),"N")</f>
        <v>N</v>
      </c>
      <c r="W2731" s="3"/>
      <c r="X2731" s="3" t="str">
        <f>IFERROR(__xludf.DUMMYFUNCTION("""COMPUTED_VALUE"""),"421​หมู่​ที่​11​ ตำบลบ้านลำนาว​ อ.บางขัน​ ภูเก็ต")</f>
        <v>421​หมู่​ที่​11​ ตำบลบ้านลำนาว​ อ.บางขัน​ ภูเก็ต</v>
      </c>
      <c r="Y2731" s="3"/>
      <c r="Z2731" s="3">
        <f>IFERROR(__xludf.DUMMYFUNCTION("""COMPUTED_VALUE"""),0.0)</f>
        <v>0</v>
      </c>
      <c r="AA2731" s="3">
        <f>IFERROR(__xludf.DUMMYFUNCTION("""COMPUTED_VALUE"""),0.0)</f>
        <v>0</v>
      </c>
      <c r="AB2731" s="3" t="str">
        <f>IFERROR(__xludf.DUMMYFUNCTION("""COMPUTED_VALUE"""),"ภูเก็ต")</f>
        <v>ภูเก็ต</v>
      </c>
      <c r="AC2731" s="3">
        <f>IFERROR(__xludf.DUMMYFUNCTION("""COMPUTED_VALUE"""),0.0)</f>
        <v>0</v>
      </c>
      <c r="AD2731" s="3"/>
      <c r="AE2731" s="3"/>
      <c r="AF2731" s="3" t="str">
        <f>IFERROR(__xludf.DUMMYFUNCTION("""COMPUTED_VALUE"""),"ร้านโดนใจโภคนิษฐ์ มินิมาร์ท-83542")</f>
        <v>ร้านโดนใจโภคนิษฐ์ มินิมาร์ท-83542</v>
      </c>
      <c r="AG2731" s="3" t="str">
        <f>IFERROR(__xludf.DUMMYFUNCTION("""COMPUTED_VALUE"""),"ใต้")</f>
        <v>ใต้</v>
      </c>
      <c r="AH2731" s="3" t="str">
        <f>IFERROR(__xludf.DUMMYFUNCTION("""COMPUTED_VALUE"""),"#N/A")</f>
        <v>#N/A</v>
      </c>
      <c r="AI2731" s="3" t="str">
        <f>IFERROR(__xludf.DUMMYFUNCTION("""COMPUTED_VALUE"""),"Out of warranty")</f>
        <v>Out of warranty</v>
      </c>
      <c r="AJ2731" s="3">
        <f>IFERROR(__xludf.DUMMYFUNCTION("""COMPUTED_VALUE"""),48.0)</f>
        <v>48</v>
      </c>
      <c r="AK2731" s="3"/>
      <c r="AL2731" s="3"/>
    </row>
    <row r="2732" ht="15.75" customHeight="1">
      <c r="A2732" s="1" t="str">
        <f>IFERROR(__xludf.DUMMYFUNCTION("""COMPUTED_VALUE"""),"83543")</f>
        <v>83543</v>
      </c>
      <c r="B2732" s="2">
        <f>IFERROR(__xludf.DUMMYFUNCTION("""COMPUTED_VALUE"""),83543.0)</f>
        <v>83543</v>
      </c>
      <c r="C2732" s="3" t="str">
        <f>IFERROR(__xludf.DUMMYFUNCTION("""COMPUTED_VALUE"""),"ร้านฟ้าฝน (ฟ้าใส)")</f>
        <v>ร้านฟ้าฝน (ฟ้าใส)</v>
      </c>
      <c r="D2732" s="3" t="str">
        <f>IFERROR(__xludf.DUMMYFUNCTION("""COMPUTED_VALUE"""),"ร้านฟ้าฝน (ฟ้าใส)")</f>
        <v>ร้านฟ้าฝน (ฟ้าใส)</v>
      </c>
      <c r="E2732" s="1" t="str">
        <f>IFERROR(__xludf.DUMMYFUNCTION("""COMPUTED_VALUE"""),"Donjai")</f>
        <v>Donjai</v>
      </c>
      <c r="F2732" s="1" t="str">
        <f>IFERROR(__xludf.DUMMYFUNCTION("""COMPUTED_VALUE"""),"2010016")</f>
        <v>2010016</v>
      </c>
      <c r="G2732" s="1" t="str">
        <f>IFERROR(__xludf.DUMMYFUNCTION("""COMPUTED_VALUE"""),"นายตวงธรรม ใหม่ยศ")</f>
        <v>นายตวงธรรม ใหม่ยศ</v>
      </c>
      <c r="H2732" s="1" t="str">
        <f>IFERROR(__xludf.DUMMYFUNCTION("""COMPUTED_VALUE"""),"2010016")</f>
        <v>2010016</v>
      </c>
      <c r="I2732" s="1" t="str">
        <f>IFERROR(__xludf.DUMMYFUNCTION("""COMPUTED_VALUE"""),"นายตวงธรรม ใหม่ยศ")</f>
        <v>นายตวงธรรม ใหม่ยศ</v>
      </c>
      <c r="J2732" s="3">
        <f>IFERROR(__xludf.DUMMYFUNCTION("""COMPUTED_VALUE"""),295886.0)</f>
        <v>295886</v>
      </c>
      <c r="K2732" s="3" t="str">
        <f>IFERROR(__xludf.DUMMYFUNCTION("""COMPUTED_VALUE"""),"นายจิระพงษ์ โพธิ์นิล")</f>
        <v>นายจิระพงษ์ โพธิ์นิล</v>
      </c>
      <c r="L2732" s="1" t="str">
        <f>IFERROR(__xludf.DUMMYFUNCTION("""COMPUTED_VALUE"""),"นายจิระพงษ์ โพธิ์นิล")</f>
        <v>นายจิระพงษ์ โพธิ์นิล</v>
      </c>
      <c r="M2732" s="1" t="str">
        <f>IFERROR(__xludf.DUMMYFUNCTION("""COMPUTED_VALUE"""),"0933290754")</f>
        <v>0933290754</v>
      </c>
      <c r="N2732" s="3">
        <f>IFERROR(__xludf.DUMMYFUNCTION("""COMPUTED_VALUE"""),83543.0)</f>
        <v>83543</v>
      </c>
      <c r="O2732" s="3" t="str">
        <f>IFERROR(__xludf.DUMMYFUNCTION("""COMPUTED_VALUE"""),"ร้านฟ้าฝน (ฟ้าใส)")</f>
        <v>ร้านฟ้าฝน (ฟ้าใส)</v>
      </c>
      <c r="P2732" s="4">
        <f>IFERROR(__xludf.DUMMYFUNCTION("""COMPUTED_VALUE"""),44624.0)</f>
        <v>44624</v>
      </c>
      <c r="Q2732" s="3" t="str">
        <f>IFERROR(__xludf.DUMMYFUNCTION("""COMPUTED_VALUE"""),"A")</f>
        <v>A</v>
      </c>
      <c r="R2732" s="3" t="str">
        <f>IFERROR(__xludf.DUMMYFUNCTION("""COMPUTED_VALUE"""),"Small Format")</f>
        <v>Small Format</v>
      </c>
      <c r="S2732" s="3" t="str">
        <f>IFERROR(__xludf.DUMMYFUNCTION("""COMPUTED_VALUE"""),"Donjai")</f>
        <v>Donjai</v>
      </c>
      <c r="T2732" s="3" t="str">
        <f>IFERROR(__xludf.DUMMYFUNCTION("""COMPUTED_VALUE"""),"01 K.Tuangtham M.")</f>
        <v>01 K.Tuangtham M.</v>
      </c>
      <c r="U2732" s="3" t="str">
        <f>IFERROR(__xludf.DUMMYFUNCTION("""COMPUTED_VALUE"""),"01 K.Tuangtham M.")</f>
        <v>01 K.Tuangtham M.</v>
      </c>
      <c r="V2732" s="3" t="str">
        <f>IFERROR(__xludf.DUMMYFUNCTION("""COMPUTED_VALUE"""),"N")</f>
        <v>N</v>
      </c>
      <c r="W2732" s="3"/>
      <c r="X2732" s="3" t="str">
        <f>IFERROR(__xludf.DUMMYFUNCTION("""COMPUTED_VALUE"""),"18 ต.ป่าป้อง อ ดอยสะเก็ด จังหวัด.เชียงใหม่")</f>
        <v>18 ต.ป่าป้อง อ ดอยสะเก็ด จังหวัด.เชียงใหม่</v>
      </c>
      <c r="Y2732" s="3"/>
      <c r="Z2732" s="3" t="str">
        <f>IFERROR(__xludf.DUMMYFUNCTION("""COMPUTED_VALUE"""),"ป่าป้อง")</f>
        <v>ป่าป้อง</v>
      </c>
      <c r="AA2732" s="3" t="str">
        <f>IFERROR(__xludf.DUMMYFUNCTION("""COMPUTED_VALUE"""),"ดอยสะเก็ด")</f>
        <v>ดอยสะเก็ด</v>
      </c>
      <c r="AB2732" s="3" t="str">
        <f>IFERROR(__xludf.DUMMYFUNCTION("""COMPUTED_VALUE"""),"เชียงใหม่")</f>
        <v>เชียงใหม่</v>
      </c>
      <c r="AC2732" s="3">
        <f>IFERROR(__xludf.DUMMYFUNCTION("""COMPUTED_VALUE"""),0.0)</f>
        <v>0</v>
      </c>
      <c r="AD2732" s="3"/>
      <c r="AE2732" s="3"/>
      <c r="AF2732" s="3" t="str">
        <f>IFERROR(__xludf.DUMMYFUNCTION("""COMPUTED_VALUE"""),"ร้านฟ้าฝน (ฟ้าใส)-83543")</f>
        <v>ร้านฟ้าฝน (ฟ้าใส)-83543</v>
      </c>
      <c r="AG2732" s="3" t="str">
        <f>IFERROR(__xludf.DUMMYFUNCTION("""COMPUTED_VALUE"""),"เหนือ")</f>
        <v>เหนือ</v>
      </c>
      <c r="AH2732" s="3" t="str">
        <f>IFERROR(__xludf.DUMMYFUNCTION("""COMPUTED_VALUE"""),"#N/A")</f>
        <v>#N/A</v>
      </c>
      <c r="AI2732" s="3" t="str">
        <f>IFERROR(__xludf.DUMMYFUNCTION("""COMPUTED_VALUE"""),"Out of warranty")</f>
        <v>Out of warranty</v>
      </c>
      <c r="AJ2732" s="3">
        <f>IFERROR(__xludf.DUMMYFUNCTION("""COMPUTED_VALUE"""),47.0)</f>
        <v>47</v>
      </c>
      <c r="AK2732" s="3"/>
      <c r="AL2732" s="3"/>
    </row>
    <row r="2733" ht="15.75" customHeight="1">
      <c r="A2733" s="1" t="str">
        <f>IFERROR(__xludf.DUMMYFUNCTION("""COMPUTED_VALUE"""),"83544")</f>
        <v>83544</v>
      </c>
      <c r="B2733" s="2">
        <f>IFERROR(__xludf.DUMMYFUNCTION("""COMPUTED_VALUE"""),83544.0)</f>
        <v>83544</v>
      </c>
      <c r="C2733" s="3" t="str">
        <f>IFERROR(__xludf.DUMMYFUNCTION("""COMPUTED_VALUE"""),"ร้านซุปเปอร์แพนด้า (พนมไพรเภสัช)")</f>
        <v>ร้านซุปเปอร์แพนด้า (พนมไพรเภสัช)</v>
      </c>
      <c r="D2733" s="3" t="str">
        <f>IFERROR(__xludf.DUMMYFUNCTION("""COMPUTED_VALUE"""),"ร้านซุปเปอร์แพนด้า (พนมไพรเภสัช)")</f>
        <v>ร้านซุปเปอร์แพนด้า (พนมไพรเภสัช)</v>
      </c>
      <c r="E2733" s="1" t="str">
        <f>IFERROR(__xludf.DUMMYFUNCTION("""COMPUTED_VALUE"""),"Donjai")</f>
        <v>Donjai</v>
      </c>
      <c r="F2733" s="1" t="str">
        <f>IFERROR(__xludf.DUMMYFUNCTION("""COMPUTED_VALUE"""),"015361")</f>
        <v>015361</v>
      </c>
      <c r="G2733" s="1" t="str">
        <f>IFERROR(__xludf.DUMMYFUNCTION("""COMPUTED_VALUE"""),"นายสมบูรณ์ พรหมในเมือง")</f>
        <v>นายสมบูรณ์ พรหมในเมือง</v>
      </c>
      <c r="H2733" s="1" t="str">
        <f>IFERROR(__xludf.DUMMYFUNCTION("""COMPUTED_VALUE"""),"015361")</f>
        <v>015361</v>
      </c>
      <c r="I2733" s="1" t="str">
        <f>IFERROR(__xludf.DUMMYFUNCTION("""COMPUTED_VALUE"""),"นายสมบูรณ์ พรหมในเมือง")</f>
        <v>นายสมบูรณ์ พรหมในเมือง</v>
      </c>
      <c r="J2733" s="3">
        <f>IFERROR(__xludf.DUMMYFUNCTION("""COMPUTED_VALUE"""),295886.0)</f>
        <v>295886</v>
      </c>
      <c r="K2733" s="3" t="str">
        <f>IFERROR(__xludf.DUMMYFUNCTION("""COMPUTED_VALUE"""),"นายจิระพงษ์ โพธิ์นิล")</f>
        <v>นายจิระพงษ์ โพธิ์นิล</v>
      </c>
      <c r="L2733" s="1" t="str">
        <f>IFERROR(__xludf.DUMMYFUNCTION("""COMPUTED_VALUE"""),"นายจิระพงษ์ โพธิ์นิล")</f>
        <v>นายจิระพงษ์ โพธิ์นิล</v>
      </c>
      <c r="M2733" s="1" t="str">
        <f>IFERROR(__xludf.DUMMYFUNCTION("""COMPUTED_VALUE"""),"0933290754")</f>
        <v>0933290754</v>
      </c>
      <c r="N2733" s="3">
        <f>IFERROR(__xludf.DUMMYFUNCTION("""COMPUTED_VALUE"""),83544.0)</f>
        <v>83544</v>
      </c>
      <c r="O2733" s="3" t="str">
        <f>IFERROR(__xludf.DUMMYFUNCTION("""COMPUTED_VALUE"""),"ร้านซุปเปอร์แพนด้า (พนมไพรเภสัช)")</f>
        <v>ร้านซุปเปอร์แพนด้า (พนมไพรเภสัช)</v>
      </c>
      <c r="P2733" s="4">
        <f>IFERROR(__xludf.DUMMYFUNCTION("""COMPUTED_VALUE"""),44775.0)</f>
        <v>44775</v>
      </c>
      <c r="Q2733" s="3" t="str">
        <f>IFERROR(__xludf.DUMMYFUNCTION("""COMPUTED_VALUE"""),"A")</f>
        <v>A</v>
      </c>
      <c r="R2733" s="3" t="str">
        <f>IFERROR(__xludf.DUMMYFUNCTION("""COMPUTED_VALUE"""),"Small Format")</f>
        <v>Small Format</v>
      </c>
      <c r="S2733" s="3" t="str">
        <f>IFERROR(__xludf.DUMMYFUNCTION("""COMPUTED_VALUE"""),"Donjai")</f>
        <v>Donjai</v>
      </c>
      <c r="T2733" s="3" t="str">
        <f>IFERROR(__xludf.DUMMYFUNCTION("""COMPUTED_VALUE"""),"04 K.Somboon P.")</f>
        <v>04 K.Somboon P.</v>
      </c>
      <c r="U2733" s="3" t="str">
        <f>IFERROR(__xludf.DUMMYFUNCTION("""COMPUTED_VALUE"""),"04 K.Somboon P.")</f>
        <v>04 K.Somboon P.</v>
      </c>
      <c r="V2733" s="3" t="str">
        <f>IFERROR(__xludf.DUMMYFUNCTION("""COMPUTED_VALUE"""),"N")</f>
        <v>N</v>
      </c>
      <c r="W2733" s="3"/>
      <c r="X2733" s="3" t="str">
        <f>IFERROR(__xludf.DUMMYFUNCTION("""COMPUTED_VALUE"""),"93 หมู่ที่ 3 ตำบล สระแก้ว อำเภอ พนมไพร จังหวัด ร้อยเอ็ด 45140")</f>
        <v>93 หมู่ที่ 3 ตำบล สระแก้ว อำเภอ พนมไพร จังหวัด ร้อยเอ็ด 45140</v>
      </c>
      <c r="Y2733" s="3"/>
      <c r="Z2733" s="3">
        <f>IFERROR(__xludf.DUMMYFUNCTION("""COMPUTED_VALUE"""),0.0)</f>
        <v>0</v>
      </c>
      <c r="AA2733" s="3">
        <f>IFERROR(__xludf.DUMMYFUNCTION("""COMPUTED_VALUE"""),0.0)</f>
        <v>0</v>
      </c>
      <c r="AB2733" s="3" t="str">
        <f>IFERROR(__xludf.DUMMYFUNCTION("""COMPUTED_VALUE"""),"ร้อยเอ็ด")</f>
        <v>ร้อยเอ็ด</v>
      </c>
      <c r="AC2733" s="3">
        <f>IFERROR(__xludf.DUMMYFUNCTION("""COMPUTED_VALUE"""),45140.0)</f>
        <v>45140</v>
      </c>
      <c r="AD2733" s="3"/>
      <c r="AE2733" s="3"/>
      <c r="AF2733" s="3" t="str">
        <f>IFERROR(__xludf.DUMMYFUNCTION("""COMPUTED_VALUE"""),"ร้านซุปเปอร์แพนด้า (พนมไพรเภสัช)-83544")</f>
        <v>ร้านซุปเปอร์แพนด้า (พนมไพรเภสัช)-83544</v>
      </c>
      <c r="AG2733" s="3" t="str">
        <f>IFERROR(__xludf.DUMMYFUNCTION("""COMPUTED_VALUE"""),"ตะวันออกเฉียงเหนือ")</f>
        <v>ตะวันออกเฉียงเหนือ</v>
      </c>
      <c r="AH2733" s="3" t="str">
        <f>IFERROR(__xludf.DUMMYFUNCTION("""COMPUTED_VALUE"""),"#N/A")</f>
        <v>#N/A</v>
      </c>
      <c r="AI2733" s="3" t="str">
        <f>IFERROR(__xludf.DUMMYFUNCTION("""COMPUTED_VALUE"""),"Out of warranty")</f>
        <v>Out of warranty</v>
      </c>
      <c r="AJ2733" s="3">
        <f>IFERROR(__xludf.DUMMYFUNCTION("""COMPUTED_VALUE"""),42.0)</f>
        <v>42</v>
      </c>
      <c r="AK2733" s="3"/>
      <c r="AL2733" s="3"/>
    </row>
    <row r="2734" ht="15.75" customHeight="1">
      <c r="A2734" s="1" t="str">
        <f>IFERROR(__xludf.DUMMYFUNCTION("""COMPUTED_VALUE"""),"83545")</f>
        <v>83545</v>
      </c>
      <c r="B2734" s="2">
        <f>IFERROR(__xludf.DUMMYFUNCTION("""COMPUTED_VALUE"""),83545.0)</f>
        <v>83545</v>
      </c>
      <c r="C2734" s="3" t="str">
        <f>IFERROR(__xludf.DUMMYFUNCTION("""COMPUTED_VALUE"""),"ร้านThong Nai Pan Mini Mart(ท้องนายปานมินิมาร์ท)")</f>
        <v>ร้านThong Nai Pan Mini Mart(ท้องนายปานมินิมาร์ท)</v>
      </c>
      <c r="D2734" s="3" t="str">
        <f>IFERROR(__xludf.DUMMYFUNCTION("""COMPUTED_VALUE"""),"ร้านThong Nai Pan Mini Mart(ท้องนายปานมินิมาร์ท)")</f>
        <v>ร้านThong Nai Pan Mini Mart(ท้องนายปานมินิมาร์ท)</v>
      </c>
      <c r="E2734" s="1" t="str">
        <f>IFERROR(__xludf.DUMMYFUNCTION("""COMPUTED_VALUE"""),"Donjai")</f>
        <v>Donjai</v>
      </c>
      <c r="F2734" s="1" t="str">
        <f>IFERROR(__xludf.DUMMYFUNCTION("""COMPUTED_VALUE"""),"025324")</f>
        <v>025324</v>
      </c>
      <c r="G2734" s="1" t="str">
        <f>IFERROR(__xludf.DUMMYFUNCTION("""COMPUTED_VALUE"""),"นายวิเชฎฐ์ ติรัตนะประคม")</f>
        <v>นายวิเชฎฐ์ ติรัตนะประคม</v>
      </c>
      <c r="H2734" s="1" t="str">
        <f>IFERROR(__xludf.DUMMYFUNCTION("""COMPUTED_VALUE"""),"025324")</f>
        <v>025324</v>
      </c>
      <c r="I2734" s="1" t="str">
        <f>IFERROR(__xludf.DUMMYFUNCTION("""COMPUTED_VALUE"""),"นายวิเชฎฐ์ ติรัตนะประคม")</f>
        <v>นายวิเชฎฐ์ ติรัตนะประคม</v>
      </c>
      <c r="J2734" s="3">
        <f>IFERROR(__xludf.DUMMYFUNCTION("""COMPUTED_VALUE"""),295541.0)</f>
        <v>295541</v>
      </c>
      <c r="K2734" s="3" t="str">
        <f>IFERROR(__xludf.DUMMYFUNCTION("""COMPUTED_VALUE"""),"นายรพิพล ศรีมาตย์")</f>
        <v>นายรพิพล ศรีมาตย์</v>
      </c>
      <c r="L2734" s="1" t="str">
        <f>IFERROR(__xludf.DUMMYFUNCTION("""COMPUTED_VALUE"""),"นายรพิพล ศรีมาตย์")</f>
        <v>นายรพิพล ศรีมาตย์</v>
      </c>
      <c r="M2734" s="1" t="str">
        <f>IFERROR(__xludf.DUMMYFUNCTION("""COMPUTED_VALUE"""),"0613966115")</f>
        <v>0613966115</v>
      </c>
      <c r="N2734" s="3">
        <f>IFERROR(__xludf.DUMMYFUNCTION("""COMPUTED_VALUE"""),83545.0)</f>
        <v>83545</v>
      </c>
      <c r="O2734" s="3" t="str">
        <f>IFERROR(__xludf.DUMMYFUNCTION("""COMPUTED_VALUE"""),"ร้านThong Nai Pan Mini Mart(ท้องนายปานมินิมาร์ท)")</f>
        <v>ร้านThong Nai Pan Mini Mart(ท้องนายปานมินิมาร์ท)</v>
      </c>
      <c r="P2734" s="4">
        <f>IFERROR(__xludf.DUMMYFUNCTION("""COMPUTED_VALUE"""),44624.0)</f>
        <v>44624</v>
      </c>
      <c r="Q2734" s="3" t="str">
        <f>IFERROR(__xludf.DUMMYFUNCTION("""COMPUTED_VALUE"""),"A")</f>
        <v>A</v>
      </c>
      <c r="R2734" s="3" t="str">
        <f>IFERROR(__xludf.DUMMYFUNCTION("""COMPUTED_VALUE"""),"Small Format")</f>
        <v>Small Format</v>
      </c>
      <c r="S2734" s="3" t="str">
        <f>IFERROR(__xludf.DUMMYFUNCTION("""COMPUTED_VALUE"""),"Donjai")</f>
        <v>Donjai</v>
      </c>
      <c r="T2734" s="3" t="str">
        <f>IFERROR(__xludf.DUMMYFUNCTION("""COMPUTED_VALUE"""),"14 K.Wichet T.")</f>
        <v>14 K.Wichet T.</v>
      </c>
      <c r="U2734" s="3" t="str">
        <f>IFERROR(__xludf.DUMMYFUNCTION("""COMPUTED_VALUE"""),"14 K.Wichet T.")</f>
        <v>14 K.Wichet T.</v>
      </c>
      <c r="V2734" s="3" t="str">
        <f>IFERROR(__xludf.DUMMYFUNCTION("""COMPUTED_VALUE"""),"N")</f>
        <v>N</v>
      </c>
      <c r="W2734" s="3"/>
      <c r="X2734" s="3" t="str">
        <f>IFERROR(__xludf.DUMMYFUNCTION("""COMPUTED_VALUE"""),"11/10 ม.5 ต.บ้านใต้ อ.เกาะพะงัน จ.สุราษฎร์ธานี")</f>
        <v>11/10 ม.5 ต.บ้านใต้ อ.เกาะพะงัน จ.สุราษฎร์ธานี</v>
      </c>
      <c r="Y2734" s="3"/>
      <c r="Z2734" s="3">
        <f>IFERROR(__xludf.DUMMYFUNCTION("""COMPUTED_VALUE"""),0.0)</f>
        <v>0</v>
      </c>
      <c r="AA2734" s="3">
        <f>IFERROR(__xludf.DUMMYFUNCTION("""COMPUTED_VALUE"""),0.0)</f>
        <v>0</v>
      </c>
      <c r="AB2734" s="3" t="str">
        <f>IFERROR(__xludf.DUMMYFUNCTION("""COMPUTED_VALUE"""),"สุราษฎร์ธานี")</f>
        <v>สุราษฎร์ธานี</v>
      </c>
      <c r="AC2734" s="3">
        <f>IFERROR(__xludf.DUMMYFUNCTION("""COMPUTED_VALUE"""),0.0)</f>
        <v>0</v>
      </c>
      <c r="AD2734" s="3"/>
      <c r="AE2734" s="3"/>
      <c r="AF2734" s="3" t="str">
        <f>IFERROR(__xludf.DUMMYFUNCTION("""COMPUTED_VALUE"""),"ร้านThong Nai Pan Mini Mart(ท้องนายปานมินิมาร์ท)-83545")</f>
        <v>ร้านThong Nai Pan Mini Mart(ท้องนายปานมินิมาร์ท)-83545</v>
      </c>
      <c r="AG2734" s="3" t="str">
        <f>IFERROR(__xludf.DUMMYFUNCTION("""COMPUTED_VALUE"""),"ใต้")</f>
        <v>ใต้</v>
      </c>
      <c r="AH2734" s="3" t="str">
        <f>IFERROR(__xludf.DUMMYFUNCTION("""COMPUTED_VALUE"""),"#N/A")</f>
        <v>#N/A</v>
      </c>
      <c r="AI2734" s="3" t="str">
        <f>IFERROR(__xludf.DUMMYFUNCTION("""COMPUTED_VALUE"""),"Out of warranty")</f>
        <v>Out of warranty</v>
      </c>
      <c r="AJ2734" s="3">
        <f>IFERROR(__xludf.DUMMYFUNCTION("""COMPUTED_VALUE"""),47.0)</f>
        <v>47</v>
      </c>
      <c r="AK2734" s="3"/>
      <c r="AL2734" s="3"/>
    </row>
    <row r="2735" ht="15.75" customHeight="1">
      <c r="A2735" s="1" t="str">
        <f>IFERROR(__xludf.DUMMYFUNCTION("""COMPUTED_VALUE"""),"83546")</f>
        <v>83546</v>
      </c>
      <c r="B2735" s="2">
        <f>IFERROR(__xludf.DUMMYFUNCTION("""COMPUTED_VALUE"""),83546.0)</f>
        <v>83546</v>
      </c>
      <c r="C2735" s="3" t="str">
        <f>IFERROR(__xludf.DUMMYFUNCTION("""COMPUTED_VALUE"""),"ร้านป.แก้วพาณิชย์")</f>
        <v>ร้านป.แก้วพาณิชย์</v>
      </c>
      <c r="D2735" s="3" t="str">
        <f>IFERROR(__xludf.DUMMYFUNCTION("""COMPUTED_VALUE"""),"ร้านป.แก้วพาณิชย์")</f>
        <v>ร้านป.แก้วพาณิชย์</v>
      </c>
      <c r="E2735" s="1" t="str">
        <f>IFERROR(__xludf.DUMMYFUNCTION("""COMPUTED_VALUE"""),"Donjai")</f>
        <v>Donjai</v>
      </c>
      <c r="F2735" s="1" t="str">
        <f>IFERROR(__xludf.DUMMYFUNCTION("""COMPUTED_VALUE"""),"296868")</f>
        <v>296868</v>
      </c>
      <c r="G2735" s="1" t="str">
        <f>IFERROR(__xludf.DUMMYFUNCTION("""COMPUTED_VALUE"""),"นายพีระพงษ์ แก้วดวงดี")</f>
        <v>นายพีระพงษ์ แก้วดวงดี</v>
      </c>
      <c r="H2735" s="1" t="str">
        <f>IFERROR(__xludf.DUMMYFUNCTION("""COMPUTED_VALUE"""),"296868")</f>
        <v>296868</v>
      </c>
      <c r="I2735" s="1" t="str">
        <f>IFERROR(__xludf.DUMMYFUNCTION("""COMPUTED_VALUE"""),"นายพีระพงษ์ แก้วดวงดี")</f>
        <v>นายพีระพงษ์ แก้วดวงดี</v>
      </c>
      <c r="J2735" s="3">
        <f>IFERROR(__xludf.DUMMYFUNCTION("""COMPUTED_VALUE"""),295886.0)</f>
        <v>295886</v>
      </c>
      <c r="K2735" s="3" t="str">
        <f>IFERROR(__xludf.DUMMYFUNCTION("""COMPUTED_VALUE"""),"นายจิระพงษ์ โพธิ์นิล")</f>
        <v>นายจิระพงษ์ โพธิ์นิล</v>
      </c>
      <c r="L2735" s="1" t="str">
        <f>IFERROR(__xludf.DUMMYFUNCTION("""COMPUTED_VALUE"""),"นายจิระพงษ์ โพธิ์นิล")</f>
        <v>นายจิระพงษ์ โพธิ์นิล</v>
      </c>
      <c r="M2735" s="1" t="str">
        <f>IFERROR(__xludf.DUMMYFUNCTION("""COMPUTED_VALUE"""),"0933290754")</f>
        <v>0933290754</v>
      </c>
      <c r="N2735" s="3">
        <f>IFERROR(__xludf.DUMMYFUNCTION("""COMPUTED_VALUE"""),83546.0)</f>
        <v>83546</v>
      </c>
      <c r="O2735" s="3" t="str">
        <f>IFERROR(__xludf.DUMMYFUNCTION("""COMPUTED_VALUE"""),"ร้านป.แก้วพาณิชย์")</f>
        <v>ร้านป.แก้วพาณิชย์</v>
      </c>
      <c r="P2735" s="4">
        <f>IFERROR(__xludf.DUMMYFUNCTION("""COMPUTED_VALUE"""),44621.0)</f>
        <v>44621</v>
      </c>
      <c r="Q2735" s="3" t="str">
        <f>IFERROR(__xludf.DUMMYFUNCTION("""COMPUTED_VALUE"""),"I")</f>
        <v>I</v>
      </c>
      <c r="R2735" s="3" t="str">
        <f>IFERROR(__xludf.DUMMYFUNCTION("""COMPUTED_VALUE"""),"Small Format")</f>
        <v>Small Format</v>
      </c>
      <c r="S2735" s="3" t="str">
        <f>IFERROR(__xludf.DUMMYFUNCTION("""COMPUTED_VALUE"""),"Donjai")</f>
        <v>Donjai</v>
      </c>
      <c r="T2735" s="3" t="str">
        <f>IFERROR(__xludf.DUMMYFUNCTION("""COMPUTED_VALUE"""),"03 K.Peerapong K.")</f>
        <v>03 K.Peerapong K.</v>
      </c>
      <c r="U2735" s="3" t="str">
        <f>IFERROR(__xludf.DUMMYFUNCTION("""COMPUTED_VALUE"""),"03 K.Peerapong K.")</f>
        <v>03 K.Peerapong K.</v>
      </c>
      <c r="V2735" s="3" t="str">
        <f>IFERROR(__xludf.DUMMYFUNCTION("""COMPUTED_VALUE"""),"N")</f>
        <v>N</v>
      </c>
      <c r="W2735" s="3"/>
      <c r="X2735" s="3" t="str">
        <f>IFERROR(__xludf.DUMMYFUNCTION("""COMPUTED_VALUE"""),"บ้านเอื้ออาทรบ้านเป็ด ต.บ้านเป็ด อ.เมือง จ.ขอนแก่น")</f>
        <v>บ้านเอื้ออาทรบ้านเป็ด ต.บ้านเป็ด อ.เมือง จ.ขอนแก่น</v>
      </c>
      <c r="Y2735" s="3"/>
      <c r="Z2735" s="3">
        <f>IFERROR(__xludf.DUMMYFUNCTION("""COMPUTED_VALUE"""),0.0)</f>
        <v>0</v>
      </c>
      <c r="AA2735" s="3">
        <f>IFERROR(__xludf.DUMMYFUNCTION("""COMPUTED_VALUE"""),0.0)</f>
        <v>0</v>
      </c>
      <c r="AB2735" s="3" t="str">
        <f>IFERROR(__xludf.DUMMYFUNCTION("""COMPUTED_VALUE"""),"ขอนแก่น")</f>
        <v>ขอนแก่น</v>
      </c>
      <c r="AC2735" s="3">
        <f>IFERROR(__xludf.DUMMYFUNCTION("""COMPUTED_VALUE"""),0.0)</f>
        <v>0</v>
      </c>
      <c r="AD2735" s="3"/>
      <c r="AE2735" s="3"/>
      <c r="AF2735" s="3" t="str">
        <f>IFERROR(__xludf.DUMMYFUNCTION("""COMPUTED_VALUE"""),"ร้านป.แก้วพาณิชย์-83546")</f>
        <v>ร้านป.แก้วพาณิชย์-83546</v>
      </c>
      <c r="AG2735" s="3" t="str">
        <f>IFERROR(__xludf.DUMMYFUNCTION("""COMPUTED_VALUE"""),"ตะวันออกเฉียงเหนือ")</f>
        <v>ตะวันออกเฉียงเหนือ</v>
      </c>
      <c r="AH2735" s="3" t="str">
        <f>IFERROR(__xludf.DUMMYFUNCTION("""COMPUTED_VALUE"""),"#N/A")</f>
        <v>#N/A</v>
      </c>
      <c r="AI2735" s="3" t="str">
        <f>IFERROR(__xludf.DUMMYFUNCTION("""COMPUTED_VALUE"""),"Out of warranty")</f>
        <v>Out of warranty</v>
      </c>
      <c r="AJ2735" s="3">
        <f>IFERROR(__xludf.DUMMYFUNCTION("""COMPUTED_VALUE"""),47.0)</f>
        <v>47</v>
      </c>
      <c r="AK2735" s="3"/>
      <c r="AL2735" s="3"/>
    </row>
    <row r="2736" ht="15.75" customHeight="1">
      <c r="A2736" s="1" t="str">
        <f>IFERROR(__xludf.DUMMYFUNCTION("""COMPUTED_VALUE"""),"83548")</f>
        <v>83548</v>
      </c>
      <c r="B2736" s="2">
        <f>IFERROR(__xludf.DUMMYFUNCTION("""COMPUTED_VALUE"""),83548.0)</f>
        <v>83548</v>
      </c>
      <c r="C2736" s="3" t="str">
        <f>IFERROR(__xludf.DUMMYFUNCTION("""COMPUTED_VALUE"""),"ร้านคุณเดียร์ สะดวกซื้อ (คุณเดียร์ )")</f>
        <v>ร้านคุณเดียร์ สะดวกซื้อ (คุณเดียร์ )</v>
      </c>
      <c r="D2736" s="3" t="str">
        <f>IFERROR(__xludf.DUMMYFUNCTION("""COMPUTED_VALUE"""),"ร้านคุณเดียร์ สะดวกซื้อ (คุณเดียร์ )")</f>
        <v>ร้านคุณเดียร์ สะดวกซื้อ (คุณเดียร์ )</v>
      </c>
      <c r="E2736" s="1" t="str">
        <f>IFERROR(__xludf.DUMMYFUNCTION("""COMPUTED_VALUE"""),"Donjai")</f>
        <v>Donjai</v>
      </c>
      <c r="F2736" s="1" t="str">
        <f>IFERROR(__xludf.DUMMYFUNCTION("""COMPUTED_VALUE"""),"2010023")</f>
        <v>2010023</v>
      </c>
      <c r="G2736" s="1" t="str">
        <f>IFERROR(__xludf.DUMMYFUNCTION("""COMPUTED_VALUE"""),"นายวศิน ไวยรูป")</f>
        <v>นายวศิน ไวยรูป</v>
      </c>
      <c r="H2736" s="1" t="str">
        <f>IFERROR(__xludf.DUMMYFUNCTION("""COMPUTED_VALUE"""),"2010023")</f>
        <v>2010023</v>
      </c>
      <c r="I2736" s="1" t="str">
        <f>IFERROR(__xludf.DUMMYFUNCTION("""COMPUTED_VALUE"""),"นายวศิน ไวยรูป")</f>
        <v>นายวศิน ไวยรูป</v>
      </c>
      <c r="J2736" s="3">
        <f>IFERROR(__xludf.DUMMYFUNCTION("""COMPUTED_VALUE"""),228031.0)</f>
        <v>228031</v>
      </c>
      <c r="K2736" s="3" t="str">
        <f>IFERROR(__xludf.DUMMYFUNCTION("""COMPUTED_VALUE"""),"นายธนพงษ์ วันหมัด")</f>
        <v>นายธนพงษ์ วันหมัด</v>
      </c>
      <c r="L2736" s="1" t="str">
        <f>IFERROR(__xludf.DUMMYFUNCTION("""COMPUTED_VALUE"""),"นายธนพงษ์ วันหมัด")</f>
        <v>นายธนพงษ์ วันหมัด</v>
      </c>
      <c r="M2736" s="1" t="str">
        <f>IFERROR(__xludf.DUMMYFUNCTION("""COMPUTED_VALUE"""),"0813716913")</f>
        <v>0813716913</v>
      </c>
      <c r="N2736" s="3">
        <f>IFERROR(__xludf.DUMMYFUNCTION("""COMPUTED_VALUE"""),83548.0)</f>
        <v>83548</v>
      </c>
      <c r="O2736" s="3" t="str">
        <f>IFERROR(__xludf.DUMMYFUNCTION("""COMPUTED_VALUE"""),"ร้านคุณเดียร์ สะดวกซื้อ (คุณเดียร์ )")</f>
        <v>ร้านคุณเดียร์ สะดวกซื้อ (คุณเดียร์ )</v>
      </c>
      <c r="P2736" s="4">
        <f>IFERROR(__xludf.DUMMYFUNCTION("""COMPUTED_VALUE"""),44635.0)</f>
        <v>44635</v>
      </c>
      <c r="Q2736" s="3" t="str">
        <f>IFERROR(__xludf.DUMMYFUNCTION("""COMPUTED_VALUE"""),"I")</f>
        <v>I</v>
      </c>
      <c r="R2736" s="3" t="str">
        <f>IFERROR(__xludf.DUMMYFUNCTION("""COMPUTED_VALUE"""),"Small Format")</f>
        <v>Small Format</v>
      </c>
      <c r="S2736" s="3" t="str">
        <f>IFERROR(__xludf.DUMMYFUNCTION("""COMPUTED_VALUE"""),"Donjai")</f>
        <v>Donjai</v>
      </c>
      <c r="T2736" s="3" t="str">
        <f>IFERROR(__xludf.DUMMYFUNCTION("""COMPUTED_VALUE"""),"Donjai")</f>
        <v>Donjai</v>
      </c>
      <c r="U2736" s="3" t="str">
        <f>IFERROR(__xludf.DUMMYFUNCTION("""COMPUTED_VALUE"""),"Donjai")</f>
        <v>Donjai</v>
      </c>
      <c r="V2736" s="3" t="str">
        <f>IFERROR(__xludf.DUMMYFUNCTION("""COMPUTED_VALUE"""),"N")</f>
        <v>N</v>
      </c>
      <c r="W2736" s="3"/>
      <c r="X2736" s="3" t="str">
        <f>IFERROR(__xludf.DUMMYFUNCTION("""COMPUTED_VALUE"""),"32 หมู่ 8 แขวงโคกแฝด เขตหนองจอก กรุงเทพ")</f>
        <v>32 หมู่ 8 แขวงโคกแฝด เขตหนองจอก กรุงเทพ</v>
      </c>
      <c r="Y2736" s="3"/>
      <c r="Z2736" s="3">
        <f>IFERROR(__xludf.DUMMYFUNCTION("""COMPUTED_VALUE"""),0.0)</f>
        <v>0</v>
      </c>
      <c r="AA2736" s="3">
        <f>IFERROR(__xludf.DUMMYFUNCTION("""COMPUTED_VALUE"""),0.0)</f>
        <v>0</v>
      </c>
      <c r="AB2736" s="3" t="str">
        <f>IFERROR(__xludf.DUMMYFUNCTION("""COMPUTED_VALUE"""),"กรุงเทพมหานคร")</f>
        <v>กรุงเทพมหานคร</v>
      </c>
      <c r="AC2736" s="3">
        <f>IFERROR(__xludf.DUMMYFUNCTION("""COMPUTED_VALUE"""),0.0)</f>
        <v>0</v>
      </c>
      <c r="AD2736" s="3"/>
      <c r="AE2736" s="3"/>
      <c r="AF2736" s="3" t="str">
        <f>IFERROR(__xludf.DUMMYFUNCTION("""COMPUTED_VALUE"""),"ร้านคุณเดียร์ สะดวกซื้อ (คุณเดียร์ )-83548")</f>
        <v>ร้านคุณเดียร์ สะดวกซื้อ (คุณเดียร์ )-83548</v>
      </c>
      <c r="AG2736" s="3" t="str">
        <f>IFERROR(__xludf.DUMMYFUNCTION("""COMPUTED_VALUE"""),"กลาง")</f>
        <v>กลาง</v>
      </c>
      <c r="AH2736" s="3" t="str">
        <f>IFERROR(__xludf.DUMMYFUNCTION("""COMPUTED_VALUE"""),"#N/A")</f>
        <v>#N/A</v>
      </c>
      <c r="AI2736" s="3" t="str">
        <f>IFERROR(__xludf.DUMMYFUNCTION("""COMPUTED_VALUE"""),"Out of warranty")</f>
        <v>Out of warranty</v>
      </c>
      <c r="AJ2736" s="3">
        <f>IFERROR(__xludf.DUMMYFUNCTION("""COMPUTED_VALUE"""),47.0)</f>
        <v>47</v>
      </c>
      <c r="AK2736" s="3"/>
      <c r="AL2736" s="3"/>
    </row>
    <row r="2737" ht="15.75" customHeight="1">
      <c r="A2737" s="1" t="str">
        <f>IFERROR(__xludf.DUMMYFUNCTION("""COMPUTED_VALUE"""),"83550")</f>
        <v>83550</v>
      </c>
      <c r="B2737" s="2">
        <f>IFERROR(__xludf.DUMMYFUNCTION("""COMPUTED_VALUE"""),83550.0)</f>
        <v>83550</v>
      </c>
      <c r="C2737" s="3" t="str">
        <f>IFERROR(__xludf.DUMMYFUNCTION("""COMPUTED_VALUE"""),"ร้านรวยทรัพย์พาณิชย์ (อัครินทร์)")</f>
        <v>ร้านรวยทรัพย์พาณิชย์ (อัครินทร์)</v>
      </c>
      <c r="D2737" s="3" t="str">
        <f>IFERROR(__xludf.DUMMYFUNCTION("""COMPUTED_VALUE"""),"ร้านรวยทรัพย์พาณิชย์ (อัครินทร์)")</f>
        <v>ร้านรวยทรัพย์พาณิชย์ (อัครินทร์)</v>
      </c>
      <c r="E2737" s="1" t="str">
        <f>IFERROR(__xludf.DUMMYFUNCTION("""COMPUTED_VALUE"""),"Donjai")</f>
        <v>Donjai</v>
      </c>
      <c r="F2737" s="1" t="str">
        <f>IFERROR(__xludf.DUMMYFUNCTION("""COMPUTED_VALUE"""),"2010023")</f>
        <v>2010023</v>
      </c>
      <c r="G2737" s="1" t="str">
        <f>IFERROR(__xludf.DUMMYFUNCTION("""COMPUTED_VALUE"""),"นายวศิน ไวยรูป")</f>
        <v>นายวศิน ไวยรูป</v>
      </c>
      <c r="H2737" s="1" t="str">
        <f>IFERROR(__xludf.DUMMYFUNCTION("""COMPUTED_VALUE"""),"2010023")</f>
        <v>2010023</v>
      </c>
      <c r="I2737" s="1" t="str">
        <f>IFERROR(__xludf.DUMMYFUNCTION("""COMPUTED_VALUE"""),"นายวศิน ไวยรูป")</f>
        <v>นายวศิน ไวยรูป</v>
      </c>
      <c r="J2737" s="3">
        <f>IFERROR(__xludf.DUMMYFUNCTION("""COMPUTED_VALUE"""),228031.0)</f>
        <v>228031</v>
      </c>
      <c r="K2737" s="3" t="str">
        <f>IFERROR(__xludf.DUMMYFUNCTION("""COMPUTED_VALUE"""),"นายธนพงษ์ วันหมัด")</f>
        <v>นายธนพงษ์ วันหมัด</v>
      </c>
      <c r="L2737" s="1" t="str">
        <f>IFERROR(__xludf.DUMMYFUNCTION("""COMPUTED_VALUE"""),"นายธนพงษ์ วันหมัด")</f>
        <v>นายธนพงษ์ วันหมัด</v>
      </c>
      <c r="M2737" s="1" t="str">
        <f>IFERROR(__xludf.DUMMYFUNCTION("""COMPUTED_VALUE"""),"0813716913")</f>
        <v>0813716913</v>
      </c>
      <c r="N2737" s="3">
        <f>IFERROR(__xludf.DUMMYFUNCTION("""COMPUTED_VALUE"""),83550.0)</f>
        <v>83550</v>
      </c>
      <c r="O2737" s="3" t="str">
        <f>IFERROR(__xludf.DUMMYFUNCTION("""COMPUTED_VALUE"""),"ร้านรวยทรัพย์พาณิชย์ (อัครินทร์)")</f>
        <v>ร้านรวยทรัพย์พาณิชย์ (อัครินทร์)</v>
      </c>
      <c r="P2737" s="4">
        <f>IFERROR(__xludf.DUMMYFUNCTION("""COMPUTED_VALUE"""),44738.0)</f>
        <v>44738</v>
      </c>
      <c r="Q2737" s="3" t="str">
        <f>IFERROR(__xludf.DUMMYFUNCTION("""COMPUTED_VALUE"""),"I")</f>
        <v>I</v>
      </c>
      <c r="R2737" s="3" t="str">
        <f>IFERROR(__xludf.DUMMYFUNCTION("""COMPUTED_VALUE"""),"Small Format")</f>
        <v>Small Format</v>
      </c>
      <c r="S2737" s="3" t="str">
        <f>IFERROR(__xludf.DUMMYFUNCTION("""COMPUTED_VALUE"""),"Donjai")</f>
        <v>Donjai</v>
      </c>
      <c r="T2737" s="3" t="str">
        <f>IFERROR(__xludf.DUMMYFUNCTION("""COMPUTED_VALUE"""),"Donjai")</f>
        <v>Donjai</v>
      </c>
      <c r="U2737" s="3" t="str">
        <f>IFERROR(__xludf.DUMMYFUNCTION("""COMPUTED_VALUE"""),"Donjai")</f>
        <v>Donjai</v>
      </c>
      <c r="V2737" s="3" t="str">
        <f>IFERROR(__xludf.DUMMYFUNCTION("""COMPUTED_VALUE"""),"N")</f>
        <v>N</v>
      </c>
      <c r="W2737" s="3"/>
      <c r="X2737" s="3" t="str">
        <f>IFERROR(__xludf.DUMMYFUNCTION("""COMPUTED_VALUE"""),"121 ม.2 ต.บ้านโปร่ง อ.หนองโดน จ.สระบุรี")</f>
        <v>121 ม.2 ต.บ้านโปร่ง อ.หนองโดน จ.สระบุรี</v>
      </c>
      <c r="Y2737" s="3"/>
      <c r="Z2737" s="3">
        <f>IFERROR(__xludf.DUMMYFUNCTION("""COMPUTED_VALUE"""),0.0)</f>
        <v>0</v>
      </c>
      <c r="AA2737" s="3">
        <f>IFERROR(__xludf.DUMMYFUNCTION("""COMPUTED_VALUE"""),0.0)</f>
        <v>0</v>
      </c>
      <c r="AB2737" s="3" t="str">
        <f>IFERROR(__xludf.DUMMYFUNCTION("""COMPUTED_VALUE"""),"สระบุรี")</f>
        <v>สระบุรี</v>
      </c>
      <c r="AC2737" s="3">
        <f>IFERROR(__xludf.DUMMYFUNCTION("""COMPUTED_VALUE"""),0.0)</f>
        <v>0</v>
      </c>
      <c r="AD2737" s="3"/>
      <c r="AE2737" s="3"/>
      <c r="AF2737" s="3" t="str">
        <f>IFERROR(__xludf.DUMMYFUNCTION("""COMPUTED_VALUE"""),"ร้านรวยทรัพย์พาณิชย์ (อัครินทร์)-83550")</f>
        <v>ร้านรวยทรัพย์พาณิชย์ (อัครินทร์)-83550</v>
      </c>
      <c r="AG2737" s="3" t="str">
        <f>IFERROR(__xludf.DUMMYFUNCTION("""COMPUTED_VALUE"""),"กลาง")</f>
        <v>กลาง</v>
      </c>
      <c r="AH2737" s="3" t="str">
        <f>IFERROR(__xludf.DUMMYFUNCTION("""COMPUTED_VALUE"""),"#N/A")</f>
        <v>#N/A</v>
      </c>
      <c r="AI2737" s="3" t="str">
        <f>IFERROR(__xludf.DUMMYFUNCTION("""COMPUTED_VALUE"""),"Out of warranty")</f>
        <v>Out of warranty</v>
      </c>
      <c r="AJ2737" s="3">
        <f>IFERROR(__xludf.DUMMYFUNCTION("""COMPUTED_VALUE"""),43.0)</f>
        <v>43</v>
      </c>
      <c r="AK2737" s="3"/>
      <c r="AL2737" s="3"/>
    </row>
    <row r="2738" ht="15.75" customHeight="1">
      <c r="A2738" s="1" t="str">
        <f>IFERROR(__xludf.DUMMYFUNCTION("""COMPUTED_VALUE"""),"83551")</f>
        <v>83551</v>
      </c>
      <c r="B2738" s="2">
        <f>IFERROR(__xludf.DUMMYFUNCTION("""COMPUTED_VALUE"""),83551.0)</f>
        <v>83551</v>
      </c>
      <c r="C2738" s="3" t="str">
        <f>IFERROR(__xludf.DUMMYFUNCTION("""COMPUTED_VALUE"""),"ร้านน้องบิวตี้")</f>
        <v>ร้านน้องบิวตี้</v>
      </c>
      <c r="D2738" s="3" t="str">
        <f>IFERROR(__xludf.DUMMYFUNCTION("""COMPUTED_VALUE"""),"ร้านน้องบิวตี้")</f>
        <v>ร้านน้องบิวตี้</v>
      </c>
      <c r="E2738" s="1" t="str">
        <f>IFERROR(__xludf.DUMMYFUNCTION("""COMPUTED_VALUE"""),"Donjai")</f>
        <v>Donjai</v>
      </c>
      <c r="F2738" s="1" t="str">
        <f>IFERROR(__xludf.DUMMYFUNCTION("""COMPUTED_VALUE"""),"2010016")</f>
        <v>2010016</v>
      </c>
      <c r="G2738" s="1" t="str">
        <f>IFERROR(__xludf.DUMMYFUNCTION("""COMPUTED_VALUE"""),"นายตวงธรรม ใหม่ยศ")</f>
        <v>นายตวงธรรม ใหม่ยศ</v>
      </c>
      <c r="H2738" s="1" t="str">
        <f>IFERROR(__xludf.DUMMYFUNCTION("""COMPUTED_VALUE"""),"2010016")</f>
        <v>2010016</v>
      </c>
      <c r="I2738" s="1" t="str">
        <f>IFERROR(__xludf.DUMMYFUNCTION("""COMPUTED_VALUE"""),"นายตวงธรรม ใหม่ยศ")</f>
        <v>นายตวงธรรม ใหม่ยศ</v>
      </c>
      <c r="J2738" s="3">
        <f>IFERROR(__xludf.DUMMYFUNCTION("""COMPUTED_VALUE"""),295886.0)</f>
        <v>295886</v>
      </c>
      <c r="K2738" s="3" t="str">
        <f>IFERROR(__xludf.DUMMYFUNCTION("""COMPUTED_VALUE"""),"นายจิระพงษ์ โพธิ์นิล")</f>
        <v>นายจิระพงษ์ โพธิ์นิล</v>
      </c>
      <c r="L2738" s="1" t="str">
        <f>IFERROR(__xludf.DUMMYFUNCTION("""COMPUTED_VALUE"""),"นายจิระพงษ์ โพธิ์นิล")</f>
        <v>นายจิระพงษ์ โพธิ์นิล</v>
      </c>
      <c r="M2738" s="1" t="str">
        <f>IFERROR(__xludf.DUMMYFUNCTION("""COMPUTED_VALUE"""),"0933290754")</f>
        <v>0933290754</v>
      </c>
      <c r="N2738" s="3">
        <f>IFERROR(__xludf.DUMMYFUNCTION("""COMPUTED_VALUE"""),83551.0)</f>
        <v>83551</v>
      </c>
      <c r="O2738" s="3" t="str">
        <f>IFERROR(__xludf.DUMMYFUNCTION("""COMPUTED_VALUE"""),"ร้านน้องบิวตี้")</f>
        <v>ร้านน้องบิวตี้</v>
      </c>
      <c r="P2738" s="4">
        <f>IFERROR(__xludf.DUMMYFUNCTION("""COMPUTED_VALUE"""),44607.0)</f>
        <v>44607</v>
      </c>
      <c r="Q2738" s="3" t="str">
        <f>IFERROR(__xludf.DUMMYFUNCTION("""COMPUTED_VALUE"""),"I")</f>
        <v>I</v>
      </c>
      <c r="R2738" s="3" t="str">
        <f>IFERROR(__xludf.DUMMYFUNCTION("""COMPUTED_VALUE"""),"Small Format")</f>
        <v>Small Format</v>
      </c>
      <c r="S2738" s="3" t="str">
        <f>IFERROR(__xludf.DUMMYFUNCTION("""COMPUTED_VALUE"""),"Donjai")</f>
        <v>Donjai</v>
      </c>
      <c r="T2738" s="3" t="str">
        <f>IFERROR(__xludf.DUMMYFUNCTION("""COMPUTED_VALUE"""),"01 K.Tuangtham M.")</f>
        <v>01 K.Tuangtham M.</v>
      </c>
      <c r="U2738" s="3" t="str">
        <f>IFERROR(__xludf.DUMMYFUNCTION("""COMPUTED_VALUE"""),"01 K.Tuangtham M.")</f>
        <v>01 K.Tuangtham M.</v>
      </c>
      <c r="V2738" s="3" t="str">
        <f>IFERROR(__xludf.DUMMYFUNCTION("""COMPUTED_VALUE"""),"N")</f>
        <v>N</v>
      </c>
      <c r="W2738" s="3"/>
      <c r="X2738" s="3" t="str">
        <f>IFERROR(__xludf.DUMMYFUNCTION("""COMPUTED_VALUE"""),"139 ม.3 ต.ทาปลาดุก อ.แม่ทา จ.ลำพูน")</f>
        <v>139 ม.3 ต.ทาปลาดุก อ.แม่ทา จ.ลำพูน</v>
      </c>
      <c r="Y2738" s="3"/>
      <c r="Z2738" s="3">
        <f>IFERROR(__xludf.DUMMYFUNCTION("""COMPUTED_VALUE"""),0.0)</f>
        <v>0</v>
      </c>
      <c r="AA2738" s="3">
        <f>IFERROR(__xludf.DUMMYFUNCTION("""COMPUTED_VALUE"""),0.0)</f>
        <v>0</v>
      </c>
      <c r="AB2738" s="3" t="str">
        <f>IFERROR(__xludf.DUMMYFUNCTION("""COMPUTED_VALUE"""),"ลำพูน")</f>
        <v>ลำพูน</v>
      </c>
      <c r="AC2738" s="3">
        <f>IFERROR(__xludf.DUMMYFUNCTION("""COMPUTED_VALUE"""),0.0)</f>
        <v>0</v>
      </c>
      <c r="AD2738" s="3"/>
      <c r="AE2738" s="3"/>
      <c r="AF2738" s="3" t="str">
        <f>IFERROR(__xludf.DUMMYFUNCTION("""COMPUTED_VALUE"""),"ร้านน้องบิวตี้-83551")</f>
        <v>ร้านน้องบิวตี้-83551</v>
      </c>
      <c r="AG2738" s="3" t="str">
        <f>IFERROR(__xludf.DUMMYFUNCTION("""COMPUTED_VALUE"""),"เหนือ")</f>
        <v>เหนือ</v>
      </c>
      <c r="AH2738" s="3" t="str">
        <f>IFERROR(__xludf.DUMMYFUNCTION("""COMPUTED_VALUE"""),"#N/A")</f>
        <v>#N/A</v>
      </c>
      <c r="AI2738" s="3" t="str">
        <f>IFERROR(__xludf.DUMMYFUNCTION("""COMPUTED_VALUE"""),"Out of warranty")</f>
        <v>Out of warranty</v>
      </c>
      <c r="AJ2738" s="3">
        <f>IFERROR(__xludf.DUMMYFUNCTION("""COMPUTED_VALUE"""),48.0)</f>
        <v>48</v>
      </c>
      <c r="AK2738" s="3"/>
      <c r="AL2738" s="3"/>
    </row>
    <row r="2739" ht="15.75" customHeight="1">
      <c r="A2739" s="1" t="str">
        <f>IFERROR(__xludf.DUMMYFUNCTION("""COMPUTED_VALUE"""),"83554")</f>
        <v>83554</v>
      </c>
      <c r="B2739" s="2">
        <f>IFERROR(__xludf.DUMMYFUNCTION("""COMPUTED_VALUE"""),83554.0)</f>
        <v>83554</v>
      </c>
      <c r="C2739" s="3" t="str">
        <f>IFERROR(__xludf.DUMMYFUNCTION("""COMPUTED_VALUE"""),"ร้านพ่อแป๋ม")</f>
        <v>ร้านพ่อแป๋ม</v>
      </c>
      <c r="D2739" s="3" t="str">
        <f>IFERROR(__xludf.DUMMYFUNCTION("""COMPUTED_VALUE"""),"ร้านพ่อแป๋ม")</f>
        <v>ร้านพ่อแป๋ม</v>
      </c>
      <c r="E2739" s="1" t="str">
        <f>IFERROR(__xludf.DUMMYFUNCTION("""COMPUTED_VALUE"""),"Donjai")</f>
        <v>Donjai</v>
      </c>
      <c r="F2739" s="1" t="str">
        <f>IFERROR(__xludf.DUMMYFUNCTION("""COMPUTED_VALUE"""),"296868")</f>
        <v>296868</v>
      </c>
      <c r="G2739" s="1" t="str">
        <f>IFERROR(__xludf.DUMMYFUNCTION("""COMPUTED_VALUE"""),"นายพีระพงษ์ แก้วดวงดี")</f>
        <v>นายพีระพงษ์ แก้วดวงดี</v>
      </c>
      <c r="H2739" s="1" t="str">
        <f>IFERROR(__xludf.DUMMYFUNCTION("""COMPUTED_VALUE"""),"296868")</f>
        <v>296868</v>
      </c>
      <c r="I2739" s="1" t="str">
        <f>IFERROR(__xludf.DUMMYFUNCTION("""COMPUTED_VALUE"""),"นายพีระพงษ์ แก้วดวงดี")</f>
        <v>นายพีระพงษ์ แก้วดวงดี</v>
      </c>
      <c r="J2739" s="3">
        <f>IFERROR(__xludf.DUMMYFUNCTION("""COMPUTED_VALUE"""),295886.0)</f>
        <v>295886</v>
      </c>
      <c r="K2739" s="3" t="str">
        <f>IFERROR(__xludf.DUMMYFUNCTION("""COMPUTED_VALUE"""),"นายจิระพงษ์ โพธิ์นิล")</f>
        <v>นายจิระพงษ์ โพธิ์นิล</v>
      </c>
      <c r="L2739" s="1" t="str">
        <f>IFERROR(__xludf.DUMMYFUNCTION("""COMPUTED_VALUE"""),"นายจิระพงษ์ โพธิ์นิล")</f>
        <v>นายจิระพงษ์ โพธิ์นิล</v>
      </c>
      <c r="M2739" s="1" t="str">
        <f>IFERROR(__xludf.DUMMYFUNCTION("""COMPUTED_VALUE"""),"0933290754")</f>
        <v>0933290754</v>
      </c>
      <c r="N2739" s="3">
        <f>IFERROR(__xludf.DUMMYFUNCTION("""COMPUTED_VALUE"""),83554.0)</f>
        <v>83554</v>
      </c>
      <c r="O2739" s="3" t="str">
        <f>IFERROR(__xludf.DUMMYFUNCTION("""COMPUTED_VALUE"""),"ร้านพ่อแป๋ม")</f>
        <v>ร้านพ่อแป๋ม</v>
      </c>
      <c r="P2739" s="4">
        <f>IFERROR(__xludf.DUMMYFUNCTION("""COMPUTED_VALUE"""),44611.0)</f>
        <v>44611</v>
      </c>
      <c r="Q2739" s="3" t="str">
        <f>IFERROR(__xludf.DUMMYFUNCTION("""COMPUTED_VALUE"""),"I")</f>
        <v>I</v>
      </c>
      <c r="R2739" s="3" t="str">
        <f>IFERROR(__xludf.DUMMYFUNCTION("""COMPUTED_VALUE"""),"Small Format")</f>
        <v>Small Format</v>
      </c>
      <c r="S2739" s="3" t="str">
        <f>IFERROR(__xludf.DUMMYFUNCTION("""COMPUTED_VALUE"""),"Donjai")</f>
        <v>Donjai</v>
      </c>
      <c r="T2739" s="3" t="str">
        <f>IFERROR(__xludf.DUMMYFUNCTION("""COMPUTED_VALUE"""),"03 K.Peerapong K.")</f>
        <v>03 K.Peerapong K.</v>
      </c>
      <c r="U2739" s="3" t="str">
        <f>IFERROR(__xludf.DUMMYFUNCTION("""COMPUTED_VALUE"""),"03 K.Peerapong K.")</f>
        <v>03 K.Peerapong K.</v>
      </c>
      <c r="V2739" s="3" t="str">
        <f>IFERROR(__xludf.DUMMYFUNCTION("""COMPUTED_VALUE"""),"N")</f>
        <v>N</v>
      </c>
      <c r="W2739" s="3"/>
      <c r="X2739" s="3" t="str">
        <f>IFERROR(__xludf.DUMMYFUNCTION("""COMPUTED_VALUE"""),"68 หมู่ 2 ต.เอราวัณ อ.เอราวัณ จ.เลย 42220")</f>
        <v>68 หมู่ 2 ต.เอราวัณ อ.เอราวัณ จ.เลย 42220</v>
      </c>
      <c r="Y2739" s="3"/>
      <c r="Z2739" s="3" t="str">
        <f>IFERROR(__xludf.DUMMYFUNCTION("""COMPUTED_VALUE"""),"เอราวัณ")</f>
        <v>เอราวัณ</v>
      </c>
      <c r="AA2739" s="3" t="str">
        <f>IFERROR(__xludf.DUMMYFUNCTION("""COMPUTED_VALUE"""),"เอราวัณ")</f>
        <v>เอราวัณ</v>
      </c>
      <c r="AB2739" s="3" t="str">
        <f>IFERROR(__xludf.DUMMYFUNCTION("""COMPUTED_VALUE"""),"เลย")</f>
        <v>เลย</v>
      </c>
      <c r="AC2739" s="3">
        <f>IFERROR(__xludf.DUMMYFUNCTION("""COMPUTED_VALUE"""),42220.0)</f>
        <v>42220</v>
      </c>
      <c r="AD2739" s="3"/>
      <c r="AE2739" s="3"/>
      <c r="AF2739" s="3" t="str">
        <f>IFERROR(__xludf.DUMMYFUNCTION("""COMPUTED_VALUE"""),"ร้านพ่อแป๋ม-83554")</f>
        <v>ร้านพ่อแป๋ม-83554</v>
      </c>
      <c r="AG2739" s="3" t="str">
        <f>IFERROR(__xludf.DUMMYFUNCTION("""COMPUTED_VALUE"""),"ตะวันออกเฉียงเหนือ")</f>
        <v>ตะวันออกเฉียงเหนือ</v>
      </c>
      <c r="AH2739" s="3" t="str">
        <f>IFERROR(__xludf.DUMMYFUNCTION("""COMPUTED_VALUE"""),"#N/A")</f>
        <v>#N/A</v>
      </c>
      <c r="AI2739" s="3" t="str">
        <f>IFERROR(__xludf.DUMMYFUNCTION("""COMPUTED_VALUE"""),"Out of warranty")</f>
        <v>Out of warranty</v>
      </c>
      <c r="AJ2739" s="3">
        <f>IFERROR(__xludf.DUMMYFUNCTION("""COMPUTED_VALUE"""),48.0)</f>
        <v>48</v>
      </c>
      <c r="AK2739" s="3"/>
      <c r="AL2739" s="3"/>
    </row>
    <row r="2740" ht="15.75" customHeight="1">
      <c r="A2740" s="1" t="str">
        <f>IFERROR(__xludf.DUMMYFUNCTION("""COMPUTED_VALUE"""),"83555")</f>
        <v>83555</v>
      </c>
      <c r="B2740" s="2">
        <f>IFERROR(__xludf.DUMMYFUNCTION("""COMPUTED_VALUE"""),83555.0)</f>
        <v>83555</v>
      </c>
      <c r="C2740" s="3" t="str">
        <f>IFERROR(__xludf.DUMMYFUNCTION("""COMPUTED_VALUE"""),"ร้านโชคช่วย")</f>
        <v>ร้านโชคช่วย</v>
      </c>
      <c r="D2740" s="3" t="str">
        <f>IFERROR(__xludf.DUMMYFUNCTION("""COMPUTED_VALUE"""),"ร้านโชคช่วย")</f>
        <v>ร้านโชคช่วย</v>
      </c>
      <c r="E2740" s="1" t="str">
        <f>IFERROR(__xludf.DUMMYFUNCTION("""COMPUTED_VALUE"""),"Donjai")</f>
        <v>Donjai</v>
      </c>
      <c r="F2740" s="1" t="str">
        <f>IFERROR(__xludf.DUMMYFUNCTION("""COMPUTED_VALUE"""),"296608")</f>
        <v>296608</v>
      </c>
      <c r="G2740" s="1" t="str">
        <f>IFERROR(__xludf.DUMMYFUNCTION("""COMPUTED_VALUE"""),"นายภาคภูมิ เพ็ชรนิล")</f>
        <v>นายภาคภูมิ เพ็ชรนิล</v>
      </c>
      <c r="H2740" s="1" t="str">
        <f>IFERROR(__xludf.DUMMYFUNCTION("""COMPUTED_VALUE"""),"296608")</f>
        <v>296608</v>
      </c>
      <c r="I2740" s="1" t="str">
        <f>IFERROR(__xludf.DUMMYFUNCTION("""COMPUTED_VALUE"""),"นายภาคภูมิ เพ็ชรนิล")</f>
        <v>นายภาคภูมิ เพ็ชรนิล</v>
      </c>
      <c r="J2740" s="3">
        <f>IFERROR(__xludf.DUMMYFUNCTION("""COMPUTED_VALUE"""),228031.0)</f>
        <v>228031</v>
      </c>
      <c r="K2740" s="3" t="str">
        <f>IFERROR(__xludf.DUMMYFUNCTION("""COMPUTED_VALUE"""),"นายธนพงษ์ วันหมัด")</f>
        <v>นายธนพงษ์ วันหมัด</v>
      </c>
      <c r="L2740" s="1" t="str">
        <f>IFERROR(__xludf.DUMMYFUNCTION("""COMPUTED_VALUE"""),"นายธนพงษ์ วันหมัด")</f>
        <v>นายธนพงษ์ วันหมัด</v>
      </c>
      <c r="M2740" s="1" t="str">
        <f>IFERROR(__xludf.DUMMYFUNCTION("""COMPUTED_VALUE"""),"0813716913")</f>
        <v>0813716913</v>
      </c>
      <c r="N2740" s="3">
        <f>IFERROR(__xludf.DUMMYFUNCTION("""COMPUTED_VALUE"""),83555.0)</f>
        <v>83555</v>
      </c>
      <c r="O2740" s="3" t="str">
        <f>IFERROR(__xludf.DUMMYFUNCTION("""COMPUTED_VALUE"""),"ร้านโชคช่วย")</f>
        <v>ร้านโชคช่วย</v>
      </c>
      <c r="P2740" s="4">
        <f>IFERROR(__xludf.DUMMYFUNCTION("""COMPUTED_VALUE"""),44616.0)</f>
        <v>44616</v>
      </c>
      <c r="Q2740" s="3" t="str">
        <f>IFERROR(__xludf.DUMMYFUNCTION("""COMPUTED_VALUE"""),"I")</f>
        <v>I</v>
      </c>
      <c r="R2740" s="3" t="str">
        <f>IFERROR(__xludf.DUMMYFUNCTION("""COMPUTED_VALUE"""),"Small Format")</f>
        <v>Small Format</v>
      </c>
      <c r="S2740" s="3" t="str">
        <f>IFERROR(__xludf.DUMMYFUNCTION("""COMPUTED_VALUE"""),"Donjai")</f>
        <v>Donjai</v>
      </c>
      <c r="T2740" s="3" t="str">
        <f>IFERROR(__xludf.DUMMYFUNCTION("""COMPUTED_VALUE"""),"10 K.Phakphoom P.")</f>
        <v>10 K.Phakphoom P.</v>
      </c>
      <c r="U2740" s="3" t="str">
        <f>IFERROR(__xludf.DUMMYFUNCTION("""COMPUTED_VALUE"""),"10 K.Phakphoom P.")</f>
        <v>10 K.Phakphoom P.</v>
      </c>
      <c r="V2740" s="3" t="str">
        <f>IFERROR(__xludf.DUMMYFUNCTION("""COMPUTED_VALUE"""),"N")</f>
        <v>N</v>
      </c>
      <c r="W2740" s="3"/>
      <c r="X2740" s="3" t="str">
        <f>IFERROR(__xludf.DUMMYFUNCTION("""COMPUTED_VALUE"""),"230/56 หมู่ที่10 ซอยช้อยเพ็ง ต.ในคลองบางปลากด อ.พระสมุทรเจดีย์")</f>
        <v>230/56 หมู่ที่10 ซอยช้อยเพ็ง ต.ในคลองบางปลากด อ.พระสมุทรเจดีย์</v>
      </c>
      <c r="Y2740" s="3"/>
      <c r="Z2740" s="3">
        <f>IFERROR(__xludf.DUMMYFUNCTION("""COMPUTED_VALUE"""),0.0)</f>
        <v>0</v>
      </c>
      <c r="AA2740" s="3">
        <f>IFERROR(__xludf.DUMMYFUNCTION("""COMPUTED_VALUE"""),0.0)</f>
        <v>0</v>
      </c>
      <c r="AB2740" s="3" t="str">
        <f>IFERROR(__xludf.DUMMYFUNCTION("""COMPUTED_VALUE"""),"สมุทรปราการ")</f>
        <v>สมุทรปราการ</v>
      </c>
      <c r="AC2740" s="3">
        <f>IFERROR(__xludf.DUMMYFUNCTION("""COMPUTED_VALUE"""),0.0)</f>
        <v>0</v>
      </c>
      <c r="AD2740" s="3"/>
      <c r="AE2740" s="3"/>
      <c r="AF2740" s="3" t="str">
        <f>IFERROR(__xludf.DUMMYFUNCTION("""COMPUTED_VALUE"""),"ร้านโชคช่วย-83555")</f>
        <v>ร้านโชคช่วย-83555</v>
      </c>
      <c r="AG2740" s="3" t="str">
        <f>IFERROR(__xludf.DUMMYFUNCTION("""COMPUTED_VALUE"""),"กลาง")</f>
        <v>กลาง</v>
      </c>
      <c r="AH2740" s="3" t="str">
        <f>IFERROR(__xludf.DUMMYFUNCTION("""COMPUTED_VALUE"""),"#N/A")</f>
        <v>#N/A</v>
      </c>
      <c r="AI2740" s="3" t="str">
        <f>IFERROR(__xludf.DUMMYFUNCTION("""COMPUTED_VALUE"""),"Out of warranty")</f>
        <v>Out of warranty</v>
      </c>
      <c r="AJ2740" s="3">
        <f>IFERROR(__xludf.DUMMYFUNCTION("""COMPUTED_VALUE"""),47.0)</f>
        <v>47</v>
      </c>
      <c r="AK2740" s="3"/>
      <c r="AL2740" s="3"/>
    </row>
    <row r="2741" ht="15.75" customHeight="1">
      <c r="A2741" s="1" t="str">
        <f>IFERROR(__xludf.DUMMYFUNCTION("""COMPUTED_VALUE"""),"83558")</f>
        <v>83558</v>
      </c>
      <c r="B2741" s="2">
        <f>IFERROR(__xludf.DUMMYFUNCTION("""COMPUTED_VALUE"""),83558.0)</f>
        <v>83558</v>
      </c>
      <c r="C2741" s="3" t="str">
        <f>IFERROR(__xludf.DUMMYFUNCTION("""COMPUTED_VALUE"""),"ร้านวิลาวรรณช๊อป")</f>
        <v>ร้านวิลาวรรณช๊อป</v>
      </c>
      <c r="D2741" s="3" t="str">
        <f>IFERROR(__xludf.DUMMYFUNCTION("""COMPUTED_VALUE"""),"ร้านวิลาวรรณช๊อป")</f>
        <v>ร้านวิลาวรรณช๊อป</v>
      </c>
      <c r="E2741" s="1" t="str">
        <f>IFERROR(__xludf.DUMMYFUNCTION("""COMPUTED_VALUE"""),"Donjai")</f>
        <v>Donjai</v>
      </c>
      <c r="F2741" s="1" t="str">
        <f>IFERROR(__xludf.DUMMYFUNCTION("""COMPUTED_VALUE"""),"00510143")</f>
        <v>00510143</v>
      </c>
      <c r="G2741" s="1" t="str">
        <f>IFERROR(__xludf.DUMMYFUNCTION("""COMPUTED_VALUE"""),"นายธีระวัฒน์ บุญสิทธิ์")</f>
        <v>นายธีระวัฒน์ บุญสิทธิ์</v>
      </c>
      <c r="H2741" s="1" t="str">
        <f>IFERROR(__xludf.DUMMYFUNCTION("""COMPUTED_VALUE"""),"00510143")</f>
        <v>00510143</v>
      </c>
      <c r="I2741" s="1" t="str">
        <f>IFERROR(__xludf.DUMMYFUNCTION("""COMPUTED_VALUE"""),"นายธีระวัฒน์ บุญสิทธิ์")</f>
        <v>นายธีระวัฒน์ บุญสิทธิ์</v>
      </c>
      <c r="J2741" s="3">
        <f>IFERROR(__xludf.DUMMYFUNCTION("""COMPUTED_VALUE"""),228031.0)</f>
        <v>228031</v>
      </c>
      <c r="K2741" s="3" t="str">
        <f>IFERROR(__xludf.DUMMYFUNCTION("""COMPUTED_VALUE"""),"นายธนพงษ์ วันหมัด")</f>
        <v>นายธนพงษ์ วันหมัด</v>
      </c>
      <c r="L2741" s="1" t="str">
        <f>IFERROR(__xludf.DUMMYFUNCTION("""COMPUTED_VALUE"""),"นายธนพงษ์ วันหมัด")</f>
        <v>นายธนพงษ์ วันหมัด</v>
      </c>
      <c r="M2741" s="1" t="str">
        <f>IFERROR(__xludf.DUMMYFUNCTION("""COMPUTED_VALUE"""),"0813716913")</f>
        <v>0813716913</v>
      </c>
      <c r="N2741" s="3">
        <f>IFERROR(__xludf.DUMMYFUNCTION("""COMPUTED_VALUE"""),83558.0)</f>
        <v>83558</v>
      </c>
      <c r="O2741" s="3" t="str">
        <f>IFERROR(__xludf.DUMMYFUNCTION("""COMPUTED_VALUE"""),"ร้านวิลาวรรณช๊อป")</f>
        <v>ร้านวิลาวรรณช๊อป</v>
      </c>
      <c r="P2741" s="4">
        <f>IFERROR(__xludf.DUMMYFUNCTION("""COMPUTED_VALUE"""),44623.0)</f>
        <v>44623</v>
      </c>
      <c r="Q2741" s="3" t="str">
        <f>IFERROR(__xludf.DUMMYFUNCTION("""COMPUTED_VALUE"""),"A")</f>
        <v>A</v>
      </c>
      <c r="R2741" s="3" t="str">
        <f>IFERROR(__xludf.DUMMYFUNCTION("""COMPUTED_VALUE"""),"Small Format")</f>
        <v>Small Format</v>
      </c>
      <c r="S2741" s="3" t="str">
        <f>IFERROR(__xludf.DUMMYFUNCTION("""COMPUTED_VALUE"""),"Donjai")</f>
        <v>Donjai</v>
      </c>
      <c r="T2741" s="3" t="str">
        <f>IFERROR(__xludf.DUMMYFUNCTION("""COMPUTED_VALUE"""),"12 K.Theerawat B.")</f>
        <v>12 K.Theerawat B.</v>
      </c>
      <c r="U2741" s="3" t="str">
        <f>IFERROR(__xludf.DUMMYFUNCTION("""COMPUTED_VALUE"""),"12 K.Theerawat B.")</f>
        <v>12 K.Theerawat B.</v>
      </c>
      <c r="V2741" s="3" t="str">
        <f>IFERROR(__xludf.DUMMYFUNCTION("""COMPUTED_VALUE"""),"N")</f>
        <v>N</v>
      </c>
      <c r="W2741" s="3"/>
      <c r="X2741" s="3" t="str">
        <f>IFERROR(__xludf.DUMMYFUNCTION("""COMPUTED_VALUE"""),"124 หมู่8 ต.ตาพระยา อ.ตาพระยา จ.สระแก้ว")</f>
        <v>124 หมู่8 ต.ตาพระยา อ.ตาพระยา จ.สระแก้ว</v>
      </c>
      <c r="Y2741" s="3"/>
      <c r="Z2741" s="3">
        <f>IFERROR(__xludf.DUMMYFUNCTION("""COMPUTED_VALUE"""),0.0)</f>
        <v>0</v>
      </c>
      <c r="AA2741" s="3">
        <f>IFERROR(__xludf.DUMMYFUNCTION("""COMPUTED_VALUE"""),0.0)</f>
        <v>0</v>
      </c>
      <c r="AB2741" s="3" t="str">
        <f>IFERROR(__xludf.DUMMYFUNCTION("""COMPUTED_VALUE"""),"สระแก้ว")</f>
        <v>สระแก้ว</v>
      </c>
      <c r="AC2741" s="3">
        <f>IFERROR(__xludf.DUMMYFUNCTION("""COMPUTED_VALUE"""),0.0)</f>
        <v>0</v>
      </c>
      <c r="AD2741" s="3"/>
      <c r="AE2741" s="3"/>
      <c r="AF2741" s="3" t="str">
        <f>IFERROR(__xludf.DUMMYFUNCTION("""COMPUTED_VALUE"""),"ร้านวิลาวรรณช๊อป-83558")</f>
        <v>ร้านวิลาวรรณช๊อป-83558</v>
      </c>
      <c r="AG2741" s="3" t="str">
        <f>IFERROR(__xludf.DUMMYFUNCTION("""COMPUTED_VALUE"""),"ตะวันออก")</f>
        <v>ตะวันออก</v>
      </c>
      <c r="AH2741" s="3" t="str">
        <f>IFERROR(__xludf.DUMMYFUNCTION("""COMPUTED_VALUE"""),"#N/A")</f>
        <v>#N/A</v>
      </c>
      <c r="AI2741" s="3" t="str">
        <f>IFERROR(__xludf.DUMMYFUNCTION("""COMPUTED_VALUE"""),"Out of warranty")</f>
        <v>Out of warranty</v>
      </c>
      <c r="AJ2741" s="3">
        <f>IFERROR(__xludf.DUMMYFUNCTION("""COMPUTED_VALUE"""),47.0)</f>
        <v>47</v>
      </c>
      <c r="AK2741" s="3"/>
      <c r="AL2741" s="3"/>
    </row>
    <row r="2742" ht="15.75" customHeight="1">
      <c r="A2742" s="1" t="str">
        <f>IFERROR(__xludf.DUMMYFUNCTION("""COMPUTED_VALUE"""),"83559")</f>
        <v>83559</v>
      </c>
      <c r="B2742" s="2">
        <f>IFERROR(__xludf.DUMMYFUNCTION("""COMPUTED_VALUE"""),83559.0)</f>
        <v>83559</v>
      </c>
      <c r="C2742" s="3" t="str">
        <f>IFERROR(__xludf.DUMMYFUNCTION("""COMPUTED_VALUE"""),"ร้านสุขสมปอง พาณิชย์")</f>
        <v>ร้านสุขสมปอง พาณิชย์</v>
      </c>
      <c r="D2742" s="3" t="str">
        <f>IFERROR(__xludf.DUMMYFUNCTION("""COMPUTED_VALUE"""),"ร้านสุขสมปอง พาณิชย์")</f>
        <v>ร้านสุขสมปอง พาณิชย์</v>
      </c>
      <c r="E2742" s="1" t="str">
        <f>IFERROR(__xludf.DUMMYFUNCTION("""COMPUTED_VALUE"""),"Donjai")</f>
        <v>Donjai</v>
      </c>
      <c r="F2742" s="1" t="str">
        <f>IFERROR(__xludf.DUMMYFUNCTION("""COMPUTED_VALUE"""),"015361")</f>
        <v>015361</v>
      </c>
      <c r="G2742" s="1" t="str">
        <f>IFERROR(__xludf.DUMMYFUNCTION("""COMPUTED_VALUE"""),"นายสมบูรณ์ พรหมในเมือง")</f>
        <v>นายสมบูรณ์ พรหมในเมือง</v>
      </c>
      <c r="H2742" s="1" t="str">
        <f>IFERROR(__xludf.DUMMYFUNCTION("""COMPUTED_VALUE"""),"015361")</f>
        <v>015361</v>
      </c>
      <c r="I2742" s="1" t="str">
        <f>IFERROR(__xludf.DUMMYFUNCTION("""COMPUTED_VALUE"""),"นายสมบูรณ์ พรหมในเมือง")</f>
        <v>นายสมบูรณ์ พรหมในเมือง</v>
      </c>
      <c r="J2742" s="3">
        <f>IFERROR(__xludf.DUMMYFUNCTION("""COMPUTED_VALUE"""),295886.0)</f>
        <v>295886</v>
      </c>
      <c r="K2742" s="3" t="str">
        <f>IFERROR(__xludf.DUMMYFUNCTION("""COMPUTED_VALUE"""),"นายจิระพงษ์ โพธิ์นิล")</f>
        <v>นายจิระพงษ์ โพธิ์นิล</v>
      </c>
      <c r="L2742" s="1" t="str">
        <f>IFERROR(__xludf.DUMMYFUNCTION("""COMPUTED_VALUE"""),"นายจิระพงษ์ โพธิ์นิล")</f>
        <v>นายจิระพงษ์ โพธิ์นิล</v>
      </c>
      <c r="M2742" s="1" t="str">
        <f>IFERROR(__xludf.DUMMYFUNCTION("""COMPUTED_VALUE"""),"0933290754")</f>
        <v>0933290754</v>
      </c>
      <c r="N2742" s="3">
        <f>IFERROR(__xludf.DUMMYFUNCTION("""COMPUTED_VALUE"""),83559.0)</f>
        <v>83559</v>
      </c>
      <c r="O2742" s="3" t="str">
        <f>IFERROR(__xludf.DUMMYFUNCTION("""COMPUTED_VALUE"""),"ร้านสุขสมปอง พาณิชย์")</f>
        <v>ร้านสุขสมปอง พาณิชย์</v>
      </c>
      <c r="P2742" s="4">
        <f>IFERROR(__xludf.DUMMYFUNCTION("""COMPUTED_VALUE"""),44604.0)</f>
        <v>44604</v>
      </c>
      <c r="Q2742" s="3" t="str">
        <f>IFERROR(__xludf.DUMMYFUNCTION("""COMPUTED_VALUE"""),"I")</f>
        <v>I</v>
      </c>
      <c r="R2742" s="3" t="str">
        <f>IFERROR(__xludf.DUMMYFUNCTION("""COMPUTED_VALUE"""),"Small Format")</f>
        <v>Small Format</v>
      </c>
      <c r="S2742" s="3" t="str">
        <f>IFERROR(__xludf.DUMMYFUNCTION("""COMPUTED_VALUE"""),"Donjai")</f>
        <v>Donjai</v>
      </c>
      <c r="T2742" s="3" t="str">
        <f>IFERROR(__xludf.DUMMYFUNCTION("""COMPUTED_VALUE"""),"04 K.Somboon P.")</f>
        <v>04 K.Somboon P.</v>
      </c>
      <c r="U2742" s="3" t="str">
        <f>IFERROR(__xludf.DUMMYFUNCTION("""COMPUTED_VALUE"""),"04 K.Somboon P.")</f>
        <v>04 K.Somboon P.</v>
      </c>
      <c r="V2742" s="3" t="str">
        <f>IFERROR(__xludf.DUMMYFUNCTION("""COMPUTED_VALUE"""),"N")</f>
        <v>N</v>
      </c>
      <c r="W2742" s="3"/>
      <c r="X2742" s="3" t="str">
        <f>IFERROR(__xludf.DUMMYFUNCTION("""COMPUTED_VALUE"""),"200ม.4 ต.สาหร่าย อ.ชุมพวง จ.นครราชสีมา")</f>
        <v>200ม.4 ต.สาหร่าย อ.ชุมพวง จ.นครราชสีมา</v>
      </c>
      <c r="Y2742" s="3"/>
      <c r="Z2742" s="3">
        <f>IFERROR(__xludf.DUMMYFUNCTION("""COMPUTED_VALUE"""),0.0)</f>
        <v>0</v>
      </c>
      <c r="AA2742" s="3">
        <f>IFERROR(__xludf.DUMMYFUNCTION("""COMPUTED_VALUE"""),0.0)</f>
        <v>0</v>
      </c>
      <c r="AB2742" s="3" t="str">
        <f>IFERROR(__xludf.DUMMYFUNCTION("""COMPUTED_VALUE"""),"นครราชสีมา")</f>
        <v>นครราชสีมา</v>
      </c>
      <c r="AC2742" s="3">
        <f>IFERROR(__xludf.DUMMYFUNCTION("""COMPUTED_VALUE"""),0.0)</f>
        <v>0</v>
      </c>
      <c r="AD2742" s="3"/>
      <c r="AE2742" s="3"/>
      <c r="AF2742" s="3" t="str">
        <f>IFERROR(__xludf.DUMMYFUNCTION("""COMPUTED_VALUE"""),"ร้านสุขสมปอง พาณิชย์-83559")</f>
        <v>ร้านสุขสมปอง พาณิชย์-83559</v>
      </c>
      <c r="AG2742" s="3" t="str">
        <f>IFERROR(__xludf.DUMMYFUNCTION("""COMPUTED_VALUE"""),"ตะวันออกเฉียงเหนือ")</f>
        <v>ตะวันออกเฉียงเหนือ</v>
      </c>
      <c r="AH2742" s="3" t="str">
        <f>IFERROR(__xludf.DUMMYFUNCTION("""COMPUTED_VALUE"""),"#N/A")</f>
        <v>#N/A</v>
      </c>
      <c r="AI2742" s="3" t="str">
        <f>IFERROR(__xludf.DUMMYFUNCTION("""COMPUTED_VALUE"""),"Out of warranty")</f>
        <v>Out of warranty</v>
      </c>
      <c r="AJ2742" s="3">
        <f>IFERROR(__xludf.DUMMYFUNCTION("""COMPUTED_VALUE"""),48.0)</f>
        <v>48</v>
      </c>
      <c r="AK2742" s="3"/>
      <c r="AL2742" s="3"/>
    </row>
    <row r="2743" ht="15.75" customHeight="1">
      <c r="A2743" s="1" t="str">
        <f>IFERROR(__xludf.DUMMYFUNCTION("""COMPUTED_VALUE"""),"83560")</f>
        <v>83560</v>
      </c>
      <c r="B2743" s="2">
        <f>IFERROR(__xludf.DUMMYFUNCTION("""COMPUTED_VALUE"""),83560.0)</f>
        <v>83560</v>
      </c>
      <c r="C2743" s="3" t="str">
        <f>IFERROR(__xludf.DUMMYFUNCTION("""COMPUTED_VALUE"""),"ร้านเวสกามินิมาร์ท (ปั๊ม Caltex บ่อแสน)")</f>
        <v>ร้านเวสกามินิมาร์ท (ปั๊ม Caltex บ่อแสน)</v>
      </c>
      <c r="D2743" s="3" t="str">
        <f>IFERROR(__xludf.DUMMYFUNCTION("""COMPUTED_VALUE"""),"ร้านเวสกามินิมาร์ท (ปั๊ม Caltex บ่อแสน)")</f>
        <v>ร้านเวสกามินิมาร์ท (ปั๊ม Caltex บ่อแสน)</v>
      </c>
      <c r="E2743" s="1" t="str">
        <f>IFERROR(__xludf.DUMMYFUNCTION("""COMPUTED_VALUE"""),"Donjai")</f>
        <v>Donjai</v>
      </c>
      <c r="F2743" s="1" t="str">
        <f>IFERROR(__xludf.DUMMYFUNCTION("""COMPUTED_VALUE"""),"20470331")</f>
        <v>20470331</v>
      </c>
      <c r="G2743" s="1" t="str">
        <f>IFERROR(__xludf.DUMMYFUNCTION("""COMPUTED_VALUE"""),"นายสมชาย ลักษณะสุวรรณ")</f>
        <v>นายสมชาย ลักษณะสุวรรณ</v>
      </c>
      <c r="H2743" s="1" t="str">
        <f>IFERROR(__xludf.DUMMYFUNCTION("""COMPUTED_VALUE"""),"20470331")</f>
        <v>20470331</v>
      </c>
      <c r="I2743" s="1" t="str">
        <f>IFERROR(__xludf.DUMMYFUNCTION("""COMPUTED_VALUE"""),"นายสมชาย ลักษณะสุวรรณ")</f>
        <v>นายสมชาย ลักษณะสุวรรณ</v>
      </c>
      <c r="J2743" s="3">
        <f>IFERROR(__xludf.DUMMYFUNCTION("""COMPUTED_VALUE"""),295541.0)</f>
        <v>295541</v>
      </c>
      <c r="K2743" s="3" t="str">
        <f>IFERROR(__xludf.DUMMYFUNCTION("""COMPUTED_VALUE"""),"นายรพิพล ศรีมาตย์")</f>
        <v>นายรพิพล ศรีมาตย์</v>
      </c>
      <c r="L2743" s="1" t="str">
        <f>IFERROR(__xludf.DUMMYFUNCTION("""COMPUTED_VALUE"""),"นายรพิพล ศรีมาตย์")</f>
        <v>นายรพิพล ศรีมาตย์</v>
      </c>
      <c r="M2743" s="1" t="str">
        <f>IFERROR(__xludf.DUMMYFUNCTION("""COMPUTED_VALUE"""),"0613966115")</f>
        <v>0613966115</v>
      </c>
      <c r="N2743" s="3">
        <f>IFERROR(__xludf.DUMMYFUNCTION("""COMPUTED_VALUE"""),83560.0)</f>
        <v>83560</v>
      </c>
      <c r="O2743" s="3" t="str">
        <f>IFERROR(__xludf.DUMMYFUNCTION("""COMPUTED_VALUE"""),"ร้านเวสกามินิมาร์ท (ปั๊ม Caltex บ่อแสน)")</f>
        <v>ร้านเวสกามินิมาร์ท (ปั๊ม Caltex บ่อแสน)</v>
      </c>
      <c r="P2743" s="4">
        <f>IFERROR(__xludf.DUMMYFUNCTION("""COMPUTED_VALUE"""),44633.0)</f>
        <v>44633</v>
      </c>
      <c r="Q2743" s="3" t="str">
        <f>IFERROR(__xludf.DUMMYFUNCTION("""COMPUTED_VALUE"""),"A")</f>
        <v>A</v>
      </c>
      <c r="R2743" s="3" t="str">
        <f>IFERROR(__xludf.DUMMYFUNCTION("""COMPUTED_VALUE"""),"Small Format")</f>
        <v>Small Format</v>
      </c>
      <c r="S2743" s="3" t="str">
        <f>IFERROR(__xludf.DUMMYFUNCTION("""COMPUTED_VALUE"""),"Donjai")</f>
        <v>Donjai</v>
      </c>
      <c r="T2743" s="3" t="str">
        <f>IFERROR(__xludf.DUMMYFUNCTION("""COMPUTED_VALUE"""),"15 K.Somchai L")</f>
        <v>15 K.Somchai L</v>
      </c>
      <c r="U2743" s="3" t="str">
        <f>IFERROR(__xludf.DUMMYFUNCTION("""COMPUTED_VALUE"""),"15 K.Somchai L")</f>
        <v>15 K.Somchai L</v>
      </c>
      <c r="V2743" s="3" t="str">
        <f>IFERROR(__xludf.DUMMYFUNCTION("""COMPUTED_VALUE"""),"N")</f>
        <v>N</v>
      </c>
      <c r="W2743" s="3"/>
      <c r="X2743" s="3" t="str">
        <f>IFERROR(__xludf.DUMMYFUNCTION("""COMPUTED_VALUE"""),"37/2 ตำบลบ่อแสน อำเภอทับปุด พังงา")</f>
        <v>37/2 ตำบลบ่อแสน อำเภอทับปุด พังงา</v>
      </c>
      <c r="Y2743" s="3"/>
      <c r="Z2743" s="3">
        <f>IFERROR(__xludf.DUMMYFUNCTION("""COMPUTED_VALUE"""),0.0)</f>
        <v>0</v>
      </c>
      <c r="AA2743" s="3">
        <f>IFERROR(__xludf.DUMMYFUNCTION("""COMPUTED_VALUE"""),0.0)</f>
        <v>0</v>
      </c>
      <c r="AB2743" s="3" t="str">
        <f>IFERROR(__xludf.DUMMYFUNCTION("""COMPUTED_VALUE"""),"พังงา")</f>
        <v>พังงา</v>
      </c>
      <c r="AC2743" s="3">
        <f>IFERROR(__xludf.DUMMYFUNCTION("""COMPUTED_VALUE"""),0.0)</f>
        <v>0</v>
      </c>
      <c r="AD2743" s="3"/>
      <c r="AE2743" s="3"/>
      <c r="AF2743" s="3" t="str">
        <f>IFERROR(__xludf.DUMMYFUNCTION("""COMPUTED_VALUE"""),"ร้านเวสกามินิมาร์ท (ปั๊ม Caltex บ่อแสน)-83560")</f>
        <v>ร้านเวสกามินิมาร์ท (ปั๊ม Caltex บ่อแสน)-83560</v>
      </c>
      <c r="AG2743" s="3" t="str">
        <f>IFERROR(__xludf.DUMMYFUNCTION("""COMPUTED_VALUE"""),"ใต้")</f>
        <v>ใต้</v>
      </c>
      <c r="AH2743" s="3" t="str">
        <f>IFERROR(__xludf.DUMMYFUNCTION("""COMPUTED_VALUE"""),"#N/A")</f>
        <v>#N/A</v>
      </c>
      <c r="AI2743" s="3" t="str">
        <f>IFERROR(__xludf.DUMMYFUNCTION("""COMPUTED_VALUE"""),"Out of warranty")</f>
        <v>Out of warranty</v>
      </c>
      <c r="AJ2743" s="3">
        <f>IFERROR(__xludf.DUMMYFUNCTION("""COMPUTED_VALUE"""),47.0)</f>
        <v>47</v>
      </c>
      <c r="AK2743" s="3"/>
      <c r="AL2743" s="3"/>
    </row>
    <row r="2744" ht="15.75" customHeight="1">
      <c r="A2744" s="1" t="str">
        <f>IFERROR(__xludf.DUMMYFUNCTION("""COMPUTED_VALUE"""),"83562")</f>
        <v>83562</v>
      </c>
      <c r="B2744" s="2">
        <f>IFERROR(__xludf.DUMMYFUNCTION("""COMPUTED_VALUE"""),83562.0)</f>
        <v>83562</v>
      </c>
      <c r="C2744" s="3" t="str">
        <f>IFERROR(__xludf.DUMMYFUNCTION("""COMPUTED_VALUE"""),"ร้านยายตรี (กลางใจ)")</f>
        <v>ร้านยายตรี (กลางใจ)</v>
      </c>
      <c r="D2744" s="3" t="str">
        <f>IFERROR(__xludf.DUMMYFUNCTION("""COMPUTED_VALUE"""),"ร้านยายตรี (กลางใจ)")</f>
        <v>ร้านยายตรี (กลางใจ)</v>
      </c>
      <c r="E2744" s="1" t="str">
        <f>IFERROR(__xludf.DUMMYFUNCTION("""COMPUTED_VALUE"""),"Donjai")</f>
        <v>Donjai</v>
      </c>
      <c r="F2744" s="1" t="str">
        <f>IFERROR(__xludf.DUMMYFUNCTION("""COMPUTED_VALUE"""),"296868")</f>
        <v>296868</v>
      </c>
      <c r="G2744" s="1" t="str">
        <f>IFERROR(__xludf.DUMMYFUNCTION("""COMPUTED_VALUE"""),"นายพีระพงษ์ แก้วดวงดี")</f>
        <v>นายพีระพงษ์ แก้วดวงดี</v>
      </c>
      <c r="H2744" s="1" t="str">
        <f>IFERROR(__xludf.DUMMYFUNCTION("""COMPUTED_VALUE"""),"296868")</f>
        <v>296868</v>
      </c>
      <c r="I2744" s="1" t="str">
        <f>IFERROR(__xludf.DUMMYFUNCTION("""COMPUTED_VALUE"""),"นายพีระพงษ์ แก้วดวงดี")</f>
        <v>นายพีระพงษ์ แก้วดวงดี</v>
      </c>
      <c r="J2744" s="3">
        <f>IFERROR(__xludf.DUMMYFUNCTION("""COMPUTED_VALUE"""),295886.0)</f>
        <v>295886</v>
      </c>
      <c r="K2744" s="3" t="str">
        <f>IFERROR(__xludf.DUMMYFUNCTION("""COMPUTED_VALUE"""),"นายจิระพงษ์ โพธิ์นิล")</f>
        <v>นายจิระพงษ์ โพธิ์นิล</v>
      </c>
      <c r="L2744" s="1" t="str">
        <f>IFERROR(__xludf.DUMMYFUNCTION("""COMPUTED_VALUE"""),"นายจิระพงษ์ โพธิ์นิล")</f>
        <v>นายจิระพงษ์ โพธิ์นิล</v>
      </c>
      <c r="M2744" s="1" t="str">
        <f>IFERROR(__xludf.DUMMYFUNCTION("""COMPUTED_VALUE"""),"0933290754")</f>
        <v>0933290754</v>
      </c>
      <c r="N2744" s="3">
        <f>IFERROR(__xludf.DUMMYFUNCTION("""COMPUTED_VALUE"""),83562.0)</f>
        <v>83562</v>
      </c>
      <c r="O2744" s="3" t="str">
        <f>IFERROR(__xludf.DUMMYFUNCTION("""COMPUTED_VALUE"""),"ร้านยายตรี (กลางใจ)")</f>
        <v>ร้านยายตรี (กลางใจ)</v>
      </c>
      <c r="P2744" s="4">
        <f>IFERROR(__xludf.DUMMYFUNCTION("""COMPUTED_VALUE"""),44631.0)</f>
        <v>44631</v>
      </c>
      <c r="Q2744" s="3" t="str">
        <f>IFERROR(__xludf.DUMMYFUNCTION("""COMPUTED_VALUE"""),"I")</f>
        <v>I</v>
      </c>
      <c r="R2744" s="3" t="str">
        <f>IFERROR(__xludf.DUMMYFUNCTION("""COMPUTED_VALUE"""),"Small Format")</f>
        <v>Small Format</v>
      </c>
      <c r="S2744" s="3" t="str">
        <f>IFERROR(__xludf.DUMMYFUNCTION("""COMPUTED_VALUE"""),"Donjai")</f>
        <v>Donjai</v>
      </c>
      <c r="T2744" s="3" t="str">
        <f>IFERROR(__xludf.DUMMYFUNCTION("""COMPUTED_VALUE"""),"03 K.Peerapong K.")</f>
        <v>03 K.Peerapong K.</v>
      </c>
      <c r="U2744" s="3" t="str">
        <f>IFERROR(__xludf.DUMMYFUNCTION("""COMPUTED_VALUE"""),"03 K.Peerapong K.")</f>
        <v>03 K.Peerapong K.</v>
      </c>
      <c r="V2744" s="3" t="str">
        <f>IFERROR(__xludf.DUMMYFUNCTION("""COMPUTED_VALUE"""),"N")</f>
        <v>N</v>
      </c>
      <c r="W2744" s="3"/>
      <c r="X2744" s="3" t="str">
        <f>IFERROR(__xludf.DUMMYFUNCTION("""COMPUTED_VALUE"""),"75/1 บ.ห้วยพิชัย อ.ปากชม จ.เลย 42000")</f>
        <v>75/1 บ.ห้วยพิชัย อ.ปากชม จ.เลย 42000</v>
      </c>
      <c r="Y2744" s="3"/>
      <c r="Z2744" s="3" t="str">
        <f>IFERROR(__xludf.DUMMYFUNCTION("""COMPUTED_VALUE"""),"ปากชม")</f>
        <v>ปากชม</v>
      </c>
      <c r="AA2744" s="3" t="str">
        <f>IFERROR(__xludf.DUMMYFUNCTION("""COMPUTED_VALUE"""),"ปากชม")</f>
        <v>ปากชม</v>
      </c>
      <c r="AB2744" s="3" t="str">
        <f>IFERROR(__xludf.DUMMYFUNCTION("""COMPUTED_VALUE"""),"เลย")</f>
        <v>เลย</v>
      </c>
      <c r="AC2744" s="3">
        <f>IFERROR(__xludf.DUMMYFUNCTION("""COMPUTED_VALUE"""),42000.0)</f>
        <v>42000</v>
      </c>
      <c r="AD2744" s="3"/>
      <c r="AE2744" s="3"/>
      <c r="AF2744" s="3" t="str">
        <f>IFERROR(__xludf.DUMMYFUNCTION("""COMPUTED_VALUE"""),"ร้านยายตรี (กลางใจ)-83562")</f>
        <v>ร้านยายตรี (กลางใจ)-83562</v>
      </c>
      <c r="AG2744" s="3" t="str">
        <f>IFERROR(__xludf.DUMMYFUNCTION("""COMPUTED_VALUE"""),"ตะวันออกเฉียงเหนือ")</f>
        <v>ตะวันออกเฉียงเหนือ</v>
      </c>
      <c r="AH2744" s="3" t="str">
        <f>IFERROR(__xludf.DUMMYFUNCTION("""COMPUTED_VALUE"""),"#N/A")</f>
        <v>#N/A</v>
      </c>
      <c r="AI2744" s="3" t="str">
        <f>IFERROR(__xludf.DUMMYFUNCTION("""COMPUTED_VALUE"""),"Out of warranty")</f>
        <v>Out of warranty</v>
      </c>
      <c r="AJ2744" s="3">
        <f>IFERROR(__xludf.DUMMYFUNCTION("""COMPUTED_VALUE"""),47.0)</f>
        <v>47</v>
      </c>
      <c r="AK2744" s="3"/>
      <c r="AL2744" s="3"/>
    </row>
    <row r="2745" ht="15.75" customHeight="1">
      <c r="A2745" s="1" t="str">
        <f>IFERROR(__xludf.DUMMYFUNCTION("""COMPUTED_VALUE"""),"83565")</f>
        <v>83565</v>
      </c>
      <c r="B2745" s="2">
        <f>IFERROR(__xludf.DUMMYFUNCTION("""COMPUTED_VALUE"""),83565.0)</f>
        <v>83565</v>
      </c>
      <c r="C2745" s="3" t="str">
        <f>IFERROR(__xludf.DUMMYFUNCTION("""COMPUTED_VALUE"""),"ร้านคุณจ๋าโดนใจ")</f>
        <v>ร้านคุณจ๋าโดนใจ</v>
      </c>
      <c r="D2745" s="3" t="str">
        <f>IFERROR(__xludf.DUMMYFUNCTION("""COMPUTED_VALUE"""),"ร้านคุณจ๋าโดนใจ")</f>
        <v>ร้านคุณจ๋าโดนใจ</v>
      </c>
      <c r="E2745" s="1" t="str">
        <f>IFERROR(__xludf.DUMMYFUNCTION("""COMPUTED_VALUE"""),"Donjai")</f>
        <v>Donjai</v>
      </c>
      <c r="F2745" s="1" t="str">
        <f>IFERROR(__xludf.DUMMYFUNCTION("""COMPUTED_VALUE"""),"2010023")</f>
        <v>2010023</v>
      </c>
      <c r="G2745" s="1" t="str">
        <f>IFERROR(__xludf.DUMMYFUNCTION("""COMPUTED_VALUE"""),"นายวศิน ไวยรูป")</f>
        <v>นายวศิน ไวยรูป</v>
      </c>
      <c r="H2745" s="1" t="str">
        <f>IFERROR(__xludf.DUMMYFUNCTION("""COMPUTED_VALUE"""),"2010023")</f>
        <v>2010023</v>
      </c>
      <c r="I2745" s="1" t="str">
        <f>IFERROR(__xludf.DUMMYFUNCTION("""COMPUTED_VALUE"""),"นายวศิน ไวยรูป")</f>
        <v>นายวศิน ไวยรูป</v>
      </c>
      <c r="J2745" s="3">
        <f>IFERROR(__xludf.DUMMYFUNCTION("""COMPUTED_VALUE"""),228031.0)</f>
        <v>228031</v>
      </c>
      <c r="K2745" s="3" t="str">
        <f>IFERROR(__xludf.DUMMYFUNCTION("""COMPUTED_VALUE"""),"นายธนพงษ์ วันหมัด")</f>
        <v>นายธนพงษ์ วันหมัด</v>
      </c>
      <c r="L2745" s="1" t="str">
        <f>IFERROR(__xludf.DUMMYFUNCTION("""COMPUTED_VALUE"""),"นายธนพงษ์ วันหมัด")</f>
        <v>นายธนพงษ์ วันหมัด</v>
      </c>
      <c r="M2745" s="1" t="str">
        <f>IFERROR(__xludf.DUMMYFUNCTION("""COMPUTED_VALUE"""),"0813716913")</f>
        <v>0813716913</v>
      </c>
      <c r="N2745" s="3">
        <f>IFERROR(__xludf.DUMMYFUNCTION("""COMPUTED_VALUE"""),83565.0)</f>
        <v>83565</v>
      </c>
      <c r="O2745" s="3" t="str">
        <f>IFERROR(__xludf.DUMMYFUNCTION("""COMPUTED_VALUE"""),"ร้านคุณจ๋าโดนใจ")</f>
        <v>ร้านคุณจ๋าโดนใจ</v>
      </c>
      <c r="P2745" s="4">
        <f>IFERROR(__xludf.DUMMYFUNCTION("""COMPUTED_VALUE"""),44635.0)</f>
        <v>44635</v>
      </c>
      <c r="Q2745" s="3" t="str">
        <f>IFERROR(__xludf.DUMMYFUNCTION("""COMPUTED_VALUE"""),"I")</f>
        <v>I</v>
      </c>
      <c r="R2745" s="3" t="str">
        <f>IFERROR(__xludf.DUMMYFUNCTION("""COMPUTED_VALUE"""),"Small Format")</f>
        <v>Small Format</v>
      </c>
      <c r="S2745" s="3" t="str">
        <f>IFERROR(__xludf.DUMMYFUNCTION("""COMPUTED_VALUE"""),"Donjai")</f>
        <v>Donjai</v>
      </c>
      <c r="T2745" s="3" t="str">
        <f>IFERROR(__xludf.DUMMYFUNCTION("""COMPUTED_VALUE"""),"Donjai")</f>
        <v>Donjai</v>
      </c>
      <c r="U2745" s="3" t="str">
        <f>IFERROR(__xludf.DUMMYFUNCTION("""COMPUTED_VALUE"""),"Donjai")</f>
        <v>Donjai</v>
      </c>
      <c r="V2745" s="3" t="str">
        <f>IFERROR(__xludf.DUMMYFUNCTION("""COMPUTED_VALUE"""),"N")</f>
        <v>N</v>
      </c>
      <c r="W2745" s="3"/>
      <c r="X2745" s="3" t="str">
        <f>IFERROR(__xludf.DUMMYFUNCTION("""COMPUTED_VALUE"""),"7/1 หมู่ 3 ต.หนองแซง อ.หันคา จ.ชัยนาท")</f>
        <v>7/1 หมู่ 3 ต.หนองแซง อ.หันคา จ.ชัยนาท</v>
      </c>
      <c r="Y2745" s="3"/>
      <c r="Z2745" s="3">
        <f>IFERROR(__xludf.DUMMYFUNCTION("""COMPUTED_VALUE"""),0.0)</f>
        <v>0</v>
      </c>
      <c r="AA2745" s="3">
        <f>IFERROR(__xludf.DUMMYFUNCTION("""COMPUTED_VALUE"""),0.0)</f>
        <v>0</v>
      </c>
      <c r="AB2745" s="3" t="str">
        <f>IFERROR(__xludf.DUMMYFUNCTION("""COMPUTED_VALUE"""),"ชัยนาท")</f>
        <v>ชัยนาท</v>
      </c>
      <c r="AC2745" s="3">
        <f>IFERROR(__xludf.DUMMYFUNCTION("""COMPUTED_VALUE"""),0.0)</f>
        <v>0</v>
      </c>
      <c r="AD2745" s="3"/>
      <c r="AE2745" s="3"/>
      <c r="AF2745" s="3" t="str">
        <f>IFERROR(__xludf.DUMMYFUNCTION("""COMPUTED_VALUE"""),"ร้านคุณจ๋าโดนใจ-83565")</f>
        <v>ร้านคุณจ๋าโดนใจ-83565</v>
      </c>
      <c r="AG2745" s="3" t="str">
        <f>IFERROR(__xludf.DUMMYFUNCTION("""COMPUTED_VALUE"""),"กลาง")</f>
        <v>กลาง</v>
      </c>
      <c r="AH2745" s="3" t="str">
        <f>IFERROR(__xludf.DUMMYFUNCTION("""COMPUTED_VALUE"""),"#N/A")</f>
        <v>#N/A</v>
      </c>
      <c r="AI2745" s="3" t="str">
        <f>IFERROR(__xludf.DUMMYFUNCTION("""COMPUTED_VALUE"""),"Out of warranty")</f>
        <v>Out of warranty</v>
      </c>
      <c r="AJ2745" s="3">
        <f>IFERROR(__xludf.DUMMYFUNCTION("""COMPUTED_VALUE"""),47.0)</f>
        <v>47</v>
      </c>
      <c r="AK2745" s="3"/>
      <c r="AL2745" s="3"/>
    </row>
    <row r="2746" ht="15.75" customHeight="1">
      <c r="A2746" s="1" t="str">
        <f>IFERROR(__xludf.DUMMYFUNCTION("""COMPUTED_VALUE"""),"83566")</f>
        <v>83566</v>
      </c>
      <c r="B2746" s="2">
        <f>IFERROR(__xludf.DUMMYFUNCTION("""COMPUTED_VALUE"""),83566.0)</f>
        <v>83566</v>
      </c>
      <c r="C2746" s="3" t="str">
        <f>IFERROR(__xludf.DUMMYFUNCTION("""COMPUTED_VALUE"""),"ร้านซุปเปอร์แจ๋ว (น้องฟาง)")</f>
        <v>ร้านซุปเปอร์แจ๋ว (น้องฟาง)</v>
      </c>
      <c r="D2746" s="3" t="str">
        <f>IFERROR(__xludf.DUMMYFUNCTION("""COMPUTED_VALUE"""),"ร้านซุปเปอร์แจ๋ว (น้องฟาง)")</f>
        <v>ร้านซุปเปอร์แจ๋ว (น้องฟาง)</v>
      </c>
      <c r="E2746" s="1" t="str">
        <f>IFERROR(__xludf.DUMMYFUNCTION("""COMPUTED_VALUE"""),"Donjai")</f>
        <v>Donjai</v>
      </c>
      <c r="F2746" s="1" t="str">
        <f>IFERROR(__xludf.DUMMYFUNCTION("""COMPUTED_VALUE"""),"015361")</f>
        <v>015361</v>
      </c>
      <c r="G2746" s="1" t="str">
        <f>IFERROR(__xludf.DUMMYFUNCTION("""COMPUTED_VALUE"""),"นายสมบูรณ์ พรหมในเมือง")</f>
        <v>นายสมบูรณ์ พรหมในเมือง</v>
      </c>
      <c r="H2746" s="1" t="str">
        <f>IFERROR(__xludf.DUMMYFUNCTION("""COMPUTED_VALUE"""),"015361")</f>
        <v>015361</v>
      </c>
      <c r="I2746" s="1" t="str">
        <f>IFERROR(__xludf.DUMMYFUNCTION("""COMPUTED_VALUE"""),"นายสมบูรณ์ พรหมในเมือง")</f>
        <v>นายสมบูรณ์ พรหมในเมือง</v>
      </c>
      <c r="J2746" s="3">
        <f>IFERROR(__xludf.DUMMYFUNCTION("""COMPUTED_VALUE"""),295886.0)</f>
        <v>295886</v>
      </c>
      <c r="K2746" s="3" t="str">
        <f>IFERROR(__xludf.DUMMYFUNCTION("""COMPUTED_VALUE"""),"นายจิระพงษ์ โพธิ์นิล")</f>
        <v>นายจิระพงษ์ โพธิ์นิล</v>
      </c>
      <c r="L2746" s="1" t="str">
        <f>IFERROR(__xludf.DUMMYFUNCTION("""COMPUTED_VALUE"""),"นายจิระพงษ์ โพธิ์นิล")</f>
        <v>นายจิระพงษ์ โพธิ์นิล</v>
      </c>
      <c r="M2746" s="1" t="str">
        <f>IFERROR(__xludf.DUMMYFUNCTION("""COMPUTED_VALUE"""),"0933290754")</f>
        <v>0933290754</v>
      </c>
      <c r="N2746" s="3">
        <f>IFERROR(__xludf.DUMMYFUNCTION("""COMPUTED_VALUE"""),83566.0)</f>
        <v>83566</v>
      </c>
      <c r="O2746" s="3" t="str">
        <f>IFERROR(__xludf.DUMMYFUNCTION("""COMPUTED_VALUE"""),"ร้านซุปเปอร์แจ๋ว (น้องฟาง)")</f>
        <v>ร้านซุปเปอร์แจ๋ว (น้องฟาง)</v>
      </c>
      <c r="P2746" s="4">
        <f>IFERROR(__xludf.DUMMYFUNCTION("""COMPUTED_VALUE"""),44651.0)</f>
        <v>44651</v>
      </c>
      <c r="Q2746" s="3" t="str">
        <f>IFERROR(__xludf.DUMMYFUNCTION("""COMPUTED_VALUE"""),"A")</f>
        <v>A</v>
      </c>
      <c r="R2746" s="3" t="str">
        <f>IFERROR(__xludf.DUMMYFUNCTION("""COMPUTED_VALUE"""),"Small Format")</f>
        <v>Small Format</v>
      </c>
      <c r="S2746" s="3" t="str">
        <f>IFERROR(__xludf.DUMMYFUNCTION("""COMPUTED_VALUE"""),"Donjai")</f>
        <v>Donjai</v>
      </c>
      <c r="T2746" s="3" t="str">
        <f>IFERROR(__xludf.DUMMYFUNCTION("""COMPUTED_VALUE"""),"04 K.Somboon P.")</f>
        <v>04 K.Somboon P.</v>
      </c>
      <c r="U2746" s="3" t="str">
        <f>IFERROR(__xludf.DUMMYFUNCTION("""COMPUTED_VALUE"""),"04 K.Somboon P.")</f>
        <v>04 K.Somboon P.</v>
      </c>
      <c r="V2746" s="3" t="str">
        <f>IFERROR(__xludf.DUMMYFUNCTION("""COMPUTED_VALUE"""),"N")</f>
        <v>N</v>
      </c>
      <c r="W2746" s="3"/>
      <c r="X2746" s="3" t="str">
        <f>IFERROR(__xludf.DUMMYFUNCTION("""COMPUTED_VALUE"""),"13 ม.5 ต.ลาดบัวขาว อ.สีคิ้ว จ.นครราชสีมา")</f>
        <v>13 ม.5 ต.ลาดบัวขาว อ.สีคิ้ว จ.นครราชสีมา</v>
      </c>
      <c r="Y2746" s="3"/>
      <c r="Z2746" s="3">
        <f>IFERROR(__xludf.DUMMYFUNCTION("""COMPUTED_VALUE"""),0.0)</f>
        <v>0</v>
      </c>
      <c r="AA2746" s="3">
        <f>IFERROR(__xludf.DUMMYFUNCTION("""COMPUTED_VALUE"""),0.0)</f>
        <v>0</v>
      </c>
      <c r="AB2746" s="3" t="str">
        <f>IFERROR(__xludf.DUMMYFUNCTION("""COMPUTED_VALUE"""),"นครราชสีมา")</f>
        <v>นครราชสีมา</v>
      </c>
      <c r="AC2746" s="3">
        <f>IFERROR(__xludf.DUMMYFUNCTION("""COMPUTED_VALUE"""),0.0)</f>
        <v>0</v>
      </c>
      <c r="AD2746" s="3"/>
      <c r="AE2746" s="3"/>
      <c r="AF2746" s="3" t="str">
        <f>IFERROR(__xludf.DUMMYFUNCTION("""COMPUTED_VALUE"""),"ร้านซุปเปอร์แจ๋ว (น้องฟาง)-83566")</f>
        <v>ร้านซุปเปอร์แจ๋ว (น้องฟาง)-83566</v>
      </c>
      <c r="AG2746" s="3" t="str">
        <f>IFERROR(__xludf.DUMMYFUNCTION("""COMPUTED_VALUE"""),"ตะวันออกเฉียงเหนือ")</f>
        <v>ตะวันออกเฉียงเหนือ</v>
      </c>
      <c r="AH2746" s="3" t="str">
        <f>IFERROR(__xludf.DUMMYFUNCTION("""COMPUTED_VALUE"""),"#N/A")</f>
        <v>#N/A</v>
      </c>
      <c r="AI2746" s="3" t="str">
        <f>IFERROR(__xludf.DUMMYFUNCTION("""COMPUTED_VALUE"""),"Out of warranty")</f>
        <v>Out of warranty</v>
      </c>
      <c r="AJ2746" s="3">
        <f>IFERROR(__xludf.DUMMYFUNCTION("""COMPUTED_VALUE"""),46.0)</f>
        <v>46</v>
      </c>
      <c r="AK2746" s="3"/>
      <c r="AL2746" s="3"/>
    </row>
    <row r="2747" ht="15.75" customHeight="1">
      <c r="A2747" s="1" t="str">
        <f>IFERROR(__xludf.DUMMYFUNCTION("""COMPUTED_VALUE"""),"83567")</f>
        <v>83567</v>
      </c>
      <c r="B2747" s="2">
        <f>IFERROR(__xludf.DUMMYFUNCTION("""COMPUTED_VALUE"""),83567.0)</f>
        <v>83567</v>
      </c>
      <c r="C2747" s="3" t="str">
        <f>IFERROR(__xludf.DUMMYFUNCTION("""COMPUTED_VALUE"""),"ร้านธนภร")</f>
        <v>ร้านธนภร</v>
      </c>
      <c r="D2747" s="3" t="str">
        <f>IFERROR(__xludf.DUMMYFUNCTION("""COMPUTED_VALUE"""),"ร้านธนภร")</f>
        <v>ร้านธนภร</v>
      </c>
      <c r="E2747" s="1" t="str">
        <f>IFERROR(__xludf.DUMMYFUNCTION("""COMPUTED_VALUE"""),"Donjai")</f>
        <v>Donjai</v>
      </c>
      <c r="F2747" s="1" t="str">
        <f>IFERROR(__xludf.DUMMYFUNCTION("""COMPUTED_VALUE"""),"296868")</f>
        <v>296868</v>
      </c>
      <c r="G2747" s="1" t="str">
        <f>IFERROR(__xludf.DUMMYFUNCTION("""COMPUTED_VALUE"""),"นายพีระพงษ์ แก้วดวงดี")</f>
        <v>นายพีระพงษ์ แก้วดวงดี</v>
      </c>
      <c r="H2747" s="1" t="str">
        <f>IFERROR(__xludf.DUMMYFUNCTION("""COMPUTED_VALUE"""),"296868")</f>
        <v>296868</v>
      </c>
      <c r="I2747" s="1" t="str">
        <f>IFERROR(__xludf.DUMMYFUNCTION("""COMPUTED_VALUE"""),"นายพีระพงษ์ แก้วดวงดี")</f>
        <v>นายพีระพงษ์ แก้วดวงดี</v>
      </c>
      <c r="J2747" s="3">
        <f>IFERROR(__xludf.DUMMYFUNCTION("""COMPUTED_VALUE"""),295886.0)</f>
        <v>295886</v>
      </c>
      <c r="K2747" s="3" t="str">
        <f>IFERROR(__xludf.DUMMYFUNCTION("""COMPUTED_VALUE"""),"นายจิระพงษ์ โพธิ์นิล")</f>
        <v>นายจิระพงษ์ โพธิ์นิล</v>
      </c>
      <c r="L2747" s="1" t="str">
        <f>IFERROR(__xludf.DUMMYFUNCTION("""COMPUTED_VALUE"""),"นายจิระพงษ์ โพธิ์นิล")</f>
        <v>นายจิระพงษ์ โพธิ์นิล</v>
      </c>
      <c r="M2747" s="1" t="str">
        <f>IFERROR(__xludf.DUMMYFUNCTION("""COMPUTED_VALUE"""),"0933290754")</f>
        <v>0933290754</v>
      </c>
      <c r="N2747" s="3">
        <f>IFERROR(__xludf.DUMMYFUNCTION("""COMPUTED_VALUE"""),83567.0)</f>
        <v>83567</v>
      </c>
      <c r="O2747" s="3" t="str">
        <f>IFERROR(__xludf.DUMMYFUNCTION("""COMPUTED_VALUE"""),"ร้านธนภร")</f>
        <v>ร้านธนภร</v>
      </c>
      <c r="P2747" s="4">
        <f>IFERROR(__xludf.DUMMYFUNCTION("""COMPUTED_VALUE"""),44620.0)</f>
        <v>44620</v>
      </c>
      <c r="Q2747" s="3" t="str">
        <f>IFERROR(__xludf.DUMMYFUNCTION("""COMPUTED_VALUE"""),"I")</f>
        <v>I</v>
      </c>
      <c r="R2747" s="3" t="str">
        <f>IFERROR(__xludf.DUMMYFUNCTION("""COMPUTED_VALUE"""),"Small Format")</f>
        <v>Small Format</v>
      </c>
      <c r="S2747" s="3" t="str">
        <f>IFERROR(__xludf.DUMMYFUNCTION("""COMPUTED_VALUE"""),"Donjai")</f>
        <v>Donjai</v>
      </c>
      <c r="T2747" s="3" t="str">
        <f>IFERROR(__xludf.DUMMYFUNCTION("""COMPUTED_VALUE"""),"03 K.Peerapong K.")</f>
        <v>03 K.Peerapong K.</v>
      </c>
      <c r="U2747" s="3" t="str">
        <f>IFERROR(__xludf.DUMMYFUNCTION("""COMPUTED_VALUE"""),"03 K.Peerapong K.")</f>
        <v>03 K.Peerapong K.</v>
      </c>
      <c r="V2747" s="3" t="str">
        <f>IFERROR(__xludf.DUMMYFUNCTION("""COMPUTED_VALUE"""),"N")</f>
        <v>N</v>
      </c>
      <c r="W2747" s="3"/>
      <c r="X2747" s="3" t="str">
        <f>IFERROR(__xludf.DUMMYFUNCTION("""COMPUTED_VALUE"""),"130ม.7 ต.โพธิ์ศรี อ.โพธิ์ชัย จ.ร้อยเอ็ด")</f>
        <v>130ม.7 ต.โพธิ์ศรี อ.โพธิ์ชัย จ.ร้อยเอ็ด</v>
      </c>
      <c r="Y2747" s="3"/>
      <c r="Z2747" s="3">
        <f>IFERROR(__xludf.DUMMYFUNCTION("""COMPUTED_VALUE"""),0.0)</f>
        <v>0</v>
      </c>
      <c r="AA2747" s="3">
        <f>IFERROR(__xludf.DUMMYFUNCTION("""COMPUTED_VALUE"""),0.0)</f>
        <v>0</v>
      </c>
      <c r="AB2747" s="3" t="str">
        <f>IFERROR(__xludf.DUMMYFUNCTION("""COMPUTED_VALUE"""),"ร้อยเอ็ด")</f>
        <v>ร้อยเอ็ด</v>
      </c>
      <c r="AC2747" s="3">
        <f>IFERROR(__xludf.DUMMYFUNCTION("""COMPUTED_VALUE"""),0.0)</f>
        <v>0</v>
      </c>
      <c r="AD2747" s="3"/>
      <c r="AE2747" s="3"/>
      <c r="AF2747" s="3" t="str">
        <f>IFERROR(__xludf.DUMMYFUNCTION("""COMPUTED_VALUE"""),"ร้านธนภร-83567")</f>
        <v>ร้านธนภร-83567</v>
      </c>
      <c r="AG2747" s="3" t="str">
        <f>IFERROR(__xludf.DUMMYFUNCTION("""COMPUTED_VALUE"""),"ตะวันออกเฉียงเหนือ")</f>
        <v>ตะวันออกเฉียงเหนือ</v>
      </c>
      <c r="AH2747" s="3" t="str">
        <f>IFERROR(__xludf.DUMMYFUNCTION("""COMPUTED_VALUE"""),"#N/A")</f>
        <v>#N/A</v>
      </c>
      <c r="AI2747" s="3" t="str">
        <f>IFERROR(__xludf.DUMMYFUNCTION("""COMPUTED_VALUE"""),"Out of warranty")</f>
        <v>Out of warranty</v>
      </c>
      <c r="AJ2747" s="3">
        <f>IFERROR(__xludf.DUMMYFUNCTION("""COMPUTED_VALUE"""),47.0)</f>
        <v>47</v>
      </c>
      <c r="AK2747" s="3"/>
      <c r="AL2747" s="3"/>
    </row>
    <row r="2748" ht="15.75" customHeight="1">
      <c r="A2748" s="1" t="str">
        <f>IFERROR(__xludf.DUMMYFUNCTION("""COMPUTED_VALUE"""),"83569")</f>
        <v>83569</v>
      </c>
      <c r="B2748" s="2">
        <f>IFERROR(__xludf.DUMMYFUNCTION("""COMPUTED_VALUE"""),83569.0)</f>
        <v>83569</v>
      </c>
      <c r="C2748" s="3" t="str">
        <f>IFERROR(__xludf.DUMMYFUNCTION("""COMPUTED_VALUE"""),"ร้านรวยกาญ (ร้านเหรียญทอง)")</f>
        <v>ร้านรวยกาญ (ร้านเหรียญทอง)</v>
      </c>
      <c r="D2748" s="3" t="str">
        <f>IFERROR(__xludf.DUMMYFUNCTION("""COMPUTED_VALUE"""),"ร้านรวยกาญ (ร้านเหรียญทอง)")</f>
        <v>ร้านรวยกาญ (ร้านเหรียญทอง)</v>
      </c>
      <c r="E2748" s="1" t="str">
        <f>IFERROR(__xludf.DUMMYFUNCTION("""COMPUTED_VALUE"""),"Donjai")</f>
        <v>Donjai</v>
      </c>
      <c r="F2748" s="1" t="str">
        <f>IFERROR(__xludf.DUMMYFUNCTION("""COMPUTED_VALUE"""),"296608")</f>
        <v>296608</v>
      </c>
      <c r="G2748" s="1" t="str">
        <f>IFERROR(__xludf.DUMMYFUNCTION("""COMPUTED_VALUE"""),"นายภาคภูมิ เพ็ชรนิล")</f>
        <v>นายภาคภูมิ เพ็ชรนิล</v>
      </c>
      <c r="H2748" s="1" t="str">
        <f>IFERROR(__xludf.DUMMYFUNCTION("""COMPUTED_VALUE"""),"296608")</f>
        <v>296608</v>
      </c>
      <c r="I2748" s="1" t="str">
        <f>IFERROR(__xludf.DUMMYFUNCTION("""COMPUTED_VALUE"""),"นายภาคภูมิ เพ็ชรนิล")</f>
        <v>นายภาคภูมิ เพ็ชรนิล</v>
      </c>
      <c r="J2748" s="3">
        <f>IFERROR(__xludf.DUMMYFUNCTION("""COMPUTED_VALUE"""),228031.0)</f>
        <v>228031</v>
      </c>
      <c r="K2748" s="3" t="str">
        <f>IFERROR(__xludf.DUMMYFUNCTION("""COMPUTED_VALUE"""),"นายธนพงษ์ วันหมัด")</f>
        <v>นายธนพงษ์ วันหมัด</v>
      </c>
      <c r="L2748" s="1" t="str">
        <f>IFERROR(__xludf.DUMMYFUNCTION("""COMPUTED_VALUE"""),"นายธนพงษ์ วันหมัด")</f>
        <v>นายธนพงษ์ วันหมัด</v>
      </c>
      <c r="M2748" s="1" t="str">
        <f>IFERROR(__xludf.DUMMYFUNCTION("""COMPUTED_VALUE"""),"0813716913")</f>
        <v>0813716913</v>
      </c>
      <c r="N2748" s="3">
        <f>IFERROR(__xludf.DUMMYFUNCTION("""COMPUTED_VALUE"""),83569.0)</f>
        <v>83569</v>
      </c>
      <c r="O2748" s="3" t="str">
        <f>IFERROR(__xludf.DUMMYFUNCTION("""COMPUTED_VALUE"""),"ร้านรวยกาญ (ร้านเหรียญทอง)")</f>
        <v>ร้านรวยกาญ (ร้านเหรียญทอง)</v>
      </c>
      <c r="P2748" s="4">
        <f>IFERROR(__xludf.DUMMYFUNCTION("""COMPUTED_VALUE"""),44633.0)</f>
        <v>44633</v>
      </c>
      <c r="Q2748" s="3" t="str">
        <f>IFERROR(__xludf.DUMMYFUNCTION("""COMPUTED_VALUE"""),"I")</f>
        <v>I</v>
      </c>
      <c r="R2748" s="3" t="str">
        <f>IFERROR(__xludf.DUMMYFUNCTION("""COMPUTED_VALUE"""),"Small Format")</f>
        <v>Small Format</v>
      </c>
      <c r="S2748" s="3" t="str">
        <f>IFERROR(__xludf.DUMMYFUNCTION("""COMPUTED_VALUE"""),"Donjai")</f>
        <v>Donjai</v>
      </c>
      <c r="T2748" s="3" t="str">
        <f>IFERROR(__xludf.DUMMYFUNCTION("""COMPUTED_VALUE"""),"10 K.Phakphoom P.")</f>
        <v>10 K.Phakphoom P.</v>
      </c>
      <c r="U2748" s="3" t="str">
        <f>IFERROR(__xludf.DUMMYFUNCTION("""COMPUTED_VALUE"""),"10 K.Phakphoom P.")</f>
        <v>10 K.Phakphoom P.</v>
      </c>
      <c r="V2748" s="3" t="str">
        <f>IFERROR(__xludf.DUMMYFUNCTION("""COMPUTED_VALUE"""),"N")</f>
        <v>N</v>
      </c>
      <c r="W2748" s="3"/>
      <c r="X2748" s="3" t="str">
        <f>IFERROR(__xludf.DUMMYFUNCTION("""COMPUTED_VALUE"""),"989 ม.3 ต.ท่าม่วง อ.ท่าม่วง จ.กาญจนบุรี")</f>
        <v>989 ม.3 ต.ท่าม่วง อ.ท่าม่วง จ.กาญจนบุรี</v>
      </c>
      <c r="Y2748" s="3"/>
      <c r="Z2748" s="3">
        <f>IFERROR(__xludf.DUMMYFUNCTION("""COMPUTED_VALUE"""),0.0)</f>
        <v>0</v>
      </c>
      <c r="AA2748" s="3">
        <f>IFERROR(__xludf.DUMMYFUNCTION("""COMPUTED_VALUE"""),0.0)</f>
        <v>0</v>
      </c>
      <c r="AB2748" s="3" t="str">
        <f>IFERROR(__xludf.DUMMYFUNCTION("""COMPUTED_VALUE"""),"กาญจนบุรี")</f>
        <v>กาญจนบุรี</v>
      </c>
      <c r="AC2748" s="3">
        <f>IFERROR(__xludf.DUMMYFUNCTION("""COMPUTED_VALUE"""),0.0)</f>
        <v>0</v>
      </c>
      <c r="AD2748" s="3"/>
      <c r="AE2748" s="3"/>
      <c r="AF2748" s="3" t="str">
        <f>IFERROR(__xludf.DUMMYFUNCTION("""COMPUTED_VALUE"""),"ร้านรวยกาญ (ร้านเหรียญทอง)-83569")</f>
        <v>ร้านรวยกาญ (ร้านเหรียญทอง)-83569</v>
      </c>
      <c r="AG2748" s="3" t="str">
        <f>IFERROR(__xludf.DUMMYFUNCTION("""COMPUTED_VALUE"""),"ตะวันตก")</f>
        <v>ตะวันตก</v>
      </c>
      <c r="AH2748" s="3" t="str">
        <f>IFERROR(__xludf.DUMMYFUNCTION("""COMPUTED_VALUE"""),"#N/A")</f>
        <v>#N/A</v>
      </c>
      <c r="AI2748" s="3" t="str">
        <f>IFERROR(__xludf.DUMMYFUNCTION("""COMPUTED_VALUE"""),"Out of warranty")</f>
        <v>Out of warranty</v>
      </c>
      <c r="AJ2748" s="3">
        <f>IFERROR(__xludf.DUMMYFUNCTION("""COMPUTED_VALUE"""),47.0)</f>
        <v>47</v>
      </c>
      <c r="AK2748" s="3"/>
      <c r="AL2748" s="3"/>
    </row>
    <row r="2749" ht="15.75" customHeight="1">
      <c r="A2749" s="1" t="str">
        <f>IFERROR(__xludf.DUMMYFUNCTION("""COMPUTED_VALUE"""),"83570")</f>
        <v>83570</v>
      </c>
      <c r="B2749" s="2">
        <f>IFERROR(__xludf.DUMMYFUNCTION("""COMPUTED_VALUE"""),83570.0)</f>
        <v>83570</v>
      </c>
      <c r="C2749" s="3" t="str">
        <f>IFERROR(__xludf.DUMMYFUNCTION("""COMPUTED_VALUE"""),"ร้านวาสนา")</f>
        <v>ร้านวาสนา</v>
      </c>
      <c r="D2749" s="3" t="str">
        <f>IFERROR(__xludf.DUMMYFUNCTION("""COMPUTED_VALUE"""),"ร้านวาสนา")</f>
        <v>ร้านวาสนา</v>
      </c>
      <c r="E2749" s="1" t="str">
        <f>IFERROR(__xludf.DUMMYFUNCTION("""COMPUTED_VALUE"""),"Donjai")</f>
        <v>Donjai</v>
      </c>
      <c r="F2749" s="1" t="str">
        <f>IFERROR(__xludf.DUMMYFUNCTION("""COMPUTED_VALUE"""),"025324")</f>
        <v>025324</v>
      </c>
      <c r="G2749" s="1" t="str">
        <f>IFERROR(__xludf.DUMMYFUNCTION("""COMPUTED_VALUE"""),"นายวิเชฎฐ์ ติรัตนะประคม")</f>
        <v>นายวิเชฎฐ์ ติรัตนะประคม</v>
      </c>
      <c r="H2749" s="1" t="str">
        <f>IFERROR(__xludf.DUMMYFUNCTION("""COMPUTED_VALUE"""),"025324")</f>
        <v>025324</v>
      </c>
      <c r="I2749" s="1" t="str">
        <f>IFERROR(__xludf.DUMMYFUNCTION("""COMPUTED_VALUE"""),"นายวิเชฎฐ์ ติรัตนะประคม")</f>
        <v>นายวิเชฎฐ์ ติรัตนะประคม</v>
      </c>
      <c r="J2749" s="3">
        <f>IFERROR(__xludf.DUMMYFUNCTION("""COMPUTED_VALUE"""),295541.0)</f>
        <v>295541</v>
      </c>
      <c r="K2749" s="3" t="str">
        <f>IFERROR(__xludf.DUMMYFUNCTION("""COMPUTED_VALUE"""),"นายรพิพล ศรีมาตย์")</f>
        <v>นายรพิพล ศรีมาตย์</v>
      </c>
      <c r="L2749" s="1" t="str">
        <f>IFERROR(__xludf.DUMMYFUNCTION("""COMPUTED_VALUE"""),"นายรพิพล ศรีมาตย์")</f>
        <v>นายรพิพล ศรีมาตย์</v>
      </c>
      <c r="M2749" s="1" t="str">
        <f>IFERROR(__xludf.DUMMYFUNCTION("""COMPUTED_VALUE"""),"0613966115")</f>
        <v>0613966115</v>
      </c>
      <c r="N2749" s="3">
        <f>IFERROR(__xludf.DUMMYFUNCTION("""COMPUTED_VALUE"""),83570.0)</f>
        <v>83570</v>
      </c>
      <c r="O2749" s="3" t="str">
        <f>IFERROR(__xludf.DUMMYFUNCTION("""COMPUTED_VALUE"""),"ร้านวาสนา")</f>
        <v>ร้านวาสนา</v>
      </c>
      <c r="P2749" s="4">
        <f>IFERROR(__xludf.DUMMYFUNCTION("""COMPUTED_VALUE"""),44651.0)</f>
        <v>44651</v>
      </c>
      <c r="Q2749" s="3" t="str">
        <f>IFERROR(__xludf.DUMMYFUNCTION("""COMPUTED_VALUE"""),"A")</f>
        <v>A</v>
      </c>
      <c r="R2749" s="3" t="str">
        <f>IFERROR(__xludf.DUMMYFUNCTION("""COMPUTED_VALUE"""),"Small Format")</f>
        <v>Small Format</v>
      </c>
      <c r="S2749" s="3" t="str">
        <f>IFERROR(__xludf.DUMMYFUNCTION("""COMPUTED_VALUE"""),"Donjai")</f>
        <v>Donjai</v>
      </c>
      <c r="T2749" s="3" t="str">
        <f>IFERROR(__xludf.DUMMYFUNCTION("""COMPUTED_VALUE"""),"14 K.Wichet T.")</f>
        <v>14 K.Wichet T.</v>
      </c>
      <c r="U2749" s="3" t="str">
        <f>IFERROR(__xludf.DUMMYFUNCTION("""COMPUTED_VALUE"""),"14 K.Wichet T.")</f>
        <v>14 K.Wichet T.</v>
      </c>
      <c r="V2749" s="3" t="str">
        <f>IFERROR(__xludf.DUMMYFUNCTION("""COMPUTED_VALUE"""),"N")</f>
        <v>N</v>
      </c>
      <c r="W2749" s="3"/>
      <c r="X2749" s="3" t="str">
        <f>IFERROR(__xludf.DUMMYFUNCTION("""COMPUTED_VALUE"""),"26 ม.5 ต.นาคา อ.สุขสำราญ จ.ระนอง 85120")</f>
        <v>26 ม.5 ต.นาคา อ.สุขสำราญ จ.ระนอง 85120</v>
      </c>
      <c r="Y2749" s="3"/>
      <c r="Z2749" s="3">
        <f>IFERROR(__xludf.DUMMYFUNCTION("""COMPUTED_VALUE"""),0.0)</f>
        <v>0</v>
      </c>
      <c r="AA2749" s="3">
        <f>IFERROR(__xludf.DUMMYFUNCTION("""COMPUTED_VALUE"""),0.0)</f>
        <v>0</v>
      </c>
      <c r="AB2749" s="3" t="str">
        <f>IFERROR(__xludf.DUMMYFUNCTION("""COMPUTED_VALUE"""),"ระนอง")</f>
        <v>ระนอง</v>
      </c>
      <c r="AC2749" s="3">
        <f>IFERROR(__xludf.DUMMYFUNCTION("""COMPUTED_VALUE"""),85120.0)</f>
        <v>85120</v>
      </c>
      <c r="AD2749" s="3"/>
      <c r="AE2749" s="3"/>
      <c r="AF2749" s="3" t="str">
        <f>IFERROR(__xludf.DUMMYFUNCTION("""COMPUTED_VALUE"""),"ร้านวาสนา-83570")</f>
        <v>ร้านวาสนา-83570</v>
      </c>
      <c r="AG2749" s="3" t="str">
        <f>IFERROR(__xludf.DUMMYFUNCTION("""COMPUTED_VALUE"""),"ใต้")</f>
        <v>ใต้</v>
      </c>
      <c r="AH2749" s="3" t="str">
        <f>IFERROR(__xludf.DUMMYFUNCTION("""COMPUTED_VALUE"""),"#N/A")</f>
        <v>#N/A</v>
      </c>
      <c r="AI2749" s="3" t="str">
        <f>IFERROR(__xludf.DUMMYFUNCTION("""COMPUTED_VALUE"""),"Out of warranty")</f>
        <v>Out of warranty</v>
      </c>
      <c r="AJ2749" s="3">
        <f>IFERROR(__xludf.DUMMYFUNCTION("""COMPUTED_VALUE"""),46.0)</f>
        <v>46</v>
      </c>
      <c r="AK2749" s="3"/>
      <c r="AL2749" s="3"/>
    </row>
    <row r="2750" ht="15.75" customHeight="1">
      <c r="A2750" s="1" t="str">
        <f>IFERROR(__xludf.DUMMYFUNCTION("""COMPUTED_VALUE"""),"83571")</f>
        <v>83571</v>
      </c>
      <c r="B2750" s="2">
        <f>IFERROR(__xludf.DUMMYFUNCTION("""COMPUTED_VALUE"""),83571.0)</f>
        <v>83571</v>
      </c>
      <c r="C2750" s="3" t="str">
        <f>IFERROR(__xludf.DUMMYFUNCTION("""COMPUTED_VALUE"""),"ร้านส้มมินิมาร์ท เอกชัย 41")</f>
        <v>ร้านส้มมินิมาร์ท เอกชัย 41</v>
      </c>
      <c r="D2750" s="3" t="str">
        <f>IFERROR(__xludf.DUMMYFUNCTION("""COMPUTED_VALUE"""),"ร้านส้มมินิมาร์ท เอกชัย 41")</f>
        <v>ร้านส้มมินิมาร์ท เอกชัย 41</v>
      </c>
      <c r="E2750" s="1" t="str">
        <f>IFERROR(__xludf.DUMMYFUNCTION("""COMPUTED_VALUE"""),"Donjai")</f>
        <v>Donjai</v>
      </c>
      <c r="F2750" s="1" t="str">
        <f>IFERROR(__xludf.DUMMYFUNCTION("""COMPUTED_VALUE"""),"296608")</f>
        <v>296608</v>
      </c>
      <c r="G2750" s="1" t="str">
        <f>IFERROR(__xludf.DUMMYFUNCTION("""COMPUTED_VALUE"""),"นายภาคภูมิ เพ็ชรนิล")</f>
        <v>นายภาคภูมิ เพ็ชรนิล</v>
      </c>
      <c r="H2750" s="1" t="str">
        <f>IFERROR(__xludf.DUMMYFUNCTION("""COMPUTED_VALUE"""),"296608")</f>
        <v>296608</v>
      </c>
      <c r="I2750" s="1" t="str">
        <f>IFERROR(__xludf.DUMMYFUNCTION("""COMPUTED_VALUE"""),"นายภาคภูมิ เพ็ชรนิล")</f>
        <v>นายภาคภูมิ เพ็ชรนิล</v>
      </c>
      <c r="J2750" s="3">
        <f>IFERROR(__xludf.DUMMYFUNCTION("""COMPUTED_VALUE"""),228031.0)</f>
        <v>228031</v>
      </c>
      <c r="K2750" s="3" t="str">
        <f>IFERROR(__xludf.DUMMYFUNCTION("""COMPUTED_VALUE"""),"นายธนพงษ์ วันหมัด")</f>
        <v>นายธนพงษ์ วันหมัด</v>
      </c>
      <c r="L2750" s="1" t="str">
        <f>IFERROR(__xludf.DUMMYFUNCTION("""COMPUTED_VALUE"""),"นายธนพงษ์ วันหมัด")</f>
        <v>นายธนพงษ์ วันหมัด</v>
      </c>
      <c r="M2750" s="1" t="str">
        <f>IFERROR(__xludf.DUMMYFUNCTION("""COMPUTED_VALUE"""),"0813716913")</f>
        <v>0813716913</v>
      </c>
      <c r="N2750" s="3">
        <f>IFERROR(__xludf.DUMMYFUNCTION("""COMPUTED_VALUE"""),83571.0)</f>
        <v>83571</v>
      </c>
      <c r="O2750" s="3" t="str">
        <f>IFERROR(__xludf.DUMMYFUNCTION("""COMPUTED_VALUE"""),"ร้านส้มมินิมาร์ท เอกชัย 41")</f>
        <v>ร้านส้มมินิมาร์ท เอกชัย 41</v>
      </c>
      <c r="P2750" s="4">
        <f>IFERROR(__xludf.DUMMYFUNCTION("""COMPUTED_VALUE"""),44651.0)</f>
        <v>44651</v>
      </c>
      <c r="Q2750" s="3" t="str">
        <f>IFERROR(__xludf.DUMMYFUNCTION("""COMPUTED_VALUE"""),"A")</f>
        <v>A</v>
      </c>
      <c r="R2750" s="3" t="str">
        <f>IFERROR(__xludf.DUMMYFUNCTION("""COMPUTED_VALUE"""),"Small Format")</f>
        <v>Small Format</v>
      </c>
      <c r="S2750" s="3" t="str">
        <f>IFERROR(__xludf.DUMMYFUNCTION("""COMPUTED_VALUE"""),"Donjai")</f>
        <v>Donjai</v>
      </c>
      <c r="T2750" s="3" t="str">
        <f>IFERROR(__xludf.DUMMYFUNCTION("""COMPUTED_VALUE"""),"10 K.Phakphoom P.")</f>
        <v>10 K.Phakphoom P.</v>
      </c>
      <c r="U2750" s="3" t="str">
        <f>IFERROR(__xludf.DUMMYFUNCTION("""COMPUTED_VALUE"""),"10 K.Phakphoom P.")</f>
        <v>10 K.Phakphoom P.</v>
      </c>
      <c r="V2750" s="3" t="str">
        <f>IFERROR(__xludf.DUMMYFUNCTION("""COMPUTED_VALUE"""),"N")</f>
        <v>N</v>
      </c>
      <c r="W2750" s="3"/>
      <c r="X2750" s="3" t="str">
        <f>IFERROR(__xludf.DUMMYFUNCTION("""COMPUTED_VALUE"""),"35/24 หมู่ 3 ถ.เอกชัย แขวงบางขุนเทียน เขตจอมทอง กทม 10150")</f>
        <v>35/24 หมู่ 3 ถ.เอกชัย แขวงบางขุนเทียน เขตจอมทอง กทม 10150</v>
      </c>
      <c r="Y2750" s="3"/>
      <c r="Z2750" s="3">
        <f>IFERROR(__xludf.DUMMYFUNCTION("""COMPUTED_VALUE"""),0.0)</f>
        <v>0</v>
      </c>
      <c r="AA2750" s="3">
        <f>IFERROR(__xludf.DUMMYFUNCTION("""COMPUTED_VALUE"""),0.0)</f>
        <v>0</v>
      </c>
      <c r="AB2750" s="3" t="str">
        <f>IFERROR(__xludf.DUMMYFUNCTION("""COMPUTED_VALUE"""),"กรุงเทพมหานคร")</f>
        <v>กรุงเทพมหานคร</v>
      </c>
      <c r="AC2750" s="3">
        <f>IFERROR(__xludf.DUMMYFUNCTION("""COMPUTED_VALUE"""),10150.0)</f>
        <v>10150</v>
      </c>
      <c r="AD2750" s="3"/>
      <c r="AE2750" s="3"/>
      <c r="AF2750" s="3" t="str">
        <f>IFERROR(__xludf.DUMMYFUNCTION("""COMPUTED_VALUE"""),"ร้านส้มมินิมาร์ท เอกชัย 41-83571")</f>
        <v>ร้านส้มมินิมาร์ท เอกชัย 41-83571</v>
      </c>
      <c r="AG2750" s="3" t="str">
        <f>IFERROR(__xludf.DUMMYFUNCTION("""COMPUTED_VALUE"""),"กลาง")</f>
        <v>กลาง</v>
      </c>
      <c r="AH2750" s="3" t="str">
        <f>IFERROR(__xludf.DUMMYFUNCTION("""COMPUTED_VALUE"""),"#N/A")</f>
        <v>#N/A</v>
      </c>
      <c r="AI2750" s="3" t="str">
        <f>IFERROR(__xludf.DUMMYFUNCTION("""COMPUTED_VALUE"""),"Out of warranty")</f>
        <v>Out of warranty</v>
      </c>
      <c r="AJ2750" s="3">
        <f>IFERROR(__xludf.DUMMYFUNCTION("""COMPUTED_VALUE"""),46.0)</f>
        <v>46</v>
      </c>
      <c r="AK2750" s="3"/>
      <c r="AL2750" s="3"/>
    </row>
    <row r="2751" ht="15.75" customHeight="1">
      <c r="A2751" s="1" t="str">
        <f>IFERROR(__xludf.DUMMYFUNCTION("""COMPUTED_VALUE"""),"83572")</f>
        <v>83572</v>
      </c>
      <c r="B2751" s="2">
        <f>IFERROR(__xludf.DUMMYFUNCTION("""COMPUTED_VALUE"""),83572.0)</f>
        <v>83572</v>
      </c>
      <c r="C2751" s="3" t="str">
        <f>IFERROR(__xludf.DUMMYFUNCTION("""COMPUTED_VALUE"""),"ร้าน 3 อ. การค้า")</f>
        <v>ร้าน 3 อ. การค้า</v>
      </c>
      <c r="D2751" s="3" t="str">
        <f>IFERROR(__xludf.DUMMYFUNCTION("""COMPUTED_VALUE"""),"ร้าน 3 อ. การค้า")</f>
        <v>ร้าน 3 อ. การค้า</v>
      </c>
      <c r="E2751" s="1" t="str">
        <f>IFERROR(__xludf.DUMMYFUNCTION("""COMPUTED_VALUE"""),"Donjai")</f>
        <v>Donjai</v>
      </c>
      <c r="F2751" s="1" t="str">
        <f>IFERROR(__xludf.DUMMYFUNCTION("""COMPUTED_VALUE"""),"296868")</f>
        <v>296868</v>
      </c>
      <c r="G2751" s="1" t="str">
        <f>IFERROR(__xludf.DUMMYFUNCTION("""COMPUTED_VALUE"""),"นายพีระพงษ์ แก้วดวงดี")</f>
        <v>นายพีระพงษ์ แก้วดวงดี</v>
      </c>
      <c r="H2751" s="1" t="str">
        <f>IFERROR(__xludf.DUMMYFUNCTION("""COMPUTED_VALUE"""),"296868")</f>
        <v>296868</v>
      </c>
      <c r="I2751" s="1" t="str">
        <f>IFERROR(__xludf.DUMMYFUNCTION("""COMPUTED_VALUE"""),"นายพีระพงษ์ แก้วดวงดี")</f>
        <v>นายพีระพงษ์ แก้วดวงดี</v>
      </c>
      <c r="J2751" s="3">
        <f>IFERROR(__xludf.DUMMYFUNCTION("""COMPUTED_VALUE"""),295886.0)</f>
        <v>295886</v>
      </c>
      <c r="K2751" s="3" t="str">
        <f>IFERROR(__xludf.DUMMYFUNCTION("""COMPUTED_VALUE"""),"นายจิระพงษ์ โพธิ์นิล")</f>
        <v>นายจิระพงษ์ โพธิ์นิล</v>
      </c>
      <c r="L2751" s="1" t="str">
        <f>IFERROR(__xludf.DUMMYFUNCTION("""COMPUTED_VALUE"""),"นายจิระพงษ์ โพธิ์นิล")</f>
        <v>นายจิระพงษ์ โพธิ์นิล</v>
      </c>
      <c r="M2751" s="1" t="str">
        <f>IFERROR(__xludf.DUMMYFUNCTION("""COMPUTED_VALUE"""),"0933290754")</f>
        <v>0933290754</v>
      </c>
      <c r="N2751" s="3">
        <f>IFERROR(__xludf.DUMMYFUNCTION("""COMPUTED_VALUE"""),83572.0)</f>
        <v>83572</v>
      </c>
      <c r="O2751" s="3" t="str">
        <f>IFERROR(__xludf.DUMMYFUNCTION("""COMPUTED_VALUE"""),"ร้าน 3 อ. การค้า")</f>
        <v>ร้าน 3 อ. การค้า</v>
      </c>
      <c r="P2751" s="4">
        <f>IFERROR(__xludf.DUMMYFUNCTION("""COMPUTED_VALUE"""),44626.0)</f>
        <v>44626</v>
      </c>
      <c r="Q2751" s="3" t="str">
        <f>IFERROR(__xludf.DUMMYFUNCTION("""COMPUTED_VALUE"""),"I")</f>
        <v>I</v>
      </c>
      <c r="R2751" s="3" t="str">
        <f>IFERROR(__xludf.DUMMYFUNCTION("""COMPUTED_VALUE"""),"Small Format")</f>
        <v>Small Format</v>
      </c>
      <c r="S2751" s="3" t="str">
        <f>IFERROR(__xludf.DUMMYFUNCTION("""COMPUTED_VALUE"""),"Donjai")</f>
        <v>Donjai</v>
      </c>
      <c r="T2751" s="3" t="str">
        <f>IFERROR(__xludf.DUMMYFUNCTION("""COMPUTED_VALUE"""),"03 K.Peerapong K.")</f>
        <v>03 K.Peerapong K.</v>
      </c>
      <c r="U2751" s="3" t="str">
        <f>IFERROR(__xludf.DUMMYFUNCTION("""COMPUTED_VALUE"""),"03 K.Peerapong K.")</f>
        <v>03 K.Peerapong K.</v>
      </c>
      <c r="V2751" s="3" t="str">
        <f>IFERROR(__xludf.DUMMYFUNCTION("""COMPUTED_VALUE"""),"N")</f>
        <v>N</v>
      </c>
      <c r="W2751" s="3"/>
      <c r="X2751" s="3" t="str">
        <f>IFERROR(__xludf.DUMMYFUNCTION("""COMPUTED_VALUE"""),"152/1 ม.10 ต.ท่าบ่อ อ.ท่าบ่อ จ.หนองคาย")</f>
        <v>152/1 ม.10 ต.ท่าบ่อ อ.ท่าบ่อ จ.หนองคาย</v>
      </c>
      <c r="Y2751" s="3"/>
      <c r="Z2751" s="3">
        <f>IFERROR(__xludf.DUMMYFUNCTION("""COMPUTED_VALUE"""),0.0)</f>
        <v>0</v>
      </c>
      <c r="AA2751" s="3">
        <f>IFERROR(__xludf.DUMMYFUNCTION("""COMPUTED_VALUE"""),0.0)</f>
        <v>0</v>
      </c>
      <c r="AB2751" s="3" t="str">
        <f>IFERROR(__xludf.DUMMYFUNCTION("""COMPUTED_VALUE"""),"หนองคาย")</f>
        <v>หนองคาย</v>
      </c>
      <c r="AC2751" s="3">
        <f>IFERROR(__xludf.DUMMYFUNCTION("""COMPUTED_VALUE"""),0.0)</f>
        <v>0</v>
      </c>
      <c r="AD2751" s="3"/>
      <c r="AE2751" s="3"/>
      <c r="AF2751" s="3" t="str">
        <f>IFERROR(__xludf.DUMMYFUNCTION("""COMPUTED_VALUE"""),"ร้าน 3 อ. การค้า-83572")</f>
        <v>ร้าน 3 อ. การค้า-83572</v>
      </c>
      <c r="AG2751" s="3" t="str">
        <f>IFERROR(__xludf.DUMMYFUNCTION("""COMPUTED_VALUE"""),"ตะวันออกเฉียงเหนือ")</f>
        <v>ตะวันออกเฉียงเหนือ</v>
      </c>
      <c r="AH2751" s="3" t="str">
        <f>IFERROR(__xludf.DUMMYFUNCTION("""COMPUTED_VALUE"""),"#N/A")</f>
        <v>#N/A</v>
      </c>
      <c r="AI2751" s="3" t="str">
        <f>IFERROR(__xludf.DUMMYFUNCTION("""COMPUTED_VALUE"""),"Out of warranty")</f>
        <v>Out of warranty</v>
      </c>
      <c r="AJ2751" s="3">
        <f>IFERROR(__xludf.DUMMYFUNCTION("""COMPUTED_VALUE"""),47.0)</f>
        <v>47</v>
      </c>
      <c r="AK2751" s="3"/>
      <c r="AL2751" s="3"/>
    </row>
    <row r="2752" ht="15.75" customHeight="1">
      <c r="A2752" s="1" t="str">
        <f>IFERROR(__xludf.DUMMYFUNCTION("""COMPUTED_VALUE"""),"83575")</f>
        <v>83575</v>
      </c>
      <c r="B2752" s="2">
        <f>IFERROR(__xludf.DUMMYFUNCTION("""COMPUTED_VALUE"""),83575.0)</f>
        <v>83575</v>
      </c>
      <c r="C2752" s="3" t="str">
        <f>IFERROR(__xludf.DUMMYFUNCTION("""COMPUTED_VALUE"""),"ร้านข้าวหอม มินิมาร์ท (มัลลิกา)")</f>
        <v>ร้านข้าวหอม มินิมาร์ท (มัลลิกา)</v>
      </c>
      <c r="D2752" s="3" t="str">
        <f>IFERROR(__xludf.DUMMYFUNCTION("""COMPUTED_VALUE"""),"ร้านข้าวหอม มินิมาร์ท (มัลลิกา)")</f>
        <v>ร้านข้าวหอม มินิมาร์ท (มัลลิกา)</v>
      </c>
      <c r="E2752" s="1" t="str">
        <f>IFERROR(__xludf.DUMMYFUNCTION("""COMPUTED_VALUE"""),"Donjai")</f>
        <v>Donjai</v>
      </c>
      <c r="F2752" s="1" t="str">
        <f>IFERROR(__xludf.DUMMYFUNCTION("""COMPUTED_VALUE"""),"20470331")</f>
        <v>20470331</v>
      </c>
      <c r="G2752" s="1" t="str">
        <f>IFERROR(__xludf.DUMMYFUNCTION("""COMPUTED_VALUE"""),"นายสมชาย ลักษณะสุวรรณ")</f>
        <v>นายสมชาย ลักษณะสุวรรณ</v>
      </c>
      <c r="H2752" s="1" t="str">
        <f>IFERROR(__xludf.DUMMYFUNCTION("""COMPUTED_VALUE"""),"20470331")</f>
        <v>20470331</v>
      </c>
      <c r="I2752" s="1" t="str">
        <f>IFERROR(__xludf.DUMMYFUNCTION("""COMPUTED_VALUE"""),"นายสมชาย ลักษณะสุวรรณ")</f>
        <v>นายสมชาย ลักษณะสุวรรณ</v>
      </c>
      <c r="J2752" s="3">
        <f>IFERROR(__xludf.DUMMYFUNCTION("""COMPUTED_VALUE"""),295541.0)</f>
        <v>295541</v>
      </c>
      <c r="K2752" s="3" t="str">
        <f>IFERROR(__xludf.DUMMYFUNCTION("""COMPUTED_VALUE"""),"นายรพิพล ศรีมาตย์")</f>
        <v>นายรพิพล ศรีมาตย์</v>
      </c>
      <c r="L2752" s="1" t="str">
        <f>IFERROR(__xludf.DUMMYFUNCTION("""COMPUTED_VALUE"""),"นายรพิพล ศรีมาตย์")</f>
        <v>นายรพิพล ศรีมาตย์</v>
      </c>
      <c r="M2752" s="1" t="str">
        <f>IFERROR(__xludf.DUMMYFUNCTION("""COMPUTED_VALUE"""),"0613966115")</f>
        <v>0613966115</v>
      </c>
      <c r="N2752" s="3">
        <f>IFERROR(__xludf.DUMMYFUNCTION("""COMPUTED_VALUE"""),83575.0)</f>
        <v>83575</v>
      </c>
      <c r="O2752" s="3" t="str">
        <f>IFERROR(__xludf.DUMMYFUNCTION("""COMPUTED_VALUE"""),"ร้านข้าวหอม มินิมาร์ท (มัลลิกา)")</f>
        <v>ร้านข้าวหอม มินิมาร์ท (มัลลิกา)</v>
      </c>
      <c r="P2752" s="4">
        <f>IFERROR(__xludf.DUMMYFUNCTION("""COMPUTED_VALUE"""),44859.0)</f>
        <v>44859</v>
      </c>
      <c r="Q2752" s="3" t="str">
        <f>IFERROR(__xludf.DUMMYFUNCTION("""COMPUTED_VALUE"""),"A")</f>
        <v>A</v>
      </c>
      <c r="R2752" s="3" t="str">
        <f>IFERROR(__xludf.DUMMYFUNCTION("""COMPUTED_VALUE"""),"Small Format")</f>
        <v>Small Format</v>
      </c>
      <c r="S2752" s="3" t="str">
        <f>IFERROR(__xludf.DUMMYFUNCTION("""COMPUTED_VALUE"""),"Donjai")</f>
        <v>Donjai</v>
      </c>
      <c r="T2752" s="3" t="str">
        <f>IFERROR(__xludf.DUMMYFUNCTION("""COMPUTED_VALUE"""),"15 K.Somchai L")</f>
        <v>15 K.Somchai L</v>
      </c>
      <c r="U2752" s="3" t="str">
        <f>IFERROR(__xludf.DUMMYFUNCTION("""COMPUTED_VALUE"""),"15 K.Somchai L")</f>
        <v>15 K.Somchai L</v>
      </c>
      <c r="V2752" s="3" t="str">
        <f>IFERROR(__xludf.DUMMYFUNCTION("""COMPUTED_VALUE"""),"N")</f>
        <v>N</v>
      </c>
      <c r="W2752" s="3"/>
      <c r="X2752" s="3" t="str">
        <f>IFERROR(__xludf.DUMMYFUNCTION("""COMPUTED_VALUE"""),"164 ต.แม่ดง อ.แว้ง จ.นราธิวาส 96160")</f>
        <v>164 ต.แม่ดง อ.แว้ง จ.นราธิวาส 96160</v>
      </c>
      <c r="Y2752" s="3"/>
      <c r="Z2752" s="3">
        <f>IFERROR(__xludf.DUMMYFUNCTION("""COMPUTED_VALUE"""),0.0)</f>
        <v>0</v>
      </c>
      <c r="AA2752" s="3">
        <f>IFERROR(__xludf.DUMMYFUNCTION("""COMPUTED_VALUE"""),0.0)</f>
        <v>0</v>
      </c>
      <c r="AB2752" s="3" t="str">
        <f>IFERROR(__xludf.DUMMYFUNCTION("""COMPUTED_VALUE"""),"นราธิวาส")</f>
        <v>นราธิวาส</v>
      </c>
      <c r="AC2752" s="3">
        <f>IFERROR(__xludf.DUMMYFUNCTION("""COMPUTED_VALUE"""),96160.0)</f>
        <v>96160</v>
      </c>
      <c r="AD2752" s="3"/>
      <c r="AE2752" s="3"/>
      <c r="AF2752" s="3" t="str">
        <f>IFERROR(__xludf.DUMMYFUNCTION("""COMPUTED_VALUE"""),"ร้านข้าวหอม มินิมาร์ท (มัลลิกา)-83575")</f>
        <v>ร้านข้าวหอม มินิมาร์ท (มัลลิกา)-83575</v>
      </c>
      <c r="AG2752" s="3" t="str">
        <f>IFERROR(__xludf.DUMMYFUNCTION("""COMPUTED_VALUE"""),"ใต้")</f>
        <v>ใต้</v>
      </c>
      <c r="AH2752" s="3" t="str">
        <f>IFERROR(__xludf.DUMMYFUNCTION("""COMPUTED_VALUE"""),"#N/A")</f>
        <v>#N/A</v>
      </c>
      <c r="AI2752" s="3" t="str">
        <f>IFERROR(__xludf.DUMMYFUNCTION("""COMPUTED_VALUE"""),"Out of warranty")</f>
        <v>Out of warranty</v>
      </c>
      <c r="AJ2752" s="3">
        <f>IFERROR(__xludf.DUMMYFUNCTION("""COMPUTED_VALUE"""),39.0)</f>
        <v>39</v>
      </c>
      <c r="AK2752" s="3"/>
      <c r="AL2752" s="3"/>
    </row>
    <row r="2753" ht="15.75" customHeight="1">
      <c r="A2753" s="1" t="str">
        <f>IFERROR(__xludf.DUMMYFUNCTION("""COMPUTED_VALUE"""),"83576")</f>
        <v>83576</v>
      </c>
      <c r="B2753" s="2">
        <f>IFERROR(__xludf.DUMMYFUNCTION("""COMPUTED_VALUE"""),83576.0)</f>
        <v>83576</v>
      </c>
      <c r="C2753" s="3" t="str">
        <f>IFERROR(__xludf.DUMMYFUNCTION("""COMPUTED_VALUE"""),"ร้าน Galaxy")</f>
        <v>ร้าน Galaxy</v>
      </c>
      <c r="D2753" s="3" t="str">
        <f>IFERROR(__xludf.DUMMYFUNCTION("""COMPUTED_VALUE"""),"ร้าน Galaxy")</f>
        <v>ร้าน Galaxy</v>
      </c>
      <c r="E2753" s="1" t="str">
        <f>IFERROR(__xludf.DUMMYFUNCTION("""COMPUTED_VALUE"""),"Donjai")</f>
        <v>Donjai</v>
      </c>
      <c r="F2753" s="1" t="str">
        <f>IFERROR(__xludf.DUMMYFUNCTION("""COMPUTED_VALUE"""),"20470331")</f>
        <v>20470331</v>
      </c>
      <c r="G2753" s="1" t="str">
        <f>IFERROR(__xludf.DUMMYFUNCTION("""COMPUTED_VALUE"""),"นายสมชาย ลักษณะสุวรรณ")</f>
        <v>นายสมชาย ลักษณะสุวรรณ</v>
      </c>
      <c r="H2753" s="1" t="str">
        <f>IFERROR(__xludf.DUMMYFUNCTION("""COMPUTED_VALUE"""),"20470331")</f>
        <v>20470331</v>
      </c>
      <c r="I2753" s="1" t="str">
        <f>IFERROR(__xludf.DUMMYFUNCTION("""COMPUTED_VALUE"""),"นายสมชาย ลักษณะสุวรรณ")</f>
        <v>นายสมชาย ลักษณะสุวรรณ</v>
      </c>
      <c r="J2753" s="3">
        <f>IFERROR(__xludf.DUMMYFUNCTION("""COMPUTED_VALUE"""),295541.0)</f>
        <v>295541</v>
      </c>
      <c r="K2753" s="3" t="str">
        <f>IFERROR(__xludf.DUMMYFUNCTION("""COMPUTED_VALUE"""),"นายรพิพล ศรีมาตย์")</f>
        <v>นายรพิพล ศรีมาตย์</v>
      </c>
      <c r="L2753" s="1" t="str">
        <f>IFERROR(__xludf.DUMMYFUNCTION("""COMPUTED_VALUE"""),"นายรพิพล ศรีมาตย์")</f>
        <v>นายรพิพล ศรีมาตย์</v>
      </c>
      <c r="M2753" s="1" t="str">
        <f>IFERROR(__xludf.DUMMYFUNCTION("""COMPUTED_VALUE"""),"0613966115")</f>
        <v>0613966115</v>
      </c>
      <c r="N2753" s="3">
        <f>IFERROR(__xludf.DUMMYFUNCTION("""COMPUTED_VALUE"""),83576.0)</f>
        <v>83576</v>
      </c>
      <c r="O2753" s="3" t="str">
        <f>IFERROR(__xludf.DUMMYFUNCTION("""COMPUTED_VALUE"""),"ร้าน Galaxy")</f>
        <v>ร้าน Galaxy</v>
      </c>
      <c r="P2753" s="4">
        <f>IFERROR(__xludf.DUMMYFUNCTION("""COMPUTED_VALUE"""),44630.0)</f>
        <v>44630</v>
      </c>
      <c r="Q2753" s="3" t="str">
        <f>IFERROR(__xludf.DUMMYFUNCTION("""COMPUTED_VALUE"""),"I")</f>
        <v>I</v>
      </c>
      <c r="R2753" s="3" t="str">
        <f>IFERROR(__xludf.DUMMYFUNCTION("""COMPUTED_VALUE"""),"Small Format")</f>
        <v>Small Format</v>
      </c>
      <c r="S2753" s="3" t="str">
        <f>IFERROR(__xludf.DUMMYFUNCTION("""COMPUTED_VALUE"""),"Donjai")</f>
        <v>Donjai</v>
      </c>
      <c r="T2753" s="3" t="str">
        <f>IFERROR(__xludf.DUMMYFUNCTION("""COMPUTED_VALUE"""),"15 K.Somchai L")</f>
        <v>15 K.Somchai L</v>
      </c>
      <c r="U2753" s="3" t="str">
        <f>IFERROR(__xludf.DUMMYFUNCTION("""COMPUTED_VALUE"""),"15 K.Somchai L")</f>
        <v>15 K.Somchai L</v>
      </c>
      <c r="V2753" s="3" t="str">
        <f>IFERROR(__xludf.DUMMYFUNCTION("""COMPUTED_VALUE"""),"N")</f>
        <v>N</v>
      </c>
      <c r="W2753" s="3"/>
      <c r="X2753" s="3" t="str">
        <f>IFERROR(__xludf.DUMMYFUNCTION("""COMPUTED_VALUE"""),"110 ม.10 ต.รือเสาะ อ.รือเสาะ จ.นราธิวาส")</f>
        <v>110 ม.10 ต.รือเสาะ อ.รือเสาะ จ.นราธิวาส</v>
      </c>
      <c r="Y2753" s="3"/>
      <c r="Z2753" s="3">
        <f>IFERROR(__xludf.DUMMYFUNCTION("""COMPUTED_VALUE"""),0.0)</f>
        <v>0</v>
      </c>
      <c r="AA2753" s="3">
        <f>IFERROR(__xludf.DUMMYFUNCTION("""COMPUTED_VALUE"""),0.0)</f>
        <v>0</v>
      </c>
      <c r="AB2753" s="3" t="str">
        <f>IFERROR(__xludf.DUMMYFUNCTION("""COMPUTED_VALUE"""),"นราธิวาส")</f>
        <v>นราธิวาส</v>
      </c>
      <c r="AC2753" s="3">
        <f>IFERROR(__xludf.DUMMYFUNCTION("""COMPUTED_VALUE"""),0.0)</f>
        <v>0</v>
      </c>
      <c r="AD2753" s="3"/>
      <c r="AE2753" s="3"/>
      <c r="AF2753" s="3" t="str">
        <f>IFERROR(__xludf.DUMMYFUNCTION("""COMPUTED_VALUE"""),"ร้าน Galaxy-83576")</f>
        <v>ร้าน Galaxy-83576</v>
      </c>
      <c r="AG2753" s="3" t="str">
        <f>IFERROR(__xludf.DUMMYFUNCTION("""COMPUTED_VALUE"""),"ใต้")</f>
        <v>ใต้</v>
      </c>
      <c r="AH2753" s="3" t="str">
        <f>IFERROR(__xludf.DUMMYFUNCTION("""COMPUTED_VALUE"""),"#N/A")</f>
        <v>#N/A</v>
      </c>
      <c r="AI2753" s="3" t="str">
        <f>IFERROR(__xludf.DUMMYFUNCTION("""COMPUTED_VALUE"""),"Out of warranty")</f>
        <v>Out of warranty</v>
      </c>
      <c r="AJ2753" s="3">
        <f>IFERROR(__xludf.DUMMYFUNCTION("""COMPUTED_VALUE"""),47.0)</f>
        <v>47</v>
      </c>
      <c r="AK2753" s="3"/>
      <c r="AL2753" s="3"/>
    </row>
    <row r="2754" ht="15.75" customHeight="1">
      <c r="A2754" s="1" t="str">
        <f>IFERROR(__xludf.DUMMYFUNCTION("""COMPUTED_VALUE"""),"83578")</f>
        <v>83578</v>
      </c>
      <c r="B2754" s="2">
        <f>IFERROR(__xludf.DUMMYFUNCTION("""COMPUTED_VALUE"""),83578.0)</f>
        <v>83578</v>
      </c>
      <c r="C2754" s="3" t="str">
        <f>IFERROR(__xludf.DUMMYFUNCTION("""COMPUTED_VALUE"""),"ร้านพีพีมินิมาร์ท")</f>
        <v>ร้านพีพีมินิมาร์ท</v>
      </c>
      <c r="D2754" s="3" t="str">
        <f>IFERROR(__xludf.DUMMYFUNCTION("""COMPUTED_VALUE"""),"ร้านพีพีมินิมาร์ท")</f>
        <v>ร้านพีพีมินิมาร์ท</v>
      </c>
      <c r="E2754" s="1" t="str">
        <f>IFERROR(__xludf.DUMMYFUNCTION("""COMPUTED_VALUE"""),"Donjai")</f>
        <v>Donjai</v>
      </c>
      <c r="F2754" s="1" t="str">
        <f>IFERROR(__xludf.DUMMYFUNCTION("""COMPUTED_VALUE"""),"2010016")</f>
        <v>2010016</v>
      </c>
      <c r="G2754" s="1" t="str">
        <f>IFERROR(__xludf.DUMMYFUNCTION("""COMPUTED_VALUE"""),"นายตวงธรรม ใหม่ยศ")</f>
        <v>นายตวงธรรม ใหม่ยศ</v>
      </c>
      <c r="H2754" s="1" t="str">
        <f>IFERROR(__xludf.DUMMYFUNCTION("""COMPUTED_VALUE"""),"2010016")</f>
        <v>2010016</v>
      </c>
      <c r="I2754" s="1" t="str">
        <f>IFERROR(__xludf.DUMMYFUNCTION("""COMPUTED_VALUE"""),"นายตวงธรรม ใหม่ยศ")</f>
        <v>นายตวงธรรม ใหม่ยศ</v>
      </c>
      <c r="J2754" s="3">
        <f>IFERROR(__xludf.DUMMYFUNCTION("""COMPUTED_VALUE"""),295886.0)</f>
        <v>295886</v>
      </c>
      <c r="K2754" s="3" t="str">
        <f>IFERROR(__xludf.DUMMYFUNCTION("""COMPUTED_VALUE"""),"นายจิระพงษ์ โพธิ์นิล")</f>
        <v>นายจิระพงษ์ โพธิ์นิล</v>
      </c>
      <c r="L2754" s="1" t="str">
        <f>IFERROR(__xludf.DUMMYFUNCTION("""COMPUTED_VALUE"""),"นายจิระพงษ์ โพธิ์นิล")</f>
        <v>นายจิระพงษ์ โพธิ์นิล</v>
      </c>
      <c r="M2754" s="1" t="str">
        <f>IFERROR(__xludf.DUMMYFUNCTION("""COMPUTED_VALUE"""),"0933290754")</f>
        <v>0933290754</v>
      </c>
      <c r="N2754" s="3">
        <f>IFERROR(__xludf.DUMMYFUNCTION("""COMPUTED_VALUE"""),83578.0)</f>
        <v>83578</v>
      </c>
      <c r="O2754" s="3" t="str">
        <f>IFERROR(__xludf.DUMMYFUNCTION("""COMPUTED_VALUE"""),"ร้านพีพีมินิมาร์ท")</f>
        <v>ร้านพีพีมินิมาร์ท</v>
      </c>
      <c r="P2754" s="4">
        <f>IFERROR(__xludf.DUMMYFUNCTION("""COMPUTED_VALUE"""),44638.0)</f>
        <v>44638</v>
      </c>
      <c r="Q2754" s="3" t="str">
        <f>IFERROR(__xludf.DUMMYFUNCTION("""COMPUTED_VALUE"""),"A")</f>
        <v>A</v>
      </c>
      <c r="R2754" s="3" t="str">
        <f>IFERROR(__xludf.DUMMYFUNCTION("""COMPUTED_VALUE"""),"Small Format")</f>
        <v>Small Format</v>
      </c>
      <c r="S2754" s="3" t="str">
        <f>IFERROR(__xludf.DUMMYFUNCTION("""COMPUTED_VALUE"""),"Donjai")</f>
        <v>Donjai</v>
      </c>
      <c r="T2754" s="3" t="str">
        <f>IFERROR(__xludf.DUMMYFUNCTION("""COMPUTED_VALUE"""),"01 K.Tuangtham M.")</f>
        <v>01 K.Tuangtham M.</v>
      </c>
      <c r="U2754" s="3" t="str">
        <f>IFERROR(__xludf.DUMMYFUNCTION("""COMPUTED_VALUE"""),"01 K.Tuangtham M.")</f>
        <v>01 K.Tuangtham M.</v>
      </c>
      <c r="V2754" s="3" t="str">
        <f>IFERROR(__xludf.DUMMYFUNCTION("""COMPUTED_VALUE"""),"N")</f>
        <v>N</v>
      </c>
      <c r="W2754" s="3"/>
      <c r="X2754" s="3" t="str">
        <f>IFERROR(__xludf.DUMMYFUNCTION("""COMPUTED_VALUE"""),"42 ม.3 ต.เมืองจัง อ.ภูเพียง จ.น่าน")</f>
        <v>42 ม.3 ต.เมืองจัง อ.ภูเพียง จ.น่าน</v>
      </c>
      <c r="Y2754" s="3"/>
      <c r="Z2754" s="3">
        <f>IFERROR(__xludf.DUMMYFUNCTION("""COMPUTED_VALUE"""),0.0)</f>
        <v>0</v>
      </c>
      <c r="AA2754" s="3">
        <f>IFERROR(__xludf.DUMMYFUNCTION("""COMPUTED_VALUE"""),0.0)</f>
        <v>0</v>
      </c>
      <c r="AB2754" s="3" t="str">
        <f>IFERROR(__xludf.DUMMYFUNCTION("""COMPUTED_VALUE"""),"น่าน")</f>
        <v>น่าน</v>
      </c>
      <c r="AC2754" s="3">
        <f>IFERROR(__xludf.DUMMYFUNCTION("""COMPUTED_VALUE"""),0.0)</f>
        <v>0</v>
      </c>
      <c r="AD2754" s="3"/>
      <c r="AE2754" s="3"/>
      <c r="AF2754" s="3" t="str">
        <f>IFERROR(__xludf.DUMMYFUNCTION("""COMPUTED_VALUE"""),"ร้านพีพีมินิมาร์ท-83578")</f>
        <v>ร้านพีพีมินิมาร์ท-83578</v>
      </c>
      <c r="AG2754" s="3" t="str">
        <f>IFERROR(__xludf.DUMMYFUNCTION("""COMPUTED_VALUE"""),"เหนือ")</f>
        <v>เหนือ</v>
      </c>
      <c r="AH2754" s="3" t="str">
        <f>IFERROR(__xludf.DUMMYFUNCTION("""COMPUTED_VALUE"""),"#N/A")</f>
        <v>#N/A</v>
      </c>
      <c r="AI2754" s="3" t="str">
        <f>IFERROR(__xludf.DUMMYFUNCTION("""COMPUTED_VALUE"""),"Out of warranty")</f>
        <v>Out of warranty</v>
      </c>
      <c r="AJ2754" s="3">
        <f>IFERROR(__xludf.DUMMYFUNCTION("""COMPUTED_VALUE"""),47.0)</f>
        <v>47</v>
      </c>
      <c r="AK2754" s="3"/>
      <c r="AL2754" s="3"/>
    </row>
    <row r="2755" ht="15.75" customHeight="1">
      <c r="A2755" s="1" t="str">
        <f>IFERROR(__xludf.DUMMYFUNCTION("""COMPUTED_VALUE"""),"83579")</f>
        <v>83579</v>
      </c>
      <c r="B2755" s="2">
        <f>IFERROR(__xludf.DUMMYFUNCTION("""COMPUTED_VALUE"""),83579.0)</f>
        <v>83579</v>
      </c>
      <c r="C2755" s="3" t="str">
        <f>IFERROR(__xludf.DUMMYFUNCTION("""COMPUTED_VALUE"""),"ร้านสุดยอดมินิมาร์ท")</f>
        <v>ร้านสุดยอดมินิมาร์ท</v>
      </c>
      <c r="D2755" s="3" t="str">
        <f>IFERROR(__xludf.DUMMYFUNCTION("""COMPUTED_VALUE"""),"ร้านสุดยอดมินิมาร์ท")</f>
        <v>ร้านสุดยอดมินิมาร์ท</v>
      </c>
      <c r="E2755" s="1" t="str">
        <f>IFERROR(__xludf.DUMMYFUNCTION("""COMPUTED_VALUE"""),"Donjai")</f>
        <v>Donjai</v>
      </c>
      <c r="F2755" s="1" t="str">
        <f>IFERROR(__xludf.DUMMYFUNCTION("""COMPUTED_VALUE"""),"2454781")</f>
        <v>2454781</v>
      </c>
      <c r="G2755" s="1" t="str">
        <f>IFERROR(__xludf.DUMMYFUNCTION("""COMPUTED_VALUE"""),"นายฌานกฤช นันทะโคต")</f>
        <v>นายฌานกฤช นันทะโคต</v>
      </c>
      <c r="H2755" s="1" t="str">
        <f>IFERROR(__xludf.DUMMYFUNCTION("""COMPUTED_VALUE"""),"2454781")</f>
        <v>2454781</v>
      </c>
      <c r="I2755" s="1" t="str">
        <f>IFERROR(__xludf.DUMMYFUNCTION("""COMPUTED_VALUE"""),"นายฌานกฤช นันทะโคต")</f>
        <v>นายฌานกฤช นันทะโคต</v>
      </c>
      <c r="J2755" s="3">
        <f>IFERROR(__xludf.DUMMYFUNCTION("""COMPUTED_VALUE"""),295886.0)</f>
        <v>295886</v>
      </c>
      <c r="K2755" s="3" t="str">
        <f>IFERROR(__xludf.DUMMYFUNCTION("""COMPUTED_VALUE"""),"นายจิระพงษ์ โพธิ์นิล")</f>
        <v>นายจิระพงษ์ โพธิ์นิล</v>
      </c>
      <c r="L2755" s="1" t="str">
        <f>IFERROR(__xludf.DUMMYFUNCTION("""COMPUTED_VALUE"""),"นายจิระพงษ์ โพธิ์นิล")</f>
        <v>นายจิระพงษ์ โพธิ์นิล</v>
      </c>
      <c r="M2755" s="1" t="str">
        <f>IFERROR(__xludf.DUMMYFUNCTION("""COMPUTED_VALUE"""),"0933290754")</f>
        <v>0933290754</v>
      </c>
      <c r="N2755" s="3">
        <f>IFERROR(__xludf.DUMMYFUNCTION("""COMPUTED_VALUE"""),83579.0)</f>
        <v>83579</v>
      </c>
      <c r="O2755" s="3" t="str">
        <f>IFERROR(__xludf.DUMMYFUNCTION("""COMPUTED_VALUE"""),"ร้านสุดยอดมินิมาร์ท")</f>
        <v>ร้านสุดยอดมินิมาร์ท</v>
      </c>
      <c r="P2755" s="4">
        <f>IFERROR(__xludf.DUMMYFUNCTION("""COMPUTED_VALUE"""),44631.0)</f>
        <v>44631</v>
      </c>
      <c r="Q2755" s="3" t="str">
        <f>IFERROR(__xludf.DUMMYFUNCTION("""COMPUTED_VALUE"""),"A")</f>
        <v>A</v>
      </c>
      <c r="R2755" s="3" t="str">
        <f>IFERROR(__xludf.DUMMYFUNCTION("""COMPUTED_VALUE"""),"Small Format")</f>
        <v>Small Format</v>
      </c>
      <c r="S2755" s="3" t="str">
        <f>IFERROR(__xludf.DUMMYFUNCTION("""COMPUTED_VALUE"""),"Donjai")</f>
        <v>Donjai</v>
      </c>
      <c r="T2755" s="3" t="str">
        <f>IFERROR(__xludf.DUMMYFUNCTION("""COMPUTED_VALUE"""),"05 K.Chanakrit N.")</f>
        <v>05 K.Chanakrit N.</v>
      </c>
      <c r="U2755" s="3" t="str">
        <f>IFERROR(__xludf.DUMMYFUNCTION("""COMPUTED_VALUE"""),"05 K.Chanakrit N.")</f>
        <v>05 K.Chanakrit N.</v>
      </c>
      <c r="V2755" s="3" t="str">
        <f>IFERROR(__xludf.DUMMYFUNCTION("""COMPUTED_VALUE"""),"N")</f>
        <v>N</v>
      </c>
      <c r="W2755" s="3"/>
      <c r="X2755" s="3" t="str">
        <f>IFERROR(__xludf.DUMMYFUNCTION("""COMPUTED_VALUE"""),"8/1 หมู่ 8 ต.ณรงค์ อ.ศรีณรงค์.สุรินทร์")</f>
        <v>8/1 หมู่ 8 ต.ณรงค์ อ.ศรีณรงค์.สุรินทร์</v>
      </c>
      <c r="Y2755" s="3"/>
      <c r="Z2755" s="3">
        <f>IFERROR(__xludf.DUMMYFUNCTION("""COMPUTED_VALUE"""),0.0)</f>
        <v>0</v>
      </c>
      <c r="AA2755" s="3">
        <f>IFERROR(__xludf.DUMMYFUNCTION("""COMPUTED_VALUE"""),0.0)</f>
        <v>0</v>
      </c>
      <c r="AB2755" s="3" t="str">
        <f>IFERROR(__xludf.DUMMYFUNCTION("""COMPUTED_VALUE"""),"สุรินทร์")</f>
        <v>สุรินทร์</v>
      </c>
      <c r="AC2755" s="3">
        <f>IFERROR(__xludf.DUMMYFUNCTION("""COMPUTED_VALUE"""),0.0)</f>
        <v>0</v>
      </c>
      <c r="AD2755" s="3"/>
      <c r="AE2755" s="3"/>
      <c r="AF2755" s="3" t="str">
        <f>IFERROR(__xludf.DUMMYFUNCTION("""COMPUTED_VALUE"""),"ร้านสุดยอดมินิมาร์ท-83579")</f>
        <v>ร้านสุดยอดมินิมาร์ท-83579</v>
      </c>
      <c r="AG2755" s="3" t="str">
        <f>IFERROR(__xludf.DUMMYFUNCTION("""COMPUTED_VALUE"""),"ตะวันออกเฉียงเหนือ")</f>
        <v>ตะวันออกเฉียงเหนือ</v>
      </c>
      <c r="AH2755" s="3" t="str">
        <f>IFERROR(__xludf.DUMMYFUNCTION("""COMPUTED_VALUE"""),"#N/A")</f>
        <v>#N/A</v>
      </c>
      <c r="AI2755" s="3" t="str">
        <f>IFERROR(__xludf.DUMMYFUNCTION("""COMPUTED_VALUE"""),"Out of warranty")</f>
        <v>Out of warranty</v>
      </c>
      <c r="AJ2755" s="3">
        <f>IFERROR(__xludf.DUMMYFUNCTION("""COMPUTED_VALUE"""),47.0)</f>
        <v>47</v>
      </c>
      <c r="AK2755" s="3"/>
      <c r="AL2755" s="3"/>
    </row>
    <row r="2756" ht="15.75" customHeight="1">
      <c r="A2756" s="1" t="str">
        <f>IFERROR(__xludf.DUMMYFUNCTION("""COMPUTED_VALUE"""),"83580")</f>
        <v>83580</v>
      </c>
      <c r="B2756" s="2">
        <f>IFERROR(__xludf.DUMMYFUNCTION("""COMPUTED_VALUE"""),83580.0)</f>
        <v>83580</v>
      </c>
      <c r="C2756" s="3" t="str">
        <f>IFERROR(__xludf.DUMMYFUNCTION("""COMPUTED_VALUE"""),"ร้านเคเอสไอ (เก๋าไซร์)")</f>
        <v>ร้านเคเอสไอ (เก๋าไซร์)</v>
      </c>
      <c r="D2756" s="3" t="str">
        <f>IFERROR(__xludf.DUMMYFUNCTION("""COMPUTED_VALUE"""),"ร้านเคเอสไอ (เก๋าไซร์)")</f>
        <v>ร้านเคเอสไอ (เก๋าไซร์)</v>
      </c>
      <c r="E2756" s="1" t="str">
        <f>IFERROR(__xludf.DUMMYFUNCTION("""COMPUTED_VALUE"""),"Donjai")</f>
        <v>Donjai</v>
      </c>
      <c r="F2756" s="1" t="str">
        <f>IFERROR(__xludf.DUMMYFUNCTION("""COMPUTED_VALUE"""),"2010023")</f>
        <v>2010023</v>
      </c>
      <c r="G2756" s="1" t="str">
        <f>IFERROR(__xludf.DUMMYFUNCTION("""COMPUTED_VALUE"""),"นายวศิน ไวยรูป")</f>
        <v>นายวศิน ไวยรูป</v>
      </c>
      <c r="H2756" s="1" t="str">
        <f>IFERROR(__xludf.DUMMYFUNCTION("""COMPUTED_VALUE"""),"2010023")</f>
        <v>2010023</v>
      </c>
      <c r="I2756" s="1" t="str">
        <f>IFERROR(__xludf.DUMMYFUNCTION("""COMPUTED_VALUE"""),"นายวศิน ไวยรูป")</f>
        <v>นายวศิน ไวยรูป</v>
      </c>
      <c r="J2756" s="3">
        <f>IFERROR(__xludf.DUMMYFUNCTION("""COMPUTED_VALUE"""),228031.0)</f>
        <v>228031</v>
      </c>
      <c r="K2756" s="3" t="str">
        <f>IFERROR(__xludf.DUMMYFUNCTION("""COMPUTED_VALUE"""),"นายธนพงษ์ วันหมัด")</f>
        <v>นายธนพงษ์ วันหมัด</v>
      </c>
      <c r="L2756" s="1" t="str">
        <f>IFERROR(__xludf.DUMMYFUNCTION("""COMPUTED_VALUE"""),"นายธนพงษ์ วันหมัด")</f>
        <v>นายธนพงษ์ วันหมัด</v>
      </c>
      <c r="M2756" s="1" t="str">
        <f>IFERROR(__xludf.DUMMYFUNCTION("""COMPUTED_VALUE"""),"0813716913")</f>
        <v>0813716913</v>
      </c>
      <c r="N2756" s="3">
        <f>IFERROR(__xludf.DUMMYFUNCTION("""COMPUTED_VALUE"""),83580.0)</f>
        <v>83580</v>
      </c>
      <c r="O2756" s="3" t="str">
        <f>IFERROR(__xludf.DUMMYFUNCTION("""COMPUTED_VALUE"""),"ร้านเคเอสไอ (เก๋าไซร์)")</f>
        <v>ร้านเคเอสไอ (เก๋าไซร์)</v>
      </c>
      <c r="P2756" s="4">
        <f>IFERROR(__xludf.DUMMYFUNCTION("""COMPUTED_VALUE"""),44631.0)</f>
        <v>44631</v>
      </c>
      <c r="Q2756" s="3" t="str">
        <f>IFERROR(__xludf.DUMMYFUNCTION("""COMPUTED_VALUE"""),"I")</f>
        <v>I</v>
      </c>
      <c r="R2756" s="3" t="str">
        <f>IFERROR(__xludf.DUMMYFUNCTION("""COMPUTED_VALUE"""),"Small Format")</f>
        <v>Small Format</v>
      </c>
      <c r="S2756" s="3" t="str">
        <f>IFERROR(__xludf.DUMMYFUNCTION("""COMPUTED_VALUE"""),"Donjai")</f>
        <v>Donjai</v>
      </c>
      <c r="T2756" s="3" t="str">
        <f>IFERROR(__xludf.DUMMYFUNCTION("""COMPUTED_VALUE"""),"Donjai")</f>
        <v>Donjai</v>
      </c>
      <c r="U2756" s="3" t="str">
        <f>IFERROR(__xludf.DUMMYFUNCTION("""COMPUTED_VALUE"""),"Donjai")</f>
        <v>Donjai</v>
      </c>
      <c r="V2756" s="3" t="str">
        <f>IFERROR(__xludf.DUMMYFUNCTION("""COMPUTED_VALUE"""),"N")</f>
        <v>N</v>
      </c>
      <c r="W2756" s="3"/>
      <c r="X2756" s="3" t="str">
        <f>IFERROR(__xludf.DUMMYFUNCTION("""COMPUTED_VALUE"""),"290/2 หมู่ 4 บ้านนา ต.บ้านนา อ.บ้านนา จ.นครนายก")</f>
        <v>290/2 หมู่ 4 บ้านนา ต.บ้านนา อ.บ้านนา จ.นครนายก</v>
      </c>
      <c r="Y2756" s="3"/>
      <c r="Z2756" s="3">
        <f>IFERROR(__xludf.DUMMYFUNCTION("""COMPUTED_VALUE"""),0.0)</f>
        <v>0</v>
      </c>
      <c r="AA2756" s="3">
        <f>IFERROR(__xludf.DUMMYFUNCTION("""COMPUTED_VALUE"""),0.0)</f>
        <v>0</v>
      </c>
      <c r="AB2756" s="3" t="str">
        <f>IFERROR(__xludf.DUMMYFUNCTION("""COMPUTED_VALUE"""),"นครนายก")</f>
        <v>นครนายก</v>
      </c>
      <c r="AC2756" s="3">
        <f>IFERROR(__xludf.DUMMYFUNCTION("""COMPUTED_VALUE"""),0.0)</f>
        <v>0</v>
      </c>
      <c r="AD2756" s="3"/>
      <c r="AE2756" s="3"/>
      <c r="AF2756" s="3" t="str">
        <f>IFERROR(__xludf.DUMMYFUNCTION("""COMPUTED_VALUE"""),"ร้านเคเอสไอ (เก๋าไซร์)-83580")</f>
        <v>ร้านเคเอสไอ (เก๋าไซร์)-83580</v>
      </c>
      <c r="AG2756" s="3" t="str">
        <f>IFERROR(__xludf.DUMMYFUNCTION("""COMPUTED_VALUE"""),"กลาง")</f>
        <v>กลาง</v>
      </c>
      <c r="AH2756" s="3" t="str">
        <f>IFERROR(__xludf.DUMMYFUNCTION("""COMPUTED_VALUE"""),"#N/A")</f>
        <v>#N/A</v>
      </c>
      <c r="AI2756" s="3" t="str">
        <f>IFERROR(__xludf.DUMMYFUNCTION("""COMPUTED_VALUE"""),"Out of warranty")</f>
        <v>Out of warranty</v>
      </c>
      <c r="AJ2756" s="3">
        <f>IFERROR(__xludf.DUMMYFUNCTION("""COMPUTED_VALUE"""),47.0)</f>
        <v>47</v>
      </c>
      <c r="AK2756" s="3"/>
      <c r="AL2756" s="3"/>
    </row>
    <row r="2757" ht="15.75" customHeight="1">
      <c r="A2757" s="1" t="str">
        <f>IFERROR(__xludf.DUMMYFUNCTION("""COMPUTED_VALUE"""),"83581")</f>
        <v>83581</v>
      </c>
      <c r="B2757" s="2">
        <f>IFERROR(__xludf.DUMMYFUNCTION("""COMPUTED_VALUE"""),83581.0)</f>
        <v>83581</v>
      </c>
      <c r="C2757" s="3" t="str">
        <f>IFERROR(__xludf.DUMMYFUNCTION("""COMPUTED_VALUE"""),"ร้านศรีบุตรา ( สตอ.ณัฐวุฒิ)")</f>
        <v>ร้านศรีบุตรา ( สตอ.ณัฐวุฒิ)</v>
      </c>
      <c r="D2757" s="3" t="str">
        <f>IFERROR(__xludf.DUMMYFUNCTION("""COMPUTED_VALUE"""),"ร้านศรีบุตรา ( สตอ.ณัฐวุฒิ)")</f>
        <v>ร้านศรีบุตรา ( สตอ.ณัฐวุฒิ)</v>
      </c>
      <c r="E2757" s="1" t="str">
        <f>IFERROR(__xludf.DUMMYFUNCTION("""COMPUTED_VALUE"""),"Donjai")</f>
        <v>Donjai</v>
      </c>
      <c r="F2757" s="1" t="str">
        <f>IFERROR(__xludf.DUMMYFUNCTION("""COMPUTED_VALUE"""),"046214")</f>
        <v>046214</v>
      </c>
      <c r="G2757" s="1" t="str">
        <f>IFERROR(__xludf.DUMMYFUNCTION("""COMPUTED_VALUE"""),"นายศักดิ์ชัย เด็ดดอกฟ้า")</f>
        <v>นายศักดิ์ชัย เด็ดดอกฟ้า</v>
      </c>
      <c r="H2757" s="1" t="str">
        <f>IFERROR(__xludf.DUMMYFUNCTION("""COMPUTED_VALUE"""),"046214")</f>
        <v>046214</v>
      </c>
      <c r="I2757" s="1" t="str">
        <f>IFERROR(__xludf.DUMMYFUNCTION("""COMPUTED_VALUE"""),"นายศักดิ์ชัย เด็ดดอกฟ้า")</f>
        <v>นายศักดิ์ชัย เด็ดดอกฟ้า</v>
      </c>
      <c r="J2757" s="3">
        <f>IFERROR(__xludf.DUMMYFUNCTION("""COMPUTED_VALUE"""),295886.0)</f>
        <v>295886</v>
      </c>
      <c r="K2757" s="3" t="str">
        <f>IFERROR(__xludf.DUMMYFUNCTION("""COMPUTED_VALUE"""),"นายจิระพงษ์ โพธิ์นิล")</f>
        <v>นายจิระพงษ์ โพธิ์นิล</v>
      </c>
      <c r="L2757" s="1" t="str">
        <f>IFERROR(__xludf.DUMMYFUNCTION("""COMPUTED_VALUE"""),"นายจิระพงษ์ โพธิ์นิล")</f>
        <v>นายจิระพงษ์ โพธิ์นิล</v>
      </c>
      <c r="M2757" s="1" t="str">
        <f>IFERROR(__xludf.DUMMYFUNCTION("""COMPUTED_VALUE"""),"0933290754")</f>
        <v>0933290754</v>
      </c>
      <c r="N2757" s="3">
        <f>IFERROR(__xludf.DUMMYFUNCTION("""COMPUTED_VALUE"""),83581.0)</f>
        <v>83581</v>
      </c>
      <c r="O2757" s="3" t="str">
        <f>IFERROR(__xludf.DUMMYFUNCTION("""COMPUTED_VALUE"""),"ร้านศรีบุตรา ( สตอ.ณัฐวุฒิ)")</f>
        <v>ร้านศรีบุตรา ( สตอ.ณัฐวุฒิ)</v>
      </c>
      <c r="P2757" s="4">
        <f>IFERROR(__xludf.DUMMYFUNCTION("""COMPUTED_VALUE"""),44655.0)</f>
        <v>44655</v>
      </c>
      <c r="Q2757" s="3" t="str">
        <f>IFERROR(__xludf.DUMMYFUNCTION("""COMPUTED_VALUE"""),"A")</f>
        <v>A</v>
      </c>
      <c r="R2757" s="3" t="str">
        <f>IFERROR(__xludf.DUMMYFUNCTION("""COMPUTED_VALUE"""),"Small Format")</f>
        <v>Small Format</v>
      </c>
      <c r="S2757" s="3" t="str">
        <f>IFERROR(__xludf.DUMMYFUNCTION("""COMPUTED_VALUE"""),"Donjai")</f>
        <v>Donjai</v>
      </c>
      <c r="T2757" s="3" t="str">
        <f>IFERROR(__xludf.DUMMYFUNCTION("""COMPUTED_VALUE"""),"02 K.Sakchai D")</f>
        <v>02 K.Sakchai D</v>
      </c>
      <c r="U2757" s="3" t="str">
        <f>IFERROR(__xludf.DUMMYFUNCTION("""COMPUTED_VALUE"""),"02 K.Sakchai D")</f>
        <v>02 K.Sakchai D</v>
      </c>
      <c r="V2757" s="3" t="str">
        <f>IFERROR(__xludf.DUMMYFUNCTION("""COMPUTED_VALUE"""),"N")</f>
        <v>N</v>
      </c>
      <c r="W2757" s="3"/>
      <c r="X2757" s="3" t="str">
        <f>IFERROR(__xludf.DUMMYFUNCTION("""COMPUTED_VALUE"""),"หมู่บ้านบ้านน้ำหลุม ตำบลบ้านกลาง อ. หล่มสัก เพชรบูรณ์")</f>
        <v>หมู่บ้านบ้านน้ำหลุม ตำบลบ้านกลาง อ. หล่มสัก เพชรบูรณ์</v>
      </c>
      <c r="Y2757" s="3"/>
      <c r="Z2757" s="3" t="str">
        <f>IFERROR(__xludf.DUMMYFUNCTION("""COMPUTED_VALUE"""),"บ้านกลาง")</f>
        <v>บ้านกลาง</v>
      </c>
      <c r="AA2757" s="3" t="str">
        <f>IFERROR(__xludf.DUMMYFUNCTION("""COMPUTED_VALUE"""),"หล่มสัก")</f>
        <v>หล่มสัก</v>
      </c>
      <c r="AB2757" s="3" t="str">
        <f>IFERROR(__xludf.DUMMYFUNCTION("""COMPUTED_VALUE"""),"เพชรบูรณ์")</f>
        <v>เพชรบูรณ์</v>
      </c>
      <c r="AC2757" s="3">
        <f>IFERROR(__xludf.DUMMYFUNCTION("""COMPUTED_VALUE"""),0.0)</f>
        <v>0</v>
      </c>
      <c r="AD2757" s="3"/>
      <c r="AE2757" s="3"/>
      <c r="AF2757" s="3" t="str">
        <f>IFERROR(__xludf.DUMMYFUNCTION("""COMPUTED_VALUE"""),"ร้านศรีบุตรา ( สตอ.ณัฐวุฒิ)-83581")</f>
        <v>ร้านศรีบุตรา ( สตอ.ณัฐวุฒิ)-83581</v>
      </c>
      <c r="AG2757" s="3" t="str">
        <f>IFERROR(__xludf.DUMMYFUNCTION("""COMPUTED_VALUE"""),"กลาง")</f>
        <v>กลาง</v>
      </c>
      <c r="AH2757" s="3" t="str">
        <f>IFERROR(__xludf.DUMMYFUNCTION("""COMPUTED_VALUE"""),"#N/A")</f>
        <v>#N/A</v>
      </c>
      <c r="AI2757" s="3" t="str">
        <f>IFERROR(__xludf.DUMMYFUNCTION("""COMPUTED_VALUE"""),"Out of warranty")</f>
        <v>Out of warranty</v>
      </c>
      <c r="AJ2757" s="3">
        <f>IFERROR(__xludf.DUMMYFUNCTION("""COMPUTED_VALUE"""),46.0)</f>
        <v>46</v>
      </c>
      <c r="AK2757" s="3"/>
      <c r="AL2757" s="3"/>
    </row>
    <row r="2758" ht="15.75" customHeight="1">
      <c r="A2758" s="1" t="str">
        <f>IFERROR(__xludf.DUMMYFUNCTION("""COMPUTED_VALUE"""),"83582")</f>
        <v>83582</v>
      </c>
      <c r="B2758" s="2">
        <f>IFERROR(__xludf.DUMMYFUNCTION("""COMPUTED_VALUE"""),83582.0)</f>
        <v>83582</v>
      </c>
      <c r="C2758" s="3" t="str">
        <f>IFERROR(__xludf.DUMMYFUNCTION("""COMPUTED_VALUE"""),"ร้านใบบุญพาณิชย์")</f>
        <v>ร้านใบบุญพาณิชย์</v>
      </c>
      <c r="D2758" s="3" t="str">
        <f>IFERROR(__xludf.DUMMYFUNCTION("""COMPUTED_VALUE"""),"ร้านใบบุญพาณิชย์")</f>
        <v>ร้านใบบุญพาณิชย์</v>
      </c>
      <c r="E2758" s="1" t="str">
        <f>IFERROR(__xludf.DUMMYFUNCTION("""COMPUTED_VALUE"""),"Donjai")</f>
        <v>Donjai</v>
      </c>
      <c r="F2758" s="1" t="str">
        <f>IFERROR(__xludf.DUMMYFUNCTION("""COMPUTED_VALUE"""),"00510143")</f>
        <v>00510143</v>
      </c>
      <c r="G2758" s="1" t="str">
        <f>IFERROR(__xludf.DUMMYFUNCTION("""COMPUTED_VALUE"""),"นายธีระวัฒน์ บุญสิทธิ์")</f>
        <v>นายธีระวัฒน์ บุญสิทธิ์</v>
      </c>
      <c r="H2758" s="1" t="str">
        <f>IFERROR(__xludf.DUMMYFUNCTION("""COMPUTED_VALUE"""),"00510143")</f>
        <v>00510143</v>
      </c>
      <c r="I2758" s="1" t="str">
        <f>IFERROR(__xludf.DUMMYFUNCTION("""COMPUTED_VALUE"""),"นายธีระวัฒน์ บุญสิทธิ์")</f>
        <v>นายธีระวัฒน์ บุญสิทธิ์</v>
      </c>
      <c r="J2758" s="3">
        <f>IFERROR(__xludf.DUMMYFUNCTION("""COMPUTED_VALUE"""),228031.0)</f>
        <v>228031</v>
      </c>
      <c r="K2758" s="3" t="str">
        <f>IFERROR(__xludf.DUMMYFUNCTION("""COMPUTED_VALUE"""),"นายธนพงษ์ วันหมัด")</f>
        <v>นายธนพงษ์ วันหมัด</v>
      </c>
      <c r="L2758" s="1" t="str">
        <f>IFERROR(__xludf.DUMMYFUNCTION("""COMPUTED_VALUE"""),"นายธนพงษ์ วันหมัด")</f>
        <v>นายธนพงษ์ วันหมัด</v>
      </c>
      <c r="M2758" s="1" t="str">
        <f>IFERROR(__xludf.DUMMYFUNCTION("""COMPUTED_VALUE"""),"0813716913")</f>
        <v>0813716913</v>
      </c>
      <c r="N2758" s="3">
        <f>IFERROR(__xludf.DUMMYFUNCTION("""COMPUTED_VALUE"""),83582.0)</f>
        <v>83582</v>
      </c>
      <c r="O2758" s="3" t="str">
        <f>IFERROR(__xludf.DUMMYFUNCTION("""COMPUTED_VALUE"""),"ร้านใบบุญพาณิชย์")</f>
        <v>ร้านใบบุญพาณิชย์</v>
      </c>
      <c r="P2758" s="4">
        <f>IFERROR(__xludf.DUMMYFUNCTION("""COMPUTED_VALUE"""),44698.0)</f>
        <v>44698</v>
      </c>
      <c r="Q2758" s="3" t="str">
        <f>IFERROR(__xludf.DUMMYFUNCTION("""COMPUTED_VALUE"""),"A")</f>
        <v>A</v>
      </c>
      <c r="R2758" s="3" t="str">
        <f>IFERROR(__xludf.DUMMYFUNCTION("""COMPUTED_VALUE"""),"Small Format")</f>
        <v>Small Format</v>
      </c>
      <c r="S2758" s="3" t="str">
        <f>IFERROR(__xludf.DUMMYFUNCTION("""COMPUTED_VALUE"""),"Donjai")</f>
        <v>Donjai</v>
      </c>
      <c r="T2758" s="3" t="str">
        <f>IFERROR(__xludf.DUMMYFUNCTION("""COMPUTED_VALUE"""),"12 K.Theerawat B.")</f>
        <v>12 K.Theerawat B.</v>
      </c>
      <c r="U2758" s="3" t="str">
        <f>IFERROR(__xludf.DUMMYFUNCTION("""COMPUTED_VALUE"""),"12 K.Theerawat B.")</f>
        <v>12 K.Theerawat B.</v>
      </c>
      <c r="V2758" s="3" t="str">
        <f>IFERROR(__xludf.DUMMYFUNCTION("""COMPUTED_VALUE"""),"N")</f>
        <v>N</v>
      </c>
      <c r="W2758" s="3"/>
      <c r="X2758" s="3" t="str">
        <f>IFERROR(__xludf.DUMMYFUNCTION("""COMPUTED_VALUE"""),"116 ม.16 คลองหินปูน วังน้ำเย็น สระแก้ว 27210")</f>
        <v>116 ม.16 คลองหินปูน วังน้ำเย็น สระแก้ว 27210</v>
      </c>
      <c r="Y2758" s="3"/>
      <c r="Z2758" s="3">
        <f>IFERROR(__xludf.DUMMYFUNCTION("""COMPUTED_VALUE"""),0.0)</f>
        <v>0</v>
      </c>
      <c r="AA2758" s="3">
        <f>IFERROR(__xludf.DUMMYFUNCTION("""COMPUTED_VALUE"""),0.0)</f>
        <v>0</v>
      </c>
      <c r="AB2758" s="3" t="str">
        <f>IFERROR(__xludf.DUMMYFUNCTION("""COMPUTED_VALUE"""),"สระแก้ว")</f>
        <v>สระแก้ว</v>
      </c>
      <c r="AC2758" s="3">
        <f>IFERROR(__xludf.DUMMYFUNCTION("""COMPUTED_VALUE"""),27210.0)</f>
        <v>27210</v>
      </c>
      <c r="AD2758" s="3"/>
      <c r="AE2758" s="3"/>
      <c r="AF2758" s="3" t="str">
        <f>IFERROR(__xludf.DUMMYFUNCTION("""COMPUTED_VALUE"""),"ร้านใบบุญพาณิชย์-83582")</f>
        <v>ร้านใบบุญพาณิชย์-83582</v>
      </c>
      <c r="AG2758" s="3" t="str">
        <f>IFERROR(__xludf.DUMMYFUNCTION("""COMPUTED_VALUE"""),"ตะวันออก")</f>
        <v>ตะวันออก</v>
      </c>
      <c r="AH2758" s="3" t="str">
        <f>IFERROR(__xludf.DUMMYFUNCTION("""COMPUTED_VALUE"""),"#N/A")</f>
        <v>#N/A</v>
      </c>
      <c r="AI2758" s="3" t="str">
        <f>IFERROR(__xludf.DUMMYFUNCTION("""COMPUTED_VALUE"""),"Out of warranty")</f>
        <v>Out of warranty</v>
      </c>
      <c r="AJ2758" s="3">
        <f>IFERROR(__xludf.DUMMYFUNCTION("""COMPUTED_VALUE"""),45.0)</f>
        <v>45</v>
      </c>
      <c r="AK2758" s="3"/>
      <c r="AL2758" s="3"/>
    </row>
    <row r="2759" ht="15.75" customHeight="1">
      <c r="A2759" s="1" t="str">
        <f>IFERROR(__xludf.DUMMYFUNCTION("""COMPUTED_VALUE"""),"83583")</f>
        <v>83583</v>
      </c>
      <c r="B2759" s="2">
        <f>IFERROR(__xludf.DUMMYFUNCTION("""COMPUTED_VALUE"""),83583.0)</f>
        <v>83583</v>
      </c>
      <c r="C2759" s="3" t="str">
        <f>IFERROR(__xludf.DUMMYFUNCTION("""COMPUTED_VALUE"""),"ร้านจอยมินิมาร์ท")</f>
        <v>ร้านจอยมินิมาร์ท</v>
      </c>
      <c r="D2759" s="3" t="str">
        <f>IFERROR(__xludf.DUMMYFUNCTION("""COMPUTED_VALUE"""),"ร้านจอยมินิมาร์ท ( Size XS )")</f>
        <v>ร้านจอยมินิมาร์ท ( Size XS )</v>
      </c>
      <c r="E2759" s="1" t="str">
        <f>IFERROR(__xludf.DUMMYFUNCTION("""COMPUTED_VALUE"""),"Donjai")</f>
        <v>Donjai</v>
      </c>
      <c r="F2759" s="1" t="str">
        <f>IFERROR(__xludf.DUMMYFUNCTION("""COMPUTED_VALUE"""),"2010016")</f>
        <v>2010016</v>
      </c>
      <c r="G2759" s="1" t="str">
        <f>IFERROR(__xludf.DUMMYFUNCTION("""COMPUTED_VALUE"""),"นายตวงธรรม ใหม่ยศ")</f>
        <v>นายตวงธรรม ใหม่ยศ</v>
      </c>
      <c r="H2759" s="1" t="str">
        <f>IFERROR(__xludf.DUMMYFUNCTION("""COMPUTED_VALUE"""),"2010016")</f>
        <v>2010016</v>
      </c>
      <c r="I2759" s="1" t="str">
        <f>IFERROR(__xludf.DUMMYFUNCTION("""COMPUTED_VALUE"""),"นายตวงธรรม ใหม่ยศ")</f>
        <v>นายตวงธรรม ใหม่ยศ</v>
      </c>
      <c r="J2759" s="3">
        <f>IFERROR(__xludf.DUMMYFUNCTION("""COMPUTED_VALUE"""),295886.0)</f>
        <v>295886</v>
      </c>
      <c r="K2759" s="3" t="str">
        <f>IFERROR(__xludf.DUMMYFUNCTION("""COMPUTED_VALUE"""),"นายจิระพงษ์ โพธิ์นิล")</f>
        <v>นายจิระพงษ์ โพธิ์นิล</v>
      </c>
      <c r="L2759" s="1" t="str">
        <f>IFERROR(__xludf.DUMMYFUNCTION("""COMPUTED_VALUE"""),"นายจิระพงษ์ โพธิ์นิล")</f>
        <v>นายจิระพงษ์ โพธิ์นิล</v>
      </c>
      <c r="M2759" s="1" t="str">
        <f>IFERROR(__xludf.DUMMYFUNCTION("""COMPUTED_VALUE"""),"0933290754")</f>
        <v>0933290754</v>
      </c>
      <c r="N2759" s="3">
        <f>IFERROR(__xludf.DUMMYFUNCTION("""COMPUTED_VALUE"""),83583.0)</f>
        <v>83583</v>
      </c>
      <c r="O2759" s="3" t="str">
        <f>IFERROR(__xludf.DUMMYFUNCTION("""COMPUTED_VALUE"""),"ร้านจอยมินิมาร์ท")</f>
        <v>ร้านจอยมินิมาร์ท</v>
      </c>
      <c r="P2759" s="4">
        <f>IFERROR(__xludf.DUMMYFUNCTION("""COMPUTED_VALUE"""),44611.0)</f>
        <v>44611</v>
      </c>
      <c r="Q2759" s="3" t="str">
        <f>IFERROR(__xludf.DUMMYFUNCTION("""COMPUTED_VALUE"""),"I")</f>
        <v>I</v>
      </c>
      <c r="R2759" s="3" t="str">
        <f>IFERROR(__xludf.DUMMYFUNCTION("""COMPUTED_VALUE"""),"Small Format")</f>
        <v>Small Format</v>
      </c>
      <c r="S2759" s="3" t="str">
        <f>IFERROR(__xludf.DUMMYFUNCTION("""COMPUTED_VALUE"""),"Donjai")</f>
        <v>Donjai</v>
      </c>
      <c r="T2759" s="3" t="str">
        <f>IFERROR(__xludf.DUMMYFUNCTION("""COMPUTED_VALUE"""),"01 K.Tuangtham M.")</f>
        <v>01 K.Tuangtham M.</v>
      </c>
      <c r="U2759" s="3" t="str">
        <f>IFERROR(__xludf.DUMMYFUNCTION("""COMPUTED_VALUE"""),"01 K.Tuangtham M.")</f>
        <v>01 K.Tuangtham M.</v>
      </c>
      <c r="V2759" s="3" t="str">
        <f>IFERROR(__xludf.DUMMYFUNCTION("""COMPUTED_VALUE"""),"N")</f>
        <v>N</v>
      </c>
      <c r="W2759" s="3"/>
      <c r="X2759" s="3" t="str">
        <f>IFERROR(__xludf.DUMMYFUNCTION("""COMPUTED_VALUE"""),"32 ม.6 ถ.พหลโยธิน ต.เมืองพาน อ.พาน จ.เชียงราย 57120")</f>
        <v>32 ม.6 ถ.พหลโยธิน ต.เมืองพาน อ.พาน จ.เชียงราย 57120</v>
      </c>
      <c r="Y2759" s="3"/>
      <c r="Z2759" s="3" t="str">
        <f>IFERROR(__xludf.DUMMYFUNCTION("""COMPUTED_VALUE"""),"เมืองพาน")</f>
        <v>เมืองพาน</v>
      </c>
      <c r="AA2759" s="3" t="str">
        <f>IFERROR(__xludf.DUMMYFUNCTION("""COMPUTED_VALUE"""),"พาน")</f>
        <v>พาน</v>
      </c>
      <c r="AB2759" s="3" t="str">
        <f>IFERROR(__xludf.DUMMYFUNCTION("""COMPUTED_VALUE"""),"เชียงราย")</f>
        <v>เชียงราย</v>
      </c>
      <c r="AC2759" s="3">
        <f>IFERROR(__xludf.DUMMYFUNCTION("""COMPUTED_VALUE"""),57120.0)</f>
        <v>57120</v>
      </c>
      <c r="AD2759" s="3"/>
      <c r="AE2759" s="3"/>
      <c r="AF2759" s="3" t="str">
        <f>IFERROR(__xludf.DUMMYFUNCTION("""COMPUTED_VALUE"""),"ร้านจอยมินิมาร์ท-83583")</f>
        <v>ร้านจอยมินิมาร์ท-83583</v>
      </c>
      <c r="AG2759" s="3" t="str">
        <f>IFERROR(__xludf.DUMMYFUNCTION("""COMPUTED_VALUE"""),"เหนือ")</f>
        <v>เหนือ</v>
      </c>
      <c r="AH2759" s="3" t="str">
        <f>IFERROR(__xludf.DUMMYFUNCTION("""COMPUTED_VALUE"""),"#N/A")</f>
        <v>#N/A</v>
      </c>
      <c r="AI2759" s="3" t="str">
        <f>IFERROR(__xludf.DUMMYFUNCTION("""COMPUTED_VALUE"""),"Out of warranty")</f>
        <v>Out of warranty</v>
      </c>
      <c r="AJ2759" s="3">
        <f>IFERROR(__xludf.DUMMYFUNCTION("""COMPUTED_VALUE"""),48.0)</f>
        <v>48</v>
      </c>
      <c r="AK2759" s="3"/>
      <c r="AL2759" s="3"/>
    </row>
    <row r="2760" ht="15.75" customHeight="1">
      <c r="A2760" s="1" t="str">
        <f>IFERROR(__xludf.DUMMYFUNCTION("""COMPUTED_VALUE"""),"83584")</f>
        <v>83584</v>
      </c>
      <c r="B2760" s="2">
        <f>IFERROR(__xludf.DUMMYFUNCTION("""COMPUTED_VALUE"""),83584.0)</f>
        <v>83584</v>
      </c>
      <c r="C2760" s="3" t="str">
        <f>IFERROR(__xludf.DUMMYFUNCTION("""COMPUTED_VALUE"""),"ร้านธวัชชัย")</f>
        <v>ร้านธวัชชัย</v>
      </c>
      <c r="D2760" s="3" t="str">
        <f>IFERROR(__xludf.DUMMYFUNCTION("""COMPUTED_VALUE"""),"ร้านธวัชชัย")</f>
        <v>ร้านธวัชชัย</v>
      </c>
      <c r="E2760" s="1" t="str">
        <f>IFERROR(__xludf.DUMMYFUNCTION("""COMPUTED_VALUE"""),"Donjai")</f>
        <v>Donjai</v>
      </c>
      <c r="F2760" s="1" t="str">
        <f>IFERROR(__xludf.DUMMYFUNCTION("""COMPUTED_VALUE"""),"046214")</f>
        <v>046214</v>
      </c>
      <c r="G2760" s="1" t="str">
        <f>IFERROR(__xludf.DUMMYFUNCTION("""COMPUTED_VALUE"""),"นายศักดิ์ชัย เด็ดดอกฟ้า")</f>
        <v>นายศักดิ์ชัย เด็ดดอกฟ้า</v>
      </c>
      <c r="H2760" s="1" t="str">
        <f>IFERROR(__xludf.DUMMYFUNCTION("""COMPUTED_VALUE"""),"046214")</f>
        <v>046214</v>
      </c>
      <c r="I2760" s="1" t="str">
        <f>IFERROR(__xludf.DUMMYFUNCTION("""COMPUTED_VALUE"""),"นายศักดิ์ชัย เด็ดดอกฟ้า")</f>
        <v>นายศักดิ์ชัย เด็ดดอกฟ้า</v>
      </c>
      <c r="J2760" s="3">
        <f>IFERROR(__xludf.DUMMYFUNCTION("""COMPUTED_VALUE"""),295886.0)</f>
        <v>295886</v>
      </c>
      <c r="K2760" s="3" t="str">
        <f>IFERROR(__xludf.DUMMYFUNCTION("""COMPUTED_VALUE"""),"นายจิระพงษ์ โพธิ์นิล")</f>
        <v>นายจิระพงษ์ โพธิ์นิล</v>
      </c>
      <c r="L2760" s="1" t="str">
        <f>IFERROR(__xludf.DUMMYFUNCTION("""COMPUTED_VALUE"""),"นายจิระพงษ์ โพธิ์นิล")</f>
        <v>นายจิระพงษ์ โพธิ์นิล</v>
      </c>
      <c r="M2760" s="1" t="str">
        <f>IFERROR(__xludf.DUMMYFUNCTION("""COMPUTED_VALUE"""),"0933290754")</f>
        <v>0933290754</v>
      </c>
      <c r="N2760" s="3">
        <f>IFERROR(__xludf.DUMMYFUNCTION("""COMPUTED_VALUE"""),83584.0)</f>
        <v>83584</v>
      </c>
      <c r="O2760" s="3" t="str">
        <f>IFERROR(__xludf.DUMMYFUNCTION("""COMPUTED_VALUE"""),"ร้านธวัชชัย")</f>
        <v>ร้านธวัชชัย</v>
      </c>
      <c r="P2760" s="4">
        <f>IFERROR(__xludf.DUMMYFUNCTION("""COMPUTED_VALUE"""),44611.0)</f>
        <v>44611</v>
      </c>
      <c r="Q2760" s="3" t="str">
        <f>IFERROR(__xludf.DUMMYFUNCTION("""COMPUTED_VALUE"""),"I")</f>
        <v>I</v>
      </c>
      <c r="R2760" s="3" t="str">
        <f>IFERROR(__xludf.DUMMYFUNCTION("""COMPUTED_VALUE"""),"Small Format")</f>
        <v>Small Format</v>
      </c>
      <c r="S2760" s="3" t="str">
        <f>IFERROR(__xludf.DUMMYFUNCTION("""COMPUTED_VALUE"""),"Donjai")</f>
        <v>Donjai</v>
      </c>
      <c r="T2760" s="3" t="str">
        <f>IFERROR(__xludf.DUMMYFUNCTION("""COMPUTED_VALUE"""),"02 K.Sakchai D")</f>
        <v>02 K.Sakchai D</v>
      </c>
      <c r="U2760" s="3" t="str">
        <f>IFERROR(__xludf.DUMMYFUNCTION("""COMPUTED_VALUE"""),"02 K.Sakchai D")</f>
        <v>02 K.Sakchai D</v>
      </c>
      <c r="V2760" s="3" t="str">
        <f>IFERROR(__xludf.DUMMYFUNCTION("""COMPUTED_VALUE"""),"N")</f>
        <v>N</v>
      </c>
      <c r="W2760" s="3"/>
      <c r="X2760" s="3" t="str">
        <f>IFERROR(__xludf.DUMMYFUNCTION("""COMPUTED_VALUE"""),"เลขที่ 79 /2 หมู่ 11 ตำบล ม่วงเตี๋ย อำเภอวิเศษชัยชาญ จังหวัดอ่างทอง 14110")</f>
        <v>เลขที่ 79 /2 หมู่ 11 ตำบล ม่วงเตี๋ย อำเภอวิเศษชัยชาญ จังหวัดอ่างทอง 14110</v>
      </c>
      <c r="Y2760" s="3"/>
      <c r="Z2760" s="3">
        <f>IFERROR(__xludf.DUMMYFUNCTION("""COMPUTED_VALUE"""),0.0)</f>
        <v>0</v>
      </c>
      <c r="AA2760" s="3">
        <f>IFERROR(__xludf.DUMMYFUNCTION("""COMPUTED_VALUE"""),0.0)</f>
        <v>0</v>
      </c>
      <c r="AB2760" s="3" t="str">
        <f>IFERROR(__xludf.DUMMYFUNCTION("""COMPUTED_VALUE"""),"อ่างทอง")</f>
        <v>อ่างทอง</v>
      </c>
      <c r="AC2760" s="3">
        <f>IFERROR(__xludf.DUMMYFUNCTION("""COMPUTED_VALUE"""),14110.0)</f>
        <v>14110</v>
      </c>
      <c r="AD2760" s="3"/>
      <c r="AE2760" s="3"/>
      <c r="AF2760" s="3" t="str">
        <f>IFERROR(__xludf.DUMMYFUNCTION("""COMPUTED_VALUE"""),"ร้านธวัชชัย-83584")</f>
        <v>ร้านธวัชชัย-83584</v>
      </c>
      <c r="AG2760" s="3" t="str">
        <f>IFERROR(__xludf.DUMMYFUNCTION("""COMPUTED_VALUE"""),"กลาง")</f>
        <v>กลาง</v>
      </c>
      <c r="AH2760" s="3" t="str">
        <f>IFERROR(__xludf.DUMMYFUNCTION("""COMPUTED_VALUE"""),"#N/A")</f>
        <v>#N/A</v>
      </c>
      <c r="AI2760" s="3" t="str">
        <f>IFERROR(__xludf.DUMMYFUNCTION("""COMPUTED_VALUE"""),"Out of warranty")</f>
        <v>Out of warranty</v>
      </c>
      <c r="AJ2760" s="3">
        <f>IFERROR(__xludf.DUMMYFUNCTION("""COMPUTED_VALUE"""),48.0)</f>
        <v>48</v>
      </c>
      <c r="AK2760" s="3"/>
      <c r="AL2760" s="3"/>
    </row>
    <row r="2761" ht="15.75" customHeight="1">
      <c r="A2761" s="1" t="str">
        <f>IFERROR(__xludf.DUMMYFUNCTION("""COMPUTED_VALUE"""),"83585")</f>
        <v>83585</v>
      </c>
      <c r="B2761" s="2">
        <f>IFERROR(__xludf.DUMMYFUNCTION("""COMPUTED_VALUE"""),83585.0)</f>
        <v>83585</v>
      </c>
      <c r="C2761" s="3" t="str">
        <f>IFERROR(__xludf.DUMMYFUNCTION("""COMPUTED_VALUE"""),"ร้านเจ๊พิมพ์")</f>
        <v>ร้านเจ๊พิมพ์</v>
      </c>
      <c r="D2761" s="3" t="str">
        <f>IFERROR(__xludf.DUMMYFUNCTION("""COMPUTED_VALUE"""),"ร้านเจ๊พิมพ์")</f>
        <v>ร้านเจ๊พิมพ์</v>
      </c>
      <c r="E2761" s="1" t="str">
        <f>IFERROR(__xludf.DUMMYFUNCTION("""COMPUTED_VALUE"""),"Donjai")</f>
        <v>Donjai</v>
      </c>
      <c r="F2761" s="1" t="str">
        <f>IFERROR(__xludf.DUMMYFUNCTION("""COMPUTED_VALUE"""),"2010023")</f>
        <v>2010023</v>
      </c>
      <c r="G2761" s="1" t="str">
        <f>IFERROR(__xludf.DUMMYFUNCTION("""COMPUTED_VALUE"""),"นายวศิน ไวยรูป")</f>
        <v>นายวศิน ไวยรูป</v>
      </c>
      <c r="H2761" s="1" t="str">
        <f>IFERROR(__xludf.DUMMYFUNCTION("""COMPUTED_VALUE"""),"2010023")</f>
        <v>2010023</v>
      </c>
      <c r="I2761" s="1" t="str">
        <f>IFERROR(__xludf.DUMMYFUNCTION("""COMPUTED_VALUE"""),"นายวศิน ไวยรูป")</f>
        <v>นายวศิน ไวยรูป</v>
      </c>
      <c r="J2761" s="3">
        <f>IFERROR(__xludf.DUMMYFUNCTION("""COMPUTED_VALUE"""),228031.0)</f>
        <v>228031</v>
      </c>
      <c r="K2761" s="3" t="str">
        <f>IFERROR(__xludf.DUMMYFUNCTION("""COMPUTED_VALUE"""),"นายธนพงษ์ วันหมัด")</f>
        <v>นายธนพงษ์ วันหมัด</v>
      </c>
      <c r="L2761" s="1" t="str">
        <f>IFERROR(__xludf.DUMMYFUNCTION("""COMPUTED_VALUE"""),"นายธนพงษ์ วันหมัด")</f>
        <v>นายธนพงษ์ วันหมัด</v>
      </c>
      <c r="M2761" s="1" t="str">
        <f>IFERROR(__xludf.DUMMYFUNCTION("""COMPUTED_VALUE"""),"0813716913")</f>
        <v>0813716913</v>
      </c>
      <c r="N2761" s="3">
        <f>IFERROR(__xludf.DUMMYFUNCTION("""COMPUTED_VALUE"""),83585.0)</f>
        <v>83585</v>
      </c>
      <c r="O2761" s="3" t="str">
        <f>IFERROR(__xludf.DUMMYFUNCTION("""COMPUTED_VALUE"""),"ร้านเจ๊พิมพ์")</f>
        <v>ร้านเจ๊พิมพ์</v>
      </c>
      <c r="P2761" s="4">
        <f>IFERROR(__xludf.DUMMYFUNCTION("""COMPUTED_VALUE"""),44631.0)</f>
        <v>44631</v>
      </c>
      <c r="Q2761" s="3" t="str">
        <f>IFERROR(__xludf.DUMMYFUNCTION("""COMPUTED_VALUE"""),"I")</f>
        <v>I</v>
      </c>
      <c r="R2761" s="3" t="str">
        <f>IFERROR(__xludf.DUMMYFUNCTION("""COMPUTED_VALUE"""),"Small Format")</f>
        <v>Small Format</v>
      </c>
      <c r="S2761" s="3" t="str">
        <f>IFERROR(__xludf.DUMMYFUNCTION("""COMPUTED_VALUE"""),"Donjai")</f>
        <v>Donjai</v>
      </c>
      <c r="T2761" s="3" t="str">
        <f>IFERROR(__xludf.DUMMYFUNCTION("""COMPUTED_VALUE"""),"Donjai")</f>
        <v>Donjai</v>
      </c>
      <c r="U2761" s="3" t="str">
        <f>IFERROR(__xludf.DUMMYFUNCTION("""COMPUTED_VALUE"""),"Donjai")</f>
        <v>Donjai</v>
      </c>
      <c r="V2761" s="3" t="str">
        <f>IFERROR(__xludf.DUMMYFUNCTION("""COMPUTED_VALUE"""),"N")</f>
        <v>N</v>
      </c>
      <c r="W2761" s="3"/>
      <c r="X2761" s="3" t="str">
        <f>IFERROR(__xludf.DUMMYFUNCTION("""COMPUTED_VALUE"""),"1/4 หมู่ 2 ต.ดอนปรู อ.ศรีประจันต์ จ.สุพรรณบุรี 72140")</f>
        <v>1/4 หมู่ 2 ต.ดอนปรู อ.ศรีประจันต์ จ.สุพรรณบุรี 72140</v>
      </c>
      <c r="Y2761" s="3"/>
      <c r="Z2761" s="3">
        <f>IFERROR(__xludf.DUMMYFUNCTION("""COMPUTED_VALUE"""),0.0)</f>
        <v>0</v>
      </c>
      <c r="AA2761" s="3">
        <f>IFERROR(__xludf.DUMMYFUNCTION("""COMPUTED_VALUE"""),0.0)</f>
        <v>0</v>
      </c>
      <c r="AB2761" s="3" t="str">
        <f>IFERROR(__xludf.DUMMYFUNCTION("""COMPUTED_VALUE"""),"สุพรรณบุรี")</f>
        <v>สุพรรณบุรี</v>
      </c>
      <c r="AC2761" s="3">
        <f>IFERROR(__xludf.DUMMYFUNCTION("""COMPUTED_VALUE"""),72140.0)</f>
        <v>72140</v>
      </c>
      <c r="AD2761" s="3"/>
      <c r="AE2761" s="3"/>
      <c r="AF2761" s="3" t="str">
        <f>IFERROR(__xludf.DUMMYFUNCTION("""COMPUTED_VALUE"""),"ร้านเจ๊พิมพ์-83585")</f>
        <v>ร้านเจ๊พิมพ์-83585</v>
      </c>
      <c r="AG2761" s="3" t="str">
        <f>IFERROR(__xludf.DUMMYFUNCTION("""COMPUTED_VALUE"""),"กลาง")</f>
        <v>กลาง</v>
      </c>
      <c r="AH2761" s="3" t="str">
        <f>IFERROR(__xludf.DUMMYFUNCTION("""COMPUTED_VALUE"""),"#N/A")</f>
        <v>#N/A</v>
      </c>
      <c r="AI2761" s="3" t="str">
        <f>IFERROR(__xludf.DUMMYFUNCTION("""COMPUTED_VALUE"""),"Out of warranty")</f>
        <v>Out of warranty</v>
      </c>
      <c r="AJ2761" s="3">
        <f>IFERROR(__xludf.DUMMYFUNCTION("""COMPUTED_VALUE"""),47.0)</f>
        <v>47</v>
      </c>
      <c r="AK2761" s="3"/>
      <c r="AL2761" s="3"/>
    </row>
    <row r="2762" ht="15.75" customHeight="1">
      <c r="A2762" s="1" t="str">
        <f>IFERROR(__xludf.DUMMYFUNCTION("""COMPUTED_VALUE"""),"83586")</f>
        <v>83586</v>
      </c>
      <c r="B2762" s="2">
        <f>IFERROR(__xludf.DUMMYFUNCTION("""COMPUTED_VALUE"""),83586.0)</f>
        <v>83586</v>
      </c>
      <c r="C2762" s="3" t="str">
        <f>IFERROR(__xludf.DUMMYFUNCTION("""COMPUTED_VALUE"""),"ร้านอั่งเปา")</f>
        <v>ร้านอั่งเปา</v>
      </c>
      <c r="D2762" s="3" t="str">
        <f>IFERROR(__xludf.DUMMYFUNCTION("""COMPUTED_VALUE"""),"ร้านอั่งเปา")</f>
        <v>ร้านอั่งเปา</v>
      </c>
      <c r="E2762" s="1" t="str">
        <f>IFERROR(__xludf.DUMMYFUNCTION("""COMPUTED_VALUE"""),"Donjai")</f>
        <v>Donjai</v>
      </c>
      <c r="F2762" s="1" t="str">
        <f>IFERROR(__xludf.DUMMYFUNCTION("""COMPUTED_VALUE"""),"2454781")</f>
        <v>2454781</v>
      </c>
      <c r="G2762" s="1" t="str">
        <f>IFERROR(__xludf.DUMMYFUNCTION("""COMPUTED_VALUE"""),"นายฌานกฤช นันทะโคต")</f>
        <v>นายฌานกฤช นันทะโคต</v>
      </c>
      <c r="H2762" s="1" t="str">
        <f>IFERROR(__xludf.DUMMYFUNCTION("""COMPUTED_VALUE"""),"2454781")</f>
        <v>2454781</v>
      </c>
      <c r="I2762" s="1" t="str">
        <f>IFERROR(__xludf.DUMMYFUNCTION("""COMPUTED_VALUE"""),"นายฌานกฤช นันทะโคต")</f>
        <v>นายฌานกฤช นันทะโคต</v>
      </c>
      <c r="J2762" s="3">
        <f>IFERROR(__xludf.DUMMYFUNCTION("""COMPUTED_VALUE"""),295886.0)</f>
        <v>295886</v>
      </c>
      <c r="K2762" s="3" t="str">
        <f>IFERROR(__xludf.DUMMYFUNCTION("""COMPUTED_VALUE"""),"นายจิระพงษ์ โพธิ์นิล")</f>
        <v>นายจิระพงษ์ โพธิ์นิล</v>
      </c>
      <c r="L2762" s="1" t="str">
        <f>IFERROR(__xludf.DUMMYFUNCTION("""COMPUTED_VALUE"""),"นายจิระพงษ์ โพธิ์นิล")</f>
        <v>นายจิระพงษ์ โพธิ์นิล</v>
      </c>
      <c r="M2762" s="1" t="str">
        <f>IFERROR(__xludf.DUMMYFUNCTION("""COMPUTED_VALUE"""),"0933290754")</f>
        <v>0933290754</v>
      </c>
      <c r="N2762" s="3">
        <f>IFERROR(__xludf.DUMMYFUNCTION("""COMPUTED_VALUE"""),83586.0)</f>
        <v>83586</v>
      </c>
      <c r="O2762" s="3" t="str">
        <f>IFERROR(__xludf.DUMMYFUNCTION("""COMPUTED_VALUE"""),"ร้านอั่งเปา")</f>
        <v>ร้านอั่งเปา</v>
      </c>
      <c r="P2762" s="4">
        <f>IFERROR(__xludf.DUMMYFUNCTION("""COMPUTED_VALUE"""),44601.0)</f>
        <v>44601</v>
      </c>
      <c r="Q2762" s="3" t="str">
        <f>IFERROR(__xludf.DUMMYFUNCTION("""COMPUTED_VALUE"""),"A")</f>
        <v>A</v>
      </c>
      <c r="R2762" s="3" t="str">
        <f>IFERROR(__xludf.DUMMYFUNCTION("""COMPUTED_VALUE"""),"Small Format")</f>
        <v>Small Format</v>
      </c>
      <c r="S2762" s="3" t="str">
        <f>IFERROR(__xludf.DUMMYFUNCTION("""COMPUTED_VALUE"""),"Donjai")</f>
        <v>Donjai</v>
      </c>
      <c r="T2762" s="3" t="str">
        <f>IFERROR(__xludf.DUMMYFUNCTION("""COMPUTED_VALUE"""),"05 K.Chanakrit N.")</f>
        <v>05 K.Chanakrit N.</v>
      </c>
      <c r="U2762" s="3" t="str">
        <f>IFERROR(__xludf.DUMMYFUNCTION("""COMPUTED_VALUE"""),"05 K.Chanakrit N.")</f>
        <v>05 K.Chanakrit N.</v>
      </c>
      <c r="V2762" s="3" t="str">
        <f>IFERROR(__xludf.DUMMYFUNCTION("""COMPUTED_VALUE"""),"N")</f>
        <v>N</v>
      </c>
      <c r="W2762" s="3"/>
      <c r="X2762" s="3" t="str">
        <f>IFERROR(__xludf.DUMMYFUNCTION("""COMPUTED_VALUE"""),"8 หมู่20 ต.ตบหู อ เดชอุดม จ.อุบลราชธานี 34160")</f>
        <v>8 หมู่20 ต.ตบหู อ เดชอุดม จ.อุบลราชธานี 34160</v>
      </c>
      <c r="Y2762" s="3"/>
      <c r="Z2762" s="3">
        <f>IFERROR(__xludf.DUMMYFUNCTION("""COMPUTED_VALUE"""),0.0)</f>
        <v>0</v>
      </c>
      <c r="AA2762" s="3">
        <f>IFERROR(__xludf.DUMMYFUNCTION("""COMPUTED_VALUE"""),0.0)</f>
        <v>0</v>
      </c>
      <c r="AB2762" s="3" t="str">
        <f>IFERROR(__xludf.DUMMYFUNCTION("""COMPUTED_VALUE"""),"อุบลราชธานี")</f>
        <v>อุบลราชธานี</v>
      </c>
      <c r="AC2762" s="3">
        <f>IFERROR(__xludf.DUMMYFUNCTION("""COMPUTED_VALUE"""),34160.0)</f>
        <v>34160</v>
      </c>
      <c r="AD2762" s="3"/>
      <c r="AE2762" s="3"/>
      <c r="AF2762" s="3" t="str">
        <f>IFERROR(__xludf.DUMMYFUNCTION("""COMPUTED_VALUE"""),"ร้านอั่งเปา-83586")</f>
        <v>ร้านอั่งเปา-83586</v>
      </c>
      <c r="AG2762" s="3" t="str">
        <f>IFERROR(__xludf.DUMMYFUNCTION("""COMPUTED_VALUE"""),"ตะวันออกเฉียงเหนือ")</f>
        <v>ตะวันออกเฉียงเหนือ</v>
      </c>
      <c r="AH2762" s="3" t="str">
        <f>IFERROR(__xludf.DUMMYFUNCTION("""COMPUTED_VALUE"""),"#N/A")</f>
        <v>#N/A</v>
      </c>
      <c r="AI2762" s="3" t="str">
        <f>IFERROR(__xludf.DUMMYFUNCTION("""COMPUTED_VALUE"""),"Out of warranty")</f>
        <v>Out of warranty</v>
      </c>
      <c r="AJ2762" s="3">
        <f>IFERROR(__xludf.DUMMYFUNCTION("""COMPUTED_VALUE"""),48.0)</f>
        <v>48</v>
      </c>
      <c r="AK2762" s="3"/>
      <c r="AL2762" s="3"/>
    </row>
    <row r="2763" ht="15.75" customHeight="1">
      <c r="A2763" s="1" t="str">
        <f>IFERROR(__xludf.DUMMYFUNCTION("""COMPUTED_VALUE"""),"83588")</f>
        <v>83588</v>
      </c>
      <c r="B2763" s="2">
        <f>IFERROR(__xludf.DUMMYFUNCTION("""COMPUTED_VALUE"""),83588.0)</f>
        <v>83588</v>
      </c>
      <c r="C2763" s="3" t="str">
        <f>IFERROR(__xludf.DUMMYFUNCTION("""COMPUTED_VALUE"""),"ร้านศรีสำราญรุ่งเรือง")</f>
        <v>ร้านศรีสำราญรุ่งเรือง</v>
      </c>
      <c r="D2763" s="3" t="str">
        <f>IFERROR(__xludf.DUMMYFUNCTION("""COMPUTED_VALUE"""),"ร้านศรีสำราญรุ่งเรือง")</f>
        <v>ร้านศรีสำราญรุ่งเรือง</v>
      </c>
      <c r="E2763" s="1" t="str">
        <f>IFERROR(__xludf.DUMMYFUNCTION("""COMPUTED_VALUE"""),"Donjai")</f>
        <v>Donjai</v>
      </c>
      <c r="F2763" s="1" t="str">
        <f>IFERROR(__xludf.DUMMYFUNCTION("""COMPUTED_VALUE"""),"2010023")</f>
        <v>2010023</v>
      </c>
      <c r="G2763" s="1" t="str">
        <f>IFERROR(__xludf.DUMMYFUNCTION("""COMPUTED_VALUE"""),"นายวศิน ไวยรูป")</f>
        <v>นายวศิน ไวยรูป</v>
      </c>
      <c r="H2763" s="1" t="str">
        <f>IFERROR(__xludf.DUMMYFUNCTION("""COMPUTED_VALUE"""),"2010023")</f>
        <v>2010023</v>
      </c>
      <c r="I2763" s="1" t="str">
        <f>IFERROR(__xludf.DUMMYFUNCTION("""COMPUTED_VALUE"""),"นายวศิน ไวยรูป")</f>
        <v>นายวศิน ไวยรูป</v>
      </c>
      <c r="J2763" s="3">
        <f>IFERROR(__xludf.DUMMYFUNCTION("""COMPUTED_VALUE"""),228031.0)</f>
        <v>228031</v>
      </c>
      <c r="K2763" s="3" t="str">
        <f>IFERROR(__xludf.DUMMYFUNCTION("""COMPUTED_VALUE"""),"นายธนพงษ์ วันหมัด")</f>
        <v>นายธนพงษ์ วันหมัด</v>
      </c>
      <c r="L2763" s="1" t="str">
        <f>IFERROR(__xludf.DUMMYFUNCTION("""COMPUTED_VALUE"""),"นายธนพงษ์ วันหมัด")</f>
        <v>นายธนพงษ์ วันหมัด</v>
      </c>
      <c r="M2763" s="1" t="str">
        <f>IFERROR(__xludf.DUMMYFUNCTION("""COMPUTED_VALUE"""),"0813716913")</f>
        <v>0813716913</v>
      </c>
      <c r="N2763" s="3">
        <f>IFERROR(__xludf.DUMMYFUNCTION("""COMPUTED_VALUE"""),83588.0)</f>
        <v>83588</v>
      </c>
      <c r="O2763" s="3" t="str">
        <f>IFERROR(__xludf.DUMMYFUNCTION("""COMPUTED_VALUE"""),"ร้านศรีสำราญรุ่งเรือง")</f>
        <v>ร้านศรีสำราญรุ่งเรือง</v>
      </c>
      <c r="P2763" s="4">
        <f>IFERROR(__xludf.DUMMYFUNCTION("""COMPUTED_VALUE"""),44616.0)</f>
        <v>44616</v>
      </c>
      <c r="Q2763" s="3" t="str">
        <f>IFERROR(__xludf.DUMMYFUNCTION("""COMPUTED_VALUE"""),"I")</f>
        <v>I</v>
      </c>
      <c r="R2763" s="3" t="str">
        <f>IFERROR(__xludf.DUMMYFUNCTION("""COMPUTED_VALUE"""),"Small Format")</f>
        <v>Small Format</v>
      </c>
      <c r="S2763" s="3" t="str">
        <f>IFERROR(__xludf.DUMMYFUNCTION("""COMPUTED_VALUE"""),"Donjai")</f>
        <v>Donjai</v>
      </c>
      <c r="T2763" s="3" t="str">
        <f>IFERROR(__xludf.DUMMYFUNCTION("""COMPUTED_VALUE"""),"Donjai")</f>
        <v>Donjai</v>
      </c>
      <c r="U2763" s="3" t="str">
        <f>IFERROR(__xludf.DUMMYFUNCTION("""COMPUTED_VALUE"""),"Donjai")</f>
        <v>Donjai</v>
      </c>
      <c r="V2763" s="3" t="str">
        <f>IFERROR(__xludf.DUMMYFUNCTION("""COMPUTED_VALUE"""),"N")</f>
        <v>N</v>
      </c>
      <c r="W2763" s="3"/>
      <c r="X2763" s="3" t="str">
        <f>IFERROR(__xludf.DUMMYFUNCTION("""COMPUTED_VALUE"""),"ตำบลบ้านช้าง อำเอภสองพี่น้อง จ.สุพรรณบุรี")</f>
        <v>ตำบลบ้านช้าง อำเอภสองพี่น้อง จ.สุพรรณบุรี</v>
      </c>
      <c r="Y2763" s="3"/>
      <c r="Z2763" s="3">
        <f>IFERROR(__xludf.DUMMYFUNCTION("""COMPUTED_VALUE"""),0.0)</f>
        <v>0</v>
      </c>
      <c r="AA2763" s="3">
        <f>IFERROR(__xludf.DUMMYFUNCTION("""COMPUTED_VALUE"""),0.0)</f>
        <v>0</v>
      </c>
      <c r="AB2763" s="3" t="str">
        <f>IFERROR(__xludf.DUMMYFUNCTION("""COMPUTED_VALUE"""),"สุพรรณบุรี")</f>
        <v>สุพรรณบุรี</v>
      </c>
      <c r="AC2763" s="3">
        <f>IFERROR(__xludf.DUMMYFUNCTION("""COMPUTED_VALUE"""),0.0)</f>
        <v>0</v>
      </c>
      <c r="AD2763" s="3"/>
      <c r="AE2763" s="3"/>
      <c r="AF2763" s="3" t="str">
        <f>IFERROR(__xludf.DUMMYFUNCTION("""COMPUTED_VALUE"""),"ร้านศรีสำราญรุ่งเรือง-83588")</f>
        <v>ร้านศรีสำราญรุ่งเรือง-83588</v>
      </c>
      <c r="AG2763" s="3" t="str">
        <f>IFERROR(__xludf.DUMMYFUNCTION("""COMPUTED_VALUE"""),"กลาง")</f>
        <v>กลาง</v>
      </c>
      <c r="AH2763" s="3" t="str">
        <f>IFERROR(__xludf.DUMMYFUNCTION("""COMPUTED_VALUE"""),"#N/A")</f>
        <v>#N/A</v>
      </c>
      <c r="AI2763" s="3" t="str">
        <f>IFERROR(__xludf.DUMMYFUNCTION("""COMPUTED_VALUE"""),"Out of warranty")</f>
        <v>Out of warranty</v>
      </c>
      <c r="AJ2763" s="3">
        <f>IFERROR(__xludf.DUMMYFUNCTION("""COMPUTED_VALUE"""),47.0)</f>
        <v>47</v>
      </c>
      <c r="AK2763" s="3"/>
      <c r="AL2763" s="3"/>
    </row>
    <row r="2764" ht="15.75" customHeight="1">
      <c r="A2764" s="1" t="str">
        <f>IFERROR(__xludf.DUMMYFUNCTION("""COMPUTED_VALUE"""),"83590")</f>
        <v>83590</v>
      </c>
      <c r="B2764" s="2">
        <f>IFERROR(__xludf.DUMMYFUNCTION("""COMPUTED_VALUE"""),83590.0)</f>
        <v>83590</v>
      </c>
      <c r="C2764" s="3" t="str">
        <f>IFERROR(__xludf.DUMMYFUNCTION("""COMPUTED_VALUE"""),"ร้านชุมชนวัดบันไดช้าง (จันทร์จ้าว)")</f>
        <v>ร้านชุมชนวัดบันไดช้าง (จันทร์จ้าว)</v>
      </c>
      <c r="D2764" s="3" t="str">
        <f>IFERROR(__xludf.DUMMYFUNCTION("""COMPUTED_VALUE"""),"ร้านชุมชนวัดบันไดช้าง (จันทร์จ้าว)")</f>
        <v>ร้านชุมชนวัดบันไดช้าง (จันทร์จ้าว)</v>
      </c>
      <c r="E2764" s="1" t="str">
        <f>IFERROR(__xludf.DUMMYFUNCTION("""COMPUTED_VALUE"""),"Donjai")</f>
        <v>Donjai</v>
      </c>
      <c r="F2764" s="1" t="str">
        <f>IFERROR(__xludf.DUMMYFUNCTION("""COMPUTED_VALUE"""),"046214")</f>
        <v>046214</v>
      </c>
      <c r="G2764" s="1" t="str">
        <f>IFERROR(__xludf.DUMMYFUNCTION("""COMPUTED_VALUE"""),"นายศักดิ์ชัย เด็ดดอกฟ้า")</f>
        <v>นายศักดิ์ชัย เด็ดดอกฟ้า</v>
      </c>
      <c r="H2764" s="1" t="str">
        <f>IFERROR(__xludf.DUMMYFUNCTION("""COMPUTED_VALUE"""),"046214")</f>
        <v>046214</v>
      </c>
      <c r="I2764" s="1" t="str">
        <f>IFERROR(__xludf.DUMMYFUNCTION("""COMPUTED_VALUE"""),"นายศักดิ์ชัย เด็ดดอกฟ้า")</f>
        <v>นายศักดิ์ชัย เด็ดดอกฟ้า</v>
      </c>
      <c r="J2764" s="3">
        <f>IFERROR(__xludf.DUMMYFUNCTION("""COMPUTED_VALUE"""),295886.0)</f>
        <v>295886</v>
      </c>
      <c r="K2764" s="3" t="str">
        <f>IFERROR(__xludf.DUMMYFUNCTION("""COMPUTED_VALUE"""),"นายจิระพงษ์ โพธิ์นิล")</f>
        <v>นายจิระพงษ์ โพธิ์นิล</v>
      </c>
      <c r="L2764" s="1" t="str">
        <f>IFERROR(__xludf.DUMMYFUNCTION("""COMPUTED_VALUE"""),"นายจิระพงษ์ โพธิ์นิล")</f>
        <v>นายจิระพงษ์ โพธิ์นิล</v>
      </c>
      <c r="M2764" s="1" t="str">
        <f>IFERROR(__xludf.DUMMYFUNCTION("""COMPUTED_VALUE"""),"0933290754")</f>
        <v>0933290754</v>
      </c>
      <c r="N2764" s="3">
        <f>IFERROR(__xludf.DUMMYFUNCTION("""COMPUTED_VALUE"""),83590.0)</f>
        <v>83590</v>
      </c>
      <c r="O2764" s="3" t="str">
        <f>IFERROR(__xludf.DUMMYFUNCTION("""COMPUTED_VALUE"""),"ร้านชุมชนวัดบันไดช้าง (จันทร์จ้าว)")</f>
        <v>ร้านชุมชนวัดบันไดช้าง (จันทร์จ้าว)</v>
      </c>
      <c r="P2764" s="4">
        <f>IFERROR(__xludf.DUMMYFUNCTION("""COMPUTED_VALUE"""),44783.0)</f>
        <v>44783</v>
      </c>
      <c r="Q2764" s="3" t="str">
        <f>IFERROR(__xludf.DUMMYFUNCTION("""COMPUTED_VALUE"""),"A")</f>
        <v>A</v>
      </c>
      <c r="R2764" s="3" t="str">
        <f>IFERROR(__xludf.DUMMYFUNCTION("""COMPUTED_VALUE"""),"Small Format")</f>
        <v>Small Format</v>
      </c>
      <c r="S2764" s="3" t="str">
        <f>IFERROR(__xludf.DUMMYFUNCTION("""COMPUTED_VALUE"""),"Donjai")</f>
        <v>Donjai</v>
      </c>
      <c r="T2764" s="3" t="str">
        <f>IFERROR(__xludf.DUMMYFUNCTION("""COMPUTED_VALUE"""),"02 K.Sakchai D")</f>
        <v>02 K.Sakchai D</v>
      </c>
      <c r="U2764" s="3" t="str">
        <f>IFERROR(__xludf.DUMMYFUNCTION("""COMPUTED_VALUE"""),"02 K.Sakchai D")</f>
        <v>02 K.Sakchai D</v>
      </c>
      <c r="V2764" s="3" t="str">
        <f>IFERROR(__xludf.DUMMYFUNCTION("""COMPUTED_VALUE"""),"N")</f>
        <v>N</v>
      </c>
      <c r="W2764" s="3"/>
      <c r="X2764" s="3" t="str">
        <f>IFERROR(__xludf.DUMMYFUNCTION("""COMPUTED_VALUE"""),"54 หมู่ 7 ต.หัวเวียง อ.เสนา จ.พระนครศรีอยุธยา")</f>
        <v>54 หมู่ 7 ต.หัวเวียง อ.เสนา จ.พระนครศรีอยุธยา</v>
      </c>
      <c r="Y2764" s="3"/>
      <c r="Z2764" s="3">
        <f>IFERROR(__xludf.DUMMYFUNCTION("""COMPUTED_VALUE"""),0.0)</f>
        <v>0</v>
      </c>
      <c r="AA2764" s="3">
        <f>IFERROR(__xludf.DUMMYFUNCTION("""COMPUTED_VALUE"""),0.0)</f>
        <v>0</v>
      </c>
      <c r="AB2764" s="3" t="str">
        <f>IFERROR(__xludf.DUMMYFUNCTION("""COMPUTED_VALUE"""),"พระนครศรีอยุธยา")</f>
        <v>พระนครศรีอยุธยา</v>
      </c>
      <c r="AC2764" s="3">
        <f>IFERROR(__xludf.DUMMYFUNCTION("""COMPUTED_VALUE"""),0.0)</f>
        <v>0</v>
      </c>
      <c r="AD2764" s="3"/>
      <c r="AE2764" s="3"/>
      <c r="AF2764" s="3" t="str">
        <f>IFERROR(__xludf.DUMMYFUNCTION("""COMPUTED_VALUE"""),"ร้านชุมชนวัดบันไดช้าง (จันทร์จ้าว)-83590")</f>
        <v>ร้านชุมชนวัดบันไดช้าง (จันทร์จ้าว)-83590</v>
      </c>
      <c r="AG2764" s="3" t="str">
        <f>IFERROR(__xludf.DUMMYFUNCTION("""COMPUTED_VALUE"""),"กลาง")</f>
        <v>กลาง</v>
      </c>
      <c r="AH2764" s="3" t="str">
        <f>IFERROR(__xludf.DUMMYFUNCTION("""COMPUTED_VALUE"""),"#N/A")</f>
        <v>#N/A</v>
      </c>
      <c r="AI2764" s="3" t="str">
        <f>IFERROR(__xludf.DUMMYFUNCTION("""COMPUTED_VALUE"""),"Out of warranty")</f>
        <v>Out of warranty</v>
      </c>
      <c r="AJ2764" s="3">
        <f>IFERROR(__xludf.DUMMYFUNCTION("""COMPUTED_VALUE"""),42.0)</f>
        <v>42</v>
      </c>
      <c r="AK2764" s="3"/>
      <c r="AL2764" s="3"/>
    </row>
    <row r="2765" ht="15.75" customHeight="1">
      <c r="A2765" s="1" t="str">
        <f>IFERROR(__xludf.DUMMYFUNCTION("""COMPUTED_VALUE"""),"83591")</f>
        <v>83591</v>
      </c>
      <c r="B2765" s="2">
        <f>IFERROR(__xludf.DUMMYFUNCTION("""COMPUTED_VALUE"""),83591.0)</f>
        <v>83591</v>
      </c>
      <c r="C2765" s="3" t="str">
        <f>IFERROR(__xludf.DUMMYFUNCTION("""COMPUTED_VALUE"""),"ร้านพี่บิ๊กมินิมาร์ท")</f>
        <v>ร้านพี่บิ๊กมินิมาร์ท</v>
      </c>
      <c r="D2765" s="3" t="str">
        <f>IFERROR(__xludf.DUMMYFUNCTION("""COMPUTED_VALUE"""),"ร้านพี่บิ๊กมินิมาร์ท")</f>
        <v>ร้านพี่บิ๊กมินิมาร์ท</v>
      </c>
      <c r="E2765" s="1" t="str">
        <f>IFERROR(__xludf.DUMMYFUNCTION("""COMPUTED_VALUE"""),"Donjai")</f>
        <v>Donjai</v>
      </c>
      <c r="F2765" s="1" t="str">
        <f>IFERROR(__xludf.DUMMYFUNCTION("""COMPUTED_VALUE"""),"2010016")</f>
        <v>2010016</v>
      </c>
      <c r="G2765" s="1" t="str">
        <f>IFERROR(__xludf.DUMMYFUNCTION("""COMPUTED_VALUE"""),"นายตวงธรรม ใหม่ยศ")</f>
        <v>นายตวงธรรม ใหม่ยศ</v>
      </c>
      <c r="H2765" s="1" t="str">
        <f>IFERROR(__xludf.DUMMYFUNCTION("""COMPUTED_VALUE"""),"2010016")</f>
        <v>2010016</v>
      </c>
      <c r="I2765" s="1" t="str">
        <f>IFERROR(__xludf.DUMMYFUNCTION("""COMPUTED_VALUE"""),"นายตวงธรรม ใหม่ยศ")</f>
        <v>นายตวงธรรม ใหม่ยศ</v>
      </c>
      <c r="J2765" s="3">
        <f>IFERROR(__xludf.DUMMYFUNCTION("""COMPUTED_VALUE"""),295886.0)</f>
        <v>295886</v>
      </c>
      <c r="K2765" s="3" t="str">
        <f>IFERROR(__xludf.DUMMYFUNCTION("""COMPUTED_VALUE"""),"นายจิระพงษ์ โพธิ์นิล")</f>
        <v>นายจิระพงษ์ โพธิ์นิล</v>
      </c>
      <c r="L2765" s="1" t="str">
        <f>IFERROR(__xludf.DUMMYFUNCTION("""COMPUTED_VALUE"""),"นายจิระพงษ์ โพธิ์นิล")</f>
        <v>นายจิระพงษ์ โพธิ์นิล</v>
      </c>
      <c r="M2765" s="1" t="str">
        <f>IFERROR(__xludf.DUMMYFUNCTION("""COMPUTED_VALUE"""),"0933290754")</f>
        <v>0933290754</v>
      </c>
      <c r="N2765" s="3">
        <f>IFERROR(__xludf.DUMMYFUNCTION("""COMPUTED_VALUE"""),83591.0)</f>
        <v>83591</v>
      </c>
      <c r="O2765" s="3" t="str">
        <f>IFERROR(__xludf.DUMMYFUNCTION("""COMPUTED_VALUE"""),"ร้านพี่บิ๊กมินิมาร์ท")</f>
        <v>ร้านพี่บิ๊กมินิมาร์ท</v>
      </c>
      <c r="P2765" s="4">
        <f>IFERROR(__xludf.DUMMYFUNCTION("""COMPUTED_VALUE"""),44630.0)</f>
        <v>44630</v>
      </c>
      <c r="Q2765" s="3" t="str">
        <f>IFERROR(__xludf.DUMMYFUNCTION("""COMPUTED_VALUE"""),"I")</f>
        <v>I</v>
      </c>
      <c r="R2765" s="3" t="str">
        <f>IFERROR(__xludf.DUMMYFUNCTION("""COMPUTED_VALUE"""),"Small Format")</f>
        <v>Small Format</v>
      </c>
      <c r="S2765" s="3" t="str">
        <f>IFERROR(__xludf.DUMMYFUNCTION("""COMPUTED_VALUE"""),"Donjai")</f>
        <v>Donjai</v>
      </c>
      <c r="T2765" s="3" t="str">
        <f>IFERROR(__xludf.DUMMYFUNCTION("""COMPUTED_VALUE"""),"01 K.Tuangtham M.")</f>
        <v>01 K.Tuangtham M.</v>
      </c>
      <c r="U2765" s="3" t="str">
        <f>IFERROR(__xludf.DUMMYFUNCTION("""COMPUTED_VALUE"""),"01 K.Tuangtham M.")</f>
        <v>01 K.Tuangtham M.</v>
      </c>
      <c r="V2765" s="3" t="str">
        <f>IFERROR(__xludf.DUMMYFUNCTION("""COMPUTED_VALUE"""),"N")</f>
        <v>N</v>
      </c>
      <c r="W2765" s="3"/>
      <c r="X2765" s="3" t="str">
        <f>IFERROR(__xludf.DUMMYFUNCTION("""COMPUTED_VALUE"""),"108 ม.15 ต.ตาคลี อ.ตาคลี จ.นครสวรรค์")</f>
        <v>108 ม.15 ต.ตาคลี อ.ตาคลี จ.นครสวรรค์</v>
      </c>
      <c r="Y2765" s="3"/>
      <c r="Z2765" s="3">
        <f>IFERROR(__xludf.DUMMYFUNCTION("""COMPUTED_VALUE"""),0.0)</f>
        <v>0</v>
      </c>
      <c r="AA2765" s="3">
        <f>IFERROR(__xludf.DUMMYFUNCTION("""COMPUTED_VALUE"""),0.0)</f>
        <v>0</v>
      </c>
      <c r="AB2765" s="3" t="str">
        <f>IFERROR(__xludf.DUMMYFUNCTION("""COMPUTED_VALUE"""),"นครสวรรค์")</f>
        <v>นครสวรรค์</v>
      </c>
      <c r="AC2765" s="3">
        <f>IFERROR(__xludf.DUMMYFUNCTION("""COMPUTED_VALUE"""),0.0)</f>
        <v>0</v>
      </c>
      <c r="AD2765" s="3"/>
      <c r="AE2765" s="3"/>
      <c r="AF2765" s="3" t="str">
        <f>IFERROR(__xludf.DUMMYFUNCTION("""COMPUTED_VALUE"""),"ร้านพี่บิ๊กมินิมาร์ท-83591")</f>
        <v>ร้านพี่บิ๊กมินิมาร์ท-83591</v>
      </c>
      <c r="AG2765" s="3" t="str">
        <f>IFERROR(__xludf.DUMMYFUNCTION("""COMPUTED_VALUE"""),"กลาง")</f>
        <v>กลาง</v>
      </c>
      <c r="AH2765" s="3" t="str">
        <f>IFERROR(__xludf.DUMMYFUNCTION("""COMPUTED_VALUE"""),"#N/A")</f>
        <v>#N/A</v>
      </c>
      <c r="AI2765" s="3" t="str">
        <f>IFERROR(__xludf.DUMMYFUNCTION("""COMPUTED_VALUE"""),"Out of warranty")</f>
        <v>Out of warranty</v>
      </c>
      <c r="AJ2765" s="3">
        <f>IFERROR(__xludf.DUMMYFUNCTION("""COMPUTED_VALUE"""),47.0)</f>
        <v>47</v>
      </c>
      <c r="AK2765" s="3"/>
      <c r="AL2765" s="3"/>
    </row>
    <row r="2766" ht="15.75" customHeight="1">
      <c r="A2766" s="1" t="str">
        <f>IFERROR(__xludf.DUMMYFUNCTION("""COMPUTED_VALUE"""),"83592")</f>
        <v>83592</v>
      </c>
      <c r="B2766" s="2">
        <f>IFERROR(__xludf.DUMMYFUNCTION("""COMPUTED_VALUE"""),83592.0)</f>
        <v>83592</v>
      </c>
      <c r="C2766" s="3" t="str">
        <f>IFERROR(__xludf.DUMMYFUNCTION("""COMPUTED_VALUE"""),"ร้านแจ๊กกี้ มินิมาร์ท")</f>
        <v>ร้านแจ๊กกี้ มินิมาร์ท</v>
      </c>
      <c r="D2766" s="3" t="str">
        <f>IFERROR(__xludf.DUMMYFUNCTION("""COMPUTED_VALUE"""),"ร้านแจ๊กกี้ มินิมาร์ท")</f>
        <v>ร้านแจ๊กกี้ มินิมาร์ท</v>
      </c>
      <c r="E2766" s="1" t="str">
        <f>IFERROR(__xludf.DUMMYFUNCTION("""COMPUTED_VALUE"""),"Donjai")</f>
        <v>Donjai</v>
      </c>
      <c r="F2766" s="1" t="str">
        <f>IFERROR(__xludf.DUMMYFUNCTION("""COMPUTED_VALUE"""),"20470331")</f>
        <v>20470331</v>
      </c>
      <c r="G2766" s="1" t="str">
        <f>IFERROR(__xludf.DUMMYFUNCTION("""COMPUTED_VALUE"""),"นายสมชาย ลักษณะสุวรรณ")</f>
        <v>นายสมชาย ลักษณะสุวรรณ</v>
      </c>
      <c r="H2766" s="1" t="str">
        <f>IFERROR(__xludf.DUMMYFUNCTION("""COMPUTED_VALUE"""),"20470331")</f>
        <v>20470331</v>
      </c>
      <c r="I2766" s="1" t="str">
        <f>IFERROR(__xludf.DUMMYFUNCTION("""COMPUTED_VALUE"""),"นายสมชาย ลักษณะสุวรรณ")</f>
        <v>นายสมชาย ลักษณะสุวรรณ</v>
      </c>
      <c r="J2766" s="3">
        <f>IFERROR(__xludf.DUMMYFUNCTION("""COMPUTED_VALUE"""),295541.0)</f>
        <v>295541</v>
      </c>
      <c r="K2766" s="3" t="str">
        <f>IFERROR(__xludf.DUMMYFUNCTION("""COMPUTED_VALUE"""),"นายรพิพล ศรีมาตย์")</f>
        <v>นายรพิพล ศรีมาตย์</v>
      </c>
      <c r="L2766" s="1" t="str">
        <f>IFERROR(__xludf.DUMMYFUNCTION("""COMPUTED_VALUE"""),"นายรพิพล ศรีมาตย์")</f>
        <v>นายรพิพล ศรีมาตย์</v>
      </c>
      <c r="M2766" s="1" t="str">
        <f>IFERROR(__xludf.DUMMYFUNCTION("""COMPUTED_VALUE"""),"0613966115")</f>
        <v>0613966115</v>
      </c>
      <c r="N2766" s="3">
        <f>IFERROR(__xludf.DUMMYFUNCTION("""COMPUTED_VALUE"""),83592.0)</f>
        <v>83592</v>
      </c>
      <c r="O2766" s="3" t="str">
        <f>IFERROR(__xludf.DUMMYFUNCTION("""COMPUTED_VALUE"""),"ร้านแจ๊กกี้ มินิมาร์ท")</f>
        <v>ร้านแจ๊กกี้ มินิมาร์ท</v>
      </c>
      <c r="P2766" s="4">
        <f>IFERROR(__xludf.DUMMYFUNCTION("""COMPUTED_VALUE"""),44634.0)</f>
        <v>44634</v>
      </c>
      <c r="Q2766" s="3" t="str">
        <f>IFERROR(__xludf.DUMMYFUNCTION("""COMPUTED_VALUE"""),"I")</f>
        <v>I</v>
      </c>
      <c r="R2766" s="3" t="str">
        <f>IFERROR(__xludf.DUMMYFUNCTION("""COMPUTED_VALUE"""),"Small Format")</f>
        <v>Small Format</v>
      </c>
      <c r="S2766" s="3" t="str">
        <f>IFERROR(__xludf.DUMMYFUNCTION("""COMPUTED_VALUE"""),"Donjai")</f>
        <v>Donjai</v>
      </c>
      <c r="T2766" s="3" t="str">
        <f>IFERROR(__xludf.DUMMYFUNCTION("""COMPUTED_VALUE"""),"15 K.Somchai L")</f>
        <v>15 K.Somchai L</v>
      </c>
      <c r="U2766" s="3" t="str">
        <f>IFERROR(__xludf.DUMMYFUNCTION("""COMPUTED_VALUE"""),"15 K.Somchai L")</f>
        <v>15 K.Somchai L</v>
      </c>
      <c r="V2766" s="3" t="str">
        <f>IFERROR(__xludf.DUMMYFUNCTION("""COMPUTED_VALUE"""),"N")</f>
        <v>N</v>
      </c>
      <c r="W2766" s="3"/>
      <c r="X2766" s="3" t="str">
        <f>IFERROR(__xludf.DUMMYFUNCTION("""COMPUTED_VALUE"""),"61/29 ม1 ต.บ้านใต้ อ.เกาะพะงัน จ.สุราษฎร์ธานี")</f>
        <v>61/29 ม1 ต.บ้านใต้ อ.เกาะพะงัน จ.สุราษฎร์ธานี</v>
      </c>
      <c r="Y2766" s="3"/>
      <c r="Z2766" s="3">
        <f>IFERROR(__xludf.DUMMYFUNCTION("""COMPUTED_VALUE"""),0.0)</f>
        <v>0</v>
      </c>
      <c r="AA2766" s="3">
        <f>IFERROR(__xludf.DUMMYFUNCTION("""COMPUTED_VALUE"""),0.0)</f>
        <v>0</v>
      </c>
      <c r="AB2766" s="3" t="str">
        <f>IFERROR(__xludf.DUMMYFUNCTION("""COMPUTED_VALUE"""),"สุราษฎร์ธานี")</f>
        <v>สุราษฎร์ธานี</v>
      </c>
      <c r="AC2766" s="3">
        <f>IFERROR(__xludf.DUMMYFUNCTION("""COMPUTED_VALUE"""),0.0)</f>
        <v>0</v>
      </c>
      <c r="AD2766" s="3"/>
      <c r="AE2766" s="3"/>
      <c r="AF2766" s="3" t="str">
        <f>IFERROR(__xludf.DUMMYFUNCTION("""COMPUTED_VALUE"""),"ร้านแจ๊กกี้ มินิมาร์ท-83592")</f>
        <v>ร้านแจ๊กกี้ มินิมาร์ท-83592</v>
      </c>
      <c r="AG2766" s="3" t="str">
        <f>IFERROR(__xludf.DUMMYFUNCTION("""COMPUTED_VALUE"""),"ใต้")</f>
        <v>ใต้</v>
      </c>
      <c r="AH2766" s="3" t="str">
        <f>IFERROR(__xludf.DUMMYFUNCTION("""COMPUTED_VALUE"""),"#N/A")</f>
        <v>#N/A</v>
      </c>
      <c r="AI2766" s="3" t="str">
        <f>IFERROR(__xludf.DUMMYFUNCTION("""COMPUTED_VALUE"""),"Out of warranty")</f>
        <v>Out of warranty</v>
      </c>
      <c r="AJ2766" s="3">
        <f>IFERROR(__xludf.DUMMYFUNCTION("""COMPUTED_VALUE"""),47.0)</f>
        <v>47</v>
      </c>
      <c r="AK2766" s="3"/>
      <c r="AL2766" s="3"/>
    </row>
    <row r="2767" ht="15.75" customHeight="1">
      <c r="A2767" s="1" t="str">
        <f>IFERROR(__xludf.DUMMYFUNCTION("""COMPUTED_VALUE"""),"83593")</f>
        <v>83593</v>
      </c>
      <c r="B2767" s="2">
        <f>IFERROR(__xludf.DUMMYFUNCTION("""COMPUTED_VALUE"""),83593.0)</f>
        <v>83593</v>
      </c>
      <c r="C2767" s="3" t="str">
        <f>IFERROR(__xludf.DUMMYFUNCTION("""COMPUTED_VALUE"""),"ร้านสตังค์ มินิมาร์ท (คุณวีระพงษ์)")</f>
        <v>ร้านสตังค์ มินิมาร์ท (คุณวีระพงษ์)</v>
      </c>
      <c r="D2767" s="3" t="str">
        <f>IFERROR(__xludf.DUMMYFUNCTION("""COMPUTED_VALUE"""),"ร้านสตังค์ มินิมาร์ท (คุณวีระพงษ์)")</f>
        <v>ร้านสตังค์ มินิมาร์ท (คุณวีระพงษ์)</v>
      </c>
      <c r="E2767" s="1" t="str">
        <f>IFERROR(__xludf.DUMMYFUNCTION("""COMPUTED_VALUE"""),"Donjai")</f>
        <v>Donjai</v>
      </c>
      <c r="F2767" s="1" t="str">
        <f>IFERROR(__xludf.DUMMYFUNCTION("""COMPUTED_VALUE"""),"00510143")</f>
        <v>00510143</v>
      </c>
      <c r="G2767" s="1" t="str">
        <f>IFERROR(__xludf.DUMMYFUNCTION("""COMPUTED_VALUE"""),"นายธีระวัฒน์ บุญสิทธิ์")</f>
        <v>นายธีระวัฒน์ บุญสิทธิ์</v>
      </c>
      <c r="H2767" s="1" t="str">
        <f>IFERROR(__xludf.DUMMYFUNCTION("""COMPUTED_VALUE"""),"00510143")</f>
        <v>00510143</v>
      </c>
      <c r="I2767" s="1" t="str">
        <f>IFERROR(__xludf.DUMMYFUNCTION("""COMPUTED_VALUE"""),"นายธีระวัฒน์ บุญสิทธิ์")</f>
        <v>นายธีระวัฒน์ บุญสิทธิ์</v>
      </c>
      <c r="J2767" s="3">
        <f>IFERROR(__xludf.DUMMYFUNCTION("""COMPUTED_VALUE"""),228031.0)</f>
        <v>228031</v>
      </c>
      <c r="K2767" s="3" t="str">
        <f>IFERROR(__xludf.DUMMYFUNCTION("""COMPUTED_VALUE"""),"นายธนพงษ์ วันหมัด")</f>
        <v>นายธนพงษ์ วันหมัด</v>
      </c>
      <c r="L2767" s="1" t="str">
        <f>IFERROR(__xludf.DUMMYFUNCTION("""COMPUTED_VALUE"""),"นายธนพงษ์ วันหมัด")</f>
        <v>นายธนพงษ์ วันหมัด</v>
      </c>
      <c r="M2767" s="1" t="str">
        <f>IFERROR(__xludf.DUMMYFUNCTION("""COMPUTED_VALUE"""),"0813716913")</f>
        <v>0813716913</v>
      </c>
      <c r="N2767" s="3">
        <f>IFERROR(__xludf.DUMMYFUNCTION("""COMPUTED_VALUE"""),83593.0)</f>
        <v>83593</v>
      </c>
      <c r="O2767" s="3" t="str">
        <f>IFERROR(__xludf.DUMMYFUNCTION("""COMPUTED_VALUE"""),"ร้านสตังค์ มินิมาร์ท (คุณวีระพงษ์)")</f>
        <v>ร้านสตังค์ มินิมาร์ท (คุณวีระพงษ์)</v>
      </c>
      <c r="P2767" s="4">
        <f>IFERROR(__xludf.DUMMYFUNCTION("""COMPUTED_VALUE"""),44635.0)</f>
        <v>44635</v>
      </c>
      <c r="Q2767" s="3" t="str">
        <f>IFERROR(__xludf.DUMMYFUNCTION("""COMPUTED_VALUE"""),"A")</f>
        <v>A</v>
      </c>
      <c r="R2767" s="3" t="str">
        <f>IFERROR(__xludf.DUMMYFUNCTION("""COMPUTED_VALUE"""),"Small Format")</f>
        <v>Small Format</v>
      </c>
      <c r="S2767" s="3" t="str">
        <f>IFERROR(__xludf.DUMMYFUNCTION("""COMPUTED_VALUE"""),"Donjai")</f>
        <v>Donjai</v>
      </c>
      <c r="T2767" s="3" t="str">
        <f>IFERROR(__xludf.DUMMYFUNCTION("""COMPUTED_VALUE"""),"12 K.Theerawat B.")</f>
        <v>12 K.Theerawat B.</v>
      </c>
      <c r="U2767" s="3" t="str">
        <f>IFERROR(__xludf.DUMMYFUNCTION("""COMPUTED_VALUE"""),"12 K.Theerawat B.")</f>
        <v>12 K.Theerawat B.</v>
      </c>
      <c r="V2767" s="3" t="str">
        <f>IFERROR(__xludf.DUMMYFUNCTION("""COMPUTED_VALUE"""),"N")</f>
        <v>N</v>
      </c>
      <c r="W2767" s="3"/>
      <c r="X2767" s="3" t="str">
        <f>IFERROR(__xludf.DUMMYFUNCTION("""COMPUTED_VALUE"""),"124 หมู่ที่ 7 บ.ละลมติม ต.โคกสูง อ.โคกสูง จ.สระแก้ว")</f>
        <v>124 หมู่ที่ 7 บ.ละลมติม ต.โคกสูง อ.โคกสูง จ.สระแก้ว</v>
      </c>
      <c r="Y2767" s="3"/>
      <c r="Z2767" s="3">
        <f>IFERROR(__xludf.DUMMYFUNCTION("""COMPUTED_VALUE"""),0.0)</f>
        <v>0</v>
      </c>
      <c r="AA2767" s="3">
        <f>IFERROR(__xludf.DUMMYFUNCTION("""COMPUTED_VALUE"""),0.0)</f>
        <v>0</v>
      </c>
      <c r="AB2767" s="3" t="str">
        <f>IFERROR(__xludf.DUMMYFUNCTION("""COMPUTED_VALUE"""),"สระแก้ว")</f>
        <v>สระแก้ว</v>
      </c>
      <c r="AC2767" s="3">
        <f>IFERROR(__xludf.DUMMYFUNCTION("""COMPUTED_VALUE"""),0.0)</f>
        <v>0</v>
      </c>
      <c r="AD2767" s="3"/>
      <c r="AE2767" s="3"/>
      <c r="AF2767" s="3" t="str">
        <f>IFERROR(__xludf.DUMMYFUNCTION("""COMPUTED_VALUE"""),"ร้านสตังค์ มินิมาร์ท (คุณวีระพงษ์)-83593")</f>
        <v>ร้านสตังค์ มินิมาร์ท (คุณวีระพงษ์)-83593</v>
      </c>
      <c r="AG2767" s="3" t="str">
        <f>IFERROR(__xludf.DUMMYFUNCTION("""COMPUTED_VALUE"""),"ตะวันออก")</f>
        <v>ตะวันออก</v>
      </c>
      <c r="AH2767" s="3" t="str">
        <f>IFERROR(__xludf.DUMMYFUNCTION("""COMPUTED_VALUE"""),"#N/A")</f>
        <v>#N/A</v>
      </c>
      <c r="AI2767" s="3" t="str">
        <f>IFERROR(__xludf.DUMMYFUNCTION("""COMPUTED_VALUE"""),"Out of warranty")</f>
        <v>Out of warranty</v>
      </c>
      <c r="AJ2767" s="3">
        <f>IFERROR(__xludf.DUMMYFUNCTION("""COMPUTED_VALUE"""),47.0)</f>
        <v>47</v>
      </c>
      <c r="AK2767" s="3"/>
      <c r="AL2767" s="3"/>
    </row>
    <row r="2768" ht="15.75" customHeight="1">
      <c r="A2768" s="1" t="str">
        <f>IFERROR(__xludf.DUMMYFUNCTION("""COMPUTED_VALUE"""),"83596")</f>
        <v>83596</v>
      </c>
      <c r="B2768" s="2">
        <f>IFERROR(__xludf.DUMMYFUNCTION("""COMPUTED_VALUE"""),83596.0)</f>
        <v>83596</v>
      </c>
      <c r="C2768" s="3" t="str">
        <f>IFERROR(__xludf.DUMMYFUNCTION("""COMPUTED_VALUE"""),"ร้านสุวภัทร ซุปเปอร์มาร์เก็ต (เฮียหนึ่ง)")</f>
        <v>ร้านสุวภัทร ซุปเปอร์มาร์เก็ต (เฮียหนึ่ง)</v>
      </c>
      <c r="D2768" s="3" t="str">
        <f>IFERROR(__xludf.DUMMYFUNCTION("""COMPUTED_VALUE"""),"ร้านสุวภัทร ซุปเปอร์มาร์เก็ต (เฮียหนึ่ง)")</f>
        <v>ร้านสุวภัทร ซุปเปอร์มาร์เก็ต (เฮียหนึ่ง)</v>
      </c>
      <c r="E2768" s="1" t="str">
        <f>IFERROR(__xludf.DUMMYFUNCTION("""COMPUTED_VALUE"""),"Donjai")</f>
        <v>Donjai</v>
      </c>
      <c r="F2768" s="1" t="str">
        <f>IFERROR(__xludf.DUMMYFUNCTION("""COMPUTED_VALUE"""),"296608")</f>
        <v>296608</v>
      </c>
      <c r="G2768" s="1" t="str">
        <f>IFERROR(__xludf.DUMMYFUNCTION("""COMPUTED_VALUE"""),"นายภาคภูมิ เพ็ชรนิล")</f>
        <v>นายภาคภูมิ เพ็ชรนิล</v>
      </c>
      <c r="H2768" s="1" t="str">
        <f>IFERROR(__xludf.DUMMYFUNCTION("""COMPUTED_VALUE"""),"296608")</f>
        <v>296608</v>
      </c>
      <c r="I2768" s="1" t="str">
        <f>IFERROR(__xludf.DUMMYFUNCTION("""COMPUTED_VALUE"""),"นายภาคภูมิ เพ็ชรนิล")</f>
        <v>นายภาคภูมิ เพ็ชรนิล</v>
      </c>
      <c r="J2768" s="3">
        <f>IFERROR(__xludf.DUMMYFUNCTION("""COMPUTED_VALUE"""),228031.0)</f>
        <v>228031</v>
      </c>
      <c r="K2768" s="3" t="str">
        <f>IFERROR(__xludf.DUMMYFUNCTION("""COMPUTED_VALUE"""),"นายธนพงษ์ วันหมัด")</f>
        <v>นายธนพงษ์ วันหมัด</v>
      </c>
      <c r="L2768" s="1" t="str">
        <f>IFERROR(__xludf.DUMMYFUNCTION("""COMPUTED_VALUE"""),"นายธนพงษ์ วันหมัด")</f>
        <v>นายธนพงษ์ วันหมัด</v>
      </c>
      <c r="M2768" s="1" t="str">
        <f>IFERROR(__xludf.DUMMYFUNCTION("""COMPUTED_VALUE"""),"0813716913")</f>
        <v>0813716913</v>
      </c>
      <c r="N2768" s="3">
        <f>IFERROR(__xludf.DUMMYFUNCTION("""COMPUTED_VALUE"""),83596.0)</f>
        <v>83596</v>
      </c>
      <c r="O2768" s="3" t="str">
        <f>IFERROR(__xludf.DUMMYFUNCTION("""COMPUTED_VALUE"""),"ร้านสุวภัทร ซุปเปอร์มาร์เก็ต (เฮียหนึ่ง)")</f>
        <v>ร้านสุวภัทร ซุปเปอร์มาร์เก็ต (เฮียหนึ่ง)</v>
      </c>
      <c r="P2768" s="4">
        <f>IFERROR(__xludf.DUMMYFUNCTION("""COMPUTED_VALUE"""),44625.0)</f>
        <v>44625</v>
      </c>
      <c r="Q2768" s="3" t="str">
        <f>IFERROR(__xludf.DUMMYFUNCTION("""COMPUTED_VALUE"""),"A")</f>
        <v>A</v>
      </c>
      <c r="R2768" s="3" t="str">
        <f>IFERROR(__xludf.DUMMYFUNCTION("""COMPUTED_VALUE"""),"Small Format")</f>
        <v>Small Format</v>
      </c>
      <c r="S2768" s="3" t="str">
        <f>IFERROR(__xludf.DUMMYFUNCTION("""COMPUTED_VALUE"""),"Donjai")</f>
        <v>Donjai</v>
      </c>
      <c r="T2768" s="3" t="str">
        <f>IFERROR(__xludf.DUMMYFUNCTION("""COMPUTED_VALUE"""),"10 K.Phakphoom P.")</f>
        <v>10 K.Phakphoom P.</v>
      </c>
      <c r="U2768" s="3" t="str">
        <f>IFERROR(__xludf.DUMMYFUNCTION("""COMPUTED_VALUE"""),"10 K.Phakphoom P.")</f>
        <v>10 K.Phakphoom P.</v>
      </c>
      <c r="V2768" s="3" t="str">
        <f>IFERROR(__xludf.DUMMYFUNCTION("""COMPUTED_VALUE"""),"N")</f>
        <v>N</v>
      </c>
      <c r="W2768" s="3"/>
      <c r="X2768" s="3" t="str">
        <f>IFERROR(__xludf.DUMMYFUNCTION("""COMPUTED_VALUE"""),"8 หมู่ 5 ต.มาบปลาเค้า อ.ท่ายาง จ.เพชรบุรี 76130")</f>
        <v>8 หมู่ 5 ต.มาบปลาเค้า อ.ท่ายาง จ.เพชรบุรี 76130</v>
      </c>
      <c r="Y2768" s="3"/>
      <c r="Z2768" s="3" t="str">
        <f>IFERROR(__xludf.DUMMYFUNCTION("""COMPUTED_VALUE"""),"มาบปลาเค้า")</f>
        <v>มาบปลาเค้า</v>
      </c>
      <c r="AA2768" s="3" t="str">
        <f>IFERROR(__xludf.DUMMYFUNCTION("""COMPUTED_VALUE"""),"ท่ายาง")</f>
        <v>ท่ายาง</v>
      </c>
      <c r="AB2768" s="3" t="str">
        <f>IFERROR(__xludf.DUMMYFUNCTION("""COMPUTED_VALUE"""),"เพชรบุรี")</f>
        <v>เพชรบุรี</v>
      </c>
      <c r="AC2768" s="3">
        <f>IFERROR(__xludf.DUMMYFUNCTION("""COMPUTED_VALUE"""),76130.0)</f>
        <v>76130</v>
      </c>
      <c r="AD2768" s="3"/>
      <c r="AE2768" s="3"/>
      <c r="AF2768" s="3" t="str">
        <f>IFERROR(__xludf.DUMMYFUNCTION("""COMPUTED_VALUE"""),"ร้านสุวภัทร ซุปเปอร์มาร์เก็ต (เฮียหนึ่ง)-83596")</f>
        <v>ร้านสุวภัทร ซุปเปอร์มาร์เก็ต (เฮียหนึ่ง)-83596</v>
      </c>
      <c r="AG2768" s="3" t="str">
        <f>IFERROR(__xludf.DUMMYFUNCTION("""COMPUTED_VALUE"""),"ตะวันตก")</f>
        <v>ตะวันตก</v>
      </c>
      <c r="AH2768" s="3" t="str">
        <f>IFERROR(__xludf.DUMMYFUNCTION("""COMPUTED_VALUE"""),"#N/A")</f>
        <v>#N/A</v>
      </c>
      <c r="AI2768" s="3" t="str">
        <f>IFERROR(__xludf.DUMMYFUNCTION("""COMPUTED_VALUE"""),"Out of warranty")</f>
        <v>Out of warranty</v>
      </c>
      <c r="AJ2768" s="3">
        <f>IFERROR(__xludf.DUMMYFUNCTION("""COMPUTED_VALUE"""),47.0)</f>
        <v>47</v>
      </c>
      <c r="AK2768" s="3"/>
      <c r="AL2768" s="3"/>
    </row>
    <row r="2769" ht="15.75" customHeight="1">
      <c r="A2769" s="1" t="str">
        <f>IFERROR(__xludf.DUMMYFUNCTION("""COMPUTED_VALUE"""),"83598")</f>
        <v>83598</v>
      </c>
      <c r="B2769" s="2">
        <f>IFERROR(__xludf.DUMMYFUNCTION("""COMPUTED_VALUE"""),83598.0)</f>
        <v>83598</v>
      </c>
      <c r="C2769" s="3" t="str">
        <f>IFERROR(__xludf.DUMMYFUNCTION("""COMPUTED_VALUE"""),"ร้านหนองปรือมินิมาร์ท (ผู้ใหญ่วรวิช)")</f>
        <v>ร้านหนองปรือมินิมาร์ท (ผู้ใหญ่วรวิช)</v>
      </c>
      <c r="D2769" s="3" t="str">
        <f>IFERROR(__xludf.DUMMYFUNCTION("""COMPUTED_VALUE"""),"ร้านหนองปรือมินิมาร์ท (ผู้ใหญ่วรวิช)")</f>
        <v>ร้านหนองปรือมินิมาร์ท (ผู้ใหญ่วรวิช)</v>
      </c>
      <c r="E2769" s="1" t="str">
        <f>IFERROR(__xludf.DUMMYFUNCTION("""COMPUTED_VALUE"""),"Donjai")</f>
        <v>Donjai</v>
      </c>
      <c r="F2769" s="1" t="str">
        <f>IFERROR(__xludf.DUMMYFUNCTION("""COMPUTED_VALUE"""),"00510143")</f>
        <v>00510143</v>
      </c>
      <c r="G2769" s="1" t="str">
        <f>IFERROR(__xludf.DUMMYFUNCTION("""COMPUTED_VALUE"""),"นายธีระวัฒน์ บุญสิทธิ์")</f>
        <v>นายธีระวัฒน์ บุญสิทธิ์</v>
      </c>
      <c r="H2769" s="1" t="str">
        <f>IFERROR(__xludf.DUMMYFUNCTION("""COMPUTED_VALUE"""),"00510143")</f>
        <v>00510143</v>
      </c>
      <c r="I2769" s="1" t="str">
        <f>IFERROR(__xludf.DUMMYFUNCTION("""COMPUTED_VALUE"""),"นายธีระวัฒน์ บุญสิทธิ์")</f>
        <v>นายธีระวัฒน์ บุญสิทธิ์</v>
      </c>
      <c r="J2769" s="3">
        <f>IFERROR(__xludf.DUMMYFUNCTION("""COMPUTED_VALUE"""),228031.0)</f>
        <v>228031</v>
      </c>
      <c r="K2769" s="3" t="str">
        <f>IFERROR(__xludf.DUMMYFUNCTION("""COMPUTED_VALUE"""),"นายธนพงษ์ วันหมัด")</f>
        <v>นายธนพงษ์ วันหมัด</v>
      </c>
      <c r="L2769" s="1" t="str">
        <f>IFERROR(__xludf.DUMMYFUNCTION("""COMPUTED_VALUE"""),"นายธนพงษ์ วันหมัด")</f>
        <v>นายธนพงษ์ วันหมัด</v>
      </c>
      <c r="M2769" s="1" t="str">
        <f>IFERROR(__xludf.DUMMYFUNCTION("""COMPUTED_VALUE"""),"0813716913")</f>
        <v>0813716913</v>
      </c>
      <c r="N2769" s="3">
        <f>IFERROR(__xludf.DUMMYFUNCTION("""COMPUTED_VALUE"""),83598.0)</f>
        <v>83598</v>
      </c>
      <c r="O2769" s="3" t="str">
        <f>IFERROR(__xludf.DUMMYFUNCTION("""COMPUTED_VALUE"""),"ร้านหนองปรือมินิมาร์ท (ผู้ใหญ่วรวิช)")</f>
        <v>ร้านหนองปรือมินิมาร์ท (ผู้ใหญ่วรวิช)</v>
      </c>
      <c r="P2769" s="4">
        <f>IFERROR(__xludf.DUMMYFUNCTION("""COMPUTED_VALUE"""),44710.0)</f>
        <v>44710</v>
      </c>
      <c r="Q2769" s="3" t="str">
        <f>IFERROR(__xludf.DUMMYFUNCTION("""COMPUTED_VALUE"""),"A")</f>
        <v>A</v>
      </c>
      <c r="R2769" s="3" t="str">
        <f>IFERROR(__xludf.DUMMYFUNCTION("""COMPUTED_VALUE"""),"Small Format")</f>
        <v>Small Format</v>
      </c>
      <c r="S2769" s="3" t="str">
        <f>IFERROR(__xludf.DUMMYFUNCTION("""COMPUTED_VALUE"""),"Donjai")</f>
        <v>Donjai</v>
      </c>
      <c r="T2769" s="3" t="str">
        <f>IFERROR(__xludf.DUMMYFUNCTION("""COMPUTED_VALUE"""),"12 K.Theerawat B.")</f>
        <v>12 K.Theerawat B.</v>
      </c>
      <c r="U2769" s="3" t="str">
        <f>IFERROR(__xludf.DUMMYFUNCTION("""COMPUTED_VALUE"""),"12 K.Theerawat B.")</f>
        <v>12 K.Theerawat B.</v>
      </c>
      <c r="V2769" s="3" t="str">
        <f>IFERROR(__xludf.DUMMYFUNCTION("""COMPUTED_VALUE"""),"N")</f>
        <v>N</v>
      </c>
      <c r="W2769" s="3"/>
      <c r="X2769" s="3" t="str">
        <f>IFERROR(__xludf.DUMMYFUNCTION("""COMPUTED_VALUE"""),"7 ม.2 ตาหลังใน วังน้ำเย็น สระแก้ว 27210")</f>
        <v>7 ม.2 ตาหลังใน วังน้ำเย็น สระแก้ว 27210</v>
      </c>
      <c r="Y2769" s="3"/>
      <c r="Z2769" s="3">
        <f>IFERROR(__xludf.DUMMYFUNCTION("""COMPUTED_VALUE"""),0.0)</f>
        <v>0</v>
      </c>
      <c r="AA2769" s="3">
        <f>IFERROR(__xludf.DUMMYFUNCTION("""COMPUTED_VALUE"""),0.0)</f>
        <v>0</v>
      </c>
      <c r="AB2769" s="3" t="str">
        <f>IFERROR(__xludf.DUMMYFUNCTION("""COMPUTED_VALUE"""),"สระแก้ว")</f>
        <v>สระแก้ว</v>
      </c>
      <c r="AC2769" s="3">
        <f>IFERROR(__xludf.DUMMYFUNCTION("""COMPUTED_VALUE"""),27210.0)</f>
        <v>27210</v>
      </c>
      <c r="AD2769" s="3"/>
      <c r="AE2769" s="3"/>
      <c r="AF2769" s="3" t="str">
        <f>IFERROR(__xludf.DUMMYFUNCTION("""COMPUTED_VALUE"""),"ร้านหนองปรือมินิมาร์ท (ผู้ใหญ่วรวิช)-83598")</f>
        <v>ร้านหนองปรือมินิมาร์ท (ผู้ใหญ่วรวิช)-83598</v>
      </c>
      <c r="AG2769" s="3" t="str">
        <f>IFERROR(__xludf.DUMMYFUNCTION("""COMPUTED_VALUE"""),"ตะวันออก")</f>
        <v>ตะวันออก</v>
      </c>
      <c r="AH2769" s="3" t="str">
        <f>IFERROR(__xludf.DUMMYFUNCTION("""COMPUTED_VALUE"""),"#N/A")</f>
        <v>#N/A</v>
      </c>
      <c r="AI2769" s="3" t="str">
        <f>IFERROR(__xludf.DUMMYFUNCTION("""COMPUTED_VALUE"""),"Out of warranty")</f>
        <v>Out of warranty</v>
      </c>
      <c r="AJ2769" s="3">
        <f>IFERROR(__xludf.DUMMYFUNCTION("""COMPUTED_VALUE"""),44.0)</f>
        <v>44</v>
      </c>
      <c r="AK2769" s="3"/>
      <c r="AL2769" s="3"/>
    </row>
    <row r="2770" ht="15.75" customHeight="1">
      <c r="A2770" s="1" t="str">
        <f>IFERROR(__xludf.DUMMYFUNCTION("""COMPUTED_VALUE"""),"83599")</f>
        <v>83599</v>
      </c>
      <c r="B2770" s="2">
        <f>IFERROR(__xludf.DUMMYFUNCTION("""COMPUTED_VALUE"""),83599.0)</f>
        <v>83599</v>
      </c>
      <c r="C2770" s="3" t="str">
        <f>IFERROR(__xludf.DUMMYFUNCTION("""COMPUTED_VALUE"""),"ร้านธนานิด มินิมาร์ท (พ่อพลอย)")</f>
        <v>ร้านธนานิด มินิมาร์ท (พ่อพลอย)</v>
      </c>
      <c r="D2770" s="3" t="str">
        <f>IFERROR(__xludf.DUMMYFUNCTION("""COMPUTED_VALUE"""),"ร้านธนานิด มินิมาร์ท (พ่อพลอย)")</f>
        <v>ร้านธนานิด มินิมาร์ท (พ่อพลอย)</v>
      </c>
      <c r="E2770" s="1" t="str">
        <f>IFERROR(__xludf.DUMMYFUNCTION("""COMPUTED_VALUE"""),"Donjai")</f>
        <v>Donjai</v>
      </c>
      <c r="F2770" s="1" t="str">
        <f>IFERROR(__xludf.DUMMYFUNCTION("""COMPUTED_VALUE"""),"296868")</f>
        <v>296868</v>
      </c>
      <c r="G2770" s="1" t="str">
        <f>IFERROR(__xludf.DUMMYFUNCTION("""COMPUTED_VALUE"""),"นายพีระพงษ์ แก้วดวงดี")</f>
        <v>นายพีระพงษ์ แก้วดวงดี</v>
      </c>
      <c r="H2770" s="1" t="str">
        <f>IFERROR(__xludf.DUMMYFUNCTION("""COMPUTED_VALUE"""),"296868")</f>
        <v>296868</v>
      </c>
      <c r="I2770" s="1" t="str">
        <f>IFERROR(__xludf.DUMMYFUNCTION("""COMPUTED_VALUE"""),"นายพีระพงษ์ แก้วดวงดี")</f>
        <v>นายพีระพงษ์ แก้วดวงดี</v>
      </c>
      <c r="J2770" s="3">
        <f>IFERROR(__xludf.DUMMYFUNCTION("""COMPUTED_VALUE"""),295886.0)</f>
        <v>295886</v>
      </c>
      <c r="K2770" s="3" t="str">
        <f>IFERROR(__xludf.DUMMYFUNCTION("""COMPUTED_VALUE"""),"นายจิระพงษ์ โพธิ์นิล")</f>
        <v>นายจิระพงษ์ โพธิ์นิล</v>
      </c>
      <c r="L2770" s="1" t="str">
        <f>IFERROR(__xludf.DUMMYFUNCTION("""COMPUTED_VALUE"""),"นายจิระพงษ์ โพธิ์นิล")</f>
        <v>นายจิระพงษ์ โพธิ์นิล</v>
      </c>
      <c r="M2770" s="1" t="str">
        <f>IFERROR(__xludf.DUMMYFUNCTION("""COMPUTED_VALUE"""),"0933290754")</f>
        <v>0933290754</v>
      </c>
      <c r="N2770" s="3">
        <f>IFERROR(__xludf.DUMMYFUNCTION("""COMPUTED_VALUE"""),83599.0)</f>
        <v>83599</v>
      </c>
      <c r="O2770" s="3" t="str">
        <f>IFERROR(__xludf.DUMMYFUNCTION("""COMPUTED_VALUE"""),"ร้านธนานิด มินิมาร์ท (พ่อพลอย)")</f>
        <v>ร้านธนานิด มินิมาร์ท (พ่อพลอย)</v>
      </c>
      <c r="P2770" s="4">
        <f>IFERROR(__xludf.DUMMYFUNCTION("""COMPUTED_VALUE"""),44645.0)</f>
        <v>44645</v>
      </c>
      <c r="Q2770" s="3" t="str">
        <f>IFERROR(__xludf.DUMMYFUNCTION("""COMPUTED_VALUE"""),"I")</f>
        <v>I</v>
      </c>
      <c r="R2770" s="3" t="str">
        <f>IFERROR(__xludf.DUMMYFUNCTION("""COMPUTED_VALUE"""),"Small Format")</f>
        <v>Small Format</v>
      </c>
      <c r="S2770" s="3" t="str">
        <f>IFERROR(__xludf.DUMMYFUNCTION("""COMPUTED_VALUE"""),"Donjai")</f>
        <v>Donjai</v>
      </c>
      <c r="T2770" s="3" t="str">
        <f>IFERROR(__xludf.DUMMYFUNCTION("""COMPUTED_VALUE"""),"03 K.Peerapong K.")</f>
        <v>03 K.Peerapong K.</v>
      </c>
      <c r="U2770" s="3" t="str">
        <f>IFERROR(__xludf.DUMMYFUNCTION("""COMPUTED_VALUE"""),"03 K.Peerapong K.")</f>
        <v>03 K.Peerapong K.</v>
      </c>
      <c r="V2770" s="3" t="str">
        <f>IFERROR(__xludf.DUMMYFUNCTION("""COMPUTED_VALUE"""),"N")</f>
        <v>N</v>
      </c>
      <c r="W2770" s="3"/>
      <c r="X2770" s="3" t="str">
        <f>IFERROR(__xludf.DUMMYFUNCTION("""COMPUTED_VALUE"""),"211 หมู่ที่ 19 ต.พระลับ อ.เมืองขอนแก่น จ.ขอนแก่น 40000")</f>
        <v>211 หมู่ที่ 19 ต.พระลับ อ.เมืองขอนแก่น จ.ขอนแก่น 40000</v>
      </c>
      <c r="Y2770" s="3"/>
      <c r="Z2770" s="3">
        <f>IFERROR(__xludf.DUMMYFUNCTION("""COMPUTED_VALUE"""),0.0)</f>
        <v>0</v>
      </c>
      <c r="AA2770" s="3">
        <f>IFERROR(__xludf.DUMMYFUNCTION("""COMPUTED_VALUE"""),0.0)</f>
        <v>0</v>
      </c>
      <c r="AB2770" s="3" t="str">
        <f>IFERROR(__xludf.DUMMYFUNCTION("""COMPUTED_VALUE"""),"ขอนแก่น")</f>
        <v>ขอนแก่น</v>
      </c>
      <c r="AC2770" s="3">
        <f>IFERROR(__xludf.DUMMYFUNCTION("""COMPUTED_VALUE"""),40000.0)</f>
        <v>40000</v>
      </c>
      <c r="AD2770" s="3"/>
      <c r="AE2770" s="3"/>
      <c r="AF2770" s="3" t="str">
        <f>IFERROR(__xludf.DUMMYFUNCTION("""COMPUTED_VALUE"""),"ร้านธนานิด มินิมาร์ท (พ่อพลอย)-83599")</f>
        <v>ร้านธนานิด มินิมาร์ท (พ่อพลอย)-83599</v>
      </c>
      <c r="AG2770" s="3" t="str">
        <f>IFERROR(__xludf.DUMMYFUNCTION("""COMPUTED_VALUE"""),"ตะวันออกเฉียงเหนือ")</f>
        <v>ตะวันออกเฉียงเหนือ</v>
      </c>
      <c r="AH2770" s="3" t="str">
        <f>IFERROR(__xludf.DUMMYFUNCTION("""COMPUTED_VALUE"""),"#N/A")</f>
        <v>#N/A</v>
      </c>
      <c r="AI2770" s="3" t="str">
        <f>IFERROR(__xludf.DUMMYFUNCTION("""COMPUTED_VALUE"""),"Out of warranty")</f>
        <v>Out of warranty</v>
      </c>
      <c r="AJ2770" s="3">
        <f>IFERROR(__xludf.DUMMYFUNCTION("""COMPUTED_VALUE"""),46.0)</f>
        <v>46</v>
      </c>
      <c r="AK2770" s="3"/>
      <c r="AL2770" s="3"/>
    </row>
    <row r="2771" ht="15.75" customHeight="1">
      <c r="A2771" s="1" t="str">
        <f>IFERROR(__xludf.DUMMYFUNCTION("""COMPUTED_VALUE"""),"83600")</f>
        <v>83600</v>
      </c>
      <c r="B2771" s="2">
        <f>IFERROR(__xludf.DUMMYFUNCTION("""COMPUTED_VALUE"""),83600.0)</f>
        <v>83600</v>
      </c>
      <c r="C2771" s="3" t="str">
        <f>IFERROR(__xludf.DUMMYFUNCTION("""COMPUTED_VALUE"""),"ร้านหวานหวานเบ็ตเตล็ด")</f>
        <v>ร้านหวานหวานเบ็ตเตล็ด</v>
      </c>
      <c r="D2771" s="3" t="str">
        <f>IFERROR(__xludf.DUMMYFUNCTION("""COMPUTED_VALUE"""),"ร้านหวานหวานเบ็ตเตล็ด")</f>
        <v>ร้านหวานหวานเบ็ตเตล็ด</v>
      </c>
      <c r="E2771" s="1" t="str">
        <f>IFERROR(__xludf.DUMMYFUNCTION("""COMPUTED_VALUE"""),"Donjai")</f>
        <v>Donjai</v>
      </c>
      <c r="F2771" s="1" t="str">
        <f>IFERROR(__xludf.DUMMYFUNCTION("""COMPUTED_VALUE"""),"296868")</f>
        <v>296868</v>
      </c>
      <c r="G2771" s="1" t="str">
        <f>IFERROR(__xludf.DUMMYFUNCTION("""COMPUTED_VALUE"""),"นายพีระพงษ์ แก้วดวงดี")</f>
        <v>นายพีระพงษ์ แก้วดวงดี</v>
      </c>
      <c r="H2771" s="1" t="str">
        <f>IFERROR(__xludf.DUMMYFUNCTION("""COMPUTED_VALUE"""),"296868")</f>
        <v>296868</v>
      </c>
      <c r="I2771" s="1" t="str">
        <f>IFERROR(__xludf.DUMMYFUNCTION("""COMPUTED_VALUE"""),"นายพีระพงษ์ แก้วดวงดี")</f>
        <v>นายพีระพงษ์ แก้วดวงดี</v>
      </c>
      <c r="J2771" s="3">
        <f>IFERROR(__xludf.DUMMYFUNCTION("""COMPUTED_VALUE"""),295886.0)</f>
        <v>295886</v>
      </c>
      <c r="K2771" s="3" t="str">
        <f>IFERROR(__xludf.DUMMYFUNCTION("""COMPUTED_VALUE"""),"นายจิระพงษ์ โพธิ์นิล")</f>
        <v>นายจิระพงษ์ โพธิ์นิล</v>
      </c>
      <c r="L2771" s="1" t="str">
        <f>IFERROR(__xludf.DUMMYFUNCTION("""COMPUTED_VALUE"""),"นายจิระพงษ์ โพธิ์นิล")</f>
        <v>นายจิระพงษ์ โพธิ์นิล</v>
      </c>
      <c r="M2771" s="1" t="str">
        <f>IFERROR(__xludf.DUMMYFUNCTION("""COMPUTED_VALUE"""),"0933290754")</f>
        <v>0933290754</v>
      </c>
      <c r="N2771" s="3">
        <f>IFERROR(__xludf.DUMMYFUNCTION("""COMPUTED_VALUE"""),83600.0)</f>
        <v>83600</v>
      </c>
      <c r="O2771" s="3" t="str">
        <f>IFERROR(__xludf.DUMMYFUNCTION("""COMPUTED_VALUE"""),"ร้านหวานหวานเบ็ตเตล็ด")</f>
        <v>ร้านหวานหวานเบ็ตเตล็ด</v>
      </c>
      <c r="P2771" s="4">
        <f>IFERROR(__xludf.DUMMYFUNCTION("""COMPUTED_VALUE"""),44634.0)</f>
        <v>44634</v>
      </c>
      <c r="Q2771" s="3" t="str">
        <f>IFERROR(__xludf.DUMMYFUNCTION("""COMPUTED_VALUE"""),"A")</f>
        <v>A</v>
      </c>
      <c r="R2771" s="3" t="str">
        <f>IFERROR(__xludf.DUMMYFUNCTION("""COMPUTED_VALUE"""),"Small Format")</f>
        <v>Small Format</v>
      </c>
      <c r="S2771" s="3" t="str">
        <f>IFERROR(__xludf.DUMMYFUNCTION("""COMPUTED_VALUE"""),"Donjai")</f>
        <v>Donjai</v>
      </c>
      <c r="T2771" s="3" t="str">
        <f>IFERROR(__xludf.DUMMYFUNCTION("""COMPUTED_VALUE"""),"03 K.Peerapong K.")</f>
        <v>03 K.Peerapong K.</v>
      </c>
      <c r="U2771" s="3" t="str">
        <f>IFERROR(__xludf.DUMMYFUNCTION("""COMPUTED_VALUE"""),"03 K.Peerapong K.")</f>
        <v>03 K.Peerapong K.</v>
      </c>
      <c r="V2771" s="3" t="str">
        <f>IFERROR(__xludf.DUMMYFUNCTION("""COMPUTED_VALUE"""),"N")</f>
        <v>N</v>
      </c>
      <c r="W2771" s="3"/>
      <c r="X2771" s="3" t="str">
        <f>IFERROR(__xludf.DUMMYFUNCTION("""COMPUTED_VALUE"""),"140 หมู่ 3 ต.หนองบัว อ.บ้านฝาง จ.ขอนแก่น")</f>
        <v>140 หมู่ 3 ต.หนองบัว อ.บ้านฝาง จ.ขอนแก่น</v>
      </c>
      <c r="Y2771" s="3"/>
      <c r="Z2771" s="3">
        <f>IFERROR(__xludf.DUMMYFUNCTION("""COMPUTED_VALUE"""),0.0)</f>
        <v>0</v>
      </c>
      <c r="AA2771" s="3">
        <f>IFERROR(__xludf.DUMMYFUNCTION("""COMPUTED_VALUE"""),0.0)</f>
        <v>0</v>
      </c>
      <c r="AB2771" s="3" t="str">
        <f>IFERROR(__xludf.DUMMYFUNCTION("""COMPUTED_VALUE"""),"ขอนแก่น")</f>
        <v>ขอนแก่น</v>
      </c>
      <c r="AC2771" s="3">
        <f>IFERROR(__xludf.DUMMYFUNCTION("""COMPUTED_VALUE"""),0.0)</f>
        <v>0</v>
      </c>
      <c r="AD2771" s="3"/>
      <c r="AE2771" s="3"/>
      <c r="AF2771" s="3" t="str">
        <f>IFERROR(__xludf.DUMMYFUNCTION("""COMPUTED_VALUE"""),"ร้านหวานหวานเบ็ตเตล็ด-83600")</f>
        <v>ร้านหวานหวานเบ็ตเตล็ด-83600</v>
      </c>
      <c r="AG2771" s="3" t="str">
        <f>IFERROR(__xludf.DUMMYFUNCTION("""COMPUTED_VALUE"""),"ตะวันออกเฉียงเหนือ")</f>
        <v>ตะวันออกเฉียงเหนือ</v>
      </c>
      <c r="AH2771" s="3" t="str">
        <f>IFERROR(__xludf.DUMMYFUNCTION("""COMPUTED_VALUE"""),"#N/A")</f>
        <v>#N/A</v>
      </c>
      <c r="AI2771" s="3" t="str">
        <f>IFERROR(__xludf.DUMMYFUNCTION("""COMPUTED_VALUE"""),"Out of warranty")</f>
        <v>Out of warranty</v>
      </c>
      <c r="AJ2771" s="3">
        <f>IFERROR(__xludf.DUMMYFUNCTION("""COMPUTED_VALUE"""),47.0)</f>
        <v>47</v>
      </c>
      <c r="AK2771" s="3"/>
      <c r="AL2771" s="3"/>
    </row>
    <row r="2772" ht="15.75" customHeight="1">
      <c r="A2772" s="1" t="str">
        <f>IFERROR(__xludf.DUMMYFUNCTION("""COMPUTED_VALUE"""),"83601")</f>
        <v>83601</v>
      </c>
      <c r="B2772" s="2">
        <f>IFERROR(__xludf.DUMMYFUNCTION("""COMPUTED_VALUE"""),83601.0)</f>
        <v>83601</v>
      </c>
      <c r="C2772" s="3" t="str">
        <f>IFERROR(__xludf.DUMMYFUNCTION("""COMPUTED_VALUE"""),"ร้านโอ๋กะน้อย")</f>
        <v>ร้านโอ๋กะน้อย</v>
      </c>
      <c r="D2772" s="3" t="str">
        <f>IFERROR(__xludf.DUMMYFUNCTION("""COMPUTED_VALUE"""),"ร้านโอ๋กะน้อย")</f>
        <v>ร้านโอ๋กะน้อย</v>
      </c>
      <c r="E2772" s="1" t="str">
        <f>IFERROR(__xludf.DUMMYFUNCTION("""COMPUTED_VALUE"""),"Donjai")</f>
        <v>Donjai</v>
      </c>
      <c r="F2772" s="1" t="str">
        <f>IFERROR(__xludf.DUMMYFUNCTION("""COMPUTED_VALUE"""),"296608")</f>
        <v>296608</v>
      </c>
      <c r="G2772" s="1" t="str">
        <f>IFERROR(__xludf.DUMMYFUNCTION("""COMPUTED_VALUE"""),"นายภาคภูมิ เพ็ชรนิล")</f>
        <v>นายภาคภูมิ เพ็ชรนิล</v>
      </c>
      <c r="H2772" s="1" t="str">
        <f>IFERROR(__xludf.DUMMYFUNCTION("""COMPUTED_VALUE"""),"296608")</f>
        <v>296608</v>
      </c>
      <c r="I2772" s="1" t="str">
        <f>IFERROR(__xludf.DUMMYFUNCTION("""COMPUTED_VALUE"""),"นายภาคภูมิ เพ็ชรนิล")</f>
        <v>นายภาคภูมิ เพ็ชรนิล</v>
      </c>
      <c r="J2772" s="3">
        <f>IFERROR(__xludf.DUMMYFUNCTION("""COMPUTED_VALUE"""),228031.0)</f>
        <v>228031</v>
      </c>
      <c r="K2772" s="3" t="str">
        <f>IFERROR(__xludf.DUMMYFUNCTION("""COMPUTED_VALUE"""),"นายธนพงษ์ วันหมัด")</f>
        <v>นายธนพงษ์ วันหมัด</v>
      </c>
      <c r="L2772" s="1" t="str">
        <f>IFERROR(__xludf.DUMMYFUNCTION("""COMPUTED_VALUE"""),"นายธนพงษ์ วันหมัด")</f>
        <v>นายธนพงษ์ วันหมัด</v>
      </c>
      <c r="M2772" s="1" t="str">
        <f>IFERROR(__xludf.DUMMYFUNCTION("""COMPUTED_VALUE"""),"0813716913")</f>
        <v>0813716913</v>
      </c>
      <c r="N2772" s="3">
        <f>IFERROR(__xludf.DUMMYFUNCTION("""COMPUTED_VALUE"""),83601.0)</f>
        <v>83601</v>
      </c>
      <c r="O2772" s="3" t="str">
        <f>IFERROR(__xludf.DUMMYFUNCTION("""COMPUTED_VALUE"""),"ร้านโอ๋กะน้อย")</f>
        <v>ร้านโอ๋กะน้อย</v>
      </c>
      <c r="P2772" s="4">
        <f>IFERROR(__xludf.DUMMYFUNCTION("""COMPUTED_VALUE"""),44631.0)</f>
        <v>44631</v>
      </c>
      <c r="Q2772" s="3" t="str">
        <f>IFERROR(__xludf.DUMMYFUNCTION("""COMPUTED_VALUE"""),"I")</f>
        <v>I</v>
      </c>
      <c r="R2772" s="3" t="str">
        <f>IFERROR(__xludf.DUMMYFUNCTION("""COMPUTED_VALUE"""),"Small Format")</f>
        <v>Small Format</v>
      </c>
      <c r="S2772" s="3" t="str">
        <f>IFERROR(__xludf.DUMMYFUNCTION("""COMPUTED_VALUE"""),"Donjai")</f>
        <v>Donjai</v>
      </c>
      <c r="T2772" s="3" t="str">
        <f>IFERROR(__xludf.DUMMYFUNCTION("""COMPUTED_VALUE"""),"10 K.Phakphoom P.")</f>
        <v>10 K.Phakphoom P.</v>
      </c>
      <c r="U2772" s="3" t="str">
        <f>IFERROR(__xludf.DUMMYFUNCTION("""COMPUTED_VALUE"""),"10 K.Phakphoom P.")</f>
        <v>10 K.Phakphoom P.</v>
      </c>
      <c r="V2772" s="3" t="str">
        <f>IFERROR(__xludf.DUMMYFUNCTION("""COMPUTED_VALUE"""),"N")</f>
        <v>N</v>
      </c>
      <c r="W2772" s="3"/>
      <c r="X2772" s="3" t="str">
        <f>IFERROR(__xludf.DUMMYFUNCTION("""COMPUTED_VALUE"""),"74 ถนนเพชรเกษม ตำบลขันเงิน อำเภอ หลังสวน จังหวัดชุมพร 86110")</f>
        <v>74 ถนนเพชรเกษม ตำบลขันเงิน อำเภอ หลังสวน จังหวัดชุมพร 86110</v>
      </c>
      <c r="Y2772" s="3"/>
      <c r="Z2772" s="3">
        <f>IFERROR(__xludf.DUMMYFUNCTION("""COMPUTED_VALUE"""),0.0)</f>
        <v>0</v>
      </c>
      <c r="AA2772" s="3">
        <f>IFERROR(__xludf.DUMMYFUNCTION("""COMPUTED_VALUE"""),0.0)</f>
        <v>0</v>
      </c>
      <c r="AB2772" s="3" t="str">
        <f>IFERROR(__xludf.DUMMYFUNCTION("""COMPUTED_VALUE"""),"ชุมพร")</f>
        <v>ชุมพร</v>
      </c>
      <c r="AC2772" s="3">
        <f>IFERROR(__xludf.DUMMYFUNCTION("""COMPUTED_VALUE"""),86110.0)</f>
        <v>86110</v>
      </c>
      <c r="AD2772" s="3"/>
      <c r="AE2772" s="3"/>
      <c r="AF2772" s="3" t="str">
        <f>IFERROR(__xludf.DUMMYFUNCTION("""COMPUTED_VALUE"""),"ร้านโอ๋กะน้อย-83601")</f>
        <v>ร้านโอ๋กะน้อย-83601</v>
      </c>
      <c r="AG2772" s="3" t="str">
        <f>IFERROR(__xludf.DUMMYFUNCTION("""COMPUTED_VALUE"""),"ใต้")</f>
        <v>ใต้</v>
      </c>
      <c r="AH2772" s="3" t="str">
        <f>IFERROR(__xludf.DUMMYFUNCTION("""COMPUTED_VALUE"""),"#N/A")</f>
        <v>#N/A</v>
      </c>
      <c r="AI2772" s="3" t="str">
        <f>IFERROR(__xludf.DUMMYFUNCTION("""COMPUTED_VALUE"""),"Out of warranty")</f>
        <v>Out of warranty</v>
      </c>
      <c r="AJ2772" s="3">
        <f>IFERROR(__xludf.DUMMYFUNCTION("""COMPUTED_VALUE"""),47.0)</f>
        <v>47</v>
      </c>
      <c r="AK2772" s="3"/>
      <c r="AL2772" s="3"/>
    </row>
    <row r="2773" ht="15.75" customHeight="1">
      <c r="A2773" s="1" t="str">
        <f>IFERROR(__xludf.DUMMYFUNCTION("""COMPUTED_VALUE"""),"83602")</f>
        <v>83602</v>
      </c>
      <c r="B2773" s="2">
        <f>IFERROR(__xludf.DUMMYFUNCTION("""COMPUTED_VALUE"""),83602.0)</f>
        <v>83602</v>
      </c>
      <c r="C2773" s="3" t="str">
        <f>IFERROR(__xludf.DUMMYFUNCTION("""COMPUTED_VALUE"""),"ร้าน ยุ้ยกุ้งอ๊อก")</f>
        <v>ร้าน ยุ้ยกุ้งอ๊อก</v>
      </c>
      <c r="D2773" s="3" t="str">
        <f>IFERROR(__xludf.DUMMYFUNCTION("""COMPUTED_VALUE"""),"ร้าน ยุ้ยกุ้งอ๊อก")</f>
        <v>ร้าน ยุ้ยกุ้งอ๊อก</v>
      </c>
      <c r="E2773" s="1" t="str">
        <f>IFERROR(__xludf.DUMMYFUNCTION("""COMPUTED_VALUE"""),"Donjai")</f>
        <v>Donjai</v>
      </c>
      <c r="F2773" s="1" t="str">
        <f>IFERROR(__xludf.DUMMYFUNCTION("""COMPUTED_VALUE"""),"2010023")</f>
        <v>2010023</v>
      </c>
      <c r="G2773" s="1" t="str">
        <f>IFERROR(__xludf.DUMMYFUNCTION("""COMPUTED_VALUE"""),"นายวศิน ไวยรูป")</f>
        <v>นายวศิน ไวยรูป</v>
      </c>
      <c r="H2773" s="1" t="str">
        <f>IFERROR(__xludf.DUMMYFUNCTION("""COMPUTED_VALUE"""),"2010023")</f>
        <v>2010023</v>
      </c>
      <c r="I2773" s="1" t="str">
        <f>IFERROR(__xludf.DUMMYFUNCTION("""COMPUTED_VALUE"""),"นายวศิน ไวยรูป")</f>
        <v>นายวศิน ไวยรูป</v>
      </c>
      <c r="J2773" s="3">
        <f>IFERROR(__xludf.DUMMYFUNCTION("""COMPUTED_VALUE"""),228031.0)</f>
        <v>228031</v>
      </c>
      <c r="K2773" s="3" t="str">
        <f>IFERROR(__xludf.DUMMYFUNCTION("""COMPUTED_VALUE"""),"นายธนพงษ์ วันหมัด")</f>
        <v>นายธนพงษ์ วันหมัด</v>
      </c>
      <c r="L2773" s="1" t="str">
        <f>IFERROR(__xludf.DUMMYFUNCTION("""COMPUTED_VALUE"""),"นายธนพงษ์ วันหมัด")</f>
        <v>นายธนพงษ์ วันหมัด</v>
      </c>
      <c r="M2773" s="1" t="str">
        <f>IFERROR(__xludf.DUMMYFUNCTION("""COMPUTED_VALUE"""),"0813716913")</f>
        <v>0813716913</v>
      </c>
      <c r="N2773" s="3">
        <f>IFERROR(__xludf.DUMMYFUNCTION("""COMPUTED_VALUE"""),83602.0)</f>
        <v>83602</v>
      </c>
      <c r="O2773" s="3" t="str">
        <f>IFERROR(__xludf.DUMMYFUNCTION("""COMPUTED_VALUE"""),"ร้าน ยุ้ยกุ้งอ๊อก")</f>
        <v>ร้าน ยุ้ยกุ้งอ๊อก</v>
      </c>
      <c r="P2773" s="4">
        <f>IFERROR(__xludf.DUMMYFUNCTION("""COMPUTED_VALUE"""),44655.0)</f>
        <v>44655</v>
      </c>
      <c r="Q2773" s="3" t="str">
        <f>IFERROR(__xludf.DUMMYFUNCTION("""COMPUTED_VALUE"""),"I")</f>
        <v>I</v>
      </c>
      <c r="R2773" s="3" t="str">
        <f>IFERROR(__xludf.DUMMYFUNCTION("""COMPUTED_VALUE"""),"Small Format")</f>
        <v>Small Format</v>
      </c>
      <c r="S2773" s="3" t="str">
        <f>IFERROR(__xludf.DUMMYFUNCTION("""COMPUTED_VALUE"""),"Donjai")</f>
        <v>Donjai</v>
      </c>
      <c r="T2773" s="3" t="str">
        <f>IFERROR(__xludf.DUMMYFUNCTION("""COMPUTED_VALUE"""),"Donjai")</f>
        <v>Donjai</v>
      </c>
      <c r="U2773" s="3" t="str">
        <f>IFERROR(__xludf.DUMMYFUNCTION("""COMPUTED_VALUE"""),"Donjai")</f>
        <v>Donjai</v>
      </c>
      <c r="V2773" s="3" t="str">
        <f>IFERROR(__xludf.DUMMYFUNCTION("""COMPUTED_VALUE"""),"N")</f>
        <v>N</v>
      </c>
      <c r="W2773" s="3"/>
      <c r="X2773" s="3" t="str">
        <f>IFERROR(__xludf.DUMMYFUNCTION("""COMPUTED_VALUE"""),"26/7 ต.บางน้ำเปรี้ยว อ.บางน้ำเปรี้ยว จ.ฉะเชิงเทรา")</f>
        <v>26/7 ต.บางน้ำเปรี้ยว อ.บางน้ำเปรี้ยว จ.ฉะเชิงเทรา</v>
      </c>
      <c r="Y2773" s="3"/>
      <c r="Z2773" s="3">
        <f>IFERROR(__xludf.DUMMYFUNCTION("""COMPUTED_VALUE"""),0.0)</f>
        <v>0</v>
      </c>
      <c r="AA2773" s="3">
        <f>IFERROR(__xludf.DUMMYFUNCTION("""COMPUTED_VALUE"""),0.0)</f>
        <v>0</v>
      </c>
      <c r="AB2773" s="3" t="str">
        <f>IFERROR(__xludf.DUMMYFUNCTION("""COMPUTED_VALUE"""),"ฉะเชิงเทรา")</f>
        <v>ฉะเชิงเทรา</v>
      </c>
      <c r="AC2773" s="3">
        <f>IFERROR(__xludf.DUMMYFUNCTION("""COMPUTED_VALUE"""),0.0)</f>
        <v>0</v>
      </c>
      <c r="AD2773" s="3"/>
      <c r="AE2773" s="3"/>
      <c r="AF2773" s="3" t="str">
        <f>IFERROR(__xludf.DUMMYFUNCTION("""COMPUTED_VALUE"""),"ร้าน ยุ้ยกุ้งอ๊อก-83602")</f>
        <v>ร้าน ยุ้ยกุ้งอ๊อก-83602</v>
      </c>
      <c r="AG2773" s="3" t="str">
        <f>IFERROR(__xludf.DUMMYFUNCTION("""COMPUTED_VALUE"""),"ตะวันออก")</f>
        <v>ตะวันออก</v>
      </c>
      <c r="AH2773" s="3" t="str">
        <f>IFERROR(__xludf.DUMMYFUNCTION("""COMPUTED_VALUE"""),"#N/A")</f>
        <v>#N/A</v>
      </c>
      <c r="AI2773" s="3" t="str">
        <f>IFERROR(__xludf.DUMMYFUNCTION("""COMPUTED_VALUE"""),"Out of warranty")</f>
        <v>Out of warranty</v>
      </c>
      <c r="AJ2773" s="3">
        <f>IFERROR(__xludf.DUMMYFUNCTION("""COMPUTED_VALUE"""),46.0)</f>
        <v>46</v>
      </c>
      <c r="AK2773" s="3"/>
      <c r="AL2773" s="3"/>
    </row>
    <row r="2774" ht="15.75" customHeight="1">
      <c r="A2774" s="1" t="str">
        <f>IFERROR(__xludf.DUMMYFUNCTION("""COMPUTED_VALUE"""),"83603")</f>
        <v>83603</v>
      </c>
      <c r="B2774" s="2">
        <f>IFERROR(__xludf.DUMMYFUNCTION("""COMPUTED_VALUE"""),83603.0)</f>
        <v>83603</v>
      </c>
      <c r="C2774" s="3" t="str">
        <f>IFERROR(__xludf.DUMMYFUNCTION("""COMPUTED_VALUE"""),"ร้านธนภัทร")</f>
        <v>ร้านธนภัทร</v>
      </c>
      <c r="D2774" s="3" t="str">
        <f>IFERROR(__xludf.DUMMYFUNCTION("""COMPUTED_VALUE"""),"ร้านธนภัทร")</f>
        <v>ร้านธนภัทร</v>
      </c>
      <c r="E2774" s="1" t="str">
        <f>IFERROR(__xludf.DUMMYFUNCTION("""COMPUTED_VALUE"""),"Donjai")</f>
        <v>Donjai</v>
      </c>
      <c r="F2774" s="1" t="str">
        <f>IFERROR(__xludf.DUMMYFUNCTION("""COMPUTED_VALUE"""),"2010016")</f>
        <v>2010016</v>
      </c>
      <c r="G2774" s="1" t="str">
        <f>IFERROR(__xludf.DUMMYFUNCTION("""COMPUTED_VALUE"""),"นายตวงธรรม ใหม่ยศ")</f>
        <v>นายตวงธรรม ใหม่ยศ</v>
      </c>
      <c r="H2774" s="1" t="str">
        <f>IFERROR(__xludf.DUMMYFUNCTION("""COMPUTED_VALUE"""),"2010016")</f>
        <v>2010016</v>
      </c>
      <c r="I2774" s="1" t="str">
        <f>IFERROR(__xludf.DUMMYFUNCTION("""COMPUTED_VALUE"""),"นายตวงธรรม ใหม่ยศ")</f>
        <v>นายตวงธรรม ใหม่ยศ</v>
      </c>
      <c r="J2774" s="3">
        <f>IFERROR(__xludf.DUMMYFUNCTION("""COMPUTED_VALUE"""),295886.0)</f>
        <v>295886</v>
      </c>
      <c r="K2774" s="3" t="str">
        <f>IFERROR(__xludf.DUMMYFUNCTION("""COMPUTED_VALUE"""),"นายจิระพงษ์ โพธิ์นิล")</f>
        <v>นายจิระพงษ์ โพธิ์นิล</v>
      </c>
      <c r="L2774" s="1" t="str">
        <f>IFERROR(__xludf.DUMMYFUNCTION("""COMPUTED_VALUE"""),"นายจิระพงษ์ โพธิ์นิล")</f>
        <v>นายจิระพงษ์ โพธิ์นิล</v>
      </c>
      <c r="M2774" s="1" t="str">
        <f>IFERROR(__xludf.DUMMYFUNCTION("""COMPUTED_VALUE"""),"0933290754")</f>
        <v>0933290754</v>
      </c>
      <c r="N2774" s="3">
        <f>IFERROR(__xludf.DUMMYFUNCTION("""COMPUTED_VALUE"""),83603.0)</f>
        <v>83603</v>
      </c>
      <c r="O2774" s="3" t="str">
        <f>IFERROR(__xludf.DUMMYFUNCTION("""COMPUTED_VALUE"""),"ร้านธนภัทร")</f>
        <v>ร้านธนภัทร</v>
      </c>
      <c r="P2774" s="4">
        <f>IFERROR(__xludf.DUMMYFUNCTION("""COMPUTED_VALUE"""),44640.0)</f>
        <v>44640</v>
      </c>
      <c r="Q2774" s="3" t="str">
        <f>IFERROR(__xludf.DUMMYFUNCTION("""COMPUTED_VALUE"""),"I")</f>
        <v>I</v>
      </c>
      <c r="R2774" s="3" t="str">
        <f>IFERROR(__xludf.DUMMYFUNCTION("""COMPUTED_VALUE"""),"Small Format")</f>
        <v>Small Format</v>
      </c>
      <c r="S2774" s="3" t="str">
        <f>IFERROR(__xludf.DUMMYFUNCTION("""COMPUTED_VALUE"""),"Donjai")</f>
        <v>Donjai</v>
      </c>
      <c r="T2774" s="3" t="str">
        <f>IFERROR(__xludf.DUMMYFUNCTION("""COMPUTED_VALUE"""),"01 K.Tuangtham M.")</f>
        <v>01 K.Tuangtham M.</v>
      </c>
      <c r="U2774" s="3" t="str">
        <f>IFERROR(__xludf.DUMMYFUNCTION("""COMPUTED_VALUE"""),"01 K.Tuangtham M.")</f>
        <v>01 K.Tuangtham M.</v>
      </c>
      <c r="V2774" s="3" t="str">
        <f>IFERROR(__xludf.DUMMYFUNCTION("""COMPUTED_VALUE"""),"N")</f>
        <v>N</v>
      </c>
      <c r="W2774" s="3"/>
      <c r="X2774" s="3" t="str">
        <f>IFERROR(__xludf.DUMMYFUNCTION("""COMPUTED_VALUE"""),"44/1หมู4บ้านป่าแดง ต.ดงประคำ อ พรหมพิราม จ.พิษณุโลก")</f>
        <v>44/1หมู4บ้านป่าแดง ต.ดงประคำ อ พรหมพิราม จ.พิษณุโลก</v>
      </c>
      <c r="Y2774" s="3"/>
      <c r="Z2774" s="3">
        <f>IFERROR(__xludf.DUMMYFUNCTION("""COMPUTED_VALUE"""),0.0)</f>
        <v>0</v>
      </c>
      <c r="AA2774" s="3">
        <f>IFERROR(__xludf.DUMMYFUNCTION("""COMPUTED_VALUE"""),0.0)</f>
        <v>0</v>
      </c>
      <c r="AB2774" s="3" t="str">
        <f>IFERROR(__xludf.DUMMYFUNCTION("""COMPUTED_VALUE"""),"พิษณุโลก")</f>
        <v>พิษณุโลก</v>
      </c>
      <c r="AC2774" s="3">
        <f>IFERROR(__xludf.DUMMYFUNCTION("""COMPUTED_VALUE"""),0.0)</f>
        <v>0</v>
      </c>
      <c r="AD2774" s="3"/>
      <c r="AE2774" s="3"/>
      <c r="AF2774" s="3" t="str">
        <f>IFERROR(__xludf.DUMMYFUNCTION("""COMPUTED_VALUE"""),"ร้านธนภัทร-83603")</f>
        <v>ร้านธนภัทร-83603</v>
      </c>
      <c r="AG2774" s="3" t="str">
        <f>IFERROR(__xludf.DUMMYFUNCTION("""COMPUTED_VALUE"""),"กลาง")</f>
        <v>กลาง</v>
      </c>
      <c r="AH2774" s="3" t="str">
        <f>IFERROR(__xludf.DUMMYFUNCTION("""COMPUTED_VALUE"""),"#N/A")</f>
        <v>#N/A</v>
      </c>
      <c r="AI2774" s="3" t="str">
        <f>IFERROR(__xludf.DUMMYFUNCTION("""COMPUTED_VALUE"""),"Out of warranty")</f>
        <v>Out of warranty</v>
      </c>
      <c r="AJ2774" s="3">
        <f>IFERROR(__xludf.DUMMYFUNCTION("""COMPUTED_VALUE"""),47.0)</f>
        <v>47</v>
      </c>
      <c r="AK2774" s="3"/>
      <c r="AL2774" s="3"/>
    </row>
    <row r="2775" ht="15.75" customHeight="1">
      <c r="A2775" s="1" t="str">
        <f>IFERROR(__xludf.DUMMYFUNCTION("""COMPUTED_VALUE"""),"83604")</f>
        <v>83604</v>
      </c>
      <c r="B2775" s="2">
        <f>IFERROR(__xludf.DUMMYFUNCTION("""COMPUTED_VALUE"""),83604.0)</f>
        <v>83604</v>
      </c>
      <c r="C2775" s="3" t="str">
        <f>IFERROR(__xludf.DUMMYFUNCTION("""COMPUTED_VALUE"""),"ร้านครูภา")</f>
        <v>ร้านครูภา</v>
      </c>
      <c r="D2775" s="3" t="str">
        <f>IFERROR(__xludf.DUMMYFUNCTION("""COMPUTED_VALUE"""),"ร้านครูภา")</f>
        <v>ร้านครูภา</v>
      </c>
      <c r="E2775" s="1" t="str">
        <f>IFERROR(__xludf.DUMMYFUNCTION("""COMPUTED_VALUE"""),"Donjai")</f>
        <v>Donjai</v>
      </c>
      <c r="F2775" s="1" t="str">
        <f>IFERROR(__xludf.DUMMYFUNCTION("""COMPUTED_VALUE"""),"025324")</f>
        <v>025324</v>
      </c>
      <c r="G2775" s="1" t="str">
        <f>IFERROR(__xludf.DUMMYFUNCTION("""COMPUTED_VALUE"""),"นายวิเชฎฐ์ ติรัตนะประคม")</f>
        <v>นายวิเชฎฐ์ ติรัตนะประคม</v>
      </c>
      <c r="H2775" s="1" t="str">
        <f>IFERROR(__xludf.DUMMYFUNCTION("""COMPUTED_VALUE"""),"025324")</f>
        <v>025324</v>
      </c>
      <c r="I2775" s="1" t="str">
        <f>IFERROR(__xludf.DUMMYFUNCTION("""COMPUTED_VALUE"""),"นายวิเชฎฐ์ ติรัตนะประคม")</f>
        <v>นายวิเชฎฐ์ ติรัตนะประคม</v>
      </c>
      <c r="J2775" s="3">
        <f>IFERROR(__xludf.DUMMYFUNCTION("""COMPUTED_VALUE"""),295541.0)</f>
        <v>295541</v>
      </c>
      <c r="K2775" s="3" t="str">
        <f>IFERROR(__xludf.DUMMYFUNCTION("""COMPUTED_VALUE"""),"นายรพิพล ศรีมาตย์")</f>
        <v>นายรพิพล ศรีมาตย์</v>
      </c>
      <c r="L2775" s="1" t="str">
        <f>IFERROR(__xludf.DUMMYFUNCTION("""COMPUTED_VALUE"""),"นายรพิพล ศรีมาตย์")</f>
        <v>นายรพิพล ศรีมาตย์</v>
      </c>
      <c r="M2775" s="1" t="str">
        <f>IFERROR(__xludf.DUMMYFUNCTION("""COMPUTED_VALUE"""),"0613966115")</f>
        <v>0613966115</v>
      </c>
      <c r="N2775" s="3">
        <f>IFERROR(__xludf.DUMMYFUNCTION("""COMPUTED_VALUE"""),83604.0)</f>
        <v>83604</v>
      </c>
      <c r="O2775" s="3" t="str">
        <f>IFERROR(__xludf.DUMMYFUNCTION("""COMPUTED_VALUE"""),"ร้านครูภา")</f>
        <v>ร้านครูภา</v>
      </c>
      <c r="P2775" s="4">
        <f>IFERROR(__xludf.DUMMYFUNCTION("""COMPUTED_VALUE"""),44660.0)</f>
        <v>44660</v>
      </c>
      <c r="Q2775" s="3" t="str">
        <f>IFERROR(__xludf.DUMMYFUNCTION("""COMPUTED_VALUE"""),"A")</f>
        <v>A</v>
      </c>
      <c r="R2775" s="3" t="str">
        <f>IFERROR(__xludf.DUMMYFUNCTION("""COMPUTED_VALUE"""),"Small Format")</f>
        <v>Small Format</v>
      </c>
      <c r="S2775" s="3" t="str">
        <f>IFERROR(__xludf.DUMMYFUNCTION("""COMPUTED_VALUE"""),"Donjai")</f>
        <v>Donjai</v>
      </c>
      <c r="T2775" s="3" t="str">
        <f>IFERROR(__xludf.DUMMYFUNCTION("""COMPUTED_VALUE"""),"14 K.Wichet T.")</f>
        <v>14 K.Wichet T.</v>
      </c>
      <c r="U2775" s="3" t="str">
        <f>IFERROR(__xludf.DUMMYFUNCTION("""COMPUTED_VALUE"""),"14 K.Wichet T.")</f>
        <v>14 K.Wichet T.</v>
      </c>
      <c r="V2775" s="3" t="str">
        <f>IFERROR(__xludf.DUMMYFUNCTION("""COMPUTED_VALUE"""),"N")</f>
        <v>N</v>
      </c>
      <c r="W2775" s="3"/>
      <c r="X2775" s="3" t="str">
        <f>IFERROR(__xludf.DUMMYFUNCTION("""COMPUTED_VALUE"""),"63/9 ม.7 ต.สี่ขีด อ.สิชล จ.นครศร๊ธรรมราช 80120")</f>
        <v>63/9 ม.7 ต.สี่ขีด อ.สิชล จ.นครศร๊ธรรมราช 80120</v>
      </c>
      <c r="Y2775" s="3"/>
      <c r="Z2775" s="3">
        <f>IFERROR(__xludf.DUMMYFUNCTION("""COMPUTED_VALUE"""),0.0)</f>
        <v>0</v>
      </c>
      <c r="AA2775" s="3">
        <f>IFERROR(__xludf.DUMMYFUNCTION("""COMPUTED_VALUE"""),0.0)</f>
        <v>0</v>
      </c>
      <c r="AB2775" s="3" t="str">
        <f>IFERROR(__xludf.DUMMYFUNCTION("""COMPUTED_VALUE"""),"นครศรีธรรมราช")</f>
        <v>นครศรีธรรมราช</v>
      </c>
      <c r="AC2775" s="3">
        <f>IFERROR(__xludf.DUMMYFUNCTION("""COMPUTED_VALUE"""),80120.0)</f>
        <v>80120</v>
      </c>
      <c r="AD2775" s="3"/>
      <c r="AE2775" s="3"/>
      <c r="AF2775" s="3" t="str">
        <f>IFERROR(__xludf.DUMMYFUNCTION("""COMPUTED_VALUE"""),"ร้านครูภา-83604")</f>
        <v>ร้านครูภา-83604</v>
      </c>
      <c r="AG2775" s="3" t="str">
        <f>IFERROR(__xludf.DUMMYFUNCTION("""COMPUTED_VALUE"""),"ใต้")</f>
        <v>ใต้</v>
      </c>
      <c r="AH2775" s="3" t="str">
        <f>IFERROR(__xludf.DUMMYFUNCTION("""COMPUTED_VALUE"""),"#N/A")</f>
        <v>#N/A</v>
      </c>
      <c r="AI2775" s="3" t="str">
        <f>IFERROR(__xludf.DUMMYFUNCTION("""COMPUTED_VALUE"""),"Out of warranty")</f>
        <v>Out of warranty</v>
      </c>
      <c r="AJ2775" s="3">
        <f>IFERROR(__xludf.DUMMYFUNCTION("""COMPUTED_VALUE"""),46.0)</f>
        <v>46</v>
      </c>
      <c r="AK2775" s="3"/>
      <c r="AL2775" s="3"/>
    </row>
    <row r="2776" ht="15.75" customHeight="1">
      <c r="A2776" s="1" t="str">
        <f>IFERROR(__xludf.DUMMYFUNCTION("""COMPUTED_VALUE"""),"83605")</f>
        <v>83605</v>
      </c>
      <c r="B2776" s="2">
        <f>IFERROR(__xludf.DUMMYFUNCTION("""COMPUTED_VALUE"""),83605.0)</f>
        <v>83605</v>
      </c>
      <c r="C2776" s="3" t="str">
        <f>IFERROR(__xludf.DUMMYFUNCTION("""COMPUTED_VALUE"""),"ร้านรัตนาพรบิ๊กมาร์ท (รัตนพร)")</f>
        <v>ร้านรัตนาพรบิ๊กมาร์ท (รัตนพร)</v>
      </c>
      <c r="D2776" s="3" t="str">
        <f>IFERROR(__xludf.DUMMYFUNCTION("""COMPUTED_VALUE"""),"ร้านรัตนาพรบิ๊กมาร์ท (รัตนพร)")</f>
        <v>ร้านรัตนาพรบิ๊กมาร์ท (รัตนพร)</v>
      </c>
      <c r="E2776" s="1" t="str">
        <f>IFERROR(__xludf.DUMMYFUNCTION("""COMPUTED_VALUE"""),"Donjai")</f>
        <v>Donjai</v>
      </c>
      <c r="F2776" s="1" t="str">
        <f>IFERROR(__xludf.DUMMYFUNCTION("""COMPUTED_VALUE"""),"015361")</f>
        <v>015361</v>
      </c>
      <c r="G2776" s="1" t="str">
        <f>IFERROR(__xludf.DUMMYFUNCTION("""COMPUTED_VALUE"""),"นายสมบูรณ์ พรหมในเมือง")</f>
        <v>นายสมบูรณ์ พรหมในเมือง</v>
      </c>
      <c r="H2776" s="1" t="str">
        <f>IFERROR(__xludf.DUMMYFUNCTION("""COMPUTED_VALUE"""),"015361")</f>
        <v>015361</v>
      </c>
      <c r="I2776" s="1" t="str">
        <f>IFERROR(__xludf.DUMMYFUNCTION("""COMPUTED_VALUE"""),"นายสมบูรณ์ พรหมในเมือง")</f>
        <v>นายสมบูรณ์ พรหมในเมือง</v>
      </c>
      <c r="J2776" s="3">
        <f>IFERROR(__xludf.DUMMYFUNCTION("""COMPUTED_VALUE"""),295886.0)</f>
        <v>295886</v>
      </c>
      <c r="K2776" s="3" t="str">
        <f>IFERROR(__xludf.DUMMYFUNCTION("""COMPUTED_VALUE"""),"นายจิระพงษ์ โพธิ์นิล")</f>
        <v>นายจิระพงษ์ โพธิ์นิล</v>
      </c>
      <c r="L2776" s="1" t="str">
        <f>IFERROR(__xludf.DUMMYFUNCTION("""COMPUTED_VALUE"""),"นายจิระพงษ์ โพธิ์นิล")</f>
        <v>นายจิระพงษ์ โพธิ์นิล</v>
      </c>
      <c r="M2776" s="1" t="str">
        <f>IFERROR(__xludf.DUMMYFUNCTION("""COMPUTED_VALUE"""),"0933290754")</f>
        <v>0933290754</v>
      </c>
      <c r="N2776" s="3">
        <f>IFERROR(__xludf.DUMMYFUNCTION("""COMPUTED_VALUE"""),83605.0)</f>
        <v>83605</v>
      </c>
      <c r="O2776" s="3" t="str">
        <f>IFERROR(__xludf.DUMMYFUNCTION("""COMPUTED_VALUE"""),"ร้านรัตนาพรบิ๊กมาร์ท (รัตนพร)")</f>
        <v>ร้านรัตนาพรบิ๊กมาร์ท (รัตนพร)</v>
      </c>
      <c r="P2776" s="4">
        <f>IFERROR(__xludf.DUMMYFUNCTION("""COMPUTED_VALUE"""),44649.0)</f>
        <v>44649</v>
      </c>
      <c r="Q2776" s="3" t="str">
        <f>IFERROR(__xludf.DUMMYFUNCTION("""COMPUTED_VALUE"""),"A")</f>
        <v>A</v>
      </c>
      <c r="R2776" s="3" t="str">
        <f>IFERROR(__xludf.DUMMYFUNCTION("""COMPUTED_VALUE"""),"Small Format")</f>
        <v>Small Format</v>
      </c>
      <c r="S2776" s="3" t="str">
        <f>IFERROR(__xludf.DUMMYFUNCTION("""COMPUTED_VALUE"""),"Donjai")</f>
        <v>Donjai</v>
      </c>
      <c r="T2776" s="3" t="str">
        <f>IFERROR(__xludf.DUMMYFUNCTION("""COMPUTED_VALUE"""),"04 K.Somboon P.")</f>
        <v>04 K.Somboon P.</v>
      </c>
      <c r="U2776" s="3" t="str">
        <f>IFERROR(__xludf.DUMMYFUNCTION("""COMPUTED_VALUE"""),"04 K.Somboon P.")</f>
        <v>04 K.Somboon P.</v>
      </c>
      <c r="V2776" s="3" t="str">
        <f>IFERROR(__xludf.DUMMYFUNCTION("""COMPUTED_VALUE"""),"N")</f>
        <v>N</v>
      </c>
      <c r="W2776" s="3"/>
      <c r="X2776" s="3" t="str">
        <f>IFERROR(__xludf.DUMMYFUNCTION("""COMPUTED_VALUE"""),"บ้านเลขที่ 114 หมู่ 15 ต.บ้านค้อ อ.เมือง จ.ขอนแก่น")</f>
        <v>บ้านเลขที่ 114 หมู่ 15 ต.บ้านค้อ อ.เมือง จ.ขอนแก่น</v>
      </c>
      <c r="Y2776" s="3"/>
      <c r="Z2776" s="3">
        <f>IFERROR(__xludf.DUMMYFUNCTION("""COMPUTED_VALUE"""),0.0)</f>
        <v>0</v>
      </c>
      <c r="AA2776" s="3">
        <f>IFERROR(__xludf.DUMMYFUNCTION("""COMPUTED_VALUE"""),0.0)</f>
        <v>0</v>
      </c>
      <c r="AB2776" s="3" t="str">
        <f>IFERROR(__xludf.DUMMYFUNCTION("""COMPUTED_VALUE"""),"ขอนแก่น")</f>
        <v>ขอนแก่น</v>
      </c>
      <c r="AC2776" s="3">
        <f>IFERROR(__xludf.DUMMYFUNCTION("""COMPUTED_VALUE"""),0.0)</f>
        <v>0</v>
      </c>
      <c r="AD2776" s="3"/>
      <c r="AE2776" s="3"/>
      <c r="AF2776" s="3" t="str">
        <f>IFERROR(__xludf.DUMMYFUNCTION("""COMPUTED_VALUE"""),"ร้านรัตนาพรบิ๊กมาร์ท (รัตนพร)-83605")</f>
        <v>ร้านรัตนาพรบิ๊กมาร์ท (รัตนพร)-83605</v>
      </c>
      <c r="AG2776" s="3" t="str">
        <f>IFERROR(__xludf.DUMMYFUNCTION("""COMPUTED_VALUE"""),"ตะวันออกเฉียงเหนือ")</f>
        <v>ตะวันออกเฉียงเหนือ</v>
      </c>
      <c r="AH2776" s="3" t="str">
        <f>IFERROR(__xludf.DUMMYFUNCTION("""COMPUTED_VALUE"""),"#N/A")</f>
        <v>#N/A</v>
      </c>
      <c r="AI2776" s="3" t="str">
        <f>IFERROR(__xludf.DUMMYFUNCTION("""COMPUTED_VALUE"""),"Out of warranty")</f>
        <v>Out of warranty</v>
      </c>
      <c r="AJ2776" s="3">
        <f>IFERROR(__xludf.DUMMYFUNCTION("""COMPUTED_VALUE"""),46.0)</f>
        <v>46</v>
      </c>
      <c r="AK2776" s="3"/>
      <c r="AL2776" s="3"/>
    </row>
    <row r="2777" ht="15.75" customHeight="1">
      <c r="A2777" s="1" t="str">
        <f>IFERROR(__xludf.DUMMYFUNCTION("""COMPUTED_VALUE"""),"83606")</f>
        <v>83606</v>
      </c>
      <c r="B2777" s="2">
        <f>IFERROR(__xludf.DUMMYFUNCTION("""COMPUTED_VALUE"""),83606.0)</f>
        <v>83606</v>
      </c>
      <c r="C2777" s="3" t="str">
        <f>IFERROR(__xludf.DUMMYFUNCTION("""COMPUTED_VALUE"""),"ร้านน้องขวัญ")</f>
        <v>ร้านน้องขวัญ</v>
      </c>
      <c r="D2777" s="3" t="str">
        <f>IFERROR(__xludf.DUMMYFUNCTION("""COMPUTED_VALUE"""),"ร้านน้องขวัญ")</f>
        <v>ร้านน้องขวัญ</v>
      </c>
      <c r="E2777" s="1" t="str">
        <f>IFERROR(__xludf.DUMMYFUNCTION("""COMPUTED_VALUE"""),"Donjai")</f>
        <v>Donjai</v>
      </c>
      <c r="F2777" s="1" t="str">
        <f>IFERROR(__xludf.DUMMYFUNCTION("""COMPUTED_VALUE"""),"296868")</f>
        <v>296868</v>
      </c>
      <c r="G2777" s="1" t="str">
        <f>IFERROR(__xludf.DUMMYFUNCTION("""COMPUTED_VALUE"""),"นายพีระพงษ์ แก้วดวงดี")</f>
        <v>นายพีระพงษ์ แก้วดวงดี</v>
      </c>
      <c r="H2777" s="1" t="str">
        <f>IFERROR(__xludf.DUMMYFUNCTION("""COMPUTED_VALUE"""),"296868")</f>
        <v>296868</v>
      </c>
      <c r="I2777" s="1" t="str">
        <f>IFERROR(__xludf.DUMMYFUNCTION("""COMPUTED_VALUE"""),"นายพีระพงษ์ แก้วดวงดี")</f>
        <v>นายพีระพงษ์ แก้วดวงดี</v>
      </c>
      <c r="J2777" s="3">
        <f>IFERROR(__xludf.DUMMYFUNCTION("""COMPUTED_VALUE"""),295886.0)</f>
        <v>295886</v>
      </c>
      <c r="K2777" s="3" t="str">
        <f>IFERROR(__xludf.DUMMYFUNCTION("""COMPUTED_VALUE"""),"นายจิระพงษ์ โพธิ์นิล")</f>
        <v>นายจิระพงษ์ โพธิ์นิล</v>
      </c>
      <c r="L2777" s="1" t="str">
        <f>IFERROR(__xludf.DUMMYFUNCTION("""COMPUTED_VALUE"""),"นายจิระพงษ์ โพธิ์นิล")</f>
        <v>นายจิระพงษ์ โพธิ์นิล</v>
      </c>
      <c r="M2777" s="1" t="str">
        <f>IFERROR(__xludf.DUMMYFUNCTION("""COMPUTED_VALUE"""),"0933290754")</f>
        <v>0933290754</v>
      </c>
      <c r="N2777" s="3">
        <f>IFERROR(__xludf.DUMMYFUNCTION("""COMPUTED_VALUE"""),83606.0)</f>
        <v>83606</v>
      </c>
      <c r="O2777" s="3" t="str">
        <f>IFERROR(__xludf.DUMMYFUNCTION("""COMPUTED_VALUE"""),"ร้านน้องขวัญ")</f>
        <v>ร้านน้องขวัญ</v>
      </c>
      <c r="P2777" s="4">
        <f>IFERROR(__xludf.DUMMYFUNCTION("""COMPUTED_VALUE"""),44637.0)</f>
        <v>44637</v>
      </c>
      <c r="Q2777" s="3" t="str">
        <f>IFERROR(__xludf.DUMMYFUNCTION("""COMPUTED_VALUE"""),"A")</f>
        <v>A</v>
      </c>
      <c r="R2777" s="3" t="str">
        <f>IFERROR(__xludf.DUMMYFUNCTION("""COMPUTED_VALUE"""),"Small Format")</f>
        <v>Small Format</v>
      </c>
      <c r="S2777" s="3" t="str">
        <f>IFERROR(__xludf.DUMMYFUNCTION("""COMPUTED_VALUE"""),"Donjai")</f>
        <v>Donjai</v>
      </c>
      <c r="T2777" s="3" t="str">
        <f>IFERROR(__xludf.DUMMYFUNCTION("""COMPUTED_VALUE"""),"03 K.Peerapong K.")</f>
        <v>03 K.Peerapong K.</v>
      </c>
      <c r="U2777" s="3" t="str">
        <f>IFERROR(__xludf.DUMMYFUNCTION("""COMPUTED_VALUE"""),"03 K.Peerapong K.")</f>
        <v>03 K.Peerapong K.</v>
      </c>
      <c r="V2777" s="3" t="str">
        <f>IFERROR(__xludf.DUMMYFUNCTION("""COMPUTED_VALUE"""),"N")</f>
        <v>N</v>
      </c>
      <c r="W2777" s="3"/>
      <c r="X2777" s="3" t="str">
        <f>IFERROR(__xludf.DUMMYFUNCTION("""COMPUTED_VALUE"""),"119 หมู่ 9 ต.บ้านฝาง อ.บ้านฝาง จ.ขอนแก่น 40270")</f>
        <v>119 หมู่ 9 ต.บ้านฝาง อ.บ้านฝาง จ.ขอนแก่น 40270</v>
      </c>
      <c r="Y2777" s="3"/>
      <c r="Z2777" s="3">
        <f>IFERROR(__xludf.DUMMYFUNCTION("""COMPUTED_VALUE"""),0.0)</f>
        <v>0</v>
      </c>
      <c r="AA2777" s="3">
        <f>IFERROR(__xludf.DUMMYFUNCTION("""COMPUTED_VALUE"""),0.0)</f>
        <v>0</v>
      </c>
      <c r="AB2777" s="3" t="str">
        <f>IFERROR(__xludf.DUMMYFUNCTION("""COMPUTED_VALUE"""),"ขอนแก่น")</f>
        <v>ขอนแก่น</v>
      </c>
      <c r="AC2777" s="3">
        <f>IFERROR(__xludf.DUMMYFUNCTION("""COMPUTED_VALUE"""),40270.0)</f>
        <v>40270</v>
      </c>
      <c r="AD2777" s="3"/>
      <c r="AE2777" s="3"/>
      <c r="AF2777" s="3" t="str">
        <f>IFERROR(__xludf.DUMMYFUNCTION("""COMPUTED_VALUE"""),"ร้านน้องขวัญ-83606")</f>
        <v>ร้านน้องขวัญ-83606</v>
      </c>
      <c r="AG2777" s="3" t="str">
        <f>IFERROR(__xludf.DUMMYFUNCTION("""COMPUTED_VALUE"""),"ตะวันออกเฉียงเหนือ")</f>
        <v>ตะวันออกเฉียงเหนือ</v>
      </c>
      <c r="AH2777" s="3" t="str">
        <f>IFERROR(__xludf.DUMMYFUNCTION("""COMPUTED_VALUE"""),"#N/A")</f>
        <v>#N/A</v>
      </c>
      <c r="AI2777" s="3" t="str">
        <f>IFERROR(__xludf.DUMMYFUNCTION("""COMPUTED_VALUE"""),"Out of warranty")</f>
        <v>Out of warranty</v>
      </c>
      <c r="AJ2777" s="3">
        <f>IFERROR(__xludf.DUMMYFUNCTION("""COMPUTED_VALUE"""),47.0)</f>
        <v>47</v>
      </c>
      <c r="AK2777" s="3"/>
      <c r="AL2777" s="3"/>
    </row>
    <row r="2778" ht="15.75" customHeight="1">
      <c r="A2778" s="1" t="str">
        <f>IFERROR(__xludf.DUMMYFUNCTION("""COMPUTED_VALUE"""),"83607")</f>
        <v>83607</v>
      </c>
      <c r="B2778" s="2">
        <f>IFERROR(__xludf.DUMMYFUNCTION("""COMPUTED_VALUE"""),83607.0)</f>
        <v>83607</v>
      </c>
      <c r="C2778" s="3" t="str">
        <f>IFERROR(__xludf.DUMMYFUNCTION("""COMPUTED_VALUE"""),"ร้านณัฐ พาณิชย์ ( คุณภัช)")</f>
        <v>ร้านณัฐ พาณิชย์ ( คุณภัช)</v>
      </c>
      <c r="D2778" s="3" t="str">
        <f>IFERROR(__xludf.DUMMYFUNCTION("""COMPUTED_VALUE"""),"ร้านณัฐ พาณิชย์ ( คุณภัช)")</f>
        <v>ร้านณัฐ พาณิชย์ ( คุณภัช)</v>
      </c>
      <c r="E2778" s="1" t="str">
        <f>IFERROR(__xludf.DUMMYFUNCTION("""COMPUTED_VALUE"""),"Donjai")</f>
        <v>Donjai</v>
      </c>
      <c r="F2778" s="1" t="str">
        <f>IFERROR(__xludf.DUMMYFUNCTION("""COMPUTED_VALUE"""),"295886")</f>
        <v>295886</v>
      </c>
      <c r="G2778" s="1" t="str">
        <f>IFERROR(__xludf.DUMMYFUNCTION("""COMPUTED_VALUE"""),"นายจิระพงษ์ โพธิ์นิล")</f>
        <v>นายจิระพงษ์ โพธิ์นิล</v>
      </c>
      <c r="H2778" s="1" t="str">
        <f>IFERROR(__xludf.DUMMYFUNCTION("""COMPUTED_VALUE"""),"295886")</f>
        <v>295886</v>
      </c>
      <c r="I2778" s="1" t="str">
        <f>IFERROR(__xludf.DUMMYFUNCTION("""COMPUTED_VALUE"""),"นายจิระพงษ์ โพธิ์นิล")</f>
        <v>นายจิระพงษ์ โพธิ์นิล</v>
      </c>
      <c r="J2778" s="3">
        <f>IFERROR(__xludf.DUMMYFUNCTION("""COMPUTED_VALUE"""),295886.0)</f>
        <v>295886</v>
      </c>
      <c r="K2778" s="3" t="str">
        <f>IFERROR(__xludf.DUMMYFUNCTION("""COMPUTED_VALUE"""),"นายจิระพงษ์ โพธิ์นิล")</f>
        <v>นายจิระพงษ์ โพธิ์นิล</v>
      </c>
      <c r="L2778" s="1" t="str">
        <f>IFERROR(__xludf.DUMMYFUNCTION("""COMPUTED_VALUE"""),"นายจิระพงษ์ โพธิ์นิล")</f>
        <v>นายจิระพงษ์ โพธิ์นิล</v>
      </c>
      <c r="M2778" s="1" t="str">
        <f>IFERROR(__xludf.DUMMYFUNCTION("""COMPUTED_VALUE"""),"0933290754")</f>
        <v>0933290754</v>
      </c>
      <c r="N2778" s="3">
        <f>IFERROR(__xludf.DUMMYFUNCTION("""COMPUTED_VALUE"""),83607.0)</f>
        <v>83607</v>
      </c>
      <c r="O2778" s="3" t="str">
        <f>IFERROR(__xludf.DUMMYFUNCTION("""COMPUTED_VALUE"""),"ร้านณัฐ พาณิชย์ ( คุณภัช)")</f>
        <v>ร้านณัฐ พาณิชย์ ( คุณภัช)</v>
      </c>
      <c r="P2778" s="4">
        <f>IFERROR(__xludf.DUMMYFUNCTION("""COMPUTED_VALUE"""),44624.0)</f>
        <v>44624</v>
      </c>
      <c r="Q2778" s="3" t="str">
        <f>IFERROR(__xludf.DUMMYFUNCTION("""COMPUTED_VALUE"""),"I")</f>
        <v>I</v>
      </c>
      <c r="R2778" s="3" t="str">
        <f>IFERROR(__xludf.DUMMYFUNCTION("""COMPUTED_VALUE"""),"Small Format")</f>
        <v>Small Format</v>
      </c>
      <c r="S2778" s="3" t="str">
        <f>IFERROR(__xludf.DUMMYFUNCTION("""COMPUTED_VALUE"""),"Donjai")</f>
        <v>Donjai</v>
      </c>
      <c r="T2778" s="3" t="str">
        <f>IFERROR(__xludf.DUMMYFUNCTION("""COMPUTED_VALUE"""),"นายจิระพงษ์ โพธิ์นิล")</f>
        <v>นายจิระพงษ์ โพธิ์นิล</v>
      </c>
      <c r="U2778" s="3" t="str">
        <f>IFERROR(__xludf.DUMMYFUNCTION("""COMPUTED_VALUE"""),"นายจิระพงษ์ โพธิ์นิล")</f>
        <v>นายจิระพงษ์ โพธิ์นิล</v>
      </c>
      <c r="V2778" s="3" t="str">
        <f>IFERROR(__xludf.DUMMYFUNCTION("""COMPUTED_VALUE"""),"N")</f>
        <v>N</v>
      </c>
      <c r="W2778" s="3"/>
      <c r="X2778" s="3" t="str">
        <f>IFERROR(__xludf.DUMMYFUNCTION("""COMPUTED_VALUE"""),"22 หมู่ 4 ต.คำเตย อ.ไทยเจริญ จ.ยโสธร")</f>
        <v>22 หมู่ 4 ต.คำเตย อ.ไทยเจริญ จ.ยโสธร</v>
      </c>
      <c r="Y2778" s="3"/>
      <c r="Z2778" s="3">
        <f>IFERROR(__xludf.DUMMYFUNCTION("""COMPUTED_VALUE"""),0.0)</f>
        <v>0</v>
      </c>
      <c r="AA2778" s="3">
        <f>IFERROR(__xludf.DUMMYFUNCTION("""COMPUTED_VALUE"""),0.0)</f>
        <v>0</v>
      </c>
      <c r="AB2778" s="3" t="str">
        <f>IFERROR(__xludf.DUMMYFUNCTION("""COMPUTED_VALUE"""),"ยโสธร")</f>
        <v>ยโสธร</v>
      </c>
      <c r="AC2778" s="3">
        <f>IFERROR(__xludf.DUMMYFUNCTION("""COMPUTED_VALUE"""),0.0)</f>
        <v>0</v>
      </c>
      <c r="AD2778" s="3"/>
      <c r="AE2778" s="3"/>
      <c r="AF2778" s="3" t="str">
        <f>IFERROR(__xludf.DUMMYFUNCTION("""COMPUTED_VALUE"""),"ร้านณัฐ พาณิชย์ ( คุณภัช)-83607")</f>
        <v>ร้านณัฐ พาณิชย์ ( คุณภัช)-83607</v>
      </c>
      <c r="AG2778" s="3" t="str">
        <f>IFERROR(__xludf.DUMMYFUNCTION("""COMPUTED_VALUE"""),"ตะวันออกเฉียงเหนือ")</f>
        <v>ตะวันออกเฉียงเหนือ</v>
      </c>
      <c r="AH2778" s="3" t="str">
        <f>IFERROR(__xludf.DUMMYFUNCTION("""COMPUTED_VALUE"""),"#N/A")</f>
        <v>#N/A</v>
      </c>
      <c r="AI2778" s="3" t="str">
        <f>IFERROR(__xludf.DUMMYFUNCTION("""COMPUTED_VALUE"""),"Out of warranty")</f>
        <v>Out of warranty</v>
      </c>
      <c r="AJ2778" s="3">
        <f>IFERROR(__xludf.DUMMYFUNCTION("""COMPUTED_VALUE"""),47.0)</f>
        <v>47</v>
      </c>
      <c r="AK2778" s="3"/>
      <c r="AL2778" s="3"/>
    </row>
    <row r="2779" ht="15.75" customHeight="1">
      <c r="A2779" s="1" t="str">
        <f>IFERROR(__xludf.DUMMYFUNCTION("""COMPUTED_VALUE"""),"83608")</f>
        <v>83608</v>
      </c>
      <c r="B2779" s="2">
        <f>IFERROR(__xludf.DUMMYFUNCTION("""COMPUTED_VALUE"""),83608.0)</f>
        <v>83608</v>
      </c>
      <c r="C2779" s="3" t="str">
        <f>IFERROR(__xludf.DUMMYFUNCTION("""COMPUTED_VALUE"""),"ร้านพาฝัน")</f>
        <v>ร้านพาฝัน</v>
      </c>
      <c r="D2779" s="3" t="str">
        <f>IFERROR(__xludf.DUMMYFUNCTION("""COMPUTED_VALUE"""),"ร้านพาฝัน")</f>
        <v>ร้านพาฝัน</v>
      </c>
      <c r="E2779" s="1" t="str">
        <f>IFERROR(__xludf.DUMMYFUNCTION("""COMPUTED_VALUE"""),"Donjai")</f>
        <v>Donjai</v>
      </c>
      <c r="F2779" s="1" t="str">
        <f>IFERROR(__xludf.DUMMYFUNCTION("""COMPUTED_VALUE"""),"296868")</f>
        <v>296868</v>
      </c>
      <c r="G2779" s="1" t="str">
        <f>IFERROR(__xludf.DUMMYFUNCTION("""COMPUTED_VALUE"""),"นายพีระพงษ์ แก้วดวงดี")</f>
        <v>นายพีระพงษ์ แก้วดวงดี</v>
      </c>
      <c r="H2779" s="1" t="str">
        <f>IFERROR(__xludf.DUMMYFUNCTION("""COMPUTED_VALUE"""),"296868")</f>
        <v>296868</v>
      </c>
      <c r="I2779" s="1" t="str">
        <f>IFERROR(__xludf.DUMMYFUNCTION("""COMPUTED_VALUE"""),"นายพีระพงษ์ แก้วดวงดี")</f>
        <v>นายพีระพงษ์ แก้วดวงดี</v>
      </c>
      <c r="J2779" s="3">
        <f>IFERROR(__xludf.DUMMYFUNCTION("""COMPUTED_VALUE"""),295886.0)</f>
        <v>295886</v>
      </c>
      <c r="K2779" s="3" t="str">
        <f>IFERROR(__xludf.DUMMYFUNCTION("""COMPUTED_VALUE"""),"นายจิระพงษ์ โพธิ์นิล")</f>
        <v>นายจิระพงษ์ โพธิ์นิล</v>
      </c>
      <c r="L2779" s="1" t="str">
        <f>IFERROR(__xludf.DUMMYFUNCTION("""COMPUTED_VALUE"""),"นายจิระพงษ์ โพธิ์นิล")</f>
        <v>นายจิระพงษ์ โพธิ์นิล</v>
      </c>
      <c r="M2779" s="1" t="str">
        <f>IFERROR(__xludf.DUMMYFUNCTION("""COMPUTED_VALUE"""),"0933290754")</f>
        <v>0933290754</v>
      </c>
      <c r="N2779" s="3">
        <f>IFERROR(__xludf.DUMMYFUNCTION("""COMPUTED_VALUE"""),83608.0)</f>
        <v>83608</v>
      </c>
      <c r="O2779" s="3" t="str">
        <f>IFERROR(__xludf.DUMMYFUNCTION("""COMPUTED_VALUE"""),"ร้านพาฝัน")</f>
        <v>ร้านพาฝัน</v>
      </c>
      <c r="P2779" s="4">
        <f>IFERROR(__xludf.DUMMYFUNCTION("""COMPUTED_VALUE"""),44642.0)</f>
        <v>44642</v>
      </c>
      <c r="Q2779" s="3" t="str">
        <f>IFERROR(__xludf.DUMMYFUNCTION("""COMPUTED_VALUE"""),"I")</f>
        <v>I</v>
      </c>
      <c r="R2779" s="3" t="str">
        <f>IFERROR(__xludf.DUMMYFUNCTION("""COMPUTED_VALUE"""),"Small Format")</f>
        <v>Small Format</v>
      </c>
      <c r="S2779" s="3" t="str">
        <f>IFERROR(__xludf.DUMMYFUNCTION("""COMPUTED_VALUE"""),"Donjai")</f>
        <v>Donjai</v>
      </c>
      <c r="T2779" s="3" t="str">
        <f>IFERROR(__xludf.DUMMYFUNCTION("""COMPUTED_VALUE"""),"03 K.Peerapong K.")</f>
        <v>03 K.Peerapong K.</v>
      </c>
      <c r="U2779" s="3" t="str">
        <f>IFERROR(__xludf.DUMMYFUNCTION("""COMPUTED_VALUE"""),"03 K.Peerapong K.")</f>
        <v>03 K.Peerapong K.</v>
      </c>
      <c r="V2779" s="3" t="str">
        <f>IFERROR(__xludf.DUMMYFUNCTION("""COMPUTED_VALUE"""),"N")</f>
        <v>N</v>
      </c>
      <c r="W2779" s="3"/>
      <c r="X2779" s="3" t="str">
        <f>IFERROR(__xludf.DUMMYFUNCTION("""COMPUTED_VALUE"""),"99 หมู่5 ต.พรรณา อ.พรรณานิคม จ.สกลนคร")</f>
        <v>99 หมู่5 ต.พรรณา อ.พรรณานิคม จ.สกลนคร</v>
      </c>
      <c r="Y2779" s="3"/>
      <c r="Z2779" s="3">
        <f>IFERROR(__xludf.DUMMYFUNCTION("""COMPUTED_VALUE"""),0.0)</f>
        <v>0</v>
      </c>
      <c r="AA2779" s="3">
        <f>IFERROR(__xludf.DUMMYFUNCTION("""COMPUTED_VALUE"""),0.0)</f>
        <v>0</v>
      </c>
      <c r="AB2779" s="3" t="str">
        <f>IFERROR(__xludf.DUMMYFUNCTION("""COMPUTED_VALUE"""),"สกลนคร")</f>
        <v>สกลนคร</v>
      </c>
      <c r="AC2779" s="3">
        <f>IFERROR(__xludf.DUMMYFUNCTION("""COMPUTED_VALUE"""),0.0)</f>
        <v>0</v>
      </c>
      <c r="AD2779" s="3"/>
      <c r="AE2779" s="3"/>
      <c r="AF2779" s="3" t="str">
        <f>IFERROR(__xludf.DUMMYFUNCTION("""COMPUTED_VALUE"""),"ร้านพาฝัน-83608")</f>
        <v>ร้านพาฝัน-83608</v>
      </c>
      <c r="AG2779" s="3" t="str">
        <f>IFERROR(__xludf.DUMMYFUNCTION("""COMPUTED_VALUE"""),"ตะวันออกเฉียงเหนือ")</f>
        <v>ตะวันออกเฉียงเหนือ</v>
      </c>
      <c r="AH2779" s="3" t="str">
        <f>IFERROR(__xludf.DUMMYFUNCTION("""COMPUTED_VALUE"""),"#N/A")</f>
        <v>#N/A</v>
      </c>
      <c r="AI2779" s="3" t="str">
        <f>IFERROR(__xludf.DUMMYFUNCTION("""COMPUTED_VALUE"""),"Out of warranty")</f>
        <v>Out of warranty</v>
      </c>
      <c r="AJ2779" s="3">
        <f>IFERROR(__xludf.DUMMYFUNCTION("""COMPUTED_VALUE"""),46.0)</f>
        <v>46</v>
      </c>
      <c r="AK2779" s="3"/>
      <c r="AL2779" s="3"/>
    </row>
    <row r="2780" ht="15.75" customHeight="1">
      <c r="A2780" s="1" t="str">
        <f>IFERROR(__xludf.DUMMYFUNCTION("""COMPUTED_VALUE"""),"83609")</f>
        <v>83609</v>
      </c>
      <c r="B2780" s="2">
        <f>IFERROR(__xludf.DUMMYFUNCTION("""COMPUTED_VALUE"""),83609.0)</f>
        <v>83609</v>
      </c>
      <c r="C2780" s="3" t="str">
        <f>IFERROR(__xludf.DUMMYFUNCTION("""COMPUTED_VALUE"""),"ร้านเปาซียะห์สโตร์")</f>
        <v>ร้านเปาซียะห์สโตร์</v>
      </c>
      <c r="D2780" s="3" t="str">
        <f>IFERROR(__xludf.DUMMYFUNCTION("""COMPUTED_VALUE"""),"ร้านเปาซียะห์สโตร์")</f>
        <v>ร้านเปาซียะห์สโตร์</v>
      </c>
      <c r="E2780" s="1" t="str">
        <f>IFERROR(__xludf.DUMMYFUNCTION("""COMPUTED_VALUE"""),"Donjai")</f>
        <v>Donjai</v>
      </c>
      <c r="F2780" s="1" t="str">
        <f>IFERROR(__xludf.DUMMYFUNCTION("""COMPUTED_VALUE"""),"20470331")</f>
        <v>20470331</v>
      </c>
      <c r="G2780" s="1" t="str">
        <f>IFERROR(__xludf.DUMMYFUNCTION("""COMPUTED_VALUE"""),"นายสมชาย ลักษณะสุวรรณ")</f>
        <v>นายสมชาย ลักษณะสุวรรณ</v>
      </c>
      <c r="H2780" s="1" t="str">
        <f>IFERROR(__xludf.DUMMYFUNCTION("""COMPUTED_VALUE"""),"20470331")</f>
        <v>20470331</v>
      </c>
      <c r="I2780" s="1" t="str">
        <f>IFERROR(__xludf.DUMMYFUNCTION("""COMPUTED_VALUE"""),"นายสมชาย ลักษณะสุวรรณ")</f>
        <v>นายสมชาย ลักษณะสุวรรณ</v>
      </c>
      <c r="J2780" s="3">
        <f>IFERROR(__xludf.DUMMYFUNCTION("""COMPUTED_VALUE"""),295541.0)</f>
        <v>295541</v>
      </c>
      <c r="K2780" s="3" t="str">
        <f>IFERROR(__xludf.DUMMYFUNCTION("""COMPUTED_VALUE"""),"นายรพิพล ศรีมาตย์")</f>
        <v>นายรพิพล ศรีมาตย์</v>
      </c>
      <c r="L2780" s="1" t="str">
        <f>IFERROR(__xludf.DUMMYFUNCTION("""COMPUTED_VALUE"""),"นายรพิพล ศรีมาตย์")</f>
        <v>นายรพิพล ศรีมาตย์</v>
      </c>
      <c r="M2780" s="1" t="str">
        <f>IFERROR(__xludf.DUMMYFUNCTION("""COMPUTED_VALUE"""),"0613966115")</f>
        <v>0613966115</v>
      </c>
      <c r="N2780" s="3">
        <f>IFERROR(__xludf.DUMMYFUNCTION("""COMPUTED_VALUE"""),83609.0)</f>
        <v>83609</v>
      </c>
      <c r="O2780" s="3" t="str">
        <f>IFERROR(__xludf.DUMMYFUNCTION("""COMPUTED_VALUE"""),"ร้านเปาซียะห์สโตร์")</f>
        <v>ร้านเปาซียะห์สโตร์</v>
      </c>
      <c r="P2780" s="4">
        <f>IFERROR(__xludf.DUMMYFUNCTION("""COMPUTED_VALUE"""),44623.0)</f>
        <v>44623</v>
      </c>
      <c r="Q2780" s="3" t="str">
        <f>IFERROR(__xludf.DUMMYFUNCTION("""COMPUTED_VALUE"""),"I")</f>
        <v>I</v>
      </c>
      <c r="R2780" s="3" t="str">
        <f>IFERROR(__xludf.DUMMYFUNCTION("""COMPUTED_VALUE"""),"Small Format")</f>
        <v>Small Format</v>
      </c>
      <c r="S2780" s="3" t="str">
        <f>IFERROR(__xludf.DUMMYFUNCTION("""COMPUTED_VALUE"""),"Donjai")</f>
        <v>Donjai</v>
      </c>
      <c r="T2780" s="3" t="str">
        <f>IFERROR(__xludf.DUMMYFUNCTION("""COMPUTED_VALUE"""),"15 K.Somchai L")</f>
        <v>15 K.Somchai L</v>
      </c>
      <c r="U2780" s="3" t="str">
        <f>IFERROR(__xludf.DUMMYFUNCTION("""COMPUTED_VALUE"""),"15 K.Somchai L")</f>
        <v>15 K.Somchai L</v>
      </c>
      <c r="V2780" s="3" t="str">
        <f>IFERROR(__xludf.DUMMYFUNCTION("""COMPUTED_VALUE"""),"N")</f>
        <v>N</v>
      </c>
      <c r="W2780" s="3"/>
      <c r="X2780" s="3" t="str">
        <f>IFERROR(__xludf.DUMMYFUNCTION("""COMPUTED_VALUE"""),"เลขที่ 13 ม.6 ต.ปูยุด อ.เมือง จ.ปัตตานี")</f>
        <v>เลขที่ 13 ม.6 ต.ปูยุด อ.เมือง จ.ปัตตานี</v>
      </c>
      <c r="Y2780" s="3"/>
      <c r="Z2780" s="3">
        <f>IFERROR(__xludf.DUMMYFUNCTION("""COMPUTED_VALUE"""),0.0)</f>
        <v>0</v>
      </c>
      <c r="AA2780" s="3">
        <f>IFERROR(__xludf.DUMMYFUNCTION("""COMPUTED_VALUE"""),0.0)</f>
        <v>0</v>
      </c>
      <c r="AB2780" s="3" t="str">
        <f>IFERROR(__xludf.DUMMYFUNCTION("""COMPUTED_VALUE"""),"ปัตตานี")</f>
        <v>ปัตตานี</v>
      </c>
      <c r="AC2780" s="3">
        <f>IFERROR(__xludf.DUMMYFUNCTION("""COMPUTED_VALUE"""),0.0)</f>
        <v>0</v>
      </c>
      <c r="AD2780" s="3"/>
      <c r="AE2780" s="3"/>
      <c r="AF2780" s="3" t="str">
        <f>IFERROR(__xludf.DUMMYFUNCTION("""COMPUTED_VALUE"""),"ร้านเปาซียะห์สโตร์-83609")</f>
        <v>ร้านเปาซียะห์สโตร์-83609</v>
      </c>
      <c r="AG2780" s="3" t="str">
        <f>IFERROR(__xludf.DUMMYFUNCTION("""COMPUTED_VALUE"""),"ใต้")</f>
        <v>ใต้</v>
      </c>
      <c r="AH2780" s="3" t="str">
        <f>IFERROR(__xludf.DUMMYFUNCTION("""COMPUTED_VALUE"""),"#N/A")</f>
        <v>#N/A</v>
      </c>
      <c r="AI2780" s="3" t="str">
        <f>IFERROR(__xludf.DUMMYFUNCTION("""COMPUTED_VALUE"""),"Out of warranty")</f>
        <v>Out of warranty</v>
      </c>
      <c r="AJ2780" s="3">
        <f>IFERROR(__xludf.DUMMYFUNCTION("""COMPUTED_VALUE"""),47.0)</f>
        <v>47</v>
      </c>
      <c r="AK2780" s="3"/>
      <c r="AL2780" s="3"/>
    </row>
    <row r="2781" ht="15.75" customHeight="1">
      <c r="A2781" s="1" t="str">
        <f>IFERROR(__xludf.DUMMYFUNCTION("""COMPUTED_VALUE"""),"83610")</f>
        <v>83610</v>
      </c>
      <c r="B2781" s="2">
        <f>IFERROR(__xludf.DUMMYFUNCTION("""COMPUTED_VALUE"""),83610.0)</f>
        <v>83610</v>
      </c>
      <c r="C2781" s="3" t="str">
        <f>IFERROR(__xludf.DUMMYFUNCTION("""COMPUTED_VALUE"""),"ร้านชิตา โฟร์เซ่น ฟูดส์ สมุทรปรากา(รคุณพิษฐ์ชิดา)")</f>
        <v>ร้านชิตา โฟร์เซ่น ฟูดส์ สมุทรปรากา(รคุณพิษฐ์ชิดา)</v>
      </c>
      <c r="D2781" s="3" t="str">
        <f>IFERROR(__xludf.DUMMYFUNCTION("""COMPUTED_VALUE"""),"ร้านชิตา โฟร์เซ่น ฟูดส์ สมุทรปรากา(รคุณพิษฐ์ชิดา)")</f>
        <v>ร้านชิตา โฟร์เซ่น ฟูดส์ สมุทรปรากา(รคุณพิษฐ์ชิดา)</v>
      </c>
      <c r="E2781" s="1" t="str">
        <f>IFERROR(__xludf.DUMMYFUNCTION("""COMPUTED_VALUE"""),"Donjai")</f>
        <v>Donjai</v>
      </c>
      <c r="F2781" s="1" t="str">
        <f>IFERROR(__xludf.DUMMYFUNCTION("""COMPUTED_VALUE"""),"2452378")</f>
        <v>2452378</v>
      </c>
      <c r="G2781" s="1" t="str">
        <f>IFERROR(__xludf.DUMMYFUNCTION("""COMPUTED_VALUE"""),"นายศักดิ์ดา พวงประดับ")</f>
        <v>นายศักดิ์ดา พวงประดับ</v>
      </c>
      <c r="H2781" s="1" t="str">
        <f>IFERROR(__xludf.DUMMYFUNCTION("""COMPUTED_VALUE"""),"2452378")</f>
        <v>2452378</v>
      </c>
      <c r="I2781" s="1" t="str">
        <f>IFERROR(__xludf.DUMMYFUNCTION("""COMPUTED_VALUE"""),"นายศักดิ์ดา พวงประดับ")</f>
        <v>นายศักดิ์ดา พวงประดับ</v>
      </c>
      <c r="J2781" s="3">
        <f>IFERROR(__xludf.DUMMYFUNCTION("""COMPUTED_VALUE"""),228031.0)</f>
        <v>228031</v>
      </c>
      <c r="K2781" s="3" t="str">
        <f>IFERROR(__xludf.DUMMYFUNCTION("""COMPUTED_VALUE"""),"นายธนพงษ์ วันหมัด")</f>
        <v>นายธนพงษ์ วันหมัด</v>
      </c>
      <c r="L2781" s="1" t="str">
        <f>IFERROR(__xludf.DUMMYFUNCTION("""COMPUTED_VALUE"""),"นายธนพงษ์ วันหมัด")</f>
        <v>นายธนพงษ์ วันหมัด</v>
      </c>
      <c r="M2781" s="1" t="str">
        <f>IFERROR(__xludf.DUMMYFUNCTION("""COMPUTED_VALUE"""),"0813716913")</f>
        <v>0813716913</v>
      </c>
      <c r="N2781" s="3">
        <f>IFERROR(__xludf.DUMMYFUNCTION("""COMPUTED_VALUE"""),83610.0)</f>
        <v>83610</v>
      </c>
      <c r="O2781" s="3" t="str">
        <f>IFERROR(__xludf.DUMMYFUNCTION("""COMPUTED_VALUE"""),"ร้านชิตา โฟร์เซ่น ฟูดส์ สมุทรปรากา(รคุณพิษฐ์ชิดา)")</f>
        <v>ร้านชิตา โฟร์เซ่น ฟูดส์ สมุทรปรากา(รคุณพิษฐ์ชิดา)</v>
      </c>
      <c r="P2781" s="4">
        <f>IFERROR(__xludf.DUMMYFUNCTION("""COMPUTED_VALUE"""),44749.0)</f>
        <v>44749</v>
      </c>
      <c r="Q2781" s="3" t="str">
        <f>IFERROR(__xludf.DUMMYFUNCTION("""COMPUTED_VALUE"""),"A")</f>
        <v>A</v>
      </c>
      <c r="R2781" s="3" t="str">
        <f>IFERROR(__xludf.DUMMYFUNCTION("""COMPUTED_VALUE"""),"Small Format")</f>
        <v>Small Format</v>
      </c>
      <c r="S2781" s="3" t="str">
        <f>IFERROR(__xludf.DUMMYFUNCTION("""COMPUTED_VALUE"""),"Donjai")</f>
        <v>Donjai</v>
      </c>
      <c r="T2781" s="3" t="str">
        <f>IFERROR(__xludf.DUMMYFUNCTION("""COMPUTED_VALUE"""),"11 K.Sakda P.")</f>
        <v>11 K.Sakda P.</v>
      </c>
      <c r="U2781" s="3" t="str">
        <f>IFERROR(__xludf.DUMMYFUNCTION("""COMPUTED_VALUE"""),"11 K.Sakda P.")</f>
        <v>11 K.Sakda P.</v>
      </c>
      <c r="V2781" s="3" t="str">
        <f>IFERROR(__xludf.DUMMYFUNCTION("""COMPUTED_VALUE"""),"N")</f>
        <v>N</v>
      </c>
      <c r="W2781" s="3"/>
      <c r="X2781" s="3" t="str">
        <f>IFERROR(__xludf.DUMMYFUNCTION("""COMPUTED_VALUE"""),"ต.แพรกษา อ.เมืองสมุทรปราการ จ.สมุทรปราการ")</f>
        <v>ต.แพรกษา อ.เมืองสมุทรปราการ จ.สมุทรปราการ</v>
      </c>
      <c r="Y2781" s="3"/>
      <c r="Z2781" s="3">
        <f>IFERROR(__xludf.DUMMYFUNCTION("""COMPUTED_VALUE"""),0.0)</f>
        <v>0</v>
      </c>
      <c r="AA2781" s="3">
        <f>IFERROR(__xludf.DUMMYFUNCTION("""COMPUTED_VALUE"""),0.0)</f>
        <v>0</v>
      </c>
      <c r="AB2781" s="3" t="str">
        <f>IFERROR(__xludf.DUMMYFUNCTION("""COMPUTED_VALUE"""),"สมุทรปราการ")</f>
        <v>สมุทรปราการ</v>
      </c>
      <c r="AC2781" s="3">
        <f>IFERROR(__xludf.DUMMYFUNCTION("""COMPUTED_VALUE"""),0.0)</f>
        <v>0</v>
      </c>
      <c r="AD2781" s="3"/>
      <c r="AE2781" s="3"/>
      <c r="AF2781" s="3" t="str">
        <f>IFERROR(__xludf.DUMMYFUNCTION("""COMPUTED_VALUE"""),"ร้านชิตา โฟร์เซ่น ฟูดส์ สมุทรปรากา(รคุณพิษฐ์ชิดา)-83610")</f>
        <v>ร้านชิตา โฟร์เซ่น ฟูดส์ สมุทรปรากา(รคุณพิษฐ์ชิดา)-83610</v>
      </c>
      <c r="AG2781" s="3" t="str">
        <f>IFERROR(__xludf.DUMMYFUNCTION("""COMPUTED_VALUE"""),"กลาง")</f>
        <v>กลาง</v>
      </c>
      <c r="AH2781" s="3" t="str">
        <f>IFERROR(__xludf.DUMMYFUNCTION("""COMPUTED_VALUE"""),"#N/A")</f>
        <v>#N/A</v>
      </c>
      <c r="AI2781" s="3" t="str">
        <f>IFERROR(__xludf.DUMMYFUNCTION("""COMPUTED_VALUE"""),"Out of warranty")</f>
        <v>Out of warranty</v>
      </c>
      <c r="AJ2781" s="3">
        <f>IFERROR(__xludf.DUMMYFUNCTION("""COMPUTED_VALUE"""),43.0)</f>
        <v>43</v>
      </c>
      <c r="AK2781" s="3"/>
      <c r="AL2781" s="3"/>
    </row>
    <row r="2782" ht="15.75" customHeight="1">
      <c r="A2782" s="1" t="str">
        <f>IFERROR(__xludf.DUMMYFUNCTION("""COMPUTED_VALUE"""),"83611")</f>
        <v>83611</v>
      </c>
      <c r="B2782" s="2">
        <f>IFERROR(__xludf.DUMMYFUNCTION("""COMPUTED_VALUE"""),83611.0)</f>
        <v>83611</v>
      </c>
      <c r="C2782" s="3" t="str">
        <f>IFERROR(__xludf.DUMMYFUNCTION("""COMPUTED_VALUE"""),"ร้านอุไร แฟมิลี่ (คุณศศิวิมล เหลืองแดง)")</f>
        <v>ร้านอุไร แฟมิลี่ (คุณศศิวิมล เหลืองแดง)</v>
      </c>
      <c r="D2782" s="3" t="str">
        <f>IFERROR(__xludf.DUMMYFUNCTION("""COMPUTED_VALUE"""),"ร้านอุไร แฟมิลี่ (คุณศศิวิมล เหลืองแดง)")</f>
        <v>ร้านอุไร แฟมิลี่ (คุณศศิวิมล เหลืองแดง)</v>
      </c>
      <c r="E2782" s="1" t="str">
        <f>IFERROR(__xludf.DUMMYFUNCTION("""COMPUTED_VALUE"""),"Donjai")</f>
        <v>Donjai</v>
      </c>
      <c r="F2782" s="1" t="str">
        <f>IFERROR(__xludf.DUMMYFUNCTION("""COMPUTED_VALUE"""),"20470331")</f>
        <v>20470331</v>
      </c>
      <c r="G2782" s="1" t="str">
        <f>IFERROR(__xludf.DUMMYFUNCTION("""COMPUTED_VALUE"""),"นายสมชาย ลักษณะสุวรรณ")</f>
        <v>นายสมชาย ลักษณะสุวรรณ</v>
      </c>
      <c r="H2782" s="1" t="str">
        <f>IFERROR(__xludf.DUMMYFUNCTION("""COMPUTED_VALUE"""),"20470331")</f>
        <v>20470331</v>
      </c>
      <c r="I2782" s="1" t="str">
        <f>IFERROR(__xludf.DUMMYFUNCTION("""COMPUTED_VALUE"""),"นายสมชาย ลักษณะสุวรรณ")</f>
        <v>นายสมชาย ลักษณะสุวรรณ</v>
      </c>
      <c r="J2782" s="3">
        <f>IFERROR(__xludf.DUMMYFUNCTION("""COMPUTED_VALUE"""),295541.0)</f>
        <v>295541</v>
      </c>
      <c r="K2782" s="3" t="str">
        <f>IFERROR(__xludf.DUMMYFUNCTION("""COMPUTED_VALUE"""),"นายรพิพล ศรีมาตย์")</f>
        <v>นายรพิพล ศรีมาตย์</v>
      </c>
      <c r="L2782" s="1" t="str">
        <f>IFERROR(__xludf.DUMMYFUNCTION("""COMPUTED_VALUE"""),"นายรพิพล ศรีมาตย์")</f>
        <v>นายรพิพล ศรีมาตย์</v>
      </c>
      <c r="M2782" s="1" t="str">
        <f>IFERROR(__xludf.DUMMYFUNCTION("""COMPUTED_VALUE"""),"0613966115")</f>
        <v>0613966115</v>
      </c>
      <c r="N2782" s="3">
        <f>IFERROR(__xludf.DUMMYFUNCTION("""COMPUTED_VALUE"""),83611.0)</f>
        <v>83611</v>
      </c>
      <c r="O2782" s="3" t="str">
        <f>IFERROR(__xludf.DUMMYFUNCTION("""COMPUTED_VALUE"""),"ร้านอุไร แฟมิลี่ (คุณศศิวิมล เหลืองแดง)")</f>
        <v>ร้านอุไร แฟมิลี่ (คุณศศิวิมล เหลืองแดง)</v>
      </c>
      <c r="P2782" s="4">
        <f>IFERROR(__xludf.DUMMYFUNCTION("""COMPUTED_VALUE"""),44694.0)</f>
        <v>44694</v>
      </c>
      <c r="Q2782" s="3" t="str">
        <f>IFERROR(__xludf.DUMMYFUNCTION("""COMPUTED_VALUE"""),"I")</f>
        <v>I</v>
      </c>
      <c r="R2782" s="3" t="str">
        <f>IFERROR(__xludf.DUMMYFUNCTION("""COMPUTED_VALUE"""),"Small Format")</f>
        <v>Small Format</v>
      </c>
      <c r="S2782" s="3" t="str">
        <f>IFERROR(__xludf.DUMMYFUNCTION("""COMPUTED_VALUE"""),"Donjai")</f>
        <v>Donjai</v>
      </c>
      <c r="T2782" s="3" t="str">
        <f>IFERROR(__xludf.DUMMYFUNCTION("""COMPUTED_VALUE"""),"15 K.Somchai L")</f>
        <v>15 K.Somchai L</v>
      </c>
      <c r="U2782" s="3" t="str">
        <f>IFERROR(__xludf.DUMMYFUNCTION("""COMPUTED_VALUE"""),"15 K.Somchai L")</f>
        <v>15 K.Somchai L</v>
      </c>
      <c r="V2782" s="3" t="str">
        <f>IFERROR(__xludf.DUMMYFUNCTION("""COMPUTED_VALUE"""),"N")</f>
        <v>N</v>
      </c>
      <c r="W2782" s="3"/>
      <c r="X2782" s="3" t="str">
        <f>IFERROR(__xludf.DUMMYFUNCTION("""COMPUTED_VALUE"""),"ม.6 ต.ตะเสะ อ.หาดสำราญ จ.ตรัง")</f>
        <v>ม.6 ต.ตะเสะ อ.หาดสำราญ จ.ตรัง</v>
      </c>
      <c r="Y2782" s="3"/>
      <c r="Z2782" s="3">
        <f>IFERROR(__xludf.DUMMYFUNCTION("""COMPUTED_VALUE"""),0.0)</f>
        <v>0</v>
      </c>
      <c r="AA2782" s="3">
        <f>IFERROR(__xludf.DUMMYFUNCTION("""COMPUTED_VALUE"""),0.0)</f>
        <v>0</v>
      </c>
      <c r="AB2782" s="3" t="str">
        <f>IFERROR(__xludf.DUMMYFUNCTION("""COMPUTED_VALUE"""),"ตรัง")</f>
        <v>ตรัง</v>
      </c>
      <c r="AC2782" s="3">
        <f>IFERROR(__xludf.DUMMYFUNCTION("""COMPUTED_VALUE"""),0.0)</f>
        <v>0</v>
      </c>
      <c r="AD2782" s="3"/>
      <c r="AE2782" s="3"/>
      <c r="AF2782" s="3" t="str">
        <f>IFERROR(__xludf.DUMMYFUNCTION("""COMPUTED_VALUE"""),"ร้านอุไร แฟมิลี่ (คุณศศิวิมล เหลืองแดง)-83611")</f>
        <v>ร้านอุไร แฟมิลี่ (คุณศศิวิมล เหลืองแดง)-83611</v>
      </c>
      <c r="AG2782" s="3" t="str">
        <f>IFERROR(__xludf.DUMMYFUNCTION("""COMPUTED_VALUE"""),"ใต้")</f>
        <v>ใต้</v>
      </c>
      <c r="AH2782" s="3" t="str">
        <f>IFERROR(__xludf.DUMMYFUNCTION("""COMPUTED_VALUE"""),"#N/A")</f>
        <v>#N/A</v>
      </c>
      <c r="AI2782" s="3" t="str">
        <f>IFERROR(__xludf.DUMMYFUNCTION("""COMPUTED_VALUE"""),"Out of warranty")</f>
        <v>Out of warranty</v>
      </c>
      <c r="AJ2782" s="3">
        <f>IFERROR(__xludf.DUMMYFUNCTION("""COMPUTED_VALUE"""),45.0)</f>
        <v>45</v>
      </c>
      <c r="AK2782" s="3"/>
      <c r="AL2782" s="3"/>
    </row>
    <row r="2783" ht="15.75" customHeight="1">
      <c r="A2783" s="1" t="str">
        <f>IFERROR(__xludf.DUMMYFUNCTION("""COMPUTED_VALUE"""),"83612")</f>
        <v>83612</v>
      </c>
      <c r="B2783" s="2">
        <f>IFERROR(__xludf.DUMMYFUNCTION("""COMPUTED_VALUE"""),83612.0)</f>
        <v>83612</v>
      </c>
      <c r="C2783" s="3" t="str">
        <f>IFERROR(__xludf.DUMMYFUNCTION("""COMPUTED_VALUE"""),"คุณเอ")</f>
        <v>คุณเอ</v>
      </c>
      <c r="D2783" s="3" t="str">
        <f>IFERROR(__xludf.DUMMYFUNCTION("""COMPUTED_VALUE"""),"คุณเอ")</f>
        <v>คุณเอ</v>
      </c>
      <c r="E2783" s="1" t="str">
        <f>IFERROR(__xludf.DUMMYFUNCTION("""COMPUTED_VALUE"""),"Donjai")</f>
        <v>Donjai</v>
      </c>
      <c r="F2783" s="1" t="str">
        <f>IFERROR(__xludf.DUMMYFUNCTION("""COMPUTED_VALUE"""),"2010023")</f>
        <v>2010023</v>
      </c>
      <c r="G2783" s="1" t="str">
        <f>IFERROR(__xludf.DUMMYFUNCTION("""COMPUTED_VALUE"""),"นายวศิน ไวยรูป")</f>
        <v>นายวศิน ไวยรูป</v>
      </c>
      <c r="H2783" s="1" t="str">
        <f>IFERROR(__xludf.DUMMYFUNCTION("""COMPUTED_VALUE"""),"2010023")</f>
        <v>2010023</v>
      </c>
      <c r="I2783" s="1" t="str">
        <f>IFERROR(__xludf.DUMMYFUNCTION("""COMPUTED_VALUE"""),"นายวศิน ไวยรูป")</f>
        <v>นายวศิน ไวยรูป</v>
      </c>
      <c r="J2783" s="3">
        <f>IFERROR(__xludf.DUMMYFUNCTION("""COMPUTED_VALUE"""),228031.0)</f>
        <v>228031</v>
      </c>
      <c r="K2783" s="3" t="str">
        <f>IFERROR(__xludf.DUMMYFUNCTION("""COMPUTED_VALUE"""),"นายธนพงษ์ วันหมัด")</f>
        <v>นายธนพงษ์ วันหมัด</v>
      </c>
      <c r="L2783" s="1" t="str">
        <f>IFERROR(__xludf.DUMMYFUNCTION("""COMPUTED_VALUE"""),"นายธนพงษ์ วันหมัด")</f>
        <v>นายธนพงษ์ วันหมัด</v>
      </c>
      <c r="M2783" s="1" t="str">
        <f>IFERROR(__xludf.DUMMYFUNCTION("""COMPUTED_VALUE"""),"0813716913")</f>
        <v>0813716913</v>
      </c>
      <c r="N2783" s="3">
        <f>IFERROR(__xludf.DUMMYFUNCTION("""COMPUTED_VALUE"""),83612.0)</f>
        <v>83612</v>
      </c>
      <c r="O2783" s="3" t="str">
        <f>IFERROR(__xludf.DUMMYFUNCTION("""COMPUTED_VALUE"""),"คุณเอ")</f>
        <v>คุณเอ</v>
      </c>
      <c r="P2783" s="4">
        <f>IFERROR(__xludf.DUMMYFUNCTION("""COMPUTED_VALUE"""),44637.0)</f>
        <v>44637</v>
      </c>
      <c r="Q2783" s="3" t="str">
        <f>IFERROR(__xludf.DUMMYFUNCTION("""COMPUTED_VALUE"""),"I")</f>
        <v>I</v>
      </c>
      <c r="R2783" s="3" t="str">
        <f>IFERROR(__xludf.DUMMYFUNCTION("""COMPUTED_VALUE"""),"Small Format")</f>
        <v>Small Format</v>
      </c>
      <c r="S2783" s="3" t="str">
        <f>IFERROR(__xludf.DUMMYFUNCTION("""COMPUTED_VALUE"""),"Donjai")</f>
        <v>Donjai</v>
      </c>
      <c r="T2783" s="3" t="str">
        <f>IFERROR(__xludf.DUMMYFUNCTION("""COMPUTED_VALUE"""),"Donjai")</f>
        <v>Donjai</v>
      </c>
      <c r="U2783" s="3" t="str">
        <f>IFERROR(__xludf.DUMMYFUNCTION("""COMPUTED_VALUE"""),"Donjai")</f>
        <v>Donjai</v>
      </c>
      <c r="V2783" s="3" t="str">
        <f>IFERROR(__xludf.DUMMYFUNCTION("""COMPUTED_VALUE"""),"N")</f>
        <v>N</v>
      </c>
      <c r="W2783" s="3"/>
      <c r="X2783" s="3" t="str">
        <f>IFERROR(__xludf.DUMMYFUNCTION("""COMPUTED_VALUE"""),"41/501 ซ.นวมินทร์111 ถ.นวมินทร์ แขวงนวมินทร์ เขตบึงกุ่ม กทม.")</f>
        <v>41/501 ซ.นวมินทร์111 ถ.นวมินทร์ แขวงนวมินทร์ เขตบึงกุ่ม กทม.</v>
      </c>
      <c r="Y2783" s="3"/>
      <c r="Z2783" s="3">
        <f>IFERROR(__xludf.DUMMYFUNCTION("""COMPUTED_VALUE"""),0.0)</f>
        <v>0</v>
      </c>
      <c r="AA2783" s="3">
        <f>IFERROR(__xludf.DUMMYFUNCTION("""COMPUTED_VALUE"""),0.0)</f>
        <v>0</v>
      </c>
      <c r="AB2783" s="3" t="str">
        <f>IFERROR(__xludf.DUMMYFUNCTION("""COMPUTED_VALUE"""),"กรุงเทพมหานคร")</f>
        <v>กรุงเทพมหานคร</v>
      </c>
      <c r="AC2783" s="3">
        <f>IFERROR(__xludf.DUMMYFUNCTION("""COMPUTED_VALUE"""),0.0)</f>
        <v>0</v>
      </c>
      <c r="AD2783" s="3"/>
      <c r="AE2783" s="3"/>
      <c r="AF2783" s="3" t="str">
        <f>IFERROR(__xludf.DUMMYFUNCTION("""COMPUTED_VALUE"""),"คุณเอ-83612")</f>
        <v>คุณเอ-83612</v>
      </c>
      <c r="AG2783" s="3" t="str">
        <f>IFERROR(__xludf.DUMMYFUNCTION("""COMPUTED_VALUE"""),"กลาง")</f>
        <v>กลาง</v>
      </c>
      <c r="AH2783" s="3" t="str">
        <f>IFERROR(__xludf.DUMMYFUNCTION("""COMPUTED_VALUE"""),"#N/A")</f>
        <v>#N/A</v>
      </c>
      <c r="AI2783" s="3" t="str">
        <f>IFERROR(__xludf.DUMMYFUNCTION("""COMPUTED_VALUE"""),"Out of warranty")</f>
        <v>Out of warranty</v>
      </c>
      <c r="AJ2783" s="3">
        <f>IFERROR(__xludf.DUMMYFUNCTION("""COMPUTED_VALUE"""),47.0)</f>
        <v>47</v>
      </c>
      <c r="AK2783" s="3"/>
      <c r="AL2783" s="3"/>
    </row>
    <row r="2784" ht="15.75" customHeight="1">
      <c r="A2784" s="1" t="str">
        <f>IFERROR(__xludf.DUMMYFUNCTION("""COMPUTED_VALUE"""),"83615")</f>
        <v>83615</v>
      </c>
      <c r="B2784" s="2">
        <f>IFERROR(__xludf.DUMMYFUNCTION("""COMPUTED_VALUE"""),83615.0)</f>
        <v>83615</v>
      </c>
      <c r="C2784" s="3" t="str">
        <f>IFERROR(__xludf.DUMMYFUNCTION("""COMPUTED_VALUE"""),"ร้านเย็นใจโดนใจ")</f>
        <v>ร้านเย็นใจโดนใจ</v>
      </c>
      <c r="D2784" s="3" t="str">
        <f>IFERROR(__xludf.DUMMYFUNCTION("""COMPUTED_VALUE"""),"ร้านเย็นใจโดนใจ")</f>
        <v>ร้านเย็นใจโดนใจ</v>
      </c>
      <c r="E2784" s="1" t="str">
        <f>IFERROR(__xludf.DUMMYFUNCTION("""COMPUTED_VALUE"""),"Donjai")</f>
        <v>Donjai</v>
      </c>
      <c r="F2784" s="1" t="str">
        <f>IFERROR(__xludf.DUMMYFUNCTION("""COMPUTED_VALUE"""),"296608")</f>
        <v>296608</v>
      </c>
      <c r="G2784" s="1" t="str">
        <f>IFERROR(__xludf.DUMMYFUNCTION("""COMPUTED_VALUE"""),"นายภาคภูมิ เพ็ชรนิล")</f>
        <v>นายภาคภูมิ เพ็ชรนิล</v>
      </c>
      <c r="H2784" s="1" t="str">
        <f>IFERROR(__xludf.DUMMYFUNCTION("""COMPUTED_VALUE"""),"296608")</f>
        <v>296608</v>
      </c>
      <c r="I2784" s="1" t="str">
        <f>IFERROR(__xludf.DUMMYFUNCTION("""COMPUTED_VALUE"""),"นายภาคภูมิ เพ็ชรนิล")</f>
        <v>นายภาคภูมิ เพ็ชรนิล</v>
      </c>
      <c r="J2784" s="3">
        <f>IFERROR(__xludf.DUMMYFUNCTION("""COMPUTED_VALUE"""),228031.0)</f>
        <v>228031</v>
      </c>
      <c r="K2784" s="3" t="str">
        <f>IFERROR(__xludf.DUMMYFUNCTION("""COMPUTED_VALUE"""),"นายธนพงษ์ วันหมัด")</f>
        <v>นายธนพงษ์ วันหมัด</v>
      </c>
      <c r="L2784" s="1" t="str">
        <f>IFERROR(__xludf.DUMMYFUNCTION("""COMPUTED_VALUE"""),"นายธนพงษ์ วันหมัด")</f>
        <v>นายธนพงษ์ วันหมัด</v>
      </c>
      <c r="M2784" s="1" t="str">
        <f>IFERROR(__xludf.DUMMYFUNCTION("""COMPUTED_VALUE"""),"0813716913")</f>
        <v>0813716913</v>
      </c>
      <c r="N2784" s="3">
        <f>IFERROR(__xludf.DUMMYFUNCTION("""COMPUTED_VALUE"""),83615.0)</f>
        <v>83615</v>
      </c>
      <c r="O2784" s="3" t="str">
        <f>IFERROR(__xludf.DUMMYFUNCTION("""COMPUTED_VALUE"""),"ร้านเย็นใจโดนใจ")</f>
        <v>ร้านเย็นใจโดนใจ</v>
      </c>
      <c r="P2784" s="4">
        <f>IFERROR(__xludf.DUMMYFUNCTION("""COMPUTED_VALUE"""),44633.0)</f>
        <v>44633</v>
      </c>
      <c r="Q2784" s="3" t="str">
        <f>IFERROR(__xludf.DUMMYFUNCTION("""COMPUTED_VALUE"""),"A")</f>
        <v>A</v>
      </c>
      <c r="R2784" s="3" t="str">
        <f>IFERROR(__xludf.DUMMYFUNCTION("""COMPUTED_VALUE"""),"Small Format")</f>
        <v>Small Format</v>
      </c>
      <c r="S2784" s="3" t="str">
        <f>IFERROR(__xludf.DUMMYFUNCTION("""COMPUTED_VALUE"""),"Donjai")</f>
        <v>Donjai</v>
      </c>
      <c r="T2784" s="3" t="str">
        <f>IFERROR(__xludf.DUMMYFUNCTION("""COMPUTED_VALUE"""),"10 K.Phakphoom P.")</f>
        <v>10 K.Phakphoom P.</v>
      </c>
      <c r="U2784" s="3" t="str">
        <f>IFERROR(__xludf.DUMMYFUNCTION("""COMPUTED_VALUE"""),"10 K.Phakphoom P.")</f>
        <v>10 K.Phakphoom P.</v>
      </c>
      <c r="V2784" s="3" t="str">
        <f>IFERROR(__xludf.DUMMYFUNCTION("""COMPUTED_VALUE"""),"N")</f>
        <v>N</v>
      </c>
      <c r="W2784" s="3"/>
      <c r="X2784" s="3" t="str">
        <f>IFERROR(__xludf.DUMMYFUNCTION("""COMPUTED_VALUE"""),"182/9 ซอย- ถนนชมสินธุ์ ตำบล หัวหิน อำเภอ หัวหิน จังหวัด ประจวบคีรีขันธ์ 77110")</f>
        <v>182/9 ซอย- ถนนชมสินธุ์ ตำบล หัวหิน อำเภอ หัวหิน จังหวัด ประจวบคีรีขันธ์ 77110</v>
      </c>
      <c r="Y2784" s="3"/>
      <c r="Z2784" s="3">
        <f>IFERROR(__xludf.DUMMYFUNCTION("""COMPUTED_VALUE"""),0.0)</f>
        <v>0</v>
      </c>
      <c r="AA2784" s="3">
        <f>IFERROR(__xludf.DUMMYFUNCTION("""COMPUTED_VALUE"""),0.0)</f>
        <v>0</v>
      </c>
      <c r="AB2784" s="3" t="str">
        <f>IFERROR(__xludf.DUMMYFUNCTION("""COMPUTED_VALUE"""),"ประจวบคีรีขันธ์")</f>
        <v>ประจวบคีรีขันธ์</v>
      </c>
      <c r="AC2784" s="3">
        <f>IFERROR(__xludf.DUMMYFUNCTION("""COMPUTED_VALUE"""),77110.0)</f>
        <v>77110</v>
      </c>
      <c r="AD2784" s="3"/>
      <c r="AE2784" s="3"/>
      <c r="AF2784" s="3" t="str">
        <f>IFERROR(__xludf.DUMMYFUNCTION("""COMPUTED_VALUE"""),"ร้านเย็นใจโดนใจ-83615")</f>
        <v>ร้านเย็นใจโดนใจ-83615</v>
      </c>
      <c r="AG2784" s="3" t="str">
        <f>IFERROR(__xludf.DUMMYFUNCTION("""COMPUTED_VALUE"""),"ตะวันตก")</f>
        <v>ตะวันตก</v>
      </c>
      <c r="AH2784" s="3" t="str">
        <f>IFERROR(__xludf.DUMMYFUNCTION("""COMPUTED_VALUE"""),"#N/A")</f>
        <v>#N/A</v>
      </c>
      <c r="AI2784" s="3" t="str">
        <f>IFERROR(__xludf.DUMMYFUNCTION("""COMPUTED_VALUE"""),"Out of warranty")</f>
        <v>Out of warranty</v>
      </c>
      <c r="AJ2784" s="3">
        <f>IFERROR(__xludf.DUMMYFUNCTION("""COMPUTED_VALUE"""),47.0)</f>
        <v>47</v>
      </c>
      <c r="AK2784" s="3"/>
      <c r="AL2784" s="3"/>
    </row>
    <row r="2785" ht="15.75" customHeight="1">
      <c r="A2785" s="1" t="str">
        <f>IFERROR(__xludf.DUMMYFUNCTION("""COMPUTED_VALUE"""),"83616")</f>
        <v>83616</v>
      </c>
      <c r="B2785" s="2">
        <f>IFERROR(__xludf.DUMMYFUNCTION("""COMPUTED_VALUE"""),83616.0)</f>
        <v>83616</v>
      </c>
      <c r="C2785" s="3" t="str">
        <f>IFERROR(__xludf.DUMMYFUNCTION("""COMPUTED_VALUE"""),"ร้านพูลทรัพย์")</f>
        <v>ร้านพูลทรัพย์</v>
      </c>
      <c r="D2785" s="3" t="str">
        <f>IFERROR(__xludf.DUMMYFUNCTION("""COMPUTED_VALUE"""),"ร้านพูลทรัพย์")</f>
        <v>ร้านพูลทรัพย์</v>
      </c>
      <c r="E2785" s="1" t="str">
        <f>IFERROR(__xludf.DUMMYFUNCTION("""COMPUTED_VALUE"""),"Donjai")</f>
        <v>Donjai</v>
      </c>
      <c r="F2785" s="1" t="str">
        <f>IFERROR(__xludf.DUMMYFUNCTION("""COMPUTED_VALUE"""),"015361")</f>
        <v>015361</v>
      </c>
      <c r="G2785" s="1" t="str">
        <f>IFERROR(__xludf.DUMMYFUNCTION("""COMPUTED_VALUE"""),"นายสมบูรณ์ พรหมในเมือง")</f>
        <v>นายสมบูรณ์ พรหมในเมือง</v>
      </c>
      <c r="H2785" s="1" t="str">
        <f>IFERROR(__xludf.DUMMYFUNCTION("""COMPUTED_VALUE"""),"015361")</f>
        <v>015361</v>
      </c>
      <c r="I2785" s="1" t="str">
        <f>IFERROR(__xludf.DUMMYFUNCTION("""COMPUTED_VALUE"""),"นายสมบูรณ์ พรหมในเมือง")</f>
        <v>นายสมบูรณ์ พรหมในเมือง</v>
      </c>
      <c r="J2785" s="3">
        <f>IFERROR(__xludf.DUMMYFUNCTION("""COMPUTED_VALUE"""),295886.0)</f>
        <v>295886</v>
      </c>
      <c r="K2785" s="3" t="str">
        <f>IFERROR(__xludf.DUMMYFUNCTION("""COMPUTED_VALUE"""),"นายจิระพงษ์ โพธิ์นิล")</f>
        <v>นายจิระพงษ์ โพธิ์นิล</v>
      </c>
      <c r="L2785" s="1" t="str">
        <f>IFERROR(__xludf.DUMMYFUNCTION("""COMPUTED_VALUE"""),"นายจิระพงษ์ โพธิ์นิล")</f>
        <v>นายจิระพงษ์ โพธิ์นิล</v>
      </c>
      <c r="M2785" s="1" t="str">
        <f>IFERROR(__xludf.DUMMYFUNCTION("""COMPUTED_VALUE"""),"0933290754")</f>
        <v>0933290754</v>
      </c>
      <c r="N2785" s="3">
        <f>IFERROR(__xludf.DUMMYFUNCTION("""COMPUTED_VALUE"""),83616.0)</f>
        <v>83616</v>
      </c>
      <c r="O2785" s="3" t="str">
        <f>IFERROR(__xludf.DUMMYFUNCTION("""COMPUTED_VALUE"""),"ร้านพูลทรัพย์")</f>
        <v>ร้านพูลทรัพย์</v>
      </c>
      <c r="P2785" s="4">
        <f>IFERROR(__xludf.DUMMYFUNCTION("""COMPUTED_VALUE"""),44721.0)</f>
        <v>44721</v>
      </c>
      <c r="Q2785" s="3" t="str">
        <f>IFERROR(__xludf.DUMMYFUNCTION("""COMPUTED_VALUE"""),"A")</f>
        <v>A</v>
      </c>
      <c r="R2785" s="3" t="str">
        <f>IFERROR(__xludf.DUMMYFUNCTION("""COMPUTED_VALUE"""),"Small Format")</f>
        <v>Small Format</v>
      </c>
      <c r="S2785" s="3" t="str">
        <f>IFERROR(__xludf.DUMMYFUNCTION("""COMPUTED_VALUE"""),"Donjai")</f>
        <v>Donjai</v>
      </c>
      <c r="T2785" s="3" t="str">
        <f>IFERROR(__xludf.DUMMYFUNCTION("""COMPUTED_VALUE"""),"04 K.Somboon P.")</f>
        <v>04 K.Somboon P.</v>
      </c>
      <c r="U2785" s="3" t="str">
        <f>IFERROR(__xludf.DUMMYFUNCTION("""COMPUTED_VALUE"""),"04 K.Somboon P.")</f>
        <v>04 K.Somboon P.</v>
      </c>
      <c r="V2785" s="3" t="str">
        <f>IFERROR(__xludf.DUMMYFUNCTION("""COMPUTED_VALUE"""),"N")</f>
        <v>N</v>
      </c>
      <c r="W2785" s="3"/>
      <c r="X2785" s="3" t="str">
        <f>IFERROR(__xludf.DUMMYFUNCTION("""COMPUTED_VALUE"""),"184 หมู่9 เขาจันทร์หอม ต.วังกะทะ อ.ปากช่อง จ.นครราชสีมา 30130")</f>
        <v>184 หมู่9 เขาจันทร์หอม ต.วังกะทะ อ.ปากช่อง จ.นครราชสีมา 30130</v>
      </c>
      <c r="Y2785" s="3"/>
      <c r="Z2785" s="3">
        <f>IFERROR(__xludf.DUMMYFUNCTION("""COMPUTED_VALUE"""),0.0)</f>
        <v>0</v>
      </c>
      <c r="AA2785" s="3">
        <f>IFERROR(__xludf.DUMMYFUNCTION("""COMPUTED_VALUE"""),0.0)</f>
        <v>0</v>
      </c>
      <c r="AB2785" s="3" t="str">
        <f>IFERROR(__xludf.DUMMYFUNCTION("""COMPUTED_VALUE"""),"นครราชสีมา")</f>
        <v>นครราชสีมา</v>
      </c>
      <c r="AC2785" s="3">
        <f>IFERROR(__xludf.DUMMYFUNCTION("""COMPUTED_VALUE"""),30130.0)</f>
        <v>30130</v>
      </c>
      <c r="AD2785" s="3"/>
      <c r="AE2785" s="3"/>
      <c r="AF2785" s="3" t="str">
        <f>IFERROR(__xludf.DUMMYFUNCTION("""COMPUTED_VALUE"""),"ร้านพูลทรัพย์-83616")</f>
        <v>ร้านพูลทรัพย์-83616</v>
      </c>
      <c r="AG2785" s="3" t="str">
        <f>IFERROR(__xludf.DUMMYFUNCTION("""COMPUTED_VALUE"""),"ตะวันออกเฉียงเหนือ")</f>
        <v>ตะวันออกเฉียงเหนือ</v>
      </c>
      <c r="AH2785" s="3" t="str">
        <f>IFERROR(__xludf.DUMMYFUNCTION("""COMPUTED_VALUE"""),"#N/A")</f>
        <v>#N/A</v>
      </c>
      <c r="AI2785" s="3" t="str">
        <f>IFERROR(__xludf.DUMMYFUNCTION("""COMPUTED_VALUE"""),"Out of warranty")</f>
        <v>Out of warranty</v>
      </c>
      <c r="AJ2785" s="3">
        <f>IFERROR(__xludf.DUMMYFUNCTION("""COMPUTED_VALUE"""),44.0)</f>
        <v>44</v>
      </c>
      <c r="AK2785" s="3"/>
      <c r="AL2785" s="3"/>
    </row>
    <row r="2786" ht="15.75" customHeight="1">
      <c r="A2786" s="1" t="str">
        <f>IFERROR(__xludf.DUMMYFUNCTION("""COMPUTED_VALUE"""),"83617")</f>
        <v>83617</v>
      </c>
      <c r="B2786" s="2">
        <f>IFERROR(__xludf.DUMMYFUNCTION("""COMPUTED_VALUE"""),83617.0)</f>
        <v>83617</v>
      </c>
      <c r="C2786" s="3" t="str">
        <f>IFERROR(__xludf.DUMMYFUNCTION("""COMPUTED_VALUE"""),"ร้านเจ้ติ๊ก(เจ๊ติ๊ก)")</f>
        <v>ร้านเจ้ติ๊ก(เจ๊ติ๊ก)</v>
      </c>
      <c r="D2786" s="3" t="str">
        <f>IFERROR(__xludf.DUMMYFUNCTION("""COMPUTED_VALUE"""),"ร้านเจ้ติ๊ก(เจ๊ติ๊ก)")</f>
        <v>ร้านเจ้ติ๊ก(เจ๊ติ๊ก)</v>
      </c>
      <c r="E2786" s="1" t="str">
        <f>IFERROR(__xludf.DUMMYFUNCTION("""COMPUTED_VALUE"""),"Donjai")</f>
        <v>Donjai</v>
      </c>
      <c r="F2786" s="1" t="str">
        <f>IFERROR(__xludf.DUMMYFUNCTION("""COMPUTED_VALUE"""),"296945")</f>
        <v>296945</v>
      </c>
      <c r="G2786" s="1" t="str">
        <f>IFERROR(__xludf.DUMMYFUNCTION("""COMPUTED_VALUE"""),"นายรักพงศ์ พงศ์พันธ์งาม")</f>
        <v>นายรักพงศ์ พงศ์พันธ์งาม</v>
      </c>
      <c r="H2786" s="1" t="str">
        <f>IFERROR(__xludf.DUMMYFUNCTION("""COMPUTED_VALUE"""),"296945")</f>
        <v>296945</v>
      </c>
      <c r="I2786" s="1" t="str">
        <f>IFERROR(__xludf.DUMMYFUNCTION("""COMPUTED_VALUE"""),"นายรักพงศ์ พงศ์พันธ์งาม")</f>
        <v>นายรักพงศ์ พงศ์พันธ์งาม</v>
      </c>
      <c r="J2786" s="3">
        <f>IFERROR(__xludf.DUMMYFUNCTION("""COMPUTED_VALUE"""),228031.0)</f>
        <v>228031</v>
      </c>
      <c r="K2786" s="3" t="str">
        <f>IFERROR(__xludf.DUMMYFUNCTION("""COMPUTED_VALUE"""),"นายธนพงษ์ วันหมัด")</f>
        <v>นายธนพงษ์ วันหมัด</v>
      </c>
      <c r="L2786" s="1" t="str">
        <f>IFERROR(__xludf.DUMMYFUNCTION("""COMPUTED_VALUE"""),"นายธนพงษ์ วันหมัด")</f>
        <v>นายธนพงษ์ วันหมัด</v>
      </c>
      <c r="M2786" s="1" t="str">
        <f>IFERROR(__xludf.DUMMYFUNCTION("""COMPUTED_VALUE"""),"0813716913")</f>
        <v>0813716913</v>
      </c>
      <c r="N2786" s="3">
        <f>IFERROR(__xludf.DUMMYFUNCTION("""COMPUTED_VALUE"""),83617.0)</f>
        <v>83617</v>
      </c>
      <c r="O2786" s="3" t="str">
        <f>IFERROR(__xludf.DUMMYFUNCTION("""COMPUTED_VALUE"""),"ร้านเจ้ติ๊ก(เจ๊ติ๊ก)")</f>
        <v>ร้านเจ้ติ๊ก(เจ๊ติ๊ก)</v>
      </c>
      <c r="P2786" s="4">
        <f>IFERROR(__xludf.DUMMYFUNCTION("""COMPUTED_VALUE"""),44630.0)</f>
        <v>44630</v>
      </c>
      <c r="Q2786" s="3" t="str">
        <f>IFERROR(__xludf.DUMMYFUNCTION("""COMPUTED_VALUE"""),"I")</f>
        <v>I</v>
      </c>
      <c r="R2786" s="3" t="str">
        <f>IFERROR(__xludf.DUMMYFUNCTION("""COMPUTED_VALUE"""),"Small Format")</f>
        <v>Small Format</v>
      </c>
      <c r="S2786" s="3" t="str">
        <f>IFERROR(__xludf.DUMMYFUNCTION("""COMPUTED_VALUE"""),"Donjai")</f>
        <v>Donjai</v>
      </c>
      <c r="T2786" s="3">
        <f>IFERROR(__xludf.DUMMYFUNCTION("""COMPUTED_VALUE"""),0.0)</f>
        <v>0</v>
      </c>
      <c r="U2786" s="3">
        <f>IFERROR(__xludf.DUMMYFUNCTION("""COMPUTED_VALUE"""),0.0)</f>
        <v>0</v>
      </c>
      <c r="V2786" s="3" t="str">
        <f>IFERROR(__xludf.DUMMYFUNCTION("""COMPUTED_VALUE"""),"N")</f>
        <v>N</v>
      </c>
      <c r="W2786" s="3"/>
      <c r="X2786" s="3" t="str">
        <f>IFERROR(__xludf.DUMMYFUNCTION("""COMPUTED_VALUE"""),"166/422 หมู่7 ต.ทุ่งสุขลา อ.ศรีราชา จ.ชลบุรี")</f>
        <v>166/422 หมู่7 ต.ทุ่งสุขลา อ.ศรีราชา จ.ชลบุรี</v>
      </c>
      <c r="Y2786" s="3"/>
      <c r="Z2786" s="3">
        <f>IFERROR(__xludf.DUMMYFUNCTION("""COMPUTED_VALUE"""),0.0)</f>
        <v>0</v>
      </c>
      <c r="AA2786" s="3">
        <f>IFERROR(__xludf.DUMMYFUNCTION("""COMPUTED_VALUE"""),0.0)</f>
        <v>0</v>
      </c>
      <c r="AB2786" s="3" t="str">
        <f>IFERROR(__xludf.DUMMYFUNCTION("""COMPUTED_VALUE"""),"ชลบุรี")</f>
        <v>ชลบุรี</v>
      </c>
      <c r="AC2786" s="3">
        <f>IFERROR(__xludf.DUMMYFUNCTION("""COMPUTED_VALUE"""),0.0)</f>
        <v>0</v>
      </c>
      <c r="AD2786" s="3"/>
      <c r="AE2786" s="3"/>
      <c r="AF2786" s="3" t="str">
        <f>IFERROR(__xludf.DUMMYFUNCTION("""COMPUTED_VALUE"""),"ร้านเจ้ติ๊ก(เจ๊ติ๊ก)-83617")</f>
        <v>ร้านเจ้ติ๊ก(เจ๊ติ๊ก)-83617</v>
      </c>
      <c r="AG2786" s="3" t="str">
        <f>IFERROR(__xludf.DUMMYFUNCTION("""COMPUTED_VALUE"""),"ตะวันออก")</f>
        <v>ตะวันออก</v>
      </c>
      <c r="AH2786" s="3" t="str">
        <f>IFERROR(__xludf.DUMMYFUNCTION("""COMPUTED_VALUE"""),"#N/A")</f>
        <v>#N/A</v>
      </c>
      <c r="AI2786" s="3" t="str">
        <f>IFERROR(__xludf.DUMMYFUNCTION("""COMPUTED_VALUE"""),"Out of warranty")</f>
        <v>Out of warranty</v>
      </c>
      <c r="AJ2786" s="3">
        <f>IFERROR(__xludf.DUMMYFUNCTION("""COMPUTED_VALUE"""),47.0)</f>
        <v>47</v>
      </c>
      <c r="AK2786" s="3"/>
      <c r="AL2786" s="3"/>
    </row>
    <row r="2787" ht="15.75" customHeight="1">
      <c r="A2787" s="1" t="str">
        <f>IFERROR(__xludf.DUMMYFUNCTION("""COMPUTED_VALUE"""),"83618")</f>
        <v>83618</v>
      </c>
      <c r="B2787" s="2">
        <f>IFERROR(__xludf.DUMMYFUNCTION("""COMPUTED_VALUE"""),83618.0)</f>
        <v>83618</v>
      </c>
      <c r="C2787" s="3" t="str">
        <f>IFERROR(__xludf.DUMMYFUNCTION("""COMPUTED_VALUE"""),"ร้านฐิติวรดา")</f>
        <v>ร้านฐิติวรดา</v>
      </c>
      <c r="D2787" s="3" t="str">
        <f>IFERROR(__xludf.DUMMYFUNCTION("""COMPUTED_VALUE"""),"ร้านฐิติวรดา")</f>
        <v>ร้านฐิติวรดา</v>
      </c>
      <c r="E2787" s="1" t="str">
        <f>IFERROR(__xludf.DUMMYFUNCTION("""COMPUTED_VALUE"""),"Donjai")</f>
        <v>Donjai</v>
      </c>
      <c r="F2787" s="1" t="str">
        <f>IFERROR(__xludf.DUMMYFUNCTION("""COMPUTED_VALUE"""),"2010016")</f>
        <v>2010016</v>
      </c>
      <c r="G2787" s="1" t="str">
        <f>IFERROR(__xludf.DUMMYFUNCTION("""COMPUTED_VALUE"""),"นายตวงธรรม ใหม่ยศ")</f>
        <v>นายตวงธรรม ใหม่ยศ</v>
      </c>
      <c r="H2787" s="1" t="str">
        <f>IFERROR(__xludf.DUMMYFUNCTION("""COMPUTED_VALUE"""),"2010016")</f>
        <v>2010016</v>
      </c>
      <c r="I2787" s="1" t="str">
        <f>IFERROR(__xludf.DUMMYFUNCTION("""COMPUTED_VALUE"""),"นายตวงธรรม ใหม่ยศ")</f>
        <v>นายตวงธรรม ใหม่ยศ</v>
      </c>
      <c r="J2787" s="3">
        <f>IFERROR(__xludf.DUMMYFUNCTION("""COMPUTED_VALUE"""),295886.0)</f>
        <v>295886</v>
      </c>
      <c r="K2787" s="3" t="str">
        <f>IFERROR(__xludf.DUMMYFUNCTION("""COMPUTED_VALUE"""),"นายจิระพงษ์ โพธิ์นิล")</f>
        <v>นายจิระพงษ์ โพธิ์นิล</v>
      </c>
      <c r="L2787" s="1" t="str">
        <f>IFERROR(__xludf.DUMMYFUNCTION("""COMPUTED_VALUE"""),"นายจิระพงษ์ โพธิ์นิล")</f>
        <v>นายจิระพงษ์ โพธิ์นิล</v>
      </c>
      <c r="M2787" s="1" t="str">
        <f>IFERROR(__xludf.DUMMYFUNCTION("""COMPUTED_VALUE"""),"0933290754")</f>
        <v>0933290754</v>
      </c>
      <c r="N2787" s="3">
        <f>IFERROR(__xludf.DUMMYFUNCTION("""COMPUTED_VALUE"""),83618.0)</f>
        <v>83618</v>
      </c>
      <c r="O2787" s="3" t="str">
        <f>IFERROR(__xludf.DUMMYFUNCTION("""COMPUTED_VALUE"""),"ร้านฐิติวรดา")</f>
        <v>ร้านฐิติวรดา</v>
      </c>
      <c r="P2787" s="4">
        <f>IFERROR(__xludf.DUMMYFUNCTION("""COMPUTED_VALUE"""),44632.0)</f>
        <v>44632</v>
      </c>
      <c r="Q2787" s="3" t="str">
        <f>IFERROR(__xludf.DUMMYFUNCTION("""COMPUTED_VALUE"""),"I")</f>
        <v>I</v>
      </c>
      <c r="R2787" s="3" t="str">
        <f>IFERROR(__xludf.DUMMYFUNCTION("""COMPUTED_VALUE"""),"Small Format")</f>
        <v>Small Format</v>
      </c>
      <c r="S2787" s="3" t="str">
        <f>IFERROR(__xludf.DUMMYFUNCTION("""COMPUTED_VALUE"""),"Donjai")</f>
        <v>Donjai</v>
      </c>
      <c r="T2787" s="3" t="str">
        <f>IFERROR(__xludf.DUMMYFUNCTION("""COMPUTED_VALUE"""),"01 K.Tuangtham M.")</f>
        <v>01 K.Tuangtham M.</v>
      </c>
      <c r="U2787" s="3" t="str">
        <f>IFERROR(__xludf.DUMMYFUNCTION("""COMPUTED_VALUE"""),"01 K.Tuangtham M.")</f>
        <v>01 K.Tuangtham M.</v>
      </c>
      <c r="V2787" s="3" t="str">
        <f>IFERROR(__xludf.DUMMYFUNCTION("""COMPUTED_VALUE"""),"N")</f>
        <v>N</v>
      </c>
      <c r="W2787" s="3"/>
      <c r="X2787" s="3" t="str">
        <f>IFERROR(__xludf.DUMMYFUNCTION("""COMPUTED_VALUE"""),"108 หมู่ 9 ต.สารภี อ.สารภี จ.เชียงใหม่")</f>
        <v>108 หมู่ 9 ต.สารภี อ.สารภี จ.เชียงใหม่</v>
      </c>
      <c r="Y2787" s="3"/>
      <c r="Z2787" s="3" t="str">
        <f>IFERROR(__xludf.DUMMYFUNCTION("""COMPUTED_VALUE"""),"สารภี")</f>
        <v>สารภี</v>
      </c>
      <c r="AA2787" s="3" t="str">
        <f>IFERROR(__xludf.DUMMYFUNCTION("""COMPUTED_VALUE"""),"สารภี")</f>
        <v>สารภี</v>
      </c>
      <c r="AB2787" s="3" t="str">
        <f>IFERROR(__xludf.DUMMYFUNCTION("""COMPUTED_VALUE"""),"เชียงใหม่")</f>
        <v>เชียงใหม่</v>
      </c>
      <c r="AC2787" s="3">
        <f>IFERROR(__xludf.DUMMYFUNCTION("""COMPUTED_VALUE"""),0.0)</f>
        <v>0</v>
      </c>
      <c r="AD2787" s="3"/>
      <c r="AE2787" s="3"/>
      <c r="AF2787" s="3" t="str">
        <f>IFERROR(__xludf.DUMMYFUNCTION("""COMPUTED_VALUE"""),"ร้านฐิติวรดา-83618")</f>
        <v>ร้านฐิติวรดา-83618</v>
      </c>
      <c r="AG2787" s="3" t="str">
        <f>IFERROR(__xludf.DUMMYFUNCTION("""COMPUTED_VALUE"""),"เหนือ")</f>
        <v>เหนือ</v>
      </c>
      <c r="AH2787" s="3" t="str">
        <f>IFERROR(__xludf.DUMMYFUNCTION("""COMPUTED_VALUE"""),"#N/A")</f>
        <v>#N/A</v>
      </c>
      <c r="AI2787" s="3" t="str">
        <f>IFERROR(__xludf.DUMMYFUNCTION("""COMPUTED_VALUE"""),"Out of warranty")</f>
        <v>Out of warranty</v>
      </c>
      <c r="AJ2787" s="3">
        <f>IFERROR(__xludf.DUMMYFUNCTION("""COMPUTED_VALUE"""),47.0)</f>
        <v>47</v>
      </c>
      <c r="AK2787" s="3"/>
      <c r="AL2787" s="3"/>
    </row>
    <row r="2788" ht="15.75" customHeight="1">
      <c r="A2788" s="1" t="str">
        <f>IFERROR(__xludf.DUMMYFUNCTION("""COMPUTED_VALUE"""),"83619")</f>
        <v>83619</v>
      </c>
      <c r="B2788" s="2">
        <f>IFERROR(__xludf.DUMMYFUNCTION("""COMPUTED_VALUE"""),83619.0)</f>
        <v>83619</v>
      </c>
      <c r="C2788" s="3" t="str">
        <f>IFERROR(__xludf.DUMMYFUNCTION("""COMPUTED_VALUE"""),"ร้านวิไลรัตน์")</f>
        <v>ร้านวิไลรัตน์</v>
      </c>
      <c r="D2788" s="3" t="str">
        <f>IFERROR(__xludf.DUMMYFUNCTION("""COMPUTED_VALUE"""),"ร้านวิไลรัตน์")</f>
        <v>ร้านวิไลรัตน์</v>
      </c>
      <c r="E2788" s="1" t="str">
        <f>IFERROR(__xludf.DUMMYFUNCTION("""COMPUTED_VALUE"""),"Donjai")</f>
        <v>Donjai</v>
      </c>
      <c r="F2788" s="1" t="str">
        <f>IFERROR(__xludf.DUMMYFUNCTION("""COMPUTED_VALUE"""),"2010023")</f>
        <v>2010023</v>
      </c>
      <c r="G2788" s="1" t="str">
        <f>IFERROR(__xludf.DUMMYFUNCTION("""COMPUTED_VALUE"""),"นายวศิน ไวยรูป")</f>
        <v>นายวศิน ไวยรูป</v>
      </c>
      <c r="H2788" s="1" t="str">
        <f>IFERROR(__xludf.DUMMYFUNCTION("""COMPUTED_VALUE"""),"2010023")</f>
        <v>2010023</v>
      </c>
      <c r="I2788" s="1" t="str">
        <f>IFERROR(__xludf.DUMMYFUNCTION("""COMPUTED_VALUE"""),"นายวศิน ไวยรูป")</f>
        <v>นายวศิน ไวยรูป</v>
      </c>
      <c r="J2788" s="3">
        <f>IFERROR(__xludf.DUMMYFUNCTION("""COMPUTED_VALUE"""),228031.0)</f>
        <v>228031</v>
      </c>
      <c r="K2788" s="3" t="str">
        <f>IFERROR(__xludf.DUMMYFUNCTION("""COMPUTED_VALUE"""),"นายธนพงษ์ วันหมัด")</f>
        <v>นายธนพงษ์ วันหมัด</v>
      </c>
      <c r="L2788" s="1" t="str">
        <f>IFERROR(__xludf.DUMMYFUNCTION("""COMPUTED_VALUE"""),"นายธนพงษ์ วันหมัด")</f>
        <v>นายธนพงษ์ วันหมัด</v>
      </c>
      <c r="M2788" s="1" t="str">
        <f>IFERROR(__xludf.DUMMYFUNCTION("""COMPUTED_VALUE"""),"0813716913")</f>
        <v>0813716913</v>
      </c>
      <c r="N2788" s="3">
        <f>IFERROR(__xludf.DUMMYFUNCTION("""COMPUTED_VALUE"""),83619.0)</f>
        <v>83619</v>
      </c>
      <c r="O2788" s="3" t="str">
        <f>IFERROR(__xludf.DUMMYFUNCTION("""COMPUTED_VALUE"""),"ร้านวิไลรัตน์")</f>
        <v>ร้านวิไลรัตน์</v>
      </c>
      <c r="P2788" s="4">
        <f>IFERROR(__xludf.DUMMYFUNCTION("""COMPUTED_VALUE"""),44635.0)</f>
        <v>44635</v>
      </c>
      <c r="Q2788" s="3" t="str">
        <f>IFERROR(__xludf.DUMMYFUNCTION("""COMPUTED_VALUE"""),"I")</f>
        <v>I</v>
      </c>
      <c r="R2788" s="3" t="str">
        <f>IFERROR(__xludf.DUMMYFUNCTION("""COMPUTED_VALUE"""),"Small Format")</f>
        <v>Small Format</v>
      </c>
      <c r="S2788" s="3" t="str">
        <f>IFERROR(__xludf.DUMMYFUNCTION("""COMPUTED_VALUE"""),"Donjai")</f>
        <v>Donjai</v>
      </c>
      <c r="T2788" s="3" t="str">
        <f>IFERROR(__xludf.DUMMYFUNCTION("""COMPUTED_VALUE"""),"Donjai")</f>
        <v>Donjai</v>
      </c>
      <c r="U2788" s="3" t="str">
        <f>IFERROR(__xludf.DUMMYFUNCTION("""COMPUTED_VALUE"""),"Donjai")</f>
        <v>Donjai</v>
      </c>
      <c r="V2788" s="3" t="str">
        <f>IFERROR(__xludf.DUMMYFUNCTION("""COMPUTED_VALUE"""),"N")</f>
        <v>N</v>
      </c>
      <c r="W2788" s="3"/>
      <c r="X2788" s="3" t="str">
        <f>IFERROR(__xludf.DUMMYFUNCTION("""COMPUTED_VALUE"""),"41/2 หมู่ 5 ต.บ้านคลัง อ.บางบาล จ.พระนครศรีอยุธยา")</f>
        <v>41/2 หมู่ 5 ต.บ้านคลัง อ.บางบาล จ.พระนครศรีอยุธยา</v>
      </c>
      <c r="Y2788" s="3"/>
      <c r="Z2788" s="3">
        <f>IFERROR(__xludf.DUMMYFUNCTION("""COMPUTED_VALUE"""),0.0)</f>
        <v>0</v>
      </c>
      <c r="AA2788" s="3">
        <f>IFERROR(__xludf.DUMMYFUNCTION("""COMPUTED_VALUE"""),0.0)</f>
        <v>0</v>
      </c>
      <c r="AB2788" s="3" t="str">
        <f>IFERROR(__xludf.DUMMYFUNCTION("""COMPUTED_VALUE"""),"พระนครศรีอยุธยา")</f>
        <v>พระนครศรีอยุธยา</v>
      </c>
      <c r="AC2788" s="3">
        <f>IFERROR(__xludf.DUMMYFUNCTION("""COMPUTED_VALUE"""),0.0)</f>
        <v>0</v>
      </c>
      <c r="AD2788" s="3"/>
      <c r="AE2788" s="3"/>
      <c r="AF2788" s="3" t="str">
        <f>IFERROR(__xludf.DUMMYFUNCTION("""COMPUTED_VALUE"""),"ร้านวิไลรัตน์-83619")</f>
        <v>ร้านวิไลรัตน์-83619</v>
      </c>
      <c r="AG2788" s="3" t="str">
        <f>IFERROR(__xludf.DUMMYFUNCTION("""COMPUTED_VALUE"""),"กลาง")</f>
        <v>กลาง</v>
      </c>
      <c r="AH2788" s="3" t="str">
        <f>IFERROR(__xludf.DUMMYFUNCTION("""COMPUTED_VALUE"""),"#N/A")</f>
        <v>#N/A</v>
      </c>
      <c r="AI2788" s="3" t="str">
        <f>IFERROR(__xludf.DUMMYFUNCTION("""COMPUTED_VALUE"""),"Out of warranty")</f>
        <v>Out of warranty</v>
      </c>
      <c r="AJ2788" s="3">
        <f>IFERROR(__xludf.DUMMYFUNCTION("""COMPUTED_VALUE"""),47.0)</f>
        <v>47</v>
      </c>
      <c r="AK2788" s="3"/>
      <c r="AL2788" s="3"/>
    </row>
    <row r="2789" ht="15.75" customHeight="1">
      <c r="A2789" s="1" t="str">
        <f>IFERROR(__xludf.DUMMYFUNCTION("""COMPUTED_VALUE"""),"83620")</f>
        <v>83620</v>
      </c>
      <c r="B2789" s="2">
        <f>IFERROR(__xludf.DUMMYFUNCTION("""COMPUTED_VALUE"""),83620.0)</f>
        <v>83620</v>
      </c>
      <c r="C2789" s="3" t="str">
        <f>IFERROR(__xludf.DUMMYFUNCTION("""COMPUTED_VALUE"""),"แบมิง มินิมาร์ท")</f>
        <v>แบมิง มินิมาร์ท</v>
      </c>
      <c r="D2789" s="3" t="str">
        <f>IFERROR(__xludf.DUMMYFUNCTION("""COMPUTED_VALUE"""),"แบมิง มินิมาร์ท")</f>
        <v>แบมิง มินิมาร์ท</v>
      </c>
      <c r="E2789" s="1" t="str">
        <f>IFERROR(__xludf.DUMMYFUNCTION("""COMPUTED_VALUE"""),"Donjai")</f>
        <v>Donjai</v>
      </c>
      <c r="F2789" s="1" t="str">
        <f>IFERROR(__xludf.DUMMYFUNCTION("""COMPUTED_VALUE"""),"20470331")</f>
        <v>20470331</v>
      </c>
      <c r="G2789" s="1" t="str">
        <f>IFERROR(__xludf.DUMMYFUNCTION("""COMPUTED_VALUE"""),"นายสมชาย ลักษณะสุวรรณ")</f>
        <v>นายสมชาย ลักษณะสุวรรณ</v>
      </c>
      <c r="H2789" s="1" t="str">
        <f>IFERROR(__xludf.DUMMYFUNCTION("""COMPUTED_VALUE"""),"20470331")</f>
        <v>20470331</v>
      </c>
      <c r="I2789" s="1" t="str">
        <f>IFERROR(__xludf.DUMMYFUNCTION("""COMPUTED_VALUE"""),"นายสมชาย ลักษณะสุวรรณ")</f>
        <v>นายสมชาย ลักษณะสุวรรณ</v>
      </c>
      <c r="J2789" s="3">
        <f>IFERROR(__xludf.DUMMYFUNCTION("""COMPUTED_VALUE"""),295541.0)</f>
        <v>295541</v>
      </c>
      <c r="K2789" s="3" t="str">
        <f>IFERROR(__xludf.DUMMYFUNCTION("""COMPUTED_VALUE"""),"นายรพิพล ศรีมาตย์")</f>
        <v>นายรพิพล ศรีมาตย์</v>
      </c>
      <c r="L2789" s="1" t="str">
        <f>IFERROR(__xludf.DUMMYFUNCTION("""COMPUTED_VALUE"""),"นายรพิพล ศรีมาตย์")</f>
        <v>นายรพิพล ศรีมาตย์</v>
      </c>
      <c r="M2789" s="1" t="str">
        <f>IFERROR(__xludf.DUMMYFUNCTION("""COMPUTED_VALUE"""),"0613966115")</f>
        <v>0613966115</v>
      </c>
      <c r="N2789" s="3">
        <f>IFERROR(__xludf.DUMMYFUNCTION("""COMPUTED_VALUE"""),83620.0)</f>
        <v>83620</v>
      </c>
      <c r="O2789" s="3" t="str">
        <f>IFERROR(__xludf.DUMMYFUNCTION("""COMPUTED_VALUE"""),"แบมิง มินิมาร์ท")</f>
        <v>แบมิง มินิมาร์ท</v>
      </c>
      <c r="P2789" s="4">
        <f>IFERROR(__xludf.DUMMYFUNCTION("""COMPUTED_VALUE"""),44625.0)</f>
        <v>44625</v>
      </c>
      <c r="Q2789" s="3" t="str">
        <f>IFERROR(__xludf.DUMMYFUNCTION("""COMPUTED_VALUE"""),"A")</f>
        <v>A</v>
      </c>
      <c r="R2789" s="3" t="str">
        <f>IFERROR(__xludf.DUMMYFUNCTION("""COMPUTED_VALUE"""),"Small Format")</f>
        <v>Small Format</v>
      </c>
      <c r="S2789" s="3" t="str">
        <f>IFERROR(__xludf.DUMMYFUNCTION("""COMPUTED_VALUE"""),"Donjai")</f>
        <v>Donjai</v>
      </c>
      <c r="T2789" s="3" t="str">
        <f>IFERROR(__xludf.DUMMYFUNCTION("""COMPUTED_VALUE"""),"15 K.Somchai L")</f>
        <v>15 K.Somchai L</v>
      </c>
      <c r="U2789" s="3" t="str">
        <f>IFERROR(__xludf.DUMMYFUNCTION("""COMPUTED_VALUE"""),"15 K.Somchai L")</f>
        <v>15 K.Somchai L</v>
      </c>
      <c r="V2789" s="3" t="str">
        <f>IFERROR(__xludf.DUMMYFUNCTION("""COMPUTED_VALUE"""),"N")</f>
        <v>N</v>
      </c>
      <c r="W2789" s="3"/>
      <c r="X2789" s="3" t="str">
        <f>IFERROR(__xludf.DUMMYFUNCTION("""COMPUTED_VALUE"""),"28/1 ม.3 ต.สาบัน อ.ยะหริ่ง จ.ปัตตานี")</f>
        <v>28/1 ม.3 ต.สาบัน อ.ยะหริ่ง จ.ปัตตานี</v>
      </c>
      <c r="Y2789" s="3"/>
      <c r="Z2789" s="3">
        <f>IFERROR(__xludf.DUMMYFUNCTION("""COMPUTED_VALUE"""),0.0)</f>
        <v>0</v>
      </c>
      <c r="AA2789" s="3">
        <f>IFERROR(__xludf.DUMMYFUNCTION("""COMPUTED_VALUE"""),0.0)</f>
        <v>0</v>
      </c>
      <c r="AB2789" s="3" t="str">
        <f>IFERROR(__xludf.DUMMYFUNCTION("""COMPUTED_VALUE"""),"ปัตตานี")</f>
        <v>ปัตตานี</v>
      </c>
      <c r="AC2789" s="3">
        <f>IFERROR(__xludf.DUMMYFUNCTION("""COMPUTED_VALUE"""),0.0)</f>
        <v>0</v>
      </c>
      <c r="AD2789" s="3"/>
      <c r="AE2789" s="3"/>
      <c r="AF2789" s="3" t="str">
        <f>IFERROR(__xludf.DUMMYFUNCTION("""COMPUTED_VALUE"""),"แบมิง มินิมาร์ท-83620")</f>
        <v>แบมิง มินิมาร์ท-83620</v>
      </c>
      <c r="AG2789" s="3" t="str">
        <f>IFERROR(__xludf.DUMMYFUNCTION("""COMPUTED_VALUE"""),"ใต้")</f>
        <v>ใต้</v>
      </c>
      <c r="AH2789" s="3" t="str">
        <f>IFERROR(__xludf.DUMMYFUNCTION("""COMPUTED_VALUE"""),"#N/A")</f>
        <v>#N/A</v>
      </c>
      <c r="AI2789" s="3" t="str">
        <f>IFERROR(__xludf.DUMMYFUNCTION("""COMPUTED_VALUE"""),"Out of warranty")</f>
        <v>Out of warranty</v>
      </c>
      <c r="AJ2789" s="3">
        <f>IFERROR(__xludf.DUMMYFUNCTION("""COMPUTED_VALUE"""),47.0)</f>
        <v>47</v>
      </c>
      <c r="AK2789" s="3"/>
      <c r="AL2789" s="3"/>
    </row>
    <row r="2790" ht="15.75" customHeight="1">
      <c r="A2790" s="1" t="str">
        <f>IFERROR(__xludf.DUMMYFUNCTION("""COMPUTED_VALUE"""),"83622")</f>
        <v>83622</v>
      </c>
      <c r="B2790" s="2">
        <f>IFERROR(__xludf.DUMMYFUNCTION("""COMPUTED_VALUE"""),83622.0)</f>
        <v>83622</v>
      </c>
      <c r="C2790" s="3" t="str">
        <f>IFERROR(__xludf.DUMMYFUNCTION("""COMPUTED_VALUE"""),"เพ็ญศรีทวีทรัพย์")</f>
        <v>เพ็ญศรีทวีทรัพย์</v>
      </c>
      <c r="D2790" s="3" t="str">
        <f>IFERROR(__xludf.DUMMYFUNCTION("""COMPUTED_VALUE"""),"เพ็ญศรีทวีทรัพย์")</f>
        <v>เพ็ญศรีทวีทรัพย์</v>
      </c>
      <c r="E2790" s="1" t="str">
        <f>IFERROR(__xludf.DUMMYFUNCTION("""COMPUTED_VALUE"""),"Donjai")</f>
        <v>Donjai</v>
      </c>
      <c r="F2790" s="1" t="str">
        <f>IFERROR(__xludf.DUMMYFUNCTION("""COMPUTED_VALUE"""),"015361")</f>
        <v>015361</v>
      </c>
      <c r="G2790" s="1" t="str">
        <f>IFERROR(__xludf.DUMMYFUNCTION("""COMPUTED_VALUE"""),"นายสมบูรณ์ พรหมในเมือง")</f>
        <v>นายสมบูรณ์ พรหมในเมือง</v>
      </c>
      <c r="H2790" s="1" t="str">
        <f>IFERROR(__xludf.DUMMYFUNCTION("""COMPUTED_VALUE"""),"015361")</f>
        <v>015361</v>
      </c>
      <c r="I2790" s="1" t="str">
        <f>IFERROR(__xludf.DUMMYFUNCTION("""COMPUTED_VALUE"""),"นายสมบูรณ์ พรหมในเมือง")</f>
        <v>นายสมบูรณ์ พรหมในเมือง</v>
      </c>
      <c r="J2790" s="3">
        <f>IFERROR(__xludf.DUMMYFUNCTION("""COMPUTED_VALUE"""),295886.0)</f>
        <v>295886</v>
      </c>
      <c r="K2790" s="3" t="str">
        <f>IFERROR(__xludf.DUMMYFUNCTION("""COMPUTED_VALUE"""),"นายจิระพงษ์ โพธิ์นิล")</f>
        <v>นายจิระพงษ์ โพธิ์นิล</v>
      </c>
      <c r="L2790" s="1" t="str">
        <f>IFERROR(__xludf.DUMMYFUNCTION("""COMPUTED_VALUE"""),"นายจิระพงษ์ โพธิ์นิล")</f>
        <v>นายจิระพงษ์ โพธิ์นิล</v>
      </c>
      <c r="M2790" s="1" t="str">
        <f>IFERROR(__xludf.DUMMYFUNCTION("""COMPUTED_VALUE"""),"0933290754")</f>
        <v>0933290754</v>
      </c>
      <c r="N2790" s="3">
        <f>IFERROR(__xludf.DUMMYFUNCTION("""COMPUTED_VALUE"""),83622.0)</f>
        <v>83622</v>
      </c>
      <c r="O2790" s="3" t="str">
        <f>IFERROR(__xludf.DUMMYFUNCTION("""COMPUTED_VALUE"""),"เพ็ญศรีทวีทรัพย์")</f>
        <v>เพ็ญศรีทวีทรัพย์</v>
      </c>
      <c r="P2790" s="4">
        <f>IFERROR(__xludf.DUMMYFUNCTION("""COMPUTED_VALUE"""),44631.0)</f>
        <v>44631</v>
      </c>
      <c r="Q2790" s="3" t="str">
        <f>IFERROR(__xludf.DUMMYFUNCTION("""COMPUTED_VALUE"""),"A")</f>
        <v>A</v>
      </c>
      <c r="R2790" s="3" t="str">
        <f>IFERROR(__xludf.DUMMYFUNCTION("""COMPUTED_VALUE"""),"Small Format")</f>
        <v>Small Format</v>
      </c>
      <c r="S2790" s="3" t="str">
        <f>IFERROR(__xludf.DUMMYFUNCTION("""COMPUTED_VALUE"""),"Donjai")</f>
        <v>Donjai</v>
      </c>
      <c r="T2790" s="3" t="str">
        <f>IFERROR(__xludf.DUMMYFUNCTION("""COMPUTED_VALUE"""),"04 K.Somboon P.")</f>
        <v>04 K.Somboon P.</v>
      </c>
      <c r="U2790" s="3" t="str">
        <f>IFERROR(__xludf.DUMMYFUNCTION("""COMPUTED_VALUE"""),"04 K.Somboon P.")</f>
        <v>04 K.Somboon P.</v>
      </c>
      <c r="V2790" s="3" t="str">
        <f>IFERROR(__xludf.DUMMYFUNCTION("""COMPUTED_VALUE"""),"N")</f>
        <v>N</v>
      </c>
      <c r="W2790" s="3"/>
      <c r="X2790" s="3" t="str">
        <f>IFERROR(__xludf.DUMMYFUNCTION("""COMPUTED_VALUE"""),"บ้านใหม่ห้วยกนทา ต.คูเมือง อ.หนองบัวแดง จ.ชัยภูมิ")</f>
        <v>บ้านใหม่ห้วยกนทา ต.คูเมือง อ.หนองบัวแดง จ.ชัยภูมิ</v>
      </c>
      <c r="Y2790" s="3"/>
      <c r="Z2790" s="3">
        <f>IFERROR(__xludf.DUMMYFUNCTION("""COMPUTED_VALUE"""),0.0)</f>
        <v>0</v>
      </c>
      <c r="AA2790" s="3">
        <f>IFERROR(__xludf.DUMMYFUNCTION("""COMPUTED_VALUE"""),0.0)</f>
        <v>0</v>
      </c>
      <c r="AB2790" s="3" t="str">
        <f>IFERROR(__xludf.DUMMYFUNCTION("""COMPUTED_VALUE"""),"ชัยภูมิ")</f>
        <v>ชัยภูมิ</v>
      </c>
      <c r="AC2790" s="3">
        <f>IFERROR(__xludf.DUMMYFUNCTION("""COMPUTED_VALUE"""),0.0)</f>
        <v>0</v>
      </c>
      <c r="AD2790" s="3"/>
      <c r="AE2790" s="3"/>
      <c r="AF2790" s="3" t="str">
        <f>IFERROR(__xludf.DUMMYFUNCTION("""COMPUTED_VALUE"""),"เพ็ญศรีทวีทรัพย์-83622")</f>
        <v>เพ็ญศรีทวีทรัพย์-83622</v>
      </c>
      <c r="AG2790" s="3" t="str">
        <f>IFERROR(__xludf.DUMMYFUNCTION("""COMPUTED_VALUE"""),"ตะวันออกเฉียงเหนือ")</f>
        <v>ตะวันออกเฉียงเหนือ</v>
      </c>
      <c r="AH2790" s="3" t="str">
        <f>IFERROR(__xludf.DUMMYFUNCTION("""COMPUTED_VALUE"""),"#N/A")</f>
        <v>#N/A</v>
      </c>
      <c r="AI2790" s="3" t="str">
        <f>IFERROR(__xludf.DUMMYFUNCTION("""COMPUTED_VALUE"""),"Out of warranty")</f>
        <v>Out of warranty</v>
      </c>
      <c r="AJ2790" s="3">
        <f>IFERROR(__xludf.DUMMYFUNCTION("""COMPUTED_VALUE"""),47.0)</f>
        <v>47</v>
      </c>
      <c r="AK2790" s="3"/>
      <c r="AL2790" s="3"/>
    </row>
    <row r="2791" ht="15.75" customHeight="1">
      <c r="A2791" s="1" t="str">
        <f>IFERROR(__xludf.DUMMYFUNCTION("""COMPUTED_VALUE"""),"83623")</f>
        <v>83623</v>
      </c>
      <c r="B2791" s="2">
        <f>IFERROR(__xludf.DUMMYFUNCTION("""COMPUTED_VALUE"""),83623.0)</f>
        <v>83623</v>
      </c>
      <c r="C2791" s="3" t="str">
        <f>IFERROR(__xludf.DUMMYFUNCTION("""COMPUTED_VALUE"""),"ร้านเดลี่มาร์ท (หน้า ม.อุบล) (คุณรัก)")</f>
        <v>ร้านเดลี่มาร์ท (หน้า ม.อุบล) (คุณรัก)</v>
      </c>
      <c r="D2791" s="3" t="str">
        <f>IFERROR(__xludf.DUMMYFUNCTION("""COMPUTED_VALUE"""),"ร้านเดลี่มาร์ท (หน้า ม.อุบล) (คุณรัก)")</f>
        <v>ร้านเดลี่มาร์ท (หน้า ม.อุบล) (คุณรัก)</v>
      </c>
      <c r="E2791" s="1" t="str">
        <f>IFERROR(__xludf.DUMMYFUNCTION("""COMPUTED_VALUE"""),"Donjai")</f>
        <v>Donjai</v>
      </c>
      <c r="F2791" s="1" t="str">
        <f>IFERROR(__xludf.DUMMYFUNCTION("""COMPUTED_VALUE"""),"015361")</f>
        <v>015361</v>
      </c>
      <c r="G2791" s="1" t="str">
        <f>IFERROR(__xludf.DUMMYFUNCTION("""COMPUTED_VALUE"""),"นายสมบูรณ์ พรหมในเมือง")</f>
        <v>นายสมบูรณ์ พรหมในเมือง</v>
      </c>
      <c r="H2791" s="1" t="str">
        <f>IFERROR(__xludf.DUMMYFUNCTION("""COMPUTED_VALUE"""),"015361")</f>
        <v>015361</v>
      </c>
      <c r="I2791" s="1" t="str">
        <f>IFERROR(__xludf.DUMMYFUNCTION("""COMPUTED_VALUE"""),"นายสมบูรณ์ พรหมในเมือง")</f>
        <v>นายสมบูรณ์ พรหมในเมือง</v>
      </c>
      <c r="J2791" s="3">
        <f>IFERROR(__xludf.DUMMYFUNCTION("""COMPUTED_VALUE"""),295886.0)</f>
        <v>295886</v>
      </c>
      <c r="K2791" s="3" t="str">
        <f>IFERROR(__xludf.DUMMYFUNCTION("""COMPUTED_VALUE"""),"นายจิระพงษ์ โพธิ์นิล")</f>
        <v>นายจิระพงษ์ โพธิ์นิล</v>
      </c>
      <c r="L2791" s="1" t="str">
        <f>IFERROR(__xludf.DUMMYFUNCTION("""COMPUTED_VALUE"""),"นายจิระพงษ์ โพธิ์นิล")</f>
        <v>นายจิระพงษ์ โพธิ์นิล</v>
      </c>
      <c r="M2791" s="1" t="str">
        <f>IFERROR(__xludf.DUMMYFUNCTION("""COMPUTED_VALUE"""),"0933290754")</f>
        <v>0933290754</v>
      </c>
      <c r="N2791" s="3">
        <f>IFERROR(__xludf.DUMMYFUNCTION("""COMPUTED_VALUE"""),83623.0)</f>
        <v>83623</v>
      </c>
      <c r="O2791" s="3" t="str">
        <f>IFERROR(__xludf.DUMMYFUNCTION("""COMPUTED_VALUE"""),"ร้านเดลี่มาร์ท (หน้า ม.อุบล) (คุณรัก)")</f>
        <v>ร้านเดลี่มาร์ท (หน้า ม.อุบล) (คุณรัก)</v>
      </c>
      <c r="P2791" s="4">
        <f>IFERROR(__xludf.DUMMYFUNCTION("""COMPUTED_VALUE"""),44629.0)</f>
        <v>44629</v>
      </c>
      <c r="Q2791" s="3" t="str">
        <f>IFERROR(__xludf.DUMMYFUNCTION("""COMPUTED_VALUE"""),"I")</f>
        <v>I</v>
      </c>
      <c r="R2791" s="3" t="str">
        <f>IFERROR(__xludf.DUMMYFUNCTION("""COMPUTED_VALUE"""),"Small Format")</f>
        <v>Small Format</v>
      </c>
      <c r="S2791" s="3" t="str">
        <f>IFERROR(__xludf.DUMMYFUNCTION("""COMPUTED_VALUE"""),"Donjai")</f>
        <v>Donjai</v>
      </c>
      <c r="T2791" s="3" t="str">
        <f>IFERROR(__xludf.DUMMYFUNCTION("""COMPUTED_VALUE"""),"04 K.Somboon P.")</f>
        <v>04 K.Somboon P.</v>
      </c>
      <c r="U2791" s="3" t="str">
        <f>IFERROR(__xludf.DUMMYFUNCTION("""COMPUTED_VALUE"""),"04 K.Somboon P.")</f>
        <v>04 K.Somboon P.</v>
      </c>
      <c r="V2791" s="3" t="str">
        <f>IFERROR(__xludf.DUMMYFUNCTION("""COMPUTED_VALUE"""),"N")</f>
        <v>N</v>
      </c>
      <c r="W2791" s="3"/>
      <c r="X2791" s="3" t="str">
        <f>IFERROR(__xludf.DUMMYFUNCTION("""COMPUTED_VALUE"""),"เลขที่ 116 ถ.พโลชัย ต.ในเมือง อ.เมือง จ.อุบลราชธานี 34000")</f>
        <v>เลขที่ 116 ถ.พโลชัย ต.ในเมือง อ.เมือง จ.อุบลราชธานี 34000</v>
      </c>
      <c r="Y2791" s="3"/>
      <c r="Z2791" s="3">
        <f>IFERROR(__xludf.DUMMYFUNCTION("""COMPUTED_VALUE"""),0.0)</f>
        <v>0</v>
      </c>
      <c r="AA2791" s="3">
        <f>IFERROR(__xludf.DUMMYFUNCTION("""COMPUTED_VALUE"""),0.0)</f>
        <v>0</v>
      </c>
      <c r="AB2791" s="3" t="str">
        <f>IFERROR(__xludf.DUMMYFUNCTION("""COMPUTED_VALUE"""),"อุบลราชธานี")</f>
        <v>อุบลราชธานี</v>
      </c>
      <c r="AC2791" s="3">
        <f>IFERROR(__xludf.DUMMYFUNCTION("""COMPUTED_VALUE"""),34000.0)</f>
        <v>34000</v>
      </c>
      <c r="AD2791" s="3"/>
      <c r="AE2791" s="3"/>
      <c r="AF2791" s="3" t="str">
        <f>IFERROR(__xludf.DUMMYFUNCTION("""COMPUTED_VALUE"""),"ร้านเดลี่มาร์ท (หน้า ม.อุบล) (คุณรัก)-83623")</f>
        <v>ร้านเดลี่มาร์ท (หน้า ม.อุบล) (คุณรัก)-83623</v>
      </c>
      <c r="AG2791" s="3" t="str">
        <f>IFERROR(__xludf.DUMMYFUNCTION("""COMPUTED_VALUE"""),"ตะวันออกเฉียงเหนือ")</f>
        <v>ตะวันออกเฉียงเหนือ</v>
      </c>
      <c r="AH2791" s="3" t="str">
        <f>IFERROR(__xludf.DUMMYFUNCTION("""COMPUTED_VALUE"""),"#N/A")</f>
        <v>#N/A</v>
      </c>
      <c r="AI2791" s="3" t="str">
        <f>IFERROR(__xludf.DUMMYFUNCTION("""COMPUTED_VALUE"""),"Out of warranty")</f>
        <v>Out of warranty</v>
      </c>
      <c r="AJ2791" s="3">
        <f>IFERROR(__xludf.DUMMYFUNCTION("""COMPUTED_VALUE"""),47.0)</f>
        <v>47</v>
      </c>
      <c r="AK2791" s="3"/>
      <c r="AL2791" s="3"/>
    </row>
    <row r="2792" ht="15.75" customHeight="1">
      <c r="A2792" s="1" t="str">
        <f>IFERROR(__xludf.DUMMYFUNCTION("""COMPUTED_VALUE"""),"83624")</f>
        <v>83624</v>
      </c>
      <c r="B2792" s="2">
        <f>IFERROR(__xludf.DUMMYFUNCTION("""COMPUTED_VALUE"""),83624.0)</f>
        <v>83624</v>
      </c>
      <c r="C2792" s="3" t="str">
        <f>IFERROR(__xludf.DUMMYFUNCTION("""COMPUTED_VALUE"""),"ร้านชัยพานิช (ชัยพาณิชย์)")</f>
        <v>ร้านชัยพานิช (ชัยพาณิชย์)</v>
      </c>
      <c r="D2792" s="3" t="str">
        <f>IFERROR(__xludf.DUMMYFUNCTION("""COMPUTED_VALUE"""),"ร้านชัยพานิช (ชัยพาณิชย์)")</f>
        <v>ร้านชัยพานิช (ชัยพาณิชย์)</v>
      </c>
      <c r="E2792" s="1" t="str">
        <f>IFERROR(__xludf.DUMMYFUNCTION("""COMPUTED_VALUE"""),"Donjai")</f>
        <v>Donjai</v>
      </c>
      <c r="F2792" s="1" t="str">
        <f>IFERROR(__xludf.DUMMYFUNCTION("""COMPUTED_VALUE"""),"046214")</f>
        <v>046214</v>
      </c>
      <c r="G2792" s="1" t="str">
        <f>IFERROR(__xludf.DUMMYFUNCTION("""COMPUTED_VALUE"""),"นายศักดิ์ชัย เด็ดดอกฟ้า")</f>
        <v>นายศักดิ์ชัย เด็ดดอกฟ้า</v>
      </c>
      <c r="H2792" s="1" t="str">
        <f>IFERROR(__xludf.DUMMYFUNCTION("""COMPUTED_VALUE"""),"046214")</f>
        <v>046214</v>
      </c>
      <c r="I2792" s="1" t="str">
        <f>IFERROR(__xludf.DUMMYFUNCTION("""COMPUTED_VALUE"""),"นายศักดิ์ชัย เด็ดดอกฟ้า")</f>
        <v>นายศักดิ์ชัย เด็ดดอกฟ้า</v>
      </c>
      <c r="J2792" s="3">
        <f>IFERROR(__xludf.DUMMYFUNCTION("""COMPUTED_VALUE"""),295886.0)</f>
        <v>295886</v>
      </c>
      <c r="K2792" s="3" t="str">
        <f>IFERROR(__xludf.DUMMYFUNCTION("""COMPUTED_VALUE"""),"นายจิระพงษ์ โพธิ์นิล")</f>
        <v>นายจิระพงษ์ โพธิ์นิล</v>
      </c>
      <c r="L2792" s="1" t="str">
        <f>IFERROR(__xludf.DUMMYFUNCTION("""COMPUTED_VALUE"""),"นายจิระพงษ์ โพธิ์นิล")</f>
        <v>นายจิระพงษ์ โพธิ์นิล</v>
      </c>
      <c r="M2792" s="1" t="str">
        <f>IFERROR(__xludf.DUMMYFUNCTION("""COMPUTED_VALUE"""),"0933290754")</f>
        <v>0933290754</v>
      </c>
      <c r="N2792" s="3">
        <f>IFERROR(__xludf.DUMMYFUNCTION("""COMPUTED_VALUE"""),83624.0)</f>
        <v>83624</v>
      </c>
      <c r="O2792" s="3" t="str">
        <f>IFERROR(__xludf.DUMMYFUNCTION("""COMPUTED_VALUE"""),"ร้านชัยพานิช (ชัยพาณิชย์)")</f>
        <v>ร้านชัยพานิช (ชัยพาณิชย์)</v>
      </c>
      <c r="P2792" s="4">
        <f>IFERROR(__xludf.DUMMYFUNCTION("""COMPUTED_VALUE"""),44644.0)</f>
        <v>44644</v>
      </c>
      <c r="Q2792" s="3" t="str">
        <f>IFERROR(__xludf.DUMMYFUNCTION("""COMPUTED_VALUE"""),"A")</f>
        <v>A</v>
      </c>
      <c r="R2792" s="3" t="str">
        <f>IFERROR(__xludf.DUMMYFUNCTION("""COMPUTED_VALUE"""),"Small Format")</f>
        <v>Small Format</v>
      </c>
      <c r="S2792" s="3" t="str">
        <f>IFERROR(__xludf.DUMMYFUNCTION("""COMPUTED_VALUE"""),"Donjai")</f>
        <v>Donjai</v>
      </c>
      <c r="T2792" s="3" t="str">
        <f>IFERROR(__xludf.DUMMYFUNCTION("""COMPUTED_VALUE"""),"02 K.Sakchai D")</f>
        <v>02 K.Sakchai D</v>
      </c>
      <c r="U2792" s="3" t="str">
        <f>IFERROR(__xludf.DUMMYFUNCTION("""COMPUTED_VALUE"""),"02 K.Sakchai D")</f>
        <v>02 K.Sakchai D</v>
      </c>
      <c r="V2792" s="3" t="str">
        <f>IFERROR(__xludf.DUMMYFUNCTION("""COMPUTED_VALUE"""),"N")</f>
        <v>N</v>
      </c>
      <c r="W2792" s="3"/>
      <c r="X2792" s="3" t="str">
        <f>IFERROR(__xludf.DUMMYFUNCTION("""COMPUTED_VALUE"""),"เลขที่33/1 หมู่ที่3 ต.เขาน้อย อ.ลำสนธิ จ.ลพบุรี")</f>
        <v>เลขที่33/1 หมู่ที่3 ต.เขาน้อย อ.ลำสนธิ จ.ลพบุรี</v>
      </c>
      <c r="Y2792" s="3"/>
      <c r="Z2792" s="3">
        <f>IFERROR(__xludf.DUMMYFUNCTION("""COMPUTED_VALUE"""),0.0)</f>
        <v>0</v>
      </c>
      <c r="AA2792" s="3">
        <f>IFERROR(__xludf.DUMMYFUNCTION("""COMPUTED_VALUE"""),0.0)</f>
        <v>0</v>
      </c>
      <c r="AB2792" s="3" t="str">
        <f>IFERROR(__xludf.DUMMYFUNCTION("""COMPUTED_VALUE"""),"ลพบุรี")</f>
        <v>ลพบุรี</v>
      </c>
      <c r="AC2792" s="3">
        <f>IFERROR(__xludf.DUMMYFUNCTION("""COMPUTED_VALUE"""),0.0)</f>
        <v>0</v>
      </c>
      <c r="AD2792" s="3"/>
      <c r="AE2792" s="3"/>
      <c r="AF2792" s="3" t="str">
        <f>IFERROR(__xludf.DUMMYFUNCTION("""COMPUTED_VALUE"""),"ร้านชัยพานิช (ชัยพาณิชย์)-83624")</f>
        <v>ร้านชัยพานิช (ชัยพาณิชย์)-83624</v>
      </c>
      <c r="AG2792" s="3" t="str">
        <f>IFERROR(__xludf.DUMMYFUNCTION("""COMPUTED_VALUE"""),"กลาง")</f>
        <v>กลาง</v>
      </c>
      <c r="AH2792" s="3" t="str">
        <f>IFERROR(__xludf.DUMMYFUNCTION("""COMPUTED_VALUE"""),"#N/A")</f>
        <v>#N/A</v>
      </c>
      <c r="AI2792" s="3" t="str">
        <f>IFERROR(__xludf.DUMMYFUNCTION("""COMPUTED_VALUE"""),"Out of warranty")</f>
        <v>Out of warranty</v>
      </c>
      <c r="AJ2792" s="3">
        <f>IFERROR(__xludf.DUMMYFUNCTION("""COMPUTED_VALUE"""),46.0)</f>
        <v>46</v>
      </c>
      <c r="AK2792" s="3"/>
      <c r="AL2792" s="3"/>
    </row>
    <row r="2793" ht="15.75" customHeight="1">
      <c r="A2793" s="1" t="str">
        <f>IFERROR(__xludf.DUMMYFUNCTION("""COMPUTED_VALUE"""),"83625")</f>
        <v>83625</v>
      </c>
      <c r="B2793" s="2">
        <f>IFERROR(__xludf.DUMMYFUNCTION("""COMPUTED_VALUE"""),83625.0)</f>
        <v>83625</v>
      </c>
      <c r="C2793" s="3" t="str">
        <f>IFERROR(__xludf.DUMMYFUNCTION("""COMPUTED_VALUE"""),"ร้านมาดีมินิมาร์ท(พี่หน่อย)")</f>
        <v>ร้านมาดีมินิมาร์ท(พี่หน่อย)</v>
      </c>
      <c r="D2793" s="3" t="str">
        <f>IFERROR(__xludf.DUMMYFUNCTION("""COMPUTED_VALUE"""),"ร้านมาดีมินิมาร์ท(พี่หน่อย)")</f>
        <v>ร้านมาดีมินิมาร์ท(พี่หน่อย)</v>
      </c>
      <c r="E2793" s="1" t="str">
        <f>IFERROR(__xludf.DUMMYFUNCTION("""COMPUTED_VALUE"""),"Donjai")</f>
        <v>Donjai</v>
      </c>
      <c r="F2793" s="1" t="str">
        <f>IFERROR(__xludf.DUMMYFUNCTION("""COMPUTED_VALUE"""),"046214")</f>
        <v>046214</v>
      </c>
      <c r="G2793" s="1" t="str">
        <f>IFERROR(__xludf.DUMMYFUNCTION("""COMPUTED_VALUE"""),"นายศักดิ์ชัย เด็ดดอกฟ้า")</f>
        <v>นายศักดิ์ชัย เด็ดดอกฟ้า</v>
      </c>
      <c r="H2793" s="1" t="str">
        <f>IFERROR(__xludf.DUMMYFUNCTION("""COMPUTED_VALUE"""),"046214")</f>
        <v>046214</v>
      </c>
      <c r="I2793" s="1" t="str">
        <f>IFERROR(__xludf.DUMMYFUNCTION("""COMPUTED_VALUE"""),"นายศักดิ์ชัย เด็ดดอกฟ้า")</f>
        <v>นายศักดิ์ชัย เด็ดดอกฟ้า</v>
      </c>
      <c r="J2793" s="3">
        <f>IFERROR(__xludf.DUMMYFUNCTION("""COMPUTED_VALUE"""),295886.0)</f>
        <v>295886</v>
      </c>
      <c r="K2793" s="3" t="str">
        <f>IFERROR(__xludf.DUMMYFUNCTION("""COMPUTED_VALUE"""),"นายจิระพงษ์ โพธิ์นิล")</f>
        <v>นายจิระพงษ์ โพธิ์นิล</v>
      </c>
      <c r="L2793" s="1" t="str">
        <f>IFERROR(__xludf.DUMMYFUNCTION("""COMPUTED_VALUE"""),"นายจิระพงษ์ โพธิ์นิล")</f>
        <v>นายจิระพงษ์ โพธิ์นิล</v>
      </c>
      <c r="M2793" s="1" t="str">
        <f>IFERROR(__xludf.DUMMYFUNCTION("""COMPUTED_VALUE"""),"0933290754")</f>
        <v>0933290754</v>
      </c>
      <c r="N2793" s="3">
        <f>IFERROR(__xludf.DUMMYFUNCTION("""COMPUTED_VALUE"""),83625.0)</f>
        <v>83625</v>
      </c>
      <c r="O2793" s="3" t="str">
        <f>IFERROR(__xludf.DUMMYFUNCTION("""COMPUTED_VALUE"""),"ร้านมาดีมินิมาร์ท(พี่หน่อย)")</f>
        <v>ร้านมาดีมินิมาร์ท(พี่หน่อย)</v>
      </c>
      <c r="P2793" s="4">
        <f>IFERROR(__xludf.DUMMYFUNCTION("""COMPUTED_VALUE"""),44641.0)</f>
        <v>44641</v>
      </c>
      <c r="Q2793" s="3" t="str">
        <f>IFERROR(__xludf.DUMMYFUNCTION("""COMPUTED_VALUE"""),"A")</f>
        <v>A</v>
      </c>
      <c r="R2793" s="3" t="str">
        <f>IFERROR(__xludf.DUMMYFUNCTION("""COMPUTED_VALUE"""),"Small Format")</f>
        <v>Small Format</v>
      </c>
      <c r="S2793" s="3" t="str">
        <f>IFERROR(__xludf.DUMMYFUNCTION("""COMPUTED_VALUE"""),"Donjai")</f>
        <v>Donjai</v>
      </c>
      <c r="T2793" s="3" t="str">
        <f>IFERROR(__xludf.DUMMYFUNCTION("""COMPUTED_VALUE"""),"02 K.Sakchai D")</f>
        <v>02 K.Sakchai D</v>
      </c>
      <c r="U2793" s="3" t="str">
        <f>IFERROR(__xludf.DUMMYFUNCTION("""COMPUTED_VALUE"""),"02 K.Sakchai D")</f>
        <v>02 K.Sakchai D</v>
      </c>
      <c r="V2793" s="3" t="str">
        <f>IFERROR(__xludf.DUMMYFUNCTION("""COMPUTED_VALUE"""),"N")</f>
        <v>N</v>
      </c>
      <c r="W2793" s="3"/>
      <c r="X2793" s="3" t="str">
        <f>IFERROR(__xludf.DUMMYFUNCTION("""COMPUTED_VALUE"""),"218 ม.15 ต.ท่าแดง อ.หนองไผ่ จ.เพชรบูรณ์ 67000")</f>
        <v>218 ม.15 ต.ท่าแดง อ.หนองไผ่ จ.เพชรบูรณ์ 67000</v>
      </c>
      <c r="Y2793" s="3"/>
      <c r="Z2793" s="3"/>
      <c r="AA2793" s="3"/>
      <c r="AB2793" s="3"/>
      <c r="AC2793" s="3"/>
      <c r="AD2793" s="3"/>
      <c r="AE2793" s="3"/>
      <c r="AF2793" s="3" t="str">
        <f>IFERROR(__xludf.DUMMYFUNCTION("""COMPUTED_VALUE"""),"ร้านมาดีมินิมาร์ท(พี่หน่อย)-83625")</f>
        <v>ร้านมาดีมินิมาร์ท(พี่หน่อย)-83625</v>
      </c>
      <c r="AG2793" s="3">
        <f>IFERROR(__xludf.DUMMYFUNCTION("""COMPUTED_VALUE"""),0.0)</f>
        <v>0</v>
      </c>
      <c r="AH2793" s="3" t="str">
        <f>IFERROR(__xludf.DUMMYFUNCTION("""COMPUTED_VALUE"""),"#N/A")</f>
        <v>#N/A</v>
      </c>
      <c r="AI2793" s="3" t="str">
        <f>IFERROR(__xludf.DUMMYFUNCTION("""COMPUTED_VALUE"""),"Out of warranty")</f>
        <v>Out of warranty</v>
      </c>
      <c r="AJ2793" s="3">
        <f>IFERROR(__xludf.DUMMYFUNCTION("""COMPUTED_VALUE"""),46.0)</f>
        <v>46</v>
      </c>
      <c r="AK2793" s="3"/>
      <c r="AL2793" s="3"/>
    </row>
    <row r="2794" ht="15.75" customHeight="1">
      <c r="A2794" s="1" t="str">
        <f>IFERROR(__xludf.DUMMYFUNCTION("""COMPUTED_VALUE"""),"83627")</f>
        <v>83627</v>
      </c>
      <c r="B2794" s="2">
        <f>IFERROR(__xludf.DUMMYFUNCTION("""COMPUTED_VALUE"""),83627.0)</f>
        <v>83627</v>
      </c>
      <c r="C2794" s="3" t="str">
        <f>IFERROR(__xludf.DUMMYFUNCTION("""COMPUTED_VALUE"""),"ร้านวิรัตน์การค้า")</f>
        <v>ร้านวิรัตน์การค้า</v>
      </c>
      <c r="D2794" s="3" t="str">
        <f>IFERROR(__xludf.DUMMYFUNCTION("""COMPUTED_VALUE"""),"ร้านวิรัตน์การค้า")</f>
        <v>ร้านวิรัตน์การค้า</v>
      </c>
      <c r="E2794" s="1" t="str">
        <f>IFERROR(__xludf.DUMMYFUNCTION("""COMPUTED_VALUE"""),"Donjai")</f>
        <v>Donjai</v>
      </c>
      <c r="F2794" s="1" t="str">
        <f>IFERROR(__xludf.DUMMYFUNCTION("""COMPUTED_VALUE"""),"20470331")</f>
        <v>20470331</v>
      </c>
      <c r="G2794" s="1" t="str">
        <f>IFERROR(__xludf.DUMMYFUNCTION("""COMPUTED_VALUE"""),"นายสมชาย ลักษณะสุวรรณ")</f>
        <v>นายสมชาย ลักษณะสุวรรณ</v>
      </c>
      <c r="H2794" s="1" t="str">
        <f>IFERROR(__xludf.DUMMYFUNCTION("""COMPUTED_VALUE"""),"20470331")</f>
        <v>20470331</v>
      </c>
      <c r="I2794" s="1" t="str">
        <f>IFERROR(__xludf.DUMMYFUNCTION("""COMPUTED_VALUE"""),"นายสมชาย ลักษณะสุวรรณ")</f>
        <v>นายสมชาย ลักษณะสุวรรณ</v>
      </c>
      <c r="J2794" s="3">
        <f>IFERROR(__xludf.DUMMYFUNCTION("""COMPUTED_VALUE"""),295541.0)</f>
        <v>295541</v>
      </c>
      <c r="K2794" s="3" t="str">
        <f>IFERROR(__xludf.DUMMYFUNCTION("""COMPUTED_VALUE"""),"นายรพิพล ศรีมาตย์")</f>
        <v>นายรพิพล ศรีมาตย์</v>
      </c>
      <c r="L2794" s="1" t="str">
        <f>IFERROR(__xludf.DUMMYFUNCTION("""COMPUTED_VALUE"""),"นายรพิพล ศรีมาตย์")</f>
        <v>นายรพิพล ศรีมาตย์</v>
      </c>
      <c r="M2794" s="1" t="str">
        <f>IFERROR(__xludf.DUMMYFUNCTION("""COMPUTED_VALUE"""),"0613966115")</f>
        <v>0613966115</v>
      </c>
      <c r="N2794" s="3">
        <f>IFERROR(__xludf.DUMMYFUNCTION("""COMPUTED_VALUE"""),83627.0)</f>
        <v>83627</v>
      </c>
      <c r="O2794" s="3" t="str">
        <f>IFERROR(__xludf.DUMMYFUNCTION("""COMPUTED_VALUE"""),"ร้านวิรัตน์การค้า")</f>
        <v>ร้านวิรัตน์การค้า</v>
      </c>
      <c r="P2794" s="4">
        <f>IFERROR(__xludf.DUMMYFUNCTION("""COMPUTED_VALUE"""),44631.0)</f>
        <v>44631</v>
      </c>
      <c r="Q2794" s="3" t="str">
        <f>IFERROR(__xludf.DUMMYFUNCTION("""COMPUTED_VALUE"""),"I")</f>
        <v>I</v>
      </c>
      <c r="R2794" s="3" t="str">
        <f>IFERROR(__xludf.DUMMYFUNCTION("""COMPUTED_VALUE"""),"Small Format")</f>
        <v>Small Format</v>
      </c>
      <c r="S2794" s="3" t="str">
        <f>IFERROR(__xludf.DUMMYFUNCTION("""COMPUTED_VALUE"""),"Donjai")</f>
        <v>Donjai</v>
      </c>
      <c r="T2794" s="3" t="str">
        <f>IFERROR(__xludf.DUMMYFUNCTION("""COMPUTED_VALUE"""),"15 K.Somchai L")</f>
        <v>15 K.Somchai L</v>
      </c>
      <c r="U2794" s="3" t="str">
        <f>IFERROR(__xludf.DUMMYFUNCTION("""COMPUTED_VALUE"""),"15 K.Somchai L")</f>
        <v>15 K.Somchai L</v>
      </c>
      <c r="V2794" s="3" t="str">
        <f>IFERROR(__xludf.DUMMYFUNCTION("""COMPUTED_VALUE"""),"N")</f>
        <v>N</v>
      </c>
      <c r="W2794" s="3"/>
      <c r="X2794" s="3" t="str">
        <f>IFERROR(__xludf.DUMMYFUNCTION("""COMPUTED_VALUE"""),"5/1 ม.1 ต.ขุนทะเล อ.ลานสกา จ.นครศรีฯ")</f>
        <v>5/1 ม.1 ต.ขุนทะเล อ.ลานสกา จ.นครศรีฯ</v>
      </c>
      <c r="Y2794" s="3"/>
      <c r="Z2794" s="3">
        <f>IFERROR(__xludf.DUMMYFUNCTION("""COMPUTED_VALUE"""),0.0)</f>
        <v>0</v>
      </c>
      <c r="AA2794" s="3">
        <f>IFERROR(__xludf.DUMMYFUNCTION("""COMPUTED_VALUE"""),0.0)</f>
        <v>0</v>
      </c>
      <c r="AB2794" s="3" t="str">
        <f>IFERROR(__xludf.DUMMYFUNCTION("""COMPUTED_VALUE"""),"นครศรีธรรมราช")</f>
        <v>นครศรีธรรมราช</v>
      </c>
      <c r="AC2794" s="3">
        <f>IFERROR(__xludf.DUMMYFUNCTION("""COMPUTED_VALUE"""),0.0)</f>
        <v>0</v>
      </c>
      <c r="AD2794" s="3"/>
      <c r="AE2794" s="3"/>
      <c r="AF2794" s="3" t="str">
        <f>IFERROR(__xludf.DUMMYFUNCTION("""COMPUTED_VALUE"""),"ร้านวิรัตน์การค้า-83627")</f>
        <v>ร้านวิรัตน์การค้า-83627</v>
      </c>
      <c r="AG2794" s="3" t="str">
        <f>IFERROR(__xludf.DUMMYFUNCTION("""COMPUTED_VALUE"""),"ใต้")</f>
        <v>ใต้</v>
      </c>
      <c r="AH2794" s="3" t="str">
        <f>IFERROR(__xludf.DUMMYFUNCTION("""COMPUTED_VALUE"""),"#N/A")</f>
        <v>#N/A</v>
      </c>
      <c r="AI2794" s="3" t="str">
        <f>IFERROR(__xludf.DUMMYFUNCTION("""COMPUTED_VALUE"""),"Out of warranty")</f>
        <v>Out of warranty</v>
      </c>
      <c r="AJ2794" s="3">
        <f>IFERROR(__xludf.DUMMYFUNCTION("""COMPUTED_VALUE"""),47.0)</f>
        <v>47</v>
      </c>
      <c r="AK2794" s="3"/>
      <c r="AL2794" s="3"/>
    </row>
    <row r="2795" ht="15.75" customHeight="1">
      <c r="A2795" s="1" t="str">
        <f>IFERROR(__xludf.DUMMYFUNCTION("""COMPUTED_VALUE"""),"83628")</f>
        <v>83628</v>
      </c>
      <c r="B2795" s="2">
        <f>IFERROR(__xludf.DUMMYFUNCTION("""COMPUTED_VALUE"""),83628.0)</f>
        <v>83628</v>
      </c>
      <c r="C2795" s="3" t="str">
        <f>IFERROR(__xludf.DUMMYFUNCTION("""COMPUTED_VALUE"""),"คุณสุเทพ")</f>
        <v>คุณสุเทพ</v>
      </c>
      <c r="D2795" s="3" t="str">
        <f>IFERROR(__xludf.DUMMYFUNCTION("""COMPUTED_VALUE"""),"คุณสุเทพ")</f>
        <v>คุณสุเทพ</v>
      </c>
      <c r="E2795" s="1" t="str">
        <f>IFERROR(__xludf.DUMMYFUNCTION("""COMPUTED_VALUE"""),"Donjai")</f>
        <v>Donjai</v>
      </c>
      <c r="F2795" s="1" t="str">
        <f>IFERROR(__xludf.DUMMYFUNCTION("""COMPUTED_VALUE"""),"296945")</f>
        <v>296945</v>
      </c>
      <c r="G2795" s="1" t="str">
        <f>IFERROR(__xludf.DUMMYFUNCTION("""COMPUTED_VALUE"""),"นายรักพงศ์ พงศ์พันธ์งาม")</f>
        <v>นายรักพงศ์ พงศ์พันธ์งาม</v>
      </c>
      <c r="H2795" s="1" t="str">
        <f>IFERROR(__xludf.DUMMYFUNCTION("""COMPUTED_VALUE"""),"296945")</f>
        <v>296945</v>
      </c>
      <c r="I2795" s="1" t="str">
        <f>IFERROR(__xludf.DUMMYFUNCTION("""COMPUTED_VALUE"""),"นายรักพงศ์ พงศ์พันธ์งาม")</f>
        <v>นายรักพงศ์ พงศ์พันธ์งาม</v>
      </c>
      <c r="J2795" s="3">
        <f>IFERROR(__xludf.DUMMYFUNCTION("""COMPUTED_VALUE"""),228031.0)</f>
        <v>228031</v>
      </c>
      <c r="K2795" s="3" t="str">
        <f>IFERROR(__xludf.DUMMYFUNCTION("""COMPUTED_VALUE"""),"นายธนพงษ์ วันหมัด")</f>
        <v>นายธนพงษ์ วันหมัด</v>
      </c>
      <c r="L2795" s="1" t="str">
        <f>IFERROR(__xludf.DUMMYFUNCTION("""COMPUTED_VALUE"""),"นายธนพงษ์ วันหมัด")</f>
        <v>นายธนพงษ์ วันหมัด</v>
      </c>
      <c r="M2795" s="1" t="str">
        <f>IFERROR(__xludf.DUMMYFUNCTION("""COMPUTED_VALUE"""),"0813716913")</f>
        <v>0813716913</v>
      </c>
      <c r="N2795" s="3">
        <f>IFERROR(__xludf.DUMMYFUNCTION("""COMPUTED_VALUE"""),83628.0)</f>
        <v>83628</v>
      </c>
      <c r="O2795" s="3" t="str">
        <f>IFERROR(__xludf.DUMMYFUNCTION("""COMPUTED_VALUE"""),"คุณสุเทพ")</f>
        <v>คุณสุเทพ</v>
      </c>
      <c r="P2795" s="4">
        <f>IFERROR(__xludf.DUMMYFUNCTION("""COMPUTED_VALUE"""),44646.0)</f>
        <v>44646</v>
      </c>
      <c r="Q2795" s="3" t="str">
        <f>IFERROR(__xludf.DUMMYFUNCTION("""COMPUTED_VALUE"""),"I")</f>
        <v>I</v>
      </c>
      <c r="R2795" s="3" t="str">
        <f>IFERROR(__xludf.DUMMYFUNCTION("""COMPUTED_VALUE"""),"Small Format")</f>
        <v>Small Format</v>
      </c>
      <c r="S2795" s="3" t="str">
        <f>IFERROR(__xludf.DUMMYFUNCTION("""COMPUTED_VALUE"""),"Donjai")</f>
        <v>Donjai</v>
      </c>
      <c r="T2795" s="3">
        <f>IFERROR(__xludf.DUMMYFUNCTION("""COMPUTED_VALUE"""),0.0)</f>
        <v>0</v>
      </c>
      <c r="U2795" s="3">
        <f>IFERROR(__xludf.DUMMYFUNCTION("""COMPUTED_VALUE"""),0.0)</f>
        <v>0</v>
      </c>
      <c r="V2795" s="3" t="str">
        <f>IFERROR(__xludf.DUMMYFUNCTION("""COMPUTED_VALUE"""),"N")</f>
        <v>N</v>
      </c>
      <c r="W2795" s="3"/>
      <c r="X2795" s="3" t="str">
        <f>IFERROR(__xludf.DUMMYFUNCTION("""COMPUTED_VALUE"""),"1209 หมู่ที่ 6 ต.บ้านใหม่ อ.เมืองสมุทรปราการ จ.สมุทรปราการ")</f>
        <v>1209 หมู่ที่ 6 ต.บ้านใหม่ อ.เมืองสมุทรปราการ จ.สมุทรปราการ</v>
      </c>
      <c r="Y2795" s="3"/>
      <c r="Z2795" s="3"/>
      <c r="AA2795" s="3"/>
      <c r="AB2795" s="3"/>
      <c r="AC2795" s="3"/>
      <c r="AD2795" s="3"/>
      <c r="AE2795" s="3"/>
      <c r="AF2795" s="3" t="str">
        <f>IFERROR(__xludf.DUMMYFUNCTION("""COMPUTED_VALUE"""),"คุณสุเทพ-83628")</f>
        <v>คุณสุเทพ-83628</v>
      </c>
      <c r="AG2795" s="3">
        <f>IFERROR(__xludf.DUMMYFUNCTION("""COMPUTED_VALUE"""),0.0)</f>
        <v>0</v>
      </c>
      <c r="AH2795" s="3" t="str">
        <f>IFERROR(__xludf.DUMMYFUNCTION("""COMPUTED_VALUE"""),"#N/A")</f>
        <v>#N/A</v>
      </c>
      <c r="AI2795" s="3" t="str">
        <f>IFERROR(__xludf.DUMMYFUNCTION("""COMPUTED_VALUE"""),"Out of warranty")</f>
        <v>Out of warranty</v>
      </c>
      <c r="AJ2795" s="3">
        <f>IFERROR(__xludf.DUMMYFUNCTION("""COMPUTED_VALUE"""),46.0)</f>
        <v>46</v>
      </c>
      <c r="AK2795" s="3"/>
      <c r="AL2795" s="3"/>
    </row>
    <row r="2796" ht="15.75" customHeight="1">
      <c r="A2796" s="1" t="str">
        <f>IFERROR(__xludf.DUMMYFUNCTION("""COMPUTED_VALUE"""),"83630")</f>
        <v>83630</v>
      </c>
      <c r="B2796" s="2">
        <f>IFERROR(__xludf.DUMMYFUNCTION("""COMPUTED_VALUE"""),83630.0)</f>
        <v>83630</v>
      </c>
      <c r="C2796" s="3" t="str">
        <f>IFERROR(__xludf.DUMMYFUNCTION("""COMPUTED_VALUE"""),"ร้านจารุวรรณ")</f>
        <v>ร้านจารุวรรณ</v>
      </c>
      <c r="D2796" s="3" t="str">
        <f>IFERROR(__xludf.DUMMYFUNCTION("""COMPUTED_VALUE"""),"ร้านจารุวรรณ")</f>
        <v>ร้านจารุวรรณ</v>
      </c>
      <c r="E2796" s="1" t="str">
        <f>IFERROR(__xludf.DUMMYFUNCTION("""COMPUTED_VALUE"""),"Donjai")</f>
        <v>Donjai</v>
      </c>
      <c r="F2796" s="1" t="str">
        <f>IFERROR(__xludf.DUMMYFUNCTION("""COMPUTED_VALUE"""),"296945")</f>
        <v>296945</v>
      </c>
      <c r="G2796" s="1" t="str">
        <f>IFERROR(__xludf.DUMMYFUNCTION("""COMPUTED_VALUE"""),"นายรักพงศ์ พงศ์พันธ์งาม")</f>
        <v>นายรักพงศ์ พงศ์พันธ์งาม</v>
      </c>
      <c r="H2796" s="1" t="str">
        <f>IFERROR(__xludf.DUMMYFUNCTION("""COMPUTED_VALUE"""),"296945")</f>
        <v>296945</v>
      </c>
      <c r="I2796" s="1" t="str">
        <f>IFERROR(__xludf.DUMMYFUNCTION("""COMPUTED_VALUE"""),"นายรักพงศ์ พงศ์พันธ์งาม")</f>
        <v>นายรักพงศ์ พงศ์พันธ์งาม</v>
      </c>
      <c r="J2796" s="3">
        <f>IFERROR(__xludf.DUMMYFUNCTION("""COMPUTED_VALUE"""),228031.0)</f>
        <v>228031</v>
      </c>
      <c r="K2796" s="3" t="str">
        <f>IFERROR(__xludf.DUMMYFUNCTION("""COMPUTED_VALUE"""),"นายธนพงษ์ วันหมัด")</f>
        <v>นายธนพงษ์ วันหมัด</v>
      </c>
      <c r="L2796" s="1" t="str">
        <f>IFERROR(__xludf.DUMMYFUNCTION("""COMPUTED_VALUE"""),"นายธนพงษ์ วันหมัด")</f>
        <v>นายธนพงษ์ วันหมัด</v>
      </c>
      <c r="M2796" s="1" t="str">
        <f>IFERROR(__xludf.DUMMYFUNCTION("""COMPUTED_VALUE"""),"0813716913")</f>
        <v>0813716913</v>
      </c>
      <c r="N2796" s="3">
        <f>IFERROR(__xludf.DUMMYFUNCTION("""COMPUTED_VALUE"""),83630.0)</f>
        <v>83630</v>
      </c>
      <c r="O2796" s="3" t="str">
        <f>IFERROR(__xludf.DUMMYFUNCTION("""COMPUTED_VALUE"""),"ร้านจารุวรรณ")</f>
        <v>ร้านจารุวรรณ</v>
      </c>
      <c r="P2796" s="4">
        <f>IFERROR(__xludf.DUMMYFUNCTION("""COMPUTED_VALUE"""),44626.0)</f>
        <v>44626</v>
      </c>
      <c r="Q2796" s="3" t="str">
        <f>IFERROR(__xludf.DUMMYFUNCTION("""COMPUTED_VALUE"""),"I")</f>
        <v>I</v>
      </c>
      <c r="R2796" s="3" t="str">
        <f>IFERROR(__xludf.DUMMYFUNCTION("""COMPUTED_VALUE"""),"Small Format")</f>
        <v>Small Format</v>
      </c>
      <c r="S2796" s="3" t="str">
        <f>IFERROR(__xludf.DUMMYFUNCTION("""COMPUTED_VALUE"""),"Donjai")</f>
        <v>Donjai</v>
      </c>
      <c r="T2796" s="3">
        <f>IFERROR(__xludf.DUMMYFUNCTION("""COMPUTED_VALUE"""),0.0)</f>
        <v>0</v>
      </c>
      <c r="U2796" s="3">
        <f>IFERROR(__xludf.DUMMYFUNCTION("""COMPUTED_VALUE"""),0.0)</f>
        <v>0</v>
      </c>
      <c r="V2796" s="3" t="str">
        <f>IFERROR(__xludf.DUMMYFUNCTION("""COMPUTED_VALUE"""),"N")</f>
        <v>N</v>
      </c>
      <c r="W2796" s="3"/>
      <c r="X2796" s="3" t="str">
        <f>IFERROR(__xludf.DUMMYFUNCTION("""COMPUTED_VALUE"""),"113/1 หมู่ 4 ต.มาบยางพร อ ปลวกแดง จ.ระยอง")</f>
        <v>113/1 หมู่ 4 ต.มาบยางพร อ ปลวกแดง จ.ระยอง</v>
      </c>
      <c r="Y2796" s="3"/>
      <c r="Z2796" s="3">
        <f>IFERROR(__xludf.DUMMYFUNCTION("""COMPUTED_VALUE"""),0.0)</f>
        <v>0</v>
      </c>
      <c r="AA2796" s="3">
        <f>IFERROR(__xludf.DUMMYFUNCTION("""COMPUTED_VALUE"""),0.0)</f>
        <v>0</v>
      </c>
      <c r="AB2796" s="3" t="str">
        <f>IFERROR(__xludf.DUMMYFUNCTION("""COMPUTED_VALUE"""),"ระยอง")</f>
        <v>ระยอง</v>
      </c>
      <c r="AC2796" s="3">
        <f>IFERROR(__xludf.DUMMYFUNCTION("""COMPUTED_VALUE"""),0.0)</f>
        <v>0</v>
      </c>
      <c r="AD2796" s="3"/>
      <c r="AE2796" s="3"/>
      <c r="AF2796" s="3" t="str">
        <f>IFERROR(__xludf.DUMMYFUNCTION("""COMPUTED_VALUE"""),"ร้านจารุวรรณ-83630")</f>
        <v>ร้านจารุวรรณ-83630</v>
      </c>
      <c r="AG2796" s="3" t="str">
        <f>IFERROR(__xludf.DUMMYFUNCTION("""COMPUTED_VALUE"""),"ตะวันออก")</f>
        <v>ตะวันออก</v>
      </c>
      <c r="AH2796" s="3" t="str">
        <f>IFERROR(__xludf.DUMMYFUNCTION("""COMPUTED_VALUE"""),"#N/A")</f>
        <v>#N/A</v>
      </c>
      <c r="AI2796" s="3" t="str">
        <f>IFERROR(__xludf.DUMMYFUNCTION("""COMPUTED_VALUE"""),"Out of warranty")</f>
        <v>Out of warranty</v>
      </c>
      <c r="AJ2796" s="3">
        <f>IFERROR(__xludf.DUMMYFUNCTION("""COMPUTED_VALUE"""),47.0)</f>
        <v>47</v>
      </c>
      <c r="AK2796" s="3"/>
      <c r="AL2796" s="3"/>
    </row>
    <row r="2797" ht="15.75" customHeight="1">
      <c r="A2797" s="1" t="str">
        <f>IFERROR(__xludf.DUMMYFUNCTION("""COMPUTED_VALUE"""),"83631")</f>
        <v>83631</v>
      </c>
      <c r="B2797" s="2">
        <f>IFERROR(__xludf.DUMMYFUNCTION("""COMPUTED_VALUE"""),83631.0)</f>
        <v>83631</v>
      </c>
      <c r="C2797" s="3" t="str">
        <f>IFERROR(__xludf.DUMMYFUNCTION("""COMPUTED_VALUE"""),"ร้านสี่ทิศเจริญการค้า")</f>
        <v>ร้านสี่ทิศเจริญการค้า</v>
      </c>
      <c r="D2797" s="3" t="str">
        <f>IFERROR(__xludf.DUMMYFUNCTION("""COMPUTED_VALUE"""),"ร้านสี่ทิศเจริญการค้า")</f>
        <v>ร้านสี่ทิศเจริญการค้า</v>
      </c>
      <c r="E2797" s="1" t="str">
        <f>IFERROR(__xludf.DUMMYFUNCTION("""COMPUTED_VALUE"""),"Donjai")</f>
        <v>Donjai</v>
      </c>
      <c r="F2797" s="1" t="str">
        <f>IFERROR(__xludf.DUMMYFUNCTION("""COMPUTED_VALUE"""),"296868")</f>
        <v>296868</v>
      </c>
      <c r="G2797" s="1" t="str">
        <f>IFERROR(__xludf.DUMMYFUNCTION("""COMPUTED_VALUE"""),"นายพีระพงษ์ แก้วดวงดี")</f>
        <v>นายพีระพงษ์ แก้วดวงดี</v>
      </c>
      <c r="H2797" s="1" t="str">
        <f>IFERROR(__xludf.DUMMYFUNCTION("""COMPUTED_VALUE"""),"296868")</f>
        <v>296868</v>
      </c>
      <c r="I2797" s="1" t="str">
        <f>IFERROR(__xludf.DUMMYFUNCTION("""COMPUTED_VALUE"""),"นายพีระพงษ์ แก้วดวงดี")</f>
        <v>นายพีระพงษ์ แก้วดวงดี</v>
      </c>
      <c r="J2797" s="3">
        <f>IFERROR(__xludf.DUMMYFUNCTION("""COMPUTED_VALUE"""),295886.0)</f>
        <v>295886</v>
      </c>
      <c r="K2797" s="3" t="str">
        <f>IFERROR(__xludf.DUMMYFUNCTION("""COMPUTED_VALUE"""),"นายจิระพงษ์ โพธิ์นิล")</f>
        <v>นายจิระพงษ์ โพธิ์นิล</v>
      </c>
      <c r="L2797" s="1" t="str">
        <f>IFERROR(__xludf.DUMMYFUNCTION("""COMPUTED_VALUE"""),"นายจิระพงษ์ โพธิ์นิล")</f>
        <v>นายจิระพงษ์ โพธิ์นิล</v>
      </c>
      <c r="M2797" s="1" t="str">
        <f>IFERROR(__xludf.DUMMYFUNCTION("""COMPUTED_VALUE"""),"0933290754")</f>
        <v>0933290754</v>
      </c>
      <c r="N2797" s="3">
        <f>IFERROR(__xludf.DUMMYFUNCTION("""COMPUTED_VALUE"""),83631.0)</f>
        <v>83631</v>
      </c>
      <c r="O2797" s="3" t="str">
        <f>IFERROR(__xludf.DUMMYFUNCTION("""COMPUTED_VALUE"""),"ร้านสี่ทิศเจริญการค้า")</f>
        <v>ร้านสี่ทิศเจริญการค้า</v>
      </c>
      <c r="P2797" s="4">
        <f>IFERROR(__xludf.DUMMYFUNCTION("""COMPUTED_VALUE"""),44644.0)</f>
        <v>44644</v>
      </c>
      <c r="Q2797" s="3" t="str">
        <f>IFERROR(__xludf.DUMMYFUNCTION("""COMPUTED_VALUE"""),"I")</f>
        <v>I</v>
      </c>
      <c r="R2797" s="3" t="str">
        <f>IFERROR(__xludf.DUMMYFUNCTION("""COMPUTED_VALUE"""),"Small Format")</f>
        <v>Small Format</v>
      </c>
      <c r="S2797" s="3" t="str">
        <f>IFERROR(__xludf.DUMMYFUNCTION("""COMPUTED_VALUE"""),"Donjai")</f>
        <v>Donjai</v>
      </c>
      <c r="T2797" s="3" t="str">
        <f>IFERROR(__xludf.DUMMYFUNCTION("""COMPUTED_VALUE"""),"03 K.Peerapong K.")</f>
        <v>03 K.Peerapong K.</v>
      </c>
      <c r="U2797" s="3" t="str">
        <f>IFERROR(__xludf.DUMMYFUNCTION("""COMPUTED_VALUE"""),"03 K.Peerapong K.")</f>
        <v>03 K.Peerapong K.</v>
      </c>
      <c r="V2797" s="3" t="str">
        <f>IFERROR(__xludf.DUMMYFUNCTION("""COMPUTED_VALUE"""),"N")</f>
        <v>N</v>
      </c>
      <c r="W2797" s="3"/>
      <c r="X2797" s="3" t="str">
        <f>IFERROR(__xludf.DUMMYFUNCTION("""COMPUTED_VALUE"""),"53ม.5 บ้านเหล่าสมบูรณ์ ต.ดงหม้อทอง อ.บ้านม่วง จ.สกลนคร")</f>
        <v>53ม.5 บ้านเหล่าสมบูรณ์ ต.ดงหม้อทอง อ.บ้านม่วง จ.สกลนคร</v>
      </c>
      <c r="Y2797" s="3"/>
      <c r="Z2797" s="3">
        <f>IFERROR(__xludf.DUMMYFUNCTION("""COMPUTED_VALUE"""),0.0)</f>
        <v>0</v>
      </c>
      <c r="AA2797" s="3">
        <f>IFERROR(__xludf.DUMMYFUNCTION("""COMPUTED_VALUE"""),0.0)</f>
        <v>0</v>
      </c>
      <c r="AB2797" s="3" t="str">
        <f>IFERROR(__xludf.DUMMYFUNCTION("""COMPUTED_VALUE"""),"สกลนคร")</f>
        <v>สกลนคร</v>
      </c>
      <c r="AC2797" s="3">
        <f>IFERROR(__xludf.DUMMYFUNCTION("""COMPUTED_VALUE"""),0.0)</f>
        <v>0</v>
      </c>
      <c r="AD2797" s="3"/>
      <c r="AE2797" s="3"/>
      <c r="AF2797" s="3" t="str">
        <f>IFERROR(__xludf.DUMMYFUNCTION("""COMPUTED_VALUE"""),"ร้านสี่ทิศเจริญการค้า-83631")</f>
        <v>ร้านสี่ทิศเจริญการค้า-83631</v>
      </c>
      <c r="AG2797" s="3" t="str">
        <f>IFERROR(__xludf.DUMMYFUNCTION("""COMPUTED_VALUE"""),"ตะวันออกเฉียงเหนือ")</f>
        <v>ตะวันออกเฉียงเหนือ</v>
      </c>
      <c r="AH2797" s="3" t="str">
        <f>IFERROR(__xludf.DUMMYFUNCTION("""COMPUTED_VALUE"""),"#N/A")</f>
        <v>#N/A</v>
      </c>
      <c r="AI2797" s="3" t="str">
        <f>IFERROR(__xludf.DUMMYFUNCTION("""COMPUTED_VALUE"""),"Out of warranty")</f>
        <v>Out of warranty</v>
      </c>
      <c r="AJ2797" s="3">
        <f>IFERROR(__xludf.DUMMYFUNCTION("""COMPUTED_VALUE"""),46.0)</f>
        <v>46</v>
      </c>
      <c r="AK2797" s="3"/>
      <c r="AL2797" s="3"/>
    </row>
    <row r="2798" ht="15.75" customHeight="1">
      <c r="A2798" s="1" t="str">
        <f>IFERROR(__xludf.DUMMYFUNCTION("""COMPUTED_VALUE"""),"83632")</f>
        <v>83632</v>
      </c>
      <c r="B2798" s="2">
        <f>IFERROR(__xludf.DUMMYFUNCTION("""COMPUTED_VALUE"""),83632.0)</f>
        <v>83632</v>
      </c>
      <c r="C2798" s="3" t="str">
        <f>IFERROR(__xludf.DUMMYFUNCTION("""COMPUTED_VALUE"""),"ร้านน้องปาล์ม")</f>
        <v>ร้านน้องปาล์ม</v>
      </c>
      <c r="D2798" s="3" t="str">
        <f>IFERROR(__xludf.DUMMYFUNCTION("""COMPUTED_VALUE"""),"ร้านน้องปาล์ม")</f>
        <v>ร้านน้องปาล์ม</v>
      </c>
      <c r="E2798" s="1" t="str">
        <f>IFERROR(__xludf.DUMMYFUNCTION("""COMPUTED_VALUE"""),"Donjai")</f>
        <v>Donjai</v>
      </c>
      <c r="F2798" s="1" t="str">
        <f>IFERROR(__xludf.DUMMYFUNCTION("""COMPUTED_VALUE"""),"015361")</f>
        <v>015361</v>
      </c>
      <c r="G2798" s="1" t="str">
        <f>IFERROR(__xludf.DUMMYFUNCTION("""COMPUTED_VALUE"""),"นายสมบูรณ์ พรหมในเมือง")</f>
        <v>นายสมบูรณ์ พรหมในเมือง</v>
      </c>
      <c r="H2798" s="1" t="str">
        <f>IFERROR(__xludf.DUMMYFUNCTION("""COMPUTED_VALUE"""),"015361")</f>
        <v>015361</v>
      </c>
      <c r="I2798" s="1" t="str">
        <f>IFERROR(__xludf.DUMMYFUNCTION("""COMPUTED_VALUE"""),"นายสมบูรณ์ พรหมในเมือง")</f>
        <v>นายสมบูรณ์ พรหมในเมือง</v>
      </c>
      <c r="J2798" s="3">
        <f>IFERROR(__xludf.DUMMYFUNCTION("""COMPUTED_VALUE"""),295886.0)</f>
        <v>295886</v>
      </c>
      <c r="K2798" s="3" t="str">
        <f>IFERROR(__xludf.DUMMYFUNCTION("""COMPUTED_VALUE"""),"นายจิระพงษ์ โพธิ์นิล")</f>
        <v>นายจิระพงษ์ โพธิ์นิล</v>
      </c>
      <c r="L2798" s="1" t="str">
        <f>IFERROR(__xludf.DUMMYFUNCTION("""COMPUTED_VALUE"""),"นายจิระพงษ์ โพธิ์นิล")</f>
        <v>นายจิระพงษ์ โพธิ์นิล</v>
      </c>
      <c r="M2798" s="1" t="str">
        <f>IFERROR(__xludf.DUMMYFUNCTION("""COMPUTED_VALUE"""),"0933290754")</f>
        <v>0933290754</v>
      </c>
      <c r="N2798" s="3">
        <f>IFERROR(__xludf.DUMMYFUNCTION("""COMPUTED_VALUE"""),83632.0)</f>
        <v>83632</v>
      </c>
      <c r="O2798" s="3" t="str">
        <f>IFERROR(__xludf.DUMMYFUNCTION("""COMPUTED_VALUE"""),"ร้านน้องปาล์ม")</f>
        <v>ร้านน้องปาล์ม</v>
      </c>
      <c r="P2798" s="4">
        <f>IFERROR(__xludf.DUMMYFUNCTION("""COMPUTED_VALUE"""),44631.0)</f>
        <v>44631</v>
      </c>
      <c r="Q2798" s="3" t="str">
        <f>IFERROR(__xludf.DUMMYFUNCTION("""COMPUTED_VALUE"""),"I")</f>
        <v>I</v>
      </c>
      <c r="R2798" s="3" t="str">
        <f>IFERROR(__xludf.DUMMYFUNCTION("""COMPUTED_VALUE"""),"Small Format")</f>
        <v>Small Format</v>
      </c>
      <c r="S2798" s="3" t="str">
        <f>IFERROR(__xludf.DUMMYFUNCTION("""COMPUTED_VALUE"""),"Donjai")</f>
        <v>Donjai</v>
      </c>
      <c r="T2798" s="3" t="str">
        <f>IFERROR(__xludf.DUMMYFUNCTION("""COMPUTED_VALUE"""),"04 K.Somboon P.")</f>
        <v>04 K.Somboon P.</v>
      </c>
      <c r="U2798" s="3" t="str">
        <f>IFERROR(__xludf.DUMMYFUNCTION("""COMPUTED_VALUE"""),"04 K.Somboon P.")</f>
        <v>04 K.Somboon P.</v>
      </c>
      <c r="V2798" s="3" t="str">
        <f>IFERROR(__xludf.DUMMYFUNCTION("""COMPUTED_VALUE"""),"N")</f>
        <v>N</v>
      </c>
      <c r="W2798" s="3"/>
      <c r="X2798" s="3" t="str">
        <f>IFERROR(__xludf.DUMMYFUNCTION("""COMPUTED_VALUE"""),"เลขที่ 114 หมู่16 บ้านโกรกลึกพัฒนา ต.ตะเคียน อ.ด่านขุนทด จ. นครราชสีมา")</f>
        <v>เลขที่ 114 หมู่16 บ้านโกรกลึกพัฒนา ต.ตะเคียน อ.ด่านขุนทด จ. นครราชสีมา</v>
      </c>
      <c r="Y2798" s="3"/>
      <c r="Z2798" s="3">
        <f>IFERROR(__xludf.DUMMYFUNCTION("""COMPUTED_VALUE"""),0.0)</f>
        <v>0</v>
      </c>
      <c r="AA2798" s="3">
        <f>IFERROR(__xludf.DUMMYFUNCTION("""COMPUTED_VALUE"""),0.0)</f>
        <v>0</v>
      </c>
      <c r="AB2798" s="3" t="str">
        <f>IFERROR(__xludf.DUMMYFUNCTION("""COMPUTED_VALUE"""),"นครราชสีมา")</f>
        <v>นครราชสีมา</v>
      </c>
      <c r="AC2798" s="3">
        <f>IFERROR(__xludf.DUMMYFUNCTION("""COMPUTED_VALUE"""),0.0)</f>
        <v>0</v>
      </c>
      <c r="AD2798" s="3"/>
      <c r="AE2798" s="3"/>
      <c r="AF2798" s="3" t="str">
        <f>IFERROR(__xludf.DUMMYFUNCTION("""COMPUTED_VALUE"""),"ร้านน้องปาล์ม-83632")</f>
        <v>ร้านน้องปาล์ม-83632</v>
      </c>
      <c r="AG2798" s="3" t="str">
        <f>IFERROR(__xludf.DUMMYFUNCTION("""COMPUTED_VALUE"""),"ตะวันออกเฉียงเหนือ")</f>
        <v>ตะวันออกเฉียงเหนือ</v>
      </c>
      <c r="AH2798" s="3" t="str">
        <f>IFERROR(__xludf.DUMMYFUNCTION("""COMPUTED_VALUE"""),"#N/A")</f>
        <v>#N/A</v>
      </c>
      <c r="AI2798" s="3" t="str">
        <f>IFERROR(__xludf.DUMMYFUNCTION("""COMPUTED_VALUE"""),"Out of warranty")</f>
        <v>Out of warranty</v>
      </c>
      <c r="AJ2798" s="3">
        <f>IFERROR(__xludf.DUMMYFUNCTION("""COMPUTED_VALUE"""),47.0)</f>
        <v>47</v>
      </c>
      <c r="AK2798" s="3"/>
      <c r="AL2798" s="3"/>
    </row>
    <row r="2799" ht="15.75" customHeight="1">
      <c r="A2799" s="1" t="str">
        <f>IFERROR(__xludf.DUMMYFUNCTION("""COMPUTED_VALUE"""),"83633")</f>
        <v>83633</v>
      </c>
      <c r="B2799" s="2">
        <f>IFERROR(__xludf.DUMMYFUNCTION("""COMPUTED_VALUE"""),83633.0)</f>
        <v>83633</v>
      </c>
      <c r="C2799" s="3" t="str">
        <f>IFERROR(__xludf.DUMMYFUNCTION("""COMPUTED_VALUE"""),"ร้านกุลนันท์")</f>
        <v>ร้านกุลนันท์</v>
      </c>
      <c r="D2799" s="3" t="str">
        <f>IFERROR(__xludf.DUMMYFUNCTION("""COMPUTED_VALUE"""),"ร้านกุลนันท์")</f>
        <v>ร้านกุลนันท์</v>
      </c>
      <c r="E2799" s="1" t="str">
        <f>IFERROR(__xludf.DUMMYFUNCTION("""COMPUTED_VALUE"""),"Donjai")</f>
        <v>Donjai</v>
      </c>
      <c r="F2799" s="1" t="str">
        <f>IFERROR(__xludf.DUMMYFUNCTION("""COMPUTED_VALUE"""),"2010016")</f>
        <v>2010016</v>
      </c>
      <c r="G2799" s="1" t="str">
        <f>IFERROR(__xludf.DUMMYFUNCTION("""COMPUTED_VALUE"""),"นายตวงธรรม ใหม่ยศ")</f>
        <v>นายตวงธรรม ใหม่ยศ</v>
      </c>
      <c r="H2799" s="1" t="str">
        <f>IFERROR(__xludf.DUMMYFUNCTION("""COMPUTED_VALUE"""),"2010016")</f>
        <v>2010016</v>
      </c>
      <c r="I2799" s="1" t="str">
        <f>IFERROR(__xludf.DUMMYFUNCTION("""COMPUTED_VALUE"""),"นายตวงธรรม ใหม่ยศ")</f>
        <v>นายตวงธรรม ใหม่ยศ</v>
      </c>
      <c r="J2799" s="3">
        <f>IFERROR(__xludf.DUMMYFUNCTION("""COMPUTED_VALUE"""),295886.0)</f>
        <v>295886</v>
      </c>
      <c r="K2799" s="3" t="str">
        <f>IFERROR(__xludf.DUMMYFUNCTION("""COMPUTED_VALUE"""),"นายจิระพงษ์ โพธิ์นิล")</f>
        <v>นายจิระพงษ์ โพธิ์นิล</v>
      </c>
      <c r="L2799" s="1" t="str">
        <f>IFERROR(__xludf.DUMMYFUNCTION("""COMPUTED_VALUE"""),"นายจิระพงษ์ โพธิ์นิล")</f>
        <v>นายจิระพงษ์ โพธิ์นิล</v>
      </c>
      <c r="M2799" s="1" t="str">
        <f>IFERROR(__xludf.DUMMYFUNCTION("""COMPUTED_VALUE"""),"0933290754")</f>
        <v>0933290754</v>
      </c>
      <c r="N2799" s="3">
        <f>IFERROR(__xludf.DUMMYFUNCTION("""COMPUTED_VALUE"""),83633.0)</f>
        <v>83633</v>
      </c>
      <c r="O2799" s="3" t="str">
        <f>IFERROR(__xludf.DUMMYFUNCTION("""COMPUTED_VALUE"""),"ร้านกุลนันท์")</f>
        <v>ร้านกุลนันท์</v>
      </c>
      <c r="P2799" s="4">
        <f>IFERROR(__xludf.DUMMYFUNCTION("""COMPUTED_VALUE"""),44648.0)</f>
        <v>44648</v>
      </c>
      <c r="Q2799" s="3" t="str">
        <f>IFERROR(__xludf.DUMMYFUNCTION("""COMPUTED_VALUE"""),"I")</f>
        <v>I</v>
      </c>
      <c r="R2799" s="3" t="str">
        <f>IFERROR(__xludf.DUMMYFUNCTION("""COMPUTED_VALUE"""),"Small Format")</f>
        <v>Small Format</v>
      </c>
      <c r="S2799" s="3" t="str">
        <f>IFERROR(__xludf.DUMMYFUNCTION("""COMPUTED_VALUE"""),"Donjai")</f>
        <v>Donjai</v>
      </c>
      <c r="T2799" s="3" t="str">
        <f>IFERROR(__xludf.DUMMYFUNCTION("""COMPUTED_VALUE"""),"01 K.Tuangtham M.")</f>
        <v>01 K.Tuangtham M.</v>
      </c>
      <c r="U2799" s="3" t="str">
        <f>IFERROR(__xludf.DUMMYFUNCTION("""COMPUTED_VALUE"""),"01 K.Tuangtham M.")</f>
        <v>01 K.Tuangtham M.</v>
      </c>
      <c r="V2799" s="3" t="str">
        <f>IFERROR(__xludf.DUMMYFUNCTION("""COMPUTED_VALUE"""),"N")</f>
        <v>N</v>
      </c>
      <c r="W2799" s="3"/>
      <c r="X2799" s="3" t="str">
        <f>IFERROR(__xludf.DUMMYFUNCTION("""COMPUTED_VALUE"""),"86/9 หมู่บ้านพระนอน ตำบลดอนแก้ว อำเภอแม่ริม จังหวัดเชียงใหม่")</f>
        <v>86/9 หมู่บ้านพระนอน ตำบลดอนแก้ว อำเภอแม่ริม จังหวัดเชียงใหม่</v>
      </c>
      <c r="Y2799" s="3"/>
      <c r="Z2799" s="3" t="str">
        <f>IFERROR(__xludf.DUMMYFUNCTION("""COMPUTED_VALUE"""),"ดอนแก้ว")</f>
        <v>ดอนแก้ว</v>
      </c>
      <c r="AA2799" s="3" t="str">
        <f>IFERROR(__xludf.DUMMYFUNCTION("""COMPUTED_VALUE"""),"แม่ริม")</f>
        <v>แม่ริม</v>
      </c>
      <c r="AB2799" s="3" t="str">
        <f>IFERROR(__xludf.DUMMYFUNCTION("""COMPUTED_VALUE"""),"เชียงใหม่")</f>
        <v>เชียงใหม่</v>
      </c>
      <c r="AC2799" s="3">
        <f>IFERROR(__xludf.DUMMYFUNCTION("""COMPUTED_VALUE"""),0.0)</f>
        <v>0</v>
      </c>
      <c r="AD2799" s="3"/>
      <c r="AE2799" s="3"/>
      <c r="AF2799" s="3" t="str">
        <f>IFERROR(__xludf.DUMMYFUNCTION("""COMPUTED_VALUE"""),"ร้านกุลนันท์-83633")</f>
        <v>ร้านกุลนันท์-83633</v>
      </c>
      <c r="AG2799" s="3" t="str">
        <f>IFERROR(__xludf.DUMMYFUNCTION("""COMPUTED_VALUE"""),"เหนือ")</f>
        <v>เหนือ</v>
      </c>
      <c r="AH2799" s="3" t="str">
        <f>IFERROR(__xludf.DUMMYFUNCTION("""COMPUTED_VALUE"""),"#N/A")</f>
        <v>#N/A</v>
      </c>
      <c r="AI2799" s="3" t="str">
        <f>IFERROR(__xludf.DUMMYFUNCTION("""COMPUTED_VALUE"""),"Out of warranty")</f>
        <v>Out of warranty</v>
      </c>
      <c r="AJ2799" s="3">
        <f>IFERROR(__xludf.DUMMYFUNCTION("""COMPUTED_VALUE"""),46.0)</f>
        <v>46</v>
      </c>
      <c r="AK2799" s="3"/>
      <c r="AL2799" s="3"/>
    </row>
    <row r="2800" ht="15.75" customHeight="1">
      <c r="A2800" s="1" t="str">
        <f>IFERROR(__xludf.DUMMYFUNCTION("""COMPUTED_VALUE"""),"83634")</f>
        <v>83634</v>
      </c>
      <c r="B2800" s="2">
        <f>IFERROR(__xludf.DUMMYFUNCTION("""COMPUTED_VALUE"""),83634.0)</f>
        <v>83634</v>
      </c>
      <c r="C2800" s="3" t="str">
        <f>IFERROR(__xludf.DUMMYFUNCTION("""COMPUTED_VALUE"""),"ร้านป้าไสว")</f>
        <v>ร้านป้าไสว</v>
      </c>
      <c r="D2800" s="3" t="str">
        <f>IFERROR(__xludf.DUMMYFUNCTION("""COMPUTED_VALUE"""),"ร้านป้าไสว")</f>
        <v>ร้านป้าไสว</v>
      </c>
      <c r="E2800" s="1" t="str">
        <f>IFERROR(__xludf.DUMMYFUNCTION("""COMPUTED_VALUE"""),"Donjai")</f>
        <v>Donjai</v>
      </c>
      <c r="F2800" s="1" t="str">
        <f>IFERROR(__xludf.DUMMYFUNCTION("""COMPUTED_VALUE"""),"20470331")</f>
        <v>20470331</v>
      </c>
      <c r="G2800" s="1" t="str">
        <f>IFERROR(__xludf.DUMMYFUNCTION("""COMPUTED_VALUE"""),"นายสมชาย ลักษณะสุวรรณ")</f>
        <v>นายสมชาย ลักษณะสุวรรณ</v>
      </c>
      <c r="H2800" s="1" t="str">
        <f>IFERROR(__xludf.DUMMYFUNCTION("""COMPUTED_VALUE"""),"20470331")</f>
        <v>20470331</v>
      </c>
      <c r="I2800" s="1" t="str">
        <f>IFERROR(__xludf.DUMMYFUNCTION("""COMPUTED_VALUE"""),"นายสมชาย ลักษณะสุวรรณ")</f>
        <v>นายสมชาย ลักษณะสุวรรณ</v>
      </c>
      <c r="J2800" s="3">
        <f>IFERROR(__xludf.DUMMYFUNCTION("""COMPUTED_VALUE"""),295541.0)</f>
        <v>295541</v>
      </c>
      <c r="K2800" s="3" t="str">
        <f>IFERROR(__xludf.DUMMYFUNCTION("""COMPUTED_VALUE"""),"นายรพิพล ศรีมาตย์")</f>
        <v>นายรพิพล ศรีมาตย์</v>
      </c>
      <c r="L2800" s="1" t="str">
        <f>IFERROR(__xludf.DUMMYFUNCTION("""COMPUTED_VALUE"""),"นายรพิพล ศรีมาตย์")</f>
        <v>นายรพิพล ศรีมาตย์</v>
      </c>
      <c r="M2800" s="1" t="str">
        <f>IFERROR(__xludf.DUMMYFUNCTION("""COMPUTED_VALUE"""),"0613966115")</f>
        <v>0613966115</v>
      </c>
      <c r="N2800" s="3">
        <f>IFERROR(__xludf.DUMMYFUNCTION("""COMPUTED_VALUE"""),83634.0)</f>
        <v>83634</v>
      </c>
      <c r="O2800" s="3" t="str">
        <f>IFERROR(__xludf.DUMMYFUNCTION("""COMPUTED_VALUE"""),"ร้านป้าไสว")</f>
        <v>ร้านป้าไสว</v>
      </c>
      <c r="P2800" s="4">
        <f>IFERROR(__xludf.DUMMYFUNCTION("""COMPUTED_VALUE"""),44633.0)</f>
        <v>44633</v>
      </c>
      <c r="Q2800" s="3" t="str">
        <f>IFERROR(__xludf.DUMMYFUNCTION("""COMPUTED_VALUE"""),"I")</f>
        <v>I</v>
      </c>
      <c r="R2800" s="3" t="str">
        <f>IFERROR(__xludf.DUMMYFUNCTION("""COMPUTED_VALUE"""),"Small Format")</f>
        <v>Small Format</v>
      </c>
      <c r="S2800" s="3" t="str">
        <f>IFERROR(__xludf.DUMMYFUNCTION("""COMPUTED_VALUE"""),"Donjai")</f>
        <v>Donjai</v>
      </c>
      <c r="T2800" s="3" t="str">
        <f>IFERROR(__xludf.DUMMYFUNCTION("""COMPUTED_VALUE"""),"15 K.Somchai L")</f>
        <v>15 K.Somchai L</v>
      </c>
      <c r="U2800" s="3" t="str">
        <f>IFERROR(__xludf.DUMMYFUNCTION("""COMPUTED_VALUE"""),"15 K.Somchai L")</f>
        <v>15 K.Somchai L</v>
      </c>
      <c r="V2800" s="3" t="str">
        <f>IFERROR(__xludf.DUMMYFUNCTION("""COMPUTED_VALUE"""),"N")</f>
        <v>N</v>
      </c>
      <c r="W2800" s="3"/>
      <c r="X2800" s="3" t="str">
        <f>IFERROR(__xludf.DUMMYFUNCTION("""COMPUTED_VALUE"""),"บ้านเลขที่ 2/4 หมู่ 7 ต.ทุ่งหวัง อ.เมืองสงขลา จ.สงขลา")</f>
        <v>บ้านเลขที่ 2/4 หมู่ 7 ต.ทุ่งหวัง อ.เมืองสงขลา จ.สงขลา</v>
      </c>
      <c r="Y2800" s="3"/>
      <c r="Z2800" s="3">
        <f>IFERROR(__xludf.DUMMYFUNCTION("""COMPUTED_VALUE"""),0.0)</f>
        <v>0</v>
      </c>
      <c r="AA2800" s="3">
        <f>IFERROR(__xludf.DUMMYFUNCTION("""COMPUTED_VALUE"""),0.0)</f>
        <v>0</v>
      </c>
      <c r="AB2800" s="3" t="str">
        <f>IFERROR(__xludf.DUMMYFUNCTION("""COMPUTED_VALUE"""),"สงขลา")</f>
        <v>สงขลา</v>
      </c>
      <c r="AC2800" s="3">
        <f>IFERROR(__xludf.DUMMYFUNCTION("""COMPUTED_VALUE"""),0.0)</f>
        <v>0</v>
      </c>
      <c r="AD2800" s="3"/>
      <c r="AE2800" s="3"/>
      <c r="AF2800" s="3" t="str">
        <f>IFERROR(__xludf.DUMMYFUNCTION("""COMPUTED_VALUE"""),"ร้านป้าไสว-83634")</f>
        <v>ร้านป้าไสว-83634</v>
      </c>
      <c r="AG2800" s="3" t="str">
        <f>IFERROR(__xludf.DUMMYFUNCTION("""COMPUTED_VALUE"""),"ใต้")</f>
        <v>ใต้</v>
      </c>
      <c r="AH2800" s="3" t="str">
        <f>IFERROR(__xludf.DUMMYFUNCTION("""COMPUTED_VALUE"""),"#N/A")</f>
        <v>#N/A</v>
      </c>
      <c r="AI2800" s="3" t="str">
        <f>IFERROR(__xludf.DUMMYFUNCTION("""COMPUTED_VALUE"""),"Out of warranty")</f>
        <v>Out of warranty</v>
      </c>
      <c r="AJ2800" s="3">
        <f>IFERROR(__xludf.DUMMYFUNCTION("""COMPUTED_VALUE"""),47.0)</f>
        <v>47</v>
      </c>
      <c r="AK2800" s="3"/>
      <c r="AL2800" s="3"/>
    </row>
    <row r="2801" ht="15.75" customHeight="1">
      <c r="A2801" s="1" t="str">
        <f>IFERROR(__xludf.DUMMYFUNCTION("""COMPUTED_VALUE"""),"83635")</f>
        <v>83635</v>
      </c>
      <c r="B2801" s="2">
        <f>IFERROR(__xludf.DUMMYFUNCTION("""COMPUTED_VALUE"""),83635.0)</f>
        <v>83635</v>
      </c>
      <c r="C2801" s="3" t="str">
        <f>IFERROR(__xludf.DUMMYFUNCTION("""COMPUTED_VALUE"""),"ร้านทรัพย์เจริญ")</f>
        <v>ร้านทรัพย์เจริญ</v>
      </c>
      <c r="D2801" s="3" t="str">
        <f>IFERROR(__xludf.DUMMYFUNCTION("""COMPUTED_VALUE"""),"ร้านทรัพย์เจริญ")</f>
        <v>ร้านทรัพย์เจริญ</v>
      </c>
      <c r="E2801" s="1" t="str">
        <f>IFERROR(__xludf.DUMMYFUNCTION("""COMPUTED_VALUE"""),"Donjai")</f>
        <v>Donjai</v>
      </c>
      <c r="F2801" s="1" t="str">
        <f>IFERROR(__xludf.DUMMYFUNCTION("""COMPUTED_VALUE"""),"20470331")</f>
        <v>20470331</v>
      </c>
      <c r="G2801" s="1" t="str">
        <f>IFERROR(__xludf.DUMMYFUNCTION("""COMPUTED_VALUE"""),"นายสมชาย ลักษณะสุวรรณ")</f>
        <v>นายสมชาย ลักษณะสุวรรณ</v>
      </c>
      <c r="H2801" s="1" t="str">
        <f>IFERROR(__xludf.DUMMYFUNCTION("""COMPUTED_VALUE"""),"20470331")</f>
        <v>20470331</v>
      </c>
      <c r="I2801" s="1" t="str">
        <f>IFERROR(__xludf.DUMMYFUNCTION("""COMPUTED_VALUE"""),"นายสมชาย ลักษณะสุวรรณ")</f>
        <v>นายสมชาย ลักษณะสุวรรณ</v>
      </c>
      <c r="J2801" s="3">
        <f>IFERROR(__xludf.DUMMYFUNCTION("""COMPUTED_VALUE"""),295541.0)</f>
        <v>295541</v>
      </c>
      <c r="K2801" s="3" t="str">
        <f>IFERROR(__xludf.DUMMYFUNCTION("""COMPUTED_VALUE"""),"นายรพิพล ศรีมาตย์")</f>
        <v>นายรพิพล ศรีมาตย์</v>
      </c>
      <c r="L2801" s="1" t="str">
        <f>IFERROR(__xludf.DUMMYFUNCTION("""COMPUTED_VALUE"""),"นายรพิพล ศรีมาตย์")</f>
        <v>นายรพิพล ศรีมาตย์</v>
      </c>
      <c r="M2801" s="1" t="str">
        <f>IFERROR(__xludf.DUMMYFUNCTION("""COMPUTED_VALUE"""),"0613966115")</f>
        <v>0613966115</v>
      </c>
      <c r="N2801" s="3">
        <f>IFERROR(__xludf.DUMMYFUNCTION("""COMPUTED_VALUE"""),83635.0)</f>
        <v>83635</v>
      </c>
      <c r="O2801" s="3" t="str">
        <f>IFERROR(__xludf.DUMMYFUNCTION("""COMPUTED_VALUE"""),"ร้านทรัพย์เจริญ")</f>
        <v>ร้านทรัพย์เจริญ</v>
      </c>
      <c r="P2801" s="4">
        <f>IFERROR(__xludf.DUMMYFUNCTION("""COMPUTED_VALUE"""),44647.0)</f>
        <v>44647</v>
      </c>
      <c r="Q2801" s="3" t="str">
        <f>IFERROR(__xludf.DUMMYFUNCTION("""COMPUTED_VALUE"""),"I")</f>
        <v>I</v>
      </c>
      <c r="R2801" s="3" t="str">
        <f>IFERROR(__xludf.DUMMYFUNCTION("""COMPUTED_VALUE"""),"Small Format")</f>
        <v>Small Format</v>
      </c>
      <c r="S2801" s="3" t="str">
        <f>IFERROR(__xludf.DUMMYFUNCTION("""COMPUTED_VALUE"""),"Donjai")</f>
        <v>Donjai</v>
      </c>
      <c r="T2801" s="3" t="str">
        <f>IFERROR(__xludf.DUMMYFUNCTION("""COMPUTED_VALUE"""),"15 K.Somchai L")</f>
        <v>15 K.Somchai L</v>
      </c>
      <c r="U2801" s="3" t="str">
        <f>IFERROR(__xludf.DUMMYFUNCTION("""COMPUTED_VALUE"""),"15 K.Somchai L")</f>
        <v>15 K.Somchai L</v>
      </c>
      <c r="V2801" s="3" t="str">
        <f>IFERROR(__xludf.DUMMYFUNCTION("""COMPUTED_VALUE"""),"N")</f>
        <v>N</v>
      </c>
      <c r="W2801" s="3"/>
      <c r="X2801" s="3" t="str">
        <f>IFERROR(__xludf.DUMMYFUNCTION("""COMPUTED_VALUE"""),"31 ม 1 ต สิชล อ สิชล จ นครศรีธรรมราช")</f>
        <v>31 ม 1 ต สิชล อ สิชล จ นครศรีธรรมราช</v>
      </c>
      <c r="Y2801" s="3"/>
      <c r="Z2801" s="3">
        <f>IFERROR(__xludf.DUMMYFUNCTION("""COMPUTED_VALUE"""),0.0)</f>
        <v>0</v>
      </c>
      <c r="AA2801" s="3">
        <f>IFERROR(__xludf.DUMMYFUNCTION("""COMPUTED_VALUE"""),0.0)</f>
        <v>0</v>
      </c>
      <c r="AB2801" s="3" t="str">
        <f>IFERROR(__xludf.DUMMYFUNCTION("""COMPUTED_VALUE"""),"นครศรีธรรมราช")</f>
        <v>นครศรีธรรมราช</v>
      </c>
      <c r="AC2801" s="3">
        <f>IFERROR(__xludf.DUMMYFUNCTION("""COMPUTED_VALUE"""),0.0)</f>
        <v>0</v>
      </c>
      <c r="AD2801" s="3"/>
      <c r="AE2801" s="3"/>
      <c r="AF2801" s="3" t="str">
        <f>IFERROR(__xludf.DUMMYFUNCTION("""COMPUTED_VALUE"""),"ร้านทรัพย์เจริญ-83635")</f>
        <v>ร้านทรัพย์เจริญ-83635</v>
      </c>
      <c r="AG2801" s="3" t="str">
        <f>IFERROR(__xludf.DUMMYFUNCTION("""COMPUTED_VALUE"""),"ใต้")</f>
        <v>ใต้</v>
      </c>
      <c r="AH2801" s="3" t="str">
        <f>IFERROR(__xludf.DUMMYFUNCTION("""COMPUTED_VALUE"""),"#N/A")</f>
        <v>#N/A</v>
      </c>
      <c r="AI2801" s="3" t="str">
        <f>IFERROR(__xludf.DUMMYFUNCTION("""COMPUTED_VALUE"""),"Out of warranty")</f>
        <v>Out of warranty</v>
      </c>
      <c r="AJ2801" s="3">
        <f>IFERROR(__xludf.DUMMYFUNCTION("""COMPUTED_VALUE"""),46.0)</f>
        <v>46</v>
      </c>
      <c r="AK2801" s="3"/>
      <c r="AL2801" s="3"/>
    </row>
    <row r="2802" ht="15.75" customHeight="1">
      <c r="A2802" s="1" t="str">
        <f>IFERROR(__xludf.DUMMYFUNCTION("""COMPUTED_VALUE"""),"83636")</f>
        <v>83636</v>
      </c>
      <c r="B2802" s="2">
        <f>IFERROR(__xludf.DUMMYFUNCTION("""COMPUTED_VALUE"""),83636.0)</f>
        <v>83636</v>
      </c>
      <c r="C2802" s="3" t="str">
        <f>IFERROR(__xludf.DUMMYFUNCTION("""COMPUTED_VALUE"""),"น้องเนยมินิมาร์ท")</f>
        <v>น้องเนยมินิมาร์ท</v>
      </c>
      <c r="D2802" s="3" t="str">
        <f>IFERROR(__xludf.DUMMYFUNCTION("""COMPUTED_VALUE"""),"น้องเนยมินิมาร์ท")</f>
        <v>น้องเนยมินิมาร์ท</v>
      </c>
      <c r="E2802" s="1" t="str">
        <f>IFERROR(__xludf.DUMMYFUNCTION("""COMPUTED_VALUE"""),"Donjai")</f>
        <v>Donjai</v>
      </c>
      <c r="F2802" s="1" t="str">
        <f>IFERROR(__xludf.DUMMYFUNCTION("""COMPUTED_VALUE"""),"2454781")</f>
        <v>2454781</v>
      </c>
      <c r="G2802" s="1" t="str">
        <f>IFERROR(__xludf.DUMMYFUNCTION("""COMPUTED_VALUE"""),"นายฌานกฤช นันทะโคต")</f>
        <v>นายฌานกฤช นันทะโคต</v>
      </c>
      <c r="H2802" s="1" t="str">
        <f>IFERROR(__xludf.DUMMYFUNCTION("""COMPUTED_VALUE"""),"2454781")</f>
        <v>2454781</v>
      </c>
      <c r="I2802" s="1" t="str">
        <f>IFERROR(__xludf.DUMMYFUNCTION("""COMPUTED_VALUE"""),"นายฌานกฤช นันทะโคต")</f>
        <v>นายฌานกฤช นันทะโคต</v>
      </c>
      <c r="J2802" s="3">
        <f>IFERROR(__xludf.DUMMYFUNCTION("""COMPUTED_VALUE"""),295886.0)</f>
        <v>295886</v>
      </c>
      <c r="K2802" s="3" t="str">
        <f>IFERROR(__xludf.DUMMYFUNCTION("""COMPUTED_VALUE"""),"นายจิระพงษ์ โพธิ์นิล")</f>
        <v>นายจิระพงษ์ โพธิ์นิล</v>
      </c>
      <c r="L2802" s="1" t="str">
        <f>IFERROR(__xludf.DUMMYFUNCTION("""COMPUTED_VALUE"""),"นายจิระพงษ์ โพธิ์นิล")</f>
        <v>นายจิระพงษ์ โพธิ์นิล</v>
      </c>
      <c r="M2802" s="1" t="str">
        <f>IFERROR(__xludf.DUMMYFUNCTION("""COMPUTED_VALUE"""),"0933290754")</f>
        <v>0933290754</v>
      </c>
      <c r="N2802" s="3">
        <f>IFERROR(__xludf.DUMMYFUNCTION("""COMPUTED_VALUE"""),83636.0)</f>
        <v>83636</v>
      </c>
      <c r="O2802" s="3" t="str">
        <f>IFERROR(__xludf.DUMMYFUNCTION("""COMPUTED_VALUE"""),"น้องเนยมินิมาร์ท")</f>
        <v>น้องเนยมินิมาร์ท</v>
      </c>
      <c r="P2802" s="4">
        <f>IFERROR(__xludf.DUMMYFUNCTION("""COMPUTED_VALUE"""),44610.0)</f>
        <v>44610</v>
      </c>
      <c r="Q2802" s="3" t="str">
        <f>IFERROR(__xludf.DUMMYFUNCTION("""COMPUTED_VALUE"""),"I")</f>
        <v>I</v>
      </c>
      <c r="R2802" s="3" t="str">
        <f>IFERROR(__xludf.DUMMYFUNCTION("""COMPUTED_VALUE"""),"Small Format")</f>
        <v>Small Format</v>
      </c>
      <c r="S2802" s="3" t="str">
        <f>IFERROR(__xludf.DUMMYFUNCTION("""COMPUTED_VALUE"""),"Donjai")</f>
        <v>Donjai</v>
      </c>
      <c r="T2802" s="3" t="str">
        <f>IFERROR(__xludf.DUMMYFUNCTION("""COMPUTED_VALUE"""),"05 K.Chanakrit N.")</f>
        <v>05 K.Chanakrit N.</v>
      </c>
      <c r="U2802" s="3" t="str">
        <f>IFERROR(__xludf.DUMMYFUNCTION("""COMPUTED_VALUE"""),"05 K.Chanakrit N.")</f>
        <v>05 K.Chanakrit N.</v>
      </c>
      <c r="V2802" s="3" t="str">
        <f>IFERROR(__xludf.DUMMYFUNCTION("""COMPUTED_VALUE"""),"N")</f>
        <v>N</v>
      </c>
      <c r="W2802" s="3"/>
      <c r="X2802" s="3" t="str">
        <f>IFERROR(__xludf.DUMMYFUNCTION("""COMPUTED_VALUE"""),"209 ม.8 ต นิคมคำสร้อย อ นิคมคำสร้อย จ มุกดาหาร")</f>
        <v>209 ม.8 ต นิคมคำสร้อย อ นิคมคำสร้อย จ มุกดาหาร</v>
      </c>
      <c r="Y2802" s="3"/>
      <c r="Z2802" s="3">
        <f>IFERROR(__xludf.DUMMYFUNCTION("""COMPUTED_VALUE"""),0.0)</f>
        <v>0</v>
      </c>
      <c r="AA2802" s="3">
        <f>IFERROR(__xludf.DUMMYFUNCTION("""COMPUTED_VALUE"""),0.0)</f>
        <v>0</v>
      </c>
      <c r="AB2802" s="3" t="str">
        <f>IFERROR(__xludf.DUMMYFUNCTION("""COMPUTED_VALUE"""),"มุกดาหาร")</f>
        <v>มุกดาหาร</v>
      </c>
      <c r="AC2802" s="3">
        <f>IFERROR(__xludf.DUMMYFUNCTION("""COMPUTED_VALUE"""),0.0)</f>
        <v>0</v>
      </c>
      <c r="AD2802" s="3"/>
      <c r="AE2802" s="3"/>
      <c r="AF2802" s="3" t="str">
        <f>IFERROR(__xludf.DUMMYFUNCTION("""COMPUTED_VALUE"""),"น้องเนยมินิมาร์ท-83636")</f>
        <v>น้องเนยมินิมาร์ท-83636</v>
      </c>
      <c r="AG2802" s="3" t="str">
        <f>IFERROR(__xludf.DUMMYFUNCTION("""COMPUTED_VALUE"""),"ตะวันออกเฉียงเหนือ")</f>
        <v>ตะวันออกเฉียงเหนือ</v>
      </c>
      <c r="AH2802" s="3" t="str">
        <f>IFERROR(__xludf.DUMMYFUNCTION("""COMPUTED_VALUE"""),"#N/A")</f>
        <v>#N/A</v>
      </c>
      <c r="AI2802" s="3" t="str">
        <f>IFERROR(__xludf.DUMMYFUNCTION("""COMPUTED_VALUE"""),"Out of warranty")</f>
        <v>Out of warranty</v>
      </c>
      <c r="AJ2802" s="3">
        <f>IFERROR(__xludf.DUMMYFUNCTION("""COMPUTED_VALUE"""),48.0)</f>
        <v>48</v>
      </c>
      <c r="AK2802" s="3"/>
      <c r="AL2802" s="3"/>
    </row>
    <row r="2803" ht="15.75" customHeight="1">
      <c r="A2803" s="1" t="str">
        <f>IFERROR(__xludf.DUMMYFUNCTION("""COMPUTED_VALUE"""),"83637")</f>
        <v>83637</v>
      </c>
      <c r="B2803" s="2">
        <f>IFERROR(__xludf.DUMMYFUNCTION("""COMPUTED_VALUE"""),83637.0)</f>
        <v>83637</v>
      </c>
      <c r="C2803" s="3" t="str">
        <f>IFERROR(__xludf.DUMMYFUNCTION("""COMPUTED_VALUE"""),"ร้านหจก รุ่งโรจน์ อาร์ซีเอส")</f>
        <v>ร้านหจก รุ่งโรจน์ อาร์ซีเอส</v>
      </c>
      <c r="D2803" s="3" t="str">
        <f>IFERROR(__xludf.DUMMYFUNCTION("""COMPUTED_VALUE"""),"ร้านหจก รุ่งโรจน์ อาร์ซีเอส")</f>
        <v>ร้านหจก รุ่งโรจน์ อาร์ซีเอส</v>
      </c>
      <c r="E2803" s="1" t="str">
        <f>IFERROR(__xludf.DUMMYFUNCTION("""COMPUTED_VALUE"""),"Donjai")</f>
        <v>Donjai</v>
      </c>
      <c r="F2803" s="1" t="str">
        <f>IFERROR(__xludf.DUMMYFUNCTION("""COMPUTED_VALUE"""),"2010016")</f>
        <v>2010016</v>
      </c>
      <c r="G2803" s="1" t="str">
        <f>IFERROR(__xludf.DUMMYFUNCTION("""COMPUTED_VALUE"""),"นายตวงธรรม ใหม่ยศ")</f>
        <v>นายตวงธรรม ใหม่ยศ</v>
      </c>
      <c r="H2803" s="1" t="str">
        <f>IFERROR(__xludf.DUMMYFUNCTION("""COMPUTED_VALUE"""),"2010016")</f>
        <v>2010016</v>
      </c>
      <c r="I2803" s="1" t="str">
        <f>IFERROR(__xludf.DUMMYFUNCTION("""COMPUTED_VALUE"""),"นายตวงธรรม ใหม่ยศ")</f>
        <v>นายตวงธรรม ใหม่ยศ</v>
      </c>
      <c r="J2803" s="3">
        <f>IFERROR(__xludf.DUMMYFUNCTION("""COMPUTED_VALUE"""),295886.0)</f>
        <v>295886</v>
      </c>
      <c r="K2803" s="3" t="str">
        <f>IFERROR(__xludf.DUMMYFUNCTION("""COMPUTED_VALUE"""),"นายจิระพงษ์ โพธิ์นิล")</f>
        <v>นายจิระพงษ์ โพธิ์นิล</v>
      </c>
      <c r="L2803" s="1" t="str">
        <f>IFERROR(__xludf.DUMMYFUNCTION("""COMPUTED_VALUE"""),"นายจิระพงษ์ โพธิ์นิล")</f>
        <v>นายจิระพงษ์ โพธิ์นิล</v>
      </c>
      <c r="M2803" s="1" t="str">
        <f>IFERROR(__xludf.DUMMYFUNCTION("""COMPUTED_VALUE"""),"0933290754")</f>
        <v>0933290754</v>
      </c>
      <c r="N2803" s="3">
        <f>IFERROR(__xludf.DUMMYFUNCTION("""COMPUTED_VALUE"""),83637.0)</f>
        <v>83637</v>
      </c>
      <c r="O2803" s="3" t="str">
        <f>IFERROR(__xludf.DUMMYFUNCTION("""COMPUTED_VALUE"""),"ร้านหจก รุ่งโรจน์ อาร์ซีเอส")</f>
        <v>ร้านหจก รุ่งโรจน์ อาร์ซีเอส</v>
      </c>
      <c r="P2803" s="4">
        <f>IFERROR(__xludf.DUMMYFUNCTION("""COMPUTED_VALUE"""),44617.0)</f>
        <v>44617</v>
      </c>
      <c r="Q2803" s="3" t="str">
        <f>IFERROR(__xludf.DUMMYFUNCTION("""COMPUTED_VALUE"""),"I")</f>
        <v>I</v>
      </c>
      <c r="R2803" s="3" t="str">
        <f>IFERROR(__xludf.DUMMYFUNCTION("""COMPUTED_VALUE"""),"Small Format")</f>
        <v>Small Format</v>
      </c>
      <c r="S2803" s="3" t="str">
        <f>IFERROR(__xludf.DUMMYFUNCTION("""COMPUTED_VALUE"""),"Donjai")</f>
        <v>Donjai</v>
      </c>
      <c r="T2803" s="3" t="str">
        <f>IFERROR(__xludf.DUMMYFUNCTION("""COMPUTED_VALUE"""),"01 K.Tuangtham M.")</f>
        <v>01 K.Tuangtham M.</v>
      </c>
      <c r="U2803" s="3" t="str">
        <f>IFERROR(__xludf.DUMMYFUNCTION("""COMPUTED_VALUE"""),"01 K.Tuangtham M.")</f>
        <v>01 K.Tuangtham M.</v>
      </c>
      <c r="V2803" s="3" t="str">
        <f>IFERROR(__xludf.DUMMYFUNCTION("""COMPUTED_VALUE"""),"N")</f>
        <v>N</v>
      </c>
      <c r="W2803" s="3"/>
      <c r="X2803" s="3" t="str">
        <f>IFERROR(__xludf.DUMMYFUNCTION("""COMPUTED_VALUE"""),"141ม.5 ต.นาแซง อ.หล่มเก่า จ.เพชรบูรณ์ 67120")</f>
        <v>141ม.5 ต.นาแซง อ.หล่มเก่า จ.เพชรบูรณ์ 67120</v>
      </c>
      <c r="Y2803" s="3"/>
      <c r="Z2803" s="3" t="str">
        <f>IFERROR(__xludf.DUMMYFUNCTION("""COMPUTED_VALUE"""),"นาแซง")</f>
        <v>นาแซง</v>
      </c>
      <c r="AA2803" s="3" t="str">
        <f>IFERROR(__xludf.DUMMYFUNCTION("""COMPUTED_VALUE"""),"หล่มเก่า")</f>
        <v>หล่มเก่า</v>
      </c>
      <c r="AB2803" s="3" t="str">
        <f>IFERROR(__xludf.DUMMYFUNCTION("""COMPUTED_VALUE"""),"เพชรบูรณ์")</f>
        <v>เพชรบูรณ์</v>
      </c>
      <c r="AC2803" s="3">
        <f>IFERROR(__xludf.DUMMYFUNCTION("""COMPUTED_VALUE"""),67120.0)</f>
        <v>67120</v>
      </c>
      <c r="AD2803" s="3"/>
      <c r="AE2803" s="3"/>
      <c r="AF2803" s="3" t="str">
        <f>IFERROR(__xludf.DUMMYFUNCTION("""COMPUTED_VALUE"""),"ร้านหจก รุ่งโรจน์ อาร์ซีเอส-83637")</f>
        <v>ร้านหจก รุ่งโรจน์ อาร์ซีเอส-83637</v>
      </c>
      <c r="AG2803" s="3" t="str">
        <f>IFERROR(__xludf.DUMMYFUNCTION("""COMPUTED_VALUE"""),"กลาง")</f>
        <v>กลาง</v>
      </c>
      <c r="AH2803" s="3" t="str">
        <f>IFERROR(__xludf.DUMMYFUNCTION("""COMPUTED_VALUE"""),"#N/A")</f>
        <v>#N/A</v>
      </c>
      <c r="AI2803" s="3" t="str">
        <f>IFERROR(__xludf.DUMMYFUNCTION("""COMPUTED_VALUE"""),"Out of warranty")</f>
        <v>Out of warranty</v>
      </c>
      <c r="AJ2803" s="3">
        <f>IFERROR(__xludf.DUMMYFUNCTION("""COMPUTED_VALUE"""),47.0)</f>
        <v>47</v>
      </c>
      <c r="AK2803" s="3"/>
      <c r="AL2803" s="3"/>
    </row>
    <row r="2804" ht="15.75" customHeight="1">
      <c r="A2804" s="1" t="str">
        <f>IFERROR(__xludf.DUMMYFUNCTION("""COMPUTED_VALUE"""),"83638")</f>
        <v>83638</v>
      </c>
      <c r="B2804" s="2">
        <f>IFERROR(__xludf.DUMMYFUNCTION("""COMPUTED_VALUE"""),83638.0)</f>
        <v>83638</v>
      </c>
      <c r="C2804" s="3" t="str">
        <f>IFERROR(__xludf.DUMMYFUNCTION("""COMPUTED_VALUE"""),"ร้านสุดใจพาณิชย์")</f>
        <v>ร้านสุดใจพาณิชย์</v>
      </c>
      <c r="D2804" s="3" t="str">
        <f>IFERROR(__xludf.DUMMYFUNCTION("""COMPUTED_VALUE"""),"ร้านสุดใจพาณิชย์")</f>
        <v>ร้านสุดใจพาณิชย์</v>
      </c>
      <c r="E2804" s="1" t="str">
        <f>IFERROR(__xludf.DUMMYFUNCTION("""COMPUTED_VALUE"""),"Donjai")</f>
        <v>Donjai</v>
      </c>
      <c r="F2804" s="1" t="str">
        <f>IFERROR(__xludf.DUMMYFUNCTION("""COMPUTED_VALUE"""),"296868")</f>
        <v>296868</v>
      </c>
      <c r="G2804" s="1" t="str">
        <f>IFERROR(__xludf.DUMMYFUNCTION("""COMPUTED_VALUE"""),"นายพีระพงษ์ แก้วดวงดี")</f>
        <v>นายพีระพงษ์ แก้วดวงดี</v>
      </c>
      <c r="H2804" s="1" t="str">
        <f>IFERROR(__xludf.DUMMYFUNCTION("""COMPUTED_VALUE"""),"296868")</f>
        <v>296868</v>
      </c>
      <c r="I2804" s="1" t="str">
        <f>IFERROR(__xludf.DUMMYFUNCTION("""COMPUTED_VALUE"""),"นายพีระพงษ์ แก้วดวงดี")</f>
        <v>นายพีระพงษ์ แก้วดวงดี</v>
      </c>
      <c r="J2804" s="3">
        <f>IFERROR(__xludf.DUMMYFUNCTION("""COMPUTED_VALUE"""),295886.0)</f>
        <v>295886</v>
      </c>
      <c r="K2804" s="3" t="str">
        <f>IFERROR(__xludf.DUMMYFUNCTION("""COMPUTED_VALUE"""),"นายจิระพงษ์ โพธิ์นิล")</f>
        <v>นายจิระพงษ์ โพธิ์นิล</v>
      </c>
      <c r="L2804" s="1" t="str">
        <f>IFERROR(__xludf.DUMMYFUNCTION("""COMPUTED_VALUE"""),"นายจิระพงษ์ โพธิ์นิล")</f>
        <v>นายจิระพงษ์ โพธิ์นิล</v>
      </c>
      <c r="M2804" s="1" t="str">
        <f>IFERROR(__xludf.DUMMYFUNCTION("""COMPUTED_VALUE"""),"0933290754")</f>
        <v>0933290754</v>
      </c>
      <c r="N2804" s="3">
        <f>IFERROR(__xludf.DUMMYFUNCTION("""COMPUTED_VALUE"""),83638.0)</f>
        <v>83638</v>
      </c>
      <c r="O2804" s="3" t="str">
        <f>IFERROR(__xludf.DUMMYFUNCTION("""COMPUTED_VALUE"""),"ร้านสุดใจพาณิชย์")</f>
        <v>ร้านสุดใจพาณิชย์</v>
      </c>
      <c r="P2804" s="4">
        <f>IFERROR(__xludf.DUMMYFUNCTION("""COMPUTED_VALUE"""),44632.0)</f>
        <v>44632</v>
      </c>
      <c r="Q2804" s="3" t="str">
        <f>IFERROR(__xludf.DUMMYFUNCTION("""COMPUTED_VALUE"""),"A")</f>
        <v>A</v>
      </c>
      <c r="R2804" s="3" t="str">
        <f>IFERROR(__xludf.DUMMYFUNCTION("""COMPUTED_VALUE"""),"Small Format")</f>
        <v>Small Format</v>
      </c>
      <c r="S2804" s="3" t="str">
        <f>IFERROR(__xludf.DUMMYFUNCTION("""COMPUTED_VALUE"""),"Donjai")</f>
        <v>Donjai</v>
      </c>
      <c r="T2804" s="3" t="str">
        <f>IFERROR(__xludf.DUMMYFUNCTION("""COMPUTED_VALUE"""),"03 K.Peerapong K.")</f>
        <v>03 K.Peerapong K.</v>
      </c>
      <c r="U2804" s="3" t="str">
        <f>IFERROR(__xludf.DUMMYFUNCTION("""COMPUTED_VALUE"""),"03 K.Peerapong K.")</f>
        <v>03 K.Peerapong K.</v>
      </c>
      <c r="V2804" s="3" t="str">
        <f>IFERROR(__xludf.DUMMYFUNCTION("""COMPUTED_VALUE"""),"N")</f>
        <v>N</v>
      </c>
      <c r="W2804" s="3"/>
      <c r="X2804" s="3" t="str">
        <f>IFERROR(__xludf.DUMMYFUNCTION("""COMPUTED_VALUE"""),"49 หมู่ 16 ต.เฝ้าไร่ อ.เฝ้าไร่ จ.หนองคาย")</f>
        <v>49 หมู่ 16 ต.เฝ้าไร่ อ.เฝ้าไร่ จ.หนองคาย</v>
      </c>
      <c r="Y2804" s="3"/>
      <c r="Z2804" s="3">
        <f>IFERROR(__xludf.DUMMYFUNCTION("""COMPUTED_VALUE"""),0.0)</f>
        <v>0</v>
      </c>
      <c r="AA2804" s="3">
        <f>IFERROR(__xludf.DUMMYFUNCTION("""COMPUTED_VALUE"""),0.0)</f>
        <v>0</v>
      </c>
      <c r="AB2804" s="3" t="str">
        <f>IFERROR(__xludf.DUMMYFUNCTION("""COMPUTED_VALUE"""),"หนองคาย")</f>
        <v>หนองคาย</v>
      </c>
      <c r="AC2804" s="3">
        <f>IFERROR(__xludf.DUMMYFUNCTION("""COMPUTED_VALUE"""),0.0)</f>
        <v>0</v>
      </c>
      <c r="AD2804" s="3"/>
      <c r="AE2804" s="3"/>
      <c r="AF2804" s="3" t="str">
        <f>IFERROR(__xludf.DUMMYFUNCTION("""COMPUTED_VALUE"""),"ร้านสุดใจพาณิชย์-83638")</f>
        <v>ร้านสุดใจพาณิชย์-83638</v>
      </c>
      <c r="AG2804" s="3" t="str">
        <f>IFERROR(__xludf.DUMMYFUNCTION("""COMPUTED_VALUE"""),"ตะวันออกเฉียงเหนือ")</f>
        <v>ตะวันออกเฉียงเหนือ</v>
      </c>
      <c r="AH2804" s="3" t="str">
        <f>IFERROR(__xludf.DUMMYFUNCTION("""COMPUTED_VALUE"""),"#N/A")</f>
        <v>#N/A</v>
      </c>
      <c r="AI2804" s="3" t="str">
        <f>IFERROR(__xludf.DUMMYFUNCTION("""COMPUTED_VALUE"""),"Out of warranty")</f>
        <v>Out of warranty</v>
      </c>
      <c r="AJ2804" s="3">
        <f>IFERROR(__xludf.DUMMYFUNCTION("""COMPUTED_VALUE"""),47.0)</f>
        <v>47</v>
      </c>
      <c r="AK2804" s="3"/>
      <c r="AL2804" s="3"/>
    </row>
    <row r="2805" ht="15.75" customHeight="1">
      <c r="A2805" s="1" t="str">
        <f>IFERROR(__xludf.DUMMYFUNCTION("""COMPUTED_VALUE"""),"83639")</f>
        <v>83639</v>
      </c>
      <c r="B2805" s="2">
        <f>IFERROR(__xludf.DUMMYFUNCTION("""COMPUTED_VALUE"""),83639.0)</f>
        <v>83639</v>
      </c>
      <c r="C2805" s="3" t="str">
        <f>IFERROR(__xludf.DUMMYFUNCTION("""COMPUTED_VALUE"""),"CYR พาณิชย์การค้า")</f>
        <v>CYR พาณิชย์การค้า</v>
      </c>
      <c r="D2805" s="3" t="str">
        <f>IFERROR(__xludf.DUMMYFUNCTION("""COMPUTED_VALUE"""),"CYR พาณิชย์การค้า")</f>
        <v>CYR พาณิชย์การค้า</v>
      </c>
      <c r="E2805" s="1" t="str">
        <f>IFERROR(__xludf.DUMMYFUNCTION("""COMPUTED_VALUE"""),"Donjai")</f>
        <v>Donjai</v>
      </c>
      <c r="F2805" s="1" t="str">
        <f>IFERROR(__xludf.DUMMYFUNCTION("""COMPUTED_VALUE"""),"20470331")</f>
        <v>20470331</v>
      </c>
      <c r="G2805" s="1" t="str">
        <f>IFERROR(__xludf.DUMMYFUNCTION("""COMPUTED_VALUE"""),"นายสมชาย ลักษณะสุวรรณ")</f>
        <v>นายสมชาย ลักษณะสุวรรณ</v>
      </c>
      <c r="H2805" s="1" t="str">
        <f>IFERROR(__xludf.DUMMYFUNCTION("""COMPUTED_VALUE"""),"20470331")</f>
        <v>20470331</v>
      </c>
      <c r="I2805" s="1" t="str">
        <f>IFERROR(__xludf.DUMMYFUNCTION("""COMPUTED_VALUE"""),"นายสมชาย ลักษณะสุวรรณ")</f>
        <v>นายสมชาย ลักษณะสุวรรณ</v>
      </c>
      <c r="J2805" s="3">
        <f>IFERROR(__xludf.DUMMYFUNCTION("""COMPUTED_VALUE"""),295541.0)</f>
        <v>295541</v>
      </c>
      <c r="K2805" s="3" t="str">
        <f>IFERROR(__xludf.DUMMYFUNCTION("""COMPUTED_VALUE"""),"นายรพิพล ศรีมาตย์")</f>
        <v>นายรพิพล ศรีมาตย์</v>
      </c>
      <c r="L2805" s="1" t="str">
        <f>IFERROR(__xludf.DUMMYFUNCTION("""COMPUTED_VALUE"""),"นายรพิพล ศรีมาตย์")</f>
        <v>นายรพิพล ศรีมาตย์</v>
      </c>
      <c r="M2805" s="1" t="str">
        <f>IFERROR(__xludf.DUMMYFUNCTION("""COMPUTED_VALUE"""),"0613966115")</f>
        <v>0613966115</v>
      </c>
      <c r="N2805" s="3">
        <f>IFERROR(__xludf.DUMMYFUNCTION("""COMPUTED_VALUE"""),83639.0)</f>
        <v>83639</v>
      </c>
      <c r="O2805" s="3" t="str">
        <f>IFERROR(__xludf.DUMMYFUNCTION("""COMPUTED_VALUE"""),"CYR พาณิชย์การค้า")</f>
        <v>CYR พาณิชย์การค้า</v>
      </c>
      <c r="P2805" s="4">
        <f>IFERROR(__xludf.DUMMYFUNCTION("""COMPUTED_VALUE"""),44635.0)</f>
        <v>44635</v>
      </c>
      <c r="Q2805" s="3" t="str">
        <f>IFERROR(__xludf.DUMMYFUNCTION("""COMPUTED_VALUE"""),"I")</f>
        <v>I</v>
      </c>
      <c r="R2805" s="3" t="str">
        <f>IFERROR(__xludf.DUMMYFUNCTION("""COMPUTED_VALUE"""),"Small Format")</f>
        <v>Small Format</v>
      </c>
      <c r="S2805" s="3" t="str">
        <f>IFERROR(__xludf.DUMMYFUNCTION("""COMPUTED_VALUE"""),"Donjai")</f>
        <v>Donjai</v>
      </c>
      <c r="T2805" s="3" t="str">
        <f>IFERROR(__xludf.DUMMYFUNCTION("""COMPUTED_VALUE"""),"15 K.Somchai L")</f>
        <v>15 K.Somchai L</v>
      </c>
      <c r="U2805" s="3" t="str">
        <f>IFERROR(__xludf.DUMMYFUNCTION("""COMPUTED_VALUE"""),"15 K.Somchai L")</f>
        <v>15 K.Somchai L</v>
      </c>
      <c r="V2805" s="3" t="str">
        <f>IFERROR(__xludf.DUMMYFUNCTION("""COMPUTED_VALUE"""),"N")</f>
        <v>N</v>
      </c>
      <c r="W2805" s="3"/>
      <c r="X2805" s="3" t="str">
        <f>IFERROR(__xludf.DUMMYFUNCTION("""COMPUTED_VALUE"""),"127/1 ม.5 ต.หินตก อ.ร่อนพิบูลย์ นครศรีธรรมราช")</f>
        <v>127/1 ม.5 ต.หินตก อ.ร่อนพิบูลย์ นครศรีธรรมราช</v>
      </c>
      <c r="Y2805" s="3"/>
      <c r="Z2805" s="3">
        <f>IFERROR(__xludf.DUMMYFUNCTION("""COMPUTED_VALUE"""),0.0)</f>
        <v>0</v>
      </c>
      <c r="AA2805" s="3">
        <f>IFERROR(__xludf.DUMMYFUNCTION("""COMPUTED_VALUE"""),0.0)</f>
        <v>0</v>
      </c>
      <c r="AB2805" s="3" t="str">
        <f>IFERROR(__xludf.DUMMYFUNCTION("""COMPUTED_VALUE"""),"นครศรีธรรมราช")</f>
        <v>นครศรีธรรมราช</v>
      </c>
      <c r="AC2805" s="3">
        <f>IFERROR(__xludf.DUMMYFUNCTION("""COMPUTED_VALUE"""),0.0)</f>
        <v>0</v>
      </c>
      <c r="AD2805" s="3"/>
      <c r="AE2805" s="3"/>
      <c r="AF2805" s="3" t="str">
        <f>IFERROR(__xludf.DUMMYFUNCTION("""COMPUTED_VALUE"""),"CYR พาณิชย์การค้า-83639")</f>
        <v>CYR พาณิชย์การค้า-83639</v>
      </c>
      <c r="AG2805" s="3" t="str">
        <f>IFERROR(__xludf.DUMMYFUNCTION("""COMPUTED_VALUE"""),"ใต้")</f>
        <v>ใต้</v>
      </c>
      <c r="AH2805" s="3" t="str">
        <f>IFERROR(__xludf.DUMMYFUNCTION("""COMPUTED_VALUE"""),"#N/A")</f>
        <v>#N/A</v>
      </c>
      <c r="AI2805" s="3" t="str">
        <f>IFERROR(__xludf.DUMMYFUNCTION("""COMPUTED_VALUE"""),"Out of warranty")</f>
        <v>Out of warranty</v>
      </c>
      <c r="AJ2805" s="3">
        <f>IFERROR(__xludf.DUMMYFUNCTION("""COMPUTED_VALUE"""),47.0)</f>
        <v>47</v>
      </c>
      <c r="AK2805" s="3"/>
      <c r="AL2805" s="3"/>
    </row>
    <row r="2806" ht="15.75" customHeight="1">
      <c r="A2806" s="1" t="str">
        <f>IFERROR(__xludf.DUMMYFUNCTION("""COMPUTED_VALUE"""),"83640")</f>
        <v>83640</v>
      </c>
      <c r="B2806" s="2">
        <f>IFERROR(__xludf.DUMMYFUNCTION("""COMPUTED_VALUE"""),83640.0)</f>
        <v>83640</v>
      </c>
      <c r="C2806" s="3" t="str">
        <f>IFERROR(__xludf.DUMMYFUNCTION("""COMPUTED_VALUE"""),"Good Morning")</f>
        <v>Good Morning</v>
      </c>
      <c r="D2806" s="3" t="str">
        <f>IFERROR(__xludf.DUMMYFUNCTION("""COMPUTED_VALUE"""),"Good Morning")</f>
        <v>Good Morning</v>
      </c>
      <c r="E2806" s="1" t="str">
        <f>IFERROR(__xludf.DUMMYFUNCTION("""COMPUTED_VALUE"""),"Donjai")</f>
        <v>Donjai</v>
      </c>
      <c r="F2806" s="1" t="str">
        <f>IFERROR(__xludf.DUMMYFUNCTION("""COMPUTED_VALUE"""),"2454781")</f>
        <v>2454781</v>
      </c>
      <c r="G2806" s="1" t="str">
        <f>IFERROR(__xludf.DUMMYFUNCTION("""COMPUTED_VALUE"""),"นายฌานกฤช นันทะโคต")</f>
        <v>นายฌานกฤช นันทะโคต</v>
      </c>
      <c r="H2806" s="1" t="str">
        <f>IFERROR(__xludf.DUMMYFUNCTION("""COMPUTED_VALUE"""),"2454781")</f>
        <v>2454781</v>
      </c>
      <c r="I2806" s="1" t="str">
        <f>IFERROR(__xludf.DUMMYFUNCTION("""COMPUTED_VALUE"""),"นายฌานกฤช นันทะโคต")</f>
        <v>นายฌานกฤช นันทะโคต</v>
      </c>
      <c r="J2806" s="3">
        <f>IFERROR(__xludf.DUMMYFUNCTION("""COMPUTED_VALUE"""),295886.0)</f>
        <v>295886</v>
      </c>
      <c r="K2806" s="3" t="str">
        <f>IFERROR(__xludf.DUMMYFUNCTION("""COMPUTED_VALUE"""),"นายจิระพงษ์ โพธิ์นิล")</f>
        <v>นายจิระพงษ์ โพธิ์นิล</v>
      </c>
      <c r="L2806" s="1" t="str">
        <f>IFERROR(__xludf.DUMMYFUNCTION("""COMPUTED_VALUE"""),"นายจิระพงษ์ โพธิ์นิล")</f>
        <v>นายจิระพงษ์ โพธิ์นิล</v>
      </c>
      <c r="M2806" s="1" t="str">
        <f>IFERROR(__xludf.DUMMYFUNCTION("""COMPUTED_VALUE"""),"0933290754")</f>
        <v>0933290754</v>
      </c>
      <c r="N2806" s="3">
        <f>IFERROR(__xludf.DUMMYFUNCTION("""COMPUTED_VALUE"""),83640.0)</f>
        <v>83640</v>
      </c>
      <c r="O2806" s="3" t="str">
        <f>IFERROR(__xludf.DUMMYFUNCTION("""COMPUTED_VALUE"""),"Good Morning")</f>
        <v>Good Morning</v>
      </c>
      <c r="P2806" s="4">
        <f>IFERROR(__xludf.DUMMYFUNCTION("""COMPUTED_VALUE"""),44631.0)</f>
        <v>44631</v>
      </c>
      <c r="Q2806" s="3" t="str">
        <f>IFERROR(__xludf.DUMMYFUNCTION("""COMPUTED_VALUE"""),"A")</f>
        <v>A</v>
      </c>
      <c r="R2806" s="3" t="str">
        <f>IFERROR(__xludf.DUMMYFUNCTION("""COMPUTED_VALUE"""),"Small Format")</f>
        <v>Small Format</v>
      </c>
      <c r="S2806" s="3" t="str">
        <f>IFERROR(__xludf.DUMMYFUNCTION("""COMPUTED_VALUE"""),"Donjai")</f>
        <v>Donjai</v>
      </c>
      <c r="T2806" s="3" t="str">
        <f>IFERROR(__xludf.DUMMYFUNCTION("""COMPUTED_VALUE"""),"05 K.Chanakrit N.")</f>
        <v>05 K.Chanakrit N.</v>
      </c>
      <c r="U2806" s="3" t="str">
        <f>IFERROR(__xludf.DUMMYFUNCTION("""COMPUTED_VALUE"""),"05 K.Chanakrit N.")</f>
        <v>05 K.Chanakrit N.</v>
      </c>
      <c r="V2806" s="3" t="str">
        <f>IFERROR(__xludf.DUMMYFUNCTION("""COMPUTED_VALUE"""),"N")</f>
        <v>N</v>
      </c>
      <c r="W2806" s="3"/>
      <c r="X2806" s="3" t="str">
        <f>IFERROR(__xludf.DUMMYFUNCTION("""COMPUTED_VALUE"""),"42/145 หมู่ 3 ต.โชคชัย อ.นิคมคำสร้อย")</f>
        <v>42/145 หมู่ 3 ต.โชคชัย อ.นิคมคำสร้อย</v>
      </c>
      <c r="Y2806" s="3"/>
      <c r="Z2806" s="3">
        <f>IFERROR(__xludf.DUMMYFUNCTION("""COMPUTED_VALUE"""),0.0)</f>
        <v>0</v>
      </c>
      <c r="AA2806" s="3">
        <f>IFERROR(__xludf.DUMMYFUNCTION("""COMPUTED_VALUE"""),0.0)</f>
        <v>0</v>
      </c>
      <c r="AB2806" s="3" t="str">
        <f>IFERROR(__xludf.DUMMYFUNCTION("""COMPUTED_VALUE"""),"มุกดาหาร")</f>
        <v>มุกดาหาร</v>
      </c>
      <c r="AC2806" s="3">
        <f>IFERROR(__xludf.DUMMYFUNCTION("""COMPUTED_VALUE"""),0.0)</f>
        <v>0</v>
      </c>
      <c r="AD2806" s="3"/>
      <c r="AE2806" s="3"/>
      <c r="AF2806" s="3" t="str">
        <f>IFERROR(__xludf.DUMMYFUNCTION("""COMPUTED_VALUE"""),"Good Morning-83640")</f>
        <v>Good Morning-83640</v>
      </c>
      <c r="AG2806" s="3" t="str">
        <f>IFERROR(__xludf.DUMMYFUNCTION("""COMPUTED_VALUE"""),"ตะวันออกเฉียงเหนือ")</f>
        <v>ตะวันออกเฉียงเหนือ</v>
      </c>
      <c r="AH2806" s="3" t="str">
        <f>IFERROR(__xludf.DUMMYFUNCTION("""COMPUTED_VALUE"""),"#N/A")</f>
        <v>#N/A</v>
      </c>
      <c r="AI2806" s="3" t="str">
        <f>IFERROR(__xludf.DUMMYFUNCTION("""COMPUTED_VALUE"""),"Out of warranty")</f>
        <v>Out of warranty</v>
      </c>
      <c r="AJ2806" s="3">
        <f>IFERROR(__xludf.DUMMYFUNCTION("""COMPUTED_VALUE"""),47.0)</f>
        <v>47</v>
      </c>
      <c r="AK2806" s="3"/>
      <c r="AL2806" s="3"/>
    </row>
    <row r="2807" ht="15.75" customHeight="1">
      <c r="A2807" s="1" t="str">
        <f>IFERROR(__xludf.DUMMYFUNCTION("""COMPUTED_VALUE"""),"83642")</f>
        <v>83642</v>
      </c>
      <c r="B2807" s="2">
        <f>IFERROR(__xludf.DUMMYFUNCTION("""COMPUTED_VALUE"""),83642.0)</f>
        <v>83642</v>
      </c>
      <c r="C2807" s="3" t="str">
        <f>IFERROR(__xludf.DUMMYFUNCTION("""COMPUTED_VALUE"""),"ร้านเพ็ญศรีพาณิชย์")</f>
        <v>ร้านเพ็ญศรีพาณิชย์</v>
      </c>
      <c r="D2807" s="3" t="str">
        <f>IFERROR(__xludf.DUMMYFUNCTION("""COMPUTED_VALUE"""),"ร้านเพ็ญศรีพาณิชย์")</f>
        <v>ร้านเพ็ญศรีพาณิชย์</v>
      </c>
      <c r="E2807" s="1" t="str">
        <f>IFERROR(__xludf.DUMMYFUNCTION("""COMPUTED_VALUE"""),"Donjai")</f>
        <v>Donjai</v>
      </c>
      <c r="F2807" s="1" t="str">
        <f>IFERROR(__xludf.DUMMYFUNCTION("""COMPUTED_VALUE"""),"2454781")</f>
        <v>2454781</v>
      </c>
      <c r="G2807" s="1" t="str">
        <f>IFERROR(__xludf.DUMMYFUNCTION("""COMPUTED_VALUE"""),"นายฌานกฤช นันทะโคต")</f>
        <v>นายฌานกฤช นันทะโคต</v>
      </c>
      <c r="H2807" s="1" t="str">
        <f>IFERROR(__xludf.DUMMYFUNCTION("""COMPUTED_VALUE"""),"2454781")</f>
        <v>2454781</v>
      </c>
      <c r="I2807" s="1" t="str">
        <f>IFERROR(__xludf.DUMMYFUNCTION("""COMPUTED_VALUE"""),"นายฌานกฤช นันทะโคต")</f>
        <v>นายฌานกฤช นันทะโคต</v>
      </c>
      <c r="J2807" s="3">
        <f>IFERROR(__xludf.DUMMYFUNCTION("""COMPUTED_VALUE"""),295886.0)</f>
        <v>295886</v>
      </c>
      <c r="K2807" s="3" t="str">
        <f>IFERROR(__xludf.DUMMYFUNCTION("""COMPUTED_VALUE"""),"นายจิระพงษ์ โพธิ์นิล")</f>
        <v>นายจิระพงษ์ โพธิ์นิล</v>
      </c>
      <c r="L2807" s="1" t="str">
        <f>IFERROR(__xludf.DUMMYFUNCTION("""COMPUTED_VALUE"""),"นายจิระพงษ์ โพธิ์นิล")</f>
        <v>นายจิระพงษ์ โพธิ์นิล</v>
      </c>
      <c r="M2807" s="1" t="str">
        <f>IFERROR(__xludf.DUMMYFUNCTION("""COMPUTED_VALUE"""),"0933290754")</f>
        <v>0933290754</v>
      </c>
      <c r="N2807" s="3">
        <f>IFERROR(__xludf.DUMMYFUNCTION("""COMPUTED_VALUE"""),83642.0)</f>
        <v>83642</v>
      </c>
      <c r="O2807" s="3" t="str">
        <f>IFERROR(__xludf.DUMMYFUNCTION("""COMPUTED_VALUE"""),"ร้านเพ็ญศรีพาณิชย์")</f>
        <v>ร้านเพ็ญศรีพาณิชย์</v>
      </c>
      <c r="P2807" s="4">
        <f>IFERROR(__xludf.DUMMYFUNCTION("""COMPUTED_VALUE"""),44615.0)</f>
        <v>44615</v>
      </c>
      <c r="Q2807" s="3" t="str">
        <f>IFERROR(__xludf.DUMMYFUNCTION("""COMPUTED_VALUE"""),"I")</f>
        <v>I</v>
      </c>
      <c r="R2807" s="3" t="str">
        <f>IFERROR(__xludf.DUMMYFUNCTION("""COMPUTED_VALUE"""),"Small Format")</f>
        <v>Small Format</v>
      </c>
      <c r="S2807" s="3" t="str">
        <f>IFERROR(__xludf.DUMMYFUNCTION("""COMPUTED_VALUE"""),"Donjai")</f>
        <v>Donjai</v>
      </c>
      <c r="T2807" s="3" t="str">
        <f>IFERROR(__xludf.DUMMYFUNCTION("""COMPUTED_VALUE"""),"05 K.Chanakrit N.")</f>
        <v>05 K.Chanakrit N.</v>
      </c>
      <c r="U2807" s="3" t="str">
        <f>IFERROR(__xludf.DUMMYFUNCTION("""COMPUTED_VALUE"""),"05 K.Chanakrit N.")</f>
        <v>05 K.Chanakrit N.</v>
      </c>
      <c r="V2807" s="3" t="str">
        <f>IFERROR(__xludf.DUMMYFUNCTION("""COMPUTED_VALUE"""),"N")</f>
        <v>N</v>
      </c>
      <c r="W2807" s="3"/>
      <c r="X2807" s="3" t="str">
        <f>IFERROR(__xludf.DUMMYFUNCTION("""COMPUTED_VALUE"""),"45 หมู่ 11 ต.โดด อ.โพธิ์ศรีสุวรรณ จังหวัด ศรีสะเกษ")</f>
        <v>45 หมู่ 11 ต.โดด อ.โพธิ์ศรีสุวรรณ จังหวัด ศรีสะเกษ</v>
      </c>
      <c r="Y2807" s="3"/>
      <c r="Z2807" s="3">
        <f>IFERROR(__xludf.DUMMYFUNCTION("""COMPUTED_VALUE"""),0.0)</f>
        <v>0</v>
      </c>
      <c r="AA2807" s="3">
        <f>IFERROR(__xludf.DUMMYFUNCTION("""COMPUTED_VALUE"""),0.0)</f>
        <v>0</v>
      </c>
      <c r="AB2807" s="3" t="str">
        <f>IFERROR(__xludf.DUMMYFUNCTION("""COMPUTED_VALUE"""),"ศรีสะเกษ")</f>
        <v>ศรีสะเกษ</v>
      </c>
      <c r="AC2807" s="3">
        <f>IFERROR(__xludf.DUMMYFUNCTION("""COMPUTED_VALUE"""),0.0)</f>
        <v>0</v>
      </c>
      <c r="AD2807" s="3"/>
      <c r="AE2807" s="3"/>
      <c r="AF2807" s="3" t="str">
        <f>IFERROR(__xludf.DUMMYFUNCTION("""COMPUTED_VALUE"""),"ร้านเพ็ญศรีพาณิชย์-83642")</f>
        <v>ร้านเพ็ญศรีพาณิชย์-83642</v>
      </c>
      <c r="AG2807" s="3" t="str">
        <f>IFERROR(__xludf.DUMMYFUNCTION("""COMPUTED_VALUE"""),"ตะวันออกเฉียงเหนือ")</f>
        <v>ตะวันออกเฉียงเหนือ</v>
      </c>
      <c r="AH2807" s="3" t="str">
        <f>IFERROR(__xludf.DUMMYFUNCTION("""COMPUTED_VALUE"""),"#N/A")</f>
        <v>#N/A</v>
      </c>
      <c r="AI2807" s="3" t="str">
        <f>IFERROR(__xludf.DUMMYFUNCTION("""COMPUTED_VALUE"""),"Out of warranty")</f>
        <v>Out of warranty</v>
      </c>
      <c r="AJ2807" s="3">
        <f>IFERROR(__xludf.DUMMYFUNCTION("""COMPUTED_VALUE"""),47.0)</f>
        <v>47</v>
      </c>
      <c r="AK2807" s="3"/>
      <c r="AL2807" s="3"/>
    </row>
    <row r="2808" ht="15.75" customHeight="1">
      <c r="A2808" s="1" t="str">
        <f>IFERROR(__xludf.DUMMYFUNCTION("""COMPUTED_VALUE"""),"83643")</f>
        <v>83643</v>
      </c>
      <c r="B2808" s="2">
        <f>IFERROR(__xludf.DUMMYFUNCTION("""COMPUTED_VALUE"""),83643.0)</f>
        <v>83643</v>
      </c>
      <c r="C2808" s="3" t="str">
        <f>IFERROR(__xludf.DUMMYFUNCTION("""COMPUTED_VALUE"""),"ร้านธรรมละ เจริญทัพย์ (วีด้า ค้าเจริญ)")</f>
        <v>ร้านธรรมละ เจริญทัพย์ (วีด้า ค้าเจริญ)</v>
      </c>
      <c r="D2808" s="3" t="str">
        <f>IFERROR(__xludf.DUMMYFUNCTION("""COMPUTED_VALUE"""),"ร้านธรรมละ เจริญทัพย์ (วีด้า ค้าเจริญ)")</f>
        <v>ร้านธรรมละ เจริญทัพย์ (วีด้า ค้าเจริญ)</v>
      </c>
      <c r="E2808" s="1" t="str">
        <f>IFERROR(__xludf.DUMMYFUNCTION("""COMPUTED_VALUE"""),"Donjai")</f>
        <v>Donjai</v>
      </c>
      <c r="F2808" s="1" t="str">
        <f>IFERROR(__xludf.DUMMYFUNCTION("""COMPUTED_VALUE"""),"2454781")</f>
        <v>2454781</v>
      </c>
      <c r="G2808" s="1" t="str">
        <f>IFERROR(__xludf.DUMMYFUNCTION("""COMPUTED_VALUE"""),"นายฌานกฤช นันทะโคต")</f>
        <v>นายฌานกฤช นันทะโคต</v>
      </c>
      <c r="H2808" s="1" t="str">
        <f>IFERROR(__xludf.DUMMYFUNCTION("""COMPUTED_VALUE"""),"2454781")</f>
        <v>2454781</v>
      </c>
      <c r="I2808" s="1" t="str">
        <f>IFERROR(__xludf.DUMMYFUNCTION("""COMPUTED_VALUE"""),"นายฌานกฤช นันทะโคต")</f>
        <v>นายฌานกฤช นันทะโคต</v>
      </c>
      <c r="J2808" s="3">
        <f>IFERROR(__xludf.DUMMYFUNCTION("""COMPUTED_VALUE"""),295886.0)</f>
        <v>295886</v>
      </c>
      <c r="K2808" s="3" t="str">
        <f>IFERROR(__xludf.DUMMYFUNCTION("""COMPUTED_VALUE"""),"นายจิระพงษ์ โพธิ์นิล")</f>
        <v>นายจิระพงษ์ โพธิ์นิล</v>
      </c>
      <c r="L2808" s="1" t="str">
        <f>IFERROR(__xludf.DUMMYFUNCTION("""COMPUTED_VALUE"""),"นายจิระพงษ์ โพธิ์นิล")</f>
        <v>นายจิระพงษ์ โพธิ์นิล</v>
      </c>
      <c r="M2808" s="1" t="str">
        <f>IFERROR(__xludf.DUMMYFUNCTION("""COMPUTED_VALUE"""),"0933290754")</f>
        <v>0933290754</v>
      </c>
      <c r="N2808" s="3">
        <f>IFERROR(__xludf.DUMMYFUNCTION("""COMPUTED_VALUE"""),83643.0)</f>
        <v>83643</v>
      </c>
      <c r="O2808" s="3" t="str">
        <f>IFERROR(__xludf.DUMMYFUNCTION("""COMPUTED_VALUE"""),"ร้านธรรมละ เจริญทัพย์ (วีด้า ค้าเจริญ)")</f>
        <v>ร้านธรรมละ เจริญทัพย์ (วีด้า ค้าเจริญ)</v>
      </c>
      <c r="P2808" s="4">
        <f>IFERROR(__xludf.DUMMYFUNCTION("""COMPUTED_VALUE"""),44652.0)</f>
        <v>44652</v>
      </c>
      <c r="Q2808" s="3" t="str">
        <f>IFERROR(__xludf.DUMMYFUNCTION("""COMPUTED_VALUE"""),"A")</f>
        <v>A</v>
      </c>
      <c r="R2808" s="3" t="str">
        <f>IFERROR(__xludf.DUMMYFUNCTION("""COMPUTED_VALUE"""),"Small Format")</f>
        <v>Small Format</v>
      </c>
      <c r="S2808" s="3" t="str">
        <f>IFERROR(__xludf.DUMMYFUNCTION("""COMPUTED_VALUE"""),"Donjai")</f>
        <v>Donjai</v>
      </c>
      <c r="T2808" s="3" t="str">
        <f>IFERROR(__xludf.DUMMYFUNCTION("""COMPUTED_VALUE"""),"05 K.Chanakrit N.")</f>
        <v>05 K.Chanakrit N.</v>
      </c>
      <c r="U2808" s="3" t="str">
        <f>IFERROR(__xludf.DUMMYFUNCTION("""COMPUTED_VALUE"""),"05 K.Chanakrit N.")</f>
        <v>05 K.Chanakrit N.</v>
      </c>
      <c r="V2808" s="3" t="str">
        <f>IFERROR(__xludf.DUMMYFUNCTION("""COMPUTED_VALUE"""),"N")</f>
        <v>N</v>
      </c>
      <c r="W2808" s="3"/>
      <c r="X2808" s="3" t="str">
        <f>IFERROR(__xludf.DUMMYFUNCTION("""COMPUTED_VALUE"""),"157 หมู่บ้านธรรมดะ ค.โพนเมือง อ.เหล่าเสือโก้ก จ.อุบลราชธานี")</f>
        <v>157 หมู่บ้านธรรมดะ ค.โพนเมือง อ.เหล่าเสือโก้ก จ.อุบลราชธานี</v>
      </c>
      <c r="Y2808" s="3"/>
      <c r="Z2808" s="3">
        <f>IFERROR(__xludf.DUMMYFUNCTION("""COMPUTED_VALUE"""),0.0)</f>
        <v>0</v>
      </c>
      <c r="AA2808" s="3">
        <f>IFERROR(__xludf.DUMMYFUNCTION("""COMPUTED_VALUE"""),0.0)</f>
        <v>0</v>
      </c>
      <c r="AB2808" s="3" t="str">
        <f>IFERROR(__xludf.DUMMYFUNCTION("""COMPUTED_VALUE"""),"อุบลราชธานี")</f>
        <v>อุบลราชธานี</v>
      </c>
      <c r="AC2808" s="3">
        <f>IFERROR(__xludf.DUMMYFUNCTION("""COMPUTED_VALUE"""),0.0)</f>
        <v>0</v>
      </c>
      <c r="AD2808" s="3"/>
      <c r="AE2808" s="3"/>
      <c r="AF2808" s="3" t="str">
        <f>IFERROR(__xludf.DUMMYFUNCTION("""COMPUTED_VALUE"""),"ร้านธรรมละ เจริญทัพย์ (วีด้า ค้าเจริญ)-83643")</f>
        <v>ร้านธรรมละ เจริญทัพย์ (วีด้า ค้าเจริญ)-83643</v>
      </c>
      <c r="AG2808" s="3" t="str">
        <f>IFERROR(__xludf.DUMMYFUNCTION("""COMPUTED_VALUE"""),"ตะวันออกเฉียงเหนือ")</f>
        <v>ตะวันออกเฉียงเหนือ</v>
      </c>
      <c r="AH2808" s="3" t="str">
        <f>IFERROR(__xludf.DUMMYFUNCTION("""COMPUTED_VALUE"""),"#N/A")</f>
        <v>#N/A</v>
      </c>
      <c r="AI2808" s="3" t="str">
        <f>IFERROR(__xludf.DUMMYFUNCTION("""COMPUTED_VALUE"""),"Out of warranty")</f>
        <v>Out of warranty</v>
      </c>
      <c r="AJ2808" s="3">
        <f>IFERROR(__xludf.DUMMYFUNCTION("""COMPUTED_VALUE"""),46.0)</f>
        <v>46</v>
      </c>
      <c r="AK2808" s="3"/>
      <c r="AL2808" s="3"/>
    </row>
    <row r="2809" ht="15.75" customHeight="1">
      <c r="A2809" s="1" t="str">
        <f>IFERROR(__xludf.DUMMYFUNCTION("""COMPUTED_VALUE"""),"83644")</f>
        <v>83644</v>
      </c>
      <c r="B2809" s="2">
        <f>IFERROR(__xludf.DUMMYFUNCTION("""COMPUTED_VALUE"""),83644.0)</f>
        <v>83644</v>
      </c>
      <c r="C2809" s="3" t="str">
        <f>IFERROR(__xludf.DUMMYFUNCTION("""COMPUTED_VALUE"""),"ร้าน V shop ราชวัตร")</f>
        <v>ร้าน V shop ราชวัตร</v>
      </c>
      <c r="D2809" s="3" t="str">
        <f>IFERROR(__xludf.DUMMYFUNCTION("""COMPUTED_VALUE"""),"ร้าน V shop ราชวัตร")</f>
        <v>ร้าน V shop ราชวัตร</v>
      </c>
      <c r="E2809" s="1" t="str">
        <f>IFERROR(__xludf.DUMMYFUNCTION("""COMPUTED_VALUE"""),"Donjai")</f>
        <v>Donjai</v>
      </c>
      <c r="F2809" s="1" t="str">
        <f>IFERROR(__xludf.DUMMYFUNCTION("""COMPUTED_VALUE"""),"296608")</f>
        <v>296608</v>
      </c>
      <c r="G2809" s="1" t="str">
        <f>IFERROR(__xludf.DUMMYFUNCTION("""COMPUTED_VALUE"""),"นายภาคภูมิ เพ็ชรนิล")</f>
        <v>นายภาคภูมิ เพ็ชรนิล</v>
      </c>
      <c r="H2809" s="1" t="str">
        <f>IFERROR(__xludf.DUMMYFUNCTION("""COMPUTED_VALUE"""),"296608")</f>
        <v>296608</v>
      </c>
      <c r="I2809" s="1" t="str">
        <f>IFERROR(__xludf.DUMMYFUNCTION("""COMPUTED_VALUE"""),"นายภาคภูมิ เพ็ชรนิล")</f>
        <v>นายภาคภูมิ เพ็ชรนิล</v>
      </c>
      <c r="J2809" s="3">
        <f>IFERROR(__xludf.DUMMYFUNCTION("""COMPUTED_VALUE"""),228031.0)</f>
        <v>228031</v>
      </c>
      <c r="K2809" s="3" t="str">
        <f>IFERROR(__xludf.DUMMYFUNCTION("""COMPUTED_VALUE"""),"นายธนพงษ์ วันหมัด")</f>
        <v>นายธนพงษ์ วันหมัด</v>
      </c>
      <c r="L2809" s="1" t="str">
        <f>IFERROR(__xludf.DUMMYFUNCTION("""COMPUTED_VALUE"""),"นายธนพงษ์ วันหมัด")</f>
        <v>นายธนพงษ์ วันหมัด</v>
      </c>
      <c r="M2809" s="1" t="str">
        <f>IFERROR(__xludf.DUMMYFUNCTION("""COMPUTED_VALUE"""),"0813716913")</f>
        <v>0813716913</v>
      </c>
      <c r="N2809" s="3">
        <f>IFERROR(__xludf.DUMMYFUNCTION("""COMPUTED_VALUE"""),83644.0)</f>
        <v>83644</v>
      </c>
      <c r="O2809" s="3" t="str">
        <f>IFERROR(__xludf.DUMMYFUNCTION("""COMPUTED_VALUE"""),"ร้าน V shop ราชวัตร")</f>
        <v>ร้าน V shop ราชวัตร</v>
      </c>
      <c r="P2809" s="4">
        <f>IFERROR(__xludf.DUMMYFUNCTION("""COMPUTED_VALUE"""),44648.0)</f>
        <v>44648</v>
      </c>
      <c r="Q2809" s="3" t="str">
        <f>IFERROR(__xludf.DUMMYFUNCTION("""COMPUTED_VALUE"""),"I")</f>
        <v>I</v>
      </c>
      <c r="R2809" s="3" t="str">
        <f>IFERROR(__xludf.DUMMYFUNCTION("""COMPUTED_VALUE"""),"Small Format")</f>
        <v>Small Format</v>
      </c>
      <c r="S2809" s="3" t="str">
        <f>IFERROR(__xludf.DUMMYFUNCTION("""COMPUTED_VALUE"""),"Donjai")</f>
        <v>Donjai</v>
      </c>
      <c r="T2809" s="3" t="str">
        <f>IFERROR(__xludf.DUMMYFUNCTION("""COMPUTED_VALUE"""),"10 K.Phakphoom P.")</f>
        <v>10 K.Phakphoom P.</v>
      </c>
      <c r="U2809" s="3" t="str">
        <f>IFERROR(__xludf.DUMMYFUNCTION("""COMPUTED_VALUE"""),"10 K.Phakphoom P.")</f>
        <v>10 K.Phakphoom P.</v>
      </c>
      <c r="V2809" s="3" t="str">
        <f>IFERROR(__xludf.DUMMYFUNCTION("""COMPUTED_VALUE"""),"N")</f>
        <v>N</v>
      </c>
      <c r="W2809" s="3"/>
      <c r="X2809" s="3" t="str">
        <f>IFERROR(__xludf.DUMMYFUNCTION("""COMPUTED_VALUE"""),"เลขที่ 560/2 ถ พระราม 5 แขวงถนนไชยศรี เขตดุสิต กทม 10300")</f>
        <v>เลขที่ 560/2 ถ พระราม 5 แขวงถนนไชยศรี เขตดุสิต กทม 10300</v>
      </c>
      <c r="Y2809" s="3"/>
      <c r="Z2809" s="3">
        <f>IFERROR(__xludf.DUMMYFUNCTION("""COMPUTED_VALUE"""),0.0)</f>
        <v>0</v>
      </c>
      <c r="AA2809" s="3">
        <f>IFERROR(__xludf.DUMMYFUNCTION("""COMPUTED_VALUE"""),0.0)</f>
        <v>0</v>
      </c>
      <c r="AB2809" s="3" t="str">
        <f>IFERROR(__xludf.DUMMYFUNCTION("""COMPUTED_VALUE"""),"กรุงเทพมหานคร")</f>
        <v>กรุงเทพมหานคร</v>
      </c>
      <c r="AC2809" s="3">
        <f>IFERROR(__xludf.DUMMYFUNCTION("""COMPUTED_VALUE"""),10300.0)</f>
        <v>10300</v>
      </c>
      <c r="AD2809" s="3"/>
      <c r="AE2809" s="3"/>
      <c r="AF2809" s="3" t="str">
        <f>IFERROR(__xludf.DUMMYFUNCTION("""COMPUTED_VALUE"""),"ร้าน V shop ราชวัตร-83644")</f>
        <v>ร้าน V shop ราชวัตร-83644</v>
      </c>
      <c r="AG2809" s="3" t="str">
        <f>IFERROR(__xludf.DUMMYFUNCTION("""COMPUTED_VALUE"""),"กลาง")</f>
        <v>กลาง</v>
      </c>
      <c r="AH2809" s="3" t="str">
        <f>IFERROR(__xludf.DUMMYFUNCTION("""COMPUTED_VALUE"""),"#N/A")</f>
        <v>#N/A</v>
      </c>
      <c r="AI2809" s="3" t="str">
        <f>IFERROR(__xludf.DUMMYFUNCTION("""COMPUTED_VALUE"""),"Out of warranty")</f>
        <v>Out of warranty</v>
      </c>
      <c r="AJ2809" s="3">
        <f>IFERROR(__xludf.DUMMYFUNCTION("""COMPUTED_VALUE"""),46.0)</f>
        <v>46</v>
      </c>
      <c r="AK2809" s="3"/>
      <c r="AL2809" s="3"/>
    </row>
    <row r="2810" ht="15.75" customHeight="1">
      <c r="A2810" s="1" t="str">
        <f>IFERROR(__xludf.DUMMYFUNCTION("""COMPUTED_VALUE"""),"83645")</f>
        <v>83645</v>
      </c>
      <c r="B2810" s="2">
        <f>IFERROR(__xludf.DUMMYFUNCTION("""COMPUTED_VALUE"""),83645.0)</f>
        <v>83645</v>
      </c>
      <c r="C2810" s="3" t="str">
        <f>IFERROR(__xludf.DUMMYFUNCTION("""COMPUTED_VALUE"""),"ร้านต๊กควรเฮงพาณิชย์")</f>
        <v>ร้านต๊กควรเฮงพาณิชย์</v>
      </c>
      <c r="D2810" s="3" t="str">
        <f>IFERROR(__xludf.DUMMYFUNCTION("""COMPUTED_VALUE"""),"ร้านต๊กควรเฮงพาณิชย์")</f>
        <v>ร้านต๊กควรเฮงพาณิชย์</v>
      </c>
      <c r="E2810" s="1" t="str">
        <f>IFERROR(__xludf.DUMMYFUNCTION("""COMPUTED_VALUE"""),"Donjai")</f>
        <v>Donjai</v>
      </c>
      <c r="F2810" s="1" t="str">
        <f>IFERROR(__xludf.DUMMYFUNCTION("""COMPUTED_VALUE"""),"046214")</f>
        <v>046214</v>
      </c>
      <c r="G2810" s="1" t="str">
        <f>IFERROR(__xludf.DUMMYFUNCTION("""COMPUTED_VALUE"""),"นายศักดิ์ชัย เด็ดดอกฟ้า")</f>
        <v>นายศักดิ์ชัย เด็ดดอกฟ้า</v>
      </c>
      <c r="H2810" s="1" t="str">
        <f>IFERROR(__xludf.DUMMYFUNCTION("""COMPUTED_VALUE"""),"046214")</f>
        <v>046214</v>
      </c>
      <c r="I2810" s="1" t="str">
        <f>IFERROR(__xludf.DUMMYFUNCTION("""COMPUTED_VALUE"""),"นายศักดิ์ชัย เด็ดดอกฟ้า")</f>
        <v>นายศักดิ์ชัย เด็ดดอกฟ้า</v>
      </c>
      <c r="J2810" s="3">
        <f>IFERROR(__xludf.DUMMYFUNCTION("""COMPUTED_VALUE"""),295886.0)</f>
        <v>295886</v>
      </c>
      <c r="K2810" s="3" t="str">
        <f>IFERROR(__xludf.DUMMYFUNCTION("""COMPUTED_VALUE"""),"นายจิระพงษ์ โพธิ์นิล")</f>
        <v>นายจิระพงษ์ โพธิ์นิล</v>
      </c>
      <c r="L2810" s="1" t="str">
        <f>IFERROR(__xludf.DUMMYFUNCTION("""COMPUTED_VALUE"""),"นายจิระพงษ์ โพธิ์นิล")</f>
        <v>นายจิระพงษ์ โพธิ์นิล</v>
      </c>
      <c r="M2810" s="1" t="str">
        <f>IFERROR(__xludf.DUMMYFUNCTION("""COMPUTED_VALUE"""),"0933290754")</f>
        <v>0933290754</v>
      </c>
      <c r="N2810" s="3">
        <f>IFERROR(__xludf.DUMMYFUNCTION("""COMPUTED_VALUE"""),83645.0)</f>
        <v>83645</v>
      </c>
      <c r="O2810" s="3" t="str">
        <f>IFERROR(__xludf.DUMMYFUNCTION("""COMPUTED_VALUE"""),"ร้านต๊กควรเฮงพาณิชย์")</f>
        <v>ร้านต๊กควรเฮงพาณิชย์</v>
      </c>
      <c r="P2810" s="4">
        <f>IFERROR(__xludf.DUMMYFUNCTION("""COMPUTED_VALUE"""),44633.0)</f>
        <v>44633</v>
      </c>
      <c r="Q2810" s="3" t="str">
        <f>IFERROR(__xludf.DUMMYFUNCTION("""COMPUTED_VALUE"""),"A")</f>
        <v>A</v>
      </c>
      <c r="R2810" s="3" t="str">
        <f>IFERROR(__xludf.DUMMYFUNCTION("""COMPUTED_VALUE"""),"Small Format")</f>
        <v>Small Format</v>
      </c>
      <c r="S2810" s="3" t="str">
        <f>IFERROR(__xludf.DUMMYFUNCTION("""COMPUTED_VALUE"""),"Donjai")</f>
        <v>Donjai</v>
      </c>
      <c r="T2810" s="3" t="str">
        <f>IFERROR(__xludf.DUMMYFUNCTION("""COMPUTED_VALUE"""),"02 K.Sakchai D")</f>
        <v>02 K.Sakchai D</v>
      </c>
      <c r="U2810" s="3" t="str">
        <f>IFERROR(__xludf.DUMMYFUNCTION("""COMPUTED_VALUE"""),"02 K.Sakchai D")</f>
        <v>02 K.Sakchai D</v>
      </c>
      <c r="V2810" s="3" t="str">
        <f>IFERROR(__xludf.DUMMYFUNCTION("""COMPUTED_VALUE"""),"N")</f>
        <v>N</v>
      </c>
      <c r="W2810" s="3"/>
      <c r="X2810" s="3" t="str">
        <f>IFERROR(__xludf.DUMMYFUNCTION("""COMPUTED_VALUE"""),"79/2 หมู่ 9 ตำบลบ้านไร่ อำเภอบางกระทุ่ม จังหวัดพิษณุโลก 65110")</f>
        <v>79/2 หมู่ 9 ตำบลบ้านไร่ อำเภอบางกระทุ่ม จังหวัดพิษณุโลก 65110</v>
      </c>
      <c r="Y2810" s="3"/>
      <c r="Z2810" s="3">
        <f>IFERROR(__xludf.DUMMYFUNCTION("""COMPUTED_VALUE"""),0.0)</f>
        <v>0</v>
      </c>
      <c r="AA2810" s="3">
        <f>IFERROR(__xludf.DUMMYFUNCTION("""COMPUTED_VALUE"""),0.0)</f>
        <v>0</v>
      </c>
      <c r="AB2810" s="3" t="str">
        <f>IFERROR(__xludf.DUMMYFUNCTION("""COMPUTED_VALUE"""),"พิษณุโลก")</f>
        <v>พิษณุโลก</v>
      </c>
      <c r="AC2810" s="3">
        <f>IFERROR(__xludf.DUMMYFUNCTION("""COMPUTED_VALUE"""),65110.0)</f>
        <v>65110</v>
      </c>
      <c r="AD2810" s="3"/>
      <c r="AE2810" s="3"/>
      <c r="AF2810" s="3" t="str">
        <f>IFERROR(__xludf.DUMMYFUNCTION("""COMPUTED_VALUE"""),"ร้านต๊กควรเฮงพาณิชย์-83645")</f>
        <v>ร้านต๊กควรเฮงพาณิชย์-83645</v>
      </c>
      <c r="AG2810" s="3" t="str">
        <f>IFERROR(__xludf.DUMMYFUNCTION("""COMPUTED_VALUE"""),"กลาง")</f>
        <v>กลาง</v>
      </c>
      <c r="AH2810" s="3" t="str">
        <f>IFERROR(__xludf.DUMMYFUNCTION("""COMPUTED_VALUE"""),"#N/A")</f>
        <v>#N/A</v>
      </c>
      <c r="AI2810" s="3" t="str">
        <f>IFERROR(__xludf.DUMMYFUNCTION("""COMPUTED_VALUE"""),"Out of warranty")</f>
        <v>Out of warranty</v>
      </c>
      <c r="AJ2810" s="3">
        <f>IFERROR(__xludf.DUMMYFUNCTION("""COMPUTED_VALUE"""),47.0)</f>
        <v>47</v>
      </c>
      <c r="AK2810" s="3"/>
      <c r="AL2810" s="3"/>
    </row>
    <row r="2811" ht="15.75" customHeight="1">
      <c r="A2811" s="1" t="str">
        <f>IFERROR(__xludf.DUMMYFUNCTION("""COMPUTED_VALUE"""),"83646")</f>
        <v>83646</v>
      </c>
      <c r="B2811" s="2">
        <f>IFERROR(__xludf.DUMMYFUNCTION("""COMPUTED_VALUE"""),83646.0)</f>
        <v>83646</v>
      </c>
      <c r="C2811" s="3" t="str">
        <f>IFERROR(__xludf.DUMMYFUNCTION("""COMPUTED_VALUE"""),"ร้านคูนอนันต์")</f>
        <v>ร้านคูนอนันต์</v>
      </c>
      <c r="D2811" s="3" t="str">
        <f>IFERROR(__xludf.DUMMYFUNCTION("""COMPUTED_VALUE"""),"ร้านคูนอนันต์")</f>
        <v>ร้านคูนอนันต์</v>
      </c>
      <c r="E2811" s="1" t="str">
        <f>IFERROR(__xludf.DUMMYFUNCTION("""COMPUTED_VALUE"""),"Donjai")</f>
        <v>Donjai</v>
      </c>
      <c r="F2811" s="1" t="str">
        <f>IFERROR(__xludf.DUMMYFUNCTION("""COMPUTED_VALUE"""),"296868")</f>
        <v>296868</v>
      </c>
      <c r="G2811" s="1" t="str">
        <f>IFERROR(__xludf.DUMMYFUNCTION("""COMPUTED_VALUE"""),"นายพีระพงษ์ แก้วดวงดี")</f>
        <v>นายพีระพงษ์ แก้วดวงดี</v>
      </c>
      <c r="H2811" s="1" t="str">
        <f>IFERROR(__xludf.DUMMYFUNCTION("""COMPUTED_VALUE"""),"296868")</f>
        <v>296868</v>
      </c>
      <c r="I2811" s="1" t="str">
        <f>IFERROR(__xludf.DUMMYFUNCTION("""COMPUTED_VALUE"""),"นายพีระพงษ์ แก้วดวงดี")</f>
        <v>นายพีระพงษ์ แก้วดวงดี</v>
      </c>
      <c r="J2811" s="3">
        <f>IFERROR(__xludf.DUMMYFUNCTION("""COMPUTED_VALUE"""),295886.0)</f>
        <v>295886</v>
      </c>
      <c r="K2811" s="3" t="str">
        <f>IFERROR(__xludf.DUMMYFUNCTION("""COMPUTED_VALUE"""),"นายจิระพงษ์ โพธิ์นิล")</f>
        <v>นายจิระพงษ์ โพธิ์นิล</v>
      </c>
      <c r="L2811" s="1" t="str">
        <f>IFERROR(__xludf.DUMMYFUNCTION("""COMPUTED_VALUE"""),"นายจิระพงษ์ โพธิ์นิล")</f>
        <v>นายจิระพงษ์ โพธิ์นิล</v>
      </c>
      <c r="M2811" s="1" t="str">
        <f>IFERROR(__xludf.DUMMYFUNCTION("""COMPUTED_VALUE"""),"0933290754")</f>
        <v>0933290754</v>
      </c>
      <c r="N2811" s="3">
        <f>IFERROR(__xludf.DUMMYFUNCTION("""COMPUTED_VALUE"""),83646.0)</f>
        <v>83646</v>
      </c>
      <c r="O2811" s="3" t="str">
        <f>IFERROR(__xludf.DUMMYFUNCTION("""COMPUTED_VALUE"""),"ร้านคูนอนันต์")</f>
        <v>ร้านคูนอนันต์</v>
      </c>
      <c r="P2811" s="4">
        <f>IFERROR(__xludf.DUMMYFUNCTION("""COMPUTED_VALUE"""),44641.0)</f>
        <v>44641</v>
      </c>
      <c r="Q2811" s="3" t="str">
        <f>IFERROR(__xludf.DUMMYFUNCTION("""COMPUTED_VALUE"""),"I")</f>
        <v>I</v>
      </c>
      <c r="R2811" s="3" t="str">
        <f>IFERROR(__xludf.DUMMYFUNCTION("""COMPUTED_VALUE"""),"Small Format")</f>
        <v>Small Format</v>
      </c>
      <c r="S2811" s="3" t="str">
        <f>IFERROR(__xludf.DUMMYFUNCTION("""COMPUTED_VALUE"""),"Donjai")</f>
        <v>Donjai</v>
      </c>
      <c r="T2811" s="3" t="str">
        <f>IFERROR(__xludf.DUMMYFUNCTION("""COMPUTED_VALUE"""),"03 K.Peerapong K.")</f>
        <v>03 K.Peerapong K.</v>
      </c>
      <c r="U2811" s="3" t="str">
        <f>IFERROR(__xludf.DUMMYFUNCTION("""COMPUTED_VALUE"""),"03 K.Peerapong K.")</f>
        <v>03 K.Peerapong K.</v>
      </c>
      <c r="V2811" s="3" t="str">
        <f>IFERROR(__xludf.DUMMYFUNCTION("""COMPUTED_VALUE"""),"N")</f>
        <v>N</v>
      </c>
      <c r="W2811" s="3"/>
      <c r="X2811" s="3" t="str">
        <f>IFERROR(__xludf.DUMMYFUNCTION("""COMPUTED_VALUE"""),"อ.โพนทราย อ.เมือง")</f>
        <v>อ.โพนทราย อ.เมือง</v>
      </c>
      <c r="Y2811" s="3"/>
      <c r="Z2811" s="3">
        <f>IFERROR(__xludf.DUMMYFUNCTION("""COMPUTED_VALUE"""),0.0)</f>
        <v>0</v>
      </c>
      <c r="AA2811" s="3">
        <f>IFERROR(__xludf.DUMMYFUNCTION("""COMPUTED_VALUE"""),0.0)</f>
        <v>0</v>
      </c>
      <c r="AB2811" s="3">
        <f>IFERROR(__xludf.DUMMYFUNCTION("""COMPUTED_VALUE"""),0.0)</f>
        <v>0</v>
      </c>
      <c r="AC2811" s="3">
        <f>IFERROR(__xludf.DUMMYFUNCTION("""COMPUTED_VALUE"""),0.0)</f>
        <v>0</v>
      </c>
      <c r="AD2811" s="3"/>
      <c r="AE2811" s="3"/>
      <c r="AF2811" s="3" t="str">
        <f>IFERROR(__xludf.DUMMYFUNCTION("""COMPUTED_VALUE"""),"ร้านคูนอนันต์-83646")</f>
        <v>ร้านคูนอนันต์-83646</v>
      </c>
      <c r="AG2811" s="3" t="str">
        <f>IFERROR(__xludf.DUMMYFUNCTION("""COMPUTED_VALUE"""),"#N/A")</f>
        <v>#N/A</v>
      </c>
      <c r="AH2811" s="3" t="str">
        <f>IFERROR(__xludf.DUMMYFUNCTION("""COMPUTED_VALUE"""),"#N/A")</f>
        <v>#N/A</v>
      </c>
      <c r="AI2811" s="3" t="str">
        <f>IFERROR(__xludf.DUMMYFUNCTION("""COMPUTED_VALUE"""),"Out of warranty")</f>
        <v>Out of warranty</v>
      </c>
      <c r="AJ2811" s="3">
        <f>IFERROR(__xludf.DUMMYFUNCTION("""COMPUTED_VALUE"""),46.0)</f>
        <v>46</v>
      </c>
      <c r="AK2811" s="3"/>
      <c r="AL2811" s="3"/>
    </row>
    <row r="2812" ht="15.75" customHeight="1">
      <c r="A2812" s="1" t="str">
        <f>IFERROR(__xludf.DUMMYFUNCTION("""COMPUTED_VALUE"""),"83647")</f>
        <v>83647</v>
      </c>
      <c r="B2812" s="2">
        <f>IFERROR(__xludf.DUMMYFUNCTION("""COMPUTED_VALUE"""),83647.0)</f>
        <v>83647</v>
      </c>
      <c r="C2812" s="3" t="str">
        <f>IFERROR(__xludf.DUMMYFUNCTION("""COMPUTED_VALUE"""),"ร้านแม่ชม้อย ศรีราชา")</f>
        <v>ร้านแม่ชม้อย ศรีราชา</v>
      </c>
      <c r="D2812" s="3" t="str">
        <f>IFERROR(__xludf.DUMMYFUNCTION("""COMPUTED_VALUE"""),"ร้านแม่ชม้อย ศรีราชา")</f>
        <v>ร้านแม่ชม้อย ศรีราชา</v>
      </c>
      <c r="E2812" s="1" t="str">
        <f>IFERROR(__xludf.DUMMYFUNCTION("""COMPUTED_VALUE"""),"Donjai")</f>
        <v>Donjai</v>
      </c>
      <c r="F2812" s="1" t="str">
        <f>IFERROR(__xludf.DUMMYFUNCTION("""COMPUTED_VALUE"""),"296945")</f>
        <v>296945</v>
      </c>
      <c r="G2812" s="1" t="str">
        <f>IFERROR(__xludf.DUMMYFUNCTION("""COMPUTED_VALUE"""),"นายรักพงศ์ พงศ์พันธ์งาม")</f>
        <v>นายรักพงศ์ พงศ์พันธ์งาม</v>
      </c>
      <c r="H2812" s="1" t="str">
        <f>IFERROR(__xludf.DUMMYFUNCTION("""COMPUTED_VALUE"""),"296945")</f>
        <v>296945</v>
      </c>
      <c r="I2812" s="1" t="str">
        <f>IFERROR(__xludf.DUMMYFUNCTION("""COMPUTED_VALUE"""),"นายรักพงศ์ พงศ์พันธ์งาม")</f>
        <v>นายรักพงศ์ พงศ์พันธ์งาม</v>
      </c>
      <c r="J2812" s="3">
        <f>IFERROR(__xludf.DUMMYFUNCTION("""COMPUTED_VALUE"""),228031.0)</f>
        <v>228031</v>
      </c>
      <c r="K2812" s="3" t="str">
        <f>IFERROR(__xludf.DUMMYFUNCTION("""COMPUTED_VALUE"""),"นายธนพงษ์ วันหมัด")</f>
        <v>นายธนพงษ์ วันหมัด</v>
      </c>
      <c r="L2812" s="1" t="str">
        <f>IFERROR(__xludf.DUMMYFUNCTION("""COMPUTED_VALUE"""),"นายธนพงษ์ วันหมัด")</f>
        <v>นายธนพงษ์ วันหมัด</v>
      </c>
      <c r="M2812" s="1" t="str">
        <f>IFERROR(__xludf.DUMMYFUNCTION("""COMPUTED_VALUE"""),"0813716913")</f>
        <v>0813716913</v>
      </c>
      <c r="N2812" s="3">
        <f>IFERROR(__xludf.DUMMYFUNCTION("""COMPUTED_VALUE"""),83647.0)</f>
        <v>83647</v>
      </c>
      <c r="O2812" s="3" t="str">
        <f>IFERROR(__xludf.DUMMYFUNCTION("""COMPUTED_VALUE"""),"ร้านแม่ชม้อย ศรีราชา")</f>
        <v>ร้านแม่ชม้อย ศรีราชา</v>
      </c>
      <c r="P2812" s="4">
        <f>IFERROR(__xludf.DUMMYFUNCTION("""COMPUTED_VALUE"""),44633.0)</f>
        <v>44633</v>
      </c>
      <c r="Q2812" s="3" t="str">
        <f>IFERROR(__xludf.DUMMYFUNCTION("""COMPUTED_VALUE"""),"I")</f>
        <v>I</v>
      </c>
      <c r="R2812" s="3" t="str">
        <f>IFERROR(__xludf.DUMMYFUNCTION("""COMPUTED_VALUE"""),"Small Format")</f>
        <v>Small Format</v>
      </c>
      <c r="S2812" s="3" t="str">
        <f>IFERROR(__xludf.DUMMYFUNCTION("""COMPUTED_VALUE"""),"Donjai")</f>
        <v>Donjai</v>
      </c>
      <c r="T2812" s="3">
        <f>IFERROR(__xludf.DUMMYFUNCTION("""COMPUTED_VALUE"""),0.0)</f>
        <v>0</v>
      </c>
      <c r="U2812" s="3">
        <f>IFERROR(__xludf.DUMMYFUNCTION("""COMPUTED_VALUE"""),0.0)</f>
        <v>0</v>
      </c>
      <c r="V2812" s="3" t="str">
        <f>IFERROR(__xludf.DUMMYFUNCTION("""COMPUTED_VALUE"""),"N")</f>
        <v>N</v>
      </c>
      <c r="W2812" s="3"/>
      <c r="X2812" s="3" t="str">
        <f>IFERROR(__xludf.DUMMYFUNCTION("""COMPUTED_VALUE"""),"181/3 ม.2 ต.หนองขาม อ.ศรีราชา จ.ชลบุรี")</f>
        <v>181/3 ม.2 ต.หนองขาม อ.ศรีราชา จ.ชลบุรี</v>
      </c>
      <c r="Y2812" s="3"/>
      <c r="Z2812" s="3">
        <f>IFERROR(__xludf.DUMMYFUNCTION("""COMPUTED_VALUE"""),0.0)</f>
        <v>0</v>
      </c>
      <c r="AA2812" s="3">
        <f>IFERROR(__xludf.DUMMYFUNCTION("""COMPUTED_VALUE"""),0.0)</f>
        <v>0</v>
      </c>
      <c r="AB2812" s="3" t="str">
        <f>IFERROR(__xludf.DUMMYFUNCTION("""COMPUTED_VALUE"""),"ชลบุรี")</f>
        <v>ชลบุรี</v>
      </c>
      <c r="AC2812" s="3">
        <f>IFERROR(__xludf.DUMMYFUNCTION("""COMPUTED_VALUE"""),0.0)</f>
        <v>0</v>
      </c>
      <c r="AD2812" s="3"/>
      <c r="AE2812" s="3"/>
      <c r="AF2812" s="3" t="str">
        <f>IFERROR(__xludf.DUMMYFUNCTION("""COMPUTED_VALUE"""),"ร้านแม่ชม้อย ศรีราชา-83647")</f>
        <v>ร้านแม่ชม้อย ศรีราชา-83647</v>
      </c>
      <c r="AG2812" s="3" t="str">
        <f>IFERROR(__xludf.DUMMYFUNCTION("""COMPUTED_VALUE"""),"ตะวันออก")</f>
        <v>ตะวันออก</v>
      </c>
      <c r="AH2812" s="3" t="str">
        <f>IFERROR(__xludf.DUMMYFUNCTION("""COMPUTED_VALUE"""),"#N/A")</f>
        <v>#N/A</v>
      </c>
      <c r="AI2812" s="3" t="str">
        <f>IFERROR(__xludf.DUMMYFUNCTION("""COMPUTED_VALUE"""),"Out of warranty")</f>
        <v>Out of warranty</v>
      </c>
      <c r="AJ2812" s="3">
        <f>IFERROR(__xludf.DUMMYFUNCTION("""COMPUTED_VALUE"""),47.0)</f>
        <v>47</v>
      </c>
      <c r="AK2812" s="3"/>
      <c r="AL2812" s="3"/>
    </row>
    <row r="2813" ht="15.75" customHeight="1">
      <c r="A2813" s="1" t="str">
        <f>IFERROR(__xludf.DUMMYFUNCTION("""COMPUTED_VALUE"""),"83648")</f>
        <v>83648</v>
      </c>
      <c r="B2813" s="2">
        <f>IFERROR(__xludf.DUMMYFUNCTION("""COMPUTED_VALUE"""),83648.0)</f>
        <v>83648</v>
      </c>
      <c r="C2813" s="3" t="str">
        <f>IFERROR(__xludf.DUMMYFUNCTION("""COMPUTED_VALUE"""),"ร้านวัน มาร์ท")</f>
        <v>ร้านวัน มาร์ท</v>
      </c>
      <c r="D2813" s="3" t="str">
        <f>IFERROR(__xludf.DUMMYFUNCTION("""COMPUTED_VALUE"""),"ร้านวัน มาร์ท")</f>
        <v>ร้านวัน มาร์ท</v>
      </c>
      <c r="E2813" s="1" t="str">
        <f>IFERROR(__xludf.DUMMYFUNCTION("""COMPUTED_VALUE"""),"Donjai")</f>
        <v>Donjai</v>
      </c>
      <c r="F2813" s="1" t="str">
        <f>IFERROR(__xludf.DUMMYFUNCTION("""COMPUTED_VALUE"""),"20470331")</f>
        <v>20470331</v>
      </c>
      <c r="G2813" s="1" t="str">
        <f>IFERROR(__xludf.DUMMYFUNCTION("""COMPUTED_VALUE"""),"นายสมชาย ลักษณะสุวรรณ")</f>
        <v>นายสมชาย ลักษณะสุวรรณ</v>
      </c>
      <c r="H2813" s="1" t="str">
        <f>IFERROR(__xludf.DUMMYFUNCTION("""COMPUTED_VALUE"""),"20470331")</f>
        <v>20470331</v>
      </c>
      <c r="I2813" s="1" t="str">
        <f>IFERROR(__xludf.DUMMYFUNCTION("""COMPUTED_VALUE"""),"นายสมชาย ลักษณะสุวรรณ")</f>
        <v>นายสมชาย ลักษณะสุวรรณ</v>
      </c>
      <c r="J2813" s="3">
        <f>IFERROR(__xludf.DUMMYFUNCTION("""COMPUTED_VALUE"""),295541.0)</f>
        <v>295541</v>
      </c>
      <c r="K2813" s="3" t="str">
        <f>IFERROR(__xludf.DUMMYFUNCTION("""COMPUTED_VALUE"""),"นายรพิพล ศรีมาตย์")</f>
        <v>นายรพิพล ศรีมาตย์</v>
      </c>
      <c r="L2813" s="1" t="str">
        <f>IFERROR(__xludf.DUMMYFUNCTION("""COMPUTED_VALUE"""),"นายรพิพล ศรีมาตย์")</f>
        <v>นายรพิพล ศรีมาตย์</v>
      </c>
      <c r="M2813" s="1" t="str">
        <f>IFERROR(__xludf.DUMMYFUNCTION("""COMPUTED_VALUE"""),"0613966115")</f>
        <v>0613966115</v>
      </c>
      <c r="N2813" s="3">
        <f>IFERROR(__xludf.DUMMYFUNCTION("""COMPUTED_VALUE"""),83648.0)</f>
        <v>83648</v>
      </c>
      <c r="O2813" s="3" t="str">
        <f>IFERROR(__xludf.DUMMYFUNCTION("""COMPUTED_VALUE"""),"ร้านวัน มาร์ท")</f>
        <v>ร้านวัน มาร์ท</v>
      </c>
      <c r="P2813" s="4">
        <f>IFERROR(__xludf.DUMMYFUNCTION("""COMPUTED_VALUE"""),44634.0)</f>
        <v>44634</v>
      </c>
      <c r="Q2813" s="3" t="str">
        <f>IFERROR(__xludf.DUMMYFUNCTION("""COMPUTED_VALUE"""),"I")</f>
        <v>I</v>
      </c>
      <c r="R2813" s="3" t="str">
        <f>IFERROR(__xludf.DUMMYFUNCTION("""COMPUTED_VALUE"""),"Small Format")</f>
        <v>Small Format</v>
      </c>
      <c r="S2813" s="3" t="str">
        <f>IFERROR(__xludf.DUMMYFUNCTION("""COMPUTED_VALUE"""),"Donjai")</f>
        <v>Donjai</v>
      </c>
      <c r="T2813" s="3" t="str">
        <f>IFERROR(__xludf.DUMMYFUNCTION("""COMPUTED_VALUE"""),"15 K.Somchai L")</f>
        <v>15 K.Somchai L</v>
      </c>
      <c r="U2813" s="3" t="str">
        <f>IFERROR(__xludf.DUMMYFUNCTION("""COMPUTED_VALUE"""),"15 K.Somchai L")</f>
        <v>15 K.Somchai L</v>
      </c>
      <c r="V2813" s="3" t="str">
        <f>IFERROR(__xludf.DUMMYFUNCTION("""COMPUTED_VALUE"""),"N")</f>
        <v>N</v>
      </c>
      <c r="W2813" s="3"/>
      <c r="X2813" s="3" t="str">
        <f>IFERROR(__xludf.DUMMYFUNCTION("""COMPUTED_VALUE"""),"20/2 ม.2 ต.ปิยามุมัง อ.ยะหริ่ง จ.ปัตตานี")</f>
        <v>20/2 ม.2 ต.ปิยามุมัง อ.ยะหริ่ง จ.ปัตตานี</v>
      </c>
      <c r="Y2813" s="3"/>
      <c r="Z2813" s="3">
        <f>IFERROR(__xludf.DUMMYFUNCTION("""COMPUTED_VALUE"""),0.0)</f>
        <v>0</v>
      </c>
      <c r="AA2813" s="3">
        <f>IFERROR(__xludf.DUMMYFUNCTION("""COMPUTED_VALUE"""),0.0)</f>
        <v>0</v>
      </c>
      <c r="AB2813" s="3" t="str">
        <f>IFERROR(__xludf.DUMMYFUNCTION("""COMPUTED_VALUE"""),"ปัตตานี")</f>
        <v>ปัตตานี</v>
      </c>
      <c r="AC2813" s="3">
        <f>IFERROR(__xludf.DUMMYFUNCTION("""COMPUTED_VALUE"""),0.0)</f>
        <v>0</v>
      </c>
      <c r="AD2813" s="3"/>
      <c r="AE2813" s="3"/>
      <c r="AF2813" s="3" t="str">
        <f>IFERROR(__xludf.DUMMYFUNCTION("""COMPUTED_VALUE"""),"ร้านวัน มาร์ท-83648")</f>
        <v>ร้านวัน มาร์ท-83648</v>
      </c>
      <c r="AG2813" s="3" t="str">
        <f>IFERROR(__xludf.DUMMYFUNCTION("""COMPUTED_VALUE"""),"ใต้")</f>
        <v>ใต้</v>
      </c>
      <c r="AH2813" s="3" t="str">
        <f>IFERROR(__xludf.DUMMYFUNCTION("""COMPUTED_VALUE"""),"#N/A")</f>
        <v>#N/A</v>
      </c>
      <c r="AI2813" s="3" t="str">
        <f>IFERROR(__xludf.DUMMYFUNCTION("""COMPUTED_VALUE"""),"Out of warranty")</f>
        <v>Out of warranty</v>
      </c>
      <c r="AJ2813" s="3">
        <f>IFERROR(__xludf.DUMMYFUNCTION("""COMPUTED_VALUE"""),47.0)</f>
        <v>47</v>
      </c>
      <c r="AK2813" s="3"/>
      <c r="AL2813" s="3"/>
    </row>
    <row r="2814" ht="15.75" customHeight="1">
      <c r="A2814" s="1" t="str">
        <f>IFERROR(__xludf.DUMMYFUNCTION("""COMPUTED_VALUE"""),"83650")</f>
        <v>83650</v>
      </c>
      <c r="B2814" s="2">
        <f>IFERROR(__xludf.DUMMYFUNCTION("""COMPUTED_VALUE"""),83650.0)</f>
        <v>83650</v>
      </c>
      <c r="C2814" s="3" t="str">
        <f>IFERROR(__xludf.DUMMYFUNCTION("""COMPUTED_VALUE"""),"ร้านกุดแคนเจริญการค้า")</f>
        <v>ร้านกุดแคนเจริญการค้า</v>
      </c>
      <c r="D2814" s="3" t="str">
        <f>IFERROR(__xludf.DUMMYFUNCTION("""COMPUTED_VALUE"""),"ร้านกุดแคนเจริญการค้า")</f>
        <v>ร้านกุดแคนเจริญการค้า</v>
      </c>
      <c r="E2814" s="1" t="str">
        <f>IFERROR(__xludf.DUMMYFUNCTION("""COMPUTED_VALUE"""),"Donjai")</f>
        <v>Donjai</v>
      </c>
      <c r="F2814" s="1" t="str">
        <f>IFERROR(__xludf.DUMMYFUNCTION("""COMPUTED_VALUE"""),"296868")</f>
        <v>296868</v>
      </c>
      <c r="G2814" s="1" t="str">
        <f>IFERROR(__xludf.DUMMYFUNCTION("""COMPUTED_VALUE"""),"นายพีระพงษ์ แก้วดวงดี")</f>
        <v>นายพีระพงษ์ แก้วดวงดี</v>
      </c>
      <c r="H2814" s="1" t="str">
        <f>IFERROR(__xludf.DUMMYFUNCTION("""COMPUTED_VALUE"""),"296868")</f>
        <v>296868</v>
      </c>
      <c r="I2814" s="1" t="str">
        <f>IFERROR(__xludf.DUMMYFUNCTION("""COMPUTED_VALUE"""),"นายพีระพงษ์ แก้วดวงดี")</f>
        <v>นายพีระพงษ์ แก้วดวงดี</v>
      </c>
      <c r="J2814" s="3">
        <f>IFERROR(__xludf.DUMMYFUNCTION("""COMPUTED_VALUE"""),295886.0)</f>
        <v>295886</v>
      </c>
      <c r="K2814" s="3" t="str">
        <f>IFERROR(__xludf.DUMMYFUNCTION("""COMPUTED_VALUE"""),"นายจิระพงษ์ โพธิ์นิล")</f>
        <v>นายจิระพงษ์ โพธิ์นิล</v>
      </c>
      <c r="L2814" s="1" t="str">
        <f>IFERROR(__xludf.DUMMYFUNCTION("""COMPUTED_VALUE"""),"นายจิระพงษ์ โพธิ์นิล")</f>
        <v>นายจิระพงษ์ โพธิ์นิล</v>
      </c>
      <c r="M2814" s="1" t="str">
        <f>IFERROR(__xludf.DUMMYFUNCTION("""COMPUTED_VALUE"""),"0933290754")</f>
        <v>0933290754</v>
      </c>
      <c r="N2814" s="3">
        <f>IFERROR(__xludf.DUMMYFUNCTION("""COMPUTED_VALUE"""),83650.0)</f>
        <v>83650</v>
      </c>
      <c r="O2814" s="3" t="str">
        <f>IFERROR(__xludf.DUMMYFUNCTION("""COMPUTED_VALUE"""),"ร้านกุดแคนเจริญการค้า")</f>
        <v>ร้านกุดแคนเจริญการค้า</v>
      </c>
      <c r="P2814" s="4">
        <f>IFERROR(__xludf.DUMMYFUNCTION("""COMPUTED_VALUE"""),44649.0)</f>
        <v>44649</v>
      </c>
      <c r="Q2814" s="3" t="str">
        <f>IFERROR(__xludf.DUMMYFUNCTION("""COMPUTED_VALUE"""),"I")</f>
        <v>I</v>
      </c>
      <c r="R2814" s="3" t="str">
        <f>IFERROR(__xludf.DUMMYFUNCTION("""COMPUTED_VALUE"""),"Small Format")</f>
        <v>Small Format</v>
      </c>
      <c r="S2814" s="3" t="str">
        <f>IFERROR(__xludf.DUMMYFUNCTION("""COMPUTED_VALUE"""),"Donjai")</f>
        <v>Donjai</v>
      </c>
      <c r="T2814" s="3" t="str">
        <f>IFERROR(__xludf.DUMMYFUNCTION("""COMPUTED_VALUE"""),"03 K.Peerapong K.")</f>
        <v>03 K.Peerapong K.</v>
      </c>
      <c r="U2814" s="3" t="str">
        <f>IFERROR(__xludf.DUMMYFUNCTION("""COMPUTED_VALUE"""),"03 K.Peerapong K.")</f>
        <v>03 K.Peerapong K.</v>
      </c>
      <c r="V2814" s="3" t="str">
        <f>IFERROR(__xludf.DUMMYFUNCTION("""COMPUTED_VALUE"""),"N")</f>
        <v>N</v>
      </c>
      <c r="W2814" s="3"/>
      <c r="X2814" s="3" t="str">
        <f>IFERROR(__xludf.DUMMYFUNCTION("""COMPUTED_VALUE"""),"32 ม.3 ต.หนองหลวง อ.เฝ้าไร่ จ.หนองคาย")</f>
        <v>32 ม.3 ต.หนองหลวง อ.เฝ้าไร่ จ.หนองคาย</v>
      </c>
      <c r="Y2814" s="3"/>
      <c r="Z2814" s="3">
        <f>IFERROR(__xludf.DUMMYFUNCTION("""COMPUTED_VALUE"""),0.0)</f>
        <v>0</v>
      </c>
      <c r="AA2814" s="3">
        <f>IFERROR(__xludf.DUMMYFUNCTION("""COMPUTED_VALUE"""),0.0)</f>
        <v>0</v>
      </c>
      <c r="AB2814" s="3" t="str">
        <f>IFERROR(__xludf.DUMMYFUNCTION("""COMPUTED_VALUE"""),"หนองคาย")</f>
        <v>หนองคาย</v>
      </c>
      <c r="AC2814" s="3">
        <f>IFERROR(__xludf.DUMMYFUNCTION("""COMPUTED_VALUE"""),0.0)</f>
        <v>0</v>
      </c>
      <c r="AD2814" s="3"/>
      <c r="AE2814" s="3"/>
      <c r="AF2814" s="3" t="str">
        <f>IFERROR(__xludf.DUMMYFUNCTION("""COMPUTED_VALUE"""),"ร้านกุดแคนเจริญการค้า-83650")</f>
        <v>ร้านกุดแคนเจริญการค้า-83650</v>
      </c>
      <c r="AG2814" s="3" t="str">
        <f>IFERROR(__xludf.DUMMYFUNCTION("""COMPUTED_VALUE"""),"ตะวันออกเฉียงเหนือ")</f>
        <v>ตะวันออกเฉียงเหนือ</v>
      </c>
      <c r="AH2814" s="3" t="str">
        <f>IFERROR(__xludf.DUMMYFUNCTION("""COMPUTED_VALUE"""),"#N/A")</f>
        <v>#N/A</v>
      </c>
      <c r="AI2814" s="3" t="str">
        <f>IFERROR(__xludf.DUMMYFUNCTION("""COMPUTED_VALUE"""),"Out of warranty")</f>
        <v>Out of warranty</v>
      </c>
      <c r="AJ2814" s="3">
        <f>IFERROR(__xludf.DUMMYFUNCTION("""COMPUTED_VALUE"""),46.0)</f>
        <v>46</v>
      </c>
      <c r="AK2814" s="3"/>
      <c r="AL2814" s="3"/>
    </row>
    <row r="2815" ht="15.75" customHeight="1">
      <c r="A2815" s="1" t="str">
        <f>IFERROR(__xludf.DUMMYFUNCTION("""COMPUTED_VALUE"""),"83651")</f>
        <v>83651</v>
      </c>
      <c r="B2815" s="2">
        <f>IFERROR(__xludf.DUMMYFUNCTION("""COMPUTED_VALUE"""),83651.0)</f>
        <v>83651</v>
      </c>
      <c r="C2815" s="3" t="str">
        <f>IFERROR(__xludf.DUMMYFUNCTION("""COMPUTED_VALUE"""),"ร้านซุปเปอร์โชห่วย")</f>
        <v>ร้านซุปเปอร์โชห่วย</v>
      </c>
      <c r="D2815" s="3" t="str">
        <f>IFERROR(__xludf.DUMMYFUNCTION("""COMPUTED_VALUE"""),"ร้านซุปเปอร์โชห่วย")</f>
        <v>ร้านซุปเปอร์โชห่วย</v>
      </c>
      <c r="E2815" s="1" t="str">
        <f>IFERROR(__xludf.DUMMYFUNCTION("""COMPUTED_VALUE"""),"Donjai")</f>
        <v>Donjai</v>
      </c>
      <c r="F2815" s="1" t="str">
        <f>IFERROR(__xludf.DUMMYFUNCTION("""COMPUTED_VALUE"""),"025324")</f>
        <v>025324</v>
      </c>
      <c r="G2815" s="1" t="str">
        <f>IFERROR(__xludf.DUMMYFUNCTION("""COMPUTED_VALUE"""),"นายวิเชฎฐ์ ติรัตนะประคม")</f>
        <v>นายวิเชฎฐ์ ติรัตนะประคม</v>
      </c>
      <c r="H2815" s="1" t="str">
        <f>IFERROR(__xludf.DUMMYFUNCTION("""COMPUTED_VALUE"""),"025324")</f>
        <v>025324</v>
      </c>
      <c r="I2815" s="1" t="str">
        <f>IFERROR(__xludf.DUMMYFUNCTION("""COMPUTED_VALUE"""),"นายวิเชฎฐ์ ติรัตนะประคม")</f>
        <v>นายวิเชฎฐ์ ติรัตนะประคม</v>
      </c>
      <c r="J2815" s="3">
        <f>IFERROR(__xludf.DUMMYFUNCTION("""COMPUTED_VALUE"""),295541.0)</f>
        <v>295541</v>
      </c>
      <c r="K2815" s="3" t="str">
        <f>IFERROR(__xludf.DUMMYFUNCTION("""COMPUTED_VALUE"""),"นายรพิพล ศรีมาตย์")</f>
        <v>นายรพิพล ศรีมาตย์</v>
      </c>
      <c r="L2815" s="1" t="str">
        <f>IFERROR(__xludf.DUMMYFUNCTION("""COMPUTED_VALUE"""),"นายรพิพล ศรีมาตย์")</f>
        <v>นายรพิพล ศรีมาตย์</v>
      </c>
      <c r="M2815" s="1" t="str">
        <f>IFERROR(__xludf.DUMMYFUNCTION("""COMPUTED_VALUE"""),"0613966115")</f>
        <v>0613966115</v>
      </c>
      <c r="N2815" s="3">
        <f>IFERROR(__xludf.DUMMYFUNCTION("""COMPUTED_VALUE"""),83651.0)</f>
        <v>83651</v>
      </c>
      <c r="O2815" s="3" t="str">
        <f>IFERROR(__xludf.DUMMYFUNCTION("""COMPUTED_VALUE"""),"ร้านซุปเปอร์โชห่วย")</f>
        <v>ร้านซุปเปอร์โชห่วย</v>
      </c>
      <c r="P2815" s="4">
        <f>IFERROR(__xludf.DUMMYFUNCTION("""COMPUTED_VALUE"""),44646.0)</f>
        <v>44646</v>
      </c>
      <c r="Q2815" s="3" t="str">
        <f>IFERROR(__xludf.DUMMYFUNCTION("""COMPUTED_VALUE"""),"I")</f>
        <v>I</v>
      </c>
      <c r="R2815" s="3" t="str">
        <f>IFERROR(__xludf.DUMMYFUNCTION("""COMPUTED_VALUE"""),"Small Format")</f>
        <v>Small Format</v>
      </c>
      <c r="S2815" s="3" t="str">
        <f>IFERROR(__xludf.DUMMYFUNCTION("""COMPUTED_VALUE"""),"Donjai")</f>
        <v>Donjai</v>
      </c>
      <c r="T2815" s="3" t="str">
        <f>IFERROR(__xludf.DUMMYFUNCTION("""COMPUTED_VALUE"""),"14 K.Wichet T.")</f>
        <v>14 K.Wichet T.</v>
      </c>
      <c r="U2815" s="3" t="str">
        <f>IFERROR(__xludf.DUMMYFUNCTION("""COMPUTED_VALUE"""),"14 K.Wichet T.")</f>
        <v>14 K.Wichet T.</v>
      </c>
      <c r="V2815" s="3" t="str">
        <f>IFERROR(__xludf.DUMMYFUNCTION("""COMPUTED_VALUE"""),"N")</f>
        <v>N</v>
      </c>
      <c r="W2815" s="3"/>
      <c r="X2815" s="3" t="str">
        <f>IFERROR(__xludf.DUMMYFUNCTION("""COMPUTED_VALUE"""),"16/1 ต.ท่าเคย อ.ท่าฉาง จ.สุราษฎร์ธานี")</f>
        <v>16/1 ต.ท่าเคย อ.ท่าฉาง จ.สุราษฎร์ธานี</v>
      </c>
      <c r="Y2815" s="3"/>
      <c r="Z2815" s="3">
        <f>IFERROR(__xludf.DUMMYFUNCTION("""COMPUTED_VALUE"""),0.0)</f>
        <v>0</v>
      </c>
      <c r="AA2815" s="3">
        <f>IFERROR(__xludf.DUMMYFUNCTION("""COMPUTED_VALUE"""),0.0)</f>
        <v>0</v>
      </c>
      <c r="AB2815" s="3" t="str">
        <f>IFERROR(__xludf.DUMMYFUNCTION("""COMPUTED_VALUE"""),"สุราษฎร์ธานี")</f>
        <v>สุราษฎร์ธานี</v>
      </c>
      <c r="AC2815" s="3">
        <f>IFERROR(__xludf.DUMMYFUNCTION("""COMPUTED_VALUE"""),0.0)</f>
        <v>0</v>
      </c>
      <c r="AD2815" s="3"/>
      <c r="AE2815" s="3"/>
      <c r="AF2815" s="3" t="str">
        <f>IFERROR(__xludf.DUMMYFUNCTION("""COMPUTED_VALUE"""),"ร้านซุปเปอร์โชห่วย-83651")</f>
        <v>ร้านซุปเปอร์โชห่วย-83651</v>
      </c>
      <c r="AG2815" s="3" t="str">
        <f>IFERROR(__xludf.DUMMYFUNCTION("""COMPUTED_VALUE"""),"ใต้")</f>
        <v>ใต้</v>
      </c>
      <c r="AH2815" s="3" t="str">
        <f>IFERROR(__xludf.DUMMYFUNCTION("""COMPUTED_VALUE"""),"#N/A")</f>
        <v>#N/A</v>
      </c>
      <c r="AI2815" s="3" t="str">
        <f>IFERROR(__xludf.DUMMYFUNCTION("""COMPUTED_VALUE"""),"Out of warranty")</f>
        <v>Out of warranty</v>
      </c>
      <c r="AJ2815" s="3">
        <f>IFERROR(__xludf.DUMMYFUNCTION("""COMPUTED_VALUE"""),46.0)</f>
        <v>46</v>
      </c>
      <c r="AK2815" s="3"/>
      <c r="AL2815" s="3"/>
    </row>
    <row r="2816" ht="15.75" customHeight="1">
      <c r="A2816" s="1" t="str">
        <f>IFERROR(__xludf.DUMMYFUNCTION("""COMPUTED_VALUE"""),"83652")</f>
        <v>83652</v>
      </c>
      <c r="B2816" s="2">
        <f>IFERROR(__xludf.DUMMYFUNCTION("""COMPUTED_VALUE"""),83652.0)</f>
        <v>83652</v>
      </c>
      <c r="C2816" s="3" t="str">
        <f>IFERROR(__xludf.DUMMYFUNCTION("""COMPUTED_VALUE"""),"ร้าน Top One Shop")</f>
        <v>ร้าน Top One Shop</v>
      </c>
      <c r="D2816" s="3" t="str">
        <f>IFERROR(__xludf.DUMMYFUNCTION("""COMPUTED_VALUE"""),"ร้าน Top One Shop")</f>
        <v>ร้าน Top One Shop</v>
      </c>
      <c r="E2816" s="1" t="str">
        <f>IFERROR(__xludf.DUMMYFUNCTION("""COMPUTED_VALUE"""),"Donjai")</f>
        <v>Donjai</v>
      </c>
      <c r="F2816" s="1" t="str">
        <f>IFERROR(__xludf.DUMMYFUNCTION("""COMPUTED_VALUE"""),"296866")</f>
        <v>296866</v>
      </c>
      <c r="G2816" s="1" t="str">
        <f>IFERROR(__xludf.DUMMYFUNCTION("""COMPUTED_VALUE"""),"นายณัฐภูมิ สุจริตธรรม")</f>
        <v>นายณัฐภูมิ สุจริตธรรม</v>
      </c>
      <c r="H2816" s="1" t="str">
        <f>IFERROR(__xludf.DUMMYFUNCTION("""COMPUTED_VALUE"""),"296866")</f>
        <v>296866</v>
      </c>
      <c r="I2816" s="1" t="str">
        <f>IFERROR(__xludf.DUMMYFUNCTION("""COMPUTED_VALUE"""),"นายณัฐภูมิ สุจริตธรรม")</f>
        <v>นายณัฐภูมิ สุจริตธรรม</v>
      </c>
      <c r="J2816" s="3">
        <f>IFERROR(__xludf.DUMMYFUNCTION("""COMPUTED_VALUE"""),228031.0)</f>
        <v>228031</v>
      </c>
      <c r="K2816" s="3" t="str">
        <f>IFERROR(__xludf.DUMMYFUNCTION("""COMPUTED_VALUE"""),"นายธนพงษ์ วันหมัด")</f>
        <v>นายธนพงษ์ วันหมัด</v>
      </c>
      <c r="L2816" s="1" t="str">
        <f>IFERROR(__xludf.DUMMYFUNCTION("""COMPUTED_VALUE"""),"นายธนพงษ์ วันหมัด")</f>
        <v>นายธนพงษ์ วันหมัด</v>
      </c>
      <c r="M2816" s="1" t="str">
        <f>IFERROR(__xludf.DUMMYFUNCTION("""COMPUTED_VALUE"""),"0813716913")</f>
        <v>0813716913</v>
      </c>
      <c r="N2816" s="3">
        <f>IFERROR(__xludf.DUMMYFUNCTION("""COMPUTED_VALUE"""),83652.0)</f>
        <v>83652</v>
      </c>
      <c r="O2816" s="3" t="str">
        <f>IFERROR(__xludf.DUMMYFUNCTION("""COMPUTED_VALUE"""),"ร้าน Top One Shop")</f>
        <v>ร้าน Top One Shop</v>
      </c>
      <c r="P2816" s="4">
        <f>IFERROR(__xludf.DUMMYFUNCTION("""COMPUTED_VALUE"""),44659.0)</f>
        <v>44659</v>
      </c>
      <c r="Q2816" s="3" t="str">
        <f>IFERROR(__xludf.DUMMYFUNCTION("""COMPUTED_VALUE"""),"I")</f>
        <v>I</v>
      </c>
      <c r="R2816" s="3" t="str">
        <f>IFERROR(__xludf.DUMMYFUNCTION("""COMPUTED_VALUE"""),"Small Format")</f>
        <v>Small Format</v>
      </c>
      <c r="S2816" s="3" t="str">
        <f>IFERROR(__xludf.DUMMYFUNCTION("""COMPUTED_VALUE"""),"Donjai")</f>
        <v>Donjai</v>
      </c>
      <c r="T2816" s="3" t="str">
        <f>IFERROR(__xludf.DUMMYFUNCTION("""COMPUTED_VALUE"""),"#N/A")</f>
        <v>#N/A</v>
      </c>
      <c r="U2816" s="3" t="str">
        <f>IFERROR(__xludf.DUMMYFUNCTION("""COMPUTED_VALUE"""),"#N/A")</f>
        <v>#N/A</v>
      </c>
      <c r="V2816" s="3" t="str">
        <f>IFERROR(__xludf.DUMMYFUNCTION("""COMPUTED_VALUE"""),"N")</f>
        <v>N</v>
      </c>
      <c r="W2816" s="3"/>
      <c r="X2816" s="3" t="str">
        <f>IFERROR(__xludf.DUMMYFUNCTION("""COMPUTED_VALUE"""),"อ.บางน้ำเปรี้ยว จ.ฉะเชิงเทรา")</f>
        <v>อ.บางน้ำเปรี้ยว จ.ฉะเชิงเทรา</v>
      </c>
      <c r="Y2816" s="3"/>
      <c r="Z2816" s="3">
        <f>IFERROR(__xludf.DUMMYFUNCTION("""COMPUTED_VALUE"""),0.0)</f>
        <v>0</v>
      </c>
      <c r="AA2816" s="3">
        <f>IFERROR(__xludf.DUMMYFUNCTION("""COMPUTED_VALUE"""),0.0)</f>
        <v>0</v>
      </c>
      <c r="AB2816" s="3" t="str">
        <f>IFERROR(__xludf.DUMMYFUNCTION("""COMPUTED_VALUE"""),"ฉะเชิงเทรา")</f>
        <v>ฉะเชิงเทรา</v>
      </c>
      <c r="AC2816" s="3">
        <f>IFERROR(__xludf.DUMMYFUNCTION("""COMPUTED_VALUE"""),0.0)</f>
        <v>0</v>
      </c>
      <c r="AD2816" s="3"/>
      <c r="AE2816" s="3"/>
      <c r="AF2816" s="3" t="str">
        <f>IFERROR(__xludf.DUMMYFUNCTION("""COMPUTED_VALUE"""),"ร้าน Top One Shop-83652")</f>
        <v>ร้าน Top One Shop-83652</v>
      </c>
      <c r="AG2816" s="3" t="str">
        <f>IFERROR(__xludf.DUMMYFUNCTION("""COMPUTED_VALUE"""),"ตะวันออก")</f>
        <v>ตะวันออก</v>
      </c>
      <c r="AH2816" s="3" t="str">
        <f>IFERROR(__xludf.DUMMYFUNCTION("""COMPUTED_VALUE"""),"#N/A")</f>
        <v>#N/A</v>
      </c>
      <c r="AI2816" s="3" t="str">
        <f>IFERROR(__xludf.DUMMYFUNCTION("""COMPUTED_VALUE"""),"Out of warranty")</f>
        <v>Out of warranty</v>
      </c>
      <c r="AJ2816" s="3">
        <f>IFERROR(__xludf.DUMMYFUNCTION("""COMPUTED_VALUE"""),46.0)</f>
        <v>46</v>
      </c>
      <c r="AK2816" s="3"/>
      <c r="AL2816" s="3"/>
    </row>
    <row r="2817" ht="15.75" customHeight="1">
      <c r="A2817" s="1" t="str">
        <f>IFERROR(__xludf.DUMMYFUNCTION("""COMPUTED_VALUE"""),"83653")</f>
        <v>83653</v>
      </c>
      <c r="B2817" s="2">
        <f>IFERROR(__xludf.DUMMYFUNCTION("""COMPUTED_VALUE"""),83653.0)</f>
        <v>83653</v>
      </c>
      <c r="C2817" s="3" t="str">
        <f>IFERROR(__xludf.DUMMYFUNCTION("""COMPUTED_VALUE"""),"ร้าน F.O.")</f>
        <v>ร้าน F.O.</v>
      </c>
      <c r="D2817" s="3" t="str">
        <f>IFERROR(__xludf.DUMMYFUNCTION("""COMPUTED_VALUE"""),"ร้าน F.O.")</f>
        <v>ร้าน F.O.</v>
      </c>
      <c r="E2817" s="1" t="str">
        <f>IFERROR(__xludf.DUMMYFUNCTION("""COMPUTED_VALUE"""),"Donjai")</f>
        <v>Donjai</v>
      </c>
      <c r="F2817" s="1" t="str">
        <f>IFERROR(__xludf.DUMMYFUNCTION("""COMPUTED_VALUE"""),"296868")</f>
        <v>296868</v>
      </c>
      <c r="G2817" s="1" t="str">
        <f>IFERROR(__xludf.DUMMYFUNCTION("""COMPUTED_VALUE"""),"นายพีระพงษ์ แก้วดวงดี")</f>
        <v>นายพีระพงษ์ แก้วดวงดี</v>
      </c>
      <c r="H2817" s="1" t="str">
        <f>IFERROR(__xludf.DUMMYFUNCTION("""COMPUTED_VALUE"""),"296868")</f>
        <v>296868</v>
      </c>
      <c r="I2817" s="1" t="str">
        <f>IFERROR(__xludf.DUMMYFUNCTION("""COMPUTED_VALUE"""),"นายพีระพงษ์ แก้วดวงดี")</f>
        <v>นายพีระพงษ์ แก้วดวงดี</v>
      </c>
      <c r="J2817" s="3">
        <f>IFERROR(__xludf.DUMMYFUNCTION("""COMPUTED_VALUE"""),295886.0)</f>
        <v>295886</v>
      </c>
      <c r="K2817" s="3" t="str">
        <f>IFERROR(__xludf.DUMMYFUNCTION("""COMPUTED_VALUE"""),"นายจิระพงษ์ โพธิ์นิล")</f>
        <v>นายจิระพงษ์ โพธิ์นิล</v>
      </c>
      <c r="L2817" s="1" t="str">
        <f>IFERROR(__xludf.DUMMYFUNCTION("""COMPUTED_VALUE"""),"นายจิระพงษ์ โพธิ์นิล")</f>
        <v>นายจิระพงษ์ โพธิ์นิล</v>
      </c>
      <c r="M2817" s="1" t="str">
        <f>IFERROR(__xludf.DUMMYFUNCTION("""COMPUTED_VALUE"""),"0933290754")</f>
        <v>0933290754</v>
      </c>
      <c r="N2817" s="3">
        <f>IFERROR(__xludf.DUMMYFUNCTION("""COMPUTED_VALUE"""),83653.0)</f>
        <v>83653</v>
      </c>
      <c r="O2817" s="3" t="str">
        <f>IFERROR(__xludf.DUMMYFUNCTION("""COMPUTED_VALUE"""),"ร้าน F.O.")</f>
        <v>ร้าน F.O.</v>
      </c>
      <c r="P2817" s="4">
        <f>IFERROR(__xludf.DUMMYFUNCTION("""COMPUTED_VALUE"""),44619.0)</f>
        <v>44619</v>
      </c>
      <c r="Q2817" s="3" t="str">
        <f>IFERROR(__xludf.DUMMYFUNCTION("""COMPUTED_VALUE"""),"I")</f>
        <v>I</v>
      </c>
      <c r="R2817" s="3" t="str">
        <f>IFERROR(__xludf.DUMMYFUNCTION("""COMPUTED_VALUE"""),"Small Format")</f>
        <v>Small Format</v>
      </c>
      <c r="S2817" s="3" t="str">
        <f>IFERROR(__xludf.DUMMYFUNCTION("""COMPUTED_VALUE"""),"Donjai")</f>
        <v>Donjai</v>
      </c>
      <c r="T2817" s="3" t="str">
        <f>IFERROR(__xludf.DUMMYFUNCTION("""COMPUTED_VALUE"""),"03 K.Peerapong K.")</f>
        <v>03 K.Peerapong K.</v>
      </c>
      <c r="U2817" s="3" t="str">
        <f>IFERROR(__xludf.DUMMYFUNCTION("""COMPUTED_VALUE"""),"03 K.Peerapong K.")</f>
        <v>03 K.Peerapong K.</v>
      </c>
      <c r="V2817" s="3" t="str">
        <f>IFERROR(__xludf.DUMMYFUNCTION("""COMPUTED_VALUE"""),"N")</f>
        <v>N</v>
      </c>
      <c r="W2817" s="3"/>
      <c r="X2817" s="3" t="str">
        <f>IFERROR(__xludf.DUMMYFUNCTION("""COMPUTED_VALUE"""),"315 ตำบลพันนา อำเภอสว่างแดนดิน จ.สกลนคร 47240")</f>
        <v>315 ตำบลพันนา อำเภอสว่างแดนดิน จ.สกลนคร 47240</v>
      </c>
      <c r="Y2817" s="3"/>
      <c r="Z2817" s="3">
        <f>IFERROR(__xludf.DUMMYFUNCTION("""COMPUTED_VALUE"""),0.0)</f>
        <v>0</v>
      </c>
      <c r="AA2817" s="3">
        <f>IFERROR(__xludf.DUMMYFUNCTION("""COMPUTED_VALUE"""),0.0)</f>
        <v>0</v>
      </c>
      <c r="AB2817" s="3" t="str">
        <f>IFERROR(__xludf.DUMMYFUNCTION("""COMPUTED_VALUE"""),"สกลนคร")</f>
        <v>สกลนคร</v>
      </c>
      <c r="AC2817" s="3">
        <f>IFERROR(__xludf.DUMMYFUNCTION("""COMPUTED_VALUE"""),47240.0)</f>
        <v>47240</v>
      </c>
      <c r="AD2817" s="3"/>
      <c r="AE2817" s="3"/>
      <c r="AF2817" s="3" t="str">
        <f>IFERROR(__xludf.DUMMYFUNCTION("""COMPUTED_VALUE"""),"ร้าน F.O.-83653")</f>
        <v>ร้าน F.O.-83653</v>
      </c>
      <c r="AG2817" s="3" t="str">
        <f>IFERROR(__xludf.DUMMYFUNCTION("""COMPUTED_VALUE"""),"ตะวันออกเฉียงเหนือ")</f>
        <v>ตะวันออกเฉียงเหนือ</v>
      </c>
      <c r="AH2817" s="3" t="str">
        <f>IFERROR(__xludf.DUMMYFUNCTION("""COMPUTED_VALUE"""),"#N/A")</f>
        <v>#N/A</v>
      </c>
      <c r="AI2817" s="3" t="str">
        <f>IFERROR(__xludf.DUMMYFUNCTION("""COMPUTED_VALUE"""),"Out of warranty")</f>
        <v>Out of warranty</v>
      </c>
      <c r="AJ2817" s="3">
        <f>IFERROR(__xludf.DUMMYFUNCTION("""COMPUTED_VALUE"""),47.0)</f>
        <v>47</v>
      </c>
      <c r="AK2817" s="3"/>
      <c r="AL2817" s="3"/>
    </row>
    <row r="2818" ht="15.75" customHeight="1">
      <c r="A2818" s="1" t="str">
        <f>IFERROR(__xludf.DUMMYFUNCTION("""COMPUTED_VALUE"""),"83654")</f>
        <v>83654</v>
      </c>
      <c r="B2818" s="2">
        <f>IFERROR(__xludf.DUMMYFUNCTION("""COMPUTED_VALUE"""),83654.0)</f>
        <v>83654</v>
      </c>
      <c r="C2818" s="3" t="str">
        <f>IFERROR(__xludf.DUMMYFUNCTION("""COMPUTED_VALUE"""),"ร้านชูชาติ ของชำ (คุณวรรณภา ศักดิ์น้อย)")</f>
        <v>ร้านชูชาติ ของชำ (คุณวรรณภา ศักดิ์น้อย)</v>
      </c>
      <c r="D2818" s="3" t="str">
        <f>IFERROR(__xludf.DUMMYFUNCTION("""COMPUTED_VALUE"""),"ร้านชูชาติ ของชำ (คุณวรรณภา ศักดิ์น้อย)")</f>
        <v>ร้านชูชาติ ของชำ (คุณวรรณภา ศักดิ์น้อย)</v>
      </c>
      <c r="E2818" s="1" t="str">
        <f>IFERROR(__xludf.DUMMYFUNCTION("""COMPUTED_VALUE"""),"Donjai")</f>
        <v>Donjai</v>
      </c>
      <c r="F2818" s="1" t="str">
        <f>IFERROR(__xludf.DUMMYFUNCTION("""COMPUTED_VALUE"""),"20470331")</f>
        <v>20470331</v>
      </c>
      <c r="G2818" s="1" t="str">
        <f>IFERROR(__xludf.DUMMYFUNCTION("""COMPUTED_VALUE"""),"นายสมชาย ลักษณะสุวรรณ")</f>
        <v>นายสมชาย ลักษณะสุวรรณ</v>
      </c>
      <c r="H2818" s="1" t="str">
        <f>IFERROR(__xludf.DUMMYFUNCTION("""COMPUTED_VALUE"""),"20470331")</f>
        <v>20470331</v>
      </c>
      <c r="I2818" s="1" t="str">
        <f>IFERROR(__xludf.DUMMYFUNCTION("""COMPUTED_VALUE"""),"นายสมชาย ลักษณะสุวรรณ")</f>
        <v>นายสมชาย ลักษณะสุวรรณ</v>
      </c>
      <c r="J2818" s="3">
        <f>IFERROR(__xludf.DUMMYFUNCTION("""COMPUTED_VALUE"""),295541.0)</f>
        <v>295541</v>
      </c>
      <c r="K2818" s="3" t="str">
        <f>IFERROR(__xludf.DUMMYFUNCTION("""COMPUTED_VALUE"""),"นายรพิพล ศรีมาตย์")</f>
        <v>นายรพิพล ศรีมาตย์</v>
      </c>
      <c r="L2818" s="1" t="str">
        <f>IFERROR(__xludf.DUMMYFUNCTION("""COMPUTED_VALUE"""),"นายรพิพล ศรีมาตย์")</f>
        <v>นายรพิพล ศรีมาตย์</v>
      </c>
      <c r="M2818" s="1" t="str">
        <f>IFERROR(__xludf.DUMMYFUNCTION("""COMPUTED_VALUE"""),"0613966115")</f>
        <v>0613966115</v>
      </c>
      <c r="N2818" s="3">
        <f>IFERROR(__xludf.DUMMYFUNCTION("""COMPUTED_VALUE"""),83654.0)</f>
        <v>83654</v>
      </c>
      <c r="O2818" s="3" t="str">
        <f>IFERROR(__xludf.DUMMYFUNCTION("""COMPUTED_VALUE"""),"ร้านชูชาติ ของชำ (คุณวรรณภา ศักดิ์น้อย)")</f>
        <v>ร้านชูชาติ ของชำ (คุณวรรณภา ศักดิ์น้อย)</v>
      </c>
      <c r="P2818" s="4">
        <f>IFERROR(__xludf.DUMMYFUNCTION("""COMPUTED_VALUE"""),44635.0)</f>
        <v>44635</v>
      </c>
      <c r="Q2818" s="3" t="str">
        <f>IFERROR(__xludf.DUMMYFUNCTION("""COMPUTED_VALUE"""),"I")</f>
        <v>I</v>
      </c>
      <c r="R2818" s="3" t="str">
        <f>IFERROR(__xludf.DUMMYFUNCTION("""COMPUTED_VALUE"""),"Small Format")</f>
        <v>Small Format</v>
      </c>
      <c r="S2818" s="3" t="str">
        <f>IFERROR(__xludf.DUMMYFUNCTION("""COMPUTED_VALUE"""),"Donjai")</f>
        <v>Donjai</v>
      </c>
      <c r="T2818" s="3" t="str">
        <f>IFERROR(__xludf.DUMMYFUNCTION("""COMPUTED_VALUE"""),"15 K.Somchai L")</f>
        <v>15 K.Somchai L</v>
      </c>
      <c r="U2818" s="3" t="str">
        <f>IFERROR(__xludf.DUMMYFUNCTION("""COMPUTED_VALUE"""),"15 K.Somchai L")</f>
        <v>15 K.Somchai L</v>
      </c>
      <c r="V2818" s="3" t="str">
        <f>IFERROR(__xludf.DUMMYFUNCTION("""COMPUTED_VALUE"""),"N")</f>
        <v>N</v>
      </c>
      <c r="W2818" s="3"/>
      <c r="X2818" s="3" t="str">
        <f>IFERROR(__xludf.DUMMYFUNCTION("""COMPUTED_VALUE"""),"174 หมู่4 ต.ไม้ฝาด อ.สิเกา จ.ตรัง")</f>
        <v>174 หมู่4 ต.ไม้ฝาด อ.สิเกา จ.ตรัง</v>
      </c>
      <c r="Y2818" s="3"/>
      <c r="Z2818" s="3">
        <f>IFERROR(__xludf.DUMMYFUNCTION("""COMPUTED_VALUE"""),0.0)</f>
        <v>0</v>
      </c>
      <c r="AA2818" s="3">
        <f>IFERROR(__xludf.DUMMYFUNCTION("""COMPUTED_VALUE"""),0.0)</f>
        <v>0</v>
      </c>
      <c r="AB2818" s="3" t="str">
        <f>IFERROR(__xludf.DUMMYFUNCTION("""COMPUTED_VALUE"""),"ตรัง")</f>
        <v>ตรัง</v>
      </c>
      <c r="AC2818" s="3">
        <f>IFERROR(__xludf.DUMMYFUNCTION("""COMPUTED_VALUE"""),0.0)</f>
        <v>0</v>
      </c>
      <c r="AD2818" s="3"/>
      <c r="AE2818" s="3"/>
      <c r="AF2818" s="3" t="str">
        <f>IFERROR(__xludf.DUMMYFUNCTION("""COMPUTED_VALUE"""),"ร้านชูชาติ ของชำ (คุณวรรณภา ศักดิ์น้อย)-83654")</f>
        <v>ร้านชูชาติ ของชำ (คุณวรรณภา ศักดิ์น้อย)-83654</v>
      </c>
      <c r="AG2818" s="3" t="str">
        <f>IFERROR(__xludf.DUMMYFUNCTION("""COMPUTED_VALUE"""),"ใต้")</f>
        <v>ใต้</v>
      </c>
      <c r="AH2818" s="3" t="str">
        <f>IFERROR(__xludf.DUMMYFUNCTION("""COMPUTED_VALUE"""),"#N/A")</f>
        <v>#N/A</v>
      </c>
      <c r="AI2818" s="3" t="str">
        <f>IFERROR(__xludf.DUMMYFUNCTION("""COMPUTED_VALUE"""),"Out of warranty")</f>
        <v>Out of warranty</v>
      </c>
      <c r="AJ2818" s="3">
        <f>IFERROR(__xludf.DUMMYFUNCTION("""COMPUTED_VALUE"""),47.0)</f>
        <v>47</v>
      </c>
      <c r="AK2818" s="3"/>
      <c r="AL2818" s="3"/>
    </row>
    <row r="2819" ht="15.75" customHeight="1">
      <c r="A2819" s="1" t="str">
        <f>IFERROR(__xludf.DUMMYFUNCTION("""COMPUTED_VALUE"""),"83655")</f>
        <v>83655</v>
      </c>
      <c r="B2819" s="2">
        <f>IFERROR(__xludf.DUMMYFUNCTION("""COMPUTED_VALUE"""),83655.0)</f>
        <v>83655</v>
      </c>
      <c r="C2819" s="3" t="str">
        <f>IFERROR(__xludf.DUMMYFUNCTION("""COMPUTED_VALUE"""),"ร้านพงษ์พณิช")</f>
        <v>ร้านพงษ์พณิช</v>
      </c>
      <c r="D2819" s="3" t="str">
        <f>IFERROR(__xludf.DUMMYFUNCTION("""COMPUTED_VALUE"""),"ร้านพงษ์พณิช")</f>
        <v>ร้านพงษ์พณิช</v>
      </c>
      <c r="E2819" s="1" t="str">
        <f>IFERROR(__xludf.DUMMYFUNCTION("""COMPUTED_VALUE"""),"Donjai")</f>
        <v>Donjai</v>
      </c>
      <c r="F2819" s="1" t="str">
        <f>IFERROR(__xludf.DUMMYFUNCTION("""COMPUTED_VALUE"""),"2010016")</f>
        <v>2010016</v>
      </c>
      <c r="G2819" s="1" t="str">
        <f>IFERROR(__xludf.DUMMYFUNCTION("""COMPUTED_VALUE"""),"นายตวงธรรม ใหม่ยศ")</f>
        <v>นายตวงธรรม ใหม่ยศ</v>
      </c>
      <c r="H2819" s="1" t="str">
        <f>IFERROR(__xludf.DUMMYFUNCTION("""COMPUTED_VALUE"""),"2010016")</f>
        <v>2010016</v>
      </c>
      <c r="I2819" s="1" t="str">
        <f>IFERROR(__xludf.DUMMYFUNCTION("""COMPUTED_VALUE"""),"นายตวงธรรม ใหม่ยศ")</f>
        <v>นายตวงธรรม ใหม่ยศ</v>
      </c>
      <c r="J2819" s="3">
        <f>IFERROR(__xludf.DUMMYFUNCTION("""COMPUTED_VALUE"""),295886.0)</f>
        <v>295886</v>
      </c>
      <c r="K2819" s="3" t="str">
        <f>IFERROR(__xludf.DUMMYFUNCTION("""COMPUTED_VALUE"""),"นายจิระพงษ์ โพธิ์นิล")</f>
        <v>นายจิระพงษ์ โพธิ์นิล</v>
      </c>
      <c r="L2819" s="1" t="str">
        <f>IFERROR(__xludf.DUMMYFUNCTION("""COMPUTED_VALUE"""),"นายจิระพงษ์ โพธิ์นิล")</f>
        <v>นายจิระพงษ์ โพธิ์นิล</v>
      </c>
      <c r="M2819" s="1" t="str">
        <f>IFERROR(__xludf.DUMMYFUNCTION("""COMPUTED_VALUE"""),"0933290754")</f>
        <v>0933290754</v>
      </c>
      <c r="N2819" s="3">
        <f>IFERROR(__xludf.DUMMYFUNCTION("""COMPUTED_VALUE"""),83655.0)</f>
        <v>83655</v>
      </c>
      <c r="O2819" s="3" t="str">
        <f>IFERROR(__xludf.DUMMYFUNCTION("""COMPUTED_VALUE"""),"ร้านพงษ์พณิช")</f>
        <v>ร้านพงษ์พณิช</v>
      </c>
      <c r="P2819" s="4">
        <f>IFERROR(__xludf.DUMMYFUNCTION("""COMPUTED_VALUE"""),44643.0)</f>
        <v>44643</v>
      </c>
      <c r="Q2819" s="3" t="str">
        <f>IFERROR(__xludf.DUMMYFUNCTION("""COMPUTED_VALUE"""),"A")</f>
        <v>A</v>
      </c>
      <c r="R2819" s="3" t="str">
        <f>IFERROR(__xludf.DUMMYFUNCTION("""COMPUTED_VALUE"""),"Small Format")</f>
        <v>Small Format</v>
      </c>
      <c r="S2819" s="3" t="str">
        <f>IFERROR(__xludf.DUMMYFUNCTION("""COMPUTED_VALUE"""),"Donjai")</f>
        <v>Donjai</v>
      </c>
      <c r="T2819" s="3" t="str">
        <f>IFERROR(__xludf.DUMMYFUNCTION("""COMPUTED_VALUE"""),"01 K.Tuangtham M.")</f>
        <v>01 K.Tuangtham M.</v>
      </c>
      <c r="U2819" s="3" t="str">
        <f>IFERROR(__xludf.DUMMYFUNCTION("""COMPUTED_VALUE"""),"01 K.Tuangtham M.")</f>
        <v>01 K.Tuangtham M.</v>
      </c>
      <c r="V2819" s="3" t="str">
        <f>IFERROR(__xludf.DUMMYFUNCTION("""COMPUTED_VALUE"""),"N")</f>
        <v>N</v>
      </c>
      <c r="W2819" s="3"/>
      <c r="X2819" s="3" t="str">
        <f>IFERROR(__xludf.DUMMYFUNCTION("""COMPUTED_VALUE"""),"47/4 หมู่3 ต. ป่าแดด อ.เมือง จ. เชียงใหม่")</f>
        <v>47/4 หมู่3 ต. ป่าแดด อ.เมือง จ. เชียงใหม่</v>
      </c>
      <c r="Y2819" s="3"/>
      <c r="Z2819" s="3" t="str">
        <f>IFERROR(__xludf.DUMMYFUNCTION("""COMPUTED_VALUE"""),"ป่าแดด")</f>
        <v>ป่าแดด</v>
      </c>
      <c r="AA2819" s="3" t="str">
        <f>IFERROR(__xludf.DUMMYFUNCTION("""COMPUTED_VALUE"""),"เมืองเชียงใหม่")</f>
        <v>เมืองเชียงใหม่</v>
      </c>
      <c r="AB2819" s="3" t="str">
        <f>IFERROR(__xludf.DUMMYFUNCTION("""COMPUTED_VALUE"""),"เชียงใหม่")</f>
        <v>เชียงใหม่</v>
      </c>
      <c r="AC2819" s="3">
        <f>IFERROR(__xludf.DUMMYFUNCTION("""COMPUTED_VALUE"""),0.0)</f>
        <v>0</v>
      </c>
      <c r="AD2819" s="3"/>
      <c r="AE2819" s="3"/>
      <c r="AF2819" s="3" t="str">
        <f>IFERROR(__xludf.DUMMYFUNCTION("""COMPUTED_VALUE"""),"ร้านพงษ์พณิช-83655")</f>
        <v>ร้านพงษ์พณิช-83655</v>
      </c>
      <c r="AG2819" s="3" t="str">
        <f>IFERROR(__xludf.DUMMYFUNCTION("""COMPUTED_VALUE"""),"เหนือ")</f>
        <v>เหนือ</v>
      </c>
      <c r="AH2819" s="3" t="str">
        <f>IFERROR(__xludf.DUMMYFUNCTION("""COMPUTED_VALUE"""),"#N/A")</f>
        <v>#N/A</v>
      </c>
      <c r="AI2819" s="3" t="str">
        <f>IFERROR(__xludf.DUMMYFUNCTION("""COMPUTED_VALUE"""),"Out of warranty")</f>
        <v>Out of warranty</v>
      </c>
      <c r="AJ2819" s="3">
        <f>IFERROR(__xludf.DUMMYFUNCTION("""COMPUTED_VALUE"""),46.0)</f>
        <v>46</v>
      </c>
      <c r="AK2819" s="3"/>
      <c r="AL2819" s="3"/>
    </row>
    <row r="2820" ht="15.75" customHeight="1">
      <c r="A2820" s="1" t="str">
        <f>IFERROR(__xludf.DUMMYFUNCTION("""COMPUTED_VALUE"""),"83656")</f>
        <v>83656</v>
      </c>
      <c r="B2820" s="2">
        <f>IFERROR(__xludf.DUMMYFUNCTION("""COMPUTED_VALUE"""),83656.0)</f>
        <v>83656</v>
      </c>
      <c r="C2820" s="3" t="str">
        <f>IFERROR(__xludf.DUMMYFUNCTION("""COMPUTED_VALUE"""),"ร้านแพะการค้า2")</f>
        <v>ร้านแพะการค้า2</v>
      </c>
      <c r="D2820" s="3" t="str">
        <f>IFERROR(__xludf.DUMMYFUNCTION("""COMPUTED_VALUE"""),"ร้านแพะการค้า2")</f>
        <v>ร้านแพะการค้า2</v>
      </c>
      <c r="E2820" s="1" t="str">
        <f>IFERROR(__xludf.DUMMYFUNCTION("""COMPUTED_VALUE"""),"Donjai")</f>
        <v>Donjai</v>
      </c>
      <c r="F2820" s="1" t="str">
        <f>IFERROR(__xludf.DUMMYFUNCTION("""COMPUTED_VALUE"""),"20470331")</f>
        <v>20470331</v>
      </c>
      <c r="G2820" s="1" t="str">
        <f>IFERROR(__xludf.DUMMYFUNCTION("""COMPUTED_VALUE"""),"นายสมชาย ลักษณะสุวรรณ")</f>
        <v>นายสมชาย ลักษณะสุวรรณ</v>
      </c>
      <c r="H2820" s="1" t="str">
        <f>IFERROR(__xludf.DUMMYFUNCTION("""COMPUTED_VALUE"""),"20470331")</f>
        <v>20470331</v>
      </c>
      <c r="I2820" s="1" t="str">
        <f>IFERROR(__xludf.DUMMYFUNCTION("""COMPUTED_VALUE"""),"นายสมชาย ลักษณะสุวรรณ")</f>
        <v>นายสมชาย ลักษณะสุวรรณ</v>
      </c>
      <c r="J2820" s="3">
        <f>IFERROR(__xludf.DUMMYFUNCTION("""COMPUTED_VALUE"""),295541.0)</f>
        <v>295541</v>
      </c>
      <c r="K2820" s="3" t="str">
        <f>IFERROR(__xludf.DUMMYFUNCTION("""COMPUTED_VALUE"""),"นายรพิพล ศรีมาตย์")</f>
        <v>นายรพิพล ศรีมาตย์</v>
      </c>
      <c r="L2820" s="1" t="str">
        <f>IFERROR(__xludf.DUMMYFUNCTION("""COMPUTED_VALUE"""),"นายรพิพล ศรีมาตย์")</f>
        <v>นายรพิพล ศรีมาตย์</v>
      </c>
      <c r="M2820" s="1" t="str">
        <f>IFERROR(__xludf.DUMMYFUNCTION("""COMPUTED_VALUE"""),"0613966115")</f>
        <v>0613966115</v>
      </c>
      <c r="N2820" s="3">
        <f>IFERROR(__xludf.DUMMYFUNCTION("""COMPUTED_VALUE"""),83656.0)</f>
        <v>83656</v>
      </c>
      <c r="O2820" s="3" t="str">
        <f>IFERROR(__xludf.DUMMYFUNCTION("""COMPUTED_VALUE"""),"ร้านแพะการค้า2")</f>
        <v>ร้านแพะการค้า2</v>
      </c>
      <c r="P2820" s="4">
        <f>IFERROR(__xludf.DUMMYFUNCTION("""COMPUTED_VALUE"""),44794.0)</f>
        <v>44794</v>
      </c>
      <c r="Q2820" s="3" t="str">
        <f>IFERROR(__xludf.DUMMYFUNCTION("""COMPUTED_VALUE"""),"I")</f>
        <v>I</v>
      </c>
      <c r="R2820" s="3" t="str">
        <f>IFERROR(__xludf.DUMMYFUNCTION("""COMPUTED_VALUE"""),"Small Format")</f>
        <v>Small Format</v>
      </c>
      <c r="S2820" s="3" t="str">
        <f>IFERROR(__xludf.DUMMYFUNCTION("""COMPUTED_VALUE"""),"Donjai")</f>
        <v>Donjai</v>
      </c>
      <c r="T2820" s="3" t="str">
        <f>IFERROR(__xludf.DUMMYFUNCTION("""COMPUTED_VALUE"""),"15 K.Somchai L")</f>
        <v>15 K.Somchai L</v>
      </c>
      <c r="U2820" s="3" t="str">
        <f>IFERROR(__xludf.DUMMYFUNCTION("""COMPUTED_VALUE"""),"15 K.Somchai L")</f>
        <v>15 K.Somchai L</v>
      </c>
      <c r="V2820" s="3" t="str">
        <f>IFERROR(__xludf.DUMMYFUNCTION("""COMPUTED_VALUE"""),"N")</f>
        <v>N</v>
      </c>
      <c r="W2820" s="3"/>
      <c r="X2820" s="3" t="str">
        <f>IFERROR(__xludf.DUMMYFUNCTION("""COMPUTED_VALUE"""),"146/244(ร้านข้าวสารแพะการค้า) หมู่11 ต.บานา อ.เมือง จ.ปัตตานี 94000")</f>
        <v>146/244(ร้านข้าวสารแพะการค้า) หมู่11 ต.บานา อ.เมือง จ.ปัตตานี 94000</v>
      </c>
      <c r="Y2820" s="3"/>
      <c r="Z2820" s="3">
        <f>IFERROR(__xludf.DUMMYFUNCTION("""COMPUTED_VALUE"""),0.0)</f>
        <v>0</v>
      </c>
      <c r="AA2820" s="3">
        <f>IFERROR(__xludf.DUMMYFUNCTION("""COMPUTED_VALUE"""),0.0)</f>
        <v>0</v>
      </c>
      <c r="AB2820" s="3" t="str">
        <f>IFERROR(__xludf.DUMMYFUNCTION("""COMPUTED_VALUE"""),"ปัตตานี")</f>
        <v>ปัตตานี</v>
      </c>
      <c r="AC2820" s="3">
        <f>IFERROR(__xludf.DUMMYFUNCTION("""COMPUTED_VALUE"""),94000.0)</f>
        <v>94000</v>
      </c>
      <c r="AD2820" s="3"/>
      <c r="AE2820" s="3"/>
      <c r="AF2820" s="3" t="str">
        <f>IFERROR(__xludf.DUMMYFUNCTION("""COMPUTED_VALUE"""),"ร้านแพะการค้า2-83656")</f>
        <v>ร้านแพะการค้า2-83656</v>
      </c>
      <c r="AG2820" s="3" t="str">
        <f>IFERROR(__xludf.DUMMYFUNCTION("""COMPUTED_VALUE"""),"ใต้")</f>
        <v>ใต้</v>
      </c>
      <c r="AH2820" s="3" t="str">
        <f>IFERROR(__xludf.DUMMYFUNCTION("""COMPUTED_VALUE"""),"#N/A")</f>
        <v>#N/A</v>
      </c>
      <c r="AI2820" s="3" t="str">
        <f>IFERROR(__xludf.DUMMYFUNCTION("""COMPUTED_VALUE"""),"Out of warranty")</f>
        <v>Out of warranty</v>
      </c>
      <c r="AJ2820" s="3">
        <f>IFERROR(__xludf.DUMMYFUNCTION("""COMPUTED_VALUE"""),41.0)</f>
        <v>41</v>
      </c>
      <c r="AK2820" s="3"/>
      <c r="AL2820" s="3"/>
    </row>
    <row r="2821" ht="15.75" customHeight="1">
      <c r="A2821" s="1" t="str">
        <f>IFERROR(__xludf.DUMMYFUNCTION("""COMPUTED_VALUE"""),"83657")</f>
        <v>83657</v>
      </c>
      <c r="B2821" s="2">
        <f>IFERROR(__xludf.DUMMYFUNCTION("""COMPUTED_VALUE"""),83657.0)</f>
        <v>83657</v>
      </c>
      <c r="C2821" s="3" t="str">
        <f>IFERROR(__xludf.DUMMYFUNCTION("""COMPUTED_VALUE"""),"ร้านเพชรมั่นคง")</f>
        <v>ร้านเพชรมั่นคง</v>
      </c>
      <c r="D2821" s="3" t="str">
        <f>IFERROR(__xludf.DUMMYFUNCTION("""COMPUTED_VALUE"""),"ร้านเพชรมั่นคง")</f>
        <v>ร้านเพชรมั่นคง</v>
      </c>
      <c r="E2821" s="1" t="str">
        <f>IFERROR(__xludf.DUMMYFUNCTION("""COMPUTED_VALUE"""),"Donjai")</f>
        <v>Donjai</v>
      </c>
      <c r="F2821" s="1" t="str">
        <f>IFERROR(__xludf.DUMMYFUNCTION("""COMPUTED_VALUE"""),"20470331")</f>
        <v>20470331</v>
      </c>
      <c r="G2821" s="1" t="str">
        <f>IFERROR(__xludf.DUMMYFUNCTION("""COMPUTED_VALUE"""),"นายสมชาย ลักษณะสุวรรณ")</f>
        <v>นายสมชาย ลักษณะสุวรรณ</v>
      </c>
      <c r="H2821" s="1" t="str">
        <f>IFERROR(__xludf.DUMMYFUNCTION("""COMPUTED_VALUE"""),"20470331")</f>
        <v>20470331</v>
      </c>
      <c r="I2821" s="1" t="str">
        <f>IFERROR(__xludf.DUMMYFUNCTION("""COMPUTED_VALUE"""),"นายสมชาย ลักษณะสุวรรณ")</f>
        <v>นายสมชาย ลักษณะสุวรรณ</v>
      </c>
      <c r="J2821" s="3">
        <f>IFERROR(__xludf.DUMMYFUNCTION("""COMPUTED_VALUE"""),295541.0)</f>
        <v>295541</v>
      </c>
      <c r="K2821" s="3" t="str">
        <f>IFERROR(__xludf.DUMMYFUNCTION("""COMPUTED_VALUE"""),"นายรพิพล ศรีมาตย์")</f>
        <v>นายรพิพล ศรีมาตย์</v>
      </c>
      <c r="L2821" s="1" t="str">
        <f>IFERROR(__xludf.DUMMYFUNCTION("""COMPUTED_VALUE"""),"นายรพิพล ศรีมาตย์")</f>
        <v>นายรพิพล ศรีมาตย์</v>
      </c>
      <c r="M2821" s="1" t="str">
        <f>IFERROR(__xludf.DUMMYFUNCTION("""COMPUTED_VALUE"""),"0613966115")</f>
        <v>0613966115</v>
      </c>
      <c r="N2821" s="3">
        <f>IFERROR(__xludf.DUMMYFUNCTION("""COMPUTED_VALUE"""),83657.0)</f>
        <v>83657</v>
      </c>
      <c r="O2821" s="3" t="str">
        <f>IFERROR(__xludf.DUMMYFUNCTION("""COMPUTED_VALUE"""),"ร้านเพชรมั่นคง")</f>
        <v>ร้านเพชรมั่นคง</v>
      </c>
      <c r="P2821" s="4">
        <f>IFERROR(__xludf.DUMMYFUNCTION("""COMPUTED_VALUE"""),44676.0)</f>
        <v>44676</v>
      </c>
      <c r="Q2821" s="3" t="str">
        <f>IFERROR(__xludf.DUMMYFUNCTION("""COMPUTED_VALUE"""),"I")</f>
        <v>I</v>
      </c>
      <c r="R2821" s="3" t="str">
        <f>IFERROR(__xludf.DUMMYFUNCTION("""COMPUTED_VALUE"""),"Small Format")</f>
        <v>Small Format</v>
      </c>
      <c r="S2821" s="3" t="str">
        <f>IFERROR(__xludf.DUMMYFUNCTION("""COMPUTED_VALUE"""),"Donjai")</f>
        <v>Donjai</v>
      </c>
      <c r="T2821" s="3" t="str">
        <f>IFERROR(__xludf.DUMMYFUNCTION("""COMPUTED_VALUE"""),"15 K.Somchai L")</f>
        <v>15 K.Somchai L</v>
      </c>
      <c r="U2821" s="3" t="str">
        <f>IFERROR(__xludf.DUMMYFUNCTION("""COMPUTED_VALUE"""),"15 K.Somchai L")</f>
        <v>15 K.Somchai L</v>
      </c>
      <c r="V2821" s="3" t="str">
        <f>IFERROR(__xludf.DUMMYFUNCTION("""COMPUTED_VALUE"""),"N")</f>
        <v>N</v>
      </c>
      <c r="W2821" s="3"/>
      <c r="X2821" s="3" t="str">
        <f>IFERROR(__xludf.DUMMYFUNCTION("""COMPUTED_VALUE"""),"129 ต.ลำภู อ.เมือง จ.นราธิวาส")</f>
        <v>129 ต.ลำภู อ.เมือง จ.นราธิวาส</v>
      </c>
      <c r="Y2821" s="3"/>
      <c r="Z2821" s="3">
        <f>IFERROR(__xludf.DUMMYFUNCTION("""COMPUTED_VALUE"""),0.0)</f>
        <v>0</v>
      </c>
      <c r="AA2821" s="3">
        <f>IFERROR(__xludf.DUMMYFUNCTION("""COMPUTED_VALUE"""),0.0)</f>
        <v>0</v>
      </c>
      <c r="AB2821" s="3" t="str">
        <f>IFERROR(__xludf.DUMMYFUNCTION("""COMPUTED_VALUE"""),"นราธิวาส")</f>
        <v>นราธิวาส</v>
      </c>
      <c r="AC2821" s="3">
        <f>IFERROR(__xludf.DUMMYFUNCTION("""COMPUTED_VALUE"""),0.0)</f>
        <v>0</v>
      </c>
      <c r="AD2821" s="3"/>
      <c r="AE2821" s="3"/>
      <c r="AF2821" s="3" t="str">
        <f>IFERROR(__xludf.DUMMYFUNCTION("""COMPUTED_VALUE"""),"ร้านเพชรมั่นคง-83657")</f>
        <v>ร้านเพชรมั่นคง-83657</v>
      </c>
      <c r="AG2821" s="3" t="str">
        <f>IFERROR(__xludf.DUMMYFUNCTION("""COMPUTED_VALUE"""),"ใต้")</f>
        <v>ใต้</v>
      </c>
      <c r="AH2821" s="3" t="str">
        <f>IFERROR(__xludf.DUMMYFUNCTION("""COMPUTED_VALUE"""),"#N/A")</f>
        <v>#N/A</v>
      </c>
      <c r="AI2821" s="3" t="str">
        <f>IFERROR(__xludf.DUMMYFUNCTION("""COMPUTED_VALUE"""),"Out of warranty")</f>
        <v>Out of warranty</v>
      </c>
      <c r="AJ2821" s="3">
        <f>IFERROR(__xludf.DUMMYFUNCTION("""COMPUTED_VALUE"""),45.0)</f>
        <v>45</v>
      </c>
      <c r="AK2821" s="3"/>
      <c r="AL2821" s="3"/>
    </row>
    <row r="2822" ht="15.75" customHeight="1">
      <c r="A2822" s="1" t="str">
        <f>IFERROR(__xludf.DUMMYFUNCTION("""COMPUTED_VALUE"""),"83659")</f>
        <v>83659</v>
      </c>
      <c r="B2822" s="2">
        <f>IFERROR(__xludf.DUMMYFUNCTION("""COMPUTED_VALUE"""),83659.0)</f>
        <v>83659</v>
      </c>
      <c r="C2822" s="3" t="str">
        <f>IFERROR(__xludf.DUMMYFUNCTION("""COMPUTED_VALUE"""),"ร้านเรวดี โชคเจริญ")</f>
        <v>ร้านเรวดี โชคเจริญ</v>
      </c>
      <c r="D2822" s="3" t="str">
        <f>IFERROR(__xludf.DUMMYFUNCTION("""COMPUTED_VALUE"""),"ร้านเรวดี โชคเจริญ")</f>
        <v>ร้านเรวดี โชคเจริญ</v>
      </c>
      <c r="E2822" s="1" t="str">
        <f>IFERROR(__xludf.DUMMYFUNCTION("""COMPUTED_VALUE"""),"Donjai")</f>
        <v>Donjai</v>
      </c>
      <c r="F2822" s="1" t="str">
        <f>IFERROR(__xludf.DUMMYFUNCTION("""COMPUTED_VALUE"""),"025324")</f>
        <v>025324</v>
      </c>
      <c r="G2822" s="1" t="str">
        <f>IFERROR(__xludf.DUMMYFUNCTION("""COMPUTED_VALUE"""),"นายวิเชฎฐ์ ติรัตนะประคม")</f>
        <v>นายวิเชฎฐ์ ติรัตนะประคม</v>
      </c>
      <c r="H2822" s="1" t="str">
        <f>IFERROR(__xludf.DUMMYFUNCTION("""COMPUTED_VALUE"""),"025324")</f>
        <v>025324</v>
      </c>
      <c r="I2822" s="1" t="str">
        <f>IFERROR(__xludf.DUMMYFUNCTION("""COMPUTED_VALUE"""),"นายวิเชฎฐ์ ติรัตนะประคม")</f>
        <v>นายวิเชฎฐ์ ติรัตนะประคม</v>
      </c>
      <c r="J2822" s="3">
        <f>IFERROR(__xludf.DUMMYFUNCTION("""COMPUTED_VALUE"""),295541.0)</f>
        <v>295541</v>
      </c>
      <c r="K2822" s="3" t="str">
        <f>IFERROR(__xludf.DUMMYFUNCTION("""COMPUTED_VALUE"""),"นายรพิพล ศรีมาตย์")</f>
        <v>นายรพิพล ศรีมาตย์</v>
      </c>
      <c r="L2822" s="1" t="str">
        <f>IFERROR(__xludf.DUMMYFUNCTION("""COMPUTED_VALUE"""),"นายรพิพล ศรีมาตย์")</f>
        <v>นายรพิพล ศรีมาตย์</v>
      </c>
      <c r="M2822" s="1" t="str">
        <f>IFERROR(__xludf.DUMMYFUNCTION("""COMPUTED_VALUE"""),"0613966115")</f>
        <v>0613966115</v>
      </c>
      <c r="N2822" s="3">
        <f>IFERROR(__xludf.DUMMYFUNCTION("""COMPUTED_VALUE"""),83659.0)</f>
        <v>83659</v>
      </c>
      <c r="O2822" s="3" t="str">
        <f>IFERROR(__xludf.DUMMYFUNCTION("""COMPUTED_VALUE"""),"ร้านเรวดี โชคเจริญ")</f>
        <v>ร้านเรวดี โชคเจริญ</v>
      </c>
      <c r="P2822" s="4">
        <f>IFERROR(__xludf.DUMMYFUNCTION("""COMPUTED_VALUE"""),44663.0)</f>
        <v>44663</v>
      </c>
      <c r="Q2822" s="3" t="str">
        <f>IFERROR(__xludf.DUMMYFUNCTION("""COMPUTED_VALUE"""),"A")</f>
        <v>A</v>
      </c>
      <c r="R2822" s="3" t="str">
        <f>IFERROR(__xludf.DUMMYFUNCTION("""COMPUTED_VALUE"""),"Small Format")</f>
        <v>Small Format</v>
      </c>
      <c r="S2822" s="3" t="str">
        <f>IFERROR(__xludf.DUMMYFUNCTION("""COMPUTED_VALUE"""),"Donjai")</f>
        <v>Donjai</v>
      </c>
      <c r="T2822" s="3" t="str">
        <f>IFERROR(__xludf.DUMMYFUNCTION("""COMPUTED_VALUE"""),"14 K.Wichet T.")</f>
        <v>14 K.Wichet T.</v>
      </c>
      <c r="U2822" s="3" t="str">
        <f>IFERROR(__xludf.DUMMYFUNCTION("""COMPUTED_VALUE"""),"14 K.Wichet T.")</f>
        <v>14 K.Wichet T.</v>
      </c>
      <c r="V2822" s="3" t="str">
        <f>IFERROR(__xludf.DUMMYFUNCTION("""COMPUTED_VALUE"""),"N")</f>
        <v>N</v>
      </c>
      <c r="W2822" s="3"/>
      <c r="X2822" s="3" t="str">
        <f>IFERROR(__xludf.DUMMYFUNCTION("""COMPUTED_VALUE"""),"25/7 ม.2 ต.พรุใน อ.เกาะยาว จ.พังงา 83000")</f>
        <v>25/7 ม.2 ต.พรุใน อ.เกาะยาว จ.พังงา 83000</v>
      </c>
      <c r="Y2822" s="3"/>
      <c r="Z2822" s="3">
        <f>IFERROR(__xludf.DUMMYFUNCTION("""COMPUTED_VALUE"""),0.0)</f>
        <v>0</v>
      </c>
      <c r="AA2822" s="3">
        <f>IFERROR(__xludf.DUMMYFUNCTION("""COMPUTED_VALUE"""),0.0)</f>
        <v>0</v>
      </c>
      <c r="AB2822" s="3" t="str">
        <f>IFERROR(__xludf.DUMMYFUNCTION("""COMPUTED_VALUE"""),"พังงา")</f>
        <v>พังงา</v>
      </c>
      <c r="AC2822" s="3">
        <f>IFERROR(__xludf.DUMMYFUNCTION("""COMPUTED_VALUE"""),83000.0)</f>
        <v>83000</v>
      </c>
      <c r="AD2822" s="3"/>
      <c r="AE2822" s="3"/>
      <c r="AF2822" s="3" t="str">
        <f>IFERROR(__xludf.DUMMYFUNCTION("""COMPUTED_VALUE"""),"ร้านเรวดี โชคเจริญ-83659")</f>
        <v>ร้านเรวดี โชคเจริญ-83659</v>
      </c>
      <c r="AG2822" s="3" t="str">
        <f>IFERROR(__xludf.DUMMYFUNCTION("""COMPUTED_VALUE"""),"ใต้")</f>
        <v>ใต้</v>
      </c>
      <c r="AH2822" s="3" t="str">
        <f>IFERROR(__xludf.DUMMYFUNCTION("""COMPUTED_VALUE"""),"#N/A")</f>
        <v>#N/A</v>
      </c>
      <c r="AI2822" s="3" t="str">
        <f>IFERROR(__xludf.DUMMYFUNCTION("""COMPUTED_VALUE"""),"Out of warranty")</f>
        <v>Out of warranty</v>
      </c>
      <c r="AJ2822" s="3">
        <f>IFERROR(__xludf.DUMMYFUNCTION("""COMPUTED_VALUE"""),46.0)</f>
        <v>46</v>
      </c>
      <c r="AK2822" s="3"/>
      <c r="AL2822" s="3"/>
    </row>
    <row r="2823" ht="15.75" customHeight="1">
      <c r="A2823" s="1" t="str">
        <f>IFERROR(__xludf.DUMMYFUNCTION("""COMPUTED_VALUE"""),"83660")</f>
        <v>83660</v>
      </c>
      <c r="B2823" s="2">
        <f>IFERROR(__xludf.DUMMYFUNCTION("""COMPUTED_VALUE"""),83660.0)</f>
        <v>83660</v>
      </c>
      <c r="C2823" s="3" t="str">
        <f>IFERROR(__xludf.DUMMYFUNCTION("""COMPUTED_VALUE"""),"ร้านลี มินิมาร์ท")</f>
        <v>ร้านลี มินิมาร์ท</v>
      </c>
      <c r="D2823" s="3" t="str">
        <f>IFERROR(__xludf.DUMMYFUNCTION("""COMPUTED_VALUE"""),"ร้านลี มินิมาร์ท")</f>
        <v>ร้านลี มินิมาร์ท</v>
      </c>
      <c r="E2823" s="1" t="str">
        <f>IFERROR(__xludf.DUMMYFUNCTION("""COMPUTED_VALUE"""),"Donjai")</f>
        <v>Donjai</v>
      </c>
      <c r="F2823" s="1" t="str">
        <f>IFERROR(__xludf.DUMMYFUNCTION("""COMPUTED_VALUE"""),"20470331")</f>
        <v>20470331</v>
      </c>
      <c r="G2823" s="1" t="str">
        <f>IFERROR(__xludf.DUMMYFUNCTION("""COMPUTED_VALUE"""),"นายสมชาย ลักษณะสุวรรณ")</f>
        <v>นายสมชาย ลักษณะสุวรรณ</v>
      </c>
      <c r="H2823" s="1" t="str">
        <f>IFERROR(__xludf.DUMMYFUNCTION("""COMPUTED_VALUE"""),"20470331")</f>
        <v>20470331</v>
      </c>
      <c r="I2823" s="1" t="str">
        <f>IFERROR(__xludf.DUMMYFUNCTION("""COMPUTED_VALUE"""),"นายสมชาย ลักษณะสุวรรณ")</f>
        <v>นายสมชาย ลักษณะสุวรรณ</v>
      </c>
      <c r="J2823" s="3">
        <f>IFERROR(__xludf.DUMMYFUNCTION("""COMPUTED_VALUE"""),295541.0)</f>
        <v>295541</v>
      </c>
      <c r="K2823" s="3" t="str">
        <f>IFERROR(__xludf.DUMMYFUNCTION("""COMPUTED_VALUE"""),"นายรพิพล ศรีมาตย์")</f>
        <v>นายรพิพล ศรีมาตย์</v>
      </c>
      <c r="L2823" s="1" t="str">
        <f>IFERROR(__xludf.DUMMYFUNCTION("""COMPUTED_VALUE"""),"นายรพิพล ศรีมาตย์")</f>
        <v>นายรพิพล ศรีมาตย์</v>
      </c>
      <c r="M2823" s="1" t="str">
        <f>IFERROR(__xludf.DUMMYFUNCTION("""COMPUTED_VALUE"""),"0613966115")</f>
        <v>0613966115</v>
      </c>
      <c r="N2823" s="3">
        <f>IFERROR(__xludf.DUMMYFUNCTION("""COMPUTED_VALUE"""),83660.0)</f>
        <v>83660</v>
      </c>
      <c r="O2823" s="3" t="str">
        <f>IFERROR(__xludf.DUMMYFUNCTION("""COMPUTED_VALUE"""),"ร้านลี มินิมาร์ท")</f>
        <v>ร้านลี มินิมาร์ท</v>
      </c>
      <c r="P2823" s="4">
        <f>IFERROR(__xludf.DUMMYFUNCTION("""COMPUTED_VALUE"""),44686.0)</f>
        <v>44686</v>
      </c>
      <c r="Q2823" s="3" t="str">
        <f>IFERROR(__xludf.DUMMYFUNCTION("""COMPUTED_VALUE"""),"I")</f>
        <v>I</v>
      </c>
      <c r="R2823" s="3" t="str">
        <f>IFERROR(__xludf.DUMMYFUNCTION("""COMPUTED_VALUE"""),"Small Format")</f>
        <v>Small Format</v>
      </c>
      <c r="S2823" s="3" t="str">
        <f>IFERROR(__xludf.DUMMYFUNCTION("""COMPUTED_VALUE"""),"Donjai")</f>
        <v>Donjai</v>
      </c>
      <c r="T2823" s="3" t="str">
        <f>IFERROR(__xludf.DUMMYFUNCTION("""COMPUTED_VALUE"""),"15 K.Somchai L")</f>
        <v>15 K.Somchai L</v>
      </c>
      <c r="U2823" s="3" t="str">
        <f>IFERROR(__xludf.DUMMYFUNCTION("""COMPUTED_VALUE"""),"15 K.Somchai L")</f>
        <v>15 K.Somchai L</v>
      </c>
      <c r="V2823" s="3" t="str">
        <f>IFERROR(__xludf.DUMMYFUNCTION("""COMPUTED_VALUE"""),"N")</f>
        <v>N</v>
      </c>
      <c r="W2823" s="3"/>
      <c r="X2823" s="3" t="str">
        <f>IFERROR(__xludf.DUMMYFUNCTION("""COMPUTED_VALUE"""),"93/3 ถนนเทศบาล26 ต.พะตง อ.หาดใหญ่ จ.สงขลา 90230")</f>
        <v>93/3 ถนนเทศบาล26 ต.พะตง อ.หาดใหญ่ จ.สงขลา 90230</v>
      </c>
      <c r="Y2823" s="3"/>
      <c r="Z2823" s="3">
        <f>IFERROR(__xludf.DUMMYFUNCTION("""COMPUTED_VALUE"""),0.0)</f>
        <v>0</v>
      </c>
      <c r="AA2823" s="3">
        <f>IFERROR(__xludf.DUMMYFUNCTION("""COMPUTED_VALUE"""),0.0)</f>
        <v>0</v>
      </c>
      <c r="AB2823" s="3" t="str">
        <f>IFERROR(__xludf.DUMMYFUNCTION("""COMPUTED_VALUE"""),"สงขลา")</f>
        <v>สงขลา</v>
      </c>
      <c r="AC2823" s="3">
        <f>IFERROR(__xludf.DUMMYFUNCTION("""COMPUTED_VALUE"""),90230.0)</f>
        <v>90230</v>
      </c>
      <c r="AD2823" s="3"/>
      <c r="AE2823" s="3"/>
      <c r="AF2823" s="3" t="str">
        <f>IFERROR(__xludf.DUMMYFUNCTION("""COMPUTED_VALUE"""),"ร้านลี มินิมาร์ท-83660")</f>
        <v>ร้านลี มินิมาร์ท-83660</v>
      </c>
      <c r="AG2823" s="3" t="str">
        <f>IFERROR(__xludf.DUMMYFUNCTION("""COMPUTED_VALUE"""),"ใต้")</f>
        <v>ใต้</v>
      </c>
      <c r="AH2823" s="3" t="str">
        <f>IFERROR(__xludf.DUMMYFUNCTION("""COMPUTED_VALUE"""),"#N/A")</f>
        <v>#N/A</v>
      </c>
      <c r="AI2823" s="3" t="str">
        <f>IFERROR(__xludf.DUMMYFUNCTION("""COMPUTED_VALUE"""),"Out of warranty")</f>
        <v>Out of warranty</v>
      </c>
      <c r="AJ2823" s="3">
        <f>IFERROR(__xludf.DUMMYFUNCTION("""COMPUTED_VALUE"""),45.0)</f>
        <v>45</v>
      </c>
      <c r="AK2823" s="3"/>
      <c r="AL2823" s="3"/>
    </row>
    <row r="2824" ht="15.75" customHeight="1">
      <c r="A2824" s="1" t="str">
        <f>IFERROR(__xludf.DUMMYFUNCTION("""COMPUTED_VALUE"""),"83664")</f>
        <v>83664</v>
      </c>
      <c r="B2824" s="2">
        <f>IFERROR(__xludf.DUMMYFUNCTION("""COMPUTED_VALUE"""),83664.0)</f>
        <v>83664</v>
      </c>
      <c r="C2824" s="3" t="str">
        <f>IFERROR(__xludf.DUMMYFUNCTION("""COMPUTED_VALUE"""),"ร้านยุวดี")</f>
        <v>ร้านยุวดี</v>
      </c>
      <c r="D2824" s="3" t="str">
        <f>IFERROR(__xludf.DUMMYFUNCTION("""COMPUTED_VALUE"""),"ร้านยุวดี")</f>
        <v>ร้านยุวดี</v>
      </c>
      <c r="E2824" s="1" t="str">
        <f>IFERROR(__xludf.DUMMYFUNCTION("""COMPUTED_VALUE"""),"Donjai")</f>
        <v>Donjai</v>
      </c>
      <c r="F2824" s="1" t="str">
        <f>IFERROR(__xludf.DUMMYFUNCTION("""COMPUTED_VALUE"""),"296608")</f>
        <v>296608</v>
      </c>
      <c r="G2824" s="1" t="str">
        <f>IFERROR(__xludf.DUMMYFUNCTION("""COMPUTED_VALUE"""),"นายภาคภูมิ เพ็ชรนิล")</f>
        <v>นายภาคภูมิ เพ็ชรนิล</v>
      </c>
      <c r="H2824" s="1" t="str">
        <f>IFERROR(__xludf.DUMMYFUNCTION("""COMPUTED_VALUE"""),"296608")</f>
        <v>296608</v>
      </c>
      <c r="I2824" s="1" t="str">
        <f>IFERROR(__xludf.DUMMYFUNCTION("""COMPUTED_VALUE"""),"นายภาคภูมิ เพ็ชรนิล")</f>
        <v>นายภาคภูมิ เพ็ชรนิล</v>
      </c>
      <c r="J2824" s="3">
        <f>IFERROR(__xludf.DUMMYFUNCTION("""COMPUTED_VALUE"""),228031.0)</f>
        <v>228031</v>
      </c>
      <c r="K2824" s="3" t="str">
        <f>IFERROR(__xludf.DUMMYFUNCTION("""COMPUTED_VALUE"""),"นายธนพงษ์ วันหมัด")</f>
        <v>นายธนพงษ์ วันหมัด</v>
      </c>
      <c r="L2824" s="1" t="str">
        <f>IFERROR(__xludf.DUMMYFUNCTION("""COMPUTED_VALUE"""),"นายธนพงษ์ วันหมัด")</f>
        <v>นายธนพงษ์ วันหมัด</v>
      </c>
      <c r="M2824" s="1" t="str">
        <f>IFERROR(__xludf.DUMMYFUNCTION("""COMPUTED_VALUE"""),"0813716913")</f>
        <v>0813716913</v>
      </c>
      <c r="N2824" s="3">
        <f>IFERROR(__xludf.DUMMYFUNCTION("""COMPUTED_VALUE"""),83664.0)</f>
        <v>83664</v>
      </c>
      <c r="O2824" s="3" t="str">
        <f>IFERROR(__xludf.DUMMYFUNCTION("""COMPUTED_VALUE"""),"ร้านยุวดี")</f>
        <v>ร้านยุวดี</v>
      </c>
      <c r="P2824" s="4">
        <f>IFERROR(__xludf.DUMMYFUNCTION("""COMPUTED_VALUE"""),44655.0)</f>
        <v>44655</v>
      </c>
      <c r="Q2824" s="3" t="str">
        <f>IFERROR(__xludf.DUMMYFUNCTION("""COMPUTED_VALUE"""),"A")</f>
        <v>A</v>
      </c>
      <c r="R2824" s="3" t="str">
        <f>IFERROR(__xludf.DUMMYFUNCTION("""COMPUTED_VALUE"""),"Small Format")</f>
        <v>Small Format</v>
      </c>
      <c r="S2824" s="3" t="str">
        <f>IFERROR(__xludf.DUMMYFUNCTION("""COMPUTED_VALUE"""),"Donjai")</f>
        <v>Donjai</v>
      </c>
      <c r="T2824" s="3" t="str">
        <f>IFERROR(__xludf.DUMMYFUNCTION("""COMPUTED_VALUE"""),"10 K.Phakphoom P.")</f>
        <v>10 K.Phakphoom P.</v>
      </c>
      <c r="U2824" s="3" t="str">
        <f>IFERROR(__xludf.DUMMYFUNCTION("""COMPUTED_VALUE"""),"10 K.Phakphoom P.")</f>
        <v>10 K.Phakphoom P.</v>
      </c>
      <c r="V2824" s="3" t="str">
        <f>IFERROR(__xludf.DUMMYFUNCTION("""COMPUTED_VALUE"""),"N")</f>
        <v>N</v>
      </c>
      <c r="W2824" s="3"/>
      <c r="X2824" s="3" t="str">
        <f>IFERROR(__xludf.DUMMYFUNCTION("""COMPUTED_VALUE"""),"163 ม.1 ต.ห้วยพระ​ อ.ดอนตูม​ จ.นครปฐม")</f>
        <v>163 ม.1 ต.ห้วยพระ​ อ.ดอนตูม​ จ.นครปฐม</v>
      </c>
      <c r="Y2824" s="3"/>
      <c r="Z2824" s="3">
        <f>IFERROR(__xludf.DUMMYFUNCTION("""COMPUTED_VALUE"""),0.0)</f>
        <v>0</v>
      </c>
      <c r="AA2824" s="3">
        <f>IFERROR(__xludf.DUMMYFUNCTION("""COMPUTED_VALUE"""),0.0)</f>
        <v>0</v>
      </c>
      <c r="AB2824" s="3" t="str">
        <f>IFERROR(__xludf.DUMMYFUNCTION("""COMPUTED_VALUE"""),"นครปฐม")</f>
        <v>นครปฐม</v>
      </c>
      <c r="AC2824" s="3">
        <f>IFERROR(__xludf.DUMMYFUNCTION("""COMPUTED_VALUE"""),0.0)</f>
        <v>0</v>
      </c>
      <c r="AD2824" s="3"/>
      <c r="AE2824" s="3"/>
      <c r="AF2824" s="3" t="str">
        <f>IFERROR(__xludf.DUMMYFUNCTION("""COMPUTED_VALUE"""),"ร้านยุวดี-83664")</f>
        <v>ร้านยุวดี-83664</v>
      </c>
      <c r="AG2824" s="3" t="str">
        <f>IFERROR(__xludf.DUMMYFUNCTION("""COMPUTED_VALUE"""),"กลาง")</f>
        <v>กลาง</v>
      </c>
      <c r="AH2824" s="3" t="str">
        <f>IFERROR(__xludf.DUMMYFUNCTION("""COMPUTED_VALUE"""),"#N/A")</f>
        <v>#N/A</v>
      </c>
      <c r="AI2824" s="3" t="str">
        <f>IFERROR(__xludf.DUMMYFUNCTION("""COMPUTED_VALUE"""),"Out of warranty")</f>
        <v>Out of warranty</v>
      </c>
      <c r="AJ2824" s="3">
        <f>IFERROR(__xludf.DUMMYFUNCTION("""COMPUTED_VALUE"""),46.0)</f>
        <v>46</v>
      </c>
      <c r="AK2824" s="3"/>
      <c r="AL2824" s="3"/>
    </row>
    <row r="2825" ht="15.75" customHeight="1">
      <c r="A2825" s="1" t="str">
        <f>IFERROR(__xludf.DUMMYFUNCTION("""COMPUTED_VALUE"""),"83665")</f>
        <v>83665</v>
      </c>
      <c r="B2825" s="2">
        <f>IFERROR(__xludf.DUMMYFUNCTION("""COMPUTED_VALUE"""),83665.0)</f>
        <v>83665</v>
      </c>
      <c r="C2825" s="3" t="str">
        <f>IFERROR(__xludf.DUMMYFUNCTION("""COMPUTED_VALUE"""),"ร้านนายช่าง(เติ้ล) (นายช่างเติ้ล)")</f>
        <v>ร้านนายช่าง(เติ้ล) (นายช่างเติ้ล)</v>
      </c>
      <c r="D2825" s="3" t="str">
        <f>IFERROR(__xludf.DUMMYFUNCTION("""COMPUTED_VALUE"""),"ร้านนายช่าง(เติ้ล) (นายช่างเติ้ล)")</f>
        <v>ร้านนายช่าง(เติ้ล) (นายช่างเติ้ล)</v>
      </c>
      <c r="E2825" s="1" t="str">
        <f>IFERROR(__xludf.DUMMYFUNCTION("""COMPUTED_VALUE"""),"Donjai")</f>
        <v>Donjai</v>
      </c>
      <c r="F2825" s="1" t="str">
        <f>IFERROR(__xludf.DUMMYFUNCTION("""COMPUTED_VALUE"""),"015361")</f>
        <v>015361</v>
      </c>
      <c r="G2825" s="1" t="str">
        <f>IFERROR(__xludf.DUMMYFUNCTION("""COMPUTED_VALUE"""),"นายสมบูรณ์ พรหมในเมือง")</f>
        <v>นายสมบูรณ์ พรหมในเมือง</v>
      </c>
      <c r="H2825" s="1" t="str">
        <f>IFERROR(__xludf.DUMMYFUNCTION("""COMPUTED_VALUE"""),"015361")</f>
        <v>015361</v>
      </c>
      <c r="I2825" s="1" t="str">
        <f>IFERROR(__xludf.DUMMYFUNCTION("""COMPUTED_VALUE"""),"นายสมบูรณ์ พรหมในเมือง")</f>
        <v>นายสมบูรณ์ พรหมในเมือง</v>
      </c>
      <c r="J2825" s="3">
        <f>IFERROR(__xludf.DUMMYFUNCTION("""COMPUTED_VALUE"""),295886.0)</f>
        <v>295886</v>
      </c>
      <c r="K2825" s="3" t="str">
        <f>IFERROR(__xludf.DUMMYFUNCTION("""COMPUTED_VALUE"""),"นายจิระพงษ์ โพธิ์นิล")</f>
        <v>นายจิระพงษ์ โพธิ์นิล</v>
      </c>
      <c r="L2825" s="1" t="str">
        <f>IFERROR(__xludf.DUMMYFUNCTION("""COMPUTED_VALUE"""),"นายจิระพงษ์ โพธิ์นิล")</f>
        <v>นายจิระพงษ์ โพธิ์นิล</v>
      </c>
      <c r="M2825" s="1" t="str">
        <f>IFERROR(__xludf.DUMMYFUNCTION("""COMPUTED_VALUE"""),"0933290754")</f>
        <v>0933290754</v>
      </c>
      <c r="N2825" s="3">
        <f>IFERROR(__xludf.DUMMYFUNCTION("""COMPUTED_VALUE"""),83665.0)</f>
        <v>83665</v>
      </c>
      <c r="O2825" s="3" t="str">
        <f>IFERROR(__xludf.DUMMYFUNCTION("""COMPUTED_VALUE"""),"ร้านนายช่าง(เติ้ล) (นายช่างเติ้ล)")</f>
        <v>ร้านนายช่าง(เติ้ล) (นายช่างเติ้ล)</v>
      </c>
      <c r="P2825" s="4">
        <f>IFERROR(__xludf.DUMMYFUNCTION("""COMPUTED_VALUE"""),44633.0)</f>
        <v>44633</v>
      </c>
      <c r="Q2825" s="3" t="str">
        <f>IFERROR(__xludf.DUMMYFUNCTION("""COMPUTED_VALUE"""),"I")</f>
        <v>I</v>
      </c>
      <c r="R2825" s="3" t="str">
        <f>IFERROR(__xludf.DUMMYFUNCTION("""COMPUTED_VALUE"""),"Small Format")</f>
        <v>Small Format</v>
      </c>
      <c r="S2825" s="3" t="str">
        <f>IFERROR(__xludf.DUMMYFUNCTION("""COMPUTED_VALUE"""),"Donjai")</f>
        <v>Donjai</v>
      </c>
      <c r="T2825" s="3" t="str">
        <f>IFERROR(__xludf.DUMMYFUNCTION("""COMPUTED_VALUE"""),"04 K.Somboon P.")</f>
        <v>04 K.Somboon P.</v>
      </c>
      <c r="U2825" s="3" t="str">
        <f>IFERROR(__xludf.DUMMYFUNCTION("""COMPUTED_VALUE"""),"04 K.Somboon P.")</f>
        <v>04 K.Somboon P.</v>
      </c>
      <c r="V2825" s="3" t="str">
        <f>IFERROR(__xludf.DUMMYFUNCTION("""COMPUTED_VALUE"""),"N")</f>
        <v>N</v>
      </c>
      <c r="W2825" s="3"/>
      <c r="X2825" s="3" t="str">
        <f>IFERROR(__xludf.DUMMYFUNCTION("""COMPUTED_VALUE"""),"บ้านเลขที่ 70 หมู่7 ต.หนองแวง อ.กันทรารมย์ จ.ศรีสะเกษ")</f>
        <v>บ้านเลขที่ 70 หมู่7 ต.หนองแวง อ.กันทรารมย์ จ.ศรีสะเกษ</v>
      </c>
      <c r="Y2825" s="3"/>
      <c r="Z2825" s="3">
        <f>IFERROR(__xludf.DUMMYFUNCTION("""COMPUTED_VALUE"""),0.0)</f>
        <v>0</v>
      </c>
      <c r="AA2825" s="3">
        <f>IFERROR(__xludf.DUMMYFUNCTION("""COMPUTED_VALUE"""),0.0)</f>
        <v>0</v>
      </c>
      <c r="AB2825" s="3" t="str">
        <f>IFERROR(__xludf.DUMMYFUNCTION("""COMPUTED_VALUE"""),"ศรีสะเกษ")</f>
        <v>ศรีสะเกษ</v>
      </c>
      <c r="AC2825" s="3">
        <f>IFERROR(__xludf.DUMMYFUNCTION("""COMPUTED_VALUE"""),0.0)</f>
        <v>0</v>
      </c>
      <c r="AD2825" s="3"/>
      <c r="AE2825" s="3"/>
      <c r="AF2825" s="3" t="str">
        <f>IFERROR(__xludf.DUMMYFUNCTION("""COMPUTED_VALUE"""),"ร้านนายช่าง(เติ้ล) (นายช่างเติ้ล)-83665")</f>
        <v>ร้านนายช่าง(เติ้ล) (นายช่างเติ้ล)-83665</v>
      </c>
      <c r="AG2825" s="3" t="str">
        <f>IFERROR(__xludf.DUMMYFUNCTION("""COMPUTED_VALUE"""),"ตะวันออกเฉียงเหนือ")</f>
        <v>ตะวันออกเฉียงเหนือ</v>
      </c>
      <c r="AH2825" s="3" t="str">
        <f>IFERROR(__xludf.DUMMYFUNCTION("""COMPUTED_VALUE"""),"#N/A")</f>
        <v>#N/A</v>
      </c>
      <c r="AI2825" s="3" t="str">
        <f>IFERROR(__xludf.DUMMYFUNCTION("""COMPUTED_VALUE"""),"Out of warranty")</f>
        <v>Out of warranty</v>
      </c>
      <c r="AJ2825" s="3">
        <f>IFERROR(__xludf.DUMMYFUNCTION("""COMPUTED_VALUE"""),47.0)</f>
        <v>47</v>
      </c>
      <c r="AK2825" s="3"/>
      <c r="AL2825" s="3"/>
    </row>
    <row r="2826" ht="15.75" customHeight="1">
      <c r="A2826" s="1" t="str">
        <f>IFERROR(__xludf.DUMMYFUNCTION("""COMPUTED_VALUE"""),"83669")</f>
        <v>83669</v>
      </c>
      <c r="B2826" s="2">
        <f>IFERROR(__xludf.DUMMYFUNCTION("""COMPUTED_VALUE"""),83669.0)</f>
        <v>83669</v>
      </c>
      <c r="C2826" s="3" t="str">
        <f>IFERROR(__xludf.DUMMYFUNCTION("""COMPUTED_VALUE"""),"ร้านใจเบญไข่ไก่สาขา2")</f>
        <v>ร้านใจเบญไข่ไก่สาขา2</v>
      </c>
      <c r="D2826" s="3" t="str">
        <f>IFERROR(__xludf.DUMMYFUNCTION("""COMPUTED_VALUE"""),"ร้านใจเบญไข่ไก่สาขา2")</f>
        <v>ร้านใจเบญไข่ไก่สาขา2</v>
      </c>
      <c r="E2826" s="1" t="str">
        <f>IFERROR(__xludf.DUMMYFUNCTION("""COMPUTED_VALUE"""),"Donjai")</f>
        <v>Donjai</v>
      </c>
      <c r="F2826" s="1" t="str">
        <f>IFERROR(__xludf.DUMMYFUNCTION("""COMPUTED_VALUE"""),"296608")</f>
        <v>296608</v>
      </c>
      <c r="G2826" s="1" t="str">
        <f>IFERROR(__xludf.DUMMYFUNCTION("""COMPUTED_VALUE"""),"นายภาคภูมิ เพ็ชรนิล")</f>
        <v>นายภาคภูมิ เพ็ชรนิล</v>
      </c>
      <c r="H2826" s="1" t="str">
        <f>IFERROR(__xludf.DUMMYFUNCTION("""COMPUTED_VALUE"""),"296608")</f>
        <v>296608</v>
      </c>
      <c r="I2826" s="1" t="str">
        <f>IFERROR(__xludf.DUMMYFUNCTION("""COMPUTED_VALUE"""),"นายภาคภูมิ เพ็ชรนิล")</f>
        <v>นายภาคภูมิ เพ็ชรนิล</v>
      </c>
      <c r="J2826" s="3">
        <f>IFERROR(__xludf.DUMMYFUNCTION("""COMPUTED_VALUE"""),228031.0)</f>
        <v>228031</v>
      </c>
      <c r="K2826" s="3" t="str">
        <f>IFERROR(__xludf.DUMMYFUNCTION("""COMPUTED_VALUE"""),"นายธนพงษ์ วันหมัด")</f>
        <v>นายธนพงษ์ วันหมัด</v>
      </c>
      <c r="L2826" s="1" t="str">
        <f>IFERROR(__xludf.DUMMYFUNCTION("""COMPUTED_VALUE"""),"นายธนพงษ์ วันหมัด")</f>
        <v>นายธนพงษ์ วันหมัด</v>
      </c>
      <c r="M2826" s="1" t="str">
        <f>IFERROR(__xludf.DUMMYFUNCTION("""COMPUTED_VALUE"""),"0813716913")</f>
        <v>0813716913</v>
      </c>
      <c r="N2826" s="3">
        <f>IFERROR(__xludf.DUMMYFUNCTION("""COMPUTED_VALUE"""),83669.0)</f>
        <v>83669</v>
      </c>
      <c r="O2826" s="3" t="str">
        <f>IFERROR(__xludf.DUMMYFUNCTION("""COMPUTED_VALUE"""),"ร้านใจเบญไข่ไก่สาขา2")</f>
        <v>ร้านใจเบญไข่ไก่สาขา2</v>
      </c>
      <c r="P2826" s="4">
        <f>IFERROR(__xludf.DUMMYFUNCTION("""COMPUTED_VALUE"""),44663.0)</f>
        <v>44663</v>
      </c>
      <c r="Q2826" s="3" t="str">
        <f>IFERROR(__xludf.DUMMYFUNCTION("""COMPUTED_VALUE"""),"I")</f>
        <v>I</v>
      </c>
      <c r="R2826" s="3" t="str">
        <f>IFERROR(__xludf.DUMMYFUNCTION("""COMPUTED_VALUE"""),"Small Format")</f>
        <v>Small Format</v>
      </c>
      <c r="S2826" s="3" t="str">
        <f>IFERROR(__xludf.DUMMYFUNCTION("""COMPUTED_VALUE"""),"Donjai")</f>
        <v>Donjai</v>
      </c>
      <c r="T2826" s="3" t="str">
        <f>IFERROR(__xludf.DUMMYFUNCTION("""COMPUTED_VALUE"""),"10 K.Phakphoom P.")</f>
        <v>10 K.Phakphoom P.</v>
      </c>
      <c r="U2826" s="3" t="str">
        <f>IFERROR(__xludf.DUMMYFUNCTION("""COMPUTED_VALUE"""),"10 K.Phakphoom P.")</f>
        <v>10 K.Phakphoom P.</v>
      </c>
      <c r="V2826" s="3" t="str">
        <f>IFERROR(__xludf.DUMMYFUNCTION("""COMPUTED_VALUE"""),"N")</f>
        <v>N</v>
      </c>
      <c r="W2826" s="3"/>
      <c r="X2826" s="3" t="str">
        <f>IFERROR(__xludf.DUMMYFUNCTION("""COMPUTED_VALUE"""),"6/46หมู่บ้านเขาน้อย อ.หัวหิน จ.ประจวบคีรีขันธ์")</f>
        <v>6/46หมู่บ้านเขาน้อย อ.หัวหิน จ.ประจวบคีรีขันธ์</v>
      </c>
      <c r="Y2826" s="3"/>
      <c r="Z2826" s="3">
        <f>IFERROR(__xludf.DUMMYFUNCTION("""COMPUTED_VALUE"""),0.0)</f>
        <v>0</v>
      </c>
      <c r="AA2826" s="3">
        <f>IFERROR(__xludf.DUMMYFUNCTION("""COMPUTED_VALUE"""),0.0)</f>
        <v>0</v>
      </c>
      <c r="AB2826" s="3" t="str">
        <f>IFERROR(__xludf.DUMMYFUNCTION("""COMPUTED_VALUE"""),"ประจวบคีรีขันธ์")</f>
        <v>ประจวบคีรีขันธ์</v>
      </c>
      <c r="AC2826" s="3">
        <f>IFERROR(__xludf.DUMMYFUNCTION("""COMPUTED_VALUE"""),0.0)</f>
        <v>0</v>
      </c>
      <c r="AD2826" s="3"/>
      <c r="AE2826" s="3"/>
      <c r="AF2826" s="3" t="str">
        <f>IFERROR(__xludf.DUMMYFUNCTION("""COMPUTED_VALUE"""),"ร้านใจเบญไข่ไก่สาขา2-83669")</f>
        <v>ร้านใจเบญไข่ไก่สาขา2-83669</v>
      </c>
      <c r="AG2826" s="3" t="str">
        <f>IFERROR(__xludf.DUMMYFUNCTION("""COMPUTED_VALUE"""),"ตะวันตก")</f>
        <v>ตะวันตก</v>
      </c>
      <c r="AH2826" s="3" t="str">
        <f>IFERROR(__xludf.DUMMYFUNCTION("""COMPUTED_VALUE"""),"#N/A")</f>
        <v>#N/A</v>
      </c>
      <c r="AI2826" s="3" t="str">
        <f>IFERROR(__xludf.DUMMYFUNCTION("""COMPUTED_VALUE"""),"Out of warranty")</f>
        <v>Out of warranty</v>
      </c>
      <c r="AJ2826" s="3">
        <f>IFERROR(__xludf.DUMMYFUNCTION("""COMPUTED_VALUE"""),46.0)</f>
        <v>46</v>
      </c>
      <c r="AK2826" s="3"/>
      <c r="AL2826" s="3"/>
    </row>
    <row r="2827" ht="15.75" customHeight="1">
      <c r="A2827" s="1" t="str">
        <f>IFERROR(__xludf.DUMMYFUNCTION("""COMPUTED_VALUE"""),"83670")</f>
        <v>83670</v>
      </c>
      <c r="B2827" s="2">
        <f>IFERROR(__xludf.DUMMYFUNCTION("""COMPUTED_VALUE"""),83670.0)</f>
        <v>83670</v>
      </c>
      <c r="C2827" s="3" t="str">
        <f>IFERROR(__xludf.DUMMYFUNCTION("""COMPUTED_VALUE"""),"ร้านธีรตรี สาขา2")</f>
        <v>ร้านธีรตรี สาขา2</v>
      </c>
      <c r="D2827" s="3" t="str">
        <f>IFERROR(__xludf.DUMMYFUNCTION("""COMPUTED_VALUE"""),"ร้านธีรตรี สาขา2")</f>
        <v>ร้านธีรตรี สาขา2</v>
      </c>
      <c r="E2827" s="1" t="str">
        <f>IFERROR(__xludf.DUMMYFUNCTION("""COMPUTED_VALUE"""),"Donjai")</f>
        <v>Donjai</v>
      </c>
      <c r="F2827" s="1" t="str">
        <f>IFERROR(__xludf.DUMMYFUNCTION("""COMPUTED_VALUE"""),"2010016")</f>
        <v>2010016</v>
      </c>
      <c r="G2827" s="1" t="str">
        <f>IFERROR(__xludf.DUMMYFUNCTION("""COMPUTED_VALUE"""),"นายตวงธรรม ใหม่ยศ")</f>
        <v>นายตวงธรรม ใหม่ยศ</v>
      </c>
      <c r="H2827" s="1" t="str">
        <f>IFERROR(__xludf.DUMMYFUNCTION("""COMPUTED_VALUE"""),"2010016")</f>
        <v>2010016</v>
      </c>
      <c r="I2827" s="1" t="str">
        <f>IFERROR(__xludf.DUMMYFUNCTION("""COMPUTED_VALUE"""),"นายตวงธรรม ใหม่ยศ")</f>
        <v>นายตวงธรรม ใหม่ยศ</v>
      </c>
      <c r="J2827" s="3">
        <f>IFERROR(__xludf.DUMMYFUNCTION("""COMPUTED_VALUE"""),295886.0)</f>
        <v>295886</v>
      </c>
      <c r="K2827" s="3" t="str">
        <f>IFERROR(__xludf.DUMMYFUNCTION("""COMPUTED_VALUE"""),"นายจิระพงษ์ โพธิ์นิล")</f>
        <v>นายจิระพงษ์ โพธิ์นิล</v>
      </c>
      <c r="L2827" s="1" t="str">
        <f>IFERROR(__xludf.DUMMYFUNCTION("""COMPUTED_VALUE"""),"นายจิระพงษ์ โพธิ์นิล")</f>
        <v>นายจิระพงษ์ โพธิ์นิล</v>
      </c>
      <c r="M2827" s="1" t="str">
        <f>IFERROR(__xludf.DUMMYFUNCTION("""COMPUTED_VALUE"""),"0933290754")</f>
        <v>0933290754</v>
      </c>
      <c r="N2827" s="3">
        <f>IFERROR(__xludf.DUMMYFUNCTION("""COMPUTED_VALUE"""),83670.0)</f>
        <v>83670</v>
      </c>
      <c r="O2827" s="3" t="str">
        <f>IFERROR(__xludf.DUMMYFUNCTION("""COMPUTED_VALUE"""),"ร้านธีรตรี สาขา2")</f>
        <v>ร้านธีรตรี สาขา2</v>
      </c>
      <c r="P2827" s="4">
        <f>IFERROR(__xludf.DUMMYFUNCTION("""COMPUTED_VALUE"""),44647.0)</f>
        <v>44647</v>
      </c>
      <c r="Q2827" s="3" t="str">
        <f>IFERROR(__xludf.DUMMYFUNCTION("""COMPUTED_VALUE"""),"I")</f>
        <v>I</v>
      </c>
      <c r="R2827" s="3" t="str">
        <f>IFERROR(__xludf.DUMMYFUNCTION("""COMPUTED_VALUE"""),"Small Format")</f>
        <v>Small Format</v>
      </c>
      <c r="S2827" s="3" t="str">
        <f>IFERROR(__xludf.DUMMYFUNCTION("""COMPUTED_VALUE"""),"Donjai")</f>
        <v>Donjai</v>
      </c>
      <c r="T2827" s="3" t="str">
        <f>IFERROR(__xludf.DUMMYFUNCTION("""COMPUTED_VALUE"""),"01 K.Tuangtham M.")</f>
        <v>01 K.Tuangtham M.</v>
      </c>
      <c r="U2827" s="3" t="str">
        <f>IFERROR(__xludf.DUMMYFUNCTION("""COMPUTED_VALUE"""),"01 K.Tuangtham M.")</f>
        <v>01 K.Tuangtham M.</v>
      </c>
      <c r="V2827" s="3" t="str">
        <f>IFERROR(__xludf.DUMMYFUNCTION("""COMPUTED_VALUE"""),"N")</f>
        <v>N</v>
      </c>
      <c r="W2827" s="3"/>
      <c r="X2827" s="3" t="str">
        <f>IFERROR(__xludf.DUMMYFUNCTION("""COMPUTED_VALUE"""),"206/1ม.11ซ.จินดารัตน์​ถ.มรกต6​ต.ท่าโรง​อ.วิเชียรบุรี​ จ.เพชรบูรณ์")</f>
        <v>206/1ม.11ซ.จินดารัตน์​ถ.มรกต6​ต.ท่าโรง​อ.วิเชียรบุรี​ จ.เพชรบูรณ์</v>
      </c>
      <c r="Y2827" s="3"/>
      <c r="Z2827" s="3" t="str">
        <f>IFERROR(__xludf.DUMMYFUNCTION("""COMPUTED_VALUE"""),"ท่าโรง")</f>
        <v>ท่าโรง</v>
      </c>
      <c r="AA2827" s="3" t="str">
        <f>IFERROR(__xludf.DUMMYFUNCTION("""COMPUTED_VALUE"""),"วิเชียรบุรี")</f>
        <v>วิเชียรบุรี</v>
      </c>
      <c r="AB2827" s="3" t="str">
        <f>IFERROR(__xludf.DUMMYFUNCTION("""COMPUTED_VALUE"""),"เพชรบูรณ์")</f>
        <v>เพชรบูรณ์</v>
      </c>
      <c r="AC2827" s="3">
        <f>IFERROR(__xludf.DUMMYFUNCTION("""COMPUTED_VALUE"""),0.0)</f>
        <v>0</v>
      </c>
      <c r="AD2827" s="3"/>
      <c r="AE2827" s="3"/>
      <c r="AF2827" s="3" t="str">
        <f>IFERROR(__xludf.DUMMYFUNCTION("""COMPUTED_VALUE"""),"ร้านธีรตรี สาขา2-83670")</f>
        <v>ร้านธีรตรี สาขา2-83670</v>
      </c>
      <c r="AG2827" s="3" t="str">
        <f>IFERROR(__xludf.DUMMYFUNCTION("""COMPUTED_VALUE"""),"กลาง")</f>
        <v>กลาง</v>
      </c>
      <c r="AH2827" s="3" t="str">
        <f>IFERROR(__xludf.DUMMYFUNCTION("""COMPUTED_VALUE"""),"#N/A")</f>
        <v>#N/A</v>
      </c>
      <c r="AI2827" s="3" t="str">
        <f>IFERROR(__xludf.DUMMYFUNCTION("""COMPUTED_VALUE"""),"Out of warranty")</f>
        <v>Out of warranty</v>
      </c>
      <c r="AJ2827" s="3">
        <f>IFERROR(__xludf.DUMMYFUNCTION("""COMPUTED_VALUE"""),46.0)</f>
        <v>46</v>
      </c>
      <c r="AK2827" s="3"/>
      <c r="AL2827" s="3"/>
    </row>
    <row r="2828" ht="15.75" customHeight="1">
      <c r="A2828" s="1" t="str">
        <f>IFERROR(__xludf.DUMMYFUNCTION("""COMPUTED_VALUE"""),"83672")</f>
        <v>83672</v>
      </c>
      <c r="B2828" s="2">
        <f>IFERROR(__xludf.DUMMYFUNCTION("""COMPUTED_VALUE"""),83672.0)</f>
        <v>83672</v>
      </c>
      <c r="C2828" s="3" t="str">
        <f>IFERROR(__xludf.DUMMYFUNCTION("""COMPUTED_VALUE"""),"นิวฮาร์ดแวร์มินิมาร์ท")</f>
        <v>นิวฮาร์ดแวร์มินิมาร์ท</v>
      </c>
      <c r="D2828" s="3" t="str">
        <f>IFERROR(__xludf.DUMMYFUNCTION("""COMPUTED_VALUE"""),"นิวฮาร์ดแวร์มินิมาร์ท")</f>
        <v>นิวฮาร์ดแวร์มินิมาร์ท</v>
      </c>
      <c r="E2828" s="1" t="str">
        <f>IFERROR(__xludf.DUMMYFUNCTION("""COMPUTED_VALUE"""),"Donjai")</f>
        <v>Donjai</v>
      </c>
      <c r="F2828" s="1" t="str">
        <f>IFERROR(__xludf.DUMMYFUNCTION("""COMPUTED_VALUE"""),"2451655")</f>
        <v>2451655</v>
      </c>
      <c r="G2828" s="1" t="str">
        <f>IFERROR(__xludf.DUMMYFUNCTION("""COMPUTED_VALUE"""),"นายวิษณุพงษ์ ชินบุตร")</f>
        <v>นายวิษณุพงษ์ ชินบุตร</v>
      </c>
      <c r="H2828" s="1" t="str">
        <f>IFERROR(__xludf.DUMMYFUNCTION("""COMPUTED_VALUE"""),"2451655")</f>
        <v>2451655</v>
      </c>
      <c r="I2828" s="1" t="str">
        <f>IFERROR(__xludf.DUMMYFUNCTION("""COMPUTED_VALUE"""),"นายวิษณุพงษ์ ชินบุตร")</f>
        <v>นายวิษณุพงษ์ ชินบุตร</v>
      </c>
      <c r="J2828" s="3">
        <f>IFERROR(__xludf.DUMMYFUNCTION("""COMPUTED_VALUE"""),228031.0)</f>
        <v>228031</v>
      </c>
      <c r="K2828" s="3" t="str">
        <f>IFERROR(__xludf.DUMMYFUNCTION("""COMPUTED_VALUE"""),"นายธนพงษ์ วันหมัด")</f>
        <v>นายธนพงษ์ วันหมัด</v>
      </c>
      <c r="L2828" s="1" t="str">
        <f>IFERROR(__xludf.DUMMYFUNCTION("""COMPUTED_VALUE"""),"นายธนพงษ์ วันหมัด")</f>
        <v>นายธนพงษ์ วันหมัด</v>
      </c>
      <c r="M2828" s="1" t="str">
        <f>IFERROR(__xludf.DUMMYFUNCTION("""COMPUTED_VALUE"""),"0813716913")</f>
        <v>0813716913</v>
      </c>
      <c r="N2828" s="3">
        <f>IFERROR(__xludf.DUMMYFUNCTION("""COMPUTED_VALUE"""),83672.0)</f>
        <v>83672</v>
      </c>
      <c r="O2828" s="3" t="str">
        <f>IFERROR(__xludf.DUMMYFUNCTION("""COMPUTED_VALUE"""),"นิวฮาร์ดแวร์มินิมาร์ท")</f>
        <v>นิวฮาร์ดแวร์มินิมาร์ท</v>
      </c>
      <c r="P2828" s="4">
        <f>IFERROR(__xludf.DUMMYFUNCTION("""COMPUTED_VALUE"""),44643.0)</f>
        <v>44643</v>
      </c>
      <c r="Q2828" s="3" t="str">
        <f>IFERROR(__xludf.DUMMYFUNCTION("""COMPUTED_VALUE"""),"A")</f>
        <v>A</v>
      </c>
      <c r="R2828" s="3" t="str">
        <f>IFERROR(__xludf.DUMMYFUNCTION("""COMPUTED_VALUE"""),"Small Format")</f>
        <v>Small Format</v>
      </c>
      <c r="S2828" s="3" t="str">
        <f>IFERROR(__xludf.DUMMYFUNCTION("""COMPUTED_VALUE"""),"Donjai")</f>
        <v>Donjai</v>
      </c>
      <c r="T2828" s="3" t="str">
        <f>IFERROR(__xludf.DUMMYFUNCTION("""COMPUTED_VALUE"""),"13 K.Wisanupong Ch")</f>
        <v>13 K.Wisanupong Ch</v>
      </c>
      <c r="U2828" s="3" t="str">
        <f>IFERROR(__xludf.DUMMYFUNCTION("""COMPUTED_VALUE"""),"13 K.Wisanupong Ch")</f>
        <v>13 K.Wisanupong Ch</v>
      </c>
      <c r="V2828" s="3" t="str">
        <f>IFERROR(__xludf.DUMMYFUNCTION("""COMPUTED_VALUE"""),"N")</f>
        <v>N</v>
      </c>
      <c r="W2828" s="3"/>
      <c r="X2828" s="3" t="str">
        <f>IFERROR(__xludf.DUMMYFUNCTION("""COMPUTED_VALUE"""),"89/5 หมู่ที่ 1 ต.ท่าเสา อ.กระทุ่มแบน จ.สมุทรสาคร 74110")</f>
        <v>89/5 หมู่ที่ 1 ต.ท่าเสา อ.กระทุ่มแบน จ.สมุทรสาคร 74110</v>
      </c>
      <c r="Y2828" s="3"/>
      <c r="Z2828" s="3">
        <f>IFERROR(__xludf.DUMMYFUNCTION("""COMPUTED_VALUE"""),0.0)</f>
        <v>0</v>
      </c>
      <c r="AA2828" s="3">
        <f>IFERROR(__xludf.DUMMYFUNCTION("""COMPUTED_VALUE"""),0.0)</f>
        <v>0</v>
      </c>
      <c r="AB2828" s="3" t="str">
        <f>IFERROR(__xludf.DUMMYFUNCTION("""COMPUTED_VALUE"""),"สมุทรสาคร")</f>
        <v>สมุทรสาคร</v>
      </c>
      <c r="AC2828" s="3">
        <f>IFERROR(__xludf.DUMMYFUNCTION("""COMPUTED_VALUE"""),74110.0)</f>
        <v>74110</v>
      </c>
      <c r="AD2828" s="3"/>
      <c r="AE2828" s="3"/>
      <c r="AF2828" s="3" t="str">
        <f>IFERROR(__xludf.DUMMYFUNCTION("""COMPUTED_VALUE"""),"นิวฮาร์ดแวร์มินิมาร์ท-83672")</f>
        <v>นิวฮาร์ดแวร์มินิมาร์ท-83672</v>
      </c>
      <c r="AG2828" s="3" t="str">
        <f>IFERROR(__xludf.DUMMYFUNCTION("""COMPUTED_VALUE"""),"กลาง")</f>
        <v>กลาง</v>
      </c>
      <c r="AH2828" s="3" t="str">
        <f>IFERROR(__xludf.DUMMYFUNCTION("""COMPUTED_VALUE"""),"#N/A")</f>
        <v>#N/A</v>
      </c>
      <c r="AI2828" s="3" t="str">
        <f>IFERROR(__xludf.DUMMYFUNCTION("""COMPUTED_VALUE"""),"Out of warranty")</f>
        <v>Out of warranty</v>
      </c>
      <c r="AJ2828" s="3">
        <f>IFERROR(__xludf.DUMMYFUNCTION("""COMPUTED_VALUE"""),46.0)</f>
        <v>46</v>
      </c>
      <c r="AK2828" s="3"/>
      <c r="AL2828" s="3"/>
    </row>
    <row r="2829" ht="15.75" customHeight="1">
      <c r="A2829" s="1" t="str">
        <f>IFERROR(__xludf.DUMMYFUNCTION("""COMPUTED_VALUE"""),"83673")</f>
        <v>83673</v>
      </c>
      <c r="B2829" s="2">
        <f>IFERROR(__xludf.DUMMYFUNCTION("""COMPUTED_VALUE"""),83673.0)</f>
        <v>83673</v>
      </c>
      <c r="C2829" s="3" t="str">
        <f>IFERROR(__xludf.DUMMYFUNCTION("""COMPUTED_VALUE"""),"จุ้ยเจริญ")</f>
        <v>จุ้ยเจริญ</v>
      </c>
      <c r="D2829" s="3" t="str">
        <f>IFERROR(__xludf.DUMMYFUNCTION("""COMPUTED_VALUE"""),"จุ้ยเจริญ")</f>
        <v>จุ้ยเจริญ</v>
      </c>
      <c r="E2829" s="1" t="str">
        <f>IFERROR(__xludf.DUMMYFUNCTION("""COMPUTED_VALUE"""),"Donjai")</f>
        <v>Donjai</v>
      </c>
      <c r="F2829" s="1" t="str">
        <f>IFERROR(__xludf.DUMMYFUNCTION("""COMPUTED_VALUE"""),"015361")</f>
        <v>015361</v>
      </c>
      <c r="G2829" s="1" t="str">
        <f>IFERROR(__xludf.DUMMYFUNCTION("""COMPUTED_VALUE"""),"นายสมบูรณ์ พรหมในเมือง")</f>
        <v>นายสมบูรณ์ พรหมในเมือง</v>
      </c>
      <c r="H2829" s="1" t="str">
        <f>IFERROR(__xludf.DUMMYFUNCTION("""COMPUTED_VALUE"""),"015361")</f>
        <v>015361</v>
      </c>
      <c r="I2829" s="1" t="str">
        <f>IFERROR(__xludf.DUMMYFUNCTION("""COMPUTED_VALUE"""),"นายสมบูรณ์ พรหมในเมือง")</f>
        <v>นายสมบูรณ์ พรหมในเมือง</v>
      </c>
      <c r="J2829" s="3">
        <f>IFERROR(__xludf.DUMMYFUNCTION("""COMPUTED_VALUE"""),295886.0)</f>
        <v>295886</v>
      </c>
      <c r="K2829" s="3" t="str">
        <f>IFERROR(__xludf.DUMMYFUNCTION("""COMPUTED_VALUE"""),"นายจิระพงษ์ โพธิ์นิล")</f>
        <v>นายจิระพงษ์ โพธิ์นิล</v>
      </c>
      <c r="L2829" s="1" t="str">
        <f>IFERROR(__xludf.DUMMYFUNCTION("""COMPUTED_VALUE"""),"นายจิระพงษ์ โพธิ์นิล")</f>
        <v>นายจิระพงษ์ โพธิ์นิล</v>
      </c>
      <c r="M2829" s="1" t="str">
        <f>IFERROR(__xludf.DUMMYFUNCTION("""COMPUTED_VALUE"""),"0933290754")</f>
        <v>0933290754</v>
      </c>
      <c r="N2829" s="3">
        <f>IFERROR(__xludf.DUMMYFUNCTION("""COMPUTED_VALUE"""),83673.0)</f>
        <v>83673</v>
      </c>
      <c r="O2829" s="3" t="str">
        <f>IFERROR(__xludf.DUMMYFUNCTION("""COMPUTED_VALUE"""),"จุ้ยเจริญ")</f>
        <v>จุ้ยเจริญ</v>
      </c>
      <c r="P2829" s="4">
        <f>IFERROR(__xludf.DUMMYFUNCTION("""COMPUTED_VALUE"""),44648.0)</f>
        <v>44648</v>
      </c>
      <c r="Q2829" s="3" t="str">
        <f>IFERROR(__xludf.DUMMYFUNCTION("""COMPUTED_VALUE"""),"I")</f>
        <v>I</v>
      </c>
      <c r="R2829" s="3" t="str">
        <f>IFERROR(__xludf.DUMMYFUNCTION("""COMPUTED_VALUE"""),"Small Format")</f>
        <v>Small Format</v>
      </c>
      <c r="S2829" s="3" t="str">
        <f>IFERROR(__xludf.DUMMYFUNCTION("""COMPUTED_VALUE"""),"Donjai")</f>
        <v>Donjai</v>
      </c>
      <c r="T2829" s="3" t="str">
        <f>IFERROR(__xludf.DUMMYFUNCTION("""COMPUTED_VALUE"""),"04 K.Somboon P.")</f>
        <v>04 K.Somboon P.</v>
      </c>
      <c r="U2829" s="3" t="str">
        <f>IFERROR(__xludf.DUMMYFUNCTION("""COMPUTED_VALUE"""),"04 K.Somboon P.")</f>
        <v>04 K.Somboon P.</v>
      </c>
      <c r="V2829" s="3" t="str">
        <f>IFERROR(__xludf.DUMMYFUNCTION("""COMPUTED_VALUE"""),"N")</f>
        <v>N</v>
      </c>
      <c r="W2829" s="3"/>
      <c r="X2829" s="3" t="str">
        <f>IFERROR(__xludf.DUMMYFUNCTION("""COMPUTED_VALUE"""),"บ้านเลขที่161 ม.1ต.ตูม อ.ศรีรัตนะ จ.ศรีสะเกษ")</f>
        <v>บ้านเลขที่161 ม.1ต.ตูม อ.ศรีรัตนะ จ.ศรีสะเกษ</v>
      </c>
      <c r="Y2829" s="3"/>
      <c r="Z2829" s="3">
        <f>IFERROR(__xludf.DUMMYFUNCTION("""COMPUTED_VALUE"""),0.0)</f>
        <v>0</v>
      </c>
      <c r="AA2829" s="3">
        <f>IFERROR(__xludf.DUMMYFUNCTION("""COMPUTED_VALUE"""),0.0)</f>
        <v>0</v>
      </c>
      <c r="AB2829" s="3" t="str">
        <f>IFERROR(__xludf.DUMMYFUNCTION("""COMPUTED_VALUE"""),"ศรีสะเกษ")</f>
        <v>ศรีสะเกษ</v>
      </c>
      <c r="AC2829" s="3">
        <f>IFERROR(__xludf.DUMMYFUNCTION("""COMPUTED_VALUE"""),0.0)</f>
        <v>0</v>
      </c>
      <c r="AD2829" s="3"/>
      <c r="AE2829" s="3"/>
      <c r="AF2829" s="3" t="str">
        <f>IFERROR(__xludf.DUMMYFUNCTION("""COMPUTED_VALUE"""),"จุ้ยเจริญ-83673")</f>
        <v>จุ้ยเจริญ-83673</v>
      </c>
      <c r="AG2829" s="3" t="str">
        <f>IFERROR(__xludf.DUMMYFUNCTION("""COMPUTED_VALUE"""),"ตะวันออกเฉียงเหนือ")</f>
        <v>ตะวันออกเฉียงเหนือ</v>
      </c>
      <c r="AH2829" s="3" t="str">
        <f>IFERROR(__xludf.DUMMYFUNCTION("""COMPUTED_VALUE"""),"#N/A")</f>
        <v>#N/A</v>
      </c>
      <c r="AI2829" s="3" t="str">
        <f>IFERROR(__xludf.DUMMYFUNCTION("""COMPUTED_VALUE"""),"Out of warranty")</f>
        <v>Out of warranty</v>
      </c>
      <c r="AJ2829" s="3">
        <f>IFERROR(__xludf.DUMMYFUNCTION("""COMPUTED_VALUE"""),46.0)</f>
        <v>46</v>
      </c>
      <c r="AK2829" s="3"/>
      <c r="AL2829" s="3"/>
    </row>
    <row r="2830" ht="15.75" customHeight="1">
      <c r="A2830" s="1" t="str">
        <f>IFERROR(__xludf.DUMMYFUNCTION("""COMPUTED_VALUE"""),"83674")</f>
        <v>83674</v>
      </c>
      <c r="B2830" s="2">
        <f>IFERROR(__xludf.DUMMYFUNCTION("""COMPUTED_VALUE"""),83674.0)</f>
        <v>83674</v>
      </c>
      <c r="C2830" s="3" t="str">
        <f>IFERROR(__xludf.DUMMYFUNCTION("""COMPUTED_VALUE"""),"ร้านโชห่วยบี")</f>
        <v>ร้านโชห่วยบี</v>
      </c>
      <c r="D2830" s="3" t="str">
        <f>IFERROR(__xludf.DUMMYFUNCTION("""COMPUTED_VALUE"""),"ร้านโชห่วยบี")</f>
        <v>ร้านโชห่วยบี</v>
      </c>
      <c r="E2830" s="1" t="str">
        <f>IFERROR(__xludf.DUMMYFUNCTION("""COMPUTED_VALUE"""),"Donjai")</f>
        <v>Donjai</v>
      </c>
      <c r="F2830" s="1" t="str">
        <f>IFERROR(__xludf.DUMMYFUNCTION("""COMPUTED_VALUE"""),"2010023")</f>
        <v>2010023</v>
      </c>
      <c r="G2830" s="1" t="str">
        <f>IFERROR(__xludf.DUMMYFUNCTION("""COMPUTED_VALUE"""),"นายวศิน ไวยรูป")</f>
        <v>นายวศิน ไวยรูป</v>
      </c>
      <c r="H2830" s="1" t="str">
        <f>IFERROR(__xludf.DUMMYFUNCTION("""COMPUTED_VALUE"""),"2010023")</f>
        <v>2010023</v>
      </c>
      <c r="I2830" s="1" t="str">
        <f>IFERROR(__xludf.DUMMYFUNCTION("""COMPUTED_VALUE"""),"นายวศิน ไวยรูป")</f>
        <v>นายวศิน ไวยรูป</v>
      </c>
      <c r="J2830" s="3">
        <f>IFERROR(__xludf.DUMMYFUNCTION("""COMPUTED_VALUE"""),228031.0)</f>
        <v>228031</v>
      </c>
      <c r="K2830" s="3" t="str">
        <f>IFERROR(__xludf.DUMMYFUNCTION("""COMPUTED_VALUE"""),"นายธนพงษ์ วันหมัด")</f>
        <v>นายธนพงษ์ วันหมัด</v>
      </c>
      <c r="L2830" s="1" t="str">
        <f>IFERROR(__xludf.DUMMYFUNCTION("""COMPUTED_VALUE"""),"นายธนพงษ์ วันหมัด")</f>
        <v>นายธนพงษ์ วันหมัด</v>
      </c>
      <c r="M2830" s="1" t="str">
        <f>IFERROR(__xludf.DUMMYFUNCTION("""COMPUTED_VALUE"""),"0813716913")</f>
        <v>0813716913</v>
      </c>
      <c r="N2830" s="3">
        <f>IFERROR(__xludf.DUMMYFUNCTION("""COMPUTED_VALUE"""),83674.0)</f>
        <v>83674</v>
      </c>
      <c r="O2830" s="3" t="str">
        <f>IFERROR(__xludf.DUMMYFUNCTION("""COMPUTED_VALUE"""),"ร้านโชห่วยบี")</f>
        <v>ร้านโชห่วยบี</v>
      </c>
      <c r="P2830" s="4">
        <f>IFERROR(__xludf.DUMMYFUNCTION("""COMPUTED_VALUE"""),44640.0)</f>
        <v>44640</v>
      </c>
      <c r="Q2830" s="3" t="str">
        <f>IFERROR(__xludf.DUMMYFUNCTION("""COMPUTED_VALUE"""),"I")</f>
        <v>I</v>
      </c>
      <c r="R2830" s="3" t="str">
        <f>IFERROR(__xludf.DUMMYFUNCTION("""COMPUTED_VALUE"""),"Small Format")</f>
        <v>Small Format</v>
      </c>
      <c r="S2830" s="3" t="str">
        <f>IFERROR(__xludf.DUMMYFUNCTION("""COMPUTED_VALUE"""),"Donjai")</f>
        <v>Donjai</v>
      </c>
      <c r="T2830" s="3" t="str">
        <f>IFERROR(__xludf.DUMMYFUNCTION("""COMPUTED_VALUE"""),"Donjai")</f>
        <v>Donjai</v>
      </c>
      <c r="U2830" s="3" t="str">
        <f>IFERROR(__xludf.DUMMYFUNCTION("""COMPUTED_VALUE"""),"Donjai")</f>
        <v>Donjai</v>
      </c>
      <c r="V2830" s="3" t="str">
        <f>IFERROR(__xludf.DUMMYFUNCTION("""COMPUTED_VALUE"""),"N")</f>
        <v>N</v>
      </c>
      <c r="W2830" s="3"/>
      <c r="X2830" s="3" t="str">
        <f>IFERROR(__xludf.DUMMYFUNCTION("""COMPUTED_VALUE"""),"1 ซ.ลาดปลาเค้า 49 แขวงจรเช้บัว เขตลาดพร้าว กทม")</f>
        <v>1 ซ.ลาดปลาเค้า 49 แขวงจรเช้บัว เขตลาดพร้าว กทม</v>
      </c>
      <c r="Y2830" s="3"/>
      <c r="Z2830" s="3">
        <f>IFERROR(__xludf.DUMMYFUNCTION("""COMPUTED_VALUE"""),0.0)</f>
        <v>0</v>
      </c>
      <c r="AA2830" s="3">
        <f>IFERROR(__xludf.DUMMYFUNCTION("""COMPUTED_VALUE"""),0.0)</f>
        <v>0</v>
      </c>
      <c r="AB2830" s="3" t="str">
        <f>IFERROR(__xludf.DUMMYFUNCTION("""COMPUTED_VALUE"""),"กรุงเทพมหานคร")</f>
        <v>กรุงเทพมหานคร</v>
      </c>
      <c r="AC2830" s="3">
        <f>IFERROR(__xludf.DUMMYFUNCTION("""COMPUTED_VALUE"""),0.0)</f>
        <v>0</v>
      </c>
      <c r="AD2830" s="3"/>
      <c r="AE2830" s="3"/>
      <c r="AF2830" s="3" t="str">
        <f>IFERROR(__xludf.DUMMYFUNCTION("""COMPUTED_VALUE"""),"ร้านโชห่วยบี-83674")</f>
        <v>ร้านโชห่วยบี-83674</v>
      </c>
      <c r="AG2830" s="3" t="str">
        <f>IFERROR(__xludf.DUMMYFUNCTION("""COMPUTED_VALUE"""),"กลาง")</f>
        <v>กลาง</v>
      </c>
      <c r="AH2830" s="3" t="str">
        <f>IFERROR(__xludf.DUMMYFUNCTION("""COMPUTED_VALUE"""),"#N/A")</f>
        <v>#N/A</v>
      </c>
      <c r="AI2830" s="3" t="str">
        <f>IFERROR(__xludf.DUMMYFUNCTION("""COMPUTED_VALUE"""),"Out of warranty")</f>
        <v>Out of warranty</v>
      </c>
      <c r="AJ2830" s="3">
        <f>IFERROR(__xludf.DUMMYFUNCTION("""COMPUTED_VALUE"""),47.0)</f>
        <v>47</v>
      </c>
      <c r="AK2830" s="3"/>
      <c r="AL2830" s="3"/>
    </row>
    <row r="2831" ht="15.75" customHeight="1">
      <c r="A2831" s="1" t="str">
        <f>IFERROR(__xludf.DUMMYFUNCTION("""COMPUTED_VALUE"""),"83675")</f>
        <v>83675</v>
      </c>
      <c r="B2831" s="2">
        <f>IFERROR(__xludf.DUMMYFUNCTION("""COMPUTED_VALUE"""),83675.0)</f>
        <v>83675</v>
      </c>
      <c r="C2831" s="3" t="str">
        <f>IFERROR(__xludf.DUMMYFUNCTION("""COMPUTED_VALUE"""),"ร้านเศรษฐีเรือทอง")</f>
        <v>ร้านเศรษฐีเรือทอง</v>
      </c>
      <c r="D2831" s="3" t="str">
        <f>IFERROR(__xludf.DUMMYFUNCTION("""COMPUTED_VALUE"""),"ร้านเศรษฐีเรือทอง")</f>
        <v>ร้านเศรษฐีเรือทอง</v>
      </c>
      <c r="E2831" s="1" t="str">
        <f>IFERROR(__xludf.DUMMYFUNCTION("""COMPUTED_VALUE"""),"Donjai")</f>
        <v>Donjai</v>
      </c>
      <c r="F2831" s="1" t="str">
        <f>IFERROR(__xludf.DUMMYFUNCTION("""COMPUTED_VALUE"""),"015361")</f>
        <v>015361</v>
      </c>
      <c r="G2831" s="1" t="str">
        <f>IFERROR(__xludf.DUMMYFUNCTION("""COMPUTED_VALUE"""),"นายสมบูรณ์ พรหมในเมือง")</f>
        <v>นายสมบูรณ์ พรหมในเมือง</v>
      </c>
      <c r="H2831" s="1" t="str">
        <f>IFERROR(__xludf.DUMMYFUNCTION("""COMPUTED_VALUE"""),"015361")</f>
        <v>015361</v>
      </c>
      <c r="I2831" s="1" t="str">
        <f>IFERROR(__xludf.DUMMYFUNCTION("""COMPUTED_VALUE"""),"นายสมบูรณ์ พรหมในเมือง")</f>
        <v>นายสมบูรณ์ พรหมในเมือง</v>
      </c>
      <c r="J2831" s="3">
        <f>IFERROR(__xludf.DUMMYFUNCTION("""COMPUTED_VALUE"""),295886.0)</f>
        <v>295886</v>
      </c>
      <c r="K2831" s="3" t="str">
        <f>IFERROR(__xludf.DUMMYFUNCTION("""COMPUTED_VALUE"""),"นายจิระพงษ์ โพธิ์นิล")</f>
        <v>นายจิระพงษ์ โพธิ์นิล</v>
      </c>
      <c r="L2831" s="1" t="str">
        <f>IFERROR(__xludf.DUMMYFUNCTION("""COMPUTED_VALUE"""),"นายจิระพงษ์ โพธิ์นิล")</f>
        <v>นายจิระพงษ์ โพธิ์นิล</v>
      </c>
      <c r="M2831" s="1" t="str">
        <f>IFERROR(__xludf.DUMMYFUNCTION("""COMPUTED_VALUE"""),"0933290754")</f>
        <v>0933290754</v>
      </c>
      <c r="N2831" s="3">
        <f>IFERROR(__xludf.DUMMYFUNCTION("""COMPUTED_VALUE"""),83675.0)</f>
        <v>83675</v>
      </c>
      <c r="O2831" s="3" t="str">
        <f>IFERROR(__xludf.DUMMYFUNCTION("""COMPUTED_VALUE"""),"ร้านเศรษฐีเรือทอง")</f>
        <v>ร้านเศรษฐีเรือทอง</v>
      </c>
      <c r="P2831" s="4">
        <f>IFERROR(__xludf.DUMMYFUNCTION("""COMPUTED_VALUE"""),44633.0)</f>
        <v>44633</v>
      </c>
      <c r="Q2831" s="3" t="str">
        <f>IFERROR(__xludf.DUMMYFUNCTION("""COMPUTED_VALUE"""),"I")</f>
        <v>I</v>
      </c>
      <c r="R2831" s="3" t="str">
        <f>IFERROR(__xludf.DUMMYFUNCTION("""COMPUTED_VALUE"""),"Small Format")</f>
        <v>Small Format</v>
      </c>
      <c r="S2831" s="3" t="str">
        <f>IFERROR(__xludf.DUMMYFUNCTION("""COMPUTED_VALUE"""),"Donjai")</f>
        <v>Donjai</v>
      </c>
      <c r="T2831" s="3" t="str">
        <f>IFERROR(__xludf.DUMMYFUNCTION("""COMPUTED_VALUE"""),"04 K.Somboon P.")</f>
        <v>04 K.Somboon P.</v>
      </c>
      <c r="U2831" s="3" t="str">
        <f>IFERROR(__xludf.DUMMYFUNCTION("""COMPUTED_VALUE"""),"04 K.Somboon P.")</f>
        <v>04 K.Somboon P.</v>
      </c>
      <c r="V2831" s="3" t="str">
        <f>IFERROR(__xludf.DUMMYFUNCTION("""COMPUTED_VALUE"""),"N")</f>
        <v>N</v>
      </c>
      <c r="W2831" s="3"/>
      <c r="X2831" s="3" t="str">
        <f>IFERROR(__xludf.DUMMYFUNCTION("""COMPUTED_VALUE"""),"322 หมู่ 6 ตำบล หนองสรวง อำเภอ ขามทะเลสอ จังหวัดนครราชสีมา")</f>
        <v>322 หมู่ 6 ตำบล หนองสรวง อำเภอ ขามทะเลสอ จังหวัดนครราชสีมา</v>
      </c>
      <c r="Y2831" s="3"/>
      <c r="Z2831" s="3">
        <f>IFERROR(__xludf.DUMMYFUNCTION("""COMPUTED_VALUE"""),0.0)</f>
        <v>0</v>
      </c>
      <c r="AA2831" s="3">
        <f>IFERROR(__xludf.DUMMYFUNCTION("""COMPUTED_VALUE"""),0.0)</f>
        <v>0</v>
      </c>
      <c r="AB2831" s="3" t="str">
        <f>IFERROR(__xludf.DUMMYFUNCTION("""COMPUTED_VALUE"""),"นครราชสีมา")</f>
        <v>นครราชสีมา</v>
      </c>
      <c r="AC2831" s="3">
        <f>IFERROR(__xludf.DUMMYFUNCTION("""COMPUTED_VALUE"""),0.0)</f>
        <v>0</v>
      </c>
      <c r="AD2831" s="3"/>
      <c r="AE2831" s="3"/>
      <c r="AF2831" s="3" t="str">
        <f>IFERROR(__xludf.DUMMYFUNCTION("""COMPUTED_VALUE"""),"ร้านเศรษฐีเรือทอง-83675")</f>
        <v>ร้านเศรษฐีเรือทอง-83675</v>
      </c>
      <c r="AG2831" s="3" t="str">
        <f>IFERROR(__xludf.DUMMYFUNCTION("""COMPUTED_VALUE"""),"ตะวันออกเฉียงเหนือ")</f>
        <v>ตะวันออกเฉียงเหนือ</v>
      </c>
      <c r="AH2831" s="3" t="str">
        <f>IFERROR(__xludf.DUMMYFUNCTION("""COMPUTED_VALUE"""),"#N/A")</f>
        <v>#N/A</v>
      </c>
      <c r="AI2831" s="3" t="str">
        <f>IFERROR(__xludf.DUMMYFUNCTION("""COMPUTED_VALUE"""),"Out of warranty")</f>
        <v>Out of warranty</v>
      </c>
      <c r="AJ2831" s="3">
        <f>IFERROR(__xludf.DUMMYFUNCTION("""COMPUTED_VALUE"""),47.0)</f>
        <v>47</v>
      </c>
      <c r="AK2831" s="3"/>
      <c r="AL2831" s="3"/>
    </row>
    <row r="2832" ht="15.75" customHeight="1">
      <c r="A2832" s="1" t="str">
        <f>IFERROR(__xludf.DUMMYFUNCTION("""COMPUTED_VALUE"""),"83676")</f>
        <v>83676</v>
      </c>
      <c r="B2832" s="2">
        <f>IFERROR(__xludf.DUMMYFUNCTION("""COMPUTED_VALUE"""),83676.0)</f>
        <v>83676</v>
      </c>
      <c r="C2832" s="3" t="str">
        <f>IFERROR(__xludf.DUMMYFUNCTION("""COMPUTED_VALUE"""),"ร้านพีรพัฒน์ มินิมาร์ท")</f>
        <v>ร้านพีรพัฒน์ มินิมาร์ท</v>
      </c>
      <c r="D2832" s="3" t="str">
        <f>IFERROR(__xludf.DUMMYFUNCTION("""COMPUTED_VALUE"""),"ร้านพีรพัฒน์ มินิมาร์ท")</f>
        <v>ร้านพีรพัฒน์ มินิมาร์ท</v>
      </c>
      <c r="E2832" s="1" t="str">
        <f>IFERROR(__xludf.DUMMYFUNCTION("""COMPUTED_VALUE"""),"Donjai")</f>
        <v>Donjai</v>
      </c>
      <c r="F2832" s="1" t="str">
        <f>IFERROR(__xludf.DUMMYFUNCTION("""COMPUTED_VALUE"""),"025324")</f>
        <v>025324</v>
      </c>
      <c r="G2832" s="1" t="str">
        <f>IFERROR(__xludf.DUMMYFUNCTION("""COMPUTED_VALUE"""),"นายวิเชฎฐ์ ติรัตนะประคม")</f>
        <v>นายวิเชฎฐ์ ติรัตนะประคม</v>
      </c>
      <c r="H2832" s="1" t="str">
        <f>IFERROR(__xludf.DUMMYFUNCTION("""COMPUTED_VALUE"""),"025324")</f>
        <v>025324</v>
      </c>
      <c r="I2832" s="1" t="str">
        <f>IFERROR(__xludf.DUMMYFUNCTION("""COMPUTED_VALUE"""),"นายวิเชฎฐ์ ติรัตนะประคม")</f>
        <v>นายวิเชฎฐ์ ติรัตนะประคม</v>
      </c>
      <c r="J2832" s="3">
        <f>IFERROR(__xludf.DUMMYFUNCTION("""COMPUTED_VALUE"""),295541.0)</f>
        <v>295541</v>
      </c>
      <c r="K2832" s="3" t="str">
        <f>IFERROR(__xludf.DUMMYFUNCTION("""COMPUTED_VALUE"""),"นายรพิพล ศรีมาตย์")</f>
        <v>นายรพิพล ศรีมาตย์</v>
      </c>
      <c r="L2832" s="1" t="str">
        <f>IFERROR(__xludf.DUMMYFUNCTION("""COMPUTED_VALUE"""),"นายรพิพล ศรีมาตย์")</f>
        <v>นายรพิพล ศรีมาตย์</v>
      </c>
      <c r="M2832" s="1" t="str">
        <f>IFERROR(__xludf.DUMMYFUNCTION("""COMPUTED_VALUE"""),"0613966115")</f>
        <v>0613966115</v>
      </c>
      <c r="N2832" s="3">
        <f>IFERROR(__xludf.DUMMYFUNCTION("""COMPUTED_VALUE"""),83676.0)</f>
        <v>83676</v>
      </c>
      <c r="O2832" s="3" t="str">
        <f>IFERROR(__xludf.DUMMYFUNCTION("""COMPUTED_VALUE"""),"ร้านพีรพัฒน์ มินิมาร์ท")</f>
        <v>ร้านพีรพัฒน์ มินิมาร์ท</v>
      </c>
      <c r="P2832" s="4">
        <f>IFERROR(__xludf.DUMMYFUNCTION("""COMPUTED_VALUE"""),44633.0)</f>
        <v>44633</v>
      </c>
      <c r="Q2832" s="3" t="str">
        <f>IFERROR(__xludf.DUMMYFUNCTION("""COMPUTED_VALUE"""),"I")</f>
        <v>I</v>
      </c>
      <c r="R2832" s="3" t="str">
        <f>IFERROR(__xludf.DUMMYFUNCTION("""COMPUTED_VALUE"""),"Small Format")</f>
        <v>Small Format</v>
      </c>
      <c r="S2832" s="3" t="str">
        <f>IFERROR(__xludf.DUMMYFUNCTION("""COMPUTED_VALUE"""),"Donjai")</f>
        <v>Donjai</v>
      </c>
      <c r="T2832" s="3" t="str">
        <f>IFERROR(__xludf.DUMMYFUNCTION("""COMPUTED_VALUE"""),"14 K.Wichet T.")</f>
        <v>14 K.Wichet T.</v>
      </c>
      <c r="U2832" s="3" t="str">
        <f>IFERROR(__xludf.DUMMYFUNCTION("""COMPUTED_VALUE"""),"14 K.Wichet T.")</f>
        <v>14 K.Wichet T.</v>
      </c>
      <c r="V2832" s="3" t="str">
        <f>IFERROR(__xludf.DUMMYFUNCTION("""COMPUTED_VALUE"""),"N")</f>
        <v>N</v>
      </c>
      <c r="W2832" s="3"/>
      <c r="X2832" s="3" t="str">
        <f>IFERROR(__xludf.DUMMYFUNCTION("""COMPUTED_VALUE"""),"22/6​ ม.2​ ต.ตะกั่วทุ่ง​ จ.พังงา​")</f>
        <v>22/6​ ม.2​ ต.ตะกั่วทุ่ง​ จ.พังงา​</v>
      </c>
      <c r="Y2832" s="3"/>
      <c r="Z2832" s="3">
        <f>IFERROR(__xludf.DUMMYFUNCTION("""COMPUTED_VALUE"""),0.0)</f>
        <v>0</v>
      </c>
      <c r="AA2832" s="3">
        <f>IFERROR(__xludf.DUMMYFUNCTION("""COMPUTED_VALUE"""),0.0)</f>
        <v>0</v>
      </c>
      <c r="AB2832" s="3" t="str">
        <f>IFERROR(__xludf.DUMMYFUNCTION("""COMPUTED_VALUE"""),"พังงา")</f>
        <v>พังงา</v>
      </c>
      <c r="AC2832" s="3">
        <f>IFERROR(__xludf.DUMMYFUNCTION("""COMPUTED_VALUE"""),0.0)</f>
        <v>0</v>
      </c>
      <c r="AD2832" s="3"/>
      <c r="AE2832" s="3"/>
      <c r="AF2832" s="3" t="str">
        <f>IFERROR(__xludf.DUMMYFUNCTION("""COMPUTED_VALUE"""),"ร้านพีรพัฒน์ มินิมาร์ท-83676")</f>
        <v>ร้านพีรพัฒน์ มินิมาร์ท-83676</v>
      </c>
      <c r="AG2832" s="3" t="str">
        <f>IFERROR(__xludf.DUMMYFUNCTION("""COMPUTED_VALUE"""),"ใต้")</f>
        <v>ใต้</v>
      </c>
      <c r="AH2832" s="3" t="str">
        <f>IFERROR(__xludf.DUMMYFUNCTION("""COMPUTED_VALUE"""),"#N/A")</f>
        <v>#N/A</v>
      </c>
      <c r="AI2832" s="3" t="str">
        <f>IFERROR(__xludf.DUMMYFUNCTION("""COMPUTED_VALUE"""),"Out of warranty")</f>
        <v>Out of warranty</v>
      </c>
      <c r="AJ2832" s="3">
        <f>IFERROR(__xludf.DUMMYFUNCTION("""COMPUTED_VALUE"""),47.0)</f>
        <v>47</v>
      </c>
      <c r="AK2832" s="3"/>
      <c r="AL2832" s="3"/>
    </row>
    <row r="2833" ht="15.75" customHeight="1">
      <c r="A2833" s="1" t="str">
        <f>IFERROR(__xludf.DUMMYFUNCTION("""COMPUTED_VALUE"""),"83678")</f>
        <v>83678</v>
      </c>
      <c r="B2833" s="2">
        <f>IFERROR(__xludf.DUMMYFUNCTION("""COMPUTED_VALUE"""),83678.0)</f>
        <v>83678</v>
      </c>
      <c r="C2833" s="3" t="str">
        <f>IFERROR(__xludf.DUMMYFUNCTION("""COMPUTED_VALUE"""),"ร้านร้อยปอนด์")</f>
        <v>ร้านร้อยปอนด์</v>
      </c>
      <c r="D2833" s="3" t="str">
        <f>IFERROR(__xludf.DUMMYFUNCTION("""COMPUTED_VALUE"""),"ร้านร้อยปอนด์")</f>
        <v>ร้านร้อยปอนด์</v>
      </c>
      <c r="E2833" s="1" t="str">
        <f>IFERROR(__xludf.DUMMYFUNCTION("""COMPUTED_VALUE"""),"Donjai")</f>
        <v>Donjai</v>
      </c>
      <c r="F2833" s="1" t="str">
        <f>IFERROR(__xludf.DUMMYFUNCTION("""COMPUTED_VALUE"""),"296608")</f>
        <v>296608</v>
      </c>
      <c r="G2833" s="1" t="str">
        <f>IFERROR(__xludf.DUMMYFUNCTION("""COMPUTED_VALUE"""),"นายภาคภูมิ เพ็ชรนิล")</f>
        <v>นายภาคภูมิ เพ็ชรนิล</v>
      </c>
      <c r="H2833" s="1" t="str">
        <f>IFERROR(__xludf.DUMMYFUNCTION("""COMPUTED_VALUE"""),"296608")</f>
        <v>296608</v>
      </c>
      <c r="I2833" s="1" t="str">
        <f>IFERROR(__xludf.DUMMYFUNCTION("""COMPUTED_VALUE"""),"นายภาคภูมิ เพ็ชรนิล")</f>
        <v>นายภาคภูมิ เพ็ชรนิล</v>
      </c>
      <c r="J2833" s="3">
        <f>IFERROR(__xludf.DUMMYFUNCTION("""COMPUTED_VALUE"""),228031.0)</f>
        <v>228031</v>
      </c>
      <c r="K2833" s="3" t="str">
        <f>IFERROR(__xludf.DUMMYFUNCTION("""COMPUTED_VALUE"""),"นายธนพงษ์ วันหมัด")</f>
        <v>นายธนพงษ์ วันหมัด</v>
      </c>
      <c r="L2833" s="1" t="str">
        <f>IFERROR(__xludf.DUMMYFUNCTION("""COMPUTED_VALUE"""),"นายธนพงษ์ วันหมัด")</f>
        <v>นายธนพงษ์ วันหมัด</v>
      </c>
      <c r="M2833" s="1" t="str">
        <f>IFERROR(__xludf.DUMMYFUNCTION("""COMPUTED_VALUE"""),"0813716913")</f>
        <v>0813716913</v>
      </c>
      <c r="N2833" s="3">
        <f>IFERROR(__xludf.DUMMYFUNCTION("""COMPUTED_VALUE"""),83678.0)</f>
        <v>83678</v>
      </c>
      <c r="O2833" s="3" t="str">
        <f>IFERROR(__xludf.DUMMYFUNCTION("""COMPUTED_VALUE"""),"ร้านร้อยปอนด์")</f>
        <v>ร้านร้อยปอนด์</v>
      </c>
      <c r="P2833" s="4">
        <f>IFERROR(__xludf.DUMMYFUNCTION("""COMPUTED_VALUE"""),44670.0)</f>
        <v>44670</v>
      </c>
      <c r="Q2833" s="3" t="str">
        <f>IFERROR(__xludf.DUMMYFUNCTION("""COMPUTED_VALUE"""),"A")</f>
        <v>A</v>
      </c>
      <c r="R2833" s="3" t="str">
        <f>IFERROR(__xludf.DUMMYFUNCTION("""COMPUTED_VALUE"""),"Small Format")</f>
        <v>Small Format</v>
      </c>
      <c r="S2833" s="3" t="str">
        <f>IFERROR(__xludf.DUMMYFUNCTION("""COMPUTED_VALUE"""),"Donjai")</f>
        <v>Donjai</v>
      </c>
      <c r="T2833" s="3" t="str">
        <f>IFERROR(__xludf.DUMMYFUNCTION("""COMPUTED_VALUE"""),"10 K.Phakphoom P.")</f>
        <v>10 K.Phakphoom P.</v>
      </c>
      <c r="U2833" s="3" t="str">
        <f>IFERROR(__xludf.DUMMYFUNCTION("""COMPUTED_VALUE"""),"10 K.Phakphoom P.")</f>
        <v>10 K.Phakphoom P.</v>
      </c>
      <c r="V2833" s="3" t="str">
        <f>IFERROR(__xludf.DUMMYFUNCTION("""COMPUTED_VALUE"""),"N")</f>
        <v>N</v>
      </c>
      <c r="W2833" s="3"/>
      <c r="X2833" s="3" t="str">
        <f>IFERROR(__xludf.DUMMYFUNCTION("""COMPUTED_VALUE"""),"265 ซ.เศรษฐกิจ 7 ถนนหมู่บ้านเศรษฐกิจ แขวงบางแคเหนือ เขตบางแค กรุงเทพฯ 10160")</f>
        <v>265 ซ.เศรษฐกิจ 7 ถนนหมู่บ้านเศรษฐกิจ แขวงบางแคเหนือ เขตบางแค กรุงเทพฯ 10160</v>
      </c>
      <c r="Y2833" s="3"/>
      <c r="Z2833" s="3">
        <f>IFERROR(__xludf.DUMMYFUNCTION("""COMPUTED_VALUE"""),0.0)</f>
        <v>0</v>
      </c>
      <c r="AA2833" s="3">
        <f>IFERROR(__xludf.DUMMYFUNCTION("""COMPUTED_VALUE"""),0.0)</f>
        <v>0</v>
      </c>
      <c r="AB2833" s="3" t="str">
        <f>IFERROR(__xludf.DUMMYFUNCTION("""COMPUTED_VALUE"""),"กรุงเทพมหานคร")</f>
        <v>กรุงเทพมหานคร</v>
      </c>
      <c r="AC2833" s="3">
        <f>IFERROR(__xludf.DUMMYFUNCTION("""COMPUTED_VALUE"""),10160.0)</f>
        <v>10160</v>
      </c>
      <c r="AD2833" s="3"/>
      <c r="AE2833" s="3"/>
      <c r="AF2833" s="3" t="str">
        <f>IFERROR(__xludf.DUMMYFUNCTION("""COMPUTED_VALUE"""),"ร้านร้อยปอนด์-83678")</f>
        <v>ร้านร้อยปอนด์-83678</v>
      </c>
      <c r="AG2833" s="3" t="str">
        <f>IFERROR(__xludf.DUMMYFUNCTION("""COMPUTED_VALUE"""),"กลาง")</f>
        <v>กลาง</v>
      </c>
      <c r="AH2833" s="3" t="str">
        <f>IFERROR(__xludf.DUMMYFUNCTION("""COMPUTED_VALUE"""),"#N/A")</f>
        <v>#N/A</v>
      </c>
      <c r="AI2833" s="3" t="str">
        <f>IFERROR(__xludf.DUMMYFUNCTION("""COMPUTED_VALUE"""),"Out of warranty")</f>
        <v>Out of warranty</v>
      </c>
      <c r="AJ2833" s="3">
        <f>IFERROR(__xludf.DUMMYFUNCTION("""COMPUTED_VALUE"""),46.0)</f>
        <v>46</v>
      </c>
      <c r="AK2833" s="3"/>
      <c r="AL2833" s="3"/>
    </row>
    <row r="2834" ht="15.75" customHeight="1">
      <c r="A2834" s="1" t="str">
        <f>IFERROR(__xludf.DUMMYFUNCTION("""COMPUTED_VALUE"""),"83681")</f>
        <v>83681</v>
      </c>
      <c r="B2834" s="2">
        <f>IFERROR(__xludf.DUMMYFUNCTION("""COMPUTED_VALUE"""),83681.0)</f>
        <v>83681</v>
      </c>
      <c r="C2834" s="3" t="str">
        <f>IFERROR(__xludf.DUMMYFUNCTION("""COMPUTED_VALUE"""),"ร้านป้ารัตน์")</f>
        <v>ร้านป้ารัตน์</v>
      </c>
      <c r="D2834" s="3" t="str">
        <f>IFERROR(__xludf.DUMMYFUNCTION("""COMPUTED_VALUE"""),"ร้านป้ารัตน์")</f>
        <v>ร้านป้ารัตน์</v>
      </c>
      <c r="E2834" s="1" t="str">
        <f>IFERROR(__xludf.DUMMYFUNCTION("""COMPUTED_VALUE"""),"Donjai")</f>
        <v>Donjai</v>
      </c>
      <c r="F2834" s="1" t="str">
        <f>IFERROR(__xludf.DUMMYFUNCTION("""COMPUTED_VALUE"""),"025324")</f>
        <v>025324</v>
      </c>
      <c r="G2834" s="1" t="str">
        <f>IFERROR(__xludf.DUMMYFUNCTION("""COMPUTED_VALUE"""),"นายวิเชฎฐ์ ติรัตนะประคม")</f>
        <v>นายวิเชฎฐ์ ติรัตนะประคม</v>
      </c>
      <c r="H2834" s="1" t="str">
        <f>IFERROR(__xludf.DUMMYFUNCTION("""COMPUTED_VALUE"""),"025324")</f>
        <v>025324</v>
      </c>
      <c r="I2834" s="1" t="str">
        <f>IFERROR(__xludf.DUMMYFUNCTION("""COMPUTED_VALUE"""),"นายวิเชฎฐ์ ติรัตนะประคม")</f>
        <v>นายวิเชฎฐ์ ติรัตนะประคม</v>
      </c>
      <c r="J2834" s="3">
        <f>IFERROR(__xludf.DUMMYFUNCTION("""COMPUTED_VALUE"""),295541.0)</f>
        <v>295541</v>
      </c>
      <c r="K2834" s="3" t="str">
        <f>IFERROR(__xludf.DUMMYFUNCTION("""COMPUTED_VALUE"""),"นายรพิพล ศรีมาตย์")</f>
        <v>นายรพิพล ศรีมาตย์</v>
      </c>
      <c r="L2834" s="1" t="str">
        <f>IFERROR(__xludf.DUMMYFUNCTION("""COMPUTED_VALUE"""),"นายรพิพล ศรีมาตย์")</f>
        <v>นายรพิพล ศรีมาตย์</v>
      </c>
      <c r="M2834" s="1" t="str">
        <f>IFERROR(__xludf.DUMMYFUNCTION("""COMPUTED_VALUE"""),"0613966115")</f>
        <v>0613966115</v>
      </c>
      <c r="N2834" s="3">
        <f>IFERROR(__xludf.DUMMYFUNCTION("""COMPUTED_VALUE"""),83681.0)</f>
        <v>83681</v>
      </c>
      <c r="O2834" s="3" t="str">
        <f>IFERROR(__xludf.DUMMYFUNCTION("""COMPUTED_VALUE"""),"ร้านป้ารัตน์")</f>
        <v>ร้านป้ารัตน์</v>
      </c>
      <c r="P2834" s="4">
        <f>IFERROR(__xludf.DUMMYFUNCTION("""COMPUTED_VALUE"""),44648.0)</f>
        <v>44648</v>
      </c>
      <c r="Q2834" s="3" t="str">
        <f>IFERROR(__xludf.DUMMYFUNCTION("""COMPUTED_VALUE"""),"A")</f>
        <v>A</v>
      </c>
      <c r="R2834" s="3" t="str">
        <f>IFERROR(__xludf.DUMMYFUNCTION("""COMPUTED_VALUE"""),"Small Format")</f>
        <v>Small Format</v>
      </c>
      <c r="S2834" s="3" t="str">
        <f>IFERROR(__xludf.DUMMYFUNCTION("""COMPUTED_VALUE"""),"Donjai")</f>
        <v>Donjai</v>
      </c>
      <c r="T2834" s="3" t="str">
        <f>IFERROR(__xludf.DUMMYFUNCTION("""COMPUTED_VALUE"""),"14 K.Wichet T.")</f>
        <v>14 K.Wichet T.</v>
      </c>
      <c r="U2834" s="3" t="str">
        <f>IFERROR(__xludf.DUMMYFUNCTION("""COMPUTED_VALUE"""),"14 K.Wichet T.")</f>
        <v>14 K.Wichet T.</v>
      </c>
      <c r="V2834" s="3" t="str">
        <f>IFERROR(__xludf.DUMMYFUNCTION("""COMPUTED_VALUE"""),"N")</f>
        <v>N</v>
      </c>
      <c r="W2834" s="3"/>
      <c r="X2834" s="3" t="str">
        <f>IFERROR(__xludf.DUMMYFUNCTION("""COMPUTED_VALUE"""),"95/1 ลำเลียง กระบุรี ระนอง 85110")</f>
        <v>95/1 ลำเลียง กระบุรี ระนอง 85110</v>
      </c>
      <c r="Y2834" s="3"/>
      <c r="Z2834" s="3">
        <f>IFERROR(__xludf.DUMMYFUNCTION("""COMPUTED_VALUE"""),0.0)</f>
        <v>0</v>
      </c>
      <c r="AA2834" s="3">
        <f>IFERROR(__xludf.DUMMYFUNCTION("""COMPUTED_VALUE"""),0.0)</f>
        <v>0</v>
      </c>
      <c r="AB2834" s="3" t="str">
        <f>IFERROR(__xludf.DUMMYFUNCTION("""COMPUTED_VALUE"""),"ระนอง")</f>
        <v>ระนอง</v>
      </c>
      <c r="AC2834" s="3">
        <f>IFERROR(__xludf.DUMMYFUNCTION("""COMPUTED_VALUE"""),85110.0)</f>
        <v>85110</v>
      </c>
      <c r="AD2834" s="3"/>
      <c r="AE2834" s="3"/>
      <c r="AF2834" s="3" t="str">
        <f>IFERROR(__xludf.DUMMYFUNCTION("""COMPUTED_VALUE"""),"ร้านป้ารัตน์-83681")</f>
        <v>ร้านป้ารัตน์-83681</v>
      </c>
      <c r="AG2834" s="3" t="str">
        <f>IFERROR(__xludf.DUMMYFUNCTION("""COMPUTED_VALUE"""),"ใต้")</f>
        <v>ใต้</v>
      </c>
      <c r="AH2834" s="3" t="str">
        <f>IFERROR(__xludf.DUMMYFUNCTION("""COMPUTED_VALUE"""),"#N/A")</f>
        <v>#N/A</v>
      </c>
      <c r="AI2834" s="3" t="str">
        <f>IFERROR(__xludf.DUMMYFUNCTION("""COMPUTED_VALUE"""),"Out of warranty")</f>
        <v>Out of warranty</v>
      </c>
      <c r="AJ2834" s="3">
        <f>IFERROR(__xludf.DUMMYFUNCTION("""COMPUTED_VALUE"""),46.0)</f>
        <v>46</v>
      </c>
      <c r="AK2834" s="3"/>
      <c r="AL2834" s="3"/>
    </row>
    <row r="2835" ht="15.75" customHeight="1">
      <c r="A2835" s="1" t="str">
        <f>IFERROR(__xludf.DUMMYFUNCTION("""COMPUTED_VALUE"""),"83682")</f>
        <v>83682</v>
      </c>
      <c r="B2835" s="2">
        <f>IFERROR(__xludf.DUMMYFUNCTION("""COMPUTED_VALUE"""),83682.0)</f>
        <v>83682</v>
      </c>
      <c r="C2835" s="3" t="str">
        <f>IFERROR(__xludf.DUMMYFUNCTION("""COMPUTED_VALUE"""),"ร้านสามัญชน")</f>
        <v>ร้านสามัญชน</v>
      </c>
      <c r="D2835" s="3" t="str">
        <f>IFERROR(__xludf.DUMMYFUNCTION("""COMPUTED_VALUE"""),"ร้านสามัญชน")</f>
        <v>ร้านสามัญชน</v>
      </c>
      <c r="E2835" s="1" t="str">
        <f>IFERROR(__xludf.DUMMYFUNCTION("""COMPUTED_VALUE"""),"Donjai")</f>
        <v>Donjai</v>
      </c>
      <c r="F2835" s="1" t="str">
        <f>IFERROR(__xludf.DUMMYFUNCTION("""COMPUTED_VALUE"""),"046214")</f>
        <v>046214</v>
      </c>
      <c r="G2835" s="1" t="str">
        <f>IFERROR(__xludf.DUMMYFUNCTION("""COMPUTED_VALUE"""),"นายศักดิ์ชัย เด็ดดอกฟ้า")</f>
        <v>นายศักดิ์ชัย เด็ดดอกฟ้า</v>
      </c>
      <c r="H2835" s="1" t="str">
        <f>IFERROR(__xludf.DUMMYFUNCTION("""COMPUTED_VALUE"""),"046214")</f>
        <v>046214</v>
      </c>
      <c r="I2835" s="1" t="str">
        <f>IFERROR(__xludf.DUMMYFUNCTION("""COMPUTED_VALUE"""),"นายศักดิ์ชัย เด็ดดอกฟ้า")</f>
        <v>นายศักดิ์ชัย เด็ดดอกฟ้า</v>
      </c>
      <c r="J2835" s="3">
        <f>IFERROR(__xludf.DUMMYFUNCTION("""COMPUTED_VALUE"""),295886.0)</f>
        <v>295886</v>
      </c>
      <c r="K2835" s="3" t="str">
        <f>IFERROR(__xludf.DUMMYFUNCTION("""COMPUTED_VALUE"""),"นายจิระพงษ์ โพธิ์นิล")</f>
        <v>นายจิระพงษ์ โพธิ์นิล</v>
      </c>
      <c r="L2835" s="1" t="str">
        <f>IFERROR(__xludf.DUMMYFUNCTION("""COMPUTED_VALUE"""),"นายจิระพงษ์ โพธิ์นิล")</f>
        <v>นายจิระพงษ์ โพธิ์นิล</v>
      </c>
      <c r="M2835" s="1" t="str">
        <f>IFERROR(__xludf.DUMMYFUNCTION("""COMPUTED_VALUE"""),"0933290754")</f>
        <v>0933290754</v>
      </c>
      <c r="N2835" s="3">
        <f>IFERROR(__xludf.DUMMYFUNCTION("""COMPUTED_VALUE"""),83682.0)</f>
        <v>83682</v>
      </c>
      <c r="O2835" s="3" t="str">
        <f>IFERROR(__xludf.DUMMYFUNCTION("""COMPUTED_VALUE"""),"ร้านสามัญชน")</f>
        <v>ร้านสามัญชน</v>
      </c>
      <c r="P2835" s="4">
        <f>IFERROR(__xludf.DUMMYFUNCTION("""COMPUTED_VALUE"""),44787.0)</f>
        <v>44787</v>
      </c>
      <c r="Q2835" s="3" t="str">
        <f>IFERROR(__xludf.DUMMYFUNCTION("""COMPUTED_VALUE"""),"I")</f>
        <v>I</v>
      </c>
      <c r="R2835" s="3" t="str">
        <f>IFERROR(__xludf.DUMMYFUNCTION("""COMPUTED_VALUE"""),"Small Format")</f>
        <v>Small Format</v>
      </c>
      <c r="S2835" s="3" t="str">
        <f>IFERROR(__xludf.DUMMYFUNCTION("""COMPUTED_VALUE"""),"Donjai")</f>
        <v>Donjai</v>
      </c>
      <c r="T2835" s="3" t="str">
        <f>IFERROR(__xludf.DUMMYFUNCTION("""COMPUTED_VALUE"""),"02 K.Sakchai D")</f>
        <v>02 K.Sakchai D</v>
      </c>
      <c r="U2835" s="3" t="str">
        <f>IFERROR(__xludf.DUMMYFUNCTION("""COMPUTED_VALUE"""),"02 K.Sakchai D")</f>
        <v>02 K.Sakchai D</v>
      </c>
      <c r="V2835" s="3" t="str">
        <f>IFERROR(__xludf.DUMMYFUNCTION("""COMPUTED_VALUE"""),"N")</f>
        <v>N</v>
      </c>
      <c r="W2835" s="3"/>
      <c r="X2835" s="3" t="str">
        <f>IFERROR(__xludf.DUMMYFUNCTION("""COMPUTED_VALUE"""),"154 ม.5 ต.ทับหมัน อ.ตะพานหิน จ.พิจิตร")</f>
        <v>154 ม.5 ต.ทับหมัน อ.ตะพานหิน จ.พิจิตร</v>
      </c>
      <c r="Y2835" s="3"/>
      <c r="Z2835" s="3">
        <f>IFERROR(__xludf.DUMMYFUNCTION("""COMPUTED_VALUE"""),0.0)</f>
        <v>0</v>
      </c>
      <c r="AA2835" s="3">
        <f>IFERROR(__xludf.DUMMYFUNCTION("""COMPUTED_VALUE"""),0.0)</f>
        <v>0</v>
      </c>
      <c r="AB2835" s="3" t="str">
        <f>IFERROR(__xludf.DUMMYFUNCTION("""COMPUTED_VALUE"""),"พิจิตร")</f>
        <v>พิจิตร</v>
      </c>
      <c r="AC2835" s="3">
        <f>IFERROR(__xludf.DUMMYFUNCTION("""COMPUTED_VALUE"""),0.0)</f>
        <v>0</v>
      </c>
      <c r="AD2835" s="3"/>
      <c r="AE2835" s="3"/>
      <c r="AF2835" s="3" t="str">
        <f>IFERROR(__xludf.DUMMYFUNCTION("""COMPUTED_VALUE"""),"ร้านสามัญชน-83682")</f>
        <v>ร้านสามัญชน-83682</v>
      </c>
      <c r="AG2835" s="3" t="str">
        <f>IFERROR(__xludf.DUMMYFUNCTION("""COMPUTED_VALUE"""),"กลาง")</f>
        <v>กลาง</v>
      </c>
      <c r="AH2835" s="3" t="str">
        <f>IFERROR(__xludf.DUMMYFUNCTION("""COMPUTED_VALUE"""),"#N/A")</f>
        <v>#N/A</v>
      </c>
      <c r="AI2835" s="3" t="str">
        <f>IFERROR(__xludf.DUMMYFUNCTION("""COMPUTED_VALUE"""),"Out of warranty")</f>
        <v>Out of warranty</v>
      </c>
      <c r="AJ2835" s="3">
        <f>IFERROR(__xludf.DUMMYFUNCTION("""COMPUTED_VALUE"""),42.0)</f>
        <v>42</v>
      </c>
      <c r="AK2835" s="3"/>
      <c r="AL2835" s="3"/>
    </row>
    <row r="2836" ht="15.75" customHeight="1">
      <c r="A2836" s="1" t="str">
        <f>IFERROR(__xludf.DUMMYFUNCTION("""COMPUTED_VALUE"""),"83686")</f>
        <v>83686</v>
      </c>
      <c r="B2836" s="2">
        <f>IFERROR(__xludf.DUMMYFUNCTION("""COMPUTED_VALUE"""),83686.0)</f>
        <v>83686</v>
      </c>
      <c r="C2836" s="3" t="str">
        <f>IFERROR(__xludf.DUMMYFUNCTION("""COMPUTED_VALUE"""),"ร้านเฉลียวการค้า")</f>
        <v>ร้านเฉลียวการค้า</v>
      </c>
      <c r="D2836" s="3" t="str">
        <f>IFERROR(__xludf.DUMMYFUNCTION("""COMPUTED_VALUE"""),"ร้านเฉลียวการค้า")</f>
        <v>ร้านเฉลียวการค้า</v>
      </c>
      <c r="E2836" s="1" t="str">
        <f>IFERROR(__xludf.DUMMYFUNCTION("""COMPUTED_VALUE"""),"Donjai")</f>
        <v>Donjai</v>
      </c>
      <c r="F2836" s="1" t="str">
        <f>IFERROR(__xludf.DUMMYFUNCTION("""COMPUTED_VALUE"""),"015361")</f>
        <v>015361</v>
      </c>
      <c r="G2836" s="1" t="str">
        <f>IFERROR(__xludf.DUMMYFUNCTION("""COMPUTED_VALUE"""),"นายสมบูรณ์ พรหมในเมือง")</f>
        <v>นายสมบูรณ์ พรหมในเมือง</v>
      </c>
      <c r="H2836" s="1" t="str">
        <f>IFERROR(__xludf.DUMMYFUNCTION("""COMPUTED_VALUE"""),"015361")</f>
        <v>015361</v>
      </c>
      <c r="I2836" s="1" t="str">
        <f>IFERROR(__xludf.DUMMYFUNCTION("""COMPUTED_VALUE"""),"นายสมบูรณ์ พรหมในเมือง")</f>
        <v>นายสมบูรณ์ พรหมในเมือง</v>
      </c>
      <c r="J2836" s="3">
        <f>IFERROR(__xludf.DUMMYFUNCTION("""COMPUTED_VALUE"""),295886.0)</f>
        <v>295886</v>
      </c>
      <c r="K2836" s="3" t="str">
        <f>IFERROR(__xludf.DUMMYFUNCTION("""COMPUTED_VALUE"""),"นายจิระพงษ์ โพธิ์นิล")</f>
        <v>นายจิระพงษ์ โพธิ์นิล</v>
      </c>
      <c r="L2836" s="1" t="str">
        <f>IFERROR(__xludf.DUMMYFUNCTION("""COMPUTED_VALUE"""),"นายจิระพงษ์ โพธิ์นิล")</f>
        <v>นายจิระพงษ์ โพธิ์นิล</v>
      </c>
      <c r="M2836" s="1" t="str">
        <f>IFERROR(__xludf.DUMMYFUNCTION("""COMPUTED_VALUE"""),"0933290754")</f>
        <v>0933290754</v>
      </c>
      <c r="N2836" s="3">
        <f>IFERROR(__xludf.DUMMYFUNCTION("""COMPUTED_VALUE"""),83686.0)</f>
        <v>83686</v>
      </c>
      <c r="O2836" s="3" t="str">
        <f>IFERROR(__xludf.DUMMYFUNCTION("""COMPUTED_VALUE"""),"ร้านเฉลียวการค้า")</f>
        <v>ร้านเฉลียวการค้า</v>
      </c>
      <c r="P2836" s="4">
        <f>IFERROR(__xludf.DUMMYFUNCTION("""COMPUTED_VALUE"""),44682.0)</f>
        <v>44682</v>
      </c>
      <c r="Q2836" s="3" t="str">
        <f>IFERROR(__xludf.DUMMYFUNCTION("""COMPUTED_VALUE"""),"A")</f>
        <v>A</v>
      </c>
      <c r="R2836" s="3" t="str">
        <f>IFERROR(__xludf.DUMMYFUNCTION("""COMPUTED_VALUE"""),"Small Format")</f>
        <v>Small Format</v>
      </c>
      <c r="S2836" s="3" t="str">
        <f>IFERROR(__xludf.DUMMYFUNCTION("""COMPUTED_VALUE"""),"Donjai")</f>
        <v>Donjai</v>
      </c>
      <c r="T2836" s="3" t="str">
        <f>IFERROR(__xludf.DUMMYFUNCTION("""COMPUTED_VALUE"""),"04 K.Somboon P.")</f>
        <v>04 K.Somboon P.</v>
      </c>
      <c r="U2836" s="3" t="str">
        <f>IFERROR(__xludf.DUMMYFUNCTION("""COMPUTED_VALUE"""),"04 K.Somboon P.")</f>
        <v>04 K.Somboon P.</v>
      </c>
      <c r="V2836" s="3" t="str">
        <f>IFERROR(__xludf.DUMMYFUNCTION("""COMPUTED_VALUE"""),"N")</f>
        <v>N</v>
      </c>
      <c r="W2836" s="3"/>
      <c r="X2836" s="3" t="str">
        <f>IFERROR(__xludf.DUMMYFUNCTION("""COMPUTED_VALUE"""),"198 หมู่ 1 ตำบลเกษตรวิสัย อำเภอเกษตรวิสัยจังหวัดร้อยเอ็ด")</f>
        <v>198 หมู่ 1 ตำบลเกษตรวิสัย อำเภอเกษตรวิสัยจังหวัดร้อยเอ็ด</v>
      </c>
      <c r="Y2836" s="3"/>
      <c r="Z2836" s="3">
        <f>IFERROR(__xludf.DUMMYFUNCTION("""COMPUTED_VALUE"""),0.0)</f>
        <v>0</v>
      </c>
      <c r="AA2836" s="3">
        <f>IFERROR(__xludf.DUMMYFUNCTION("""COMPUTED_VALUE"""),0.0)</f>
        <v>0</v>
      </c>
      <c r="AB2836" s="3" t="str">
        <f>IFERROR(__xludf.DUMMYFUNCTION("""COMPUTED_VALUE"""),"ร้อยเอ็ด")</f>
        <v>ร้อยเอ็ด</v>
      </c>
      <c r="AC2836" s="3">
        <f>IFERROR(__xludf.DUMMYFUNCTION("""COMPUTED_VALUE"""),0.0)</f>
        <v>0</v>
      </c>
      <c r="AD2836" s="3"/>
      <c r="AE2836" s="3"/>
      <c r="AF2836" s="3" t="str">
        <f>IFERROR(__xludf.DUMMYFUNCTION("""COMPUTED_VALUE"""),"ร้านเฉลียวการค้า-83686")</f>
        <v>ร้านเฉลียวการค้า-83686</v>
      </c>
      <c r="AG2836" s="3" t="str">
        <f>IFERROR(__xludf.DUMMYFUNCTION("""COMPUTED_VALUE"""),"ตะวันออกเฉียงเหนือ")</f>
        <v>ตะวันออกเฉียงเหนือ</v>
      </c>
      <c r="AH2836" s="3" t="str">
        <f>IFERROR(__xludf.DUMMYFUNCTION("""COMPUTED_VALUE"""),"#N/A")</f>
        <v>#N/A</v>
      </c>
      <c r="AI2836" s="3" t="str">
        <f>IFERROR(__xludf.DUMMYFUNCTION("""COMPUTED_VALUE"""),"Out of warranty")</f>
        <v>Out of warranty</v>
      </c>
      <c r="AJ2836" s="3">
        <f>IFERROR(__xludf.DUMMYFUNCTION("""COMPUTED_VALUE"""),45.0)</f>
        <v>45</v>
      </c>
      <c r="AK2836" s="3"/>
      <c r="AL2836" s="3"/>
    </row>
    <row r="2837" ht="15.75" customHeight="1">
      <c r="A2837" s="1" t="str">
        <f>IFERROR(__xludf.DUMMYFUNCTION("""COMPUTED_VALUE"""),"83687")</f>
        <v>83687</v>
      </c>
      <c r="B2837" s="2">
        <f>IFERROR(__xludf.DUMMYFUNCTION("""COMPUTED_VALUE"""),83687.0)</f>
        <v>83687</v>
      </c>
      <c r="C2837" s="3" t="str">
        <f>IFERROR(__xludf.DUMMYFUNCTION("""COMPUTED_VALUE"""),"ร้านบ้านสวน")</f>
        <v>ร้านบ้านสวน</v>
      </c>
      <c r="D2837" s="3" t="str">
        <f>IFERROR(__xludf.DUMMYFUNCTION("""COMPUTED_VALUE"""),"ร้านบ้านสวน")</f>
        <v>ร้านบ้านสวน</v>
      </c>
      <c r="E2837" s="1" t="str">
        <f>IFERROR(__xludf.DUMMYFUNCTION("""COMPUTED_VALUE"""),"Donjai")</f>
        <v>Donjai</v>
      </c>
      <c r="F2837" s="1" t="str">
        <f>IFERROR(__xludf.DUMMYFUNCTION("""COMPUTED_VALUE"""),"2010023")</f>
        <v>2010023</v>
      </c>
      <c r="G2837" s="1" t="str">
        <f>IFERROR(__xludf.DUMMYFUNCTION("""COMPUTED_VALUE"""),"นายวศิน ไวยรูป")</f>
        <v>นายวศิน ไวยรูป</v>
      </c>
      <c r="H2837" s="1" t="str">
        <f>IFERROR(__xludf.DUMMYFUNCTION("""COMPUTED_VALUE"""),"2010023")</f>
        <v>2010023</v>
      </c>
      <c r="I2837" s="1" t="str">
        <f>IFERROR(__xludf.DUMMYFUNCTION("""COMPUTED_VALUE"""),"นายวศิน ไวยรูป")</f>
        <v>นายวศิน ไวยรูป</v>
      </c>
      <c r="J2837" s="3">
        <f>IFERROR(__xludf.DUMMYFUNCTION("""COMPUTED_VALUE"""),228031.0)</f>
        <v>228031</v>
      </c>
      <c r="K2837" s="3" t="str">
        <f>IFERROR(__xludf.DUMMYFUNCTION("""COMPUTED_VALUE"""),"นายธนพงษ์ วันหมัด")</f>
        <v>นายธนพงษ์ วันหมัด</v>
      </c>
      <c r="L2837" s="1" t="str">
        <f>IFERROR(__xludf.DUMMYFUNCTION("""COMPUTED_VALUE"""),"นายธนพงษ์ วันหมัด")</f>
        <v>นายธนพงษ์ วันหมัด</v>
      </c>
      <c r="M2837" s="1" t="str">
        <f>IFERROR(__xludf.DUMMYFUNCTION("""COMPUTED_VALUE"""),"0813716913")</f>
        <v>0813716913</v>
      </c>
      <c r="N2837" s="3">
        <f>IFERROR(__xludf.DUMMYFUNCTION("""COMPUTED_VALUE"""),83687.0)</f>
        <v>83687</v>
      </c>
      <c r="O2837" s="3" t="str">
        <f>IFERROR(__xludf.DUMMYFUNCTION("""COMPUTED_VALUE"""),"ร้านบ้านสวน")</f>
        <v>ร้านบ้านสวน</v>
      </c>
      <c r="P2837" s="4">
        <f>IFERROR(__xludf.DUMMYFUNCTION("""COMPUTED_VALUE"""),44662.0)</f>
        <v>44662</v>
      </c>
      <c r="Q2837" s="3" t="str">
        <f>IFERROR(__xludf.DUMMYFUNCTION("""COMPUTED_VALUE"""),"I")</f>
        <v>I</v>
      </c>
      <c r="R2837" s="3" t="str">
        <f>IFERROR(__xludf.DUMMYFUNCTION("""COMPUTED_VALUE"""),"Small Format")</f>
        <v>Small Format</v>
      </c>
      <c r="S2837" s="3" t="str">
        <f>IFERROR(__xludf.DUMMYFUNCTION("""COMPUTED_VALUE"""),"Donjai")</f>
        <v>Donjai</v>
      </c>
      <c r="T2837" s="3" t="str">
        <f>IFERROR(__xludf.DUMMYFUNCTION("""COMPUTED_VALUE"""),"Donjai")</f>
        <v>Donjai</v>
      </c>
      <c r="U2837" s="3" t="str">
        <f>IFERROR(__xludf.DUMMYFUNCTION("""COMPUTED_VALUE"""),"Donjai")</f>
        <v>Donjai</v>
      </c>
      <c r="V2837" s="3" t="str">
        <f>IFERROR(__xludf.DUMMYFUNCTION("""COMPUTED_VALUE"""),"N")</f>
        <v>N</v>
      </c>
      <c r="W2837" s="3"/>
      <c r="X2837" s="3" t="str">
        <f>IFERROR(__xludf.DUMMYFUNCTION("""COMPUTED_VALUE"""),"บ้านเลขที่ 10 ซอยกาญจนาภิเษก 25 แยก 1-4 ถนนกาญจนาภิเษก แขวงทับช้าง เขตสะพานสูง กทม. 10250")</f>
        <v>บ้านเลขที่ 10 ซอยกาญจนาภิเษก 25 แยก 1-4 ถนนกาญจนาภิเษก แขวงทับช้าง เขตสะพานสูง กทม. 10250</v>
      </c>
      <c r="Y2837" s="3"/>
      <c r="Z2837" s="3">
        <f>IFERROR(__xludf.DUMMYFUNCTION("""COMPUTED_VALUE"""),0.0)</f>
        <v>0</v>
      </c>
      <c r="AA2837" s="3">
        <f>IFERROR(__xludf.DUMMYFUNCTION("""COMPUTED_VALUE"""),0.0)</f>
        <v>0</v>
      </c>
      <c r="AB2837" s="3" t="str">
        <f>IFERROR(__xludf.DUMMYFUNCTION("""COMPUTED_VALUE"""),"กรุงเทพมหานคร")</f>
        <v>กรุงเทพมหานคร</v>
      </c>
      <c r="AC2837" s="3">
        <f>IFERROR(__xludf.DUMMYFUNCTION("""COMPUTED_VALUE"""),10250.0)</f>
        <v>10250</v>
      </c>
      <c r="AD2837" s="3"/>
      <c r="AE2837" s="3"/>
      <c r="AF2837" s="3" t="str">
        <f>IFERROR(__xludf.DUMMYFUNCTION("""COMPUTED_VALUE"""),"ร้านบ้านสวน-83687")</f>
        <v>ร้านบ้านสวน-83687</v>
      </c>
      <c r="AG2837" s="3" t="str">
        <f>IFERROR(__xludf.DUMMYFUNCTION("""COMPUTED_VALUE"""),"กลาง")</f>
        <v>กลาง</v>
      </c>
      <c r="AH2837" s="3" t="str">
        <f>IFERROR(__xludf.DUMMYFUNCTION("""COMPUTED_VALUE"""),"#N/A")</f>
        <v>#N/A</v>
      </c>
      <c r="AI2837" s="3" t="str">
        <f>IFERROR(__xludf.DUMMYFUNCTION("""COMPUTED_VALUE"""),"Out of warranty")</f>
        <v>Out of warranty</v>
      </c>
      <c r="AJ2837" s="3">
        <f>IFERROR(__xludf.DUMMYFUNCTION("""COMPUTED_VALUE"""),46.0)</f>
        <v>46</v>
      </c>
      <c r="AK2837" s="3"/>
      <c r="AL2837" s="3"/>
    </row>
    <row r="2838" ht="15.75" customHeight="1">
      <c r="A2838" s="1" t="str">
        <f>IFERROR(__xludf.DUMMYFUNCTION("""COMPUTED_VALUE"""),"83690")</f>
        <v>83690</v>
      </c>
      <c r="B2838" s="2">
        <f>IFERROR(__xludf.DUMMYFUNCTION("""COMPUTED_VALUE"""),83690.0)</f>
        <v>83690</v>
      </c>
      <c r="C2838" s="3" t="str">
        <f>IFERROR(__xludf.DUMMYFUNCTION("""COMPUTED_VALUE"""),"มั่งมีศรีสุข")</f>
        <v>มั่งมีศรีสุข</v>
      </c>
      <c r="D2838" s="3" t="str">
        <f>IFERROR(__xludf.DUMMYFUNCTION("""COMPUTED_VALUE"""),"มั่งมีศรีสุข")</f>
        <v>มั่งมีศรีสุข</v>
      </c>
      <c r="E2838" s="1" t="str">
        <f>IFERROR(__xludf.DUMMYFUNCTION("""COMPUTED_VALUE"""),"Donjai")</f>
        <v>Donjai</v>
      </c>
      <c r="F2838" s="1" t="str">
        <f>IFERROR(__xludf.DUMMYFUNCTION("""COMPUTED_VALUE"""),"00510143")</f>
        <v>00510143</v>
      </c>
      <c r="G2838" s="1" t="str">
        <f>IFERROR(__xludf.DUMMYFUNCTION("""COMPUTED_VALUE"""),"นายธีระวัฒน์ บุญสิทธิ์")</f>
        <v>นายธีระวัฒน์ บุญสิทธิ์</v>
      </c>
      <c r="H2838" s="1" t="str">
        <f>IFERROR(__xludf.DUMMYFUNCTION("""COMPUTED_VALUE"""),"00510143")</f>
        <v>00510143</v>
      </c>
      <c r="I2838" s="1" t="str">
        <f>IFERROR(__xludf.DUMMYFUNCTION("""COMPUTED_VALUE"""),"นายธีระวัฒน์ บุญสิทธิ์")</f>
        <v>นายธีระวัฒน์ บุญสิทธิ์</v>
      </c>
      <c r="J2838" s="3">
        <f>IFERROR(__xludf.DUMMYFUNCTION("""COMPUTED_VALUE"""),228031.0)</f>
        <v>228031</v>
      </c>
      <c r="K2838" s="3" t="str">
        <f>IFERROR(__xludf.DUMMYFUNCTION("""COMPUTED_VALUE"""),"นายธนพงษ์ วันหมัด")</f>
        <v>นายธนพงษ์ วันหมัด</v>
      </c>
      <c r="L2838" s="1" t="str">
        <f>IFERROR(__xludf.DUMMYFUNCTION("""COMPUTED_VALUE"""),"นายธนพงษ์ วันหมัด")</f>
        <v>นายธนพงษ์ วันหมัด</v>
      </c>
      <c r="M2838" s="1" t="str">
        <f>IFERROR(__xludf.DUMMYFUNCTION("""COMPUTED_VALUE"""),"0813716913")</f>
        <v>0813716913</v>
      </c>
      <c r="N2838" s="3">
        <f>IFERROR(__xludf.DUMMYFUNCTION("""COMPUTED_VALUE"""),83690.0)</f>
        <v>83690</v>
      </c>
      <c r="O2838" s="3" t="str">
        <f>IFERROR(__xludf.DUMMYFUNCTION("""COMPUTED_VALUE"""),"มั่งมีศรีสุข")</f>
        <v>มั่งมีศรีสุข</v>
      </c>
      <c r="P2838" s="4">
        <f>IFERROR(__xludf.DUMMYFUNCTION("""COMPUTED_VALUE"""),44652.0)</f>
        <v>44652</v>
      </c>
      <c r="Q2838" s="3" t="str">
        <f>IFERROR(__xludf.DUMMYFUNCTION("""COMPUTED_VALUE"""),"A")</f>
        <v>A</v>
      </c>
      <c r="R2838" s="3" t="str">
        <f>IFERROR(__xludf.DUMMYFUNCTION("""COMPUTED_VALUE"""),"Small Format")</f>
        <v>Small Format</v>
      </c>
      <c r="S2838" s="3" t="str">
        <f>IFERROR(__xludf.DUMMYFUNCTION("""COMPUTED_VALUE"""),"Donjai")</f>
        <v>Donjai</v>
      </c>
      <c r="T2838" s="3" t="str">
        <f>IFERROR(__xludf.DUMMYFUNCTION("""COMPUTED_VALUE"""),"12 K.Theerawat B.")</f>
        <v>12 K.Theerawat B.</v>
      </c>
      <c r="U2838" s="3" t="str">
        <f>IFERROR(__xludf.DUMMYFUNCTION("""COMPUTED_VALUE"""),"12 K.Theerawat B.")</f>
        <v>12 K.Theerawat B.</v>
      </c>
      <c r="V2838" s="3" t="str">
        <f>IFERROR(__xludf.DUMMYFUNCTION("""COMPUTED_VALUE"""),"N")</f>
        <v>N</v>
      </c>
      <c r="W2838" s="3"/>
      <c r="X2838" s="3" t="str">
        <f>IFERROR(__xludf.DUMMYFUNCTION("""COMPUTED_VALUE"""),"158 หมู่ 5 บ้านอ่างศิลา ต.โนนหมากมุ่น อ.โคกสูง จ.สระแก้ว")</f>
        <v>158 หมู่ 5 บ้านอ่างศิลา ต.โนนหมากมุ่น อ.โคกสูง จ.สระแก้ว</v>
      </c>
      <c r="Y2838" s="3"/>
      <c r="Z2838" s="3">
        <f>IFERROR(__xludf.DUMMYFUNCTION("""COMPUTED_VALUE"""),0.0)</f>
        <v>0</v>
      </c>
      <c r="AA2838" s="3">
        <f>IFERROR(__xludf.DUMMYFUNCTION("""COMPUTED_VALUE"""),0.0)</f>
        <v>0</v>
      </c>
      <c r="AB2838" s="3" t="str">
        <f>IFERROR(__xludf.DUMMYFUNCTION("""COMPUTED_VALUE"""),"สระแก้ว")</f>
        <v>สระแก้ว</v>
      </c>
      <c r="AC2838" s="3">
        <f>IFERROR(__xludf.DUMMYFUNCTION("""COMPUTED_VALUE"""),0.0)</f>
        <v>0</v>
      </c>
      <c r="AD2838" s="3"/>
      <c r="AE2838" s="3"/>
      <c r="AF2838" s="3" t="str">
        <f>IFERROR(__xludf.DUMMYFUNCTION("""COMPUTED_VALUE"""),"มั่งมีศรีสุข-83690")</f>
        <v>มั่งมีศรีสุข-83690</v>
      </c>
      <c r="AG2838" s="3" t="str">
        <f>IFERROR(__xludf.DUMMYFUNCTION("""COMPUTED_VALUE"""),"ตะวันออก")</f>
        <v>ตะวันออก</v>
      </c>
      <c r="AH2838" s="3" t="str">
        <f>IFERROR(__xludf.DUMMYFUNCTION("""COMPUTED_VALUE"""),"#N/A")</f>
        <v>#N/A</v>
      </c>
      <c r="AI2838" s="3" t="str">
        <f>IFERROR(__xludf.DUMMYFUNCTION("""COMPUTED_VALUE"""),"Out of warranty")</f>
        <v>Out of warranty</v>
      </c>
      <c r="AJ2838" s="3">
        <f>IFERROR(__xludf.DUMMYFUNCTION("""COMPUTED_VALUE"""),46.0)</f>
        <v>46</v>
      </c>
      <c r="AK2838" s="3"/>
      <c r="AL2838" s="3"/>
    </row>
    <row r="2839" ht="15.75" customHeight="1">
      <c r="A2839" s="1" t="str">
        <f>IFERROR(__xludf.DUMMYFUNCTION("""COMPUTED_VALUE"""),"83691")</f>
        <v>83691</v>
      </c>
      <c r="B2839" s="2">
        <f>IFERROR(__xludf.DUMMYFUNCTION("""COMPUTED_VALUE"""),83691.0)</f>
        <v>83691</v>
      </c>
      <c r="C2839" s="3" t="str">
        <f>IFERROR(__xludf.DUMMYFUNCTION("""COMPUTED_VALUE"""),"ร้านวันทนาพาณิชย์ (จะหนา)")</f>
        <v>ร้านวันทนาพาณิชย์ (จะหนา)</v>
      </c>
      <c r="D2839" s="3" t="str">
        <f>IFERROR(__xludf.DUMMYFUNCTION("""COMPUTED_VALUE"""),"ร้านวันทนาพาณิชย์ (จะหนา)")</f>
        <v>ร้านวันทนาพาณิชย์ (จะหนา)</v>
      </c>
      <c r="E2839" s="1" t="str">
        <f>IFERROR(__xludf.DUMMYFUNCTION("""COMPUTED_VALUE"""),"Donjai")</f>
        <v>Donjai</v>
      </c>
      <c r="F2839" s="1" t="str">
        <f>IFERROR(__xludf.DUMMYFUNCTION("""COMPUTED_VALUE"""),"025324")</f>
        <v>025324</v>
      </c>
      <c r="G2839" s="1" t="str">
        <f>IFERROR(__xludf.DUMMYFUNCTION("""COMPUTED_VALUE"""),"นายวิเชฎฐ์ ติรัตนะประคม")</f>
        <v>นายวิเชฎฐ์ ติรัตนะประคม</v>
      </c>
      <c r="H2839" s="1" t="str">
        <f>IFERROR(__xludf.DUMMYFUNCTION("""COMPUTED_VALUE"""),"025324")</f>
        <v>025324</v>
      </c>
      <c r="I2839" s="1" t="str">
        <f>IFERROR(__xludf.DUMMYFUNCTION("""COMPUTED_VALUE"""),"นายวิเชฎฐ์ ติรัตนะประคม")</f>
        <v>นายวิเชฎฐ์ ติรัตนะประคม</v>
      </c>
      <c r="J2839" s="3">
        <f>IFERROR(__xludf.DUMMYFUNCTION("""COMPUTED_VALUE"""),295541.0)</f>
        <v>295541</v>
      </c>
      <c r="K2839" s="3" t="str">
        <f>IFERROR(__xludf.DUMMYFUNCTION("""COMPUTED_VALUE"""),"นายรพิพล ศรีมาตย์")</f>
        <v>นายรพิพล ศรีมาตย์</v>
      </c>
      <c r="L2839" s="1" t="str">
        <f>IFERROR(__xludf.DUMMYFUNCTION("""COMPUTED_VALUE"""),"นายรพิพล ศรีมาตย์")</f>
        <v>นายรพิพล ศรีมาตย์</v>
      </c>
      <c r="M2839" s="1" t="str">
        <f>IFERROR(__xludf.DUMMYFUNCTION("""COMPUTED_VALUE"""),"0613966115")</f>
        <v>0613966115</v>
      </c>
      <c r="N2839" s="3">
        <f>IFERROR(__xludf.DUMMYFUNCTION("""COMPUTED_VALUE"""),83691.0)</f>
        <v>83691</v>
      </c>
      <c r="O2839" s="3" t="str">
        <f>IFERROR(__xludf.DUMMYFUNCTION("""COMPUTED_VALUE"""),"ร้านวันทนาพาณิชย์ (จะหนา)")</f>
        <v>ร้านวันทนาพาณิชย์ (จะหนา)</v>
      </c>
      <c r="P2839" s="4">
        <f>IFERROR(__xludf.DUMMYFUNCTION("""COMPUTED_VALUE"""),44631.0)</f>
        <v>44631</v>
      </c>
      <c r="Q2839" s="3" t="str">
        <f>IFERROR(__xludf.DUMMYFUNCTION("""COMPUTED_VALUE"""),"I")</f>
        <v>I</v>
      </c>
      <c r="R2839" s="3" t="str">
        <f>IFERROR(__xludf.DUMMYFUNCTION("""COMPUTED_VALUE"""),"Small Format")</f>
        <v>Small Format</v>
      </c>
      <c r="S2839" s="3" t="str">
        <f>IFERROR(__xludf.DUMMYFUNCTION("""COMPUTED_VALUE"""),"Donjai")</f>
        <v>Donjai</v>
      </c>
      <c r="T2839" s="3" t="str">
        <f>IFERROR(__xludf.DUMMYFUNCTION("""COMPUTED_VALUE"""),"14 K.Wichet T.")</f>
        <v>14 K.Wichet T.</v>
      </c>
      <c r="U2839" s="3" t="str">
        <f>IFERROR(__xludf.DUMMYFUNCTION("""COMPUTED_VALUE"""),"14 K.Wichet T.")</f>
        <v>14 K.Wichet T.</v>
      </c>
      <c r="V2839" s="3" t="str">
        <f>IFERROR(__xludf.DUMMYFUNCTION("""COMPUTED_VALUE"""),"N")</f>
        <v>N</v>
      </c>
      <c r="W2839" s="3"/>
      <c r="X2839" s="3" t="str">
        <f>IFERROR(__xludf.DUMMYFUNCTION("""COMPUTED_VALUE"""),"57/48 ม.4 ต.ทรายขาว อ.คลองท่อม จ.กระบี่")</f>
        <v>57/48 ม.4 ต.ทรายขาว อ.คลองท่อม จ.กระบี่</v>
      </c>
      <c r="Y2839" s="3"/>
      <c r="Z2839" s="3" t="str">
        <f>IFERROR(__xludf.DUMMYFUNCTION("""COMPUTED_VALUE"""),"ทรายขาว")</f>
        <v>ทรายขาว</v>
      </c>
      <c r="AA2839" s="3" t="str">
        <f>IFERROR(__xludf.DUMMYFUNCTION("""COMPUTED_VALUE"""),"คลองท่อม")</f>
        <v>คลองท่อม</v>
      </c>
      <c r="AB2839" s="3" t="str">
        <f>IFERROR(__xludf.DUMMYFUNCTION("""COMPUTED_VALUE"""),"กระบี่")</f>
        <v>กระบี่</v>
      </c>
      <c r="AC2839" s="3">
        <f>IFERROR(__xludf.DUMMYFUNCTION("""COMPUTED_VALUE"""),0.0)</f>
        <v>0</v>
      </c>
      <c r="AD2839" s="3"/>
      <c r="AE2839" s="3"/>
      <c r="AF2839" s="3" t="str">
        <f>IFERROR(__xludf.DUMMYFUNCTION("""COMPUTED_VALUE"""),"ร้านวันทนาพาณิชย์ (จะหนา)-83691")</f>
        <v>ร้านวันทนาพาณิชย์ (จะหนา)-83691</v>
      </c>
      <c r="AG2839" s="3" t="str">
        <f>IFERROR(__xludf.DUMMYFUNCTION("""COMPUTED_VALUE"""),"ใต้")</f>
        <v>ใต้</v>
      </c>
      <c r="AH2839" s="3" t="str">
        <f>IFERROR(__xludf.DUMMYFUNCTION("""COMPUTED_VALUE"""),"#N/A")</f>
        <v>#N/A</v>
      </c>
      <c r="AI2839" s="3" t="str">
        <f>IFERROR(__xludf.DUMMYFUNCTION("""COMPUTED_VALUE"""),"Out of warranty")</f>
        <v>Out of warranty</v>
      </c>
      <c r="AJ2839" s="3">
        <f>IFERROR(__xludf.DUMMYFUNCTION("""COMPUTED_VALUE"""),47.0)</f>
        <v>47</v>
      </c>
      <c r="AK2839" s="3"/>
      <c r="AL2839" s="3"/>
    </row>
    <row r="2840" ht="15.75" customHeight="1">
      <c r="A2840" s="1" t="str">
        <f>IFERROR(__xludf.DUMMYFUNCTION("""COMPUTED_VALUE"""),"83692")</f>
        <v>83692</v>
      </c>
      <c r="B2840" s="2">
        <f>IFERROR(__xludf.DUMMYFUNCTION("""COMPUTED_VALUE"""),83692.0)</f>
        <v>83692</v>
      </c>
      <c r="C2840" s="3" t="str">
        <f>IFERROR(__xludf.DUMMYFUNCTION("""COMPUTED_VALUE"""),"ร้านสายสมร มินิมาร์ท (สายสมร)")</f>
        <v>ร้านสายสมร มินิมาร์ท (สายสมร)</v>
      </c>
      <c r="D2840" s="3" t="str">
        <f>IFERROR(__xludf.DUMMYFUNCTION("""COMPUTED_VALUE"""),"ร้านสายสมร มินิมาร์ท (สายสมร)")</f>
        <v>ร้านสายสมร มินิมาร์ท (สายสมร)</v>
      </c>
      <c r="E2840" s="1" t="str">
        <f>IFERROR(__xludf.DUMMYFUNCTION("""COMPUTED_VALUE"""),"Donjai")</f>
        <v>Donjai</v>
      </c>
      <c r="F2840" s="1" t="str">
        <f>IFERROR(__xludf.DUMMYFUNCTION("""COMPUTED_VALUE"""),"2454781")</f>
        <v>2454781</v>
      </c>
      <c r="G2840" s="1" t="str">
        <f>IFERROR(__xludf.DUMMYFUNCTION("""COMPUTED_VALUE"""),"นายฌานกฤช นันทะโคต")</f>
        <v>นายฌานกฤช นันทะโคต</v>
      </c>
      <c r="H2840" s="1" t="str">
        <f>IFERROR(__xludf.DUMMYFUNCTION("""COMPUTED_VALUE"""),"2454781")</f>
        <v>2454781</v>
      </c>
      <c r="I2840" s="1" t="str">
        <f>IFERROR(__xludf.DUMMYFUNCTION("""COMPUTED_VALUE"""),"นายฌานกฤช นันทะโคต")</f>
        <v>นายฌานกฤช นันทะโคต</v>
      </c>
      <c r="J2840" s="3">
        <f>IFERROR(__xludf.DUMMYFUNCTION("""COMPUTED_VALUE"""),295886.0)</f>
        <v>295886</v>
      </c>
      <c r="K2840" s="3" t="str">
        <f>IFERROR(__xludf.DUMMYFUNCTION("""COMPUTED_VALUE"""),"นายจิระพงษ์ โพธิ์นิล")</f>
        <v>นายจิระพงษ์ โพธิ์นิล</v>
      </c>
      <c r="L2840" s="1" t="str">
        <f>IFERROR(__xludf.DUMMYFUNCTION("""COMPUTED_VALUE"""),"นายจิระพงษ์ โพธิ์นิล")</f>
        <v>นายจิระพงษ์ โพธิ์นิล</v>
      </c>
      <c r="M2840" s="1" t="str">
        <f>IFERROR(__xludf.DUMMYFUNCTION("""COMPUTED_VALUE"""),"0933290754")</f>
        <v>0933290754</v>
      </c>
      <c r="N2840" s="3">
        <f>IFERROR(__xludf.DUMMYFUNCTION("""COMPUTED_VALUE"""),83692.0)</f>
        <v>83692</v>
      </c>
      <c r="O2840" s="3" t="str">
        <f>IFERROR(__xludf.DUMMYFUNCTION("""COMPUTED_VALUE"""),"ร้านสายสมร มินิมาร์ท (สายสมร)")</f>
        <v>ร้านสายสมร มินิมาร์ท (สายสมร)</v>
      </c>
      <c r="P2840" s="4">
        <f>IFERROR(__xludf.DUMMYFUNCTION("""COMPUTED_VALUE"""),44641.0)</f>
        <v>44641</v>
      </c>
      <c r="Q2840" s="3" t="str">
        <f>IFERROR(__xludf.DUMMYFUNCTION("""COMPUTED_VALUE"""),"A")</f>
        <v>A</v>
      </c>
      <c r="R2840" s="3" t="str">
        <f>IFERROR(__xludf.DUMMYFUNCTION("""COMPUTED_VALUE"""),"Small Format")</f>
        <v>Small Format</v>
      </c>
      <c r="S2840" s="3" t="str">
        <f>IFERROR(__xludf.DUMMYFUNCTION("""COMPUTED_VALUE"""),"Donjai")</f>
        <v>Donjai</v>
      </c>
      <c r="T2840" s="3" t="str">
        <f>IFERROR(__xludf.DUMMYFUNCTION("""COMPUTED_VALUE"""),"05 K.Chanakrit N.")</f>
        <v>05 K.Chanakrit N.</v>
      </c>
      <c r="U2840" s="3" t="str">
        <f>IFERROR(__xludf.DUMMYFUNCTION("""COMPUTED_VALUE"""),"05 K.Chanakrit N.")</f>
        <v>05 K.Chanakrit N.</v>
      </c>
      <c r="V2840" s="3" t="str">
        <f>IFERROR(__xludf.DUMMYFUNCTION("""COMPUTED_VALUE"""),"N")</f>
        <v>N</v>
      </c>
      <c r="W2840" s="3"/>
      <c r="X2840" s="3" t="str">
        <f>IFERROR(__xludf.DUMMYFUNCTION("""COMPUTED_VALUE"""),"เลขที่2 ม.2 บ้านคุ้ม ต.คูเมือง อ.มหาชนะชัย จ.ยโสธร")</f>
        <v>เลขที่2 ม.2 บ้านคุ้ม ต.คูเมือง อ.มหาชนะชัย จ.ยโสธร</v>
      </c>
      <c r="Y2840" s="3"/>
      <c r="Z2840" s="3">
        <f>IFERROR(__xludf.DUMMYFUNCTION("""COMPUTED_VALUE"""),0.0)</f>
        <v>0</v>
      </c>
      <c r="AA2840" s="3">
        <f>IFERROR(__xludf.DUMMYFUNCTION("""COMPUTED_VALUE"""),0.0)</f>
        <v>0</v>
      </c>
      <c r="AB2840" s="3" t="str">
        <f>IFERROR(__xludf.DUMMYFUNCTION("""COMPUTED_VALUE"""),"ยโสธร")</f>
        <v>ยโสธร</v>
      </c>
      <c r="AC2840" s="3">
        <f>IFERROR(__xludf.DUMMYFUNCTION("""COMPUTED_VALUE"""),0.0)</f>
        <v>0</v>
      </c>
      <c r="AD2840" s="3"/>
      <c r="AE2840" s="3"/>
      <c r="AF2840" s="3" t="str">
        <f>IFERROR(__xludf.DUMMYFUNCTION("""COMPUTED_VALUE"""),"ร้านสายสมร มินิมาร์ท (สายสมร)-83692")</f>
        <v>ร้านสายสมร มินิมาร์ท (สายสมร)-83692</v>
      </c>
      <c r="AG2840" s="3" t="str">
        <f>IFERROR(__xludf.DUMMYFUNCTION("""COMPUTED_VALUE"""),"ตะวันออกเฉียงเหนือ")</f>
        <v>ตะวันออกเฉียงเหนือ</v>
      </c>
      <c r="AH2840" s="3" t="str">
        <f>IFERROR(__xludf.DUMMYFUNCTION("""COMPUTED_VALUE"""),"#N/A")</f>
        <v>#N/A</v>
      </c>
      <c r="AI2840" s="3" t="str">
        <f>IFERROR(__xludf.DUMMYFUNCTION("""COMPUTED_VALUE"""),"Out of warranty")</f>
        <v>Out of warranty</v>
      </c>
      <c r="AJ2840" s="3">
        <f>IFERROR(__xludf.DUMMYFUNCTION("""COMPUTED_VALUE"""),46.0)</f>
        <v>46</v>
      </c>
      <c r="AK2840" s="3"/>
      <c r="AL2840" s="3"/>
    </row>
    <row r="2841" ht="15.75" customHeight="1">
      <c r="A2841" s="1" t="str">
        <f>IFERROR(__xludf.DUMMYFUNCTION("""COMPUTED_VALUE"""),"83694")</f>
        <v>83694</v>
      </c>
      <c r="B2841" s="2">
        <f>IFERROR(__xludf.DUMMYFUNCTION("""COMPUTED_VALUE"""),83694.0)</f>
        <v>83694</v>
      </c>
      <c r="C2841" s="3" t="str">
        <f>IFERROR(__xludf.DUMMYFUNCTION("""COMPUTED_VALUE"""),"ร้านพรายพญาพาณิชย์")</f>
        <v>ร้านพรายพญาพาณิชย์</v>
      </c>
      <c r="D2841" s="3" t="str">
        <f>IFERROR(__xludf.DUMMYFUNCTION("""COMPUTED_VALUE"""),"ร้านพรายพญาพาณิชย์")</f>
        <v>ร้านพรายพญาพาณิชย์</v>
      </c>
      <c r="E2841" s="1" t="str">
        <f>IFERROR(__xludf.DUMMYFUNCTION("""COMPUTED_VALUE"""),"Donjai")</f>
        <v>Donjai</v>
      </c>
      <c r="F2841" s="1" t="str">
        <f>IFERROR(__xludf.DUMMYFUNCTION("""COMPUTED_VALUE"""),"2010023")</f>
        <v>2010023</v>
      </c>
      <c r="G2841" s="1" t="str">
        <f>IFERROR(__xludf.DUMMYFUNCTION("""COMPUTED_VALUE"""),"นายวศิน ไวยรูป")</f>
        <v>นายวศิน ไวยรูป</v>
      </c>
      <c r="H2841" s="1" t="str">
        <f>IFERROR(__xludf.DUMMYFUNCTION("""COMPUTED_VALUE"""),"2010023")</f>
        <v>2010023</v>
      </c>
      <c r="I2841" s="1" t="str">
        <f>IFERROR(__xludf.DUMMYFUNCTION("""COMPUTED_VALUE"""),"นายวศิน ไวยรูป")</f>
        <v>นายวศิน ไวยรูป</v>
      </c>
      <c r="J2841" s="3">
        <f>IFERROR(__xludf.DUMMYFUNCTION("""COMPUTED_VALUE"""),228031.0)</f>
        <v>228031</v>
      </c>
      <c r="K2841" s="3" t="str">
        <f>IFERROR(__xludf.DUMMYFUNCTION("""COMPUTED_VALUE"""),"นายธนพงษ์ วันหมัด")</f>
        <v>นายธนพงษ์ วันหมัด</v>
      </c>
      <c r="L2841" s="1" t="str">
        <f>IFERROR(__xludf.DUMMYFUNCTION("""COMPUTED_VALUE"""),"นายธนพงษ์ วันหมัด")</f>
        <v>นายธนพงษ์ วันหมัด</v>
      </c>
      <c r="M2841" s="1" t="str">
        <f>IFERROR(__xludf.DUMMYFUNCTION("""COMPUTED_VALUE"""),"0813716913")</f>
        <v>0813716913</v>
      </c>
      <c r="N2841" s="3">
        <f>IFERROR(__xludf.DUMMYFUNCTION("""COMPUTED_VALUE"""),83694.0)</f>
        <v>83694</v>
      </c>
      <c r="O2841" s="3" t="str">
        <f>IFERROR(__xludf.DUMMYFUNCTION("""COMPUTED_VALUE"""),"ร้านพรายพญาพาณิชย์")</f>
        <v>ร้านพรายพญาพาณิชย์</v>
      </c>
      <c r="P2841" s="4">
        <f>IFERROR(__xludf.DUMMYFUNCTION("""COMPUTED_VALUE"""),44639.0)</f>
        <v>44639</v>
      </c>
      <c r="Q2841" s="3" t="str">
        <f>IFERROR(__xludf.DUMMYFUNCTION("""COMPUTED_VALUE"""),"I")</f>
        <v>I</v>
      </c>
      <c r="R2841" s="3" t="str">
        <f>IFERROR(__xludf.DUMMYFUNCTION("""COMPUTED_VALUE"""),"Small Format")</f>
        <v>Small Format</v>
      </c>
      <c r="S2841" s="3" t="str">
        <f>IFERROR(__xludf.DUMMYFUNCTION("""COMPUTED_VALUE"""),"Donjai")</f>
        <v>Donjai</v>
      </c>
      <c r="T2841" s="3" t="str">
        <f>IFERROR(__xludf.DUMMYFUNCTION("""COMPUTED_VALUE"""),"Donjai")</f>
        <v>Donjai</v>
      </c>
      <c r="U2841" s="3" t="str">
        <f>IFERROR(__xludf.DUMMYFUNCTION("""COMPUTED_VALUE"""),"Donjai")</f>
        <v>Donjai</v>
      </c>
      <c r="V2841" s="3" t="str">
        <f>IFERROR(__xludf.DUMMYFUNCTION("""COMPUTED_VALUE"""),"N")</f>
        <v>N</v>
      </c>
      <c r="W2841" s="3"/>
      <c r="X2841" s="3" t="str">
        <f>IFERROR(__xludf.DUMMYFUNCTION("""COMPUTED_VALUE"""),"867/148 ถนนสุขุมวิท 101 ซอยปุณณวิถี 44 แขวงบางจาก เขตพระโขนง กรุงเทพ")</f>
        <v>867/148 ถนนสุขุมวิท 101 ซอยปุณณวิถี 44 แขวงบางจาก เขตพระโขนง กรุงเทพ</v>
      </c>
      <c r="Y2841" s="3"/>
      <c r="Z2841" s="3">
        <f>IFERROR(__xludf.DUMMYFUNCTION("""COMPUTED_VALUE"""),0.0)</f>
        <v>0</v>
      </c>
      <c r="AA2841" s="3">
        <f>IFERROR(__xludf.DUMMYFUNCTION("""COMPUTED_VALUE"""),0.0)</f>
        <v>0</v>
      </c>
      <c r="AB2841" s="3" t="str">
        <f>IFERROR(__xludf.DUMMYFUNCTION("""COMPUTED_VALUE"""),"กรุงเทพมหานคร")</f>
        <v>กรุงเทพมหานคร</v>
      </c>
      <c r="AC2841" s="3">
        <f>IFERROR(__xludf.DUMMYFUNCTION("""COMPUTED_VALUE"""),0.0)</f>
        <v>0</v>
      </c>
      <c r="AD2841" s="3"/>
      <c r="AE2841" s="3"/>
      <c r="AF2841" s="3" t="str">
        <f>IFERROR(__xludf.DUMMYFUNCTION("""COMPUTED_VALUE"""),"ร้านพรายพญาพาณิชย์-83694")</f>
        <v>ร้านพรายพญาพาณิชย์-83694</v>
      </c>
      <c r="AG2841" s="3" t="str">
        <f>IFERROR(__xludf.DUMMYFUNCTION("""COMPUTED_VALUE"""),"กลาง")</f>
        <v>กลาง</v>
      </c>
      <c r="AH2841" s="3" t="str">
        <f>IFERROR(__xludf.DUMMYFUNCTION("""COMPUTED_VALUE"""),"#N/A")</f>
        <v>#N/A</v>
      </c>
      <c r="AI2841" s="3" t="str">
        <f>IFERROR(__xludf.DUMMYFUNCTION("""COMPUTED_VALUE"""),"Out of warranty")</f>
        <v>Out of warranty</v>
      </c>
      <c r="AJ2841" s="3">
        <f>IFERROR(__xludf.DUMMYFUNCTION("""COMPUTED_VALUE"""),47.0)</f>
        <v>47</v>
      </c>
      <c r="AK2841" s="3"/>
      <c r="AL2841" s="3"/>
    </row>
    <row r="2842" ht="15.75" customHeight="1">
      <c r="A2842" s="1" t="str">
        <f>IFERROR(__xludf.DUMMYFUNCTION("""COMPUTED_VALUE"""),"83696")</f>
        <v>83696</v>
      </c>
      <c r="B2842" s="2">
        <f>IFERROR(__xludf.DUMMYFUNCTION("""COMPUTED_VALUE"""),83696.0)</f>
        <v>83696</v>
      </c>
      <c r="C2842" s="3" t="str">
        <f>IFERROR(__xludf.DUMMYFUNCTION("""COMPUTED_VALUE"""),"ร้านBIG Me 999 (ธนาศักดิ์)")</f>
        <v>ร้านBIG Me 999 (ธนาศักดิ์)</v>
      </c>
      <c r="D2842" s="3" t="str">
        <f>IFERROR(__xludf.DUMMYFUNCTION("""COMPUTED_VALUE"""),"ร้านBIG Me 999 (ธนาศักดิ์)")</f>
        <v>ร้านBIG Me 999 (ธนาศักดิ์)</v>
      </c>
      <c r="E2842" s="1" t="str">
        <f>IFERROR(__xludf.DUMMYFUNCTION("""COMPUTED_VALUE"""),"Donjai")</f>
        <v>Donjai</v>
      </c>
      <c r="F2842" s="1" t="str">
        <f>IFERROR(__xludf.DUMMYFUNCTION("""COMPUTED_VALUE"""),"296945")</f>
        <v>296945</v>
      </c>
      <c r="G2842" s="1" t="str">
        <f>IFERROR(__xludf.DUMMYFUNCTION("""COMPUTED_VALUE"""),"นายรักพงศ์ พงศ์พันธ์งาม")</f>
        <v>นายรักพงศ์ พงศ์พันธ์งาม</v>
      </c>
      <c r="H2842" s="1" t="str">
        <f>IFERROR(__xludf.DUMMYFUNCTION("""COMPUTED_VALUE"""),"296945")</f>
        <v>296945</v>
      </c>
      <c r="I2842" s="1" t="str">
        <f>IFERROR(__xludf.DUMMYFUNCTION("""COMPUTED_VALUE"""),"นายรักพงศ์ พงศ์พันธ์งาม")</f>
        <v>นายรักพงศ์ พงศ์พันธ์งาม</v>
      </c>
      <c r="J2842" s="3">
        <f>IFERROR(__xludf.DUMMYFUNCTION("""COMPUTED_VALUE"""),228031.0)</f>
        <v>228031</v>
      </c>
      <c r="K2842" s="3" t="str">
        <f>IFERROR(__xludf.DUMMYFUNCTION("""COMPUTED_VALUE"""),"นายธนพงษ์ วันหมัด")</f>
        <v>นายธนพงษ์ วันหมัด</v>
      </c>
      <c r="L2842" s="1" t="str">
        <f>IFERROR(__xludf.DUMMYFUNCTION("""COMPUTED_VALUE"""),"นายธนพงษ์ วันหมัด")</f>
        <v>นายธนพงษ์ วันหมัด</v>
      </c>
      <c r="M2842" s="1" t="str">
        <f>IFERROR(__xludf.DUMMYFUNCTION("""COMPUTED_VALUE"""),"0813716913")</f>
        <v>0813716913</v>
      </c>
      <c r="N2842" s="3">
        <f>IFERROR(__xludf.DUMMYFUNCTION("""COMPUTED_VALUE"""),83696.0)</f>
        <v>83696</v>
      </c>
      <c r="O2842" s="3" t="str">
        <f>IFERROR(__xludf.DUMMYFUNCTION("""COMPUTED_VALUE"""),"ร้านBIG Me 999 (ธนาศักดิ์)")</f>
        <v>ร้านBIG Me 999 (ธนาศักดิ์)</v>
      </c>
      <c r="P2842" s="4">
        <f>IFERROR(__xludf.DUMMYFUNCTION("""COMPUTED_VALUE"""),44964.0)</f>
        <v>44964</v>
      </c>
      <c r="Q2842" s="3" t="str">
        <f>IFERROR(__xludf.DUMMYFUNCTION("""COMPUTED_VALUE"""),"I")</f>
        <v>I</v>
      </c>
      <c r="R2842" s="3" t="str">
        <f>IFERROR(__xludf.DUMMYFUNCTION("""COMPUTED_VALUE"""),"Small Format")</f>
        <v>Small Format</v>
      </c>
      <c r="S2842" s="3" t="str">
        <f>IFERROR(__xludf.DUMMYFUNCTION("""COMPUTED_VALUE"""),"Donjai")</f>
        <v>Donjai</v>
      </c>
      <c r="T2842" s="3">
        <f>IFERROR(__xludf.DUMMYFUNCTION("""COMPUTED_VALUE"""),0.0)</f>
        <v>0</v>
      </c>
      <c r="U2842" s="3">
        <f>IFERROR(__xludf.DUMMYFUNCTION("""COMPUTED_VALUE"""),0.0)</f>
        <v>0</v>
      </c>
      <c r="V2842" s="3" t="str">
        <f>IFERROR(__xludf.DUMMYFUNCTION("""COMPUTED_VALUE"""),"N")</f>
        <v>N</v>
      </c>
      <c r="W2842" s="3"/>
      <c r="X2842" s="3" t="str">
        <f>IFERROR(__xludf.DUMMYFUNCTION("""COMPUTED_VALUE"""),"265/5 หมู่ที่ 4 ตำบล เทพนิมิตร อำเภอ โป่งน้ำร้อน จังหวัด จันทบุรี รหัสไปรษณีย์ 22140")</f>
        <v>265/5 หมู่ที่ 4 ตำบล เทพนิมิตร อำเภอ โป่งน้ำร้อน จังหวัด จันทบุรี รหัสไปรษณีย์ 22140</v>
      </c>
      <c r="Y2842" s="3"/>
      <c r="Z2842" s="3">
        <f>IFERROR(__xludf.DUMMYFUNCTION("""COMPUTED_VALUE"""),0.0)</f>
        <v>0</v>
      </c>
      <c r="AA2842" s="3">
        <f>IFERROR(__xludf.DUMMYFUNCTION("""COMPUTED_VALUE"""),0.0)</f>
        <v>0</v>
      </c>
      <c r="AB2842" s="3" t="str">
        <f>IFERROR(__xludf.DUMMYFUNCTION("""COMPUTED_VALUE"""),"จันทบุรี")</f>
        <v>จันทบุรี</v>
      </c>
      <c r="AC2842" s="3">
        <f>IFERROR(__xludf.DUMMYFUNCTION("""COMPUTED_VALUE"""),22140.0)</f>
        <v>22140</v>
      </c>
      <c r="AD2842" s="3"/>
      <c r="AE2842" s="3"/>
      <c r="AF2842" s="3" t="str">
        <f>IFERROR(__xludf.DUMMYFUNCTION("""COMPUTED_VALUE"""),"ร้านBIG Me 999 (ธนาศักดิ์)-83696")</f>
        <v>ร้านBIG Me 999 (ธนาศักดิ์)-83696</v>
      </c>
      <c r="AG2842" s="3" t="str">
        <f>IFERROR(__xludf.DUMMYFUNCTION("""COMPUTED_VALUE"""),"ตะวันออก")</f>
        <v>ตะวันออก</v>
      </c>
      <c r="AH2842" s="3" t="str">
        <f>IFERROR(__xludf.DUMMYFUNCTION("""COMPUTED_VALUE"""),"#N/A")</f>
        <v>#N/A</v>
      </c>
      <c r="AI2842" s="3" t="str">
        <f>IFERROR(__xludf.DUMMYFUNCTION("""COMPUTED_VALUE"""),"Out of warranty")</f>
        <v>Out of warranty</v>
      </c>
      <c r="AJ2842" s="3">
        <f>IFERROR(__xludf.DUMMYFUNCTION("""COMPUTED_VALUE"""),36.0)</f>
        <v>36</v>
      </c>
      <c r="AK2842" s="3"/>
      <c r="AL2842" s="3"/>
    </row>
    <row r="2843" ht="15.75" customHeight="1">
      <c r="A2843" s="1" t="str">
        <f>IFERROR(__xludf.DUMMYFUNCTION("""COMPUTED_VALUE"""),"83697")</f>
        <v>83697</v>
      </c>
      <c r="B2843" s="2">
        <f>IFERROR(__xludf.DUMMYFUNCTION("""COMPUTED_VALUE"""),83697.0)</f>
        <v>83697</v>
      </c>
      <c r="C2843" s="3" t="str">
        <f>IFERROR(__xludf.DUMMYFUNCTION("""COMPUTED_VALUE"""),"ร้านวาสนา")</f>
        <v>ร้านวาสนา</v>
      </c>
      <c r="D2843" s="3" t="str">
        <f>IFERROR(__xludf.DUMMYFUNCTION("""COMPUTED_VALUE"""),"ร้านวาสนา")</f>
        <v>ร้านวาสนา</v>
      </c>
      <c r="E2843" s="1" t="str">
        <f>IFERROR(__xludf.DUMMYFUNCTION("""COMPUTED_VALUE"""),"Donjai")</f>
        <v>Donjai</v>
      </c>
      <c r="F2843" s="1" t="str">
        <f>IFERROR(__xludf.DUMMYFUNCTION("""COMPUTED_VALUE"""),"2010016")</f>
        <v>2010016</v>
      </c>
      <c r="G2843" s="1" t="str">
        <f>IFERROR(__xludf.DUMMYFUNCTION("""COMPUTED_VALUE"""),"นายตวงธรรม ใหม่ยศ")</f>
        <v>นายตวงธรรม ใหม่ยศ</v>
      </c>
      <c r="H2843" s="1" t="str">
        <f>IFERROR(__xludf.DUMMYFUNCTION("""COMPUTED_VALUE"""),"2010016")</f>
        <v>2010016</v>
      </c>
      <c r="I2843" s="1" t="str">
        <f>IFERROR(__xludf.DUMMYFUNCTION("""COMPUTED_VALUE"""),"นายตวงธรรม ใหม่ยศ")</f>
        <v>นายตวงธรรม ใหม่ยศ</v>
      </c>
      <c r="J2843" s="3">
        <f>IFERROR(__xludf.DUMMYFUNCTION("""COMPUTED_VALUE"""),295886.0)</f>
        <v>295886</v>
      </c>
      <c r="K2843" s="3" t="str">
        <f>IFERROR(__xludf.DUMMYFUNCTION("""COMPUTED_VALUE"""),"นายจิระพงษ์ โพธิ์นิล")</f>
        <v>นายจิระพงษ์ โพธิ์นิล</v>
      </c>
      <c r="L2843" s="1" t="str">
        <f>IFERROR(__xludf.DUMMYFUNCTION("""COMPUTED_VALUE"""),"นายจิระพงษ์ โพธิ์นิล")</f>
        <v>นายจิระพงษ์ โพธิ์นิล</v>
      </c>
      <c r="M2843" s="1" t="str">
        <f>IFERROR(__xludf.DUMMYFUNCTION("""COMPUTED_VALUE"""),"0933290754")</f>
        <v>0933290754</v>
      </c>
      <c r="N2843" s="3">
        <f>IFERROR(__xludf.DUMMYFUNCTION("""COMPUTED_VALUE"""),83697.0)</f>
        <v>83697</v>
      </c>
      <c r="O2843" s="3" t="str">
        <f>IFERROR(__xludf.DUMMYFUNCTION("""COMPUTED_VALUE"""),"ร้านวาสนา")</f>
        <v>ร้านวาสนา</v>
      </c>
      <c r="P2843" s="4">
        <f>IFERROR(__xludf.DUMMYFUNCTION("""COMPUTED_VALUE"""),44637.0)</f>
        <v>44637</v>
      </c>
      <c r="Q2843" s="3" t="str">
        <f>IFERROR(__xludf.DUMMYFUNCTION("""COMPUTED_VALUE"""),"A")</f>
        <v>A</v>
      </c>
      <c r="R2843" s="3" t="str">
        <f>IFERROR(__xludf.DUMMYFUNCTION("""COMPUTED_VALUE"""),"Small Format")</f>
        <v>Small Format</v>
      </c>
      <c r="S2843" s="3" t="str">
        <f>IFERROR(__xludf.DUMMYFUNCTION("""COMPUTED_VALUE"""),"Donjai")</f>
        <v>Donjai</v>
      </c>
      <c r="T2843" s="3" t="str">
        <f>IFERROR(__xludf.DUMMYFUNCTION("""COMPUTED_VALUE"""),"01 K.Tuangtham M.")</f>
        <v>01 K.Tuangtham M.</v>
      </c>
      <c r="U2843" s="3" t="str">
        <f>IFERROR(__xludf.DUMMYFUNCTION("""COMPUTED_VALUE"""),"01 K.Tuangtham M.")</f>
        <v>01 K.Tuangtham M.</v>
      </c>
      <c r="V2843" s="3" t="str">
        <f>IFERROR(__xludf.DUMMYFUNCTION("""COMPUTED_VALUE"""),"N")</f>
        <v>N</v>
      </c>
      <c r="W2843" s="3"/>
      <c r="X2843" s="3" t="str">
        <f>IFERROR(__xludf.DUMMYFUNCTION("""COMPUTED_VALUE"""),"200/5 หมู่ 4 ต.ดอนแก้ว อ.แม่ริม จ.เชียงใหม่")</f>
        <v>200/5 หมู่ 4 ต.ดอนแก้ว อ.แม่ริม จ.เชียงใหม่</v>
      </c>
      <c r="Y2843" s="3"/>
      <c r="Z2843" s="3" t="str">
        <f>IFERROR(__xludf.DUMMYFUNCTION("""COMPUTED_VALUE"""),"ดอนแก้ว")</f>
        <v>ดอนแก้ว</v>
      </c>
      <c r="AA2843" s="3" t="str">
        <f>IFERROR(__xludf.DUMMYFUNCTION("""COMPUTED_VALUE"""),"แม่ริม")</f>
        <v>แม่ริม</v>
      </c>
      <c r="AB2843" s="3" t="str">
        <f>IFERROR(__xludf.DUMMYFUNCTION("""COMPUTED_VALUE"""),"เชียงใหม่")</f>
        <v>เชียงใหม่</v>
      </c>
      <c r="AC2843" s="3">
        <f>IFERROR(__xludf.DUMMYFUNCTION("""COMPUTED_VALUE"""),0.0)</f>
        <v>0</v>
      </c>
      <c r="AD2843" s="3"/>
      <c r="AE2843" s="3"/>
      <c r="AF2843" s="3" t="str">
        <f>IFERROR(__xludf.DUMMYFUNCTION("""COMPUTED_VALUE"""),"ร้านวาสนา-83697")</f>
        <v>ร้านวาสนา-83697</v>
      </c>
      <c r="AG2843" s="3" t="str">
        <f>IFERROR(__xludf.DUMMYFUNCTION("""COMPUTED_VALUE"""),"เหนือ")</f>
        <v>เหนือ</v>
      </c>
      <c r="AH2843" s="3" t="str">
        <f>IFERROR(__xludf.DUMMYFUNCTION("""COMPUTED_VALUE"""),"#N/A")</f>
        <v>#N/A</v>
      </c>
      <c r="AI2843" s="3" t="str">
        <f>IFERROR(__xludf.DUMMYFUNCTION("""COMPUTED_VALUE"""),"Out of warranty")</f>
        <v>Out of warranty</v>
      </c>
      <c r="AJ2843" s="3">
        <f>IFERROR(__xludf.DUMMYFUNCTION("""COMPUTED_VALUE"""),47.0)</f>
        <v>47</v>
      </c>
      <c r="AK2843" s="3"/>
      <c r="AL2843" s="3"/>
    </row>
    <row r="2844" ht="15.75" customHeight="1">
      <c r="A2844" s="1" t="str">
        <f>IFERROR(__xludf.DUMMYFUNCTION("""COMPUTED_VALUE"""),"83698")</f>
        <v>83698</v>
      </c>
      <c r="B2844" s="2">
        <f>IFERROR(__xludf.DUMMYFUNCTION("""COMPUTED_VALUE"""),83698.0)</f>
        <v>83698</v>
      </c>
      <c r="C2844" s="3" t="str">
        <f>IFERROR(__xludf.DUMMYFUNCTION("""COMPUTED_VALUE"""),"ยิ่งเจริญการค้า")</f>
        <v>ยิ่งเจริญการค้า</v>
      </c>
      <c r="D2844" s="3" t="str">
        <f>IFERROR(__xludf.DUMMYFUNCTION("""COMPUTED_VALUE"""),"ยิ่งเจริญการค้า")</f>
        <v>ยิ่งเจริญการค้า</v>
      </c>
      <c r="E2844" s="1" t="str">
        <f>IFERROR(__xludf.DUMMYFUNCTION("""COMPUTED_VALUE"""),"Donjai")</f>
        <v>Donjai</v>
      </c>
      <c r="F2844" s="1" t="str">
        <f>IFERROR(__xludf.DUMMYFUNCTION("""COMPUTED_VALUE"""),"025324")</f>
        <v>025324</v>
      </c>
      <c r="G2844" s="1" t="str">
        <f>IFERROR(__xludf.DUMMYFUNCTION("""COMPUTED_VALUE"""),"นายวิเชฎฐ์ ติรัตนะประคม")</f>
        <v>นายวิเชฎฐ์ ติรัตนะประคม</v>
      </c>
      <c r="H2844" s="1" t="str">
        <f>IFERROR(__xludf.DUMMYFUNCTION("""COMPUTED_VALUE"""),"025324")</f>
        <v>025324</v>
      </c>
      <c r="I2844" s="1" t="str">
        <f>IFERROR(__xludf.DUMMYFUNCTION("""COMPUTED_VALUE"""),"นายวิเชฎฐ์ ติรัตนะประคม")</f>
        <v>นายวิเชฎฐ์ ติรัตนะประคม</v>
      </c>
      <c r="J2844" s="3">
        <f>IFERROR(__xludf.DUMMYFUNCTION("""COMPUTED_VALUE"""),295541.0)</f>
        <v>295541</v>
      </c>
      <c r="K2844" s="3" t="str">
        <f>IFERROR(__xludf.DUMMYFUNCTION("""COMPUTED_VALUE"""),"นายรพิพล ศรีมาตย์")</f>
        <v>นายรพิพล ศรีมาตย์</v>
      </c>
      <c r="L2844" s="1" t="str">
        <f>IFERROR(__xludf.DUMMYFUNCTION("""COMPUTED_VALUE"""),"นายรพิพล ศรีมาตย์")</f>
        <v>นายรพิพล ศรีมาตย์</v>
      </c>
      <c r="M2844" s="1" t="str">
        <f>IFERROR(__xludf.DUMMYFUNCTION("""COMPUTED_VALUE"""),"0613966115")</f>
        <v>0613966115</v>
      </c>
      <c r="N2844" s="3">
        <f>IFERROR(__xludf.DUMMYFUNCTION("""COMPUTED_VALUE"""),83698.0)</f>
        <v>83698</v>
      </c>
      <c r="O2844" s="3" t="str">
        <f>IFERROR(__xludf.DUMMYFUNCTION("""COMPUTED_VALUE"""),"ยิ่งเจริญการค้า")</f>
        <v>ยิ่งเจริญการค้า</v>
      </c>
      <c r="P2844" s="4">
        <f>IFERROR(__xludf.DUMMYFUNCTION("""COMPUTED_VALUE"""),44643.0)</f>
        <v>44643</v>
      </c>
      <c r="Q2844" s="3" t="str">
        <f>IFERROR(__xludf.DUMMYFUNCTION("""COMPUTED_VALUE"""),"I")</f>
        <v>I</v>
      </c>
      <c r="R2844" s="3" t="str">
        <f>IFERROR(__xludf.DUMMYFUNCTION("""COMPUTED_VALUE"""),"Small Format")</f>
        <v>Small Format</v>
      </c>
      <c r="S2844" s="3" t="str">
        <f>IFERROR(__xludf.DUMMYFUNCTION("""COMPUTED_VALUE"""),"Donjai")</f>
        <v>Donjai</v>
      </c>
      <c r="T2844" s="3" t="str">
        <f>IFERROR(__xludf.DUMMYFUNCTION("""COMPUTED_VALUE"""),"14 K.Wichet T.")</f>
        <v>14 K.Wichet T.</v>
      </c>
      <c r="U2844" s="3" t="str">
        <f>IFERROR(__xludf.DUMMYFUNCTION("""COMPUTED_VALUE"""),"14 K.Wichet T.")</f>
        <v>14 K.Wichet T.</v>
      </c>
      <c r="V2844" s="3" t="str">
        <f>IFERROR(__xludf.DUMMYFUNCTION("""COMPUTED_VALUE"""),"N")</f>
        <v>N</v>
      </c>
      <c r="W2844" s="3"/>
      <c r="X2844" s="3" t="str">
        <f>IFERROR(__xludf.DUMMYFUNCTION("""COMPUTED_VALUE"""),"32/7 ม.7 ต.ทุ่งเตาใหม่ อ.บ้านนาสาร จ.สุราษฎร์ธานี")</f>
        <v>32/7 ม.7 ต.ทุ่งเตาใหม่ อ.บ้านนาสาร จ.สุราษฎร์ธานี</v>
      </c>
      <c r="Y2844" s="3"/>
      <c r="Z2844" s="3">
        <f>IFERROR(__xludf.DUMMYFUNCTION("""COMPUTED_VALUE"""),0.0)</f>
        <v>0</v>
      </c>
      <c r="AA2844" s="3">
        <f>IFERROR(__xludf.DUMMYFUNCTION("""COMPUTED_VALUE"""),0.0)</f>
        <v>0</v>
      </c>
      <c r="AB2844" s="3" t="str">
        <f>IFERROR(__xludf.DUMMYFUNCTION("""COMPUTED_VALUE"""),"สุราษฎร์ธานี")</f>
        <v>สุราษฎร์ธานี</v>
      </c>
      <c r="AC2844" s="3">
        <f>IFERROR(__xludf.DUMMYFUNCTION("""COMPUTED_VALUE"""),0.0)</f>
        <v>0</v>
      </c>
      <c r="AD2844" s="3"/>
      <c r="AE2844" s="3"/>
      <c r="AF2844" s="3" t="str">
        <f>IFERROR(__xludf.DUMMYFUNCTION("""COMPUTED_VALUE"""),"ยิ่งเจริญการค้า-83698")</f>
        <v>ยิ่งเจริญการค้า-83698</v>
      </c>
      <c r="AG2844" s="3" t="str">
        <f>IFERROR(__xludf.DUMMYFUNCTION("""COMPUTED_VALUE"""),"ใต้")</f>
        <v>ใต้</v>
      </c>
      <c r="AH2844" s="3" t="str">
        <f>IFERROR(__xludf.DUMMYFUNCTION("""COMPUTED_VALUE"""),"#N/A")</f>
        <v>#N/A</v>
      </c>
      <c r="AI2844" s="3" t="str">
        <f>IFERROR(__xludf.DUMMYFUNCTION("""COMPUTED_VALUE"""),"Out of warranty")</f>
        <v>Out of warranty</v>
      </c>
      <c r="AJ2844" s="3">
        <f>IFERROR(__xludf.DUMMYFUNCTION("""COMPUTED_VALUE"""),46.0)</f>
        <v>46</v>
      </c>
      <c r="AK2844" s="3"/>
      <c r="AL2844" s="3"/>
    </row>
    <row r="2845" ht="15.75" customHeight="1">
      <c r="A2845" s="1" t="str">
        <f>IFERROR(__xludf.DUMMYFUNCTION("""COMPUTED_VALUE"""),"83699")</f>
        <v>83699</v>
      </c>
      <c r="B2845" s="2">
        <f>IFERROR(__xludf.DUMMYFUNCTION("""COMPUTED_VALUE"""),83699.0)</f>
        <v>83699</v>
      </c>
      <c r="C2845" s="3" t="str">
        <f>IFERROR(__xludf.DUMMYFUNCTION("""COMPUTED_VALUE"""),"ร้านพิพัฒน์การค้า")</f>
        <v>ร้านพิพัฒน์การค้า</v>
      </c>
      <c r="D2845" s="3" t="str">
        <f>IFERROR(__xludf.DUMMYFUNCTION("""COMPUTED_VALUE"""),"ร้านพิพัฒน์การค้า")</f>
        <v>ร้านพิพัฒน์การค้า</v>
      </c>
      <c r="E2845" s="1" t="str">
        <f>IFERROR(__xludf.DUMMYFUNCTION("""COMPUTED_VALUE"""),"Donjai")</f>
        <v>Donjai</v>
      </c>
      <c r="F2845" s="1" t="str">
        <f>IFERROR(__xludf.DUMMYFUNCTION("""COMPUTED_VALUE"""),"20470331")</f>
        <v>20470331</v>
      </c>
      <c r="G2845" s="1" t="str">
        <f>IFERROR(__xludf.DUMMYFUNCTION("""COMPUTED_VALUE"""),"นายสมชาย ลักษณะสุวรรณ")</f>
        <v>นายสมชาย ลักษณะสุวรรณ</v>
      </c>
      <c r="H2845" s="1" t="str">
        <f>IFERROR(__xludf.DUMMYFUNCTION("""COMPUTED_VALUE"""),"20470331")</f>
        <v>20470331</v>
      </c>
      <c r="I2845" s="1" t="str">
        <f>IFERROR(__xludf.DUMMYFUNCTION("""COMPUTED_VALUE"""),"นายสมชาย ลักษณะสุวรรณ")</f>
        <v>นายสมชาย ลักษณะสุวรรณ</v>
      </c>
      <c r="J2845" s="3">
        <f>IFERROR(__xludf.DUMMYFUNCTION("""COMPUTED_VALUE"""),295541.0)</f>
        <v>295541</v>
      </c>
      <c r="K2845" s="3" t="str">
        <f>IFERROR(__xludf.DUMMYFUNCTION("""COMPUTED_VALUE"""),"นายรพิพล ศรีมาตย์")</f>
        <v>นายรพิพล ศรีมาตย์</v>
      </c>
      <c r="L2845" s="1" t="str">
        <f>IFERROR(__xludf.DUMMYFUNCTION("""COMPUTED_VALUE"""),"นายรพิพล ศรีมาตย์")</f>
        <v>นายรพิพล ศรีมาตย์</v>
      </c>
      <c r="M2845" s="1" t="str">
        <f>IFERROR(__xludf.DUMMYFUNCTION("""COMPUTED_VALUE"""),"0613966115")</f>
        <v>0613966115</v>
      </c>
      <c r="N2845" s="3">
        <f>IFERROR(__xludf.DUMMYFUNCTION("""COMPUTED_VALUE"""),83699.0)</f>
        <v>83699</v>
      </c>
      <c r="O2845" s="3" t="str">
        <f>IFERROR(__xludf.DUMMYFUNCTION("""COMPUTED_VALUE"""),"ร้านพิพัฒน์การค้า")</f>
        <v>ร้านพิพัฒน์การค้า</v>
      </c>
      <c r="P2845" s="4">
        <f>IFERROR(__xludf.DUMMYFUNCTION("""COMPUTED_VALUE"""),44845.0)</f>
        <v>44845</v>
      </c>
      <c r="Q2845" s="3" t="str">
        <f>IFERROR(__xludf.DUMMYFUNCTION("""COMPUTED_VALUE"""),"I")</f>
        <v>I</v>
      </c>
      <c r="R2845" s="3" t="str">
        <f>IFERROR(__xludf.DUMMYFUNCTION("""COMPUTED_VALUE"""),"Small Format")</f>
        <v>Small Format</v>
      </c>
      <c r="S2845" s="3" t="str">
        <f>IFERROR(__xludf.DUMMYFUNCTION("""COMPUTED_VALUE"""),"Donjai")</f>
        <v>Donjai</v>
      </c>
      <c r="T2845" s="3" t="str">
        <f>IFERROR(__xludf.DUMMYFUNCTION("""COMPUTED_VALUE"""),"15 K.Somchai L")</f>
        <v>15 K.Somchai L</v>
      </c>
      <c r="U2845" s="3" t="str">
        <f>IFERROR(__xludf.DUMMYFUNCTION("""COMPUTED_VALUE"""),"15 K.Somchai L")</f>
        <v>15 K.Somchai L</v>
      </c>
      <c r="V2845" s="3" t="str">
        <f>IFERROR(__xludf.DUMMYFUNCTION("""COMPUTED_VALUE"""),"N")</f>
        <v>N</v>
      </c>
      <c r="W2845" s="3"/>
      <c r="X2845" s="3" t="str">
        <f>IFERROR(__xludf.DUMMYFUNCTION("""COMPUTED_VALUE"""),"65/1 ม.3 ต.ทุ่งสง อ.นาบอน นครศรีธรรมราช")</f>
        <v>65/1 ม.3 ต.ทุ่งสง อ.นาบอน นครศรีธรรมราช</v>
      </c>
      <c r="Y2845" s="3"/>
      <c r="Z2845" s="3">
        <f>IFERROR(__xludf.DUMMYFUNCTION("""COMPUTED_VALUE"""),0.0)</f>
        <v>0</v>
      </c>
      <c r="AA2845" s="3">
        <f>IFERROR(__xludf.DUMMYFUNCTION("""COMPUTED_VALUE"""),0.0)</f>
        <v>0</v>
      </c>
      <c r="AB2845" s="3" t="str">
        <f>IFERROR(__xludf.DUMMYFUNCTION("""COMPUTED_VALUE"""),"นครศรีธรรมราช")</f>
        <v>นครศรีธรรมราช</v>
      </c>
      <c r="AC2845" s="3">
        <f>IFERROR(__xludf.DUMMYFUNCTION("""COMPUTED_VALUE"""),0.0)</f>
        <v>0</v>
      </c>
      <c r="AD2845" s="3"/>
      <c r="AE2845" s="3"/>
      <c r="AF2845" s="3" t="str">
        <f>IFERROR(__xludf.DUMMYFUNCTION("""COMPUTED_VALUE"""),"ร้านพิพัฒน์การค้า-83699")</f>
        <v>ร้านพิพัฒน์การค้า-83699</v>
      </c>
      <c r="AG2845" s="3" t="str">
        <f>IFERROR(__xludf.DUMMYFUNCTION("""COMPUTED_VALUE"""),"ใต้")</f>
        <v>ใต้</v>
      </c>
      <c r="AH2845" s="3" t="str">
        <f>IFERROR(__xludf.DUMMYFUNCTION("""COMPUTED_VALUE"""),"#N/A")</f>
        <v>#N/A</v>
      </c>
      <c r="AI2845" s="3" t="str">
        <f>IFERROR(__xludf.DUMMYFUNCTION("""COMPUTED_VALUE"""),"Out of warranty")</f>
        <v>Out of warranty</v>
      </c>
      <c r="AJ2845" s="3">
        <f>IFERROR(__xludf.DUMMYFUNCTION("""COMPUTED_VALUE"""),40.0)</f>
        <v>40</v>
      </c>
      <c r="AK2845" s="3"/>
      <c r="AL2845" s="3"/>
    </row>
    <row r="2846" ht="15.75" customHeight="1">
      <c r="A2846" s="1" t="str">
        <f>IFERROR(__xludf.DUMMYFUNCTION("""COMPUTED_VALUE"""),"83700")</f>
        <v>83700</v>
      </c>
      <c r="B2846" s="2">
        <f>IFERROR(__xludf.DUMMYFUNCTION("""COMPUTED_VALUE"""),83700.0)</f>
        <v>83700</v>
      </c>
      <c r="C2846" s="3" t="str">
        <f>IFERROR(__xludf.DUMMYFUNCTION("""COMPUTED_VALUE"""),"ร้านจูมาร์ท")</f>
        <v>ร้านจูมาร์ท</v>
      </c>
      <c r="D2846" s="3" t="str">
        <f>IFERROR(__xludf.DUMMYFUNCTION("""COMPUTED_VALUE"""),"ร้านจูมาร์ท")</f>
        <v>ร้านจูมาร์ท</v>
      </c>
      <c r="E2846" s="1" t="str">
        <f>IFERROR(__xludf.DUMMYFUNCTION("""COMPUTED_VALUE"""),"Donjai")</f>
        <v>Donjai</v>
      </c>
      <c r="F2846" s="1" t="str">
        <f>IFERROR(__xludf.DUMMYFUNCTION("""COMPUTED_VALUE"""),"025324")</f>
        <v>025324</v>
      </c>
      <c r="G2846" s="1" t="str">
        <f>IFERROR(__xludf.DUMMYFUNCTION("""COMPUTED_VALUE"""),"นายวิเชฎฐ์ ติรัตนะประคม")</f>
        <v>นายวิเชฎฐ์ ติรัตนะประคม</v>
      </c>
      <c r="H2846" s="1" t="str">
        <f>IFERROR(__xludf.DUMMYFUNCTION("""COMPUTED_VALUE"""),"025324")</f>
        <v>025324</v>
      </c>
      <c r="I2846" s="1" t="str">
        <f>IFERROR(__xludf.DUMMYFUNCTION("""COMPUTED_VALUE"""),"นายวิเชฎฐ์ ติรัตนะประคม")</f>
        <v>นายวิเชฎฐ์ ติรัตนะประคม</v>
      </c>
      <c r="J2846" s="3">
        <f>IFERROR(__xludf.DUMMYFUNCTION("""COMPUTED_VALUE"""),295541.0)</f>
        <v>295541</v>
      </c>
      <c r="K2846" s="3" t="str">
        <f>IFERROR(__xludf.DUMMYFUNCTION("""COMPUTED_VALUE"""),"นายรพิพล ศรีมาตย์")</f>
        <v>นายรพิพล ศรีมาตย์</v>
      </c>
      <c r="L2846" s="1" t="str">
        <f>IFERROR(__xludf.DUMMYFUNCTION("""COMPUTED_VALUE"""),"นายรพิพล ศรีมาตย์")</f>
        <v>นายรพิพล ศรีมาตย์</v>
      </c>
      <c r="M2846" s="1" t="str">
        <f>IFERROR(__xludf.DUMMYFUNCTION("""COMPUTED_VALUE"""),"0613966115")</f>
        <v>0613966115</v>
      </c>
      <c r="N2846" s="3">
        <f>IFERROR(__xludf.DUMMYFUNCTION("""COMPUTED_VALUE"""),83700.0)</f>
        <v>83700</v>
      </c>
      <c r="O2846" s="3" t="str">
        <f>IFERROR(__xludf.DUMMYFUNCTION("""COMPUTED_VALUE"""),"ร้านจูมาร์ท")</f>
        <v>ร้านจูมาร์ท</v>
      </c>
      <c r="P2846" s="4">
        <f>IFERROR(__xludf.DUMMYFUNCTION("""COMPUTED_VALUE"""),44647.0)</f>
        <v>44647</v>
      </c>
      <c r="Q2846" s="3" t="str">
        <f>IFERROR(__xludf.DUMMYFUNCTION("""COMPUTED_VALUE"""),"I")</f>
        <v>I</v>
      </c>
      <c r="R2846" s="3" t="str">
        <f>IFERROR(__xludf.DUMMYFUNCTION("""COMPUTED_VALUE"""),"Small Format")</f>
        <v>Small Format</v>
      </c>
      <c r="S2846" s="3" t="str">
        <f>IFERROR(__xludf.DUMMYFUNCTION("""COMPUTED_VALUE"""),"Donjai")</f>
        <v>Donjai</v>
      </c>
      <c r="T2846" s="3" t="str">
        <f>IFERROR(__xludf.DUMMYFUNCTION("""COMPUTED_VALUE"""),"14 K.Wichet T.")</f>
        <v>14 K.Wichet T.</v>
      </c>
      <c r="U2846" s="3" t="str">
        <f>IFERROR(__xludf.DUMMYFUNCTION("""COMPUTED_VALUE"""),"14 K.Wichet T.")</f>
        <v>14 K.Wichet T.</v>
      </c>
      <c r="V2846" s="3" t="str">
        <f>IFERROR(__xludf.DUMMYFUNCTION("""COMPUTED_VALUE"""),"N")</f>
        <v>N</v>
      </c>
      <c r="W2846" s="3"/>
      <c r="X2846" s="3" t="str">
        <f>IFERROR(__xludf.DUMMYFUNCTION("""COMPUTED_VALUE"""),"111/4 หมู่ 5 ต.สาคู อ.ถลาง จ.ภูเก็ต 81110")</f>
        <v>111/4 หมู่ 5 ต.สาคู อ.ถลาง จ.ภูเก็ต 81110</v>
      </c>
      <c r="Y2846" s="3"/>
      <c r="Z2846" s="3">
        <f>IFERROR(__xludf.DUMMYFUNCTION("""COMPUTED_VALUE"""),0.0)</f>
        <v>0</v>
      </c>
      <c r="AA2846" s="3">
        <f>IFERROR(__xludf.DUMMYFUNCTION("""COMPUTED_VALUE"""),0.0)</f>
        <v>0</v>
      </c>
      <c r="AB2846" s="3" t="str">
        <f>IFERROR(__xludf.DUMMYFUNCTION("""COMPUTED_VALUE"""),"ภูเก็ต")</f>
        <v>ภูเก็ต</v>
      </c>
      <c r="AC2846" s="3">
        <f>IFERROR(__xludf.DUMMYFUNCTION("""COMPUTED_VALUE"""),81110.0)</f>
        <v>81110</v>
      </c>
      <c r="AD2846" s="3"/>
      <c r="AE2846" s="3"/>
      <c r="AF2846" s="3" t="str">
        <f>IFERROR(__xludf.DUMMYFUNCTION("""COMPUTED_VALUE"""),"ร้านจูมาร์ท-83700")</f>
        <v>ร้านจูมาร์ท-83700</v>
      </c>
      <c r="AG2846" s="3" t="str">
        <f>IFERROR(__xludf.DUMMYFUNCTION("""COMPUTED_VALUE"""),"ใต้")</f>
        <v>ใต้</v>
      </c>
      <c r="AH2846" s="3" t="str">
        <f>IFERROR(__xludf.DUMMYFUNCTION("""COMPUTED_VALUE"""),"#N/A")</f>
        <v>#N/A</v>
      </c>
      <c r="AI2846" s="3" t="str">
        <f>IFERROR(__xludf.DUMMYFUNCTION("""COMPUTED_VALUE"""),"Out of warranty")</f>
        <v>Out of warranty</v>
      </c>
      <c r="AJ2846" s="3">
        <f>IFERROR(__xludf.DUMMYFUNCTION("""COMPUTED_VALUE"""),46.0)</f>
        <v>46</v>
      </c>
      <c r="AK2846" s="3"/>
      <c r="AL2846" s="3"/>
    </row>
    <row r="2847" ht="15.75" customHeight="1">
      <c r="A2847" s="1" t="str">
        <f>IFERROR(__xludf.DUMMYFUNCTION("""COMPUTED_VALUE"""),"83701")</f>
        <v>83701</v>
      </c>
      <c r="B2847" s="2">
        <f>IFERROR(__xludf.DUMMYFUNCTION("""COMPUTED_VALUE"""),83701.0)</f>
        <v>83701</v>
      </c>
      <c r="C2847" s="3" t="str">
        <f>IFERROR(__xludf.DUMMYFUNCTION("""COMPUTED_VALUE"""),"คุณยุ้ยการค้า (วันชัยพาณิชย์)")</f>
        <v>คุณยุ้ยการค้า (วันชัยพาณิชย์)</v>
      </c>
      <c r="D2847" s="3" t="str">
        <f>IFERROR(__xludf.DUMMYFUNCTION("""COMPUTED_VALUE"""),"คุณยุ้ยการค้า (วันชัยพาณิชย์)")</f>
        <v>คุณยุ้ยการค้า (วันชัยพาณิชย์)</v>
      </c>
      <c r="E2847" s="1" t="str">
        <f>IFERROR(__xludf.DUMMYFUNCTION("""COMPUTED_VALUE"""),"Donjai")</f>
        <v>Donjai</v>
      </c>
      <c r="F2847" s="1" t="str">
        <f>IFERROR(__xludf.DUMMYFUNCTION("""COMPUTED_VALUE"""),"2010023")</f>
        <v>2010023</v>
      </c>
      <c r="G2847" s="1" t="str">
        <f>IFERROR(__xludf.DUMMYFUNCTION("""COMPUTED_VALUE"""),"นายวศิน ไวยรูป")</f>
        <v>นายวศิน ไวยรูป</v>
      </c>
      <c r="H2847" s="1" t="str">
        <f>IFERROR(__xludf.DUMMYFUNCTION("""COMPUTED_VALUE"""),"2010023")</f>
        <v>2010023</v>
      </c>
      <c r="I2847" s="1" t="str">
        <f>IFERROR(__xludf.DUMMYFUNCTION("""COMPUTED_VALUE"""),"นายวศิน ไวยรูป")</f>
        <v>นายวศิน ไวยรูป</v>
      </c>
      <c r="J2847" s="3">
        <f>IFERROR(__xludf.DUMMYFUNCTION("""COMPUTED_VALUE"""),228031.0)</f>
        <v>228031</v>
      </c>
      <c r="K2847" s="3" t="str">
        <f>IFERROR(__xludf.DUMMYFUNCTION("""COMPUTED_VALUE"""),"นายธนพงษ์ วันหมัด")</f>
        <v>นายธนพงษ์ วันหมัด</v>
      </c>
      <c r="L2847" s="1" t="str">
        <f>IFERROR(__xludf.DUMMYFUNCTION("""COMPUTED_VALUE"""),"นายธนพงษ์ วันหมัด")</f>
        <v>นายธนพงษ์ วันหมัด</v>
      </c>
      <c r="M2847" s="1" t="str">
        <f>IFERROR(__xludf.DUMMYFUNCTION("""COMPUTED_VALUE"""),"0813716913")</f>
        <v>0813716913</v>
      </c>
      <c r="N2847" s="3">
        <f>IFERROR(__xludf.DUMMYFUNCTION("""COMPUTED_VALUE"""),83701.0)</f>
        <v>83701</v>
      </c>
      <c r="O2847" s="3" t="str">
        <f>IFERROR(__xludf.DUMMYFUNCTION("""COMPUTED_VALUE"""),"คุณยุ้ยการค้า (วันชัยพาณิชย์)")</f>
        <v>คุณยุ้ยการค้า (วันชัยพาณิชย์)</v>
      </c>
      <c r="P2847" s="4">
        <f>IFERROR(__xludf.DUMMYFUNCTION("""COMPUTED_VALUE"""),44659.0)</f>
        <v>44659</v>
      </c>
      <c r="Q2847" s="3" t="str">
        <f>IFERROR(__xludf.DUMMYFUNCTION("""COMPUTED_VALUE"""),"I")</f>
        <v>I</v>
      </c>
      <c r="R2847" s="3" t="str">
        <f>IFERROR(__xludf.DUMMYFUNCTION("""COMPUTED_VALUE"""),"Small Format")</f>
        <v>Small Format</v>
      </c>
      <c r="S2847" s="3" t="str">
        <f>IFERROR(__xludf.DUMMYFUNCTION("""COMPUTED_VALUE"""),"Donjai")</f>
        <v>Donjai</v>
      </c>
      <c r="T2847" s="3" t="str">
        <f>IFERROR(__xludf.DUMMYFUNCTION("""COMPUTED_VALUE"""),"Donjai")</f>
        <v>Donjai</v>
      </c>
      <c r="U2847" s="3" t="str">
        <f>IFERROR(__xludf.DUMMYFUNCTION("""COMPUTED_VALUE"""),"Donjai")</f>
        <v>Donjai</v>
      </c>
      <c r="V2847" s="3" t="str">
        <f>IFERROR(__xludf.DUMMYFUNCTION("""COMPUTED_VALUE"""),"N")</f>
        <v>N</v>
      </c>
      <c r="W2847" s="3"/>
      <c r="X2847" s="3" t="str">
        <f>IFERROR(__xludf.DUMMYFUNCTION("""COMPUTED_VALUE"""),"45/2​ หมู่2​ ถ.คลองเก้า​ แขวงคลองสิบ​ เขตหนองจอก​ กร")</f>
        <v>45/2​ หมู่2​ ถ.คลองเก้า​ แขวงคลองสิบ​ เขตหนองจอก​ กร</v>
      </c>
      <c r="Y2847" s="3"/>
      <c r="Z2847" s="3">
        <f>IFERROR(__xludf.DUMMYFUNCTION("""COMPUTED_VALUE"""),0.0)</f>
        <v>0</v>
      </c>
      <c r="AA2847" s="3">
        <f>IFERROR(__xludf.DUMMYFUNCTION("""COMPUTED_VALUE"""),0.0)</f>
        <v>0</v>
      </c>
      <c r="AB2847" s="3" t="str">
        <f>IFERROR(__xludf.DUMMYFUNCTION("""COMPUTED_VALUE"""),"ปทุมธานี")</f>
        <v>ปทุมธานี</v>
      </c>
      <c r="AC2847" s="3">
        <f>IFERROR(__xludf.DUMMYFUNCTION("""COMPUTED_VALUE"""),0.0)</f>
        <v>0</v>
      </c>
      <c r="AD2847" s="3"/>
      <c r="AE2847" s="3"/>
      <c r="AF2847" s="3" t="str">
        <f>IFERROR(__xludf.DUMMYFUNCTION("""COMPUTED_VALUE"""),"คุณยุ้ยการค้า (วันชัยพาณิชย์)-83701")</f>
        <v>คุณยุ้ยการค้า (วันชัยพาณิชย์)-83701</v>
      </c>
      <c r="AG2847" s="3" t="str">
        <f>IFERROR(__xludf.DUMMYFUNCTION("""COMPUTED_VALUE"""),"กลาง")</f>
        <v>กลาง</v>
      </c>
      <c r="AH2847" s="3" t="str">
        <f>IFERROR(__xludf.DUMMYFUNCTION("""COMPUTED_VALUE"""),"#N/A")</f>
        <v>#N/A</v>
      </c>
      <c r="AI2847" s="3" t="str">
        <f>IFERROR(__xludf.DUMMYFUNCTION("""COMPUTED_VALUE"""),"Out of warranty")</f>
        <v>Out of warranty</v>
      </c>
      <c r="AJ2847" s="3">
        <f>IFERROR(__xludf.DUMMYFUNCTION("""COMPUTED_VALUE"""),46.0)</f>
        <v>46</v>
      </c>
      <c r="AK2847" s="3"/>
      <c r="AL2847" s="3"/>
    </row>
    <row r="2848" ht="15.75" customHeight="1">
      <c r="A2848" s="1" t="str">
        <f>IFERROR(__xludf.DUMMYFUNCTION("""COMPUTED_VALUE"""),"83702")</f>
        <v>83702</v>
      </c>
      <c r="B2848" s="2">
        <f>IFERROR(__xludf.DUMMYFUNCTION("""COMPUTED_VALUE"""),83702.0)</f>
        <v>83702</v>
      </c>
      <c r="C2848" s="3" t="str">
        <f>IFERROR(__xludf.DUMMYFUNCTION("""COMPUTED_VALUE"""),"ร้านเป็นปลื้ม (น้องเป็นปลื้ม)")</f>
        <v>ร้านเป็นปลื้ม (น้องเป็นปลื้ม)</v>
      </c>
      <c r="D2848" s="3" t="str">
        <f>IFERROR(__xludf.DUMMYFUNCTION("""COMPUTED_VALUE"""),"ร้านเป็นปลื้ม (น้องเป็นปลื้ม)")</f>
        <v>ร้านเป็นปลื้ม (น้องเป็นปลื้ม)</v>
      </c>
      <c r="E2848" s="1" t="str">
        <f>IFERROR(__xludf.DUMMYFUNCTION("""COMPUTED_VALUE"""),"Donjai")</f>
        <v>Donjai</v>
      </c>
      <c r="F2848" s="1" t="str">
        <f>IFERROR(__xludf.DUMMYFUNCTION("""COMPUTED_VALUE"""),"2010016")</f>
        <v>2010016</v>
      </c>
      <c r="G2848" s="1" t="str">
        <f>IFERROR(__xludf.DUMMYFUNCTION("""COMPUTED_VALUE"""),"นายตวงธรรม ใหม่ยศ")</f>
        <v>นายตวงธรรม ใหม่ยศ</v>
      </c>
      <c r="H2848" s="1" t="str">
        <f>IFERROR(__xludf.DUMMYFUNCTION("""COMPUTED_VALUE"""),"2010016")</f>
        <v>2010016</v>
      </c>
      <c r="I2848" s="1" t="str">
        <f>IFERROR(__xludf.DUMMYFUNCTION("""COMPUTED_VALUE"""),"นายตวงธรรม ใหม่ยศ")</f>
        <v>นายตวงธรรม ใหม่ยศ</v>
      </c>
      <c r="J2848" s="3">
        <f>IFERROR(__xludf.DUMMYFUNCTION("""COMPUTED_VALUE"""),295886.0)</f>
        <v>295886</v>
      </c>
      <c r="K2848" s="3" t="str">
        <f>IFERROR(__xludf.DUMMYFUNCTION("""COMPUTED_VALUE"""),"นายจิระพงษ์ โพธิ์นิล")</f>
        <v>นายจิระพงษ์ โพธิ์นิล</v>
      </c>
      <c r="L2848" s="1" t="str">
        <f>IFERROR(__xludf.DUMMYFUNCTION("""COMPUTED_VALUE"""),"นายจิระพงษ์ โพธิ์นิล")</f>
        <v>นายจิระพงษ์ โพธิ์นิล</v>
      </c>
      <c r="M2848" s="1" t="str">
        <f>IFERROR(__xludf.DUMMYFUNCTION("""COMPUTED_VALUE"""),"0933290754")</f>
        <v>0933290754</v>
      </c>
      <c r="N2848" s="3">
        <f>IFERROR(__xludf.DUMMYFUNCTION("""COMPUTED_VALUE"""),83702.0)</f>
        <v>83702</v>
      </c>
      <c r="O2848" s="3" t="str">
        <f>IFERROR(__xludf.DUMMYFUNCTION("""COMPUTED_VALUE"""),"ร้านเป็นปลื้ม (น้องเป็นปลื้ม)")</f>
        <v>ร้านเป็นปลื้ม (น้องเป็นปลื้ม)</v>
      </c>
      <c r="P2848" s="4">
        <f>IFERROR(__xludf.DUMMYFUNCTION("""COMPUTED_VALUE"""),44693.0)</f>
        <v>44693</v>
      </c>
      <c r="Q2848" s="3" t="str">
        <f>IFERROR(__xludf.DUMMYFUNCTION("""COMPUTED_VALUE"""),"I")</f>
        <v>I</v>
      </c>
      <c r="R2848" s="3" t="str">
        <f>IFERROR(__xludf.DUMMYFUNCTION("""COMPUTED_VALUE"""),"Small Format")</f>
        <v>Small Format</v>
      </c>
      <c r="S2848" s="3" t="str">
        <f>IFERROR(__xludf.DUMMYFUNCTION("""COMPUTED_VALUE"""),"Donjai")</f>
        <v>Donjai</v>
      </c>
      <c r="T2848" s="3" t="str">
        <f>IFERROR(__xludf.DUMMYFUNCTION("""COMPUTED_VALUE"""),"01 K.Tuangtham M.")</f>
        <v>01 K.Tuangtham M.</v>
      </c>
      <c r="U2848" s="3" t="str">
        <f>IFERROR(__xludf.DUMMYFUNCTION("""COMPUTED_VALUE"""),"01 K.Tuangtham M.")</f>
        <v>01 K.Tuangtham M.</v>
      </c>
      <c r="V2848" s="3" t="str">
        <f>IFERROR(__xludf.DUMMYFUNCTION("""COMPUTED_VALUE"""),"N")</f>
        <v>N</v>
      </c>
      <c r="W2848" s="3"/>
      <c r="X2848" s="3" t="str">
        <f>IFERROR(__xludf.DUMMYFUNCTION("""COMPUTED_VALUE"""),"89 ม.9ต.บ้านตึก อ.ศรีสัชนาลัย จ.สุโขทัย")</f>
        <v>89 ม.9ต.บ้านตึก อ.ศรีสัชนาลัย จ.สุโขทัย</v>
      </c>
      <c r="Y2848" s="3"/>
      <c r="Z2848" s="3">
        <f>IFERROR(__xludf.DUMMYFUNCTION("""COMPUTED_VALUE"""),0.0)</f>
        <v>0</v>
      </c>
      <c r="AA2848" s="3">
        <f>IFERROR(__xludf.DUMMYFUNCTION("""COMPUTED_VALUE"""),0.0)</f>
        <v>0</v>
      </c>
      <c r="AB2848" s="3" t="str">
        <f>IFERROR(__xludf.DUMMYFUNCTION("""COMPUTED_VALUE"""),"สุโขทัย")</f>
        <v>สุโขทัย</v>
      </c>
      <c r="AC2848" s="3">
        <f>IFERROR(__xludf.DUMMYFUNCTION("""COMPUTED_VALUE"""),0.0)</f>
        <v>0</v>
      </c>
      <c r="AD2848" s="3"/>
      <c r="AE2848" s="3"/>
      <c r="AF2848" s="3" t="str">
        <f>IFERROR(__xludf.DUMMYFUNCTION("""COMPUTED_VALUE"""),"ร้านเป็นปลื้ม (น้องเป็นปลื้ม)-83702")</f>
        <v>ร้านเป็นปลื้ม (น้องเป็นปลื้ม)-83702</v>
      </c>
      <c r="AG2848" s="3" t="str">
        <f>IFERROR(__xludf.DUMMYFUNCTION("""COMPUTED_VALUE"""),"กลาง")</f>
        <v>กลาง</v>
      </c>
      <c r="AH2848" s="3" t="str">
        <f>IFERROR(__xludf.DUMMYFUNCTION("""COMPUTED_VALUE"""),"#N/A")</f>
        <v>#N/A</v>
      </c>
      <c r="AI2848" s="3" t="str">
        <f>IFERROR(__xludf.DUMMYFUNCTION("""COMPUTED_VALUE"""),"Out of warranty")</f>
        <v>Out of warranty</v>
      </c>
      <c r="AJ2848" s="3">
        <f>IFERROR(__xludf.DUMMYFUNCTION("""COMPUTED_VALUE"""),45.0)</f>
        <v>45</v>
      </c>
      <c r="AK2848" s="3"/>
      <c r="AL2848" s="3"/>
    </row>
    <row r="2849" ht="15.75" customHeight="1">
      <c r="A2849" s="1" t="str">
        <f>IFERROR(__xludf.DUMMYFUNCTION("""COMPUTED_VALUE"""),"83703")</f>
        <v>83703</v>
      </c>
      <c r="B2849" s="2">
        <f>IFERROR(__xludf.DUMMYFUNCTION("""COMPUTED_VALUE"""),83703.0)</f>
        <v>83703</v>
      </c>
      <c r="C2849" s="3" t="str">
        <f>IFERROR(__xludf.DUMMYFUNCTION("""COMPUTED_VALUE"""),"ร้านปารณีย์")</f>
        <v>ร้านปารณีย์</v>
      </c>
      <c r="D2849" s="3" t="str">
        <f>IFERROR(__xludf.DUMMYFUNCTION("""COMPUTED_VALUE"""),"ร้านปารณีย์")</f>
        <v>ร้านปารณีย์</v>
      </c>
      <c r="E2849" s="1" t="str">
        <f>IFERROR(__xludf.DUMMYFUNCTION("""COMPUTED_VALUE"""),"Donjai")</f>
        <v>Donjai</v>
      </c>
      <c r="F2849" s="1" t="str">
        <f>IFERROR(__xludf.DUMMYFUNCTION("""COMPUTED_VALUE"""),"296945")</f>
        <v>296945</v>
      </c>
      <c r="G2849" s="1" t="str">
        <f>IFERROR(__xludf.DUMMYFUNCTION("""COMPUTED_VALUE"""),"นายรักพงศ์ พงศ์พันธ์งาม")</f>
        <v>นายรักพงศ์ พงศ์พันธ์งาม</v>
      </c>
      <c r="H2849" s="1" t="str">
        <f>IFERROR(__xludf.DUMMYFUNCTION("""COMPUTED_VALUE"""),"296945")</f>
        <v>296945</v>
      </c>
      <c r="I2849" s="1" t="str">
        <f>IFERROR(__xludf.DUMMYFUNCTION("""COMPUTED_VALUE"""),"นายรักพงศ์ พงศ์พันธ์งาม")</f>
        <v>นายรักพงศ์ พงศ์พันธ์งาม</v>
      </c>
      <c r="J2849" s="3">
        <f>IFERROR(__xludf.DUMMYFUNCTION("""COMPUTED_VALUE"""),228031.0)</f>
        <v>228031</v>
      </c>
      <c r="K2849" s="3" t="str">
        <f>IFERROR(__xludf.DUMMYFUNCTION("""COMPUTED_VALUE"""),"นายธนพงษ์ วันหมัด")</f>
        <v>นายธนพงษ์ วันหมัด</v>
      </c>
      <c r="L2849" s="1" t="str">
        <f>IFERROR(__xludf.DUMMYFUNCTION("""COMPUTED_VALUE"""),"นายธนพงษ์ วันหมัด")</f>
        <v>นายธนพงษ์ วันหมัด</v>
      </c>
      <c r="M2849" s="1" t="str">
        <f>IFERROR(__xludf.DUMMYFUNCTION("""COMPUTED_VALUE"""),"0813716913")</f>
        <v>0813716913</v>
      </c>
      <c r="N2849" s="3">
        <f>IFERROR(__xludf.DUMMYFUNCTION("""COMPUTED_VALUE"""),83703.0)</f>
        <v>83703</v>
      </c>
      <c r="O2849" s="3" t="str">
        <f>IFERROR(__xludf.DUMMYFUNCTION("""COMPUTED_VALUE"""),"ร้านปารณีย์")</f>
        <v>ร้านปารณีย์</v>
      </c>
      <c r="P2849" s="4">
        <f>IFERROR(__xludf.DUMMYFUNCTION("""COMPUTED_VALUE"""),44640.0)</f>
        <v>44640</v>
      </c>
      <c r="Q2849" s="3" t="str">
        <f>IFERROR(__xludf.DUMMYFUNCTION("""COMPUTED_VALUE"""),"I")</f>
        <v>I</v>
      </c>
      <c r="R2849" s="3" t="str">
        <f>IFERROR(__xludf.DUMMYFUNCTION("""COMPUTED_VALUE"""),"Small Format")</f>
        <v>Small Format</v>
      </c>
      <c r="S2849" s="3" t="str">
        <f>IFERROR(__xludf.DUMMYFUNCTION("""COMPUTED_VALUE"""),"Donjai")</f>
        <v>Donjai</v>
      </c>
      <c r="T2849" s="3">
        <f>IFERROR(__xludf.DUMMYFUNCTION("""COMPUTED_VALUE"""),0.0)</f>
        <v>0</v>
      </c>
      <c r="U2849" s="3">
        <f>IFERROR(__xludf.DUMMYFUNCTION("""COMPUTED_VALUE"""),0.0)</f>
        <v>0</v>
      </c>
      <c r="V2849" s="3" t="str">
        <f>IFERROR(__xludf.DUMMYFUNCTION("""COMPUTED_VALUE"""),"N")</f>
        <v>N</v>
      </c>
      <c r="W2849" s="3"/>
      <c r="X2849" s="3" t="str">
        <f>IFERROR(__xludf.DUMMYFUNCTION("""COMPUTED_VALUE"""),"8/40 ม.5 ต.บางพลีใหญ่ อ.บางพลี จ.สมุทรปราการ 10540")</f>
        <v>8/40 ม.5 ต.บางพลีใหญ่ อ.บางพลี จ.สมุทรปราการ 10540</v>
      </c>
      <c r="Y2849" s="3"/>
      <c r="Z2849" s="3">
        <f>IFERROR(__xludf.DUMMYFUNCTION("""COMPUTED_VALUE"""),0.0)</f>
        <v>0</v>
      </c>
      <c r="AA2849" s="3">
        <f>IFERROR(__xludf.DUMMYFUNCTION("""COMPUTED_VALUE"""),0.0)</f>
        <v>0</v>
      </c>
      <c r="AB2849" s="3" t="str">
        <f>IFERROR(__xludf.DUMMYFUNCTION("""COMPUTED_VALUE"""),"สมุทรปราการ")</f>
        <v>สมุทรปราการ</v>
      </c>
      <c r="AC2849" s="3">
        <f>IFERROR(__xludf.DUMMYFUNCTION("""COMPUTED_VALUE"""),10540.0)</f>
        <v>10540</v>
      </c>
      <c r="AD2849" s="3"/>
      <c r="AE2849" s="3"/>
      <c r="AF2849" s="3" t="str">
        <f>IFERROR(__xludf.DUMMYFUNCTION("""COMPUTED_VALUE"""),"ร้านปารณีย์-83703")</f>
        <v>ร้านปารณีย์-83703</v>
      </c>
      <c r="AG2849" s="3" t="str">
        <f>IFERROR(__xludf.DUMMYFUNCTION("""COMPUTED_VALUE"""),"กลาง")</f>
        <v>กลาง</v>
      </c>
      <c r="AH2849" s="3" t="str">
        <f>IFERROR(__xludf.DUMMYFUNCTION("""COMPUTED_VALUE"""),"#N/A")</f>
        <v>#N/A</v>
      </c>
      <c r="AI2849" s="3" t="str">
        <f>IFERROR(__xludf.DUMMYFUNCTION("""COMPUTED_VALUE"""),"Out of warranty")</f>
        <v>Out of warranty</v>
      </c>
      <c r="AJ2849" s="3">
        <f>IFERROR(__xludf.DUMMYFUNCTION("""COMPUTED_VALUE"""),47.0)</f>
        <v>47</v>
      </c>
      <c r="AK2849" s="3"/>
      <c r="AL2849" s="3"/>
    </row>
    <row r="2850" ht="15.75" customHeight="1">
      <c r="A2850" s="1" t="str">
        <f>IFERROR(__xludf.DUMMYFUNCTION("""COMPUTED_VALUE"""),"83704")</f>
        <v>83704</v>
      </c>
      <c r="B2850" s="2">
        <f>IFERROR(__xludf.DUMMYFUNCTION("""COMPUTED_VALUE"""),83704.0)</f>
        <v>83704</v>
      </c>
      <c r="C2850" s="3" t="str">
        <f>IFERROR(__xludf.DUMMYFUNCTION("""COMPUTED_VALUE"""),"ร้านแดงพาณิชย์")</f>
        <v>ร้านแดงพาณิชย์</v>
      </c>
      <c r="D2850" s="3" t="str">
        <f>IFERROR(__xludf.DUMMYFUNCTION("""COMPUTED_VALUE"""),"ร้านแดงพาณิชย์")</f>
        <v>ร้านแดงพาณิชย์</v>
      </c>
      <c r="E2850" s="1" t="str">
        <f>IFERROR(__xludf.DUMMYFUNCTION("""COMPUTED_VALUE"""),"Donjai")</f>
        <v>Donjai</v>
      </c>
      <c r="F2850" s="1" t="str">
        <f>IFERROR(__xludf.DUMMYFUNCTION("""COMPUTED_VALUE"""),"2454781")</f>
        <v>2454781</v>
      </c>
      <c r="G2850" s="1" t="str">
        <f>IFERROR(__xludf.DUMMYFUNCTION("""COMPUTED_VALUE"""),"นายฌานกฤช นันทะโคต")</f>
        <v>นายฌานกฤช นันทะโคต</v>
      </c>
      <c r="H2850" s="1" t="str">
        <f>IFERROR(__xludf.DUMMYFUNCTION("""COMPUTED_VALUE"""),"2454781")</f>
        <v>2454781</v>
      </c>
      <c r="I2850" s="1" t="str">
        <f>IFERROR(__xludf.DUMMYFUNCTION("""COMPUTED_VALUE"""),"นายฌานกฤช นันทะโคต")</f>
        <v>นายฌานกฤช นันทะโคต</v>
      </c>
      <c r="J2850" s="3">
        <f>IFERROR(__xludf.DUMMYFUNCTION("""COMPUTED_VALUE"""),295886.0)</f>
        <v>295886</v>
      </c>
      <c r="K2850" s="3" t="str">
        <f>IFERROR(__xludf.DUMMYFUNCTION("""COMPUTED_VALUE"""),"นายจิระพงษ์ โพธิ์นิล")</f>
        <v>นายจิระพงษ์ โพธิ์นิล</v>
      </c>
      <c r="L2850" s="1" t="str">
        <f>IFERROR(__xludf.DUMMYFUNCTION("""COMPUTED_VALUE"""),"นายจิระพงษ์ โพธิ์นิล")</f>
        <v>นายจิระพงษ์ โพธิ์นิล</v>
      </c>
      <c r="M2850" s="1" t="str">
        <f>IFERROR(__xludf.DUMMYFUNCTION("""COMPUTED_VALUE"""),"0933290754")</f>
        <v>0933290754</v>
      </c>
      <c r="N2850" s="3">
        <f>IFERROR(__xludf.DUMMYFUNCTION("""COMPUTED_VALUE"""),83704.0)</f>
        <v>83704</v>
      </c>
      <c r="O2850" s="3" t="str">
        <f>IFERROR(__xludf.DUMMYFUNCTION("""COMPUTED_VALUE"""),"ร้านแดงพาณิชย์")</f>
        <v>ร้านแดงพาณิชย์</v>
      </c>
      <c r="P2850" s="4">
        <f>IFERROR(__xludf.DUMMYFUNCTION("""COMPUTED_VALUE"""),44638.0)</f>
        <v>44638</v>
      </c>
      <c r="Q2850" s="3" t="str">
        <f>IFERROR(__xludf.DUMMYFUNCTION("""COMPUTED_VALUE"""),"A")</f>
        <v>A</v>
      </c>
      <c r="R2850" s="3" t="str">
        <f>IFERROR(__xludf.DUMMYFUNCTION("""COMPUTED_VALUE"""),"Small Format")</f>
        <v>Small Format</v>
      </c>
      <c r="S2850" s="3" t="str">
        <f>IFERROR(__xludf.DUMMYFUNCTION("""COMPUTED_VALUE"""),"Donjai")</f>
        <v>Donjai</v>
      </c>
      <c r="T2850" s="3" t="str">
        <f>IFERROR(__xludf.DUMMYFUNCTION("""COMPUTED_VALUE"""),"05 K.Chanakrit N.")</f>
        <v>05 K.Chanakrit N.</v>
      </c>
      <c r="U2850" s="3" t="str">
        <f>IFERROR(__xludf.DUMMYFUNCTION("""COMPUTED_VALUE"""),"05 K.Chanakrit N.")</f>
        <v>05 K.Chanakrit N.</v>
      </c>
      <c r="V2850" s="3" t="str">
        <f>IFERROR(__xludf.DUMMYFUNCTION("""COMPUTED_VALUE"""),"N")</f>
        <v>N</v>
      </c>
      <c r="W2850" s="3"/>
      <c r="X2850" s="3" t="str">
        <f>IFERROR(__xludf.DUMMYFUNCTION("""COMPUTED_VALUE"""),"79 ม.4 คำโพน ปทุมราชวงศา อำนาจเจริญ 37110")</f>
        <v>79 ม.4 คำโพน ปทุมราชวงศา อำนาจเจริญ 37110</v>
      </c>
      <c r="Y2850" s="3"/>
      <c r="Z2850" s="3">
        <f>IFERROR(__xludf.DUMMYFUNCTION("""COMPUTED_VALUE"""),0.0)</f>
        <v>0</v>
      </c>
      <c r="AA2850" s="3">
        <f>IFERROR(__xludf.DUMMYFUNCTION("""COMPUTED_VALUE"""),0.0)</f>
        <v>0</v>
      </c>
      <c r="AB2850" s="3" t="str">
        <f>IFERROR(__xludf.DUMMYFUNCTION("""COMPUTED_VALUE"""),"อำนาจเจริญ")</f>
        <v>อำนาจเจริญ</v>
      </c>
      <c r="AC2850" s="3">
        <f>IFERROR(__xludf.DUMMYFUNCTION("""COMPUTED_VALUE"""),37110.0)</f>
        <v>37110</v>
      </c>
      <c r="AD2850" s="3"/>
      <c r="AE2850" s="3"/>
      <c r="AF2850" s="3" t="str">
        <f>IFERROR(__xludf.DUMMYFUNCTION("""COMPUTED_VALUE"""),"ร้านแดงพาณิชย์-83704")</f>
        <v>ร้านแดงพาณิชย์-83704</v>
      </c>
      <c r="AG2850" s="3" t="str">
        <f>IFERROR(__xludf.DUMMYFUNCTION("""COMPUTED_VALUE"""),"ตะวันออกเฉียงเหนือ")</f>
        <v>ตะวันออกเฉียงเหนือ</v>
      </c>
      <c r="AH2850" s="3" t="str">
        <f>IFERROR(__xludf.DUMMYFUNCTION("""COMPUTED_VALUE"""),"#N/A")</f>
        <v>#N/A</v>
      </c>
      <c r="AI2850" s="3" t="str">
        <f>IFERROR(__xludf.DUMMYFUNCTION("""COMPUTED_VALUE"""),"Out of warranty")</f>
        <v>Out of warranty</v>
      </c>
      <c r="AJ2850" s="3">
        <f>IFERROR(__xludf.DUMMYFUNCTION("""COMPUTED_VALUE"""),47.0)</f>
        <v>47</v>
      </c>
      <c r="AK2850" s="3"/>
      <c r="AL2850" s="3"/>
    </row>
    <row r="2851" ht="15.75" customHeight="1">
      <c r="A2851" s="1" t="str">
        <f>IFERROR(__xludf.DUMMYFUNCTION("""COMPUTED_VALUE"""),"83705")</f>
        <v>83705</v>
      </c>
      <c r="B2851" s="2">
        <f>IFERROR(__xludf.DUMMYFUNCTION("""COMPUTED_VALUE"""),83705.0)</f>
        <v>83705</v>
      </c>
      <c r="C2851" s="3" t="str">
        <f>IFERROR(__xludf.DUMMYFUNCTION("""COMPUTED_VALUE"""),"ร้านกันเอง (ธาตรี)")</f>
        <v>ร้านกันเอง (ธาตรี)</v>
      </c>
      <c r="D2851" s="3" t="str">
        <f>IFERROR(__xludf.DUMMYFUNCTION("""COMPUTED_VALUE"""),"ร้านกันเอง (ธาตรี)")</f>
        <v>ร้านกันเอง (ธาตรี)</v>
      </c>
      <c r="E2851" s="1" t="str">
        <f>IFERROR(__xludf.DUMMYFUNCTION("""COMPUTED_VALUE"""),"Donjai")</f>
        <v>Donjai</v>
      </c>
      <c r="F2851" s="1" t="str">
        <f>IFERROR(__xludf.DUMMYFUNCTION("""COMPUTED_VALUE"""),"015361")</f>
        <v>015361</v>
      </c>
      <c r="G2851" s="1" t="str">
        <f>IFERROR(__xludf.DUMMYFUNCTION("""COMPUTED_VALUE"""),"นายสมบูรณ์ พรหมในเมือง")</f>
        <v>นายสมบูรณ์ พรหมในเมือง</v>
      </c>
      <c r="H2851" s="1" t="str">
        <f>IFERROR(__xludf.DUMMYFUNCTION("""COMPUTED_VALUE"""),"015361")</f>
        <v>015361</v>
      </c>
      <c r="I2851" s="1" t="str">
        <f>IFERROR(__xludf.DUMMYFUNCTION("""COMPUTED_VALUE"""),"นายสมบูรณ์ พรหมในเมือง")</f>
        <v>นายสมบูรณ์ พรหมในเมือง</v>
      </c>
      <c r="J2851" s="3">
        <f>IFERROR(__xludf.DUMMYFUNCTION("""COMPUTED_VALUE"""),295886.0)</f>
        <v>295886</v>
      </c>
      <c r="K2851" s="3" t="str">
        <f>IFERROR(__xludf.DUMMYFUNCTION("""COMPUTED_VALUE"""),"นายจิระพงษ์ โพธิ์นิล")</f>
        <v>นายจิระพงษ์ โพธิ์นิล</v>
      </c>
      <c r="L2851" s="1" t="str">
        <f>IFERROR(__xludf.DUMMYFUNCTION("""COMPUTED_VALUE"""),"นายจิระพงษ์ โพธิ์นิล")</f>
        <v>นายจิระพงษ์ โพธิ์นิล</v>
      </c>
      <c r="M2851" s="1" t="str">
        <f>IFERROR(__xludf.DUMMYFUNCTION("""COMPUTED_VALUE"""),"0933290754")</f>
        <v>0933290754</v>
      </c>
      <c r="N2851" s="3">
        <f>IFERROR(__xludf.DUMMYFUNCTION("""COMPUTED_VALUE"""),83705.0)</f>
        <v>83705</v>
      </c>
      <c r="O2851" s="3" t="str">
        <f>IFERROR(__xludf.DUMMYFUNCTION("""COMPUTED_VALUE"""),"ร้านกันเอง (ธาตรี)")</f>
        <v>ร้านกันเอง (ธาตรี)</v>
      </c>
      <c r="P2851" s="4">
        <f>IFERROR(__xludf.DUMMYFUNCTION("""COMPUTED_VALUE"""),44647.0)</f>
        <v>44647</v>
      </c>
      <c r="Q2851" s="3" t="str">
        <f>IFERROR(__xludf.DUMMYFUNCTION("""COMPUTED_VALUE"""),"I")</f>
        <v>I</v>
      </c>
      <c r="R2851" s="3" t="str">
        <f>IFERROR(__xludf.DUMMYFUNCTION("""COMPUTED_VALUE"""),"Small Format")</f>
        <v>Small Format</v>
      </c>
      <c r="S2851" s="3" t="str">
        <f>IFERROR(__xludf.DUMMYFUNCTION("""COMPUTED_VALUE"""),"Donjai")</f>
        <v>Donjai</v>
      </c>
      <c r="T2851" s="3" t="str">
        <f>IFERROR(__xludf.DUMMYFUNCTION("""COMPUTED_VALUE"""),"04 K.Somboon P.")</f>
        <v>04 K.Somboon P.</v>
      </c>
      <c r="U2851" s="3" t="str">
        <f>IFERROR(__xludf.DUMMYFUNCTION("""COMPUTED_VALUE"""),"04 K.Somboon P.")</f>
        <v>04 K.Somboon P.</v>
      </c>
      <c r="V2851" s="3" t="str">
        <f>IFERROR(__xludf.DUMMYFUNCTION("""COMPUTED_VALUE"""),"N")</f>
        <v>N</v>
      </c>
      <c r="W2851" s="3"/>
      <c r="X2851" s="3" t="str">
        <f>IFERROR(__xludf.DUMMYFUNCTION("""COMPUTED_VALUE"""),"58 หมู่8 ถ.ศรีรัตน์ ต.รัตนบุรี อ.รัตนบุรี จ.สุรินทร์")</f>
        <v>58 หมู่8 ถ.ศรีรัตน์ ต.รัตนบุรี อ.รัตนบุรี จ.สุรินทร์</v>
      </c>
      <c r="Y2851" s="3"/>
      <c r="Z2851" s="3">
        <f>IFERROR(__xludf.DUMMYFUNCTION("""COMPUTED_VALUE"""),0.0)</f>
        <v>0</v>
      </c>
      <c r="AA2851" s="3">
        <f>IFERROR(__xludf.DUMMYFUNCTION("""COMPUTED_VALUE"""),0.0)</f>
        <v>0</v>
      </c>
      <c r="AB2851" s="3" t="str">
        <f>IFERROR(__xludf.DUMMYFUNCTION("""COMPUTED_VALUE"""),"สุรินทร์")</f>
        <v>สุรินทร์</v>
      </c>
      <c r="AC2851" s="3">
        <f>IFERROR(__xludf.DUMMYFUNCTION("""COMPUTED_VALUE"""),0.0)</f>
        <v>0</v>
      </c>
      <c r="AD2851" s="3"/>
      <c r="AE2851" s="3"/>
      <c r="AF2851" s="3" t="str">
        <f>IFERROR(__xludf.DUMMYFUNCTION("""COMPUTED_VALUE"""),"ร้านกันเอง (ธาตรี)-83705")</f>
        <v>ร้านกันเอง (ธาตรี)-83705</v>
      </c>
      <c r="AG2851" s="3" t="str">
        <f>IFERROR(__xludf.DUMMYFUNCTION("""COMPUTED_VALUE"""),"ตะวันออกเฉียงเหนือ")</f>
        <v>ตะวันออกเฉียงเหนือ</v>
      </c>
      <c r="AH2851" s="3" t="str">
        <f>IFERROR(__xludf.DUMMYFUNCTION("""COMPUTED_VALUE"""),"#N/A")</f>
        <v>#N/A</v>
      </c>
      <c r="AI2851" s="3" t="str">
        <f>IFERROR(__xludf.DUMMYFUNCTION("""COMPUTED_VALUE"""),"Out of warranty")</f>
        <v>Out of warranty</v>
      </c>
      <c r="AJ2851" s="3">
        <f>IFERROR(__xludf.DUMMYFUNCTION("""COMPUTED_VALUE"""),46.0)</f>
        <v>46</v>
      </c>
      <c r="AK2851" s="3"/>
      <c r="AL2851" s="3"/>
    </row>
    <row r="2852" ht="15.75" customHeight="1">
      <c r="A2852" s="1" t="str">
        <f>IFERROR(__xludf.DUMMYFUNCTION("""COMPUTED_VALUE"""),"83706")</f>
        <v>83706</v>
      </c>
      <c r="B2852" s="2">
        <f>IFERROR(__xludf.DUMMYFUNCTION("""COMPUTED_VALUE"""),83706.0)</f>
        <v>83706</v>
      </c>
      <c r="C2852" s="3" t="str">
        <f>IFERROR(__xludf.DUMMYFUNCTION("""COMPUTED_VALUE"""),"ร้าน ศรีพลังค้าปลีก")</f>
        <v>ร้าน ศรีพลังค้าปลีก</v>
      </c>
      <c r="D2852" s="3" t="str">
        <f>IFERROR(__xludf.DUMMYFUNCTION("""COMPUTED_VALUE"""),"ร้าน ศรีพลังค้าปลีก")</f>
        <v>ร้าน ศรีพลังค้าปลีก</v>
      </c>
      <c r="E2852" s="1" t="str">
        <f>IFERROR(__xludf.DUMMYFUNCTION("""COMPUTED_VALUE"""),"Donjai")</f>
        <v>Donjai</v>
      </c>
      <c r="F2852" s="1" t="str">
        <f>IFERROR(__xludf.DUMMYFUNCTION("""COMPUTED_VALUE"""),"296868")</f>
        <v>296868</v>
      </c>
      <c r="G2852" s="1" t="str">
        <f>IFERROR(__xludf.DUMMYFUNCTION("""COMPUTED_VALUE"""),"นายพีระพงษ์ แก้วดวงดี")</f>
        <v>นายพีระพงษ์ แก้วดวงดี</v>
      </c>
      <c r="H2852" s="1" t="str">
        <f>IFERROR(__xludf.DUMMYFUNCTION("""COMPUTED_VALUE"""),"296868")</f>
        <v>296868</v>
      </c>
      <c r="I2852" s="1" t="str">
        <f>IFERROR(__xludf.DUMMYFUNCTION("""COMPUTED_VALUE"""),"นายพีระพงษ์ แก้วดวงดี")</f>
        <v>นายพีระพงษ์ แก้วดวงดี</v>
      </c>
      <c r="J2852" s="3">
        <f>IFERROR(__xludf.DUMMYFUNCTION("""COMPUTED_VALUE"""),295886.0)</f>
        <v>295886</v>
      </c>
      <c r="K2852" s="3" t="str">
        <f>IFERROR(__xludf.DUMMYFUNCTION("""COMPUTED_VALUE"""),"นายจิระพงษ์ โพธิ์นิล")</f>
        <v>นายจิระพงษ์ โพธิ์นิล</v>
      </c>
      <c r="L2852" s="1" t="str">
        <f>IFERROR(__xludf.DUMMYFUNCTION("""COMPUTED_VALUE"""),"นายจิระพงษ์ โพธิ์นิล")</f>
        <v>นายจิระพงษ์ โพธิ์นิล</v>
      </c>
      <c r="M2852" s="1" t="str">
        <f>IFERROR(__xludf.DUMMYFUNCTION("""COMPUTED_VALUE"""),"0933290754")</f>
        <v>0933290754</v>
      </c>
      <c r="N2852" s="3">
        <f>IFERROR(__xludf.DUMMYFUNCTION("""COMPUTED_VALUE"""),83706.0)</f>
        <v>83706</v>
      </c>
      <c r="O2852" s="3" t="str">
        <f>IFERROR(__xludf.DUMMYFUNCTION("""COMPUTED_VALUE"""),"ร้าน ศรีพลังค้าปลีก")</f>
        <v>ร้าน ศรีพลังค้าปลีก</v>
      </c>
      <c r="P2852" s="4">
        <f>IFERROR(__xludf.DUMMYFUNCTION("""COMPUTED_VALUE"""),44658.0)</f>
        <v>44658</v>
      </c>
      <c r="Q2852" s="3" t="str">
        <f>IFERROR(__xludf.DUMMYFUNCTION("""COMPUTED_VALUE"""),"I")</f>
        <v>I</v>
      </c>
      <c r="R2852" s="3" t="str">
        <f>IFERROR(__xludf.DUMMYFUNCTION("""COMPUTED_VALUE"""),"Small Format")</f>
        <v>Small Format</v>
      </c>
      <c r="S2852" s="3" t="str">
        <f>IFERROR(__xludf.DUMMYFUNCTION("""COMPUTED_VALUE"""),"Donjai")</f>
        <v>Donjai</v>
      </c>
      <c r="T2852" s="3" t="str">
        <f>IFERROR(__xludf.DUMMYFUNCTION("""COMPUTED_VALUE"""),"03 K.Peerapong K.")</f>
        <v>03 K.Peerapong K.</v>
      </c>
      <c r="U2852" s="3" t="str">
        <f>IFERROR(__xludf.DUMMYFUNCTION("""COMPUTED_VALUE"""),"03 K.Peerapong K.")</f>
        <v>03 K.Peerapong K.</v>
      </c>
      <c r="V2852" s="3" t="str">
        <f>IFERROR(__xludf.DUMMYFUNCTION("""COMPUTED_VALUE"""),"N")</f>
        <v>N</v>
      </c>
      <c r="W2852" s="3"/>
      <c r="X2852" s="3" t="str">
        <f>IFERROR(__xludf.DUMMYFUNCTION("""COMPUTED_VALUE"""),"439 หมู่ 4 ต.บ้านจั่น อ.เมือง จ.อุดรธานี")</f>
        <v>439 หมู่ 4 ต.บ้านจั่น อ.เมือง จ.อุดรธานี</v>
      </c>
      <c r="Y2852" s="3"/>
      <c r="Z2852" s="3">
        <f>IFERROR(__xludf.DUMMYFUNCTION("""COMPUTED_VALUE"""),0.0)</f>
        <v>0</v>
      </c>
      <c r="AA2852" s="3">
        <f>IFERROR(__xludf.DUMMYFUNCTION("""COMPUTED_VALUE"""),0.0)</f>
        <v>0</v>
      </c>
      <c r="AB2852" s="3" t="str">
        <f>IFERROR(__xludf.DUMMYFUNCTION("""COMPUTED_VALUE"""),"อุดรธานี")</f>
        <v>อุดรธานี</v>
      </c>
      <c r="AC2852" s="3">
        <f>IFERROR(__xludf.DUMMYFUNCTION("""COMPUTED_VALUE"""),0.0)</f>
        <v>0</v>
      </c>
      <c r="AD2852" s="3"/>
      <c r="AE2852" s="3"/>
      <c r="AF2852" s="3" t="str">
        <f>IFERROR(__xludf.DUMMYFUNCTION("""COMPUTED_VALUE"""),"ร้าน ศรีพลังค้าปลีก-83706")</f>
        <v>ร้าน ศรีพลังค้าปลีก-83706</v>
      </c>
      <c r="AG2852" s="3" t="str">
        <f>IFERROR(__xludf.DUMMYFUNCTION("""COMPUTED_VALUE"""),"ตะวันออกเฉียงเหนือ")</f>
        <v>ตะวันออกเฉียงเหนือ</v>
      </c>
      <c r="AH2852" s="3" t="str">
        <f>IFERROR(__xludf.DUMMYFUNCTION("""COMPUTED_VALUE"""),"#N/A")</f>
        <v>#N/A</v>
      </c>
      <c r="AI2852" s="3" t="str">
        <f>IFERROR(__xludf.DUMMYFUNCTION("""COMPUTED_VALUE"""),"Out of warranty")</f>
        <v>Out of warranty</v>
      </c>
      <c r="AJ2852" s="3">
        <f>IFERROR(__xludf.DUMMYFUNCTION("""COMPUTED_VALUE"""),46.0)</f>
        <v>46</v>
      </c>
      <c r="AK2852" s="3"/>
      <c r="AL2852" s="3"/>
    </row>
    <row r="2853" ht="15.75" customHeight="1">
      <c r="A2853" s="1" t="str">
        <f>IFERROR(__xludf.DUMMYFUNCTION("""COMPUTED_VALUE"""),"83707")</f>
        <v>83707</v>
      </c>
      <c r="B2853" s="2">
        <f>IFERROR(__xludf.DUMMYFUNCTION("""COMPUTED_VALUE"""),83707.0)</f>
        <v>83707</v>
      </c>
      <c r="C2853" s="3" t="str">
        <f>IFERROR(__xludf.DUMMYFUNCTION("""COMPUTED_VALUE"""),"ร้านสำเภาทอง(สกล)")</f>
        <v>ร้านสำเภาทอง(สกล)</v>
      </c>
      <c r="D2853" s="3" t="str">
        <f>IFERROR(__xludf.DUMMYFUNCTION("""COMPUTED_VALUE"""),"ร้านสำเภาทอง(สกล)")</f>
        <v>ร้านสำเภาทอง(สกล)</v>
      </c>
      <c r="E2853" s="1" t="str">
        <f>IFERROR(__xludf.DUMMYFUNCTION("""COMPUTED_VALUE"""),"Donjai")</f>
        <v>Donjai</v>
      </c>
      <c r="F2853" s="1" t="str">
        <f>IFERROR(__xludf.DUMMYFUNCTION("""COMPUTED_VALUE"""),"296608")</f>
        <v>296608</v>
      </c>
      <c r="G2853" s="1" t="str">
        <f>IFERROR(__xludf.DUMMYFUNCTION("""COMPUTED_VALUE"""),"นายภาคภูมิ เพ็ชรนิล")</f>
        <v>นายภาคภูมิ เพ็ชรนิล</v>
      </c>
      <c r="H2853" s="1" t="str">
        <f>IFERROR(__xludf.DUMMYFUNCTION("""COMPUTED_VALUE"""),"296608")</f>
        <v>296608</v>
      </c>
      <c r="I2853" s="1" t="str">
        <f>IFERROR(__xludf.DUMMYFUNCTION("""COMPUTED_VALUE"""),"นายภาคภูมิ เพ็ชรนิล")</f>
        <v>นายภาคภูมิ เพ็ชรนิล</v>
      </c>
      <c r="J2853" s="3">
        <f>IFERROR(__xludf.DUMMYFUNCTION("""COMPUTED_VALUE"""),228031.0)</f>
        <v>228031</v>
      </c>
      <c r="K2853" s="3" t="str">
        <f>IFERROR(__xludf.DUMMYFUNCTION("""COMPUTED_VALUE"""),"นายธนพงษ์ วันหมัด")</f>
        <v>นายธนพงษ์ วันหมัด</v>
      </c>
      <c r="L2853" s="1" t="str">
        <f>IFERROR(__xludf.DUMMYFUNCTION("""COMPUTED_VALUE"""),"นายธนพงษ์ วันหมัด")</f>
        <v>นายธนพงษ์ วันหมัด</v>
      </c>
      <c r="M2853" s="1" t="str">
        <f>IFERROR(__xludf.DUMMYFUNCTION("""COMPUTED_VALUE"""),"0813716913")</f>
        <v>0813716913</v>
      </c>
      <c r="N2853" s="3">
        <f>IFERROR(__xludf.DUMMYFUNCTION("""COMPUTED_VALUE"""),83707.0)</f>
        <v>83707</v>
      </c>
      <c r="O2853" s="3" t="str">
        <f>IFERROR(__xludf.DUMMYFUNCTION("""COMPUTED_VALUE"""),"ร้านสำเภาทอง(สกล)")</f>
        <v>ร้านสำเภาทอง(สกล)</v>
      </c>
      <c r="P2853" s="4">
        <f>IFERROR(__xludf.DUMMYFUNCTION("""COMPUTED_VALUE"""),44647.0)</f>
        <v>44647</v>
      </c>
      <c r="Q2853" s="3" t="str">
        <f>IFERROR(__xludf.DUMMYFUNCTION("""COMPUTED_VALUE"""),"I")</f>
        <v>I</v>
      </c>
      <c r="R2853" s="3" t="str">
        <f>IFERROR(__xludf.DUMMYFUNCTION("""COMPUTED_VALUE"""),"Small Format")</f>
        <v>Small Format</v>
      </c>
      <c r="S2853" s="3" t="str">
        <f>IFERROR(__xludf.DUMMYFUNCTION("""COMPUTED_VALUE"""),"Donjai")</f>
        <v>Donjai</v>
      </c>
      <c r="T2853" s="3" t="str">
        <f>IFERROR(__xludf.DUMMYFUNCTION("""COMPUTED_VALUE"""),"10 K.Phakphoom P.")</f>
        <v>10 K.Phakphoom P.</v>
      </c>
      <c r="U2853" s="3" t="str">
        <f>IFERROR(__xludf.DUMMYFUNCTION("""COMPUTED_VALUE"""),"10 K.Phakphoom P.")</f>
        <v>10 K.Phakphoom P.</v>
      </c>
      <c r="V2853" s="3" t="str">
        <f>IFERROR(__xludf.DUMMYFUNCTION("""COMPUTED_VALUE"""),"N")</f>
        <v>N</v>
      </c>
      <c r="W2853" s="3"/>
      <c r="X2853" s="3" t="str">
        <f>IFERROR(__xludf.DUMMYFUNCTION("""COMPUTED_VALUE"""),"36 หมู่ 2 ต.วังน้ำเขียง อ.กำแพงแสน จ.นครปฐม")</f>
        <v>36 หมู่ 2 ต.วังน้ำเขียง อ.กำแพงแสน จ.นครปฐม</v>
      </c>
      <c r="Y2853" s="3"/>
      <c r="Z2853" s="3">
        <f>IFERROR(__xludf.DUMMYFUNCTION("""COMPUTED_VALUE"""),0.0)</f>
        <v>0</v>
      </c>
      <c r="AA2853" s="3">
        <f>IFERROR(__xludf.DUMMYFUNCTION("""COMPUTED_VALUE"""),0.0)</f>
        <v>0</v>
      </c>
      <c r="AB2853" s="3" t="str">
        <f>IFERROR(__xludf.DUMMYFUNCTION("""COMPUTED_VALUE"""),"นครปฐม")</f>
        <v>นครปฐม</v>
      </c>
      <c r="AC2853" s="3">
        <f>IFERROR(__xludf.DUMMYFUNCTION("""COMPUTED_VALUE"""),0.0)</f>
        <v>0</v>
      </c>
      <c r="AD2853" s="3"/>
      <c r="AE2853" s="3"/>
      <c r="AF2853" s="3" t="str">
        <f>IFERROR(__xludf.DUMMYFUNCTION("""COMPUTED_VALUE"""),"ร้านสำเภาทอง(สกล)-83707")</f>
        <v>ร้านสำเภาทอง(สกล)-83707</v>
      </c>
      <c r="AG2853" s="3" t="str">
        <f>IFERROR(__xludf.DUMMYFUNCTION("""COMPUTED_VALUE"""),"กลาง")</f>
        <v>กลาง</v>
      </c>
      <c r="AH2853" s="3" t="str">
        <f>IFERROR(__xludf.DUMMYFUNCTION("""COMPUTED_VALUE"""),"#N/A")</f>
        <v>#N/A</v>
      </c>
      <c r="AI2853" s="3" t="str">
        <f>IFERROR(__xludf.DUMMYFUNCTION("""COMPUTED_VALUE"""),"Out of warranty")</f>
        <v>Out of warranty</v>
      </c>
      <c r="AJ2853" s="3">
        <f>IFERROR(__xludf.DUMMYFUNCTION("""COMPUTED_VALUE"""),46.0)</f>
        <v>46</v>
      </c>
      <c r="AK2853" s="3"/>
      <c r="AL2853" s="3"/>
    </row>
    <row r="2854" ht="15.75" customHeight="1">
      <c r="A2854" s="1" t="str">
        <f>IFERROR(__xludf.DUMMYFUNCTION("""COMPUTED_VALUE"""),"83708")</f>
        <v>83708</v>
      </c>
      <c r="B2854" s="2">
        <f>IFERROR(__xludf.DUMMYFUNCTION("""COMPUTED_VALUE"""),83708.0)</f>
        <v>83708</v>
      </c>
      <c r="C2854" s="3" t="str">
        <f>IFERROR(__xludf.DUMMYFUNCTION("""COMPUTED_VALUE"""),"ร้านน้องปังปัง")</f>
        <v>ร้านน้องปังปัง</v>
      </c>
      <c r="D2854" s="3" t="str">
        <f>IFERROR(__xludf.DUMMYFUNCTION("""COMPUTED_VALUE"""),"ร้านน้องปังปัง")</f>
        <v>ร้านน้องปังปัง</v>
      </c>
      <c r="E2854" s="1" t="str">
        <f>IFERROR(__xludf.DUMMYFUNCTION("""COMPUTED_VALUE"""),"Donjai")</f>
        <v>Donjai</v>
      </c>
      <c r="F2854" s="1" t="str">
        <f>IFERROR(__xludf.DUMMYFUNCTION("""COMPUTED_VALUE"""),"046214")</f>
        <v>046214</v>
      </c>
      <c r="G2854" s="1" t="str">
        <f>IFERROR(__xludf.DUMMYFUNCTION("""COMPUTED_VALUE"""),"นายศักดิ์ชัย เด็ดดอกฟ้า")</f>
        <v>นายศักดิ์ชัย เด็ดดอกฟ้า</v>
      </c>
      <c r="H2854" s="1" t="str">
        <f>IFERROR(__xludf.DUMMYFUNCTION("""COMPUTED_VALUE"""),"046214")</f>
        <v>046214</v>
      </c>
      <c r="I2854" s="1" t="str">
        <f>IFERROR(__xludf.DUMMYFUNCTION("""COMPUTED_VALUE"""),"นายศักดิ์ชัย เด็ดดอกฟ้า")</f>
        <v>นายศักดิ์ชัย เด็ดดอกฟ้า</v>
      </c>
      <c r="J2854" s="3">
        <f>IFERROR(__xludf.DUMMYFUNCTION("""COMPUTED_VALUE"""),295886.0)</f>
        <v>295886</v>
      </c>
      <c r="K2854" s="3" t="str">
        <f>IFERROR(__xludf.DUMMYFUNCTION("""COMPUTED_VALUE"""),"นายจิระพงษ์ โพธิ์นิล")</f>
        <v>นายจิระพงษ์ โพธิ์นิล</v>
      </c>
      <c r="L2854" s="1" t="str">
        <f>IFERROR(__xludf.DUMMYFUNCTION("""COMPUTED_VALUE"""),"นายจิระพงษ์ โพธิ์นิล")</f>
        <v>นายจิระพงษ์ โพธิ์นิล</v>
      </c>
      <c r="M2854" s="1" t="str">
        <f>IFERROR(__xludf.DUMMYFUNCTION("""COMPUTED_VALUE"""),"0933290754")</f>
        <v>0933290754</v>
      </c>
      <c r="N2854" s="3">
        <f>IFERROR(__xludf.DUMMYFUNCTION("""COMPUTED_VALUE"""),83708.0)</f>
        <v>83708</v>
      </c>
      <c r="O2854" s="3" t="str">
        <f>IFERROR(__xludf.DUMMYFUNCTION("""COMPUTED_VALUE"""),"ร้านน้องปังปัง")</f>
        <v>ร้านน้องปังปัง</v>
      </c>
      <c r="P2854" s="4">
        <f>IFERROR(__xludf.DUMMYFUNCTION("""COMPUTED_VALUE"""),44620.0)</f>
        <v>44620</v>
      </c>
      <c r="Q2854" s="3" t="str">
        <f>IFERROR(__xludf.DUMMYFUNCTION("""COMPUTED_VALUE"""),"A")</f>
        <v>A</v>
      </c>
      <c r="R2854" s="3" t="str">
        <f>IFERROR(__xludf.DUMMYFUNCTION("""COMPUTED_VALUE"""),"Small Format")</f>
        <v>Small Format</v>
      </c>
      <c r="S2854" s="3" t="str">
        <f>IFERROR(__xludf.DUMMYFUNCTION("""COMPUTED_VALUE"""),"Donjai")</f>
        <v>Donjai</v>
      </c>
      <c r="T2854" s="3" t="str">
        <f>IFERROR(__xludf.DUMMYFUNCTION("""COMPUTED_VALUE"""),"02 K.Sakchai D")</f>
        <v>02 K.Sakchai D</v>
      </c>
      <c r="U2854" s="3" t="str">
        <f>IFERROR(__xludf.DUMMYFUNCTION("""COMPUTED_VALUE"""),"02 K.Sakchai D")</f>
        <v>02 K.Sakchai D</v>
      </c>
      <c r="V2854" s="3" t="str">
        <f>IFERROR(__xludf.DUMMYFUNCTION("""COMPUTED_VALUE"""),"N")</f>
        <v>N</v>
      </c>
      <c r="W2854" s="3"/>
      <c r="X2854" s="3" t="str">
        <f>IFERROR(__xludf.DUMMYFUNCTION("""COMPUTED_VALUE"""),"4/1 หมู่ที่ 6 ตำบลวังควง อำเภอพรานกระต่าย จังหวัดกำแพงเพชร")</f>
        <v>4/1 หมู่ที่ 6 ตำบลวังควง อำเภอพรานกระต่าย จังหวัดกำแพงเพชร</v>
      </c>
      <c r="Y2854" s="3"/>
      <c r="Z2854" s="3">
        <f>IFERROR(__xludf.DUMMYFUNCTION("""COMPUTED_VALUE"""),0.0)</f>
        <v>0</v>
      </c>
      <c r="AA2854" s="3">
        <f>IFERROR(__xludf.DUMMYFUNCTION("""COMPUTED_VALUE"""),0.0)</f>
        <v>0</v>
      </c>
      <c r="AB2854" s="3" t="str">
        <f>IFERROR(__xludf.DUMMYFUNCTION("""COMPUTED_VALUE"""),"กำแพงเพชร")</f>
        <v>กำแพงเพชร</v>
      </c>
      <c r="AC2854" s="3">
        <f>IFERROR(__xludf.DUMMYFUNCTION("""COMPUTED_VALUE"""),0.0)</f>
        <v>0</v>
      </c>
      <c r="AD2854" s="3"/>
      <c r="AE2854" s="3"/>
      <c r="AF2854" s="3" t="str">
        <f>IFERROR(__xludf.DUMMYFUNCTION("""COMPUTED_VALUE"""),"ร้านน้องปังปัง-83708")</f>
        <v>ร้านน้องปังปัง-83708</v>
      </c>
      <c r="AG2854" s="3" t="str">
        <f>IFERROR(__xludf.DUMMYFUNCTION("""COMPUTED_VALUE"""),"กลาง")</f>
        <v>กลาง</v>
      </c>
      <c r="AH2854" s="3" t="str">
        <f>IFERROR(__xludf.DUMMYFUNCTION("""COMPUTED_VALUE"""),"#N/A")</f>
        <v>#N/A</v>
      </c>
      <c r="AI2854" s="3" t="str">
        <f>IFERROR(__xludf.DUMMYFUNCTION("""COMPUTED_VALUE"""),"Out of warranty")</f>
        <v>Out of warranty</v>
      </c>
      <c r="AJ2854" s="3">
        <f>IFERROR(__xludf.DUMMYFUNCTION("""COMPUTED_VALUE"""),47.0)</f>
        <v>47</v>
      </c>
      <c r="AK2854" s="3"/>
      <c r="AL2854" s="3"/>
    </row>
    <row r="2855" ht="15.75" customHeight="1">
      <c r="A2855" s="1" t="str">
        <f>IFERROR(__xludf.DUMMYFUNCTION("""COMPUTED_VALUE"""),"83709")</f>
        <v>83709</v>
      </c>
      <c r="B2855" s="2">
        <f>IFERROR(__xludf.DUMMYFUNCTION("""COMPUTED_VALUE"""),83709.0)</f>
        <v>83709</v>
      </c>
      <c r="C2855" s="3" t="str">
        <f>IFERROR(__xludf.DUMMYFUNCTION("""COMPUTED_VALUE"""),"ร้านอ.เจริญพานิช (อ.เจริญชัยพาณิช )")</f>
        <v>ร้านอ.เจริญพานิช (อ.เจริญชัยพาณิช )</v>
      </c>
      <c r="D2855" s="3" t="str">
        <f>IFERROR(__xludf.DUMMYFUNCTION("""COMPUTED_VALUE"""),"ร้านอ.เจริญพานิช (อ.เจริญชัยพาณิช )")</f>
        <v>ร้านอ.เจริญพานิช (อ.เจริญชัยพาณิช )</v>
      </c>
      <c r="E2855" s="1" t="str">
        <f>IFERROR(__xludf.DUMMYFUNCTION("""COMPUTED_VALUE"""),"Donjai")</f>
        <v>Donjai</v>
      </c>
      <c r="F2855" s="1" t="str">
        <f>IFERROR(__xludf.DUMMYFUNCTION("""COMPUTED_VALUE"""),"296608")</f>
        <v>296608</v>
      </c>
      <c r="G2855" s="1" t="str">
        <f>IFERROR(__xludf.DUMMYFUNCTION("""COMPUTED_VALUE"""),"นายภาคภูมิ เพ็ชรนิล")</f>
        <v>นายภาคภูมิ เพ็ชรนิล</v>
      </c>
      <c r="H2855" s="1" t="str">
        <f>IFERROR(__xludf.DUMMYFUNCTION("""COMPUTED_VALUE"""),"296608")</f>
        <v>296608</v>
      </c>
      <c r="I2855" s="1" t="str">
        <f>IFERROR(__xludf.DUMMYFUNCTION("""COMPUTED_VALUE"""),"นายภาคภูมิ เพ็ชรนิล")</f>
        <v>นายภาคภูมิ เพ็ชรนิล</v>
      </c>
      <c r="J2855" s="3">
        <f>IFERROR(__xludf.DUMMYFUNCTION("""COMPUTED_VALUE"""),228031.0)</f>
        <v>228031</v>
      </c>
      <c r="K2855" s="3" t="str">
        <f>IFERROR(__xludf.DUMMYFUNCTION("""COMPUTED_VALUE"""),"นายธนพงษ์ วันหมัด")</f>
        <v>นายธนพงษ์ วันหมัด</v>
      </c>
      <c r="L2855" s="1" t="str">
        <f>IFERROR(__xludf.DUMMYFUNCTION("""COMPUTED_VALUE"""),"นายธนพงษ์ วันหมัด")</f>
        <v>นายธนพงษ์ วันหมัด</v>
      </c>
      <c r="M2855" s="1" t="str">
        <f>IFERROR(__xludf.DUMMYFUNCTION("""COMPUTED_VALUE"""),"0813716913")</f>
        <v>0813716913</v>
      </c>
      <c r="N2855" s="3">
        <f>IFERROR(__xludf.DUMMYFUNCTION("""COMPUTED_VALUE"""),83709.0)</f>
        <v>83709</v>
      </c>
      <c r="O2855" s="3" t="str">
        <f>IFERROR(__xludf.DUMMYFUNCTION("""COMPUTED_VALUE"""),"ร้านอ.เจริญพานิช (อ.เจริญชัยพาณิช )")</f>
        <v>ร้านอ.เจริญพานิช (อ.เจริญชัยพาณิช )</v>
      </c>
      <c r="P2855" s="4">
        <f>IFERROR(__xludf.DUMMYFUNCTION("""COMPUTED_VALUE"""),44646.0)</f>
        <v>44646</v>
      </c>
      <c r="Q2855" s="3" t="str">
        <f>IFERROR(__xludf.DUMMYFUNCTION("""COMPUTED_VALUE"""),"I")</f>
        <v>I</v>
      </c>
      <c r="R2855" s="3" t="str">
        <f>IFERROR(__xludf.DUMMYFUNCTION("""COMPUTED_VALUE"""),"Small Format")</f>
        <v>Small Format</v>
      </c>
      <c r="S2855" s="3" t="str">
        <f>IFERROR(__xludf.DUMMYFUNCTION("""COMPUTED_VALUE"""),"Donjai")</f>
        <v>Donjai</v>
      </c>
      <c r="T2855" s="3" t="str">
        <f>IFERROR(__xludf.DUMMYFUNCTION("""COMPUTED_VALUE"""),"10 K.Phakphoom P.")</f>
        <v>10 K.Phakphoom P.</v>
      </c>
      <c r="U2855" s="3" t="str">
        <f>IFERROR(__xludf.DUMMYFUNCTION("""COMPUTED_VALUE"""),"10 K.Phakphoom P.")</f>
        <v>10 K.Phakphoom P.</v>
      </c>
      <c r="V2855" s="3" t="str">
        <f>IFERROR(__xludf.DUMMYFUNCTION("""COMPUTED_VALUE"""),"N")</f>
        <v>N</v>
      </c>
      <c r="W2855" s="3"/>
      <c r="X2855" s="3" t="str">
        <f>IFERROR(__xludf.DUMMYFUNCTION("""COMPUTED_VALUE"""),"30/14 ซอยสวนอ้อย ถนนเพชรเกษม แขวงบางด้วน เขตภาษีเจริญ กรุงเทพฯ")</f>
        <v>30/14 ซอยสวนอ้อย ถนนเพชรเกษม แขวงบางด้วน เขตภาษีเจริญ กรุงเทพฯ</v>
      </c>
      <c r="Y2855" s="3"/>
      <c r="Z2855" s="3">
        <f>IFERROR(__xludf.DUMMYFUNCTION("""COMPUTED_VALUE"""),0.0)</f>
        <v>0</v>
      </c>
      <c r="AA2855" s="3">
        <f>IFERROR(__xludf.DUMMYFUNCTION("""COMPUTED_VALUE"""),0.0)</f>
        <v>0</v>
      </c>
      <c r="AB2855" s="3" t="str">
        <f>IFERROR(__xludf.DUMMYFUNCTION("""COMPUTED_VALUE"""),"กรุงเทพมหานคร")</f>
        <v>กรุงเทพมหานคร</v>
      </c>
      <c r="AC2855" s="3">
        <f>IFERROR(__xludf.DUMMYFUNCTION("""COMPUTED_VALUE"""),0.0)</f>
        <v>0</v>
      </c>
      <c r="AD2855" s="3"/>
      <c r="AE2855" s="3"/>
      <c r="AF2855" s="3" t="str">
        <f>IFERROR(__xludf.DUMMYFUNCTION("""COMPUTED_VALUE"""),"ร้านอ.เจริญพานิช (อ.เจริญชัยพาณิช )-83709")</f>
        <v>ร้านอ.เจริญพานิช (อ.เจริญชัยพาณิช )-83709</v>
      </c>
      <c r="AG2855" s="3" t="str">
        <f>IFERROR(__xludf.DUMMYFUNCTION("""COMPUTED_VALUE"""),"กลาง")</f>
        <v>กลาง</v>
      </c>
      <c r="AH2855" s="3" t="str">
        <f>IFERROR(__xludf.DUMMYFUNCTION("""COMPUTED_VALUE"""),"#N/A")</f>
        <v>#N/A</v>
      </c>
      <c r="AI2855" s="3" t="str">
        <f>IFERROR(__xludf.DUMMYFUNCTION("""COMPUTED_VALUE"""),"Out of warranty")</f>
        <v>Out of warranty</v>
      </c>
      <c r="AJ2855" s="3">
        <f>IFERROR(__xludf.DUMMYFUNCTION("""COMPUTED_VALUE"""),46.0)</f>
        <v>46</v>
      </c>
      <c r="AK2855" s="3"/>
      <c r="AL2855" s="3"/>
    </row>
    <row r="2856" ht="15.75" customHeight="1">
      <c r="A2856" s="1" t="str">
        <f>IFERROR(__xludf.DUMMYFUNCTION("""COMPUTED_VALUE"""),"83710")</f>
        <v>83710</v>
      </c>
      <c r="B2856" s="2">
        <f>IFERROR(__xludf.DUMMYFUNCTION("""COMPUTED_VALUE"""),83710.0)</f>
        <v>83710</v>
      </c>
      <c r="C2856" s="3" t="str">
        <f>IFERROR(__xludf.DUMMYFUNCTION("""COMPUTED_VALUE"""),"ร้านชัยดีกว่า (คุณวสันต์)")</f>
        <v>ร้านชัยดีกว่า (คุณวสันต์)</v>
      </c>
      <c r="D2856" s="3" t="str">
        <f>IFERROR(__xludf.DUMMYFUNCTION("""COMPUTED_VALUE"""),"ร้านชัยดีกว่า (คุณวสันต์)")</f>
        <v>ร้านชัยดีกว่า (คุณวสันต์)</v>
      </c>
      <c r="E2856" s="1" t="str">
        <f>IFERROR(__xludf.DUMMYFUNCTION("""COMPUTED_VALUE"""),"Donjai")</f>
        <v>Donjai</v>
      </c>
      <c r="F2856" s="1" t="str">
        <f>IFERROR(__xludf.DUMMYFUNCTION("""COMPUTED_VALUE"""),"015361")</f>
        <v>015361</v>
      </c>
      <c r="G2856" s="1" t="str">
        <f>IFERROR(__xludf.DUMMYFUNCTION("""COMPUTED_VALUE"""),"นายสมบูรณ์ พรหมในเมือง")</f>
        <v>นายสมบูรณ์ พรหมในเมือง</v>
      </c>
      <c r="H2856" s="1" t="str">
        <f>IFERROR(__xludf.DUMMYFUNCTION("""COMPUTED_VALUE"""),"015361")</f>
        <v>015361</v>
      </c>
      <c r="I2856" s="1" t="str">
        <f>IFERROR(__xludf.DUMMYFUNCTION("""COMPUTED_VALUE"""),"นายสมบูรณ์ พรหมในเมือง")</f>
        <v>นายสมบูรณ์ พรหมในเมือง</v>
      </c>
      <c r="J2856" s="3">
        <f>IFERROR(__xludf.DUMMYFUNCTION("""COMPUTED_VALUE"""),295886.0)</f>
        <v>295886</v>
      </c>
      <c r="K2856" s="3" t="str">
        <f>IFERROR(__xludf.DUMMYFUNCTION("""COMPUTED_VALUE"""),"นายจิระพงษ์ โพธิ์นิล")</f>
        <v>นายจิระพงษ์ โพธิ์นิล</v>
      </c>
      <c r="L2856" s="1" t="str">
        <f>IFERROR(__xludf.DUMMYFUNCTION("""COMPUTED_VALUE"""),"นายจิระพงษ์ โพธิ์นิล")</f>
        <v>นายจิระพงษ์ โพธิ์นิล</v>
      </c>
      <c r="M2856" s="1" t="str">
        <f>IFERROR(__xludf.DUMMYFUNCTION("""COMPUTED_VALUE"""),"0933290754")</f>
        <v>0933290754</v>
      </c>
      <c r="N2856" s="3">
        <f>IFERROR(__xludf.DUMMYFUNCTION("""COMPUTED_VALUE"""),83710.0)</f>
        <v>83710</v>
      </c>
      <c r="O2856" s="3" t="str">
        <f>IFERROR(__xludf.DUMMYFUNCTION("""COMPUTED_VALUE"""),"ร้านชัยดีกว่า (คุณวสันต์)")</f>
        <v>ร้านชัยดีกว่า (คุณวสันต์)</v>
      </c>
      <c r="P2856" s="4">
        <f>IFERROR(__xludf.DUMMYFUNCTION("""COMPUTED_VALUE"""),44640.0)</f>
        <v>44640</v>
      </c>
      <c r="Q2856" s="3" t="str">
        <f>IFERROR(__xludf.DUMMYFUNCTION("""COMPUTED_VALUE"""),"A")</f>
        <v>A</v>
      </c>
      <c r="R2856" s="3" t="str">
        <f>IFERROR(__xludf.DUMMYFUNCTION("""COMPUTED_VALUE"""),"Small Format")</f>
        <v>Small Format</v>
      </c>
      <c r="S2856" s="3" t="str">
        <f>IFERROR(__xludf.DUMMYFUNCTION("""COMPUTED_VALUE"""),"Donjai")</f>
        <v>Donjai</v>
      </c>
      <c r="T2856" s="3" t="str">
        <f>IFERROR(__xludf.DUMMYFUNCTION("""COMPUTED_VALUE"""),"04 K.Somboon P.")</f>
        <v>04 K.Somboon P.</v>
      </c>
      <c r="U2856" s="3" t="str">
        <f>IFERROR(__xludf.DUMMYFUNCTION("""COMPUTED_VALUE"""),"04 K.Somboon P.")</f>
        <v>04 K.Somboon P.</v>
      </c>
      <c r="V2856" s="3" t="str">
        <f>IFERROR(__xludf.DUMMYFUNCTION("""COMPUTED_VALUE"""),"N")</f>
        <v>N</v>
      </c>
      <c r="W2856" s="3"/>
      <c r="X2856" s="3" t="str">
        <f>IFERROR(__xludf.DUMMYFUNCTION("""COMPUTED_VALUE"""),"87 ม.5 ต.โนนสำราญ อ.แก้งสนามนาง จ.นครราชสีมา")</f>
        <v>87 ม.5 ต.โนนสำราญ อ.แก้งสนามนาง จ.นครราชสีมา</v>
      </c>
      <c r="Y2856" s="3"/>
      <c r="Z2856" s="3">
        <f>IFERROR(__xludf.DUMMYFUNCTION("""COMPUTED_VALUE"""),0.0)</f>
        <v>0</v>
      </c>
      <c r="AA2856" s="3">
        <f>IFERROR(__xludf.DUMMYFUNCTION("""COMPUTED_VALUE"""),0.0)</f>
        <v>0</v>
      </c>
      <c r="AB2856" s="3" t="str">
        <f>IFERROR(__xludf.DUMMYFUNCTION("""COMPUTED_VALUE"""),"นครราชสีมา")</f>
        <v>นครราชสีมา</v>
      </c>
      <c r="AC2856" s="3">
        <f>IFERROR(__xludf.DUMMYFUNCTION("""COMPUTED_VALUE"""),0.0)</f>
        <v>0</v>
      </c>
      <c r="AD2856" s="3"/>
      <c r="AE2856" s="3"/>
      <c r="AF2856" s="3" t="str">
        <f>IFERROR(__xludf.DUMMYFUNCTION("""COMPUTED_VALUE"""),"ร้านชัยดีกว่า (คุณวสันต์)-83710")</f>
        <v>ร้านชัยดีกว่า (คุณวสันต์)-83710</v>
      </c>
      <c r="AG2856" s="3" t="str">
        <f>IFERROR(__xludf.DUMMYFUNCTION("""COMPUTED_VALUE"""),"ตะวันออกเฉียงเหนือ")</f>
        <v>ตะวันออกเฉียงเหนือ</v>
      </c>
      <c r="AH2856" s="3" t="str">
        <f>IFERROR(__xludf.DUMMYFUNCTION("""COMPUTED_VALUE"""),"#N/A")</f>
        <v>#N/A</v>
      </c>
      <c r="AI2856" s="3" t="str">
        <f>IFERROR(__xludf.DUMMYFUNCTION("""COMPUTED_VALUE"""),"Out of warranty")</f>
        <v>Out of warranty</v>
      </c>
      <c r="AJ2856" s="3">
        <f>IFERROR(__xludf.DUMMYFUNCTION("""COMPUTED_VALUE"""),47.0)</f>
        <v>47</v>
      </c>
      <c r="AK2856" s="3"/>
      <c r="AL2856" s="3"/>
    </row>
    <row r="2857" ht="15.75" customHeight="1">
      <c r="A2857" s="1" t="str">
        <f>IFERROR(__xludf.DUMMYFUNCTION("""COMPUTED_VALUE"""),"83711")</f>
        <v>83711</v>
      </c>
      <c r="B2857" s="2">
        <f>IFERROR(__xludf.DUMMYFUNCTION("""COMPUTED_VALUE"""),83711.0)</f>
        <v>83711</v>
      </c>
      <c r="C2857" s="3" t="str">
        <f>IFERROR(__xludf.DUMMYFUNCTION("""COMPUTED_VALUE"""),"ร้านทรัพย์เพิ่มพูล")</f>
        <v>ร้านทรัพย์เพิ่มพูล</v>
      </c>
      <c r="D2857" s="3" t="str">
        <f>IFERROR(__xludf.DUMMYFUNCTION("""COMPUTED_VALUE"""),"ร้านทรัพย์เพิ่มพูล")</f>
        <v>ร้านทรัพย์เพิ่มพูล</v>
      </c>
      <c r="E2857" s="1" t="str">
        <f>IFERROR(__xludf.DUMMYFUNCTION("""COMPUTED_VALUE"""),"Donjai")</f>
        <v>Donjai</v>
      </c>
      <c r="F2857" s="1" t="str">
        <f>IFERROR(__xludf.DUMMYFUNCTION("""COMPUTED_VALUE"""),"015361")</f>
        <v>015361</v>
      </c>
      <c r="G2857" s="1" t="str">
        <f>IFERROR(__xludf.DUMMYFUNCTION("""COMPUTED_VALUE"""),"นายสมบูรณ์ พรหมในเมือง")</f>
        <v>นายสมบูรณ์ พรหมในเมือง</v>
      </c>
      <c r="H2857" s="1" t="str">
        <f>IFERROR(__xludf.DUMMYFUNCTION("""COMPUTED_VALUE"""),"015361")</f>
        <v>015361</v>
      </c>
      <c r="I2857" s="1" t="str">
        <f>IFERROR(__xludf.DUMMYFUNCTION("""COMPUTED_VALUE"""),"นายสมบูรณ์ พรหมในเมือง")</f>
        <v>นายสมบูรณ์ พรหมในเมือง</v>
      </c>
      <c r="J2857" s="3">
        <f>IFERROR(__xludf.DUMMYFUNCTION("""COMPUTED_VALUE"""),295886.0)</f>
        <v>295886</v>
      </c>
      <c r="K2857" s="3" t="str">
        <f>IFERROR(__xludf.DUMMYFUNCTION("""COMPUTED_VALUE"""),"นายจิระพงษ์ โพธิ์นิล")</f>
        <v>นายจิระพงษ์ โพธิ์นิล</v>
      </c>
      <c r="L2857" s="1" t="str">
        <f>IFERROR(__xludf.DUMMYFUNCTION("""COMPUTED_VALUE"""),"นายจิระพงษ์ โพธิ์นิล")</f>
        <v>นายจิระพงษ์ โพธิ์นิล</v>
      </c>
      <c r="M2857" s="1" t="str">
        <f>IFERROR(__xludf.DUMMYFUNCTION("""COMPUTED_VALUE"""),"0933290754")</f>
        <v>0933290754</v>
      </c>
      <c r="N2857" s="3">
        <f>IFERROR(__xludf.DUMMYFUNCTION("""COMPUTED_VALUE"""),83711.0)</f>
        <v>83711</v>
      </c>
      <c r="O2857" s="3" t="str">
        <f>IFERROR(__xludf.DUMMYFUNCTION("""COMPUTED_VALUE"""),"ร้านทรัพย์เพิ่มพูล")</f>
        <v>ร้านทรัพย์เพิ่มพูล</v>
      </c>
      <c r="P2857" s="4">
        <f>IFERROR(__xludf.DUMMYFUNCTION("""COMPUTED_VALUE"""),44652.0)</f>
        <v>44652</v>
      </c>
      <c r="Q2857" s="3" t="str">
        <f>IFERROR(__xludf.DUMMYFUNCTION("""COMPUTED_VALUE"""),"A")</f>
        <v>A</v>
      </c>
      <c r="R2857" s="3" t="str">
        <f>IFERROR(__xludf.DUMMYFUNCTION("""COMPUTED_VALUE"""),"Small Format")</f>
        <v>Small Format</v>
      </c>
      <c r="S2857" s="3" t="str">
        <f>IFERROR(__xludf.DUMMYFUNCTION("""COMPUTED_VALUE"""),"Donjai")</f>
        <v>Donjai</v>
      </c>
      <c r="T2857" s="3" t="str">
        <f>IFERROR(__xludf.DUMMYFUNCTION("""COMPUTED_VALUE"""),"04 K.Somboon P.")</f>
        <v>04 K.Somboon P.</v>
      </c>
      <c r="U2857" s="3" t="str">
        <f>IFERROR(__xludf.DUMMYFUNCTION("""COMPUTED_VALUE"""),"04 K.Somboon P.")</f>
        <v>04 K.Somboon P.</v>
      </c>
      <c r="V2857" s="3" t="str">
        <f>IFERROR(__xludf.DUMMYFUNCTION("""COMPUTED_VALUE"""),"N")</f>
        <v>N</v>
      </c>
      <c r="W2857" s="3"/>
      <c r="X2857" s="3" t="str">
        <f>IFERROR(__xludf.DUMMYFUNCTION("""COMPUTED_VALUE"""),"34 ม.5 ต.บ้านบัว อ.เกษตรสมบูรณ์ จ.ชัยภูมิ")</f>
        <v>34 ม.5 ต.บ้านบัว อ.เกษตรสมบูรณ์ จ.ชัยภูมิ</v>
      </c>
      <c r="Y2857" s="3"/>
      <c r="Z2857" s="3">
        <f>IFERROR(__xludf.DUMMYFUNCTION("""COMPUTED_VALUE"""),0.0)</f>
        <v>0</v>
      </c>
      <c r="AA2857" s="3">
        <f>IFERROR(__xludf.DUMMYFUNCTION("""COMPUTED_VALUE"""),0.0)</f>
        <v>0</v>
      </c>
      <c r="AB2857" s="3" t="str">
        <f>IFERROR(__xludf.DUMMYFUNCTION("""COMPUTED_VALUE"""),"ชัยภูมิ")</f>
        <v>ชัยภูมิ</v>
      </c>
      <c r="AC2857" s="3">
        <f>IFERROR(__xludf.DUMMYFUNCTION("""COMPUTED_VALUE"""),0.0)</f>
        <v>0</v>
      </c>
      <c r="AD2857" s="3"/>
      <c r="AE2857" s="3"/>
      <c r="AF2857" s="3" t="str">
        <f>IFERROR(__xludf.DUMMYFUNCTION("""COMPUTED_VALUE"""),"ร้านทรัพย์เพิ่มพูล-83711")</f>
        <v>ร้านทรัพย์เพิ่มพูล-83711</v>
      </c>
      <c r="AG2857" s="3" t="str">
        <f>IFERROR(__xludf.DUMMYFUNCTION("""COMPUTED_VALUE"""),"ตะวันออกเฉียงเหนือ")</f>
        <v>ตะวันออกเฉียงเหนือ</v>
      </c>
      <c r="AH2857" s="3" t="str">
        <f>IFERROR(__xludf.DUMMYFUNCTION("""COMPUTED_VALUE"""),"#N/A")</f>
        <v>#N/A</v>
      </c>
      <c r="AI2857" s="3" t="str">
        <f>IFERROR(__xludf.DUMMYFUNCTION("""COMPUTED_VALUE"""),"Out of warranty")</f>
        <v>Out of warranty</v>
      </c>
      <c r="AJ2857" s="3">
        <f>IFERROR(__xludf.DUMMYFUNCTION("""COMPUTED_VALUE"""),46.0)</f>
        <v>46</v>
      </c>
      <c r="AK2857" s="3"/>
      <c r="AL2857" s="3"/>
    </row>
    <row r="2858" ht="15.75" customHeight="1">
      <c r="A2858" s="1" t="str">
        <f>IFERROR(__xludf.DUMMYFUNCTION("""COMPUTED_VALUE"""),"83713")</f>
        <v>83713</v>
      </c>
      <c r="B2858" s="2">
        <f>IFERROR(__xludf.DUMMYFUNCTION("""COMPUTED_VALUE"""),83713.0)</f>
        <v>83713</v>
      </c>
      <c r="C2858" s="3" t="str">
        <f>IFERROR(__xludf.DUMMYFUNCTION("""COMPUTED_VALUE"""),"ร้านโอเดียร์ มินิมาร์ท")</f>
        <v>ร้านโอเดียร์ มินิมาร์ท</v>
      </c>
      <c r="D2858" s="3" t="str">
        <f>IFERROR(__xludf.DUMMYFUNCTION("""COMPUTED_VALUE"""),"ร้านโอเดียร์ มินิมาร์ท")</f>
        <v>ร้านโอเดียร์ มินิมาร์ท</v>
      </c>
      <c r="E2858" s="1" t="str">
        <f>IFERROR(__xludf.DUMMYFUNCTION("""COMPUTED_VALUE"""),"Donjai")</f>
        <v>Donjai</v>
      </c>
      <c r="F2858" s="1" t="str">
        <f>IFERROR(__xludf.DUMMYFUNCTION("""COMPUTED_VALUE"""),"015361")</f>
        <v>015361</v>
      </c>
      <c r="G2858" s="1" t="str">
        <f>IFERROR(__xludf.DUMMYFUNCTION("""COMPUTED_VALUE"""),"นายสมบูรณ์ พรหมในเมือง")</f>
        <v>นายสมบูรณ์ พรหมในเมือง</v>
      </c>
      <c r="H2858" s="1" t="str">
        <f>IFERROR(__xludf.DUMMYFUNCTION("""COMPUTED_VALUE"""),"015361")</f>
        <v>015361</v>
      </c>
      <c r="I2858" s="1" t="str">
        <f>IFERROR(__xludf.DUMMYFUNCTION("""COMPUTED_VALUE"""),"นายสมบูรณ์ พรหมในเมือง")</f>
        <v>นายสมบูรณ์ พรหมในเมือง</v>
      </c>
      <c r="J2858" s="3">
        <f>IFERROR(__xludf.DUMMYFUNCTION("""COMPUTED_VALUE"""),295886.0)</f>
        <v>295886</v>
      </c>
      <c r="K2858" s="3" t="str">
        <f>IFERROR(__xludf.DUMMYFUNCTION("""COMPUTED_VALUE"""),"นายจิระพงษ์ โพธิ์นิล")</f>
        <v>นายจิระพงษ์ โพธิ์นิล</v>
      </c>
      <c r="L2858" s="1" t="str">
        <f>IFERROR(__xludf.DUMMYFUNCTION("""COMPUTED_VALUE"""),"นายจิระพงษ์ โพธิ์นิล")</f>
        <v>นายจิระพงษ์ โพธิ์นิล</v>
      </c>
      <c r="M2858" s="1" t="str">
        <f>IFERROR(__xludf.DUMMYFUNCTION("""COMPUTED_VALUE"""),"0933290754")</f>
        <v>0933290754</v>
      </c>
      <c r="N2858" s="3">
        <f>IFERROR(__xludf.DUMMYFUNCTION("""COMPUTED_VALUE"""),83713.0)</f>
        <v>83713</v>
      </c>
      <c r="O2858" s="3" t="str">
        <f>IFERROR(__xludf.DUMMYFUNCTION("""COMPUTED_VALUE"""),"ร้านโอเดียร์ มินิมาร์ท")</f>
        <v>ร้านโอเดียร์ มินิมาร์ท</v>
      </c>
      <c r="P2858" s="4">
        <f>IFERROR(__xludf.DUMMYFUNCTION("""COMPUTED_VALUE"""),44655.0)</f>
        <v>44655</v>
      </c>
      <c r="Q2858" s="3" t="str">
        <f>IFERROR(__xludf.DUMMYFUNCTION("""COMPUTED_VALUE"""),"I")</f>
        <v>I</v>
      </c>
      <c r="R2858" s="3" t="str">
        <f>IFERROR(__xludf.DUMMYFUNCTION("""COMPUTED_VALUE"""),"Small Format")</f>
        <v>Small Format</v>
      </c>
      <c r="S2858" s="3" t="str">
        <f>IFERROR(__xludf.DUMMYFUNCTION("""COMPUTED_VALUE"""),"Donjai")</f>
        <v>Donjai</v>
      </c>
      <c r="T2858" s="3" t="str">
        <f>IFERROR(__xludf.DUMMYFUNCTION("""COMPUTED_VALUE"""),"04 K.Somboon P.")</f>
        <v>04 K.Somboon P.</v>
      </c>
      <c r="U2858" s="3" t="str">
        <f>IFERROR(__xludf.DUMMYFUNCTION("""COMPUTED_VALUE"""),"04 K.Somboon P.")</f>
        <v>04 K.Somboon P.</v>
      </c>
      <c r="V2858" s="3" t="str">
        <f>IFERROR(__xludf.DUMMYFUNCTION("""COMPUTED_VALUE"""),"N")</f>
        <v>N</v>
      </c>
      <c r="W2858" s="3"/>
      <c r="X2858" s="3" t="str">
        <f>IFERROR(__xludf.DUMMYFUNCTION("""COMPUTED_VALUE"""),"377 บ้านโนนเขวา ต.โนนทอง อ.เกษตรสมบูรณ์ จ.ชัยภูมิ")</f>
        <v>377 บ้านโนนเขวา ต.โนนทอง อ.เกษตรสมบูรณ์ จ.ชัยภูมิ</v>
      </c>
      <c r="Y2858" s="3"/>
      <c r="Z2858" s="3">
        <f>IFERROR(__xludf.DUMMYFUNCTION("""COMPUTED_VALUE"""),0.0)</f>
        <v>0</v>
      </c>
      <c r="AA2858" s="3">
        <f>IFERROR(__xludf.DUMMYFUNCTION("""COMPUTED_VALUE"""),0.0)</f>
        <v>0</v>
      </c>
      <c r="AB2858" s="3" t="str">
        <f>IFERROR(__xludf.DUMMYFUNCTION("""COMPUTED_VALUE"""),"ชัยภูมิ")</f>
        <v>ชัยภูมิ</v>
      </c>
      <c r="AC2858" s="3">
        <f>IFERROR(__xludf.DUMMYFUNCTION("""COMPUTED_VALUE"""),0.0)</f>
        <v>0</v>
      </c>
      <c r="AD2858" s="3"/>
      <c r="AE2858" s="3"/>
      <c r="AF2858" s="3" t="str">
        <f>IFERROR(__xludf.DUMMYFUNCTION("""COMPUTED_VALUE"""),"ร้านโอเดียร์ มินิมาร์ท-83713")</f>
        <v>ร้านโอเดียร์ มินิมาร์ท-83713</v>
      </c>
      <c r="AG2858" s="3" t="str">
        <f>IFERROR(__xludf.DUMMYFUNCTION("""COMPUTED_VALUE"""),"ตะวันออกเฉียงเหนือ")</f>
        <v>ตะวันออกเฉียงเหนือ</v>
      </c>
      <c r="AH2858" s="3" t="str">
        <f>IFERROR(__xludf.DUMMYFUNCTION("""COMPUTED_VALUE"""),"#N/A")</f>
        <v>#N/A</v>
      </c>
      <c r="AI2858" s="3" t="str">
        <f>IFERROR(__xludf.DUMMYFUNCTION("""COMPUTED_VALUE"""),"Out of warranty")</f>
        <v>Out of warranty</v>
      </c>
      <c r="AJ2858" s="3">
        <f>IFERROR(__xludf.DUMMYFUNCTION("""COMPUTED_VALUE"""),46.0)</f>
        <v>46</v>
      </c>
      <c r="AK2858" s="3"/>
      <c r="AL2858" s="3"/>
    </row>
    <row r="2859" ht="15.75" customHeight="1">
      <c r="A2859" s="1" t="str">
        <f>IFERROR(__xludf.DUMMYFUNCTION("""COMPUTED_VALUE"""),"83714")</f>
        <v>83714</v>
      </c>
      <c r="B2859" s="2">
        <f>IFERROR(__xludf.DUMMYFUNCTION("""COMPUTED_VALUE"""),83714.0)</f>
        <v>83714</v>
      </c>
      <c r="C2859" s="3" t="str">
        <f>IFERROR(__xludf.DUMMYFUNCTION("""COMPUTED_VALUE"""),"ร้าน คุณตามินิมาร์ท")</f>
        <v>ร้าน คุณตามินิมาร์ท</v>
      </c>
      <c r="D2859" s="3" t="str">
        <f>IFERROR(__xludf.DUMMYFUNCTION("""COMPUTED_VALUE"""),"ร้าน คุณตามินิมาร์ท")</f>
        <v>ร้าน คุณตามินิมาร์ท</v>
      </c>
      <c r="E2859" s="1" t="str">
        <f>IFERROR(__xludf.DUMMYFUNCTION("""COMPUTED_VALUE"""),"Donjai")</f>
        <v>Donjai</v>
      </c>
      <c r="F2859" s="1" t="str">
        <f>IFERROR(__xludf.DUMMYFUNCTION("""COMPUTED_VALUE"""),"015361")</f>
        <v>015361</v>
      </c>
      <c r="G2859" s="1" t="str">
        <f>IFERROR(__xludf.DUMMYFUNCTION("""COMPUTED_VALUE"""),"นายสมบูรณ์ พรหมในเมือง")</f>
        <v>นายสมบูรณ์ พรหมในเมือง</v>
      </c>
      <c r="H2859" s="1" t="str">
        <f>IFERROR(__xludf.DUMMYFUNCTION("""COMPUTED_VALUE"""),"015361")</f>
        <v>015361</v>
      </c>
      <c r="I2859" s="1" t="str">
        <f>IFERROR(__xludf.DUMMYFUNCTION("""COMPUTED_VALUE"""),"นายสมบูรณ์ พรหมในเมือง")</f>
        <v>นายสมบูรณ์ พรหมในเมือง</v>
      </c>
      <c r="J2859" s="3">
        <f>IFERROR(__xludf.DUMMYFUNCTION("""COMPUTED_VALUE"""),295886.0)</f>
        <v>295886</v>
      </c>
      <c r="K2859" s="3" t="str">
        <f>IFERROR(__xludf.DUMMYFUNCTION("""COMPUTED_VALUE"""),"นายจิระพงษ์ โพธิ์นิล")</f>
        <v>นายจิระพงษ์ โพธิ์นิล</v>
      </c>
      <c r="L2859" s="1" t="str">
        <f>IFERROR(__xludf.DUMMYFUNCTION("""COMPUTED_VALUE"""),"นายจิระพงษ์ โพธิ์นิล")</f>
        <v>นายจิระพงษ์ โพธิ์นิล</v>
      </c>
      <c r="M2859" s="1" t="str">
        <f>IFERROR(__xludf.DUMMYFUNCTION("""COMPUTED_VALUE"""),"0933290754")</f>
        <v>0933290754</v>
      </c>
      <c r="N2859" s="3">
        <f>IFERROR(__xludf.DUMMYFUNCTION("""COMPUTED_VALUE"""),83714.0)</f>
        <v>83714</v>
      </c>
      <c r="O2859" s="3" t="str">
        <f>IFERROR(__xludf.DUMMYFUNCTION("""COMPUTED_VALUE"""),"ร้าน คุณตามินิมาร์ท")</f>
        <v>ร้าน คุณตามินิมาร์ท</v>
      </c>
      <c r="P2859" s="4">
        <f>IFERROR(__xludf.DUMMYFUNCTION("""COMPUTED_VALUE"""),44640.0)</f>
        <v>44640</v>
      </c>
      <c r="Q2859" s="3" t="str">
        <f>IFERROR(__xludf.DUMMYFUNCTION("""COMPUTED_VALUE"""),"A")</f>
        <v>A</v>
      </c>
      <c r="R2859" s="3" t="str">
        <f>IFERROR(__xludf.DUMMYFUNCTION("""COMPUTED_VALUE"""),"Small Format")</f>
        <v>Small Format</v>
      </c>
      <c r="S2859" s="3" t="str">
        <f>IFERROR(__xludf.DUMMYFUNCTION("""COMPUTED_VALUE"""),"Donjai")</f>
        <v>Donjai</v>
      </c>
      <c r="T2859" s="3" t="str">
        <f>IFERROR(__xludf.DUMMYFUNCTION("""COMPUTED_VALUE"""),"04 K.Somboon P.")</f>
        <v>04 K.Somboon P.</v>
      </c>
      <c r="U2859" s="3" t="str">
        <f>IFERROR(__xludf.DUMMYFUNCTION("""COMPUTED_VALUE"""),"04 K.Somboon P.")</f>
        <v>04 K.Somboon P.</v>
      </c>
      <c r="V2859" s="3" t="str">
        <f>IFERROR(__xludf.DUMMYFUNCTION("""COMPUTED_VALUE"""),"N")</f>
        <v>N</v>
      </c>
      <c r="W2859" s="3"/>
      <c r="X2859" s="3" t="str">
        <f>IFERROR(__xludf.DUMMYFUNCTION("""COMPUTED_VALUE"""),"บ้านเกิ้ง 79 หมู่ 3 ต.บ้านไผ่ อ.บ้านไผ่ จ.ขอนก่น 40110")</f>
        <v>บ้านเกิ้ง 79 หมู่ 3 ต.บ้านไผ่ อ.บ้านไผ่ จ.ขอนก่น 40110</v>
      </c>
      <c r="Y2859" s="3"/>
      <c r="Z2859" s="3">
        <f>IFERROR(__xludf.DUMMYFUNCTION("""COMPUTED_VALUE"""),0.0)</f>
        <v>0</v>
      </c>
      <c r="AA2859" s="3">
        <f>IFERROR(__xludf.DUMMYFUNCTION("""COMPUTED_VALUE"""),0.0)</f>
        <v>0</v>
      </c>
      <c r="AB2859" s="3" t="str">
        <f>IFERROR(__xludf.DUMMYFUNCTION("""COMPUTED_VALUE"""),"ขอนแก่น")</f>
        <v>ขอนแก่น</v>
      </c>
      <c r="AC2859" s="3">
        <f>IFERROR(__xludf.DUMMYFUNCTION("""COMPUTED_VALUE"""),40110.0)</f>
        <v>40110</v>
      </c>
      <c r="AD2859" s="3"/>
      <c r="AE2859" s="3"/>
      <c r="AF2859" s="3" t="str">
        <f>IFERROR(__xludf.DUMMYFUNCTION("""COMPUTED_VALUE"""),"ร้าน คุณตามินิมาร์ท-83714")</f>
        <v>ร้าน คุณตามินิมาร์ท-83714</v>
      </c>
      <c r="AG2859" s="3" t="str">
        <f>IFERROR(__xludf.DUMMYFUNCTION("""COMPUTED_VALUE"""),"ตะวันออกเฉียงเหนือ")</f>
        <v>ตะวันออกเฉียงเหนือ</v>
      </c>
      <c r="AH2859" s="3" t="str">
        <f>IFERROR(__xludf.DUMMYFUNCTION("""COMPUTED_VALUE"""),"#N/A")</f>
        <v>#N/A</v>
      </c>
      <c r="AI2859" s="3" t="str">
        <f>IFERROR(__xludf.DUMMYFUNCTION("""COMPUTED_VALUE"""),"Out of warranty")</f>
        <v>Out of warranty</v>
      </c>
      <c r="AJ2859" s="3">
        <f>IFERROR(__xludf.DUMMYFUNCTION("""COMPUTED_VALUE"""),47.0)</f>
        <v>47</v>
      </c>
      <c r="AK2859" s="3"/>
      <c r="AL2859" s="3"/>
    </row>
    <row r="2860" ht="15.75" customHeight="1">
      <c r="A2860" s="1" t="str">
        <f>IFERROR(__xludf.DUMMYFUNCTION("""COMPUTED_VALUE"""),"83717")</f>
        <v>83717</v>
      </c>
      <c r="B2860" s="2">
        <f>IFERROR(__xludf.DUMMYFUNCTION("""COMPUTED_VALUE"""),83717.0)</f>
        <v>83717</v>
      </c>
      <c r="C2860" s="3" t="str">
        <f>IFERROR(__xludf.DUMMYFUNCTION("""COMPUTED_VALUE"""),"ร้าน MP ทวีทรัพย์")</f>
        <v>ร้าน MP ทวีทรัพย์</v>
      </c>
      <c r="D2860" s="3" t="str">
        <f>IFERROR(__xludf.DUMMYFUNCTION("""COMPUTED_VALUE"""),"ร้าน MP ทวีทรัพย์")</f>
        <v>ร้าน MP ทวีทรัพย์</v>
      </c>
      <c r="E2860" s="1" t="str">
        <f>IFERROR(__xludf.DUMMYFUNCTION("""COMPUTED_VALUE"""),"Donjai")</f>
        <v>Donjai</v>
      </c>
      <c r="F2860" s="1" t="str">
        <f>IFERROR(__xludf.DUMMYFUNCTION("""COMPUTED_VALUE"""),"296868")</f>
        <v>296868</v>
      </c>
      <c r="G2860" s="1" t="str">
        <f>IFERROR(__xludf.DUMMYFUNCTION("""COMPUTED_VALUE"""),"นายพีระพงษ์ แก้วดวงดี")</f>
        <v>นายพีระพงษ์ แก้วดวงดี</v>
      </c>
      <c r="H2860" s="1" t="str">
        <f>IFERROR(__xludf.DUMMYFUNCTION("""COMPUTED_VALUE"""),"296868")</f>
        <v>296868</v>
      </c>
      <c r="I2860" s="1" t="str">
        <f>IFERROR(__xludf.DUMMYFUNCTION("""COMPUTED_VALUE"""),"นายพีระพงษ์ แก้วดวงดี")</f>
        <v>นายพีระพงษ์ แก้วดวงดี</v>
      </c>
      <c r="J2860" s="3">
        <f>IFERROR(__xludf.DUMMYFUNCTION("""COMPUTED_VALUE"""),295886.0)</f>
        <v>295886</v>
      </c>
      <c r="K2860" s="3" t="str">
        <f>IFERROR(__xludf.DUMMYFUNCTION("""COMPUTED_VALUE"""),"นายจิระพงษ์ โพธิ์นิล")</f>
        <v>นายจิระพงษ์ โพธิ์นิล</v>
      </c>
      <c r="L2860" s="1" t="str">
        <f>IFERROR(__xludf.DUMMYFUNCTION("""COMPUTED_VALUE"""),"นายจิระพงษ์ โพธิ์นิล")</f>
        <v>นายจิระพงษ์ โพธิ์นิล</v>
      </c>
      <c r="M2860" s="1" t="str">
        <f>IFERROR(__xludf.DUMMYFUNCTION("""COMPUTED_VALUE"""),"0933290754")</f>
        <v>0933290754</v>
      </c>
      <c r="N2860" s="3">
        <f>IFERROR(__xludf.DUMMYFUNCTION("""COMPUTED_VALUE"""),83717.0)</f>
        <v>83717</v>
      </c>
      <c r="O2860" s="3" t="str">
        <f>IFERROR(__xludf.DUMMYFUNCTION("""COMPUTED_VALUE"""),"ร้าน MP ทวีทรัพย์")</f>
        <v>ร้าน MP ทวีทรัพย์</v>
      </c>
      <c r="P2860" s="4">
        <f>IFERROR(__xludf.DUMMYFUNCTION("""COMPUTED_VALUE"""),44633.0)</f>
        <v>44633</v>
      </c>
      <c r="Q2860" s="3" t="str">
        <f>IFERROR(__xludf.DUMMYFUNCTION("""COMPUTED_VALUE"""),"I")</f>
        <v>I</v>
      </c>
      <c r="R2860" s="3" t="str">
        <f>IFERROR(__xludf.DUMMYFUNCTION("""COMPUTED_VALUE"""),"Small Format")</f>
        <v>Small Format</v>
      </c>
      <c r="S2860" s="3" t="str">
        <f>IFERROR(__xludf.DUMMYFUNCTION("""COMPUTED_VALUE"""),"Donjai")</f>
        <v>Donjai</v>
      </c>
      <c r="T2860" s="3" t="str">
        <f>IFERROR(__xludf.DUMMYFUNCTION("""COMPUTED_VALUE"""),"03 K.Peerapong K.")</f>
        <v>03 K.Peerapong K.</v>
      </c>
      <c r="U2860" s="3" t="str">
        <f>IFERROR(__xludf.DUMMYFUNCTION("""COMPUTED_VALUE"""),"03 K.Peerapong K.")</f>
        <v>03 K.Peerapong K.</v>
      </c>
      <c r="V2860" s="3" t="str">
        <f>IFERROR(__xludf.DUMMYFUNCTION("""COMPUTED_VALUE"""),"N")</f>
        <v>N</v>
      </c>
      <c r="W2860" s="3"/>
      <c r="X2860" s="3" t="str">
        <f>IFERROR(__xludf.DUMMYFUNCTION("""COMPUTED_VALUE"""),"33 หมู่ที่ 19 ต.ธาตุ อ.วานรนิวาส จ.สกลนคร 47120")</f>
        <v>33 หมู่ที่ 19 ต.ธาตุ อ.วานรนิวาส จ.สกลนคร 47120</v>
      </c>
      <c r="Y2860" s="3"/>
      <c r="Z2860" s="3">
        <f>IFERROR(__xludf.DUMMYFUNCTION("""COMPUTED_VALUE"""),0.0)</f>
        <v>0</v>
      </c>
      <c r="AA2860" s="3">
        <f>IFERROR(__xludf.DUMMYFUNCTION("""COMPUTED_VALUE"""),0.0)</f>
        <v>0</v>
      </c>
      <c r="AB2860" s="3" t="str">
        <f>IFERROR(__xludf.DUMMYFUNCTION("""COMPUTED_VALUE"""),"สกลนคร")</f>
        <v>สกลนคร</v>
      </c>
      <c r="AC2860" s="3">
        <f>IFERROR(__xludf.DUMMYFUNCTION("""COMPUTED_VALUE"""),47120.0)</f>
        <v>47120</v>
      </c>
      <c r="AD2860" s="3"/>
      <c r="AE2860" s="3"/>
      <c r="AF2860" s="3" t="str">
        <f>IFERROR(__xludf.DUMMYFUNCTION("""COMPUTED_VALUE"""),"ร้าน MP ทวีทรัพย์-83717")</f>
        <v>ร้าน MP ทวีทรัพย์-83717</v>
      </c>
      <c r="AG2860" s="3" t="str">
        <f>IFERROR(__xludf.DUMMYFUNCTION("""COMPUTED_VALUE"""),"ตะวันออกเฉียงเหนือ")</f>
        <v>ตะวันออกเฉียงเหนือ</v>
      </c>
      <c r="AH2860" s="3" t="str">
        <f>IFERROR(__xludf.DUMMYFUNCTION("""COMPUTED_VALUE"""),"#N/A")</f>
        <v>#N/A</v>
      </c>
      <c r="AI2860" s="3" t="str">
        <f>IFERROR(__xludf.DUMMYFUNCTION("""COMPUTED_VALUE"""),"Out of warranty")</f>
        <v>Out of warranty</v>
      </c>
      <c r="AJ2860" s="3">
        <f>IFERROR(__xludf.DUMMYFUNCTION("""COMPUTED_VALUE"""),47.0)</f>
        <v>47</v>
      </c>
      <c r="AK2860" s="3"/>
      <c r="AL2860" s="3"/>
    </row>
    <row r="2861" ht="15.75" customHeight="1">
      <c r="A2861" s="1" t="str">
        <f>IFERROR(__xludf.DUMMYFUNCTION("""COMPUTED_VALUE"""),"83719")</f>
        <v>83719</v>
      </c>
      <c r="B2861" s="2">
        <f>IFERROR(__xludf.DUMMYFUNCTION("""COMPUTED_VALUE"""),83719.0)</f>
        <v>83719</v>
      </c>
      <c r="C2861" s="3" t="str">
        <f>IFERROR(__xludf.DUMMYFUNCTION("""COMPUTED_VALUE"""),"ร้านทรัพย์ทวีชัย")</f>
        <v>ร้านทรัพย์ทวีชัย</v>
      </c>
      <c r="D2861" s="3" t="str">
        <f>IFERROR(__xludf.DUMMYFUNCTION("""COMPUTED_VALUE"""),"ร้านทรัพย์ทวีชัย")</f>
        <v>ร้านทรัพย์ทวีชัย</v>
      </c>
      <c r="E2861" s="1" t="str">
        <f>IFERROR(__xludf.DUMMYFUNCTION("""COMPUTED_VALUE"""),"Donjai")</f>
        <v>Donjai</v>
      </c>
      <c r="F2861" s="1" t="str">
        <f>IFERROR(__xludf.DUMMYFUNCTION("""COMPUTED_VALUE"""),"015361")</f>
        <v>015361</v>
      </c>
      <c r="G2861" s="1" t="str">
        <f>IFERROR(__xludf.DUMMYFUNCTION("""COMPUTED_VALUE"""),"นายสมบูรณ์ พรหมในเมือง")</f>
        <v>นายสมบูรณ์ พรหมในเมือง</v>
      </c>
      <c r="H2861" s="1" t="str">
        <f>IFERROR(__xludf.DUMMYFUNCTION("""COMPUTED_VALUE"""),"015361")</f>
        <v>015361</v>
      </c>
      <c r="I2861" s="1" t="str">
        <f>IFERROR(__xludf.DUMMYFUNCTION("""COMPUTED_VALUE"""),"นายสมบูรณ์ พรหมในเมือง")</f>
        <v>นายสมบูรณ์ พรหมในเมือง</v>
      </c>
      <c r="J2861" s="3">
        <f>IFERROR(__xludf.DUMMYFUNCTION("""COMPUTED_VALUE"""),295886.0)</f>
        <v>295886</v>
      </c>
      <c r="K2861" s="3" t="str">
        <f>IFERROR(__xludf.DUMMYFUNCTION("""COMPUTED_VALUE"""),"นายจิระพงษ์ โพธิ์นิล")</f>
        <v>นายจิระพงษ์ โพธิ์นิล</v>
      </c>
      <c r="L2861" s="1" t="str">
        <f>IFERROR(__xludf.DUMMYFUNCTION("""COMPUTED_VALUE"""),"นายจิระพงษ์ โพธิ์นิล")</f>
        <v>นายจิระพงษ์ โพธิ์นิล</v>
      </c>
      <c r="M2861" s="1" t="str">
        <f>IFERROR(__xludf.DUMMYFUNCTION("""COMPUTED_VALUE"""),"0933290754")</f>
        <v>0933290754</v>
      </c>
      <c r="N2861" s="3">
        <f>IFERROR(__xludf.DUMMYFUNCTION("""COMPUTED_VALUE"""),83719.0)</f>
        <v>83719</v>
      </c>
      <c r="O2861" s="3" t="str">
        <f>IFERROR(__xludf.DUMMYFUNCTION("""COMPUTED_VALUE"""),"ร้านทรัพย์ทวีชัย")</f>
        <v>ร้านทรัพย์ทวีชัย</v>
      </c>
      <c r="P2861" s="4">
        <f>IFERROR(__xludf.DUMMYFUNCTION("""COMPUTED_VALUE"""),44647.0)</f>
        <v>44647</v>
      </c>
      <c r="Q2861" s="3" t="str">
        <f>IFERROR(__xludf.DUMMYFUNCTION("""COMPUTED_VALUE"""),"A")</f>
        <v>A</v>
      </c>
      <c r="R2861" s="3" t="str">
        <f>IFERROR(__xludf.DUMMYFUNCTION("""COMPUTED_VALUE"""),"Small Format")</f>
        <v>Small Format</v>
      </c>
      <c r="S2861" s="3" t="str">
        <f>IFERROR(__xludf.DUMMYFUNCTION("""COMPUTED_VALUE"""),"Donjai")</f>
        <v>Donjai</v>
      </c>
      <c r="T2861" s="3" t="str">
        <f>IFERROR(__xludf.DUMMYFUNCTION("""COMPUTED_VALUE"""),"04 K.Somboon P.")</f>
        <v>04 K.Somboon P.</v>
      </c>
      <c r="U2861" s="3" t="str">
        <f>IFERROR(__xludf.DUMMYFUNCTION("""COMPUTED_VALUE"""),"04 K.Somboon P.")</f>
        <v>04 K.Somboon P.</v>
      </c>
      <c r="V2861" s="3" t="str">
        <f>IFERROR(__xludf.DUMMYFUNCTION("""COMPUTED_VALUE"""),"N")</f>
        <v>N</v>
      </c>
      <c r="W2861" s="3"/>
      <c r="X2861" s="3" t="str">
        <f>IFERROR(__xludf.DUMMYFUNCTION("""COMPUTED_VALUE"""),"295 หมู่ 5 หมู่บ้านบำเน็จสุวรรณ ต.ถ้ำวัวทอง อ.หนองบัวแดง จ.ชัยภูมิ 36210")</f>
        <v>295 หมู่ 5 หมู่บ้านบำเน็จสุวรรณ ต.ถ้ำวัวทอง อ.หนองบัวแดง จ.ชัยภูมิ 36210</v>
      </c>
      <c r="Y2861" s="3"/>
      <c r="Z2861" s="3">
        <f>IFERROR(__xludf.DUMMYFUNCTION("""COMPUTED_VALUE"""),0.0)</f>
        <v>0</v>
      </c>
      <c r="AA2861" s="3">
        <f>IFERROR(__xludf.DUMMYFUNCTION("""COMPUTED_VALUE"""),0.0)</f>
        <v>0</v>
      </c>
      <c r="AB2861" s="3" t="str">
        <f>IFERROR(__xludf.DUMMYFUNCTION("""COMPUTED_VALUE"""),"ชัยภูมิ")</f>
        <v>ชัยภูมิ</v>
      </c>
      <c r="AC2861" s="3">
        <f>IFERROR(__xludf.DUMMYFUNCTION("""COMPUTED_VALUE"""),36210.0)</f>
        <v>36210</v>
      </c>
      <c r="AD2861" s="3"/>
      <c r="AE2861" s="3"/>
      <c r="AF2861" s="3" t="str">
        <f>IFERROR(__xludf.DUMMYFUNCTION("""COMPUTED_VALUE"""),"ร้านทรัพย์ทวีชัย-83719")</f>
        <v>ร้านทรัพย์ทวีชัย-83719</v>
      </c>
      <c r="AG2861" s="3" t="str">
        <f>IFERROR(__xludf.DUMMYFUNCTION("""COMPUTED_VALUE"""),"ตะวันออกเฉียงเหนือ")</f>
        <v>ตะวันออกเฉียงเหนือ</v>
      </c>
      <c r="AH2861" s="3" t="str">
        <f>IFERROR(__xludf.DUMMYFUNCTION("""COMPUTED_VALUE"""),"#N/A")</f>
        <v>#N/A</v>
      </c>
      <c r="AI2861" s="3" t="str">
        <f>IFERROR(__xludf.DUMMYFUNCTION("""COMPUTED_VALUE"""),"Out of warranty")</f>
        <v>Out of warranty</v>
      </c>
      <c r="AJ2861" s="3">
        <f>IFERROR(__xludf.DUMMYFUNCTION("""COMPUTED_VALUE"""),46.0)</f>
        <v>46</v>
      </c>
      <c r="AK2861" s="3"/>
      <c r="AL2861" s="3"/>
    </row>
    <row r="2862" ht="15.75" customHeight="1">
      <c r="A2862" s="1" t="str">
        <f>IFERROR(__xludf.DUMMYFUNCTION("""COMPUTED_VALUE"""),"83720")</f>
        <v>83720</v>
      </c>
      <c r="B2862" s="2">
        <f>IFERROR(__xludf.DUMMYFUNCTION("""COMPUTED_VALUE"""),83720.0)</f>
        <v>83720</v>
      </c>
      <c r="C2862" s="3" t="str">
        <f>IFERROR(__xludf.DUMMYFUNCTION("""COMPUTED_VALUE"""),"ร้านอรดา มินิมาร์ท")</f>
        <v>ร้านอรดา มินิมาร์ท</v>
      </c>
      <c r="D2862" s="3" t="str">
        <f>IFERROR(__xludf.DUMMYFUNCTION("""COMPUTED_VALUE"""),"ร้านอรดา มินิมาร์ท")</f>
        <v>ร้านอรดา มินิมาร์ท</v>
      </c>
      <c r="E2862" s="1" t="str">
        <f>IFERROR(__xludf.DUMMYFUNCTION("""COMPUTED_VALUE"""),"Donjai")</f>
        <v>Donjai</v>
      </c>
      <c r="F2862" s="1" t="str">
        <f>IFERROR(__xludf.DUMMYFUNCTION("""COMPUTED_VALUE"""),"296868")</f>
        <v>296868</v>
      </c>
      <c r="G2862" s="1" t="str">
        <f>IFERROR(__xludf.DUMMYFUNCTION("""COMPUTED_VALUE"""),"นายพีระพงษ์ แก้วดวงดี")</f>
        <v>นายพีระพงษ์ แก้วดวงดี</v>
      </c>
      <c r="H2862" s="1" t="str">
        <f>IFERROR(__xludf.DUMMYFUNCTION("""COMPUTED_VALUE"""),"296868")</f>
        <v>296868</v>
      </c>
      <c r="I2862" s="1" t="str">
        <f>IFERROR(__xludf.DUMMYFUNCTION("""COMPUTED_VALUE"""),"นายพีระพงษ์ แก้วดวงดี")</f>
        <v>นายพีระพงษ์ แก้วดวงดี</v>
      </c>
      <c r="J2862" s="3">
        <f>IFERROR(__xludf.DUMMYFUNCTION("""COMPUTED_VALUE"""),295886.0)</f>
        <v>295886</v>
      </c>
      <c r="K2862" s="3" t="str">
        <f>IFERROR(__xludf.DUMMYFUNCTION("""COMPUTED_VALUE"""),"นายจิระพงษ์ โพธิ์นิล")</f>
        <v>นายจิระพงษ์ โพธิ์นิล</v>
      </c>
      <c r="L2862" s="1" t="str">
        <f>IFERROR(__xludf.DUMMYFUNCTION("""COMPUTED_VALUE"""),"นายจิระพงษ์ โพธิ์นิล")</f>
        <v>นายจิระพงษ์ โพธิ์นิล</v>
      </c>
      <c r="M2862" s="1" t="str">
        <f>IFERROR(__xludf.DUMMYFUNCTION("""COMPUTED_VALUE"""),"0933290754")</f>
        <v>0933290754</v>
      </c>
      <c r="N2862" s="3">
        <f>IFERROR(__xludf.DUMMYFUNCTION("""COMPUTED_VALUE"""),83720.0)</f>
        <v>83720</v>
      </c>
      <c r="O2862" s="3" t="str">
        <f>IFERROR(__xludf.DUMMYFUNCTION("""COMPUTED_VALUE"""),"ร้านอรดา มินิมาร์ท")</f>
        <v>ร้านอรดา มินิมาร์ท</v>
      </c>
      <c r="P2862" s="4">
        <f>IFERROR(__xludf.DUMMYFUNCTION("""COMPUTED_VALUE"""),44643.0)</f>
        <v>44643</v>
      </c>
      <c r="Q2862" s="3" t="str">
        <f>IFERROR(__xludf.DUMMYFUNCTION("""COMPUTED_VALUE"""),"I")</f>
        <v>I</v>
      </c>
      <c r="R2862" s="3" t="str">
        <f>IFERROR(__xludf.DUMMYFUNCTION("""COMPUTED_VALUE"""),"Small Format")</f>
        <v>Small Format</v>
      </c>
      <c r="S2862" s="3" t="str">
        <f>IFERROR(__xludf.DUMMYFUNCTION("""COMPUTED_VALUE"""),"Donjai")</f>
        <v>Donjai</v>
      </c>
      <c r="T2862" s="3" t="str">
        <f>IFERROR(__xludf.DUMMYFUNCTION("""COMPUTED_VALUE"""),"03 K.Peerapong K.")</f>
        <v>03 K.Peerapong K.</v>
      </c>
      <c r="U2862" s="3" t="str">
        <f>IFERROR(__xludf.DUMMYFUNCTION("""COMPUTED_VALUE"""),"03 K.Peerapong K.")</f>
        <v>03 K.Peerapong K.</v>
      </c>
      <c r="V2862" s="3" t="str">
        <f>IFERROR(__xludf.DUMMYFUNCTION("""COMPUTED_VALUE"""),"N")</f>
        <v>N</v>
      </c>
      <c r="W2862" s="3"/>
      <c r="X2862" s="3" t="str">
        <f>IFERROR(__xludf.DUMMYFUNCTION("""COMPUTED_VALUE"""),"356/3 ม.2 ต.หนองฮี อ.ปลาปาก จ.นครพนม 48160")</f>
        <v>356/3 ม.2 ต.หนองฮี อ.ปลาปาก จ.นครพนม 48160</v>
      </c>
      <c r="Y2862" s="3"/>
      <c r="Z2862" s="3">
        <f>IFERROR(__xludf.DUMMYFUNCTION("""COMPUTED_VALUE"""),0.0)</f>
        <v>0</v>
      </c>
      <c r="AA2862" s="3">
        <f>IFERROR(__xludf.DUMMYFUNCTION("""COMPUTED_VALUE"""),0.0)</f>
        <v>0</v>
      </c>
      <c r="AB2862" s="3" t="str">
        <f>IFERROR(__xludf.DUMMYFUNCTION("""COMPUTED_VALUE"""),"นครพนม")</f>
        <v>นครพนม</v>
      </c>
      <c r="AC2862" s="3">
        <f>IFERROR(__xludf.DUMMYFUNCTION("""COMPUTED_VALUE"""),48160.0)</f>
        <v>48160</v>
      </c>
      <c r="AD2862" s="3"/>
      <c r="AE2862" s="3"/>
      <c r="AF2862" s="3" t="str">
        <f>IFERROR(__xludf.DUMMYFUNCTION("""COMPUTED_VALUE"""),"ร้านอรดา มินิมาร์ท-83720")</f>
        <v>ร้านอรดา มินิมาร์ท-83720</v>
      </c>
      <c r="AG2862" s="3" t="str">
        <f>IFERROR(__xludf.DUMMYFUNCTION("""COMPUTED_VALUE"""),"ตะวันออกเฉียงเหนือ")</f>
        <v>ตะวันออกเฉียงเหนือ</v>
      </c>
      <c r="AH2862" s="3" t="str">
        <f>IFERROR(__xludf.DUMMYFUNCTION("""COMPUTED_VALUE"""),"#N/A")</f>
        <v>#N/A</v>
      </c>
      <c r="AI2862" s="3" t="str">
        <f>IFERROR(__xludf.DUMMYFUNCTION("""COMPUTED_VALUE"""),"Out of warranty")</f>
        <v>Out of warranty</v>
      </c>
      <c r="AJ2862" s="3">
        <f>IFERROR(__xludf.DUMMYFUNCTION("""COMPUTED_VALUE"""),46.0)</f>
        <v>46</v>
      </c>
      <c r="AK2862" s="3"/>
      <c r="AL2862" s="3"/>
    </row>
    <row r="2863" ht="15.75" customHeight="1">
      <c r="A2863" s="1" t="str">
        <f>IFERROR(__xludf.DUMMYFUNCTION("""COMPUTED_VALUE"""),"83721")</f>
        <v>83721</v>
      </c>
      <c r="B2863" s="2">
        <f>IFERROR(__xludf.DUMMYFUNCTION("""COMPUTED_VALUE"""),83721.0)</f>
        <v>83721</v>
      </c>
      <c r="C2863" s="3" t="str">
        <f>IFERROR(__xludf.DUMMYFUNCTION("""COMPUTED_VALUE"""),"ร้านอุ๊ย (สุริยา)")</f>
        <v>ร้านอุ๊ย (สุริยา)</v>
      </c>
      <c r="D2863" s="3" t="str">
        <f>IFERROR(__xludf.DUMMYFUNCTION("""COMPUTED_VALUE"""),"ร้านอุ๊ย (สุริยา)")</f>
        <v>ร้านอุ๊ย (สุริยา)</v>
      </c>
      <c r="E2863" s="1" t="str">
        <f>IFERROR(__xludf.DUMMYFUNCTION("""COMPUTED_VALUE"""),"Donjai")</f>
        <v>Donjai</v>
      </c>
      <c r="F2863" s="1" t="str">
        <f>IFERROR(__xludf.DUMMYFUNCTION("""COMPUTED_VALUE"""),"296608")</f>
        <v>296608</v>
      </c>
      <c r="G2863" s="1" t="str">
        <f>IFERROR(__xludf.DUMMYFUNCTION("""COMPUTED_VALUE"""),"นายภาคภูมิ เพ็ชรนิล")</f>
        <v>นายภาคภูมิ เพ็ชรนิล</v>
      </c>
      <c r="H2863" s="1" t="str">
        <f>IFERROR(__xludf.DUMMYFUNCTION("""COMPUTED_VALUE"""),"296608")</f>
        <v>296608</v>
      </c>
      <c r="I2863" s="1" t="str">
        <f>IFERROR(__xludf.DUMMYFUNCTION("""COMPUTED_VALUE"""),"นายภาคภูมิ เพ็ชรนิล")</f>
        <v>นายภาคภูมิ เพ็ชรนิล</v>
      </c>
      <c r="J2863" s="3">
        <f>IFERROR(__xludf.DUMMYFUNCTION("""COMPUTED_VALUE"""),228031.0)</f>
        <v>228031</v>
      </c>
      <c r="K2863" s="3" t="str">
        <f>IFERROR(__xludf.DUMMYFUNCTION("""COMPUTED_VALUE"""),"นายธนพงษ์ วันหมัด")</f>
        <v>นายธนพงษ์ วันหมัด</v>
      </c>
      <c r="L2863" s="1" t="str">
        <f>IFERROR(__xludf.DUMMYFUNCTION("""COMPUTED_VALUE"""),"นายธนพงษ์ วันหมัด")</f>
        <v>นายธนพงษ์ วันหมัด</v>
      </c>
      <c r="M2863" s="1" t="str">
        <f>IFERROR(__xludf.DUMMYFUNCTION("""COMPUTED_VALUE"""),"0813716913")</f>
        <v>0813716913</v>
      </c>
      <c r="N2863" s="3">
        <f>IFERROR(__xludf.DUMMYFUNCTION("""COMPUTED_VALUE"""),83721.0)</f>
        <v>83721</v>
      </c>
      <c r="O2863" s="3" t="str">
        <f>IFERROR(__xludf.DUMMYFUNCTION("""COMPUTED_VALUE"""),"ร้านอุ๊ย (สุริยา)")</f>
        <v>ร้านอุ๊ย (สุริยา)</v>
      </c>
      <c r="P2863" s="4">
        <f>IFERROR(__xludf.DUMMYFUNCTION("""COMPUTED_VALUE"""),44653.0)</f>
        <v>44653</v>
      </c>
      <c r="Q2863" s="3" t="str">
        <f>IFERROR(__xludf.DUMMYFUNCTION("""COMPUTED_VALUE"""),"I")</f>
        <v>I</v>
      </c>
      <c r="R2863" s="3" t="str">
        <f>IFERROR(__xludf.DUMMYFUNCTION("""COMPUTED_VALUE"""),"Small Format")</f>
        <v>Small Format</v>
      </c>
      <c r="S2863" s="3" t="str">
        <f>IFERROR(__xludf.DUMMYFUNCTION("""COMPUTED_VALUE"""),"Donjai")</f>
        <v>Donjai</v>
      </c>
      <c r="T2863" s="3" t="str">
        <f>IFERROR(__xludf.DUMMYFUNCTION("""COMPUTED_VALUE"""),"10 K.Phakphoom P.")</f>
        <v>10 K.Phakphoom P.</v>
      </c>
      <c r="U2863" s="3" t="str">
        <f>IFERROR(__xludf.DUMMYFUNCTION("""COMPUTED_VALUE"""),"10 K.Phakphoom P.")</f>
        <v>10 K.Phakphoom P.</v>
      </c>
      <c r="V2863" s="3" t="str">
        <f>IFERROR(__xludf.DUMMYFUNCTION("""COMPUTED_VALUE"""),"N")</f>
        <v>N</v>
      </c>
      <c r="W2863" s="3"/>
      <c r="X2863" s="3" t="str">
        <f>IFERROR(__xludf.DUMMYFUNCTION("""COMPUTED_VALUE"""),"หมู่บ้าน สวีทโฮม เลขที่ 100/80หมู่ 4 ต. บางบัวทอง จ. นนทบุรี")</f>
        <v>หมู่บ้าน สวีทโฮม เลขที่ 100/80หมู่ 4 ต. บางบัวทอง จ. นนทบุรี</v>
      </c>
      <c r="Y2863" s="3"/>
      <c r="Z2863" s="3">
        <f>IFERROR(__xludf.DUMMYFUNCTION("""COMPUTED_VALUE"""),0.0)</f>
        <v>0</v>
      </c>
      <c r="AA2863" s="3">
        <f>IFERROR(__xludf.DUMMYFUNCTION("""COMPUTED_VALUE"""),0.0)</f>
        <v>0</v>
      </c>
      <c r="AB2863" s="3" t="str">
        <f>IFERROR(__xludf.DUMMYFUNCTION("""COMPUTED_VALUE"""),"นนทบุรี")</f>
        <v>นนทบุรี</v>
      </c>
      <c r="AC2863" s="3">
        <f>IFERROR(__xludf.DUMMYFUNCTION("""COMPUTED_VALUE"""),0.0)</f>
        <v>0</v>
      </c>
      <c r="AD2863" s="3"/>
      <c r="AE2863" s="3"/>
      <c r="AF2863" s="3" t="str">
        <f>IFERROR(__xludf.DUMMYFUNCTION("""COMPUTED_VALUE"""),"ร้านอุ๊ย (สุริยา)-83721")</f>
        <v>ร้านอุ๊ย (สุริยา)-83721</v>
      </c>
      <c r="AG2863" s="3" t="str">
        <f>IFERROR(__xludf.DUMMYFUNCTION("""COMPUTED_VALUE"""),"กลาง")</f>
        <v>กลาง</v>
      </c>
      <c r="AH2863" s="3" t="str">
        <f>IFERROR(__xludf.DUMMYFUNCTION("""COMPUTED_VALUE"""),"#N/A")</f>
        <v>#N/A</v>
      </c>
      <c r="AI2863" s="3" t="str">
        <f>IFERROR(__xludf.DUMMYFUNCTION("""COMPUTED_VALUE"""),"Out of warranty")</f>
        <v>Out of warranty</v>
      </c>
      <c r="AJ2863" s="3">
        <f>IFERROR(__xludf.DUMMYFUNCTION("""COMPUTED_VALUE"""),46.0)</f>
        <v>46</v>
      </c>
      <c r="AK2863" s="3"/>
      <c r="AL2863" s="3"/>
    </row>
    <row r="2864" ht="15.75" customHeight="1">
      <c r="A2864" s="1" t="str">
        <f>IFERROR(__xludf.DUMMYFUNCTION("""COMPUTED_VALUE"""),"83722")</f>
        <v>83722</v>
      </c>
      <c r="B2864" s="2">
        <f>IFERROR(__xludf.DUMMYFUNCTION("""COMPUTED_VALUE"""),83722.0)</f>
        <v>83722</v>
      </c>
      <c r="C2864" s="3" t="str">
        <f>IFERROR(__xludf.DUMMYFUNCTION("""COMPUTED_VALUE"""),"ร้านเพิ่มพูนทรัพย์")</f>
        <v>ร้านเพิ่มพูนทรัพย์</v>
      </c>
      <c r="D2864" s="3" t="str">
        <f>IFERROR(__xludf.DUMMYFUNCTION("""COMPUTED_VALUE"""),"ร้านเพิ่มพูนทรัพย์")</f>
        <v>ร้านเพิ่มพูนทรัพย์</v>
      </c>
      <c r="E2864" s="1" t="str">
        <f>IFERROR(__xludf.DUMMYFUNCTION("""COMPUTED_VALUE"""),"Donjai")</f>
        <v>Donjai</v>
      </c>
      <c r="F2864" s="1" t="str">
        <f>IFERROR(__xludf.DUMMYFUNCTION("""COMPUTED_VALUE"""),"296945")</f>
        <v>296945</v>
      </c>
      <c r="G2864" s="1" t="str">
        <f>IFERROR(__xludf.DUMMYFUNCTION("""COMPUTED_VALUE"""),"นายรักพงศ์ พงศ์พันธ์งาม")</f>
        <v>นายรักพงศ์ พงศ์พันธ์งาม</v>
      </c>
      <c r="H2864" s="1" t="str">
        <f>IFERROR(__xludf.DUMMYFUNCTION("""COMPUTED_VALUE"""),"296945")</f>
        <v>296945</v>
      </c>
      <c r="I2864" s="1" t="str">
        <f>IFERROR(__xludf.DUMMYFUNCTION("""COMPUTED_VALUE"""),"นายรักพงศ์ พงศ์พันธ์งาม")</f>
        <v>นายรักพงศ์ พงศ์พันธ์งาม</v>
      </c>
      <c r="J2864" s="3">
        <f>IFERROR(__xludf.DUMMYFUNCTION("""COMPUTED_VALUE"""),228031.0)</f>
        <v>228031</v>
      </c>
      <c r="K2864" s="3" t="str">
        <f>IFERROR(__xludf.DUMMYFUNCTION("""COMPUTED_VALUE"""),"นายธนพงษ์ วันหมัด")</f>
        <v>นายธนพงษ์ วันหมัด</v>
      </c>
      <c r="L2864" s="1" t="str">
        <f>IFERROR(__xludf.DUMMYFUNCTION("""COMPUTED_VALUE"""),"นายธนพงษ์ วันหมัด")</f>
        <v>นายธนพงษ์ วันหมัด</v>
      </c>
      <c r="M2864" s="1" t="str">
        <f>IFERROR(__xludf.DUMMYFUNCTION("""COMPUTED_VALUE"""),"0813716913")</f>
        <v>0813716913</v>
      </c>
      <c r="N2864" s="3">
        <f>IFERROR(__xludf.DUMMYFUNCTION("""COMPUTED_VALUE"""),83722.0)</f>
        <v>83722</v>
      </c>
      <c r="O2864" s="3" t="str">
        <f>IFERROR(__xludf.DUMMYFUNCTION("""COMPUTED_VALUE"""),"ร้านเพิ่มพูนทรัพย์")</f>
        <v>ร้านเพิ่มพูนทรัพย์</v>
      </c>
      <c r="P2864" s="4">
        <f>IFERROR(__xludf.DUMMYFUNCTION("""COMPUTED_VALUE"""),44631.0)</f>
        <v>44631</v>
      </c>
      <c r="Q2864" s="3" t="str">
        <f>IFERROR(__xludf.DUMMYFUNCTION("""COMPUTED_VALUE"""),"I")</f>
        <v>I</v>
      </c>
      <c r="R2864" s="3" t="str">
        <f>IFERROR(__xludf.DUMMYFUNCTION("""COMPUTED_VALUE"""),"Small Format")</f>
        <v>Small Format</v>
      </c>
      <c r="S2864" s="3" t="str">
        <f>IFERROR(__xludf.DUMMYFUNCTION("""COMPUTED_VALUE"""),"Donjai")</f>
        <v>Donjai</v>
      </c>
      <c r="T2864" s="3">
        <f>IFERROR(__xludf.DUMMYFUNCTION("""COMPUTED_VALUE"""),0.0)</f>
        <v>0</v>
      </c>
      <c r="U2864" s="3">
        <f>IFERROR(__xludf.DUMMYFUNCTION("""COMPUTED_VALUE"""),0.0)</f>
        <v>0</v>
      </c>
      <c r="V2864" s="3" t="str">
        <f>IFERROR(__xludf.DUMMYFUNCTION("""COMPUTED_VALUE"""),"N")</f>
        <v>N</v>
      </c>
      <c r="W2864" s="3"/>
      <c r="X2864" s="3" t="str">
        <f>IFERROR(__xludf.DUMMYFUNCTION("""COMPUTED_VALUE"""),"192/5 ม. 16 ต. บางเสาธง อ.บางเสาธง จ.สมุทรปราการ")</f>
        <v>192/5 ม. 16 ต. บางเสาธง อ.บางเสาธง จ.สมุทรปราการ</v>
      </c>
      <c r="Y2864" s="3"/>
      <c r="Z2864" s="3">
        <f>IFERROR(__xludf.DUMMYFUNCTION("""COMPUTED_VALUE"""),0.0)</f>
        <v>0</v>
      </c>
      <c r="AA2864" s="3">
        <f>IFERROR(__xludf.DUMMYFUNCTION("""COMPUTED_VALUE"""),0.0)</f>
        <v>0</v>
      </c>
      <c r="AB2864" s="3" t="str">
        <f>IFERROR(__xludf.DUMMYFUNCTION("""COMPUTED_VALUE"""),"สมุทรปราการ")</f>
        <v>สมุทรปราการ</v>
      </c>
      <c r="AC2864" s="3">
        <f>IFERROR(__xludf.DUMMYFUNCTION("""COMPUTED_VALUE"""),0.0)</f>
        <v>0</v>
      </c>
      <c r="AD2864" s="3"/>
      <c r="AE2864" s="3"/>
      <c r="AF2864" s="3" t="str">
        <f>IFERROR(__xludf.DUMMYFUNCTION("""COMPUTED_VALUE"""),"ร้านเพิ่มพูนทรัพย์-83722")</f>
        <v>ร้านเพิ่มพูนทรัพย์-83722</v>
      </c>
      <c r="AG2864" s="3" t="str">
        <f>IFERROR(__xludf.DUMMYFUNCTION("""COMPUTED_VALUE"""),"กลาง")</f>
        <v>กลาง</v>
      </c>
      <c r="AH2864" s="3" t="str">
        <f>IFERROR(__xludf.DUMMYFUNCTION("""COMPUTED_VALUE"""),"#N/A")</f>
        <v>#N/A</v>
      </c>
      <c r="AI2864" s="3" t="str">
        <f>IFERROR(__xludf.DUMMYFUNCTION("""COMPUTED_VALUE"""),"Out of warranty")</f>
        <v>Out of warranty</v>
      </c>
      <c r="AJ2864" s="3">
        <f>IFERROR(__xludf.DUMMYFUNCTION("""COMPUTED_VALUE"""),47.0)</f>
        <v>47</v>
      </c>
      <c r="AK2864" s="3"/>
      <c r="AL2864" s="3"/>
    </row>
    <row r="2865" ht="15.75" customHeight="1">
      <c r="A2865" s="1" t="str">
        <f>IFERROR(__xludf.DUMMYFUNCTION("""COMPUTED_VALUE"""),"83723")</f>
        <v>83723</v>
      </c>
      <c r="B2865" s="2">
        <f>IFERROR(__xludf.DUMMYFUNCTION("""COMPUTED_VALUE"""),83723.0)</f>
        <v>83723</v>
      </c>
      <c r="C2865" s="3" t="str">
        <f>IFERROR(__xludf.DUMMYFUNCTION("""COMPUTED_VALUE"""),"ร้านส.สกุลกิจ (ส.สกุลกิจ มินิมาร์ท)")</f>
        <v>ร้านส.สกุลกิจ (ส.สกุลกิจ มินิมาร์ท)</v>
      </c>
      <c r="D2865" s="3" t="str">
        <f>IFERROR(__xludf.DUMMYFUNCTION("""COMPUTED_VALUE"""),"ร้านส.สกุลกิจ (ส.สกุลกิจ มินิมาร์ท)")</f>
        <v>ร้านส.สกุลกิจ (ส.สกุลกิจ มินิมาร์ท)</v>
      </c>
      <c r="E2865" s="1" t="str">
        <f>IFERROR(__xludf.DUMMYFUNCTION("""COMPUTED_VALUE"""),"Donjai")</f>
        <v>Donjai</v>
      </c>
      <c r="F2865" s="1" t="str">
        <f>IFERROR(__xludf.DUMMYFUNCTION("""COMPUTED_VALUE"""),"296945")</f>
        <v>296945</v>
      </c>
      <c r="G2865" s="1" t="str">
        <f>IFERROR(__xludf.DUMMYFUNCTION("""COMPUTED_VALUE"""),"นายรักพงศ์ พงศ์พันธ์งาม")</f>
        <v>นายรักพงศ์ พงศ์พันธ์งาม</v>
      </c>
      <c r="H2865" s="1" t="str">
        <f>IFERROR(__xludf.DUMMYFUNCTION("""COMPUTED_VALUE"""),"296945")</f>
        <v>296945</v>
      </c>
      <c r="I2865" s="1" t="str">
        <f>IFERROR(__xludf.DUMMYFUNCTION("""COMPUTED_VALUE"""),"นายรักพงศ์ พงศ์พันธ์งาม")</f>
        <v>นายรักพงศ์ พงศ์พันธ์งาม</v>
      </c>
      <c r="J2865" s="3">
        <f>IFERROR(__xludf.DUMMYFUNCTION("""COMPUTED_VALUE"""),228031.0)</f>
        <v>228031</v>
      </c>
      <c r="K2865" s="3" t="str">
        <f>IFERROR(__xludf.DUMMYFUNCTION("""COMPUTED_VALUE"""),"นายธนพงษ์ วันหมัด")</f>
        <v>นายธนพงษ์ วันหมัด</v>
      </c>
      <c r="L2865" s="1" t="str">
        <f>IFERROR(__xludf.DUMMYFUNCTION("""COMPUTED_VALUE"""),"นายธนพงษ์ วันหมัด")</f>
        <v>นายธนพงษ์ วันหมัด</v>
      </c>
      <c r="M2865" s="1" t="str">
        <f>IFERROR(__xludf.DUMMYFUNCTION("""COMPUTED_VALUE"""),"0813716913")</f>
        <v>0813716913</v>
      </c>
      <c r="N2865" s="3">
        <f>IFERROR(__xludf.DUMMYFUNCTION("""COMPUTED_VALUE"""),83723.0)</f>
        <v>83723</v>
      </c>
      <c r="O2865" s="3" t="str">
        <f>IFERROR(__xludf.DUMMYFUNCTION("""COMPUTED_VALUE"""),"ร้านส.สกุลกิจ (ส.สกุลกิจ มินิมาร์ท)")</f>
        <v>ร้านส.สกุลกิจ (ส.สกุลกิจ มินิมาร์ท)</v>
      </c>
      <c r="P2865" s="4">
        <f>IFERROR(__xludf.DUMMYFUNCTION("""COMPUTED_VALUE"""),44644.0)</f>
        <v>44644</v>
      </c>
      <c r="Q2865" s="3" t="str">
        <f>IFERROR(__xludf.DUMMYFUNCTION("""COMPUTED_VALUE"""),"I")</f>
        <v>I</v>
      </c>
      <c r="R2865" s="3" t="str">
        <f>IFERROR(__xludf.DUMMYFUNCTION("""COMPUTED_VALUE"""),"Small Format")</f>
        <v>Small Format</v>
      </c>
      <c r="S2865" s="3" t="str">
        <f>IFERROR(__xludf.DUMMYFUNCTION("""COMPUTED_VALUE"""),"Donjai")</f>
        <v>Donjai</v>
      </c>
      <c r="T2865" s="3">
        <f>IFERROR(__xludf.DUMMYFUNCTION("""COMPUTED_VALUE"""),0.0)</f>
        <v>0</v>
      </c>
      <c r="U2865" s="3">
        <f>IFERROR(__xludf.DUMMYFUNCTION("""COMPUTED_VALUE"""),0.0)</f>
        <v>0</v>
      </c>
      <c r="V2865" s="3" t="str">
        <f>IFERROR(__xludf.DUMMYFUNCTION("""COMPUTED_VALUE"""),"N")</f>
        <v>N</v>
      </c>
      <c r="W2865" s="3"/>
      <c r="X2865" s="3" t="str">
        <f>IFERROR(__xludf.DUMMYFUNCTION("""COMPUTED_VALUE"""),"19/4 หมู่5 ถนน แยกสุรศักดิ์ ต.เขาคันทรง อ.ศรีราชา จ.ชลบุรี")</f>
        <v>19/4 หมู่5 ถนน แยกสุรศักดิ์ ต.เขาคันทรง อ.ศรีราชา จ.ชลบุรี</v>
      </c>
      <c r="Y2865" s="3"/>
      <c r="Z2865" s="3">
        <f>IFERROR(__xludf.DUMMYFUNCTION("""COMPUTED_VALUE"""),0.0)</f>
        <v>0</v>
      </c>
      <c r="AA2865" s="3">
        <f>IFERROR(__xludf.DUMMYFUNCTION("""COMPUTED_VALUE"""),0.0)</f>
        <v>0</v>
      </c>
      <c r="AB2865" s="3" t="str">
        <f>IFERROR(__xludf.DUMMYFUNCTION("""COMPUTED_VALUE"""),"ชลบุรี")</f>
        <v>ชลบุรี</v>
      </c>
      <c r="AC2865" s="3">
        <f>IFERROR(__xludf.DUMMYFUNCTION("""COMPUTED_VALUE"""),0.0)</f>
        <v>0</v>
      </c>
      <c r="AD2865" s="3"/>
      <c r="AE2865" s="3"/>
      <c r="AF2865" s="3" t="str">
        <f>IFERROR(__xludf.DUMMYFUNCTION("""COMPUTED_VALUE"""),"ร้านส.สกุลกิจ (ส.สกุลกิจ มินิมาร์ท)-83723")</f>
        <v>ร้านส.สกุลกิจ (ส.สกุลกิจ มินิมาร์ท)-83723</v>
      </c>
      <c r="AG2865" s="3" t="str">
        <f>IFERROR(__xludf.DUMMYFUNCTION("""COMPUTED_VALUE"""),"ตะวันออก")</f>
        <v>ตะวันออก</v>
      </c>
      <c r="AH2865" s="3" t="str">
        <f>IFERROR(__xludf.DUMMYFUNCTION("""COMPUTED_VALUE"""),"#N/A")</f>
        <v>#N/A</v>
      </c>
      <c r="AI2865" s="3" t="str">
        <f>IFERROR(__xludf.DUMMYFUNCTION("""COMPUTED_VALUE"""),"Out of warranty")</f>
        <v>Out of warranty</v>
      </c>
      <c r="AJ2865" s="3">
        <f>IFERROR(__xludf.DUMMYFUNCTION("""COMPUTED_VALUE"""),46.0)</f>
        <v>46</v>
      </c>
      <c r="AK2865" s="3"/>
      <c r="AL2865" s="3"/>
    </row>
    <row r="2866" ht="15.75" customHeight="1">
      <c r="A2866" s="1" t="str">
        <f>IFERROR(__xludf.DUMMYFUNCTION("""COMPUTED_VALUE"""),"83724")</f>
        <v>83724</v>
      </c>
      <c r="B2866" s="2">
        <f>IFERROR(__xludf.DUMMYFUNCTION("""COMPUTED_VALUE"""),83724.0)</f>
        <v>83724</v>
      </c>
      <c r="C2866" s="3" t="str">
        <f>IFERROR(__xludf.DUMMYFUNCTION("""COMPUTED_VALUE"""),"ร้านทองเพิ่มทรัพย์")</f>
        <v>ร้านทองเพิ่มทรัพย์</v>
      </c>
      <c r="D2866" s="3" t="str">
        <f>IFERROR(__xludf.DUMMYFUNCTION("""COMPUTED_VALUE"""),"ร้านทองเพิ่มทรัพย์")</f>
        <v>ร้านทองเพิ่มทรัพย์</v>
      </c>
      <c r="E2866" s="1" t="str">
        <f>IFERROR(__xludf.DUMMYFUNCTION("""COMPUTED_VALUE"""),"Donjai")</f>
        <v>Donjai</v>
      </c>
      <c r="F2866" s="1" t="str">
        <f>IFERROR(__xludf.DUMMYFUNCTION("""COMPUTED_VALUE"""),"296866")</f>
        <v>296866</v>
      </c>
      <c r="G2866" s="1" t="str">
        <f>IFERROR(__xludf.DUMMYFUNCTION("""COMPUTED_VALUE"""),"นายณัฐภูมิ สุจริตธรรม")</f>
        <v>นายณัฐภูมิ สุจริตธรรม</v>
      </c>
      <c r="H2866" s="1" t="str">
        <f>IFERROR(__xludf.DUMMYFUNCTION("""COMPUTED_VALUE"""),"296866")</f>
        <v>296866</v>
      </c>
      <c r="I2866" s="1" t="str">
        <f>IFERROR(__xludf.DUMMYFUNCTION("""COMPUTED_VALUE"""),"นายณัฐภูมิ สุจริตธรรม")</f>
        <v>นายณัฐภูมิ สุจริตธรรม</v>
      </c>
      <c r="J2866" s="3">
        <f>IFERROR(__xludf.DUMMYFUNCTION("""COMPUTED_VALUE"""),228031.0)</f>
        <v>228031</v>
      </c>
      <c r="K2866" s="3" t="str">
        <f>IFERROR(__xludf.DUMMYFUNCTION("""COMPUTED_VALUE"""),"นายธนพงษ์ วันหมัด")</f>
        <v>นายธนพงษ์ วันหมัด</v>
      </c>
      <c r="L2866" s="1" t="str">
        <f>IFERROR(__xludf.DUMMYFUNCTION("""COMPUTED_VALUE"""),"นายธนพงษ์ วันหมัด")</f>
        <v>นายธนพงษ์ วันหมัด</v>
      </c>
      <c r="M2866" s="1" t="str">
        <f>IFERROR(__xludf.DUMMYFUNCTION("""COMPUTED_VALUE"""),"0813716913")</f>
        <v>0813716913</v>
      </c>
      <c r="N2866" s="3">
        <f>IFERROR(__xludf.DUMMYFUNCTION("""COMPUTED_VALUE"""),83724.0)</f>
        <v>83724</v>
      </c>
      <c r="O2866" s="3" t="str">
        <f>IFERROR(__xludf.DUMMYFUNCTION("""COMPUTED_VALUE"""),"ร้านทองเพิ่มทรัพย์")</f>
        <v>ร้านทองเพิ่มทรัพย์</v>
      </c>
      <c r="P2866" s="4">
        <f>IFERROR(__xludf.DUMMYFUNCTION("""COMPUTED_VALUE"""),44643.0)</f>
        <v>44643</v>
      </c>
      <c r="Q2866" s="3" t="str">
        <f>IFERROR(__xludf.DUMMYFUNCTION("""COMPUTED_VALUE"""),"I")</f>
        <v>I</v>
      </c>
      <c r="R2866" s="3" t="str">
        <f>IFERROR(__xludf.DUMMYFUNCTION("""COMPUTED_VALUE"""),"Small Format")</f>
        <v>Small Format</v>
      </c>
      <c r="S2866" s="3" t="str">
        <f>IFERROR(__xludf.DUMMYFUNCTION("""COMPUTED_VALUE"""),"Donjai")</f>
        <v>Donjai</v>
      </c>
      <c r="T2866" s="3" t="str">
        <f>IFERROR(__xludf.DUMMYFUNCTION("""COMPUTED_VALUE"""),"#N/A")</f>
        <v>#N/A</v>
      </c>
      <c r="U2866" s="3" t="str">
        <f>IFERROR(__xludf.DUMMYFUNCTION("""COMPUTED_VALUE"""),"#N/A")</f>
        <v>#N/A</v>
      </c>
      <c r="V2866" s="3" t="str">
        <f>IFERROR(__xludf.DUMMYFUNCTION("""COMPUTED_VALUE"""),"N")</f>
        <v>N</v>
      </c>
      <c r="W2866" s="3"/>
      <c r="X2866" s="3" t="str">
        <f>IFERROR(__xludf.DUMMYFUNCTION("""COMPUTED_VALUE"""),"3/1 หมู่3 ถนนเลียบคลอง10 ต.บึงกาสาม อ.หนองเสือ จ.ปทุมธานี")</f>
        <v>3/1 หมู่3 ถนนเลียบคลอง10 ต.บึงกาสาม อ.หนองเสือ จ.ปทุมธานี</v>
      </c>
      <c r="Y2866" s="3"/>
      <c r="Z2866" s="3">
        <f>IFERROR(__xludf.DUMMYFUNCTION("""COMPUTED_VALUE"""),0.0)</f>
        <v>0</v>
      </c>
      <c r="AA2866" s="3">
        <f>IFERROR(__xludf.DUMMYFUNCTION("""COMPUTED_VALUE"""),0.0)</f>
        <v>0</v>
      </c>
      <c r="AB2866" s="3" t="str">
        <f>IFERROR(__xludf.DUMMYFUNCTION("""COMPUTED_VALUE"""),"ปทุมธานี")</f>
        <v>ปทุมธานี</v>
      </c>
      <c r="AC2866" s="3">
        <f>IFERROR(__xludf.DUMMYFUNCTION("""COMPUTED_VALUE"""),0.0)</f>
        <v>0</v>
      </c>
      <c r="AD2866" s="3"/>
      <c r="AE2866" s="3"/>
      <c r="AF2866" s="3" t="str">
        <f>IFERROR(__xludf.DUMMYFUNCTION("""COMPUTED_VALUE"""),"ร้านทองเพิ่มทรัพย์-83724")</f>
        <v>ร้านทองเพิ่มทรัพย์-83724</v>
      </c>
      <c r="AG2866" s="3" t="str">
        <f>IFERROR(__xludf.DUMMYFUNCTION("""COMPUTED_VALUE"""),"กลาง")</f>
        <v>กลาง</v>
      </c>
      <c r="AH2866" s="3" t="str">
        <f>IFERROR(__xludf.DUMMYFUNCTION("""COMPUTED_VALUE"""),"#N/A")</f>
        <v>#N/A</v>
      </c>
      <c r="AI2866" s="3" t="str">
        <f>IFERROR(__xludf.DUMMYFUNCTION("""COMPUTED_VALUE"""),"Out of warranty")</f>
        <v>Out of warranty</v>
      </c>
      <c r="AJ2866" s="3">
        <f>IFERROR(__xludf.DUMMYFUNCTION("""COMPUTED_VALUE"""),46.0)</f>
        <v>46</v>
      </c>
      <c r="AK2866" s="3"/>
      <c r="AL2866" s="3"/>
    </row>
    <row r="2867" ht="15.75" customHeight="1">
      <c r="A2867" s="1" t="str">
        <f>IFERROR(__xludf.DUMMYFUNCTION("""COMPUTED_VALUE"""),"83725")</f>
        <v>83725</v>
      </c>
      <c r="B2867" s="2">
        <f>IFERROR(__xludf.DUMMYFUNCTION("""COMPUTED_VALUE"""),83725.0)</f>
        <v>83725</v>
      </c>
      <c r="C2867" s="3" t="str">
        <f>IFERROR(__xludf.DUMMYFUNCTION("""COMPUTED_VALUE"""),"ร้านน้องเก้า(วัลยา )")</f>
        <v>ร้านน้องเก้า(วัลยา )</v>
      </c>
      <c r="D2867" s="3" t="str">
        <f>IFERROR(__xludf.DUMMYFUNCTION("""COMPUTED_VALUE"""),"ร้านน้องเก้า(วัลยา )")</f>
        <v>ร้านน้องเก้า(วัลยา )</v>
      </c>
      <c r="E2867" s="1" t="str">
        <f>IFERROR(__xludf.DUMMYFUNCTION("""COMPUTED_VALUE"""),"Donjai")</f>
        <v>Donjai</v>
      </c>
      <c r="F2867" s="1" t="str">
        <f>IFERROR(__xludf.DUMMYFUNCTION("""COMPUTED_VALUE"""),"00510143")</f>
        <v>00510143</v>
      </c>
      <c r="G2867" s="1" t="str">
        <f>IFERROR(__xludf.DUMMYFUNCTION("""COMPUTED_VALUE"""),"นายธีระวัฒน์ บุญสิทธิ์")</f>
        <v>นายธีระวัฒน์ บุญสิทธิ์</v>
      </c>
      <c r="H2867" s="1" t="str">
        <f>IFERROR(__xludf.DUMMYFUNCTION("""COMPUTED_VALUE"""),"00510143")</f>
        <v>00510143</v>
      </c>
      <c r="I2867" s="1" t="str">
        <f>IFERROR(__xludf.DUMMYFUNCTION("""COMPUTED_VALUE"""),"นายธีระวัฒน์ บุญสิทธิ์")</f>
        <v>นายธีระวัฒน์ บุญสิทธิ์</v>
      </c>
      <c r="J2867" s="3">
        <f>IFERROR(__xludf.DUMMYFUNCTION("""COMPUTED_VALUE"""),228031.0)</f>
        <v>228031</v>
      </c>
      <c r="K2867" s="3" t="str">
        <f>IFERROR(__xludf.DUMMYFUNCTION("""COMPUTED_VALUE"""),"นายธนพงษ์ วันหมัด")</f>
        <v>นายธนพงษ์ วันหมัด</v>
      </c>
      <c r="L2867" s="1" t="str">
        <f>IFERROR(__xludf.DUMMYFUNCTION("""COMPUTED_VALUE"""),"นายธนพงษ์ วันหมัด")</f>
        <v>นายธนพงษ์ วันหมัด</v>
      </c>
      <c r="M2867" s="1" t="str">
        <f>IFERROR(__xludf.DUMMYFUNCTION("""COMPUTED_VALUE"""),"0813716913")</f>
        <v>0813716913</v>
      </c>
      <c r="N2867" s="3">
        <f>IFERROR(__xludf.DUMMYFUNCTION("""COMPUTED_VALUE"""),83725.0)</f>
        <v>83725</v>
      </c>
      <c r="O2867" s="3" t="str">
        <f>IFERROR(__xludf.DUMMYFUNCTION("""COMPUTED_VALUE"""),"ร้านน้องเก้า(วัลยา )")</f>
        <v>ร้านน้องเก้า(วัลยา )</v>
      </c>
      <c r="P2867" s="4">
        <f>IFERROR(__xludf.DUMMYFUNCTION("""COMPUTED_VALUE"""),44648.0)</f>
        <v>44648</v>
      </c>
      <c r="Q2867" s="3" t="str">
        <f>IFERROR(__xludf.DUMMYFUNCTION("""COMPUTED_VALUE"""),"A")</f>
        <v>A</v>
      </c>
      <c r="R2867" s="3" t="str">
        <f>IFERROR(__xludf.DUMMYFUNCTION("""COMPUTED_VALUE"""),"Small Format")</f>
        <v>Small Format</v>
      </c>
      <c r="S2867" s="3" t="str">
        <f>IFERROR(__xludf.DUMMYFUNCTION("""COMPUTED_VALUE"""),"Donjai")</f>
        <v>Donjai</v>
      </c>
      <c r="T2867" s="3" t="str">
        <f>IFERROR(__xludf.DUMMYFUNCTION("""COMPUTED_VALUE"""),"12 K.Theerawat B.")</f>
        <v>12 K.Theerawat B.</v>
      </c>
      <c r="U2867" s="3" t="str">
        <f>IFERROR(__xludf.DUMMYFUNCTION("""COMPUTED_VALUE"""),"12 K.Theerawat B.")</f>
        <v>12 K.Theerawat B.</v>
      </c>
      <c r="V2867" s="3" t="str">
        <f>IFERROR(__xludf.DUMMYFUNCTION("""COMPUTED_VALUE"""),"N")</f>
        <v>N</v>
      </c>
      <c r="W2867" s="3"/>
      <c r="X2867" s="3" t="str">
        <f>IFERROR(__xludf.DUMMYFUNCTION("""COMPUTED_VALUE"""),"31/4 หมู่ 1 ต.ลาดหลุมแก้ว อ.ลาดหลุมแก้ว จ.ปทุมธานี 12140")</f>
        <v>31/4 หมู่ 1 ต.ลาดหลุมแก้ว อ.ลาดหลุมแก้ว จ.ปทุมธานี 12140</v>
      </c>
      <c r="Y2867" s="3"/>
      <c r="Z2867" s="3">
        <f>IFERROR(__xludf.DUMMYFUNCTION("""COMPUTED_VALUE"""),0.0)</f>
        <v>0</v>
      </c>
      <c r="AA2867" s="3">
        <f>IFERROR(__xludf.DUMMYFUNCTION("""COMPUTED_VALUE"""),0.0)</f>
        <v>0</v>
      </c>
      <c r="AB2867" s="3" t="str">
        <f>IFERROR(__xludf.DUMMYFUNCTION("""COMPUTED_VALUE"""),"ปทุมธานี")</f>
        <v>ปทุมธานี</v>
      </c>
      <c r="AC2867" s="3">
        <f>IFERROR(__xludf.DUMMYFUNCTION("""COMPUTED_VALUE"""),12140.0)</f>
        <v>12140</v>
      </c>
      <c r="AD2867" s="3"/>
      <c r="AE2867" s="3"/>
      <c r="AF2867" s="3" t="str">
        <f>IFERROR(__xludf.DUMMYFUNCTION("""COMPUTED_VALUE"""),"ร้านน้องเก้า(วัลยา )-83725")</f>
        <v>ร้านน้องเก้า(วัลยา )-83725</v>
      </c>
      <c r="AG2867" s="3" t="str">
        <f>IFERROR(__xludf.DUMMYFUNCTION("""COMPUTED_VALUE"""),"กลาง")</f>
        <v>กลาง</v>
      </c>
      <c r="AH2867" s="3" t="str">
        <f>IFERROR(__xludf.DUMMYFUNCTION("""COMPUTED_VALUE"""),"#N/A")</f>
        <v>#N/A</v>
      </c>
      <c r="AI2867" s="3" t="str">
        <f>IFERROR(__xludf.DUMMYFUNCTION("""COMPUTED_VALUE"""),"Out of warranty")</f>
        <v>Out of warranty</v>
      </c>
      <c r="AJ2867" s="3">
        <f>IFERROR(__xludf.DUMMYFUNCTION("""COMPUTED_VALUE"""),46.0)</f>
        <v>46</v>
      </c>
      <c r="AK2867" s="3"/>
      <c r="AL2867" s="3"/>
    </row>
    <row r="2868" ht="15.75" customHeight="1">
      <c r="A2868" s="1" t="str">
        <f>IFERROR(__xludf.DUMMYFUNCTION("""COMPUTED_VALUE"""),"83726")</f>
        <v>83726</v>
      </c>
      <c r="B2868" s="2">
        <f>IFERROR(__xludf.DUMMYFUNCTION("""COMPUTED_VALUE"""),83726.0)</f>
        <v>83726</v>
      </c>
      <c r="C2868" s="3" t="str">
        <f>IFERROR(__xludf.DUMMYFUNCTION("""COMPUTED_VALUE"""),"ร้านกันเอง")</f>
        <v>ร้านกันเอง</v>
      </c>
      <c r="D2868" s="3" t="str">
        <f>IFERROR(__xludf.DUMMYFUNCTION("""COMPUTED_VALUE"""),"ร้านกันเอง")</f>
        <v>ร้านกันเอง</v>
      </c>
      <c r="E2868" s="1" t="str">
        <f>IFERROR(__xludf.DUMMYFUNCTION("""COMPUTED_VALUE"""),"Donjai")</f>
        <v>Donjai</v>
      </c>
      <c r="F2868" s="1" t="str">
        <f>IFERROR(__xludf.DUMMYFUNCTION("""COMPUTED_VALUE"""),"2010016")</f>
        <v>2010016</v>
      </c>
      <c r="G2868" s="1" t="str">
        <f>IFERROR(__xludf.DUMMYFUNCTION("""COMPUTED_VALUE"""),"นายตวงธรรม ใหม่ยศ")</f>
        <v>นายตวงธรรม ใหม่ยศ</v>
      </c>
      <c r="H2868" s="1" t="str">
        <f>IFERROR(__xludf.DUMMYFUNCTION("""COMPUTED_VALUE"""),"2010016")</f>
        <v>2010016</v>
      </c>
      <c r="I2868" s="1" t="str">
        <f>IFERROR(__xludf.DUMMYFUNCTION("""COMPUTED_VALUE"""),"นายตวงธรรม ใหม่ยศ")</f>
        <v>นายตวงธรรม ใหม่ยศ</v>
      </c>
      <c r="J2868" s="3">
        <f>IFERROR(__xludf.DUMMYFUNCTION("""COMPUTED_VALUE"""),295886.0)</f>
        <v>295886</v>
      </c>
      <c r="K2868" s="3" t="str">
        <f>IFERROR(__xludf.DUMMYFUNCTION("""COMPUTED_VALUE"""),"นายจิระพงษ์ โพธิ์นิล")</f>
        <v>นายจิระพงษ์ โพธิ์นิล</v>
      </c>
      <c r="L2868" s="1" t="str">
        <f>IFERROR(__xludf.DUMMYFUNCTION("""COMPUTED_VALUE"""),"นายจิระพงษ์ โพธิ์นิล")</f>
        <v>นายจิระพงษ์ โพธิ์นิล</v>
      </c>
      <c r="M2868" s="1" t="str">
        <f>IFERROR(__xludf.DUMMYFUNCTION("""COMPUTED_VALUE"""),"0933290754")</f>
        <v>0933290754</v>
      </c>
      <c r="N2868" s="3">
        <f>IFERROR(__xludf.DUMMYFUNCTION("""COMPUTED_VALUE"""),83726.0)</f>
        <v>83726</v>
      </c>
      <c r="O2868" s="3" t="str">
        <f>IFERROR(__xludf.DUMMYFUNCTION("""COMPUTED_VALUE"""),"ร้านกันเอง")</f>
        <v>ร้านกันเอง</v>
      </c>
      <c r="P2868" s="4">
        <f>IFERROR(__xludf.DUMMYFUNCTION("""COMPUTED_VALUE"""),44641.0)</f>
        <v>44641</v>
      </c>
      <c r="Q2868" s="3" t="str">
        <f>IFERROR(__xludf.DUMMYFUNCTION("""COMPUTED_VALUE"""),"I")</f>
        <v>I</v>
      </c>
      <c r="R2868" s="3" t="str">
        <f>IFERROR(__xludf.DUMMYFUNCTION("""COMPUTED_VALUE"""),"Small Format")</f>
        <v>Small Format</v>
      </c>
      <c r="S2868" s="3" t="str">
        <f>IFERROR(__xludf.DUMMYFUNCTION("""COMPUTED_VALUE"""),"Donjai")</f>
        <v>Donjai</v>
      </c>
      <c r="T2868" s="3" t="str">
        <f>IFERROR(__xludf.DUMMYFUNCTION("""COMPUTED_VALUE"""),"01 K.Tuangtham M.")</f>
        <v>01 K.Tuangtham M.</v>
      </c>
      <c r="U2868" s="3" t="str">
        <f>IFERROR(__xludf.DUMMYFUNCTION("""COMPUTED_VALUE"""),"01 K.Tuangtham M.")</f>
        <v>01 K.Tuangtham M.</v>
      </c>
      <c r="V2868" s="3" t="str">
        <f>IFERROR(__xludf.DUMMYFUNCTION("""COMPUTED_VALUE"""),"N")</f>
        <v>N</v>
      </c>
      <c r="W2868" s="3"/>
      <c r="X2868" s="3" t="str">
        <f>IFERROR(__xludf.DUMMYFUNCTION("""COMPUTED_VALUE"""),"137 ม1 ต.เมืองเก่า อ.เมืองสุโขทัย จ.สุโขทัย")</f>
        <v>137 ม1 ต.เมืองเก่า อ.เมืองสุโขทัย จ.สุโขทัย</v>
      </c>
      <c r="Y2868" s="3"/>
      <c r="Z2868" s="3">
        <f>IFERROR(__xludf.DUMMYFUNCTION("""COMPUTED_VALUE"""),0.0)</f>
        <v>0</v>
      </c>
      <c r="AA2868" s="3">
        <f>IFERROR(__xludf.DUMMYFUNCTION("""COMPUTED_VALUE"""),0.0)</f>
        <v>0</v>
      </c>
      <c r="AB2868" s="3" t="str">
        <f>IFERROR(__xludf.DUMMYFUNCTION("""COMPUTED_VALUE"""),"สุโขทัย")</f>
        <v>สุโขทัย</v>
      </c>
      <c r="AC2868" s="3">
        <f>IFERROR(__xludf.DUMMYFUNCTION("""COMPUTED_VALUE"""),0.0)</f>
        <v>0</v>
      </c>
      <c r="AD2868" s="3"/>
      <c r="AE2868" s="3"/>
      <c r="AF2868" s="3" t="str">
        <f>IFERROR(__xludf.DUMMYFUNCTION("""COMPUTED_VALUE"""),"ร้านกันเอง-83726")</f>
        <v>ร้านกันเอง-83726</v>
      </c>
      <c r="AG2868" s="3" t="str">
        <f>IFERROR(__xludf.DUMMYFUNCTION("""COMPUTED_VALUE"""),"กลาง")</f>
        <v>กลาง</v>
      </c>
      <c r="AH2868" s="3" t="str">
        <f>IFERROR(__xludf.DUMMYFUNCTION("""COMPUTED_VALUE"""),"#N/A")</f>
        <v>#N/A</v>
      </c>
      <c r="AI2868" s="3" t="str">
        <f>IFERROR(__xludf.DUMMYFUNCTION("""COMPUTED_VALUE"""),"Out of warranty")</f>
        <v>Out of warranty</v>
      </c>
      <c r="AJ2868" s="3">
        <f>IFERROR(__xludf.DUMMYFUNCTION("""COMPUTED_VALUE"""),46.0)</f>
        <v>46</v>
      </c>
      <c r="AK2868" s="3"/>
      <c r="AL2868" s="3"/>
    </row>
    <row r="2869" ht="15.75" customHeight="1">
      <c r="A2869" s="1" t="str">
        <f>IFERROR(__xludf.DUMMYFUNCTION("""COMPUTED_VALUE"""),"83727")</f>
        <v>83727</v>
      </c>
      <c r="B2869" s="2">
        <f>IFERROR(__xludf.DUMMYFUNCTION("""COMPUTED_VALUE"""),83727.0)</f>
        <v>83727</v>
      </c>
      <c r="C2869" s="3" t="str">
        <f>IFERROR(__xludf.DUMMYFUNCTION("""COMPUTED_VALUE"""),"ร้านคิตแคทมาร์ท")</f>
        <v>ร้านคิตแคทมาร์ท</v>
      </c>
      <c r="D2869" s="3" t="str">
        <f>IFERROR(__xludf.DUMMYFUNCTION("""COMPUTED_VALUE"""),"ร้านคิตแคทมาร์ท")</f>
        <v>ร้านคิตแคทมาร์ท</v>
      </c>
      <c r="E2869" s="1" t="str">
        <f>IFERROR(__xludf.DUMMYFUNCTION("""COMPUTED_VALUE"""),"Donjai")</f>
        <v>Donjai</v>
      </c>
      <c r="F2869" s="1" t="str">
        <f>IFERROR(__xludf.DUMMYFUNCTION("""COMPUTED_VALUE"""),"00510143")</f>
        <v>00510143</v>
      </c>
      <c r="G2869" s="1" t="str">
        <f>IFERROR(__xludf.DUMMYFUNCTION("""COMPUTED_VALUE"""),"นายธีระวัฒน์ บุญสิทธิ์")</f>
        <v>นายธีระวัฒน์ บุญสิทธิ์</v>
      </c>
      <c r="H2869" s="1" t="str">
        <f>IFERROR(__xludf.DUMMYFUNCTION("""COMPUTED_VALUE"""),"00510143")</f>
        <v>00510143</v>
      </c>
      <c r="I2869" s="1" t="str">
        <f>IFERROR(__xludf.DUMMYFUNCTION("""COMPUTED_VALUE"""),"นายธีระวัฒน์ บุญสิทธิ์")</f>
        <v>นายธีระวัฒน์ บุญสิทธิ์</v>
      </c>
      <c r="J2869" s="3">
        <f>IFERROR(__xludf.DUMMYFUNCTION("""COMPUTED_VALUE"""),228031.0)</f>
        <v>228031</v>
      </c>
      <c r="K2869" s="3" t="str">
        <f>IFERROR(__xludf.DUMMYFUNCTION("""COMPUTED_VALUE"""),"นายธนพงษ์ วันหมัด")</f>
        <v>นายธนพงษ์ วันหมัด</v>
      </c>
      <c r="L2869" s="1" t="str">
        <f>IFERROR(__xludf.DUMMYFUNCTION("""COMPUTED_VALUE"""),"นายธนพงษ์ วันหมัด")</f>
        <v>นายธนพงษ์ วันหมัด</v>
      </c>
      <c r="M2869" s="1" t="str">
        <f>IFERROR(__xludf.DUMMYFUNCTION("""COMPUTED_VALUE"""),"0813716913")</f>
        <v>0813716913</v>
      </c>
      <c r="N2869" s="3">
        <f>IFERROR(__xludf.DUMMYFUNCTION("""COMPUTED_VALUE"""),83727.0)</f>
        <v>83727</v>
      </c>
      <c r="O2869" s="3" t="str">
        <f>IFERROR(__xludf.DUMMYFUNCTION("""COMPUTED_VALUE"""),"ร้านคิตแคทมาร์ท")</f>
        <v>ร้านคิตแคทมาร์ท</v>
      </c>
      <c r="P2869" s="4">
        <f>IFERROR(__xludf.DUMMYFUNCTION("""COMPUTED_VALUE"""),44647.0)</f>
        <v>44647</v>
      </c>
      <c r="Q2869" s="3" t="str">
        <f>IFERROR(__xludf.DUMMYFUNCTION("""COMPUTED_VALUE"""),"A")</f>
        <v>A</v>
      </c>
      <c r="R2869" s="3" t="str">
        <f>IFERROR(__xludf.DUMMYFUNCTION("""COMPUTED_VALUE"""),"Small Format")</f>
        <v>Small Format</v>
      </c>
      <c r="S2869" s="3" t="str">
        <f>IFERROR(__xludf.DUMMYFUNCTION("""COMPUTED_VALUE"""),"Donjai")</f>
        <v>Donjai</v>
      </c>
      <c r="T2869" s="3" t="str">
        <f>IFERROR(__xludf.DUMMYFUNCTION("""COMPUTED_VALUE"""),"12 K.Theerawat B.")</f>
        <v>12 K.Theerawat B.</v>
      </c>
      <c r="U2869" s="3" t="str">
        <f>IFERROR(__xludf.DUMMYFUNCTION("""COMPUTED_VALUE"""),"12 K.Theerawat B.")</f>
        <v>12 K.Theerawat B.</v>
      </c>
      <c r="V2869" s="3" t="str">
        <f>IFERROR(__xludf.DUMMYFUNCTION("""COMPUTED_VALUE"""),"N")</f>
        <v>N</v>
      </c>
      <c r="W2869" s="3"/>
      <c r="X2869" s="3" t="str">
        <f>IFERROR(__xludf.DUMMYFUNCTION("""COMPUTED_VALUE"""),"299 ม.3 ต.วังทอง อ.วังสมบูรณ์ จ.สระแก้ว 27250")</f>
        <v>299 ม.3 ต.วังทอง อ.วังสมบูรณ์ จ.สระแก้ว 27250</v>
      </c>
      <c r="Y2869" s="3"/>
      <c r="Z2869" s="3">
        <f>IFERROR(__xludf.DUMMYFUNCTION("""COMPUTED_VALUE"""),0.0)</f>
        <v>0</v>
      </c>
      <c r="AA2869" s="3">
        <f>IFERROR(__xludf.DUMMYFUNCTION("""COMPUTED_VALUE"""),0.0)</f>
        <v>0</v>
      </c>
      <c r="AB2869" s="3" t="str">
        <f>IFERROR(__xludf.DUMMYFUNCTION("""COMPUTED_VALUE"""),"สระแก้ว")</f>
        <v>สระแก้ว</v>
      </c>
      <c r="AC2869" s="3">
        <f>IFERROR(__xludf.DUMMYFUNCTION("""COMPUTED_VALUE"""),27250.0)</f>
        <v>27250</v>
      </c>
      <c r="AD2869" s="3"/>
      <c r="AE2869" s="3"/>
      <c r="AF2869" s="3" t="str">
        <f>IFERROR(__xludf.DUMMYFUNCTION("""COMPUTED_VALUE"""),"ร้านคิตแคทมาร์ท-83727")</f>
        <v>ร้านคิตแคทมาร์ท-83727</v>
      </c>
      <c r="AG2869" s="3" t="str">
        <f>IFERROR(__xludf.DUMMYFUNCTION("""COMPUTED_VALUE"""),"ตะวันออก")</f>
        <v>ตะวันออก</v>
      </c>
      <c r="AH2869" s="3" t="str">
        <f>IFERROR(__xludf.DUMMYFUNCTION("""COMPUTED_VALUE"""),"#N/A")</f>
        <v>#N/A</v>
      </c>
      <c r="AI2869" s="3" t="str">
        <f>IFERROR(__xludf.DUMMYFUNCTION("""COMPUTED_VALUE"""),"Out of warranty")</f>
        <v>Out of warranty</v>
      </c>
      <c r="AJ2869" s="3">
        <f>IFERROR(__xludf.DUMMYFUNCTION("""COMPUTED_VALUE"""),46.0)</f>
        <v>46</v>
      </c>
      <c r="AK2869" s="3"/>
      <c r="AL2869" s="3"/>
    </row>
    <row r="2870" ht="15.75" customHeight="1">
      <c r="A2870" s="1" t="str">
        <f>IFERROR(__xludf.DUMMYFUNCTION("""COMPUTED_VALUE"""),"83728")</f>
        <v>83728</v>
      </c>
      <c r="B2870" s="2">
        <f>IFERROR(__xludf.DUMMYFUNCTION("""COMPUTED_VALUE"""),83728.0)</f>
        <v>83728</v>
      </c>
      <c r="C2870" s="3" t="str">
        <f>IFERROR(__xludf.DUMMYFUNCTION("""COMPUTED_VALUE"""),"ร้าน เสี่ยโอ (ทรงดำ จำเริญ)")</f>
        <v>ร้าน เสี่ยโอ (ทรงดำ จำเริญ)</v>
      </c>
      <c r="D2870" s="3" t="str">
        <f>IFERROR(__xludf.DUMMYFUNCTION("""COMPUTED_VALUE"""),"ร้าน เสี่ยโอ (ทรงดำ จำเริญ)")</f>
        <v>ร้าน เสี่ยโอ (ทรงดำ จำเริญ)</v>
      </c>
      <c r="E2870" s="1" t="str">
        <f>IFERROR(__xludf.DUMMYFUNCTION("""COMPUTED_VALUE"""),"Donjai")</f>
        <v>Donjai</v>
      </c>
      <c r="F2870" s="1" t="str">
        <f>IFERROR(__xludf.DUMMYFUNCTION("""COMPUTED_VALUE"""),"296608")</f>
        <v>296608</v>
      </c>
      <c r="G2870" s="1" t="str">
        <f>IFERROR(__xludf.DUMMYFUNCTION("""COMPUTED_VALUE"""),"นายภาคภูมิ เพ็ชรนิล")</f>
        <v>นายภาคภูมิ เพ็ชรนิล</v>
      </c>
      <c r="H2870" s="1" t="str">
        <f>IFERROR(__xludf.DUMMYFUNCTION("""COMPUTED_VALUE"""),"296608")</f>
        <v>296608</v>
      </c>
      <c r="I2870" s="1" t="str">
        <f>IFERROR(__xludf.DUMMYFUNCTION("""COMPUTED_VALUE"""),"นายภาคภูมิ เพ็ชรนิล")</f>
        <v>นายภาคภูมิ เพ็ชรนิล</v>
      </c>
      <c r="J2870" s="3">
        <f>IFERROR(__xludf.DUMMYFUNCTION("""COMPUTED_VALUE"""),228031.0)</f>
        <v>228031</v>
      </c>
      <c r="K2870" s="3" t="str">
        <f>IFERROR(__xludf.DUMMYFUNCTION("""COMPUTED_VALUE"""),"นายธนพงษ์ วันหมัด")</f>
        <v>นายธนพงษ์ วันหมัด</v>
      </c>
      <c r="L2870" s="1" t="str">
        <f>IFERROR(__xludf.DUMMYFUNCTION("""COMPUTED_VALUE"""),"นายธนพงษ์ วันหมัด")</f>
        <v>นายธนพงษ์ วันหมัด</v>
      </c>
      <c r="M2870" s="1" t="str">
        <f>IFERROR(__xludf.DUMMYFUNCTION("""COMPUTED_VALUE"""),"0813716913")</f>
        <v>0813716913</v>
      </c>
      <c r="N2870" s="3">
        <f>IFERROR(__xludf.DUMMYFUNCTION("""COMPUTED_VALUE"""),83728.0)</f>
        <v>83728</v>
      </c>
      <c r="O2870" s="3" t="str">
        <f>IFERROR(__xludf.DUMMYFUNCTION("""COMPUTED_VALUE"""),"ร้าน เสี่ยโอ (ทรงดำ จำเริญ)")</f>
        <v>ร้าน เสี่ยโอ (ทรงดำ จำเริญ)</v>
      </c>
      <c r="P2870" s="4">
        <f>IFERROR(__xludf.DUMMYFUNCTION("""COMPUTED_VALUE"""),44654.0)</f>
        <v>44654</v>
      </c>
      <c r="Q2870" s="3" t="str">
        <f>IFERROR(__xludf.DUMMYFUNCTION("""COMPUTED_VALUE"""),"I")</f>
        <v>I</v>
      </c>
      <c r="R2870" s="3" t="str">
        <f>IFERROR(__xludf.DUMMYFUNCTION("""COMPUTED_VALUE"""),"Small Format")</f>
        <v>Small Format</v>
      </c>
      <c r="S2870" s="3" t="str">
        <f>IFERROR(__xludf.DUMMYFUNCTION("""COMPUTED_VALUE"""),"Donjai")</f>
        <v>Donjai</v>
      </c>
      <c r="T2870" s="3" t="str">
        <f>IFERROR(__xludf.DUMMYFUNCTION("""COMPUTED_VALUE"""),"10 K.Phakphoom P.")</f>
        <v>10 K.Phakphoom P.</v>
      </c>
      <c r="U2870" s="3" t="str">
        <f>IFERROR(__xludf.DUMMYFUNCTION("""COMPUTED_VALUE"""),"10 K.Phakphoom P.")</f>
        <v>10 K.Phakphoom P.</v>
      </c>
      <c r="V2870" s="3" t="str">
        <f>IFERROR(__xludf.DUMMYFUNCTION("""COMPUTED_VALUE"""),"N")</f>
        <v>N</v>
      </c>
      <c r="W2870" s="3"/>
      <c r="X2870" s="3" t="str">
        <f>IFERROR(__xludf.DUMMYFUNCTION("""COMPUTED_VALUE"""),"160/1 ม.1 ด้านทับตะโก จอมบึง ราชรี")</f>
        <v>160/1 ม.1 ด้านทับตะโก จอมบึง ราชรี</v>
      </c>
      <c r="Y2870" s="3"/>
      <c r="Z2870" s="3">
        <f>IFERROR(__xludf.DUMMYFUNCTION("""COMPUTED_VALUE"""),0.0)</f>
        <v>0</v>
      </c>
      <c r="AA2870" s="3">
        <f>IFERROR(__xludf.DUMMYFUNCTION("""COMPUTED_VALUE"""),0.0)</f>
        <v>0</v>
      </c>
      <c r="AB2870" s="3" t="str">
        <f>IFERROR(__xludf.DUMMYFUNCTION("""COMPUTED_VALUE"""),"ราชบุรี")</f>
        <v>ราชบุรี</v>
      </c>
      <c r="AC2870" s="3">
        <f>IFERROR(__xludf.DUMMYFUNCTION("""COMPUTED_VALUE"""),0.0)</f>
        <v>0</v>
      </c>
      <c r="AD2870" s="3"/>
      <c r="AE2870" s="3"/>
      <c r="AF2870" s="3" t="str">
        <f>IFERROR(__xludf.DUMMYFUNCTION("""COMPUTED_VALUE"""),"ร้าน เสี่ยโอ (ทรงดำ จำเริญ)-83728")</f>
        <v>ร้าน เสี่ยโอ (ทรงดำ จำเริญ)-83728</v>
      </c>
      <c r="AG2870" s="3" t="str">
        <f>IFERROR(__xludf.DUMMYFUNCTION("""COMPUTED_VALUE"""),"ตะวันตก")</f>
        <v>ตะวันตก</v>
      </c>
      <c r="AH2870" s="3" t="str">
        <f>IFERROR(__xludf.DUMMYFUNCTION("""COMPUTED_VALUE"""),"#N/A")</f>
        <v>#N/A</v>
      </c>
      <c r="AI2870" s="3" t="str">
        <f>IFERROR(__xludf.DUMMYFUNCTION("""COMPUTED_VALUE"""),"Out of warranty")</f>
        <v>Out of warranty</v>
      </c>
      <c r="AJ2870" s="3">
        <f>IFERROR(__xludf.DUMMYFUNCTION("""COMPUTED_VALUE"""),46.0)</f>
        <v>46</v>
      </c>
      <c r="AK2870" s="3"/>
      <c r="AL2870" s="3"/>
    </row>
    <row r="2871" ht="15.75" customHeight="1">
      <c r="A2871" s="1" t="str">
        <f>IFERROR(__xludf.DUMMYFUNCTION("""COMPUTED_VALUE"""),"83729")</f>
        <v>83729</v>
      </c>
      <c r="B2871" s="2">
        <f>IFERROR(__xludf.DUMMYFUNCTION("""COMPUTED_VALUE"""),83729.0)</f>
        <v>83729</v>
      </c>
      <c r="C2871" s="3" t="str">
        <f>IFERROR(__xludf.DUMMYFUNCTION("""COMPUTED_VALUE"""),"ร้านยุพา มินิมาร์ท (คุณกัลยาณี)")</f>
        <v>ร้านยุพา มินิมาร์ท (คุณกัลยาณี)</v>
      </c>
      <c r="D2871" s="3" t="str">
        <f>IFERROR(__xludf.DUMMYFUNCTION("""COMPUTED_VALUE"""),"ร้านยุพา มินิมาร์ท (คุณกัลยาณี)")</f>
        <v>ร้านยุพา มินิมาร์ท (คุณกัลยาณี)</v>
      </c>
      <c r="E2871" s="1" t="str">
        <f>IFERROR(__xludf.DUMMYFUNCTION("""COMPUTED_VALUE"""),"Donjai")</f>
        <v>Donjai</v>
      </c>
      <c r="F2871" s="1" t="str">
        <f>IFERROR(__xludf.DUMMYFUNCTION("""COMPUTED_VALUE"""),"296945")</f>
        <v>296945</v>
      </c>
      <c r="G2871" s="1" t="str">
        <f>IFERROR(__xludf.DUMMYFUNCTION("""COMPUTED_VALUE"""),"นายรักพงศ์ พงศ์พันธ์งาม")</f>
        <v>นายรักพงศ์ พงศ์พันธ์งาม</v>
      </c>
      <c r="H2871" s="1" t="str">
        <f>IFERROR(__xludf.DUMMYFUNCTION("""COMPUTED_VALUE"""),"296945")</f>
        <v>296945</v>
      </c>
      <c r="I2871" s="1" t="str">
        <f>IFERROR(__xludf.DUMMYFUNCTION("""COMPUTED_VALUE"""),"นายรักพงศ์ พงศ์พันธ์งาม")</f>
        <v>นายรักพงศ์ พงศ์พันธ์งาม</v>
      </c>
      <c r="J2871" s="3">
        <f>IFERROR(__xludf.DUMMYFUNCTION("""COMPUTED_VALUE"""),228031.0)</f>
        <v>228031</v>
      </c>
      <c r="K2871" s="3" t="str">
        <f>IFERROR(__xludf.DUMMYFUNCTION("""COMPUTED_VALUE"""),"นายธนพงษ์ วันหมัด")</f>
        <v>นายธนพงษ์ วันหมัด</v>
      </c>
      <c r="L2871" s="1" t="str">
        <f>IFERROR(__xludf.DUMMYFUNCTION("""COMPUTED_VALUE"""),"นายธนพงษ์ วันหมัด")</f>
        <v>นายธนพงษ์ วันหมัด</v>
      </c>
      <c r="M2871" s="1" t="str">
        <f>IFERROR(__xludf.DUMMYFUNCTION("""COMPUTED_VALUE"""),"0813716913")</f>
        <v>0813716913</v>
      </c>
      <c r="N2871" s="3">
        <f>IFERROR(__xludf.DUMMYFUNCTION("""COMPUTED_VALUE"""),83729.0)</f>
        <v>83729</v>
      </c>
      <c r="O2871" s="3" t="str">
        <f>IFERROR(__xludf.DUMMYFUNCTION("""COMPUTED_VALUE"""),"ร้านยุพา มินิมาร์ท (คุณกัลยาณี)")</f>
        <v>ร้านยุพา มินิมาร์ท (คุณกัลยาณี)</v>
      </c>
      <c r="P2871" s="4">
        <f>IFERROR(__xludf.DUMMYFUNCTION("""COMPUTED_VALUE"""),44647.0)</f>
        <v>44647</v>
      </c>
      <c r="Q2871" s="3" t="str">
        <f>IFERROR(__xludf.DUMMYFUNCTION("""COMPUTED_VALUE"""),"I")</f>
        <v>I</v>
      </c>
      <c r="R2871" s="3" t="str">
        <f>IFERROR(__xludf.DUMMYFUNCTION("""COMPUTED_VALUE"""),"Small Format")</f>
        <v>Small Format</v>
      </c>
      <c r="S2871" s="3" t="str">
        <f>IFERROR(__xludf.DUMMYFUNCTION("""COMPUTED_VALUE"""),"Donjai")</f>
        <v>Donjai</v>
      </c>
      <c r="T2871" s="3">
        <f>IFERROR(__xludf.DUMMYFUNCTION("""COMPUTED_VALUE"""),0.0)</f>
        <v>0</v>
      </c>
      <c r="U2871" s="3">
        <f>IFERROR(__xludf.DUMMYFUNCTION("""COMPUTED_VALUE"""),0.0)</f>
        <v>0</v>
      </c>
      <c r="V2871" s="3" t="str">
        <f>IFERROR(__xludf.DUMMYFUNCTION("""COMPUTED_VALUE"""),"N")</f>
        <v>N</v>
      </c>
      <c r="W2871" s="3"/>
      <c r="X2871" s="3" t="str">
        <f>IFERROR(__xludf.DUMMYFUNCTION("""COMPUTED_VALUE"""),"หมู่บ้าน ตะวันวิลล์ บ้านเลขที่ 9/6 หมู่ 11 ซอย 1 ตำบลหนองละลอก อำเภอ บ้านค่าย จังหวัด ระยอง")</f>
        <v>หมู่บ้าน ตะวันวิลล์ บ้านเลขที่ 9/6 หมู่ 11 ซอย 1 ตำบลหนองละลอก อำเภอ บ้านค่าย จังหวัด ระยอง</v>
      </c>
      <c r="Y2871" s="3"/>
      <c r="Z2871" s="3">
        <f>IFERROR(__xludf.DUMMYFUNCTION("""COMPUTED_VALUE"""),0.0)</f>
        <v>0</v>
      </c>
      <c r="AA2871" s="3">
        <f>IFERROR(__xludf.DUMMYFUNCTION("""COMPUTED_VALUE"""),0.0)</f>
        <v>0</v>
      </c>
      <c r="AB2871" s="3" t="str">
        <f>IFERROR(__xludf.DUMMYFUNCTION("""COMPUTED_VALUE"""),"ระยอง")</f>
        <v>ระยอง</v>
      </c>
      <c r="AC2871" s="3">
        <f>IFERROR(__xludf.DUMMYFUNCTION("""COMPUTED_VALUE"""),0.0)</f>
        <v>0</v>
      </c>
      <c r="AD2871" s="3"/>
      <c r="AE2871" s="3"/>
      <c r="AF2871" s="3" t="str">
        <f>IFERROR(__xludf.DUMMYFUNCTION("""COMPUTED_VALUE"""),"ร้านยุพา มินิมาร์ท (คุณกัลยาณี)-83729")</f>
        <v>ร้านยุพา มินิมาร์ท (คุณกัลยาณี)-83729</v>
      </c>
      <c r="AG2871" s="3" t="str">
        <f>IFERROR(__xludf.DUMMYFUNCTION("""COMPUTED_VALUE"""),"ตะวันออก")</f>
        <v>ตะวันออก</v>
      </c>
      <c r="AH2871" s="3" t="str">
        <f>IFERROR(__xludf.DUMMYFUNCTION("""COMPUTED_VALUE"""),"#N/A")</f>
        <v>#N/A</v>
      </c>
      <c r="AI2871" s="3" t="str">
        <f>IFERROR(__xludf.DUMMYFUNCTION("""COMPUTED_VALUE"""),"Out of warranty")</f>
        <v>Out of warranty</v>
      </c>
      <c r="AJ2871" s="3">
        <f>IFERROR(__xludf.DUMMYFUNCTION("""COMPUTED_VALUE"""),46.0)</f>
        <v>46</v>
      </c>
      <c r="AK2871" s="3"/>
      <c r="AL2871" s="3"/>
    </row>
    <row r="2872" ht="15.75" customHeight="1">
      <c r="A2872" s="1" t="str">
        <f>IFERROR(__xludf.DUMMYFUNCTION("""COMPUTED_VALUE"""),"83730")</f>
        <v>83730</v>
      </c>
      <c r="B2872" s="2">
        <f>IFERROR(__xludf.DUMMYFUNCTION("""COMPUTED_VALUE"""),83730.0)</f>
        <v>83730</v>
      </c>
      <c r="C2872" s="3" t="str">
        <f>IFERROR(__xludf.DUMMYFUNCTION("""COMPUTED_VALUE"""),"ร้านป้อมปิ่น มินิ (ป้อมปิ่น มินิมาร์ท)")</f>
        <v>ร้านป้อมปิ่น มินิ (ป้อมปิ่น มินิมาร์ท)</v>
      </c>
      <c r="D2872" s="3" t="str">
        <f>IFERROR(__xludf.DUMMYFUNCTION("""COMPUTED_VALUE"""),"ร้านป้อมปิ่น มินิ (ป้อมปิ่น มินิมาร์ท)")</f>
        <v>ร้านป้อมปิ่น มินิ (ป้อมปิ่น มินิมาร์ท)</v>
      </c>
      <c r="E2872" s="1" t="str">
        <f>IFERROR(__xludf.DUMMYFUNCTION("""COMPUTED_VALUE"""),"Donjai")</f>
        <v>Donjai</v>
      </c>
      <c r="F2872" s="1" t="str">
        <f>IFERROR(__xludf.DUMMYFUNCTION("""COMPUTED_VALUE"""),"025324")</f>
        <v>025324</v>
      </c>
      <c r="G2872" s="1" t="str">
        <f>IFERROR(__xludf.DUMMYFUNCTION("""COMPUTED_VALUE"""),"นายวิเชฎฐ์ ติรัตนะประคม")</f>
        <v>นายวิเชฎฐ์ ติรัตนะประคม</v>
      </c>
      <c r="H2872" s="1" t="str">
        <f>IFERROR(__xludf.DUMMYFUNCTION("""COMPUTED_VALUE"""),"025324")</f>
        <v>025324</v>
      </c>
      <c r="I2872" s="1" t="str">
        <f>IFERROR(__xludf.DUMMYFUNCTION("""COMPUTED_VALUE"""),"นายวิเชฎฐ์ ติรัตนะประคม")</f>
        <v>นายวิเชฎฐ์ ติรัตนะประคม</v>
      </c>
      <c r="J2872" s="3">
        <f>IFERROR(__xludf.DUMMYFUNCTION("""COMPUTED_VALUE"""),295541.0)</f>
        <v>295541</v>
      </c>
      <c r="K2872" s="3" t="str">
        <f>IFERROR(__xludf.DUMMYFUNCTION("""COMPUTED_VALUE"""),"นายรพิพล ศรีมาตย์")</f>
        <v>นายรพิพล ศรีมาตย์</v>
      </c>
      <c r="L2872" s="1" t="str">
        <f>IFERROR(__xludf.DUMMYFUNCTION("""COMPUTED_VALUE"""),"นายรพิพล ศรีมาตย์")</f>
        <v>นายรพิพล ศรีมาตย์</v>
      </c>
      <c r="M2872" s="1" t="str">
        <f>IFERROR(__xludf.DUMMYFUNCTION("""COMPUTED_VALUE"""),"0613966115")</f>
        <v>0613966115</v>
      </c>
      <c r="N2872" s="3">
        <f>IFERROR(__xludf.DUMMYFUNCTION("""COMPUTED_VALUE"""),83730.0)</f>
        <v>83730</v>
      </c>
      <c r="O2872" s="3" t="str">
        <f>IFERROR(__xludf.DUMMYFUNCTION("""COMPUTED_VALUE"""),"ร้านป้อมปิ่น มินิ (ป้อมปิ่น มินิมาร์ท)")</f>
        <v>ร้านป้อมปิ่น มินิ (ป้อมปิ่น มินิมาร์ท)</v>
      </c>
      <c r="P2872" s="4">
        <f>IFERROR(__xludf.DUMMYFUNCTION("""COMPUTED_VALUE"""),44641.0)</f>
        <v>44641</v>
      </c>
      <c r="Q2872" s="3" t="str">
        <f>IFERROR(__xludf.DUMMYFUNCTION("""COMPUTED_VALUE"""),"A")</f>
        <v>A</v>
      </c>
      <c r="R2872" s="3" t="str">
        <f>IFERROR(__xludf.DUMMYFUNCTION("""COMPUTED_VALUE"""),"Small Format")</f>
        <v>Small Format</v>
      </c>
      <c r="S2872" s="3" t="str">
        <f>IFERROR(__xludf.DUMMYFUNCTION("""COMPUTED_VALUE"""),"Donjai")</f>
        <v>Donjai</v>
      </c>
      <c r="T2872" s="3" t="str">
        <f>IFERROR(__xludf.DUMMYFUNCTION("""COMPUTED_VALUE"""),"14 K.Wichet T.")</f>
        <v>14 K.Wichet T.</v>
      </c>
      <c r="U2872" s="3" t="str">
        <f>IFERROR(__xludf.DUMMYFUNCTION("""COMPUTED_VALUE"""),"14 K.Wichet T.")</f>
        <v>14 K.Wichet T.</v>
      </c>
      <c r="V2872" s="3" t="str">
        <f>IFERROR(__xludf.DUMMYFUNCTION("""COMPUTED_VALUE"""),"N")</f>
        <v>N</v>
      </c>
      <c r="W2872" s="3"/>
      <c r="X2872" s="3" t="str">
        <f>IFERROR(__xludf.DUMMYFUNCTION("""COMPUTED_VALUE"""),"87/30 หมู่ที่ 5 ต.รัษฎา อ.เมือง จ.ภูเก็ต")</f>
        <v>87/30 หมู่ที่ 5 ต.รัษฎา อ.เมือง จ.ภูเก็ต</v>
      </c>
      <c r="Y2872" s="3"/>
      <c r="Z2872" s="3">
        <f>IFERROR(__xludf.DUMMYFUNCTION("""COMPUTED_VALUE"""),0.0)</f>
        <v>0</v>
      </c>
      <c r="AA2872" s="3">
        <f>IFERROR(__xludf.DUMMYFUNCTION("""COMPUTED_VALUE"""),0.0)</f>
        <v>0</v>
      </c>
      <c r="AB2872" s="3" t="str">
        <f>IFERROR(__xludf.DUMMYFUNCTION("""COMPUTED_VALUE"""),"ภูเก็ต")</f>
        <v>ภูเก็ต</v>
      </c>
      <c r="AC2872" s="3">
        <f>IFERROR(__xludf.DUMMYFUNCTION("""COMPUTED_VALUE"""),0.0)</f>
        <v>0</v>
      </c>
      <c r="AD2872" s="3"/>
      <c r="AE2872" s="3"/>
      <c r="AF2872" s="3" t="str">
        <f>IFERROR(__xludf.DUMMYFUNCTION("""COMPUTED_VALUE"""),"ร้านป้อมปิ่น มินิ (ป้อมปิ่น มินิมาร์ท)-83730")</f>
        <v>ร้านป้อมปิ่น มินิ (ป้อมปิ่น มินิมาร์ท)-83730</v>
      </c>
      <c r="AG2872" s="3" t="str">
        <f>IFERROR(__xludf.DUMMYFUNCTION("""COMPUTED_VALUE"""),"ใต้")</f>
        <v>ใต้</v>
      </c>
      <c r="AH2872" s="3" t="str">
        <f>IFERROR(__xludf.DUMMYFUNCTION("""COMPUTED_VALUE"""),"#N/A")</f>
        <v>#N/A</v>
      </c>
      <c r="AI2872" s="3" t="str">
        <f>IFERROR(__xludf.DUMMYFUNCTION("""COMPUTED_VALUE"""),"Out of warranty")</f>
        <v>Out of warranty</v>
      </c>
      <c r="AJ2872" s="3">
        <f>IFERROR(__xludf.DUMMYFUNCTION("""COMPUTED_VALUE"""),46.0)</f>
        <v>46</v>
      </c>
      <c r="AK2872" s="3"/>
      <c r="AL2872" s="3"/>
    </row>
    <row r="2873" ht="15.75" customHeight="1">
      <c r="A2873" s="1" t="str">
        <f>IFERROR(__xludf.DUMMYFUNCTION("""COMPUTED_VALUE"""),"83731")</f>
        <v>83731</v>
      </c>
      <c r="B2873" s="2">
        <f>IFERROR(__xludf.DUMMYFUNCTION("""COMPUTED_VALUE"""),83731.0)</f>
        <v>83731</v>
      </c>
      <c r="C2873" s="3" t="str">
        <f>IFERROR(__xludf.DUMMYFUNCTION("""COMPUTED_VALUE"""),"ร้านกาญจนภรการค้า")</f>
        <v>ร้านกาญจนภรการค้า</v>
      </c>
      <c r="D2873" s="3" t="str">
        <f>IFERROR(__xludf.DUMMYFUNCTION("""COMPUTED_VALUE"""),"ร้านกาญจนภรการค้า")</f>
        <v>ร้านกาญจนภรการค้า</v>
      </c>
      <c r="E2873" s="1" t="str">
        <f>IFERROR(__xludf.DUMMYFUNCTION("""COMPUTED_VALUE"""),"Donjai")</f>
        <v>Donjai</v>
      </c>
      <c r="F2873" s="1" t="str">
        <f>IFERROR(__xludf.DUMMYFUNCTION("""COMPUTED_VALUE"""),"00510143")</f>
        <v>00510143</v>
      </c>
      <c r="G2873" s="1" t="str">
        <f>IFERROR(__xludf.DUMMYFUNCTION("""COMPUTED_VALUE"""),"นายธีระวัฒน์ บุญสิทธิ์")</f>
        <v>นายธีระวัฒน์ บุญสิทธิ์</v>
      </c>
      <c r="H2873" s="1" t="str">
        <f>IFERROR(__xludf.DUMMYFUNCTION("""COMPUTED_VALUE"""),"00510143")</f>
        <v>00510143</v>
      </c>
      <c r="I2873" s="1" t="str">
        <f>IFERROR(__xludf.DUMMYFUNCTION("""COMPUTED_VALUE"""),"นายธีระวัฒน์ บุญสิทธิ์")</f>
        <v>นายธีระวัฒน์ บุญสิทธิ์</v>
      </c>
      <c r="J2873" s="3">
        <f>IFERROR(__xludf.DUMMYFUNCTION("""COMPUTED_VALUE"""),228031.0)</f>
        <v>228031</v>
      </c>
      <c r="K2873" s="3" t="str">
        <f>IFERROR(__xludf.DUMMYFUNCTION("""COMPUTED_VALUE"""),"นายธนพงษ์ วันหมัด")</f>
        <v>นายธนพงษ์ วันหมัด</v>
      </c>
      <c r="L2873" s="1" t="str">
        <f>IFERROR(__xludf.DUMMYFUNCTION("""COMPUTED_VALUE"""),"นายธนพงษ์ วันหมัด")</f>
        <v>นายธนพงษ์ วันหมัด</v>
      </c>
      <c r="M2873" s="1" t="str">
        <f>IFERROR(__xludf.DUMMYFUNCTION("""COMPUTED_VALUE"""),"0813716913")</f>
        <v>0813716913</v>
      </c>
      <c r="N2873" s="3">
        <f>IFERROR(__xludf.DUMMYFUNCTION("""COMPUTED_VALUE"""),83731.0)</f>
        <v>83731</v>
      </c>
      <c r="O2873" s="3" t="str">
        <f>IFERROR(__xludf.DUMMYFUNCTION("""COMPUTED_VALUE"""),"ร้านกาญจนภรการค้า")</f>
        <v>ร้านกาญจนภรการค้า</v>
      </c>
      <c r="P2873" s="4">
        <f>IFERROR(__xludf.DUMMYFUNCTION("""COMPUTED_VALUE"""),44662.0)</f>
        <v>44662</v>
      </c>
      <c r="Q2873" s="3" t="str">
        <f>IFERROR(__xludf.DUMMYFUNCTION("""COMPUTED_VALUE"""),"A")</f>
        <v>A</v>
      </c>
      <c r="R2873" s="3" t="str">
        <f>IFERROR(__xludf.DUMMYFUNCTION("""COMPUTED_VALUE"""),"Small Format")</f>
        <v>Small Format</v>
      </c>
      <c r="S2873" s="3" t="str">
        <f>IFERROR(__xludf.DUMMYFUNCTION("""COMPUTED_VALUE"""),"Donjai")</f>
        <v>Donjai</v>
      </c>
      <c r="T2873" s="3" t="str">
        <f>IFERROR(__xludf.DUMMYFUNCTION("""COMPUTED_VALUE"""),"12 K.Theerawat B.")</f>
        <v>12 K.Theerawat B.</v>
      </c>
      <c r="U2873" s="3" t="str">
        <f>IFERROR(__xludf.DUMMYFUNCTION("""COMPUTED_VALUE"""),"12 K.Theerawat B.")</f>
        <v>12 K.Theerawat B.</v>
      </c>
      <c r="V2873" s="3" t="str">
        <f>IFERROR(__xludf.DUMMYFUNCTION("""COMPUTED_VALUE"""),"N")</f>
        <v>N</v>
      </c>
      <c r="W2873" s="3"/>
      <c r="X2873" s="3" t="str">
        <f>IFERROR(__xludf.DUMMYFUNCTION("""COMPUTED_VALUE"""),"2/18 หมู่ 4 แขวงบ้านสร้าง อ.บ้านสร้าง จ.ปราจีนบุรี")</f>
        <v>2/18 หมู่ 4 แขวงบ้านสร้าง อ.บ้านสร้าง จ.ปราจีนบุรี</v>
      </c>
      <c r="Y2873" s="3"/>
      <c r="Z2873" s="3">
        <f>IFERROR(__xludf.DUMMYFUNCTION("""COMPUTED_VALUE"""),0.0)</f>
        <v>0</v>
      </c>
      <c r="AA2873" s="3">
        <f>IFERROR(__xludf.DUMMYFUNCTION("""COMPUTED_VALUE"""),0.0)</f>
        <v>0</v>
      </c>
      <c r="AB2873" s="3" t="str">
        <f>IFERROR(__xludf.DUMMYFUNCTION("""COMPUTED_VALUE"""),"ปราจีนบุรี")</f>
        <v>ปราจีนบุรี</v>
      </c>
      <c r="AC2873" s="3">
        <f>IFERROR(__xludf.DUMMYFUNCTION("""COMPUTED_VALUE"""),0.0)</f>
        <v>0</v>
      </c>
      <c r="AD2873" s="3"/>
      <c r="AE2873" s="3"/>
      <c r="AF2873" s="3" t="str">
        <f>IFERROR(__xludf.DUMMYFUNCTION("""COMPUTED_VALUE"""),"ร้านกาญจนภรการค้า-83731")</f>
        <v>ร้านกาญจนภรการค้า-83731</v>
      </c>
      <c r="AG2873" s="3" t="str">
        <f>IFERROR(__xludf.DUMMYFUNCTION("""COMPUTED_VALUE"""),"ตะวันออก")</f>
        <v>ตะวันออก</v>
      </c>
      <c r="AH2873" s="3" t="str">
        <f>IFERROR(__xludf.DUMMYFUNCTION("""COMPUTED_VALUE"""),"#N/A")</f>
        <v>#N/A</v>
      </c>
      <c r="AI2873" s="3" t="str">
        <f>IFERROR(__xludf.DUMMYFUNCTION("""COMPUTED_VALUE"""),"Out of warranty")</f>
        <v>Out of warranty</v>
      </c>
      <c r="AJ2873" s="3">
        <f>IFERROR(__xludf.DUMMYFUNCTION("""COMPUTED_VALUE"""),46.0)</f>
        <v>46</v>
      </c>
      <c r="AK2873" s="3"/>
      <c r="AL2873" s="3"/>
    </row>
    <row r="2874" ht="15.75" customHeight="1">
      <c r="A2874" s="1" t="str">
        <f>IFERROR(__xludf.DUMMYFUNCTION("""COMPUTED_VALUE"""),"83732")</f>
        <v>83732</v>
      </c>
      <c r="B2874" s="2">
        <f>IFERROR(__xludf.DUMMYFUNCTION("""COMPUTED_VALUE"""),83732.0)</f>
        <v>83732</v>
      </c>
      <c r="C2874" s="3" t="str">
        <f>IFERROR(__xludf.DUMMYFUNCTION("""COMPUTED_VALUE"""),"ร้านครัวคุณยาย (ทรัพย์สินพูนทวี)")</f>
        <v>ร้านครัวคุณยาย (ทรัพย์สินพูนทวี)</v>
      </c>
      <c r="D2874" s="3" t="str">
        <f>IFERROR(__xludf.DUMMYFUNCTION("""COMPUTED_VALUE"""),"ร้านครัวคุณยาย (ทรัพย์สินพูนทวี)")</f>
        <v>ร้านครัวคุณยาย (ทรัพย์สินพูนทวี)</v>
      </c>
      <c r="E2874" s="1" t="str">
        <f>IFERROR(__xludf.DUMMYFUNCTION("""COMPUTED_VALUE"""),"Donjai")</f>
        <v>Donjai</v>
      </c>
      <c r="F2874" s="1" t="str">
        <f>IFERROR(__xludf.DUMMYFUNCTION("""COMPUTED_VALUE"""),"296608")</f>
        <v>296608</v>
      </c>
      <c r="G2874" s="1" t="str">
        <f>IFERROR(__xludf.DUMMYFUNCTION("""COMPUTED_VALUE"""),"นายภาคภูมิ เพ็ชรนิล")</f>
        <v>นายภาคภูมิ เพ็ชรนิล</v>
      </c>
      <c r="H2874" s="1" t="str">
        <f>IFERROR(__xludf.DUMMYFUNCTION("""COMPUTED_VALUE"""),"296608")</f>
        <v>296608</v>
      </c>
      <c r="I2874" s="1" t="str">
        <f>IFERROR(__xludf.DUMMYFUNCTION("""COMPUTED_VALUE"""),"นายภาคภูมิ เพ็ชรนิล")</f>
        <v>นายภาคภูมิ เพ็ชรนิล</v>
      </c>
      <c r="J2874" s="3">
        <f>IFERROR(__xludf.DUMMYFUNCTION("""COMPUTED_VALUE"""),228031.0)</f>
        <v>228031</v>
      </c>
      <c r="K2874" s="3" t="str">
        <f>IFERROR(__xludf.DUMMYFUNCTION("""COMPUTED_VALUE"""),"นายธนพงษ์ วันหมัด")</f>
        <v>นายธนพงษ์ วันหมัด</v>
      </c>
      <c r="L2874" s="1" t="str">
        <f>IFERROR(__xludf.DUMMYFUNCTION("""COMPUTED_VALUE"""),"นายธนพงษ์ วันหมัด")</f>
        <v>นายธนพงษ์ วันหมัด</v>
      </c>
      <c r="M2874" s="1" t="str">
        <f>IFERROR(__xludf.DUMMYFUNCTION("""COMPUTED_VALUE"""),"0813716913")</f>
        <v>0813716913</v>
      </c>
      <c r="N2874" s="3">
        <f>IFERROR(__xludf.DUMMYFUNCTION("""COMPUTED_VALUE"""),83732.0)</f>
        <v>83732</v>
      </c>
      <c r="O2874" s="3" t="str">
        <f>IFERROR(__xludf.DUMMYFUNCTION("""COMPUTED_VALUE"""),"ร้านครัวคุณยาย (ทรัพย์สินพูนทวี)")</f>
        <v>ร้านครัวคุณยาย (ทรัพย์สินพูนทวี)</v>
      </c>
      <c r="P2874" s="4">
        <f>IFERROR(__xludf.DUMMYFUNCTION("""COMPUTED_VALUE"""),44647.0)</f>
        <v>44647</v>
      </c>
      <c r="Q2874" s="3" t="str">
        <f>IFERROR(__xludf.DUMMYFUNCTION("""COMPUTED_VALUE"""),"I")</f>
        <v>I</v>
      </c>
      <c r="R2874" s="3" t="str">
        <f>IFERROR(__xludf.DUMMYFUNCTION("""COMPUTED_VALUE"""),"Small Format")</f>
        <v>Small Format</v>
      </c>
      <c r="S2874" s="3" t="str">
        <f>IFERROR(__xludf.DUMMYFUNCTION("""COMPUTED_VALUE"""),"Donjai")</f>
        <v>Donjai</v>
      </c>
      <c r="T2874" s="3" t="str">
        <f>IFERROR(__xludf.DUMMYFUNCTION("""COMPUTED_VALUE"""),"10 K.Phakphoom P.")</f>
        <v>10 K.Phakphoom P.</v>
      </c>
      <c r="U2874" s="3" t="str">
        <f>IFERROR(__xludf.DUMMYFUNCTION("""COMPUTED_VALUE"""),"10 K.Phakphoom P.")</f>
        <v>10 K.Phakphoom P.</v>
      </c>
      <c r="V2874" s="3" t="str">
        <f>IFERROR(__xludf.DUMMYFUNCTION("""COMPUTED_VALUE"""),"N")</f>
        <v>N</v>
      </c>
      <c r="W2874" s="3"/>
      <c r="X2874" s="3" t="str">
        <f>IFERROR(__xludf.DUMMYFUNCTION("""COMPUTED_VALUE"""),"77/9ม.2ต.เบิกไพรอ.จอมบึงจ.รสชบุรี")</f>
        <v>77/9ม.2ต.เบิกไพรอ.จอมบึงจ.รสชบุรี</v>
      </c>
      <c r="Y2874" s="3"/>
      <c r="Z2874" s="3">
        <f>IFERROR(__xludf.DUMMYFUNCTION("""COMPUTED_VALUE"""),0.0)</f>
        <v>0</v>
      </c>
      <c r="AA2874" s="3">
        <f>IFERROR(__xludf.DUMMYFUNCTION("""COMPUTED_VALUE"""),0.0)</f>
        <v>0</v>
      </c>
      <c r="AB2874" s="3" t="str">
        <f>IFERROR(__xludf.DUMMYFUNCTION("""COMPUTED_VALUE"""),"ราชบุรี")</f>
        <v>ราชบุรี</v>
      </c>
      <c r="AC2874" s="3">
        <f>IFERROR(__xludf.DUMMYFUNCTION("""COMPUTED_VALUE"""),0.0)</f>
        <v>0</v>
      </c>
      <c r="AD2874" s="3"/>
      <c r="AE2874" s="3"/>
      <c r="AF2874" s="3" t="str">
        <f>IFERROR(__xludf.DUMMYFUNCTION("""COMPUTED_VALUE"""),"ร้านครัวคุณยาย (ทรัพย์สินพูนทวี)-83732")</f>
        <v>ร้านครัวคุณยาย (ทรัพย์สินพูนทวี)-83732</v>
      </c>
      <c r="AG2874" s="3" t="str">
        <f>IFERROR(__xludf.DUMMYFUNCTION("""COMPUTED_VALUE"""),"ตะวันตก")</f>
        <v>ตะวันตก</v>
      </c>
      <c r="AH2874" s="3" t="str">
        <f>IFERROR(__xludf.DUMMYFUNCTION("""COMPUTED_VALUE"""),"#N/A")</f>
        <v>#N/A</v>
      </c>
      <c r="AI2874" s="3" t="str">
        <f>IFERROR(__xludf.DUMMYFUNCTION("""COMPUTED_VALUE"""),"Out of warranty")</f>
        <v>Out of warranty</v>
      </c>
      <c r="AJ2874" s="3">
        <f>IFERROR(__xludf.DUMMYFUNCTION("""COMPUTED_VALUE"""),46.0)</f>
        <v>46</v>
      </c>
      <c r="AK2874" s="3"/>
      <c r="AL2874" s="3"/>
    </row>
    <row r="2875" ht="15.75" customHeight="1">
      <c r="A2875" s="1" t="str">
        <f>IFERROR(__xludf.DUMMYFUNCTION("""COMPUTED_VALUE"""),"83733")</f>
        <v>83733</v>
      </c>
      <c r="B2875" s="2">
        <f>IFERROR(__xludf.DUMMYFUNCTION("""COMPUTED_VALUE"""),83733.0)</f>
        <v>83733</v>
      </c>
      <c r="C2875" s="3" t="str">
        <f>IFERROR(__xludf.DUMMYFUNCTION("""COMPUTED_VALUE"""),"ร้านอุดม")</f>
        <v>ร้านอุดม</v>
      </c>
      <c r="D2875" s="3" t="str">
        <f>IFERROR(__xludf.DUMMYFUNCTION("""COMPUTED_VALUE"""),"ร้านอุดม")</f>
        <v>ร้านอุดม</v>
      </c>
      <c r="E2875" s="1" t="str">
        <f>IFERROR(__xludf.DUMMYFUNCTION("""COMPUTED_VALUE"""),"Donjai")</f>
        <v>Donjai</v>
      </c>
      <c r="F2875" s="1" t="str">
        <f>IFERROR(__xludf.DUMMYFUNCTION("""COMPUTED_VALUE"""),"2454781")</f>
        <v>2454781</v>
      </c>
      <c r="G2875" s="1" t="str">
        <f>IFERROR(__xludf.DUMMYFUNCTION("""COMPUTED_VALUE"""),"นายฌานกฤช นันทะโคต")</f>
        <v>นายฌานกฤช นันทะโคต</v>
      </c>
      <c r="H2875" s="1" t="str">
        <f>IFERROR(__xludf.DUMMYFUNCTION("""COMPUTED_VALUE"""),"2454781")</f>
        <v>2454781</v>
      </c>
      <c r="I2875" s="1" t="str">
        <f>IFERROR(__xludf.DUMMYFUNCTION("""COMPUTED_VALUE"""),"นายฌานกฤช นันทะโคต")</f>
        <v>นายฌานกฤช นันทะโคต</v>
      </c>
      <c r="J2875" s="3">
        <f>IFERROR(__xludf.DUMMYFUNCTION("""COMPUTED_VALUE"""),295886.0)</f>
        <v>295886</v>
      </c>
      <c r="K2875" s="3" t="str">
        <f>IFERROR(__xludf.DUMMYFUNCTION("""COMPUTED_VALUE"""),"นายจิระพงษ์ โพธิ์นิล")</f>
        <v>นายจิระพงษ์ โพธิ์นิล</v>
      </c>
      <c r="L2875" s="1" t="str">
        <f>IFERROR(__xludf.DUMMYFUNCTION("""COMPUTED_VALUE"""),"นายจิระพงษ์ โพธิ์นิล")</f>
        <v>นายจิระพงษ์ โพธิ์นิล</v>
      </c>
      <c r="M2875" s="1" t="str">
        <f>IFERROR(__xludf.DUMMYFUNCTION("""COMPUTED_VALUE"""),"0933290754")</f>
        <v>0933290754</v>
      </c>
      <c r="N2875" s="3">
        <f>IFERROR(__xludf.DUMMYFUNCTION("""COMPUTED_VALUE"""),83733.0)</f>
        <v>83733</v>
      </c>
      <c r="O2875" s="3" t="str">
        <f>IFERROR(__xludf.DUMMYFUNCTION("""COMPUTED_VALUE"""),"ร้านอุดม")</f>
        <v>ร้านอุดม</v>
      </c>
      <c r="P2875" s="4">
        <f>IFERROR(__xludf.DUMMYFUNCTION("""COMPUTED_VALUE"""),44657.0)</f>
        <v>44657</v>
      </c>
      <c r="Q2875" s="3" t="str">
        <f>IFERROR(__xludf.DUMMYFUNCTION("""COMPUTED_VALUE"""),"A")</f>
        <v>A</v>
      </c>
      <c r="R2875" s="3" t="str">
        <f>IFERROR(__xludf.DUMMYFUNCTION("""COMPUTED_VALUE"""),"Small Format")</f>
        <v>Small Format</v>
      </c>
      <c r="S2875" s="3" t="str">
        <f>IFERROR(__xludf.DUMMYFUNCTION("""COMPUTED_VALUE"""),"Donjai")</f>
        <v>Donjai</v>
      </c>
      <c r="T2875" s="3" t="str">
        <f>IFERROR(__xludf.DUMMYFUNCTION("""COMPUTED_VALUE"""),"05 K.Chanakrit N.")</f>
        <v>05 K.Chanakrit N.</v>
      </c>
      <c r="U2875" s="3" t="str">
        <f>IFERROR(__xludf.DUMMYFUNCTION("""COMPUTED_VALUE"""),"05 K.Chanakrit N.")</f>
        <v>05 K.Chanakrit N.</v>
      </c>
      <c r="V2875" s="3" t="str">
        <f>IFERROR(__xludf.DUMMYFUNCTION("""COMPUTED_VALUE"""),"N")</f>
        <v>N</v>
      </c>
      <c r="W2875" s="3"/>
      <c r="X2875" s="3" t="str">
        <f>IFERROR(__xludf.DUMMYFUNCTION("""COMPUTED_VALUE"""),"278/5 ม.7 ถ.ศรีสุระ ต.เมืองเดช อ.เดชอุดม จ.อุบลราชธานี 34160")</f>
        <v>278/5 ม.7 ถ.ศรีสุระ ต.เมืองเดช อ.เดชอุดม จ.อุบลราชธานี 34160</v>
      </c>
      <c r="Y2875" s="3"/>
      <c r="Z2875" s="3">
        <f>IFERROR(__xludf.DUMMYFUNCTION("""COMPUTED_VALUE"""),0.0)</f>
        <v>0</v>
      </c>
      <c r="AA2875" s="3">
        <f>IFERROR(__xludf.DUMMYFUNCTION("""COMPUTED_VALUE"""),0.0)</f>
        <v>0</v>
      </c>
      <c r="AB2875" s="3" t="str">
        <f>IFERROR(__xludf.DUMMYFUNCTION("""COMPUTED_VALUE"""),"อุบลราชธานี")</f>
        <v>อุบลราชธานี</v>
      </c>
      <c r="AC2875" s="3">
        <f>IFERROR(__xludf.DUMMYFUNCTION("""COMPUTED_VALUE"""),34160.0)</f>
        <v>34160</v>
      </c>
      <c r="AD2875" s="3"/>
      <c r="AE2875" s="3"/>
      <c r="AF2875" s="3" t="str">
        <f>IFERROR(__xludf.DUMMYFUNCTION("""COMPUTED_VALUE"""),"ร้านอุดม-83733")</f>
        <v>ร้านอุดม-83733</v>
      </c>
      <c r="AG2875" s="3" t="str">
        <f>IFERROR(__xludf.DUMMYFUNCTION("""COMPUTED_VALUE"""),"ตะวันออกเฉียงเหนือ")</f>
        <v>ตะวันออกเฉียงเหนือ</v>
      </c>
      <c r="AH2875" s="3" t="str">
        <f>IFERROR(__xludf.DUMMYFUNCTION("""COMPUTED_VALUE"""),"#N/A")</f>
        <v>#N/A</v>
      </c>
      <c r="AI2875" s="3" t="str">
        <f>IFERROR(__xludf.DUMMYFUNCTION("""COMPUTED_VALUE"""),"Out of warranty")</f>
        <v>Out of warranty</v>
      </c>
      <c r="AJ2875" s="3">
        <f>IFERROR(__xludf.DUMMYFUNCTION("""COMPUTED_VALUE"""),46.0)</f>
        <v>46</v>
      </c>
      <c r="AK2875" s="3"/>
      <c r="AL2875" s="3"/>
    </row>
    <row r="2876" ht="15.75" customHeight="1">
      <c r="A2876" s="1" t="str">
        <f>IFERROR(__xludf.DUMMYFUNCTION("""COMPUTED_VALUE"""),"83736")</f>
        <v>83736</v>
      </c>
      <c r="B2876" s="2">
        <f>IFERROR(__xludf.DUMMYFUNCTION("""COMPUTED_VALUE"""),83736.0)</f>
        <v>83736</v>
      </c>
      <c r="C2876" s="3" t="str">
        <f>IFERROR(__xludf.DUMMYFUNCTION("""COMPUTED_VALUE"""),"ร้านวิริยะพาณิช")</f>
        <v>ร้านวิริยะพาณิช</v>
      </c>
      <c r="D2876" s="3" t="str">
        <f>IFERROR(__xludf.DUMMYFUNCTION("""COMPUTED_VALUE"""),"ร้านวิริยะพาณิช")</f>
        <v>ร้านวิริยะพาณิช</v>
      </c>
      <c r="E2876" s="1" t="str">
        <f>IFERROR(__xludf.DUMMYFUNCTION("""COMPUTED_VALUE"""),"Donjai")</f>
        <v>Donjai</v>
      </c>
      <c r="F2876" s="1" t="str">
        <f>IFERROR(__xludf.DUMMYFUNCTION("""COMPUTED_VALUE"""),"015361")</f>
        <v>015361</v>
      </c>
      <c r="G2876" s="1" t="str">
        <f>IFERROR(__xludf.DUMMYFUNCTION("""COMPUTED_VALUE"""),"นายสมบูรณ์ พรหมในเมือง")</f>
        <v>นายสมบูรณ์ พรหมในเมือง</v>
      </c>
      <c r="H2876" s="1" t="str">
        <f>IFERROR(__xludf.DUMMYFUNCTION("""COMPUTED_VALUE"""),"015361")</f>
        <v>015361</v>
      </c>
      <c r="I2876" s="1" t="str">
        <f>IFERROR(__xludf.DUMMYFUNCTION("""COMPUTED_VALUE"""),"นายสมบูรณ์ พรหมในเมือง")</f>
        <v>นายสมบูรณ์ พรหมในเมือง</v>
      </c>
      <c r="J2876" s="3">
        <f>IFERROR(__xludf.DUMMYFUNCTION("""COMPUTED_VALUE"""),295886.0)</f>
        <v>295886</v>
      </c>
      <c r="K2876" s="3" t="str">
        <f>IFERROR(__xludf.DUMMYFUNCTION("""COMPUTED_VALUE"""),"นายจิระพงษ์ โพธิ์นิล")</f>
        <v>นายจิระพงษ์ โพธิ์นิล</v>
      </c>
      <c r="L2876" s="1" t="str">
        <f>IFERROR(__xludf.DUMMYFUNCTION("""COMPUTED_VALUE"""),"นายจิระพงษ์ โพธิ์นิล")</f>
        <v>นายจิระพงษ์ โพธิ์นิล</v>
      </c>
      <c r="M2876" s="1" t="str">
        <f>IFERROR(__xludf.DUMMYFUNCTION("""COMPUTED_VALUE"""),"0933290754")</f>
        <v>0933290754</v>
      </c>
      <c r="N2876" s="3">
        <f>IFERROR(__xludf.DUMMYFUNCTION("""COMPUTED_VALUE"""),83736.0)</f>
        <v>83736</v>
      </c>
      <c r="O2876" s="3" t="str">
        <f>IFERROR(__xludf.DUMMYFUNCTION("""COMPUTED_VALUE"""),"ร้านวิริยะพาณิช")</f>
        <v>ร้านวิริยะพาณิช</v>
      </c>
      <c r="P2876" s="4">
        <f>IFERROR(__xludf.DUMMYFUNCTION("""COMPUTED_VALUE"""),44710.0)</f>
        <v>44710</v>
      </c>
      <c r="Q2876" s="3" t="str">
        <f>IFERROR(__xludf.DUMMYFUNCTION("""COMPUTED_VALUE"""),"A")</f>
        <v>A</v>
      </c>
      <c r="R2876" s="3" t="str">
        <f>IFERROR(__xludf.DUMMYFUNCTION("""COMPUTED_VALUE"""),"Small Format")</f>
        <v>Small Format</v>
      </c>
      <c r="S2876" s="3" t="str">
        <f>IFERROR(__xludf.DUMMYFUNCTION("""COMPUTED_VALUE"""),"Donjai")</f>
        <v>Donjai</v>
      </c>
      <c r="T2876" s="3" t="str">
        <f>IFERROR(__xludf.DUMMYFUNCTION("""COMPUTED_VALUE"""),"04 K.Somboon P.")</f>
        <v>04 K.Somboon P.</v>
      </c>
      <c r="U2876" s="3" t="str">
        <f>IFERROR(__xludf.DUMMYFUNCTION("""COMPUTED_VALUE"""),"04 K.Somboon P.")</f>
        <v>04 K.Somboon P.</v>
      </c>
      <c r="V2876" s="3" t="str">
        <f>IFERROR(__xludf.DUMMYFUNCTION("""COMPUTED_VALUE"""),"N")</f>
        <v>N</v>
      </c>
      <c r="W2876" s="3"/>
      <c r="X2876" s="3" t="str">
        <f>IFERROR(__xludf.DUMMYFUNCTION("""COMPUTED_VALUE"""),"เลขที่38/3 หมู่บ้าน วังโรงน้อย ต. กฤษณา อ.สีคิ้ว นครราชสีมา 45150")</f>
        <v>เลขที่38/3 หมู่บ้าน วังโรงน้อย ต. กฤษณา อ.สีคิ้ว นครราชสีมา 45150</v>
      </c>
      <c r="Y2876" s="3"/>
      <c r="Z2876" s="3">
        <f>IFERROR(__xludf.DUMMYFUNCTION("""COMPUTED_VALUE"""),0.0)</f>
        <v>0</v>
      </c>
      <c r="AA2876" s="3">
        <f>IFERROR(__xludf.DUMMYFUNCTION("""COMPUTED_VALUE"""),0.0)</f>
        <v>0</v>
      </c>
      <c r="AB2876" s="3" t="str">
        <f>IFERROR(__xludf.DUMMYFUNCTION("""COMPUTED_VALUE"""),"นครราชสีมา")</f>
        <v>นครราชสีมา</v>
      </c>
      <c r="AC2876" s="3">
        <f>IFERROR(__xludf.DUMMYFUNCTION("""COMPUTED_VALUE"""),45150.0)</f>
        <v>45150</v>
      </c>
      <c r="AD2876" s="3"/>
      <c r="AE2876" s="3"/>
      <c r="AF2876" s="3" t="str">
        <f>IFERROR(__xludf.DUMMYFUNCTION("""COMPUTED_VALUE"""),"ร้านวิริยะพาณิช-83736")</f>
        <v>ร้านวิริยะพาณิช-83736</v>
      </c>
      <c r="AG2876" s="3" t="str">
        <f>IFERROR(__xludf.DUMMYFUNCTION("""COMPUTED_VALUE"""),"ตะวันออกเฉียงเหนือ")</f>
        <v>ตะวันออกเฉียงเหนือ</v>
      </c>
      <c r="AH2876" s="3" t="str">
        <f>IFERROR(__xludf.DUMMYFUNCTION("""COMPUTED_VALUE"""),"#N/A")</f>
        <v>#N/A</v>
      </c>
      <c r="AI2876" s="3" t="str">
        <f>IFERROR(__xludf.DUMMYFUNCTION("""COMPUTED_VALUE"""),"Out of warranty")</f>
        <v>Out of warranty</v>
      </c>
      <c r="AJ2876" s="3">
        <f>IFERROR(__xludf.DUMMYFUNCTION("""COMPUTED_VALUE"""),44.0)</f>
        <v>44</v>
      </c>
      <c r="AK2876" s="3"/>
      <c r="AL2876" s="3"/>
    </row>
    <row r="2877" ht="15.75" customHeight="1">
      <c r="A2877" s="1" t="str">
        <f>IFERROR(__xludf.DUMMYFUNCTION("""COMPUTED_VALUE"""),"83737")</f>
        <v>83737</v>
      </c>
      <c r="B2877" s="2">
        <f>IFERROR(__xludf.DUMMYFUNCTION("""COMPUTED_VALUE"""),83737.0)</f>
        <v>83737</v>
      </c>
      <c r="C2877" s="3" t="str">
        <f>IFERROR(__xludf.DUMMYFUNCTION("""COMPUTED_VALUE"""),"ร้านศูนย์สาธิตกรตลาดบ้านก้างปลา")</f>
        <v>ร้านศูนย์สาธิตกรตลาดบ้านก้างปลา</v>
      </c>
      <c r="D2877" s="3" t="str">
        <f>IFERROR(__xludf.DUMMYFUNCTION("""COMPUTED_VALUE"""),"ร้านศูนย์สาธิตกรตลาดบ้านก้างปลา")</f>
        <v>ร้านศูนย์สาธิตกรตลาดบ้านก้างปลา</v>
      </c>
      <c r="E2877" s="1" t="str">
        <f>IFERROR(__xludf.DUMMYFUNCTION("""COMPUTED_VALUE"""),"Donjai")</f>
        <v>Donjai</v>
      </c>
      <c r="F2877" s="1" t="str">
        <f>IFERROR(__xludf.DUMMYFUNCTION("""COMPUTED_VALUE"""),"296868")</f>
        <v>296868</v>
      </c>
      <c r="G2877" s="1" t="str">
        <f>IFERROR(__xludf.DUMMYFUNCTION("""COMPUTED_VALUE"""),"นายพีระพงษ์ แก้วดวงดี")</f>
        <v>นายพีระพงษ์ แก้วดวงดี</v>
      </c>
      <c r="H2877" s="1" t="str">
        <f>IFERROR(__xludf.DUMMYFUNCTION("""COMPUTED_VALUE"""),"296868")</f>
        <v>296868</v>
      </c>
      <c r="I2877" s="1" t="str">
        <f>IFERROR(__xludf.DUMMYFUNCTION("""COMPUTED_VALUE"""),"นายพีระพงษ์ แก้วดวงดี")</f>
        <v>นายพีระพงษ์ แก้วดวงดี</v>
      </c>
      <c r="J2877" s="3">
        <f>IFERROR(__xludf.DUMMYFUNCTION("""COMPUTED_VALUE"""),295886.0)</f>
        <v>295886</v>
      </c>
      <c r="K2877" s="3" t="str">
        <f>IFERROR(__xludf.DUMMYFUNCTION("""COMPUTED_VALUE"""),"นายจิระพงษ์ โพธิ์นิล")</f>
        <v>นายจิระพงษ์ โพธิ์นิล</v>
      </c>
      <c r="L2877" s="1" t="str">
        <f>IFERROR(__xludf.DUMMYFUNCTION("""COMPUTED_VALUE"""),"นายจิระพงษ์ โพธิ์นิล")</f>
        <v>นายจิระพงษ์ โพธิ์นิล</v>
      </c>
      <c r="M2877" s="1" t="str">
        <f>IFERROR(__xludf.DUMMYFUNCTION("""COMPUTED_VALUE"""),"0933290754")</f>
        <v>0933290754</v>
      </c>
      <c r="N2877" s="3">
        <f>IFERROR(__xludf.DUMMYFUNCTION("""COMPUTED_VALUE"""),83737.0)</f>
        <v>83737</v>
      </c>
      <c r="O2877" s="3" t="str">
        <f>IFERROR(__xludf.DUMMYFUNCTION("""COMPUTED_VALUE"""),"ร้านศูนย์สาธิตกรตลาดบ้านก้างปลา")</f>
        <v>ร้านศูนย์สาธิตกรตลาดบ้านก้างปลา</v>
      </c>
      <c r="P2877" s="4">
        <f>IFERROR(__xludf.DUMMYFUNCTION("""COMPUTED_VALUE"""),44647.0)</f>
        <v>44647</v>
      </c>
      <c r="Q2877" s="3" t="str">
        <f>IFERROR(__xludf.DUMMYFUNCTION("""COMPUTED_VALUE"""),"I")</f>
        <v>I</v>
      </c>
      <c r="R2877" s="3" t="str">
        <f>IFERROR(__xludf.DUMMYFUNCTION("""COMPUTED_VALUE"""),"Small Format")</f>
        <v>Small Format</v>
      </c>
      <c r="S2877" s="3" t="str">
        <f>IFERROR(__xludf.DUMMYFUNCTION("""COMPUTED_VALUE"""),"Donjai")</f>
        <v>Donjai</v>
      </c>
      <c r="T2877" s="3" t="str">
        <f>IFERROR(__xludf.DUMMYFUNCTION("""COMPUTED_VALUE"""),"03 K.Peerapong K.")</f>
        <v>03 K.Peerapong K.</v>
      </c>
      <c r="U2877" s="3" t="str">
        <f>IFERROR(__xludf.DUMMYFUNCTION("""COMPUTED_VALUE"""),"03 K.Peerapong K.")</f>
        <v>03 K.Peerapong K.</v>
      </c>
      <c r="V2877" s="3" t="str">
        <f>IFERROR(__xludf.DUMMYFUNCTION("""COMPUTED_VALUE"""),"N")</f>
        <v>N</v>
      </c>
      <c r="W2877" s="3"/>
      <c r="X2877" s="3" t="str">
        <f>IFERROR(__xludf.DUMMYFUNCTION("""COMPUTED_VALUE"""),"ม.9 ต.ชัยพฤกษ์ อ.เมืองเลย จ.เลย 42000")</f>
        <v>ม.9 ต.ชัยพฤกษ์ อ.เมืองเลย จ.เลย 42000</v>
      </c>
      <c r="Y2877" s="3"/>
      <c r="Z2877" s="3" t="str">
        <f>IFERROR(__xludf.DUMMYFUNCTION("""COMPUTED_VALUE"""),"ชัยพฤกษ์")</f>
        <v>ชัยพฤกษ์</v>
      </c>
      <c r="AA2877" s="3" t="str">
        <f>IFERROR(__xludf.DUMMYFUNCTION("""COMPUTED_VALUE"""),"เมืองเลย")</f>
        <v>เมืองเลย</v>
      </c>
      <c r="AB2877" s="3" t="str">
        <f>IFERROR(__xludf.DUMMYFUNCTION("""COMPUTED_VALUE"""),"เลย")</f>
        <v>เลย</v>
      </c>
      <c r="AC2877" s="3">
        <f>IFERROR(__xludf.DUMMYFUNCTION("""COMPUTED_VALUE"""),42000.0)</f>
        <v>42000</v>
      </c>
      <c r="AD2877" s="3"/>
      <c r="AE2877" s="3"/>
      <c r="AF2877" s="3" t="str">
        <f>IFERROR(__xludf.DUMMYFUNCTION("""COMPUTED_VALUE"""),"ร้านศูนย์สาธิตกรตลาดบ้านก้างปลา-83737")</f>
        <v>ร้านศูนย์สาธิตกรตลาดบ้านก้างปลา-83737</v>
      </c>
      <c r="AG2877" s="3" t="str">
        <f>IFERROR(__xludf.DUMMYFUNCTION("""COMPUTED_VALUE"""),"ตะวันออกเฉียงเหนือ")</f>
        <v>ตะวันออกเฉียงเหนือ</v>
      </c>
      <c r="AH2877" s="3" t="str">
        <f>IFERROR(__xludf.DUMMYFUNCTION("""COMPUTED_VALUE"""),"#N/A")</f>
        <v>#N/A</v>
      </c>
      <c r="AI2877" s="3" t="str">
        <f>IFERROR(__xludf.DUMMYFUNCTION("""COMPUTED_VALUE"""),"Out of warranty")</f>
        <v>Out of warranty</v>
      </c>
      <c r="AJ2877" s="3">
        <f>IFERROR(__xludf.DUMMYFUNCTION("""COMPUTED_VALUE"""),46.0)</f>
        <v>46</v>
      </c>
      <c r="AK2877" s="3"/>
      <c r="AL2877" s="3"/>
    </row>
    <row r="2878" ht="15.75" customHeight="1">
      <c r="A2878" s="1" t="str">
        <f>IFERROR(__xludf.DUMMYFUNCTION("""COMPUTED_VALUE"""),"83738")</f>
        <v>83738</v>
      </c>
      <c r="B2878" s="2">
        <f>IFERROR(__xludf.DUMMYFUNCTION("""COMPUTED_VALUE"""),83738.0)</f>
        <v>83738</v>
      </c>
      <c r="C2878" s="3" t="str">
        <f>IFERROR(__xludf.DUMMYFUNCTION("""COMPUTED_VALUE"""),"ร้านชินวัตรฟาร์ม")</f>
        <v>ร้านชินวัตรฟาร์ม</v>
      </c>
      <c r="D2878" s="3" t="str">
        <f>IFERROR(__xludf.DUMMYFUNCTION("""COMPUTED_VALUE"""),"ร้านชินวัตรฟาร์ม")</f>
        <v>ร้านชินวัตรฟาร์ม</v>
      </c>
      <c r="E2878" s="1" t="str">
        <f>IFERROR(__xludf.DUMMYFUNCTION("""COMPUTED_VALUE"""),"Donjai")</f>
        <v>Donjai</v>
      </c>
      <c r="F2878" s="1" t="str">
        <f>IFERROR(__xludf.DUMMYFUNCTION("""COMPUTED_VALUE"""),"296868")</f>
        <v>296868</v>
      </c>
      <c r="G2878" s="1" t="str">
        <f>IFERROR(__xludf.DUMMYFUNCTION("""COMPUTED_VALUE"""),"นายพีระพงษ์ แก้วดวงดี")</f>
        <v>นายพีระพงษ์ แก้วดวงดี</v>
      </c>
      <c r="H2878" s="1" t="str">
        <f>IFERROR(__xludf.DUMMYFUNCTION("""COMPUTED_VALUE"""),"296868")</f>
        <v>296868</v>
      </c>
      <c r="I2878" s="1" t="str">
        <f>IFERROR(__xludf.DUMMYFUNCTION("""COMPUTED_VALUE"""),"นายพีระพงษ์ แก้วดวงดี")</f>
        <v>นายพีระพงษ์ แก้วดวงดี</v>
      </c>
      <c r="J2878" s="3">
        <f>IFERROR(__xludf.DUMMYFUNCTION("""COMPUTED_VALUE"""),295886.0)</f>
        <v>295886</v>
      </c>
      <c r="K2878" s="3" t="str">
        <f>IFERROR(__xludf.DUMMYFUNCTION("""COMPUTED_VALUE"""),"นายจิระพงษ์ โพธิ์นิล")</f>
        <v>นายจิระพงษ์ โพธิ์นิล</v>
      </c>
      <c r="L2878" s="1" t="str">
        <f>IFERROR(__xludf.DUMMYFUNCTION("""COMPUTED_VALUE"""),"นายจิระพงษ์ โพธิ์นิล")</f>
        <v>นายจิระพงษ์ โพธิ์นิล</v>
      </c>
      <c r="M2878" s="1" t="str">
        <f>IFERROR(__xludf.DUMMYFUNCTION("""COMPUTED_VALUE"""),"0933290754")</f>
        <v>0933290754</v>
      </c>
      <c r="N2878" s="3">
        <f>IFERROR(__xludf.DUMMYFUNCTION("""COMPUTED_VALUE"""),83738.0)</f>
        <v>83738</v>
      </c>
      <c r="O2878" s="3" t="str">
        <f>IFERROR(__xludf.DUMMYFUNCTION("""COMPUTED_VALUE"""),"ร้านชินวัตรฟาร์ม")</f>
        <v>ร้านชินวัตรฟาร์ม</v>
      </c>
      <c r="P2878" s="4">
        <f>IFERROR(__xludf.DUMMYFUNCTION("""COMPUTED_VALUE"""),44655.0)</f>
        <v>44655</v>
      </c>
      <c r="Q2878" s="3" t="str">
        <f>IFERROR(__xludf.DUMMYFUNCTION("""COMPUTED_VALUE"""),"I")</f>
        <v>I</v>
      </c>
      <c r="R2878" s="3" t="str">
        <f>IFERROR(__xludf.DUMMYFUNCTION("""COMPUTED_VALUE"""),"Small Format")</f>
        <v>Small Format</v>
      </c>
      <c r="S2878" s="3" t="str">
        <f>IFERROR(__xludf.DUMMYFUNCTION("""COMPUTED_VALUE"""),"Donjai")</f>
        <v>Donjai</v>
      </c>
      <c r="T2878" s="3" t="str">
        <f>IFERROR(__xludf.DUMMYFUNCTION("""COMPUTED_VALUE"""),"03 K.Peerapong K.")</f>
        <v>03 K.Peerapong K.</v>
      </c>
      <c r="U2878" s="3" t="str">
        <f>IFERROR(__xludf.DUMMYFUNCTION("""COMPUTED_VALUE"""),"03 K.Peerapong K.")</f>
        <v>03 K.Peerapong K.</v>
      </c>
      <c r="V2878" s="3" t="str">
        <f>IFERROR(__xludf.DUMMYFUNCTION("""COMPUTED_VALUE"""),"N")</f>
        <v>N</v>
      </c>
      <c r="W2878" s="3"/>
      <c r="X2878" s="3" t="str">
        <f>IFERROR(__xludf.DUMMYFUNCTION("""COMPUTED_VALUE"""),"117 ม.7 ต.นาแขม อ.เมือง จ.เลย")</f>
        <v>117 ม.7 ต.นาแขม อ.เมือง จ.เลย</v>
      </c>
      <c r="Y2878" s="3"/>
      <c r="Z2878" s="3" t="str">
        <f>IFERROR(__xludf.DUMMYFUNCTION("""COMPUTED_VALUE"""),"นาแขม")</f>
        <v>นาแขม</v>
      </c>
      <c r="AA2878" s="3" t="str">
        <f>IFERROR(__xludf.DUMMYFUNCTION("""COMPUTED_VALUE"""),"เมืองเลย")</f>
        <v>เมืองเลย</v>
      </c>
      <c r="AB2878" s="3" t="str">
        <f>IFERROR(__xludf.DUMMYFUNCTION("""COMPUTED_VALUE"""),"เลย")</f>
        <v>เลย</v>
      </c>
      <c r="AC2878" s="3">
        <f>IFERROR(__xludf.DUMMYFUNCTION("""COMPUTED_VALUE"""),0.0)</f>
        <v>0</v>
      </c>
      <c r="AD2878" s="3"/>
      <c r="AE2878" s="3"/>
      <c r="AF2878" s="3" t="str">
        <f>IFERROR(__xludf.DUMMYFUNCTION("""COMPUTED_VALUE"""),"ร้านชินวัตรฟาร์ม-83738")</f>
        <v>ร้านชินวัตรฟาร์ม-83738</v>
      </c>
      <c r="AG2878" s="3" t="str">
        <f>IFERROR(__xludf.DUMMYFUNCTION("""COMPUTED_VALUE"""),"ตะวันออกเฉียงเหนือ")</f>
        <v>ตะวันออกเฉียงเหนือ</v>
      </c>
      <c r="AH2878" s="3" t="str">
        <f>IFERROR(__xludf.DUMMYFUNCTION("""COMPUTED_VALUE"""),"#N/A")</f>
        <v>#N/A</v>
      </c>
      <c r="AI2878" s="3" t="str">
        <f>IFERROR(__xludf.DUMMYFUNCTION("""COMPUTED_VALUE"""),"Out of warranty")</f>
        <v>Out of warranty</v>
      </c>
      <c r="AJ2878" s="3">
        <f>IFERROR(__xludf.DUMMYFUNCTION("""COMPUTED_VALUE"""),46.0)</f>
        <v>46</v>
      </c>
      <c r="AK2878" s="3"/>
      <c r="AL2878" s="3"/>
    </row>
    <row r="2879" ht="15.75" customHeight="1">
      <c r="A2879" s="1" t="str">
        <f>IFERROR(__xludf.DUMMYFUNCTION("""COMPUTED_VALUE"""),"83740")</f>
        <v>83740</v>
      </c>
      <c r="B2879" s="2">
        <f>IFERROR(__xludf.DUMMYFUNCTION("""COMPUTED_VALUE"""),83740.0)</f>
        <v>83740</v>
      </c>
      <c r="C2879" s="3" t="str">
        <f>IFERROR(__xludf.DUMMYFUNCTION("""COMPUTED_VALUE"""),"ร้านพาเจริญ")</f>
        <v>ร้านพาเจริญ</v>
      </c>
      <c r="D2879" s="3" t="str">
        <f>IFERROR(__xludf.DUMMYFUNCTION("""COMPUTED_VALUE"""),"ร้านพาเจริญ")</f>
        <v>ร้านพาเจริญ</v>
      </c>
      <c r="E2879" s="1" t="str">
        <f>IFERROR(__xludf.DUMMYFUNCTION("""COMPUTED_VALUE"""),"Donjai")</f>
        <v>Donjai</v>
      </c>
      <c r="F2879" s="1" t="str">
        <f>IFERROR(__xludf.DUMMYFUNCTION("""COMPUTED_VALUE"""),"2010023")</f>
        <v>2010023</v>
      </c>
      <c r="G2879" s="1" t="str">
        <f>IFERROR(__xludf.DUMMYFUNCTION("""COMPUTED_VALUE"""),"นายวศิน ไวยรูป")</f>
        <v>นายวศิน ไวยรูป</v>
      </c>
      <c r="H2879" s="1" t="str">
        <f>IFERROR(__xludf.DUMMYFUNCTION("""COMPUTED_VALUE"""),"2010023")</f>
        <v>2010023</v>
      </c>
      <c r="I2879" s="1" t="str">
        <f>IFERROR(__xludf.DUMMYFUNCTION("""COMPUTED_VALUE"""),"นายวศิน ไวยรูป")</f>
        <v>นายวศิน ไวยรูป</v>
      </c>
      <c r="J2879" s="3">
        <f>IFERROR(__xludf.DUMMYFUNCTION("""COMPUTED_VALUE"""),228031.0)</f>
        <v>228031</v>
      </c>
      <c r="K2879" s="3" t="str">
        <f>IFERROR(__xludf.DUMMYFUNCTION("""COMPUTED_VALUE"""),"นายธนพงษ์ วันหมัด")</f>
        <v>นายธนพงษ์ วันหมัด</v>
      </c>
      <c r="L2879" s="1" t="str">
        <f>IFERROR(__xludf.DUMMYFUNCTION("""COMPUTED_VALUE"""),"นายธนพงษ์ วันหมัด")</f>
        <v>นายธนพงษ์ วันหมัด</v>
      </c>
      <c r="M2879" s="1" t="str">
        <f>IFERROR(__xludf.DUMMYFUNCTION("""COMPUTED_VALUE"""),"0813716913")</f>
        <v>0813716913</v>
      </c>
      <c r="N2879" s="3">
        <f>IFERROR(__xludf.DUMMYFUNCTION("""COMPUTED_VALUE"""),83740.0)</f>
        <v>83740</v>
      </c>
      <c r="O2879" s="3" t="str">
        <f>IFERROR(__xludf.DUMMYFUNCTION("""COMPUTED_VALUE"""),"ร้านพาเจริญ")</f>
        <v>ร้านพาเจริญ</v>
      </c>
      <c r="P2879" s="4">
        <f>IFERROR(__xludf.DUMMYFUNCTION("""COMPUTED_VALUE"""),44638.0)</f>
        <v>44638</v>
      </c>
      <c r="Q2879" s="3" t="str">
        <f>IFERROR(__xludf.DUMMYFUNCTION("""COMPUTED_VALUE"""),"I")</f>
        <v>I</v>
      </c>
      <c r="R2879" s="3" t="str">
        <f>IFERROR(__xludf.DUMMYFUNCTION("""COMPUTED_VALUE"""),"Small Format")</f>
        <v>Small Format</v>
      </c>
      <c r="S2879" s="3" t="str">
        <f>IFERROR(__xludf.DUMMYFUNCTION("""COMPUTED_VALUE"""),"Donjai")</f>
        <v>Donjai</v>
      </c>
      <c r="T2879" s="3" t="str">
        <f>IFERROR(__xludf.DUMMYFUNCTION("""COMPUTED_VALUE"""),"Donjai")</f>
        <v>Donjai</v>
      </c>
      <c r="U2879" s="3" t="str">
        <f>IFERROR(__xludf.DUMMYFUNCTION("""COMPUTED_VALUE"""),"Donjai")</f>
        <v>Donjai</v>
      </c>
      <c r="V2879" s="3" t="str">
        <f>IFERROR(__xludf.DUMMYFUNCTION("""COMPUTED_VALUE"""),"N")</f>
        <v>N</v>
      </c>
      <c r="W2879" s="3"/>
      <c r="X2879" s="3" t="str">
        <f>IFERROR(__xludf.DUMMYFUNCTION("""COMPUTED_VALUE"""),"129/79 มบ.สวยน้ำใส ม.3 ซ.5 ต.บางสมัคร อ.บางปะกง จ.ฉะเชิงเทรา")</f>
        <v>129/79 มบ.สวยน้ำใส ม.3 ซ.5 ต.บางสมัคร อ.บางปะกง จ.ฉะเชิงเทรา</v>
      </c>
      <c r="Y2879" s="3"/>
      <c r="Z2879" s="3">
        <f>IFERROR(__xludf.DUMMYFUNCTION("""COMPUTED_VALUE"""),0.0)</f>
        <v>0</v>
      </c>
      <c r="AA2879" s="3">
        <f>IFERROR(__xludf.DUMMYFUNCTION("""COMPUTED_VALUE"""),0.0)</f>
        <v>0</v>
      </c>
      <c r="AB2879" s="3" t="str">
        <f>IFERROR(__xludf.DUMMYFUNCTION("""COMPUTED_VALUE"""),"ฉะเชิงเทรา")</f>
        <v>ฉะเชิงเทรา</v>
      </c>
      <c r="AC2879" s="3">
        <f>IFERROR(__xludf.DUMMYFUNCTION("""COMPUTED_VALUE"""),0.0)</f>
        <v>0</v>
      </c>
      <c r="AD2879" s="3"/>
      <c r="AE2879" s="3"/>
      <c r="AF2879" s="3" t="str">
        <f>IFERROR(__xludf.DUMMYFUNCTION("""COMPUTED_VALUE"""),"ร้านพาเจริญ-83740")</f>
        <v>ร้านพาเจริญ-83740</v>
      </c>
      <c r="AG2879" s="3" t="str">
        <f>IFERROR(__xludf.DUMMYFUNCTION("""COMPUTED_VALUE"""),"ตะวันออก")</f>
        <v>ตะวันออก</v>
      </c>
      <c r="AH2879" s="3" t="str">
        <f>IFERROR(__xludf.DUMMYFUNCTION("""COMPUTED_VALUE"""),"#N/A")</f>
        <v>#N/A</v>
      </c>
      <c r="AI2879" s="3" t="str">
        <f>IFERROR(__xludf.DUMMYFUNCTION("""COMPUTED_VALUE"""),"Out of warranty")</f>
        <v>Out of warranty</v>
      </c>
      <c r="AJ2879" s="3">
        <f>IFERROR(__xludf.DUMMYFUNCTION("""COMPUTED_VALUE"""),47.0)</f>
        <v>47</v>
      </c>
      <c r="AK2879" s="3"/>
      <c r="AL2879" s="3"/>
    </row>
    <row r="2880" ht="15.75" customHeight="1">
      <c r="A2880" s="1" t="str">
        <f>IFERROR(__xludf.DUMMYFUNCTION("""COMPUTED_VALUE"""),"83741")</f>
        <v>83741</v>
      </c>
      <c r="B2880" s="2">
        <f>IFERROR(__xludf.DUMMYFUNCTION("""COMPUTED_VALUE"""),83741.0)</f>
        <v>83741</v>
      </c>
      <c r="C2880" s="3" t="str">
        <f>IFERROR(__xludf.DUMMYFUNCTION("""COMPUTED_VALUE"""),"ร้านโดนใจนำโชค")</f>
        <v>ร้านโดนใจนำโชค</v>
      </c>
      <c r="D2880" s="3" t="str">
        <f>IFERROR(__xludf.DUMMYFUNCTION("""COMPUTED_VALUE"""),"ร้านโดนใจนำโชค")</f>
        <v>ร้านโดนใจนำโชค</v>
      </c>
      <c r="E2880" s="1" t="str">
        <f>IFERROR(__xludf.DUMMYFUNCTION("""COMPUTED_VALUE"""),"Donjai")</f>
        <v>Donjai</v>
      </c>
      <c r="F2880" s="1" t="str">
        <f>IFERROR(__xludf.DUMMYFUNCTION("""COMPUTED_VALUE"""),"20470331")</f>
        <v>20470331</v>
      </c>
      <c r="G2880" s="1" t="str">
        <f>IFERROR(__xludf.DUMMYFUNCTION("""COMPUTED_VALUE"""),"นายสมชาย ลักษณะสุวรรณ")</f>
        <v>นายสมชาย ลักษณะสุวรรณ</v>
      </c>
      <c r="H2880" s="1" t="str">
        <f>IFERROR(__xludf.DUMMYFUNCTION("""COMPUTED_VALUE"""),"20470331")</f>
        <v>20470331</v>
      </c>
      <c r="I2880" s="1" t="str">
        <f>IFERROR(__xludf.DUMMYFUNCTION("""COMPUTED_VALUE"""),"นายสมชาย ลักษณะสุวรรณ")</f>
        <v>นายสมชาย ลักษณะสุวรรณ</v>
      </c>
      <c r="J2880" s="3">
        <f>IFERROR(__xludf.DUMMYFUNCTION("""COMPUTED_VALUE"""),295541.0)</f>
        <v>295541</v>
      </c>
      <c r="K2880" s="3" t="str">
        <f>IFERROR(__xludf.DUMMYFUNCTION("""COMPUTED_VALUE"""),"นายรพิพล ศรีมาตย์")</f>
        <v>นายรพิพล ศรีมาตย์</v>
      </c>
      <c r="L2880" s="1" t="str">
        <f>IFERROR(__xludf.DUMMYFUNCTION("""COMPUTED_VALUE"""),"นายรพิพล ศรีมาตย์")</f>
        <v>นายรพิพล ศรีมาตย์</v>
      </c>
      <c r="M2880" s="1" t="str">
        <f>IFERROR(__xludf.DUMMYFUNCTION("""COMPUTED_VALUE"""),"0613966115")</f>
        <v>0613966115</v>
      </c>
      <c r="N2880" s="3">
        <f>IFERROR(__xludf.DUMMYFUNCTION("""COMPUTED_VALUE"""),83741.0)</f>
        <v>83741</v>
      </c>
      <c r="O2880" s="3" t="str">
        <f>IFERROR(__xludf.DUMMYFUNCTION("""COMPUTED_VALUE"""),"ร้านโดนใจนำโชค")</f>
        <v>ร้านโดนใจนำโชค</v>
      </c>
      <c r="P2880" s="4">
        <f>IFERROR(__xludf.DUMMYFUNCTION("""COMPUTED_VALUE"""),44635.0)</f>
        <v>44635</v>
      </c>
      <c r="Q2880" s="3" t="str">
        <f>IFERROR(__xludf.DUMMYFUNCTION("""COMPUTED_VALUE"""),"A")</f>
        <v>A</v>
      </c>
      <c r="R2880" s="3" t="str">
        <f>IFERROR(__xludf.DUMMYFUNCTION("""COMPUTED_VALUE"""),"Small Format")</f>
        <v>Small Format</v>
      </c>
      <c r="S2880" s="3" t="str">
        <f>IFERROR(__xludf.DUMMYFUNCTION("""COMPUTED_VALUE"""),"Donjai")</f>
        <v>Donjai</v>
      </c>
      <c r="T2880" s="3" t="str">
        <f>IFERROR(__xludf.DUMMYFUNCTION("""COMPUTED_VALUE"""),"15 K.Somchai L")</f>
        <v>15 K.Somchai L</v>
      </c>
      <c r="U2880" s="3" t="str">
        <f>IFERROR(__xludf.DUMMYFUNCTION("""COMPUTED_VALUE"""),"15 K.Somchai L")</f>
        <v>15 K.Somchai L</v>
      </c>
      <c r="V2880" s="3" t="str">
        <f>IFERROR(__xludf.DUMMYFUNCTION("""COMPUTED_VALUE"""),"N")</f>
        <v>N</v>
      </c>
      <c r="W2880" s="3"/>
      <c r="X2880" s="3" t="str">
        <f>IFERROR(__xludf.DUMMYFUNCTION("""COMPUTED_VALUE"""),"44/8​ ต.ท้ายเหมือง​ อ.ท้ายเหมือง​ จ.พังงา​")</f>
        <v>44/8​ ต.ท้ายเหมือง​ อ.ท้ายเหมือง​ จ.พังงา​</v>
      </c>
      <c r="Y2880" s="3"/>
      <c r="Z2880" s="3">
        <f>IFERROR(__xludf.DUMMYFUNCTION("""COMPUTED_VALUE"""),0.0)</f>
        <v>0</v>
      </c>
      <c r="AA2880" s="3">
        <f>IFERROR(__xludf.DUMMYFUNCTION("""COMPUTED_VALUE"""),0.0)</f>
        <v>0</v>
      </c>
      <c r="AB2880" s="3" t="str">
        <f>IFERROR(__xludf.DUMMYFUNCTION("""COMPUTED_VALUE"""),"พังงา")</f>
        <v>พังงา</v>
      </c>
      <c r="AC2880" s="3">
        <f>IFERROR(__xludf.DUMMYFUNCTION("""COMPUTED_VALUE"""),0.0)</f>
        <v>0</v>
      </c>
      <c r="AD2880" s="3"/>
      <c r="AE2880" s="3"/>
      <c r="AF2880" s="3" t="str">
        <f>IFERROR(__xludf.DUMMYFUNCTION("""COMPUTED_VALUE"""),"ร้านโดนใจนำโชค-83741")</f>
        <v>ร้านโดนใจนำโชค-83741</v>
      </c>
      <c r="AG2880" s="3" t="str">
        <f>IFERROR(__xludf.DUMMYFUNCTION("""COMPUTED_VALUE"""),"ใต้")</f>
        <v>ใต้</v>
      </c>
      <c r="AH2880" s="3" t="str">
        <f>IFERROR(__xludf.DUMMYFUNCTION("""COMPUTED_VALUE"""),"#N/A")</f>
        <v>#N/A</v>
      </c>
      <c r="AI2880" s="3" t="str">
        <f>IFERROR(__xludf.DUMMYFUNCTION("""COMPUTED_VALUE"""),"Out of warranty")</f>
        <v>Out of warranty</v>
      </c>
      <c r="AJ2880" s="3">
        <f>IFERROR(__xludf.DUMMYFUNCTION("""COMPUTED_VALUE"""),47.0)</f>
        <v>47</v>
      </c>
      <c r="AK2880" s="3"/>
      <c r="AL2880" s="3"/>
    </row>
    <row r="2881" ht="15.75" customHeight="1">
      <c r="A2881" s="1" t="str">
        <f>IFERROR(__xludf.DUMMYFUNCTION("""COMPUTED_VALUE"""),"83743")</f>
        <v>83743</v>
      </c>
      <c r="B2881" s="2">
        <f>IFERROR(__xludf.DUMMYFUNCTION("""COMPUTED_VALUE"""),83743.0)</f>
        <v>83743</v>
      </c>
      <c r="C2881" s="3" t="str">
        <f>IFERROR(__xludf.DUMMYFUNCTION("""COMPUTED_VALUE"""),"ร้านพรประทานทรัพย์พาณิชย์ (พรรุ่งเรืองชัยพาณิชย์)")</f>
        <v>ร้านพรประทานทรัพย์พาณิชย์ (พรรุ่งเรืองชัยพาณิชย์)</v>
      </c>
      <c r="D2881" s="3" t="str">
        <f>IFERROR(__xludf.DUMMYFUNCTION("""COMPUTED_VALUE"""),"ร้านพรประทานทรัพย์พาณิชย์ (พรรุ่งเรืองชัยพาณิชย์)")</f>
        <v>ร้านพรประทานทรัพย์พาณิชย์ (พรรุ่งเรืองชัยพาณิชย์)</v>
      </c>
      <c r="E2881" s="1" t="str">
        <f>IFERROR(__xludf.DUMMYFUNCTION("""COMPUTED_VALUE"""),"Donjai")</f>
        <v>Donjai</v>
      </c>
      <c r="F2881" s="1" t="str">
        <f>IFERROR(__xludf.DUMMYFUNCTION("""COMPUTED_VALUE"""),"015361")</f>
        <v>015361</v>
      </c>
      <c r="G2881" s="1" t="str">
        <f>IFERROR(__xludf.DUMMYFUNCTION("""COMPUTED_VALUE"""),"นายสมบูรณ์ พรหมในเมือง")</f>
        <v>นายสมบูรณ์ พรหมในเมือง</v>
      </c>
      <c r="H2881" s="1" t="str">
        <f>IFERROR(__xludf.DUMMYFUNCTION("""COMPUTED_VALUE"""),"015361")</f>
        <v>015361</v>
      </c>
      <c r="I2881" s="1" t="str">
        <f>IFERROR(__xludf.DUMMYFUNCTION("""COMPUTED_VALUE"""),"นายสมบูรณ์ พรหมในเมือง")</f>
        <v>นายสมบูรณ์ พรหมในเมือง</v>
      </c>
      <c r="J2881" s="3">
        <f>IFERROR(__xludf.DUMMYFUNCTION("""COMPUTED_VALUE"""),295886.0)</f>
        <v>295886</v>
      </c>
      <c r="K2881" s="3" t="str">
        <f>IFERROR(__xludf.DUMMYFUNCTION("""COMPUTED_VALUE"""),"นายจิระพงษ์ โพธิ์นิล")</f>
        <v>นายจิระพงษ์ โพธิ์นิล</v>
      </c>
      <c r="L2881" s="1" t="str">
        <f>IFERROR(__xludf.DUMMYFUNCTION("""COMPUTED_VALUE"""),"นายจิระพงษ์ โพธิ์นิล")</f>
        <v>นายจิระพงษ์ โพธิ์นิล</v>
      </c>
      <c r="M2881" s="1" t="str">
        <f>IFERROR(__xludf.DUMMYFUNCTION("""COMPUTED_VALUE"""),"0933290754")</f>
        <v>0933290754</v>
      </c>
      <c r="N2881" s="3">
        <f>IFERROR(__xludf.DUMMYFUNCTION("""COMPUTED_VALUE"""),83743.0)</f>
        <v>83743</v>
      </c>
      <c r="O2881" s="3" t="str">
        <f>IFERROR(__xludf.DUMMYFUNCTION("""COMPUTED_VALUE"""),"ร้านพรประทานทรัพย์พาณิชย์ (พรรุ่งเรืองชัยพาณิชย์)")</f>
        <v>ร้านพรประทานทรัพย์พาณิชย์ (พรรุ่งเรืองชัยพาณิชย์)</v>
      </c>
      <c r="P2881" s="4">
        <f>IFERROR(__xludf.DUMMYFUNCTION("""COMPUTED_VALUE"""),44690.0)</f>
        <v>44690</v>
      </c>
      <c r="Q2881" s="3" t="str">
        <f>IFERROR(__xludf.DUMMYFUNCTION("""COMPUTED_VALUE"""),"I")</f>
        <v>I</v>
      </c>
      <c r="R2881" s="3" t="str">
        <f>IFERROR(__xludf.DUMMYFUNCTION("""COMPUTED_VALUE"""),"Small Format")</f>
        <v>Small Format</v>
      </c>
      <c r="S2881" s="3" t="str">
        <f>IFERROR(__xludf.DUMMYFUNCTION("""COMPUTED_VALUE"""),"Donjai")</f>
        <v>Donjai</v>
      </c>
      <c r="T2881" s="3" t="str">
        <f>IFERROR(__xludf.DUMMYFUNCTION("""COMPUTED_VALUE"""),"04 K.Somboon P.")</f>
        <v>04 K.Somboon P.</v>
      </c>
      <c r="U2881" s="3" t="str">
        <f>IFERROR(__xludf.DUMMYFUNCTION("""COMPUTED_VALUE"""),"04 K.Somboon P.")</f>
        <v>04 K.Somboon P.</v>
      </c>
      <c r="V2881" s="3" t="str">
        <f>IFERROR(__xludf.DUMMYFUNCTION("""COMPUTED_VALUE"""),"N")</f>
        <v>N</v>
      </c>
      <c r="W2881" s="3"/>
      <c r="X2881" s="3" t="str">
        <f>IFERROR(__xludf.DUMMYFUNCTION("""COMPUTED_VALUE"""),"เลขที่14 หมู่22 บ้านปราสาททอง ต.หินดาด อ.ด่านขุนทด จ.นครราชสีมา")</f>
        <v>เลขที่14 หมู่22 บ้านปราสาททอง ต.หินดาด อ.ด่านขุนทด จ.นครราชสีมา</v>
      </c>
      <c r="Y2881" s="3"/>
      <c r="Z2881" s="3">
        <f>IFERROR(__xludf.DUMMYFUNCTION("""COMPUTED_VALUE"""),0.0)</f>
        <v>0</v>
      </c>
      <c r="AA2881" s="3">
        <f>IFERROR(__xludf.DUMMYFUNCTION("""COMPUTED_VALUE"""),0.0)</f>
        <v>0</v>
      </c>
      <c r="AB2881" s="3" t="str">
        <f>IFERROR(__xludf.DUMMYFUNCTION("""COMPUTED_VALUE"""),"นครราชสีมา")</f>
        <v>นครราชสีมา</v>
      </c>
      <c r="AC2881" s="3">
        <f>IFERROR(__xludf.DUMMYFUNCTION("""COMPUTED_VALUE"""),0.0)</f>
        <v>0</v>
      </c>
      <c r="AD2881" s="3"/>
      <c r="AE2881" s="3"/>
      <c r="AF2881" s="3" t="str">
        <f>IFERROR(__xludf.DUMMYFUNCTION("""COMPUTED_VALUE"""),"ร้านพรประทานทรัพย์พาณิชย์ (พรรุ่งเรืองชัยพาณิชย์)-83743")</f>
        <v>ร้านพรประทานทรัพย์พาณิชย์ (พรรุ่งเรืองชัยพาณิชย์)-83743</v>
      </c>
      <c r="AG2881" s="3" t="str">
        <f>IFERROR(__xludf.DUMMYFUNCTION("""COMPUTED_VALUE"""),"ตะวันออกเฉียงเหนือ")</f>
        <v>ตะวันออกเฉียงเหนือ</v>
      </c>
      <c r="AH2881" s="3" t="str">
        <f>IFERROR(__xludf.DUMMYFUNCTION("""COMPUTED_VALUE"""),"#N/A")</f>
        <v>#N/A</v>
      </c>
      <c r="AI2881" s="3" t="str">
        <f>IFERROR(__xludf.DUMMYFUNCTION("""COMPUTED_VALUE"""),"Out of warranty")</f>
        <v>Out of warranty</v>
      </c>
      <c r="AJ2881" s="3">
        <f>IFERROR(__xludf.DUMMYFUNCTION("""COMPUTED_VALUE"""),45.0)</f>
        <v>45</v>
      </c>
      <c r="AK2881" s="3"/>
      <c r="AL2881" s="3"/>
    </row>
    <row r="2882" ht="15.75" customHeight="1">
      <c r="A2882" s="1" t="str">
        <f>IFERROR(__xludf.DUMMYFUNCTION("""COMPUTED_VALUE"""),"83744")</f>
        <v>83744</v>
      </c>
      <c r="B2882" s="2">
        <f>IFERROR(__xludf.DUMMYFUNCTION("""COMPUTED_VALUE"""),83744.0)</f>
        <v>83744</v>
      </c>
      <c r="C2882" s="3" t="str">
        <f>IFERROR(__xludf.DUMMYFUNCTION("""COMPUTED_VALUE"""),"ร้านครูศักดิ์")</f>
        <v>ร้านครูศักดิ์</v>
      </c>
      <c r="D2882" s="3" t="str">
        <f>IFERROR(__xludf.DUMMYFUNCTION("""COMPUTED_VALUE"""),"ร้านครูศักดิ์")</f>
        <v>ร้านครูศักดิ์</v>
      </c>
      <c r="E2882" s="1" t="str">
        <f>IFERROR(__xludf.DUMMYFUNCTION("""COMPUTED_VALUE"""),"Donjai")</f>
        <v>Donjai</v>
      </c>
      <c r="F2882" s="1" t="str">
        <f>IFERROR(__xludf.DUMMYFUNCTION("""COMPUTED_VALUE"""),"20470331")</f>
        <v>20470331</v>
      </c>
      <c r="G2882" s="1" t="str">
        <f>IFERROR(__xludf.DUMMYFUNCTION("""COMPUTED_VALUE"""),"นายสมชาย ลักษณะสุวรรณ")</f>
        <v>นายสมชาย ลักษณะสุวรรณ</v>
      </c>
      <c r="H2882" s="1" t="str">
        <f>IFERROR(__xludf.DUMMYFUNCTION("""COMPUTED_VALUE"""),"20470331")</f>
        <v>20470331</v>
      </c>
      <c r="I2882" s="1" t="str">
        <f>IFERROR(__xludf.DUMMYFUNCTION("""COMPUTED_VALUE"""),"นายสมชาย ลักษณะสุวรรณ")</f>
        <v>นายสมชาย ลักษณะสุวรรณ</v>
      </c>
      <c r="J2882" s="3">
        <f>IFERROR(__xludf.DUMMYFUNCTION("""COMPUTED_VALUE"""),295541.0)</f>
        <v>295541</v>
      </c>
      <c r="K2882" s="3" t="str">
        <f>IFERROR(__xludf.DUMMYFUNCTION("""COMPUTED_VALUE"""),"นายรพิพล ศรีมาตย์")</f>
        <v>นายรพิพล ศรีมาตย์</v>
      </c>
      <c r="L2882" s="1" t="str">
        <f>IFERROR(__xludf.DUMMYFUNCTION("""COMPUTED_VALUE"""),"นายรพิพล ศรีมาตย์")</f>
        <v>นายรพิพล ศรีมาตย์</v>
      </c>
      <c r="M2882" s="1" t="str">
        <f>IFERROR(__xludf.DUMMYFUNCTION("""COMPUTED_VALUE"""),"0613966115")</f>
        <v>0613966115</v>
      </c>
      <c r="N2882" s="3">
        <f>IFERROR(__xludf.DUMMYFUNCTION("""COMPUTED_VALUE"""),83744.0)</f>
        <v>83744</v>
      </c>
      <c r="O2882" s="3" t="str">
        <f>IFERROR(__xludf.DUMMYFUNCTION("""COMPUTED_VALUE"""),"ร้านครูศักดิ์")</f>
        <v>ร้านครูศักดิ์</v>
      </c>
      <c r="P2882" s="4">
        <f>IFERROR(__xludf.DUMMYFUNCTION("""COMPUTED_VALUE"""),44689.0)</f>
        <v>44689</v>
      </c>
      <c r="Q2882" s="3" t="str">
        <f>IFERROR(__xludf.DUMMYFUNCTION("""COMPUTED_VALUE"""),"I")</f>
        <v>I</v>
      </c>
      <c r="R2882" s="3" t="str">
        <f>IFERROR(__xludf.DUMMYFUNCTION("""COMPUTED_VALUE"""),"Small Format")</f>
        <v>Small Format</v>
      </c>
      <c r="S2882" s="3" t="str">
        <f>IFERROR(__xludf.DUMMYFUNCTION("""COMPUTED_VALUE"""),"Donjai")</f>
        <v>Donjai</v>
      </c>
      <c r="T2882" s="3" t="str">
        <f>IFERROR(__xludf.DUMMYFUNCTION("""COMPUTED_VALUE"""),"15 K.Somchai L")</f>
        <v>15 K.Somchai L</v>
      </c>
      <c r="U2882" s="3" t="str">
        <f>IFERROR(__xludf.DUMMYFUNCTION("""COMPUTED_VALUE"""),"15 K.Somchai L")</f>
        <v>15 K.Somchai L</v>
      </c>
      <c r="V2882" s="3" t="str">
        <f>IFERROR(__xludf.DUMMYFUNCTION("""COMPUTED_VALUE"""),"N")</f>
        <v>N</v>
      </c>
      <c r="W2882" s="3"/>
      <c r="X2882" s="3" t="str">
        <f>IFERROR(__xludf.DUMMYFUNCTION("""COMPUTED_VALUE"""),"27 ม.1 ต.บางนายสี อ.ตะกั่วป่า จ.ตรัง 22000")</f>
        <v>27 ม.1 ต.บางนายสี อ.ตะกั่วป่า จ.ตรัง 22000</v>
      </c>
      <c r="Y2882" s="3"/>
      <c r="Z2882" s="3">
        <f>IFERROR(__xludf.DUMMYFUNCTION("""COMPUTED_VALUE"""),0.0)</f>
        <v>0</v>
      </c>
      <c r="AA2882" s="3">
        <f>IFERROR(__xludf.DUMMYFUNCTION("""COMPUTED_VALUE"""),0.0)</f>
        <v>0</v>
      </c>
      <c r="AB2882" s="3" t="str">
        <f>IFERROR(__xludf.DUMMYFUNCTION("""COMPUTED_VALUE"""),"ตรัง")</f>
        <v>ตรัง</v>
      </c>
      <c r="AC2882" s="3">
        <f>IFERROR(__xludf.DUMMYFUNCTION("""COMPUTED_VALUE"""),22000.0)</f>
        <v>22000</v>
      </c>
      <c r="AD2882" s="3"/>
      <c r="AE2882" s="3"/>
      <c r="AF2882" s="3" t="str">
        <f>IFERROR(__xludf.DUMMYFUNCTION("""COMPUTED_VALUE"""),"ร้านครูศักดิ์-83744")</f>
        <v>ร้านครูศักดิ์-83744</v>
      </c>
      <c r="AG2882" s="3" t="str">
        <f>IFERROR(__xludf.DUMMYFUNCTION("""COMPUTED_VALUE"""),"ใต้")</f>
        <v>ใต้</v>
      </c>
      <c r="AH2882" s="3" t="str">
        <f>IFERROR(__xludf.DUMMYFUNCTION("""COMPUTED_VALUE"""),"#N/A")</f>
        <v>#N/A</v>
      </c>
      <c r="AI2882" s="3" t="str">
        <f>IFERROR(__xludf.DUMMYFUNCTION("""COMPUTED_VALUE"""),"Out of warranty")</f>
        <v>Out of warranty</v>
      </c>
      <c r="AJ2882" s="3">
        <f>IFERROR(__xludf.DUMMYFUNCTION("""COMPUTED_VALUE"""),45.0)</f>
        <v>45</v>
      </c>
      <c r="AK2882" s="3"/>
      <c r="AL2882" s="3"/>
    </row>
    <row r="2883" ht="15.75" customHeight="1">
      <c r="A2883" s="1" t="str">
        <f>IFERROR(__xludf.DUMMYFUNCTION("""COMPUTED_VALUE"""),"83745")</f>
        <v>83745</v>
      </c>
      <c r="B2883" s="2">
        <f>IFERROR(__xludf.DUMMYFUNCTION("""COMPUTED_VALUE"""),83745.0)</f>
        <v>83745</v>
      </c>
      <c r="C2883" s="3" t="str">
        <f>IFERROR(__xludf.DUMMYFUNCTION("""COMPUTED_VALUE"""),"ร้านสุกิจเกรียงไกร")</f>
        <v>ร้านสุกิจเกรียงไกร</v>
      </c>
      <c r="D2883" s="3" t="str">
        <f>IFERROR(__xludf.DUMMYFUNCTION("""COMPUTED_VALUE"""),"ร้านสุกิจเกรียงไกร")</f>
        <v>ร้านสุกิจเกรียงไกร</v>
      </c>
      <c r="E2883" s="1" t="str">
        <f>IFERROR(__xludf.DUMMYFUNCTION("""COMPUTED_VALUE"""),"Donjai")</f>
        <v>Donjai</v>
      </c>
      <c r="F2883" s="1" t="str">
        <f>IFERROR(__xludf.DUMMYFUNCTION("""COMPUTED_VALUE"""),"00510143")</f>
        <v>00510143</v>
      </c>
      <c r="G2883" s="1" t="str">
        <f>IFERROR(__xludf.DUMMYFUNCTION("""COMPUTED_VALUE"""),"นายธีระวัฒน์ บุญสิทธิ์")</f>
        <v>นายธีระวัฒน์ บุญสิทธิ์</v>
      </c>
      <c r="H2883" s="1" t="str">
        <f>IFERROR(__xludf.DUMMYFUNCTION("""COMPUTED_VALUE"""),"00510143")</f>
        <v>00510143</v>
      </c>
      <c r="I2883" s="1" t="str">
        <f>IFERROR(__xludf.DUMMYFUNCTION("""COMPUTED_VALUE"""),"นายธีระวัฒน์ บุญสิทธิ์")</f>
        <v>นายธีระวัฒน์ บุญสิทธิ์</v>
      </c>
      <c r="J2883" s="3">
        <f>IFERROR(__xludf.DUMMYFUNCTION("""COMPUTED_VALUE"""),228031.0)</f>
        <v>228031</v>
      </c>
      <c r="K2883" s="3" t="str">
        <f>IFERROR(__xludf.DUMMYFUNCTION("""COMPUTED_VALUE"""),"นายธนพงษ์ วันหมัด")</f>
        <v>นายธนพงษ์ วันหมัด</v>
      </c>
      <c r="L2883" s="1" t="str">
        <f>IFERROR(__xludf.DUMMYFUNCTION("""COMPUTED_VALUE"""),"นายธนพงษ์ วันหมัด")</f>
        <v>นายธนพงษ์ วันหมัด</v>
      </c>
      <c r="M2883" s="1" t="str">
        <f>IFERROR(__xludf.DUMMYFUNCTION("""COMPUTED_VALUE"""),"0813716913")</f>
        <v>0813716913</v>
      </c>
      <c r="N2883" s="3">
        <f>IFERROR(__xludf.DUMMYFUNCTION("""COMPUTED_VALUE"""),83745.0)</f>
        <v>83745</v>
      </c>
      <c r="O2883" s="3" t="str">
        <f>IFERROR(__xludf.DUMMYFUNCTION("""COMPUTED_VALUE"""),"ร้านสุกิจเกรียงไกร")</f>
        <v>ร้านสุกิจเกรียงไกร</v>
      </c>
      <c r="P2883" s="4">
        <f>IFERROR(__xludf.DUMMYFUNCTION("""COMPUTED_VALUE"""),44652.0)</f>
        <v>44652</v>
      </c>
      <c r="Q2883" s="3" t="str">
        <f>IFERROR(__xludf.DUMMYFUNCTION("""COMPUTED_VALUE"""),"A")</f>
        <v>A</v>
      </c>
      <c r="R2883" s="3" t="str">
        <f>IFERROR(__xludf.DUMMYFUNCTION("""COMPUTED_VALUE"""),"Small Format")</f>
        <v>Small Format</v>
      </c>
      <c r="S2883" s="3" t="str">
        <f>IFERROR(__xludf.DUMMYFUNCTION("""COMPUTED_VALUE"""),"Donjai")</f>
        <v>Donjai</v>
      </c>
      <c r="T2883" s="3" t="str">
        <f>IFERROR(__xludf.DUMMYFUNCTION("""COMPUTED_VALUE"""),"12 K.Theerawat B.")</f>
        <v>12 K.Theerawat B.</v>
      </c>
      <c r="U2883" s="3" t="str">
        <f>IFERROR(__xludf.DUMMYFUNCTION("""COMPUTED_VALUE"""),"12 K.Theerawat B.")</f>
        <v>12 K.Theerawat B.</v>
      </c>
      <c r="V2883" s="3" t="str">
        <f>IFERROR(__xludf.DUMMYFUNCTION("""COMPUTED_VALUE"""),"N")</f>
        <v>N</v>
      </c>
      <c r="W2883" s="3"/>
      <c r="X2883" s="3" t="str">
        <f>IFERROR(__xludf.DUMMYFUNCTION("""COMPUTED_VALUE"""),"137 ม.3 ต.คลองไก่เถื่อน อ.คลองหาด จ.สระแก้ว")</f>
        <v>137 ม.3 ต.คลองไก่เถื่อน อ.คลองหาด จ.สระแก้ว</v>
      </c>
      <c r="Y2883" s="3"/>
      <c r="Z2883" s="3">
        <f>IFERROR(__xludf.DUMMYFUNCTION("""COMPUTED_VALUE"""),0.0)</f>
        <v>0</v>
      </c>
      <c r="AA2883" s="3">
        <f>IFERROR(__xludf.DUMMYFUNCTION("""COMPUTED_VALUE"""),0.0)</f>
        <v>0</v>
      </c>
      <c r="AB2883" s="3" t="str">
        <f>IFERROR(__xludf.DUMMYFUNCTION("""COMPUTED_VALUE"""),"สระแก้ว")</f>
        <v>สระแก้ว</v>
      </c>
      <c r="AC2883" s="3">
        <f>IFERROR(__xludf.DUMMYFUNCTION("""COMPUTED_VALUE"""),0.0)</f>
        <v>0</v>
      </c>
      <c r="AD2883" s="3"/>
      <c r="AE2883" s="3"/>
      <c r="AF2883" s="3" t="str">
        <f>IFERROR(__xludf.DUMMYFUNCTION("""COMPUTED_VALUE"""),"ร้านสุกิจเกรียงไกร-83745")</f>
        <v>ร้านสุกิจเกรียงไกร-83745</v>
      </c>
      <c r="AG2883" s="3" t="str">
        <f>IFERROR(__xludf.DUMMYFUNCTION("""COMPUTED_VALUE"""),"ตะวันออก")</f>
        <v>ตะวันออก</v>
      </c>
      <c r="AH2883" s="3" t="str">
        <f>IFERROR(__xludf.DUMMYFUNCTION("""COMPUTED_VALUE"""),"#N/A")</f>
        <v>#N/A</v>
      </c>
      <c r="AI2883" s="3" t="str">
        <f>IFERROR(__xludf.DUMMYFUNCTION("""COMPUTED_VALUE"""),"Out of warranty")</f>
        <v>Out of warranty</v>
      </c>
      <c r="AJ2883" s="3">
        <f>IFERROR(__xludf.DUMMYFUNCTION("""COMPUTED_VALUE"""),46.0)</f>
        <v>46</v>
      </c>
      <c r="AK2883" s="3"/>
      <c r="AL2883" s="3"/>
    </row>
    <row r="2884" ht="15.75" customHeight="1">
      <c r="A2884" s="1" t="str">
        <f>IFERROR(__xludf.DUMMYFUNCTION("""COMPUTED_VALUE"""),"83746")</f>
        <v>83746</v>
      </c>
      <c r="B2884" s="2">
        <f>IFERROR(__xludf.DUMMYFUNCTION("""COMPUTED_VALUE"""),83746.0)</f>
        <v>83746</v>
      </c>
      <c r="C2884" s="3" t="str">
        <f>IFERROR(__xludf.DUMMYFUNCTION("""COMPUTED_VALUE"""),"ร้านบีเอส มาร์ท(คุณยุทธิสิทธิ์)")</f>
        <v>ร้านบีเอส มาร์ท(คุณยุทธิสิทธิ์)</v>
      </c>
      <c r="D2884" s="3" t="str">
        <f>IFERROR(__xludf.DUMMYFUNCTION("""COMPUTED_VALUE"""),"ร้านบีเอส มาร์ท(คุณยุทธิสิทธิ์)")</f>
        <v>ร้านบีเอส มาร์ท(คุณยุทธิสิทธิ์)</v>
      </c>
      <c r="E2884" s="1" t="str">
        <f>IFERROR(__xludf.DUMMYFUNCTION("""COMPUTED_VALUE"""),"Donjai")</f>
        <v>Donjai</v>
      </c>
      <c r="F2884" s="1" t="str">
        <f>IFERROR(__xludf.DUMMYFUNCTION("""COMPUTED_VALUE"""),"2010016")</f>
        <v>2010016</v>
      </c>
      <c r="G2884" s="1" t="str">
        <f>IFERROR(__xludf.DUMMYFUNCTION("""COMPUTED_VALUE"""),"นายตวงธรรม ใหม่ยศ")</f>
        <v>นายตวงธรรม ใหม่ยศ</v>
      </c>
      <c r="H2884" s="1" t="str">
        <f>IFERROR(__xludf.DUMMYFUNCTION("""COMPUTED_VALUE"""),"2010016")</f>
        <v>2010016</v>
      </c>
      <c r="I2884" s="1" t="str">
        <f>IFERROR(__xludf.DUMMYFUNCTION("""COMPUTED_VALUE"""),"นายตวงธรรม ใหม่ยศ")</f>
        <v>นายตวงธรรม ใหม่ยศ</v>
      </c>
      <c r="J2884" s="3">
        <f>IFERROR(__xludf.DUMMYFUNCTION("""COMPUTED_VALUE"""),295886.0)</f>
        <v>295886</v>
      </c>
      <c r="K2884" s="3" t="str">
        <f>IFERROR(__xludf.DUMMYFUNCTION("""COMPUTED_VALUE"""),"นายจิระพงษ์ โพธิ์นิล")</f>
        <v>นายจิระพงษ์ โพธิ์นิล</v>
      </c>
      <c r="L2884" s="1" t="str">
        <f>IFERROR(__xludf.DUMMYFUNCTION("""COMPUTED_VALUE"""),"นายจิระพงษ์ โพธิ์นิล")</f>
        <v>นายจิระพงษ์ โพธิ์นิล</v>
      </c>
      <c r="M2884" s="1" t="str">
        <f>IFERROR(__xludf.DUMMYFUNCTION("""COMPUTED_VALUE"""),"0933290754")</f>
        <v>0933290754</v>
      </c>
      <c r="N2884" s="3">
        <f>IFERROR(__xludf.DUMMYFUNCTION("""COMPUTED_VALUE"""),83746.0)</f>
        <v>83746</v>
      </c>
      <c r="O2884" s="3" t="str">
        <f>IFERROR(__xludf.DUMMYFUNCTION("""COMPUTED_VALUE"""),"ร้านบีเอส มาร์ท(คุณยุทธิสิทธิ์)")</f>
        <v>ร้านบีเอส มาร์ท(คุณยุทธิสิทธิ์)</v>
      </c>
      <c r="P2884" s="4">
        <f>IFERROR(__xludf.DUMMYFUNCTION("""COMPUTED_VALUE"""),44660.0)</f>
        <v>44660</v>
      </c>
      <c r="Q2884" s="3" t="str">
        <f>IFERROR(__xludf.DUMMYFUNCTION("""COMPUTED_VALUE"""),"I")</f>
        <v>I</v>
      </c>
      <c r="R2884" s="3" t="str">
        <f>IFERROR(__xludf.DUMMYFUNCTION("""COMPUTED_VALUE"""),"Small Format")</f>
        <v>Small Format</v>
      </c>
      <c r="S2884" s="3" t="str">
        <f>IFERROR(__xludf.DUMMYFUNCTION("""COMPUTED_VALUE"""),"Donjai")</f>
        <v>Donjai</v>
      </c>
      <c r="T2884" s="3" t="str">
        <f>IFERROR(__xludf.DUMMYFUNCTION("""COMPUTED_VALUE"""),"01 K.Tuangtham M.")</f>
        <v>01 K.Tuangtham M.</v>
      </c>
      <c r="U2884" s="3" t="str">
        <f>IFERROR(__xludf.DUMMYFUNCTION("""COMPUTED_VALUE"""),"01 K.Tuangtham M.")</f>
        <v>01 K.Tuangtham M.</v>
      </c>
      <c r="V2884" s="3" t="str">
        <f>IFERROR(__xludf.DUMMYFUNCTION("""COMPUTED_VALUE"""),"N")</f>
        <v>N</v>
      </c>
      <c r="W2884" s="3"/>
      <c r="X2884" s="3" t="str">
        <f>IFERROR(__xludf.DUMMYFUNCTION("""COMPUTED_VALUE"""),"178 ต.ต้นเปา อ.สันกำแพง จ.เชียงใหม่ 50130")</f>
        <v>178 ต.ต้นเปา อ.สันกำแพง จ.เชียงใหม่ 50130</v>
      </c>
      <c r="Y2884" s="3"/>
      <c r="Z2884" s="3" t="str">
        <f>IFERROR(__xludf.DUMMYFUNCTION("""COMPUTED_VALUE"""),"ต้นเปา")</f>
        <v>ต้นเปา</v>
      </c>
      <c r="AA2884" s="3" t="str">
        <f>IFERROR(__xludf.DUMMYFUNCTION("""COMPUTED_VALUE"""),"สันกำแพง")</f>
        <v>สันกำแพง</v>
      </c>
      <c r="AB2884" s="3" t="str">
        <f>IFERROR(__xludf.DUMMYFUNCTION("""COMPUTED_VALUE"""),"เชียงใหม่")</f>
        <v>เชียงใหม่</v>
      </c>
      <c r="AC2884" s="3">
        <f>IFERROR(__xludf.DUMMYFUNCTION("""COMPUTED_VALUE"""),50130.0)</f>
        <v>50130</v>
      </c>
      <c r="AD2884" s="3"/>
      <c r="AE2884" s="3"/>
      <c r="AF2884" s="3" t="str">
        <f>IFERROR(__xludf.DUMMYFUNCTION("""COMPUTED_VALUE"""),"ร้านบีเอส มาร์ท(คุณยุทธิสิทธิ์)-83746")</f>
        <v>ร้านบีเอส มาร์ท(คุณยุทธิสิทธิ์)-83746</v>
      </c>
      <c r="AG2884" s="3" t="str">
        <f>IFERROR(__xludf.DUMMYFUNCTION("""COMPUTED_VALUE"""),"เหนือ")</f>
        <v>เหนือ</v>
      </c>
      <c r="AH2884" s="3" t="str">
        <f>IFERROR(__xludf.DUMMYFUNCTION("""COMPUTED_VALUE"""),"#N/A")</f>
        <v>#N/A</v>
      </c>
      <c r="AI2884" s="3" t="str">
        <f>IFERROR(__xludf.DUMMYFUNCTION("""COMPUTED_VALUE"""),"Out of warranty")</f>
        <v>Out of warranty</v>
      </c>
      <c r="AJ2884" s="3">
        <f>IFERROR(__xludf.DUMMYFUNCTION("""COMPUTED_VALUE"""),46.0)</f>
        <v>46</v>
      </c>
      <c r="AK2884" s="3"/>
      <c r="AL2884" s="3"/>
    </row>
    <row r="2885" ht="15.75" customHeight="1">
      <c r="A2885" s="1" t="str">
        <f>IFERROR(__xludf.DUMMYFUNCTION("""COMPUTED_VALUE"""),"83747")</f>
        <v>83747</v>
      </c>
      <c r="B2885" s="2">
        <f>IFERROR(__xludf.DUMMYFUNCTION("""COMPUTED_VALUE"""),83747.0)</f>
        <v>83747</v>
      </c>
      <c r="C2885" s="3" t="str">
        <f>IFERROR(__xludf.DUMMYFUNCTION("""COMPUTED_VALUE"""),"ชื่อร้านนับตังค์การค้า")</f>
        <v>ชื่อร้านนับตังค์การค้า</v>
      </c>
      <c r="D2885" s="3" t="str">
        <f>IFERROR(__xludf.DUMMYFUNCTION("""COMPUTED_VALUE"""),"ชื่อร้านนับตังค์การค้า")</f>
        <v>ชื่อร้านนับตังค์การค้า</v>
      </c>
      <c r="E2885" s="1" t="str">
        <f>IFERROR(__xludf.DUMMYFUNCTION("""COMPUTED_VALUE"""),"Donjai")</f>
        <v>Donjai</v>
      </c>
      <c r="F2885" s="1" t="str">
        <f>IFERROR(__xludf.DUMMYFUNCTION("""COMPUTED_VALUE"""),"2010016")</f>
        <v>2010016</v>
      </c>
      <c r="G2885" s="1" t="str">
        <f>IFERROR(__xludf.DUMMYFUNCTION("""COMPUTED_VALUE"""),"นายตวงธรรม ใหม่ยศ")</f>
        <v>นายตวงธรรม ใหม่ยศ</v>
      </c>
      <c r="H2885" s="1" t="str">
        <f>IFERROR(__xludf.DUMMYFUNCTION("""COMPUTED_VALUE"""),"2010016")</f>
        <v>2010016</v>
      </c>
      <c r="I2885" s="1" t="str">
        <f>IFERROR(__xludf.DUMMYFUNCTION("""COMPUTED_VALUE"""),"นายตวงธรรม ใหม่ยศ")</f>
        <v>นายตวงธรรม ใหม่ยศ</v>
      </c>
      <c r="J2885" s="3">
        <f>IFERROR(__xludf.DUMMYFUNCTION("""COMPUTED_VALUE"""),295886.0)</f>
        <v>295886</v>
      </c>
      <c r="K2885" s="3" t="str">
        <f>IFERROR(__xludf.DUMMYFUNCTION("""COMPUTED_VALUE"""),"นายจิระพงษ์ โพธิ์นิล")</f>
        <v>นายจิระพงษ์ โพธิ์นิล</v>
      </c>
      <c r="L2885" s="1" t="str">
        <f>IFERROR(__xludf.DUMMYFUNCTION("""COMPUTED_VALUE"""),"นายจิระพงษ์ โพธิ์นิล")</f>
        <v>นายจิระพงษ์ โพธิ์นิล</v>
      </c>
      <c r="M2885" s="1" t="str">
        <f>IFERROR(__xludf.DUMMYFUNCTION("""COMPUTED_VALUE"""),"0933290754")</f>
        <v>0933290754</v>
      </c>
      <c r="N2885" s="3">
        <f>IFERROR(__xludf.DUMMYFUNCTION("""COMPUTED_VALUE"""),83747.0)</f>
        <v>83747</v>
      </c>
      <c r="O2885" s="3" t="str">
        <f>IFERROR(__xludf.DUMMYFUNCTION("""COMPUTED_VALUE"""),"ชื่อร้านนับตังค์การค้า")</f>
        <v>ชื่อร้านนับตังค์การค้า</v>
      </c>
      <c r="P2885" s="4">
        <f>IFERROR(__xludf.DUMMYFUNCTION("""COMPUTED_VALUE"""),44646.0)</f>
        <v>44646</v>
      </c>
      <c r="Q2885" s="3" t="str">
        <f>IFERROR(__xludf.DUMMYFUNCTION("""COMPUTED_VALUE"""),"A")</f>
        <v>A</v>
      </c>
      <c r="R2885" s="3" t="str">
        <f>IFERROR(__xludf.DUMMYFUNCTION("""COMPUTED_VALUE"""),"Small Format")</f>
        <v>Small Format</v>
      </c>
      <c r="S2885" s="3" t="str">
        <f>IFERROR(__xludf.DUMMYFUNCTION("""COMPUTED_VALUE"""),"Donjai")</f>
        <v>Donjai</v>
      </c>
      <c r="T2885" s="3" t="str">
        <f>IFERROR(__xludf.DUMMYFUNCTION("""COMPUTED_VALUE"""),"01 K.Tuangtham M.")</f>
        <v>01 K.Tuangtham M.</v>
      </c>
      <c r="U2885" s="3" t="str">
        <f>IFERROR(__xludf.DUMMYFUNCTION("""COMPUTED_VALUE"""),"01 K.Tuangtham M.")</f>
        <v>01 K.Tuangtham M.</v>
      </c>
      <c r="V2885" s="3" t="str">
        <f>IFERROR(__xludf.DUMMYFUNCTION("""COMPUTED_VALUE"""),"N")</f>
        <v>N</v>
      </c>
      <c r="W2885" s="3"/>
      <c r="X2885" s="3" t="str">
        <f>IFERROR(__xludf.DUMMYFUNCTION("""COMPUTED_VALUE"""),"279/1 ม.19 ต.เมืองพาน อ.พาน เชียงราย 40150")</f>
        <v>279/1 ม.19 ต.เมืองพาน อ.พาน เชียงราย 40150</v>
      </c>
      <c r="Y2885" s="3"/>
      <c r="Z2885" s="3" t="str">
        <f>IFERROR(__xludf.DUMMYFUNCTION("""COMPUTED_VALUE"""),"เมืองพาน")</f>
        <v>เมืองพาน</v>
      </c>
      <c r="AA2885" s="3" t="str">
        <f>IFERROR(__xludf.DUMMYFUNCTION("""COMPUTED_VALUE"""),"พาน")</f>
        <v>พาน</v>
      </c>
      <c r="AB2885" s="3" t="str">
        <f>IFERROR(__xludf.DUMMYFUNCTION("""COMPUTED_VALUE"""),"เชียงราย")</f>
        <v>เชียงราย</v>
      </c>
      <c r="AC2885" s="3">
        <f>IFERROR(__xludf.DUMMYFUNCTION("""COMPUTED_VALUE"""),40150.0)</f>
        <v>40150</v>
      </c>
      <c r="AD2885" s="3"/>
      <c r="AE2885" s="3"/>
      <c r="AF2885" s="3" t="str">
        <f>IFERROR(__xludf.DUMMYFUNCTION("""COMPUTED_VALUE"""),"ชื่อร้านนับตังค์การค้า-83747")</f>
        <v>ชื่อร้านนับตังค์การค้า-83747</v>
      </c>
      <c r="AG2885" s="3" t="str">
        <f>IFERROR(__xludf.DUMMYFUNCTION("""COMPUTED_VALUE"""),"เหนือ")</f>
        <v>เหนือ</v>
      </c>
      <c r="AH2885" s="3" t="str">
        <f>IFERROR(__xludf.DUMMYFUNCTION("""COMPUTED_VALUE"""),"#N/A")</f>
        <v>#N/A</v>
      </c>
      <c r="AI2885" s="3" t="str">
        <f>IFERROR(__xludf.DUMMYFUNCTION("""COMPUTED_VALUE"""),"Out of warranty")</f>
        <v>Out of warranty</v>
      </c>
      <c r="AJ2885" s="3">
        <f>IFERROR(__xludf.DUMMYFUNCTION("""COMPUTED_VALUE"""),46.0)</f>
        <v>46</v>
      </c>
      <c r="AK2885" s="3"/>
      <c r="AL2885" s="3"/>
    </row>
    <row r="2886" ht="15.75" customHeight="1">
      <c r="A2886" s="1" t="str">
        <f>IFERROR(__xludf.DUMMYFUNCTION("""COMPUTED_VALUE"""),"83748")</f>
        <v>83748</v>
      </c>
      <c r="B2886" s="2">
        <f>IFERROR(__xludf.DUMMYFUNCTION("""COMPUTED_VALUE"""),83748.0)</f>
        <v>83748</v>
      </c>
      <c r="C2886" s="3" t="str">
        <f>IFERROR(__xludf.DUMMYFUNCTION("""COMPUTED_VALUE"""),"ร้านพอเพียง")</f>
        <v>ร้านพอเพียง</v>
      </c>
      <c r="D2886" s="3" t="str">
        <f>IFERROR(__xludf.DUMMYFUNCTION("""COMPUTED_VALUE"""),"ร้านพอเพียง")</f>
        <v>ร้านพอเพียง</v>
      </c>
      <c r="E2886" s="1" t="str">
        <f>IFERROR(__xludf.DUMMYFUNCTION("""COMPUTED_VALUE"""),"Donjai")</f>
        <v>Donjai</v>
      </c>
      <c r="F2886" s="1" t="str">
        <f>IFERROR(__xludf.DUMMYFUNCTION("""COMPUTED_VALUE"""),"015361")</f>
        <v>015361</v>
      </c>
      <c r="G2886" s="1" t="str">
        <f>IFERROR(__xludf.DUMMYFUNCTION("""COMPUTED_VALUE"""),"นายสมบูรณ์ พรหมในเมือง")</f>
        <v>นายสมบูรณ์ พรหมในเมือง</v>
      </c>
      <c r="H2886" s="1" t="str">
        <f>IFERROR(__xludf.DUMMYFUNCTION("""COMPUTED_VALUE"""),"015361")</f>
        <v>015361</v>
      </c>
      <c r="I2886" s="1" t="str">
        <f>IFERROR(__xludf.DUMMYFUNCTION("""COMPUTED_VALUE"""),"นายสมบูรณ์ พรหมในเมือง")</f>
        <v>นายสมบูรณ์ พรหมในเมือง</v>
      </c>
      <c r="J2886" s="3">
        <f>IFERROR(__xludf.DUMMYFUNCTION("""COMPUTED_VALUE"""),295886.0)</f>
        <v>295886</v>
      </c>
      <c r="K2886" s="3" t="str">
        <f>IFERROR(__xludf.DUMMYFUNCTION("""COMPUTED_VALUE"""),"นายจิระพงษ์ โพธิ์นิล")</f>
        <v>นายจิระพงษ์ โพธิ์นิล</v>
      </c>
      <c r="L2886" s="1" t="str">
        <f>IFERROR(__xludf.DUMMYFUNCTION("""COMPUTED_VALUE"""),"นายจิระพงษ์ โพธิ์นิล")</f>
        <v>นายจิระพงษ์ โพธิ์นิล</v>
      </c>
      <c r="M2886" s="1" t="str">
        <f>IFERROR(__xludf.DUMMYFUNCTION("""COMPUTED_VALUE"""),"0933290754")</f>
        <v>0933290754</v>
      </c>
      <c r="N2886" s="3">
        <f>IFERROR(__xludf.DUMMYFUNCTION("""COMPUTED_VALUE"""),83748.0)</f>
        <v>83748</v>
      </c>
      <c r="O2886" s="3" t="str">
        <f>IFERROR(__xludf.DUMMYFUNCTION("""COMPUTED_VALUE"""),"ร้านพอเพียง")</f>
        <v>ร้านพอเพียง</v>
      </c>
      <c r="P2886" s="4">
        <f>IFERROR(__xludf.DUMMYFUNCTION("""COMPUTED_VALUE"""),44641.0)</f>
        <v>44641</v>
      </c>
      <c r="Q2886" s="3" t="str">
        <f>IFERROR(__xludf.DUMMYFUNCTION("""COMPUTED_VALUE"""),"A")</f>
        <v>A</v>
      </c>
      <c r="R2886" s="3" t="str">
        <f>IFERROR(__xludf.DUMMYFUNCTION("""COMPUTED_VALUE"""),"Small Format")</f>
        <v>Small Format</v>
      </c>
      <c r="S2886" s="3" t="str">
        <f>IFERROR(__xludf.DUMMYFUNCTION("""COMPUTED_VALUE"""),"Donjai")</f>
        <v>Donjai</v>
      </c>
      <c r="T2886" s="3" t="str">
        <f>IFERROR(__xludf.DUMMYFUNCTION("""COMPUTED_VALUE"""),"04 K.Somboon P.")</f>
        <v>04 K.Somboon P.</v>
      </c>
      <c r="U2886" s="3" t="str">
        <f>IFERROR(__xludf.DUMMYFUNCTION("""COMPUTED_VALUE"""),"04 K.Somboon P.")</f>
        <v>04 K.Somboon P.</v>
      </c>
      <c r="V2886" s="3" t="str">
        <f>IFERROR(__xludf.DUMMYFUNCTION("""COMPUTED_VALUE"""),"N")</f>
        <v>N</v>
      </c>
      <c r="W2886" s="3"/>
      <c r="X2886" s="3" t="str">
        <f>IFERROR(__xludf.DUMMYFUNCTION("""COMPUTED_VALUE"""),"29​ หมู่​6 ละหานปลาค้าว เมืองยาง นครราชสีมา 10570")</f>
        <v>29​ หมู่​6 ละหานปลาค้าว เมืองยาง นครราชสีมา 10570</v>
      </c>
      <c r="Y2886" s="3"/>
      <c r="Z2886" s="3">
        <f>IFERROR(__xludf.DUMMYFUNCTION("""COMPUTED_VALUE"""),0.0)</f>
        <v>0</v>
      </c>
      <c r="AA2886" s="3">
        <f>IFERROR(__xludf.DUMMYFUNCTION("""COMPUTED_VALUE"""),0.0)</f>
        <v>0</v>
      </c>
      <c r="AB2886" s="3" t="str">
        <f>IFERROR(__xludf.DUMMYFUNCTION("""COMPUTED_VALUE"""),"นครราชสีมา")</f>
        <v>นครราชสีมา</v>
      </c>
      <c r="AC2886" s="3">
        <f>IFERROR(__xludf.DUMMYFUNCTION("""COMPUTED_VALUE"""),10570.0)</f>
        <v>10570</v>
      </c>
      <c r="AD2886" s="3"/>
      <c r="AE2886" s="3"/>
      <c r="AF2886" s="3" t="str">
        <f>IFERROR(__xludf.DUMMYFUNCTION("""COMPUTED_VALUE"""),"ร้านพอเพียง-83748")</f>
        <v>ร้านพอเพียง-83748</v>
      </c>
      <c r="AG2886" s="3" t="str">
        <f>IFERROR(__xludf.DUMMYFUNCTION("""COMPUTED_VALUE"""),"ตะวันออกเฉียงเหนือ")</f>
        <v>ตะวันออกเฉียงเหนือ</v>
      </c>
      <c r="AH2886" s="3" t="str">
        <f>IFERROR(__xludf.DUMMYFUNCTION("""COMPUTED_VALUE"""),"#N/A")</f>
        <v>#N/A</v>
      </c>
      <c r="AI2886" s="3" t="str">
        <f>IFERROR(__xludf.DUMMYFUNCTION("""COMPUTED_VALUE"""),"Out of warranty")</f>
        <v>Out of warranty</v>
      </c>
      <c r="AJ2886" s="3">
        <f>IFERROR(__xludf.DUMMYFUNCTION("""COMPUTED_VALUE"""),46.0)</f>
        <v>46</v>
      </c>
      <c r="AK2886" s="3"/>
      <c r="AL2886" s="3"/>
    </row>
    <row r="2887" ht="15.75" customHeight="1">
      <c r="A2887" s="1" t="str">
        <f>IFERROR(__xludf.DUMMYFUNCTION("""COMPUTED_VALUE"""),"83749")</f>
        <v>83749</v>
      </c>
      <c r="B2887" s="2">
        <f>IFERROR(__xludf.DUMMYFUNCTION("""COMPUTED_VALUE"""),83749.0)</f>
        <v>83749</v>
      </c>
      <c r="C2887" s="3" t="str">
        <f>IFERROR(__xludf.DUMMYFUNCTION("""COMPUTED_VALUE"""),"ร้านเพิ่มทรัพย์พานิชย์")</f>
        <v>ร้านเพิ่มทรัพย์พานิชย์</v>
      </c>
      <c r="D2887" s="3" t="str">
        <f>IFERROR(__xludf.DUMMYFUNCTION("""COMPUTED_VALUE"""),"ร้านเพิ่มทรัพย์พานิชย์")</f>
        <v>ร้านเพิ่มทรัพย์พานิชย์</v>
      </c>
      <c r="E2887" s="1" t="str">
        <f>IFERROR(__xludf.DUMMYFUNCTION("""COMPUTED_VALUE"""),"Donjai")</f>
        <v>Donjai</v>
      </c>
      <c r="F2887" s="1" t="str">
        <f>IFERROR(__xludf.DUMMYFUNCTION("""COMPUTED_VALUE"""),"296868")</f>
        <v>296868</v>
      </c>
      <c r="G2887" s="1" t="str">
        <f>IFERROR(__xludf.DUMMYFUNCTION("""COMPUTED_VALUE"""),"นายพีระพงษ์ แก้วดวงดี")</f>
        <v>นายพีระพงษ์ แก้วดวงดี</v>
      </c>
      <c r="H2887" s="1" t="str">
        <f>IFERROR(__xludf.DUMMYFUNCTION("""COMPUTED_VALUE"""),"296868")</f>
        <v>296868</v>
      </c>
      <c r="I2887" s="1" t="str">
        <f>IFERROR(__xludf.DUMMYFUNCTION("""COMPUTED_VALUE"""),"นายพีระพงษ์ แก้วดวงดี")</f>
        <v>นายพีระพงษ์ แก้วดวงดี</v>
      </c>
      <c r="J2887" s="3">
        <f>IFERROR(__xludf.DUMMYFUNCTION("""COMPUTED_VALUE"""),295886.0)</f>
        <v>295886</v>
      </c>
      <c r="K2887" s="3" t="str">
        <f>IFERROR(__xludf.DUMMYFUNCTION("""COMPUTED_VALUE"""),"นายจิระพงษ์ โพธิ์นิล")</f>
        <v>นายจิระพงษ์ โพธิ์นิล</v>
      </c>
      <c r="L2887" s="1" t="str">
        <f>IFERROR(__xludf.DUMMYFUNCTION("""COMPUTED_VALUE"""),"นายจิระพงษ์ โพธิ์นิล")</f>
        <v>นายจิระพงษ์ โพธิ์นิล</v>
      </c>
      <c r="M2887" s="1" t="str">
        <f>IFERROR(__xludf.DUMMYFUNCTION("""COMPUTED_VALUE"""),"0933290754")</f>
        <v>0933290754</v>
      </c>
      <c r="N2887" s="3">
        <f>IFERROR(__xludf.DUMMYFUNCTION("""COMPUTED_VALUE"""),83749.0)</f>
        <v>83749</v>
      </c>
      <c r="O2887" s="3" t="str">
        <f>IFERROR(__xludf.DUMMYFUNCTION("""COMPUTED_VALUE"""),"ร้านเพิ่มทรัพย์พานิชย์")</f>
        <v>ร้านเพิ่มทรัพย์พานิชย์</v>
      </c>
      <c r="P2887" s="4">
        <f>IFERROR(__xludf.DUMMYFUNCTION("""COMPUTED_VALUE"""),44647.0)</f>
        <v>44647</v>
      </c>
      <c r="Q2887" s="3" t="str">
        <f>IFERROR(__xludf.DUMMYFUNCTION("""COMPUTED_VALUE"""),"I")</f>
        <v>I</v>
      </c>
      <c r="R2887" s="3" t="str">
        <f>IFERROR(__xludf.DUMMYFUNCTION("""COMPUTED_VALUE"""),"Small Format")</f>
        <v>Small Format</v>
      </c>
      <c r="S2887" s="3" t="str">
        <f>IFERROR(__xludf.DUMMYFUNCTION("""COMPUTED_VALUE"""),"Donjai")</f>
        <v>Donjai</v>
      </c>
      <c r="T2887" s="3" t="str">
        <f>IFERROR(__xludf.DUMMYFUNCTION("""COMPUTED_VALUE"""),"03 K.Peerapong K.")</f>
        <v>03 K.Peerapong K.</v>
      </c>
      <c r="U2887" s="3" t="str">
        <f>IFERROR(__xludf.DUMMYFUNCTION("""COMPUTED_VALUE"""),"03 K.Peerapong K.")</f>
        <v>03 K.Peerapong K.</v>
      </c>
      <c r="V2887" s="3" t="str">
        <f>IFERROR(__xludf.DUMMYFUNCTION("""COMPUTED_VALUE"""),"N")</f>
        <v>N</v>
      </c>
      <c r="W2887" s="3"/>
      <c r="X2887" s="3" t="str">
        <f>IFERROR(__xludf.DUMMYFUNCTION("""COMPUTED_VALUE"""),"313 ม.2 ต.โนนขมิ้น อ.เมืองหนองบัวลำภู หนองบัวลำภู 60150")</f>
        <v>313 ม.2 ต.โนนขมิ้น อ.เมืองหนองบัวลำภู หนองบัวลำภู 60150</v>
      </c>
      <c r="Y2887" s="3"/>
      <c r="Z2887" s="3">
        <f>IFERROR(__xludf.DUMMYFUNCTION("""COMPUTED_VALUE"""),0.0)</f>
        <v>0</v>
      </c>
      <c r="AA2887" s="3">
        <f>IFERROR(__xludf.DUMMYFUNCTION("""COMPUTED_VALUE"""),0.0)</f>
        <v>0</v>
      </c>
      <c r="AB2887" s="3" t="str">
        <f>IFERROR(__xludf.DUMMYFUNCTION("""COMPUTED_VALUE"""),"หนองบัวลำภู")</f>
        <v>หนองบัวลำภู</v>
      </c>
      <c r="AC2887" s="3">
        <f>IFERROR(__xludf.DUMMYFUNCTION("""COMPUTED_VALUE"""),60150.0)</f>
        <v>60150</v>
      </c>
      <c r="AD2887" s="3"/>
      <c r="AE2887" s="3"/>
      <c r="AF2887" s="3" t="str">
        <f>IFERROR(__xludf.DUMMYFUNCTION("""COMPUTED_VALUE"""),"ร้านเพิ่มทรัพย์พานิชย์-83749")</f>
        <v>ร้านเพิ่มทรัพย์พานิชย์-83749</v>
      </c>
      <c r="AG2887" s="3" t="str">
        <f>IFERROR(__xludf.DUMMYFUNCTION("""COMPUTED_VALUE"""),"ตะวันออกเฉียงเหนือ")</f>
        <v>ตะวันออกเฉียงเหนือ</v>
      </c>
      <c r="AH2887" s="3" t="str">
        <f>IFERROR(__xludf.DUMMYFUNCTION("""COMPUTED_VALUE"""),"#N/A")</f>
        <v>#N/A</v>
      </c>
      <c r="AI2887" s="3" t="str">
        <f>IFERROR(__xludf.DUMMYFUNCTION("""COMPUTED_VALUE"""),"Out of warranty")</f>
        <v>Out of warranty</v>
      </c>
      <c r="AJ2887" s="3">
        <f>IFERROR(__xludf.DUMMYFUNCTION("""COMPUTED_VALUE"""),46.0)</f>
        <v>46</v>
      </c>
      <c r="AK2887" s="3"/>
      <c r="AL2887" s="3"/>
    </row>
    <row r="2888" ht="15.75" customHeight="1">
      <c r="A2888" s="1" t="str">
        <f>IFERROR(__xludf.DUMMYFUNCTION("""COMPUTED_VALUE"""),"83750")</f>
        <v>83750</v>
      </c>
      <c r="B2888" s="2">
        <f>IFERROR(__xludf.DUMMYFUNCTION("""COMPUTED_VALUE"""),83750.0)</f>
        <v>83750</v>
      </c>
      <c r="C2888" s="3" t="str">
        <f>IFERROR(__xludf.DUMMYFUNCTION("""COMPUTED_VALUE"""),"ร้าน ธันยพร")</f>
        <v>ร้าน ธันยพร</v>
      </c>
      <c r="D2888" s="3" t="str">
        <f>IFERROR(__xludf.DUMMYFUNCTION("""COMPUTED_VALUE"""),"ร้าน ธันยพร")</f>
        <v>ร้าน ธันยพร</v>
      </c>
      <c r="E2888" s="1" t="str">
        <f>IFERROR(__xludf.DUMMYFUNCTION("""COMPUTED_VALUE"""),"Donjai")</f>
        <v>Donjai</v>
      </c>
      <c r="F2888" s="1" t="str">
        <f>IFERROR(__xludf.DUMMYFUNCTION("""COMPUTED_VALUE"""),"296868")</f>
        <v>296868</v>
      </c>
      <c r="G2888" s="1" t="str">
        <f>IFERROR(__xludf.DUMMYFUNCTION("""COMPUTED_VALUE"""),"นายพีระพงษ์ แก้วดวงดี")</f>
        <v>นายพีระพงษ์ แก้วดวงดี</v>
      </c>
      <c r="H2888" s="1" t="str">
        <f>IFERROR(__xludf.DUMMYFUNCTION("""COMPUTED_VALUE"""),"296868")</f>
        <v>296868</v>
      </c>
      <c r="I2888" s="1" t="str">
        <f>IFERROR(__xludf.DUMMYFUNCTION("""COMPUTED_VALUE"""),"นายพีระพงษ์ แก้วดวงดี")</f>
        <v>นายพีระพงษ์ แก้วดวงดี</v>
      </c>
      <c r="J2888" s="3">
        <f>IFERROR(__xludf.DUMMYFUNCTION("""COMPUTED_VALUE"""),295886.0)</f>
        <v>295886</v>
      </c>
      <c r="K2888" s="3" t="str">
        <f>IFERROR(__xludf.DUMMYFUNCTION("""COMPUTED_VALUE"""),"นายจิระพงษ์ โพธิ์นิล")</f>
        <v>นายจิระพงษ์ โพธิ์นิล</v>
      </c>
      <c r="L2888" s="1" t="str">
        <f>IFERROR(__xludf.DUMMYFUNCTION("""COMPUTED_VALUE"""),"นายจิระพงษ์ โพธิ์นิล")</f>
        <v>นายจิระพงษ์ โพธิ์นิล</v>
      </c>
      <c r="M2888" s="1" t="str">
        <f>IFERROR(__xludf.DUMMYFUNCTION("""COMPUTED_VALUE"""),"0933290754")</f>
        <v>0933290754</v>
      </c>
      <c r="N2888" s="3">
        <f>IFERROR(__xludf.DUMMYFUNCTION("""COMPUTED_VALUE"""),83750.0)</f>
        <v>83750</v>
      </c>
      <c r="O2888" s="3" t="str">
        <f>IFERROR(__xludf.DUMMYFUNCTION("""COMPUTED_VALUE"""),"ร้าน ธันยพร")</f>
        <v>ร้าน ธันยพร</v>
      </c>
      <c r="P2888" s="4">
        <f>IFERROR(__xludf.DUMMYFUNCTION("""COMPUTED_VALUE"""),44643.0)</f>
        <v>44643</v>
      </c>
      <c r="Q2888" s="3" t="str">
        <f>IFERROR(__xludf.DUMMYFUNCTION("""COMPUTED_VALUE"""),"A")</f>
        <v>A</v>
      </c>
      <c r="R2888" s="3" t="str">
        <f>IFERROR(__xludf.DUMMYFUNCTION("""COMPUTED_VALUE"""),"Small Format")</f>
        <v>Small Format</v>
      </c>
      <c r="S2888" s="3" t="str">
        <f>IFERROR(__xludf.DUMMYFUNCTION("""COMPUTED_VALUE"""),"Donjai")</f>
        <v>Donjai</v>
      </c>
      <c r="T2888" s="3" t="str">
        <f>IFERROR(__xludf.DUMMYFUNCTION("""COMPUTED_VALUE"""),"03 K.Peerapong K.")</f>
        <v>03 K.Peerapong K.</v>
      </c>
      <c r="U2888" s="3" t="str">
        <f>IFERROR(__xludf.DUMMYFUNCTION("""COMPUTED_VALUE"""),"03 K.Peerapong K.")</f>
        <v>03 K.Peerapong K.</v>
      </c>
      <c r="V2888" s="3" t="str">
        <f>IFERROR(__xludf.DUMMYFUNCTION("""COMPUTED_VALUE"""),"N")</f>
        <v>N</v>
      </c>
      <c r="W2888" s="3"/>
      <c r="X2888" s="3" t="str">
        <f>IFERROR(__xludf.DUMMYFUNCTION("""COMPUTED_VALUE"""),"112 ม.4 ต.ศรีบุญเรือง อ.ศรีบุญเรือง จ.หนองบัวลำภู")</f>
        <v>112 ม.4 ต.ศรีบุญเรือง อ.ศรีบุญเรือง จ.หนองบัวลำภู</v>
      </c>
      <c r="Y2888" s="3"/>
      <c r="Z2888" s="3">
        <f>IFERROR(__xludf.DUMMYFUNCTION("""COMPUTED_VALUE"""),0.0)</f>
        <v>0</v>
      </c>
      <c r="AA2888" s="3">
        <f>IFERROR(__xludf.DUMMYFUNCTION("""COMPUTED_VALUE"""),0.0)</f>
        <v>0</v>
      </c>
      <c r="AB2888" s="3" t="str">
        <f>IFERROR(__xludf.DUMMYFUNCTION("""COMPUTED_VALUE"""),"หนองบัวลำภู")</f>
        <v>หนองบัวลำภู</v>
      </c>
      <c r="AC2888" s="3">
        <f>IFERROR(__xludf.DUMMYFUNCTION("""COMPUTED_VALUE"""),0.0)</f>
        <v>0</v>
      </c>
      <c r="AD2888" s="3"/>
      <c r="AE2888" s="3"/>
      <c r="AF2888" s="3" t="str">
        <f>IFERROR(__xludf.DUMMYFUNCTION("""COMPUTED_VALUE"""),"ร้าน ธันยพร-83750")</f>
        <v>ร้าน ธันยพร-83750</v>
      </c>
      <c r="AG2888" s="3" t="str">
        <f>IFERROR(__xludf.DUMMYFUNCTION("""COMPUTED_VALUE"""),"ตะวันออกเฉียงเหนือ")</f>
        <v>ตะวันออกเฉียงเหนือ</v>
      </c>
      <c r="AH2888" s="3" t="str">
        <f>IFERROR(__xludf.DUMMYFUNCTION("""COMPUTED_VALUE"""),"#N/A")</f>
        <v>#N/A</v>
      </c>
      <c r="AI2888" s="3" t="str">
        <f>IFERROR(__xludf.DUMMYFUNCTION("""COMPUTED_VALUE"""),"Out of warranty")</f>
        <v>Out of warranty</v>
      </c>
      <c r="AJ2888" s="3">
        <f>IFERROR(__xludf.DUMMYFUNCTION("""COMPUTED_VALUE"""),46.0)</f>
        <v>46</v>
      </c>
      <c r="AK2888" s="3"/>
      <c r="AL2888" s="3"/>
    </row>
    <row r="2889" ht="15.75" customHeight="1">
      <c r="A2889" s="1" t="str">
        <f>IFERROR(__xludf.DUMMYFUNCTION("""COMPUTED_VALUE"""),"83752")</f>
        <v>83752</v>
      </c>
      <c r="B2889" s="2">
        <f>IFERROR(__xludf.DUMMYFUNCTION("""COMPUTED_VALUE"""),83752.0)</f>
        <v>83752</v>
      </c>
      <c r="C2889" s="3" t="str">
        <f>IFERROR(__xludf.DUMMYFUNCTION("""COMPUTED_VALUE"""),"ร้านยายพี (ร้านวอท ไอ อีท ) (นพเก้าโฮมมาร์ท จก.)")</f>
        <v>ร้านยายพี (ร้านวอท ไอ อีท ) (นพเก้าโฮมมาร์ท จก.)</v>
      </c>
      <c r="D2889" s="3" t="str">
        <f>IFERROR(__xludf.DUMMYFUNCTION("""COMPUTED_VALUE"""),"ร้านยายพี (ร้านวอท ไอ อีท ) (นพเก้าโฮมมาร์ท จก.)")</f>
        <v>ร้านยายพี (ร้านวอท ไอ อีท ) (นพเก้าโฮมมาร์ท จก.)</v>
      </c>
      <c r="E2889" s="1" t="str">
        <f>IFERROR(__xludf.DUMMYFUNCTION("""COMPUTED_VALUE"""),"Donjai")</f>
        <v>Donjai</v>
      </c>
      <c r="F2889" s="1" t="str">
        <f>IFERROR(__xludf.DUMMYFUNCTION("""COMPUTED_VALUE"""),"2454781")</f>
        <v>2454781</v>
      </c>
      <c r="G2889" s="1" t="str">
        <f>IFERROR(__xludf.DUMMYFUNCTION("""COMPUTED_VALUE"""),"นายฌานกฤช นันทะโคต")</f>
        <v>นายฌานกฤช นันทะโคต</v>
      </c>
      <c r="H2889" s="1" t="str">
        <f>IFERROR(__xludf.DUMMYFUNCTION("""COMPUTED_VALUE"""),"2454781")</f>
        <v>2454781</v>
      </c>
      <c r="I2889" s="1" t="str">
        <f>IFERROR(__xludf.DUMMYFUNCTION("""COMPUTED_VALUE"""),"นายฌานกฤช นันทะโคต")</f>
        <v>นายฌานกฤช นันทะโคต</v>
      </c>
      <c r="J2889" s="3">
        <f>IFERROR(__xludf.DUMMYFUNCTION("""COMPUTED_VALUE"""),295886.0)</f>
        <v>295886</v>
      </c>
      <c r="K2889" s="3" t="str">
        <f>IFERROR(__xludf.DUMMYFUNCTION("""COMPUTED_VALUE"""),"นายจิระพงษ์ โพธิ์นิล")</f>
        <v>นายจิระพงษ์ โพธิ์นิล</v>
      </c>
      <c r="L2889" s="1" t="str">
        <f>IFERROR(__xludf.DUMMYFUNCTION("""COMPUTED_VALUE"""),"นายจิระพงษ์ โพธิ์นิล")</f>
        <v>นายจิระพงษ์ โพธิ์นิล</v>
      </c>
      <c r="M2889" s="1" t="str">
        <f>IFERROR(__xludf.DUMMYFUNCTION("""COMPUTED_VALUE"""),"0933290754")</f>
        <v>0933290754</v>
      </c>
      <c r="N2889" s="3">
        <f>IFERROR(__xludf.DUMMYFUNCTION("""COMPUTED_VALUE"""),83752.0)</f>
        <v>83752</v>
      </c>
      <c r="O2889" s="3" t="str">
        <f>IFERROR(__xludf.DUMMYFUNCTION("""COMPUTED_VALUE"""),"ร้านยายพี (ร้านวอท ไอ อีท ) (นพเก้าโฮมมาร์ท จก.)")</f>
        <v>ร้านยายพี (ร้านวอท ไอ อีท ) (นพเก้าโฮมมาร์ท จก.)</v>
      </c>
      <c r="P2889" s="4">
        <f>IFERROR(__xludf.DUMMYFUNCTION("""COMPUTED_VALUE"""),44802.0)</f>
        <v>44802</v>
      </c>
      <c r="Q2889" s="3" t="str">
        <f>IFERROR(__xludf.DUMMYFUNCTION("""COMPUTED_VALUE"""),"A")</f>
        <v>A</v>
      </c>
      <c r="R2889" s="3" t="str">
        <f>IFERROR(__xludf.DUMMYFUNCTION("""COMPUTED_VALUE"""),"Small Format")</f>
        <v>Small Format</v>
      </c>
      <c r="S2889" s="3" t="str">
        <f>IFERROR(__xludf.DUMMYFUNCTION("""COMPUTED_VALUE"""),"Donjai")</f>
        <v>Donjai</v>
      </c>
      <c r="T2889" s="3" t="str">
        <f>IFERROR(__xludf.DUMMYFUNCTION("""COMPUTED_VALUE"""),"05 K.Chanakrit N.")</f>
        <v>05 K.Chanakrit N.</v>
      </c>
      <c r="U2889" s="3" t="str">
        <f>IFERROR(__xludf.DUMMYFUNCTION("""COMPUTED_VALUE"""),"05 K.Chanakrit N.")</f>
        <v>05 K.Chanakrit N.</v>
      </c>
      <c r="V2889" s="3" t="str">
        <f>IFERROR(__xludf.DUMMYFUNCTION("""COMPUTED_VALUE"""),"N")</f>
        <v>N</v>
      </c>
      <c r="W2889" s="3"/>
      <c r="X2889" s="3" t="str">
        <f>IFERROR(__xludf.DUMMYFUNCTION("""COMPUTED_VALUE"""),"99/18-19 ถนน จิตรบำรุง ตำบล ในเมือง อำเภอ เมือง จังหวัด สุรินทร์ 32000")</f>
        <v>99/18-19 ถนน จิตรบำรุง ตำบล ในเมือง อำเภอ เมือง จังหวัด สุรินทร์ 32000</v>
      </c>
      <c r="Y2889" s="3"/>
      <c r="Z2889" s="3">
        <f>IFERROR(__xludf.DUMMYFUNCTION("""COMPUTED_VALUE"""),0.0)</f>
        <v>0</v>
      </c>
      <c r="AA2889" s="3">
        <f>IFERROR(__xludf.DUMMYFUNCTION("""COMPUTED_VALUE"""),0.0)</f>
        <v>0</v>
      </c>
      <c r="AB2889" s="3" t="str">
        <f>IFERROR(__xludf.DUMMYFUNCTION("""COMPUTED_VALUE"""),"สุรินทร์")</f>
        <v>สุรินทร์</v>
      </c>
      <c r="AC2889" s="3">
        <f>IFERROR(__xludf.DUMMYFUNCTION("""COMPUTED_VALUE"""),32000.0)</f>
        <v>32000</v>
      </c>
      <c r="AD2889" s="3"/>
      <c r="AE2889" s="3"/>
      <c r="AF2889" s="3" t="str">
        <f>IFERROR(__xludf.DUMMYFUNCTION("""COMPUTED_VALUE"""),"ร้านยายพี (ร้านวอท ไอ อีท ) (นพเก้าโฮมมาร์ท จก.)-83752")</f>
        <v>ร้านยายพี (ร้านวอท ไอ อีท ) (นพเก้าโฮมมาร์ท จก.)-83752</v>
      </c>
      <c r="AG2889" s="3" t="str">
        <f>IFERROR(__xludf.DUMMYFUNCTION("""COMPUTED_VALUE"""),"ตะวันออกเฉียงเหนือ")</f>
        <v>ตะวันออกเฉียงเหนือ</v>
      </c>
      <c r="AH2889" s="3" t="str">
        <f>IFERROR(__xludf.DUMMYFUNCTION("""COMPUTED_VALUE"""),"#N/A")</f>
        <v>#N/A</v>
      </c>
      <c r="AI2889" s="3" t="str">
        <f>IFERROR(__xludf.DUMMYFUNCTION("""COMPUTED_VALUE"""),"Out of warranty")</f>
        <v>Out of warranty</v>
      </c>
      <c r="AJ2889" s="3">
        <f>IFERROR(__xludf.DUMMYFUNCTION("""COMPUTED_VALUE"""),41.0)</f>
        <v>41</v>
      </c>
      <c r="AK2889" s="3"/>
      <c r="AL2889" s="3"/>
    </row>
    <row r="2890" ht="15.75" customHeight="1">
      <c r="A2890" s="1" t="str">
        <f>IFERROR(__xludf.DUMMYFUNCTION("""COMPUTED_VALUE"""),"83753")</f>
        <v>83753</v>
      </c>
      <c r="B2890" s="2">
        <f>IFERROR(__xludf.DUMMYFUNCTION("""COMPUTED_VALUE"""),83753.0)</f>
        <v>83753</v>
      </c>
      <c r="C2890" s="3" t="str">
        <f>IFERROR(__xludf.DUMMYFUNCTION("""COMPUTED_VALUE"""),"ร้านสุขสันต์มาร์ท")</f>
        <v>ร้านสุขสันต์มาร์ท</v>
      </c>
      <c r="D2890" s="3" t="str">
        <f>IFERROR(__xludf.DUMMYFUNCTION("""COMPUTED_VALUE"""),"ร้านสุขสันต์มาร์ท")</f>
        <v>ร้านสุขสันต์มาร์ท</v>
      </c>
      <c r="E2890" s="1" t="str">
        <f>IFERROR(__xludf.DUMMYFUNCTION("""COMPUTED_VALUE"""),"Donjai")</f>
        <v>Donjai</v>
      </c>
      <c r="F2890" s="1" t="str">
        <f>IFERROR(__xludf.DUMMYFUNCTION("""COMPUTED_VALUE"""),"296868")</f>
        <v>296868</v>
      </c>
      <c r="G2890" s="1" t="str">
        <f>IFERROR(__xludf.DUMMYFUNCTION("""COMPUTED_VALUE"""),"นายพีระพงษ์ แก้วดวงดี")</f>
        <v>นายพีระพงษ์ แก้วดวงดี</v>
      </c>
      <c r="H2890" s="1" t="str">
        <f>IFERROR(__xludf.DUMMYFUNCTION("""COMPUTED_VALUE"""),"296868")</f>
        <v>296868</v>
      </c>
      <c r="I2890" s="1" t="str">
        <f>IFERROR(__xludf.DUMMYFUNCTION("""COMPUTED_VALUE"""),"นายพีระพงษ์ แก้วดวงดี")</f>
        <v>นายพีระพงษ์ แก้วดวงดี</v>
      </c>
      <c r="J2890" s="3">
        <f>IFERROR(__xludf.DUMMYFUNCTION("""COMPUTED_VALUE"""),295886.0)</f>
        <v>295886</v>
      </c>
      <c r="K2890" s="3" t="str">
        <f>IFERROR(__xludf.DUMMYFUNCTION("""COMPUTED_VALUE"""),"นายจิระพงษ์ โพธิ์นิล")</f>
        <v>นายจิระพงษ์ โพธิ์นิล</v>
      </c>
      <c r="L2890" s="1" t="str">
        <f>IFERROR(__xludf.DUMMYFUNCTION("""COMPUTED_VALUE"""),"นายจิระพงษ์ โพธิ์นิล")</f>
        <v>นายจิระพงษ์ โพธิ์นิล</v>
      </c>
      <c r="M2890" s="1" t="str">
        <f>IFERROR(__xludf.DUMMYFUNCTION("""COMPUTED_VALUE"""),"0933290754")</f>
        <v>0933290754</v>
      </c>
      <c r="N2890" s="3">
        <f>IFERROR(__xludf.DUMMYFUNCTION("""COMPUTED_VALUE"""),83753.0)</f>
        <v>83753</v>
      </c>
      <c r="O2890" s="3" t="str">
        <f>IFERROR(__xludf.DUMMYFUNCTION("""COMPUTED_VALUE"""),"ร้านสุขสันต์มาร์ท")</f>
        <v>ร้านสุขสันต์มาร์ท</v>
      </c>
      <c r="P2890" s="4">
        <f>IFERROR(__xludf.DUMMYFUNCTION("""COMPUTED_VALUE"""),44655.0)</f>
        <v>44655</v>
      </c>
      <c r="Q2890" s="3" t="str">
        <f>IFERROR(__xludf.DUMMYFUNCTION("""COMPUTED_VALUE"""),"I")</f>
        <v>I</v>
      </c>
      <c r="R2890" s="3" t="str">
        <f>IFERROR(__xludf.DUMMYFUNCTION("""COMPUTED_VALUE"""),"Small Format")</f>
        <v>Small Format</v>
      </c>
      <c r="S2890" s="3" t="str">
        <f>IFERROR(__xludf.DUMMYFUNCTION("""COMPUTED_VALUE"""),"Donjai")</f>
        <v>Donjai</v>
      </c>
      <c r="T2890" s="3" t="str">
        <f>IFERROR(__xludf.DUMMYFUNCTION("""COMPUTED_VALUE"""),"03 K.Peerapong K.")</f>
        <v>03 K.Peerapong K.</v>
      </c>
      <c r="U2890" s="3" t="str">
        <f>IFERROR(__xludf.DUMMYFUNCTION("""COMPUTED_VALUE"""),"03 K.Peerapong K.")</f>
        <v>03 K.Peerapong K.</v>
      </c>
      <c r="V2890" s="3" t="str">
        <f>IFERROR(__xludf.DUMMYFUNCTION("""COMPUTED_VALUE"""),"N")</f>
        <v>N</v>
      </c>
      <c r="W2890" s="3"/>
      <c r="X2890" s="3" t="str">
        <f>IFERROR(__xludf.DUMMYFUNCTION("""COMPUTED_VALUE"""),"157 จุมพล โพนพิสัย หนองคาย 64000")</f>
        <v>157 จุมพล โพนพิสัย หนองคาย 64000</v>
      </c>
      <c r="Y2890" s="3"/>
      <c r="Z2890" s="3">
        <f>IFERROR(__xludf.DUMMYFUNCTION("""COMPUTED_VALUE"""),0.0)</f>
        <v>0</v>
      </c>
      <c r="AA2890" s="3">
        <f>IFERROR(__xludf.DUMMYFUNCTION("""COMPUTED_VALUE"""),0.0)</f>
        <v>0</v>
      </c>
      <c r="AB2890" s="3" t="str">
        <f>IFERROR(__xludf.DUMMYFUNCTION("""COMPUTED_VALUE"""),"หนองคาย")</f>
        <v>หนองคาย</v>
      </c>
      <c r="AC2890" s="3">
        <f>IFERROR(__xludf.DUMMYFUNCTION("""COMPUTED_VALUE"""),64000.0)</f>
        <v>64000</v>
      </c>
      <c r="AD2890" s="3"/>
      <c r="AE2890" s="3"/>
      <c r="AF2890" s="3" t="str">
        <f>IFERROR(__xludf.DUMMYFUNCTION("""COMPUTED_VALUE"""),"ร้านสุขสันต์มาร์ท-83753")</f>
        <v>ร้านสุขสันต์มาร์ท-83753</v>
      </c>
      <c r="AG2890" s="3" t="str">
        <f>IFERROR(__xludf.DUMMYFUNCTION("""COMPUTED_VALUE"""),"ตะวันออกเฉียงเหนือ")</f>
        <v>ตะวันออกเฉียงเหนือ</v>
      </c>
      <c r="AH2890" s="3" t="str">
        <f>IFERROR(__xludf.DUMMYFUNCTION("""COMPUTED_VALUE"""),"#N/A")</f>
        <v>#N/A</v>
      </c>
      <c r="AI2890" s="3" t="str">
        <f>IFERROR(__xludf.DUMMYFUNCTION("""COMPUTED_VALUE"""),"Out of warranty")</f>
        <v>Out of warranty</v>
      </c>
      <c r="AJ2890" s="3">
        <f>IFERROR(__xludf.DUMMYFUNCTION("""COMPUTED_VALUE"""),46.0)</f>
        <v>46</v>
      </c>
      <c r="AK2890" s="3"/>
      <c r="AL2890" s="3"/>
    </row>
    <row r="2891" ht="15.75" customHeight="1">
      <c r="A2891" s="1" t="str">
        <f>IFERROR(__xludf.DUMMYFUNCTION("""COMPUTED_VALUE"""),"83756")</f>
        <v>83756</v>
      </c>
      <c r="B2891" s="2">
        <f>IFERROR(__xludf.DUMMYFUNCTION("""COMPUTED_VALUE"""),83756.0)</f>
        <v>83756</v>
      </c>
      <c r="C2891" s="3" t="str">
        <f>IFERROR(__xludf.DUMMYFUNCTION("""COMPUTED_VALUE"""),"ร้านสี่พี่น้องการค้า ( ฮุสนา)")</f>
        <v>ร้านสี่พี่น้องการค้า ( ฮุสนา)</v>
      </c>
      <c r="D2891" s="3" t="str">
        <f>IFERROR(__xludf.DUMMYFUNCTION("""COMPUTED_VALUE"""),"ร้านสี่พี่น้องการค้า ( ฮุสนา)")</f>
        <v>ร้านสี่พี่น้องการค้า ( ฮุสนา)</v>
      </c>
      <c r="E2891" s="1" t="str">
        <f>IFERROR(__xludf.DUMMYFUNCTION("""COMPUTED_VALUE"""),"Donjai")</f>
        <v>Donjai</v>
      </c>
      <c r="F2891" s="1" t="str">
        <f>IFERROR(__xludf.DUMMYFUNCTION("""COMPUTED_VALUE"""),"20470331")</f>
        <v>20470331</v>
      </c>
      <c r="G2891" s="1" t="str">
        <f>IFERROR(__xludf.DUMMYFUNCTION("""COMPUTED_VALUE"""),"นายสมชาย ลักษณะสุวรรณ")</f>
        <v>นายสมชาย ลักษณะสุวรรณ</v>
      </c>
      <c r="H2891" s="1" t="str">
        <f>IFERROR(__xludf.DUMMYFUNCTION("""COMPUTED_VALUE"""),"20470331")</f>
        <v>20470331</v>
      </c>
      <c r="I2891" s="1" t="str">
        <f>IFERROR(__xludf.DUMMYFUNCTION("""COMPUTED_VALUE"""),"นายสมชาย ลักษณะสุวรรณ")</f>
        <v>นายสมชาย ลักษณะสุวรรณ</v>
      </c>
      <c r="J2891" s="3">
        <f>IFERROR(__xludf.DUMMYFUNCTION("""COMPUTED_VALUE"""),295541.0)</f>
        <v>295541</v>
      </c>
      <c r="K2891" s="3" t="str">
        <f>IFERROR(__xludf.DUMMYFUNCTION("""COMPUTED_VALUE"""),"นายรพิพล ศรีมาตย์")</f>
        <v>นายรพิพล ศรีมาตย์</v>
      </c>
      <c r="L2891" s="1" t="str">
        <f>IFERROR(__xludf.DUMMYFUNCTION("""COMPUTED_VALUE"""),"นายรพิพล ศรีมาตย์")</f>
        <v>นายรพิพล ศรีมาตย์</v>
      </c>
      <c r="M2891" s="1" t="str">
        <f>IFERROR(__xludf.DUMMYFUNCTION("""COMPUTED_VALUE"""),"0613966115")</f>
        <v>0613966115</v>
      </c>
      <c r="N2891" s="3">
        <f>IFERROR(__xludf.DUMMYFUNCTION("""COMPUTED_VALUE"""),83756.0)</f>
        <v>83756</v>
      </c>
      <c r="O2891" s="3" t="str">
        <f>IFERROR(__xludf.DUMMYFUNCTION("""COMPUTED_VALUE"""),"ร้านสี่พี่น้องการค้า ( ฮุสนา)")</f>
        <v>ร้านสี่พี่น้องการค้า ( ฮุสนา)</v>
      </c>
      <c r="P2891" s="4">
        <f>IFERROR(__xludf.DUMMYFUNCTION("""COMPUTED_VALUE"""),44787.0)</f>
        <v>44787</v>
      </c>
      <c r="Q2891" s="3" t="str">
        <f>IFERROR(__xludf.DUMMYFUNCTION("""COMPUTED_VALUE"""),"I")</f>
        <v>I</v>
      </c>
      <c r="R2891" s="3" t="str">
        <f>IFERROR(__xludf.DUMMYFUNCTION("""COMPUTED_VALUE"""),"Small Format")</f>
        <v>Small Format</v>
      </c>
      <c r="S2891" s="3" t="str">
        <f>IFERROR(__xludf.DUMMYFUNCTION("""COMPUTED_VALUE"""),"Donjai")</f>
        <v>Donjai</v>
      </c>
      <c r="T2891" s="3" t="str">
        <f>IFERROR(__xludf.DUMMYFUNCTION("""COMPUTED_VALUE"""),"15 K.Somchai L")</f>
        <v>15 K.Somchai L</v>
      </c>
      <c r="U2891" s="3" t="str">
        <f>IFERROR(__xludf.DUMMYFUNCTION("""COMPUTED_VALUE"""),"15 K.Somchai L")</f>
        <v>15 K.Somchai L</v>
      </c>
      <c r="V2891" s="3" t="str">
        <f>IFERROR(__xludf.DUMMYFUNCTION("""COMPUTED_VALUE"""),"N")</f>
        <v>N</v>
      </c>
      <c r="W2891" s="3"/>
      <c r="X2891" s="3" t="str">
        <f>IFERROR(__xludf.DUMMYFUNCTION("""COMPUTED_VALUE"""),"70/6 บือแนยาโมง ต.รือเสาะออก อ.รือเสาะ จ.นราธิวาส 96150")</f>
        <v>70/6 บือแนยาโมง ต.รือเสาะออก อ.รือเสาะ จ.นราธิวาส 96150</v>
      </c>
      <c r="Y2891" s="3"/>
      <c r="Z2891" s="3">
        <f>IFERROR(__xludf.DUMMYFUNCTION("""COMPUTED_VALUE"""),0.0)</f>
        <v>0</v>
      </c>
      <c r="AA2891" s="3">
        <f>IFERROR(__xludf.DUMMYFUNCTION("""COMPUTED_VALUE"""),0.0)</f>
        <v>0</v>
      </c>
      <c r="AB2891" s="3" t="str">
        <f>IFERROR(__xludf.DUMMYFUNCTION("""COMPUTED_VALUE"""),"นราธิวาส")</f>
        <v>นราธิวาส</v>
      </c>
      <c r="AC2891" s="3">
        <f>IFERROR(__xludf.DUMMYFUNCTION("""COMPUTED_VALUE"""),96150.0)</f>
        <v>96150</v>
      </c>
      <c r="AD2891" s="3"/>
      <c r="AE2891" s="3"/>
      <c r="AF2891" s="3" t="str">
        <f>IFERROR(__xludf.DUMMYFUNCTION("""COMPUTED_VALUE"""),"ร้านสี่พี่น้องการค้า ( ฮุสนา)-83756")</f>
        <v>ร้านสี่พี่น้องการค้า ( ฮุสนา)-83756</v>
      </c>
      <c r="AG2891" s="3" t="str">
        <f>IFERROR(__xludf.DUMMYFUNCTION("""COMPUTED_VALUE"""),"ใต้")</f>
        <v>ใต้</v>
      </c>
      <c r="AH2891" s="3" t="str">
        <f>IFERROR(__xludf.DUMMYFUNCTION("""COMPUTED_VALUE"""),"#N/A")</f>
        <v>#N/A</v>
      </c>
      <c r="AI2891" s="3" t="str">
        <f>IFERROR(__xludf.DUMMYFUNCTION("""COMPUTED_VALUE"""),"Out of warranty")</f>
        <v>Out of warranty</v>
      </c>
      <c r="AJ2891" s="3">
        <f>IFERROR(__xludf.DUMMYFUNCTION("""COMPUTED_VALUE"""),42.0)</f>
        <v>42</v>
      </c>
      <c r="AK2891" s="3"/>
      <c r="AL2891" s="3"/>
    </row>
    <row r="2892" ht="15.75" customHeight="1">
      <c r="A2892" s="1" t="str">
        <f>IFERROR(__xludf.DUMMYFUNCTION("""COMPUTED_VALUE"""),"83757")</f>
        <v>83757</v>
      </c>
      <c r="B2892" s="2">
        <f>IFERROR(__xludf.DUMMYFUNCTION("""COMPUTED_VALUE"""),83757.0)</f>
        <v>83757</v>
      </c>
      <c r="C2892" s="3" t="str">
        <f>IFERROR(__xludf.DUMMYFUNCTION("""COMPUTED_VALUE"""),"ร้านทิพย์ แอนด์ ท็อป")</f>
        <v>ร้านทิพย์ แอนด์ ท็อป</v>
      </c>
      <c r="D2892" s="3" t="str">
        <f>IFERROR(__xludf.DUMMYFUNCTION("""COMPUTED_VALUE"""),"ร้านทิพย์ แอนด์ ท็อป")</f>
        <v>ร้านทิพย์ แอนด์ ท็อป</v>
      </c>
      <c r="E2892" s="1" t="str">
        <f>IFERROR(__xludf.DUMMYFUNCTION("""COMPUTED_VALUE"""),"Donjai")</f>
        <v>Donjai</v>
      </c>
      <c r="F2892" s="1" t="str">
        <f>IFERROR(__xludf.DUMMYFUNCTION("""COMPUTED_VALUE"""),"296608")</f>
        <v>296608</v>
      </c>
      <c r="G2892" s="1" t="str">
        <f>IFERROR(__xludf.DUMMYFUNCTION("""COMPUTED_VALUE"""),"นายภาคภูมิ เพ็ชรนิล")</f>
        <v>นายภาคภูมิ เพ็ชรนิล</v>
      </c>
      <c r="H2892" s="1" t="str">
        <f>IFERROR(__xludf.DUMMYFUNCTION("""COMPUTED_VALUE"""),"296608")</f>
        <v>296608</v>
      </c>
      <c r="I2892" s="1" t="str">
        <f>IFERROR(__xludf.DUMMYFUNCTION("""COMPUTED_VALUE"""),"นายภาคภูมิ เพ็ชรนิล")</f>
        <v>นายภาคภูมิ เพ็ชรนิล</v>
      </c>
      <c r="J2892" s="3">
        <f>IFERROR(__xludf.DUMMYFUNCTION("""COMPUTED_VALUE"""),228031.0)</f>
        <v>228031</v>
      </c>
      <c r="K2892" s="3" t="str">
        <f>IFERROR(__xludf.DUMMYFUNCTION("""COMPUTED_VALUE"""),"นายธนพงษ์ วันหมัด")</f>
        <v>นายธนพงษ์ วันหมัด</v>
      </c>
      <c r="L2892" s="1" t="str">
        <f>IFERROR(__xludf.DUMMYFUNCTION("""COMPUTED_VALUE"""),"นายธนพงษ์ วันหมัด")</f>
        <v>นายธนพงษ์ วันหมัด</v>
      </c>
      <c r="M2892" s="1" t="str">
        <f>IFERROR(__xludf.DUMMYFUNCTION("""COMPUTED_VALUE"""),"0813716913")</f>
        <v>0813716913</v>
      </c>
      <c r="N2892" s="3">
        <f>IFERROR(__xludf.DUMMYFUNCTION("""COMPUTED_VALUE"""),83757.0)</f>
        <v>83757</v>
      </c>
      <c r="O2892" s="3" t="str">
        <f>IFERROR(__xludf.DUMMYFUNCTION("""COMPUTED_VALUE"""),"ร้านทิพย์ แอนด์ ท็อป")</f>
        <v>ร้านทิพย์ แอนด์ ท็อป</v>
      </c>
      <c r="P2892" s="4">
        <f>IFERROR(__xludf.DUMMYFUNCTION("""COMPUTED_VALUE"""),44647.0)</f>
        <v>44647</v>
      </c>
      <c r="Q2892" s="3" t="str">
        <f>IFERROR(__xludf.DUMMYFUNCTION("""COMPUTED_VALUE"""),"I")</f>
        <v>I</v>
      </c>
      <c r="R2892" s="3" t="str">
        <f>IFERROR(__xludf.DUMMYFUNCTION("""COMPUTED_VALUE"""),"Small Format")</f>
        <v>Small Format</v>
      </c>
      <c r="S2892" s="3" t="str">
        <f>IFERROR(__xludf.DUMMYFUNCTION("""COMPUTED_VALUE"""),"Donjai")</f>
        <v>Donjai</v>
      </c>
      <c r="T2892" s="3" t="str">
        <f>IFERROR(__xludf.DUMMYFUNCTION("""COMPUTED_VALUE"""),"10 K.Phakphoom P.")</f>
        <v>10 K.Phakphoom P.</v>
      </c>
      <c r="U2892" s="3" t="str">
        <f>IFERROR(__xludf.DUMMYFUNCTION("""COMPUTED_VALUE"""),"10 K.Phakphoom P.")</f>
        <v>10 K.Phakphoom P.</v>
      </c>
      <c r="V2892" s="3" t="str">
        <f>IFERROR(__xludf.DUMMYFUNCTION("""COMPUTED_VALUE"""),"N")</f>
        <v>N</v>
      </c>
      <c r="W2892" s="3"/>
      <c r="X2892" s="3" t="str">
        <f>IFERROR(__xludf.DUMMYFUNCTION("""COMPUTED_VALUE"""),"2 ต.ดอนคลัง อ.ดำเนิน จ.ราชบุรี")</f>
        <v>2 ต.ดอนคลัง อ.ดำเนิน จ.ราชบุรี</v>
      </c>
      <c r="Y2892" s="3"/>
      <c r="Z2892" s="3">
        <f>IFERROR(__xludf.DUMMYFUNCTION("""COMPUTED_VALUE"""),0.0)</f>
        <v>0</v>
      </c>
      <c r="AA2892" s="3">
        <f>IFERROR(__xludf.DUMMYFUNCTION("""COMPUTED_VALUE"""),0.0)</f>
        <v>0</v>
      </c>
      <c r="AB2892" s="3" t="str">
        <f>IFERROR(__xludf.DUMMYFUNCTION("""COMPUTED_VALUE"""),"ราชบุรี")</f>
        <v>ราชบุรี</v>
      </c>
      <c r="AC2892" s="3">
        <f>IFERROR(__xludf.DUMMYFUNCTION("""COMPUTED_VALUE"""),0.0)</f>
        <v>0</v>
      </c>
      <c r="AD2892" s="3"/>
      <c r="AE2892" s="3"/>
      <c r="AF2892" s="3" t="str">
        <f>IFERROR(__xludf.DUMMYFUNCTION("""COMPUTED_VALUE"""),"ร้านทิพย์ แอนด์ ท็อป-83757")</f>
        <v>ร้านทิพย์ แอนด์ ท็อป-83757</v>
      </c>
      <c r="AG2892" s="3" t="str">
        <f>IFERROR(__xludf.DUMMYFUNCTION("""COMPUTED_VALUE"""),"ตะวันตก")</f>
        <v>ตะวันตก</v>
      </c>
      <c r="AH2892" s="3" t="str">
        <f>IFERROR(__xludf.DUMMYFUNCTION("""COMPUTED_VALUE"""),"#N/A")</f>
        <v>#N/A</v>
      </c>
      <c r="AI2892" s="3" t="str">
        <f>IFERROR(__xludf.DUMMYFUNCTION("""COMPUTED_VALUE"""),"Out of warranty")</f>
        <v>Out of warranty</v>
      </c>
      <c r="AJ2892" s="3">
        <f>IFERROR(__xludf.DUMMYFUNCTION("""COMPUTED_VALUE"""),46.0)</f>
        <v>46</v>
      </c>
      <c r="AK2892" s="3"/>
      <c r="AL2892" s="3"/>
    </row>
    <row r="2893" ht="15.75" customHeight="1">
      <c r="A2893" s="1" t="str">
        <f>IFERROR(__xludf.DUMMYFUNCTION("""COMPUTED_VALUE"""),"83758")</f>
        <v>83758</v>
      </c>
      <c r="B2893" s="2">
        <f>IFERROR(__xludf.DUMMYFUNCTION("""COMPUTED_VALUE"""),83758.0)</f>
        <v>83758</v>
      </c>
      <c r="C2893" s="3" t="str">
        <f>IFERROR(__xludf.DUMMYFUNCTION("""COMPUTED_VALUE"""),"ร้านแม่ก๊ะลูกๆๆๆๆ")</f>
        <v>ร้านแม่ก๊ะลูกๆๆๆๆ</v>
      </c>
      <c r="D2893" s="3" t="str">
        <f>IFERROR(__xludf.DUMMYFUNCTION("""COMPUTED_VALUE"""),"ร้านแม่ก๊ะลูกๆๆๆๆ")</f>
        <v>ร้านแม่ก๊ะลูกๆๆๆๆ</v>
      </c>
      <c r="E2893" s="1" t="str">
        <f>IFERROR(__xludf.DUMMYFUNCTION("""COMPUTED_VALUE"""),"Donjai")</f>
        <v>Donjai</v>
      </c>
      <c r="F2893" s="1" t="str">
        <f>IFERROR(__xludf.DUMMYFUNCTION("""COMPUTED_VALUE"""),"2010023")</f>
        <v>2010023</v>
      </c>
      <c r="G2893" s="1" t="str">
        <f>IFERROR(__xludf.DUMMYFUNCTION("""COMPUTED_VALUE"""),"นายวศิน ไวยรูป")</f>
        <v>นายวศิน ไวยรูป</v>
      </c>
      <c r="H2893" s="1" t="str">
        <f>IFERROR(__xludf.DUMMYFUNCTION("""COMPUTED_VALUE"""),"2010023")</f>
        <v>2010023</v>
      </c>
      <c r="I2893" s="1" t="str">
        <f>IFERROR(__xludf.DUMMYFUNCTION("""COMPUTED_VALUE"""),"นายวศิน ไวยรูป")</f>
        <v>นายวศิน ไวยรูป</v>
      </c>
      <c r="J2893" s="3">
        <f>IFERROR(__xludf.DUMMYFUNCTION("""COMPUTED_VALUE"""),228031.0)</f>
        <v>228031</v>
      </c>
      <c r="K2893" s="3" t="str">
        <f>IFERROR(__xludf.DUMMYFUNCTION("""COMPUTED_VALUE"""),"นายธนพงษ์ วันหมัด")</f>
        <v>นายธนพงษ์ วันหมัด</v>
      </c>
      <c r="L2893" s="1" t="str">
        <f>IFERROR(__xludf.DUMMYFUNCTION("""COMPUTED_VALUE"""),"นายธนพงษ์ วันหมัด")</f>
        <v>นายธนพงษ์ วันหมัด</v>
      </c>
      <c r="M2893" s="1" t="str">
        <f>IFERROR(__xludf.DUMMYFUNCTION("""COMPUTED_VALUE"""),"0813716913")</f>
        <v>0813716913</v>
      </c>
      <c r="N2893" s="3">
        <f>IFERROR(__xludf.DUMMYFUNCTION("""COMPUTED_VALUE"""),83758.0)</f>
        <v>83758</v>
      </c>
      <c r="O2893" s="3" t="str">
        <f>IFERROR(__xludf.DUMMYFUNCTION("""COMPUTED_VALUE"""),"ร้านแม่ก๊ะลูกๆๆๆๆ")</f>
        <v>ร้านแม่ก๊ะลูกๆๆๆๆ</v>
      </c>
      <c r="P2893" s="4">
        <f>IFERROR(__xludf.DUMMYFUNCTION("""COMPUTED_VALUE"""),44660.0)</f>
        <v>44660</v>
      </c>
      <c r="Q2893" s="3" t="str">
        <f>IFERROR(__xludf.DUMMYFUNCTION("""COMPUTED_VALUE"""),"I")</f>
        <v>I</v>
      </c>
      <c r="R2893" s="3" t="str">
        <f>IFERROR(__xludf.DUMMYFUNCTION("""COMPUTED_VALUE"""),"Small Format")</f>
        <v>Small Format</v>
      </c>
      <c r="S2893" s="3" t="str">
        <f>IFERROR(__xludf.DUMMYFUNCTION("""COMPUTED_VALUE"""),"Donjai")</f>
        <v>Donjai</v>
      </c>
      <c r="T2893" s="3" t="str">
        <f>IFERROR(__xludf.DUMMYFUNCTION("""COMPUTED_VALUE"""),"Donjai")</f>
        <v>Donjai</v>
      </c>
      <c r="U2893" s="3" t="str">
        <f>IFERROR(__xludf.DUMMYFUNCTION("""COMPUTED_VALUE"""),"Donjai")</f>
        <v>Donjai</v>
      </c>
      <c r="V2893" s="3" t="str">
        <f>IFERROR(__xludf.DUMMYFUNCTION("""COMPUTED_VALUE"""),"N")</f>
        <v>N</v>
      </c>
      <c r="W2893" s="3"/>
      <c r="X2893" s="3" t="str">
        <f>IFERROR(__xludf.DUMMYFUNCTION("""COMPUTED_VALUE"""),"70/135 ซ.นวมินทร์ 81 แขวงนวมินทร์ เขตบึงกุ่ม กรุงเทพมหานคร 76150")</f>
        <v>70/135 ซ.นวมินทร์ 81 แขวงนวมินทร์ เขตบึงกุ่ม กรุงเทพมหานคร 76150</v>
      </c>
      <c r="Y2893" s="3"/>
      <c r="Z2893" s="3">
        <f>IFERROR(__xludf.DUMMYFUNCTION("""COMPUTED_VALUE"""),0.0)</f>
        <v>0</v>
      </c>
      <c r="AA2893" s="3">
        <f>IFERROR(__xludf.DUMMYFUNCTION("""COMPUTED_VALUE"""),0.0)</f>
        <v>0</v>
      </c>
      <c r="AB2893" s="3" t="str">
        <f>IFERROR(__xludf.DUMMYFUNCTION("""COMPUTED_VALUE"""),"กรุงเทพมหานคร")</f>
        <v>กรุงเทพมหานคร</v>
      </c>
      <c r="AC2893" s="3">
        <f>IFERROR(__xludf.DUMMYFUNCTION("""COMPUTED_VALUE"""),76150.0)</f>
        <v>76150</v>
      </c>
      <c r="AD2893" s="3"/>
      <c r="AE2893" s="3"/>
      <c r="AF2893" s="3" t="str">
        <f>IFERROR(__xludf.DUMMYFUNCTION("""COMPUTED_VALUE"""),"ร้านแม่ก๊ะลูกๆๆๆๆ-83758")</f>
        <v>ร้านแม่ก๊ะลูกๆๆๆๆ-83758</v>
      </c>
      <c r="AG2893" s="3" t="str">
        <f>IFERROR(__xludf.DUMMYFUNCTION("""COMPUTED_VALUE"""),"กลาง")</f>
        <v>กลาง</v>
      </c>
      <c r="AH2893" s="3" t="str">
        <f>IFERROR(__xludf.DUMMYFUNCTION("""COMPUTED_VALUE"""),"#N/A")</f>
        <v>#N/A</v>
      </c>
      <c r="AI2893" s="3" t="str">
        <f>IFERROR(__xludf.DUMMYFUNCTION("""COMPUTED_VALUE"""),"Out of warranty")</f>
        <v>Out of warranty</v>
      </c>
      <c r="AJ2893" s="3">
        <f>IFERROR(__xludf.DUMMYFUNCTION("""COMPUTED_VALUE"""),46.0)</f>
        <v>46</v>
      </c>
      <c r="AK2893" s="3"/>
      <c r="AL2893" s="3"/>
    </row>
    <row r="2894" ht="15.75" customHeight="1">
      <c r="A2894" s="1" t="str">
        <f>IFERROR(__xludf.DUMMYFUNCTION("""COMPUTED_VALUE"""),"83759")</f>
        <v>83759</v>
      </c>
      <c r="B2894" s="2">
        <f>IFERROR(__xludf.DUMMYFUNCTION("""COMPUTED_VALUE"""),83759.0)</f>
        <v>83759</v>
      </c>
      <c r="C2894" s="3" t="str">
        <f>IFERROR(__xludf.DUMMYFUNCTION("""COMPUTED_VALUE"""),"ร้านชิดชนก")</f>
        <v>ร้านชิดชนก</v>
      </c>
      <c r="D2894" s="3" t="str">
        <f>IFERROR(__xludf.DUMMYFUNCTION("""COMPUTED_VALUE"""),"ร้านชิดชนก")</f>
        <v>ร้านชิดชนก</v>
      </c>
      <c r="E2894" s="1" t="str">
        <f>IFERROR(__xludf.DUMMYFUNCTION("""COMPUTED_VALUE"""),"Donjai")</f>
        <v>Donjai</v>
      </c>
      <c r="F2894" s="1" t="str">
        <f>IFERROR(__xludf.DUMMYFUNCTION("""COMPUTED_VALUE"""),"046214")</f>
        <v>046214</v>
      </c>
      <c r="G2894" s="1" t="str">
        <f>IFERROR(__xludf.DUMMYFUNCTION("""COMPUTED_VALUE"""),"นายศักดิ์ชัย เด็ดดอกฟ้า")</f>
        <v>นายศักดิ์ชัย เด็ดดอกฟ้า</v>
      </c>
      <c r="H2894" s="1" t="str">
        <f>IFERROR(__xludf.DUMMYFUNCTION("""COMPUTED_VALUE"""),"046214")</f>
        <v>046214</v>
      </c>
      <c r="I2894" s="1" t="str">
        <f>IFERROR(__xludf.DUMMYFUNCTION("""COMPUTED_VALUE"""),"นายศักดิ์ชัย เด็ดดอกฟ้า")</f>
        <v>นายศักดิ์ชัย เด็ดดอกฟ้า</v>
      </c>
      <c r="J2894" s="3">
        <f>IFERROR(__xludf.DUMMYFUNCTION("""COMPUTED_VALUE"""),295886.0)</f>
        <v>295886</v>
      </c>
      <c r="K2894" s="3" t="str">
        <f>IFERROR(__xludf.DUMMYFUNCTION("""COMPUTED_VALUE"""),"นายจิระพงษ์ โพธิ์นิล")</f>
        <v>นายจิระพงษ์ โพธิ์นิล</v>
      </c>
      <c r="L2894" s="1" t="str">
        <f>IFERROR(__xludf.DUMMYFUNCTION("""COMPUTED_VALUE"""),"นายจิระพงษ์ โพธิ์นิล")</f>
        <v>นายจิระพงษ์ โพธิ์นิล</v>
      </c>
      <c r="M2894" s="1" t="str">
        <f>IFERROR(__xludf.DUMMYFUNCTION("""COMPUTED_VALUE"""),"0933290754")</f>
        <v>0933290754</v>
      </c>
      <c r="N2894" s="3">
        <f>IFERROR(__xludf.DUMMYFUNCTION("""COMPUTED_VALUE"""),83759.0)</f>
        <v>83759</v>
      </c>
      <c r="O2894" s="3" t="str">
        <f>IFERROR(__xludf.DUMMYFUNCTION("""COMPUTED_VALUE"""),"ร้านชิดชนก")</f>
        <v>ร้านชิดชนก</v>
      </c>
      <c r="P2894" s="4">
        <f>IFERROR(__xludf.DUMMYFUNCTION("""COMPUTED_VALUE"""),44661.0)</f>
        <v>44661</v>
      </c>
      <c r="Q2894" s="3" t="str">
        <f>IFERROR(__xludf.DUMMYFUNCTION("""COMPUTED_VALUE"""),"A")</f>
        <v>A</v>
      </c>
      <c r="R2894" s="3" t="str">
        <f>IFERROR(__xludf.DUMMYFUNCTION("""COMPUTED_VALUE"""),"Small Format")</f>
        <v>Small Format</v>
      </c>
      <c r="S2894" s="3" t="str">
        <f>IFERROR(__xludf.DUMMYFUNCTION("""COMPUTED_VALUE"""),"Donjai")</f>
        <v>Donjai</v>
      </c>
      <c r="T2894" s="3" t="str">
        <f>IFERROR(__xludf.DUMMYFUNCTION("""COMPUTED_VALUE"""),"02 K.Sakchai D")</f>
        <v>02 K.Sakchai D</v>
      </c>
      <c r="U2894" s="3" t="str">
        <f>IFERROR(__xludf.DUMMYFUNCTION("""COMPUTED_VALUE"""),"02 K.Sakchai D")</f>
        <v>02 K.Sakchai D</v>
      </c>
      <c r="V2894" s="3" t="str">
        <f>IFERROR(__xludf.DUMMYFUNCTION("""COMPUTED_VALUE"""),"N")</f>
        <v>N</v>
      </c>
      <c r="W2894" s="3"/>
      <c r="X2894" s="3" t="str">
        <f>IFERROR(__xludf.DUMMYFUNCTION("""COMPUTED_VALUE"""),"เลขที่7 ม.1 ถ.สุพรรณบุรี-ชัยนาท ต.ศรีประจันต์ อ.ศรีประจันต์ สุพรรณบุรี 72140")</f>
        <v>เลขที่7 ม.1 ถ.สุพรรณบุรี-ชัยนาท ต.ศรีประจันต์ อ.ศรีประจันต์ สุพรรณบุรี 72140</v>
      </c>
      <c r="Y2894" s="3"/>
      <c r="Z2894" s="3">
        <f>IFERROR(__xludf.DUMMYFUNCTION("""COMPUTED_VALUE"""),0.0)</f>
        <v>0</v>
      </c>
      <c r="AA2894" s="3">
        <f>IFERROR(__xludf.DUMMYFUNCTION("""COMPUTED_VALUE"""),0.0)</f>
        <v>0</v>
      </c>
      <c r="AB2894" s="3" t="str">
        <f>IFERROR(__xludf.DUMMYFUNCTION("""COMPUTED_VALUE"""),"สุพรรณบุรี")</f>
        <v>สุพรรณบุรี</v>
      </c>
      <c r="AC2894" s="3">
        <f>IFERROR(__xludf.DUMMYFUNCTION("""COMPUTED_VALUE"""),72140.0)</f>
        <v>72140</v>
      </c>
      <c r="AD2894" s="3"/>
      <c r="AE2894" s="3"/>
      <c r="AF2894" s="3" t="str">
        <f>IFERROR(__xludf.DUMMYFUNCTION("""COMPUTED_VALUE"""),"ร้านชิดชนก-83759")</f>
        <v>ร้านชิดชนก-83759</v>
      </c>
      <c r="AG2894" s="3" t="str">
        <f>IFERROR(__xludf.DUMMYFUNCTION("""COMPUTED_VALUE"""),"กลาง")</f>
        <v>กลาง</v>
      </c>
      <c r="AH2894" s="3" t="str">
        <f>IFERROR(__xludf.DUMMYFUNCTION("""COMPUTED_VALUE"""),"#N/A")</f>
        <v>#N/A</v>
      </c>
      <c r="AI2894" s="3" t="str">
        <f>IFERROR(__xludf.DUMMYFUNCTION("""COMPUTED_VALUE"""),"Out of warranty")</f>
        <v>Out of warranty</v>
      </c>
      <c r="AJ2894" s="3">
        <f>IFERROR(__xludf.DUMMYFUNCTION("""COMPUTED_VALUE"""),46.0)</f>
        <v>46</v>
      </c>
      <c r="AK2894" s="3"/>
      <c r="AL2894" s="3"/>
    </row>
    <row r="2895" ht="15.75" customHeight="1">
      <c r="A2895" s="1" t="str">
        <f>IFERROR(__xludf.DUMMYFUNCTION("""COMPUTED_VALUE"""),"83760")</f>
        <v>83760</v>
      </c>
      <c r="B2895" s="2">
        <f>IFERROR(__xludf.DUMMYFUNCTION("""COMPUTED_VALUE"""),83760.0)</f>
        <v>83760</v>
      </c>
      <c r="C2895" s="3" t="str">
        <f>IFERROR(__xludf.DUMMYFUNCTION("""COMPUTED_VALUE"""),"ร้านลี้รุ่งเรือง")</f>
        <v>ร้านลี้รุ่งเรือง</v>
      </c>
      <c r="D2895" s="3" t="str">
        <f>IFERROR(__xludf.DUMMYFUNCTION("""COMPUTED_VALUE"""),"ร้านลี้รุ่งเรือง")</f>
        <v>ร้านลี้รุ่งเรือง</v>
      </c>
      <c r="E2895" s="1" t="str">
        <f>IFERROR(__xludf.DUMMYFUNCTION("""COMPUTED_VALUE"""),"Donjai")</f>
        <v>Donjai</v>
      </c>
      <c r="F2895" s="1" t="str">
        <f>IFERROR(__xludf.DUMMYFUNCTION("""COMPUTED_VALUE"""),"296608")</f>
        <v>296608</v>
      </c>
      <c r="G2895" s="1" t="str">
        <f>IFERROR(__xludf.DUMMYFUNCTION("""COMPUTED_VALUE"""),"นายภาคภูมิ เพ็ชรนิล")</f>
        <v>นายภาคภูมิ เพ็ชรนิล</v>
      </c>
      <c r="H2895" s="1" t="str">
        <f>IFERROR(__xludf.DUMMYFUNCTION("""COMPUTED_VALUE"""),"296608")</f>
        <v>296608</v>
      </c>
      <c r="I2895" s="1" t="str">
        <f>IFERROR(__xludf.DUMMYFUNCTION("""COMPUTED_VALUE"""),"นายภาคภูมิ เพ็ชรนิล")</f>
        <v>นายภาคภูมิ เพ็ชรนิล</v>
      </c>
      <c r="J2895" s="3">
        <f>IFERROR(__xludf.DUMMYFUNCTION("""COMPUTED_VALUE"""),228031.0)</f>
        <v>228031</v>
      </c>
      <c r="K2895" s="3" t="str">
        <f>IFERROR(__xludf.DUMMYFUNCTION("""COMPUTED_VALUE"""),"นายธนพงษ์ วันหมัด")</f>
        <v>นายธนพงษ์ วันหมัด</v>
      </c>
      <c r="L2895" s="1" t="str">
        <f>IFERROR(__xludf.DUMMYFUNCTION("""COMPUTED_VALUE"""),"นายธนพงษ์ วันหมัด")</f>
        <v>นายธนพงษ์ วันหมัด</v>
      </c>
      <c r="M2895" s="1" t="str">
        <f>IFERROR(__xludf.DUMMYFUNCTION("""COMPUTED_VALUE"""),"0813716913")</f>
        <v>0813716913</v>
      </c>
      <c r="N2895" s="3">
        <f>IFERROR(__xludf.DUMMYFUNCTION("""COMPUTED_VALUE"""),83760.0)</f>
        <v>83760</v>
      </c>
      <c r="O2895" s="3" t="str">
        <f>IFERROR(__xludf.DUMMYFUNCTION("""COMPUTED_VALUE"""),"ร้านลี้รุ่งเรือง")</f>
        <v>ร้านลี้รุ่งเรือง</v>
      </c>
      <c r="P2895" s="4">
        <f>IFERROR(__xludf.DUMMYFUNCTION("""COMPUTED_VALUE"""),44651.0)</f>
        <v>44651</v>
      </c>
      <c r="Q2895" s="3" t="str">
        <f>IFERROR(__xludf.DUMMYFUNCTION("""COMPUTED_VALUE"""),"A")</f>
        <v>A</v>
      </c>
      <c r="R2895" s="3" t="str">
        <f>IFERROR(__xludf.DUMMYFUNCTION("""COMPUTED_VALUE"""),"Small Format")</f>
        <v>Small Format</v>
      </c>
      <c r="S2895" s="3" t="str">
        <f>IFERROR(__xludf.DUMMYFUNCTION("""COMPUTED_VALUE"""),"Donjai")</f>
        <v>Donjai</v>
      </c>
      <c r="T2895" s="3" t="str">
        <f>IFERROR(__xludf.DUMMYFUNCTION("""COMPUTED_VALUE"""),"10 K.Phakphoom P.")</f>
        <v>10 K.Phakphoom P.</v>
      </c>
      <c r="U2895" s="3" t="str">
        <f>IFERROR(__xludf.DUMMYFUNCTION("""COMPUTED_VALUE"""),"10 K.Phakphoom P.")</f>
        <v>10 K.Phakphoom P.</v>
      </c>
      <c r="V2895" s="3" t="str">
        <f>IFERROR(__xludf.DUMMYFUNCTION("""COMPUTED_VALUE"""),"N")</f>
        <v>N</v>
      </c>
      <c r="W2895" s="3"/>
      <c r="X2895" s="3" t="str">
        <f>IFERROR(__xludf.DUMMYFUNCTION("""COMPUTED_VALUE"""),"72/1 หมู่ 10 หนองอ้อ บ้านโป่ง ราชบุรี 70110")</f>
        <v>72/1 หมู่ 10 หนองอ้อ บ้านโป่ง ราชบุรี 70110</v>
      </c>
      <c r="Y2895" s="3"/>
      <c r="Z2895" s="3">
        <f>IFERROR(__xludf.DUMMYFUNCTION("""COMPUTED_VALUE"""),0.0)</f>
        <v>0</v>
      </c>
      <c r="AA2895" s="3">
        <f>IFERROR(__xludf.DUMMYFUNCTION("""COMPUTED_VALUE"""),0.0)</f>
        <v>0</v>
      </c>
      <c r="AB2895" s="3" t="str">
        <f>IFERROR(__xludf.DUMMYFUNCTION("""COMPUTED_VALUE"""),"ราชบุรี")</f>
        <v>ราชบุรี</v>
      </c>
      <c r="AC2895" s="3">
        <f>IFERROR(__xludf.DUMMYFUNCTION("""COMPUTED_VALUE"""),70110.0)</f>
        <v>70110</v>
      </c>
      <c r="AD2895" s="3"/>
      <c r="AE2895" s="3"/>
      <c r="AF2895" s="3" t="str">
        <f>IFERROR(__xludf.DUMMYFUNCTION("""COMPUTED_VALUE"""),"ร้านลี้รุ่งเรือง-83760")</f>
        <v>ร้านลี้รุ่งเรือง-83760</v>
      </c>
      <c r="AG2895" s="3" t="str">
        <f>IFERROR(__xludf.DUMMYFUNCTION("""COMPUTED_VALUE"""),"ตะวันตก")</f>
        <v>ตะวันตก</v>
      </c>
      <c r="AH2895" s="3" t="str">
        <f>IFERROR(__xludf.DUMMYFUNCTION("""COMPUTED_VALUE"""),"#N/A")</f>
        <v>#N/A</v>
      </c>
      <c r="AI2895" s="3" t="str">
        <f>IFERROR(__xludf.DUMMYFUNCTION("""COMPUTED_VALUE"""),"Out of warranty")</f>
        <v>Out of warranty</v>
      </c>
      <c r="AJ2895" s="3">
        <f>IFERROR(__xludf.DUMMYFUNCTION("""COMPUTED_VALUE"""),46.0)</f>
        <v>46</v>
      </c>
      <c r="AK2895" s="3"/>
      <c r="AL2895" s="3"/>
    </row>
    <row r="2896" ht="15.75" customHeight="1">
      <c r="A2896" s="1" t="str">
        <f>IFERROR(__xludf.DUMMYFUNCTION("""COMPUTED_VALUE"""),"83761")</f>
        <v>83761</v>
      </c>
      <c r="B2896" s="2">
        <f>IFERROR(__xludf.DUMMYFUNCTION("""COMPUTED_VALUE"""),83761.0)</f>
        <v>83761</v>
      </c>
      <c r="C2896" s="3" t="str">
        <f>IFERROR(__xludf.DUMMYFUNCTION("""COMPUTED_VALUE"""),"ร้านบิ๊กวัน")</f>
        <v>ร้านบิ๊กวัน</v>
      </c>
      <c r="D2896" s="3" t="str">
        <f>IFERROR(__xludf.DUMMYFUNCTION("""COMPUTED_VALUE"""),"ร้านบิ๊กวัน")</f>
        <v>ร้านบิ๊กวัน</v>
      </c>
      <c r="E2896" s="1" t="str">
        <f>IFERROR(__xludf.DUMMYFUNCTION("""COMPUTED_VALUE"""),"Donjai")</f>
        <v>Donjai</v>
      </c>
      <c r="F2896" s="1" t="str">
        <f>IFERROR(__xludf.DUMMYFUNCTION("""COMPUTED_VALUE"""),"296945")</f>
        <v>296945</v>
      </c>
      <c r="G2896" s="1" t="str">
        <f>IFERROR(__xludf.DUMMYFUNCTION("""COMPUTED_VALUE"""),"นายรักพงศ์ พงศ์พันธ์งาม")</f>
        <v>นายรักพงศ์ พงศ์พันธ์งาม</v>
      </c>
      <c r="H2896" s="1" t="str">
        <f>IFERROR(__xludf.DUMMYFUNCTION("""COMPUTED_VALUE"""),"296945")</f>
        <v>296945</v>
      </c>
      <c r="I2896" s="1" t="str">
        <f>IFERROR(__xludf.DUMMYFUNCTION("""COMPUTED_VALUE"""),"นายรักพงศ์ พงศ์พันธ์งาม")</f>
        <v>นายรักพงศ์ พงศ์พันธ์งาม</v>
      </c>
      <c r="J2896" s="3">
        <f>IFERROR(__xludf.DUMMYFUNCTION("""COMPUTED_VALUE"""),228031.0)</f>
        <v>228031</v>
      </c>
      <c r="K2896" s="3" t="str">
        <f>IFERROR(__xludf.DUMMYFUNCTION("""COMPUTED_VALUE"""),"นายธนพงษ์ วันหมัด")</f>
        <v>นายธนพงษ์ วันหมัด</v>
      </c>
      <c r="L2896" s="1" t="str">
        <f>IFERROR(__xludf.DUMMYFUNCTION("""COMPUTED_VALUE"""),"นายธนพงษ์ วันหมัด")</f>
        <v>นายธนพงษ์ วันหมัด</v>
      </c>
      <c r="M2896" s="1" t="str">
        <f>IFERROR(__xludf.DUMMYFUNCTION("""COMPUTED_VALUE"""),"0813716913")</f>
        <v>0813716913</v>
      </c>
      <c r="N2896" s="3">
        <f>IFERROR(__xludf.DUMMYFUNCTION("""COMPUTED_VALUE"""),83761.0)</f>
        <v>83761</v>
      </c>
      <c r="O2896" s="3" t="str">
        <f>IFERROR(__xludf.DUMMYFUNCTION("""COMPUTED_VALUE"""),"ร้านบิ๊กวัน")</f>
        <v>ร้านบิ๊กวัน</v>
      </c>
      <c r="P2896" s="4">
        <f>IFERROR(__xludf.DUMMYFUNCTION("""COMPUTED_VALUE"""),44633.0)</f>
        <v>44633</v>
      </c>
      <c r="Q2896" s="3" t="str">
        <f>IFERROR(__xludf.DUMMYFUNCTION("""COMPUTED_VALUE"""),"I")</f>
        <v>I</v>
      </c>
      <c r="R2896" s="3" t="str">
        <f>IFERROR(__xludf.DUMMYFUNCTION("""COMPUTED_VALUE"""),"Small Format")</f>
        <v>Small Format</v>
      </c>
      <c r="S2896" s="3" t="str">
        <f>IFERROR(__xludf.DUMMYFUNCTION("""COMPUTED_VALUE"""),"Donjai")</f>
        <v>Donjai</v>
      </c>
      <c r="T2896" s="3">
        <f>IFERROR(__xludf.DUMMYFUNCTION("""COMPUTED_VALUE"""),0.0)</f>
        <v>0</v>
      </c>
      <c r="U2896" s="3">
        <f>IFERROR(__xludf.DUMMYFUNCTION("""COMPUTED_VALUE"""),0.0)</f>
        <v>0</v>
      </c>
      <c r="V2896" s="3" t="str">
        <f>IFERROR(__xludf.DUMMYFUNCTION("""COMPUTED_VALUE"""),"N")</f>
        <v>N</v>
      </c>
      <c r="W2896" s="3"/>
      <c r="X2896" s="3" t="str">
        <f>IFERROR(__xludf.DUMMYFUNCTION("""COMPUTED_VALUE"""),"273/105ต.บ่อวินอ.ศรีราชาจ.ชลบุรี20230")</f>
        <v>273/105ต.บ่อวินอ.ศรีราชาจ.ชลบุรี20230</v>
      </c>
      <c r="Y2896" s="3"/>
      <c r="Z2896" s="3">
        <f>IFERROR(__xludf.DUMMYFUNCTION("""COMPUTED_VALUE"""),0.0)</f>
        <v>0</v>
      </c>
      <c r="AA2896" s="3">
        <f>IFERROR(__xludf.DUMMYFUNCTION("""COMPUTED_VALUE"""),0.0)</f>
        <v>0</v>
      </c>
      <c r="AB2896" s="3" t="str">
        <f>IFERROR(__xludf.DUMMYFUNCTION("""COMPUTED_VALUE"""),"ชลบุรี")</f>
        <v>ชลบุรี</v>
      </c>
      <c r="AC2896" s="3">
        <f>IFERROR(__xludf.DUMMYFUNCTION("""COMPUTED_VALUE"""),20230.0)</f>
        <v>20230</v>
      </c>
      <c r="AD2896" s="3"/>
      <c r="AE2896" s="3"/>
      <c r="AF2896" s="3" t="str">
        <f>IFERROR(__xludf.DUMMYFUNCTION("""COMPUTED_VALUE"""),"ร้านบิ๊กวัน-83761")</f>
        <v>ร้านบิ๊กวัน-83761</v>
      </c>
      <c r="AG2896" s="3" t="str">
        <f>IFERROR(__xludf.DUMMYFUNCTION("""COMPUTED_VALUE"""),"ตะวันออก")</f>
        <v>ตะวันออก</v>
      </c>
      <c r="AH2896" s="3" t="str">
        <f>IFERROR(__xludf.DUMMYFUNCTION("""COMPUTED_VALUE"""),"#N/A")</f>
        <v>#N/A</v>
      </c>
      <c r="AI2896" s="3" t="str">
        <f>IFERROR(__xludf.DUMMYFUNCTION("""COMPUTED_VALUE"""),"Out of warranty")</f>
        <v>Out of warranty</v>
      </c>
      <c r="AJ2896" s="3">
        <f>IFERROR(__xludf.DUMMYFUNCTION("""COMPUTED_VALUE"""),47.0)</f>
        <v>47</v>
      </c>
      <c r="AK2896" s="3"/>
      <c r="AL2896" s="3"/>
    </row>
    <row r="2897" ht="15.75" customHeight="1">
      <c r="A2897" s="1" t="str">
        <f>IFERROR(__xludf.DUMMYFUNCTION("""COMPUTED_VALUE"""),"83762")</f>
        <v>83762</v>
      </c>
      <c r="B2897" s="2">
        <f>IFERROR(__xludf.DUMMYFUNCTION("""COMPUTED_VALUE"""),83762.0)</f>
        <v>83762</v>
      </c>
      <c r="C2897" s="3" t="str">
        <f>IFERROR(__xludf.DUMMYFUNCTION("""COMPUTED_VALUE"""),"ร้านวิเชียร")</f>
        <v>ร้านวิเชียร</v>
      </c>
      <c r="D2897" s="3" t="str">
        <f>IFERROR(__xludf.DUMMYFUNCTION("""COMPUTED_VALUE"""),"ร้านวิเชียร")</f>
        <v>ร้านวิเชียร</v>
      </c>
      <c r="E2897" s="1" t="str">
        <f>IFERROR(__xludf.DUMMYFUNCTION("""COMPUTED_VALUE"""),"Donjai")</f>
        <v>Donjai</v>
      </c>
      <c r="F2897" s="1" t="str">
        <f>IFERROR(__xludf.DUMMYFUNCTION("""COMPUTED_VALUE"""),"015361")</f>
        <v>015361</v>
      </c>
      <c r="G2897" s="1" t="str">
        <f>IFERROR(__xludf.DUMMYFUNCTION("""COMPUTED_VALUE"""),"นายสมบูรณ์ พรหมในเมือง")</f>
        <v>นายสมบูรณ์ พรหมในเมือง</v>
      </c>
      <c r="H2897" s="1" t="str">
        <f>IFERROR(__xludf.DUMMYFUNCTION("""COMPUTED_VALUE"""),"015361")</f>
        <v>015361</v>
      </c>
      <c r="I2897" s="1" t="str">
        <f>IFERROR(__xludf.DUMMYFUNCTION("""COMPUTED_VALUE"""),"นายสมบูรณ์ พรหมในเมือง")</f>
        <v>นายสมบูรณ์ พรหมในเมือง</v>
      </c>
      <c r="J2897" s="3">
        <f>IFERROR(__xludf.DUMMYFUNCTION("""COMPUTED_VALUE"""),295886.0)</f>
        <v>295886</v>
      </c>
      <c r="K2897" s="3" t="str">
        <f>IFERROR(__xludf.DUMMYFUNCTION("""COMPUTED_VALUE"""),"นายจิระพงษ์ โพธิ์นิล")</f>
        <v>นายจิระพงษ์ โพธิ์นิล</v>
      </c>
      <c r="L2897" s="1" t="str">
        <f>IFERROR(__xludf.DUMMYFUNCTION("""COMPUTED_VALUE"""),"นายจิระพงษ์ โพธิ์นิล")</f>
        <v>นายจิระพงษ์ โพธิ์นิล</v>
      </c>
      <c r="M2897" s="1" t="str">
        <f>IFERROR(__xludf.DUMMYFUNCTION("""COMPUTED_VALUE"""),"0933290754")</f>
        <v>0933290754</v>
      </c>
      <c r="N2897" s="3">
        <f>IFERROR(__xludf.DUMMYFUNCTION("""COMPUTED_VALUE"""),83762.0)</f>
        <v>83762</v>
      </c>
      <c r="O2897" s="3" t="str">
        <f>IFERROR(__xludf.DUMMYFUNCTION("""COMPUTED_VALUE"""),"ร้านวิเชียร")</f>
        <v>ร้านวิเชียร</v>
      </c>
      <c r="P2897" s="4">
        <f>IFERROR(__xludf.DUMMYFUNCTION("""COMPUTED_VALUE"""),44657.0)</f>
        <v>44657</v>
      </c>
      <c r="Q2897" s="3" t="str">
        <f>IFERROR(__xludf.DUMMYFUNCTION("""COMPUTED_VALUE"""),"I")</f>
        <v>I</v>
      </c>
      <c r="R2897" s="3" t="str">
        <f>IFERROR(__xludf.DUMMYFUNCTION("""COMPUTED_VALUE"""),"Small Format")</f>
        <v>Small Format</v>
      </c>
      <c r="S2897" s="3" t="str">
        <f>IFERROR(__xludf.DUMMYFUNCTION("""COMPUTED_VALUE"""),"Donjai")</f>
        <v>Donjai</v>
      </c>
      <c r="T2897" s="3" t="str">
        <f>IFERROR(__xludf.DUMMYFUNCTION("""COMPUTED_VALUE"""),"04 K.Somboon P.")</f>
        <v>04 K.Somboon P.</v>
      </c>
      <c r="U2897" s="3" t="str">
        <f>IFERROR(__xludf.DUMMYFUNCTION("""COMPUTED_VALUE"""),"04 K.Somboon P.")</f>
        <v>04 K.Somboon P.</v>
      </c>
      <c r="V2897" s="3" t="str">
        <f>IFERROR(__xludf.DUMMYFUNCTION("""COMPUTED_VALUE"""),"N")</f>
        <v>N</v>
      </c>
      <c r="W2897" s="3"/>
      <c r="X2897" s="3" t="str">
        <f>IFERROR(__xludf.DUMMYFUNCTION("""COMPUTED_VALUE"""),"เลขที่109 หมู่บ้านท่าวังศาล ต.หนองแวง อ.เทพารักษ์ นครราชสีมา 70110")</f>
        <v>เลขที่109 หมู่บ้านท่าวังศาล ต.หนองแวง อ.เทพารักษ์ นครราชสีมา 70110</v>
      </c>
      <c r="Y2897" s="3"/>
      <c r="Z2897" s="3">
        <f>IFERROR(__xludf.DUMMYFUNCTION("""COMPUTED_VALUE"""),0.0)</f>
        <v>0</v>
      </c>
      <c r="AA2897" s="3">
        <f>IFERROR(__xludf.DUMMYFUNCTION("""COMPUTED_VALUE"""),0.0)</f>
        <v>0</v>
      </c>
      <c r="AB2897" s="3" t="str">
        <f>IFERROR(__xludf.DUMMYFUNCTION("""COMPUTED_VALUE"""),"นครราชสีมา")</f>
        <v>นครราชสีมา</v>
      </c>
      <c r="AC2897" s="3">
        <f>IFERROR(__xludf.DUMMYFUNCTION("""COMPUTED_VALUE"""),70110.0)</f>
        <v>70110</v>
      </c>
      <c r="AD2897" s="3"/>
      <c r="AE2897" s="3"/>
      <c r="AF2897" s="3" t="str">
        <f>IFERROR(__xludf.DUMMYFUNCTION("""COMPUTED_VALUE"""),"ร้านวิเชียร-83762")</f>
        <v>ร้านวิเชียร-83762</v>
      </c>
      <c r="AG2897" s="3" t="str">
        <f>IFERROR(__xludf.DUMMYFUNCTION("""COMPUTED_VALUE"""),"ตะวันออกเฉียงเหนือ")</f>
        <v>ตะวันออกเฉียงเหนือ</v>
      </c>
      <c r="AH2897" s="3" t="str">
        <f>IFERROR(__xludf.DUMMYFUNCTION("""COMPUTED_VALUE"""),"#N/A")</f>
        <v>#N/A</v>
      </c>
      <c r="AI2897" s="3" t="str">
        <f>IFERROR(__xludf.DUMMYFUNCTION("""COMPUTED_VALUE"""),"Out of warranty")</f>
        <v>Out of warranty</v>
      </c>
      <c r="AJ2897" s="3">
        <f>IFERROR(__xludf.DUMMYFUNCTION("""COMPUTED_VALUE"""),46.0)</f>
        <v>46</v>
      </c>
      <c r="AK2897" s="3"/>
      <c r="AL2897" s="3"/>
    </row>
    <row r="2898" ht="15.75" customHeight="1">
      <c r="A2898" s="1" t="str">
        <f>IFERROR(__xludf.DUMMYFUNCTION("""COMPUTED_VALUE"""),"83764")</f>
        <v>83764</v>
      </c>
      <c r="B2898" s="2">
        <f>IFERROR(__xludf.DUMMYFUNCTION("""COMPUTED_VALUE"""),83764.0)</f>
        <v>83764</v>
      </c>
      <c r="C2898" s="3" t="str">
        <f>IFERROR(__xludf.DUMMYFUNCTION("""COMPUTED_VALUE"""),"ร้านพี่เจี้ยบ")</f>
        <v>ร้านพี่เจี้ยบ</v>
      </c>
      <c r="D2898" s="3" t="str">
        <f>IFERROR(__xludf.DUMMYFUNCTION("""COMPUTED_VALUE"""),"ร้านพี่เจี้ยบ")</f>
        <v>ร้านพี่เจี้ยบ</v>
      </c>
      <c r="E2898" s="1" t="str">
        <f>IFERROR(__xludf.DUMMYFUNCTION("""COMPUTED_VALUE"""),"Donjai")</f>
        <v>Donjai</v>
      </c>
      <c r="F2898" s="1" t="str">
        <f>IFERROR(__xludf.DUMMYFUNCTION("""COMPUTED_VALUE"""),"025324")</f>
        <v>025324</v>
      </c>
      <c r="G2898" s="1" t="str">
        <f>IFERROR(__xludf.DUMMYFUNCTION("""COMPUTED_VALUE"""),"นายวิเชฎฐ์ ติรัตนะประคม")</f>
        <v>นายวิเชฎฐ์ ติรัตนะประคม</v>
      </c>
      <c r="H2898" s="1" t="str">
        <f>IFERROR(__xludf.DUMMYFUNCTION("""COMPUTED_VALUE"""),"025324")</f>
        <v>025324</v>
      </c>
      <c r="I2898" s="1" t="str">
        <f>IFERROR(__xludf.DUMMYFUNCTION("""COMPUTED_VALUE"""),"นายวิเชฎฐ์ ติรัตนะประคม")</f>
        <v>นายวิเชฎฐ์ ติรัตนะประคม</v>
      </c>
      <c r="J2898" s="3">
        <f>IFERROR(__xludf.DUMMYFUNCTION("""COMPUTED_VALUE"""),295541.0)</f>
        <v>295541</v>
      </c>
      <c r="K2898" s="3" t="str">
        <f>IFERROR(__xludf.DUMMYFUNCTION("""COMPUTED_VALUE"""),"นายรพิพล ศรีมาตย์")</f>
        <v>นายรพิพล ศรีมาตย์</v>
      </c>
      <c r="L2898" s="1" t="str">
        <f>IFERROR(__xludf.DUMMYFUNCTION("""COMPUTED_VALUE"""),"นายรพิพล ศรีมาตย์")</f>
        <v>นายรพิพล ศรีมาตย์</v>
      </c>
      <c r="M2898" s="1" t="str">
        <f>IFERROR(__xludf.DUMMYFUNCTION("""COMPUTED_VALUE"""),"0613966115")</f>
        <v>0613966115</v>
      </c>
      <c r="N2898" s="3">
        <f>IFERROR(__xludf.DUMMYFUNCTION("""COMPUTED_VALUE"""),83764.0)</f>
        <v>83764</v>
      </c>
      <c r="O2898" s="3" t="str">
        <f>IFERROR(__xludf.DUMMYFUNCTION("""COMPUTED_VALUE"""),"ร้านพี่เจี้ยบ")</f>
        <v>ร้านพี่เจี้ยบ</v>
      </c>
      <c r="P2898" s="4">
        <f>IFERROR(__xludf.DUMMYFUNCTION("""COMPUTED_VALUE"""),44649.0)</f>
        <v>44649</v>
      </c>
      <c r="Q2898" s="3" t="str">
        <f>IFERROR(__xludf.DUMMYFUNCTION("""COMPUTED_VALUE"""),"A")</f>
        <v>A</v>
      </c>
      <c r="R2898" s="3" t="str">
        <f>IFERROR(__xludf.DUMMYFUNCTION("""COMPUTED_VALUE"""),"Small Format")</f>
        <v>Small Format</v>
      </c>
      <c r="S2898" s="3" t="str">
        <f>IFERROR(__xludf.DUMMYFUNCTION("""COMPUTED_VALUE"""),"Donjai")</f>
        <v>Donjai</v>
      </c>
      <c r="T2898" s="3" t="str">
        <f>IFERROR(__xludf.DUMMYFUNCTION("""COMPUTED_VALUE"""),"14 K.Wichet T.")</f>
        <v>14 K.Wichet T.</v>
      </c>
      <c r="U2898" s="3" t="str">
        <f>IFERROR(__xludf.DUMMYFUNCTION("""COMPUTED_VALUE"""),"14 K.Wichet T.")</f>
        <v>14 K.Wichet T.</v>
      </c>
      <c r="V2898" s="3" t="str">
        <f>IFERROR(__xludf.DUMMYFUNCTION("""COMPUTED_VALUE"""),"N")</f>
        <v>N</v>
      </c>
      <c r="W2898" s="3"/>
      <c r="X2898" s="3" t="str">
        <f>IFERROR(__xludf.DUMMYFUNCTION("""COMPUTED_VALUE"""),"161/2 เสาธง ร่อนพิบูลย์ นครศรีธรรมราช 80350")</f>
        <v>161/2 เสาธง ร่อนพิบูลย์ นครศรีธรรมราช 80350</v>
      </c>
      <c r="Y2898" s="3"/>
      <c r="Z2898" s="3">
        <f>IFERROR(__xludf.DUMMYFUNCTION("""COMPUTED_VALUE"""),0.0)</f>
        <v>0</v>
      </c>
      <c r="AA2898" s="3">
        <f>IFERROR(__xludf.DUMMYFUNCTION("""COMPUTED_VALUE"""),0.0)</f>
        <v>0</v>
      </c>
      <c r="AB2898" s="3" t="str">
        <f>IFERROR(__xludf.DUMMYFUNCTION("""COMPUTED_VALUE"""),"นครศรีธรรมราช")</f>
        <v>นครศรีธรรมราช</v>
      </c>
      <c r="AC2898" s="3">
        <f>IFERROR(__xludf.DUMMYFUNCTION("""COMPUTED_VALUE"""),80350.0)</f>
        <v>80350</v>
      </c>
      <c r="AD2898" s="3"/>
      <c r="AE2898" s="3"/>
      <c r="AF2898" s="3" t="str">
        <f>IFERROR(__xludf.DUMMYFUNCTION("""COMPUTED_VALUE"""),"ร้านพี่เจี้ยบ-83764")</f>
        <v>ร้านพี่เจี้ยบ-83764</v>
      </c>
      <c r="AG2898" s="3" t="str">
        <f>IFERROR(__xludf.DUMMYFUNCTION("""COMPUTED_VALUE"""),"ใต้")</f>
        <v>ใต้</v>
      </c>
      <c r="AH2898" s="3" t="str">
        <f>IFERROR(__xludf.DUMMYFUNCTION("""COMPUTED_VALUE"""),"#N/A")</f>
        <v>#N/A</v>
      </c>
      <c r="AI2898" s="3" t="str">
        <f>IFERROR(__xludf.DUMMYFUNCTION("""COMPUTED_VALUE"""),"Out of warranty")</f>
        <v>Out of warranty</v>
      </c>
      <c r="AJ2898" s="3">
        <f>IFERROR(__xludf.DUMMYFUNCTION("""COMPUTED_VALUE"""),46.0)</f>
        <v>46</v>
      </c>
      <c r="AK2898" s="3"/>
      <c r="AL2898" s="3"/>
    </row>
    <row r="2899" ht="15.75" customHeight="1">
      <c r="A2899" s="1" t="str">
        <f>IFERROR(__xludf.DUMMYFUNCTION("""COMPUTED_VALUE"""),"83765")</f>
        <v>83765</v>
      </c>
      <c r="B2899" s="2">
        <f>IFERROR(__xludf.DUMMYFUNCTION("""COMPUTED_VALUE"""),83765.0)</f>
        <v>83765</v>
      </c>
      <c r="C2899" s="3" t="str">
        <f>IFERROR(__xludf.DUMMYFUNCTION("""COMPUTED_VALUE"""),"ร้านเจ๊หวาย (ดวงเดือน)")</f>
        <v>ร้านเจ๊หวาย (ดวงเดือน)</v>
      </c>
      <c r="D2899" s="3" t="str">
        <f>IFERROR(__xludf.DUMMYFUNCTION("""COMPUTED_VALUE"""),"ร้านเจ๊หวาย (ดวงเดือน)")</f>
        <v>ร้านเจ๊หวาย (ดวงเดือน)</v>
      </c>
      <c r="E2899" s="1" t="str">
        <f>IFERROR(__xludf.DUMMYFUNCTION("""COMPUTED_VALUE"""),"Donjai")</f>
        <v>Donjai</v>
      </c>
      <c r="F2899" s="1" t="str">
        <f>IFERROR(__xludf.DUMMYFUNCTION("""COMPUTED_VALUE"""),"20470331")</f>
        <v>20470331</v>
      </c>
      <c r="G2899" s="1" t="str">
        <f>IFERROR(__xludf.DUMMYFUNCTION("""COMPUTED_VALUE"""),"นายสมชาย ลักษณะสุวรรณ")</f>
        <v>นายสมชาย ลักษณะสุวรรณ</v>
      </c>
      <c r="H2899" s="1" t="str">
        <f>IFERROR(__xludf.DUMMYFUNCTION("""COMPUTED_VALUE"""),"20470331")</f>
        <v>20470331</v>
      </c>
      <c r="I2899" s="1" t="str">
        <f>IFERROR(__xludf.DUMMYFUNCTION("""COMPUTED_VALUE"""),"นายสมชาย ลักษณะสุวรรณ")</f>
        <v>นายสมชาย ลักษณะสุวรรณ</v>
      </c>
      <c r="J2899" s="3">
        <f>IFERROR(__xludf.DUMMYFUNCTION("""COMPUTED_VALUE"""),295541.0)</f>
        <v>295541</v>
      </c>
      <c r="K2899" s="3" t="str">
        <f>IFERROR(__xludf.DUMMYFUNCTION("""COMPUTED_VALUE"""),"นายรพิพล ศรีมาตย์")</f>
        <v>นายรพิพล ศรีมาตย์</v>
      </c>
      <c r="L2899" s="1" t="str">
        <f>IFERROR(__xludf.DUMMYFUNCTION("""COMPUTED_VALUE"""),"นายรพิพล ศรีมาตย์")</f>
        <v>นายรพิพล ศรีมาตย์</v>
      </c>
      <c r="M2899" s="1" t="str">
        <f>IFERROR(__xludf.DUMMYFUNCTION("""COMPUTED_VALUE"""),"0613966115")</f>
        <v>0613966115</v>
      </c>
      <c r="N2899" s="3">
        <f>IFERROR(__xludf.DUMMYFUNCTION("""COMPUTED_VALUE"""),83765.0)</f>
        <v>83765</v>
      </c>
      <c r="O2899" s="3" t="str">
        <f>IFERROR(__xludf.DUMMYFUNCTION("""COMPUTED_VALUE"""),"ร้านเจ๊หวาย (ดวงเดือน)")</f>
        <v>ร้านเจ๊หวาย (ดวงเดือน)</v>
      </c>
      <c r="P2899" s="4">
        <f>IFERROR(__xludf.DUMMYFUNCTION("""COMPUTED_VALUE"""),44651.0)</f>
        <v>44651</v>
      </c>
      <c r="Q2899" s="3" t="str">
        <f>IFERROR(__xludf.DUMMYFUNCTION("""COMPUTED_VALUE"""),"I")</f>
        <v>I</v>
      </c>
      <c r="R2899" s="3" t="str">
        <f>IFERROR(__xludf.DUMMYFUNCTION("""COMPUTED_VALUE"""),"Small Format")</f>
        <v>Small Format</v>
      </c>
      <c r="S2899" s="3" t="str">
        <f>IFERROR(__xludf.DUMMYFUNCTION("""COMPUTED_VALUE"""),"Donjai")</f>
        <v>Donjai</v>
      </c>
      <c r="T2899" s="3" t="str">
        <f>IFERROR(__xludf.DUMMYFUNCTION("""COMPUTED_VALUE"""),"15 K.Somchai L")</f>
        <v>15 K.Somchai L</v>
      </c>
      <c r="U2899" s="3" t="str">
        <f>IFERROR(__xludf.DUMMYFUNCTION("""COMPUTED_VALUE"""),"15 K.Somchai L")</f>
        <v>15 K.Somchai L</v>
      </c>
      <c r="V2899" s="3" t="str">
        <f>IFERROR(__xludf.DUMMYFUNCTION("""COMPUTED_VALUE"""),"N")</f>
        <v>N</v>
      </c>
      <c r="W2899" s="3"/>
      <c r="X2899" s="3" t="str">
        <f>IFERROR(__xludf.DUMMYFUNCTION("""COMPUTED_VALUE"""),"44/1 ต.ทรายขาว อ.หัวไทร จ.นครศรีธรรมราช 27250")</f>
        <v>44/1 ต.ทรายขาว อ.หัวไทร จ.นครศรีธรรมราช 27250</v>
      </c>
      <c r="Y2899" s="3"/>
      <c r="Z2899" s="3">
        <f>IFERROR(__xludf.DUMMYFUNCTION("""COMPUTED_VALUE"""),0.0)</f>
        <v>0</v>
      </c>
      <c r="AA2899" s="3">
        <f>IFERROR(__xludf.DUMMYFUNCTION("""COMPUTED_VALUE"""),0.0)</f>
        <v>0</v>
      </c>
      <c r="AB2899" s="3" t="str">
        <f>IFERROR(__xludf.DUMMYFUNCTION("""COMPUTED_VALUE"""),"นครศรีธรรมราช")</f>
        <v>นครศรีธรรมราช</v>
      </c>
      <c r="AC2899" s="3">
        <f>IFERROR(__xludf.DUMMYFUNCTION("""COMPUTED_VALUE"""),27250.0)</f>
        <v>27250</v>
      </c>
      <c r="AD2899" s="3"/>
      <c r="AE2899" s="3"/>
      <c r="AF2899" s="3" t="str">
        <f>IFERROR(__xludf.DUMMYFUNCTION("""COMPUTED_VALUE"""),"ร้านเจ๊หวาย (ดวงเดือน)-83765")</f>
        <v>ร้านเจ๊หวาย (ดวงเดือน)-83765</v>
      </c>
      <c r="AG2899" s="3" t="str">
        <f>IFERROR(__xludf.DUMMYFUNCTION("""COMPUTED_VALUE"""),"ใต้")</f>
        <v>ใต้</v>
      </c>
      <c r="AH2899" s="3" t="str">
        <f>IFERROR(__xludf.DUMMYFUNCTION("""COMPUTED_VALUE"""),"#N/A")</f>
        <v>#N/A</v>
      </c>
      <c r="AI2899" s="3" t="str">
        <f>IFERROR(__xludf.DUMMYFUNCTION("""COMPUTED_VALUE"""),"Out of warranty")</f>
        <v>Out of warranty</v>
      </c>
      <c r="AJ2899" s="3">
        <f>IFERROR(__xludf.DUMMYFUNCTION("""COMPUTED_VALUE"""),46.0)</f>
        <v>46</v>
      </c>
      <c r="AK2899" s="3"/>
      <c r="AL2899" s="3"/>
    </row>
    <row r="2900" ht="15.75" customHeight="1">
      <c r="A2900" s="1" t="str">
        <f>IFERROR(__xludf.DUMMYFUNCTION("""COMPUTED_VALUE"""),"83767")</f>
        <v>83767</v>
      </c>
      <c r="B2900" s="2">
        <f>IFERROR(__xludf.DUMMYFUNCTION("""COMPUTED_VALUE"""),83767.0)</f>
        <v>83767</v>
      </c>
      <c r="C2900" s="3" t="str">
        <f>IFERROR(__xludf.DUMMYFUNCTION("""COMPUTED_VALUE"""),"ร้านช้างคำพาณิช (ต้นดีกว่า)")</f>
        <v>ร้านช้างคำพาณิช (ต้นดีกว่า)</v>
      </c>
      <c r="D2900" s="3" t="str">
        <f>IFERROR(__xludf.DUMMYFUNCTION("""COMPUTED_VALUE"""),"ร้านช้างคำพาณิช (ต้นดีกว่า)")</f>
        <v>ร้านช้างคำพาณิช (ต้นดีกว่า)</v>
      </c>
      <c r="E2900" s="1" t="str">
        <f>IFERROR(__xludf.DUMMYFUNCTION("""COMPUTED_VALUE"""),"Donjai")</f>
        <v>Donjai</v>
      </c>
      <c r="F2900" s="1" t="str">
        <f>IFERROR(__xludf.DUMMYFUNCTION("""COMPUTED_VALUE"""),"046214")</f>
        <v>046214</v>
      </c>
      <c r="G2900" s="1" t="str">
        <f>IFERROR(__xludf.DUMMYFUNCTION("""COMPUTED_VALUE"""),"นายศักดิ์ชัย เด็ดดอกฟ้า")</f>
        <v>นายศักดิ์ชัย เด็ดดอกฟ้า</v>
      </c>
      <c r="H2900" s="1" t="str">
        <f>IFERROR(__xludf.DUMMYFUNCTION("""COMPUTED_VALUE"""),"046214")</f>
        <v>046214</v>
      </c>
      <c r="I2900" s="1" t="str">
        <f>IFERROR(__xludf.DUMMYFUNCTION("""COMPUTED_VALUE"""),"นายศักดิ์ชัย เด็ดดอกฟ้า")</f>
        <v>นายศักดิ์ชัย เด็ดดอกฟ้า</v>
      </c>
      <c r="J2900" s="3">
        <f>IFERROR(__xludf.DUMMYFUNCTION("""COMPUTED_VALUE"""),295886.0)</f>
        <v>295886</v>
      </c>
      <c r="K2900" s="3" t="str">
        <f>IFERROR(__xludf.DUMMYFUNCTION("""COMPUTED_VALUE"""),"นายจิระพงษ์ โพธิ์นิล")</f>
        <v>นายจิระพงษ์ โพธิ์นิล</v>
      </c>
      <c r="L2900" s="1" t="str">
        <f>IFERROR(__xludf.DUMMYFUNCTION("""COMPUTED_VALUE"""),"นายจิระพงษ์ โพธิ์นิล")</f>
        <v>นายจิระพงษ์ โพธิ์นิล</v>
      </c>
      <c r="M2900" s="1" t="str">
        <f>IFERROR(__xludf.DUMMYFUNCTION("""COMPUTED_VALUE"""),"0933290754")</f>
        <v>0933290754</v>
      </c>
      <c r="N2900" s="3">
        <f>IFERROR(__xludf.DUMMYFUNCTION("""COMPUTED_VALUE"""),83767.0)</f>
        <v>83767</v>
      </c>
      <c r="O2900" s="3" t="str">
        <f>IFERROR(__xludf.DUMMYFUNCTION("""COMPUTED_VALUE"""),"ร้านช้างคำพาณิช (ต้นดีกว่า)")</f>
        <v>ร้านช้างคำพาณิช (ต้นดีกว่า)</v>
      </c>
      <c r="P2900" s="4">
        <f>IFERROR(__xludf.DUMMYFUNCTION("""COMPUTED_VALUE"""),44650.0)</f>
        <v>44650</v>
      </c>
      <c r="Q2900" s="3" t="str">
        <f>IFERROR(__xludf.DUMMYFUNCTION("""COMPUTED_VALUE"""),"A")</f>
        <v>A</v>
      </c>
      <c r="R2900" s="3" t="str">
        <f>IFERROR(__xludf.DUMMYFUNCTION("""COMPUTED_VALUE"""),"Small Format")</f>
        <v>Small Format</v>
      </c>
      <c r="S2900" s="3" t="str">
        <f>IFERROR(__xludf.DUMMYFUNCTION("""COMPUTED_VALUE"""),"Donjai")</f>
        <v>Donjai</v>
      </c>
      <c r="T2900" s="3" t="str">
        <f>IFERROR(__xludf.DUMMYFUNCTION("""COMPUTED_VALUE"""),"02 K.Sakchai D")</f>
        <v>02 K.Sakchai D</v>
      </c>
      <c r="U2900" s="3" t="str">
        <f>IFERROR(__xludf.DUMMYFUNCTION("""COMPUTED_VALUE"""),"02 K.Sakchai D")</f>
        <v>02 K.Sakchai D</v>
      </c>
      <c r="V2900" s="3" t="str">
        <f>IFERROR(__xludf.DUMMYFUNCTION("""COMPUTED_VALUE"""),"N")</f>
        <v>N</v>
      </c>
      <c r="W2900" s="3"/>
      <c r="X2900" s="3" t="str">
        <f>IFERROR(__xludf.DUMMYFUNCTION("""COMPUTED_VALUE"""),"11 ม.12 ต.น้ำก้อ อ.หล่มสัก จ.เพชรบูรณ์")</f>
        <v>11 ม.12 ต.น้ำก้อ อ.หล่มสัก จ.เพชรบูรณ์</v>
      </c>
      <c r="Y2900" s="3"/>
      <c r="Z2900" s="3" t="str">
        <f>IFERROR(__xludf.DUMMYFUNCTION("""COMPUTED_VALUE"""),"น้ำก้อ")</f>
        <v>น้ำก้อ</v>
      </c>
      <c r="AA2900" s="3" t="str">
        <f>IFERROR(__xludf.DUMMYFUNCTION("""COMPUTED_VALUE"""),"หล่มสัก")</f>
        <v>หล่มสัก</v>
      </c>
      <c r="AB2900" s="3" t="str">
        <f>IFERROR(__xludf.DUMMYFUNCTION("""COMPUTED_VALUE"""),"เพชรบูรณ์")</f>
        <v>เพชรบูรณ์</v>
      </c>
      <c r="AC2900" s="3">
        <f>IFERROR(__xludf.DUMMYFUNCTION("""COMPUTED_VALUE"""),0.0)</f>
        <v>0</v>
      </c>
      <c r="AD2900" s="3"/>
      <c r="AE2900" s="3"/>
      <c r="AF2900" s="3" t="str">
        <f>IFERROR(__xludf.DUMMYFUNCTION("""COMPUTED_VALUE"""),"ร้านช้างคำพาณิช (ต้นดีกว่า)-83767")</f>
        <v>ร้านช้างคำพาณิช (ต้นดีกว่า)-83767</v>
      </c>
      <c r="AG2900" s="3" t="str">
        <f>IFERROR(__xludf.DUMMYFUNCTION("""COMPUTED_VALUE"""),"กลาง")</f>
        <v>กลาง</v>
      </c>
      <c r="AH2900" s="3" t="str">
        <f>IFERROR(__xludf.DUMMYFUNCTION("""COMPUTED_VALUE"""),"#N/A")</f>
        <v>#N/A</v>
      </c>
      <c r="AI2900" s="3" t="str">
        <f>IFERROR(__xludf.DUMMYFUNCTION("""COMPUTED_VALUE"""),"Out of warranty")</f>
        <v>Out of warranty</v>
      </c>
      <c r="AJ2900" s="3">
        <f>IFERROR(__xludf.DUMMYFUNCTION("""COMPUTED_VALUE"""),46.0)</f>
        <v>46</v>
      </c>
      <c r="AK2900" s="3"/>
      <c r="AL2900" s="3"/>
    </row>
    <row r="2901" ht="15.75" customHeight="1">
      <c r="A2901" s="1" t="str">
        <f>IFERROR(__xludf.DUMMYFUNCTION("""COMPUTED_VALUE"""),"83768")</f>
        <v>83768</v>
      </c>
      <c r="B2901" s="2">
        <f>IFERROR(__xludf.DUMMYFUNCTION("""COMPUTED_VALUE"""),83768.0)</f>
        <v>83768</v>
      </c>
      <c r="C2901" s="3" t="str">
        <f>IFERROR(__xludf.DUMMYFUNCTION("""COMPUTED_VALUE"""),"ร้านปอย&amp;ปลื้ม (รุ่งอรุณพาณิชย์)")</f>
        <v>ร้านปอย&amp;ปลื้ม (รุ่งอรุณพาณิชย์)</v>
      </c>
      <c r="D2901" s="3" t="str">
        <f>IFERROR(__xludf.DUMMYFUNCTION("""COMPUTED_VALUE"""),"ร้านปอย&amp;ปลื้ม (รุ่งอรุณพาณิชย์)")</f>
        <v>ร้านปอย&amp;ปลื้ม (รุ่งอรุณพาณิชย์)</v>
      </c>
      <c r="E2901" s="1" t="str">
        <f>IFERROR(__xludf.DUMMYFUNCTION("""COMPUTED_VALUE"""),"Donjai")</f>
        <v>Donjai</v>
      </c>
      <c r="F2901" s="1" t="str">
        <f>IFERROR(__xludf.DUMMYFUNCTION("""COMPUTED_VALUE"""),"296868")</f>
        <v>296868</v>
      </c>
      <c r="G2901" s="1" t="str">
        <f>IFERROR(__xludf.DUMMYFUNCTION("""COMPUTED_VALUE"""),"นายพีระพงษ์ แก้วดวงดี")</f>
        <v>นายพีระพงษ์ แก้วดวงดี</v>
      </c>
      <c r="H2901" s="1" t="str">
        <f>IFERROR(__xludf.DUMMYFUNCTION("""COMPUTED_VALUE"""),"296868")</f>
        <v>296868</v>
      </c>
      <c r="I2901" s="1" t="str">
        <f>IFERROR(__xludf.DUMMYFUNCTION("""COMPUTED_VALUE"""),"นายพีระพงษ์ แก้วดวงดี")</f>
        <v>นายพีระพงษ์ แก้วดวงดี</v>
      </c>
      <c r="J2901" s="3">
        <f>IFERROR(__xludf.DUMMYFUNCTION("""COMPUTED_VALUE"""),295886.0)</f>
        <v>295886</v>
      </c>
      <c r="K2901" s="3" t="str">
        <f>IFERROR(__xludf.DUMMYFUNCTION("""COMPUTED_VALUE"""),"นายจิระพงษ์ โพธิ์นิล")</f>
        <v>นายจิระพงษ์ โพธิ์นิล</v>
      </c>
      <c r="L2901" s="1" t="str">
        <f>IFERROR(__xludf.DUMMYFUNCTION("""COMPUTED_VALUE"""),"นายจิระพงษ์ โพธิ์นิล")</f>
        <v>นายจิระพงษ์ โพธิ์นิล</v>
      </c>
      <c r="M2901" s="1" t="str">
        <f>IFERROR(__xludf.DUMMYFUNCTION("""COMPUTED_VALUE"""),"0933290754")</f>
        <v>0933290754</v>
      </c>
      <c r="N2901" s="3">
        <f>IFERROR(__xludf.DUMMYFUNCTION("""COMPUTED_VALUE"""),83768.0)</f>
        <v>83768</v>
      </c>
      <c r="O2901" s="3" t="str">
        <f>IFERROR(__xludf.DUMMYFUNCTION("""COMPUTED_VALUE"""),"ร้านปอย&amp;ปลื้ม (รุ่งอรุณพาณิชย์)")</f>
        <v>ร้านปอย&amp;ปลื้ม (รุ่งอรุณพาณิชย์)</v>
      </c>
      <c r="P2901" s="4">
        <f>IFERROR(__xludf.DUMMYFUNCTION("""COMPUTED_VALUE"""),44641.0)</f>
        <v>44641</v>
      </c>
      <c r="Q2901" s="3" t="str">
        <f>IFERROR(__xludf.DUMMYFUNCTION("""COMPUTED_VALUE"""),"I")</f>
        <v>I</v>
      </c>
      <c r="R2901" s="3" t="str">
        <f>IFERROR(__xludf.DUMMYFUNCTION("""COMPUTED_VALUE"""),"Small Format")</f>
        <v>Small Format</v>
      </c>
      <c r="S2901" s="3" t="str">
        <f>IFERROR(__xludf.DUMMYFUNCTION("""COMPUTED_VALUE"""),"Donjai")</f>
        <v>Donjai</v>
      </c>
      <c r="T2901" s="3" t="str">
        <f>IFERROR(__xludf.DUMMYFUNCTION("""COMPUTED_VALUE"""),"03 K.Peerapong K.")</f>
        <v>03 K.Peerapong K.</v>
      </c>
      <c r="U2901" s="3" t="str">
        <f>IFERROR(__xludf.DUMMYFUNCTION("""COMPUTED_VALUE"""),"03 K.Peerapong K.")</f>
        <v>03 K.Peerapong K.</v>
      </c>
      <c r="V2901" s="3" t="str">
        <f>IFERROR(__xludf.DUMMYFUNCTION("""COMPUTED_VALUE"""),"N")</f>
        <v>N</v>
      </c>
      <c r="W2901" s="3"/>
      <c r="X2901" s="3" t="str">
        <f>IFERROR(__xludf.DUMMYFUNCTION("""COMPUTED_VALUE"""),"1 หมู่ 13 ต.โคกกล่าม อ.จตุรพักตรพิมาน จ.ร้อยเอ็ด")</f>
        <v>1 หมู่ 13 ต.โคกกล่าม อ.จตุรพักตรพิมาน จ.ร้อยเอ็ด</v>
      </c>
      <c r="Y2901" s="3"/>
      <c r="Z2901" s="3">
        <f>IFERROR(__xludf.DUMMYFUNCTION("""COMPUTED_VALUE"""),0.0)</f>
        <v>0</v>
      </c>
      <c r="AA2901" s="3">
        <f>IFERROR(__xludf.DUMMYFUNCTION("""COMPUTED_VALUE"""),0.0)</f>
        <v>0</v>
      </c>
      <c r="AB2901" s="3" t="str">
        <f>IFERROR(__xludf.DUMMYFUNCTION("""COMPUTED_VALUE"""),"ร้อยเอ็ด")</f>
        <v>ร้อยเอ็ด</v>
      </c>
      <c r="AC2901" s="3">
        <f>IFERROR(__xludf.DUMMYFUNCTION("""COMPUTED_VALUE"""),0.0)</f>
        <v>0</v>
      </c>
      <c r="AD2901" s="3"/>
      <c r="AE2901" s="3"/>
      <c r="AF2901" s="3" t="str">
        <f>IFERROR(__xludf.DUMMYFUNCTION("""COMPUTED_VALUE"""),"ร้านปอย&amp;ปลื้ม (รุ่งอรุณพาณิชย์)-83768")</f>
        <v>ร้านปอย&amp;ปลื้ม (รุ่งอรุณพาณิชย์)-83768</v>
      </c>
      <c r="AG2901" s="3" t="str">
        <f>IFERROR(__xludf.DUMMYFUNCTION("""COMPUTED_VALUE"""),"ตะวันออกเฉียงเหนือ")</f>
        <v>ตะวันออกเฉียงเหนือ</v>
      </c>
      <c r="AH2901" s="3" t="str">
        <f>IFERROR(__xludf.DUMMYFUNCTION("""COMPUTED_VALUE"""),"#N/A")</f>
        <v>#N/A</v>
      </c>
      <c r="AI2901" s="3" t="str">
        <f>IFERROR(__xludf.DUMMYFUNCTION("""COMPUTED_VALUE"""),"Out of warranty")</f>
        <v>Out of warranty</v>
      </c>
      <c r="AJ2901" s="3">
        <f>IFERROR(__xludf.DUMMYFUNCTION("""COMPUTED_VALUE"""),46.0)</f>
        <v>46</v>
      </c>
      <c r="AK2901" s="3"/>
      <c r="AL2901" s="3"/>
    </row>
    <row r="2902" ht="15.75" customHeight="1">
      <c r="A2902" s="1" t="str">
        <f>IFERROR(__xludf.DUMMYFUNCTION("""COMPUTED_VALUE"""),"83769")</f>
        <v>83769</v>
      </c>
      <c r="B2902" s="2">
        <f>IFERROR(__xludf.DUMMYFUNCTION("""COMPUTED_VALUE"""),83769.0)</f>
        <v>83769</v>
      </c>
      <c r="C2902" s="3" t="str">
        <f>IFERROR(__xludf.DUMMYFUNCTION("""COMPUTED_VALUE"""),"ร้านบัวเพชร (คุณ ภัทราลักษมี ขุนจันทร์)")</f>
        <v>ร้านบัวเพชร (คุณ ภัทราลักษมี ขุนจันทร์)</v>
      </c>
      <c r="D2902" s="3" t="str">
        <f>IFERROR(__xludf.DUMMYFUNCTION("""COMPUTED_VALUE"""),"ร้านบัวเพชร (คุณ ภัทราลักษมี ขุนจันทร์)")</f>
        <v>ร้านบัวเพชร (คุณ ภัทราลักษมี ขุนจันทร์)</v>
      </c>
      <c r="E2902" s="1" t="str">
        <f>IFERROR(__xludf.DUMMYFUNCTION("""COMPUTED_VALUE"""),"Donjai")</f>
        <v>Donjai</v>
      </c>
      <c r="F2902" s="1" t="str">
        <f>IFERROR(__xludf.DUMMYFUNCTION("""COMPUTED_VALUE"""),"2010016")</f>
        <v>2010016</v>
      </c>
      <c r="G2902" s="1" t="str">
        <f>IFERROR(__xludf.DUMMYFUNCTION("""COMPUTED_VALUE"""),"นายตวงธรรม ใหม่ยศ")</f>
        <v>นายตวงธรรม ใหม่ยศ</v>
      </c>
      <c r="H2902" s="1" t="str">
        <f>IFERROR(__xludf.DUMMYFUNCTION("""COMPUTED_VALUE"""),"2010016")</f>
        <v>2010016</v>
      </c>
      <c r="I2902" s="1" t="str">
        <f>IFERROR(__xludf.DUMMYFUNCTION("""COMPUTED_VALUE"""),"นายตวงธรรม ใหม่ยศ")</f>
        <v>นายตวงธรรม ใหม่ยศ</v>
      </c>
      <c r="J2902" s="3">
        <f>IFERROR(__xludf.DUMMYFUNCTION("""COMPUTED_VALUE"""),295886.0)</f>
        <v>295886</v>
      </c>
      <c r="K2902" s="3" t="str">
        <f>IFERROR(__xludf.DUMMYFUNCTION("""COMPUTED_VALUE"""),"นายจิระพงษ์ โพธิ์นิล")</f>
        <v>นายจิระพงษ์ โพธิ์นิล</v>
      </c>
      <c r="L2902" s="1" t="str">
        <f>IFERROR(__xludf.DUMMYFUNCTION("""COMPUTED_VALUE"""),"นายจิระพงษ์ โพธิ์นิล")</f>
        <v>นายจิระพงษ์ โพธิ์นิล</v>
      </c>
      <c r="M2902" s="1" t="str">
        <f>IFERROR(__xludf.DUMMYFUNCTION("""COMPUTED_VALUE"""),"0933290754")</f>
        <v>0933290754</v>
      </c>
      <c r="N2902" s="3">
        <f>IFERROR(__xludf.DUMMYFUNCTION("""COMPUTED_VALUE"""),83769.0)</f>
        <v>83769</v>
      </c>
      <c r="O2902" s="3" t="str">
        <f>IFERROR(__xludf.DUMMYFUNCTION("""COMPUTED_VALUE"""),"ร้านบัวเพชร (คุณ ภัทราลักษมี ขุนจันทร์)")</f>
        <v>ร้านบัวเพชร (คุณ ภัทราลักษมี ขุนจันทร์)</v>
      </c>
      <c r="P2902" s="4">
        <f>IFERROR(__xludf.DUMMYFUNCTION("""COMPUTED_VALUE"""),44662.0)</f>
        <v>44662</v>
      </c>
      <c r="Q2902" s="3" t="str">
        <f>IFERROR(__xludf.DUMMYFUNCTION("""COMPUTED_VALUE"""),"A")</f>
        <v>A</v>
      </c>
      <c r="R2902" s="3" t="str">
        <f>IFERROR(__xludf.DUMMYFUNCTION("""COMPUTED_VALUE"""),"Small Format")</f>
        <v>Small Format</v>
      </c>
      <c r="S2902" s="3" t="str">
        <f>IFERROR(__xludf.DUMMYFUNCTION("""COMPUTED_VALUE"""),"Donjai")</f>
        <v>Donjai</v>
      </c>
      <c r="T2902" s="3" t="str">
        <f>IFERROR(__xludf.DUMMYFUNCTION("""COMPUTED_VALUE"""),"01 K.Tuangtham M.")</f>
        <v>01 K.Tuangtham M.</v>
      </c>
      <c r="U2902" s="3" t="str">
        <f>IFERROR(__xludf.DUMMYFUNCTION("""COMPUTED_VALUE"""),"01 K.Tuangtham M.")</f>
        <v>01 K.Tuangtham M.</v>
      </c>
      <c r="V2902" s="3" t="str">
        <f>IFERROR(__xludf.DUMMYFUNCTION("""COMPUTED_VALUE"""),"N")</f>
        <v>N</v>
      </c>
      <c r="W2902" s="3"/>
      <c r="X2902" s="3" t="str">
        <f>IFERROR(__xludf.DUMMYFUNCTION("""COMPUTED_VALUE"""),"83 ออนใต้ สันกำแพง เชียงใหม่ 30230")</f>
        <v>83 ออนใต้ สันกำแพง เชียงใหม่ 30230</v>
      </c>
      <c r="Y2902" s="3"/>
      <c r="Z2902" s="3" t="str">
        <f>IFERROR(__xludf.DUMMYFUNCTION("""COMPUTED_VALUE"""),"ออนใต้")</f>
        <v>ออนใต้</v>
      </c>
      <c r="AA2902" s="3" t="str">
        <f>IFERROR(__xludf.DUMMYFUNCTION("""COMPUTED_VALUE"""),"สันกำแพง")</f>
        <v>สันกำแพง</v>
      </c>
      <c r="AB2902" s="3" t="str">
        <f>IFERROR(__xludf.DUMMYFUNCTION("""COMPUTED_VALUE"""),"เชียงใหม่")</f>
        <v>เชียงใหม่</v>
      </c>
      <c r="AC2902" s="3">
        <f>IFERROR(__xludf.DUMMYFUNCTION("""COMPUTED_VALUE"""),30230.0)</f>
        <v>30230</v>
      </c>
      <c r="AD2902" s="3"/>
      <c r="AE2902" s="3"/>
      <c r="AF2902" s="3" t="str">
        <f>IFERROR(__xludf.DUMMYFUNCTION("""COMPUTED_VALUE"""),"ร้านบัวเพชร (คุณ ภัทราลักษมี ขุนจันทร์)-83769")</f>
        <v>ร้านบัวเพชร (คุณ ภัทราลักษมี ขุนจันทร์)-83769</v>
      </c>
      <c r="AG2902" s="3" t="str">
        <f>IFERROR(__xludf.DUMMYFUNCTION("""COMPUTED_VALUE"""),"เหนือ")</f>
        <v>เหนือ</v>
      </c>
      <c r="AH2902" s="3" t="str">
        <f>IFERROR(__xludf.DUMMYFUNCTION("""COMPUTED_VALUE"""),"#N/A")</f>
        <v>#N/A</v>
      </c>
      <c r="AI2902" s="3" t="str">
        <f>IFERROR(__xludf.DUMMYFUNCTION("""COMPUTED_VALUE"""),"Out of warranty")</f>
        <v>Out of warranty</v>
      </c>
      <c r="AJ2902" s="3">
        <f>IFERROR(__xludf.DUMMYFUNCTION("""COMPUTED_VALUE"""),46.0)</f>
        <v>46</v>
      </c>
      <c r="AK2902" s="3"/>
      <c r="AL2902" s="3"/>
    </row>
    <row r="2903" ht="15.75" customHeight="1">
      <c r="A2903" s="1" t="str">
        <f>IFERROR(__xludf.DUMMYFUNCTION("""COMPUTED_VALUE"""),"83770")</f>
        <v>83770</v>
      </c>
      <c r="B2903" s="2">
        <f>IFERROR(__xludf.DUMMYFUNCTION("""COMPUTED_VALUE"""),83770.0)</f>
        <v>83770</v>
      </c>
      <c r="C2903" s="3" t="str">
        <f>IFERROR(__xludf.DUMMYFUNCTION("""COMPUTED_VALUE"""),"ร้านโดนใจ B&amp;N การค้า (ร่อนพิบูลย์)")</f>
        <v>ร้านโดนใจ B&amp;N การค้า (ร่อนพิบูลย์)</v>
      </c>
      <c r="D2903" s="3" t="str">
        <f>IFERROR(__xludf.DUMMYFUNCTION("""COMPUTED_VALUE"""),"ร้านโดนใจ B&amp;N การค้า (ร่อนพิบูลย์)")</f>
        <v>ร้านโดนใจ B&amp;N การค้า (ร่อนพิบูลย์)</v>
      </c>
      <c r="E2903" s="1" t="str">
        <f>IFERROR(__xludf.DUMMYFUNCTION("""COMPUTED_VALUE"""),"Donjai")</f>
        <v>Donjai</v>
      </c>
      <c r="F2903" s="1" t="str">
        <f>IFERROR(__xludf.DUMMYFUNCTION("""COMPUTED_VALUE"""),"20470331")</f>
        <v>20470331</v>
      </c>
      <c r="G2903" s="1" t="str">
        <f>IFERROR(__xludf.DUMMYFUNCTION("""COMPUTED_VALUE"""),"นายสมชาย ลักษณะสุวรรณ")</f>
        <v>นายสมชาย ลักษณะสุวรรณ</v>
      </c>
      <c r="H2903" s="1" t="str">
        <f>IFERROR(__xludf.DUMMYFUNCTION("""COMPUTED_VALUE"""),"20470331")</f>
        <v>20470331</v>
      </c>
      <c r="I2903" s="1" t="str">
        <f>IFERROR(__xludf.DUMMYFUNCTION("""COMPUTED_VALUE"""),"นายสมชาย ลักษณะสุวรรณ")</f>
        <v>นายสมชาย ลักษณะสุวรรณ</v>
      </c>
      <c r="J2903" s="3">
        <f>IFERROR(__xludf.DUMMYFUNCTION("""COMPUTED_VALUE"""),295541.0)</f>
        <v>295541</v>
      </c>
      <c r="K2903" s="3" t="str">
        <f>IFERROR(__xludf.DUMMYFUNCTION("""COMPUTED_VALUE"""),"นายรพิพล ศรีมาตย์")</f>
        <v>นายรพิพล ศรีมาตย์</v>
      </c>
      <c r="L2903" s="1" t="str">
        <f>IFERROR(__xludf.DUMMYFUNCTION("""COMPUTED_VALUE"""),"นายรพิพล ศรีมาตย์")</f>
        <v>นายรพิพล ศรีมาตย์</v>
      </c>
      <c r="M2903" s="1" t="str">
        <f>IFERROR(__xludf.DUMMYFUNCTION("""COMPUTED_VALUE"""),"0613966115")</f>
        <v>0613966115</v>
      </c>
      <c r="N2903" s="3">
        <f>IFERROR(__xludf.DUMMYFUNCTION("""COMPUTED_VALUE"""),83770.0)</f>
        <v>83770</v>
      </c>
      <c r="O2903" s="3" t="str">
        <f>IFERROR(__xludf.DUMMYFUNCTION("""COMPUTED_VALUE"""),"ร้านโดนใจ B&amp;N การค้า (ร่อนพิบูลย์)")</f>
        <v>ร้านโดนใจ B&amp;N การค้า (ร่อนพิบูลย์)</v>
      </c>
      <c r="P2903" s="4">
        <f>IFERROR(__xludf.DUMMYFUNCTION("""COMPUTED_VALUE"""),44649.0)</f>
        <v>44649</v>
      </c>
      <c r="Q2903" s="3" t="str">
        <f>IFERROR(__xludf.DUMMYFUNCTION("""COMPUTED_VALUE"""),"I")</f>
        <v>I</v>
      </c>
      <c r="R2903" s="3" t="str">
        <f>IFERROR(__xludf.DUMMYFUNCTION("""COMPUTED_VALUE"""),"Small Format")</f>
        <v>Small Format</v>
      </c>
      <c r="S2903" s="3" t="str">
        <f>IFERROR(__xludf.DUMMYFUNCTION("""COMPUTED_VALUE"""),"Donjai")</f>
        <v>Donjai</v>
      </c>
      <c r="T2903" s="3" t="str">
        <f>IFERROR(__xludf.DUMMYFUNCTION("""COMPUTED_VALUE"""),"15 K.Somchai L")</f>
        <v>15 K.Somchai L</v>
      </c>
      <c r="U2903" s="3" t="str">
        <f>IFERROR(__xludf.DUMMYFUNCTION("""COMPUTED_VALUE"""),"15 K.Somchai L")</f>
        <v>15 K.Somchai L</v>
      </c>
      <c r="V2903" s="3" t="str">
        <f>IFERROR(__xludf.DUMMYFUNCTION("""COMPUTED_VALUE"""),"N")</f>
        <v>N</v>
      </c>
      <c r="W2903" s="3"/>
      <c r="X2903" s="3" t="str">
        <f>IFERROR(__xludf.DUMMYFUNCTION("""COMPUTED_VALUE"""),"230/1 หมู่ 5 ต.ควนเกย อ.ร่อนพิบูลย์ จ.นครศรีธรรมราช")</f>
        <v>230/1 หมู่ 5 ต.ควนเกย อ.ร่อนพิบูลย์ จ.นครศรีธรรมราช</v>
      </c>
      <c r="Y2903" s="3"/>
      <c r="Z2903" s="3">
        <f>IFERROR(__xludf.DUMMYFUNCTION("""COMPUTED_VALUE"""),0.0)</f>
        <v>0</v>
      </c>
      <c r="AA2903" s="3">
        <f>IFERROR(__xludf.DUMMYFUNCTION("""COMPUTED_VALUE"""),0.0)</f>
        <v>0</v>
      </c>
      <c r="AB2903" s="3" t="str">
        <f>IFERROR(__xludf.DUMMYFUNCTION("""COMPUTED_VALUE"""),"นครศรีธรรมราช")</f>
        <v>นครศรีธรรมราช</v>
      </c>
      <c r="AC2903" s="3">
        <f>IFERROR(__xludf.DUMMYFUNCTION("""COMPUTED_VALUE"""),0.0)</f>
        <v>0</v>
      </c>
      <c r="AD2903" s="3"/>
      <c r="AE2903" s="3"/>
      <c r="AF2903" s="3" t="str">
        <f>IFERROR(__xludf.DUMMYFUNCTION("""COMPUTED_VALUE"""),"ร้านโดนใจ B&amp;N การค้า (ร่อนพิบูลย์)-83770")</f>
        <v>ร้านโดนใจ B&amp;N การค้า (ร่อนพิบูลย์)-83770</v>
      </c>
      <c r="AG2903" s="3" t="str">
        <f>IFERROR(__xludf.DUMMYFUNCTION("""COMPUTED_VALUE"""),"ใต้")</f>
        <v>ใต้</v>
      </c>
      <c r="AH2903" s="3" t="str">
        <f>IFERROR(__xludf.DUMMYFUNCTION("""COMPUTED_VALUE"""),"#N/A")</f>
        <v>#N/A</v>
      </c>
      <c r="AI2903" s="3" t="str">
        <f>IFERROR(__xludf.DUMMYFUNCTION("""COMPUTED_VALUE"""),"Out of warranty")</f>
        <v>Out of warranty</v>
      </c>
      <c r="AJ2903" s="3">
        <f>IFERROR(__xludf.DUMMYFUNCTION("""COMPUTED_VALUE"""),46.0)</f>
        <v>46</v>
      </c>
      <c r="AK2903" s="3"/>
      <c r="AL2903" s="3"/>
    </row>
    <row r="2904" ht="15.75" customHeight="1">
      <c r="A2904" s="1" t="str">
        <f>IFERROR(__xludf.DUMMYFUNCTION("""COMPUTED_VALUE"""),"83771")</f>
        <v>83771</v>
      </c>
      <c r="B2904" s="2">
        <f>IFERROR(__xludf.DUMMYFUNCTION("""COMPUTED_VALUE"""),83771.0)</f>
        <v>83771</v>
      </c>
      <c r="C2904" s="3" t="str">
        <f>IFERROR(__xludf.DUMMYFUNCTION("""COMPUTED_VALUE"""),"ร้าน 9 กุมภา มินิมาร์ท (แม่สุทิน ห้วยโป่ง)")</f>
        <v>ร้าน 9 กุมภา มินิมาร์ท (แม่สุทิน ห้วยโป่ง)</v>
      </c>
      <c r="D2904" s="3" t="str">
        <f>IFERROR(__xludf.DUMMYFUNCTION("""COMPUTED_VALUE"""),"ร้าน 9 กุมภา มินิมาร์ท (แม่สุทิน ห้วยโป่ง)")</f>
        <v>ร้าน 9 กุมภา มินิมาร์ท (แม่สุทิน ห้วยโป่ง)</v>
      </c>
      <c r="E2904" s="1" t="str">
        <f>IFERROR(__xludf.DUMMYFUNCTION("""COMPUTED_VALUE"""),"Donjai")</f>
        <v>Donjai</v>
      </c>
      <c r="F2904" s="1" t="str">
        <f>IFERROR(__xludf.DUMMYFUNCTION("""COMPUTED_VALUE"""),"296945")</f>
        <v>296945</v>
      </c>
      <c r="G2904" s="1" t="str">
        <f>IFERROR(__xludf.DUMMYFUNCTION("""COMPUTED_VALUE"""),"นายรักพงศ์ พงศ์พันธ์งาม")</f>
        <v>นายรักพงศ์ พงศ์พันธ์งาม</v>
      </c>
      <c r="H2904" s="1" t="str">
        <f>IFERROR(__xludf.DUMMYFUNCTION("""COMPUTED_VALUE"""),"296945")</f>
        <v>296945</v>
      </c>
      <c r="I2904" s="1" t="str">
        <f>IFERROR(__xludf.DUMMYFUNCTION("""COMPUTED_VALUE"""),"นายรักพงศ์ พงศ์พันธ์งาม")</f>
        <v>นายรักพงศ์ พงศ์พันธ์งาม</v>
      </c>
      <c r="J2904" s="3">
        <f>IFERROR(__xludf.DUMMYFUNCTION("""COMPUTED_VALUE"""),228031.0)</f>
        <v>228031</v>
      </c>
      <c r="K2904" s="3" t="str">
        <f>IFERROR(__xludf.DUMMYFUNCTION("""COMPUTED_VALUE"""),"นายธนพงษ์ วันหมัด")</f>
        <v>นายธนพงษ์ วันหมัด</v>
      </c>
      <c r="L2904" s="1" t="str">
        <f>IFERROR(__xludf.DUMMYFUNCTION("""COMPUTED_VALUE"""),"นายธนพงษ์ วันหมัด")</f>
        <v>นายธนพงษ์ วันหมัด</v>
      </c>
      <c r="M2904" s="1" t="str">
        <f>IFERROR(__xludf.DUMMYFUNCTION("""COMPUTED_VALUE"""),"0813716913")</f>
        <v>0813716913</v>
      </c>
      <c r="N2904" s="3">
        <f>IFERROR(__xludf.DUMMYFUNCTION("""COMPUTED_VALUE"""),83771.0)</f>
        <v>83771</v>
      </c>
      <c r="O2904" s="3" t="str">
        <f>IFERROR(__xludf.DUMMYFUNCTION("""COMPUTED_VALUE"""),"ร้าน 9 กุมภา มินิมาร์ท (แม่สุทิน ห้วยโป่ง)")</f>
        <v>ร้าน 9 กุมภา มินิมาร์ท (แม่สุทิน ห้วยโป่ง)</v>
      </c>
      <c r="P2904" s="4">
        <f>IFERROR(__xludf.DUMMYFUNCTION("""COMPUTED_VALUE"""),44638.0)</f>
        <v>44638</v>
      </c>
      <c r="Q2904" s="3" t="str">
        <f>IFERROR(__xludf.DUMMYFUNCTION("""COMPUTED_VALUE"""),"I")</f>
        <v>I</v>
      </c>
      <c r="R2904" s="3" t="str">
        <f>IFERROR(__xludf.DUMMYFUNCTION("""COMPUTED_VALUE"""),"Small Format")</f>
        <v>Small Format</v>
      </c>
      <c r="S2904" s="3" t="str">
        <f>IFERROR(__xludf.DUMMYFUNCTION("""COMPUTED_VALUE"""),"Donjai")</f>
        <v>Donjai</v>
      </c>
      <c r="T2904" s="3">
        <f>IFERROR(__xludf.DUMMYFUNCTION("""COMPUTED_VALUE"""),0.0)</f>
        <v>0</v>
      </c>
      <c r="U2904" s="3">
        <f>IFERROR(__xludf.DUMMYFUNCTION("""COMPUTED_VALUE"""),0.0)</f>
        <v>0</v>
      </c>
      <c r="V2904" s="3" t="str">
        <f>IFERROR(__xludf.DUMMYFUNCTION("""COMPUTED_VALUE"""),"N")</f>
        <v>N</v>
      </c>
      <c r="W2904" s="3"/>
      <c r="X2904" s="3" t="str">
        <f>IFERROR(__xludf.DUMMYFUNCTION("""COMPUTED_VALUE"""),"72/20 ต.ห้วยโป่ง อ.เมือง จ.ระยอง")</f>
        <v>72/20 ต.ห้วยโป่ง อ.เมือง จ.ระยอง</v>
      </c>
      <c r="Y2904" s="3"/>
      <c r="Z2904" s="3">
        <f>IFERROR(__xludf.DUMMYFUNCTION("""COMPUTED_VALUE"""),0.0)</f>
        <v>0</v>
      </c>
      <c r="AA2904" s="3">
        <f>IFERROR(__xludf.DUMMYFUNCTION("""COMPUTED_VALUE"""),0.0)</f>
        <v>0</v>
      </c>
      <c r="AB2904" s="3" t="str">
        <f>IFERROR(__xludf.DUMMYFUNCTION("""COMPUTED_VALUE"""),"ระยอง")</f>
        <v>ระยอง</v>
      </c>
      <c r="AC2904" s="3">
        <f>IFERROR(__xludf.DUMMYFUNCTION("""COMPUTED_VALUE"""),0.0)</f>
        <v>0</v>
      </c>
      <c r="AD2904" s="3"/>
      <c r="AE2904" s="3"/>
      <c r="AF2904" s="3" t="str">
        <f>IFERROR(__xludf.DUMMYFUNCTION("""COMPUTED_VALUE"""),"ร้าน 9 กุมภา มินิมาร์ท (แม่สุทิน ห้วยโป่ง)-83771")</f>
        <v>ร้าน 9 กุมภา มินิมาร์ท (แม่สุทิน ห้วยโป่ง)-83771</v>
      </c>
      <c r="AG2904" s="3" t="str">
        <f>IFERROR(__xludf.DUMMYFUNCTION("""COMPUTED_VALUE"""),"ตะวันออก")</f>
        <v>ตะวันออก</v>
      </c>
      <c r="AH2904" s="3" t="str">
        <f>IFERROR(__xludf.DUMMYFUNCTION("""COMPUTED_VALUE"""),"#N/A")</f>
        <v>#N/A</v>
      </c>
      <c r="AI2904" s="3" t="str">
        <f>IFERROR(__xludf.DUMMYFUNCTION("""COMPUTED_VALUE"""),"Out of warranty")</f>
        <v>Out of warranty</v>
      </c>
      <c r="AJ2904" s="3">
        <f>IFERROR(__xludf.DUMMYFUNCTION("""COMPUTED_VALUE"""),47.0)</f>
        <v>47</v>
      </c>
      <c r="AK2904" s="3"/>
      <c r="AL2904" s="3"/>
    </row>
    <row r="2905" ht="15.75" customHeight="1">
      <c r="A2905" s="1" t="str">
        <f>IFERROR(__xludf.DUMMYFUNCTION("""COMPUTED_VALUE"""),"83774")</f>
        <v>83774</v>
      </c>
      <c r="B2905" s="2">
        <f>IFERROR(__xludf.DUMMYFUNCTION("""COMPUTED_VALUE"""),83774.0)</f>
        <v>83774</v>
      </c>
      <c r="C2905" s="3" t="str">
        <f>IFERROR(__xludf.DUMMYFUNCTION("""COMPUTED_VALUE"""),"ร้านป.ยิ่งเจริญพาณิชย์")</f>
        <v>ร้านป.ยิ่งเจริญพาณิชย์</v>
      </c>
      <c r="D2905" s="3" t="str">
        <f>IFERROR(__xludf.DUMMYFUNCTION("""COMPUTED_VALUE"""),"ร้านป.ยิ่งเจริญพาณิชย์")</f>
        <v>ร้านป.ยิ่งเจริญพาณิชย์</v>
      </c>
      <c r="E2905" s="1" t="str">
        <f>IFERROR(__xludf.DUMMYFUNCTION("""COMPUTED_VALUE"""),"Donjai")</f>
        <v>Donjai</v>
      </c>
      <c r="F2905" s="1" t="str">
        <f>IFERROR(__xludf.DUMMYFUNCTION("""COMPUTED_VALUE"""),"015361")</f>
        <v>015361</v>
      </c>
      <c r="G2905" s="1" t="str">
        <f>IFERROR(__xludf.DUMMYFUNCTION("""COMPUTED_VALUE"""),"นายสมบูรณ์ พรหมในเมือง")</f>
        <v>นายสมบูรณ์ พรหมในเมือง</v>
      </c>
      <c r="H2905" s="1" t="str">
        <f>IFERROR(__xludf.DUMMYFUNCTION("""COMPUTED_VALUE"""),"015361")</f>
        <v>015361</v>
      </c>
      <c r="I2905" s="1" t="str">
        <f>IFERROR(__xludf.DUMMYFUNCTION("""COMPUTED_VALUE"""),"นายสมบูรณ์ พรหมในเมือง")</f>
        <v>นายสมบูรณ์ พรหมในเมือง</v>
      </c>
      <c r="J2905" s="3">
        <f>IFERROR(__xludf.DUMMYFUNCTION("""COMPUTED_VALUE"""),295886.0)</f>
        <v>295886</v>
      </c>
      <c r="K2905" s="3" t="str">
        <f>IFERROR(__xludf.DUMMYFUNCTION("""COMPUTED_VALUE"""),"นายจิระพงษ์ โพธิ์นิล")</f>
        <v>นายจิระพงษ์ โพธิ์นิล</v>
      </c>
      <c r="L2905" s="1" t="str">
        <f>IFERROR(__xludf.DUMMYFUNCTION("""COMPUTED_VALUE"""),"นายจิระพงษ์ โพธิ์นิล")</f>
        <v>นายจิระพงษ์ โพธิ์นิล</v>
      </c>
      <c r="M2905" s="1" t="str">
        <f>IFERROR(__xludf.DUMMYFUNCTION("""COMPUTED_VALUE"""),"0933290754")</f>
        <v>0933290754</v>
      </c>
      <c r="N2905" s="3">
        <f>IFERROR(__xludf.DUMMYFUNCTION("""COMPUTED_VALUE"""),83774.0)</f>
        <v>83774</v>
      </c>
      <c r="O2905" s="3" t="str">
        <f>IFERROR(__xludf.DUMMYFUNCTION("""COMPUTED_VALUE"""),"ร้านป.ยิ่งเจริญพาณิชย์")</f>
        <v>ร้านป.ยิ่งเจริญพาณิชย์</v>
      </c>
      <c r="P2905" s="4">
        <f>IFERROR(__xludf.DUMMYFUNCTION("""COMPUTED_VALUE"""),44875.0)</f>
        <v>44875</v>
      </c>
      <c r="Q2905" s="3" t="str">
        <f>IFERROR(__xludf.DUMMYFUNCTION("""COMPUTED_VALUE"""),"I")</f>
        <v>I</v>
      </c>
      <c r="R2905" s="3" t="str">
        <f>IFERROR(__xludf.DUMMYFUNCTION("""COMPUTED_VALUE"""),"Small Format")</f>
        <v>Small Format</v>
      </c>
      <c r="S2905" s="3" t="str">
        <f>IFERROR(__xludf.DUMMYFUNCTION("""COMPUTED_VALUE"""),"Donjai")</f>
        <v>Donjai</v>
      </c>
      <c r="T2905" s="3" t="str">
        <f>IFERROR(__xludf.DUMMYFUNCTION("""COMPUTED_VALUE"""),"04 K.Somboon P.")</f>
        <v>04 K.Somboon P.</v>
      </c>
      <c r="U2905" s="3" t="str">
        <f>IFERROR(__xludf.DUMMYFUNCTION("""COMPUTED_VALUE"""),"04 K.Somboon P.")</f>
        <v>04 K.Somboon P.</v>
      </c>
      <c r="V2905" s="3" t="str">
        <f>IFERROR(__xludf.DUMMYFUNCTION("""COMPUTED_VALUE"""),"N")</f>
        <v>N</v>
      </c>
      <c r="W2905" s="3"/>
      <c r="X2905" s="3" t="str">
        <f>IFERROR(__xludf.DUMMYFUNCTION("""COMPUTED_VALUE"""),"254หมู่4 ต.ไพรขลา อ.ชุมพลบุรี จ.สุรินทร์")</f>
        <v>254หมู่4 ต.ไพรขลา อ.ชุมพลบุรี จ.สุรินทร์</v>
      </c>
      <c r="Y2905" s="3"/>
      <c r="Z2905" s="3">
        <f>IFERROR(__xludf.DUMMYFUNCTION("""COMPUTED_VALUE"""),0.0)</f>
        <v>0</v>
      </c>
      <c r="AA2905" s="3">
        <f>IFERROR(__xludf.DUMMYFUNCTION("""COMPUTED_VALUE"""),0.0)</f>
        <v>0</v>
      </c>
      <c r="AB2905" s="3" t="str">
        <f>IFERROR(__xludf.DUMMYFUNCTION("""COMPUTED_VALUE"""),"สุรินทร์")</f>
        <v>สุรินทร์</v>
      </c>
      <c r="AC2905" s="3">
        <f>IFERROR(__xludf.DUMMYFUNCTION("""COMPUTED_VALUE"""),0.0)</f>
        <v>0</v>
      </c>
      <c r="AD2905" s="3"/>
      <c r="AE2905" s="3"/>
      <c r="AF2905" s="3" t="str">
        <f>IFERROR(__xludf.DUMMYFUNCTION("""COMPUTED_VALUE"""),"ร้านป.ยิ่งเจริญพาณิชย์-83774")</f>
        <v>ร้านป.ยิ่งเจริญพาณิชย์-83774</v>
      </c>
      <c r="AG2905" s="3" t="str">
        <f>IFERROR(__xludf.DUMMYFUNCTION("""COMPUTED_VALUE"""),"ตะวันออกเฉียงเหนือ")</f>
        <v>ตะวันออกเฉียงเหนือ</v>
      </c>
      <c r="AH2905" s="3" t="str">
        <f>IFERROR(__xludf.DUMMYFUNCTION("""COMPUTED_VALUE"""),"#N/A")</f>
        <v>#N/A</v>
      </c>
      <c r="AI2905" s="3" t="str">
        <f>IFERROR(__xludf.DUMMYFUNCTION("""COMPUTED_VALUE"""),"Out of warranty")</f>
        <v>Out of warranty</v>
      </c>
      <c r="AJ2905" s="3">
        <f>IFERROR(__xludf.DUMMYFUNCTION("""COMPUTED_VALUE"""),39.0)</f>
        <v>39</v>
      </c>
      <c r="AK2905" s="3"/>
      <c r="AL2905" s="3"/>
    </row>
    <row r="2906" ht="15.75" customHeight="1">
      <c r="A2906" s="1" t="str">
        <f>IFERROR(__xludf.DUMMYFUNCTION("""COMPUTED_VALUE"""),"83775")</f>
        <v>83775</v>
      </c>
      <c r="B2906" s="2">
        <f>IFERROR(__xludf.DUMMYFUNCTION("""COMPUTED_VALUE"""),83775.0)</f>
        <v>83775</v>
      </c>
      <c r="C2906" s="3" t="str">
        <f>IFERROR(__xludf.DUMMYFUNCTION("""COMPUTED_VALUE"""),"ร้าน คิว&amp;ดิว")</f>
        <v>ร้าน คิว&amp;ดิว</v>
      </c>
      <c r="D2906" s="3" t="str">
        <f>IFERROR(__xludf.DUMMYFUNCTION("""COMPUTED_VALUE"""),"ร้าน คิว&amp;ดิว")</f>
        <v>ร้าน คิว&amp;ดิว</v>
      </c>
      <c r="E2906" s="1" t="str">
        <f>IFERROR(__xludf.DUMMYFUNCTION("""COMPUTED_VALUE"""),"Donjai")</f>
        <v>Donjai</v>
      </c>
      <c r="F2906" s="1" t="str">
        <f>IFERROR(__xludf.DUMMYFUNCTION("""COMPUTED_VALUE"""),"296868")</f>
        <v>296868</v>
      </c>
      <c r="G2906" s="1" t="str">
        <f>IFERROR(__xludf.DUMMYFUNCTION("""COMPUTED_VALUE"""),"นายพีระพงษ์ แก้วดวงดี")</f>
        <v>นายพีระพงษ์ แก้วดวงดี</v>
      </c>
      <c r="H2906" s="1" t="str">
        <f>IFERROR(__xludf.DUMMYFUNCTION("""COMPUTED_VALUE"""),"296868")</f>
        <v>296868</v>
      </c>
      <c r="I2906" s="1" t="str">
        <f>IFERROR(__xludf.DUMMYFUNCTION("""COMPUTED_VALUE"""),"นายพีระพงษ์ แก้วดวงดี")</f>
        <v>นายพีระพงษ์ แก้วดวงดี</v>
      </c>
      <c r="J2906" s="3">
        <f>IFERROR(__xludf.DUMMYFUNCTION("""COMPUTED_VALUE"""),295886.0)</f>
        <v>295886</v>
      </c>
      <c r="K2906" s="3" t="str">
        <f>IFERROR(__xludf.DUMMYFUNCTION("""COMPUTED_VALUE"""),"นายจิระพงษ์ โพธิ์นิล")</f>
        <v>นายจิระพงษ์ โพธิ์นิล</v>
      </c>
      <c r="L2906" s="1" t="str">
        <f>IFERROR(__xludf.DUMMYFUNCTION("""COMPUTED_VALUE"""),"นายจิระพงษ์ โพธิ์นิล")</f>
        <v>นายจิระพงษ์ โพธิ์นิล</v>
      </c>
      <c r="M2906" s="1" t="str">
        <f>IFERROR(__xludf.DUMMYFUNCTION("""COMPUTED_VALUE"""),"0933290754")</f>
        <v>0933290754</v>
      </c>
      <c r="N2906" s="3">
        <f>IFERROR(__xludf.DUMMYFUNCTION("""COMPUTED_VALUE"""),83775.0)</f>
        <v>83775</v>
      </c>
      <c r="O2906" s="3" t="str">
        <f>IFERROR(__xludf.DUMMYFUNCTION("""COMPUTED_VALUE"""),"ร้าน คิว&amp;ดิว")</f>
        <v>ร้าน คิว&amp;ดิว</v>
      </c>
      <c r="P2906" s="4">
        <f>IFERROR(__xludf.DUMMYFUNCTION("""COMPUTED_VALUE"""),44650.0)</f>
        <v>44650</v>
      </c>
      <c r="Q2906" s="3" t="str">
        <f>IFERROR(__xludf.DUMMYFUNCTION("""COMPUTED_VALUE"""),"I")</f>
        <v>I</v>
      </c>
      <c r="R2906" s="3" t="str">
        <f>IFERROR(__xludf.DUMMYFUNCTION("""COMPUTED_VALUE"""),"Small Format")</f>
        <v>Small Format</v>
      </c>
      <c r="S2906" s="3" t="str">
        <f>IFERROR(__xludf.DUMMYFUNCTION("""COMPUTED_VALUE"""),"Donjai")</f>
        <v>Donjai</v>
      </c>
      <c r="T2906" s="3" t="str">
        <f>IFERROR(__xludf.DUMMYFUNCTION("""COMPUTED_VALUE"""),"03 K.Peerapong K.")</f>
        <v>03 K.Peerapong K.</v>
      </c>
      <c r="U2906" s="3" t="str">
        <f>IFERROR(__xludf.DUMMYFUNCTION("""COMPUTED_VALUE"""),"03 K.Peerapong K.")</f>
        <v>03 K.Peerapong K.</v>
      </c>
      <c r="V2906" s="3" t="str">
        <f>IFERROR(__xludf.DUMMYFUNCTION("""COMPUTED_VALUE"""),"N")</f>
        <v>N</v>
      </c>
      <c r="W2906" s="3"/>
      <c r="X2906" s="3" t="str">
        <f>IFERROR(__xludf.DUMMYFUNCTION("""COMPUTED_VALUE"""),"66 หมู่ที่ 2 บ้านห้วยหินขาว ต.ห้วยพิชัย อ.ปากชม จ.เลย")</f>
        <v>66 หมู่ที่ 2 บ้านห้วยหินขาว ต.ห้วยพิชัย อ.ปากชม จ.เลย</v>
      </c>
      <c r="Y2906" s="3"/>
      <c r="Z2906" s="3" t="str">
        <f>IFERROR(__xludf.DUMMYFUNCTION("""COMPUTED_VALUE"""),"ห้วยพิชัย")</f>
        <v>ห้วยพิชัย</v>
      </c>
      <c r="AA2906" s="3" t="str">
        <f>IFERROR(__xludf.DUMMYFUNCTION("""COMPUTED_VALUE"""),"ปากชม")</f>
        <v>ปากชม</v>
      </c>
      <c r="AB2906" s="3" t="str">
        <f>IFERROR(__xludf.DUMMYFUNCTION("""COMPUTED_VALUE"""),"เลย")</f>
        <v>เลย</v>
      </c>
      <c r="AC2906" s="3">
        <f>IFERROR(__xludf.DUMMYFUNCTION("""COMPUTED_VALUE"""),0.0)</f>
        <v>0</v>
      </c>
      <c r="AD2906" s="3"/>
      <c r="AE2906" s="3"/>
      <c r="AF2906" s="3" t="str">
        <f>IFERROR(__xludf.DUMMYFUNCTION("""COMPUTED_VALUE"""),"ร้าน คิว&amp;ดิว-83775")</f>
        <v>ร้าน คิว&amp;ดิว-83775</v>
      </c>
      <c r="AG2906" s="3" t="str">
        <f>IFERROR(__xludf.DUMMYFUNCTION("""COMPUTED_VALUE"""),"ตะวันออกเฉียงเหนือ")</f>
        <v>ตะวันออกเฉียงเหนือ</v>
      </c>
      <c r="AH2906" s="3" t="str">
        <f>IFERROR(__xludf.DUMMYFUNCTION("""COMPUTED_VALUE"""),"#N/A")</f>
        <v>#N/A</v>
      </c>
      <c r="AI2906" s="3" t="str">
        <f>IFERROR(__xludf.DUMMYFUNCTION("""COMPUTED_VALUE"""),"Out of warranty")</f>
        <v>Out of warranty</v>
      </c>
      <c r="AJ2906" s="3">
        <f>IFERROR(__xludf.DUMMYFUNCTION("""COMPUTED_VALUE"""),46.0)</f>
        <v>46</v>
      </c>
      <c r="AK2906" s="3"/>
      <c r="AL2906" s="3"/>
    </row>
    <row r="2907" ht="15.75" customHeight="1">
      <c r="A2907" s="1" t="str">
        <f>IFERROR(__xludf.DUMMYFUNCTION("""COMPUTED_VALUE"""),"83776")</f>
        <v>83776</v>
      </c>
      <c r="B2907" s="2">
        <f>IFERROR(__xludf.DUMMYFUNCTION("""COMPUTED_VALUE"""),83776.0)</f>
        <v>83776</v>
      </c>
      <c r="C2907" s="3" t="str">
        <f>IFERROR(__xludf.DUMMYFUNCTION("""COMPUTED_VALUE"""),"ร้าน นุ่น รุ่งเรืองกิจ")</f>
        <v>ร้าน นุ่น รุ่งเรืองกิจ</v>
      </c>
      <c r="D2907" s="3" t="str">
        <f>IFERROR(__xludf.DUMMYFUNCTION("""COMPUTED_VALUE"""),"ร้าน นุ่น รุ่งเรืองกิจ")</f>
        <v>ร้าน นุ่น รุ่งเรืองกิจ</v>
      </c>
      <c r="E2907" s="1" t="str">
        <f>IFERROR(__xludf.DUMMYFUNCTION("""COMPUTED_VALUE"""),"Donjai")</f>
        <v>Donjai</v>
      </c>
      <c r="F2907" s="1" t="str">
        <f>IFERROR(__xludf.DUMMYFUNCTION("""COMPUTED_VALUE"""),"296868")</f>
        <v>296868</v>
      </c>
      <c r="G2907" s="1" t="str">
        <f>IFERROR(__xludf.DUMMYFUNCTION("""COMPUTED_VALUE"""),"นายพีระพงษ์ แก้วดวงดี")</f>
        <v>นายพีระพงษ์ แก้วดวงดี</v>
      </c>
      <c r="H2907" s="1" t="str">
        <f>IFERROR(__xludf.DUMMYFUNCTION("""COMPUTED_VALUE"""),"296868")</f>
        <v>296868</v>
      </c>
      <c r="I2907" s="1" t="str">
        <f>IFERROR(__xludf.DUMMYFUNCTION("""COMPUTED_VALUE"""),"นายพีระพงษ์ แก้วดวงดี")</f>
        <v>นายพีระพงษ์ แก้วดวงดี</v>
      </c>
      <c r="J2907" s="3">
        <f>IFERROR(__xludf.DUMMYFUNCTION("""COMPUTED_VALUE"""),295886.0)</f>
        <v>295886</v>
      </c>
      <c r="K2907" s="3" t="str">
        <f>IFERROR(__xludf.DUMMYFUNCTION("""COMPUTED_VALUE"""),"นายจิระพงษ์ โพธิ์นิล")</f>
        <v>นายจิระพงษ์ โพธิ์นิล</v>
      </c>
      <c r="L2907" s="1" t="str">
        <f>IFERROR(__xludf.DUMMYFUNCTION("""COMPUTED_VALUE"""),"นายจิระพงษ์ โพธิ์นิล")</f>
        <v>นายจิระพงษ์ โพธิ์นิล</v>
      </c>
      <c r="M2907" s="1" t="str">
        <f>IFERROR(__xludf.DUMMYFUNCTION("""COMPUTED_VALUE"""),"0933290754")</f>
        <v>0933290754</v>
      </c>
      <c r="N2907" s="3">
        <f>IFERROR(__xludf.DUMMYFUNCTION("""COMPUTED_VALUE"""),83776.0)</f>
        <v>83776</v>
      </c>
      <c r="O2907" s="3" t="str">
        <f>IFERROR(__xludf.DUMMYFUNCTION("""COMPUTED_VALUE"""),"ร้าน นุ่น รุ่งเรืองกิจ")</f>
        <v>ร้าน นุ่น รุ่งเรืองกิจ</v>
      </c>
      <c r="P2907" s="4">
        <f>IFERROR(__xludf.DUMMYFUNCTION("""COMPUTED_VALUE"""),44655.0)</f>
        <v>44655</v>
      </c>
      <c r="Q2907" s="3" t="str">
        <f>IFERROR(__xludf.DUMMYFUNCTION("""COMPUTED_VALUE"""),"A")</f>
        <v>A</v>
      </c>
      <c r="R2907" s="3" t="str">
        <f>IFERROR(__xludf.DUMMYFUNCTION("""COMPUTED_VALUE"""),"Small Format")</f>
        <v>Small Format</v>
      </c>
      <c r="S2907" s="3" t="str">
        <f>IFERROR(__xludf.DUMMYFUNCTION("""COMPUTED_VALUE"""),"Donjai")</f>
        <v>Donjai</v>
      </c>
      <c r="T2907" s="3" t="str">
        <f>IFERROR(__xludf.DUMMYFUNCTION("""COMPUTED_VALUE"""),"03 K.Peerapong K.")</f>
        <v>03 K.Peerapong K.</v>
      </c>
      <c r="U2907" s="3" t="str">
        <f>IFERROR(__xludf.DUMMYFUNCTION("""COMPUTED_VALUE"""),"03 K.Peerapong K.")</f>
        <v>03 K.Peerapong K.</v>
      </c>
      <c r="V2907" s="3" t="str">
        <f>IFERROR(__xludf.DUMMYFUNCTION("""COMPUTED_VALUE"""),"N")</f>
        <v>N</v>
      </c>
      <c r="W2907" s="3"/>
      <c r="X2907" s="3" t="str">
        <f>IFERROR(__xludf.DUMMYFUNCTION("""COMPUTED_VALUE"""),"228 ม.11 ต.วังตามัว อ.เมือง จ.นครพนม 48000")</f>
        <v>228 ม.11 ต.วังตามัว อ.เมือง จ.นครพนม 48000</v>
      </c>
      <c r="Y2907" s="3"/>
      <c r="Z2907" s="3">
        <f>IFERROR(__xludf.DUMMYFUNCTION("""COMPUTED_VALUE"""),0.0)</f>
        <v>0</v>
      </c>
      <c r="AA2907" s="3">
        <f>IFERROR(__xludf.DUMMYFUNCTION("""COMPUTED_VALUE"""),0.0)</f>
        <v>0</v>
      </c>
      <c r="AB2907" s="3" t="str">
        <f>IFERROR(__xludf.DUMMYFUNCTION("""COMPUTED_VALUE"""),"นครพนม")</f>
        <v>นครพนม</v>
      </c>
      <c r="AC2907" s="3">
        <f>IFERROR(__xludf.DUMMYFUNCTION("""COMPUTED_VALUE"""),48000.0)</f>
        <v>48000</v>
      </c>
      <c r="AD2907" s="3"/>
      <c r="AE2907" s="3"/>
      <c r="AF2907" s="3" t="str">
        <f>IFERROR(__xludf.DUMMYFUNCTION("""COMPUTED_VALUE"""),"ร้าน นุ่น รุ่งเรืองกิจ-83776")</f>
        <v>ร้าน นุ่น รุ่งเรืองกิจ-83776</v>
      </c>
      <c r="AG2907" s="3" t="str">
        <f>IFERROR(__xludf.DUMMYFUNCTION("""COMPUTED_VALUE"""),"ตะวันออกเฉียงเหนือ")</f>
        <v>ตะวันออกเฉียงเหนือ</v>
      </c>
      <c r="AH2907" s="3" t="str">
        <f>IFERROR(__xludf.DUMMYFUNCTION("""COMPUTED_VALUE"""),"#N/A")</f>
        <v>#N/A</v>
      </c>
      <c r="AI2907" s="3" t="str">
        <f>IFERROR(__xludf.DUMMYFUNCTION("""COMPUTED_VALUE"""),"Out of warranty")</f>
        <v>Out of warranty</v>
      </c>
      <c r="AJ2907" s="3">
        <f>IFERROR(__xludf.DUMMYFUNCTION("""COMPUTED_VALUE"""),46.0)</f>
        <v>46</v>
      </c>
      <c r="AK2907" s="3"/>
      <c r="AL2907" s="3"/>
    </row>
    <row r="2908" ht="15.75" customHeight="1">
      <c r="A2908" s="1" t="str">
        <f>IFERROR(__xludf.DUMMYFUNCTION("""COMPUTED_VALUE"""),"83777")</f>
        <v>83777</v>
      </c>
      <c r="B2908" s="2">
        <f>IFERROR(__xludf.DUMMYFUNCTION("""COMPUTED_VALUE"""),83777.0)</f>
        <v>83777</v>
      </c>
      <c r="C2908" s="3" t="str">
        <f>IFERROR(__xludf.DUMMYFUNCTION("""COMPUTED_VALUE"""),"ร้านไร่ขิง มินิมาร์ท")</f>
        <v>ร้านไร่ขิง มินิมาร์ท</v>
      </c>
      <c r="D2908" s="3" t="str">
        <f>IFERROR(__xludf.DUMMYFUNCTION("""COMPUTED_VALUE"""),"ร้านไร่ขิง มินิมาร์ท")</f>
        <v>ร้านไร่ขิง มินิมาร์ท</v>
      </c>
      <c r="E2908" s="1" t="str">
        <f>IFERROR(__xludf.DUMMYFUNCTION("""COMPUTED_VALUE"""),"Donjai")</f>
        <v>Donjai</v>
      </c>
      <c r="F2908" s="1" t="str">
        <f>IFERROR(__xludf.DUMMYFUNCTION("""COMPUTED_VALUE"""),"296608")</f>
        <v>296608</v>
      </c>
      <c r="G2908" s="1" t="str">
        <f>IFERROR(__xludf.DUMMYFUNCTION("""COMPUTED_VALUE"""),"นายภาคภูมิ เพ็ชรนิล")</f>
        <v>นายภาคภูมิ เพ็ชรนิล</v>
      </c>
      <c r="H2908" s="1" t="str">
        <f>IFERROR(__xludf.DUMMYFUNCTION("""COMPUTED_VALUE"""),"296608")</f>
        <v>296608</v>
      </c>
      <c r="I2908" s="1" t="str">
        <f>IFERROR(__xludf.DUMMYFUNCTION("""COMPUTED_VALUE"""),"นายภาคภูมิ เพ็ชรนิล")</f>
        <v>นายภาคภูมิ เพ็ชรนิล</v>
      </c>
      <c r="J2908" s="3">
        <f>IFERROR(__xludf.DUMMYFUNCTION("""COMPUTED_VALUE"""),228031.0)</f>
        <v>228031</v>
      </c>
      <c r="K2908" s="3" t="str">
        <f>IFERROR(__xludf.DUMMYFUNCTION("""COMPUTED_VALUE"""),"นายธนพงษ์ วันหมัด")</f>
        <v>นายธนพงษ์ วันหมัด</v>
      </c>
      <c r="L2908" s="1" t="str">
        <f>IFERROR(__xludf.DUMMYFUNCTION("""COMPUTED_VALUE"""),"นายธนพงษ์ วันหมัด")</f>
        <v>นายธนพงษ์ วันหมัด</v>
      </c>
      <c r="M2908" s="1" t="str">
        <f>IFERROR(__xludf.DUMMYFUNCTION("""COMPUTED_VALUE"""),"0813716913")</f>
        <v>0813716913</v>
      </c>
      <c r="N2908" s="3">
        <f>IFERROR(__xludf.DUMMYFUNCTION("""COMPUTED_VALUE"""),83777.0)</f>
        <v>83777</v>
      </c>
      <c r="O2908" s="3" t="str">
        <f>IFERROR(__xludf.DUMMYFUNCTION("""COMPUTED_VALUE"""),"ร้านไร่ขิง มินิมาร์ท")</f>
        <v>ร้านไร่ขิง มินิมาร์ท</v>
      </c>
      <c r="P2908" s="4">
        <f>IFERROR(__xludf.DUMMYFUNCTION("""COMPUTED_VALUE"""),44680.0)</f>
        <v>44680</v>
      </c>
      <c r="Q2908" s="3" t="str">
        <f>IFERROR(__xludf.DUMMYFUNCTION("""COMPUTED_VALUE"""),"A")</f>
        <v>A</v>
      </c>
      <c r="R2908" s="3" t="str">
        <f>IFERROR(__xludf.DUMMYFUNCTION("""COMPUTED_VALUE"""),"Small Format")</f>
        <v>Small Format</v>
      </c>
      <c r="S2908" s="3" t="str">
        <f>IFERROR(__xludf.DUMMYFUNCTION("""COMPUTED_VALUE"""),"Donjai")</f>
        <v>Donjai</v>
      </c>
      <c r="T2908" s="3" t="str">
        <f>IFERROR(__xludf.DUMMYFUNCTION("""COMPUTED_VALUE"""),"10 K.Phakphoom P.")</f>
        <v>10 K.Phakphoom P.</v>
      </c>
      <c r="U2908" s="3" t="str">
        <f>IFERROR(__xludf.DUMMYFUNCTION("""COMPUTED_VALUE"""),"10 K.Phakphoom P.")</f>
        <v>10 K.Phakphoom P.</v>
      </c>
      <c r="V2908" s="3" t="str">
        <f>IFERROR(__xludf.DUMMYFUNCTION("""COMPUTED_VALUE"""),"N")</f>
        <v>N</v>
      </c>
      <c r="W2908" s="3"/>
      <c r="X2908" s="3" t="str">
        <f>IFERROR(__xludf.DUMMYFUNCTION("""COMPUTED_VALUE"""),"9/117ม9 ตำบลไร่ขิง สามพราน นครปฐม")</f>
        <v>9/117ม9 ตำบลไร่ขิง สามพราน นครปฐม</v>
      </c>
      <c r="Y2908" s="3"/>
      <c r="Z2908" s="3">
        <f>IFERROR(__xludf.DUMMYFUNCTION("""COMPUTED_VALUE"""),0.0)</f>
        <v>0</v>
      </c>
      <c r="AA2908" s="3">
        <f>IFERROR(__xludf.DUMMYFUNCTION("""COMPUTED_VALUE"""),0.0)</f>
        <v>0</v>
      </c>
      <c r="AB2908" s="3" t="str">
        <f>IFERROR(__xludf.DUMMYFUNCTION("""COMPUTED_VALUE"""),"นครปฐม")</f>
        <v>นครปฐม</v>
      </c>
      <c r="AC2908" s="3">
        <f>IFERROR(__xludf.DUMMYFUNCTION("""COMPUTED_VALUE"""),0.0)</f>
        <v>0</v>
      </c>
      <c r="AD2908" s="3"/>
      <c r="AE2908" s="3"/>
      <c r="AF2908" s="3" t="str">
        <f>IFERROR(__xludf.DUMMYFUNCTION("""COMPUTED_VALUE"""),"ร้านไร่ขิง มินิมาร์ท-83777")</f>
        <v>ร้านไร่ขิง มินิมาร์ท-83777</v>
      </c>
      <c r="AG2908" s="3" t="str">
        <f>IFERROR(__xludf.DUMMYFUNCTION("""COMPUTED_VALUE"""),"กลาง")</f>
        <v>กลาง</v>
      </c>
      <c r="AH2908" s="3" t="str">
        <f>IFERROR(__xludf.DUMMYFUNCTION("""COMPUTED_VALUE"""),"#N/A")</f>
        <v>#N/A</v>
      </c>
      <c r="AI2908" s="3" t="str">
        <f>IFERROR(__xludf.DUMMYFUNCTION("""COMPUTED_VALUE"""),"Out of warranty")</f>
        <v>Out of warranty</v>
      </c>
      <c r="AJ2908" s="3">
        <f>IFERROR(__xludf.DUMMYFUNCTION("""COMPUTED_VALUE"""),45.0)</f>
        <v>45</v>
      </c>
      <c r="AK2908" s="3"/>
      <c r="AL2908" s="3"/>
    </row>
    <row r="2909" ht="15.75" customHeight="1">
      <c r="A2909" s="1" t="str">
        <f>IFERROR(__xludf.DUMMYFUNCTION("""COMPUTED_VALUE"""),"83779")</f>
        <v>83779</v>
      </c>
      <c r="B2909" s="2">
        <f>IFERROR(__xludf.DUMMYFUNCTION("""COMPUTED_VALUE"""),83779.0)</f>
        <v>83779</v>
      </c>
      <c r="C2909" s="3" t="str">
        <f>IFERROR(__xludf.DUMMYFUNCTION("""COMPUTED_VALUE"""),"ร้านเจ.เอ. มาร์ท(คุณเตือนใจ)")</f>
        <v>ร้านเจ.เอ. มาร์ท(คุณเตือนใจ)</v>
      </c>
      <c r="D2909" s="3" t="str">
        <f>IFERROR(__xludf.DUMMYFUNCTION("""COMPUTED_VALUE"""),"ร้านเจ.เอ. มาร์ท(คุณเตือนใจ)")</f>
        <v>ร้านเจ.เอ. มาร์ท(คุณเตือนใจ)</v>
      </c>
      <c r="E2909" s="1" t="str">
        <f>IFERROR(__xludf.DUMMYFUNCTION("""COMPUTED_VALUE"""),"Donjai")</f>
        <v>Donjai</v>
      </c>
      <c r="F2909" s="1" t="str">
        <f>IFERROR(__xludf.DUMMYFUNCTION("""COMPUTED_VALUE"""),"2010016")</f>
        <v>2010016</v>
      </c>
      <c r="G2909" s="1" t="str">
        <f>IFERROR(__xludf.DUMMYFUNCTION("""COMPUTED_VALUE"""),"นายตวงธรรม ใหม่ยศ")</f>
        <v>นายตวงธรรม ใหม่ยศ</v>
      </c>
      <c r="H2909" s="1" t="str">
        <f>IFERROR(__xludf.DUMMYFUNCTION("""COMPUTED_VALUE"""),"2010016")</f>
        <v>2010016</v>
      </c>
      <c r="I2909" s="1" t="str">
        <f>IFERROR(__xludf.DUMMYFUNCTION("""COMPUTED_VALUE"""),"นายตวงธรรม ใหม่ยศ")</f>
        <v>นายตวงธรรม ใหม่ยศ</v>
      </c>
      <c r="J2909" s="3">
        <f>IFERROR(__xludf.DUMMYFUNCTION("""COMPUTED_VALUE"""),295886.0)</f>
        <v>295886</v>
      </c>
      <c r="K2909" s="3" t="str">
        <f>IFERROR(__xludf.DUMMYFUNCTION("""COMPUTED_VALUE"""),"นายจิระพงษ์ โพธิ์นิล")</f>
        <v>นายจิระพงษ์ โพธิ์นิล</v>
      </c>
      <c r="L2909" s="1" t="str">
        <f>IFERROR(__xludf.DUMMYFUNCTION("""COMPUTED_VALUE"""),"นายจิระพงษ์ โพธิ์นิล")</f>
        <v>นายจิระพงษ์ โพธิ์นิล</v>
      </c>
      <c r="M2909" s="1" t="str">
        <f>IFERROR(__xludf.DUMMYFUNCTION("""COMPUTED_VALUE"""),"0933290754")</f>
        <v>0933290754</v>
      </c>
      <c r="N2909" s="3">
        <f>IFERROR(__xludf.DUMMYFUNCTION("""COMPUTED_VALUE"""),83779.0)</f>
        <v>83779</v>
      </c>
      <c r="O2909" s="3" t="str">
        <f>IFERROR(__xludf.DUMMYFUNCTION("""COMPUTED_VALUE"""),"ร้านเจ.เอ. มาร์ท(คุณเตือนใจ)")</f>
        <v>ร้านเจ.เอ. มาร์ท(คุณเตือนใจ)</v>
      </c>
      <c r="P2909" s="4">
        <f>IFERROR(__xludf.DUMMYFUNCTION("""COMPUTED_VALUE"""),44651.0)</f>
        <v>44651</v>
      </c>
      <c r="Q2909" s="3" t="str">
        <f>IFERROR(__xludf.DUMMYFUNCTION("""COMPUTED_VALUE"""),"I")</f>
        <v>I</v>
      </c>
      <c r="R2909" s="3" t="str">
        <f>IFERROR(__xludf.DUMMYFUNCTION("""COMPUTED_VALUE"""),"Small Format")</f>
        <v>Small Format</v>
      </c>
      <c r="S2909" s="3" t="str">
        <f>IFERROR(__xludf.DUMMYFUNCTION("""COMPUTED_VALUE"""),"Donjai")</f>
        <v>Donjai</v>
      </c>
      <c r="T2909" s="3" t="str">
        <f>IFERROR(__xludf.DUMMYFUNCTION("""COMPUTED_VALUE"""),"01 K.Tuangtham M.")</f>
        <v>01 K.Tuangtham M.</v>
      </c>
      <c r="U2909" s="3" t="str">
        <f>IFERROR(__xludf.DUMMYFUNCTION("""COMPUTED_VALUE"""),"01 K.Tuangtham M.")</f>
        <v>01 K.Tuangtham M.</v>
      </c>
      <c r="V2909" s="3" t="str">
        <f>IFERROR(__xludf.DUMMYFUNCTION("""COMPUTED_VALUE"""),"N")</f>
        <v>N</v>
      </c>
      <c r="W2909" s="3"/>
      <c r="X2909" s="3" t="str">
        <f>IFERROR(__xludf.DUMMYFUNCTION("""COMPUTED_VALUE"""),"299/4 ตโตนด อ.คีรีมาศ จ.สุโขทัย")</f>
        <v>299/4 ตโตนด อ.คีรีมาศ จ.สุโขทัย</v>
      </c>
      <c r="Y2909" s="3"/>
      <c r="Z2909" s="3">
        <f>IFERROR(__xludf.DUMMYFUNCTION("""COMPUTED_VALUE"""),0.0)</f>
        <v>0</v>
      </c>
      <c r="AA2909" s="3">
        <f>IFERROR(__xludf.DUMMYFUNCTION("""COMPUTED_VALUE"""),0.0)</f>
        <v>0</v>
      </c>
      <c r="AB2909" s="3" t="str">
        <f>IFERROR(__xludf.DUMMYFUNCTION("""COMPUTED_VALUE"""),"สุโขทัย")</f>
        <v>สุโขทัย</v>
      </c>
      <c r="AC2909" s="3">
        <f>IFERROR(__xludf.DUMMYFUNCTION("""COMPUTED_VALUE"""),0.0)</f>
        <v>0</v>
      </c>
      <c r="AD2909" s="3"/>
      <c r="AE2909" s="3"/>
      <c r="AF2909" s="3" t="str">
        <f>IFERROR(__xludf.DUMMYFUNCTION("""COMPUTED_VALUE"""),"ร้านเจ.เอ. มาร์ท(คุณเตือนใจ)-83779")</f>
        <v>ร้านเจ.เอ. มาร์ท(คุณเตือนใจ)-83779</v>
      </c>
      <c r="AG2909" s="3" t="str">
        <f>IFERROR(__xludf.DUMMYFUNCTION("""COMPUTED_VALUE"""),"กลาง")</f>
        <v>กลาง</v>
      </c>
      <c r="AH2909" s="3" t="str">
        <f>IFERROR(__xludf.DUMMYFUNCTION("""COMPUTED_VALUE"""),"#N/A")</f>
        <v>#N/A</v>
      </c>
      <c r="AI2909" s="3" t="str">
        <f>IFERROR(__xludf.DUMMYFUNCTION("""COMPUTED_VALUE"""),"Out of warranty")</f>
        <v>Out of warranty</v>
      </c>
      <c r="AJ2909" s="3">
        <f>IFERROR(__xludf.DUMMYFUNCTION("""COMPUTED_VALUE"""),46.0)</f>
        <v>46</v>
      </c>
      <c r="AK2909" s="3"/>
      <c r="AL2909" s="3"/>
    </row>
    <row r="2910" ht="15.75" customHeight="1">
      <c r="A2910" s="1" t="str">
        <f>IFERROR(__xludf.DUMMYFUNCTION("""COMPUTED_VALUE"""),"83780")</f>
        <v>83780</v>
      </c>
      <c r="B2910" s="2">
        <f>IFERROR(__xludf.DUMMYFUNCTION("""COMPUTED_VALUE"""),83780.0)</f>
        <v>83780</v>
      </c>
      <c r="C2910" s="3" t="str">
        <f>IFERROR(__xludf.DUMMYFUNCTION("""COMPUTED_VALUE"""),"ร้านปาร์ตี้มินิมาร์ท")</f>
        <v>ร้านปาร์ตี้มินิมาร์ท</v>
      </c>
      <c r="D2910" s="3" t="str">
        <f>IFERROR(__xludf.DUMMYFUNCTION("""COMPUTED_VALUE"""),"ร้านปาร์ตี้มินิมาร์ท")</f>
        <v>ร้านปาร์ตี้มินิมาร์ท</v>
      </c>
      <c r="E2910" s="1" t="str">
        <f>IFERROR(__xludf.DUMMYFUNCTION("""COMPUTED_VALUE"""),"Donjai")</f>
        <v>Donjai</v>
      </c>
      <c r="F2910" s="1" t="str">
        <f>IFERROR(__xludf.DUMMYFUNCTION("""COMPUTED_VALUE"""),"296868")</f>
        <v>296868</v>
      </c>
      <c r="G2910" s="1" t="str">
        <f>IFERROR(__xludf.DUMMYFUNCTION("""COMPUTED_VALUE"""),"นายพีระพงษ์ แก้วดวงดี")</f>
        <v>นายพีระพงษ์ แก้วดวงดี</v>
      </c>
      <c r="H2910" s="1" t="str">
        <f>IFERROR(__xludf.DUMMYFUNCTION("""COMPUTED_VALUE"""),"296868")</f>
        <v>296868</v>
      </c>
      <c r="I2910" s="1" t="str">
        <f>IFERROR(__xludf.DUMMYFUNCTION("""COMPUTED_VALUE"""),"นายพีระพงษ์ แก้วดวงดี")</f>
        <v>นายพีระพงษ์ แก้วดวงดี</v>
      </c>
      <c r="J2910" s="3">
        <f>IFERROR(__xludf.DUMMYFUNCTION("""COMPUTED_VALUE"""),295886.0)</f>
        <v>295886</v>
      </c>
      <c r="K2910" s="3" t="str">
        <f>IFERROR(__xludf.DUMMYFUNCTION("""COMPUTED_VALUE"""),"นายจิระพงษ์ โพธิ์นิล")</f>
        <v>นายจิระพงษ์ โพธิ์นิล</v>
      </c>
      <c r="L2910" s="1" t="str">
        <f>IFERROR(__xludf.DUMMYFUNCTION("""COMPUTED_VALUE"""),"นายจิระพงษ์ โพธิ์นิล")</f>
        <v>นายจิระพงษ์ โพธิ์นิล</v>
      </c>
      <c r="M2910" s="1" t="str">
        <f>IFERROR(__xludf.DUMMYFUNCTION("""COMPUTED_VALUE"""),"0933290754")</f>
        <v>0933290754</v>
      </c>
      <c r="N2910" s="3">
        <f>IFERROR(__xludf.DUMMYFUNCTION("""COMPUTED_VALUE"""),83780.0)</f>
        <v>83780</v>
      </c>
      <c r="O2910" s="3" t="str">
        <f>IFERROR(__xludf.DUMMYFUNCTION("""COMPUTED_VALUE"""),"ร้านปาร์ตี้มินิมาร์ท")</f>
        <v>ร้านปาร์ตี้มินิมาร์ท</v>
      </c>
      <c r="P2910" s="4">
        <f>IFERROR(__xludf.DUMMYFUNCTION("""COMPUTED_VALUE"""),44652.0)</f>
        <v>44652</v>
      </c>
      <c r="Q2910" s="3" t="str">
        <f>IFERROR(__xludf.DUMMYFUNCTION("""COMPUTED_VALUE"""),"A")</f>
        <v>A</v>
      </c>
      <c r="R2910" s="3" t="str">
        <f>IFERROR(__xludf.DUMMYFUNCTION("""COMPUTED_VALUE"""),"Small Format")</f>
        <v>Small Format</v>
      </c>
      <c r="S2910" s="3" t="str">
        <f>IFERROR(__xludf.DUMMYFUNCTION("""COMPUTED_VALUE"""),"Donjai")</f>
        <v>Donjai</v>
      </c>
      <c r="T2910" s="3" t="str">
        <f>IFERROR(__xludf.DUMMYFUNCTION("""COMPUTED_VALUE"""),"03 K.Peerapong K.")</f>
        <v>03 K.Peerapong K.</v>
      </c>
      <c r="U2910" s="3" t="str">
        <f>IFERROR(__xludf.DUMMYFUNCTION("""COMPUTED_VALUE"""),"03 K.Peerapong K.")</f>
        <v>03 K.Peerapong K.</v>
      </c>
      <c r="V2910" s="3" t="str">
        <f>IFERROR(__xludf.DUMMYFUNCTION("""COMPUTED_VALUE"""),"N")</f>
        <v>N</v>
      </c>
      <c r="W2910" s="3"/>
      <c r="X2910" s="3" t="str">
        <f>IFERROR(__xludf.DUMMYFUNCTION("""COMPUTED_VALUE"""),"26 ม.2 ต.วัฒนา อ.ส่องดาว จ.สกลนคร 47190")</f>
        <v>26 ม.2 ต.วัฒนา อ.ส่องดาว จ.สกลนคร 47190</v>
      </c>
      <c r="Y2910" s="3"/>
      <c r="Z2910" s="3">
        <f>IFERROR(__xludf.DUMMYFUNCTION("""COMPUTED_VALUE"""),0.0)</f>
        <v>0</v>
      </c>
      <c r="AA2910" s="3">
        <f>IFERROR(__xludf.DUMMYFUNCTION("""COMPUTED_VALUE"""),0.0)</f>
        <v>0</v>
      </c>
      <c r="AB2910" s="3" t="str">
        <f>IFERROR(__xludf.DUMMYFUNCTION("""COMPUTED_VALUE"""),"สกลนคร")</f>
        <v>สกลนคร</v>
      </c>
      <c r="AC2910" s="3">
        <f>IFERROR(__xludf.DUMMYFUNCTION("""COMPUTED_VALUE"""),47190.0)</f>
        <v>47190</v>
      </c>
      <c r="AD2910" s="3"/>
      <c r="AE2910" s="3"/>
      <c r="AF2910" s="3" t="str">
        <f>IFERROR(__xludf.DUMMYFUNCTION("""COMPUTED_VALUE"""),"ร้านปาร์ตี้มินิมาร์ท-83780")</f>
        <v>ร้านปาร์ตี้มินิมาร์ท-83780</v>
      </c>
      <c r="AG2910" s="3" t="str">
        <f>IFERROR(__xludf.DUMMYFUNCTION("""COMPUTED_VALUE"""),"ตะวันออกเฉียงเหนือ")</f>
        <v>ตะวันออกเฉียงเหนือ</v>
      </c>
      <c r="AH2910" s="3" t="str">
        <f>IFERROR(__xludf.DUMMYFUNCTION("""COMPUTED_VALUE"""),"#N/A")</f>
        <v>#N/A</v>
      </c>
      <c r="AI2910" s="3" t="str">
        <f>IFERROR(__xludf.DUMMYFUNCTION("""COMPUTED_VALUE"""),"Out of warranty")</f>
        <v>Out of warranty</v>
      </c>
      <c r="AJ2910" s="3">
        <f>IFERROR(__xludf.DUMMYFUNCTION("""COMPUTED_VALUE"""),46.0)</f>
        <v>46</v>
      </c>
      <c r="AK2910" s="3"/>
      <c r="AL2910" s="3"/>
    </row>
    <row r="2911" ht="15.75" customHeight="1">
      <c r="A2911" s="1" t="str">
        <f>IFERROR(__xludf.DUMMYFUNCTION("""COMPUTED_VALUE"""),"83781")</f>
        <v>83781</v>
      </c>
      <c r="B2911" s="2">
        <f>IFERROR(__xludf.DUMMYFUNCTION("""COMPUTED_VALUE"""),83781.0)</f>
        <v>83781</v>
      </c>
      <c r="C2911" s="3" t="str">
        <f>IFERROR(__xludf.DUMMYFUNCTION("""COMPUTED_VALUE"""),"ร้านโชคดี")</f>
        <v>ร้านโชคดี</v>
      </c>
      <c r="D2911" s="3" t="str">
        <f>IFERROR(__xludf.DUMMYFUNCTION("""COMPUTED_VALUE"""),"ร้านโชคดี")</f>
        <v>ร้านโชคดี</v>
      </c>
      <c r="E2911" s="1" t="str">
        <f>IFERROR(__xludf.DUMMYFUNCTION("""COMPUTED_VALUE"""),"Donjai")</f>
        <v>Donjai</v>
      </c>
      <c r="F2911" s="1" t="str">
        <f>IFERROR(__xludf.DUMMYFUNCTION("""COMPUTED_VALUE"""),"2010016")</f>
        <v>2010016</v>
      </c>
      <c r="G2911" s="1" t="str">
        <f>IFERROR(__xludf.DUMMYFUNCTION("""COMPUTED_VALUE"""),"นายตวงธรรม ใหม่ยศ")</f>
        <v>นายตวงธรรม ใหม่ยศ</v>
      </c>
      <c r="H2911" s="1" t="str">
        <f>IFERROR(__xludf.DUMMYFUNCTION("""COMPUTED_VALUE"""),"2010016")</f>
        <v>2010016</v>
      </c>
      <c r="I2911" s="1" t="str">
        <f>IFERROR(__xludf.DUMMYFUNCTION("""COMPUTED_VALUE"""),"นายตวงธรรม ใหม่ยศ")</f>
        <v>นายตวงธรรม ใหม่ยศ</v>
      </c>
      <c r="J2911" s="3">
        <f>IFERROR(__xludf.DUMMYFUNCTION("""COMPUTED_VALUE"""),295886.0)</f>
        <v>295886</v>
      </c>
      <c r="K2911" s="3" t="str">
        <f>IFERROR(__xludf.DUMMYFUNCTION("""COMPUTED_VALUE"""),"นายจิระพงษ์ โพธิ์นิล")</f>
        <v>นายจิระพงษ์ โพธิ์นิล</v>
      </c>
      <c r="L2911" s="1" t="str">
        <f>IFERROR(__xludf.DUMMYFUNCTION("""COMPUTED_VALUE"""),"นายจิระพงษ์ โพธิ์นิล")</f>
        <v>นายจิระพงษ์ โพธิ์นิล</v>
      </c>
      <c r="M2911" s="1" t="str">
        <f>IFERROR(__xludf.DUMMYFUNCTION("""COMPUTED_VALUE"""),"0933290754")</f>
        <v>0933290754</v>
      </c>
      <c r="N2911" s="3">
        <f>IFERROR(__xludf.DUMMYFUNCTION("""COMPUTED_VALUE"""),83781.0)</f>
        <v>83781</v>
      </c>
      <c r="O2911" s="3" t="str">
        <f>IFERROR(__xludf.DUMMYFUNCTION("""COMPUTED_VALUE"""),"ร้านโชคดี")</f>
        <v>ร้านโชคดี</v>
      </c>
      <c r="P2911" s="4">
        <f>IFERROR(__xludf.DUMMYFUNCTION("""COMPUTED_VALUE"""),44655.0)</f>
        <v>44655</v>
      </c>
      <c r="Q2911" s="3" t="str">
        <f>IFERROR(__xludf.DUMMYFUNCTION("""COMPUTED_VALUE"""),"A")</f>
        <v>A</v>
      </c>
      <c r="R2911" s="3" t="str">
        <f>IFERROR(__xludf.DUMMYFUNCTION("""COMPUTED_VALUE"""),"Small Format")</f>
        <v>Small Format</v>
      </c>
      <c r="S2911" s="3" t="str">
        <f>IFERROR(__xludf.DUMMYFUNCTION("""COMPUTED_VALUE"""),"Donjai")</f>
        <v>Donjai</v>
      </c>
      <c r="T2911" s="3" t="str">
        <f>IFERROR(__xludf.DUMMYFUNCTION("""COMPUTED_VALUE"""),"01 K.Tuangtham M.")</f>
        <v>01 K.Tuangtham M.</v>
      </c>
      <c r="U2911" s="3" t="str">
        <f>IFERROR(__xludf.DUMMYFUNCTION("""COMPUTED_VALUE"""),"01 K.Tuangtham M.")</f>
        <v>01 K.Tuangtham M.</v>
      </c>
      <c r="V2911" s="3" t="str">
        <f>IFERROR(__xludf.DUMMYFUNCTION("""COMPUTED_VALUE"""),"N")</f>
        <v>N</v>
      </c>
      <c r="W2911" s="3"/>
      <c r="X2911" s="3" t="str">
        <f>IFERROR(__xludf.DUMMYFUNCTION("""COMPUTED_VALUE"""),"49 ม.6 ถนน สา-นาน้อย ต.ส้าน อ.เวียงสา จ.น่าน")</f>
        <v>49 ม.6 ถนน สา-นาน้อย ต.ส้าน อ.เวียงสา จ.น่าน</v>
      </c>
      <c r="Y2911" s="3"/>
      <c r="Z2911" s="3">
        <f>IFERROR(__xludf.DUMMYFUNCTION("""COMPUTED_VALUE"""),0.0)</f>
        <v>0</v>
      </c>
      <c r="AA2911" s="3">
        <f>IFERROR(__xludf.DUMMYFUNCTION("""COMPUTED_VALUE"""),0.0)</f>
        <v>0</v>
      </c>
      <c r="AB2911" s="3" t="str">
        <f>IFERROR(__xludf.DUMMYFUNCTION("""COMPUTED_VALUE"""),"น่าน")</f>
        <v>น่าน</v>
      </c>
      <c r="AC2911" s="3">
        <f>IFERROR(__xludf.DUMMYFUNCTION("""COMPUTED_VALUE"""),0.0)</f>
        <v>0</v>
      </c>
      <c r="AD2911" s="3"/>
      <c r="AE2911" s="3"/>
      <c r="AF2911" s="3" t="str">
        <f>IFERROR(__xludf.DUMMYFUNCTION("""COMPUTED_VALUE"""),"ร้านโชคดี-83781")</f>
        <v>ร้านโชคดี-83781</v>
      </c>
      <c r="AG2911" s="3" t="str">
        <f>IFERROR(__xludf.DUMMYFUNCTION("""COMPUTED_VALUE"""),"เหนือ")</f>
        <v>เหนือ</v>
      </c>
      <c r="AH2911" s="3" t="str">
        <f>IFERROR(__xludf.DUMMYFUNCTION("""COMPUTED_VALUE"""),"#N/A")</f>
        <v>#N/A</v>
      </c>
      <c r="AI2911" s="3" t="str">
        <f>IFERROR(__xludf.DUMMYFUNCTION("""COMPUTED_VALUE"""),"Out of warranty")</f>
        <v>Out of warranty</v>
      </c>
      <c r="AJ2911" s="3">
        <f>IFERROR(__xludf.DUMMYFUNCTION("""COMPUTED_VALUE"""),46.0)</f>
        <v>46</v>
      </c>
      <c r="AK2911" s="3"/>
      <c r="AL2911" s="3"/>
    </row>
    <row r="2912" ht="15.75" customHeight="1">
      <c r="A2912" s="1" t="str">
        <f>IFERROR(__xludf.DUMMYFUNCTION("""COMPUTED_VALUE"""),"83783")</f>
        <v>83783</v>
      </c>
      <c r="B2912" s="2">
        <f>IFERROR(__xludf.DUMMYFUNCTION("""COMPUTED_VALUE"""),83783.0)</f>
        <v>83783</v>
      </c>
      <c r="C2912" s="3" t="str">
        <f>IFERROR(__xludf.DUMMYFUNCTION("""COMPUTED_VALUE"""),"ร้านสี่พี่น้องมินิมาร์ท")</f>
        <v>ร้านสี่พี่น้องมินิมาร์ท</v>
      </c>
      <c r="D2912" s="3" t="str">
        <f>IFERROR(__xludf.DUMMYFUNCTION("""COMPUTED_VALUE"""),"ร้านสี่พี่น้องมินิมาร์ท")</f>
        <v>ร้านสี่พี่น้องมินิมาร์ท</v>
      </c>
      <c r="E2912" s="1" t="str">
        <f>IFERROR(__xludf.DUMMYFUNCTION("""COMPUTED_VALUE"""),"Donjai")</f>
        <v>Donjai</v>
      </c>
      <c r="F2912" s="1" t="str">
        <f>IFERROR(__xludf.DUMMYFUNCTION("""COMPUTED_VALUE"""),"296868")</f>
        <v>296868</v>
      </c>
      <c r="G2912" s="1" t="str">
        <f>IFERROR(__xludf.DUMMYFUNCTION("""COMPUTED_VALUE"""),"นายพีระพงษ์ แก้วดวงดี")</f>
        <v>นายพีระพงษ์ แก้วดวงดี</v>
      </c>
      <c r="H2912" s="1" t="str">
        <f>IFERROR(__xludf.DUMMYFUNCTION("""COMPUTED_VALUE"""),"296868")</f>
        <v>296868</v>
      </c>
      <c r="I2912" s="1" t="str">
        <f>IFERROR(__xludf.DUMMYFUNCTION("""COMPUTED_VALUE"""),"นายพีระพงษ์ แก้วดวงดี")</f>
        <v>นายพีระพงษ์ แก้วดวงดี</v>
      </c>
      <c r="J2912" s="3">
        <f>IFERROR(__xludf.DUMMYFUNCTION("""COMPUTED_VALUE"""),295886.0)</f>
        <v>295886</v>
      </c>
      <c r="K2912" s="3" t="str">
        <f>IFERROR(__xludf.DUMMYFUNCTION("""COMPUTED_VALUE"""),"นายจิระพงษ์ โพธิ์นิล")</f>
        <v>นายจิระพงษ์ โพธิ์นิล</v>
      </c>
      <c r="L2912" s="1" t="str">
        <f>IFERROR(__xludf.DUMMYFUNCTION("""COMPUTED_VALUE"""),"นายจิระพงษ์ โพธิ์นิล")</f>
        <v>นายจิระพงษ์ โพธิ์นิล</v>
      </c>
      <c r="M2912" s="1" t="str">
        <f>IFERROR(__xludf.DUMMYFUNCTION("""COMPUTED_VALUE"""),"0933290754")</f>
        <v>0933290754</v>
      </c>
      <c r="N2912" s="3">
        <f>IFERROR(__xludf.DUMMYFUNCTION("""COMPUTED_VALUE"""),83783.0)</f>
        <v>83783</v>
      </c>
      <c r="O2912" s="3" t="str">
        <f>IFERROR(__xludf.DUMMYFUNCTION("""COMPUTED_VALUE"""),"ร้านสี่พี่น้องมินิมาร์ท")</f>
        <v>ร้านสี่พี่น้องมินิมาร์ท</v>
      </c>
      <c r="P2912" s="4">
        <f>IFERROR(__xludf.DUMMYFUNCTION("""COMPUTED_VALUE"""),44640.0)</f>
        <v>44640</v>
      </c>
      <c r="Q2912" s="3" t="str">
        <f>IFERROR(__xludf.DUMMYFUNCTION("""COMPUTED_VALUE"""),"I")</f>
        <v>I</v>
      </c>
      <c r="R2912" s="3" t="str">
        <f>IFERROR(__xludf.DUMMYFUNCTION("""COMPUTED_VALUE"""),"Small Format")</f>
        <v>Small Format</v>
      </c>
      <c r="S2912" s="3" t="str">
        <f>IFERROR(__xludf.DUMMYFUNCTION("""COMPUTED_VALUE"""),"Donjai")</f>
        <v>Donjai</v>
      </c>
      <c r="T2912" s="3" t="str">
        <f>IFERROR(__xludf.DUMMYFUNCTION("""COMPUTED_VALUE"""),"03 K.Peerapong K.")</f>
        <v>03 K.Peerapong K.</v>
      </c>
      <c r="U2912" s="3" t="str">
        <f>IFERROR(__xludf.DUMMYFUNCTION("""COMPUTED_VALUE"""),"03 K.Peerapong K.")</f>
        <v>03 K.Peerapong K.</v>
      </c>
      <c r="V2912" s="3" t="str">
        <f>IFERROR(__xludf.DUMMYFUNCTION("""COMPUTED_VALUE"""),"N")</f>
        <v>N</v>
      </c>
      <c r="W2912" s="3"/>
      <c r="X2912" s="3" t="str">
        <f>IFERROR(__xludf.DUMMYFUNCTION("""COMPUTED_VALUE"""),"74 ม.5 หนองแก ศรีบุญเรือง หนองบัวลำภู 90120")</f>
        <v>74 ม.5 หนองแก ศรีบุญเรือง หนองบัวลำภู 90120</v>
      </c>
      <c r="Y2912" s="3"/>
      <c r="Z2912" s="3">
        <f>IFERROR(__xludf.DUMMYFUNCTION("""COMPUTED_VALUE"""),0.0)</f>
        <v>0</v>
      </c>
      <c r="AA2912" s="3">
        <f>IFERROR(__xludf.DUMMYFUNCTION("""COMPUTED_VALUE"""),0.0)</f>
        <v>0</v>
      </c>
      <c r="AB2912" s="3" t="str">
        <f>IFERROR(__xludf.DUMMYFUNCTION("""COMPUTED_VALUE"""),"หนองบัวลำภู")</f>
        <v>หนองบัวลำภู</v>
      </c>
      <c r="AC2912" s="3">
        <f>IFERROR(__xludf.DUMMYFUNCTION("""COMPUTED_VALUE"""),90120.0)</f>
        <v>90120</v>
      </c>
      <c r="AD2912" s="3"/>
      <c r="AE2912" s="3"/>
      <c r="AF2912" s="3" t="str">
        <f>IFERROR(__xludf.DUMMYFUNCTION("""COMPUTED_VALUE"""),"ร้านสี่พี่น้องมินิมาร์ท-83783")</f>
        <v>ร้านสี่พี่น้องมินิมาร์ท-83783</v>
      </c>
      <c r="AG2912" s="3" t="str">
        <f>IFERROR(__xludf.DUMMYFUNCTION("""COMPUTED_VALUE"""),"ตะวันออกเฉียงเหนือ")</f>
        <v>ตะวันออกเฉียงเหนือ</v>
      </c>
      <c r="AH2912" s="3" t="str">
        <f>IFERROR(__xludf.DUMMYFUNCTION("""COMPUTED_VALUE"""),"#N/A")</f>
        <v>#N/A</v>
      </c>
      <c r="AI2912" s="3" t="str">
        <f>IFERROR(__xludf.DUMMYFUNCTION("""COMPUTED_VALUE"""),"Out of warranty")</f>
        <v>Out of warranty</v>
      </c>
      <c r="AJ2912" s="3">
        <f>IFERROR(__xludf.DUMMYFUNCTION("""COMPUTED_VALUE"""),47.0)</f>
        <v>47</v>
      </c>
      <c r="AK2912" s="3"/>
      <c r="AL2912" s="3"/>
    </row>
    <row r="2913" ht="15.75" customHeight="1">
      <c r="A2913" s="1" t="str">
        <f>IFERROR(__xludf.DUMMYFUNCTION("""COMPUTED_VALUE"""),"83784")</f>
        <v>83784</v>
      </c>
      <c r="B2913" s="2">
        <f>IFERROR(__xludf.DUMMYFUNCTION("""COMPUTED_VALUE"""),83784.0)</f>
        <v>83784</v>
      </c>
      <c r="C2913" s="3" t="str">
        <f>IFERROR(__xludf.DUMMYFUNCTION("""COMPUTED_VALUE"""),"ร้านเนตรจรัส")</f>
        <v>ร้านเนตรจรัส</v>
      </c>
      <c r="D2913" s="3" t="str">
        <f>IFERROR(__xludf.DUMMYFUNCTION("""COMPUTED_VALUE"""),"ร้านเนตรจรัส")</f>
        <v>ร้านเนตรจรัส</v>
      </c>
      <c r="E2913" s="1" t="str">
        <f>IFERROR(__xludf.DUMMYFUNCTION("""COMPUTED_VALUE"""),"Donjai")</f>
        <v>Donjai</v>
      </c>
      <c r="F2913" s="1" t="str">
        <f>IFERROR(__xludf.DUMMYFUNCTION("""COMPUTED_VALUE"""),"2452376")</f>
        <v>2452376</v>
      </c>
      <c r="G2913" s="1" t="str">
        <f>IFERROR(__xludf.DUMMYFUNCTION("""COMPUTED_VALUE"""),"นายภาคภูมิ ทวีกุล")</f>
        <v>นายภาคภูมิ ทวีกุล</v>
      </c>
      <c r="H2913" s="1" t="str">
        <f>IFERROR(__xludf.DUMMYFUNCTION("""COMPUTED_VALUE"""),"2452376")</f>
        <v>2452376</v>
      </c>
      <c r="I2913" s="1" t="str">
        <f>IFERROR(__xludf.DUMMYFUNCTION("""COMPUTED_VALUE"""),"นายภาคภูมิ ทวีกุล")</f>
        <v>นายภาคภูมิ ทวีกุล</v>
      </c>
      <c r="J2913" s="3">
        <f>IFERROR(__xludf.DUMMYFUNCTION("""COMPUTED_VALUE"""),295541.0)</f>
        <v>295541</v>
      </c>
      <c r="K2913" s="3" t="str">
        <f>IFERROR(__xludf.DUMMYFUNCTION("""COMPUTED_VALUE"""),"นายรพิพล ศรีมาตย์")</f>
        <v>นายรพิพล ศรีมาตย์</v>
      </c>
      <c r="L2913" s="1" t="str">
        <f>IFERROR(__xludf.DUMMYFUNCTION("""COMPUTED_VALUE"""),"นายรพิพล ศรีมาตย์")</f>
        <v>นายรพิพล ศรีมาตย์</v>
      </c>
      <c r="M2913" s="1" t="str">
        <f>IFERROR(__xludf.DUMMYFUNCTION("""COMPUTED_VALUE"""),"0613966115")</f>
        <v>0613966115</v>
      </c>
      <c r="N2913" s="3">
        <f>IFERROR(__xludf.DUMMYFUNCTION("""COMPUTED_VALUE"""),83784.0)</f>
        <v>83784</v>
      </c>
      <c r="O2913" s="3" t="str">
        <f>IFERROR(__xludf.DUMMYFUNCTION("""COMPUTED_VALUE"""),"ร้านเนตรจรัส")</f>
        <v>ร้านเนตรจรัส</v>
      </c>
      <c r="P2913" s="4">
        <f>IFERROR(__xludf.DUMMYFUNCTION("""COMPUTED_VALUE"""),44652.0)</f>
        <v>44652</v>
      </c>
      <c r="Q2913" s="3" t="str">
        <f>IFERROR(__xludf.DUMMYFUNCTION("""COMPUTED_VALUE"""),"A")</f>
        <v>A</v>
      </c>
      <c r="R2913" s="3" t="str">
        <f>IFERROR(__xludf.DUMMYFUNCTION("""COMPUTED_VALUE"""),"Small Format")</f>
        <v>Small Format</v>
      </c>
      <c r="S2913" s="3" t="str">
        <f>IFERROR(__xludf.DUMMYFUNCTION("""COMPUTED_VALUE"""),"Donjai")</f>
        <v>Donjai</v>
      </c>
      <c r="T2913" s="3" t="str">
        <f>IFERROR(__xludf.DUMMYFUNCTION("""COMPUTED_VALUE"""),"08 K.Parkphum T.")</f>
        <v>08 K.Parkphum T.</v>
      </c>
      <c r="U2913" s="3" t="str">
        <f>IFERROR(__xludf.DUMMYFUNCTION("""COMPUTED_VALUE"""),"08 K.Parkphum T.")</f>
        <v>08 K.Parkphum T.</v>
      </c>
      <c r="V2913" s="3" t="str">
        <f>IFERROR(__xludf.DUMMYFUNCTION("""COMPUTED_VALUE"""),"N")</f>
        <v>N</v>
      </c>
      <c r="W2913" s="3"/>
      <c r="X2913" s="3" t="str">
        <f>IFERROR(__xludf.DUMMYFUNCTION("""COMPUTED_VALUE"""),"52 หมู่ 13 ตำบล คลองนารายณ์ อำเภอเมือง จังหวัดจันทบุรี 22000")</f>
        <v>52 หมู่ 13 ตำบล คลองนารายณ์ อำเภอเมือง จังหวัดจันทบุรี 22000</v>
      </c>
      <c r="Y2913" s="3"/>
      <c r="Z2913" s="3">
        <f>IFERROR(__xludf.DUMMYFUNCTION("""COMPUTED_VALUE"""),0.0)</f>
        <v>0</v>
      </c>
      <c r="AA2913" s="3">
        <f>IFERROR(__xludf.DUMMYFUNCTION("""COMPUTED_VALUE"""),0.0)</f>
        <v>0</v>
      </c>
      <c r="AB2913" s="3" t="str">
        <f>IFERROR(__xludf.DUMMYFUNCTION("""COMPUTED_VALUE"""),"จันทบุรี")</f>
        <v>จันทบุรี</v>
      </c>
      <c r="AC2913" s="3">
        <f>IFERROR(__xludf.DUMMYFUNCTION("""COMPUTED_VALUE"""),22000.0)</f>
        <v>22000</v>
      </c>
      <c r="AD2913" s="3"/>
      <c r="AE2913" s="3"/>
      <c r="AF2913" s="3" t="str">
        <f>IFERROR(__xludf.DUMMYFUNCTION("""COMPUTED_VALUE"""),"ร้านเนตรจรัส-83784")</f>
        <v>ร้านเนตรจรัส-83784</v>
      </c>
      <c r="AG2913" s="3" t="str">
        <f>IFERROR(__xludf.DUMMYFUNCTION("""COMPUTED_VALUE"""),"ตะวันออก")</f>
        <v>ตะวันออก</v>
      </c>
      <c r="AH2913" s="3" t="str">
        <f>IFERROR(__xludf.DUMMYFUNCTION("""COMPUTED_VALUE"""),"#N/A")</f>
        <v>#N/A</v>
      </c>
      <c r="AI2913" s="3" t="str">
        <f>IFERROR(__xludf.DUMMYFUNCTION("""COMPUTED_VALUE"""),"Out of warranty")</f>
        <v>Out of warranty</v>
      </c>
      <c r="AJ2913" s="3">
        <f>IFERROR(__xludf.DUMMYFUNCTION("""COMPUTED_VALUE"""),46.0)</f>
        <v>46</v>
      </c>
      <c r="AK2913" s="3"/>
      <c r="AL2913" s="3"/>
    </row>
    <row r="2914" ht="15.75" customHeight="1">
      <c r="A2914" s="1" t="str">
        <f>IFERROR(__xludf.DUMMYFUNCTION("""COMPUTED_VALUE"""),"83785")</f>
        <v>83785</v>
      </c>
      <c r="B2914" s="2">
        <f>IFERROR(__xludf.DUMMYFUNCTION("""COMPUTED_VALUE"""),83785.0)</f>
        <v>83785</v>
      </c>
      <c r="C2914" s="3" t="str">
        <f>IFERROR(__xludf.DUMMYFUNCTION("""COMPUTED_VALUE"""),"ร้านละอองดาว(ละอองดาว การค้า)")</f>
        <v>ร้านละอองดาว(ละอองดาว การค้า)</v>
      </c>
      <c r="D2914" s="3" t="str">
        <f>IFERROR(__xludf.DUMMYFUNCTION("""COMPUTED_VALUE"""),"ร้านละอองดาว(ละอองดาว การค้า)")</f>
        <v>ร้านละอองดาว(ละอองดาว การค้า)</v>
      </c>
      <c r="E2914" s="1" t="str">
        <f>IFERROR(__xludf.DUMMYFUNCTION("""COMPUTED_VALUE"""),"Donjai")</f>
        <v>Donjai</v>
      </c>
      <c r="F2914" s="1" t="str">
        <f>IFERROR(__xludf.DUMMYFUNCTION("""COMPUTED_VALUE"""),"2010016")</f>
        <v>2010016</v>
      </c>
      <c r="G2914" s="1" t="str">
        <f>IFERROR(__xludf.DUMMYFUNCTION("""COMPUTED_VALUE"""),"นายตวงธรรม ใหม่ยศ")</f>
        <v>นายตวงธรรม ใหม่ยศ</v>
      </c>
      <c r="H2914" s="1" t="str">
        <f>IFERROR(__xludf.DUMMYFUNCTION("""COMPUTED_VALUE"""),"2010016")</f>
        <v>2010016</v>
      </c>
      <c r="I2914" s="1" t="str">
        <f>IFERROR(__xludf.DUMMYFUNCTION("""COMPUTED_VALUE"""),"นายตวงธรรม ใหม่ยศ")</f>
        <v>นายตวงธรรม ใหม่ยศ</v>
      </c>
      <c r="J2914" s="3">
        <f>IFERROR(__xludf.DUMMYFUNCTION("""COMPUTED_VALUE"""),295886.0)</f>
        <v>295886</v>
      </c>
      <c r="K2914" s="3" t="str">
        <f>IFERROR(__xludf.DUMMYFUNCTION("""COMPUTED_VALUE"""),"นายจิระพงษ์ โพธิ์นิล")</f>
        <v>นายจิระพงษ์ โพธิ์นิล</v>
      </c>
      <c r="L2914" s="1" t="str">
        <f>IFERROR(__xludf.DUMMYFUNCTION("""COMPUTED_VALUE"""),"นายจิระพงษ์ โพธิ์นิล")</f>
        <v>นายจิระพงษ์ โพธิ์นิล</v>
      </c>
      <c r="M2914" s="1" t="str">
        <f>IFERROR(__xludf.DUMMYFUNCTION("""COMPUTED_VALUE"""),"0933290754")</f>
        <v>0933290754</v>
      </c>
      <c r="N2914" s="3">
        <f>IFERROR(__xludf.DUMMYFUNCTION("""COMPUTED_VALUE"""),83785.0)</f>
        <v>83785</v>
      </c>
      <c r="O2914" s="3" t="str">
        <f>IFERROR(__xludf.DUMMYFUNCTION("""COMPUTED_VALUE"""),"ร้านละอองดาว(ละอองดาว การค้า)")</f>
        <v>ร้านละอองดาว(ละอองดาว การค้า)</v>
      </c>
      <c r="P2914" s="4">
        <f>IFERROR(__xludf.DUMMYFUNCTION("""COMPUTED_VALUE"""),44642.0)</f>
        <v>44642</v>
      </c>
      <c r="Q2914" s="3" t="str">
        <f>IFERROR(__xludf.DUMMYFUNCTION("""COMPUTED_VALUE"""),"I")</f>
        <v>I</v>
      </c>
      <c r="R2914" s="3" t="str">
        <f>IFERROR(__xludf.DUMMYFUNCTION("""COMPUTED_VALUE"""),"Small Format")</f>
        <v>Small Format</v>
      </c>
      <c r="S2914" s="3" t="str">
        <f>IFERROR(__xludf.DUMMYFUNCTION("""COMPUTED_VALUE"""),"Donjai")</f>
        <v>Donjai</v>
      </c>
      <c r="T2914" s="3" t="str">
        <f>IFERROR(__xludf.DUMMYFUNCTION("""COMPUTED_VALUE"""),"01 K.Tuangtham M.")</f>
        <v>01 K.Tuangtham M.</v>
      </c>
      <c r="U2914" s="3" t="str">
        <f>IFERROR(__xludf.DUMMYFUNCTION("""COMPUTED_VALUE"""),"01 K.Tuangtham M.")</f>
        <v>01 K.Tuangtham M.</v>
      </c>
      <c r="V2914" s="3" t="str">
        <f>IFERROR(__xludf.DUMMYFUNCTION("""COMPUTED_VALUE"""),"N")</f>
        <v>N</v>
      </c>
      <c r="W2914" s="3"/>
      <c r="X2914" s="3" t="str">
        <f>IFERROR(__xludf.DUMMYFUNCTION("""COMPUTED_VALUE"""),"92/8 ม.4 ต.บ้านด่าน อ.บ้านด่านลานหอย จ.สุโขทัย 64140")</f>
        <v>92/8 ม.4 ต.บ้านด่าน อ.บ้านด่านลานหอย จ.สุโขทัย 64140</v>
      </c>
      <c r="Y2914" s="3"/>
      <c r="Z2914" s="3">
        <f>IFERROR(__xludf.DUMMYFUNCTION("""COMPUTED_VALUE"""),0.0)</f>
        <v>0</v>
      </c>
      <c r="AA2914" s="3">
        <f>IFERROR(__xludf.DUMMYFUNCTION("""COMPUTED_VALUE"""),0.0)</f>
        <v>0</v>
      </c>
      <c r="AB2914" s="3" t="str">
        <f>IFERROR(__xludf.DUMMYFUNCTION("""COMPUTED_VALUE"""),"สุโขทัย")</f>
        <v>สุโขทัย</v>
      </c>
      <c r="AC2914" s="3">
        <f>IFERROR(__xludf.DUMMYFUNCTION("""COMPUTED_VALUE"""),64140.0)</f>
        <v>64140</v>
      </c>
      <c r="AD2914" s="3"/>
      <c r="AE2914" s="3"/>
      <c r="AF2914" s="3" t="str">
        <f>IFERROR(__xludf.DUMMYFUNCTION("""COMPUTED_VALUE"""),"ร้านละอองดาว(ละอองดาว การค้า)-83785")</f>
        <v>ร้านละอองดาว(ละอองดาว การค้า)-83785</v>
      </c>
      <c r="AG2914" s="3" t="str">
        <f>IFERROR(__xludf.DUMMYFUNCTION("""COMPUTED_VALUE"""),"กลาง")</f>
        <v>กลาง</v>
      </c>
      <c r="AH2914" s="3" t="str">
        <f>IFERROR(__xludf.DUMMYFUNCTION("""COMPUTED_VALUE"""),"#N/A")</f>
        <v>#N/A</v>
      </c>
      <c r="AI2914" s="3" t="str">
        <f>IFERROR(__xludf.DUMMYFUNCTION("""COMPUTED_VALUE"""),"Out of warranty")</f>
        <v>Out of warranty</v>
      </c>
      <c r="AJ2914" s="3">
        <f>IFERROR(__xludf.DUMMYFUNCTION("""COMPUTED_VALUE"""),46.0)</f>
        <v>46</v>
      </c>
      <c r="AK2914" s="3"/>
      <c r="AL2914" s="3"/>
    </row>
    <row r="2915" ht="15.75" customHeight="1">
      <c r="A2915" s="1" t="str">
        <f>IFERROR(__xludf.DUMMYFUNCTION("""COMPUTED_VALUE"""),"83786")</f>
        <v>83786</v>
      </c>
      <c r="B2915" s="2">
        <f>IFERROR(__xludf.DUMMYFUNCTION("""COMPUTED_VALUE"""),83786.0)</f>
        <v>83786</v>
      </c>
      <c r="C2915" s="3" t="str">
        <f>IFERROR(__xludf.DUMMYFUNCTION("""COMPUTED_VALUE"""),"ร้านสิริพานิช (ยาย)")</f>
        <v>ร้านสิริพานิช (ยาย)</v>
      </c>
      <c r="D2915" s="3" t="str">
        <f>IFERROR(__xludf.DUMMYFUNCTION("""COMPUTED_VALUE"""),"ร้านสิริพานิช (ยาย)")</f>
        <v>ร้านสิริพานิช (ยาย)</v>
      </c>
      <c r="E2915" s="1" t="str">
        <f>IFERROR(__xludf.DUMMYFUNCTION("""COMPUTED_VALUE"""),"Donjai")</f>
        <v>Donjai</v>
      </c>
      <c r="F2915" s="1" t="str">
        <f>IFERROR(__xludf.DUMMYFUNCTION("""COMPUTED_VALUE"""),"20470331")</f>
        <v>20470331</v>
      </c>
      <c r="G2915" s="1" t="str">
        <f>IFERROR(__xludf.DUMMYFUNCTION("""COMPUTED_VALUE"""),"นายสมชาย ลักษณะสุวรรณ")</f>
        <v>นายสมชาย ลักษณะสุวรรณ</v>
      </c>
      <c r="H2915" s="1" t="str">
        <f>IFERROR(__xludf.DUMMYFUNCTION("""COMPUTED_VALUE"""),"20470331")</f>
        <v>20470331</v>
      </c>
      <c r="I2915" s="1" t="str">
        <f>IFERROR(__xludf.DUMMYFUNCTION("""COMPUTED_VALUE"""),"นายสมชาย ลักษณะสุวรรณ")</f>
        <v>นายสมชาย ลักษณะสุวรรณ</v>
      </c>
      <c r="J2915" s="3">
        <f>IFERROR(__xludf.DUMMYFUNCTION("""COMPUTED_VALUE"""),295541.0)</f>
        <v>295541</v>
      </c>
      <c r="K2915" s="3" t="str">
        <f>IFERROR(__xludf.DUMMYFUNCTION("""COMPUTED_VALUE"""),"นายรพิพล ศรีมาตย์")</f>
        <v>นายรพิพล ศรีมาตย์</v>
      </c>
      <c r="L2915" s="1" t="str">
        <f>IFERROR(__xludf.DUMMYFUNCTION("""COMPUTED_VALUE"""),"นายรพิพล ศรีมาตย์")</f>
        <v>นายรพิพล ศรีมาตย์</v>
      </c>
      <c r="M2915" s="1" t="str">
        <f>IFERROR(__xludf.DUMMYFUNCTION("""COMPUTED_VALUE"""),"0613966115")</f>
        <v>0613966115</v>
      </c>
      <c r="N2915" s="3">
        <f>IFERROR(__xludf.DUMMYFUNCTION("""COMPUTED_VALUE"""),83786.0)</f>
        <v>83786</v>
      </c>
      <c r="O2915" s="3" t="str">
        <f>IFERROR(__xludf.DUMMYFUNCTION("""COMPUTED_VALUE"""),"ร้านสิริพานิช (ยาย)")</f>
        <v>ร้านสิริพานิช (ยาย)</v>
      </c>
      <c r="P2915" s="4">
        <f>IFERROR(__xludf.DUMMYFUNCTION("""COMPUTED_VALUE"""),44687.0)</f>
        <v>44687</v>
      </c>
      <c r="Q2915" s="3" t="str">
        <f>IFERROR(__xludf.DUMMYFUNCTION("""COMPUTED_VALUE"""),"A")</f>
        <v>A</v>
      </c>
      <c r="R2915" s="3" t="str">
        <f>IFERROR(__xludf.DUMMYFUNCTION("""COMPUTED_VALUE"""),"Small Format")</f>
        <v>Small Format</v>
      </c>
      <c r="S2915" s="3" t="str">
        <f>IFERROR(__xludf.DUMMYFUNCTION("""COMPUTED_VALUE"""),"Donjai")</f>
        <v>Donjai</v>
      </c>
      <c r="T2915" s="3" t="str">
        <f>IFERROR(__xludf.DUMMYFUNCTION("""COMPUTED_VALUE"""),"15 K.Somchai L")</f>
        <v>15 K.Somchai L</v>
      </c>
      <c r="U2915" s="3" t="str">
        <f>IFERROR(__xludf.DUMMYFUNCTION("""COMPUTED_VALUE"""),"15 K.Somchai L")</f>
        <v>15 K.Somchai L</v>
      </c>
      <c r="V2915" s="3" t="str">
        <f>IFERROR(__xludf.DUMMYFUNCTION("""COMPUTED_VALUE"""),"N")</f>
        <v>N</v>
      </c>
      <c r="W2915" s="3"/>
      <c r="X2915" s="3" t="str">
        <f>IFERROR(__xludf.DUMMYFUNCTION("""COMPUTED_VALUE"""),"89ม.6 ชุมพล ศรีนครินทร์ พัทลุง 93000")</f>
        <v>89ม.6 ชุมพล ศรีนครินทร์ พัทลุง 93000</v>
      </c>
      <c r="Y2915" s="3"/>
      <c r="Z2915" s="3">
        <f>IFERROR(__xludf.DUMMYFUNCTION("""COMPUTED_VALUE"""),0.0)</f>
        <v>0</v>
      </c>
      <c r="AA2915" s="3">
        <f>IFERROR(__xludf.DUMMYFUNCTION("""COMPUTED_VALUE"""),0.0)</f>
        <v>0</v>
      </c>
      <c r="AB2915" s="3" t="str">
        <f>IFERROR(__xludf.DUMMYFUNCTION("""COMPUTED_VALUE"""),"พัทลุง")</f>
        <v>พัทลุง</v>
      </c>
      <c r="AC2915" s="3">
        <f>IFERROR(__xludf.DUMMYFUNCTION("""COMPUTED_VALUE"""),93000.0)</f>
        <v>93000</v>
      </c>
      <c r="AD2915" s="3"/>
      <c r="AE2915" s="3"/>
      <c r="AF2915" s="3" t="str">
        <f>IFERROR(__xludf.DUMMYFUNCTION("""COMPUTED_VALUE"""),"ร้านสิริพานิช (ยาย)-83786")</f>
        <v>ร้านสิริพานิช (ยาย)-83786</v>
      </c>
      <c r="AG2915" s="3" t="str">
        <f>IFERROR(__xludf.DUMMYFUNCTION("""COMPUTED_VALUE"""),"ใต้")</f>
        <v>ใต้</v>
      </c>
      <c r="AH2915" s="3" t="str">
        <f>IFERROR(__xludf.DUMMYFUNCTION("""COMPUTED_VALUE"""),"#N/A")</f>
        <v>#N/A</v>
      </c>
      <c r="AI2915" s="3" t="str">
        <f>IFERROR(__xludf.DUMMYFUNCTION("""COMPUTED_VALUE"""),"Out of warranty")</f>
        <v>Out of warranty</v>
      </c>
      <c r="AJ2915" s="3">
        <f>IFERROR(__xludf.DUMMYFUNCTION("""COMPUTED_VALUE"""),45.0)</f>
        <v>45</v>
      </c>
      <c r="AK2915" s="3"/>
      <c r="AL2915" s="3"/>
    </row>
    <row r="2916" ht="15.75" customHeight="1">
      <c r="A2916" s="1" t="str">
        <f>IFERROR(__xludf.DUMMYFUNCTION("""COMPUTED_VALUE"""),"83787")</f>
        <v>83787</v>
      </c>
      <c r="B2916" s="2">
        <f>IFERROR(__xludf.DUMMYFUNCTION("""COMPUTED_VALUE"""),83787.0)</f>
        <v>83787</v>
      </c>
      <c r="C2916" s="3" t="str">
        <f>IFERROR(__xludf.DUMMYFUNCTION("""COMPUTED_VALUE"""),"ร้านตานึก-ยายเร่(ราวีศรี)")</f>
        <v>ร้านตานึก-ยายเร่(ราวีศรี)</v>
      </c>
      <c r="D2916" s="3" t="str">
        <f>IFERROR(__xludf.DUMMYFUNCTION("""COMPUTED_VALUE"""),"ร้านตานึก-ยายเร่(ราวีศรี)")</f>
        <v>ร้านตานึก-ยายเร่(ราวีศรี)</v>
      </c>
      <c r="E2916" s="1" t="str">
        <f>IFERROR(__xludf.DUMMYFUNCTION("""COMPUTED_VALUE"""),"Donjai")</f>
        <v>Donjai</v>
      </c>
      <c r="F2916" s="1" t="str">
        <f>IFERROR(__xludf.DUMMYFUNCTION("""COMPUTED_VALUE"""),"00510143")</f>
        <v>00510143</v>
      </c>
      <c r="G2916" s="1" t="str">
        <f>IFERROR(__xludf.DUMMYFUNCTION("""COMPUTED_VALUE"""),"นายธีระวัฒน์ บุญสิทธิ์")</f>
        <v>นายธีระวัฒน์ บุญสิทธิ์</v>
      </c>
      <c r="H2916" s="1" t="str">
        <f>IFERROR(__xludf.DUMMYFUNCTION("""COMPUTED_VALUE"""),"00510143")</f>
        <v>00510143</v>
      </c>
      <c r="I2916" s="1" t="str">
        <f>IFERROR(__xludf.DUMMYFUNCTION("""COMPUTED_VALUE"""),"นายธีระวัฒน์ บุญสิทธิ์")</f>
        <v>นายธีระวัฒน์ บุญสิทธิ์</v>
      </c>
      <c r="J2916" s="3">
        <f>IFERROR(__xludf.DUMMYFUNCTION("""COMPUTED_VALUE"""),228031.0)</f>
        <v>228031</v>
      </c>
      <c r="K2916" s="3" t="str">
        <f>IFERROR(__xludf.DUMMYFUNCTION("""COMPUTED_VALUE"""),"นายธนพงษ์ วันหมัด")</f>
        <v>นายธนพงษ์ วันหมัด</v>
      </c>
      <c r="L2916" s="1" t="str">
        <f>IFERROR(__xludf.DUMMYFUNCTION("""COMPUTED_VALUE"""),"นายธนพงษ์ วันหมัด")</f>
        <v>นายธนพงษ์ วันหมัด</v>
      </c>
      <c r="M2916" s="1" t="str">
        <f>IFERROR(__xludf.DUMMYFUNCTION("""COMPUTED_VALUE"""),"0813716913")</f>
        <v>0813716913</v>
      </c>
      <c r="N2916" s="3">
        <f>IFERROR(__xludf.DUMMYFUNCTION("""COMPUTED_VALUE"""),83787.0)</f>
        <v>83787</v>
      </c>
      <c r="O2916" s="3" t="str">
        <f>IFERROR(__xludf.DUMMYFUNCTION("""COMPUTED_VALUE"""),"ร้านตานึก-ยายเร่(ราวีศรี)")</f>
        <v>ร้านตานึก-ยายเร่(ราวีศรี)</v>
      </c>
      <c r="P2916" s="4">
        <f>IFERROR(__xludf.DUMMYFUNCTION("""COMPUTED_VALUE"""),44656.0)</f>
        <v>44656</v>
      </c>
      <c r="Q2916" s="3" t="str">
        <f>IFERROR(__xludf.DUMMYFUNCTION("""COMPUTED_VALUE"""),"A")</f>
        <v>A</v>
      </c>
      <c r="R2916" s="3" t="str">
        <f>IFERROR(__xludf.DUMMYFUNCTION("""COMPUTED_VALUE"""),"Small Format")</f>
        <v>Small Format</v>
      </c>
      <c r="S2916" s="3" t="str">
        <f>IFERROR(__xludf.DUMMYFUNCTION("""COMPUTED_VALUE"""),"Donjai")</f>
        <v>Donjai</v>
      </c>
      <c r="T2916" s="3" t="str">
        <f>IFERROR(__xludf.DUMMYFUNCTION("""COMPUTED_VALUE"""),"12 K.Theerawat B.")</f>
        <v>12 K.Theerawat B.</v>
      </c>
      <c r="U2916" s="3" t="str">
        <f>IFERROR(__xludf.DUMMYFUNCTION("""COMPUTED_VALUE"""),"12 K.Theerawat B.")</f>
        <v>12 K.Theerawat B.</v>
      </c>
      <c r="V2916" s="3" t="str">
        <f>IFERROR(__xludf.DUMMYFUNCTION("""COMPUTED_VALUE"""),"N")</f>
        <v>N</v>
      </c>
      <c r="W2916" s="3"/>
      <c r="X2916" s="3" t="str">
        <f>IFERROR(__xludf.DUMMYFUNCTION("""COMPUTED_VALUE"""),"271 ม.15 ต.ต.ทุ่งมหาเจริญ อ.อ.วังน้ำเย็น จ.สระแก้ว 27210")</f>
        <v>271 ม.15 ต.ต.ทุ่งมหาเจริญ อ.อ.วังน้ำเย็น จ.สระแก้ว 27210</v>
      </c>
      <c r="Y2916" s="3"/>
      <c r="Z2916" s="3">
        <f>IFERROR(__xludf.DUMMYFUNCTION("""COMPUTED_VALUE"""),0.0)</f>
        <v>0</v>
      </c>
      <c r="AA2916" s="3">
        <f>IFERROR(__xludf.DUMMYFUNCTION("""COMPUTED_VALUE"""),0.0)</f>
        <v>0</v>
      </c>
      <c r="AB2916" s="3" t="str">
        <f>IFERROR(__xludf.DUMMYFUNCTION("""COMPUTED_VALUE"""),"สระแก้ว")</f>
        <v>สระแก้ว</v>
      </c>
      <c r="AC2916" s="3">
        <f>IFERROR(__xludf.DUMMYFUNCTION("""COMPUTED_VALUE"""),27210.0)</f>
        <v>27210</v>
      </c>
      <c r="AD2916" s="3"/>
      <c r="AE2916" s="3"/>
      <c r="AF2916" s="3" t="str">
        <f>IFERROR(__xludf.DUMMYFUNCTION("""COMPUTED_VALUE"""),"ร้านตานึก-ยายเร่(ราวีศรี)-83787")</f>
        <v>ร้านตานึก-ยายเร่(ราวีศรี)-83787</v>
      </c>
      <c r="AG2916" s="3" t="str">
        <f>IFERROR(__xludf.DUMMYFUNCTION("""COMPUTED_VALUE"""),"ตะวันออก")</f>
        <v>ตะวันออก</v>
      </c>
      <c r="AH2916" s="3" t="str">
        <f>IFERROR(__xludf.DUMMYFUNCTION("""COMPUTED_VALUE"""),"#N/A")</f>
        <v>#N/A</v>
      </c>
      <c r="AI2916" s="3" t="str">
        <f>IFERROR(__xludf.DUMMYFUNCTION("""COMPUTED_VALUE"""),"Out of warranty")</f>
        <v>Out of warranty</v>
      </c>
      <c r="AJ2916" s="3">
        <f>IFERROR(__xludf.DUMMYFUNCTION("""COMPUTED_VALUE"""),46.0)</f>
        <v>46</v>
      </c>
      <c r="AK2916" s="3"/>
      <c r="AL2916" s="3"/>
    </row>
    <row r="2917" ht="15.75" customHeight="1">
      <c r="A2917" s="1" t="str">
        <f>IFERROR(__xludf.DUMMYFUNCTION("""COMPUTED_VALUE"""),"83788")</f>
        <v>83788</v>
      </c>
      <c r="B2917" s="2">
        <f>IFERROR(__xludf.DUMMYFUNCTION("""COMPUTED_VALUE"""),83788.0)</f>
        <v>83788</v>
      </c>
      <c r="C2917" s="3" t="str">
        <f>IFERROR(__xludf.DUMMYFUNCTION("""COMPUTED_VALUE"""),"คุณชวลิตอำไพพาณิชย์(ชิตพันธุ์)")</f>
        <v>คุณชวลิตอำไพพาณิชย์(ชิตพันธุ์)</v>
      </c>
      <c r="D2917" s="3" t="str">
        <f>IFERROR(__xludf.DUMMYFUNCTION("""COMPUTED_VALUE"""),"คุณชวลิตอำไพพาณิชย์(ชิตพันธุ์)")</f>
        <v>คุณชวลิตอำไพพาณิชย์(ชิตพันธุ์)</v>
      </c>
      <c r="E2917" s="1" t="str">
        <f>IFERROR(__xludf.DUMMYFUNCTION("""COMPUTED_VALUE"""),"Donjai")</f>
        <v>Donjai</v>
      </c>
      <c r="F2917" s="1" t="str">
        <f>IFERROR(__xludf.DUMMYFUNCTION("""COMPUTED_VALUE"""),"015361")</f>
        <v>015361</v>
      </c>
      <c r="G2917" s="1" t="str">
        <f>IFERROR(__xludf.DUMMYFUNCTION("""COMPUTED_VALUE"""),"นายสมบูรณ์ พรหมในเมือง")</f>
        <v>นายสมบูรณ์ พรหมในเมือง</v>
      </c>
      <c r="H2917" s="1" t="str">
        <f>IFERROR(__xludf.DUMMYFUNCTION("""COMPUTED_VALUE"""),"015361")</f>
        <v>015361</v>
      </c>
      <c r="I2917" s="1" t="str">
        <f>IFERROR(__xludf.DUMMYFUNCTION("""COMPUTED_VALUE"""),"นายสมบูรณ์ พรหมในเมือง")</f>
        <v>นายสมบูรณ์ พรหมในเมือง</v>
      </c>
      <c r="J2917" s="3">
        <f>IFERROR(__xludf.DUMMYFUNCTION("""COMPUTED_VALUE"""),295886.0)</f>
        <v>295886</v>
      </c>
      <c r="K2917" s="3" t="str">
        <f>IFERROR(__xludf.DUMMYFUNCTION("""COMPUTED_VALUE"""),"นายจิระพงษ์ โพธิ์นิล")</f>
        <v>นายจิระพงษ์ โพธิ์นิล</v>
      </c>
      <c r="L2917" s="1" t="str">
        <f>IFERROR(__xludf.DUMMYFUNCTION("""COMPUTED_VALUE"""),"นายจิระพงษ์ โพธิ์นิล")</f>
        <v>นายจิระพงษ์ โพธิ์นิล</v>
      </c>
      <c r="M2917" s="1" t="str">
        <f>IFERROR(__xludf.DUMMYFUNCTION("""COMPUTED_VALUE"""),"0933290754")</f>
        <v>0933290754</v>
      </c>
      <c r="N2917" s="3">
        <f>IFERROR(__xludf.DUMMYFUNCTION("""COMPUTED_VALUE"""),83788.0)</f>
        <v>83788</v>
      </c>
      <c r="O2917" s="3" t="str">
        <f>IFERROR(__xludf.DUMMYFUNCTION("""COMPUTED_VALUE"""),"คุณชวลิตอำไพพาณิชย์(ชิตพันธุ์)")</f>
        <v>คุณชวลิตอำไพพาณิชย์(ชิตพันธุ์)</v>
      </c>
      <c r="P2917" s="4">
        <f>IFERROR(__xludf.DUMMYFUNCTION("""COMPUTED_VALUE"""),44652.0)</f>
        <v>44652</v>
      </c>
      <c r="Q2917" s="3" t="str">
        <f>IFERROR(__xludf.DUMMYFUNCTION("""COMPUTED_VALUE"""),"A")</f>
        <v>A</v>
      </c>
      <c r="R2917" s="3" t="str">
        <f>IFERROR(__xludf.DUMMYFUNCTION("""COMPUTED_VALUE"""),"Small Format")</f>
        <v>Small Format</v>
      </c>
      <c r="S2917" s="3" t="str">
        <f>IFERROR(__xludf.DUMMYFUNCTION("""COMPUTED_VALUE"""),"Donjai")</f>
        <v>Donjai</v>
      </c>
      <c r="T2917" s="3" t="str">
        <f>IFERROR(__xludf.DUMMYFUNCTION("""COMPUTED_VALUE"""),"04 K.Somboon P.")</f>
        <v>04 K.Somboon P.</v>
      </c>
      <c r="U2917" s="3" t="str">
        <f>IFERROR(__xludf.DUMMYFUNCTION("""COMPUTED_VALUE"""),"04 K.Somboon P.")</f>
        <v>04 K.Somboon P.</v>
      </c>
      <c r="V2917" s="3" t="str">
        <f>IFERROR(__xludf.DUMMYFUNCTION("""COMPUTED_VALUE"""),"N")</f>
        <v>N</v>
      </c>
      <c r="W2917" s="3"/>
      <c r="X2917" s="3" t="str">
        <f>IFERROR(__xludf.DUMMYFUNCTION("""COMPUTED_VALUE"""),"277/1 ถ.สำราญราษฎร์ ต.โนนสูง อ โนนสูง จ.นครราชสีมา")</f>
        <v>277/1 ถ.สำราญราษฎร์ ต.โนนสูง อ โนนสูง จ.นครราชสีมา</v>
      </c>
      <c r="Y2917" s="3"/>
      <c r="Z2917" s="3">
        <f>IFERROR(__xludf.DUMMYFUNCTION("""COMPUTED_VALUE"""),0.0)</f>
        <v>0</v>
      </c>
      <c r="AA2917" s="3">
        <f>IFERROR(__xludf.DUMMYFUNCTION("""COMPUTED_VALUE"""),0.0)</f>
        <v>0</v>
      </c>
      <c r="AB2917" s="3" t="str">
        <f>IFERROR(__xludf.DUMMYFUNCTION("""COMPUTED_VALUE"""),"นครราชสีมา")</f>
        <v>นครราชสีมา</v>
      </c>
      <c r="AC2917" s="3">
        <f>IFERROR(__xludf.DUMMYFUNCTION("""COMPUTED_VALUE"""),0.0)</f>
        <v>0</v>
      </c>
      <c r="AD2917" s="3"/>
      <c r="AE2917" s="3"/>
      <c r="AF2917" s="3" t="str">
        <f>IFERROR(__xludf.DUMMYFUNCTION("""COMPUTED_VALUE"""),"คุณชวลิตอำไพพาณิชย์(ชิตพันธุ์)-83788")</f>
        <v>คุณชวลิตอำไพพาณิชย์(ชิตพันธุ์)-83788</v>
      </c>
      <c r="AG2917" s="3" t="str">
        <f>IFERROR(__xludf.DUMMYFUNCTION("""COMPUTED_VALUE"""),"ตะวันออกเฉียงเหนือ")</f>
        <v>ตะวันออกเฉียงเหนือ</v>
      </c>
      <c r="AH2917" s="3" t="str">
        <f>IFERROR(__xludf.DUMMYFUNCTION("""COMPUTED_VALUE"""),"#N/A")</f>
        <v>#N/A</v>
      </c>
      <c r="AI2917" s="3" t="str">
        <f>IFERROR(__xludf.DUMMYFUNCTION("""COMPUTED_VALUE"""),"Out of warranty")</f>
        <v>Out of warranty</v>
      </c>
      <c r="AJ2917" s="3">
        <f>IFERROR(__xludf.DUMMYFUNCTION("""COMPUTED_VALUE"""),46.0)</f>
        <v>46</v>
      </c>
      <c r="AK2917" s="3"/>
      <c r="AL2917" s="3"/>
    </row>
    <row r="2918" ht="15.75" customHeight="1">
      <c r="A2918" s="1" t="str">
        <f>IFERROR(__xludf.DUMMYFUNCTION("""COMPUTED_VALUE"""),"83789")</f>
        <v>83789</v>
      </c>
      <c r="B2918" s="2">
        <f>IFERROR(__xludf.DUMMYFUNCTION("""COMPUTED_VALUE"""),83789.0)</f>
        <v>83789</v>
      </c>
      <c r="C2918" s="3" t="str">
        <f>IFERROR(__xludf.DUMMYFUNCTION("""COMPUTED_VALUE"""),"ร้านพงษ์นิยม Shop นครสวรรค์ (สุวรรณา)")</f>
        <v>ร้านพงษ์นิยม Shop นครสวรรค์ (สุวรรณา)</v>
      </c>
      <c r="D2918" s="3" t="str">
        <f>IFERROR(__xludf.DUMMYFUNCTION("""COMPUTED_VALUE"""),"ร้านพงษ์นิยม Shop นครสวรรค์ (สุวรรณา)")</f>
        <v>ร้านพงษ์นิยม Shop นครสวรรค์ (สุวรรณา)</v>
      </c>
      <c r="E2918" s="1" t="str">
        <f>IFERROR(__xludf.DUMMYFUNCTION("""COMPUTED_VALUE"""),"Donjai")</f>
        <v>Donjai</v>
      </c>
      <c r="F2918" s="1" t="str">
        <f>IFERROR(__xludf.DUMMYFUNCTION("""COMPUTED_VALUE"""),"046214")</f>
        <v>046214</v>
      </c>
      <c r="G2918" s="1" t="str">
        <f>IFERROR(__xludf.DUMMYFUNCTION("""COMPUTED_VALUE"""),"นายศักดิ์ชัย เด็ดดอกฟ้า")</f>
        <v>นายศักดิ์ชัย เด็ดดอกฟ้า</v>
      </c>
      <c r="H2918" s="1" t="str">
        <f>IFERROR(__xludf.DUMMYFUNCTION("""COMPUTED_VALUE"""),"046214")</f>
        <v>046214</v>
      </c>
      <c r="I2918" s="1" t="str">
        <f>IFERROR(__xludf.DUMMYFUNCTION("""COMPUTED_VALUE"""),"นายศักดิ์ชัย เด็ดดอกฟ้า")</f>
        <v>นายศักดิ์ชัย เด็ดดอกฟ้า</v>
      </c>
      <c r="J2918" s="3">
        <f>IFERROR(__xludf.DUMMYFUNCTION("""COMPUTED_VALUE"""),295886.0)</f>
        <v>295886</v>
      </c>
      <c r="K2918" s="3" t="str">
        <f>IFERROR(__xludf.DUMMYFUNCTION("""COMPUTED_VALUE"""),"นายจิระพงษ์ โพธิ์นิล")</f>
        <v>นายจิระพงษ์ โพธิ์นิล</v>
      </c>
      <c r="L2918" s="1" t="str">
        <f>IFERROR(__xludf.DUMMYFUNCTION("""COMPUTED_VALUE"""),"นายจิระพงษ์ โพธิ์นิล")</f>
        <v>นายจิระพงษ์ โพธิ์นิล</v>
      </c>
      <c r="M2918" s="1" t="str">
        <f>IFERROR(__xludf.DUMMYFUNCTION("""COMPUTED_VALUE"""),"0933290754")</f>
        <v>0933290754</v>
      </c>
      <c r="N2918" s="3">
        <f>IFERROR(__xludf.DUMMYFUNCTION("""COMPUTED_VALUE"""),83789.0)</f>
        <v>83789</v>
      </c>
      <c r="O2918" s="3" t="str">
        <f>IFERROR(__xludf.DUMMYFUNCTION("""COMPUTED_VALUE"""),"ร้านพงษ์นิยม Shop นครสวรรค์ (สุวรรณา)")</f>
        <v>ร้านพงษ์นิยม Shop นครสวรรค์ (สุวรรณา)</v>
      </c>
      <c r="P2918" s="4">
        <f>IFERROR(__xludf.DUMMYFUNCTION("""COMPUTED_VALUE"""),44649.0)</f>
        <v>44649</v>
      </c>
      <c r="Q2918" s="3" t="str">
        <f>IFERROR(__xludf.DUMMYFUNCTION("""COMPUTED_VALUE"""),"A")</f>
        <v>A</v>
      </c>
      <c r="R2918" s="3" t="str">
        <f>IFERROR(__xludf.DUMMYFUNCTION("""COMPUTED_VALUE"""),"Small Format")</f>
        <v>Small Format</v>
      </c>
      <c r="S2918" s="3" t="str">
        <f>IFERROR(__xludf.DUMMYFUNCTION("""COMPUTED_VALUE"""),"Donjai")</f>
        <v>Donjai</v>
      </c>
      <c r="T2918" s="3" t="str">
        <f>IFERROR(__xludf.DUMMYFUNCTION("""COMPUTED_VALUE"""),"02 K.Sakchai D")</f>
        <v>02 K.Sakchai D</v>
      </c>
      <c r="U2918" s="3" t="str">
        <f>IFERROR(__xludf.DUMMYFUNCTION("""COMPUTED_VALUE"""),"02 K.Sakchai D")</f>
        <v>02 K.Sakchai D</v>
      </c>
      <c r="V2918" s="3" t="str">
        <f>IFERROR(__xludf.DUMMYFUNCTION("""COMPUTED_VALUE"""),"N")</f>
        <v>N</v>
      </c>
      <c r="W2918" s="3"/>
      <c r="X2918" s="3" t="str">
        <f>IFERROR(__xludf.DUMMYFUNCTION("""COMPUTED_VALUE"""),"101 วังม้า ลาดยาว นครสวรรค์ 47000")</f>
        <v>101 วังม้า ลาดยาว นครสวรรค์ 47000</v>
      </c>
      <c r="Y2918" s="3"/>
      <c r="Z2918" s="3">
        <f>IFERROR(__xludf.DUMMYFUNCTION("""COMPUTED_VALUE"""),0.0)</f>
        <v>0</v>
      </c>
      <c r="AA2918" s="3">
        <f>IFERROR(__xludf.DUMMYFUNCTION("""COMPUTED_VALUE"""),0.0)</f>
        <v>0</v>
      </c>
      <c r="AB2918" s="3" t="str">
        <f>IFERROR(__xludf.DUMMYFUNCTION("""COMPUTED_VALUE"""),"นครสวรรค์")</f>
        <v>นครสวรรค์</v>
      </c>
      <c r="AC2918" s="3">
        <f>IFERROR(__xludf.DUMMYFUNCTION("""COMPUTED_VALUE"""),47000.0)</f>
        <v>47000</v>
      </c>
      <c r="AD2918" s="3"/>
      <c r="AE2918" s="3"/>
      <c r="AF2918" s="3" t="str">
        <f>IFERROR(__xludf.DUMMYFUNCTION("""COMPUTED_VALUE"""),"ร้านพงษ์นิยม Shop นครสวรรค์ (สุวรรณา)-83789")</f>
        <v>ร้านพงษ์นิยม Shop นครสวรรค์ (สุวรรณา)-83789</v>
      </c>
      <c r="AG2918" s="3" t="str">
        <f>IFERROR(__xludf.DUMMYFUNCTION("""COMPUTED_VALUE"""),"กลาง")</f>
        <v>กลาง</v>
      </c>
      <c r="AH2918" s="3" t="str">
        <f>IFERROR(__xludf.DUMMYFUNCTION("""COMPUTED_VALUE"""),"#N/A")</f>
        <v>#N/A</v>
      </c>
      <c r="AI2918" s="3" t="str">
        <f>IFERROR(__xludf.DUMMYFUNCTION("""COMPUTED_VALUE"""),"Out of warranty")</f>
        <v>Out of warranty</v>
      </c>
      <c r="AJ2918" s="3">
        <f>IFERROR(__xludf.DUMMYFUNCTION("""COMPUTED_VALUE"""),46.0)</f>
        <v>46</v>
      </c>
      <c r="AK2918" s="3"/>
      <c r="AL2918" s="3"/>
    </row>
    <row r="2919" ht="15.75" customHeight="1">
      <c r="A2919" s="1" t="str">
        <f>IFERROR(__xludf.DUMMYFUNCTION("""COMPUTED_VALUE"""),"83791")</f>
        <v>83791</v>
      </c>
      <c r="B2919" s="2">
        <f>IFERROR(__xludf.DUMMYFUNCTION("""COMPUTED_VALUE"""),83791.0)</f>
        <v>83791</v>
      </c>
      <c r="C2919" s="3" t="str">
        <f>IFERROR(__xludf.DUMMYFUNCTION("""COMPUTED_VALUE"""),"ร้านณัฐชนากานต์พูลทรัพย์")</f>
        <v>ร้านณัฐชนากานต์พูลทรัพย์</v>
      </c>
      <c r="D2919" s="3" t="str">
        <f>IFERROR(__xludf.DUMMYFUNCTION("""COMPUTED_VALUE"""),"ร้านณัฐชนากานต์พูลทรัพย์")</f>
        <v>ร้านณัฐชนากานต์พูลทรัพย์</v>
      </c>
      <c r="E2919" s="1" t="str">
        <f>IFERROR(__xludf.DUMMYFUNCTION("""COMPUTED_VALUE"""),"Donjai")</f>
        <v>Donjai</v>
      </c>
      <c r="F2919" s="1" t="str">
        <f>IFERROR(__xludf.DUMMYFUNCTION("""COMPUTED_VALUE"""),"296945")</f>
        <v>296945</v>
      </c>
      <c r="G2919" s="1" t="str">
        <f>IFERROR(__xludf.DUMMYFUNCTION("""COMPUTED_VALUE"""),"นายรักพงศ์ พงศ์พันธ์งาม")</f>
        <v>นายรักพงศ์ พงศ์พันธ์งาม</v>
      </c>
      <c r="H2919" s="1" t="str">
        <f>IFERROR(__xludf.DUMMYFUNCTION("""COMPUTED_VALUE"""),"296945")</f>
        <v>296945</v>
      </c>
      <c r="I2919" s="1" t="str">
        <f>IFERROR(__xludf.DUMMYFUNCTION("""COMPUTED_VALUE"""),"นายรักพงศ์ พงศ์พันธ์งาม")</f>
        <v>นายรักพงศ์ พงศ์พันธ์งาม</v>
      </c>
      <c r="J2919" s="3">
        <f>IFERROR(__xludf.DUMMYFUNCTION("""COMPUTED_VALUE"""),228031.0)</f>
        <v>228031</v>
      </c>
      <c r="K2919" s="3" t="str">
        <f>IFERROR(__xludf.DUMMYFUNCTION("""COMPUTED_VALUE"""),"นายธนพงษ์ วันหมัด")</f>
        <v>นายธนพงษ์ วันหมัด</v>
      </c>
      <c r="L2919" s="1" t="str">
        <f>IFERROR(__xludf.DUMMYFUNCTION("""COMPUTED_VALUE"""),"นายธนพงษ์ วันหมัด")</f>
        <v>นายธนพงษ์ วันหมัด</v>
      </c>
      <c r="M2919" s="1" t="str">
        <f>IFERROR(__xludf.DUMMYFUNCTION("""COMPUTED_VALUE"""),"0813716913")</f>
        <v>0813716913</v>
      </c>
      <c r="N2919" s="3">
        <f>IFERROR(__xludf.DUMMYFUNCTION("""COMPUTED_VALUE"""),83791.0)</f>
        <v>83791</v>
      </c>
      <c r="O2919" s="3" t="str">
        <f>IFERROR(__xludf.DUMMYFUNCTION("""COMPUTED_VALUE"""),"ร้านณัฐชนากานต์พูลทรัพย์")</f>
        <v>ร้านณัฐชนากานต์พูลทรัพย์</v>
      </c>
      <c r="P2919" s="4">
        <f>IFERROR(__xludf.DUMMYFUNCTION("""COMPUTED_VALUE"""),44649.0)</f>
        <v>44649</v>
      </c>
      <c r="Q2919" s="3" t="str">
        <f>IFERROR(__xludf.DUMMYFUNCTION("""COMPUTED_VALUE"""),"I")</f>
        <v>I</v>
      </c>
      <c r="R2919" s="3" t="str">
        <f>IFERROR(__xludf.DUMMYFUNCTION("""COMPUTED_VALUE"""),"Small Format")</f>
        <v>Small Format</v>
      </c>
      <c r="S2919" s="3" t="str">
        <f>IFERROR(__xludf.DUMMYFUNCTION("""COMPUTED_VALUE"""),"Donjai")</f>
        <v>Donjai</v>
      </c>
      <c r="T2919" s="3">
        <f>IFERROR(__xludf.DUMMYFUNCTION("""COMPUTED_VALUE"""),0.0)</f>
        <v>0</v>
      </c>
      <c r="U2919" s="3">
        <f>IFERROR(__xludf.DUMMYFUNCTION("""COMPUTED_VALUE"""),0.0)</f>
        <v>0</v>
      </c>
      <c r="V2919" s="3" t="str">
        <f>IFERROR(__xludf.DUMMYFUNCTION("""COMPUTED_VALUE"""),"N")</f>
        <v>N</v>
      </c>
      <c r="W2919" s="3"/>
      <c r="X2919" s="3" t="str">
        <f>IFERROR(__xludf.DUMMYFUNCTION("""COMPUTED_VALUE"""),"เลขที่279/49 หมู่ 3 หมู่บ้านธาดาปาร์ค บ่อวิน ต.บ่อวิน อ.ศรีราชา จ.ชลบุรี")</f>
        <v>เลขที่279/49 หมู่ 3 หมู่บ้านธาดาปาร์ค บ่อวิน ต.บ่อวิน อ.ศรีราชา จ.ชลบุรี</v>
      </c>
      <c r="Y2919" s="3"/>
      <c r="Z2919" s="3">
        <f>IFERROR(__xludf.DUMMYFUNCTION("""COMPUTED_VALUE"""),0.0)</f>
        <v>0</v>
      </c>
      <c r="AA2919" s="3">
        <f>IFERROR(__xludf.DUMMYFUNCTION("""COMPUTED_VALUE"""),0.0)</f>
        <v>0</v>
      </c>
      <c r="AB2919" s="3" t="str">
        <f>IFERROR(__xludf.DUMMYFUNCTION("""COMPUTED_VALUE"""),"ชลบุรี")</f>
        <v>ชลบุรี</v>
      </c>
      <c r="AC2919" s="3">
        <f>IFERROR(__xludf.DUMMYFUNCTION("""COMPUTED_VALUE"""),0.0)</f>
        <v>0</v>
      </c>
      <c r="AD2919" s="3"/>
      <c r="AE2919" s="3"/>
      <c r="AF2919" s="3" t="str">
        <f>IFERROR(__xludf.DUMMYFUNCTION("""COMPUTED_VALUE"""),"ร้านณัฐชนากานต์พูลทรัพย์-83791")</f>
        <v>ร้านณัฐชนากานต์พูลทรัพย์-83791</v>
      </c>
      <c r="AG2919" s="3" t="str">
        <f>IFERROR(__xludf.DUMMYFUNCTION("""COMPUTED_VALUE"""),"ตะวันออก")</f>
        <v>ตะวันออก</v>
      </c>
      <c r="AH2919" s="3" t="str">
        <f>IFERROR(__xludf.DUMMYFUNCTION("""COMPUTED_VALUE"""),"#N/A")</f>
        <v>#N/A</v>
      </c>
      <c r="AI2919" s="3" t="str">
        <f>IFERROR(__xludf.DUMMYFUNCTION("""COMPUTED_VALUE"""),"Out of warranty")</f>
        <v>Out of warranty</v>
      </c>
      <c r="AJ2919" s="3">
        <f>IFERROR(__xludf.DUMMYFUNCTION("""COMPUTED_VALUE"""),46.0)</f>
        <v>46</v>
      </c>
      <c r="AK2919" s="3"/>
      <c r="AL2919" s="3"/>
    </row>
    <row r="2920" ht="15.75" customHeight="1">
      <c r="A2920" s="1" t="str">
        <f>IFERROR(__xludf.DUMMYFUNCTION("""COMPUTED_VALUE"""),"83792")</f>
        <v>83792</v>
      </c>
      <c r="B2920" s="2">
        <f>IFERROR(__xludf.DUMMYFUNCTION("""COMPUTED_VALUE"""),83792.0)</f>
        <v>83792</v>
      </c>
      <c r="C2920" s="3" t="str">
        <f>IFERROR(__xludf.DUMMYFUNCTION("""COMPUTED_VALUE"""),"ร้านลุงเหนี่ยง")</f>
        <v>ร้านลุงเหนี่ยง</v>
      </c>
      <c r="D2920" s="3" t="str">
        <f>IFERROR(__xludf.DUMMYFUNCTION("""COMPUTED_VALUE"""),"ร้านลุงเหนี่ยง")</f>
        <v>ร้านลุงเหนี่ยง</v>
      </c>
      <c r="E2920" s="1" t="str">
        <f>IFERROR(__xludf.DUMMYFUNCTION("""COMPUTED_VALUE"""),"Donjai")</f>
        <v>Donjai</v>
      </c>
      <c r="F2920" s="1" t="str">
        <f>IFERROR(__xludf.DUMMYFUNCTION("""COMPUTED_VALUE"""),"2452376")</f>
        <v>2452376</v>
      </c>
      <c r="G2920" s="1" t="str">
        <f>IFERROR(__xludf.DUMMYFUNCTION("""COMPUTED_VALUE"""),"นายภาคภูมิ ทวีกุล")</f>
        <v>นายภาคภูมิ ทวีกุล</v>
      </c>
      <c r="H2920" s="1" t="str">
        <f>IFERROR(__xludf.DUMMYFUNCTION("""COMPUTED_VALUE"""),"2452376")</f>
        <v>2452376</v>
      </c>
      <c r="I2920" s="1" t="str">
        <f>IFERROR(__xludf.DUMMYFUNCTION("""COMPUTED_VALUE"""),"นายภาคภูมิ ทวีกุล")</f>
        <v>นายภาคภูมิ ทวีกุล</v>
      </c>
      <c r="J2920" s="3">
        <f>IFERROR(__xludf.DUMMYFUNCTION("""COMPUTED_VALUE"""),295541.0)</f>
        <v>295541</v>
      </c>
      <c r="K2920" s="3" t="str">
        <f>IFERROR(__xludf.DUMMYFUNCTION("""COMPUTED_VALUE"""),"นายรพิพล ศรีมาตย์")</f>
        <v>นายรพิพล ศรีมาตย์</v>
      </c>
      <c r="L2920" s="1" t="str">
        <f>IFERROR(__xludf.DUMMYFUNCTION("""COMPUTED_VALUE"""),"นายรพิพล ศรีมาตย์")</f>
        <v>นายรพิพล ศรีมาตย์</v>
      </c>
      <c r="M2920" s="1" t="str">
        <f>IFERROR(__xludf.DUMMYFUNCTION("""COMPUTED_VALUE"""),"0613966115")</f>
        <v>0613966115</v>
      </c>
      <c r="N2920" s="3">
        <f>IFERROR(__xludf.DUMMYFUNCTION("""COMPUTED_VALUE"""),83792.0)</f>
        <v>83792</v>
      </c>
      <c r="O2920" s="3" t="str">
        <f>IFERROR(__xludf.DUMMYFUNCTION("""COMPUTED_VALUE"""),"ร้านลุงเหนี่ยง")</f>
        <v>ร้านลุงเหนี่ยง</v>
      </c>
      <c r="P2920" s="4">
        <f>IFERROR(__xludf.DUMMYFUNCTION("""COMPUTED_VALUE"""),44663.0)</f>
        <v>44663</v>
      </c>
      <c r="Q2920" s="3" t="str">
        <f>IFERROR(__xludf.DUMMYFUNCTION("""COMPUTED_VALUE"""),"A")</f>
        <v>A</v>
      </c>
      <c r="R2920" s="3" t="str">
        <f>IFERROR(__xludf.DUMMYFUNCTION("""COMPUTED_VALUE"""),"Small Format")</f>
        <v>Small Format</v>
      </c>
      <c r="S2920" s="3" t="str">
        <f>IFERROR(__xludf.DUMMYFUNCTION("""COMPUTED_VALUE"""),"Donjai")</f>
        <v>Donjai</v>
      </c>
      <c r="T2920" s="3" t="str">
        <f>IFERROR(__xludf.DUMMYFUNCTION("""COMPUTED_VALUE"""),"08 K.Parkphum T.")</f>
        <v>08 K.Parkphum T.</v>
      </c>
      <c r="U2920" s="3" t="str">
        <f>IFERROR(__xludf.DUMMYFUNCTION("""COMPUTED_VALUE"""),"08 K.Parkphum T.")</f>
        <v>08 K.Parkphum T.</v>
      </c>
      <c r="V2920" s="3" t="str">
        <f>IFERROR(__xludf.DUMMYFUNCTION("""COMPUTED_VALUE"""),"N")</f>
        <v>N</v>
      </c>
      <c r="W2920" s="3"/>
      <c r="X2920" s="3" t="str">
        <f>IFERROR(__xludf.DUMMYFUNCTION("""COMPUTED_VALUE"""),"86 หมู่ 4 บางปิด แหลมงอบ ตราด 94110")</f>
        <v>86 หมู่ 4 บางปิด แหลมงอบ ตราด 94110</v>
      </c>
      <c r="Y2920" s="3"/>
      <c r="Z2920" s="3">
        <f>IFERROR(__xludf.DUMMYFUNCTION("""COMPUTED_VALUE"""),0.0)</f>
        <v>0</v>
      </c>
      <c r="AA2920" s="3">
        <f>IFERROR(__xludf.DUMMYFUNCTION("""COMPUTED_VALUE"""),0.0)</f>
        <v>0</v>
      </c>
      <c r="AB2920" s="3" t="str">
        <f>IFERROR(__xludf.DUMMYFUNCTION("""COMPUTED_VALUE"""),"ตราด")</f>
        <v>ตราด</v>
      </c>
      <c r="AC2920" s="3">
        <f>IFERROR(__xludf.DUMMYFUNCTION("""COMPUTED_VALUE"""),94110.0)</f>
        <v>94110</v>
      </c>
      <c r="AD2920" s="3"/>
      <c r="AE2920" s="3"/>
      <c r="AF2920" s="3" t="str">
        <f>IFERROR(__xludf.DUMMYFUNCTION("""COMPUTED_VALUE"""),"ร้านลุงเหนี่ยง-83792")</f>
        <v>ร้านลุงเหนี่ยง-83792</v>
      </c>
      <c r="AG2920" s="3" t="str">
        <f>IFERROR(__xludf.DUMMYFUNCTION("""COMPUTED_VALUE"""),"ตะวันออก")</f>
        <v>ตะวันออก</v>
      </c>
      <c r="AH2920" s="3" t="str">
        <f>IFERROR(__xludf.DUMMYFUNCTION("""COMPUTED_VALUE"""),"#N/A")</f>
        <v>#N/A</v>
      </c>
      <c r="AI2920" s="3" t="str">
        <f>IFERROR(__xludf.DUMMYFUNCTION("""COMPUTED_VALUE"""),"Out of warranty")</f>
        <v>Out of warranty</v>
      </c>
      <c r="AJ2920" s="3">
        <f>IFERROR(__xludf.DUMMYFUNCTION("""COMPUTED_VALUE"""),46.0)</f>
        <v>46</v>
      </c>
      <c r="AK2920" s="3"/>
      <c r="AL2920" s="3"/>
    </row>
    <row r="2921" ht="15.75" customHeight="1">
      <c r="A2921" s="1" t="str">
        <f>IFERROR(__xludf.DUMMYFUNCTION("""COMPUTED_VALUE"""),"83793")</f>
        <v>83793</v>
      </c>
      <c r="B2921" s="2">
        <f>IFERROR(__xludf.DUMMYFUNCTION("""COMPUTED_VALUE"""),83793.0)</f>
        <v>83793</v>
      </c>
      <c r="C2921" s="3" t="str">
        <f>IFERROR(__xludf.DUMMYFUNCTION("""COMPUTED_VALUE"""),"ร้านเจ้เหมย(วีรพันธ์ พาณิชย์)")</f>
        <v>ร้านเจ้เหมย(วีรพันธ์ พาณิชย์)</v>
      </c>
      <c r="D2921" s="3" t="str">
        <f>IFERROR(__xludf.DUMMYFUNCTION("""COMPUTED_VALUE"""),"ร้านเจ้เหมย(วีรพันธ์ พาณิชย์)")</f>
        <v>ร้านเจ้เหมย(วีรพันธ์ พาณิชย์)</v>
      </c>
      <c r="E2921" s="1" t="str">
        <f>IFERROR(__xludf.DUMMYFUNCTION("""COMPUTED_VALUE"""),"Donjai")</f>
        <v>Donjai</v>
      </c>
      <c r="F2921" s="1" t="str">
        <f>IFERROR(__xludf.DUMMYFUNCTION("""COMPUTED_VALUE"""),"2010016")</f>
        <v>2010016</v>
      </c>
      <c r="G2921" s="1" t="str">
        <f>IFERROR(__xludf.DUMMYFUNCTION("""COMPUTED_VALUE"""),"นายตวงธรรม ใหม่ยศ")</f>
        <v>นายตวงธรรม ใหม่ยศ</v>
      </c>
      <c r="H2921" s="1" t="str">
        <f>IFERROR(__xludf.DUMMYFUNCTION("""COMPUTED_VALUE"""),"2010016")</f>
        <v>2010016</v>
      </c>
      <c r="I2921" s="1" t="str">
        <f>IFERROR(__xludf.DUMMYFUNCTION("""COMPUTED_VALUE"""),"นายตวงธรรม ใหม่ยศ")</f>
        <v>นายตวงธรรม ใหม่ยศ</v>
      </c>
      <c r="J2921" s="3">
        <f>IFERROR(__xludf.DUMMYFUNCTION("""COMPUTED_VALUE"""),295886.0)</f>
        <v>295886</v>
      </c>
      <c r="K2921" s="3" t="str">
        <f>IFERROR(__xludf.DUMMYFUNCTION("""COMPUTED_VALUE"""),"นายจิระพงษ์ โพธิ์นิล")</f>
        <v>นายจิระพงษ์ โพธิ์นิล</v>
      </c>
      <c r="L2921" s="1" t="str">
        <f>IFERROR(__xludf.DUMMYFUNCTION("""COMPUTED_VALUE"""),"นายจิระพงษ์ โพธิ์นิล")</f>
        <v>นายจิระพงษ์ โพธิ์นิล</v>
      </c>
      <c r="M2921" s="1" t="str">
        <f>IFERROR(__xludf.DUMMYFUNCTION("""COMPUTED_VALUE"""),"0933290754")</f>
        <v>0933290754</v>
      </c>
      <c r="N2921" s="3">
        <f>IFERROR(__xludf.DUMMYFUNCTION("""COMPUTED_VALUE"""),83793.0)</f>
        <v>83793</v>
      </c>
      <c r="O2921" s="3" t="str">
        <f>IFERROR(__xludf.DUMMYFUNCTION("""COMPUTED_VALUE"""),"ร้านเจ้เหมย(วีรพันธ์ พาณิชย์)")</f>
        <v>ร้านเจ้เหมย(วีรพันธ์ พาณิชย์)</v>
      </c>
      <c r="P2921" s="4">
        <f>IFERROR(__xludf.DUMMYFUNCTION("""COMPUTED_VALUE"""),44647.0)</f>
        <v>44647</v>
      </c>
      <c r="Q2921" s="3" t="str">
        <f>IFERROR(__xludf.DUMMYFUNCTION("""COMPUTED_VALUE"""),"I")</f>
        <v>I</v>
      </c>
      <c r="R2921" s="3" t="str">
        <f>IFERROR(__xludf.DUMMYFUNCTION("""COMPUTED_VALUE"""),"Small Format")</f>
        <v>Small Format</v>
      </c>
      <c r="S2921" s="3" t="str">
        <f>IFERROR(__xludf.DUMMYFUNCTION("""COMPUTED_VALUE"""),"Donjai")</f>
        <v>Donjai</v>
      </c>
      <c r="T2921" s="3" t="str">
        <f>IFERROR(__xludf.DUMMYFUNCTION("""COMPUTED_VALUE"""),"01 K.Tuangtham M.")</f>
        <v>01 K.Tuangtham M.</v>
      </c>
      <c r="U2921" s="3" t="str">
        <f>IFERROR(__xludf.DUMMYFUNCTION("""COMPUTED_VALUE"""),"01 K.Tuangtham M.")</f>
        <v>01 K.Tuangtham M.</v>
      </c>
      <c r="V2921" s="3" t="str">
        <f>IFERROR(__xludf.DUMMYFUNCTION("""COMPUTED_VALUE"""),"N")</f>
        <v>N</v>
      </c>
      <c r="W2921" s="3"/>
      <c r="X2921" s="3" t="str">
        <f>IFERROR(__xludf.DUMMYFUNCTION("""COMPUTED_VALUE"""),"3​ หมู่12​ ร่องเคาะ วังเหนือ ลำปาง 31140")</f>
        <v>3​ หมู่12​ ร่องเคาะ วังเหนือ ลำปาง 31140</v>
      </c>
      <c r="Y2921" s="3"/>
      <c r="Z2921" s="3">
        <f>IFERROR(__xludf.DUMMYFUNCTION("""COMPUTED_VALUE"""),0.0)</f>
        <v>0</v>
      </c>
      <c r="AA2921" s="3">
        <f>IFERROR(__xludf.DUMMYFUNCTION("""COMPUTED_VALUE"""),0.0)</f>
        <v>0</v>
      </c>
      <c r="AB2921" s="3" t="str">
        <f>IFERROR(__xludf.DUMMYFUNCTION("""COMPUTED_VALUE"""),"ลำปาง")</f>
        <v>ลำปาง</v>
      </c>
      <c r="AC2921" s="3">
        <f>IFERROR(__xludf.DUMMYFUNCTION("""COMPUTED_VALUE"""),31140.0)</f>
        <v>31140</v>
      </c>
      <c r="AD2921" s="3"/>
      <c r="AE2921" s="3"/>
      <c r="AF2921" s="3" t="str">
        <f>IFERROR(__xludf.DUMMYFUNCTION("""COMPUTED_VALUE"""),"ร้านเจ้เหมย(วีรพันธ์ พาณิชย์)-83793")</f>
        <v>ร้านเจ้เหมย(วีรพันธ์ พาณิชย์)-83793</v>
      </c>
      <c r="AG2921" s="3" t="str">
        <f>IFERROR(__xludf.DUMMYFUNCTION("""COMPUTED_VALUE"""),"เหนือ")</f>
        <v>เหนือ</v>
      </c>
      <c r="AH2921" s="3" t="str">
        <f>IFERROR(__xludf.DUMMYFUNCTION("""COMPUTED_VALUE"""),"#N/A")</f>
        <v>#N/A</v>
      </c>
      <c r="AI2921" s="3" t="str">
        <f>IFERROR(__xludf.DUMMYFUNCTION("""COMPUTED_VALUE"""),"Out of warranty")</f>
        <v>Out of warranty</v>
      </c>
      <c r="AJ2921" s="3">
        <f>IFERROR(__xludf.DUMMYFUNCTION("""COMPUTED_VALUE"""),46.0)</f>
        <v>46</v>
      </c>
      <c r="AK2921" s="3"/>
      <c r="AL2921" s="3"/>
    </row>
    <row r="2922" ht="15.75" customHeight="1">
      <c r="A2922" s="1" t="str">
        <f>IFERROR(__xludf.DUMMYFUNCTION("""COMPUTED_VALUE"""),"83794")</f>
        <v>83794</v>
      </c>
      <c r="B2922" s="2">
        <f>IFERROR(__xludf.DUMMYFUNCTION("""COMPUTED_VALUE"""),83794.0)</f>
        <v>83794</v>
      </c>
      <c r="C2922" s="3" t="str">
        <f>IFERROR(__xludf.DUMMYFUNCTION("""COMPUTED_VALUE"""),"ร้านคุณเจ้ขาว (บังอร)")</f>
        <v>ร้านคุณเจ้ขาว (บังอร)</v>
      </c>
      <c r="D2922" s="3" t="str">
        <f>IFERROR(__xludf.DUMMYFUNCTION("""COMPUTED_VALUE"""),"ร้านคุณเจ้ขาว (บังอร)")</f>
        <v>ร้านคุณเจ้ขาว (บังอร)</v>
      </c>
      <c r="E2922" s="1" t="str">
        <f>IFERROR(__xludf.DUMMYFUNCTION("""COMPUTED_VALUE"""),"Donjai")</f>
        <v>Donjai</v>
      </c>
      <c r="F2922" s="1" t="str">
        <f>IFERROR(__xludf.DUMMYFUNCTION("""COMPUTED_VALUE"""),"2010023")</f>
        <v>2010023</v>
      </c>
      <c r="G2922" s="1" t="str">
        <f>IFERROR(__xludf.DUMMYFUNCTION("""COMPUTED_VALUE"""),"นายวศิน ไวยรูป")</f>
        <v>นายวศิน ไวยรูป</v>
      </c>
      <c r="H2922" s="1" t="str">
        <f>IFERROR(__xludf.DUMMYFUNCTION("""COMPUTED_VALUE"""),"2010023")</f>
        <v>2010023</v>
      </c>
      <c r="I2922" s="1" t="str">
        <f>IFERROR(__xludf.DUMMYFUNCTION("""COMPUTED_VALUE"""),"นายวศิน ไวยรูป")</f>
        <v>นายวศิน ไวยรูป</v>
      </c>
      <c r="J2922" s="3">
        <f>IFERROR(__xludf.DUMMYFUNCTION("""COMPUTED_VALUE"""),228031.0)</f>
        <v>228031</v>
      </c>
      <c r="K2922" s="3" t="str">
        <f>IFERROR(__xludf.DUMMYFUNCTION("""COMPUTED_VALUE"""),"นายธนพงษ์ วันหมัด")</f>
        <v>นายธนพงษ์ วันหมัด</v>
      </c>
      <c r="L2922" s="1" t="str">
        <f>IFERROR(__xludf.DUMMYFUNCTION("""COMPUTED_VALUE"""),"นายธนพงษ์ วันหมัด")</f>
        <v>นายธนพงษ์ วันหมัด</v>
      </c>
      <c r="M2922" s="1" t="str">
        <f>IFERROR(__xludf.DUMMYFUNCTION("""COMPUTED_VALUE"""),"0813716913")</f>
        <v>0813716913</v>
      </c>
      <c r="N2922" s="3">
        <f>IFERROR(__xludf.DUMMYFUNCTION("""COMPUTED_VALUE"""),83794.0)</f>
        <v>83794</v>
      </c>
      <c r="O2922" s="3" t="str">
        <f>IFERROR(__xludf.DUMMYFUNCTION("""COMPUTED_VALUE"""),"ร้านคุณเจ้ขาว (บังอร)")</f>
        <v>ร้านคุณเจ้ขาว (บังอร)</v>
      </c>
      <c r="P2922" s="4">
        <f>IFERROR(__xludf.DUMMYFUNCTION("""COMPUTED_VALUE"""),44646.0)</f>
        <v>44646</v>
      </c>
      <c r="Q2922" s="3" t="str">
        <f>IFERROR(__xludf.DUMMYFUNCTION("""COMPUTED_VALUE"""),"I")</f>
        <v>I</v>
      </c>
      <c r="R2922" s="3" t="str">
        <f>IFERROR(__xludf.DUMMYFUNCTION("""COMPUTED_VALUE"""),"Small Format")</f>
        <v>Small Format</v>
      </c>
      <c r="S2922" s="3" t="str">
        <f>IFERROR(__xludf.DUMMYFUNCTION("""COMPUTED_VALUE"""),"Donjai")</f>
        <v>Donjai</v>
      </c>
      <c r="T2922" s="3" t="str">
        <f>IFERROR(__xludf.DUMMYFUNCTION("""COMPUTED_VALUE"""),"Donjai")</f>
        <v>Donjai</v>
      </c>
      <c r="U2922" s="3" t="str">
        <f>IFERROR(__xludf.DUMMYFUNCTION("""COMPUTED_VALUE"""),"Donjai")</f>
        <v>Donjai</v>
      </c>
      <c r="V2922" s="3" t="str">
        <f>IFERROR(__xludf.DUMMYFUNCTION("""COMPUTED_VALUE"""),"N")</f>
        <v>N</v>
      </c>
      <c r="W2922" s="3"/>
      <c r="X2922" s="3" t="str">
        <f>IFERROR(__xludf.DUMMYFUNCTION("""COMPUTED_VALUE"""),"5/1 หมู่ 4 เสม็ดใต้ บางคล้า ฉะเชิงเทรา 24000")</f>
        <v>5/1 หมู่ 4 เสม็ดใต้ บางคล้า ฉะเชิงเทรา 24000</v>
      </c>
      <c r="Y2922" s="3"/>
      <c r="Z2922" s="3">
        <f>IFERROR(__xludf.DUMMYFUNCTION("""COMPUTED_VALUE"""),0.0)</f>
        <v>0</v>
      </c>
      <c r="AA2922" s="3">
        <f>IFERROR(__xludf.DUMMYFUNCTION("""COMPUTED_VALUE"""),0.0)</f>
        <v>0</v>
      </c>
      <c r="AB2922" s="3" t="str">
        <f>IFERROR(__xludf.DUMMYFUNCTION("""COMPUTED_VALUE"""),"ฉะเชิงเทรา")</f>
        <v>ฉะเชิงเทรา</v>
      </c>
      <c r="AC2922" s="3">
        <f>IFERROR(__xludf.DUMMYFUNCTION("""COMPUTED_VALUE"""),24000.0)</f>
        <v>24000</v>
      </c>
      <c r="AD2922" s="3"/>
      <c r="AE2922" s="3"/>
      <c r="AF2922" s="3" t="str">
        <f>IFERROR(__xludf.DUMMYFUNCTION("""COMPUTED_VALUE"""),"ร้านคุณเจ้ขาว (บังอร)-83794")</f>
        <v>ร้านคุณเจ้ขาว (บังอร)-83794</v>
      </c>
      <c r="AG2922" s="3" t="str">
        <f>IFERROR(__xludf.DUMMYFUNCTION("""COMPUTED_VALUE"""),"ตะวันออก")</f>
        <v>ตะวันออก</v>
      </c>
      <c r="AH2922" s="3" t="str">
        <f>IFERROR(__xludf.DUMMYFUNCTION("""COMPUTED_VALUE"""),"#N/A")</f>
        <v>#N/A</v>
      </c>
      <c r="AI2922" s="3" t="str">
        <f>IFERROR(__xludf.DUMMYFUNCTION("""COMPUTED_VALUE"""),"Out of warranty")</f>
        <v>Out of warranty</v>
      </c>
      <c r="AJ2922" s="3">
        <f>IFERROR(__xludf.DUMMYFUNCTION("""COMPUTED_VALUE"""),46.0)</f>
        <v>46</v>
      </c>
      <c r="AK2922" s="3"/>
      <c r="AL2922" s="3"/>
    </row>
    <row r="2923" ht="15.75" customHeight="1">
      <c r="A2923" s="1" t="str">
        <f>IFERROR(__xludf.DUMMYFUNCTION("""COMPUTED_VALUE"""),"83795")</f>
        <v>83795</v>
      </c>
      <c r="B2923" s="2">
        <f>IFERROR(__xludf.DUMMYFUNCTION("""COMPUTED_VALUE"""),83795.0)</f>
        <v>83795</v>
      </c>
      <c r="C2923" s="3" t="str">
        <f>IFERROR(__xludf.DUMMYFUNCTION("""COMPUTED_VALUE"""),"ร้านสิรินดา (ร้านคุณสมชาย)")</f>
        <v>ร้านสิรินดา (ร้านคุณสมชาย)</v>
      </c>
      <c r="D2923" s="3" t="str">
        <f>IFERROR(__xludf.DUMMYFUNCTION("""COMPUTED_VALUE"""),"ร้านสิรินดา (ร้านคุณสมชาย)")</f>
        <v>ร้านสิรินดา (ร้านคุณสมชาย)</v>
      </c>
      <c r="E2923" s="1" t="str">
        <f>IFERROR(__xludf.DUMMYFUNCTION("""COMPUTED_VALUE"""),"Donjai")</f>
        <v>Donjai</v>
      </c>
      <c r="F2923" s="1" t="str">
        <f>IFERROR(__xludf.DUMMYFUNCTION("""COMPUTED_VALUE"""),"296608")</f>
        <v>296608</v>
      </c>
      <c r="G2923" s="1" t="str">
        <f>IFERROR(__xludf.DUMMYFUNCTION("""COMPUTED_VALUE"""),"นายภาคภูมิ เพ็ชรนิล")</f>
        <v>นายภาคภูมิ เพ็ชรนิล</v>
      </c>
      <c r="H2923" s="1" t="str">
        <f>IFERROR(__xludf.DUMMYFUNCTION("""COMPUTED_VALUE"""),"296608")</f>
        <v>296608</v>
      </c>
      <c r="I2923" s="1" t="str">
        <f>IFERROR(__xludf.DUMMYFUNCTION("""COMPUTED_VALUE"""),"นายภาคภูมิ เพ็ชรนิล")</f>
        <v>นายภาคภูมิ เพ็ชรนิล</v>
      </c>
      <c r="J2923" s="3">
        <f>IFERROR(__xludf.DUMMYFUNCTION("""COMPUTED_VALUE"""),228031.0)</f>
        <v>228031</v>
      </c>
      <c r="K2923" s="3" t="str">
        <f>IFERROR(__xludf.DUMMYFUNCTION("""COMPUTED_VALUE"""),"นายธนพงษ์ วันหมัด")</f>
        <v>นายธนพงษ์ วันหมัด</v>
      </c>
      <c r="L2923" s="1" t="str">
        <f>IFERROR(__xludf.DUMMYFUNCTION("""COMPUTED_VALUE"""),"นายธนพงษ์ วันหมัด")</f>
        <v>นายธนพงษ์ วันหมัด</v>
      </c>
      <c r="M2923" s="1" t="str">
        <f>IFERROR(__xludf.DUMMYFUNCTION("""COMPUTED_VALUE"""),"0813716913")</f>
        <v>0813716913</v>
      </c>
      <c r="N2923" s="3">
        <f>IFERROR(__xludf.DUMMYFUNCTION("""COMPUTED_VALUE"""),83795.0)</f>
        <v>83795</v>
      </c>
      <c r="O2923" s="3" t="str">
        <f>IFERROR(__xludf.DUMMYFUNCTION("""COMPUTED_VALUE"""),"ร้านสิรินดา (ร้านคุณสมชาย)")</f>
        <v>ร้านสิรินดา (ร้านคุณสมชาย)</v>
      </c>
      <c r="P2923" s="4">
        <f>IFERROR(__xludf.DUMMYFUNCTION("""COMPUTED_VALUE"""),44996.0)</f>
        <v>44996</v>
      </c>
      <c r="Q2923" s="3" t="str">
        <f>IFERROR(__xludf.DUMMYFUNCTION("""COMPUTED_VALUE"""),"A")</f>
        <v>A</v>
      </c>
      <c r="R2923" s="3" t="str">
        <f>IFERROR(__xludf.DUMMYFUNCTION("""COMPUTED_VALUE"""),"Small Format")</f>
        <v>Small Format</v>
      </c>
      <c r="S2923" s="3" t="str">
        <f>IFERROR(__xludf.DUMMYFUNCTION("""COMPUTED_VALUE"""),"Donjai")</f>
        <v>Donjai</v>
      </c>
      <c r="T2923" s="3" t="str">
        <f>IFERROR(__xludf.DUMMYFUNCTION("""COMPUTED_VALUE"""),"10 K.Phakphoom P.")</f>
        <v>10 K.Phakphoom P.</v>
      </c>
      <c r="U2923" s="3" t="str">
        <f>IFERROR(__xludf.DUMMYFUNCTION("""COMPUTED_VALUE"""),"10 K.Phakphoom P.")</f>
        <v>10 K.Phakphoom P.</v>
      </c>
      <c r="V2923" s="3" t="str">
        <f>IFERROR(__xludf.DUMMYFUNCTION("""COMPUTED_VALUE"""),"N")</f>
        <v>N</v>
      </c>
      <c r="W2923" s="3"/>
      <c r="X2923" s="3" t="str">
        <f>IFERROR(__xludf.DUMMYFUNCTION("""COMPUTED_VALUE"""),"502 หมู่3 ต.นาเกลือ อ.พระสมุทรเจดีย์ จ.สมุทรปราการ 10290")</f>
        <v>502 หมู่3 ต.นาเกลือ อ.พระสมุทรเจดีย์ จ.สมุทรปราการ 10290</v>
      </c>
      <c r="Y2923" s="3"/>
      <c r="Z2923" s="3" t="str">
        <f>IFERROR(__xludf.DUMMYFUNCTION("""COMPUTED_VALUE"""),"นาเกลือ")</f>
        <v>นาเกลือ</v>
      </c>
      <c r="AA2923" s="3" t="str">
        <f>IFERROR(__xludf.DUMMYFUNCTION("""COMPUTED_VALUE"""),"พระสมุทรเจดีย์")</f>
        <v>พระสมุทรเจดีย์</v>
      </c>
      <c r="AB2923" s="3" t="str">
        <f>IFERROR(__xludf.DUMMYFUNCTION("""COMPUTED_VALUE"""),"สมุทรปราการ")</f>
        <v>สมุทรปราการ</v>
      </c>
      <c r="AC2923" s="3">
        <f>IFERROR(__xludf.DUMMYFUNCTION("""COMPUTED_VALUE"""),10290.0)</f>
        <v>10290</v>
      </c>
      <c r="AD2923" s="3"/>
      <c r="AE2923" s="3"/>
      <c r="AF2923" s="3" t="str">
        <f>IFERROR(__xludf.DUMMYFUNCTION("""COMPUTED_VALUE"""),"ร้านสิรินดา (ร้านคุณสมชาย)-83795")</f>
        <v>ร้านสิรินดา (ร้านคุณสมชาย)-83795</v>
      </c>
      <c r="AG2923" s="3" t="str">
        <f>IFERROR(__xludf.DUMMYFUNCTION("""COMPUTED_VALUE"""),"กลาง")</f>
        <v>กลาง</v>
      </c>
      <c r="AH2923" s="3" t="str">
        <f>IFERROR(__xludf.DUMMYFUNCTION("""COMPUTED_VALUE"""),"#N/A")</f>
        <v>#N/A</v>
      </c>
      <c r="AI2923" s="3" t="str">
        <f>IFERROR(__xludf.DUMMYFUNCTION("""COMPUTED_VALUE"""),"Out of warranty")</f>
        <v>Out of warranty</v>
      </c>
      <c r="AJ2923" s="3">
        <f>IFERROR(__xludf.DUMMYFUNCTION("""COMPUTED_VALUE"""),35.0)</f>
        <v>35</v>
      </c>
      <c r="AK2923" s="3"/>
      <c r="AL2923" s="3"/>
    </row>
    <row r="2924" ht="15.75" customHeight="1">
      <c r="A2924" s="1" t="str">
        <f>IFERROR(__xludf.DUMMYFUNCTION("""COMPUTED_VALUE"""),"83797")</f>
        <v>83797</v>
      </c>
      <c r="B2924" s="2">
        <f>IFERROR(__xludf.DUMMYFUNCTION("""COMPUTED_VALUE"""),83797.0)</f>
        <v>83797</v>
      </c>
      <c r="C2924" s="3" t="str">
        <f>IFERROR(__xludf.DUMMYFUNCTION("""COMPUTED_VALUE"""),"ร้านลุงวน")</f>
        <v>ร้านลุงวน</v>
      </c>
      <c r="D2924" s="3" t="str">
        <f>IFERROR(__xludf.DUMMYFUNCTION("""COMPUTED_VALUE"""),"ร้านลุงวน")</f>
        <v>ร้านลุงวน</v>
      </c>
      <c r="E2924" s="1" t="str">
        <f>IFERROR(__xludf.DUMMYFUNCTION("""COMPUTED_VALUE"""),"Donjai")</f>
        <v>Donjai</v>
      </c>
      <c r="F2924" s="1" t="str">
        <f>IFERROR(__xludf.DUMMYFUNCTION("""COMPUTED_VALUE"""),"296608")</f>
        <v>296608</v>
      </c>
      <c r="G2924" s="1" t="str">
        <f>IFERROR(__xludf.DUMMYFUNCTION("""COMPUTED_VALUE"""),"นายภาคภูมิ เพ็ชรนิล")</f>
        <v>นายภาคภูมิ เพ็ชรนิล</v>
      </c>
      <c r="H2924" s="1" t="str">
        <f>IFERROR(__xludf.DUMMYFUNCTION("""COMPUTED_VALUE"""),"296608")</f>
        <v>296608</v>
      </c>
      <c r="I2924" s="1" t="str">
        <f>IFERROR(__xludf.DUMMYFUNCTION("""COMPUTED_VALUE"""),"นายภาคภูมิ เพ็ชรนิล")</f>
        <v>นายภาคภูมิ เพ็ชรนิล</v>
      </c>
      <c r="J2924" s="3">
        <f>IFERROR(__xludf.DUMMYFUNCTION("""COMPUTED_VALUE"""),228031.0)</f>
        <v>228031</v>
      </c>
      <c r="K2924" s="3" t="str">
        <f>IFERROR(__xludf.DUMMYFUNCTION("""COMPUTED_VALUE"""),"นายธนพงษ์ วันหมัด")</f>
        <v>นายธนพงษ์ วันหมัด</v>
      </c>
      <c r="L2924" s="1" t="str">
        <f>IFERROR(__xludf.DUMMYFUNCTION("""COMPUTED_VALUE"""),"นายธนพงษ์ วันหมัด")</f>
        <v>นายธนพงษ์ วันหมัด</v>
      </c>
      <c r="M2924" s="1" t="str">
        <f>IFERROR(__xludf.DUMMYFUNCTION("""COMPUTED_VALUE"""),"0813716913")</f>
        <v>0813716913</v>
      </c>
      <c r="N2924" s="3">
        <f>IFERROR(__xludf.DUMMYFUNCTION("""COMPUTED_VALUE"""),83797.0)</f>
        <v>83797</v>
      </c>
      <c r="O2924" s="3" t="str">
        <f>IFERROR(__xludf.DUMMYFUNCTION("""COMPUTED_VALUE"""),"ร้านลุงวน")</f>
        <v>ร้านลุงวน</v>
      </c>
      <c r="P2924" s="4">
        <f>IFERROR(__xludf.DUMMYFUNCTION("""COMPUTED_VALUE"""),44658.0)</f>
        <v>44658</v>
      </c>
      <c r="Q2924" s="3" t="str">
        <f>IFERROR(__xludf.DUMMYFUNCTION("""COMPUTED_VALUE"""),"I")</f>
        <v>I</v>
      </c>
      <c r="R2924" s="3" t="str">
        <f>IFERROR(__xludf.DUMMYFUNCTION("""COMPUTED_VALUE"""),"Small Format")</f>
        <v>Small Format</v>
      </c>
      <c r="S2924" s="3" t="str">
        <f>IFERROR(__xludf.DUMMYFUNCTION("""COMPUTED_VALUE"""),"Donjai")</f>
        <v>Donjai</v>
      </c>
      <c r="T2924" s="3" t="str">
        <f>IFERROR(__xludf.DUMMYFUNCTION("""COMPUTED_VALUE"""),"10 K.Phakphoom P.")</f>
        <v>10 K.Phakphoom P.</v>
      </c>
      <c r="U2924" s="3" t="str">
        <f>IFERROR(__xludf.DUMMYFUNCTION("""COMPUTED_VALUE"""),"10 K.Phakphoom P.")</f>
        <v>10 K.Phakphoom P.</v>
      </c>
      <c r="V2924" s="3" t="str">
        <f>IFERROR(__xludf.DUMMYFUNCTION("""COMPUTED_VALUE"""),"N")</f>
        <v>N</v>
      </c>
      <c r="W2924" s="3"/>
      <c r="X2924" s="3" t="str">
        <f>IFERROR(__xludf.DUMMYFUNCTION("""COMPUTED_VALUE"""),"27 หมู่ 9 ต.ไร่ส้ม อ.เมือง ต.เพชรบุรี")</f>
        <v>27 หมู่ 9 ต.ไร่ส้ม อ.เมือง ต.เพชรบุรี</v>
      </c>
      <c r="Y2924" s="3"/>
      <c r="Z2924" s="3" t="str">
        <f>IFERROR(__xludf.DUMMYFUNCTION("""COMPUTED_VALUE"""),"ไร่ส้ม")</f>
        <v>ไร่ส้ม</v>
      </c>
      <c r="AA2924" s="3" t="str">
        <f>IFERROR(__xludf.DUMMYFUNCTION("""COMPUTED_VALUE"""),"เมืองเพชรบุรี")</f>
        <v>เมืองเพชรบุรี</v>
      </c>
      <c r="AB2924" s="3" t="str">
        <f>IFERROR(__xludf.DUMMYFUNCTION("""COMPUTED_VALUE"""),"เพชรบุรี")</f>
        <v>เพชรบุรี</v>
      </c>
      <c r="AC2924" s="3">
        <f>IFERROR(__xludf.DUMMYFUNCTION("""COMPUTED_VALUE"""),76000.0)</f>
        <v>76000</v>
      </c>
      <c r="AD2924" s="3"/>
      <c r="AE2924" s="3"/>
      <c r="AF2924" s="3" t="str">
        <f>IFERROR(__xludf.DUMMYFUNCTION("""COMPUTED_VALUE"""),"ร้านลุงวน-83797")</f>
        <v>ร้านลุงวน-83797</v>
      </c>
      <c r="AG2924" s="3" t="str">
        <f>IFERROR(__xludf.DUMMYFUNCTION("""COMPUTED_VALUE"""),"ตะวันตก")</f>
        <v>ตะวันตก</v>
      </c>
      <c r="AH2924" s="3" t="str">
        <f>IFERROR(__xludf.DUMMYFUNCTION("""COMPUTED_VALUE"""),"#N/A")</f>
        <v>#N/A</v>
      </c>
      <c r="AI2924" s="3" t="str">
        <f>IFERROR(__xludf.DUMMYFUNCTION("""COMPUTED_VALUE"""),"Out of warranty")</f>
        <v>Out of warranty</v>
      </c>
      <c r="AJ2924" s="3">
        <f>IFERROR(__xludf.DUMMYFUNCTION("""COMPUTED_VALUE"""),46.0)</f>
        <v>46</v>
      </c>
      <c r="AK2924" s="3"/>
      <c r="AL2924" s="3"/>
    </row>
    <row r="2925" ht="15.75" customHeight="1">
      <c r="A2925" s="1" t="str">
        <f>IFERROR(__xludf.DUMMYFUNCTION("""COMPUTED_VALUE"""),"83799")</f>
        <v>83799</v>
      </c>
      <c r="B2925" s="2">
        <f>IFERROR(__xludf.DUMMYFUNCTION("""COMPUTED_VALUE"""),83799.0)</f>
        <v>83799</v>
      </c>
      <c r="C2925" s="3" t="str">
        <f>IFERROR(__xludf.DUMMYFUNCTION("""COMPUTED_VALUE"""),"ร้าน 4 อ (โกแอ๊ด )")</f>
        <v>ร้าน 4 อ (โกแอ๊ด )</v>
      </c>
      <c r="D2925" s="3" t="str">
        <f>IFERROR(__xludf.DUMMYFUNCTION("""COMPUTED_VALUE"""),"ร้าน 4 อ (โกแอ๊ด )")</f>
        <v>ร้าน 4 อ (โกแอ๊ด )</v>
      </c>
      <c r="E2925" s="1" t="str">
        <f>IFERROR(__xludf.DUMMYFUNCTION("""COMPUTED_VALUE"""),"Donjai")</f>
        <v>Donjai</v>
      </c>
      <c r="F2925" s="1" t="str">
        <f>IFERROR(__xludf.DUMMYFUNCTION("""COMPUTED_VALUE"""),"20470331")</f>
        <v>20470331</v>
      </c>
      <c r="G2925" s="1" t="str">
        <f>IFERROR(__xludf.DUMMYFUNCTION("""COMPUTED_VALUE"""),"นายสมชาย ลักษณะสุวรรณ")</f>
        <v>นายสมชาย ลักษณะสุวรรณ</v>
      </c>
      <c r="H2925" s="1" t="str">
        <f>IFERROR(__xludf.DUMMYFUNCTION("""COMPUTED_VALUE"""),"20470331")</f>
        <v>20470331</v>
      </c>
      <c r="I2925" s="1" t="str">
        <f>IFERROR(__xludf.DUMMYFUNCTION("""COMPUTED_VALUE"""),"นายสมชาย ลักษณะสุวรรณ")</f>
        <v>นายสมชาย ลักษณะสุวรรณ</v>
      </c>
      <c r="J2925" s="3">
        <f>IFERROR(__xludf.DUMMYFUNCTION("""COMPUTED_VALUE"""),295541.0)</f>
        <v>295541</v>
      </c>
      <c r="K2925" s="3" t="str">
        <f>IFERROR(__xludf.DUMMYFUNCTION("""COMPUTED_VALUE"""),"นายรพิพล ศรีมาตย์")</f>
        <v>นายรพิพล ศรีมาตย์</v>
      </c>
      <c r="L2925" s="1" t="str">
        <f>IFERROR(__xludf.DUMMYFUNCTION("""COMPUTED_VALUE"""),"นายรพิพล ศรีมาตย์")</f>
        <v>นายรพิพล ศรีมาตย์</v>
      </c>
      <c r="M2925" s="1" t="str">
        <f>IFERROR(__xludf.DUMMYFUNCTION("""COMPUTED_VALUE"""),"0613966115")</f>
        <v>0613966115</v>
      </c>
      <c r="N2925" s="3">
        <f>IFERROR(__xludf.DUMMYFUNCTION("""COMPUTED_VALUE"""),83799.0)</f>
        <v>83799</v>
      </c>
      <c r="O2925" s="3" t="str">
        <f>IFERROR(__xludf.DUMMYFUNCTION("""COMPUTED_VALUE"""),"ร้าน 4 อ (โกแอ๊ด )")</f>
        <v>ร้าน 4 อ (โกแอ๊ด )</v>
      </c>
      <c r="P2925" s="4">
        <f>IFERROR(__xludf.DUMMYFUNCTION("""COMPUTED_VALUE"""),44651.0)</f>
        <v>44651</v>
      </c>
      <c r="Q2925" s="3" t="str">
        <f>IFERROR(__xludf.DUMMYFUNCTION("""COMPUTED_VALUE"""),"I")</f>
        <v>I</v>
      </c>
      <c r="R2925" s="3" t="str">
        <f>IFERROR(__xludf.DUMMYFUNCTION("""COMPUTED_VALUE"""),"Small Format")</f>
        <v>Small Format</v>
      </c>
      <c r="S2925" s="3" t="str">
        <f>IFERROR(__xludf.DUMMYFUNCTION("""COMPUTED_VALUE"""),"Donjai")</f>
        <v>Donjai</v>
      </c>
      <c r="T2925" s="3" t="str">
        <f>IFERROR(__xludf.DUMMYFUNCTION("""COMPUTED_VALUE"""),"15 K.Somchai L")</f>
        <v>15 K.Somchai L</v>
      </c>
      <c r="U2925" s="3" t="str">
        <f>IFERROR(__xludf.DUMMYFUNCTION("""COMPUTED_VALUE"""),"15 K.Somchai L")</f>
        <v>15 K.Somchai L</v>
      </c>
      <c r="V2925" s="3" t="str">
        <f>IFERROR(__xludf.DUMMYFUNCTION("""COMPUTED_VALUE"""),"N")</f>
        <v>N</v>
      </c>
      <c r="W2925" s="3"/>
      <c r="X2925" s="3" t="str">
        <f>IFERROR(__xludf.DUMMYFUNCTION("""COMPUTED_VALUE"""),"135 ม.1 ต.กะลาเส อ.สิเกา จ.ตรัง")</f>
        <v>135 ม.1 ต.กะลาเส อ.สิเกา จ.ตรัง</v>
      </c>
      <c r="Y2925" s="3"/>
      <c r="Z2925" s="3">
        <f>IFERROR(__xludf.DUMMYFUNCTION("""COMPUTED_VALUE"""),0.0)</f>
        <v>0</v>
      </c>
      <c r="AA2925" s="3">
        <f>IFERROR(__xludf.DUMMYFUNCTION("""COMPUTED_VALUE"""),0.0)</f>
        <v>0</v>
      </c>
      <c r="AB2925" s="3" t="str">
        <f>IFERROR(__xludf.DUMMYFUNCTION("""COMPUTED_VALUE"""),"ตรัง")</f>
        <v>ตรัง</v>
      </c>
      <c r="AC2925" s="3">
        <f>IFERROR(__xludf.DUMMYFUNCTION("""COMPUTED_VALUE"""),0.0)</f>
        <v>0</v>
      </c>
      <c r="AD2925" s="3"/>
      <c r="AE2925" s="3"/>
      <c r="AF2925" s="3" t="str">
        <f>IFERROR(__xludf.DUMMYFUNCTION("""COMPUTED_VALUE"""),"ร้าน 4 อ (โกแอ๊ด )-83799")</f>
        <v>ร้าน 4 อ (โกแอ๊ด )-83799</v>
      </c>
      <c r="AG2925" s="3" t="str">
        <f>IFERROR(__xludf.DUMMYFUNCTION("""COMPUTED_VALUE"""),"ใต้")</f>
        <v>ใต้</v>
      </c>
      <c r="AH2925" s="3" t="str">
        <f>IFERROR(__xludf.DUMMYFUNCTION("""COMPUTED_VALUE"""),"#N/A")</f>
        <v>#N/A</v>
      </c>
      <c r="AI2925" s="3" t="str">
        <f>IFERROR(__xludf.DUMMYFUNCTION("""COMPUTED_VALUE"""),"Out of warranty")</f>
        <v>Out of warranty</v>
      </c>
      <c r="AJ2925" s="3">
        <f>IFERROR(__xludf.DUMMYFUNCTION("""COMPUTED_VALUE"""),46.0)</f>
        <v>46</v>
      </c>
      <c r="AK2925" s="3"/>
      <c r="AL2925" s="3"/>
    </row>
    <row r="2926" ht="15.75" customHeight="1">
      <c r="A2926" s="1" t="str">
        <f>IFERROR(__xludf.DUMMYFUNCTION("""COMPUTED_VALUE"""),"83800")</f>
        <v>83800</v>
      </c>
      <c r="B2926" s="2">
        <f>IFERROR(__xludf.DUMMYFUNCTION("""COMPUTED_VALUE"""),83800.0)</f>
        <v>83800</v>
      </c>
      <c r="C2926" s="3" t="str">
        <f>IFERROR(__xludf.DUMMYFUNCTION("""COMPUTED_VALUE"""),"ร้านโกลเด้น มาร์ท")</f>
        <v>ร้านโกลเด้น มาร์ท</v>
      </c>
      <c r="D2926" s="3" t="str">
        <f>IFERROR(__xludf.DUMMYFUNCTION("""COMPUTED_VALUE"""),"ร้านโกลเด้น มาร์ท")</f>
        <v>ร้านโกลเด้น มาร์ท</v>
      </c>
      <c r="E2926" s="1" t="str">
        <f>IFERROR(__xludf.DUMMYFUNCTION("""COMPUTED_VALUE"""),"Donjai")</f>
        <v>Donjai</v>
      </c>
      <c r="F2926" s="1" t="str">
        <f>IFERROR(__xludf.DUMMYFUNCTION("""COMPUTED_VALUE"""),"03510104")</f>
        <v>03510104</v>
      </c>
      <c r="G2926" s="1" t="str">
        <f>IFERROR(__xludf.DUMMYFUNCTION("""COMPUTED_VALUE"""),"นายวิโรจน์ อับดุลสมัด")</f>
        <v>นายวิโรจน์ อับดุลสมัด</v>
      </c>
      <c r="H2926" s="1" t="str">
        <f>IFERROR(__xludf.DUMMYFUNCTION("""COMPUTED_VALUE"""),"03510104")</f>
        <v>03510104</v>
      </c>
      <c r="I2926" s="1" t="str">
        <f>IFERROR(__xludf.DUMMYFUNCTION("""COMPUTED_VALUE"""),"นายวิโรจน์ อับดุลสมัด")</f>
        <v>นายวิโรจน์ อับดุลสมัด</v>
      </c>
      <c r="J2926" s="3">
        <f>IFERROR(__xludf.DUMMYFUNCTION("""COMPUTED_VALUE"""),228031.0)</f>
        <v>228031</v>
      </c>
      <c r="K2926" s="3" t="str">
        <f>IFERROR(__xludf.DUMMYFUNCTION("""COMPUTED_VALUE"""),"นายธนพงษ์ วันหมัด")</f>
        <v>นายธนพงษ์ วันหมัด</v>
      </c>
      <c r="L2926" s="1" t="str">
        <f>IFERROR(__xludf.DUMMYFUNCTION("""COMPUTED_VALUE"""),"นายธนพงษ์ วันหมัด")</f>
        <v>นายธนพงษ์ วันหมัด</v>
      </c>
      <c r="M2926" s="1" t="str">
        <f>IFERROR(__xludf.DUMMYFUNCTION("""COMPUTED_VALUE"""),"0813716913")</f>
        <v>0813716913</v>
      </c>
      <c r="N2926" s="3">
        <f>IFERROR(__xludf.DUMMYFUNCTION("""COMPUTED_VALUE"""),83800.0)</f>
        <v>83800</v>
      </c>
      <c r="O2926" s="3" t="str">
        <f>IFERROR(__xludf.DUMMYFUNCTION("""COMPUTED_VALUE"""),"ร้านโกลเด้น มาร์ท")</f>
        <v>ร้านโกลเด้น มาร์ท</v>
      </c>
      <c r="P2926" s="4">
        <f>IFERROR(__xludf.DUMMYFUNCTION("""COMPUTED_VALUE"""),44652.0)</f>
        <v>44652</v>
      </c>
      <c r="Q2926" s="3" t="str">
        <f>IFERROR(__xludf.DUMMYFUNCTION("""COMPUTED_VALUE"""),"A")</f>
        <v>A</v>
      </c>
      <c r="R2926" s="3" t="str">
        <f>IFERROR(__xludf.DUMMYFUNCTION("""COMPUTED_VALUE"""),"Small Format")</f>
        <v>Small Format</v>
      </c>
      <c r="S2926" s="3" t="str">
        <f>IFERROR(__xludf.DUMMYFUNCTION("""COMPUTED_VALUE"""),"Donjai")</f>
        <v>Donjai</v>
      </c>
      <c r="T2926" s="3" t="str">
        <f>IFERROR(__xludf.DUMMYFUNCTION("""COMPUTED_VALUE"""),"09 K.Wirode A")</f>
        <v>09 K.Wirode A</v>
      </c>
      <c r="U2926" s="3" t="str">
        <f>IFERROR(__xludf.DUMMYFUNCTION("""COMPUTED_VALUE"""),"09 K.Wirode A")</f>
        <v>09 K.Wirode A</v>
      </c>
      <c r="V2926" s="3" t="str">
        <f>IFERROR(__xludf.DUMMYFUNCTION("""COMPUTED_VALUE"""),"N")</f>
        <v>N</v>
      </c>
      <c r="W2926" s="3"/>
      <c r="X2926" s="3" t="str">
        <f>IFERROR(__xludf.DUMMYFUNCTION("""COMPUTED_VALUE"""),"20 ซอย 6. ถ.สีหบุรานุกิจ มีนบุรี มีนบุรี กรุงเทพมหานคร 84160")</f>
        <v>20 ซอย 6. ถ.สีหบุรานุกิจ มีนบุรี มีนบุรี กรุงเทพมหานคร 84160</v>
      </c>
      <c r="Y2926" s="3"/>
      <c r="Z2926" s="3">
        <f>IFERROR(__xludf.DUMMYFUNCTION("""COMPUTED_VALUE"""),0.0)</f>
        <v>0</v>
      </c>
      <c r="AA2926" s="3">
        <f>IFERROR(__xludf.DUMMYFUNCTION("""COMPUTED_VALUE"""),0.0)</f>
        <v>0</v>
      </c>
      <c r="AB2926" s="3" t="str">
        <f>IFERROR(__xludf.DUMMYFUNCTION("""COMPUTED_VALUE"""),"กรุงเทพมหานคร")</f>
        <v>กรุงเทพมหานคร</v>
      </c>
      <c r="AC2926" s="3">
        <f>IFERROR(__xludf.DUMMYFUNCTION("""COMPUTED_VALUE"""),84160.0)</f>
        <v>84160</v>
      </c>
      <c r="AD2926" s="3"/>
      <c r="AE2926" s="3"/>
      <c r="AF2926" s="3" t="str">
        <f>IFERROR(__xludf.DUMMYFUNCTION("""COMPUTED_VALUE"""),"ร้านโกลเด้น มาร์ท-83800")</f>
        <v>ร้านโกลเด้น มาร์ท-83800</v>
      </c>
      <c r="AG2926" s="3" t="str">
        <f>IFERROR(__xludf.DUMMYFUNCTION("""COMPUTED_VALUE"""),"กลาง")</f>
        <v>กลาง</v>
      </c>
      <c r="AH2926" s="3" t="str">
        <f>IFERROR(__xludf.DUMMYFUNCTION("""COMPUTED_VALUE"""),"#N/A")</f>
        <v>#N/A</v>
      </c>
      <c r="AI2926" s="3" t="str">
        <f>IFERROR(__xludf.DUMMYFUNCTION("""COMPUTED_VALUE"""),"Out of warranty")</f>
        <v>Out of warranty</v>
      </c>
      <c r="AJ2926" s="3">
        <f>IFERROR(__xludf.DUMMYFUNCTION("""COMPUTED_VALUE"""),46.0)</f>
        <v>46</v>
      </c>
      <c r="AK2926" s="3"/>
      <c r="AL2926" s="3"/>
    </row>
    <row r="2927" ht="15.75" customHeight="1">
      <c r="A2927" s="1" t="str">
        <f>IFERROR(__xludf.DUMMYFUNCTION("""COMPUTED_VALUE"""),"83801")</f>
        <v>83801</v>
      </c>
      <c r="B2927" s="2">
        <f>IFERROR(__xludf.DUMMYFUNCTION("""COMPUTED_VALUE"""),83801.0)</f>
        <v>83801</v>
      </c>
      <c r="C2927" s="3" t="str">
        <f>IFERROR(__xludf.DUMMYFUNCTION("""COMPUTED_VALUE"""),"ร้านเจ้ใหญ่ น้องเล็ก (พนิดา)")</f>
        <v>ร้านเจ้ใหญ่ น้องเล็ก (พนิดา)</v>
      </c>
      <c r="D2927" s="3" t="str">
        <f>IFERROR(__xludf.DUMMYFUNCTION("""COMPUTED_VALUE"""),"ร้านเจ้ใหญ่ น้องเล็ก (พนิดา)")</f>
        <v>ร้านเจ้ใหญ่ น้องเล็ก (พนิดา)</v>
      </c>
      <c r="E2927" s="1" t="str">
        <f>IFERROR(__xludf.DUMMYFUNCTION("""COMPUTED_VALUE"""),"Donjai")</f>
        <v>Donjai</v>
      </c>
      <c r="F2927" s="1" t="str">
        <f>IFERROR(__xludf.DUMMYFUNCTION("""COMPUTED_VALUE"""),"296608")</f>
        <v>296608</v>
      </c>
      <c r="G2927" s="1" t="str">
        <f>IFERROR(__xludf.DUMMYFUNCTION("""COMPUTED_VALUE"""),"นายภาคภูมิ เพ็ชรนิล")</f>
        <v>นายภาคภูมิ เพ็ชรนิล</v>
      </c>
      <c r="H2927" s="1" t="str">
        <f>IFERROR(__xludf.DUMMYFUNCTION("""COMPUTED_VALUE"""),"296608")</f>
        <v>296608</v>
      </c>
      <c r="I2927" s="1" t="str">
        <f>IFERROR(__xludf.DUMMYFUNCTION("""COMPUTED_VALUE"""),"นายภาคภูมิ เพ็ชรนิล")</f>
        <v>นายภาคภูมิ เพ็ชรนิล</v>
      </c>
      <c r="J2927" s="3">
        <f>IFERROR(__xludf.DUMMYFUNCTION("""COMPUTED_VALUE"""),228031.0)</f>
        <v>228031</v>
      </c>
      <c r="K2927" s="3" t="str">
        <f>IFERROR(__xludf.DUMMYFUNCTION("""COMPUTED_VALUE"""),"นายธนพงษ์ วันหมัด")</f>
        <v>นายธนพงษ์ วันหมัด</v>
      </c>
      <c r="L2927" s="1" t="str">
        <f>IFERROR(__xludf.DUMMYFUNCTION("""COMPUTED_VALUE"""),"นายธนพงษ์ วันหมัด")</f>
        <v>นายธนพงษ์ วันหมัด</v>
      </c>
      <c r="M2927" s="1" t="str">
        <f>IFERROR(__xludf.DUMMYFUNCTION("""COMPUTED_VALUE"""),"0813716913")</f>
        <v>0813716913</v>
      </c>
      <c r="N2927" s="3">
        <f>IFERROR(__xludf.DUMMYFUNCTION("""COMPUTED_VALUE"""),83801.0)</f>
        <v>83801</v>
      </c>
      <c r="O2927" s="3" t="str">
        <f>IFERROR(__xludf.DUMMYFUNCTION("""COMPUTED_VALUE"""),"ร้านเจ้ใหญ่ น้องเล็ก (พนิดา)")</f>
        <v>ร้านเจ้ใหญ่ น้องเล็ก (พนิดา)</v>
      </c>
      <c r="P2927" s="4">
        <f>IFERROR(__xludf.DUMMYFUNCTION("""COMPUTED_VALUE"""),44661.0)</f>
        <v>44661</v>
      </c>
      <c r="Q2927" s="3" t="str">
        <f>IFERROR(__xludf.DUMMYFUNCTION("""COMPUTED_VALUE"""),"I")</f>
        <v>I</v>
      </c>
      <c r="R2927" s="3" t="str">
        <f>IFERROR(__xludf.DUMMYFUNCTION("""COMPUTED_VALUE"""),"Small Format")</f>
        <v>Small Format</v>
      </c>
      <c r="S2927" s="3" t="str">
        <f>IFERROR(__xludf.DUMMYFUNCTION("""COMPUTED_VALUE"""),"Donjai")</f>
        <v>Donjai</v>
      </c>
      <c r="T2927" s="3" t="str">
        <f>IFERROR(__xludf.DUMMYFUNCTION("""COMPUTED_VALUE"""),"10 K.Phakphoom P.")</f>
        <v>10 K.Phakphoom P.</v>
      </c>
      <c r="U2927" s="3" t="str">
        <f>IFERROR(__xludf.DUMMYFUNCTION("""COMPUTED_VALUE"""),"10 K.Phakphoom P.")</f>
        <v>10 K.Phakphoom P.</v>
      </c>
      <c r="V2927" s="3" t="str">
        <f>IFERROR(__xludf.DUMMYFUNCTION("""COMPUTED_VALUE"""),"N")</f>
        <v>N</v>
      </c>
      <c r="W2927" s="3"/>
      <c r="X2927" s="3" t="str">
        <f>IFERROR(__xludf.DUMMYFUNCTION("""COMPUTED_VALUE"""),"42/3 ด่านทับตะโก จอมบึง ราชบุรี 60000")</f>
        <v>42/3 ด่านทับตะโก จอมบึง ราชบุรี 60000</v>
      </c>
      <c r="Y2927" s="3"/>
      <c r="Z2927" s="3">
        <f>IFERROR(__xludf.DUMMYFUNCTION("""COMPUTED_VALUE"""),0.0)</f>
        <v>0</v>
      </c>
      <c r="AA2927" s="3">
        <f>IFERROR(__xludf.DUMMYFUNCTION("""COMPUTED_VALUE"""),0.0)</f>
        <v>0</v>
      </c>
      <c r="AB2927" s="3" t="str">
        <f>IFERROR(__xludf.DUMMYFUNCTION("""COMPUTED_VALUE"""),"ราชบุรี")</f>
        <v>ราชบุรี</v>
      </c>
      <c r="AC2927" s="3">
        <f>IFERROR(__xludf.DUMMYFUNCTION("""COMPUTED_VALUE"""),60000.0)</f>
        <v>60000</v>
      </c>
      <c r="AD2927" s="3"/>
      <c r="AE2927" s="3"/>
      <c r="AF2927" s="3" t="str">
        <f>IFERROR(__xludf.DUMMYFUNCTION("""COMPUTED_VALUE"""),"ร้านเจ้ใหญ่ น้องเล็ก (พนิดา)-83801")</f>
        <v>ร้านเจ้ใหญ่ น้องเล็ก (พนิดา)-83801</v>
      </c>
      <c r="AG2927" s="3" t="str">
        <f>IFERROR(__xludf.DUMMYFUNCTION("""COMPUTED_VALUE"""),"ตะวันตก")</f>
        <v>ตะวันตก</v>
      </c>
      <c r="AH2927" s="3" t="str">
        <f>IFERROR(__xludf.DUMMYFUNCTION("""COMPUTED_VALUE"""),"#N/A")</f>
        <v>#N/A</v>
      </c>
      <c r="AI2927" s="3" t="str">
        <f>IFERROR(__xludf.DUMMYFUNCTION("""COMPUTED_VALUE"""),"Out of warranty")</f>
        <v>Out of warranty</v>
      </c>
      <c r="AJ2927" s="3">
        <f>IFERROR(__xludf.DUMMYFUNCTION("""COMPUTED_VALUE"""),46.0)</f>
        <v>46</v>
      </c>
      <c r="AK2927" s="3"/>
      <c r="AL2927" s="3"/>
    </row>
    <row r="2928" ht="15.75" customHeight="1">
      <c r="A2928" s="1" t="str">
        <f>IFERROR(__xludf.DUMMYFUNCTION("""COMPUTED_VALUE"""),"83802")</f>
        <v>83802</v>
      </c>
      <c r="B2928" s="2">
        <f>IFERROR(__xludf.DUMMYFUNCTION("""COMPUTED_VALUE"""),83802.0)</f>
        <v>83802</v>
      </c>
      <c r="C2928" s="3" t="str">
        <f>IFERROR(__xludf.DUMMYFUNCTION("""COMPUTED_VALUE"""),"ร้านดี ดี")</f>
        <v>ร้านดี ดี</v>
      </c>
      <c r="D2928" s="3" t="str">
        <f>IFERROR(__xludf.DUMMYFUNCTION("""COMPUTED_VALUE"""),"ร้านดี ดี")</f>
        <v>ร้านดี ดี</v>
      </c>
      <c r="E2928" s="1" t="str">
        <f>IFERROR(__xludf.DUMMYFUNCTION("""COMPUTED_VALUE"""),"Donjai")</f>
        <v>Donjai</v>
      </c>
      <c r="F2928" s="1" t="str">
        <f>IFERROR(__xludf.DUMMYFUNCTION("""COMPUTED_VALUE"""),"296608")</f>
        <v>296608</v>
      </c>
      <c r="G2928" s="1" t="str">
        <f>IFERROR(__xludf.DUMMYFUNCTION("""COMPUTED_VALUE"""),"นายภาคภูมิ เพ็ชรนิล")</f>
        <v>นายภาคภูมิ เพ็ชรนิล</v>
      </c>
      <c r="H2928" s="1" t="str">
        <f>IFERROR(__xludf.DUMMYFUNCTION("""COMPUTED_VALUE"""),"296608")</f>
        <v>296608</v>
      </c>
      <c r="I2928" s="1" t="str">
        <f>IFERROR(__xludf.DUMMYFUNCTION("""COMPUTED_VALUE"""),"นายภาคภูมิ เพ็ชรนิล")</f>
        <v>นายภาคภูมิ เพ็ชรนิล</v>
      </c>
      <c r="J2928" s="3">
        <f>IFERROR(__xludf.DUMMYFUNCTION("""COMPUTED_VALUE"""),228031.0)</f>
        <v>228031</v>
      </c>
      <c r="K2928" s="3" t="str">
        <f>IFERROR(__xludf.DUMMYFUNCTION("""COMPUTED_VALUE"""),"นายธนพงษ์ วันหมัด")</f>
        <v>นายธนพงษ์ วันหมัด</v>
      </c>
      <c r="L2928" s="1" t="str">
        <f>IFERROR(__xludf.DUMMYFUNCTION("""COMPUTED_VALUE"""),"นายธนพงษ์ วันหมัด")</f>
        <v>นายธนพงษ์ วันหมัด</v>
      </c>
      <c r="M2928" s="1" t="str">
        <f>IFERROR(__xludf.DUMMYFUNCTION("""COMPUTED_VALUE"""),"0813716913")</f>
        <v>0813716913</v>
      </c>
      <c r="N2928" s="3">
        <f>IFERROR(__xludf.DUMMYFUNCTION("""COMPUTED_VALUE"""),83802.0)</f>
        <v>83802</v>
      </c>
      <c r="O2928" s="3" t="str">
        <f>IFERROR(__xludf.DUMMYFUNCTION("""COMPUTED_VALUE"""),"ร้านดี ดี")</f>
        <v>ร้านดี ดี</v>
      </c>
      <c r="P2928" s="4">
        <f>IFERROR(__xludf.DUMMYFUNCTION("""COMPUTED_VALUE"""),44668.0)</f>
        <v>44668</v>
      </c>
      <c r="Q2928" s="3" t="str">
        <f>IFERROR(__xludf.DUMMYFUNCTION("""COMPUTED_VALUE"""),"I")</f>
        <v>I</v>
      </c>
      <c r="R2928" s="3" t="str">
        <f>IFERROR(__xludf.DUMMYFUNCTION("""COMPUTED_VALUE"""),"Small Format")</f>
        <v>Small Format</v>
      </c>
      <c r="S2928" s="3" t="str">
        <f>IFERROR(__xludf.DUMMYFUNCTION("""COMPUTED_VALUE"""),"Donjai")</f>
        <v>Donjai</v>
      </c>
      <c r="T2928" s="3" t="str">
        <f>IFERROR(__xludf.DUMMYFUNCTION("""COMPUTED_VALUE"""),"10 K.Phakphoom P.")</f>
        <v>10 K.Phakphoom P.</v>
      </c>
      <c r="U2928" s="3" t="str">
        <f>IFERROR(__xludf.DUMMYFUNCTION("""COMPUTED_VALUE"""),"10 K.Phakphoom P.")</f>
        <v>10 K.Phakphoom P.</v>
      </c>
      <c r="V2928" s="3" t="str">
        <f>IFERROR(__xludf.DUMMYFUNCTION("""COMPUTED_VALUE"""),"N")</f>
        <v>N</v>
      </c>
      <c r="W2928" s="3"/>
      <c r="X2928" s="3" t="str">
        <f>IFERROR(__xludf.DUMMYFUNCTION("""COMPUTED_VALUE"""),"159 หมู่ 2 หนองชุมพลเหนือ เขาย้อย เพชรบุรี 76140")</f>
        <v>159 หมู่ 2 หนองชุมพลเหนือ เขาย้อย เพชรบุรี 76140</v>
      </c>
      <c r="Y2928" s="3"/>
      <c r="Z2928" s="3" t="str">
        <f>IFERROR(__xludf.DUMMYFUNCTION("""COMPUTED_VALUE"""),"หนองชุมพลเหนือ")</f>
        <v>หนองชุมพลเหนือ</v>
      </c>
      <c r="AA2928" s="3" t="str">
        <f>IFERROR(__xludf.DUMMYFUNCTION("""COMPUTED_VALUE"""),"เข้าย้อย")</f>
        <v>เข้าย้อย</v>
      </c>
      <c r="AB2928" s="3" t="str">
        <f>IFERROR(__xludf.DUMMYFUNCTION("""COMPUTED_VALUE"""),"เพชรบุรี")</f>
        <v>เพชรบุรี</v>
      </c>
      <c r="AC2928" s="3">
        <f>IFERROR(__xludf.DUMMYFUNCTION("""COMPUTED_VALUE"""),76140.0)</f>
        <v>76140</v>
      </c>
      <c r="AD2928" s="3"/>
      <c r="AE2928" s="3"/>
      <c r="AF2928" s="3" t="str">
        <f>IFERROR(__xludf.DUMMYFUNCTION("""COMPUTED_VALUE"""),"ร้านดี ดี-83802")</f>
        <v>ร้านดี ดี-83802</v>
      </c>
      <c r="AG2928" s="3" t="str">
        <f>IFERROR(__xludf.DUMMYFUNCTION("""COMPUTED_VALUE"""),"ตะวันตก")</f>
        <v>ตะวันตก</v>
      </c>
      <c r="AH2928" s="3" t="str">
        <f>IFERROR(__xludf.DUMMYFUNCTION("""COMPUTED_VALUE"""),"#N/A")</f>
        <v>#N/A</v>
      </c>
      <c r="AI2928" s="3" t="str">
        <f>IFERROR(__xludf.DUMMYFUNCTION("""COMPUTED_VALUE"""),"Out of warranty")</f>
        <v>Out of warranty</v>
      </c>
      <c r="AJ2928" s="3">
        <f>IFERROR(__xludf.DUMMYFUNCTION("""COMPUTED_VALUE"""),46.0)</f>
        <v>46</v>
      </c>
      <c r="AK2928" s="3"/>
      <c r="AL2928" s="3"/>
    </row>
    <row r="2929" ht="15.75" customHeight="1">
      <c r="A2929" s="1" t="str">
        <f>IFERROR(__xludf.DUMMYFUNCTION("""COMPUTED_VALUE"""),"83803")</f>
        <v>83803</v>
      </c>
      <c r="B2929" s="2">
        <f>IFERROR(__xludf.DUMMYFUNCTION("""COMPUTED_VALUE"""),83803.0)</f>
        <v>83803</v>
      </c>
      <c r="C2929" s="3" t="str">
        <f>IFERROR(__xludf.DUMMYFUNCTION("""COMPUTED_VALUE"""),"นันทวรรณ")</f>
        <v>นันทวรรณ</v>
      </c>
      <c r="D2929" s="3" t="str">
        <f>IFERROR(__xludf.DUMMYFUNCTION("""COMPUTED_VALUE"""),"นันทวรรณ")</f>
        <v>นันทวรรณ</v>
      </c>
      <c r="E2929" s="1" t="str">
        <f>IFERROR(__xludf.DUMMYFUNCTION("""COMPUTED_VALUE"""),"Donjai")</f>
        <v>Donjai</v>
      </c>
      <c r="F2929" s="1" t="str">
        <f>IFERROR(__xludf.DUMMYFUNCTION("""COMPUTED_VALUE"""),"296945")</f>
        <v>296945</v>
      </c>
      <c r="G2929" s="1" t="str">
        <f>IFERROR(__xludf.DUMMYFUNCTION("""COMPUTED_VALUE"""),"นายรักพงศ์ พงศ์พันธ์งาม")</f>
        <v>นายรักพงศ์ พงศ์พันธ์งาม</v>
      </c>
      <c r="H2929" s="1" t="str">
        <f>IFERROR(__xludf.DUMMYFUNCTION("""COMPUTED_VALUE"""),"296945")</f>
        <v>296945</v>
      </c>
      <c r="I2929" s="1" t="str">
        <f>IFERROR(__xludf.DUMMYFUNCTION("""COMPUTED_VALUE"""),"นายรักพงศ์ พงศ์พันธ์งาม")</f>
        <v>นายรักพงศ์ พงศ์พันธ์งาม</v>
      </c>
      <c r="J2929" s="3">
        <f>IFERROR(__xludf.DUMMYFUNCTION("""COMPUTED_VALUE"""),228031.0)</f>
        <v>228031</v>
      </c>
      <c r="K2929" s="3" t="str">
        <f>IFERROR(__xludf.DUMMYFUNCTION("""COMPUTED_VALUE"""),"นายธนพงษ์ วันหมัด")</f>
        <v>นายธนพงษ์ วันหมัด</v>
      </c>
      <c r="L2929" s="1" t="str">
        <f>IFERROR(__xludf.DUMMYFUNCTION("""COMPUTED_VALUE"""),"นายธนพงษ์ วันหมัด")</f>
        <v>นายธนพงษ์ วันหมัด</v>
      </c>
      <c r="M2929" s="1" t="str">
        <f>IFERROR(__xludf.DUMMYFUNCTION("""COMPUTED_VALUE"""),"0813716913")</f>
        <v>0813716913</v>
      </c>
      <c r="N2929" s="3">
        <f>IFERROR(__xludf.DUMMYFUNCTION("""COMPUTED_VALUE"""),83803.0)</f>
        <v>83803</v>
      </c>
      <c r="O2929" s="3" t="str">
        <f>IFERROR(__xludf.DUMMYFUNCTION("""COMPUTED_VALUE"""),"นันทวรรณ")</f>
        <v>นันทวรรณ</v>
      </c>
      <c r="P2929" s="4">
        <f>IFERROR(__xludf.DUMMYFUNCTION("""COMPUTED_VALUE"""),44661.0)</f>
        <v>44661</v>
      </c>
      <c r="Q2929" s="3" t="str">
        <f>IFERROR(__xludf.DUMMYFUNCTION("""COMPUTED_VALUE"""),"I")</f>
        <v>I</v>
      </c>
      <c r="R2929" s="3" t="str">
        <f>IFERROR(__xludf.DUMMYFUNCTION("""COMPUTED_VALUE"""),"Small Format")</f>
        <v>Small Format</v>
      </c>
      <c r="S2929" s="3" t="str">
        <f>IFERROR(__xludf.DUMMYFUNCTION("""COMPUTED_VALUE"""),"Donjai")</f>
        <v>Donjai</v>
      </c>
      <c r="T2929" s="3">
        <f>IFERROR(__xludf.DUMMYFUNCTION("""COMPUTED_VALUE"""),0.0)</f>
        <v>0</v>
      </c>
      <c r="U2929" s="3">
        <f>IFERROR(__xludf.DUMMYFUNCTION("""COMPUTED_VALUE"""),0.0)</f>
        <v>0</v>
      </c>
      <c r="V2929" s="3" t="str">
        <f>IFERROR(__xludf.DUMMYFUNCTION("""COMPUTED_VALUE"""),"N")</f>
        <v>N</v>
      </c>
      <c r="W2929" s="3"/>
      <c r="X2929" s="3" t="str">
        <f>IFERROR(__xludf.DUMMYFUNCTION("""COMPUTED_VALUE"""),"48/43 ม.6 ต.อ่างคีรี อ.มะขาม จ.จันทบุรี")</f>
        <v>48/43 ม.6 ต.อ่างคีรี อ.มะขาม จ.จันทบุรี</v>
      </c>
      <c r="Y2929" s="3"/>
      <c r="Z2929" s="3">
        <f>IFERROR(__xludf.DUMMYFUNCTION("""COMPUTED_VALUE"""),0.0)</f>
        <v>0</v>
      </c>
      <c r="AA2929" s="3">
        <f>IFERROR(__xludf.DUMMYFUNCTION("""COMPUTED_VALUE"""),0.0)</f>
        <v>0</v>
      </c>
      <c r="AB2929" s="3" t="str">
        <f>IFERROR(__xludf.DUMMYFUNCTION("""COMPUTED_VALUE"""),"จันทบุรี")</f>
        <v>จันทบุรี</v>
      </c>
      <c r="AC2929" s="3">
        <f>IFERROR(__xludf.DUMMYFUNCTION("""COMPUTED_VALUE"""),0.0)</f>
        <v>0</v>
      </c>
      <c r="AD2929" s="3"/>
      <c r="AE2929" s="3"/>
      <c r="AF2929" s="3" t="str">
        <f>IFERROR(__xludf.DUMMYFUNCTION("""COMPUTED_VALUE"""),"นันทวรรณ-83803")</f>
        <v>นันทวรรณ-83803</v>
      </c>
      <c r="AG2929" s="3" t="str">
        <f>IFERROR(__xludf.DUMMYFUNCTION("""COMPUTED_VALUE"""),"ตะวันออก")</f>
        <v>ตะวันออก</v>
      </c>
      <c r="AH2929" s="3" t="str">
        <f>IFERROR(__xludf.DUMMYFUNCTION("""COMPUTED_VALUE"""),"#N/A")</f>
        <v>#N/A</v>
      </c>
      <c r="AI2929" s="3" t="str">
        <f>IFERROR(__xludf.DUMMYFUNCTION("""COMPUTED_VALUE"""),"Out of warranty")</f>
        <v>Out of warranty</v>
      </c>
      <c r="AJ2929" s="3">
        <f>IFERROR(__xludf.DUMMYFUNCTION("""COMPUTED_VALUE"""),46.0)</f>
        <v>46</v>
      </c>
      <c r="AK2929" s="3"/>
      <c r="AL2929" s="3"/>
    </row>
    <row r="2930" ht="15.75" customHeight="1">
      <c r="A2930" s="1" t="str">
        <f>IFERROR(__xludf.DUMMYFUNCTION("""COMPUTED_VALUE"""),"83805")</f>
        <v>83805</v>
      </c>
      <c r="B2930" s="2">
        <f>IFERROR(__xludf.DUMMYFUNCTION("""COMPUTED_VALUE"""),83805.0)</f>
        <v>83805</v>
      </c>
      <c r="C2930" s="3" t="str">
        <f>IFERROR(__xludf.DUMMYFUNCTION("""COMPUTED_VALUE"""),"ร้านจันทร์ศรีการค้า")</f>
        <v>ร้านจันทร์ศรีการค้า</v>
      </c>
      <c r="D2930" s="3" t="str">
        <f>IFERROR(__xludf.DUMMYFUNCTION("""COMPUTED_VALUE"""),"ร้านจันทร์ศรีการค้า")</f>
        <v>ร้านจันทร์ศรีการค้า</v>
      </c>
      <c r="E2930" s="1" t="str">
        <f>IFERROR(__xludf.DUMMYFUNCTION("""COMPUTED_VALUE"""),"Donjai")</f>
        <v>Donjai</v>
      </c>
      <c r="F2930" s="1" t="str">
        <f>IFERROR(__xludf.DUMMYFUNCTION("""COMPUTED_VALUE"""),"2010016")</f>
        <v>2010016</v>
      </c>
      <c r="G2930" s="1" t="str">
        <f>IFERROR(__xludf.DUMMYFUNCTION("""COMPUTED_VALUE"""),"นายตวงธรรม ใหม่ยศ")</f>
        <v>นายตวงธรรม ใหม่ยศ</v>
      </c>
      <c r="H2930" s="1" t="str">
        <f>IFERROR(__xludf.DUMMYFUNCTION("""COMPUTED_VALUE"""),"2010016")</f>
        <v>2010016</v>
      </c>
      <c r="I2930" s="1" t="str">
        <f>IFERROR(__xludf.DUMMYFUNCTION("""COMPUTED_VALUE"""),"นายตวงธรรม ใหม่ยศ")</f>
        <v>นายตวงธรรม ใหม่ยศ</v>
      </c>
      <c r="J2930" s="3">
        <f>IFERROR(__xludf.DUMMYFUNCTION("""COMPUTED_VALUE"""),295886.0)</f>
        <v>295886</v>
      </c>
      <c r="K2930" s="3" t="str">
        <f>IFERROR(__xludf.DUMMYFUNCTION("""COMPUTED_VALUE"""),"นายจิระพงษ์ โพธิ์นิล")</f>
        <v>นายจิระพงษ์ โพธิ์นิล</v>
      </c>
      <c r="L2930" s="1" t="str">
        <f>IFERROR(__xludf.DUMMYFUNCTION("""COMPUTED_VALUE"""),"นายจิระพงษ์ โพธิ์นิล")</f>
        <v>นายจิระพงษ์ โพธิ์นิล</v>
      </c>
      <c r="M2930" s="1" t="str">
        <f>IFERROR(__xludf.DUMMYFUNCTION("""COMPUTED_VALUE"""),"0933290754")</f>
        <v>0933290754</v>
      </c>
      <c r="N2930" s="3">
        <f>IFERROR(__xludf.DUMMYFUNCTION("""COMPUTED_VALUE"""),83805.0)</f>
        <v>83805</v>
      </c>
      <c r="O2930" s="3" t="str">
        <f>IFERROR(__xludf.DUMMYFUNCTION("""COMPUTED_VALUE"""),"ร้านจันทร์ศรีการค้า")</f>
        <v>ร้านจันทร์ศรีการค้า</v>
      </c>
      <c r="P2930" s="4">
        <f>IFERROR(__xludf.DUMMYFUNCTION("""COMPUTED_VALUE"""),44659.0)</f>
        <v>44659</v>
      </c>
      <c r="Q2930" s="3" t="str">
        <f>IFERROR(__xludf.DUMMYFUNCTION("""COMPUTED_VALUE"""),"A")</f>
        <v>A</v>
      </c>
      <c r="R2930" s="3" t="str">
        <f>IFERROR(__xludf.DUMMYFUNCTION("""COMPUTED_VALUE"""),"Small Format")</f>
        <v>Small Format</v>
      </c>
      <c r="S2930" s="3" t="str">
        <f>IFERROR(__xludf.DUMMYFUNCTION("""COMPUTED_VALUE"""),"Donjai")</f>
        <v>Donjai</v>
      </c>
      <c r="T2930" s="3" t="str">
        <f>IFERROR(__xludf.DUMMYFUNCTION("""COMPUTED_VALUE"""),"01 K.Tuangtham M.")</f>
        <v>01 K.Tuangtham M.</v>
      </c>
      <c r="U2930" s="3" t="str">
        <f>IFERROR(__xludf.DUMMYFUNCTION("""COMPUTED_VALUE"""),"01 K.Tuangtham M.")</f>
        <v>01 K.Tuangtham M.</v>
      </c>
      <c r="V2930" s="3" t="str">
        <f>IFERROR(__xludf.DUMMYFUNCTION("""COMPUTED_VALUE"""),"N")</f>
        <v>N</v>
      </c>
      <c r="W2930" s="3"/>
      <c r="X2930" s="3" t="str">
        <f>IFERROR(__xludf.DUMMYFUNCTION("""COMPUTED_VALUE"""),"103 หมู่ 3 ป่าไผ่ ลี้ ลำพูน 17000")</f>
        <v>103 หมู่ 3 ป่าไผ่ ลี้ ลำพูน 17000</v>
      </c>
      <c r="Y2930" s="3"/>
      <c r="Z2930" s="3">
        <f>IFERROR(__xludf.DUMMYFUNCTION("""COMPUTED_VALUE"""),0.0)</f>
        <v>0</v>
      </c>
      <c r="AA2930" s="3">
        <f>IFERROR(__xludf.DUMMYFUNCTION("""COMPUTED_VALUE"""),0.0)</f>
        <v>0</v>
      </c>
      <c r="AB2930" s="3" t="str">
        <f>IFERROR(__xludf.DUMMYFUNCTION("""COMPUTED_VALUE"""),"ลำพูน")</f>
        <v>ลำพูน</v>
      </c>
      <c r="AC2930" s="3">
        <f>IFERROR(__xludf.DUMMYFUNCTION("""COMPUTED_VALUE"""),17000.0)</f>
        <v>17000</v>
      </c>
      <c r="AD2930" s="3"/>
      <c r="AE2930" s="3"/>
      <c r="AF2930" s="3" t="str">
        <f>IFERROR(__xludf.DUMMYFUNCTION("""COMPUTED_VALUE"""),"ร้านจันทร์ศรีการค้า-83805")</f>
        <v>ร้านจันทร์ศรีการค้า-83805</v>
      </c>
      <c r="AG2930" s="3" t="str">
        <f>IFERROR(__xludf.DUMMYFUNCTION("""COMPUTED_VALUE"""),"เหนือ")</f>
        <v>เหนือ</v>
      </c>
      <c r="AH2930" s="3" t="str">
        <f>IFERROR(__xludf.DUMMYFUNCTION("""COMPUTED_VALUE"""),"#N/A")</f>
        <v>#N/A</v>
      </c>
      <c r="AI2930" s="3" t="str">
        <f>IFERROR(__xludf.DUMMYFUNCTION("""COMPUTED_VALUE"""),"Out of warranty")</f>
        <v>Out of warranty</v>
      </c>
      <c r="AJ2930" s="3">
        <f>IFERROR(__xludf.DUMMYFUNCTION("""COMPUTED_VALUE"""),46.0)</f>
        <v>46</v>
      </c>
      <c r="AK2930" s="3"/>
      <c r="AL2930" s="3"/>
    </row>
    <row r="2931" ht="15.75" customHeight="1">
      <c r="A2931" s="1" t="str">
        <f>IFERROR(__xludf.DUMMYFUNCTION("""COMPUTED_VALUE"""),"83806")</f>
        <v>83806</v>
      </c>
      <c r="B2931" s="2">
        <f>IFERROR(__xludf.DUMMYFUNCTION("""COMPUTED_VALUE"""),83806.0)</f>
        <v>83806</v>
      </c>
      <c r="C2931" s="3" t="str">
        <f>IFERROR(__xludf.DUMMYFUNCTION("""COMPUTED_VALUE"""),"ร้าน314 แฟลมิลี่ ช็อป")</f>
        <v>ร้าน314 แฟลมิลี่ ช็อป</v>
      </c>
      <c r="D2931" s="3" t="str">
        <f>IFERROR(__xludf.DUMMYFUNCTION("""COMPUTED_VALUE"""),"ร้าน314 แฟลมิลี่ ช็อป")</f>
        <v>ร้าน314 แฟลมิลี่ ช็อป</v>
      </c>
      <c r="E2931" s="1" t="str">
        <f>IFERROR(__xludf.DUMMYFUNCTION("""COMPUTED_VALUE"""),"Donjai")</f>
        <v>Donjai</v>
      </c>
      <c r="F2931" s="1" t="str">
        <f>IFERROR(__xludf.DUMMYFUNCTION("""COMPUTED_VALUE"""),"2010016")</f>
        <v>2010016</v>
      </c>
      <c r="G2931" s="1" t="str">
        <f>IFERROR(__xludf.DUMMYFUNCTION("""COMPUTED_VALUE"""),"นายตวงธรรม ใหม่ยศ")</f>
        <v>นายตวงธรรม ใหม่ยศ</v>
      </c>
      <c r="H2931" s="1" t="str">
        <f>IFERROR(__xludf.DUMMYFUNCTION("""COMPUTED_VALUE"""),"2010016")</f>
        <v>2010016</v>
      </c>
      <c r="I2931" s="1" t="str">
        <f>IFERROR(__xludf.DUMMYFUNCTION("""COMPUTED_VALUE"""),"นายตวงธรรม ใหม่ยศ")</f>
        <v>นายตวงธรรม ใหม่ยศ</v>
      </c>
      <c r="J2931" s="3">
        <f>IFERROR(__xludf.DUMMYFUNCTION("""COMPUTED_VALUE"""),295886.0)</f>
        <v>295886</v>
      </c>
      <c r="K2931" s="3" t="str">
        <f>IFERROR(__xludf.DUMMYFUNCTION("""COMPUTED_VALUE"""),"นายจิระพงษ์ โพธิ์นิล")</f>
        <v>นายจิระพงษ์ โพธิ์นิล</v>
      </c>
      <c r="L2931" s="1" t="str">
        <f>IFERROR(__xludf.DUMMYFUNCTION("""COMPUTED_VALUE"""),"นายจิระพงษ์ โพธิ์นิล")</f>
        <v>นายจิระพงษ์ โพธิ์นิล</v>
      </c>
      <c r="M2931" s="1" t="str">
        <f>IFERROR(__xludf.DUMMYFUNCTION("""COMPUTED_VALUE"""),"0933290754")</f>
        <v>0933290754</v>
      </c>
      <c r="N2931" s="3">
        <f>IFERROR(__xludf.DUMMYFUNCTION("""COMPUTED_VALUE"""),83806.0)</f>
        <v>83806</v>
      </c>
      <c r="O2931" s="3" t="str">
        <f>IFERROR(__xludf.DUMMYFUNCTION("""COMPUTED_VALUE"""),"ร้าน314 แฟลมิลี่ ช็อป")</f>
        <v>ร้าน314 แฟลมิลี่ ช็อป</v>
      </c>
      <c r="P2931" s="4">
        <f>IFERROR(__xludf.DUMMYFUNCTION("""COMPUTED_VALUE"""),44655.0)</f>
        <v>44655</v>
      </c>
      <c r="Q2931" s="3" t="str">
        <f>IFERROR(__xludf.DUMMYFUNCTION("""COMPUTED_VALUE"""),"I")</f>
        <v>I</v>
      </c>
      <c r="R2931" s="3" t="str">
        <f>IFERROR(__xludf.DUMMYFUNCTION("""COMPUTED_VALUE"""),"Small Format")</f>
        <v>Small Format</v>
      </c>
      <c r="S2931" s="3" t="str">
        <f>IFERROR(__xludf.DUMMYFUNCTION("""COMPUTED_VALUE"""),"Donjai")</f>
        <v>Donjai</v>
      </c>
      <c r="T2931" s="3" t="str">
        <f>IFERROR(__xludf.DUMMYFUNCTION("""COMPUTED_VALUE"""),"01 K.Tuangtham M.")</f>
        <v>01 K.Tuangtham M.</v>
      </c>
      <c r="U2931" s="3" t="str">
        <f>IFERROR(__xludf.DUMMYFUNCTION("""COMPUTED_VALUE"""),"01 K.Tuangtham M.")</f>
        <v>01 K.Tuangtham M.</v>
      </c>
      <c r="V2931" s="3" t="str">
        <f>IFERROR(__xludf.DUMMYFUNCTION("""COMPUTED_VALUE"""),"N")</f>
        <v>N</v>
      </c>
      <c r="W2931" s="3"/>
      <c r="X2931" s="3" t="str">
        <f>IFERROR(__xludf.DUMMYFUNCTION("""COMPUTED_VALUE"""),"314 หมู่ 2 ทาขุมเงิน แม่ทา ลำพูน 51130")</f>
        <v>314 หมู่ 2 ทาขุมเงิน แม่ทา ลำพูน 51130</v>
      </c>
      <c r="Y2931" s="3"/>
      <c r="Z2931" s="3">
        <f>IFERROR(__xludf.DUMMYFUNCTION("""COMPUTED_VALUE"""),0.0)</f>
        <v>0</v>
      </c>
      <c r="AA2931" s="3">
        <f>IFERROR(__xludf.DUMMYFUNCTION("""COMPUTED_VALUE"""),0.0)</f>
        <v>0</v>
      </c>
      <c r="AB2931" s="3" t="str">
        <f>IFERROR(__xludf.DUMMYFUNCTION("""COMPUTED_VALUE"""),"ลำพูน")</f>
        <v>ลำพูน</v>
      </c>
      <c r="AC2931" s="3">
        <f>IFERROR(__xludf.DUMMYFUNCTION("""COMPUTED_VALUE"""),51130.0)</f>
        <v>51130</v>
      </c>
      <c r="AD2931" s="3"/>
      <c r="AE2931" s="3"/>
      <c r="AF2931" s="3" t="str">
        <f>IFERROR(__xludf.DUMMYFUNCTION("""COMPUTED_VALUE"""),"ร้าน314 แฟลมิลี่ ช็อป-83806")</f>
        <v>ร้าน314 แฟลมิลี่ ช็อป-83806</v>
      </c>
      <c r="AG2931" s="3" t="str">
        <f>IFERROR(__xludf.DUMMYFUNCTION("""COMPUTED_VALUE"""),"เหนือ")</f>
        <v>เหนือ</v>
      </c>
      <c r="AH2931" s="3" t="str">
        <f>IFERROR(__xludf.DUMMYFUNCTION("""COMPUTED_VALUE"""),"#N/A")</f>
        <v>#N/A</v>
      </c>
      <c r="AI2931" s="3" t="str">
        <f>IFERROR(__xludf.DUMMYFUNCTION("""COMPUTED_VALUE"""),"Out of warranty")</f>
        <v>Out of warranty</v>
      </c>
      <c r="AJ2931" s="3">
        <f>IFERROR(__xludf.DUMMYFUNCTION("""COMPUTED_VALUE"""),46.0)</f>
        <v>46</v>
      </c>
      <c r="AK2931" s="3"/>
      <c r="AL2931" s="3"/>
    </row>
    <row r="2932" ht="15.75" customHeight="1">
      <c r="A2932" s="1" t="str">
        <f>IFERROR(__xludf.DUMMYFUNCTION("""COMPUTED_VALUE"""),"83807")</f>
        <v>83807</v>
      </c>
      <c r="B2932" s="2">
        <f>IFERROR(__xludf.DUMMYFUNCTION("""COMPUTED_VALUE"""),83807.0)</f>
        <v>83807</v>
      </c>
      <c r="C2932" s="3" t="str">
        <f>IFERROR(__xludf.DUMMYFUNCTION("""COMPUTED_VALUE"""),"ร้านแพรมินิมาร์ท")</f>
        <v>ร้านแพรมินิมาร์ท</v>
      </c>
      <c r="D2932" s="3" t="str">
        <f>IFERROR(__xludf.DUMMYFUNCTION("""COMPUTED_VALUE"""),"ร้านแพรมินิมาร์ท")</f>
        <v>ร้านแพรมินิมาร์ท</v>
      </c>
      <c r="E2932" s="1" t="str">
        <f>IFERROR(__xludf.DUMMYFUNCTION("""COMPUTED_VALUE"""),"Donjai")</f>
        <v>Donjai</v>
      </c>
      <c r="F2932" s="1" t="str">
        <f>IFERROR(__xludf.DUMMYFUNCTION("""COMPUTED_VALUE"""),"2452378")</f>
        <v>2452378</v>
      </c>
      <c r="G2932" s="1" t="str">
        <f>IFERROR(__xludf.DUMMYFUNCTION("""COMPUTED_VALUE"""),"นายศักดิ์ดา พวงประดับ")</f>
        <v>นายศักดิ์ดา พวงประดับ</v>
      </c>
      <c r="H2932" s="1" t="str">
        <f>IFERROR(__xludf.DUMMYFUNCTION("""COMPUTED_VALUE"""),"2452378")</f>
        <v>2452378</v>
      </c>
      <c r="I2932" s="1" t="str">
        <f>IFERROR(__xludf.DUMMYFUNCTION("""COMPUTED_VALUE"""),"นายศักดิ์ดา พวงประดับ")</f>
        <v>นายศักดิ์ดา พวงประดับ</v>
      </c>
      <c r="J2932" s="3">
        <f>IFERROR(__xludf.DUMMYFUNCTION("""COMPUTED_VALUE"""),228031.0)</f>
        <v>228031</v>
      </c>
      <c r="K2932" s="3" t="str">
        <f>IFERROR(__xludf.DUMMYFUNCTION("""COMPUTED_VALUE"""),"นายธนพงษ์ วันหมัด")</f>
        <v>นายธนพงษ์ วันหมัด</v>
      </c>
      <c r="L2932" s="1" t="str">
        <f>IFERROR(__xludf.DUMMYFUNCTION("""COMPUTED_VALUE"""),"นายธนพงษ์ วันหมัด")</f>
        <v>นายธนพงษ์ วันหมัด</v>
      </c>
      <c r="M2932" s="1" t="str">
        <f>IFERROR(__xludf.DUMMYFUNCTION("""COMPUTED_VALUE"""),"0813716913")</f>
        <v>0813716913</v>
      </c>
      <c r="N2932" s="3">
        <f>IFERROR(__xludf.DUMMYFUNCTION("""COMPUTED_VALUE"""),83807.0)</f>
        <v>83807</v>
      </c>
      <c r="O2932" s="3" t="str">
        <f>IFERROR(__xludf.DUMMYFUNCTION("""COMPUTED_VALUE"""),"ร้านแพรมินิมาร์ท")</f>
        <v>ร้านแพรมินิมาร์ท</v>
      </c>
      <c r="P2932" s="4">
        <f>IFERROR(__xludf.DUMMYFUNCTION("""COMPUTED_VALUE"""),44741.0)</f>
        <v>44741</v>
      </c>
      <c r="Q2932" s="3" t="str">
        <f>IFERROR(__xludf.DUMMYFUNCTION("""COMPUTED_VALUE"""),"A")</f>
        <v>A</v>
      </c>
      <c r="R2932" s="3" t="str">
        <f>IFERROR(__xludf.DUMMYFUNCTION("""COMPUTED_VALUE"""),"Small Format")</f>
        <v>Small Format</v>
      </c>
      <c r="S2932" s="3" t="str">
        <f>IFERROR(__xludf.DUMMYFUNCTION("""COMPUTED_VALUE"""),"Donjai")</f>
        <v>Donjai</v>
      </c>
      <c r="T2932" s="3" t="str">
        <f>IFERROR(__xludf.DUMMYFUNCTION("""COMPUTED_VALUE"""),"11 K.Sakda P.")</f>
        <v>11 K.Sakda P.</v>
      </c>
      <c r="U2932" s="3" t="str">
        <f>IFERROR(__xludf.DUMMYFUNCTION("""COMPUTED_VALUE"""),"11 K.Sakda P.")</f>
        <v>11 K.Sakda P.</v>
      </c>
      <c r="V2932" s="3" t="str">
        <f>IFERROR(__xludf.DUMMYFUNCTION("""COMPUTED_VALUE"""),"N")</f>
        <v>N</v>
      </c>
      <c r="W2932" s="3"/>
      <c r="X2932" s="3" t="str">
        <f>IFERROR(__xludf.DUMMYFUNCTION("""COMPUTED_VALUE"""),"1002/10 เลขที่ 40 อุดมสุข 30 บางนาเหนือ บางนา กรุงเทพมหานคร")</f>
        <v>1002/10 เลขที่ 40 อุดมสุข 30 บางนาเหนือ บางนา กรุงเทพมหานคร</v>
      </c>
      <c r="Y2932" s="3"/>
      <c r="Z2932" s="3"/>
      <c r="AA2932" s="3"/>
      <c r="AB2932" s="3"/>
      <c r="AC2932" s="3"/>
      <c r="AD2932" s="3"/>
      <c r="AE2932" s="3"/>
      <c r="AF2932" s="3" t="str">
        <f>IFERROR(__xludf.DUMMYFUNCTION("""COMPUTED_VALUE"""),"ร้านแพรมินิมาร์ท-83807")</f>
        <v>ร้านแพรมินิมาร์ท-83807</v>
      </c>
      <c r="AG2932" s="3">
        <f>IFERROR(__xludf.DUMMYFUNCTION("""COMPUTED_VALUE"""),0.0)</f>
        <v>0</v>
      </c>
      <c r="AH2932" s="3" t="str">
        <f>IFERROR(__xludf.DUMMYFUNCTION("""COMPUTED_VALUE"""),"#N/A")</f>
        <v>#N/A</v>
      </c>
      <c r="AI2932" s="3" t="str">
        <f>IFERROR(__xludf.DUMMYFUNCTION("""COMPUTED_VALUE"""),"Out of warranty")</f>
        <v>Out of warranty</v>
      </c>
      <c r="AJ2932" s="3">
        <f>IFERROR(__xludf.DUMMYFUNCTION("""COMPUTED_VALUE"""),43.0)</f>
        <v>43</v>
      </c>
      <c r="AK2932" s="3"/>
      <c r="AL2932" s="3"/>
    </row>
    <row r="2933" ht="15.75" customHeight="1">
      <c r="A2933" s="1" t="str">
        <f>IFERROR(__xludf.DUMMYFUNCTION("""COMPUTED_VALUE"""),"83808")</f>
        <v>83808</v>
      </c>
      <c r="B2933" s="2">
        <f>IFERROR(__xludf.DUMMYFUNCTION("""COMPUTED_VALUE"""),83808.0)</f>
        <v>83808</v>
      </c>
      <c r="C2933" s="3" t="str">
        <f>IFERROR(__xludf.DUMMYFUNCTION("""COMPUTED_VALUE"""),"ร้านแบงค์ โดนใจ")</f>
        <v>ร้านแบงค์ โดนใจ</v>
      </c>
      <c r="D2933" s="3" t="str">
        <f>IFERROR(__xludf.DUMMYFUNCTION("""COMPUTED_VALUE"""),"ร้านแบงค์ โดนใจ")</f>
        <v>ร้านแบงค์ โดนใจ</v>
      </c>
      <c r="E2933" s="1" t="str">
        <f>IFERROR(__xludf.DUMMYFUNCTION("""COMPUTED_VALUE"""),"Donjai")</f>
        <v>Donjai</v>
      </c>
      <c r="F2933" s="1" t="str">
        <f>IFERROR(__xludf.DUMMYFUNCTION("""COMPUTED_VALUE"""),"015361")</f>
        <v>015361</v>
      </c>
      <c r="G2933" s="1" t="str">
        <f>IFERROR(__xludf.DUMMYFUNCTION("""COMPUTED_VALUE"""),"นายสมบูรณ์ พรหมในเมือง")</f>
        <v>นายสมบูรณ์ พรหมในเมือง</v>
      </c>
      <c r="H2933" s="1" t="str">
        <f>IFERROR(__xludf.DUMMYFUNCTION("""COMPUTED_VALUE"""),"015361")</f>
        <v>015361</v>
      </c>
      <c r="I2933" s="1" t="str">
        <f>IFERROR(__xludf.DUMMYFUNCTION("""COMPUTED_VALUE"""),"นายสมบูรณ์ พรหมในเมือง")</f>
        <v>นายสมบูรณ์ พรหมในเมือง</v>
      </c>
      <c r="J2933" s="3">
        <f>IFERROR(__xludf.DUMMYFUNCTION("""COMPUTED_VALUE"""),295886.0)</f>
        <v>295886</v>
      </c>
      <c r="K2933" s="3" t="str">
        <f>IFERROR(__xludf.DUMMYFUNCTION("""COMPUTED_VALUE"""),"นายจิระพงษ์ โพธิ์นิล")</f>
        <v>นายจิระพงษ์ โพธิ์นิล</v>
      </c>
      <c r="L2933" s="1" t="str">
        <f>IFERROR(__xludf.DUMMYFUNCTION("""COMPUTED_VALUE"""),"นายจิระพงษ์ โพธิ์นิล")</f>
        <v>นายจิระพงษ์ โพธิ์นิล</v>
      </c>
      <c r="M2933" s="1" t="str">
        <f>IFERROR(__xludf.DUMMYFUNCTION("""COMPUTED_VALUE"""),"0933290754")</f>
        <v>0933290754</v>
      </c>
      <c r="N2933" s="3">
        <f>IFERROR(__xludf.DUMMYFUNCTION("""COMPUTED_VALUE"""),83808.0)</f>
        <v>83808</v>
      </c>
      <c r="O2933" s="3" t="str">
        <f>IFERROR(__xludf.DUMMYFUNCTION("""COMPUTED_VALUE"""),"ร้านแบงค์ โดนใจ")</f>
        <v>ร้านแบงค์ โดนใจ</v>
      </c>
      <c r="P2933" s="4">
        <f>IFERROR(__xludf.DUMMYFUNCTION("""COMPUTED_VALUE"""),44652.0)</f>
        <v>44652</v>
      </c>
      <c r="Q2933" s="3" t="str">
        <f>IFERROR(__xludf.DUMMYFUNCTION("""COMPUTED_VALUE"""),"A")</f>
        <v>A</v>
      </c>
      <c r="R2933" s="3" t="str">
        <f>IFERROR(__xludf.DUMMYFUNCTION("""COMPUTED_VALUE"""),"Small Format")</f>
        <v>Small Format</v>
      </c>
      <c r="S2933" s="3" t="str">
        <f>IFERROR(__xludf.DUMMYFUNCTION("""COMPUTED_VALUE"""),"Donjai")</f>
        <v>Donjai</v>
      </c>
      <c r="T2933" s="3" t="str">
        <f>IFERROR(__xludf.DUMMYFUNCTION("""COMPUTED_VALUE"""),"04 K.Somboon P.")</f>
        <v>04 K.Somboon P.</v>
      </c>
      <c r="U2933" s="3" t="str">
        <f>IFERROR(__xludf.DUMMYFUNCTION("""COMPUTED_VALUE"""),"04 K.Somboon P.")</f>
        <v>04 K.Somboon P.</v>
      </c>
      <c r="V2933" s="3" t="str">
        <f>IFERROR(__xludf.DUMMYFUNCTION("""COMPUTED_VALUE"""),"N")</f>
        <v>N</v>
      </c>
      <c r="W2933" s="3"/>
      <c r="X2933" s="3" t="str">
        <f>IFERROR(__xludf.DUMMYFUNCTION("""COMPUTED_VALUE"""),"51 ม.19 บ้านหนองโข่ย ต.ท่าพระ อ.เมือง จ.ขอนแก่น")</f>
        <v>51 ม.19 บ้านหนองโข่ย ต.ท่าพระ อ.เมือง จ.ขอนแก่น</v>
      </c>
      <c r="Y2933" s="3"/>
      <c r="Z2933" s="3">
        <f>IFERROR(__xludf.DUMMYFUNCTION("""COMPUTED_VALUE"""),0.0)</f>
        <v>0</v>
      </c>
      <c r="AA2933" s="3">
        <f>IFERROR(__xludf.DUMMYFUNCTION("""COMPUTED_VALUE"""),0.0)</f>
        <v>0</v>
      </c>
      <c r="AB2933" s="3" t="str">
        <f>IFERROR(__xludf.DUMMYFUNCTION("""COMPUTED_VALUE"""),"ขอนแก่น")</f>
        <v>ขอนแก่น</v>
      </c>
      <c r="AC2933" s="3">
        <f>IFERROR(__xludf.DUMMYFUNCTION("""COMPUTED_VALUE"""),0.0)</f>
        <v>0</v>
      </c>
      <c r="AD2933" s="3"/>
      <c r="AE2933" s="3"/>
      <c r="AF2933" s="3" t="str">
        <f>IFERROR(__xludf.DUMMYFUNCTION("""COMPUTED_VALUE"""),"ร้านแบงค์ โดนใจ-83808")</f>
        <v>ร้านแบงค์ โดนใจ-83808</v>
      </c>
      <c r="AG2933" s="3" t="str">
        <f>IFERROR(__xludf.DUMMYFUNCTION("""COMPUTED_VALUE"""),"ตะวันออกเฉียงเหนือ")</f>
        <v>ตะวันออกเฉียงเหนือ</v>
      </c>
      <c r="AH2933" s="3" t="str">
        <f>IFERROR(__xludf.DUMMYFUNCTION("""COMPUTED_VALUE"""),"#N/A")</f>
        <v>#N/A</v>
      </c>
      <c r="AI2933" s="3" t="str">
        <f>IFERROR(__xludf.DUMMYFUNCTION("""COMPUTED_VALUE"""),"Out of warranty")</f>
        <v>Out of warranty</v>
      </c>
      <c r="AJ2933" s="3">
        <f>IFERROR(__xludf.DUMMYFUNCTION("""COMPUTED_VALUE"""),46.0)</f>
        <v>46</v>
      </c>
      <c r="AK2933" s="3"/>
      <c r="AL2933" s="3"/>
    </row>
    <row r="2934" ht="15.75" customHeight="1">
      <c r="A2934" s="1" t="str">
        <f>IFERROR(__xludf.DUMMYFUNCTION("""COMPUTED_VALUE"""),"83809")</f>
        <v>83809</v>
      </c>
      <c r="B2934" s="2">
        <f>IFERROR(__xludf.DUMMYFUNCTION("""COMPUTED_VALUE"""),83809.0)</f>
        <v>83809</v>
      </c>
      <c r="C2934" s="3" t="str">
        <f>IFERROR(__xludf.DUMMYFUNCTION("""COMPUTED_VALUE"""),"ร้านจันฉาย")</f>
        <v>ร้านจันฉาย</v>
      </c>
      <c r="D2934" s="3" t="str">
        <f>IFERROR(__xludf.DUMMYFUNCTION("""COMPUTED_VALUE"""),"ร้านจันฉาย")</f>
        <v>ร้านจันฉาย</v>
      </c>
      <c r="E2934" s="1" t="str">
        <f>IFERROR(__xludf.DUMMYFUNCTION("""COMPUTED_VALUE"""),"Donjai")</f>
        <v>Donjai</v>
      </c>
      <c r="F2934" s="1" t="str">
        <f>IFERROR(__xludf.DUMMYFUNCTION("""COMPUTED_VALUE"""),"00510143")</f>
        <v>00510143</v>
      </c>
      <c r="G2934" s="1" t="str">
        <f>IFERROR(__xludf.DUMMYFUNCTION("""COMPUTED_VALUE"""),"นายธีระวัฒน์ บุญสิทธิ์")</f>
        <v>นายธีระวัฒน์ บุญสิทธิ์</v>
      </c>
      <c r="H2934" s="1" t="str">
        <f>IFERROR(__xludf.DUMMYFUNCTION("""COMPUTED_VALUE"""),"00510143")</f>
        <v>00510143</v>
      </c>
      <c r="I2934" s="1" t="str">
        <f>IFERROR(__xludf.DUMMYFUNCTION("""COMPUTED_VALUE"""),"นายธีระวัฒน์ บุญสิทธิ์")</f>
        <v>นายธีระวัฒน์ บุญสิทธิ์</v>
      </c>
      <c r="J2934" s="3">
        <f>IFERROR(__xludf.DUMMYFUNCTION("""COMPUTED_VALUE"""),228031.0)</f>
        <v>228031</v>
      </c>
      <c r="K2934" s="3" t="str">
        <f>IFERROR(__xludf.DUMMYFUNCTION("""COMPUTED_VALUE"""),"นายธนพงษ์ วันหมัด")</f>
        <v>นายธนพงษ์ วันหมัด</v>
      </c>
      <c r="L2934" s="1" t="str">
        <f>IFERROR(__xludf.DUMMYFUNCTION("""COMPUTED_VALUE"""),"นายธนพงษ์ วันหมัด")</f>
        <v>นายธนพงษ์ วันหมัด</v>
      </c>
      <c r="M2934" s="1" t="str">
        <f>IFERROR(__xludf.DUMMYFUNCTION("""COMPUTED_VALUE"""),"0813716913")</f>
        <v>0813716913</v>
      </c>
      <c r="N2934" s="3">
        <f>IFERROR(__xludf.DUMMYFUNCTION("""COMPUTED_VALUE"""),83809.0)</f>
        <v>83809</v>
      </c>
      <c r="O2934" s="3" t="str">
        <f>IFERROR(__xludf.DUMMYFUNCTION("""COMPUTED_VALUE"""),"ร้านจันฉาย")</f>
        <v>ร้านจันฉาย</v>
      </c>
      <c r="P2934" s="4">
        <f>IFERROR(__xludf.DUMMYFUNCTION("""COMPUTED_VALUE"""),44649.0)</f>
        <v>44649</v>
      </c>
      <c r="Q2934" s="3" t="str">
        <f>IFERROR(__xludf.DUMMYFUNCTION("""COMPUTED_VALUE"""),"A")</f>
        <v>A</v>
      </c>
      <c r="R2934" s="3" t="str">
        <f>IFERROR(__xludf.DUMMYFUNCTION("""COMPUTED_VALUE"""),"Small Format")</f>
        <v>Small Format</v>
      </c>
      <c r="S2934" s="3" t="str">
        <f>IFERROR(__xludf.DUMMYFUNCTION("""COMPUTED_VALUE"""),"Donjai")</f>
        <v>Donjai</v>
      </c>
      <c r="T2934" s="3" t="str">
        <f>IFERROR(__xludf.DUMMYFUNCTION("""COMPUTED_VALUE"""),"12 K.Theerawat B.")</f>
        <v>12 K.Theerawat B.</v>
      </c>
      <c r="U2934" s="3" t="str">
        <f>IFERROR(__xludf.DUMMYFUNCTION("""COMPUTED_VALUE"""),"12 K.Theerawat B.")</f>
        <v>12 K.Theerawat B.</v>
      </c>
      <c r="V2934" s="3" t="str">
        <f>IFERROR(__xludf.DUMMYFUNCTION("""COMPUTED_VALUE"""),"N")</f>
        <v>N</v>
      </c>
      <c r="W2934" s="3"/>
      <c r="X2934" s="3" t="str">
        <f>IFERROR(__xludf.DUMMYFUNCTION("""COMPUTED_VALUE"""),"193 ม.3 ถ.จันทบุรี-สระแก้ว ต.คลองหินปูน อ.วังน้ำเย็น จ.สระแก้ว")</f>
        <v>193 ม.3 ถ.จันทบุรี-สระแก้ว ต.คลองหินปูน อ.วังน้ำเย็น จ.สระแก้ว</v>
      </c>
      <c r="Y2934" s="3"/>
      <c r="Z2934" s="3">
        <f>IFERROR(__xludf.DUMMYFUNCTION("""COMPUTED_VALUE"""),0.0)</f>
        <v>0</v>
      </c>
      <c r="AA2934" s="3">
        <f>IFERROR(__xludf.DUMMYFUNCTION("""COMPUTED_VALUE"""),0.0)</f>
        <v>0</v>
      </c>
      <c r="AB2934" s="3" t="str">
        <f>IFERROR(__xludf.DUMMYFUNCTION("""COMPUTED_VALUE"""),"จันทบุรี")</f>
        <v>จันทบุรี</v>
      </c>
      <c r="AC2934" s="3">
        <f>IFERROR(__xludf.DUMMYFUNCTION("""COMPUTED_VALUE"""),0.0)</f>
        <v>0</v>
      </c>
      <c r="AD2934" s="3"/>
      <c r="AE2934" s="3"/>
      <c r="AF2934" s="3" t="str">
        <f>IFERROR(__xludf.DUMMYFUNCTION("""COMPUTED_VALUE"""),"ร้านจันฉาย-83809")</f>
        <v>ร้านจันฉาย-83809</v>
      </c>
      <c r="AG2934" s="3" t="str">
        <f>IFERROR(__xludf.DUMMYFUNCTION("""COMPUTED_VALUE"""),"ตะวันออก")</f>
        <v>ตะวันออก</v>
      </c>
      <c r="AH2934" s="3" t="str">
        <f>IFERROR(__xludf.DUMMYFUNCTION("""COMPUTED_VALUE"""),"#N/A")</f>
        <v>#N/A</v>
      </c>
      <c r="AI2934" s="3" t="str">
        <f>IFERROR(__xludf.DUMMYFUNCTION("""COMPUTED_VALUE"""),"Out of warranty")</f>
        <v>Out of warranty</v>
      </c>
      <c r="AJ2934" s="3">
        <f>IFERROR(__xludf.DUMMYFUNCTION("""COMPUTED_VALUE"""),46.0)</f>
        <v>46</v>
      </c>
      <c r="AK2934" s="3"/>
      <c r="AL2934" s="3"/>
    </row>
    <row r="2935" ht="15.75" customHeight="1">
      <c r="A2935" s="1" t="str">
        <f>IFERROR(__xludf.DUMMYFUNCTION("""COMPUTED_VALUE"""),"83810")</f>
        <v>83810</v>
      </c>
      <c r="B2935" s="2">
        <f>IFERROR(__xludf.DUMMYFUNCTION("""COMPUTED_VALUE"""),83810.0)</f>
        <v>83810</v>
      </c>
      <c r="C2935" s="3" t="str">
        <f>IFERROR(__xludf.DUMMYFUNCTION("""COMPUTED_VALUE"""),"ร้านนิภามินิมาร์ท")</f>
        <v>ร้านนิภามินิมาร์ท</v>
      </c>
      <c r="D2935" s="3" t="str">
        <f>IFERROR(__xludf.DUMMYFUNCTION("""COMPUTED_VALUE"""),"ร้านนิภามินิมาร์ท")</f>
        <v>ร้านนิภามินิมาร์ท</v>
      </c>
      <c r="E2935" s="1" t="str">
        <f>IFERROR(__xludf.DUMMYFUNCTION("""COMPUTED_VALUE"""),"Donjai")</f>
        <v>Donjai</v>
      </c>
      <c r="F2935" s="1" t="str">
        <f>IFERROR(__xludf.DUMMYFUNCTION("""COMPUTED_VALUE"""),"025324")</f>
        <v>025324</v>
      </c>
      <c r="G2935" s="1" t="str">
        <f>IFERROR(__xludf.DUMMYFUNCTION("""COMPUTED_VALUE"""),"นายวิเชฎฐ์ ติรัตนะประคม")</f>
        <v>นายวิเชฎฐ์ ติรัตนะประคม</v>
      </c>
      <c r="H2935" s="1" t="str">
        <f>IFERROR(__xludf.DUMMYFUNCTION("""COMPUTED_VALUE"""),"025324")</f>
        <v>025324</v>
      </c>
      <c r="I2935" s="1" t="str">
        <f>IFERROR(__xludf.DUMMYFUNCTION("""COMPUTED_VALUE"""),"นายวิเชฎฐ์ ติรัตนะประคม")</f>
        <v>นายวิเชฎฐ์ ติรัตนะประคม</v>
      </c>
      <c r="J2935" s="3">
        <f>IFERROR(__xludf.DUMMYFUNCTION("""COMPUTED_VALUE"""),295541.0)</f>
        <v>295541</v>
      </c>
      <c r="K2935" s="3" t="str">
        <f>IFERROR(__xludf.DUMMYFUNCTION("""COMPUTED_VALUE"""),"นายรพิพล ศรีมาตย์")</f>
        <v>นายรพิพล ศรีมาตย์</v>
      </c>
      <c r="L2935" s="1" t="str">
        <f>IFERROR(__xludf.DUMMYFUNCTION("""COMPUTED_VALUE"""),"นายรพิพล ศรีมาตย์")</f>
        <v>นายรพิพล ศรีมาตย์</v>
      </c>
      <c r="M2935" s="1" t="str">
        <f>IFERROR(__xludf.DUMMYFUNCTION("""COMPUTED_VALUE"""),"0613966115")</f>
        <v>0613966115</v>
      </c>
      <c r="N2935" s="3">
        <f>IFERROR(__xludf.DUMMYFUNCTION("""COMPUTED_VALUE"""),83810.0)</f>
        <v>83810</v>
      </c>
      <c r="O2935" s="3" t="str">
        <f>IFERROR(__xludf.DUMMYFUNCTION("""COMPUTED_VALUE"""),"ร้านนิภามินิมาร์ท")</f>
        <v>ร้านนิภามินิมาร์ท</v>
      </c>
      <c r="P2935" s="4">
        <f>IFERROR(__xludf.DUMMYFUNCTION("""COMPUTED_VALUE"""),44637.0)</f>
        <v>44637</v>
      </c>
      <c r="Q2935" s="3" t="str">
        <f>IFERROR(__xludf.DUMMYFUNCTION("""COMPUTED_VALUE"""),"I")</f>
        <v>I</v>
      </c>
      <c r="R2935" s="3" t="str">
        <f>IFERROR(__xludf.DUMMYFUNCTION("""COMPUTED_VALUE"""),"Small Format")</f>
        <v>Small Format</v>
      </c>
      <c r="S2935" s="3" t="str">
        <f>IFERROR(__xludf.DUMMYFUNCTION("""COMPUTED_VALUE"""),"Donjai")</f>
        <v>Donjai</v>
      </c>
      <c r="T2935" s="3" t="str">
        <f>IFERROR(__xludf.DUMMYFUNCTION("""COMPUTED_VALUE"""),"14 K.Wichet T.")</f>
        <v>14 K.Wichet T.</v>
      </c>
      <c r="U2935" s="3" t="str">
        <f>IFERROR(__xludf.DUMMYFUNCTION("""COMPUTED_VALUE"""),"14 K.Wichet T.")</f>
        <v>14 K.Wichet T.</v>
      </c>
      <c r="V2935" s="3" t="str">
        <f>IFERROR(__xludf.DUMMYFUNCTION("""COMPUTED_VALUE"""),"N")</f>
        <v>N</v>
      </c>
      <c r="W2935" s="3"/>
      <c r="X2935" s="3" t="str">
        <f>IFERROR(__xludf.DUMMYFUNCTION("""COMPUTED_VALUE"""),"37/2 ม.9 ต.ทุ่งคา อ.เมือง จ.ชุมพร")</f>
        <v>37/2 ม.9 ต.ทุ่งคา อ.เมือง จ.ชุมพร</v>
      </c>
      <c r="Y2935" s="3"/>
      <c r="Z2935" s="3">
        <f>IFERROR(__xludf.DUMMYFUNCTION("""COMPUTED_VALUE"""),0.0)</f>
        <v>0</v>
      </c>
      <c r="AA2935" s="3">
        <f>IFERROR(__xludf.DUMMYFUNCTION("""COMPUTED_VALUE"""),0.0)</f>
        <v>0</v>
      </c>
      <c r="AB2935" s="3" t="str">
        <f>IFERROR(__xludf.DUMMYFUNCTION("""COMPUTED_VALUE"""),"ชุมพร")</f>
        <v>ชุมพร</v>
      </c>
      <c r="AC2935" s="3">
        <f>IFERROR(__xludf.DUMMYFUNCTION("""COMPUTED_VALUE"""),0.0)</f>
        <v>0</v>
      </c>
      <c r="AD2935" s="3"/>
      <c r="AE2935" s="3"/>
      <c r="AF2935" s="3" t="str">
        <f>IFERROR(__xludf.DUMMYFUNCTION("""COMPUTED_VALUE"""),"ร้านนิภามินิมาร์ท-83810")</f>
        <v>ร้านนิภามินิมาร์ท-83810</v>
      </c>
      <c r="AG2935" s="3" t="str">
        <f>IFERROR(__xludf.DUMMYFUNCTION("""COMPUTED_VALUE"""),"ใต้")</f>
        <v>ใต้</v>
      </c>
      <c r="AH2935" s="3" t="str">
        <f>IFERROR(__xludf.DUMMYFUNCTION("""COMPUTED_VALUE"""),"#N/A")</f>
        <v>#N/A</v>
      </c>
      <c r="AI2935" s="3" t="str">
        <f>IFERROR(__xludf.DUMMYFUNCTION("""COMPUTED_VALUE"""),"Out of warranty")</f>
        <v>Out of warranty</v>
      </c>
      <c r="AJ2935" s="3">
        <f>IFERROR(__xludf.DUMMYFUNCTION("""COMPUTED_VALUE"""),47.0)</f>
        <v>47</v>
      </c>
      <c r="AK2935" s="3"/>
      <c r="AL2935" s="3"/>
    </row>
    <row r="2936" ht="15.75" customHeight="1">
      <c r="A2936" s="1" t="str">
        <f>IFERROR(__xludf.DUMMYFUNCTION("""COMPUTED_VALUE"""),"83811")</f>
        <v>83811</v>
      </c>
      <c r="B2936" s="2">
        <f>IFERROR(__xludf.DUMMYFUNCTION("""COMPUTED_VALUE"""),83811.0)</f>
        <v>83811</v>
      </c>
      <c r="C2936" s="3" t="str">
        <f>IFERROR(__xludf.DUMMYFUNCTION("""COMPUTED_VALUE"""),"ร้านนิกกับอ้อม (น้องอ้อม)")</f>
        <v>ร้านนิกกับอ้อม (น้องอ้อม)</v>
      </c>
      <c r="D2936" s="3" t="str">
        <f>IFERROR(__xludf.DUMMYFUNCTION("""COMPUTED_VALUE"""),"ร้านนิกกับอ้อม (น้องอ้อม)")</f>
        <v>ร้านนิกกับอ้อม (น้องอ้อม)</v>
      </c>
      <c r="E2936" s="1" t="str">
        <f>IFERROR(__xludf.DUMMYFUNCTION("""COMPUTED_VALUE"""),"Donjai")</f>
        <v>Donjai</v>
      </c>
      <c r="F2936" s="1" t="str">
        <f>IFERROR(__xludf.DUMMYFUNCTION("""COMPUTED_VALUE"""),"2010016")</f>
        <v>2010016</v>
      </c>
      <c r="G2936" s="1" t="str">
        <f>IFERROR(__xludf.DUMMYFUNCTION("""COMPUTED_VALUE"""),"นายตวงธรรม ใหม่ยศ")</f>
        <v>นายตวงธรรม ใหม่ยศ</v>
      </c>
      <c r="H2936" s="1" t="str">
        <f>IFERROR(__xludf.DUMMYFUNCTION("""COMPUTED_VALUE"""),"2010016")</f>
        <v>2010016</v>
      </c>
      <c r="I2936" s="1" t="str">
        <f>IFERROR(__xludf.DUMMYFUNCTION("""COMPUTED_VALUE"""),"นายตวงธรรม ใหม่ยศ")</f>
        <v>นายตวงธรรม ใหม่ยศ</v>
      </c>
      <c r="J2936" s="3">
        <f>IFERROR(__xludf.DUMMYFUNCTION("""COMPUTED_VALUE"""),295886.0)</f>
        <v>295886</v>
      </c>
      <c r="K2936" s="3" t="str">
        <f>IFERROR(__xludf.DUMMYFUNCTION("""COMPUTED_VALUE"""),"นายจิระพงษ์ โพธิ์นิล")</f>
        <v>นายจิระพงษ์ โพธิ์นิล</v>
      </c>
      <c r="L2936" s="1" t="str">
        <f>IFERROR(__xludf.DUMMYFUNCTION("""COMPUTED_VALUE"""),"นายจิระพงษ์ โพธิ์นิล")</f>
        <v>นายจิระพงษ์ โพธิ์นิล</v>
      </c>
      <c r="M2936" s="1" t="str">
        <f>IFERROR(__xludf.DUMMYFUNCTION("""COMPUTED_VALUE"""),"0933290754")</f>
        <v>0933290754</v>
      </c>
      <c r="N2936" s="3">
        <f>IFERROR(__xludf.DUMMYFUNCTION("""COMPUTED_VALUE"""),83811.0)</f>
        <v>83811</v>
      </c>
      <c r="O2936" s="3" t="str">
        <f>IFERROR(__xludf.DUMMYFUNCTION("""COMPUTED_VALUE"""),"ร้านนิกกับอ้อม (น้องอ้อม)")</f>
        <v>ร้านนิกกับอ้อม (น้องอ้อม)</v>
      </c>
      <c r="P2936" s="4">
        <f>IFERROR(__xludf.DUMMYFUNCTION("""COMPUTED_VALUE"""),44652.0)</f>
        <v>44652</v>
      </c>
      <c r="Q2936" s="3" t="str">
        <f>IFERROR(__xludf.DUMMYFUNCTION("""COMPUTED_VALUE"""),"A")</f>
        <v>A</v>
      </c>
      <c r="R2936" s="3" t="str">
        <f>IFERROR(__xludf.DUMMYFUNCTION("""COMPUTED_VALUE"""),"Small Format")</f>
        <v>Small Format</v>
      </c>
      <c r="S2936" s="3" t="str">
        <f>IFERROR(__xludf.DUMMYFUNCTION("""COMPUTED_VALUE"""),"Donjai")</f>
        <v>Donjai</v>
      </c>
      <c r="T2936" s="3" t="str">
        <f>IFERROR(__xludf.DUMMYFUNCTION("""COMPUTED_VALUE"""),"01 K.Tuangtham M.")</f>
        <v>01 K.Tuangtham M.</v>
      </c>
      <c r="U2936" s="3" t="str">
        <f>IFERROR(__xludf.DUMMYFUNCTION("""COMPUTED_VALUE"""),"01 K.Tuangtham M.")</f>
        <v>01 K.Tuangtham M.</v>
      </c>
      <c r="V2936" s="3" t="str">
        <f>IFERROR(__xludf.DUMMYFUNCTION("""COMPUTED_VALUE"""),"N")</f>
        <v>N</v>
      </c>
      <c r="W2936" s="3"/>
      <c r="X2936" s="3" t="str">
        <f>IFERROR(__xludf.DUMMYFUNCTION("""COMPUTED_VALUE"""),"89 ม.2 ต.น้ำแวน อ.เชียงคำ จ.พะเยา 56110")</f>
        <v>89 ม.2 ต.น้ำแวน อ.เชียงคำ จ.พะเยา 56110</v>
      </c>
      <c r="Y2936" s="3"/>
      <c r="Z2936" s="3">
        <f>IFERROR(__xludf.DUMMYFUNCTION("""COMPUTED_VALUE"""),0.0)</f>
        <v>0</v>
      </c>
      <c r="AA2936" s="3">
        <f>IFERROR(__xludf.DUMMYFUNCTION("""COMPUTED_VALUE"""),0.0)</f>
        <v>0</v>
      </c>
      <c r="AB2936" s="3" t="str">
        <f>IFERROR(__xludf.DUMMYFUNCTION("""COMPUTED_VALUE"""),"พะเยา")</f>
        <v>พะเยา</v>
      </c>
      <c r="AC2936" s="3">
        <f>IFERROR(__xludf.DUMMYFUNCTION("""COMPUTED_VALUE"""),56110.0)</f>
        <v>56110</v>
      </c>
      <c r="AD2936" s="3"/>
      <c r="AE2936" s="3"/>
      <c r="AF2936" s="3" t="str">
        <f>IFERROR(__xludf.DUMMYFUNCTION("""COMPUTED_VALUE"""),"ร้านนิกกับอ้อม (น้องอ้อม)-83811")</f>
        <v>ร้านนิกกับอ้อม (น้องอ้อม)-83811</v>
      </c>
      <c r="AG2936" s="3" t="str">
        <f>IFERROR(__xludf.DUMMYFUNCTION("""COMPUTED_VALUE"""),"เหนือ")</f>
        <v>เหนือ</v>
      </c>
      <c r="AH2936" s="3" t="str">
        <f>IFERROR(__xludf.DUMMYFUNCTION("""COMPUTED_VALUE"""),"#N/A")</f>
        <v>#N/A</v>
      </c>
      <c r="AI2936" s="3" t="str">
        <f>IFERROR(__xludf.DUMMYFUNCTION("""COMPUTED_VALUE"""),"Out of warranty")</f>
        <v>Out of warranty</v>
      </c>
      <c r="AJ2936" s="3">
        <f>IFERROR(__xludf.DUMMYFUNCTION("""COMPUTED_VALUE"""),46.0)</f>
        <v>46</v>
      </c>
      <c r="AK2936" s="3"/>
      <c r="AL2936" s="3"/>
    </row>
    <row r="2937" ht="15.75" customHeight="1">
      <c r="A2937" s="1" t="str">
        <f>IFERROR(__xludf.DUMMYFUNCTION("""COMPUTED_VALUE"""),"83813")</f>
        <v>83813</v>
      </c>
      <c r="B2937" s="2">
        <f>IFERROR(__xludf.DUMMYFUNCTION("""COMPUTED_VALUE"""),83813.0)</f>
        <v>83813</v>
      </c>
      <c r="C2937" s="3" t="str">
        <f>IFERROR(__xludf.DUMMYFUNCTION("""COMPUTED_VALUE"""),"ร้าน 288 พาณิชย์")</f>
        <v>ร้าน 288 พาณิชย์</v>
      </c>
      <c r="D2937" s="3" t="str">
        <f>IFERROR(__xludf.DUMMYFUNCTION("""COMPUTED_VALUE"""),"ร้าน 288 พาณิชย์")</f>
        <v>ร้าน 288 พาณิชย์</v>
      </c>
      <c r="E2937" s="1" t="str">
        <f>IFERROR(__xludf.DUMMYFUNCTION("""COMPUTED_VALUE"""),"Donjai")</f>
        <v>Donjai</v>
      </c>
      <c r="F2937" s="1" t="str">
        <f>IFERROR(__xludf.DUMMYFUNCTION("""COMPUTED_VALUE"""),"015361")</f>
        <v>015361</v>
      </c>
      <c r="G2937" s="1" t="str">
        <f>IFERROR(__xludf.DUMMYFUNCTION("""COMPUTED_VALUE"""),"นายสมบูรณ์ พรหมในเมือง")</f>
        <v>นายสมบูรณ์ พรหมในเมือง</v>
      </c>
      <c r="H2937" s="1" t="str">
        <f>IFERROR(__xludf.DUMMYFUNCTION("""COMPUTED_VALUE"""),"015361")</f>
        <v>015361</v>
      </c>
      <c r="I2937" s="1" t="str">
        <f>IFERROR(__xludf.DUMMYFUNCTION("""COMPUTED_VALUE"""),"นายสมบูรณ์ พรหมในเมือง")</f>
        <v>นายสมบูรณ์ พรหมในเมือง</v>
      </c>
      <c r="J2937" s="3">
        <f>IFERROR(__xludf.DUMMYFUNCTION("""COMPUTED_VALUE"""),295886.0)</f>
        <v>295886</v>
      </c>
      <c r="K2937" s="3" t="str">
        <f>IFERROR(__xludf.DUMMYFUNCTION("""COMPUTED_VALUE"""),"นายจิระพงษ์ โพธิ์นิล")</f>
        <v>นายจิระพงษ์ โพธิ์นิล</v>
      </c>
      <c r="L2937" s="1" t="str">
        <f>IFERROR(__xludf.DUMMYFUNCTION("""COMPUTED_VALUE"""),"นายจิระพงษ์ โพธิ์นิล")</f>
        <v>นายจิระพงษ์ โพธิ์นิล</v>
      </c>
      <c r="M2937" s="1" t="str">
        <f>IFERROR(__xludf.DUMMYFUNCTION("""COMPUTED_VALUE"""),"0933290754")</f>
        <v>0933290754</v>
      </c>
      <c r="N2937" s="3">
        <f>IFERROR(__xludf.DUMMYFUNCTION("""COMPUTED_VALUE"""),83813.0)</f>
        <v>83813</v>
      </c>
      <c r="O2937" s="3" t="str">
        <f>IFERROR(__xludf.DUMMYFUNCTION("""COMPUTED_VALUE"""),"ร้าน 288 พาณิชย์")</f>
        <v>ร้าน 288 พาณิชย์</v>
      </c>
      <c r="P2937" s="4">
        <f>IFERROR(__xludf.DUMMYFUNCTION("""COMPUTED_VALUE"""),44638.0)</f>
        <v>44638</v>
      </c>
      <c r="Q2937" s="3" t="str">
        <f>IFERROR(__xludf.DUMMYFUNCTION("""COMPUTED_VALUE"""),"I")</f>
        <v>I</v>
      </c>
      <c r="R2937" s="3" t="str">
        <f>IFERROR(__xludf.DUMMYFUNCTION("""COMPUTED_VALUE"""),"Small Format")</f>
        <v>Small Format</v>
      </c>
      <c r="S2937" s="3" t="str">
        <f>IFERROR(__xludf.DUMMYFUNCTION("""COMPUTED_VALUE"""),"Donjai")</f>
        <v>Donjai</v>
      </c>
      <c r="T2937" s="3" t="str">
        <f>IFERROR(__xludf.DUMMYFUNCTION("""COMPUTED_VALUE"""),"04 K.Somboon P.")</f>
        <v>04 K.Somboon P.</v>
      </c>
      <c r="U2937" s="3" t="str">
        <f>IFERROR(__xludf.DUMMYFUNCTION("""COMPUTED_VALUE"""),"04 K.Somboon P.")</f>
        <v>04 K.Somboon P.</v>
      </c>
      <c r="V2937" s="3" t="str">
        <f>IFERROR(__xludf.DUMMYFUNCTION("""COMPUTED_VALUE"""),"N")</f>
        <v>N</v>
      </c>
      <c r="W2937" s="3"/>
      <c r="X2937" s="3" t="str">
        <f>IFERROR(__xludf.DUMMYFUNCTION("""COMPUTED_VALUE"""),"288 ม.2ต.เมืองคง จ.ศรีสะเกษ 33160")</f>
        <v>288 ม.2ต.เมืองคง จ.ศรีสะเกษ 33160</v>
      </c>
      <c r="Y2937" s="3"/>
      <c r="Z2937" s="3">
        <f>IFERROR(__xludf.DUMMYFUNCTION("""COMPUTED_VALUE"""),0.0)</f>
        <v>0</v>
      </c>
      <c r="AA2937" s="3">
        <f>IFERROR(__xludf.DUMMYFUNCTION("""COMPUTED_VALUE"""),0.0)</f>
        <v>0</v>
      </c>
      <c r="AB2937" s="3" t="str">
        <f>IFERROR(__xludf.DUMMYFUNCTION("""COMPUTED_VALUE"""),"ศรีสะเกษ")</f>
        <v>ศรีสะเกษ</v>
      </c>
      <c r="AC2937" s="3">
        <f>IFERROR(__xludf.DUMMYFUNCTION("""COMPUTED_VALUE"""),33160.0)</f>
        <v>33160</v>
      </c>
      <c r="AD2937" s="3"/>
      <c r="AE2937" s="3"/>
      <c r="AF2937" s="3" t="str">
        <f>IFERROR(__xludf.DUMMYFUNCTION("""COMPUTED_VALUE"""),"ร้าน 288 พาณิชย์-83813")</f>
        <v>ร้าน 288 พาณิชย์-83813</v>
      </c>
      <c r="AG2937" s="3" t="str">
        <f>IFERROR(__xludf.DUMMYFUNCTION("""COMPUTED_VALUE"""),"ตะวันออกเฉียงเหนือ")</f>
        <v>ตะวันออกเฉียงเหนือ</v>
      </c>
      <c r="AH2937" s="3" t="str">
        <f>IFERROR(__xludf.DUMMYFUNCTION("""COMPUTED_VALUE"""),"#N/A")</f>
        <v>#N/A</v>
      </c>
      <c r="AI2937" s="3" t="str">
        <f>IFERROR(__xludf.DUMMYFUNCTION("""COMPUTED_VALUE"""),"Out of warranty")</f>
        <v>Out of warranty</v>
      </c>
      <c r="AJ2937" s="3">
        <f>IFERROR(__xludf.DUMMYFUNCTION("""COMPUTED_VALUE"""),47.0)</f>
        <v>47</v>
      </c>
      <c r="AK2937" s="3"/>
      <c r="AL2937" s="3"/>
    </row>
    <row r="2938" ht="15.75" customHeight="1">
      <c r="A2938" s="1" t="str">
        <f>IFERROR(__xludf.DUMMYFUNCTION("""COMPUTED_VALUE"""),"83815")</f>
        <v>83815</v>
      </c>
      <c r="B2938" s="2">
        <f>IFERROR(__xludf.DUMMYFUNCTION("""COMPUTED_VALUE"""),83815.0)</f>
        <v>83815</v>
      </c>
      <c r="C2938" s="3" t="str">
        <f>IFERROR(__xludf.DUMMYFUNCTION("""COMPUTED_VALUE"""),"ร้านทิพวัลย์")</f>
        <v>ร้านทิพวัลย์</v>
      </c>
      <c r="D2938" s="3" t="str">
        <f>IFERROR(__xludf.DUMMYFUNCTION("""COMPUTED_VALUE"""),"ร้านทิพวัลย์")</f>
        <v>ร้านทิพวัลย์</v>
      </c>
      <c r="E2938" s="1" t="str">
        <f>IFERROR(__xludf.DUMMYFUNCTION("""COMPUTED_VALUE"""),"Donjai")</f>
        <v>Donjai</v>
      </c>
      <c r="F2938" s="1" t="str">
        <f>IFERROR(__xludf.DUMMYFUNCTION("""COMPUTED_VALUE"""),"2010023")</f>
        <v>2010023</v>
      </c>
      <c r="G2938" s="1" t="str">
        <f>IFERROR(__xludf.DUMMYFUNCTION("""COMPUTED_VALUE"""),"นายวศิน ไวยรูป")</f>
        <v>นายวศิน ไวยรูป</v>
      </c>
      <c r="H2938" s="1" t="str">
        <f>IFERROR(__xludf.DUMMYFUNCTION("""COMPUTED_VALUE"""),"2010023")</f>
        <v>2010023</v>
      </c>
      <c r="I2938" s="1" t="str">
        <f>IFERROR(__xludf.DUMMYFUNCTION("""COMPUTED_VALUE"""),"นายวศิน ไวยรูป")</f>
        <v>นายวศิน ไวยรูป</v>
      </c>
      <c r="J2938" s="3">
        <f>IFERROR(__xludf.DUMMYFUNCTION("""COMPUTED_VALUE"""),228031.0)</f>
        <v>228031</v>
      </c>
      <c r="K2938" s="3" t="str">
        <f>IFERROR(__xludf.DUMMYFUNCTION("""COMPUTED_VALUE"""),"นายธนพงษ์ วันหมัด")</f>
        <v>นายธนพงษ์ วันหมัด</v>
      </c>
      <c r="L2938" s="1" t="str">
        <f>IFERROR(__xludf.DUMMYFUNCTION("""COMPUTED_VALUE"""),"นายธนพงษ์ วันหมัด")</f>
        <v>นายธนพงษ์ วันหมัด</v>
      </c>
      <c r="M2938" s="1" t="str">
        <f>IFERROR(__xludf.DUMMYFUNCTION("""COMPUTED_VALUE"""),"0813716913")</f>
        <v>0813716913</v>
      </c>
      <c r="N2938" s="3">
        <f>IFERROR(__xludf.DUMMYFUNCTION("""COMPUTED_VALUE"""),83815.0)</f>
        <v>83815</v>
      </c>
      <c r="O2938" s="3" t="str">
        <f>IFERROR(__xludf.DUMMYFUNCTION("""COMPUTED_VALUE"""),"ร้านทิพวัลย์")</f>
        <v>ร้านทิพวัลย์</v>
      </c>
      <c r="P2938" s="4">
        <f>IFERROR(__xludf.DUMMYFUNCTION("""COMPUTED_VALUE"""),44659.0)</f>
        <v>44659</v>
      </c>
      <c r="Q2938" s="3" t="str">
        <f>IFERROR(__xludf.DUMMYFUNCTION("""COMPUTED_VALUE"""),"I")</f>
        <v>I</v>
      </c>
      <c r="R2938" s="3" t="str">
        <f>IFERROR(__xludf.DUMMYFUNCTION("""COMPUTED_VALUE"""),"Small Format")</f>
        <v>Small Format</v>
      </c>
      <c r="S2938" s="3" t="str">
        <f>IFERROR(__xludf.DUMMYFUNCTION("""COMPUTED_VALUE"""),"Donjai")</f>
        <v>Donjai</v>
      </c>
      <c r="T2938" s="3" t="str">
        <f>IFERROR(__xludf.DUMMYFUNCTION("""COMPUTED_VALUE"""),"Donjai")</f>
        <v>Donjai</v>
      </c>
      <c r="U2938" s="3" t="str">
        <f>IFERROR(__xludf.DUMMYFUNCTION("""COMPUTED_VALUE"""),"Donjai")</f>
        <v>Donjai</v>
      </c>
      <c r="V2938" s="3" t="str">
        <f>IFERROR(__xludf.DUMMYFUNCTION("""COMPUTED_VALUE"""),"N")</f>
        <v>N</v>
      </c>
      <c r="W2938" s="3"/>
      <c r="X2938" s="3" t="str">
        <f>IFERROR(__xludf.DUMMYFUNCTION("""COMPUTED_VALUE"""),"105 หมู่ 5 โยธะกา บางน้ำเปรี้ยว ฉะเชิงเทรา 93160")</f>
        <v>105 หมู่ 5 โยธะกา บางน้ำเปรี้ยว ฉะเชิงเทรา 93160</v>
      </c>
      <c r="Y2938" s="3"/>
      <c r="Z2938" s="3">
        <f>IFERROR(__xludf.DUMMYFUNCTION("""COMPUTED_VALUE"""),0.0)</f>
        <v>0</v>
      </c>
      <c r="AA2938" s="3">
        <f>IFERROR(__xludf.DUMMYFUNCTION("""COMPUTED_VALUE"""),0.0)</f>
        <v>0</v>
      </c>
      <c r="AB2938" s="3" t="str">
        <f>IFERROR(__xludf.DUMMYFUNCTION("""COMPUTED_VALUE"""),"ฉะเชิงเทรา")</f>
        <v>ฉะเชิงเทรา</v>
      </c>
      <c r="AC2938" s="3">
        <f>IFERROR(__xludf.DUMMYFUNCTION("""COMPUTED_VALUE"""),93160.0)</f>
        <v>93160</v>
      </c>
      <c r="AD2938" s="3"/>
      <c r="AE2938" s="3"/>
      <c r="AF2938" s="3" t="str">
        <f>IFERROR(__xludf.DUMMYFUNCTION("""COMPUTED_VALUE"""),"ร้านทิพวัลย์-83815")</f>
        <v>ร้านทิพวัลย์-83815</v>
      </c>
      <c r="AG2938" s="3" t="str">
        <f>IFERROR(__xludf.DUMMYFUNCTION("""COMPUTED_VALUE"""),"ตะวันออก")</f>
        <v>ตะวันออก</v>
      </c>
      <c r="AH2938" s="3" t="str">
        <f>IFERROR(__xludf.DUMMYFUNCTION("""COMPUTED_VALUE"""),"#N/A")</f>
        <v>#N/A</v>
      </c>
      <c r="AI2938" s="3" t="str">
        <f>IFERROR(__xludf.DUMMYFUNCTION("""COMPUTED_VALUE"""),"Out of warranty")</f>
        <v>Out of warranty</v>
      </c>
      <c r="AJ2938" s="3">
        <f>IFERROR(__xludf.DUMMYFUNCTION("""COMPUTED_VALUE"""),46.0)</f>
        <v>46</v>
      </c>
      <c r="AK2938" s="3"/>
      <c r="AL2938" s="3"/>
    </row>
    <row r="2939" ht="15.75" customHeight="1">
      <c r="A2939" s="1" t="str">
        <f>IFERROR(__xludf.DUMMYFUNCTION("""COMPUTED_VALUE"""),"83816")</f>
        <v>83816</v>
      </c>
      <c r="B2939" s="2">
        <f>IFERROR(__xludf.DUMMYFUNCTION("""COMPUTED_VALUE"""),83816.0)</f>
        <v>83816</v>
      </c>
      <c r="C2939" s="3" t="str">
        <f>IFERROR(__xludf.DUMMYFUNCTION("""COMPUTED_VALUE"""),"ร้านประภัสสร การค้า")</f>
        <v>ร้านประภัสสร การค้า</v>
      </c>
      <c r="D2939" s="3" t="str">
        <f>IFERROR(__xludf.DUMMYFUNCTION("""COMPUTED_VALUE"""),"ร้านประภัสสร การค้า")</f>
        <v>ร้านประภัสสร การค้า</v>
      </c>
      <c r="E2939" s="1" t="str">
        <f>IFERROR(__xludf.DUMMYFUNCTION("""COMPUTED_VALUE"""),"Donjai")</f>
        <v>Donjai</v>
      </c>
      <c r="F2939" s="1" t="str">
        <f>IFERROR(__xludf.DUMMYFUNCTION("""COMPUTED_VALUE"""),"296868")</f>
        <v>296868</v>
      </c>
      <c r="G2939" s="1" t="str">
        <f>IFERROR(__xludf.DUMMYFUNCTION("""COMPUTED_VALUE"""),"นายพีระพงษ์ แก้วดวงดี")</f>
        <v>นายพีระพงษ์ แก้วดวงดี</v>
      </c>
      <c r="H2939" s="1" t="str">
        <f>IFERROR(__xludf.DUMMYFUNCTION("""COMPUTED_VALUE"""),"296868")</f>
        <v>296868</v>
      </c>
      <c r="I2939" s="1" t="str">
        <f>IFERROR(__xludf.DUMMYFUNCTION("""COMPUTED_VALUE"""),"นายพีระพงษ์ แก้วดวงดี")</f>
        <v>นายพีระพงษ์ แก้วดวงดี</v>
      </c>
      <c r="J2939" s="3">
        <f>IFERROR(__xludf.DUMMYFUNCTION("""COMPUTED_VALUE"""),295886.0)</f>
        <v>295886</v>
      </c>
      <c r="K2939" s="3" t="str">
        <f>IFERROR(__xludf.DUMMYFUNCTION("""COMPUTED_VALUE"""),"นายจิระพงษ์ โพธิ์นิล")</f>
        <v>นายจิระพงษ์ โพธิ์นิล</v>
      </c>
      <c r="L2939" s="1" t="str">
        <f>IFERROR(__xludf.DUMMYFUNCTION("""COMPUTED_VALUE"""),"นายจิระพงษ์ โพธิ์นิล")</f>
        <v>นายจิระพงษ์ โพธิ์นิล</v>
      </c>
      <c r="M2939" s="1" t="str">
        <f>IFERROR(__xludf.DUMMYFUNCTION("""COMPUTED_VALUE"""),"0933290754")</f>
        <v>0933290754</v>
      </c>
      <c r="N2939" s="3">
        <f>IFERROR(__xludf.DUMMYFUNCTION("""COMPUTED_VALUE"""),83816.0)</f>
        <v>83816</v>
      </c>
      <c r="O2939" s="3" t="str">
        <f>IFERROR(__xludf.DUMMYFUNCTION("""COMPUTED_VALUE"""),"ร้านประภัสสร การค้า")</f>
        <v>ร้านประภัสสร การค้า</v>
      </c>
      <c r="P2939" s="4">
        <f>IFERROR(__xludf.DUMMYFUNCTION("""COMPUTED_VALUE"""),44658.0)</f>
        <v>44658</v>
      </c>
      <c r="Q2939" s="3" t="str">
        <f>IFERROR(__xludf.DUMMYFUNCTION("""COMPUTED_VALUE"""),"A")</f>
        <v>A</v>
      </c>
      <c r="R2939" s="3" t="str">
        <f>IFERROR(__xludf.DUMMYFUNCTION("""COMPUTED_VALUE"""),"Small Format")</f>
        <v>Small Format</v>
      </c>
      <c r="S2939" s="3" t="str">
        <f>IFERROR(__xludf.DUMMYFUNCTION("""COMPUTED_VALUE"""),"Donjai")</f>
        <v>Donjai</v>
      </c>
      <c r="T2939" s="3" t="str">
        <f>IFERROR(__xludf.DUMMYFUNCTION("""COMPUTED_VALUE"""),"03 K.Peerapong K.")</f>
        <v>03 K.Peerapong K.</v>
      </c>
      <c r="U2939" s="3" t="str">
        <f>IFERROR(__xludf.DUMMYFUNCTION("""COMPUTED_VALUE"""),"03 K.Peerapong K.")</f>
        <v>03 K.Peerapong K.</v>
      </c>
      <c r="V2939" s="3" t="str">
        <f>IFERROR(__xludf.DUMMYFUNCTION("""COMPUTED_VALUE"""),"N")</f>
        <v>N</v>
      </c>
      <c r="W2939" s="3"/>
      <c r="X2939" s="3" t="str">
        <f>IFERROR(__xludf.DUMMYFUNCTION("""COMPUTED_VALUE"""),"288 ม.16 ต.นาขมิ้น อ.โพนสวรรค์ จ.นครพนม")</f>
        <v>288 ม.16 ต.นาขมิ้น อ.โพนสวรรค์ จ.นครพนม</v>
      </c>
      <c r="Y2939" s="3"/>
      <c r="Z2939" s="3">
        <f>IFERROR(__xludf.DUMMYFUNCTION("""COMPUTED_VALUE"""),0.0)</f>
        <v>0</v>
      </c>
      <c r="AA2939" s="3">
        <f>IFERROR(__xludf.DUMMYFUNCTION("""COMPUTED_VALUE"""),0.0)</f>
        <v>0</v>
      </c>
      <c r="AB2939" s="3" t="str">
        <f>IFERROR(__xludf.DUMMYFUNCTION("""COMPUTED_VALUE"""),"นครพนม")</f>
        <v>นครพนม</v>
      </c>
      <c r="AC2939" s="3">
        <f>IFERROR(__xludf.DUMMYFUNCTION("""COMPUTED_VALUE"""),0.0)</f>
        <v>0</v>
      </c>
      <c r="AD2939" s="3"/>
      <c r="AE2939" s="3"/>
      <c r="AF2939" s="3" t="str">
        <f>IFERROR(__xludf.DUMMYFUNCTION("""COMPUTED_VALUE"""),"ร้านประภัสสร การค้า-83816")</f>
        <v>ร้านประภัสสร การค้า-83816</v>
      </c>
      <c r="AG2939" s="3" t="str">
        <f>IFERROR(__xludf.DUMMYFUNCTION("""COMPUTED_VALUE"""),"ตะวันออกเฉียงเหนือ")</f>
        <v>ตะวันออกเฉียงเหนือ</v>
      </c>
      <c r="AH2939" s="3" t="str">
        <f>IFERROR(__xludf.DUMMYFUNCTION("""COMPUTED_VALUE"""),"#N/A")</f>
        <v>#N/A</v>
      </c>
      <c r="AI2939" s="3" t="str">
        <f>IFERROR(__xludf.DUMMYFUNCTION("""COMPUTED_VALUE"""),"Out of warranty")</f>
        <v>Out of warranty</v>
      </c>
      <c r="AJ2939" s="3">
        <f>IFERROR(__xludf.DUMMYFUNCTION("""COMPUTED_VALUE"""),46.0)</f>
        <v>46</v>
      </c>
      <c r="AK2939" s="3"/>
      <c r="AL2939" s="3"/>
    </row>
    <row r="2940" ht="15.75" customHeight="1">
      <c r="A2940" s="1" t="str">
        <f>IFERROR(__xludf.DUMMYFUNCTION("""COMPUTED_VALUE"""),"83817")</f>
        <v>83817</v>
      </c>
      <c r="B2940" s="2">
        <f>IFERROR(__xludf.DUMMYFUNCTION("""COMPUTED_VALUE"""),83817.0)</f>
        <v>83817</v>
      </c>
      <c r="C2940" s="3" t="str">
        <f>IFERROR(__xludf.DUMMYFUNCTION("""COMPUTED_VALUE"""),"ร้านเจริญไพศาล มินิมาร์ท (วาที มินิมาร์ท)")</f>
        <v>ร้านเจริญไพศาล มินิมาร์ท (วาที มินิมาร์ท)</v>
      </c>
      <c r="D2940" s="3" t="str">
        <f>IFERROR(__xludf.DUMMYFUNCTION("""COMPUTED_VALUE"""),"ร้านเจริญไพศาล มินิมาร์ท (วาที มินิมาร์ท)")</f>
        <v>ร้านเจริญไพศาล มินิมาร์ท (วาที มินิมาร์ท)</v>
      </c>
      <c r="E2940" s="1" t="str">
        <f>IFERROR(__xludf.DUMMYFUNCTION("""COMPUTED_VALUE"""),"Donjai")</f>
        <v>Donjai</v>
      </c>
      <c r="F2940" s="1" t="str">
        <f>IFERROR(__xludf.DUMMYFUNCTION("""COMPUTED_VALUE"""),"025324")</f>
        <v>025324</v>
      </c>
      <c r="G2940" s="1" t="str">
        <f>IFERROR(__xludf.DUMMYFUNCTION("""COMPUTED_VALUE"""),"นายวิเชฎฐ์ ติรัตนะประคม")</f>
        <v>นายวิเชฎฐ์ ติรัตนะประคม</v>
      </c>
      <c r="H2940" s="1" t="str">
        <f>IFERROR(__xludf.DUMMYFUNCTION("""COMPUTED_VALUE"""),"025324")</f>
        <v>025324</v>
      </c>
      <c r="I2940" s="1" t="str">
        <f>IFERROR(__xludf.DUMMYFUNCTION("""COMPUTED_VALUE"""),"นายวิเชฎฐ์ ติรัตนะประคม")</f>
        <v>นายวิเชฎฐ์ ติรัตนะประคม</v>
      </c>
      <c r="J2940" s="3">
        <f>IFERROR(__xludf.DUMMYFUNCTION("""COMPUTED_VALUE"""),295541.0)</f>
        <v>295541</v>
      </c>
      <c r="K2940" s="3" t="str">
        <f>IFERROR(__xludf.DUMMYFUNCTION("""COMPUTED_VALUE"""),"นายรพิพล ศรีมาตย์")</f>
        <v>นายรพิพล ศรีมาตย์</v>
      </c>
      <c r="L2940" s="1" t="str">
        <f>IFERROR(__xludf.DUMMYFUNCTION("""COMPUTED_VALUE"""),"นายรพิพล ศรีมาตย์")</f>
        <v>นายรพิพล ศรีมาตย์</v>
      </c>
      <c r="M2940" s="1" t="str">
        <f>IFERROR(__xludf.DUMMYFUNCTION("""COMPUTED_VALUE"""),"0613966115")</f>
        <v>0613966115</v>
      </c>
      <c r="N2940" s="3">
        <f>IFERROR(__xludf.DUMMYFUNCTION("""COMPUTED_VALUE"""),83817.0)</f>
        <v>83817</v>
      </c>
      <c r="O2940" s="3" t="str">
        <f>IFERROR(__xludf.DUMMYFUNCTION("""COMPUTED_VALUE"""),"ร้านเจริญไพศาล มินิมาร์ท (วาที มินิมาร์ท)")</f>
        <v>ร้านเจริญไพศาล มินิมาร์ท (วาที มินิมาร์ท)</v>
      </c>
      <c r="P2940" s="4">
        <f>IFERROR(__xludf.DUMMYFUNCTION("""COMPUTED_VALUE"""),44651.0)</f>
        <v>44651</v>
      </c>
      <c r="Q2940" s="3" t="str">
        <f>IFERROR(__xludf.DUMMYFUNCTION("""COMPUTED_VALUE"""),"A")</f>
        <v>A</v>
      </c>
      <c r="R2940" s="3" t="str">
        <f>IFERROR(__xludf.DUMMYFUNCTION("""COMPUTED_VALUE"""),"Small Format")</f>
        <v>Small Format</v>
      </c>
      <c r="S2940" s="3" t="str">
        <f>IFERROR(__xludf.DUMMYFUNCTION("""COMPUTED_VALUE"""),"Donjai")</f>
        <v>Donjai</v>
      </c>
      <c r="T2940" s="3" t="str">
        <f>IFERROR(__xludf.DUMMYFUNCTION("""COMPUTED_VALUE"""),"14 K.Wichet T.")</f>
        <v>14 K.Wichet T.</v>
      </c>
      <c r="U2940" s="3" t="str">
        <f>IFERROR(__xludf.DUMMYFUNCTION("""COMPUTED_VALUE"""),"14 K.Wichet T.")</f>
        <v>14 K.Wichet T.</v>
      </c>
      <c r="V2940" s="3" t="str">
        <f>IFERROR(__xludf.DUMMYFUNCTION("""COMPUTED_VALUE"""),"N")</f>
        <v>N</v>
      </c>
      <c r="W2940" s="3"/>
      <c r="X2940" s="3" t="str">
        <f>IFERROR(__xludf.DUMMYFUNCTION("""COMPUTED_VALUE"""),"106/1 หมู่ที่7 ถ.ศรีสุนทร ต.ศรีสุนทร อ.ถลาง จ.ภูเก็ต")</f>
        <v>106/1 หมู่ที่7 ถ.ศรีสุนทร ต.ศรีสุนทร อ.ถลาง จ.ภูเก็ต</v>
      </c>
      <c r="Y2940" s="3"/>
      <c r="Z2940" s="3">
        <f>IFERROR(__xludf.DUMMYFUNCTION("""COMPUTED_VALUE"""),0.0)</f>
        <v>0</v>
      </c>
      <c r="AA2940" s="3">
        <f>IFERROR(__xludf.DUMMYFUNCTION("""COMPUTED_VALUE"""),0.0)</f>
        <v>0</v>
      </c>
      <c r="AB2940" s="3" t="str">
        <f>IFERROR(__xludf.DUMMYFUNCTION("""COMPUTED_VALUE"""),"ภูเก็ต")</f>
        <v>ภูเก็ต</v>
      </c>
      <c r="AC2940" s="3">
        <f>IFERROR(__xludf.DUMMYFUNCTION("""COMPUTED_VALUE"""),0.0)</f>
        <v>0</v>
      </c>
      <c r="AD2940" s="3"/>
      <c r="AE2940" s="3"/>
      <c r="AF2940" s="3" t="str">
        <f>IFERROR(__xludf.DUMMYFUNCTION("""COMPUTED_VALUE"""),"ร้านเจริญไพศาล มินิมาร์ท (วาที มินิมาร์ท)-83817")</f>
        <v>ร้านเจริญไพศาล มินิมาร์ท (วาที มินิมาร์ท)-83817</v>
      </c>
      <c r="AG2940" s="3" t="str">
        <f>IFERROR(__xludf.DUMMYFUNCTION("""COMPUTED_VALUE"""),"ใต้")</f>
        <v>ใต้</v>
      </c>
      <c r="AH2940" s="3" t="str">
        <f>IFERROR(__xludf.DUMMYFUNCTION("""COMPUTED_VALUE"""),"#N/A")</f>
        <v>#N/A</v>
      </c>
      <c r="AI2940" s="3" t="str">
        <f>IFERROR(__xludf.DUMMYFUNCTION("""COMPUTED_VALUE"""),"Out of warranty")</f>
        <v>Out of warranty</v>
      </c>
      <c r="AJ2940" s="3">
        <f>IFERROR(__xludf.DUMMYFUNCTION("""COMPUTED_VALUE"""),46.0)</f>
        <v>46</v>
      </c>
      <c r="AK2940" s="3"/>
      <c r="AL2940" s="3"/>
    </row>
    <row r="2941" ht="15.75" customHeight="1">
      <c r="A2941" s="1" t="str">
        <f>IFERROR(__xludf.DUMMYFUNCTION("""COMPUTED_VALUE"""),"83819")</f>
        <v>83819</v>
      </c>
      <c r="B2941" s="2">
        <f>IFERROR(__xludf.DUMMYFUNCTION("""COMPUTED_VALUE"""),83819.0)</f>
        <v>83819</v>
      </c>
      <c r="C2941" s="3" t="str">
        <f>IFERROR(__xludf.DUMMYFUNCTION("""COMPUTED_VALUE"""),"ร้านผู้ช่วยโก้ พานิชย์ (น้องบอลพาณิชย์)")</f>
        <v>ร้านผู้ช่วยโก้ พานิชย์ (น้องบอลพาณิชย์)</v>
      </c>
      <c r="D2941" s="3" t="str">
        <f>IFERROR(__xludf.DUMMYFUNCTION("""COMPUTED_VALUE"""),"ร้านผู้ช่วยโก้ พานิชย์ (น้องบอลพาณิชย์)")</f>
        <v>ร้านผู้ช่วยโก้ พานิชย์ (น้องบอลพาณิชย์)</v>
      </c>
      <c r="E2941" s="1" t="str">
        <f>IFERROR(__xludf.DUMMYFUNCTION("""COMPUTED_VALUE"""),"Donjai")</f>
        <v>Donjai</v>
      </c>
      <c r="F2941" s="1" t="str">
        <f>IFERROR(__xludf.DUMMYFUNCTION("""COMPUTED_VALUE"""),"2454781")</f>
        <v>2454781</v>
      </c>
      <c r="G2941" s="1" t="str">
        <f>IFERROR(__xludf.DUMMYFUNCTION("""COMPUTED_VALUE"""),"นายฌานกฤช นันทะโคต")</f>
        <v>นายฌานกฤช นันทะโคต</v>
      </c>
      <c r="H2941" s="1" t="str">
        <f>IFERROR(__xludf.DUMMYFUNCTION("""COMPUTED_VALUE"""),"2454781")</f>
        <v>2454781</v>
      </c>
      <c r="I2941" s="1" t="str">
        <f>IFERROR(__xludf.DUMMYFUNCTION("""COMPUTED_VALUE"""),"นายฌานกฤช นันทะโคต")</f>
        <v>นายฌานกฤช นันทะโคต</v>
      </c>
      <c r="J2941" s="3">
        <f>IFERROR(__xludf.DUMMYFUNCTION("""COMPUTED_VALUE"""),295886.0)</f>
        <v>295886</v>
      </c>
      <c r="K2941" s="3" t="str">
        <f>IFERROR(__xludf.DUMMYFUNCTION("""COMPUTED_VALUE"""),"นายจิระพงษ์ โพธิ์นิล")</f>
        <v>นายจิระพงษ์ โพธิ์นิล</v>
      </c>
      <c r="L2941" s="1" t="str">
        <f>IFERROR(__xludf.DUMMYFUNCTION("""COMPUTED_VALUE"""),"นายจิระพงษ์ โพธิ์นิล")</f>
        <v>นายจิระพงษ์ โพธิ์นิล</v>
      </c>
      <c r="M2941" s="1" t="str">
        <f>IFERROR(__xludf.DUMMYFUNCTION("""COMPUTED_VALUE"""),"0933290754")</f>
        <v>0933290754</v>
      </c>
      <c r="N2941" s="3">
        <f>IFERROR(__xludf.DUMMYFUNCTION("""COMPUTED_VALUE"""),83819.0)</f>
        <v>83819</v>
      </c>
      <c r="O2941" s="3" t="str">
        <f>IFERROR(__xludf.DUMMYFUNCTION("""COMPUTED_VALUE"""),"ร้านผู้ช่วยโก้ พานิชย์ (น้องบอลพาณิชย์)")</f>
        <v>ร้านผู้ช่วยโก้ พานิชย์ (น้องบอลพาณิชย์)</v>
      </c>
      <c r="P2941" s="4">
        <f>IFERROR(__xludf.DUMMYFUNCTION("""COMPUTED_VALUE"""),44661.0)</f>
        <v>44661</v>
      </c>
      <c r="Q2941" s="3" t="str">
        <f>IFERROR(__xludf.DUMMYFUNCTION("""COMPUTED_VALUE"""),"A")</f>
        <v>A</v>
      </c>
      <c r="R2941" s="3" t="str">
        <f>IFERROR(__xludf.DUMMYFUNCTION("""COMPUTED_VALUE"""),"Small Format")</f>
        <v>Small Format</v>
      </c>
      <c r="S2941" s="3" t="str">
        <f>IFERROR(__xludf.DUMMYFUNCTION("""COMPUTED_VALUE"""),"Donjai")</f>
        <v>Donjai</v>
      </c>
      <c r="T2941" s="3" t="str">
        <f>IFERROR(__xludf.DUMMYFUNCTION("""COMPUTED_VALUE"""),"05 K.Chanakrit N.")</f>
        <v>05 K.Chanakrit N.</v>
      </c>
      <c r="U2941" s="3" t="str">
        <f>IFERROR(__xludf.DUMMYFUNCTION("""COMPUTED_VALUE"""),"05 K.Chanakrit N.")</f>
        <v>05 K.Chanakrit N.</v>
      </c>
      <c r="V2941" s="3" t="str">
        <f>IFERROR(__xludf.DUMMYFUNCTION("""COMPUTED_VALUE"""),"N")</f>
        <v>N</v>
      </c>
      <c r="W2941" s="3"/>
      <c r="X2941" s="3" t="str">
        <f>IFERROR(__xludf.DUMMYFUNCTION("""COMPUTED_VALUE"""),"22 หมู่ 1 หว้านคำ ราษีไศล ศรีสะเกษ 71110")</f>
        <v>22 หมู่ 1 หว้านคำ ราษีไศล ศรีสะเกษ 71110</v>
      </c>
      <c r="Y2941" s="3"/>
      <c r="Z2941" s="3">
        <f>IFERROR(__xludf.DUMMYFUNCTION("""COMPUTED_VALUE"""),0.0)</f>
        <v>0</v>
      </c>
      <c r="AA2941" s="3">
        <f>IFERROR(__xludf.DUMMYFUNCTION("""COMPUTED_VALUE"""),0.0)</f>
        <v>0</v>
      </c>
      <c r="AB2941" s="3" t="str">
        <f>IFERROR(__xludf.DUMMYFUNCTION("""COMPUTED_VALUE"""),"ศรีสะเกษ")</f>
        <v>ศรีสะเกษ</v>
      </c>
      <c r="AC2941" s="3">
        <f>IFERROR(__xludf.DUMMYFUNCTION("""COMPUTED_VALUE"""),71110.0)</f>
        <v>71110</v>
      </c>
      <c r="AD2941" s="3"/>
      <c r="AE2941" s="3"/>
      <c r="AF2941" s="3" t="str">
        <f>IFERROR(__xludf.DUMMYFUNCTION("""COMPUTED_VALUE"""),"ร้านผู้ช่วยโก้ พานิชย์ (น้องบอลพาณิชย์)-83819")</f>
        <v>ร้านผู้ช่วยโก้ พานิชย์ (น้องบอลพาณิชย์)-83819</v>
      </c>
      <c r="AG2941" s="3" t="str">
        <f>IFERROR(__xludf.DUMMYFUNCTION("""COMPUTED_VALUE"""),"ตะวันออกเฉียงเหนือ")</f>
        <v>ตะวันออกเฉียงเหนือ</v>
      </c>
      <c r="AH2941" s="3" t="str">
        <f>IFERROR(__xludf.DUMMYFUNCTION("""COMPUTED_VALUE"""),"#N/A")</f>
        <v>#N/A</v>
      </c>
      <c r="AI2941" s="3" t="str">
        <f>IFERROR(__xludf.DUMMYFUNCTION("""COMPUTED_VALUE"""),"Out of warranty")</f>
        <v>Out of warranty</v>
      </c>
      <c r="AJ2941" s="3">
        <f>IFERROR(__xludf.DUMMYFUNCTION("""COMPUTED_VALUE"""),46.0)</f>
        <v>46</v>
      </c>
      <c r="AK2941" s="3"/>
      <c r="AL2941" s="3"/>
    </row>
    <row r="2942" ht="15.75" customHeight="1">
      <c r="A2942" s="1" t="str">
        <f>IFERROR(__xludf.DUMMYFUNCTION("""COMPUTED_VALUE"""),"83820")</f>
        <v>83820</v>
      </c>
      <c r="B2942" s="2">
        <f>IFERROR(__xludf.DUMMYFUNCTION("""COMPUTED_VALUE"""),83820.0)</f>
        <v>83820</v>
      </c>
      <c r="C2942" s="3" t="str">
        <f>IFERROR(__xludf.DUMMYFUNCTION("""COMPUTED_VALUE"""),"ร้านแม่บงปันสุข")</f>
        <v>ร้านแม่บงปันสุข</v>
      </c>
      <c r="D2942" s="3" t="str">
        <f>IFERROR(__xludf.DUMMYFUNCTION("""COMPUTED_VALUE"""),"ร้านแม่บงปันสุข")</f>
        <v>ร้านแม่บงปันสุข</v>
      </c>
      <c r="E2942" s="1" t="str">
        <f>IFERROR(__xludf.DUMMYFUNCTION("""COMPUTED_VALUE"""),"Donjai")</f>
        <v>Donjai</v>
      </c>
      <c r="F2942" s="1" t="str">
        <f>IFERROR(__xludf.DUMMYFUNCTION("""COMPUTED_VALUE"""),"2010016")</f>
        <v>2010016</v>
      </c>
      <c r="G2942" s="1" t="str">
        <f>IFERROR(__xludf.DUMMYFUNCTION("""COMPUTED_VALUE"""),"นายตวงธรรม ใหม่ยศ")</f>
        <v>นายตวงธรรม ใหม่ยศ</v>
      </c>
      <c r="H2942" s="1" t="str">
        <f>IFERROR(__xludf.DUMMYFUNCTION("""COMPUTED_VALUE"""),"2010016")</f>
        <v>2010016</v>
      </c>
      <c r="I2942" s="1" t="str">
        <f>IFERROR(__xludf.DUMMYFUNCTION("""COMPUTED_VALUE"""),"นายตวงธรรม ใหม่ยศ")</f>
        <v>นายตวงธรรม ใหม่ยศ</v>
      </c>
      <c r="J2942" s="3">
        <f>IFERROR(__xludf.DUMMYFUNCTION("""COMPUTED_VALUE"""),295886.0)</f>
        <v>295886</v>
      </c>
      <c r="K2942" s="3" t="str">
        <f>IFERROR(__xludf.DUMMYFUNCTION("""COMPUTED_VALUE"""),"นายจิระพงษ์ โพธิ์นิล")</f>
        <v>นายจิระพงษ์ โพธิ์นิล</v>
      </c>
      <c r="L2942" s="1" t="str">
        <f>IFERROR(__xludf.DUMMYFUNCTION("""COMPUTED_VALUE"""),"นายจิระพงษ์ โพธิ์นิล")</f>
        <v>นายจิระพงษ์ โพธิ์นิล</v>
      </c>
      <c r="M2942" s="1" t="str">
        <f>IFERROR(__xludf.DUMMYFUNCTION("""COMPUTED_VALUE"""),"0933290754")</f>
        <v>0933290754</v>
      </c>
      <c r="N2942" s="3">
        <f>IFERROR(__xludf.DUMMYFUNCTION("""COMPUTED_VALUE"""),83820.0)</f>
        <v>83820</v>
      </c>
      <c r="O2942" s="3" t="str">
        <f>IFERROR(__xludf.DUMMYFUNCTION("""COMPUTED_VALUE"""),"ร้านแม่บงปันสุข")</f>
        <v>ร้านแม่บงปันสุข</v>
      </c>
      <c r="P2942" s="4">
        <f>IFERROR(__xludf.DUMMYFUNCTION("""COMPUTED_VALUE"""),44661.0)</f>
        <v>44661</v>
      </c>
      <c r="Q2942" s="3" t="str">
        <f>IFERROR(__xludf.DUMMYFUNCTION("""COMPUTED_VALUE"""),"A")</f>
        <v>A</v>
      </c>
      <c r="R2942" s="3" t="str">
        <f>IFERROR(__xludf.DUMMYFUNCTION("""COMPUTED_VALUE"""),"Small Format")</f>
        <v>Small Format</v>
      </c>
      <c r="S2942" s="3" t="str">
        <f>IFERROR(__xludf.DUMMYFUNCTION("""COMPUTED_VALUE"""),"Donjai")</f>
        <v>Donjai</v>
      </c>
      <c r="T2942" s="3" t="str">
        <f>IFERROR(__xludf.DUMMYFUNCTION("""COMPUTED_VALUE"""),"01 K.Tuangtham M.")</f>
        <v>01 K.Tuangtham M.</v>
      </c>
      <c r="U2942" s="3" t="str">
        <f>IFERROR(__xludf.DUMMYFUNCTION("""COMPUTED_VALUE"""),"01 K.Tuangtham M.")</f>
        <v>01 K.Tuangtham M.</v>
      </c>
      <c r="V2942" s="3" t="str">
        <f>IFERROR(__xludf.DUMMYFUNCTION("""COMPUTED_VALUE"""),"N")</f>
        <v>N</v>
      </c>
      <c r="W2942" s="3"/>
      <c r="X2942" s="3" t="str">
        <f>IFERROR(__xludf.DUMMYFUNCTION("""COMPUTED_VALUE"""),"60 ม.2 ต.แม่ป้าก อ.วังชิ้น จ.แพร่")</f>
        <v>60 ม.2 ต.แม่ป้าก อ.วังชิ้น จ.แพร่</v>
      </c>
      <c r="Y2942" s="3"/>
      <c r="Z2942" s="3" t="str">
        <f>IFERROR(__xludf.DUMMYFUNCTION("""COMPUTED_VALUE"""),"แม่ป้าก")</f>
        <v>แม่ป้าก</v>
      </c>
      <c r="AA2942" s="3" t="str">
        <f>IFERROR(__xludf.DUMMYFUNCTION("""COMPUTED_VALUE"""),"วังชิน")</f>
        <v>วังชิน</v>
      </c>
      <c r="AB2942" s="3" t="str">
        <f>IFERROR(__xludf.DUMMYFUNCTION("""COMPUTED_VALUE"""),"แพร่")</f>
        <v>แพร่</v>
      </c>
      <c r="AC2942" s="3">
        <f>IFERROR(__xludf.DUMMYFUNCTION("""COMPUTED_VALUE"""),0.0)</f>
        <v>0</v>
      </c>
      <c r="AD2942" s="3"/>
      <c r="AE2942" s="3"/>
      <c r="AF2942" s="3" t="str">
        <f>IFERROR(__xludf.DUMMYFUNCTION("""COMPUTED_VALUE"""),"ร้านแม่บงปันสุข-83820")</f>
        <v>ร้านแม่บงปันสุข-83820</v>
      </c>
      <c r="AG2942" s="3" t="str">
        <f>IFERROR(__xludf.DUMMYFUNCTION("""COMPUTED_VALUE"""),"เหนือ")</f>
        <v>เหนือ</v>
      </c>
      <c r="AH2942" s="3" t="str">
        <f>IFERROR(__xludf.DUMMYFUNCTION("""COMPUTED_VALUE"""),"#N/A")</f>
        <v>#N/A</v>
      </c>
      <c r="AI2942" s="3" t="str">
        <f>IFERROR(__xludf.DUMMYFUNCTION("""COMPUTED_VALUE"""),"Out of warranty")</f>
        <v>Out of warranty</v>
      </c>
      <c r="AJ2942" s="3">
        <f>IFERROR(__xludf.DUMMYFUNCTION("""COMPUTED_VALUE"""),46.0)</f>
        <v>46</v>
      </c>
      <c r="AK2942" s="3"/>
      <c r="AL2942" s="3"/>
    </row>
    <row r="2943" ht="15.75" customHeight="1">
      <c r="A2943" s="1" t="str">
        <f>IFERROR(__xludf.DUMMYFUNCTION("""COMPUTED_VALUE"""),"83821")</f>
        <v>83821</v>
      </c>
      <c r="B2943" s="2">
        <f>IFERROR(__xludf.DUMMYFUNCTION("""COMPUTED_VALUE"""),83821.0)</f>
        <v>83821</v>
      </c>
      <c r="C2943" s="3" t="str">
        <f>IFERROR(__xludf.DUMMYFUNCTION("""COMPUTED_VALUE"""),"ร้านALIN MART2")</f>
        <v>ร้านALIN MART2</v>
      </c>
      <c r="D2943" s="3" t="str">
        <f>IFERROR(__xludf.DUMMYFUNCTION("""COMPUTED_VALUE"""),"ร้านALIN MART2")</f>
        <v>ร้านALIN MART2</v>
      </c>
      <c r="E2943" s="1" t="str">
        <f>IFERROR(__xludf.DUMMYFUNCTION("""COMPUTED_VALUE"""),"Donjai")</f>
        <v>Donjai</v>
      </c>
      <c r="F2943" s="1" t="str">
        <f>IFERROR(__xludf.DUMMYFUNCTION("""COMPUTED_VALUE"""),"20470331")</f>
        <v>20470331</v>
      </c>
      <c r="G2943" s="1" t="str">
        <f>IFERROR(__xludf.DUMMYFUNCTION("""COMPUTED_VALUE"""),"นายสมชาย ลักษณะสุวรรณ")</f>
        <v>นายสมชาย ลักษณะสุวรรณ</v>
      </c>
      <c r="H2943" s="1" t="str">
        <f>IFERROR(__xludf.DUMMYFUNCTION("""COMPUTED_VALUE"""),"20470331")</f>
        <v>20470331</v>
      </c>
      <c r="I2943" s="1" t="str">
        <f>IFERROR(__xludf.DUMMYFUNCTION("""COMPUTED_VALUE"""),"นายสมชาย ลักษณะสุวรรณ")</f>
        <v>นายสมชาย ลักษณะสุวรรณ</v>
      </c>
      <c r="J2943" s="3">
        <f>IFERROR(__xludf.DUMMYFUNCTION("""COMPUTED_VALUE"""),295541.0)</f>
        <v>295541</v>
      </c>
      <c r="K2943" s="3" t="str">
        <f>IFERROR(__xludf.DUMMYFUNCTION("""COMPUTED_VALUE"""),"นายรพิพล ศรีมาตย์")</f>
        <v>นายรพิพล ศรีมาตย์</v>
      </c>
      <c r="L2943" s="1" t="str">
        <f>IFERROR(__xludf.DUMMYFUNCTION("""COMPUTED_VALUE"""),"นายรพิพล ศรีมาตย์")</f>
        <v>นายรพิพล ศรีมาตย์</v>
      </c>
      <c r="M2943" s="1" t="str">
        <f>IFERROR(__xludf.DUMMYFUNCTION("""COMPUTED_VALUE"""),"0613966115")</f>
        <v>0613966115</v>
      </c>
      <c r="N2943" s="3">
        <f>IFERROR(__xludf.DUMMYFUNCTION("""COMPUTED_VALUE"""),83821.0)</f>
        <v>83821</v>
      </c>
      <c r="O2943" s="3" t="str">
        <f>IFERROR(__xludf.DUMMYFUNCTION("""COMPUTED_VALUE"""),"ร้านALIN MART2")</f>
        <v>ร้านALIN MART2</v>
      </c>
      <c r="P2943" s="4">
        <f>IFERROR(__xludf.DUMMYFUNCTION("""COMPUTED_VALUE"""),44651.0)</f>
        <v>44651</v>
      </c>
      <c r="Q2943" s="3" t="str">
        <f>IFERROR(__xludf.DUMMYFUNCTION("""COMPUTED_VALUE"""),"I")</f>
        <v>I</v>
      </c>
      <c r="R2943" s="3" t="str">
        <f>IFERROR(__xludf.DUMMYFUNCTION("""COMPUTED_VALUE"""),"Small Format")</f>
        <v>Small Format</v>
      </c>
      <c r="S2943" s="3" t="str">
        <f>IFERROR(__xludf.DUMMYFUNCTION("""COMPUTED_VALUE"""),"Donjai")</f>
        <v>Donjai</v>
      </c>
      <c r="T2943" s="3" t="str">
        <f>IFERROR(__xludf.DUMMYFUNCTION("""COMPUTED_VALUE"""),"15 K.Somchai L")</f>
        <v>15 K.Somchai L</v>
      </c>
      <c r="U2943" s="3" t="str">
        <f>IFERROR(__xludf.DUMMYFUNCTION("""COMPUTED_VALUE"""),"15 K.Somchai L")</f>
        <v>15 K.Somchai L</v>
      </c>
      <c r="V2943" s="3" t="str">
        <f>IFERROR(__xludf.DUMMYFUNCTION("""COMPUTED_VALUE"""),"N")</f>
        <v>N</v>
      </c>
      <c r="W2943" s="3"/>
      <c r="X2943" s="3" t="str">
        <f>IFERROR(__xludf.DUMMYFUNCTION("""COMPUTED_VALUE"""),"45/2 ถนนสูราญราษฎ์ บ้านพรุ หาดใหญ่ สงขลา")</f>
        <v>45/2 ถนนสูราญราษฎ์ บ้านพรุ หาดใหญ่ สงขลา</v>
      </c>
      <c r="Y2943" s="3"/>
      <c r="Z2943" s="3">
        <f>IFERROR(__xludf.DUMMYFUNCTION("""COMPUTED_VALUE"""),0.0)</f>
        <v>0</v>
      </c>
      <c r="AA2943" s="3">
        <f>IFERROR(__xludf.DUMMYFUNCTION("""COMPUTED_VALUE"""),0.0)</f>
        <v>0</v>
      </c>
      <c r="AB2943" s="3" t="str">
        <f>IFERROR(__xludf.DUMMYFUNCTION("""COMPUTED_VALUE"""),"สงขลา")</f>
        <v>สงขลา</v>
      </c>
      <c r="AC2943" s="3">
        <f>IFERROR(__xludf.DUMMYFUNCTION("""COMPUTED_VALUE"""),0.0)</f>
        <v>0</v>
      </c>
      <c r="AD2943" s="3"/>
      <c r="AE2943" s="3"/>
      <c r="AF2943" s="3" t="str">
        <f>IFERROR(__xludf.DUMMYFUNCTION("""COMPUTED_VALUE"""),"ร้านALIN MART2-83821")</f>
        <v>ร้านALIN MART2-83821</v>
      </c>
      <c r="AG2943" s="3" t="str">
        <f>IFERROR(__xludf.DUMMYFUNCTION("""COMPUTED_VALUE"""),"ใต้")</f>
        <v>ใต้</v>
      </c>
      <c r="AH2943" s="3" t="str">
        <f>IFERROR(__xludf.DUMMYFUNCTION("""COMPUTED_VALUE"""),"#N/A")</f>
        <v>#N/A</v>
      </c>
      <c r="AI2943" s="3" t="str">
        <f>IFERROR(__xludf.DUMMYFUNCTION("""COMPUTED_VALUE"""),"Out of warranty")</f>
        <v>Out of warranty</v>
      </c>
      <c r="AJ2943" s="3">
        <f>IFERROR(__xludf.DUMMYFUNCTION("""COMPUTED_VALUE"""),46.0)</f>
        <v>46</v>
      </c>
      <c r="AK2943" s="3"/>
      <c r="AL2943" s="3"/>
    </row>
    <row r="2944" ht="15.75" customHeight="1">
      <c r="A2944" s="1" t="str">
        <f>IFERROR(__xludf.DUMMYFUNCTION("""COMPUTED_VALUE"""),"83822")</f>
        <v>83822</v>
      </c>
      <c r="B2944" s="2">
        <f>IFERROR(__xludf.DUMMYFUNCTION("""COMPUTED_VALUE"""),83822.0)</f>
        <v>83822</v>
      </c>
      <c r="C2944" s="3" t="str">
        <f>IFERROR(__xludf.DUMMYFUNCTION("""COMPUTED_VALUE"""),"ร้านเพลินมินิมาร์ท")</f>
        <v>ร้านเพลินมินิมาร์ท</v>
      </c>
      <c r="D2944" s="3" t="str">
        <f>IFERROR(__xludf.DUMMYFUNCTION("""COMPUTED_VALUE"""),"ร้านเพลินมินิมาร์ท")</f>
        <v>ร้านเพลินมินิมาร์ท</v>
      </c>
      <c r="E2944" s="1" t="str">
        <f>IFERROR(__xludf.DUMMYFUNCTION("""COMPUTED_VALUE"""),"Donjai")</f>
        <v>Donjai</v>
      </c>
      <c r="F2944" s="1" t="str">
        <f>IFERROR(__xludf.DUMMYFUNCTION("""COMPUTED_VALUE"""),"20470331")</f>
        <v>20470331</v>
      </c>
      <c r="G2944" s="1" t="str">
        <f>IFERROR(__xludf.DUMMYFUNCTION("""COMPUTED_VALUE"""),"นายสมชาย ลักษณะสุวรรณ")</f>
        <v>นายสมชาย ลักษณะสุวรรณ</v>
      </c>
      <c r="H2944" s="1" t="str">
        <f>IFERROR(__xludf.DUMMYFUNCTION("""COMPUTED_VALUE"""),"20470331")</f>
        <v>20470331</v>
      </c>
      <c r="I2944" s="1" t="str">
        <f>IFERROR(__xludf.DUMMYFUNCTION("""COMPUTED_VALUE"""),"นายสมชาย ลักษณะสุวรรณ")</f>
        <v>นายสมชาย ลักษณะสุวรรณ</v>
      </c>
      <c r="J2944" s="3">
        <f>IFERROR(__xludf.DUMMYFUNCTION("""COMPUTED_VALUE"""),295541.0)</f>
        <v>295541</v>
      </c>
      <c r="K2944" s="3" t="str">
        <f>IFERROR(__xludf.DUMMYFUNCTION("""COMPUTED_VALUE"""),"นายรพิพล ศรีมาตย์")</f>
        <v>นายรพิพล ศรีมาตย์</v>
      </c>
      <c r="L2944" s="1" t="str">
        <f>IFERROR(__xludf.DUMMYFUNCTION("""COMPUTED_VALUE"""),"นายรพิพล ศรีมาตย์")</f>
        <v>นายรพิพล ศรีมาตย์</v>
      </c>
      <c r="M2944" s="1" t="str">
        <f>IFERROR(__xludf.DUMMYFUNCTION("""COMPUTED_VALUE"""),"0613966115")</f>
        <v>0613966115</v>
      </c>
      <c r="N2944" s="3">
        <f>IFERROR(__xludf.DUMMYFUNCTION("""COMPUTED_VALUE"""),83822.0)</f>
        <v>83822</v>
      </c>
      <c r="O2944" s="3" t="str">
        <f>IFERROR(__xludf.DUMMYFUNCTION("""COMPUTED_VALUE"""),"ร้านเพลินมินิมาร์ท")</f>
        <v>ร้านเพลินมินิมาร์ท</v>
      </c>
      <c r="P2944" s="4">
        <f>IFERROR(__xludf.DUMMYFUNCTION("""COMPUTED_VALUE"""),44655.0)</f>
        <v>44655</v>
      </c>
      <c r="Q2944" s="3" t="str">
        <f>IFERROR(__xludf.DUMMYFUNCTION("""COMPUTED_VALUE"""),"I")</f>
        <v>I</v>
      </c>
      <c r="R2944" s="3" t="str">
        <f>IFERROR(__xludf.DUMMYFUNCTION("""COMPUTED_VALUE"""),"Small Format")</f>
        <v>Small Format</v>
      </c>
      <c r="S2944" s="3" t="str">
        <f>IFERROR(__xludf.DUMMYFUNCTION("""COMPUTED_VALUE"""),"Donjai")</f>
        <v>Donjai</v>
      </c>
      <c r="T2944" s="3" t="str">
        <f>IFERROR(__xludf.DUMMYFUNCTION("""COMPUTED_VALUE"""),"15 K.Somchai L")</f>
        <v>15 K.Somchai L</v>
      </c>
      <c r="U2944" s="3" t="str">
        <f>IFERROR(__xludf.DUMMYFUNCTION("""COMPUTED_VALUE"""),"15 K.Somchai L")</f>
        <v>15 K.Somchai L</v>
      </c>
      <c r="V2944" s="3" t="str">
        <f>IFERROR(__xludf.DUMMYFUNCTION("""COMPUTED_VALUE"""),"N")</f>
        <v>N</v>
      </c>
      <c r="W2944" s="3"/>
      <c r="X2944" s="3" t="str">
        <f>IFERROR(__xludf.DUMMYFUNCTION("""COMPUTED_VALUE"""),"175 หาดใหญ่ หาดใหญ่ สงขลา 20240")</f>
        <v>175 หาดใหญ่ หาดใหญ่ สงขลา 20240</v>
      </c>
      <c r="Y2944" s="3"/>
      <c r="Z2944" s="3">
        <f>IFERROR(__xludf.DUMMYFUNCTION("""COMPUTED_VALUE"""),0.0)</f>
        <v>0</v>
      </c>
      <c r="AA2944" s="3">
        <f>IFERROR(__xludf.DUMMYFUNCTION("""COMPUTED_VALUE"""),0.0)</f>
        <v>0</v>
      </c>
      <c r="AB2944" s="3" t="str">
        <f>IFERROR(__xludf.DUMMYFUNCTION("""COMPUTED_VALUE"""),"สงขลา")</f>
        <v>สงขลา</v>
      </c>
      <c r="AC2944" s="3">
        <f>IFERROR(__xludf.DUMMYFUNCTION("""COMPUTED_VALUE"""),20240.0)</f>
        <v>20240</v>
      </c>
      <c r="AD2944" s="3"/>
      <c r="AE2944" s="3"/>
      <c r="AF2944" s="3" t="str">
        <f>IFERROR(__xludf.DUMMYFUNCTION("""COMPUTED_VALUE"""),"ร้านเพลินมินิมาร์ท-83822")</f>
        <v>ร้านเพลินมินิมาร์ท-83822</v>
      </c>
      <c r="AG2944" s="3" t="str">
        <f>IFERROR(__xludf.DUMMYFUNCTION("""COMPUTED_VALUE"""),"ใต้")</f>
        <v>ใต้</v>
      </c>
      <c r="AH2944" s="3" t="str">
        <f>IFERROR(__xludf.DUMMYFUNCTION("""COMPUTED_VALUE"""),"#N/A")</f>
        <v>#N/A</v>
      </c>
      <c r="AI2944" s="3" t="str">
        <f>IFERROR(__xludf.DUMMYFUNCTION("""COMPUTED_VALUE"""),"Out of warranty")</f>
        <v>Out of warranty</v>
      </c>
      <c r="AJ2944" s="3">
        <f>IFERROR(__xludf.DUMMYFUNCTION("""COMPUTED_VALUE"""),46.0)</f>
        <v>46</v>
      </c>
      <c r="AK2944" s="3"/>
      <c r="AL2944" s="3"/>
    </row>
    <row r="2945" ht="15.75" customHeight="1">
      <c r="A2945" s="1" t="str">
        <f>IFERROR(__xludf.DUMMYFUNCTION("""COMPUTED_VALUE"""),"83825")</f>
        <v>83825</v>
      </c>
      <c r="B2945" s="2">
        <f>IFERROR(__xludf.DUMMYFUNCTION("""COMPUTED_VALUE"""),83825.0)</f>
        <v>83825</v>
      </c>
      <c r="C2945" s="3" t="str">
        <f>IFERROR(__xludf.DUMMYFUNCTION("""COMPUTED_VALUE"""),"ร้านหน่องน้ำส้ม")</f>
        <v>ร้านหน่องน้ำส้ม</v>
      </c>
      <c r="D2945" s="3" t="str">
        <f>IFERROR(__xludf.DUMMYFUNCTION("""COMPUTED_VALUE"""),"ร้านหน่องน้ำส้ม")</f>
        <v>ร้านหน่องน้ำส้ม</v>
      </c>
      <c r="E2945" s="1" t="str">
        <f>IFERROR(__xludf.DUMMYFUNCTION("""COMPUTED_VALUE"""),"Donjai")</f>
        <v>Donjai</v>
      </c>
      <c r="F2945" s="1" t="str">
        <f>IFERROR(__xludf.DUMMYFUNCTION("""COMPUTED_VALUE"""),"015361")</f>
        <v>015361</v>
      </c>
      <c r="G2945" s="1" t="str">
        <f>IFERROR(__xludf.DUMMYFUNCTION("""COMPUTED_VALUE"""),"นายสมบูรณ์ พรหมในเมือง")</f>
        <v>นายสมบูรณ์ พรหมในเมือง</v>
      </c>
      <c r="H2945" s="1" t="str">
        <f>IFERROR(__xludf.DUMMYFUNCTION("""COMPUTED_VALUE"""),"015361")</f>
        <v>015361</v>
      </c>
      <c r="I2945" s="1" t="str">
        <f>IFERROR(__xludf.DUMMYFUNCTION("""COMPUTED_VALUE"""),"นายสมบูรณ์ พรหมในเมือง")</f>
        <v>นายสมบูรณ์ พรหมในเมือง</v>
      </c>
      <c r="J2945" s="3">
        <f>IFERROR(__xludf.DUMMYFUNCTION("""COMPUTED_VALUE"""),295886.0)</f>
        <v>295886</v>
      </c>
      <c r="K2945" s="3" t="str">
        <f>IFERROR(__xludf.DUMMYFUNCTION("""COMPUTED_VALUE"""),"นายจิระพงษ์ โพธิ์นิล")</f>
        <v>นายจิระพงษ์ โพธิ์นิล</v>
      </c>
      <c r="L2945" s="1" t="str">
        <f>IFERROR(__xludf.DUMMYFUNCTION("""COMPUTED_VALUE"""),"นายจิระพงษ์ โพธิ์นิล")</f>
        <v>นายจิระพงษ์ โพธิ์นิล</v>
      </c>
      <c r="M2945" s="1" t="str">
        <f>IFERROR(__xludf.DUMMYFUNCTION("""COMPUTED_VALUE"""),"0933290754")</f>
        <v>0933290754</v>
      </c>
      <c r="N2945" s="3">
        <f>IFERROR(__xludf.DUMMYFUNCTION("""COMPUTED_VALUE"""),83825.0)</f>
        <v>83825</v>
      </c>
      <c r="O2945" s="3" t="str">
        <f>IFERROR(__xludf.DUMMYFUNCTION("""COMPUTED_VALUE"""),"ร้านหน่องน้ำส้ม")</f>
        <v>ร้านหน่องน้ำส้ม</v>
      </c>
      <c r="P2945" s="4">
        <f>IFERROR(__xludf.DUMMYFUNCTION("""COMPUTED_VALUE"""),44660.0)</f>
        <v>44660</v>
      </c>
      <c r="Q2945" s="3" t="str">
        <f>IFERROR(__xludf.DUMMYFUNCTION("""COMPUTED_VALUE"""),"A")</f>
        <v>A</v>
      </c>
      <c r="R2945" s="3" t="str">
        <f>IFERROR(__xludf.DUMMYFUNCTION("""COMPUTED_VALUE"""),"Small Format")</f>
        <v>Small Format</v>
      </c>
      <c r="S2945" s="3" t="str">
        <f>IFERROR(__xludf.DUMMYFUNCTION("""COMPUTED_VALUE"""),"Donjai")</f>
        <v>Donjai</v>
      </c>
      <c r="T2945" s="3" t="str">
        <f>IFERROR(__xludf.DUMMYFUNCTION("""COMPUTED_VALUE"""),"04 K.Somboon P.")</f>
        <v>04 K.Somboon P.</v>
      </c>
      <c r="U2945" s="3" t="str">
        <f>IFERROR(__xludf.DUMMYFUNCTION("""COMPUTED_VALUE"""),"04 K.Somboon P.")</f>
        <v>04 K.Somboon P.</v>
      </c>
      <c r="V2945" s="3" t="str">
        <f>IFERROR(__xludf.DUMMYFUNCTION("""COMPUTED_VALUE"""),"N")</f>
        <v>N</v>
      </c>
      <c r="W2945" s="3"/>
      <c r="X2945" s="3" t="str">
        <f>IFERROR(__xludf.DUMMYFUNCTION("""COMPUTED_VALUE"""),"107 หมู่ 6 ถ.นางรอง-ลำปลายมาศ ชำนิ ชำนิ บุรีรัมย์ 91130")</f>
        <v>107 หมู่ 6 ถ.นางรอง-ลำปลายมาศ ชำนิ ชำนิ บุรีรัมย์ 91130</v>
      </c>
      <c r="Y2945" s="3"/>
      <c r="Z2945" s="3">
        <f>IFERROR(__xludf.DUMMYFUNCTION("""COMPUTED_VALUE"""),0.0)</f>
        <v>0</v>
      </c>
      <c r="AA2945" s="3">
        <f>IFERROR(__xludf.DUMMYFUNCTION("""COMPUTED_VALUE"""),0.0)</f>
        <v>0</v>
      </c>
      <c r="AB2945" s="3" t="str">
        <f>IFERROR(__xludf.DUMMYFUNCTION("""COMPUTED_VALUE"""),"บุรีรัมย์")</f>
        <v>บุรีรัมย์</v>
      </c>
      <c r="AC2945" s="3">
        <f>IFERROR(__xludf.DUMMYFUNCTION("""COMPUTED_VALUE"""),91130.0)</f>
        <v>91130</v>
      </c>
      <c r="AD2945" s="3"/>
      <c r="AE2945" s="3"/>
      <c r="AF2945" s="3" t="str">
        <f>IFERROR(__xludf.DUMMYFUNCTION("""COMPUTED_VALUE"""),"ร้านหน่องน้ำส้ม-83825")</f>
        <v>ร้านหน่องน้ำส้ม-83825</v>
      </c>
      <c r="AG2945" s="3" t="str">
        <f>IFERROR(__xludf.DUMMYFUNCTION("""COMPUTED_VALUE"""),"ตะวันออกเฉียงเหนือ")</f>
        <v>ตะวันออกเฉียงเหนือ</v>
      </c>
      <c r="AH2945" s="3" t="str">
        <f>IFERROR(__xludf.DUMMYFUNCTION("""COMPUTED_VALUE"""),"#N/A")</f>
        <v>#N/A</v>
      </c>
      <c r="AI2945" s="3" t="str">
        <f>IFERROR(__xludf.DUMMYFUNCTION("""COMPUTED_VALUE"""),"Out of warranty")</f>
        <v>Out of warranty</v>
      </c>
      <c r="AJ2945" s="3">
        <f>IFERROR(__xludf.DUMMYFUNCTION("""COMPUTED_VALUE"""),46.0)</f>
        <v>46</v>
      </c>
      <c r="AK2945" s="3"/>
      <c r="AL2945" s="3"/>
    </row>
    <row r="2946" ht="15.75" customHeight="1">
      <c r="A2946" s="1" t="str">
        <f>IFERROR(__xludf.DUMMYFUNCTION("""COMPUTED_VALUE"""),"83826")</f>
        <v>83826</v>
      </c>
      <c r="B2946" s="2">
        <f>IFERROR(__xludf.DUMMYFUNCTION("""COMPUTED_VALUE"""),83826.0)</f>
        <v>83826</v>
      </c>
      <c r="C2946" s="3" t="str">
        <f>IFERROR(__xludf.DUMMYFUNCTION("""COMPUTED_VALUE"""),"ร้านอิฐบล็อค(อิฐบล็อก)")</f>
        <v>ร้านอิฐบล็อค(อิฐบล็อก)</v>
      </c>
      <c r="D2946" s="3" t="str">
        <f>IFERROR(__xludf.DUMMYFUNCTION("""COMPUTED_VALUE"""),"ร้านอิฐบล็อค(อิฐบล็อก)")</f>
        <v>ร้านอิฐบล็อค(อิฐบล็อก)</v>
      </c>
      <c r="E2946" s="1" t="str">
        <f>IFERROR(__xludf.DUMMYFUNCTION("""COMPUTED_VALUE"""),"Donjai")</f>
        <v>Donjai</v>
      </c>
      <c r="F2946" s="1" t="str">
        <f>IFERROR(__xludf.DUMMYFUNCTION("""COMPUTED_VALUE"""),"296608")</f>
        <v>296608</v>
      </c>
      <c r="G2946" s="1" t="str">
        <f>IFERROR(__xludf.DUMMYFUNCTION("""COMPUTED_VALUE"""),"นายภาคภูมิ เพ็ชรนิล")</f>
        <v>นายภาคภูมิ เพ็ชรนิล</v>
      </c>
      <c r="H2946" s="1" t="str">
        <f>IFERROR(__xludf.DUMMYFUNCTION("""COMPUTED_VALUE"""),"296608")</f>
        <v>296608</v>
      </c>
      <c r="I2946" s="1" t="str">
        <f>IFERROR(__xludf.DUMMYFUNCTION("""COMPUTED_VALUE"""),"นายภาคภูมิ เพ็ชรนิล")</f>
        <v>นายภาคภูมิ เพ็ชรนิล</v>
      </c>
      <c r="J2946" s="3">
        <f>IFERROR(__xludf.DUMMYFUNCTION("""COMPUTED_VALUE"""),228031.0)</f>
        <v>228031</v>
      </c>
      <c r="K2946" s="3" t="str">
        <f>IFERROR(__xludf.DUMMYFUNCTION("""COMPUTED_VALUE"""),"นายธนพงษ์ วันหมัด")</f>
        <v>นายธนพงษ์ วันหมัด</v>
      </c>
      <c r="L2946" s="1" t="str">
        <f>IFERROR(__xludf.DUMMYFUNCTION("""COMPUTED_VALUE"""),"นายธนพงษ์ วันหมัด")</f>
        <v>นายธนพงษ์ วันหมัด</v>
      </c>
      <c r="M2946" s="1" t="str">
        <f>IFERROR(__xludf.DUMMYFUNCTION("""COMPUTED_VALUE"""),"0813716913")</f>
        <v>0813716913</v>
      </c>
      <c r="N2946" s="3">
        <f>IFERROR(__xludf.DUMMYFUNCTION("""COMPUTED_VALUE"""),83826.0)</f>
        <v>83826</v>
      </c>
      <c r="O2946" s="3" t="str">
        <f>IFERROR(__xludf.DUMMYFUNCTION("""COMPUTED_VALUE"""),"ร้านอิฐบล็อค(อิฐบล็อก)")</f>
        <v>ร้านอิฐบล็อค(อิฐบล็อก)</v>
      </c>
      <c r="P2946" s="4">
        <f>IFERROR(__xludf.DUMMYFUNCTION("""COMPUTED_VALUE"""),44695.0)</f>
        <v>44695</v>
      </c>
      <c r="Q2946" s="3" t="str">
        <f>IFERROR(__xludf.DUMMYFUNCTION("""COMPUTED_VALUE"""),"I")</f>
        <v>I</v>
      </c>
      <c r="R2946" s="3" t="str">
        <f>IFERROR(__xludf.DUMMYFUNCTION("""COMPUTED_VALUE"""),"Small Format")</f>
        <v>Small Format</v>
      </c>
      <c r="S2946" s="3" t="str">
        <f>IFERROR(__xludf.DUMMYFUNCTION("""COMPUTED_VALUE"""),"Donjai")</f>
        <v>Donjai</v>
      </c>
      <c r="T2946" s="3" t="str">
        <f>IFERROR(__xludf.DUMMYFUNCTION("""COMPUTED_VALUE"""),"10 K.Phakphoom P.")</f>
        <v>10 K.Phakphoom P.</v>
      </c>
      <c r="U2946" s="3" t="str">
        <f>IFERROR(__xludf.DUMMYFUNCTION("""COMPUTED_VALUE"""),"10 K.Phakphoom P.")</f>
        <v>10 K.Phakphoom P.</v>
      </c>
      <c r="V2946" s="3" t="str">
        <f>IFERROR(__xludf.DUMMYFUNCTION("""COMPUTED_VALUE"""),"N")</f>
        <v>N</v>
      </c>
      <c r="W2946" s="3"/>
      <c r="X2946" s="3" t="str">
        <f>IFERROR(__xludf.DUMMYFUNCTION("""COMPUTED_VALUE"""),"95​ ม.3 ต.สามง่าม​ อ.ดอนตูม​ ​จ.นครปฐม")</f>
        <v>95​ ม.3 ต.สามง่าม​ อ.ดอนตูม​ ​จ.นครปฐม</v>
      </c>
      <c r="Y2946" s="3"/>
      <c r="Z2946" s="3">
        <f>IFERROR(__xludf.DUMMYFUNCTION("""COMPUTED_VALUE"""),0.0)</f>
        <v>0</v>
      </c>
      <c r="AA2946" s="3">
        <f>IFERROR(__xludf.DUMMYFUNCTION("""COMPUTED_VALUE"""),0.0)</f>
        <v>0</v>
      </c>
      <c r="AB2946" s="3" t="str">
        <f>IFERROR(__xludf.DUMMYFUNCTION("""COMPUTED_VALUE"""),"นครปฐม")</f>
        <v>นครปฐม</v>
      </c>
      <c r="AC2946" s="3">
        <f>IFERROR(__xludf.DUMMYFUNCTION("""COMPUTED_VALUE"""),0.0)</f>
        <v>0</v>
      </c>
      <c r="AD2946" s="3"/>
      <c r="AE2946" s="3"/>
      <c r="AF2946" s="3" t="str">
        <f>IFERROR(__xludf.DUMMYFUNCTION("""COMPUTED_VALUE"""),"ร้านอิฐบล็อค(อิฐบล็อก)-83826")</f>
        <v>ร้านอิฐบล็อค(อิฐบล็อก)-83826</v>
      </c>
      <c r="AG2946" s="3" t="str">
        <f>IFERROR(__xludf.DUMMYFUNCTION("""COMPUTED_VALUE"""),"กลาง")</f>
        <v>กลาง</v>
      </c>
      <c r="AH2946" s="3" t="str">
        <f>IFERROR(__xludf.DUMMYFUNCTION("""COMPUTED_VALUE"""),"#N/A")</f>
        <v>#N/A</v>
      </c>
      <c r="AI2946" s="3" t="str">
        <f>IFERROR(__xludf.DUMMYFUNCTION("""COMPUTED_VALUE"""),"Out of warranty")</f>
        <v>Out of warranty</v>
      </c>
      <c r="AJ2946" s="3">
        <f>IFERROR(__xludf.DUMMYFUNCTION("""COMPUTED_VALUE"""),45.0)</f>
        <v>45</v>
      </c>
      <c r="AK2946" s="3"/>
      <c r="AL2946" s="3"/>
    </row>
    <row r="2947" ht="15.75" customHeight="1">
      <c r="A2947" s="1" t="str">
        <f>IFERROR(__xludf.DUMMYFUNCTION("""COMPUTED_VALUE"""),"83828")</f>
        <v>83828</v>
      </c>
      <c r="B2947" s="2">
        <f>IFERROR(__xludf.DUMMYFUNCTION("""COMPUTED_VALUE"""),83828.0)</f>
        <v>83828</v>
      </c>
      <c r="C2947" s="3" t="str">
        <f>IFERROR(__xludf.DUMMYFUNCTION("""COMPUTED_VALUE"""),"ร้าน เพ็ญนภา")</f>
        <v>ร้าน เพ็ญนภา</v>
      </c>
      <c r="D2947" s="3" t="str">
        <f>IFERROR(__xludf.DUMMYFUNCTION("""COMPUTED_VALUE"""),"ร้าน เพ็ญนภา")</f>
        <v>ร้าน เพ็ญนภา</v>
      </c>
      <c r="E2947" s="1" t="str">
        <f>IFERROR(__xludf.DUMMYFUNCTION("""COMPUTED_VALUE"""),"Donjai")</f>
        <v>Donjai</v>
      </c>
      <c r="F2947" s="1" t="str">
        <f>IFERROR(__xludf.DUMMYFUNCTION("""COMPUTED_VALUE"""),"2454781")</f>
        <v>2454781</v>
      </c>
      <c r="G2947" s="1" t="str">
        <f>IFERROR(__xludf.DUMMYFUNCTION("""COMPUTED_VALUE"""),"นายฌานกฤช นันทะโคต")</f>
        <v>นายฌานกฤช นันทะโคต</v>
      </c>
      <c r="H2947" s="1" t="str">
        <f>IFERROR(__xludf.DUMMYFUNCTION("""COMPUTED_VALUE"""),"2454781")</f>
        <v>2454781</v>
      </c>
      <c r="I2947" s="1" t="str">
        <f>IFERROR(__xludf.DUMMYFUNCTION("""COMPUTED_VALUE"""),"นายฌานกฤช นันทะโคต")</f>
        <v>นายฌานกฤช นันทะโคต</v>
      </c>
      <c r="J2947" s="3">
        <f>IFERROR(__xludf.DUMMYFUNCTION("""COMPUTED_VALUE"""),295886.0)</f>
        <v>295886</v>
      </c>
      <c r="K2947" s="3" t="str">
        <f>IFERROR(__xludf.DUMMYFUNCTION("""COMPUTED_VALUE"""),"นายจิระพงษ์ โพธิ์นิล")</f>
        <v>นายจิระพงษ์ โพธิ์นิล</v>
      </c>
      <c r="L2947" s="1" t="str">
        <f>IFERROR(__xludf.DUMMYFUNCTION("""COMPUTED_VALUE"""),"นายจิระพงษ์ โพธิ์นิล")</f>
        <v>นายจิระพงษ์ โพธิ์นิล</v>
      </c>
      <c r="M2947" s="1" t="str">
        <f>IFERROR(__xludf.DUMMYFUNCTION("""COMPUTED_VALUE"""),"0933290754")</f>
        <v>0933290754</v>
      </c>
      <c r="N2947" s="3">
        <f>IFERROR(__xludf.DUMMYFUNCTION("""COMPUTED_VALUE"""),83828.0)</f>
        <v>83828</v>
      </c>
      <c r="O2947" s="3" t="str">
        <f>IFERROR(__xludf.DUMMYFUNCTION("""COMPUTED_VALUE"""),"ร้าน เพ็ญนภา")</f>
        <v>ร้าน เพ็ญนภา</v>
      </c>
      <c r="P2947" s="4">
        <f>IFERROR(__xludf.DUMMYFUNCTION("""COMPUTED_VALUE"""),44658.0)</f>
        <v>44658</v>
      </c>
      <c r="Q2947" s="3" t="str">
        <f>IFERROR(__xludf.DUMMYFUNCTION("""COMPUTED_VALUE"""),"A")</f>
        <v>A</v>
      </c>
      <c r="R2947" s="3" t="str">
        <f>IFERROR(__xludf.DUMMYFUNCTION("""COMPUTED_VALUE"""),"Small Format")</f>
        <v>Small Format</v>
      </c>
      <c r="S2947" s="3" t="str">
        <f>IFERROR(__xludf.DUMMYFUNCTION("""COMPUTED_VALUE"""),"Donjai")</f>
        <v>Donjai</v>
      </c>
      <c r="T2947" s="3" t="str">
        <f>IFERROR(__xludf.DUMMYFUNCTION("""COMPUTED_VALUE"""),"05 K.Chanakrit N.")</f>
        <v>05 K.Chanakrit N.</v>
      </c>
      <c r="U2947" s="3" t="str">
        <f>IFERROR(__xludf.DUMMYFUNCTION("""COMPUTED_VALUE"""),"05 K.Chanakrit N.")</f>
        <v>05 K.Chanakrit N.</v>
      </c>
      <c r="V2947" s="3" t="str">
        <f>IFERROR(__xludf.DUMMYFUNCTION("""COMPUTED_VALUE"""),"N")</f>
        <v>N</v>
      </c>
      <c r="W2947" s="3"/>
      <c r="X2947" s="3" t="str">
        <f>IFERROR(__xludf.DUMMYFUNCTION("""COMPUTED_VALUE"""),"26 หมู่ 12 ต.โซง อ.น้ำยืน โซง น้ำยืน อุบลราชธานี 31000")</f>
        <v>26 หมู่ 12 ต.โซง อ.น้ำยืน โซง น้ำยืน อุบลราชธานี 31000</v>
      </c>
      <c r="Y2947" s="3"/>
      <c r="Z2947" s="3">
        <f>IFERROR(__xludf.DUMMYFUNCTION("""COMPUTED_VALUE"""),0.0)</f>
        <v>0</v>
      </c>
      <c r="AA2947" s="3">
        <f>IFERROR(__xludf.DUMMYFUNCTION("""COMPUTED_VALUE"""),0.0)</f>
        <v>0</v>
      </c>
      <c r="AB2947" s="3" t="str">
        <f>IFERROR(__xludf.DUMMYFUNCTION("""COMPUTED_VALUE"""),"อุบลราชธานี")</f>
        <v>อุบลราชธานี</v>
      </c>
      <c r="AC2947" s="3">
        <f>IFERROR(__xludf.DUMMYFUNCTION("""COMPUTED_VALUE"""),31000.0)</f>
        <v>31000</v>
      </c>
      <c r="AD2947" s="3"/>
      <c r="AE2947" s="3"/>
      <c r="AF2947" s="3" t="str">
        <f>IFERROR(__xludf.DUMMYFUNCTION("""COMPUTED_VALUE"""),"ร้าน เพ็ญนภา-83828")</f>
        <v>ร้าน เพ็ญนภา-83828</v>
      </c>
      <c r="AG2947" s="3" t="str">
        <f>IFERROR(__xludf.DUMMYFUNCTION("""COMPUTED_VALUE"""),"ตะวันออกเฉียงเหนือ")</f>
        <v>ตะวันออกเฉียงเหนือ</v>
      </c>
      <c r="AH2947" s="3" t="str">
        <f>IFERROR(__xludf.DUMMYFUNCTION("""COMPUTED_VALUE"""),"#N/A")</f>
        <v>#N/A</v>
      </c>
      <c r="AI2947" s="3" t="str">
        <f>IFERROR(__xludf.DUMMYFUNCTION("""COMPUTED_VALUE"""),"Out of warranty")</f>
        <v>Out of warranty</v>
      </c>
      <c r="AJ2947" s="3">
        <f>IFERROR(__xludf.DUMMYFUNCTION("""COMPUTED_VALUE"""),46.0)</f>
        <v>46</v>
      </c>
      <c r="AK2947" s="3"/>
      <c r="AL2947" s="3"/>
    </row>
    <row r="2948" ht="15.75" customHeight="1">
      <c r="A2948" s="1" t="str">
        <f>IFERROR(__xludf.DUMMYFUNCTION("""COMPUTED_VALUE"""),"83830")</f>
        <v>83830</v>
      </c>
      <c r="B2948" s="2">
        <f>IFERROR(__xludf.DUMMYFUNCTION("""COMPUTED_VALUE"""),83830.0)</f>
        <v>83830</v>
      </c>
      <c r="C2948" s="3" t="str">
        <f>IFERROR(__xludf.DUMMYFUNCTION("""COMPUTED_VALUE"""),"ร้านมะปราง")</f>
        <v>ร้านมะปราง</v>
      </c>
      <c r="D2948" s="3" t="str">
        <f>IFERROR(__xludf.DUMMYFUNCTION("""COMPUTED_VALUE"""),"ร้านมะปราง")</f>
        <v>ร้านมะปราง</v>
      </c>
      <c r="E2948" s="1" t="str">
        <f>IFERROR(__xludf.DUMMYFUNCTION("""COMPUTED_VALUE"""),"Donjai")</f>
        <v>Donjai</v>
      </c>
      <c r="F2948" s="1" t="str">
        <f>IFERROR(__xludf.DUMMYFUNCTION("""COMPUTED_VALUE"""),"296945")</f>
        <v>296945</v>
      </c>
      <c r="G2948" s="1" t="str">
        <f>IFERROR(__xludf.DUMMYFUNCTION("""COMPUTED_VALUE"""),"นายรักพงศ์ พงศ์พันธ์งาม")</f>
        <v>นายรักพงศ์ พงศ์พันธ์งาม</v>
      </c>
      <c r="H2948" s="1" t="str">
        <f>IFERROR(__xludf.DUMMYFUNCTION("""COMPUTED_VALUE"""),"296945")</f>
        <v>296945</v>
      </c>
      <c r="I2948" s="1" t="str">
        <f>IFERROR(__xludf.DUMMYFUNCTION("""COMPUTED_VALUE"""),"นายรักพงศ์ พงศ์พันธ์งาม")</f>
        <v>นายรักพงศ์ พงศ์พันธ์งาม</v>
      </c>
      <c r="J2948" s="3">
        <f>IFERROR(__xludf.DUMMYFUNCTION("""COMPUTED_VALUE"""),228031.0)</f>
        <v>228031</v>
      </c>
      <c r="K2948" s="3" t="str">
        <f>IFERROR(__xludf.DUMMYFUNCTION("""COMPUTED_VALUE"""),"นายธนพงษ์ วันหมัด")</f>
        <v>นายธนพงษ์ วันหมัด</v>
      </c>
      <c r="L2948" s="1" t="str">
        <f>IFERROR(__xludf.DUMMYFUNCTION("""COMPUTED_VALUE"""),"นายธนพงษ์ วันหมัด")</f>
        <v>นายธนพงษ์ วันหมัด</v>
      </c>
      <c r="M2948" s="1" t="str">
        <f>IFERROR(__xludf.DUMMYFUNCTION("""COMPUTED_VALUE"""),"0813716913")</f>
        <v>0813716913</v>
      </c>
      <c r="N2948" s="3">
        <f>IFERROR(__xludf.DUMMYFUNCTION("""COMPUTED_VALUE"""),83830.0)</f>
        <v>83830</v>
      </c>
      <c r="O2948" s="3" t="str">
        <f>IFERROR(__xludf.DUMMYFUNCTION("""COMPUTED_VALUE"""),"ร้านมะปราง")</f>
        <v>ร้านมะปราง</v>
      </c>
      <c r="P2948" s="4">
        <f>IFERROR(__xludf.DUMMYFUNCTION("""COMPUTED_VALUE"""),44662.0)</f>
        <v>44662</v>
      </c>
      <c r="Q2948" s="3" t="str">
        <f>IFERROR(__xludf.DUMMYFUNCTION("""COMPUTED_VALUE"""),"I")</f>
        <v>I</v>
      </c>
      <c r="R2948" s="3" t="str">
        <f>IFERROR(__xludf.DUMMYFUNCTION("""COMPUTED_VALUE"""),"Small Format")</f>
        <v>Small Format</v>
      </c>
      <c r="S2948" s="3" t="str">
        <f>IFERROR(__xludf.DUMMYFUNCTION("""COMPUTED_VALUE"""),"Donjai")</f>
        <v>Donjai</v>
      </c>
      <c r="T2948" s="3">
        <f>IFERROR(__xludf.DUMMYFUNCTION("""COMPUTED_VALUE"""),0.0)</f>
        <v>0</v>
      </c>
      <c r="U2948" s="3">
        <f>IFERROR(__xludf.DUMMYFUNCTION("""COMPUTED_VALUE"""),0.0)</f>
        <v>0</v>
      </c>
      <c r="V2948" s="3" t="str">
        <f>IFERROR(__xludf.DUMMYFUNCTION("""COMPUTED_VALUE"""),"N")</f>
        <v>N</v>
      </c>
      <c r="W2948" s="3"/>
      <c r="X2948" s="3" t="str">
        <f>IFERROR(__xludf.DUMMYFUNCTION("""COMPUTED_VALUE"""),"88/245 หมู่ที่ 9 สุรศักดิ์ ศรีราชา ชลบุรี 24130")</f>
        <v>88/245 หมู่ที่ 9 สุรศักดิ์ ศรีราชา ชลบุรี 24130</v>
      </c>
      <c r="Y2948" s="3"/>
      <c r="Z2948" s="3">
        <f>IFERROR(__xludf.DUMMYFUNCTION("""COMPUTED_VALUE"""),0.0)</f>
        <v>0</v>
      </c>
      <c r="AA2948" s="3">
        <f>IFERROR(__xludf.DUMMYFUNCTION("""COMPUTED_VALUE"""),0.0)</f>
        <v>0</v>
      </c>
      <c r="AB2948" s="3" t="str">
        <f>IFERROR(__xludf.DUMMYFUNCTION("""COMPUTED_VALUE"""),"ชลบุรี")</f>
        <v>ชลบุรี</v>
      </c>
      <c r="AC2948" s="3">
        <f>IFERROR(__xludf.DUMMYFUNCTION("""COMPUTED_VALUE"""),24130.0)</f>
        <v>24130</v>
      </c>
      <c r="AD2948" s="3"/>
      <c r="AE2948" s="3"/>
      <c r="AF2948" s="3" t="str">
        <f>IFERROR(__xludf.DUMMYFUNCTION("""COMPUTED_VALUE"""),"ร้านมะปราง-83830")</f>
        <v>ร้านมะปราง-83830</v>
      </c>
      <c r="AG2948" s="3" t="str">
        <f>IFERROR(__xludf.DUMMYFUNCTION("""COMPUTED_VALUE"""),"ตะวันออก")</f>
        <v>ตะวันออก</v>
      </c>
      <c r="AH2948" s="3" t="str">
        <f>IFERROR(__xludf.DUMMYFUNCTION("""COMPUTED_VALUE"""),"#N/A")</f>
        <v>#N/A</v>
      </c>
      <c r="AI2948" s="3" t="str">
        <f>IFERROR(__xludf.DUMMYFUNCTION("""COMPUTED_VALUE"""),"Out of warranty")</f>
        <v>Out of warranty</v>
      </c>
      <c r="AJ2948" s="3">
        <f>IFERROR(__xludf.DUMMYFUNCTION("""COMPUTED_VALUE"""),46.0)</f>
        <v>46</v>
      </c>
      <c r="AK2948" s="3"/>
      <c r="AL2948" s="3"/>
    </row>
    <row r="2949" ht="15.75" customHeight="1">
      <c r="A2949" s="1" t="str">
        <f>IFERROR(__xludf.DUMMYFUNCTION("""COMPUTED_VALUE"""),"83832")</f>
        <v>83832</v>
      </c>
      <c r="B2949" s="2">
        <f>IFERROR(__xludf.DUMMYFUNCTION("""COMPUTED_VALUE"""),83832.0)</f>
        <v>83832</v>
      </c>
      <c r="C2949" s="3" t="str">
        <f>IFERROR(__xludf.DUMMYFUNCTION("""COMPUTED_VALUE"""),"ร้านจ๊ะยุวดี")</f>
        <v>ร้านจ๊ะยุวดี</v>
      </c>
      <c r="D2949" s="3" t="str">
        <f>IFERROR(__xludf.DUMMYFUNCTION("""COMPUTED_VALUE"""),"ร้านจ๊ะยุวดี")</f>
        <v>ร้านจ๊ะยุวดี</v>
      </c>
      <c r="E2949" s="1" t="str">
        <f>IFERROR(__xludf.DUMMYFUNCTION("""COMPUTED_VALUE"""),"Donjai")</f>
        <v>Donjai</v>
      </c>
      <c r="F2949" s="1" t="str">
        <f>IFERROR(__xludf.DUMMYFUNCTION("""COMPUTED_VALUE"""),"025324")</f>
        <v>025324</v>
      </c>
      <c r="G2949" s="1" t="str">
        <f>IFERROR(__xludf.DUMMYFUNCTION("""COMPUTED_VALUE"""),"นายวิเชฎฐ์ ติรัตนะประคม")</f>
        <v>นายวิเชฎฐ์ ติรัตนะประคม</v>
      </c>
      <c r="H2949" s="1" t="str">
        <f>IFERROR(__xludf.DUMMYFUNCTION("""COMPUTED_VALUE"""),"025324")</f>
        <v>025324</v>
      </c>
      <c r="I2949" s="1" t="str">
        <f>IFERROR(__xludf.DUMMYFUNCTION("""COMPUTED_VALUE"""),"นายวิเชฎฐ์ ติรัตนะประคม")</f>
        <v>นายวิเชฎฐ์ ติรัตนะประคม</v>
      </c>
      <c r="J2949" s="3">
        <f>IFERROR(__xludf.DUMMYFUNCTION("""COMPUTED_VALUE"""),295541.0)</f>
        <v>295541</v>
      </c>
      <c r="K2949" s="3" t="str">
        <f>IFERROR(__xludf.DUMMYFUNCTION("""COMPUTED_VALUE"""),"นายรพิพล ศรีมาตย์")</f>
        <v>นายรพิพล ศรีมาตย์</v>
      </c>
      <c r="L2949" s="1" t="str">
        <f>IFERROR(__xludf.DUMMYFUNCTION("""COMPUTED_VALUE"""),"นายรพิพล ศรีมาตย์")</f>
        <v>นายรพิพล ศรีมาตย์</v>
      </c>
      <c r="M2949" s="1" t="str">
        <f>IFERROR(__xludf.DUMMYFUNCTION("""COMPUTED_VALUE"""),"0613966115")</f>
        <v>0613966115</v>
      </c>
      <c r="N2949" s="3">
        <f>IFERROR(__xludf.DUMMYFUNCTION("""COMPUTED_VALUE"""),83832.0)</f>
        <v>83832</v>
      </c>
      <c r="O2949" s="3" t="str">
        <f>IFERROR(__xludf.DUMMYFUNCTION("""COMPUTED_VALUE"""),"ร้านจ๊ะยุวดี")</f>
        <v>ร้านจ๊ะยุวดี</v>
      </c>
      <c r="P2949" s="4">
        <f>IFERROR(__xludf.DUMMYFUNCTION("""COMPUTED_VALUE"""),44667.0)</f>
        <v>44667</v>
      </c>
      <c r="Q2949" s="3" t="str">
        <f>IFERROR(__xludf.DUMMYFUNCTION("""COMPUTED_VALUE"""),"A")</f>
        <v>A</v>
      </c>
      <c r="R2949" s="3" t="str">
        <f>IFERROR(__xludf.DUMMYFUNCTION("""COMPUTED_VALUE"""),"Small Format")</f>
        <v>Small Format</v>
      </c>
      <c r="S2949" s="3" t="str">
        <f>IFERROR(__xludf.DUMMYFUNCTION("""COMPUTED_VALUE"""),"Donjai")</f>
        <v>Donjai</v>
      </c>
      <c r="T2949" s="3" t="str">
        <f>IFERROR(__xludf.DUMMYFUNCTION("""COMPUTED_VALUE"""),"14 K.Wichet T.")</f>
        <v>14 K.Wichet T.</v>
      </c>
      <c r="U2949" s="3" t="str">
        <f>IFERROR(__xludf.DUMMYFUNCTION("""COMPUTED_VALUE"""),"14 K.Wichet T.")</f>
        <v>14 K.Wichet T.</v>
      </c>
      <c r="V2949" s="3" t="str">
        <f>IFERROR(__xludf.DUMMYFUNCTION("""COMPUTED_VALUE"""),"N")</f>
        <v>N</v>
      </c>
      <c r="W2949" s="3"/>
      <c r="X2949" s="3" t="str">
        <f>IFERROR(__xludf.DUMMYFUNCTION("""COMPUTED_VALUE"""),"20/8 หมู่ที่ 7 บ้านบางจัน หล่อยูง ตะกั่วทุ่ง พังงา 10260")</f>
        <v>20/8 หมู่ที่ 7 บ้านบางจัน หล่อยูง ตะกั่วทุ่ง พังงา 10260</v>
      </c>
      <c r="Y2949" s="3"/>
      <c r="Z2949" s="3">
        <f>IFERROR(__xludf.DUMMYFUNCTION("""COMPUTED_VALUE"""),0.0)</f>
        <v>0</v>
      </c>
      <c r="AA2949" s="3">
        <f>IFERROR(__xludf.DUMMYFUNCTION("""COMPUTED_VALUE"""),0.0)</f>
        <v>0</v>
      </c>
      <c r="AB2949" s="3" t="str">
        <f>IFERROR(__xludf.DUMMYFUNCTION("""COMPUTED_VALUE"""),"พังงา")</f>
        <v>พังงา</v>
      </c>
      <c r="AC2949" s="3">
        <f>IFERROR(__xludf.DUMMYFUNCTION("""COMPUTED_VALUE"""),10260.0)</f>
        <v>10260</v>
      </c>
      <c r="AD2949" s="3"/>
      <c r="AE2949" s="3"/>
      <c r="AF2949" s="3" t="str">
        <f>IFERROR(__xludf.DUMMYFUNCTION("""COMPUTED_VALUE"""),"ร้านจ๊ะยุวดี-83832")</f>
        <v>ร้านจ๊ะยุวดี-83832</v>
      </c>
      <c r="AG2949" s="3" t="str">
        <f>IFERROR(__xludf.DUMMYFUNCTION("""COMPUTED_VALUE"""),"ใต้")</f>
        <v>ใต้</v>
      </c>
      <c r="AH2949" s="3" t="str">
        <f>IFERROR(__xludf.DUMMYFUNCTION("""COMPUTED_VALUE"""),"#N/A")</f>
        <v>#N/A</v>
      </c>
      <c r="AI2949" s="3" t="str">
        <f>IFERROR(__xludf.DUMMYFUNCTION("""COMPUTED_VALUE"""),"Out of warranty")</f>
        <v>Out of warranty</v>
      </c>
      <c r="AJ2949" s="3">
        <f>IFERROR(__xludf.DUMMYFUNCTION("""COMPUTED_VALUE"""),46.0)</f>
        <v>46</v>
      </c>
      <c r="AK2949" s="3"/>
      <c r="AL2949" s="3"/>
    </row>
    <row r="2950" ht="15.75" customHeight="1">
      <c r="A2950" s="1" t="str">
        <f>IFERROR(__xludf.DUMMYFUNCTION("""COMPUTED_VALUE"""),"83833")</f>
        <v>83833</v>
      </c>
      <c r="B2950" s="2">
        <f>IFERROR(__xludf.DUMMYFUNCTION("""COMPUTED_VALUE"""),83833.0)</f>
        <v>83833</v>
      </c>
      <c r="C2950" s="3" t="str">
        <f>IFERROR(__xludf.DUMMYFUNCTION("""COMPUTED_VALUE"""),"ร้านโอ๊ค&amp;เอิร์ธ (โอ๊ต&amp;เอิร์ธ)")</f>
        <v>ร้านโอ๊ค&amp;เอิร์ธ (โอ๊ต&amp;เอิร์ธ)</v>
      </c>
      <c r="D2950" s="3" t="str">
        <f>IFERROR(__xludf.DUMMYFUNCTION("""COMPUTED_VALUE"""),"ร้านโอ๊ค&amp;เอิร์ธ (โอ๊ต&amp;เอิร์ธ)")</f>
        <v>ร้านโอ๊ค&amp;เอิร์ธ (โอ๊ต&amp;เอิร์ธ)</v>
      </c>
      <c r="E2950" s="1" t="str">
        <f>IFERROR(__xludf.DUMMYFUNCTION("""COMPUTED_VALUE"""),"Donjai")</f>
        <v>Donjai</v>
      </c>
      <c r="F2950" s="1" t="str">
        <f>IFERROR(__xludf.DUMMYFUNCTION("""COMPUTED_VALUE"""),"015361")</f>
        <v>015361</v>
      </c>
      <c r="G2950" s="1" t="str">
        <f>IFERROR(__xludf.DUMMYFUNCTION("""COMPUTED_VALUE"""),"นายสมบูรณ์ พรหมในเมือง")</f>
        <v>นายสมบูรณ์ พรหมในเมือง</v>
      </c>
      <c r="H2950" s="1" t="str">
        <f>IFERROR(__xludf.DUMMYFUNCTION("""COMPUTED_VALUE"""),"015361")</f>
        <v>015361</v>
      </c>
      <c r="I2950" s="1" t="str">
        <f>IFERROR(__xludf.DUMMYFUNCTION("""COMPUTED_VALUE"""),"นายสมบูรณ์ พรหมในเมือง")</f>
        <v>นายสมบูรณ์ พรหมในเมือง</v>
      </c>
      <c r="J2950" s="3">
        <f>IFERROR(__xludf.DUMMYFUNCTION("""COMPUTED_VALUE"""),295886.0)</f>
        <v>295886</v>
      </c>
      <c r="K2950" s="3" t="str">
        <f>IFERROR(__xludf.DUMMYFUNCTION("""COMPUTED_VALUE"""),"นายจิระพงษ์ โพธิ์นิล")</f>
        <v>นายจิระพงษ์ โพธิ์นิล</v>
      </c>
      <c r="L2950" s="1" t="str">
        <f>IFERROR(__xludf.DUMMYFUNCTION("""COMPUTED_VALUE"""),"นายจิระพงษ์ โพธิ์นิล")</f>
        <v>นายจิระพงษ์ โพธิ์นิล</v>
      </c>
      <c r="M2950" s="1" t="str">
        <f>IFERROR(__xludf.DUMMYFUNCTION("""COMPUTED_VALUE"""),"0933290754")</f>
        <v>0933290754</v>
      </c>
      <c r="N2950" s="3">
        <f>IFERROR(__xludf.DUMMYFUNCTION("""COMPUTED_VALUE"""),83833.0)</f>
        <v>83833</v>
      </c>
      <c r="O2950" s="3" t="str">
        <f>IFERROR(__xludf.DUMMYFUNCTION("""COMPUTED_VALUE"""),"ร้านโอ๊ค&amp;เอิร์ธ (โอ๊ต&amp;เอิร์ธ)")</f>
        <v>ร้านโอ๊ค&amp;เอิร์ธ (โอ๊ต&amp;เอิร์ธ)</v>
      </c>
      <c r="P2950" s="4">
        <f>IFERROR(__xludf.DUMMYFUNCTION("""COMPUTED_VALUE"""),44697.0)</f>
        <v>44697</v>
      </c>
      <c r="Q2950" s="3" t="str">
        <f>IFERROR(__xludf.DUMMYFUNCTION("""COMPUTED_VALUE"""),"I")</f>
        <v>I</v>
      </c>
      <c r="R2950" s="3" t="str">
        <f>IFERROR(__xludf.DUMMYFUNCTION("""COMPUTED_VALUE"""),"Small Format")</f>
        <v>Small Format</v>
      </c>
      <c r="S2950" s="3" t="str">
        <f>IFERROR(__xludf.DUMMYFUNCTION("""COMPUTED_VALUE"""),"Donjai")</f>
        <v>Donjai</v>
      </c>
      <c r="T2950" s="3" t="str">
        <f>IFERROR(__xludf.DUMMYFUNCTION("""COMPUTED_VALUE"""),"04 K.Somboon P.")</f>
        <v>04 K.Somboon P.</v>
      </c>
      <c r="U2950" s="3" t="str">
        <f>IFERROR(__xludf.DUMMYFUNCTION("""COMPUTED_VALUE"""),"04 K.Somboon P.")</f>
        <v>04 K.Somboon P.</v>
      </c>
      <c r="V2950" s="3" t="str">
        <f>IFERROR(__xludf.DUMMYFUNCTION("""COMPUTED_VALUE"""),"N")</f>
        <v>N</v>
      </c>
      <c r="W2950" s="3"/>
      <c r="X2950" s="3" t="str">
        <f>IFERROR(__xludf.DUMMYFUNCTION("""COMPUTED_VALUE"""),"บ้านเลขที่22 หมู่12 ตำบลคะเคียน อำเภอด่านขุนทด นครราชสีมา 24000")</f>
        <v>บ้านเลขที่22 หมู่12 ตำบลคะเคียน อำเภอด่านขุนทด นครราชสีมา 24000</v>
      </c>
      <c r="Y2950" s="3"/>
      <c r="Z2950" s="3">
        <f>IFERROR(__xludf.DUMMYFUNCTION("""COMPUTED_VALUE"""),0.0)</f>
        <v>0</v>
      </c>
      <c r="AA2950" s="3">
        <f>IFERROR(__xludf.DUMMYFUNCTION("""COMPUTED_VALUE"""),0.0)</f>
        <v>0</v>
      </c>
      <c r="AB2950" s="3" t="str">
        <f>IFERROR(__xludf.DUMMYFUNCTION("""COMPUTED_VALUE"""),"นครราชสีมา")</f>
        <v>นครราชสีมา</v>
      </c>
      <c r="AC2950" s="3">
        <f>IFERROR(__xludf.DUMMYFUNCTION("""COMPUTED_VALUE"""),24000.0)</f>
        <v>24000</v>
      </c>
      <c r="AD2950" s="3"/>
      <c r="AE2950" s="3"/>
      <c r="AF2950" s="3" t="str">
        <f>IFERROR(__xludf.DUMMYFUNCTION("""COMPUTED_VALUE"""),"ร้านโอ๊ค&amp;เอิร์ธ (โอ๊ต&amp;เอิร์ธ)-83833")</f>
        <v>ร้านโอ๊ค&amp;เอิร์ธ (โอ๊ต&amp;เอิร์ธ)-83833</v>
      </c>
      <c r="AG2950" s="3" t="str">
        <f>IFERROR(__xludf.DUMMYFUNCTION("""COMPUTED_VALUE"""),"ตะวันออกเฉียงเหนือ")</f>
        <v>ตะวันออกเฉียงเหนือ</v>
      </c>
      <c r="AH2950" s="3" t="str">
        <f>IFERROR(__xludf.DUMMYFUNCTION("""COMPUTED_VALUE"""),"#N/A")</f>
        <v>#N/A</v>
      </c>
      <c r="AI2950" s="3" t="str">
        <f>IFERROR(__xludf.DUMMYFUNCTION("""COMPUTED_VALUE"""),"Out of warranty")</f>
        <v>Out of warranty</v>
      </c>
      <c r="AJ2950" s="3">
        <f>IFERROR(__xludf.DUMMYFUNCTION("""COMPUTED_VALUE"""),45.0)</f>
        <v>45</v>
      </c>
      <c r="AK2950" s="3"/>
      <c r="AL2950" s="3"/>
    </row>
    <row r="2951" ht="15.75" customHeight="1">
      <c r="A2951" s="1" t="str">
        <f>IFERROR(__xludf.DUMMYFUNCTION("""COMPUTED_VALUE"""),"83834")</f>
        <v>83834</v>
      </c>
      <c r="B2951" s="2">
        <f>IFERROR(__xludf.DUMMYFUNCTION("""COMPUTED_VALUE"""),83834.0)</f>
        <v>83834</v>
      </c>
      <c r="C2951" s="3" t="str">
        <f>IFERROR(__xludf.DUMMYFUNCTION("""COMPUTED_VALUE"""),"ร้านจ่าชาติ เฮง เฮง มินิมาร์ท (จ่าชาติ)")</f>
        <v>ร้านจ่าชาติ เฮง เฮง มินิมาร์ท (จ่าชาติ)</v>
      </c>
      <c r="D2951" s="3" t="str">
        <f>IFERROR(__xludf.DUMMYFUNCTION("""COMPUTED_VALUE"""),"ร้านจ่าชาติ เฮง เฮง มินิมาร์ท (จ่าชาติ)")</f>
        <v>ร้านจ่าชาติ เฮง เฮง มินิมาร์ท (จ่าชาติ)</v>
      </c>
      <c r="E2951" s="1" t="str">
        <f>IFERROR(__xludf.DUMMYFUNCTION("""COMPUTED_VALUE"""),"Donjai")</f>
        <v>Donjai</v>
      </c>
      <c r="F2951" s="1" t="str">
        <f>IFERROR(__xludf.DUMMYFUNCTION("""COMPUTED_VALUE"""),"015361")</f>
        <v>015361</v>
      </c>
      <c r="G2951" s="1" t="str">
        <f>IFERROR(__xludf.DUMMYFUNCTION("""COMPUTED_VALUE"""),"นายสมบูรณ์ พรหมในเมือง")</f>
        <v>นายสมบูรณ์ พรหมในเมือง</v>
      </c>
      <c r="H2951" s="1" t="str">
        <f>IFERROR(__xludf.DUMMYFUNCTION("""COMPUTED_VALUE"""),"015361")</f>
        <v>015361</v>
      </c>
      <c r="I2951" s="1" t="str">
        <f>IFERROR(__xludf.DUMMYFUNCTION("""COMPUTED_VALUE"""),"นายสมบูรณ์ พรหมในเมือง")</f>
        <v>นายสมบูรณ์ พรหมในเมือง</v>
      </c>
      <c r="J2951" s="3">
        <f>IFERROR(__xludf.DUMMYFUNCTION("""COMPUTED_VALUE"""),295886.0)</f>
        <v>295886</v>
      </c>
      <c r="K2951" s="3" t="str">
        <f>IFERROR(__xludf.DUMMYFUNCTION("""COMPUTED_VALUE"""),"นายจิระพงษ์ โพธิ์นิล")</f>
        <v>นายจิระพงษ์ โพธิ์นิล</v>
      </c>
      <c r="L2951" s="1" t="str">
        <f>IFERROR(__xludf.DUMMYFUNCTION("""COMPUTED_VALUE"""),"นายจิระพงษ์ โพธิ์นิล")</f>
        <v>นายจิระพงษ์ โพธิ์นิล</v>
      </c>
      <c r="M2951" s="1" t="str">
        <f>IFERROR(__xludf.DUMMYFUNCTION("""COMPUTED_VALUE"""),"0933290754")</f>
        <v>0933290754</v>
      </c>
      <c r="N2951" s="3">
        <f>IFERROR(__xludf.DUMMYFUNCTION("""COMPUTED_VALUE"""),83834.0)</f>
        <v>83834</v>
      </c>
      <c r="O2951" s="3" t="str">
        <f>IFERROR(__xludf.DUMMYFUNCTION("""COMPUTED_VALUE"""),"ร้านจ่าชาติ เฮง เฮง มินิมาร์ท (จ่าชาติ)")</f>
        <v>ร้านจ่าชาติ เฮง เฮง มินิมาร์ท (จ่าชาติ)</v>
      </c>
      <c r="P2951" s="4">
        <f>IFERROR(__xludf.DUMMYFUNCTION("""COMPUTED_VALUE"""),44685.0)</f>
        <v>44685</v>
      </c>
      <c r="Q2951" s="3" t="str">
        <f>IFERROR(__xludf.DUMMYFUNCTION("""COMPUTED_VALUE"""),"A")</f>
        <v>A</v>
      </c>
      <c r="R2951" s="3" t="str">
        <f>IFERROR(__xludf.DUMMYFUNCTION("""COMPUTED_VALUE"""),"Small Format")</f>
        <v>Small Format</v>
      </c>
      <c r="S2951" s="3" t="str">
        <f>IFERROR(__xludf.DUMMYFUNCTION("""COMPUTED_VALUE"""),"Donjai")</f>
        <v>Donjai</v>
      </c>
      <c r="T2951" s="3" t="str">
        <f>IFERROR(__xludf.DUMMYFUNCTION("""COMPUTED_VALUE"""),"04 K.Somboon P.")</f>
        <v>04 K.Somboon P.</v>
      </c>
      <c r="U2951" s="3" t="str">
        <f>IFERROR(__xludf.DUMMYFUNCTION("""COMPUTED_VALUE"""),"04 K.Somboon P.")</f>
        <v>04 K.Somboon P.</v>
      </c>
      <c r="V2951" s="3" t="str">
        <f>IFERROR(__xludf.DUMMYFUNCTION("""COMPUTED_VALUE"""),"N")</f>
        <v>N</v>
      </c>
      <c r="W2951" s="3"/>
      <c r="X2951" s="3" t="str">
        <f>IFERROR(__xludf.DUMMYFUNCTION("""COMPUTED_VALUE"""),"บ้านเพชร อ.บำเหน็จณรงค์ จ.ชัยภูมิ")</f>
        <v>บ้านเพชร อ.บำเหน็จณรงค์ จ.ชัยภูมิ</v>
      </c>
      <c r="Y2951" s="3"/>
      <c r="Z2951" s="3">
        <f>IFERROR(__xludf.DUMMYFUNCTION("""COMPUTED_VALUE"""),0.0)</f>
        <v>0</v>
      </c>
      <c r="AA2951" s="3">
        <f>IFERROR(__xludf.DUMMYFUNCTION("""COMPUTED_VALUE"""),0.0)</f>
        <v>0</v>
      </c>
      <c r="AB2951" s="3" t="str">
        <f>IFERROR(__xludf.DUMMYFUNCTION("""COMPUTED_VALUE"""),"ชัยภูมิ")</f>
        <v>ชัยภูมิ</v>
      </c>
      <c r="AC2951" s="3">
        <f>IFERROR(__xludf.DUMMYFUNCTION("""COMPUTED_VALUE"""),0.0)</f>
        <v>0</v>
      </c>
      <c r="AD2951" s="3"/>
      <c r="AE2951" s="3"/>
      <c r="AF2951" s="3" t="str">
        <f>IFERROR(__xludf.DUMMYFUNCTION("""COMPUTED_VALUE"""),"ร้านจ่าชาติ เฮง เฮง มินิมาร์ท (จ่าชาติ)-83834")</f>
        <v>ร้านจ่าชาติ เฮง เฮง มินิมาร์ท (จ่าชาติ)-83834</v>
      </c>
      <c r="AG2951" s="3" t="str">
        <f>IFERROR(__xludf.DUMMYFUNCTION("""COMPUTED_VALUE"""),"ตะวันออกเฉียงเหนือ")</f>
        <v>ตะวันออกเฉียงเหนือ</v>
      </c>
      <c r="AH2951" s="3" t="str">
        <f>IFERROR(__xludf.DUMMYFUNCTION("""COMPUTED_VALUE"""),"#N/A")</f>
        <v>#N/A</v>
      </c>
      <c r="AI2951" s="3" t="str">
        <f>IFERROR(__xludf.DUMMYFUNCTION("""COMPUTED_VALUE"""),"Out of warranty")</f>
        <v>Out of warranty</v>
      </c>
      <c r="AJ2951" s="3">
        <f>IFERROR(__xludf.DUMMYFUNCTION("""COMPUTED_VALUE"""),45.0)</f>
        <v>45</v>
      </c>
      <c r="AK2951" s="3"/>
      <c r="AL2951" s="3"/>
    </row>
    <row r="2952" ht="15.75" customHeight="1">
      <c r="A2952" s="1" t="str">
        <f>IFERROR(__xludf.DUMMYFUNCTION("""COMPUTED_VALUE"""),"83835")</f>
        <v>83835</v>
      </c>
      <c r="B2952" s="2">
        <f>IFERROR(__xludf.DUMMYFUNCTION("""COMPUTED_VALUE"""),83835.0)</f>
        <v>83835</v>
      </c>
      <c r="C2952" s="3" t="str">
        <f>IFERROR(__xludf.DUMMYFUNCTION("""COMPUTED_VALUE"""),"ร้านอารีย์พานิช")</f>
        <v>ร้านอารีย์พานิช</v>
      </c>
      <c r="D2952" s="3" t="str">
        <f>IFERROR(__xludf.DUMMYFUNCTION("""COMPUTED_VALUE"""),"ร้านอารีย์พานิช")</f>
        <v>ร้านอารีย์พานิช</v>
      </c>
      <c r="E2952" s="1" t="str">
        <f>IFERROR(__xludf.DUMMYFUNCTION("""COMPUTED_VALUE"""),"Donjai")</f>
        <v>Donjai</v>
      </c>
      <c r="F2952" s="1" t="str">
        <f>IFERROR(__xludf.DUMMYFUNCTION("""COMPUTED_VALUE"""),"2010016")</f>
        <v>2010016</v>
      </c>
      <c r="G2952" s="1" t="str">
        <f>IFERROR(__xludf.DUMMYFUNCTION("""COMPUTED_VALUE"""),"นายตวงธรรม ใหม่ยศ")</f>
        <v>นายตวงธรรม ใหม่ยศ</v>
      </c>
      <c r="H2952" s="1" t="str">
        <f>IFERROR(__xludf.DUMMYFUNCTION("""COMPUTED_VALUE"""),"2010016")</f>
        <v>2010016</v>
      </c>
      <c r="I2952" s="1" t="str">
        <f>IFERROR(__xludf.DUMMYFUNCTION("""COMPUTED_VALUE"""),"นายตวงธรรม ใหม่ยศ")</f>
        <v>นายตวงธรรม ใหม่ยศ</v>
      </c>
      <c r="J2952" s="3">
        <f>IFERROR(__xludf.DUMMYFUNCTION("""COMPUTED_VALUE"""),295886.0)</f>
        <v>295886</v>
      </c>
      <c r="K2952" s="3" t="str">
        <f>IFERROR(__xludf.DUMMYFUNCTION("""COMPUTED_VALUE"""),"นายจิระพงษ์ โพธิ์นิล")</f>
        <v>นายจิระพงษ์ โพธิ์นิล</v>
      </c>
      <c r="L2952" s="1" t="str">
        <f>IFERROR(__xludf.DUMMYFUNCTION("""COMPUTED_VALUE"""),"นายจิระพงษ์ โพธิ์นิล")</f>
        <v>นายจิระพงษ์ โพธิ์นิล</v>
      </c>
      <c r="M2952" s="1" t="str">
        <f>IFERROR(__xludf.DUMMYFUNCTION("""COMPUTED_VALUE"""),"0933290754")</f>
        <v>0933290754</v>
      </c>
      <c r="N2952" s="3">
        <f>IFERROR(__xludf.DUMMYFUNCTION("""COMPUTED_VALUE"""),83835.0)</f>
        <v>83835</v>
      </c>
      <c r="O2952" s="3" t="str">
        <f>IFERROR(__xludf.DUMMYFUNCTION("""COMPUTED_VALUE"""),"ร้านอารีย์พานิช")</f>
        <v>ร้านอารีย์พานิช</v>
      </c>
      <c r="P2952" s="4">
        <f>IFERROR(__xludf.DUMMYFUNCTION("""COMPUTED_VALUE"""),44994.0)</f>
        <v>44994</v>
      </c>
      <c r="Q2952" s="3" t="str">
        <f>IFERROR(__xludf.DUMMYFUNCTION("""COMPUTED_VALUE"""),"A")</f>
        <v>A</v>
      </c>
      <c r="R2952" s="3" t="str">
        <f>IFERROR(__xludf.DUMMYFUNCTION("""COMPUTED_VALUE"""),"Small Format")</f>
        <v>Small Format</v>
      </c>
      <c r="S2952" s="3" t="str">
        <f>IFERROR(__xludf.DUMMYFUNCTION("""COMPUTED_VALUE"""),"Donjai")</f>
        <v>Donjai</v>
      </c>
      <c r="T2952" s="3" t="str">
        <f>IFERROR(__xludf.DUMMYFUNCTION("""COMPUTED_VALUE"""),"01 K.Tuangtham M.")</f>
        <v>01 K.Tuangtham M.</v>
      </c>
      <c r="U2952" s="3" t="str">
        <f>IFERROR(__xludf.DUMMYFUNCTION("""COMPUTED_VALUE"""),"01 K.Tuangtham M.")</f>
        <v>01 K.Tuangtham M.</v>
      </c>
      <c r="V2952" s="3" t="str">
        <f>IFERROR(__xludf.DUMMYFUNCTION("""COMPUTED_VALUE"""),"N")</f>
        <v>N</v>
      </c>
      <c r="W2952" s="3"/>
      <c r="X2952" s="3" t="str">
        <f>IFERROR(__xludf.DUMMYFUNCTION("""COMPUTED_VALUE"""),"77 ม.11 ต.หนองหาร อ.สันทราย จ.เชียงใหม่")</f>
        <v>77 ม.11 ต.หนองหาร อ.สันทราย จ.เชียงใหม่</v>
      </c>
      <c r="Y2952" s="3"/>
      <c r="Z2952" s="3"/>
      <c r="AA2952" s="3"/>
      <c r="AB2952" s="3"/>
      <c r="AC2952" s="3"/>
      <c r="AD2952" s="3"/>
      <c r="AE2952" s="3"/>
      <c r="AF2952" s="3" t="str">
        <f>IFERROR(__xludf.DUMMYFUNCTION("""COMPUTED_VALUE"""),"ร้านอารีย์พานิช-83835")</f>
        <v>ร้านอารีย์พานิช-83835</v>
      </c>
      <c r="AG2952" s="3">
        <f>IFERROR(__xludf.DUMMYFUNCTION("""COMPUTED_VALUE"""),0.0)</f>
        <v>0</v>
      </c>
      <c r="AH2952" s="3" t="str">
        <f>IFERROR(__xludf.DUMMYFUNCTION("""COMPUTED_VALUE"""),"#N/A")</f>
        <v>#N/A</v>
      </c>
      <c r="AI2952" s="3" t="str">
        <f>IFERROR(__xludf.DUMMYFUNCTION("""COMPUTED_VALUE"""),"Out of warranty")</f>
        <v>Out of warranty</v>
      </c>
      <c r="AJ2952" s="3">
        <f>IFERROR(__xludf.DUMMYFUNCTION("""COMPUTED_VALUE"""),35.0)</f>
        <v>35</v>
      </c>
      <c r="AK2952" s="3"/>
      <c r="AL2952" s="3"/>
    </row>
    <row r="2953" ht="15.75" customHeight="1">
      <c r="A2953" s="1" t="str">
        <f>IFERROR(__xludf.DUMMYFUNCTION("""COMPUTED_VALUE"""),"83836")</f>
        <v>83836</v>
      </c>
      <c r="B2953" s="2">
        <f>IFERROR(__xludf.DUMMYFUNCTION("""COMPUTED_VALUE"""),83836.0)</f>
        <v>83836</v>
      </c>
      <c r="C2953" s="3" t="str">
        <f>IFERROR(__xludf.DUMMYFUNCTION("""COMPUTED_VALUE"""),"ร้านฟีซูนการค้า")</f>
        <v>ร้านฟีซูนการค้า</v>
      </c>
      <c r="D2953" s="3" t="str">
        <f>IFERROR(__xludf.DUMMYFUNCTION("""COMPUTED_VALUE"""),"ร้านฟีซูนการค้า")</f>
        <v>ร้านฟีซูนการค้า</v>
      </c>
      <c r="E2953" s="1" t="str">
        <f>IFERROR(__xludf.DUMMYFUNCTION("""COMPUTED_VALUE"""),"Donjai")</f>
        <v>Donjai</v>
      </c>
      <c r="F2953" s="1" t="str">
        <f>IFERROR(__xludf.DUMMYFUNCTION("""COMPUTED_VALUE"""),"20470331")</f>
        <v>20470331</v>
      </c>
      <c r="G2953" s="1" t="str">
        <f>IFERROR(__xludf.DUMMYFUNCTION("""COMPUTED_VALUE"""),"นายสมชาย ลักษณะสุวรรณ")</f>
        <v>นายสมชาย ลักษณะสุวรรณ</v>
      </c>
      <c r="H2953" s="1" t="str">
        <f>IFERROR(__xludf.DUMMYFUNCTION("""COMPUTED_VALUE"""),"20470331")</f>
        <v>20470331</v>
      </c>
      <c r="I2953" s="1" t="str">
        <f>IFERROR(__xludf.DUMMYFUNCTION("""COMPUTED_VALUE"""),"นายสมชาย ลักษณะสุวรรณ")</f>
        <v>นายสมชาย ลักษณะสุวรรณ</v>
      </c>
      <c r="J2953" s="3">
        <f>IFERROR(__xludf.DUMMYFUNCTION("""COMPUTED_VALUE"""),295541.0)</f>
        <v>295541</v>
      </c>
      <c r="K2953" s="3" t="str">
        <f>IFERROR(__xludf.DUMMYFUNCTION("""COMPUTED_VALUE"""),"นายรพิพล ศรีมาตย์")</f>
        <v>นายรพิพล ศรีมาตย์</v>
      </c>
      <c r="L2953" s="1" t="str">
        <f>IFERROR(__xludf.DUMMYFUNCTION("""COMPUTED_VALUE"""),"นายรพิพล ศรีมาตย์")</f>
        <v>นายรพิพล ศรีมาตย์</v>
      </c>
      <c r="M2953" s="1" t="str">
        <f>IFERROR(__xludf.DUMMYFUNCTION("""COMPUTED_VALUE"""),"0613966115")</f>
        <v>0613966115</v>
      </c>
      <c r="N2953" s="3">
        <f>IFERROR(__xludf.DUMMYFUNCTION("""COMPUTED_VALUE"""),83836.0)</f>
        <v>83836</v>
      </c>
      <c r="O2953" s="3" t="str">
        <f>IFERROR(__xludf.DUMMYFUNCTION("""COMPUTED_VALUE"""),"ร้านฟีซูนการค้า")</f>
        <v>ร้านฟีซูนการค้า</v>
      </c>
      <c r="P2953" s="4">
        <f>IFERROR(__xludf.DUMMYFUNCTION("""COMPUTED_VALUE"""),44662.0)</f>
        <v>44662</v>
      </c>
      <c r="Q2953" s="3" t="str">
        <f>IFERROR(__xludf.DUMMYFUNCTION("""COMPUTED_VALUE"""),"A")</f>
        <v>A</v>
      </c>
      <c r="R2953" s="3" t="str">
        <f>IFERROR(__xludf.DUMMYFUNCTION("""COMPUTED_VALUE"""),"Small Format")</f>
        <v>Small Format</v>
      </c>
      <c r="S2953" s="3" t="str">
        <f>IFERROR(__xludf.DUMMYFUNCTION("""COMPUTED_VALUE"""),"Donjai")</f>
        <v>Donjai</v>
      </c>
      <c r="T2953" s="3" t="str">
        <f>IFERROR(__xludf.DUMMYFUNCTION("""COMPUTED_VALUE"""),"15 K.Somchai L")</f>
        <v>15 K.Somchai L</v>
      </c>
      <c r="U2953" s="3" t="str">
        <f>IFERROR(__xludf.DUMMYFUNCTION("""COMPUTED_VALUE"""),"15 K.Somchai L")</f>
        <v>15 K.Somchai L</v>
      </c>
      <c r="V2953" s="3" t="str">
        <f>IFERROR(__xludf.DUMMYFUNCTION("""COMPUTED_VALUE"""),"N")</f>
        <v>N</v>
      </c>
      <c r="W2953" s="3"/>
      <c r="X2953" s="3" t="str">
        <f>IFERROR(__xludf.DUMMYFUNCTION("""COMPUTED_VALUE"""),"53/2 ม.7 แป้น สายบุรี ปัตตานี 51110")</f>
        <v>53/2 ม.7 แป้น สายบุรี ปัตตานี 51110</v>
      </c>
      <c r="Y2953" s="3"/>
      <c r="Z2953" s="3">
        <f>IFERROR(__xludf.DUMMYFUNCTION("""COMPUTED_VALUE"""),0.0)</f>
        <v>0</v>
      </c>
      <c r="AA2953" s="3">
        <f>IFERROR(__xludf.DUMMYFUNCTION("""COMPUTED_VALUE"""),0.0)</f>
        <v>0</v>
      </c>
      <c r="AB2953" s="3" t="str">
        <f>IFERROR(__xludf.DUMMYFUNCTION("""COMPUTED_VALUE"""),"ปัตตานี")</f>
        <v>ปัตตานี</v>
      </c>
      <c r="AC2953" s="3">
        <f>IFERROR(__xludf.DUMMYFUNCTION("""COMPUTED_VALUE"""),51110.0)</f>
        <v>51110</v>
      </c>
      <c r="AD2953" s="3"/>
      <c r="AE2953" s="3"/>
      <c r="AF2953" s="3" t="str">
        <f>IFERROR(__xludf.DUMMYFUNCTION("""COMPUTED_VALUE"""),"ร้านฟีซูนการค้า-83836")</f>
        <v>ร้านฟีซูนการค้า-83836</v>
      </c>
      <c r="AG2953" s="3" t="str">
        <f>IFERROR(__xludf.DUMMYFUNCTION("""COMPUTED_VALUE"""),"ใต้")</f>
        <v>ใต้</v>
      </c>
      <c r="AH2953" s="3" t="str">
        <f>IFERROR(__xludf.DUMMYFUNCTION("""COMPUTED_VALUE"""),"#N/A")</f>
        <v>#N/A</v>
      </c>
      <c r="AI2953" s="3" t="str">
        <f>IFERROR(__xludf.DUMMYFUNCTION("""COMPUTED_VALUE"""),"Out of warranty")</f>
        <v>Out of warranty</v>
      </c>
      <c r="AJ2953" s="3">
        <f>IFERROR(__xludf.DUMMYFUNCTION("""COMPUTED_VALUE"""),46.0)</f>
        <v>46</v>
      </c>
      <c r="AK2953" s="3"/>
      <c r="AL2953" s="3"/>
    </row>
    <row r="2954" ht="15.75" customHeight="1">
      <c r="A2954" s="1" t="str">
        <f>IFERROR(__xludf.DUMMYFUNCTION("""COMPUTED_VALUE"""),"83837")</f>
        <v>83837</v>
      </c>
      <c r="B2954" s="2">
        <f>IFERROR(__xludf.DUMMYFUNCTION("""COMPUTED_VALUE"""),83837.0)</f>
        <v>83837</v>
      </c>
      <c r="C2954" s="3" t="str">
        <f>IFERROR(__xludf.DUMMYFUNCTION("""COMPUTED_VALUE"""),"ร้านพี่เจี๊ยบ หนองรัก (ร้านแจ๋วโฟน)")</f>
        <v>ร้านพี่เจี๊ยบ หนองรัก (ร้านแจ๋วโฟน)</v>
      </c>
      <c r="D2954" s="3" t="str">
        <f>IFERROR(__xludf.DUMMYFUNCTION("""COMPUTED_VALUE"""),"ร้านพี่เจี๊ยบ หนองรัก (ร้านแจ๋วโฟน)")</f>
        <v>ร้านพี่เจี๊ยบ หนองรัก (ร้านแจ๋วโฟน)</v>
      </c>
      <c r="E2954" s="1" t="str">
        <f>IFERROR(__xludf.DUMMYFUNCTION("""COMPUTED_VALUE"""),"Donjai")</f>
        <v>Donjai</v>
      </c>
      <c r="F2954" s="1" t="str">
        <f>IFERROR(__xludf.DUMMYFUNCTION("""COMPUTED_VALUE"""),"2010023")</f>
        <v>2010023</v>
      </c>
      <c r="G2954" s="1" t="str">
        <f>IFERROR(__xludf.DUMMYFUNCTION("""COMPUTED_VALUE"""),"นายวศิน ไวยรูป")</f>
        <v>นายวศิน ไวยรูป</v>
      </c>
      <c r="H2954" s="1" t="str">
        <f>IFERROR(__xludf.DUMMYFUNCTION("""COMPUTED_VALUE"""),"2010023")</f>
        <v>2010023</v>
      </c>
      <c r="I2954" s="1" t="str">
        <f>IFERROR(__xludf.DUMMYFUNCTION("""COMPUTED_VALUE"""),"นายวศิน ไวยรูป")</f>
        <v>นายวศิน ไวยรูป</v>
      </c>
      <c r="J2954" s="3">
        <f>IFERROR(__xludf.DUMMYFUNCTION("""COMPUTED_VALUE"""),228031.0)</f>
        <v>228031</v>
      </c>
      <c r="K2954" s="3" t="str">
        <f>IFERROR(__xludf.DUMMYFUNCTION("""COMPUTED_VALUE"""),"นายธนพงษ์ วันหมัด")</f>
        <v>นายธนพงษ์ วันหมัด</v>
      </c>
      <c r="L2954" s="1" t="str">
        <f>IFERROR(__xludf.DUMMYFUNCTION("""COMPUTED_VALUE"""),"นายธนพงษ์ วันหมัด")</f>
        <v>นายธนพงษ์ วันหมัด</v>
      </c>
      <c r="M2954" s="1" t="str">
        <f>IFERROR(__xludf.DUMMYFUNCTION("""COMPUTED_VALUE"""),"0813716913")</f>
        <v>0813716913</v>
      </c>
      <c r="N2954" s="3">
        <f>IFERROR(__xludf.DUMMYFUNCTION("""COMPUTED_VALUE"""),83837.0)</f>
        <v>83837</v>
      </c>
      <c r="O2954" s="3" t="str">
        <f>IFERROR(__xludf.DUMMYFUNCTION("""COMPUTED_VALUE"""),"ร้านพี่เจี๊ยบ หนองรัก (ร้านแจ๋วโฟน)")</f>
        <v>ร้านพี่เจี๊ยบ หนองรัก (ร้านแจ๋วโฟน)</v>
      </c>
      <c r="P2954" s="4">
        <f>IFERROR(__xludf.DUMMYFUNCTION("""COMPUTED_VALUE"""),44662.0)</f>
        <v>44662</v>
      </c>
      <c r="Q2954" s="3" t="str">
        <f>IFERROR(__xludf.DUMMYFUNCTION("""COMPUTED_VALUE"""),"I")</f>
        <v>I</v>
      </c>
      <c r="R2954" s="3" t="str">
        <f>IFERROR(__xludf.DUMMYFUNCTION("""COMPUTED_VALUE"""),"Small Format")</f>
        <v>Small Format</v>
      </c>
      <c r="S2954" s="3" t="str">
        <f>IFERROR(__xludf.DUMMYFUNCTION("""COMPUTED_VALUE"""),"Donjai")</f>
        <v>Donjai</v>
      </c>
      <c r="T2954" s="3" t="str">
        <f>IFERROR(__xludf.DUMMYFUNCTION("""COMPUTED_VALUE"""),"Donjai")</f>
        <v>Donjai</v>
      </c>
      <c r="U2954" s="3" t="str">
        <f>IFERROR(__xludf.DUMMYFUNCTION("""COMPUTED_VALUE"""),"Donjai")</f>
        <v>Donjai</v>
      </c>
      <c r="V2954" s="3" t="str">
        <f>IFERROR(__xludf.DUMMYFUNCTION("""COMPUTED_VALUE"""),"N")</f>
        <v>N</v>
      </c>
      <c r="W2954" s="3"/>
      <c r="X2954" s="3" t="str">
        <f>IFERROR(__xludf.DUMMYFUNCTION("""COMPUTED_VALUE"""),"50/3 หมู่. 10 ต.ไผ่เขียว อ.สว่างอารม นครสวรรค์ 31110")</f>
        <v>50/3 หมู่. 10 ต.ไผ่เขียว อ.สว่างอารม นครสวรรค์ 31110</v>
      </c>
      <c r="Y2954" s="3"/>
      <c r="Z2954" s="3">
        <f>IFERROR(__xludf.DUMMYFUNCTION("""COMPUTED_VALUE"""),0.0)</f>
        <v>0</v>
      </c>
      <c r="AA2954" s="3">
        <f>IFERROR(__xludf.DUMMYFUNCTION("""COMPUTED_VALUE"""),0.0)</f>
        <v>0</v>
      </c>
      <c r="AB2954" s="3" t="str">
        <f>IFERROR(__xludf.DUMMYFUNCTION("""COMPUTED_VALUE"""),"นครสวรรค์")</f>
        <v>นครสวรรค์</v>
      </c>
      <c r="AC2954" s="3">
        <f>IFERROR(__xludf.DUMMYFUNCTION("""COMPUTED_VALUE"""),31110.0)</f>
        <v>31110</v>
      </c>
      <c r="AD2954" s="3"/>
      <c r="AE2954" s="3"/>
      <c r="AF2954" s="3" t="str">
        <f>IFERROR(__xludf.DUMMYFUNCTION("""COMPUTED_VALUE"""),"ร้านพี่เจี๊ยบ หนองรัก (ร้านแจ๋วโฟน)-83837")</f>
        <v>ร้านพี่เจี๊ยบ หนองรัก (ร้านแจ๋วโฟน)-83837</v>
      </c>
      <c r="AG2954" s="3" t="str">
        <f>IFERROR(__xludf.DUMMYFUNCTION("""COMPUTED_VALUE"""),"กลาง")</f>
        <v>กลาง</v>
      </c>
      <c r="AH2954" s="3" t="str">
        <f>IFERROR(__xludf.DUMMYFUNCTION("""COMPUTED_VALUE"""),"#N/A")</f>
        <v>#N/A</v>
      </c>
      <c r="AI2954" s="3" t="str">
        <f>IFERROR(__xludf.DUMMYFUNCTION("""COMPUTED_VALUE"""),"Out of warranty")</f>
        <v>Out of warranty</v>
      </c>
      <c r="AJ2954" s="3">
        <f>IFERROR(__xludf.DUMMYFUNCTION("""COMPUTED_VALUE"""),46.0)</f>
        <v>46</v>
      </c>
      <c r="AK2954" s="3"/>
      <c r="AL2954" s="3"/>
    </row>
    <row r="2955" ht="15.75" customHeight="1">
      <c r="A2955" s="1" t="str">
        <f>IFERROR(__xludf.DUMMYFUNCTION("""COMPUTED_VALUE"""),"83838")</f>
        <v>83838</v>
      </c>
      <c r="B2955" s="2">
        <f>IFERROR(__xludf.DUMMYFUNCTION("""COMPUTED_VALUE"""),83838.0)</f>
        <v>83838</v>
      </c>
      <c r="C2955" s="3" t="str">
        <f>IFERROR(__xludf.DUMMYFUNCTION("""COMPUTED_VALUE"""),"ร้านเสาวลักษณ์การค้า")</f>
        <v>ร้านเสาวลักษณ์การค้า</v>
      </c>
      <c r="D2955" s="3" t="str">
        <f>IFERROR(__xludf.DUMMYFUNCTION("""COMPUTED_VALUE"""),"ร้านเสาวลักษณ์การค้า")</f>
        <v>ร้านเสาวลักษณ์การค้า</v>
      </c>
      <c r="E2955" s="1" t="str">
        <f>IFERROR(__xludf.DUMMYFUNCTION("""COMPUTED_VALUE"""),"Donjai")</f>
        <v>Donjai</v>
      </c>
      <c r="F2955" s="1" t="str">
        <f>IFERROR(__xludf.DUMMYFUNCTION("""COMPUTED_VALUE"""),"2010016")</f>
        <v>2010016</v>
      </c>
      <c r="G2955" s="1" t="str">
        <f>IFERROR(__xludf.DUMMYFUNCTION("""COMPUTED_VALUE"""),"นายตวงธรรม ใหม่ยศ")</f>
        <v>นายตวงธรรม ใหม่ยศ</v>
      </c>
      <c r="H2955" s="1" t="str">
        <f>IFERROR(__xludf.DUMMYFUNCTION("""COMPUTED_VALUE"""),"2010016")</f>
        <v>2010016</v>
      </c>
      <c r="I2955" s="1" t="str">
        <f>IFERROR(__xludf.DUMMYFUNCTION("""COMPUTED_VALUE"""),"นายตวงธรรม ใหม่ยศ")</f>
        <v>นายตวงธรรม ใหม่ยศ</v>
      </c>
      <c r="J2955" s="3">
        <f>IFERROR(__xludf.DUMMYFUNCTION("""COMPUTED_VALUE"""),295886.0)</f>
        <v>295886</v>
      </c>
      <c r="K2955" s="3" t="str">
        <f>IFERROR(__xludf.DUMMYFUNCTION("""COMPUTED_VALUE"""),"นายจิระพงษ์ โพธิ์นิล")</f>
        <v>นายจิระพงษ์ โพธิ์นิล</v>
      </c>
      <c r="L2955" s="1" t="str">
        <f>IFERROR(__xludf.DUMMYFUNCTION("""COMPUTED_VALUE"""),"นายจิระพงษ์ โพธิ์นิล")</f>
        <v>นายจิระพงษ์ โพธิ์นิล</v>
      </c>
      <c r="M2955" s="1" t="str">
        <f>IFERROR(__xludf.DUMMYFUNCTION("""COMPUTED_VALUE"""),"0933290754")</f>
        <v>0933290754</v>
      </c>
      <c r="N2955" s="3">
        <f>IFERROR(__xludf.DUMMYFUNCTION("""COMPUTED_VALUE"""),83838.0)</f>
        <v>83838</v>
      </c>
      <c r="O2955" s="3" t="str">
        <f>IFERROR(__xludf.DUMMYFUNCTION("""COMPUTED_VALUE"""),"ร้านเสาวลักษณ์การค้า")</f>
        <v>ร้านเสาวลักษณ์การค้า</v>
      </c>
      <c r="P2955" s="4">
        <f>IFERROR(__xludf.DUMMYFUNCTION("""COMPUTED_VALUE"""),44657.0)</f>
        <v>44657</v>
      </c>
      <c r="Q2955" s="3" t="str">
        <f>IFERROR(__xludf.DUMMYFUNCTION("""COMPUTED_VALUE"""),"I")</f>
        <v>I</v>
      </c>
      <c r="R2955" s="3" t="str">
        <f>IFERROR(__xludf.DUMMYFUNCTION("""COMPUTED_VALUE"""),"Small Format")</f>
        <v>Small Format</v>
      </c>
      <c r="S2955" s="3" t="str">
        <f>IFERROR(__xludf.DUMMYFUNCTION("""COMPUTED_VALUE"""),"Donjai")</f>
        <v>Donjai</v>
      </c>
      <c r="T2955" s="3" t="str">
        <f>IFERROR(__xludf.DUMMYFUNCTION("""COMPUTED_VALUE"""),"01 K.Tuangtham M.")</f>
        <v>01 K.Tuangtham M.</v>
      </c>
      <c r="U2955" s="3" t="str">
        <f>IFERROR(__xludf.DUMMYFUNCTION("""COMPUTED_VALUE"""),"01 K.Tuangtham M.")</f>
        <v>01 K.Tuangtham M.</v>
      </c>
      <c r="V2955" s="3" t="str">
        <f>IFERROR(__xludf.DUMMYFUNCTION("""COMPUTED_VALUE"""),"N")</f>
        <v>N</v>
      </c>
      <c r="W2955" s="3"/>
      <c r="X2955" s="3" t="str">
        <f>IFERROR(__xludf.DUMMYFUNCTION("""COMPUTED_VALUE"""),"172 หมู่ที่ 4 ตำบลน้ำเลา อำเภอร้องกวาง จังหวัดแพร่")</f>
        <v>172 หมู่ที่ 4 ตำบลน้ำเลา อำเภอร้องกวาง จังหวัดแพร่</v>
      </c>
      <c r="Y2955" s="3"/>
      <c r="Z2955" s="3" t="str">
        <f>IFERROR(__xludf.DUMMYFUNCTION("""COMPUTED_VALUE"""),"น้ำเลา")</f>
        <v>น้ำเลา</v>
      </c>
      <c r="AA2955" s="3" t="str">
        <f>IFERROR(__xludf.DUMMYFUNCTION("""COMPUTED_VALUE"""),"ร้องกวาง")</f>
        <v>ร้องกวาง</v>
      </c>
      <c r="AB2955" s="3" t="str">
        <f>IFERROR(__xludf.DUMMYFUNCTION("""COMPUTED_VALUE"""),"แพร่")</f>
        <v>แพร่</v>
      </c>
      <c r="AC2955" s="3">
        <f>IFERROR(__xludf.DUMMYFUNCTION("""COMPUTED_VALUE"""),54140.0)</f>
        <v>54140</v>
      </c>
      <c r="AD2955" s="3"/>
      <c r="AE2955" s="3"/>
      <c r="AF2955" s="3" t="str">
        <f>IFERROR(__xludf.DUMMYFUNCTION("""COMPUTED_VALUE"""),"ร้านเสาวลักษณ์การค้า-83838")</f>
        <v>ร้านเสาวลักษณ์การค้า-83838</v>
      </c>
      <c r="AG2955" s="3" t="str">
        <f>IFERROR(__xludf.DUMMYFUNCTION("""COMPUTED_VALUE"""),"เหนือ")</f>
        <v>เหนือ</v>
      </c>
      <c r="AH2955" s="3" t="str">
        <f>IFERROR(__xludf.DUMMYFUNCTION("""COMPUTED_VALUE"""),"#N/A")</f>
        <v>#N/A</v>
      </c>
      <c r="AI2955" s="3" t="str">
        <f>IFERROR(__xludf.DUMMYFUNCTION("""COMPUTED_VALUE"""),"Out of warranty")</f>
        <v>Out of warranty</v>
      </c>
      <c r="AJ2955" s="3">
        <f>IFERROR(__xludf.DUMMYFUNCTION("""COMPUTED_VALUE"""),46.0)</f>
        <v>46</v>
      </c>
      <c r="AK2955" s="3"/>
      <c r="AL2955" s="3"/>
    </row>
    <row r="2956" ht="15.75" customHeight="1">
      <c r="A2956" s="1" t="str">
        <f>IFERROR(__xludf.DUMMYFUNCTION("""COMPUTED_VALUE"""),"83839")</f>
        <v>83839</v>
      </c>
      <c r="B2956" s="2">
        <f>IFERROR(__xludf.DUMMYFUNCTION("""COMPUTED_VALUE"""),83839.0)</f>
        <v>83839</v>
      </c>
      <c r="C2956" s="3" t="str">
        <f>IFERROR(__xludf.DUMMYFUNCTION("""COMPUTED_VALUE"""),"ร้านสีผ่องตลาดนัด 2(ยายสาตาชัย)")</f>
        <v>ร้านสีผ่องตลาดนัด 2(ยายสาตาชัย)</v>
      </c>
      <c r="D2956" s="3" t="str">
        <f>IFERROR(__xludf.DUMMYFUNCTION("""COMPUTED_VALUE"""),"ร้านสีผ่องตลาดนัด 2(ยายสาตาชัย)")</f>
        <v>ร้านสีผ่องตลาดนัด 2(ยายสาตาชัย)</v>
      </c>
      <c r="E2956" s="1" t="str">
        <f>IFERROR(__xludf.DUMMYFUNCTION("""COMPUTED_VALUE"""),"Donjai")</f>
        <v>Donjai</v>
      </c>
      <c r="F2956" s="1" t="str">
        <f>IFERROR(__xludf.DUMMYFUNCTION("""COMPUTED_VALUE"""),"00510143")</f>
        <v>00510143</v>
      </c>
      <c r="G2956" s="1" t="str">
        <f>IFERROR(__xludf.DUMMYFUNCTION("""COMPUTED_VALUE"""),"นายธีระวัฒน์ บุญสิทธิ์")</f>
        <v>นายธีระวัฒน์ บุญสิทธิ์</v>
      </c>
      <c r="H2956" s="1" t="str">
        <f>IFERROR(__xludf.DUMMYFUNCTION("""COMPUTED_VALUE"""),"00510143")</f>
        <v>00510143</v>
      </c>
      <c r="I2956" s="1" t="str">
        <f>IFERROR(__xludf.DUMMYFUNCTION("""COMPUTED_VALUE"""),"นายธีระวัฒน์ บุญสิทธิ์")</f>
        <v>นายธีระวัฒน์ บุญสิทธิ์</v>
      </c>
      <c r="J2956" s="3">
        <f>IFERROR(__xludf.DUMMYFUNCTION("""COMPUTED_VALUE"""),228031.0)</f>
        <v>228031</v>
      </c>
      <c r="K2956" s="3" t="str">
        <f>IFERROR(__xludf.DUMMYFUNCTION("""COMPUTED_VALUE"""),"นายธนพงษ์ วันหมัด")</f>
        <v>นายธนพงษ์ วันหมัด</v>
      </c>
      <c r="L2956" s="1" t="str">
        <f>IFERROR(__xludf.DUMMYFUNCTION("""COMPUTED_VALUE"""),"นายธนพงษ์ วันหมัด")</f>
        <v>นายธนพงษ์ วันหมัด</v>
      </c>
      <c r="M2956" s="1" t="str">
        <f>IFERROR(__xludf.DUMMYFUNCTION("""COMPUTED_VALUE"""),"0813716913")</f>
        <v>0813716913</v>
      </c>
      <c r="N2956" s="3">
        <f>IFERROR(__xludf.DUMMYFUNCTION("""COMPUTED_VALUE"""),83839.0)</f>
        <v>83839</v>
      </c>
      <c r="O2956" s="3" t="str">
        <f>IFERROR(__xludf.DUMMYFUNCTION("""COMPUTED_VALUE"""),"ร้านสีผ่องตลาดนัด 2(ยายสาตาชัย)")</f>
        <v>ร้านสีผ่องตลาดนัด 2(ยายสาตาชัย)</v>
      </c>
      <c r="P2956" s="4">
        <f>IFERROR(__xludf.DUMMYFUNCTION("""COMPUTED_VALUE"""),44694.0)</f>
        <v>44694</v>
      </c>
      <c r="Q2956" s="3" t="str">
        <f>IFERROR(__xludf.DUMMYFUNCTION("""COMPUTED_VALUE"""),"A")</f>
        <v>A</v>
      </c>
      <c r="R2956" s="3" t="str">
        <f>IFERROR(__xludf.DUMMYFUNCTION("""COMPUTED_VALUE"""),"Small Format")</f>
        <v>Small Format</v>
      </c>
      <c r="S2956" s="3" t="str">
        <f>IFERROR(__xludf.DUMMYFUNCTION("""COMPUTED_VALUE"""),"Donjai")</f>
        <v>Donjai</v>
      </c>
      <c r="T2956" s="3" t="str">
        <f>IFERROR(__xludf.DUMMYFUNCTION("""COMPUTED_VALUE"""),"12 K.Theerawat B.")</f>
        <v>12 K.Theerawat B.</v>
      </c>
      <c r="U2956" s="3" t="str">
        <f>IFERROR(__xludf.DUMMYFUNCTION("""COMPUTED_VALUE"""),"12 K.Theerawat B.")</f>
        <v>12 K.Theerawat B.</v>
      </c>
      <c r="V2956" s="3" t="str">
        <f>IFERROR(__xludf.DUMMYFUNCTION("""COMPUTED_VALUE"""),"N")</f>
        <v>N</v>
      </c>
      <c r="W2956" s="3"/>
      <c r="X2956" s="3" t="str">
        <f>IFERROR(__xludf.DUMMYFUNCTION("""COMPUTED_VALUE"""),"315 ม.9 หนองหว้า เขาฉกรรจ์ สระแก้ว 10280")</f>
        <v>315 ม.9 หนองหว้า เขาฉกรรจ์ สระแก้ว 10280</v>
      </c>
      <c r="Y2956" s="3"/>
      <c r="Z2956" s="3">
        <f>IFERROR(__xludf.DUMMYFUNCTION("""COMPUTED_VALUE"""),0.0)</f>
        <v>0</v>
      </c>
      <c r="AA2956" s="3">
        <f>IFERROR(__xludf.DUMMYFUNCTION("""COMPUTED_VALUE"""),0.0)</f>
        <v>0</v>
      </c>
      <c r="AB2956" s="3" t="str">
        <f>IFERROR(__xludf.DUMMYFUNCTION("""COMPUTED_VALUE"""),"สระแก้ว")</f>
        <v>สระแก้ว</v>
      </c>
      <c r="AC2956" s="3">
        <f>IFERROR(__xludf.DUMMYFUNCTION("""COMPUTED_VALUE"""),10280.0)</f>
        <v>10280</v>
      </c>
      <c r="AD2956" s="3"/>
      <c r="AE2956" s="3"/>
      <c r="AF2956" s="3" t="str">
        <f>IFERROR(__xludf.DUMMYFUNCTION("""COMPUTED_VALUE"""),"ร้านสีผ่องตลาดนัด 2(ยายสาตาชัย)-83839")</f>
        <v>ร้านสีผ่องตลาดนัด 2(ยายสาตาชัย)-83839</v>
      </c>
      <c r="AG2956" s="3" t="str">
        <f>IFERROR(__xludf.DUMMYFUNCTION("""COMPUTED_VALUE"""),"ตะวันออก")</f>
        <v>ตะวันออก</v>
      </c>
      <c r="AH2956" s="3" t="str">
        <f>IFERROR(__xludf.DUMMYFUNCTION("""COMPUTED_VALUE"""),"#N/A")</f>
        <v>#N/A</v>
      </c>
      <c r="AI2956" s="3" t="str">
        <f>IFERROR(__xludf.DUMMYFUNCTION("""COMPUTED_VALUE"""),"Out of warranty")</f>
        <v>Out of warranty</v>
      </c>
      <c r="AJ2956" s="3">
        <f>IFERROR(__xludf.DUMMYFUNCTION("""COMPUTED_VALUE"""),45.0)</f>
        <v>45</v>
      </c>
      <c r="AK2956" s="3"/>
      <c r="AL2956" s="3"/>
    </row>
    <row r="2957" ht="15.75" customHeight="1">
      <c r="A2957" s="1" t="str">
        <f>IFERROR(__xludf.DUMMYFUNCTION("""COMPUTED_VALUE"""),"83841")</f>
        <v>83841</v>
      </c>
      <c r="B2957" s="2">
        <f>IFERROR(__xludf.DUMMYFUNCTION("""COMPUTED_VALUE"""),83841.0)</f>
        <v>83841</v>
      </c>
      <c r="C2957" s="3" t="str">
        <f>IFERROR(__xludf.DUMMYFUNCTION("""COMPUTED_VALUE"""),"ร้านเจ๊อ้อย")</f>
        <v>ร้านเจ๊อ้อย</v>
      </c>
      <c r="D2957" s="3" t="str">
        <f>IFERROR(__xludf.DUMMYFUNCTION("""COMPUTED_VALUE"""),"ร้านเจ๊อ้อย")</f>
        <v>ร้านเจ๊อ้อย</v>
      </c>
      <c r="E2957" s="1" t="str">
        <f>IFERROR(__xludf.DUMMYFUNCTION("""COMPUTED_VALUE"""),"Donjai")</f>
        <v>Donjai</v>
      </c>
      <c r="F2957" s="1" t="str">
        <f>IFERROR(__xludf.DUMMYFUNCTION("""COMPUTED_VALUE"""),"2451655")</f>
        <v>2451655</v>
      </c>
      <c r="G2957" s="1" t="str">
        <f>IFERROR(__xludf.DUMMYFUNCTION("""COMPUTED_VALUE"""),"นายวิษณุพงษ์ ชินบุตร")</f>
        <v>นายวิษณุพงษ์ ชินบุตร</v>
      </c>
      <c r="H2957" s="1" t="str">
        <f>IFERROR(__xludf.DUMMYFUNCTION("""COMPUTED_VALUE"""),"2451655")</f>
        <v>2451655</v>
      </c>
      <c r="I2957" s="1" t="str">
        <f>IFERROR(__xludf.DUMMYFUNCTION("""COMPUTED_VALUE"""),"นายวิษณุพงษ์ ชินบุตร")</f>
        <v>นายวิษณุพงษ์ ชินบุตร</v>
      </c>
      <c r="J2957" s="3">
        <f>IFERROR(__xludf.DUMMYFUNCTION("""COMPUTED_VALUE"""),228031.0)</f>
        <v>228031</v>
      </c>
      <c r="K2957" s="3" t="str">
        <f>IFERROR(__xludf.DUMMYFUNCTION("""COMPUTED_VALUE"""),"นายธนพงษ์ วันหมัด")</f>
        <v>นายธนพงษ์ วันหมัด</v>
      </c>
      <c r="L2957" s="1" t="str">
        <f>IFERROR(__xludf.DUMMYFUNCTION("""COMPUTED_VALUE"""),"นายธนพงษ์ วันหมัด")</f>
        <v>นายธนพงษ์ วันหมัด</v>
      </c>
      <c r="M2957" s="1" t="str">
        <f>IFERROR(__xludf.DUMMYFUNCTION("""COMPUTED_VALUE"""),"0813716913")</f>
        <v>0813716913</v>
      </c>
      <c r="N2957" s="3">
        <f>IFERROR(__xludf.DUMMYFUNCTION("""COMPUTED_VALUE"""),83841.0)</f>
        <v>83841</v>
      </c>
      <c r="O2957" s="3" t="str">
        <f>IFERROR(__xludf.DUMMYFUNCTION("""COMPUTED_VALUE"""),"ร้านเจ๊อ้อย")</f>
        <v>ร้านเจ๊อ้อย</v>
      </c>
      <c r="P2957" s="4">
        <f>IFERROR(__xludf.DUMMYFUNCTION("""COMPUTED_VALUE"""),44659.0)</f>
        <v>44659</v>
      </c>
      <c r="Q2957" s="3" t="str">
        <f>IFERROR(__xludf.DUMMYFUNCTION("""COMPUTED_VALUE"""),"A")</f>
        <v>A</v>
      </c>
      <c r="R2957" s="3" t="str">
        <f>IFERROR(__xludf.DUMMYFUNCTION("""COMPUTED_VALUE"""),"Small Format")</f>
        <v>Small Format</v>
      </c>
      <c r="S2957" s="3" t="str">
        <f>IFERROR(__xludf.DUMMYFUNCTION("""COMPUTED_VALUE"""),"Donjai")</f>
        <v>Donjai</v>
      </c>
      <c r="T2957" s="3" t="str">
        <f>IFERROR(__xludf.DUMMYFUNCTION("""COMPUTED_VALUE"""),"13 K.Wisanupong Ch")</f>
        <v>13 K.Wisanupong Ch</v>
      </c>
      <c r="U2957" s="3" t="str">
        <f>IFERROR(__xludf.DUMMYFUNCTION("""COMPUTED_VALUE"""),"13 K.Wisanupong Ch")</f>
        <v>13 K.Wisanupong Ch</v>
      </c>
      <c r="V2957" s="3" t="str">
        <f>IFERROR(__xludf.DUMMYFUNCTION("""COMPUTED_VALUE"""),"N")</f>
        <v>N</v>
      </c>
      <c r="W2957" s="3"/>
      <c r="X2957" s="3" t="str">
        <f>IFERROR(__xludf.DUMMYFUNCTION("""COMPUTED_VALUE"""),"111/2 ต.ยกกระบัตร อ.บ้านแพ้ว จ.สมุทรสาคร 74120")</f>
        <v>111/2 ต.ยกกระบัตร อ.บ้านแพ้ว จ.สมุทรสาคร 74120</v>
      </c>
      <c r="Y2957" s="3"/>
      <c r="Z2957" s="3">
        <f>IFERROR(__xludf.DUMMYFUNCTION("""COMPUTED_VALUE"""),0.0)</f>
        <v>0</v>
      </c>
      <c r="AA2957" s="3">
        <f>IFERROR(__xludf.DUMMYFUNCTION("""COMPUTED_VALUE"""),0.0)</f>
        <v>0</v>
      </c>
      <c r="AB2957" s="3" t="str">
        <f>IFERROR(__xludf.DUMMYFUNCTION("""COMPUTED_VALUE"""),"สมุทรสาคร")</f>
        <v>สมุทรสาคร</v>
      </c>
      <c r="AC2957" s="3">
        <f>IFERROR(__xludf.DUMMYFUNCTION("""COMPUTED_VALUE"""),74120.0)</f>
        <v>74120</v>
      </c>
      <c r="AD2957" s="3"/>
      <c r="AE2957" s="3"/>
      <c r="AF2957" s="3" t="str">
        <f>IFERROR(__xludf.DUMMYFUNCTION("""COMPUTED_VALUE"""),"ร้านเจ๊อ้อย-83841")</f>
        <v>ร้านเจ๊อ้อย-83841</v>
      </c>
      <c r="AG2957" s="3" t="str">
        <f>IFERROR(__xludf.DUMMYFUNCTION("""COMPUTED_VALUE"""),"กลาง")</f>
        <v>กลาง</v>
      </c>
      <c r="AH2957" s="3" t="str">
        <f>IFERROR(__xludf.DUMMYFUNCTION("""COMPUTED_VALUE"""),"#N/A")</f>
        <v>#N/A</v>
      </c>
      <c r="AI2957" s="3" t="str">
        <f>IFERROR(__xludf.DUMMYFUNCTION("""COMPUTED_VALUE"""),"Out of warranty")</f>
        <v>Out of warranty</v>
      </c>
      <c r="AJ2957" s="3">
        <f>IFERROR(__xludf.DUMMYFUNCTION("""COMPUTED_VALUE"""),46.0)</f>
        <v>46</v>
      </c>
      <c r="AK2957" s="3"/>
      <c r="AL2957" s="3"/>
    </row>
    <row r="2958" ht="15.75" customHeight="1">
      <c r="A2958" s="1" t="str">
        <f>IFERROR(__xludf.DUMMYFUNCTION("""COMPUTED_VALUE"""),"83842")</f>
        <v>83842</v>
      </c>
      <c r="B2958" s="2">
        <f>IFERROR(__xludf.DUMMYFUNCTION("""COMPUTED_VALUE"""),83842.0)</f>
        <v>83842</v>
      </c>
      <c r="C2958" s="3" t="str">
        <f>IFERROR(__xludf.DUMMYFUNCTION("""COMPUTED_VALUE"""),"ร้านซอย ๙ โดนใจ (คุณนพ)")</f>
        <v>ร้านซอย ๙ โดนใจ (คุณนพ)</v>
      </c>
      <c r="D2958" s="3" t="str">
        <f>IFERROR(__xludf.DUMMYFUNCTION("""COMPUTED_VALUE"""),"ร้านซอย ๙ โดนใจ (คุณนพ)")</f>
        <v>ร้านซอย ๙ โดนใจ (คุณนพ)</v>
      </c>
      <c r="E2958" s="1" t="str">
        <f>IFERROR(__xludf.DUMMYFUNCTION("""COMPUTED_VALUE"""),"Donjai")</f>
        <v>Donjai</v>
      </c>
      <c r="F2958" s="1" t="str">
        <f>IFERROR(__xludf.DUMMYFUNCTION("""COMPUTED_VALUE"""),"296866")</f>
        <v>296866</v>
      </c>
      <c r="G2958" s="1" t="str">
        <f>IFERROR(__xludf.DUMMYFUNCTION("""COMPUTED_VALUE"""),"นายณัฐภูมิ สุจริตธรรม")</f>
        <v>นายณัฐภูมิ สุจริตธรรม</v>
      </c>
      <c r="H2958" s="1" t="str">
        <f>IFERROR(__xludf.DUMMYFUNCTION("""COMPUTED_VALUE"""),"296866")</f>
        <v>296866</v>
      </c>
      <c r="I2958" s="1" t="str">
        <f>IFERROR(__xludf.DUMMYFUNCTION("""COMPUTED_VALUE"""),"นายณัฐภูมิ สุจริตธรรม")</f>
        <v>นายณัฐภูมิ สุจริตธรรม</v>
      </c>
      <c r="J2958" s="3">
        <f>IFERROR(__xludf.DUMMYFUNCTION("""COMPUTED_VALUE"""),228031.0)</f>
        <v>228031</v>
      </c>
      <c r="K2958" s="3" t="str">
        <f>IFERROR(__xludf.DUMMYFUNCTION("""COMPUTED_VALUE"""),"นายธนพงษ์ วันหมัด")</f>
        <v>นายธนพงษ์ วันหมัด</v>
      </c>
      <c r="L2958" s="1" t="str">
        <f>IFERROR(__xludf.DUMMYFUNCTION("""COMPUTED_VALUE"""),"นายธนพงษ์ วันหมัด")</f>
        <v>นายธนพงษ์ วันหมัด</v>
      </c>
      <c r="M2958" s="1" t="str">
        <f>IFERROR(__xludf.DUMMYFUNCTION("""COMPUTED_VALUE"""),"0813716913")</f>
        <v>0813716913</v>
      </c>
      <c r="N2958" s="3">
        <f>IFERROR(__xludf.DUMMYFUNCTION("""COMPUTED_VALUE"""),83842.0)</f>
        <v>83842</v>
      </c>
      <c r="O2958" s="3" t="str">
        <f>IFERROR(__xludf.DUMMYFUNCTION("""COMPUTED_VALUE"""),"ร้านซอย ๙ โดนใจ (คุณนพ)")</f>
        <v>ร้านซอย ๙ โดนใจ (คุณนพ)</v>
      </c>
      <c r="P2958" s="4">
        <f>IFERROR(__xludf.DUMMYFUNCTION("""COMPUTED_VALUE"""),44649.0)</f>
        <v>44649</v>
      </c>
      <c r="Q2958" s="3" t="str">
        <f>IFERROR(__xludf.DUMMYFUNCTION("""COMPUTED_VALUE"""),"I")</f>
        <v>I</v>
      </c>
      <c r="R2958" s="3" t="str">
        <f>IFERROR(__xludf.DUMMYFUNCTION("""COMPUTED_VALUE"""),"Small Format")</f>
        <v>Small Format</v>
      </c>
      <c r="S2958" s="3" t="str">
        <f>IFERROR(__xludf.DUMMYFUNCTION("""COMPUTED_VALUE"""),"Donjai")</f>
        <v>Donjai</v>
      </c>
      <c r="T2958" s="3" t="str">
        <f>IFERROR(__xludf.DUMMYFUNCTION("""COMPUTED_VALUE"""),"#N/A")</f>
        <v>#N/A</v>
      </c>
      <c r="U2958" s="3" t="str">
        <f>IFERROR(__xludf.DUMMYFUNCTION("""COMPUTED_VALUE"""),"#N/A")</f>
        <v>#N/A</v>
      </c>
      <c r="V2958" s="3" t="str">
        <f>IFERROR(__xludf.DUMMYFUNCTION("""COMPUTED_VALUE"""),"N")</f>
        <v>N</v>
      </c>
      <c r="W2958" s="3"/>
      <c r="X2958" s="3" t="str">
        <f>IFERROR(__xludf.DUMMYFUNCTION("""COMPUTED_VALUE"""),"77 ต.บางขนาก บางน้ำเปรี้ยว ฉะเชิงเทรา 13250")</f>
        <v>77 ต.บางขนาก บางน้ำเปรี้ยว ฉะเชิงเทรา 13250</v>
      </c>
      <c r="Y2958" s="3"/>
      <c r="Z2958" s="3">
        <f>IFERROR(__xludf.DUMMYFUNCTION("""COMPUTED_VALUE"""),0.0)</f>
        <v>0</v>
      </c>
      <c r="AA2958" s="3">
        <f>IFERROR(__xludf.DUMMYFUNCTION("""COMPUTED_VALUE"""),0.0)</f>
        <v>0</v>
      </c>
      <c r="AB2958" s="3" t="str">
        <f>IFERROR(__xludf.DUMMYFUNCTION("""COMPUTED_VALUE"""),"ฉะเชิงเทรา")</f>
        <v>ฉะเชิงเทรา</v>
      </c>
      <c r="AC2958" s="3">
        <f>IFERROR(__xludf.DUMMYFUNCTION("""COMPUTED_VALUE"""),13250.0)</f>
        <v>13250</v>
      </c>
      <c r="AD2958" s="3"/>
      <c r="AE2958" s="3"/>
      <c r="AF2958" s="3" t="str">
        <f>IFERROR(__xludf.DUMMYFUNCTION("""COMPUTED_VALUE"""),"ร้านซอย ๙ โดนใจ (คุณนพ)-83842")</f>
        <v>ร้านซอย ๙ โดนใจ (คุณนพ)-83842</v>
      </c>
      <c r="AG2958" s="3" t="str">
        <f>IFERROR(__xludf.DUMMYFUNCTION("""COMPUTED_VALUE"""),"ตะวันออก")</f>
        <v>ตะวันออก</v>
      </c>
      <c r="AH2958" s="3" t="str">
        <f>IFERROR(__xludf.DUMMYFUNCTION("""COMPUTED_VALUE"""),"#N/A")</f>
        <v>#N/A</v>
      </c>
      <c r="AI2958" s="3" t="str">
        <f>IFERROR(__xludf.DUMMYFUNCTION("""COMPUTED_VALUE"""),"Out of warranty")</f>
        <v>Out of warranty</v>
      </c>
      <c r="AJ2958" s="3">
        <f>IFERROR(__xludf.DUMMYFUNCTION("""COMPUTED_VALUE"""),46.0)</f>
        <v>46</v>
      </c>
      <c r="AK2958" s="3"/>
      <c r="AL2958" s="3"/>
    </row>
    <row r="2959" ht="15.75" customHeight="1">
      <c r="A2959" s="1" t="str">
        <f>IFERROR(__xludf.DUMMYFUNCTION("""COMPUTED_VALUE"""),"83843")</f>
        <v>83843</v>
      </c>
      <c r="B2959" s="2">
        <f>IFERROR(__xludf.DUMMYFUNCTION("""COMPUTED_VALUE"""),83843.0)</f>
        <v>83843</v>
      </c>
      <c r="C2959" s="3" t="str">
        <f>IFERROR(__xludf.DUMMYFUNCTION("""COMPUTED_VALUE"""),"ร้านโดนใจ ดวงดี (โดนใจ ดวงฤดี)")</f>
        <v>ร้านโดนใจ ดวงดี (โดนใจ ดวงฤดี)</v>
      </c>
      <c r="D2959" s="3" t="str">
        <f>IFERROR(__xludf.DUMMYFUNCTION("""COMPUTED_VALUE"""),"ร้านโดนใจ ดวงดี (โดนใจ ดวงฤดี)")</f>
        <v>ร้านโดนใจ ดวงดี (โดนใจ ดวงฤดี)</v>
      </c>
      <c r="E2959" s="1" t="str">
        <f>IFERROR(__xludf.DUMMYFUNCTION("""COMPUTED_VALUE"""),"Donjai")</f>
        <v>Donjai</v>
      </c>
      <c r="F2959" s="1" t="str">
        <f>IFERROR(__xludf.DUMMYFUNCTION("""COMPUTED_VALUE"""),"2010023")</f>
        <v>2010023</v>
      </c>
      <c r="G2959" s="1" t="str">
        <f>IFERROR(__xludf.DUMMYFUNCTION("""COMPUTED_VALUE"""),"นายวศิน ไวยรูป")</f>
        <v>นายวศิน ไวยรูป</v>
      </c>
      <c r="H2959" s="1" t="str">
        <f>IFERROR(__xludf.DUMMYFUNCTION("""COMPUTED_VALUE"""),"2010023")</f>
        <v>2010023</v>
      </c>
      <c r="I2959" s="1" t="str">
        <f>IFERROR(__xludf.DUMMYFUNCTION("""COMPUTED_VALUE"""),"นายวศิน ไวยรูป")</f>
        <v>นายวศิน ไวยรูป</v>
      </c>
      <c r="J2959" s="3">
        <f>IFERROR(__xludf.DUMMYFUNCTION("""COMPUTED_VALUE"""),228031.0)</f>
        <v>228031</v>
      </c>
      <c r="K2959" s="3" t="str">
        <f>IFERROR(__xludf.DUMMYFUNCTION("""COMPUTED_VALUE"""),"นายธนพงษ์ วันหมัด")</f>
        <v>นายธนพงษ์ วันหมัด</v>
      </c>
      <c r="L2959" s="1" t="str">
        <f>IFERROR(__xludf.DUMMYFUNCTION("""COMPUTED_VALUE"""),"นายธนพงษ์ วันหมัด")</f>
        <v>นายธนพงษ์ วันหมัด</v>
      </c>
      <c r="M2959" s="1" t="str">
        <f>IFERROR(__xludf.DUMMYFUNCTION("""COMPUTED_VALUE"""),"0813716913")</f>
        <v>0813716913</v>
      </c>
      <c r="N2959" s="3">
        <f>IFERROR(__xludf.DUMMYFUNCTION("""COMPUTED_VALUE"""),83843.0)</f>
        <v>83843</v>
      </c>
      <c r="O2959" s="3" t="str">
        <f>IFERROR(__xludf.DUMMYFUNCTION("""COMPUTED_VALUE"""),"ร้านโดนใจ ดวงดี (โดนใจ ดวงฤดี)")</f>
        <v>ร้านโดนใจ ดวงดี (โดนใจ ดวงฤดี)</v>
      </c>
      <c r="P2959" s="4">
        <f>IFERROR(__xludf.DUMMYFUNCTION("""COMPUTED_VALUE"""),44656.0)</f>
        <v>44656</v>
      </c>
      <c r="Q2959" s="3" t="str">
        <f>IFERROR(__xludf.DUMMYFUNCTION("""COMPUTED_VALUE"""),"I")</f>
        <v>I</v>
      </c>
      <c r="R2959" s="3" t="str">
        <f>IFERROR(__xludf.DUMMYFUNCTION("""COMPUTED_VALUE"""),"Small Format")</f>
        <v>Small Format</v>
      </c>
      <c r="S2959" s="3" t="str">
        <f>IFERROR(__xludf.DUMMYFUNCTION("""COMPUTED_VALUE"""),"Donjai")</f>
        <v>Donjai</v>
      </c>
      <c r="T2959" s="3" t="str">
        <f>IFERROR(__xludf.DUMMYFUNCTION("""COMPUTED_VALUE"""),"Donjai")</f>
        <v>Donjai</v>
      </c>
      <c r="U2959" s="3" t="str">
        <f>IFERROR(__xludf.DUMMYFUNCTION("""COMPUTED_VALUE"""),"Donjai")</f>
        <v>Donjai</v>
      </c>
      <c r="V2959" s="3" t="str">
        <f>IFERROR(__xludf.DUMMYFUNCTION("""COMPUTED_VALUE"""),"N")</f>
        <v>N</v>
      </c>
      <c r="W2959" s="3"/>
      <c r="X2959" s="3" t="str">
        <f>IFERROR(__xludf.DUMMYFUNCTION("""COMPUTED_VALUE"""),"99/219 หมู่ 6 ซอย สุสวาส6 ลาดสวาย ลำลูกกา ปทุมธานี 26120")</f>
        <v>99/219 หมู่ 6 ซอย สุสวาส6 ลาดสวาย ลำลูกกา ปทุมธานี 26120</v>
      </c>
      <c r="Y2959" s="3"/>
      <c r="Z2959" s="3">
        <f>IFERROR(__xludf.DUMMYFUNCTION("""COMPUTED_VALUE"""),0.0)</f>
        <v>0</v>
      </c>
      <c r="AA2959" s="3">
        <f>IFERROR(__xludf.DUMMYFUNCTION("""COMPUTED_VALUE"""),0.0)</f>
        <v>0</v>
      </c>
      <c r="AB2959" s="3" t="str">
        <f>IFERROR(__xludf.DUMMYFUNCTION("""COMPUTED_VALUE"""),"ปทุมธานี")</f>
        <v>ปทุมธานี</v>
      </c>
      <c r="AC2959" s="3">
        <f>IFERROR(__xludf.DUMMYFUNCTION("""COMPUTED_VALUE"""),26120.0)</f>
        <v>26120</v>
      </c>
      <c r="AD2959" s="3"/>
      <c r="AE2959" s="3"/>
      <c r="AF2959" s="3" t="str">
        <f>IFERROR(__xludf.DUMMYFUNCTION("""COMPUTED_VALUE"""),"ร้านโดนใจ ดวงดี (โดนใจ ดวงฤดี)-83843")</f>
        <v>ร้านโดนใจ ดวงดี (โดนใจ ดวงฤดี)-83843</v>
      </c>
      <c r="AG2959" s="3" t="str">
        <f>IFERROR(__xludf.DUMMYFUNCTION("""COMPUTED_VALUE"""),"กลาง")</f>
        <v>กลาง</v>
      </c>
      <c r="AH2959" s="3" t="str">
        <f>IFERROR(__xludf.DUMMYFUNCTION("""COMPUTED_VALUE"""),"#N/A")</f>
        <v>#N/A</v>
      </c>
      <c r="AI2959" s="3" t="str">
        <f>IFERROR(__xludf.DUMMYFUNCTION("""COMPUTED_VALUE"""),"Out of warranty")</f>
        <v>Out of warranty</v>
      </c>
      <c r="AJ2959" s="3">
        <f>IFERROR(__xludf.DUMMYFUNCTION("""COMPUTED_VALUE"""),46.0)</f>
        <v>46</v>
      </c>
      <c r="AK2959" s="3"/>
      <c r="AL2959" s="3"/>
    </row>
    <row r="2960" ht="15.75" customHeight="1">
      <c r="A2960" s="1" t="str">
        <f>IFERROR(__xludf.DUMMYFUNCTION("""COMPUTED_VALUE"""),"83844")</f>
        <v>83844</v>
      </c>
      <c r="B2960" s="2">
        <f>IFERROR(__xludf.DUMMYFUNCTION("""COMPUTED_VALUE"""),83844.0)</f>
        <v>83844</v>
      </c>
      <c r="C2960" s="3" t="str">
        <f>IFERROR(__xludf.DUMMYFUNCTION("""COMPUTED_VALUE"""),"ร้านโดนใจ กิจโชติ(กิจโชค)")</f>
        <v>ร้านโดนใจ กิจโชติ(กิจโชค)</v>
      </c>
      <c r="D2960" s="3" t="str">
        <f>IFERROR(__xludf.DUMMYFUNCTION("""COMPUTED_VALUE"""),"ร้านโดนใจ กิจโชติ(กิจโชค)")</f>
        <v>ร้านโดนใจ กิจโชติ(กิจโชค)</v>
      </c>
      <c r="E2960" s="1" t="str">
        <f>IFERROR(__xludf.DUMMYFUNCTION("""COMPUTED_VALUE"""),"Donjai")</f>
        <v>Donjai</v>
      </c>
      <c r="F2960" s="1" t="str">
        <f>IFERROR(__xludf.DUMMYFUNCTION("""COMPUTED_VALUE"""),"296608")</f>
        <v>296608</v>
      </c>
      <c r="G2960" s="1" t="str">
        <f>IFERROR(__xludf.DUMMYFUNCTION("""COMPUTED_VALUE"""),"นายภาคภูมิ เพ็ชรนิล")</f>
        <v>นายภาคภูมิ เพ็ชรนิล</v>
      </c>
      <c r="H2960" s="1" t="str">
        <f>IFERROR(__xludf.DUMMYFUNCTION("""COMPUTED_VALUE"""),"296608")</f>
        <v>296608</v>
      </c>
      <c r="I2960" s="1" t="str">
        <f>IFERROR(__xludf.DUMMYFUNCTION("""COMPUTED_VALUE"""),"นายภาคภูมิ เพ็ชรนิล")</f>
        <v>นายภาคภูมิ เพ็ชรนิล</v>
      </c>
      <c r="J2960" s="3">
        <f>IFERROR(__xludf.DUMMYFUNCTION("""COMPUTED_VALUE"""),228031.0)</f>
        <v>228031</v>
      </c>
      <c r="K2960" s="3" t="str">
        <f>IFERROR(__xludf.DUMMYFUNCTION("""COMPUTED_VALUE"""),"นายธนพงษ์ วันหมัด")</f>
        <v>นายธนพงษ์ วันหมัด</v>
      </c>
      <c r="L2960" s="1" t="str">
        <f>IFERROR(__xludf.DUMMYFUNCTION("""COMPUTED_VALUE"""),"นายธนพงษ์ วันหมัด")</f>
        <v>นายธนพงษ์ วันหมัด</v>
      </c>
      <c r="M2960" s="1" t="str">
        <f>IFERROR(__xludf.DUMMYFUNCTION("""COMPUTED_VALUE"""),"0813716913")</f>
        <v>0813716913</v>
      </c>
      <c r="N2960" s="3">
        <f>IFERROR(__xludf.DUMMYFUNCTION("""COMPUTED_VALUE"""),83844.0)</f>
        <v>83844</v>
      </c>
      <c r="O2960" s="3" t="str">
        <f>IFERROR(__xludf.DUMMYFUNCTION("""COMPUTED_VALUE"""),"ร้านโดนใจ กิจโชติ(กิจโชค)")</f>
        <v>ร้านโดนใจ กิจโชติ(กิจโชค)</v>
      </c>
      <c r="P2960" s="4">
        <f>IFERROR(__xludf.DUMMYFUNCTION("""COMPUTED_VALUE"""),44692.0)</f>
        <v>44692</v>
      </c>
      <c r="Q2960" s="3" t="str">
        <f>IFERROR(__xludf.DUMMYFUNCTION("""COMPUTED_VALUE"""),"A")</f>
        <v>A</v>
      </c>
      <c r="R2960" s="3" t="str">
        <f>IFERROR(__xludf.DUMMYFUNCTION("""COMPUTED_VALUE"""),"Small Format")</f>
        <v>Small Format</v>
      </c>
      <c r="S2960" s="3" t="str">
        <f>IFERROR(__xludf.DUMMYFUNCTION("""COMPUTED_VALUE"""),"Donjai")</f>
        <v>Donjai</v>
      </c>
      <c r="T2960" s="3" t="str">
        <f>IFERROR(__xludf.DUMMYFUNCTION("""COMPUTED_VALUE"""),"10 K.Phakphoom P.")</f>
        <v>10 K.Phakphoom P.</v>
      </c>
      <c r="U2960" s="3" t="str">
        <f>IFERROR(__xludf.DUMMYFUNCTION("""COMPUTED_VALUE"""),"10 K.Phakphoom P.")</f>
        <v>10 K.Phakphoom P.</v>
      </c>
      <c r="V2960" s="3" t="str">
        <f>IFERROR(__xludf.DUMMYFUNCTION("""COMPUTED_VALUE"""),"N")</f>
        <v>N</v>
      </c>
      <c r="W2960" s="3"/>
      <c r="X2960" s="3" t="str">
        <f>IFERROR(__xludf.DUMMYFUNCTION("""COMPUTED_VALUE"""),"422ถ.สามัคคี ต.ท่าทราย อ.เมืองจ.นนทบุรี")</f>
        <v>422ถ.สามัคคี ต.ท่าทราย อ.เมืองจ.นนทบุรี</v>
      </c>
      <c r="Y2960" s="3"/>
      <c r="Z2960" s="3">
        <f>IFERROR(__xludf.DUMMYFUNCTION("""COMPUTED_VALUE"""),0.0)</f>
        <v>0</v>
      </c>
      <c r="AA2960" s="3">
        <f>IFERROR(__xludf.DUMMYFUNCTION("""COMPUTED_VALUE"""),0.0)</f>
        <v>0</v>
      </c>
      <c r="AB2960" s="3" t="str">
        <f>IFERROR(__xludf.DUMMYFUNCTION("""COMPUTED_VALUE"""),"นนทบุรี")</f>
        <v>นนทบุรี</v>
      </c>
      <c r="AC2960" s="3">
        <f>IFERROR(__xludf.DUMMYFUNCTION("""COMPUTED_VALUE"""),0.0)</f>
        <v>0</v>
      </c>
      <c r="AD2960" s="3"/>
      <c r="AE2960" s="3"/>
      <c r="AF2960" s="3" t="str">
        <f>IFERROR(__xludf.DUMMYFUNCTION("""COMPUTED_VALUE"""),"ร้านโดนใจ กิจโชติ(กิจโชค)-83844")</f>
        <v>ร้านโดนใจ กิจโชติ(กิจโชค)-83844</v>
      </c>
      <c r="AG2960" s="3" t="str">
        <f>IFERROR(__xludf.DUMMYFUNCTION("""COMPUTED_VALUE"""),"กลาง")</f>
        <v>กลาง</v>
      </c>
      <c r="AH2960" s="3" t="str">
        <f>IFERROR(__xludf.DUMMYFUNCTION("""COMPUTED_VALUE"""),"#N/A")</f>
        <v>#N/A</v>
      </c>
      <c r="AI2960" s="3" t="str">
        <f>IFERROR(__xludf.DUMMYFUNCTION("""COMPUTED_VALUE"""),"Out of warranty")</f>
        <v>Out of warranty</v>
      </c>
      <c r="AJ2960" s="3">
        <f>IFERROR(__xludf.DUMMYFUNCTION("""COMPUTED_VALUE"""),45.0)</f>
        <v>45</v>
      </c>
      <c r="AK2960" s="3"/>
      <c r="AL2960" s="3"/>
    </row>
    <row r="2961" ht="15.75" customHeight="1">
      <c r="A2961" s="1" t="str">
        <f>IFERROR(__xludf.DUMMYFUNCTION("""COMPUTED_VALUE"""),"83846")</f>
        <v>83846</v>
      </c>
      <c r="B2961" s="2">
        <f>IFERROR(__xludf.DUMMYFUNCTION("""COMPUTED_VALUE"""),83846.0)</f>
        <v>83846</v>
      </c>
      <c r="C2961" s="3" t="str">
        <f>IFERROR(__xludf.DUMMYFUNCTION("""COMPUTED_VALUE"""),"ร้านปัง ปัง")</f>
        <v>ร้านปัง ปัง</v>
      </c>
      <c r="D2961" s="3" t="str">
        <f>IFERROR(__xludf.DUMMYFUNCTION("""COMPUTED_VALUE"""),"ร้านปัง ปัง")</f>
        <v>ร้านปัง ปัง</v>
      </c>
      <c r="E2961" s="1" t="str">
        <f>IFERROR(__xludf.DUMMYFUNCTION("""COMPUTED_VALUE"""),"Donjai")</f>
        <v>Donjai</v>
      </c>
      <c r="F2961" s="1" t="str">
        <f>IFERROR(__xludf.DUMMYFUNCTION("""COMPUTED_VALUE"""),"2010023")</f>
        <v>2010023</v>
      </c>
      <c r="G2961" s="1" t="str">
        <f>IFERROR(__xludf.DUMMYFUNCTION("""COMPUTED_VALUE"""),"นายวศิน ไวยรูป")</f>
        <v>นายวศิน ไวยรูป</v>
      </c>
      <c r="H2961" s="1" t="str">
        <f>IFERROR(__xludf.DUMMYFUNCTION("""COMPUTED_VALUE"""),"2010023")</f>
        <v>2010023</v>
      </c>
      <c r="I2961" s="1" t="str">
        <f>IFERROR(__xludf.DUMMYFUNCTION("""COMPUTED_VALUE"""),"นายวศิน ไวยรูป")</f>
        <v>นายวศิน ไวยรูป</v>
      </c>
      <c r="J2961" s="3">
        <f>IFERROR(__xludf.DUMMYFUNCTION("""COMPUTED_VALUE"""),228031.0)</f>
        <v>228031</v>
      </c>
      <c r="K2961" s="3" t="str">
        <f>IFERROR(__xludf.DUMMYFUNCTION("""COMPUTED_VALUE"""),"นายธนพงษ์ วันหมัด")</f>
        <v>นายธนพงษ์ วันหมัด</v>
      </c>
      <c r="L2961" s="1" t="str">
        <f>IFERROR(__xludf.DUMMYFUNCTION("""COMPUTED_VALUE"""),"นายธนพงษ์ วันหมัด")</f>
        <v>นายธนพงษ์ วันหมัด</v>
      </c>
      <c r="M2961" s="1" t="str">
        <f>IFERROR(__xludf.DUMMYFUNCTION("""COMPUTED_VALUE"""),"0813716913")</f>
        <v>0813716913</v>
      </c>
      <c r="N2961" s="3">
        <f>IFERROR(__xludf.DUMMYFUNCTION("""COMPUTED_VALUE"""),83846.0)</f>
        <v>83846</v>
      </c>
      <c r="O2961" s="3" t="str">
        <f>IFERROR(__xludf.DUMMYFUNCTION("""COMPUTED_VALUE"""),"ร้านปัง ปัง")</f>
        <v>ร้านปัง ปัง</v>
      </c>
      <c r="P2961" s="4">
        <f>IFERROR(__xludf.DUMMYFUNCTION("""COMPUTED_VALUE"""),44773.0)</f>
        <v>44773</v>
      </c>
      <c r="Q2961" s="3" t="str">
        <f>IFERROR(__xludf.DUMMYFUNCTION("""COMPUTED_VALUE"""),"I")</f>
        <v>I</v>
      </c>
      <c r="R2961" s="3" t="str">
        <f>IFERROR(__xludf.DUMMYFUNCTION("""COMPUTED_VALUE"""),"Small Format")</f>
        <v>Small Format</v>
      </c>
      <c r="S2961" s="3" t="str">
        <f>IFERROR(__xludf.DUMMYFUNCTION("""COMPUTED_VALUE"""),"Donjai")</f>
        <v>Donjai</v>
      </c>
      <c r="T2961" s="3" t="str">
        <f>IFERROR(__xludf.DUMMYFUNCTION("""COMPUTED_VALUE"""),"Donjai")</f>
        <v>Donjai</v>
      </c>
      <c r="U2961" s="3" t="str">
        <f>IFERROR(__xludf.DUMMYFUNCTION("""COMPUTED_VALUE"""),"Donjai")</f>
        <v>Donjai</v>
      </c>
      <c r="V2961" s="3" t="str">
        <f>IFERROR(__xludf.DUMMYFUNCTION("""COMPUTED_VALUE"""),"N")</f>
        <v>N</v>
      </c>
      <c r="W2961" s="3"/>
      <c r="X2961" s="3" t="str">
        <f>IFERROR(__xludf.DUMMYFUNCTION("""COMPUTED_VALUE"""),"18/19 หมู่3 บางโพธิ์เหนือ สามโคก ปทุมธานี 12160")</f>
        <v>18/19 หมู่3 บางโพธิ์เหนือ สามโคก ปทุมธานี 12160</v>
      </c>
      <c r="Y2961" s="3"/>
      <c r="Z2961" s="3">
        <f>IFERROR(__xludf.DUMMYFUNCTION("""COMPUTED_VALUE"""),0.0)</f>
        <v>0</v>
      </c>
      <c r="AA2961" s="3">
        <f>IFERROR(__xludf.DUMMYFUNCTION("""COMPUTED_VALUE"""),0.0)</f>
        <v>0</v>
      </c>
      <c r="AB2961" s="3" t="str">
        <f>IFERROR(__xludf.DUMMYFUNCTION("""COMPUTED_VALUE"""),"ปทุมธานี")</f>
        <v>ปทุมธานี</v>
      </c>
      <c r="AC2961" s="3">
        <f>IFERROR(__xludf.DUMMYFUNCTION("""COMPUTED_VALUE"""),12160.0)</f>
        <v>12160</v>
      </c>
      <c r="AD2961" s="3"/>
      <c r="AE2961" s="3"/>
      <c r="AF2961" s="3" t="str">
        <f>IFERROR(__xludf.DUMMYFUNCTION("""COMPUTED_VALUE"""),"ร้านปัง ปัง-83846")</f>
        <v>ร้านปัง ปัง-83846</v>
      </c>
      <c r="AG2961" s="3" t="str">
        <f>IFERROR(__xludf.DUMMYFUNCTION("""COMPUTED_VALUE"""),"กลาง")</f>
        <v>กลาง</v>
      </c>
      <c r="AH2961" s="3" t="str">
        <f>IFERROR(__xludf.DUMMYFUNCTION("""COMPUTED_VALUE"""),"#N/A")</f>
        <v>#N/A</v>
      </c>
      <c r="AI2961" s="3" t="str">
        <f>IFERROR(__xludf.DUMMYFUNCTION("""COMPUTED_VALUE"""),"Out of warranty")</f>
        <v>Out of warranty</v>
      </c>
      <c r="AJ2961" s="3">
        <f>IFERROR(__xludf.DUMMYFUNCTION("""COMPUTED_VALUE"""),42.0)</f>
        <v>42</v>
      </c>
      <c r="AK2961" s="3"/>
      <c r="AL2961" s="3"/>
    </row>
    <row r="2962" ht="15.75" customHeight="1">
      <c r="A2962" s="1" t="str">
        <f>IFERROR(__xludf.DUMMYFUNCTION("""COMPUTED_VALUE"""),"83847")</f>
        <v>83847</v>
      </c>
      <c r="B2962" s="2">
        <f>IFERROR(__xludf.DUMMYFUNCTION("""COMPUTED_VALUE"""),83847.0)</f>
        <v>83847</v>
      </c>
      <c r="C2962" s="3" t="str">
        <f>IFERROR(__xludf.DUMMYFUNCTION("""COMPUTED_VALUE"""),"ร้าน EVE Mart")</f>
        <v>ร้าน EVE Mart</v>
      </c>
      <c r="D2962" s="3" t="str">
        <f>IFERROR(__xludf.DUMMYFUNCTION("""COMPUTED_VALUE"""),"ร้าน EVE Mart")</f>
        <v>ร้าน EVE Mart</v>
      </c>
      <c r="E2962" s="1" t="str">
        <f>IFERROR(__xludf.DUMMYFUNCTION("""COMPUTED_VALUE"""),"Donjai")</f>
        <v>Donjai</v>
      </c>
      <c r="F2962" s="1" t="str">
        <f>IFERROR(__xludf.DUMMYFUNCTION("""COMPUTED_VALUE"""),"296945")</f>
        <v>296945</v>
      </c>
      <c r="G2962" s="1" t="str">
        <f>IFERROR(__xludf.DUMMYFUNCTION("""COMPUTED_VALUE"""),"นายรักพงศ์ พงศ์พันธ์งาม")</f>
        <v>นายรักพงศ์ พงศ์พันธ์งาม</v>
      </c>
      <c r="H2962" s="1" t="str">
        <f>IFERROR(__xludf.DUMMYFUNCTION("""COMPUTED_VALUE"""),"296945")</f>
        <v>296945</v>
      </c>
      <c r="I2962" s="1" t="str">
        <f>IFERROR(__xludf.DUMMYFUNCTION("""COMPUTED_VALUE"""),"นายรักพงศ์ พงศ์พันธ์งาม")</f>
        <v>นายรักพงศ์ พงศ์พันธ์งาม</v>
      </c>
      <c r="J2962" s="3">
        <f>IFERROR(__xludf.DUMMYFUNCTION("""COMPUTED_VALUE"""),228031.0)</f>
        <v>228031</v>
      </c>
      <c r="K2962" s="3" t="str">
        <f>IFERROR(__xludf.DUMMYFUNCTION("""COMPUTED_VALUE"""),"นายธนพงษ์ วันหมัด")</f>
        <v>นายธนพงษ์ วันหมัด</v>
      </c>
      <c r="L2962" s="1" t="str">
        <f>IFERROR(__xludf.DUMMYFUNCTION("""COMPUTED_VALUE"""),"นายธนพงษ์ วันหมัด")</f>
        <v>นายธนพงษ์ วันหมัด</v>
      </c>
      <c r="M2962" s="1" t="str">
        <f>IFERROR(__xludf.DUMMYFUNCTION("""COMPUTED_VALUE"""),"0813716913")</f>
        <v>0813716913</v>
      </c>
      <c r="N2962" s="3">
        <f>IFERROR(__xludf.DUMMYFUNCTION("""COMPUTED_VALUE"""),83847.0)</f>
        <v>83847</v>
      </c>
      <c r="O2962" s="3" t="str">
        <f>IFERROR(__xludf.DUMMYFUNCTION("""COMPUTED_VALUE"""),"ร้าน EVE Mart")</f>
        <v>ร้าน EVE Mart</v>
      </c>
      <c r="P2962" s="4">
        <f>IFERROR(__xludf.DUMMYFUNCTION("""COMPUTED_VALUE"""),45413.0)</f>
        <v>45413</v>
      </c>
      <c r="Q2962" s="3" t="str">
        <f>IFERROR(__xludf.DUMMYFUNCTION("""COMPUTED_VALUE"""),"I")</f>
        <v>I</v>
      </c>
      <c r="R2962" s="3" t="str">
        <f>IFERROR(__xludf.DUMMYFUNCTION("""COMPUTED_VALUE"""),"Small Format")</f>
        <v>Small Format</v>
      </c>
      <c r="S2962" s="3" t="str">
        <f>IFERROR(__xludf.DUMMYFUNCTION("""COMPUTED_VALUE"""),"Donjai")</f>
        <v>Donjai</v>
      </c>
      <c r="T2962" s="3">
        <f>IFERROR(__xludf.DUMMYFUNCTION("""COMPUTED_VALUE"""),0.0)</f>
        <v>0</v>
      </c>
      <c r="U2962" s="3">
        <f>IFERROR(__xludf.DUMMYFUNCTION("""COMPUTED_VALUE"""),0.0)</f>
        <v>0</v>
      </c>
      <c r="V2962" s="3" t="str">
        <f>IFERROR(__xludf.DUMMYFUNCTION("""COMPUTED_VALUE"""),"N")</f>
        <v>N</v>
      </c>
      <c r="W2962" s="3"/>
      <c r="X2962" s="3" t="str">
        <f>IFERROR(__xludf.DUMMYFUNCTION("""COMPUTED_VALUE"""),"565/57 หมู่2 ตำบลหนองปรือ อำเภอบางละมุง จังหวัดชลบุรี 20150")</f>
        <v>565/57 หมู่2 ตำบลหนองปรือ อำเภอบางละมุง จังหวัดชลบุรี 20150</v>
      </c>
      <c r="Y2962" s="3"/>
      <c r="Z2962" s="3"/>
      <c r="AA2962" s="3"/>
      <c r="AB2962" s="3"/>
      <c r="AC2962" s="3"/>
      <c r="AD2962" s="3"/>
      <c r="AE2962" s="3"/>
      <c r="AF2962" s="3" t="str">
        <f>IFERROR(__xludf.DUMMYFUNCTION("""COMPUTED_VALUE"""),"ร้าน EVE Mart-83847")</f>
        <v>ร้าน EVE Mart-83847</v>
      </c>
      <c r="AG2962" s="3">
        <f>IFERROR(__xludf.DUMMYFUNCTION("""COMPUTED_VALUE"""),0.0)</f>
        <v>0</v>
      </c>
      <c r="AH2962" s="3" t="str">
        <f>IFERROR(__xludf.DUMMYFUNCTION("""COMPUTED_VALUE"""),"#N/A")</f>
        <v>#N/A</v>
      </c>
      <c r="AI2962" s="3" t="str">
        <f>IFERROR(__xludf.DUMMYFUNCTION("""COMPUTED_VALUE"""),"Out of warranty")</f>
        <v>Out of warranty</v>
      </c>
      <c r="AJ2962" s="3">
        <f>IFERROR(__xludf.DUMMYFUNCTION("""COMPUTED_VALUE"""),21.0)</f>
        <v>21</v>
      </c>
      <c r="AK2962" s="3"/>
      <c r="AL2962" s="3"/>
    </row>
    <row r="2963" ht="15.75" customHeight="1">
      <c r="A2963" s="1" t="str">
        <f>IFERROR(__xludf.DUMMYFUNCTION("""COMPUTED_VALUE"""),"83848")</f>
        <v>83848</v>
      </c>
      <c r="B2963" s="2">
        <f>IFERROR(__xludf.DUMMYFUNCTION("""COMPUTED_VALUE"""),83848.0)</f>
        <v>83848</v>
      </c>
      <c r="C2963" s="3" t="str">
        <f>IFERROR(__xludf.DUMMYFUNCTION("""COMPUTED_VALUE"""),"ป่าตึงมินิมาร์ท")</f>
        <v>ป่าตึงมินิมาร์ท</v>
      </c>
      <c r="D2963" s="3" t="str">
        <f>IFERROR(__xludf.DUMMYFUNCTION("""COMPUTED_VALUE"""),"ป่าตึงมินิมาร์ท")</f>
        <v>ป่าตึงมินิมาร์ท</v>
      </c>
      <c r="E2963" s="1" t="str">
        <f>IFERROR(__xludf.DUMMYFUNCTION("""COMPUTED_VALUE"""),"Donjai")</f>
        <v>Donjai</v>
      </c>
      <c r="F2963" s="1" t="str">
        <f>IFERROR(__xludf.DUMMYFUNCTION("""COMPUTED_VALUE"""),"2010016")</f>
        <v>2010016</v>
      </c>
      <c r="G2963" s="1" t="str">
        <f>IFERROR(__xludf.DUMMYFUNCTION("""COMPUTED_VALUE"""),"นายตวงธรรม ใหม่ยศ")</f>
        <v>นายตวงธรรม ใหม่ยศ</v>
      </c>
      <c r="H2963" s="1" t="str">
        <f>IFERROR(__xludf.DUMMYFUNCTION("""COMPUTED_VALUE"""),"2010016")</f>
        <v>2010016</v>
      </c>
      <c r="I2963" s="1" t="str">
        <f>IFERROR(__xludf.DUMMYFUNCTION("""COMPUTED_VALUE"""),"นายตวงธรรม ใหม่ยศ")</f>
        <v>นายตวงธรรม ใหม่ยศ</v>
      </c>
      <c r="J2963" s="3">
        <f>IFERROR(__xludf.DUMMYFUNCTION("""COMPUTED_VALUE"""),295886.0)</f>
        <v>295886</v>
      </c>
      <c r="K2963" s="3" t="str">
        <f>IFERROR(__xludf.DUMMYFUNCTION("""COMPUTED_VALUE"""),"นายจิระพงษ์ โพธิ์นิล")</f>
        <v>นายจิระพงษ์ โพธิ์นิล</v>
      </c>
      <c r="L2963" s="1" t="str">
        <f>IFERROR(__xludf.DUMMYFUNCTION("""COMPUTED_VALUE"""),"นายจิระพงษ์ โพธิ์นิล")</f>
        <v>นายจิระพงษ์ โพธิ์นิล</v>
      </c>
      <c r="M2963" s="1" t="str">
        <f>IFERROR(__xludf.DUMMYFUNCTION("""COMPUTED_VALUE"""),"0933290754")</f>
        <v>0933290754</v>
      </c>
      <c r="N2963" s="3">
        <f>IFERROR(__xludf.DUMMYFUNCTION("""COMPUTED_VALUE"""),83848.0)</f>
        <v>83848</v>
      </c>
      <c r="O2963" s="3" t="str">
        <f>IFERROR(__xludf.DUMMYFUNCTION("""COMPUTED_VALUE"""),"ป่าตึงมินิมาร์ท")</f>
        <v>ป่าตึงมินิมาร์ท</v>
      </c>
      <c r="P2963" s="4">
        <f>IFERROR(__xludf.DUMMYFUNCTION("""COMPUTED_VALUE"""),44658.0)</f>
        <v>44658</v>
      </c>
      <c r="Q2963" s="3" t="str">
        <f>IFERROR(__xludf.DUMMYFUNCTION("""COMPUTED_VALUE"""),"A")</f>
        <v>A</v>
      </c>
      <c r="R2963" s="3" t="str">
        <f>IFERROR(__xludf.DUMMYFUNCTION("""COMPUTED_VALUE"""),"Small Format")</f>
        <v>Small Format</v>
      </c>
      <c r="S2963" s="3" t="str">
        <f>IFERROR(__xludf.DUMMYFUNCTION("""COMPUTED_VALUE"""),"Donjai")</f>
        <v>Donjai</v>
      </c>
      <c r="T2963" s="3" t="str">
        <f>IFERROR(__xludf.DUMMYFUNCTION("""COMPUTED_VALUE"""),"01 K.Tuangtham M.")</f>
        <v>01 K.Tuangtham M.</v>
      </c>
      <c r="U2963" s="3" t="str">
        <f>IFERROR(__xludf.DUMMYFUNCTION("""COMPUTED_VALUE"""),"01 K.Tuangtham M.")</f>
        <v>01 K.Tuangtham M.</v>
      </c>
      <c r="V2963" s="3" t="str">
        <f>IFERROR(__xludf.DUMMYFUNCTION("""COMPUTED_VALUE"""),"N")</f>
        <v>N</v>
      </c>
      <c r="W2963" s="3"/>
      <c r="X2963" s="3" t="str">
        <f>IFERROR(__xludf.DUMMYFUNCTION("""COMPUTED_VALUE"""),"356 ม.4 ต.สันทราย อ.เมือง เชียงราย 76140")</f>
        <v>356 ม.4 ต.สันทราย อ.เมือง เชียงราย 76140</v>
      </c>
      <c r="Y2963" s="3"/>
      <c r="Z2963" s="3" t="str">
        <f>IFERROR(__xludf.DUMMYFUNCTION("""COMPUTED_VALUE"""),"สันทราย")</f>
        <v>สันทราย</v>
      </c>
      <c r="AA2963" s="3" t="str">
        <f>IFERROR(__xludf.DUMMYFUNCTION("""COMPUTED_VALUE"""),"เมืองเชียงราย")</f>
        <v>เมืองเชียงราย</v>
      </c>
      <c r="AB2963" s="3" t="str">
        <f>IFERROR(__xludf.DUMMYFUNCTION("""COMPUTED_VALUE"""),"เชียงราย")</f>
        <v>เชียงราย</v>
      </c>
      <c r="AC2963" s="3">
        <f>IFERROR(__xludf.DUMMYFUNCTION("""COMPUTED_VALUE"""),76140.0)</f>
        <v>76140</v>
      </c>
      <c r="AD2963" s="3"/>
      <c r="AE2963" s="3"/>
      <c r="AF2963" s="3" t="str">
        <f>IFERROR(__xludf.DUMMYFUNCTION("""COMPUTED_VALUE"""),"ป่าตึงมินิมาร์ท-83848")</f>
        <v>ป่าตึงมินิมาร์ท-83848</v>
      </c>
      <c r="AG2963" s="3" t="str">
        <f>IFERROR(__xludf.DUMMYFUNCTION("""COMPUTED_VALUE"""),"เหนือ")</f>
        <v>เหนือ</v>
      </c>
      <c r="AH2963" s="3" t="str">
        <f>IFERROR(__xludf.DUMMYFUNCTION("""COMPUTED_VALUE"""),"#N/A")</f>
        <v>#N/A</v>
      </c>
      <c r="AI2963" s="3" t="str">
        <f>IFERROR(__xludf.DUMMYFUNCTION("""COMPUTED_VALUE"""),"Out of warranty")</f>
        <v>Out of warranty</v>
      </c>
      <c r="AJ2963" s="3">
        <f>IFERROR(__xludf.DUMMYFUNCTION("""COMPUTED_VALUE"""),46.0)</f>
        <v>46</v>
      </c>
      <c r="AK2963" s="3"/>
      <c r="AL2963" s="3"/>
    </row>
    <row r="2964" ht="15.75" customHeight="1">
      <c r="A2964" s="1" t="str">
        <f>IFERROR(__xludf.DUMMYFUNCTION("""COMPUTED_VALUE"""),"83849")</f>
        <v>83849</v>
      </c>
      <c r="B2964" s="2">
        <f>IFERROR(__xludf.DUMMYFUNCTION("""COMPUTED_VALUE"""),83849.0)</f>
        <v>83849</v>
      </c>
      <c r="C2964" s="3" t="str">
        <f>IFERROR(__xludf.DUMMYFUNCTION("""COMPUTED_VALUE"""),"ร้านสมหวังโดนใจ (คุณไตรภพ)")</f>
        <v>ร้านสมหวังโดนใจ (คุณไตรภพ)</v>
      </c>
      <c r="D2964" s="3" t="str">
        <f>IFERROR(__xludf.DUMMYFUNCTION("""COMPUTED_VALUE"""),"ร้านสมหวังโดนใจ (คุณไตรภพ)")</f>
        <v>ร้านสมหวังโดนใจ (คุณไตรภพ)</v>
      </c>
      <c r="E2964" s="1" t="str">
        <f>IFERROR(__xludf.DUMMYFUNCTION("""COMPUTED_VALUE"""),"Donjai")</f>
        <v>Donjai</v>
      </c>
      <c r="F2964" s="1" t="str">
        <f>IFERROR(__xludf.DUMMYFUNCTION("""COMPUTED_VALUE"""),"2010023")</f>
        <v>2010023</v>
      </c>
      <c r="G2964" s="1" t="str">
        <f>IFERROR(__xludf.DUMMYFUNCTION("""COMPUTED_VALUE"""),"นายวศิน ไวยรูป")</f>
        <v>นายวศิน ไวยรูป</v>
      </c>
      <c r="H2964" s="1" t="str">
        <f>IFERROR(__xludf.DUMMYFUNCTION("""COMPUTED_VALUE"""),"2010023")</f>
        <v>2010023</v>
      </c>
      <c r="I2964" s="1" t="str">
        <f>IFERROR(__xludf.DUMMYFUNCTION("""COMPUTED_VALUE"""),"นายวศิน ไวยรูป")</f>
        <v>นายวศิน ไวยรูป</v>
      </c>
      <c r="J2964" s="3">
        <f>IFERROR(__xludf.DUMMYFUNCTION("""COMPUTED_VALUE"""),228031.0)</f>
        <v>228031</v>
      </c>
      <c r="K2964" s="3" t="str">
        <f>IFERROR(__xludf.DUMMYFUNCTION("""COMPUTED_VALUE"""),"นายธนพงษ์ วันหมัด")</f>
        <v>นายธนพงษ์ วันหมัด</v>
      </c>
      <c r="L2964" s="1" t="str">
        <f>IFERROR(__xludf.DUMMYFUNCTION("""COMPUTED_VALUE"""),"นายธนพงษ์ วันหมัด")</f>
        <v>นายธนพงษ์ วันหมัด</v>
      </c>
      <c r="M2964" s="1" t="str">
        <f>IFERROR(__xludf.DUMMYFUNCTION("""COMPUTED_VALUE"""),"0813716913")</f>
        <v>0813716913</v>
      </c>
      <c r="N2964" s="3">
        <f>IFERROR(__xludf.DUMMYFUNCTION("""COMPUTED_VALUE"""),83849.0)</f>
        <v>83849</v>
      </c>
      <c r="O2964" s="3" t="str">
        <f>IFERROR(__xludf.DUMMYFUNCTION("""COMPUTED_VALUE"""),"ร้านสมหวังโดนใจ (คุณไตรภพ)")</f>
        <v>ร้านสมหวังโดนใจ (คุณไตรภพ)</v>
      </c>
      <c r="P2964" s="4">
        <f>IFERROR(__xludf.DUMMYFUNCTION("""COMPUTED_VALUE"""),44771.0)</f>
        <v>44771</v>
      </c>
      <c r="Q2964" s="3" t="str">
        <f>IFERROR(__xludf.DUMMYFUNCTION("""COMPUTED_VALUE"""),"I")</f>
        <v>I</v>
      </c>
      <c r="R2964" s="3" t="str">
        <f>IFERROR(__xludf.DUMMYFUNCTION("""COMPUTED_VALUE"""),"Small Format")</f>
        <v>Small Format</v>
      </c>
      <c r="S2964" s="3" t="str">
        <f>IFERROR(__xludf.DUMMYFUNCTION("""COMPUTED_VALUE"""),"Donjai")</f>
        <v>Donjai</v>
      </c>
      <c r="T2964" s="3" t="str">
        <f>IFERROR(__xludf.DUMMYFUNCTION("""COMPUTED_VALUE"""),"Donjai")</f>
        <v>Donjai</v>
      </c>
      <c r="U2964" s="3" t="str">
        <f>IFERROR(__xludf.DUMMYFUNCTION("""COMPUTED_VALUE"""),"Donjai")</f>
        <v>Donjai</v>
      </c>
      <c r="V2964" s="3" t="str">
        <f>IFERROR(__xludf.DUMMYFUNCTION("""COMPUTED_VALUE"""),"N")</f>
        <v>N</v>
      </c>
      <c r="W2964" s="3"/>
      <c r="X2964" s="3" t="str">
        <f>IFERROR(__xludf.DUMMYFUNCTION("""COMPUTED_VALUE"""),"298/1 หมู่4 นางลือ เมืองชัยนาท ชัยนาท")</f>
        <v>298/1 หมู่4 นางลือ เมืองชัยนาท ชัยนาท</v>
      </c>
      <c r="Y2964" s="3"/>
      <c r="Z2964" s="3">
        <f>IFERROR(__xludf.DUMMYFUNCTION("""COMPUTED_VALUE"""),0.0)</f>
        <v>0</v>
      </c>
      <c r="AA2964" s="3">
        <f>IFERROR(__xludf.DUMMYFUNCTION("""COMPUTED_VALUE"""),0.0)</f>
        <v>0</v>
      </c>
      <c r="AB2964" s="3" t="str">
        <f>IFERROR(__xludf.DUMMYFUNCTION("""COMPUTED_VALUE"""),"ชัยนาท")</f>
        <v>ชัยนาท</v>
      </c>
      <c r="AC2964" s="3">
        <f>IFERROR(__xludf.DUMMYFUNCTION("""COMPUTED_VALUE"""),0.0)</f>
        <v>0</v>
      </c>
      <c r="AD2964" s="3"/>
      <c r="AE2964" s="3"/>
      <c r="AF2964" s="3" t="str">
        <f>IFERROR(__xludf.DUMMYFUNCTION("""COMPUTED_VALUE"""),"ร้านสมหวังโดนใจ (คุณไตรภพ)-83849")</f>
        <v>ร้านสมหวังโดนใจ (คุณไตรภพ)-83849</v>
      </c>
      <c r="AG2964" s="3" t="str">
        <f>IFERROR(__xludf.DUMMYFUNCTION("""COMPUTED_VALUE"""),"กลาง")</f>
        <v>กลาง</v>
      </c>
      <c r="AH2964" s="3" t="str">
        <f>IFERROR(__xludf.DUMMYFUNCTION("""COMPUTED_VALUE"""),"#N/A")</f>
        <v>#N/A</v>
      </c>
      <c r="AI2964" s="3" t="str">
        <f>IFERROR(__xludf.DUMMYFUNCTION("""COMPUTED_VALUE"""),"Out of warranty")</f>
        <v>Out of warranty</v>
      </c>
      <c r="AJ2964" s="3">
        <f>IFERROR(__xludf.DUMMYFUNCTION("""COMPUTED_VALUE"""),42.0)</f>
        <v>42</v>
      </c>
      <c r="AK2964" s="3"/>
      <c r="AL2964" s="3"/>
    </row>
    <row r="2965" ht="15.75" customHeight="1">
      <c r="A2965" s="1" t="str">
        <f>IFERROR(__xludf.DUMMYFUNCTION("""COMPUTED_VALUE"""),"83850")</f>
        <v>83850</v>
      </c>
      <c r="B2965" s="2">
        <f>IFERROR(__xludf.DUMMYFUNCTION("""COMPUTED_VALUE"""),83850.0)</f>
        <v>83850</v>
      </c>
      <c r="C2965" s="3" t="str">
        <f>IFERROR(__xludf.DUMMYFUNCTION("""COMPUTED_VALUE"""),"ร้าน 5 ป. มินิมาร์ท (คุณวุฒิ108shop)")</f>
        <v>ร้าน 5 ป. มินิมาร์ท (คุณวุฒิ108shop)</v>
      </c>
      <c r="D2965" s="3" t="str">
        <f>IFERROR(__xludf.DUMMYFUNCTION("""COMPUTED_VALUE"""),"ร้าน 5 ป. มินิมาร์ท (คุณวุฒิ108shop)")</f>
        <v>ร้าน 5 ป. มินิมาร์ท (คุณวุฒิ108shop)</v>
      </c>
      <c r="E2965" s="1" t="str">
        <f>IFERROR(__xludf.DUMMYFUNCTION("""COMPUTED_VALUE"""),"Donjai")</f>
        <v>Donjai</v>
      </c>
      <c r="F2965" s="1" t="str">
        <f>IFERROR(__xludf.DUMMYFUNCTION("""COMPUTED_VALUE"""),"296866")</f>
        <v>296866</v>
      </c>
      <c r="G2965" s="1" t="str">
        <f>IFERROR(__xludf.DUMMYFUNCTION("""COMPUTED_VALUE"""),"นายณัฐภูมิ สุจริตธรรม")</f>
        <v>นายณัฐภูมิ สุจริตธรรม</v>
      </c>
      <c r="H2965" s="1" t="str">
        <f>IFERROR(__xludf.DUMMYFUNCTION("""COMPUTED_VALUE"""),"296866")</f>
        <v>296866</v>
      </c>
      <c r="I2965" s="1" t="str">
        <f>IFERROR(__xludf.DUMMYFUNCTION("""COMPUTED_VALUE"""),"นายณัฐภูมิ สุจริตธรรม")</f>
        <v>นายณัฐภูมิ สุจริตธรรม</v>
      </c>
      <c r="J2965" s="3">
        <f>IFERROR(__xludf.DUMMYFUNCTION("""COMPUTED_VALUE"""),228031.0)</f>
        <v>228031</v>
      </c>
      <c r="K2965" s="3" t="str">
        <f>IFERROR(__xludf.DUMMYFUNCTION("""COMPUTED_VALUE"""),"นายธนพงษ์ วันหมัด")</f>
        <v>นายธนพงษ์ วันหมัด</v>
      </c>
      <c r="L2965" s="1" t="str">
        <f>IFERROR(__xludf.DUMMYFUNCTION("""COMPUTED_VALUE"""),"นายธนพงษ์ วันหมัด")</f>
        <v>นายธนพงษ์ วันหมัด</v>
      </c>
      <c r="M2965" s="1" t="str">
        <f>IFERROR(__xludf.DUMMYFUNCTION("""COMPUTED_VALUE"""),"0813716913")</f>
        <v>0813716913</v>
      </c>
      <c r="N2965" s="3">
        <f>IFERROR(__xludf.DUMMYFUNCTION("""COMPUTED_VALUE"""),83850.0)</f>
        <v>83850</v>
      </c>
      <c r="O2965" s="3" t="str">
        <f>IFERROR(__xludf.DUMMYFUNCTION("""COMPUTED_VALUE"""),"ร้าน 5 ป. มินิมาร์ท (คุณวุฒิ108shop)")</f>
        <v>ร้าน 5 ป. มินิมาร์ท (คุณวุฒิ108shop)</v>
      </c>
      <c r="P2965" s="4">
        <f>IFERROR(__xludf.DUMMYFUNCTION("""COMPUTED_VALUE"""),44771.0)</f>
        <v>44771</v>
      </c>
      <c r="Q2965" s="3" t="str">
        <f>IFERROR(__xludf.DUMMYFUNCTION("""COMPUTED_VALUE"""),"I")</f>
        <v>I</v>
      </c>
      <c r="R2965" s="3" t="str">
        <f>IFERROR(__xludf.DUMMYFUNCTION("""COMPUTED_VALUE"""),"Small Format")</f>
        <v>Small Format</v>
      </c>
      <c r="S2965" s="3" t="str">
        <f>IFERROR(__xludf.DUMMYFUNCTION("""COMPUTED_VALUE"""),"Donjai")</f>
        <v>Donjai</v>
      </c>
      <c r="T2965" s="3" t="str">
        <f>IFERROR(__xludf.DUMMYFUNCTION("""COMPUTED_VALUE"""),"#N/A")</f>
        <v>#N/A</v>
      </c>
      <c r="U2965" s="3" t="str">
        <f>IFERROR(__xludf.DUMMYFUNCTION("""COMPUTED_VALUE"""),"#N/A")</f>
        <v>#N/A</v>
      </c>
      <c r="V2965" s="3" t="str">
        <f>IFERROR(__xludf.DUMMYFUNCTION("""COMPUTED_VALUE"""),"N")</f>
        <v>N</v>
      </c>
      <c r="W2965" s="3"/>
      <c r="X2965" s="3" t="str">
        <f>IFERROR(__xludf.DUMMYFUNCTION("""COMPUTED_VALUE"""),"62/146 หมู่บ้านมโนรมย์ ม.6 ต.ลำลูกกา อ.ลำลูกกา จ.ปทุมธานี")</f>
        <v>62/146 หมู่บ้านมโนรมย์ ม.6 ต.ลำลูกกา อ.ลำลูกกา จ.ปทุมธานี</v>
      </c>
      <c r="Y2965" s="3"/>
      <c r="Z2965" s="3">
        <f>IFERROR(__xludf.DUMMYFUNCTION("""COMPUTED_VALUE"""),0.0)</f>
        <v>0</v>
      </c>
      <c r="AA2965" s="3">
        <f>IFERROR(__xludf.DUMMYFUNCTION("""COMPUTED_VALUE"""),0.0)</f>
        <v>0</v>
      </c>
      <c r="AB2965" s="3" t="str">
        <f>IFERROR(__xludf.DUMMYFUNCTION("""COMPUTED_VALUE"""),"ปทุมธานี")</f>
        <v>ปทุมธานี</v>
      </c>
      <c r="AC2965" s="3">
        <f>IFERROR(__xludf.DUMMYFUNCTION("""COMPUTED_VALUE"""),0.0)</f>
        <v>0</v>
      </c>
      <c r="AD2965" s="3"/>
      <c r="AE2965" s="3"/>
      <c r="AF2965" s="3" t="str">
        <f>IFERROR(__xludf.DUMMYFUNCTION("""COMPUTED_VALUE"""),"ร้าน 5 ป. มินิมาร์ท (คุณวุฒิ108shop)-83850")</f>
        <v>ร้าน 5 ป. มินิมาร์ท (คุณวุฒิ108shop)-83850</v>
      </c>
      <c r="AG2965" s="3" t="str">
        <f>IFERROR(__xludf.DUMMYFUNCTION("""COMPUTED_VALUE"""),"กลาง")</f>
        <v>กลาง</v>
      </c>
      <c r="AH2965" s="3" t="str">
        <f>IFERROR(__xludf.DUMMYFUNCTION("""COMPUTED_VALUE"""),"#N/A")</f>
        <v>#N/A</v>
      </c>
      <c r="AI2965" s="3" t="str">
        <f>IFERROR(__xludf.DUMMYFUNCTION("""COMPUTED_VALUE"""),"Out of warranty")</f>
        <v>Out of warranty</v>
      </c>
      <c r="AJ2965" s="3">
        <f>IFERROR(__xludf.DUMMYFUNCTION("""COMPUTED_VALUE"""),42.0)</f>
        <v>42</v>
      </c>
      <c r="AK2965" s="3"/>
      <c r="AL2965" s="3"/>
    </row>
    <row r="2966" ht="15.75" customHeight="1">
      <c r="A2966" s="1" t="str">
        <f>IFERROR(__xludf.DUMMYFUNCTION("""COMPUTED_VALUE"""),"83852")</f>
        <v>83852</v>
      </c>
      <c r="B2966" s="2">
        <f>IFERROR(__xludf.DUMMYFUNCTION("""COMPUTED_VALUE"""),83852.0)</f>
        <v>83852</v>
      </c>
      <c r="C2966" s="3" t="str">
        <f>IFERROR(__xludf.DUMMYFUNCTION("""COMPUTED_VALUE"""),"ร้านโพธิ์เสด็จมาร์ท")</f>
        <v>ร้านโพธิ์เสด็จมาร์ท</v>
      </c>
      <c r="D2966" s="3" t="str">
        <f>IFERROR(__xludf.DUMMYFUNCTION("""COMPUTED_VALUE"""),"ร้านโพธิ์เสด็จมาร์ท")</f>
        <v>ร้านโพธิ์เสด็จมาร์ท</v>
      </c>
      <c r="E2966" s="1" t="str">
        <f>IFERROR(__xludf.DUMMYFUNCTION("""COMPUTED_VALUE"""),"Donjai")</f>
        <v>Donjai</v>
      </c>
      <c r="F2966" s="1" t="str">
        <f>IFERROR(__xludf.DUMMYFUNCTION("""COMPUTED_VALUE"""),"20470331")</f>
        <v>20470331</v>
      </c>
      <c r="G2966" s="1" t="str">
        <f>IFERROR(__xludf.DUMMYFUNCTION("""COMPUTED_VALUE"""),"นายสมชาย ลักษณะสุวรรณ")</f>
        <v>นายสมชาย ลักษณะสุวรรณ</v>
      </c>
      <c r="H2966" s="1" t="str">
        <f>IFERROR(__xludf.DUMMYFUNCTION("""COMPUTED_VALUE"""),"20470331")</f>
        <v>20470331</v>
      </c>
      <c r="I2966" s="1" t="str">
        <f>IFERROR(__xludf.DUMMYFUNCTION("""COMPUTED_VALUE"""),"นายสมชาย ลักษณะสุวรรณ")</f>
        <v>นายสมชาย ลักษณะสุวรรณ</v>
      </c>
      <c r="J2966" s="3">
        <f>IFERROR(__xludf.DUMMYFUNCTION("""COMPUTED_VALUE"""),295541.0)</f>
        <v>295541</v>
      </c>
      <c r="K2966" s="3" t="str">
        <f>IFERROR(__xludf.DUMMYFUNCTION("""COMPUTED_VALUE"""),"นายรพิพล ศรีมาตย์")</f>
        <v>นายรพิพล ศรีมาตย์</v>
      </c>
      <c r="L2966" s="1" t="str">
        <f>IFERROR(__xludf.DUMMYFUNCTION("""COMPUTED_VALUE"""),"นายรพิพล ศรีมาตย์")</f>
        <v>นายรพิพล ศรีมาตย์</v>
      </c>
      <c r="M2966" s="1" t="str">
        <f>IFERROR(__xludf.DUMMYFUNCTION("""COMPUTED_VALUE"""),"0613966115")</f>
        <v>0613966115</v>
      </c>
      <c r="N2966" s="3">
        <f>IFERROR(__xludf.DUMMYFUNCTION("""COMPUTED_VALUE"""),83852.0)</f>
        <v>83852</v>
      </c>
      <c r="O2966" s="3" t="str">
        <f>IFERROR(__xludf.DUMMYFUNCTION("""COMPUTED_VALUE"""),"ร้านโพธิ์เสด็จมาร์ท")</f>
        <v>ร้านโพธิ์เสด็จมาร์ท</v>
      </c>
      <c r="P2966" s="4">
        <f>IFERROR(__xludf.DUMMYFUNCTION("""COMPUTED_VALUE"""),44655.0)</f>
        <v>44655</v>
      </c>
      <c r="Q2966" s="3" t="str">
        <f>IFERROR(__xludf.DUMMYFUNCTION("""COMPUTED_VALUE"""),"I")</f>
        <v>I</v>
      </c>
      <c r="R2966" s="3" t="str">
        <f>IFERROR(__xludf.DUMMYFUNCTION("""COMPUTED_VALUE"""),"Small Format")</f>
        <v>Small Format</v>
      </c>
      <c r="S2966" s="3" t="str">
        <f>IFERROR(__xludf.DUMMYFUNCTION("""COMPUTED_VALUE"""),"Donjai")</f>
        <v>Donjai</v>
      </c>
      <c r="T2966" s="3" t="str">
        <f>IFERROR(__xludf.DUMMYFUNCTION("""COMPUTED_VALUE"""),"15 K.Somchai L")</f>
        <v>15 K.Somchai L</v>
      </c>
      <c r="U2966" s="3" t="str">
        <f>IFERROR(__xludf.DUMMYFUNCTION("""COMPUTED_VALUE"""),"15 K.Somchai L")</f>
        <v>15 K.Somchai L</v>
      </c>
      <c r="V2966" s="3" t="str">
        <f>IFERROR(__xludf.DUMMYFUNCTION("""COMPUTED_VALUE"""),"N")</f>
        <v>N</v>
      </c>
      <c r="W2966" s="3"/>
      <c r="X2966" s="3" t="str">
        <f>IFERROR(__xludf.DUMMYFUNCTION("""COMPUTED_VALUE"""),"58 ม.8 โพธิ์เสด็จ เมือง นครศรีธรรมราช 80000")</f>
        <v>58 ม.8 โพธิ์เสด็จ เมือง นครศรีธรรมราช 80000</v>
      </c>
      <c r="Y2966" s="3"/>
      <c r="Z2966" s="3">
        <f>IFERROR(__xludf.DUMMYFUNCTION("""COMPUTED_VALUE"""),0.0)</f>
        <v>0</v>
      </c>
      <c r="AA2966" s="3">
        <f>IFERROR(__xludf.DUMMYFUNCTION("""COMPUTED_VALUE"""),0.0)</f>
        <v>0</v>
      </c>
      <c r="AB2966" s="3" t="str">
        <f>IFERROR(__xludf.DUMMYFUNCTION("""COMPUTED_VALUE"""),"นครศรีธรรมราช")</f>
        <v>นครศรีธรรมราช</v>
      </c>
      <c r="AC2966" s="3">
        <f>IFERROR(__xludf.DUMMYFUNCTION("""COMPUTED_VALUE"""),80000.0)</f>
        <v>80000</v>
      </c>
      <c r="AD2966" s="3"/>
      <c r="AE2966" s="3"/>
      <c r="AF2966" s="3" t="str">
        <f>IFERROR(__xludf.DUMMYFUNCTION("""COMPUTED_VALUE"""),"ร้านโพธิ์เสด็จมาร์ท-83852")</f>
        <v>ร้านโพธิ์เสด็จมาร์ท-83852</v>
      </c>
      <c r="AG2966" s="3" t="str">
        <f>IFERROR(__xludf.DUMMYFUNCTION("""COMPUTED_VALUE"""),"ใต้")</f>
        <v>ใต้</v>
      </c>
      <c r="AH2966" s="3" t="str">
        <f>IFERROR(__xludf.DUMMYFUNCTION("""COMPUTED_VALUE"""),"#N/A")</f>
        <v>#N/A</v>
      </c>
      <c r="AI2966" s="3" t="str">
        <f>IFERROR(__xludf.DUMMYFUNCTION("""COMPUTED_VALUE"""),"Out of warranty")</f>
        <v>Out of warranty</v>
      </c>
      <c r="AJ2966" s="3">
        <f>IFERROR(__xludf.DUMMYFUNCTION("""COMPUTED_VALUE"""),46.0)</f>
        <v>46</v>
      </c>
      <c r="AK2966" s="3"/>
      <c r="AL2966" s="3"/>
    </row>
    <row r="2967" ht="15.75" customHeight="1">
      <c r="A2967" s="1" t="str">
        <f>IFERROR(__xludf.DUMMYFUNCTION("""COMPUTED_VALUE"""),"83853")</f>
        <v>83853</v>
      </c>
      <c r="B2967" s="2">
        <f>IFERROR(__xludf.DUMMYFUNCTION("""COMPUTED_VALUE"""),83853.0)</f>
        <v>83853</v>
      </c>
      <c r="C2967" s="3" t="str">
        <f>IFERROR(__xludf.DUMMYFUNCTION("""COMPUTED_VALUE"""),"ร้าน นายหัวแดง,สวนอาหารบัวแดง")</f>
        <v>ร้าน นายหัวแดง,สวนอาหารบัวแดง</v>
      </c>
      <c r="D2967" s="3" t="str">
        <f>IFERROR(__xludf.DUMMYFUNCTION("""COMPUTED_VALUE"""),"ร้าน นายหัวแดง,สวนอาหารบัวแดง")</f>
        <v>ร้าน นายหัวแดง,สวนอาหารบัวแดง</v>
      </c>
      <c r="E2967" s="1" t="str">
        <f>IFERROR(__xludf.DUMMYFUNCTION("""COMPUTED_VALUE"""),"Donjai")</f>
        <v>Donjai</v>
      </c>
      <c r="F2967" s="1" t="str">
        <f>IFERROR(__xludf.DUMMYFUNCTION("""COMPUTED_VALUE"""),"025324")</f>
        <v>025324</v>
      </c>
      <c r="G2967" s="1" t="str">
        <f>IFERROR(__xludf.DUMMYFUNCTION("""COMPUTED_VALUE"""),"นายวิเชฎฐ์ ติรัตนะประคม")</f>
        <v>นายวิเชฎฐ์ ติรัตนะประคม</v>
      </c>
      <c r="H2967" s="1" t="str">
        <f>IFERROR(__xludf.DUMMYFUNCTION("""COMPUTED_VALUE"""),"025324")</f>
        <v>025324</v>
      </c>
      <c r="I2967" s="1" t="str">
        <f>IFERROR(__xludf.DUMMYFUNCTION("""COMPUTED_VALUE"""),"นายวิเชฎฐ์ ติรัตนะประคม")</f>
        <v>นายวิเชฎฐ์ ติรัตนะประคม</v>
      </c>
      <c r="J2967" s="3">
        <f>IFERROR(__xludf.DUMMYFUNCTION("""COMPUTED_VALUE"""),295541.0)</f>
        <v>295541</v>
      </c>
      <c r="K2967" s="3" t="str">
        <f>IFERROR(__xludf.DUMMYFUNCTION("""COMPUTED_VALUE"""),"นายรพิพล ศรีมาตย์")</f>
        <v>นายรพิพล ศรีมาตย์</v>
      </c>
      <c r="L2967" s="1" t="str">
        <f>IFERROR(__xludf.DUMMYFUNCTION("""COMPUTED_VALUE"""),"นายรพิพล ศรีมาตย์")</f>
        <v>นายรพิพล ศรีมาตย์</v>
      </c>
      <c r="M2967" s="1" t="str">
        <f>IFERROR(__xludf.DUMMYFUNCTION("""COMPUTED_VALUE"""),"0613966115")</f>
        <v>0613966115</v>
      </c>
      <c r="N2967" s="3">
        <f>IFERROR(__xludf.DUMMYFUNCTION("""COMPUTED_VALUE"""),83853.0)</f>
        <v>83853</v>
      </c>
      <c r="O2967" s="3" t="str">
        <f>IFERROR(__xludf.DUMMYFUNCTION("""COMPUTED_VALUE"""),"ร้าน นายหัวแดง,สวนอาหารบัวแดง")</f>
        <v>ร้าน นายหัวแดง,สวนอาหารบัวแดง</v>
      </c>
      <c r="P2967" s="4">
        <f>IFERROR(__xludf.DUMMYFUNCTION("""COMPUTED_VALUE"""),44690.0)</f>
        <v>44690</v>
      </c>
      <c r="Q2967" s="3" t="str">
        <f>IFERROR(__xludf.DUMMYFUNCTION("""COMPUTED_VALUE"""),"A")</f>
        <v>A</v>
      </c>
      <c r="R2967" s="3" t="str">
        <f>IFERROR(__xludf.DUMMYFUNCTION("""COMPUTED_VALUE"""),"Small Format")</f>
        <v>Small Format</v>
      </c>
      <c r="S2967" s="3" t="str">
        <f>IFERROR(__xludf.DUMMYFUNCTION("""COMPUTED_VALUE"""),"Donjai")</f>
        <v>Donjai</v>
      </c>
      <c r="T2967" s="3" t="str">
        <f>IFERROR(__xludf.DUMMYFUNCTION("""COMPUTED_VALUE"""),"14 K.Wichet T.")</f>
        <v>14 K.Wichet T.</v>
      </c>
      <c r="U2967" s="3" t="str">
        <f>IFERROR(__xludf.DUMMYFUNCTION("""COMPUTED_VALUE"""),"14 K.Wichet T.")</f>
        <v>14 K.Wichet T.</v>
      </c>
      <c r="V2967" s="3" t="str">
        <f>IFERROR(__xludf.DUMMYFUNCTION("""COMPUTED_VALUE"""),"N")</f>
        <v>N</v>
      </c>
      <c r="W2967" s="3"/>
      <c r="X2967" s="3" t="str">
        <f>IFERROR(__xludf.DUMMYFUNCTION("""COMPUTED_VALUE"""),"3 ม.1 ทรายขาว หัวไทร นครศรีธรรมราช 80170")</f>
        <v>3 ม.1 ทรายขาว หัวไทร นครศรีธรรมราช 80170</v>
      </c>
      <c r="Y2967" s="3"/>
      <c r="Z2967" s="3">
        <f>IFERROR(__xludf.DUMMYFUNCTION("""COMPUTED_VALUE"""),0.0)</f>
        <v>0</v>
      </c>
      <c r="AA2967" s="3">
        <f>IFERROR(__xludf.DUMMYFUNCTION("""COMPUTED_VALUE"""),0.0)</f>
        <v>0</v>
      </c>
      <c r="AB2967" s="3" t="str">
        <f>IFERROR(__xludf.DUMMYFUNCTION("""COMPUTED_VALUE"""),"นครศรีธรรมราช")</f>
        <v>นครศรีธรรมราช</v>
      </c>
      <c r="AC2967" s="3">
        <f>IFERROR(__xludf.DUMMYFUNCTION("""COMPUTED_VALUE"""),80170.0)</f>
        <v>80170</v>
      </c>
      <c r="AD2967" s="3"/>
      <c r="AE2967" s="3"/>
      <c r="AF2967" s="3" t="str">
        <f>IFERROR(__xludf.DUMMYFUNCTION("""COMPUTED_VALUE"""),"ร้าน นายหัวแดง,สวนอาหารบัวแดง-83853")</f>
        <v>ร้าน นายหัวแดง,สวนอาหารบัวแดง-83853</v>
      </c>
      <c r="AG2967" s="3" t="str">
        <f>IFERROR(__xludf.DUMMYFUNCTION("""COMPUTED_VALUE"""),"ใต้")</f>
        <v>ใต้</v>
      </c>
      <c r="AH2967" s="3" t="str">
        <f>IFERROR(__xludf.DUMMYFUNCTION("""COMPUTED_VALUE"""),"#N/A")</f>
        <v>#N/A</v>
      </c>
      <c r="AI2967" s="3" t="str">
        <f>IFERROR(__xludf.DUMMYFUNCTION("""COMPUTED_VALUE"""),"Out of warranty")</f>
        <v>Out of warranty</v>
      </c>
      <c r="AJ2967" s="3">
        <f>IFERROR(__xludf.DUMMYFUNCTION("""COMPUTED_VALUE"""),45.0)</f>
        <v>45</v>
      </c>
      <c r="AK2967" s="3"/>
      <c r="AL2967" s="3"/>
    </row>
    <row r="2968" ht="15.75" customHeight="1">
      <c r="A2968" s="1" t="str">
        <f>IFERROR(__xludf.DUMMYFUNCTION("""COMPUTED_VALUE"""),"83854")</f>
        <v>83854</v>
      </c>
      <c r="B2968" s="2">
        <f>IFERROR(__xludf.DUMMYFUNCTION("""COMPUTED_VALUE"""),83854.0)</f>
        <v>83854</v>
      </c>
      <c r="C2968" s="3" t="str">
        <f>IFERROR(__xludf.DUMMYFUNCTION("""COMPUTED_VALUE"""),"ร้านร้านฟ้าเคียงดาว(อุเทนการค้า)")</f>
        <v>ร้านร้านฟ้าเคียงดาว(อุเทนการค้า)</v>
      </c>
      <c r="D2968" s="3" t="str">
        <f>IFERROR(__xludf.DUMMYFUNCTION("""COMPUTED_VALUE"""),"ร้านร้านฟ้าเคียงดาว(อุเทนการค้า)")</f>
        <v>ร้านร้านฟ้าเคียงดาว(อุเทนการค้า)</v>
      </c>
      <c r="E2968" s="1" t="str">
        <f>IFERROR(__xludf.DUMMYFUNCTION("""COMPUTED_VALUE"""),"Donjai")</f>
        <v>Donjai</v>
      </c>
      <c r="F2968" s="1" t="str">
        <f>IFERROR(__xludf.DUMMYFUNCTION("""COMPUTED_VALUE"""),"296868")</f>
        <v>296868</v>
      </c>
      <c r="G2968" s="1" t="str">
        <f>IFERROR(__xludf.DUMMYFUNCTION("""COMPUTED_VALUE"""),"นายพีระพงษ์ แก้วดวงดี")</f>
        <v>นายพีระพงษ์ แก้วดวงดี</v>
      </c>
      <c r="H2968" s="1" t="str">
        <f>IFERROR(__xludf.DUMMYFUNCTION("""COMPUTED_VALUE"""),"296868")</f>
        <v>296868</v>
      </c>
      <c r="I2968" s="1" t="str">
        <f>IFERROR(__xludf.DUMMYFUNCTION("""COMPUTED_VALUE"""),"นายพีระพงษ์ แก้วดวงดี")</f>
        <v>นายพีระพงษ์ แก้วดวงดี</v>
      </c>
      <c r="J2968" s="3">
        <f>IFERROR(__xludf.DUMMYFUNCTION("""COMPUTED_VALUE"""),295886.0)</f>
        <v>295886</v>
      </c>
      <c r="K2968" s="3" t="str">
        <f>IFERROR(__xludf.DUMMYFUNCTION("""COMPUTED_VALUE"""),"นายจิระพงษ์ โพธิ์นิล")</f>
        <v>นายจิระพงษ์ โพธิ์นิล</v>
      </c>
      <c r="L2968" s="1" t="str">
        <f>IFERROR(__xludf.DUMMYFUNCTION("""COMPUTED_VALUE"""),"นายจิระพงษ์ โพธิ์นิล")</f>
        <v>นายจิระพงษ์ โพธิ์นิล</v>
      </c>
      <c r="M2968" s="1" t="str">
        <f>IFERROR(__xludf.DUMMYFUNCTION("""COMPUTED_VALUE"""),"0933290754")</f>
        <v>0933290754</v>
      </c>
      <c r="N2968" s="3">
        <f>IFERROR(__xludf.DUMMYFUNCTION("""COMPUTED_VALUE"""),83854.0)</f>
        <v>83854</v>
      </c>
      <c r="O2968" s="3" t="str">
        <f>IFERROR(__xludf.DUMMYFUNCTION("""COMPUTED_VALUE"""),"ร้านร้านฟ้าเคียงดาว(อุเทนการค้า)")</f>
        <v>ร้านร้านฟ้าเคียงดาว(อุเทนการค้า)</v>
      </c>
      <c r="P2968" s="4">
        <f>IFERROR(__xludf.DUMMYFUNCTION("""COMPUTED_VALUE"""),44660.0)</f>
        <v>44660</v>
      </c>
      <c r="Q2968" s="3" t="str">
        <f>IFERROR(__xludf.DUMMYFUNCTION("""COMPUTED_VALUE"""),"I")</f>
        <v>I</v>
      </c>
      <c r="R2968" s="3" t="str">
        <f>IFERROR(__xludf.DUMMYFUNCTION("""COMPUTED_VALUE"""),"Small Format")</f>
        <v>Small Format</v>
      </c>
      <c r="S2968" s="3" t="str">
        <f>IFERROR(__xludf.DUMMYFUNCTION("""COMPUTED_VALUE"""),"Donjai")</f>
        <v>Donjai</v>
      </c>
      <c r="T2968" s="3" t="str">
        <f>IFERROR(__xludf.DUMMYFUNCTION("""COMPUTED_VALUE"""),"03 K.Peerapong K.")</f>
        <v>03 K.Peerapong K.</v>
      </c>
      <c r="U2968" s="3" t="str">
        <f>IFERROR(__xludf.DUMMYFUNCTION("""COMPUTED_VALUE"""),"03 K.Peerapong K.")</f>
        <v>03 K.Peerapong K.</v>
      </c>
      <c r="V2968" s="3" t="str">
        <f>IFERROR(__xludf.DUMMYFUNCTION("""COMPUTED_VALUE"""),"N")</f>
        <v>N</v>
      </c>
      <c r="W2968" s="3"/>
      <c r="X2968" s="3" t="str">
        <f>IFERROR(__xludf.DUMMYFUNCTION("""COMPUTED_VALUE"""),"45ม.13 กุดขอนแก่น ภูเวียง ขอนแก่น 40150")</f>
        <v>45ม.13 กุดขอนแก่น ภูเวียง ขอนแก่น 40150</v>
      </c>
      <c r="Y2968" s="3"/>
      <c r="Z2968" s="3">
        <f>IFERROR(__xludf.DUMMYFUNCTION("""COMPUTED_VALUE"""),0.0)</f>
        <v>0</v>
      </c>
      <c r="AA2968" s="3">
        <f>IFERROR(__xludf.DUMMYFUNCTION("""COMPUTED_VALUE"""),0.0)</f>
        <v>0</v>
      </c>
      <c r="AB2968" s="3" t="str">
        <f>IFERROR(__xludf.DUMMYFUNCTION("""COMPUTED_VALUE"""),"ขอนแก่น")</f>
        <v>ขอนแก่น</v>
      </c>
      <c r="AC2968" s="3">
        <f>IFERROR(__xludf.DUMMYFUNCTION("""COMPUTED_VALUE"""),40150.0)</f>
        <v>40150</v>
      </c>
      <c r="AD2968" s="3"/>
      <c r="AE2968" s="3"/>
      <c r="AF2968" s="3" t="str">
        <f>IFERROR(__xludf.DUMMYFUNCTION("""COMPUTED_VALUE"""),"ร้านร้านฟ้าเคียงดาว(อุเทนการค้า)-83854")</f>
        <v>ร้านร้านฟ้าเคียงดาว(อุเทนการค้า)-83854</v>
      </c>
      <c r="AG2968" s="3" t="str">
        <f>IFERROR(__xludf.DUMMYFUNCTION("""COMPUTED_VALUE"""),"ตะวันออกเฉียงเหนือ")</f>
        <v>ตะวันออกเฉียงเหนือ</v>
      </c>
      <c r="AH2968" s="3" t="str">
        <f>IFERROR(__xludf.DUMMYFUNCTION("""COMPUTED_VALUE"""),"#N/A")</f>
        <v>#N/A</v>
      </c>
      <c r="AI2968" s="3" t="str">
        <f>IFERROR(__xludf.DUMMYFUNCTION("""COMPUTED_VALUE"""),"Out of warranty")</f>
        <v>Out of warranty</v>
      </c>
      <c r="AJ2968" s="3">
        <f>IFERROR(__xludf.DUMMYFUNCTION("""COMPUTED_VALUE"""),46.0)</f>
        <v>46</v>
      </c>
      <c r="AK2968" s="3"/>
      <c r="AL2968" s="3"/>
    </row>
    <row r="2969" ht="15.75" customHeight="1">
      <c r="A2969" s="1" t="str">
        <f>IFERROR(__xludf.DUMMYFUNCTION("""COMPUTED_VALUE"""),"83855")</f>
        <v>83855</v>
      </c>
      <c r="B2969" s="2">
        <f>IFERROR(__xludf.DUMMYFUNCTION("""COMPUTED_VALUE"""),83855.0)</f>
        <v>83855</v>
      </c>
      <c r="C2969" s="3" t="str">
        <f>IFERROR(__xludf.DUMMYFUNCTION("""COMPUTED_VALUE"""),"ร้านบรรจง เจริญพาณิชย์ (บรรจง เจริญพานิช (วีระวัฒน์การเกษตร (คุณภัสรา)))")</f>
        <v>ร้านบรรจง เจริญพาณิชย์ (บรรจง เจริญพานิช (วีระวัฒน์การเกษตร (คุณภัสรา)))</v>
      </c>
      <c r="D2969" s="3" t="str">
        <f>IFERROR(__xludf.DUMMYFUNCTION("""COMPUTED_VALUE"""),"ร้านบรรจง เจริญพาณิชย์ (บรรจง เจริญพานิช (วีระวัฒน์การเกษตร (คุณภัสรา)))")</f>
        <v>ร้านบรรจง เจริญพาณิชย์ (บรรจง เจริญพานิช (วีระวัฒน์การเกษตร (คุณภัสรา)))</v>
      </c>
      <c r="E2969" s="1" t="str">
        <f>IFERROR(__xludf.DUMMYFUNCTION("""COMPUTED_VALUE"""),"Donjai")</f>
        <v>Donjai</v>
      </c>
      <c r="F2969" s="1" t="str">
        <f>IFERROR(__xludf.DUMMYFUNCTION("""COMPUTED_VALUE"""),"296868")</f>
        <v>296868</v>
      </c>
      <c r="G2969" s="1" t="str">
        <f>IFERROR(__xludf.DUMMYFUNCTION("""COMPUTED_VALUE"""),"นายพีระพงษ์ แก้วดวงดี")</f>
        <v>นายพีระพงษ์ แก้วดวงดี</v>
      </c>
      <c r="H2969" s="1" t="str">
        <f>IFERROR(__xludf.DUMMYFUNCTION("""COMPUTED_VALUE"""),"296868")</f>
        <v>296868</v>
      </c>
      <c r="I2969" s="1" t="str">
        <f>IFERROR(__xludf.DUMMYFUNCTION("""COMPUTED_VALUE"""),"นายพีระพงษ์ แก้วดวงดี")</f>
        <v>นายพีระพงษ์ แก้วดวงดี</v>
      </c>
      <c r="J2969" s="3">
        <f>IFERROR(__xludf.DUMMYFUNCTION("""COMPUTED_VALUE"""),295886.0)</f>
        <v>295886</v>
      </c>
      <c r="K2969" s="3" t="str">
        <f>IFERROR(__xludf.DUMMYFUNCTION("""COMPUTED_VALUE"""),"นายจิระพงษ์ โพธิ์นิล")</f>
        <v>นายจิระพงษ์ โพธิ์นิล</v>
      </c>
      <c r="L2969" s="1" t="str">
        <f>IFERROR(__xludf.DUMMYFUNCTION("""COMPUTED_VALUE"""),"นายจิระพงษ์ โพธิ์นิล")</f>
        <v>นายจิระพงษ์ โพธิ์นิล</v>
      </c>
      <c r="M2969" s="1" t="str">
        <f>IFERROR(__xludf.DUMMYFUNCTION("""COMPUTED_VALUE"""),"0933290754")</f>
        <v>0933290754</v>
      </c>
      <c r="N2969" s="3">
        <f>IFERROR(__xludf.DUMMYFUNCTION("""COMPUTED_VALUE"""),83855.0)</f>
        <v>83855</v>
      </c>
      <c r="O2969" s="3" t="str">
        <f>IFERROR(__xludf.DUMMYFUNCTION("""COMPUTED_VALUE"""),"ร้านบรรจง เจริญพาณิชย์ (บรรจง เจริญพานิช (วีระวัฒน์การเกษตร (คุณภัสรา)))")</f>
        <v>ร้านบรรจง เจริญพาณิชย์ (บรรจง เจริญพานิช (วีระวัฒน์การเกษตร (คุณภัสรา)))</v>
      </c>
      <c r="P2969" s="4">
        <f>IFERROR(__xludf.DUMMYFUNCTION("""COMPUTED_VALUE"""),44660.0)</f>
        <v>44660</v>
      </c>
      <c r="Q2969" s="3" t="str">
        <f>IFERROR(__xludf.DUMMYFUNCTION("""COMPUTED_VALUE"""),"A")</f>
        <v>A</v>
      </c>
      <c r="R2969" s="3" t="str">
        <f>IFERROR(__xludf.DUMMYFUNCTION("""COMPUTED_VALUE"""),"Small Format")</f>
        <v>Small Format</v>
      </c>
      <c r="S2969" s="3" t="str">
        <f>IFERROR(__xludf.DUMMYFUNCTION("""COMPUTED_VALUE"""),"Donjai")</f>
        <v>Donjai</v>
      </c>
      <c r="T2969" s="3" t="str">
        <f>IFERROR(__xludf.DUMMYFUNCTION("""COMPUTED_VALUE"""),"03 K.Peerapong K.")</f>
        <v>03 K.Peerapong K.</v>
      </c>
      <c r="U2969" s="3" t="str">
        <f>IFERROR(__xludf.DUMMYFUNCTION("""COMPUTED_VALUE"""),"03 K.Peerapong K.")</f>
        <v>03 K.Peerapong K.</v>
      </c>
      <c r="V2969" s="3" t="str">
        <f>IFERROR(__xludf.DUMMYFUNCTION("""COMPUTED_VALUE"""),"N")</f>
        <v>N</v>
      </c>
      <c r="W2969" s="3"/>
      <c r="X2969" s="3" t="str">
        <f>IFERROR(__xludf.DUMMYFUNCTION("""COMPUTED_VALUE"""),"50 หมู่1 แขวงศรีสำราญ เขตพรเจริญ จ.บึงกาฬ")</f>
        <v>50 หมู่1 แขวงศรีสำราญ เขตพรเจริญ จ.บึงกาฬ</v>
      </c>
      <c r="Y2969" s="3"/>
      <c r="Z2969" s="3">
        <f>IFERROR(__xludf.DUMMYFUNCTION("""COMPUTED_VALUE"""),0.0)</f>
        <v>0</v>
      </c>
      <c r="AA2969" s="3">
        <f>IFERROR(__xludf.DUMMYFUNCTION("""COMPUTED_VALUE"""),0.0)</f>
        <v>0</v>
      </c>
      <c r="AB2969" s="3" t="str">
        <f>IFERROR(__xludf.DUMMYFUNCTION("""COMPUTED_VALUE"""),"บึงกาฬ")</f>
        <v>บึงกาฬ</v>
      </c>
      <c r="AC2969" s="3">
        <f>IFERROR(__xludf.DUMMYFUNCTION("""COMPUTED_VALUE"""),0.0)</f>
        <v>0</v>
      </c>
      <c r="AD2969" s="3"/>
      <c r="AE2969" s="3"/>
      <c r="AF2969" s="3" t="str">
        <f>IFERROR(__xludf.DUMMYFUNCTION("""COMPUTED_VALUE"""),"ร้านบรรจง เจริญพาณิชย์ (บรรจง เจริญพานิช (วีระวัฒน์การเกษตร (คุณภัสรา)))-83855")</f>
        <v>ร้านบรรจง เจริญพาณิชย์ (บรรจง เจริญพานิช (วีระวัฒน์การเกษตร (คุณภัสรา)))-83855</v>
      </c>
      <c r="AG2969" s="3" t="str">
        <f>IFERROR(__xludf.DUMMYFUNCTION("""COMPUTED_VALUE"""),"ตะวันออกเฉียงเหนือ")</f>
        <v>ตะวันออกเฉียงเหนือ</v>
      </c>
      <c r="AH2969" s="3" t="str">
        <f>IFERROR(__xludf.DUMMYFUNCTION("""COMPUTED_VALUE"""),"#N/A")</f>
        <v>#N/A</v>
      </c>
      <c r="AI2969" s="3" t="str">
        <f>IFERROR(__xludf.DUMMYFUNCTION("""COMPUTED_VALUE"""),"Out of warranty")</f>
        <v>Out of warranty</v>
      </c>
      <c r="AJ2969" s="3">
        <f>IFERROR(__xludf.DUMMYFUNCTION("""COMPUTED_VALUE"""),46.0)</f>
        <v>46</v>
      </c>
      <c r="AK2969" s="3"/>
      <c r="AL2969" s="3"/>
    </row>
    <row r="2970" ht="15.75" customHeight="1">
      <c r="A2970" s="1" t="str">
        <f>IFERROR(__xludf.DUMMYFUNCTION("""COMPUTED_VALUE"""),"83857")</f>
        <v>83857</v>
      </c>
      <c r="B2970" s="2">
        <f>IFERROR(__xludf.DUMMYFUNCTION("""COMPUTED_VALUE"""),83857.0)</f>
        <v>83857</v>
      </c>
      <c r="C2970" s="3" t="str">
        <f>IFERROR(__xludf.DUMMYFUNCTION("""COMPUTED_VALUE"""),"ร้านสมบัติ")</f>
        <v>ร้านสมบัติ</v>
      </c>
      <c r="D2970" s="3" t="str">
        <f>IFERROR(__xludf.DUMMYFUNCTION("""COMPUTED_VALUE"""),"ร้านสมบัติ")</f>
        <v>ร้านสมบัติ</v>
      </c>
      <c r="E2970" s="1" t="str">
        <f>IFERROR(__xludf.DUMMYFUNCTION("""COMPUTED_VALUE"""),"Donjai")</f>
        <v>Donjai</v>
      </c>
      <c r="F2970" s="1" t="str">
        <f>IFERROR(__xludf.DUMMYFUNCTION("""COMPUTED_VALUE"""),"296868")</f>
        <v>296868</v>
      </c>
      <c r="G2970" s="1" t="str">
        <f>IFERROR(__xludf.DUMMYFUNCTION("""COMPUTED_VALUE"""),"นายพีระพงษ์ แก้วดวงดี")</f>
        <v>นายพีระพงษ์ แก้วดวงดี</v>
      </c>
      <c r="H2970" s="1" t="str">
        <f>IFERROR(__xludf.DUMMYFUNCTION("""COMPUTED_VALUE"""),"296868")</f>
        <v>296868</v>
      </c>
      <c r="I2970" s="1" t="str">
        <f>IFERROR(__xludf.DUMMYFUNCTION("""COMPUTED_VALUE"""),"นายพีระพงษ์ แก้วดวงดี")</f>
        <v>นายพีระพงษ์ แก้วดวงดี</v>
      </c>
      <c r="J2970" s="3">
        <f>IFERROR(__xludf.DUMMYFUNCTION("""COMPUTED_VALUE"""),295886.0)</f>
        <v>295886</v>
      </c>
      <c r="K2970" s="3" t="str">
        <f>IFERROR(__xludf.DUMMYFUNCTION("""COMPUTED_VALUE"""),"นายจิระพงษ์ โพธิ์นิล")</f>
        <v>นายจิระพงษ์ โพธิ์นิล</v>
      </c>
      <c r="L2970" s="1" t="str">
        <f>IFERROR(__xludf.DUMMYFUNCTION("""COMPUTED_VALUE"""),"นายจิระพงษ์ โพธิ์นิล")</f>
        <v>นายจิระพงษ์ โพธิ์นิล</v>
      </c>
      <c r="M2970" s="1" t="str">
        <f>IFERROR(__xludf.DUMMYFUNCTION("""COMPUTED_VALUE"""),"0933290754")</f>
        <v>0933290754</v>
      </c>
      <c r="N2970" s="3">
        <f>IFERROR(__xludf.DUMMYFUNCTION("""COMPUTED_VALUE"""),83857.0)</f>
        <v>83857</v>
      </c>
      <c r="O2970" s="3" t="str">
        <f>IFERROR(__xludf.DUMMYFUNCTION("""COMPUTED_VALUE"""),"ร้านสมบัติ")</f>
        <v>ร้านสมบัติ</v>
      </c>
      <c r="P2970" s="4">
        <f>IFERROR(__xludf.DUMMYFUNCTION("""COMPUTED_VALUE"""),44739.0)</f>
        <v>44739</v>
      </c>
      <c r="Q2970" s="3" t="str">
        <f>IFERROR(__xludf.DUMMYFUNCTION("""COMPUTED_VALUE"""),"I")</f>
        <v>I</v>
      </c>
      <c r="R2970" s="3" t="str">
        <f>IFERROR(__xludf.DUMMYFUNCTION("""COMPUTED_VALUE"""),"Small Format")</f>
        <v>Small Format</v>
      </c>
      <c r="S2970" s="3" t="str">
        <f>IFERROR(__xludf.DUMMYFUNCTION("""COMPUTED_VALUE"""),"Donjai")</f>
        <v>Donjai</v>
      </c>
      <c r="T2970" s="3" t="str">
        <f>IFERROR(__xludf.DUMMYFUNCTION("""COMPUTED_VALUE"""),"03 K.Peerapong K.")</f>
        <v>03 K.Peerapong K.</v>
      </c>
      <c r="U2970" s="3" t="str">
        <f>IFERROR(__xludf.DUMMYFUNCTION("""COMPUTED_VALUE"""),"03 K.Peerapong K.")</f>
        <v>03 K.Peerapong K.</v>
      </c>
      <c r="V2970" s="3" t="str">
        <f>IFERROR(__xludf.DUMMYFUNCTION("""COMPUTED_VALUE"""),"N")</f>
        <v>N</v>
      </c>
      <c r="W2970" s="3"/>
      <c r="X2970" s="3" t="str">
        <f>IFERROR(__xludf.DUMMYFUNCTION("""COMPUTED_VALUE"""),"107 ม.5 ร่องจิก ภูเรือ เลย 57120")</f>
        <v>107 ม.5 ร่องจิก ภูเรือ เลย 57120</v>
      </c>
      <c r="Y2970" s="3"/>
      <c r="Z2970" s="3" t="str">
        <f>IFERROR(__xludf.DUMMYFUNCTION("""COMPUTED_VALUE"""),"ร่องจิก")</f>
        <v>ร่องจิก</v>
      </c>
      <c r="AA2970" s="3" t="str">
        <f>IFERROR(__xludf.DUMMYFUNCTION("""COMPUTED_VALUE"""),"ภูเรือ")</f>
        <v>ภูเรือ</v>
      </c>
      <c r="AB2970" s="3" t="str">
        <f>IFERROR(__xludf.DUMMYFUNCTION("""COMPUTED_VALUE"""),"เลย")</f>
        <v>เลย</v>
      </c>
      <c r="AC2970" s="3">
        <f>IFERROR(__xludf.DUMMYFUNCTION("""COMPUTED_VALUE"""),57120.0)</f>
        <v>57120</v>
      </c>
      <c r="AD2970" s="3"/>
      <c r="AE2970" s="3"/>
      <c r="AF2970" s="3" t="str">
        <f>IFERROR(__xludf.DUMMYFUNCTION("""COMPUTED_VALUE"""),"ร้านสมบัติ-83857")</f>
        <v>ร้านสมบัติ-83857</v>
      </c>
      <c r="AG2970" s="3" t="str">
        <f>IFERROR(__xludf.DUMMYFUNCTION("""COMPUTED_VALUE"""),"ตะวันออกเฉียงเหนือ")</f>
        <v>ตะวันออกเฉียงเหนือ</v>
      </c>
      <c r="AH2970" s="3" t="str">
        <f>IFERROR(__xludf.DUMMYFUNCTION("""COMPUTED_VALUE"""),"#N/A")</f>
        <v>#N/A</v>
      </c>
      <c r="AI2970" s="3" t="str">
        <f>IFERROR(__xludf.DUMMYFUNCTION("""COMPUTED_VALUE"""),"Out of warranty")</f>
        <v>Out of warranty</v>
      </c>
      <c r="AJ2970" s="3">
        <f>IFERROR(__xludf.DUMMYFUNCTION("""COMPUTED_VALUE"""),43.0)</f>
        <v>43</v>
      </c>
      <c r="AK2970" s="3"/>
      <c r="AL2970" s="3"/>
    </row>
    <row r="2971" ht="15.75" customHeight="1">
      <c r="A2971" s="1" t="str">
        <f>IFERROR(__xludf.DUMMYFUNCTION("""COMPUTED_VALUE"""),"83858")</f>
        <v>83858</v>
      </c>
      <c r="B2971" s="2">
        <f>IFERROR(__xludf.DUMMYFUNCTION("""COMPUTED_VALUE"""),83858.0)</f>
        <v>83858</v>
      </c>
      <c r="C2971" s="3" t="str">
        <f>IFERROR(__xludf.DUMMYFUNCTION("""COMPUTED_VALUE"""),"ร้าน มิลค์ บุญญารัตน์ มินิมาร์ท( บุญญารัตน์ จันทร์หอม)")</f>
        <v>ร้าน มิลค์ บุญญารัตน์ มินิมาร์ท( บุญญารัตน์ จันทร์หอม)</v>
      </c>
      <c r="D2971" s="3" t="str">
        <f>IFERROR(__xludf.DUMMYFUNCTION("""COMPUTED_VALUE"""),"ร้าน มิลค์ บุญญารัตน์ มินิมาร์ท( บุญญารัตน์ จันทร์หอม)")</f>
        <v>ร้าน มิลค์ บุญญารัตน์ มินิมาร์ท( บุญญารัตน์ จันทร์หอม)</v>
      </c>
      <c r="E2971" s="1" t="str">
        <f>IFERROR(__xludf.DUMMYFUNCTION("""COMPUTED_VALUE"""),"Donjai")</f>
        <v>Donjai</v>
      </c>
      <c r="F2971" s="1" t="str">
        <f>IFERROR(__xludf.DUMMYFUNCTION("""COMPUTED_VALUE"""),"2010016")</f>
        <v>2010016</v>
      </c>
      <c r="G2971" s="1" t="str">
        <f>IFERROR(__xludf.DUMMYFUNCTION("""COMPUTED_VALUE"""),"นายตวงธรรม ใหม่ยศ")</f>
        <v>นายตวงธรรม ใหม่ยศ</v>
      </c>
      <c r="H2971" s="1" t="str">
        <f>IFERROR(__xludf.DUMMYFUNCTION("""COMPUTED_VALUE"""),"2010016")</f>
        <v>2010016</v>
      </c>
      <c r="I2971" s="1" t="str">
        <f>IFERROR(__xludf.DUMMYFUNCTION("""COMPUTED_VALUE"""),"นายตวงธรรม ใหม่ยศ")</f>
        <v>นายตวงธรรม ใหม่ยศ</v>
      </c>
      <c r="J2971" s="3">
        <f>IFERROR(__xludf.DUMMYFUNCTION("""COMPUTED_VALUE"""),295886.0)</f>
        <v>295886</v>
      </c>
      <c r="K2971" s="3" t="str">
        <f>IFERROR(__xludf.DUMMYFUNCTION("""COMPUTED_VALUE"""),"นายจิระพงษ์ โพธิ์นิล")</f>
        <v>นายจิระพงษ์ โพธิ์นิล</v>
      </c>
      <c r="L2971" s="1" t="str">
        <f>IFERROR(__xludf.DUMMYFUNCTION("""COMPUTED_VALUE"""),"นายจิระพงษ์ โพธิ์นิล")</f>
        <v>นายจิระพงษ์ โพธิ์นิล</v>
      </c>
      <c r="M2971" s="1" t="str">
        <f>IFERROR(__xludf.DUMMYFUNCTION("""COMPUTED_VALUE"""),"0933290754")</f>
        <v>0933290754</v>
      </c>
      <c r="N2971" s="3">
        <f>IFERROR(__xludf.DUMMYFUNCTION("""COMPUTED_VALUE"""),83858.0)</f>
        <v>83858</v>
      </c>
      <c r="O2971" s="3" t="str">
        <f>IFERROR(__xludf.DUMMYFUNCTION("""COMPUTED_VALUE"""),"ร้าน มิลค์ บุญญารัตน์ มินิมาร์ท( บุญญารัตน์ จันทร์หอม)")</f>
        <v>ร้าน มิลค์ บุญญารัตน์ มินิมาร์ท( บุญญารัตน์ จันทร์หอม)</v>
      </c>
      <c r="P2971" s="4">
        <f>IFERROR(__xludf.DUMMYFUNCTION("""COMPUTED_VALUE"""),44659.0)</f>
        <v>44659</v>
      </c>
      <c r="Q2971" s="3" t="str">
        <f>IFERROR(__xludf.DUMMYFUNCTION("""COMPUTED_VALUE"""),"I")</f>
        <v>I</v>
      </c>
      <c r="R2971" s="3" t="str">
        <f>IFERROR(__xludf.DUMMYFUNCTION("""COMPUTED_VALUE"""),"Small Format")</f>
        <v>Small Format</v>
      </c>
      <c r="S2971" s="3" t="str">
        <f>IFERROR(__xludf.DUMMYFUNCTION("""COMPUTED_VALUE"""),"Donjai")</f>
        <v>Donjai</v>
      </c>
      <c r="T2971" s="3" t="str">
        <f>IFERROR(__xludf.DUMMYFUNCTION("""COMPUTED_VALUE"""),"01 K.Tuangtham M.")</f>
        <v>01 K.Tuangtham M.</v>
      </c>
      <c r="U2971" s="3" t="str">
        <f>IFERROR(__xludf.DUMMYFUNCTION("""COMPUTED_VALUE"""),"01 K.Tuangtham M.")</f>
        <v>01 K.Tuangtham M.</v>
      </c>
      <c r="V2971" s="3" t="str">
        <f>IFERROR(__xludf.DUMMYFUNCTION("""COMPUTED_VALUE"""),"N")</f>
        <v>N</v>
      </c>
      <c r="W2971" s="3"/>
      <c r="X2971" s="3" t="str">
        <f>IFERROR(__xludf.DUMMYFUNCTION("""COMPUTED_VALUE"""),"162/3 ม.3 ท่าฉนวน กงไกรลาศ สุโขทัย 64170")</f>
        <v>162/3 ม.3 ท่าฉนวน กงไกรลาศ สุโขทัย 64170</v>
      </c>
      <c r="Y2971" s="3"/>
      <c r="Z2971" s="3">
        <f>IFERROR(__xludf.DUMMYFUNCTION("""COMPUTED_VALUE"""),0.0)</f>
        <v>0</v>
      </c>
      <c r="AA2971" s="3">
        <f>IFERROR(__xludf.DUMMYFUNCTION("""COMPUTED_VALUE"""),0.0)</f>
        <v>0</v>
      </c>
      <c r="AB2971" s="3" t="str">
        <f>IFERROR(__xludf.DUMMYFUNCTION("""COMPUTED_VALUE"""),"สุโขทัย")</f>
        <v>สุโขทัย</v>
      </c>
      <c r="AC2971" s="3">
        <f>IFERROR(__xludf.DUMMYFUNCTION("""COMPUTED_VALUE"""),64170.0)</f>
        <v>64170</v>
      </c>
      <c r="AD2971" s="3"/>
      <c r="AE2971" s="3"/>
      <c r="AF2971" s="3" t="str">
        <f>IFERROR(__xludf.DUMMYFUNCTION("""COMPUTED_VALUE"""),"ร้าน มิลค์ บุญญารัตน์ มินิมาร์ท( บุญญารัตน์ จันทร์หอม)-83858")</f>
        <v>ร้าน มิลค์ บุญญารัตน์ มินิมาร์ท( บุญญารัตน์ จันทร์หอม)-83858</v>
      </c>
      <c r="AG2971" s="3" t="str">
        <f>IFERROR(__xludf.DUMMYFUNCTION("""COMPUTED_VALUE"""),"กลาง")</f>
        <v>กลาง</v>
      </c>
      <c r="AH2971" s="3" t="str">
        <f>IFERROR(__xludf.DUMMYFUNCTION("""COMPUTED_VALUE"""),"#N/A")</f>
        <v>#N/A</v>
      </c>
      <c r="AI2971" s="3" t="str">
        <f>IFERROR(__xludf.DUMMYFUNCTION("""COMPUTED_VALUE"""),"Out of warranty")</f>
        <v>Out of warranty</v>
      </c>
      <c r="AJ2971" s="3">
        <f>IFERROR(__xludf.DUMMYFUNCTION("""COMPUTED_VALUE"""),46.0)</f>
        <v>46</v>
      </c>
      <c r="AK2971" s="3"/>
      <c r="AL2971" s="3"/>
    </row>
    <row r="2972" ht="15.75" customHeight="1">
      <c r="A2972" s="1" t="str">
        <f>IFERROR(__xludf.DUMMYFUNCTION("""COMPUTED_VALUE"""),"83859")</f>
        <v>83859</v>
      </c>
      <c r="B2972" s="2">
        <f>IFERROR(__xludf.DUMMYFUNCTION("""COMPUTED_VALUE"""),83859.0)</f>
        <v>83859</v>
      </c>
      <c r="C2972" s="3" t="str">
        <f>IFERROR(__xludf.DUMMYFUNCTION("""COMPUTED_VALUE"""),"ร้านแก่นสาพาณิชย์")</f>
        <v>ร้านแก่นสาพาณิชย์</v>
      </c>
      <c r="D2972" s="3" t="str">
        <f>IFERROR(__xludf.DUMMYFUNCTION("""COMPUTED_VALUE"""),"ร้านแก่นสาพาณิชย์")</f>
        <v>ร้านแก่นสาพาณิชย์</v>
      </c>
      <c r="E2972" s="1" t="str">
        <f>IFERROR(__xludf.DUMMYFUNCTION("""COMPUTED_VALUE"""),"Donjai")</f>
        <v>Donjai</v>
      </c>
      <c r="F2972" s="1" t="str">
        <f>IFERROR(__xludf.DUMMYFUNCTION("""COMPUTED_VALUE"""),"015361")</f>
        <v>015361</v>
      </c>
      <c r="G2972" s="1" t="str">
        <f>IFERROR(__xludf.DUMMYFUNCTION("""COMPUTED_VALUE"""),"นายสมบูรณ์ พรหมในเมือง")</f>
        <v>นายสมบูรณ์ พรหมในเมือง</v>
      </c>
      <c r="H2972" s="1" t="str">
        <f>IFERROR(__xludf.DUMMYFUNCTION("""COMPUTED_VALUE"""),"015361")</f>
        <v>015361</v>
      </c>
      <c r="I2972" s="1" t="str">
        <f>IFERROR(__xludf.DUMMYFUNCTION("""COMPUTED_VALUE"""),"นายสมบูรณ์ พรหมในเมือง")</f>
        <v>นายสมบูรณ์ พรหมในเมือง</v>
      </c>
      <c r="J2972" s="3">
        <f>IFERROR(__xludf.DUMMYFUNCTION("""COMPUTED_VALUE"""),295886.0)</f>
        <v>295886</v>
      </c>
      <c r="K2972" s="3" t="str">
        <f>IFERROR(__xludf.DUMMYFUNCTION("""COMPUTED_VALUE"""),"นายจิระพงษ์ โพธิ์นิล")</f>
        <v>นายจิระพงษ์ โพธิ์นิล</v>
      </c>
      <c r="L2972" s="1" t="str">
        <f>IFERROR(__xludf.DUMMYFUNCTION("""COMPUTED_VALUE"""),"นายจิระพงษ์ โพธิ์นิล")</f>
        <v>นายจิระพงษ์ โพธิ์นิล</v>
      </c>
      <c r="M2972" s="1" t="str">
        <f>IFERROR(__xludf.DUMMYFUNCTION("""COMPUTED_VALUE"""),"0933290754")</f>
        <v>0933290754</v>
      </c>
      <c r="N2972" s="3">
        <f>IFERROR(__xludf.DUMMYFUNCTION("""COMPUTED_VALUE"""),83859.0)</f>
        <v>83859</v>
      </c>
      <c r="O2972" s="3" t="str">
        <f>IFERROR(__xludf.DUMMYFUNCTION("""COMPUTED_VALUE"""),"ร้านแก่นสาพาณิชย์")</f>
        <v>ร้านแก่นสาพาณิชย์</v>
      </c>
      <c r="P2972" s="4">
        <f>IFERROR(__xludf.DUMMYFUNCTION("""COMPUTED_VALUE"""),44660.0)</f>
        <v>44660</v>
      </c>
      <c r="Q2972" s="3" t="str">
        <f>IFERROR(__xludf.DUMMYFUNCTION("""COMPUTED_VALUE"""),"I")</f>
        <v>I</v>
      </c>
      <c r="R2972" s="3" t="str">
        <f>IFERROR(__xludf.DUMMYFUNCTION("""COMPUTED_VALUE"""),"Small Format")</f>
        <v>Small Format</v>
      </c>
      <c r="S2972" s="3" t="str">
        <f>IFERROR(__xludf.DUMMYFUNCTION("""COMPUTED_VALUE"""),"Donjai")</f>
        <v>Donjai</v>
      </c>
      <c r="T2972" s="3" t="str">
        <f>IFERROR(__xludf.DUMMYFUNCTION("""COMPUTED_VALUE"""),"04 K.Somboon P.")</f>
        <v>04 K.Somboon P.</v>
      </c>
      <c r="U2972" s="3" t="str">
        <f>IFERROR(__xludf.DUMMYFUNCTION("""COMPUTED_VALUE"""),"04 K.Somboon P.")</f>
        <v>04 K.Somboon P.</v>
      </c>
      <c r="V2972" s="3" t="str">
        <f>IFERROR(__xludf.DUMMYFUNCTION("""COMPUTED_VALUE"""),"N")</f>
        <v>N</v>
      </c>
      <c r="W2972" s="3"/>
      <c r="X2972" s="3" t="str">
        <f>IFERROR(__xludf.DUMMYFUNCTION("""COMPUTED_VALUE"""),"ต.โคกมะม่วง อ.ปะคำ จ.บุรีรัมย์")</f>
        <v>ต.โคกมะม่วง อ.ปะคำ จ.บุรีรัมย์</v>
      </c>
      <c r="Y2972" s="3"/>
      <c r="Z2972" s="3">
        <f>IFERROR(__xludf.DUMMYFUNCTION("""COMPUTED_VALUE"""),0.0)</f>
        <v>0</v>
      </c>
      <c r="AA2972" s="3">
        <f>IFERROR(__xludf.DUMMYFUNCTION("""COMPUTED_VALUE"""),0.0)</f>
        <v>0</v>
      </c>
      <c r="AB2972" s="3" t="str">
        <f>IFERROR(__xludf.DUMMYFUNCTION("""COMPUTED_VALUE"""),"บุรีรัมย์")</f>
        <v>บุรีรัมย์</v>
      </c>
      <c r="AC2972" s="3">
        <f>IFERROR(__xludf.DUMMYFUNCTION("""COMPUTED_VALUE"""),0.0)</f>
        <v>0</v>
      </c>
      <c r="AD2972" s="3"/>
      <c r="AE2972" s="3"/>
      <c r="AF2972" s="3" t="str">
        <f>IFERROR(__xludf.DUMMYFUNCTION("""COMPUTED_VALUE"""),"ร้านแก่นสาพาณิชย์-83859")</f>
        <v>ร้านแก่นสาพาณิชย์-83859</v>
      </c>
      <c r="AG2972" s="3" t="str">
        <f>IFERROR(__xludf.DUMMYFUNCTION("""COMPUTED_VALUE"""),"ตะวันออกเฉียงเหนือ")</f>
        <v>ตะวันออกเฉียงเหนือ</v>
      </c>
      <c r="AH2972" s="3" t="str">
        <f>IFERROR(__xludf.DUMMYFUNCTION("""COMPUTED_VALUE"""),"#N/A")</f>
        <v>#N/A</v>
      </c>
      <c r="AI2972" s="3" t="str">
        <f>IFERROR(__xludf.DUMMYFUNCTION("""COMPUTED_VALUE"""),"Out of warranty")</f>
        <v>Out of warranty</v>
      </c>
      <c r="AJ2972" s="3">
        <f>IFERROR(__xludf.DUMMYFUNCTION("""COMPUTED_VALUE"""),46.0)</f>
        <v>46</v>
      </c>
      <c r="AK2972" s="3"/>
      <c r="AL2972" s="3"/>
    </row>
    <row r="2973" ht="15.75" customHeight="1">
      <c r="A2973" s="1" t="str">
        <f>IFERROR(__xludf.DUMMYFUNCTION("""COMPUTED_VALUE"""),"83860")</f>
        <v>83860</v>
      </c>
      <c r="B2973" s="2">
        <f>IFERROR(__xludf.DUMMYFUNCTION("""COMPUTED_VALUE"""),83860.0)</f>
        <v>83860</v>
      </c>
      <c r="C2973" s="3" t="str">
        <f>IFERROR(__xludf.DUMMYFUNCTION("""COMPUTED_VALUE"""),"ร้าน 222 มินิมาร์ท (สจ.ไพฑูล)")</f>
        <v>ร้าน 222 มินิมาร์ท (สจ.ไพฑูล)</v>
      </c>
      <c r="D2973" s="3" t="str">
        <f>IFERROR(__xludf.DUMMYFUNCTION("""COMPUTED_VALUE"""),"ร้าน 222 มินิมาร์ท (สจ.ไพฑูล)")</f>
        <v>ร้าน 222 มินิมาร์ท (สจ.ไพฑูล)</v>
      </c>
      <c r="E2973" s="1" t="str">
        <f>IFERROR(__xludf.DUMMYFUNCTION("""COMPUTED_VALUE"""),"Donjai")</f>
        <v>Donjai</v>
      </c>
      <c r="F2973" s="1" t="str">
        <f>IFERROR(__xludf.DUMMYFUNCTION("""COMPUTED_VALUE"""),"2010023")</f>
        <v>2010023</v>
      </c>
      <c r="G2973" s="1" t="str">
        <f>IFERROR(__xludf.DUMMYFUNCTION("""COMPUTED_VALUE"""),"นายวศิน ไวยรูป")</f>
        <v>นายวศิน ไวยรูป</v>
      </c>
      <c r="H2973" s="1" t="str">
        <f>IFERROR(__xludf.DUMMYFUNCTION("""COMPUTED_VALUE"""),"2010023")</f>
        <v>2010023</v>
      </c>
      <c r="I2973" s="1" t="str">
        <f>IFERROR(__xludf.DUMMYFUNCTION("""COMPUTED_VALUE"""),"นายวศิน ไวยรูป")</f>
        <v>นายวศิน ไวยรูป</v>
      </c>
      <c r="J2973" s="3">
        <f>IFERROR(__xludf.DUMMYFUNCTION("""COMPUTED_VALUE"""),228031.0)</f>
        <v>228031</v>
      </c>
      <c r="K2973" s="3" t="str">
        <f>IFERROR(__xludf.DUMMYFUNCTION("""COMPUTED_VALUE"""),"นายธนพงษ์ วันหมัด")</f>
        <v>นายธนพงษ์ วันหมัด</v>
      </c>
      <c r="L2973" s="1" t="str">
        <f>IFERROR(__xludf.DUMMYFUNCTION("""COMPUTED_VALUE"""),"นายธนพงษ์ วันหมัด")</f>
        <v>นายธนพงษ์ วันหมัด</v>
      </c>
      <c r="M2973" s="1" t="str">
        <f>IFERROR(__xludf.DUMMYFUNCTION("""COMPUTED_VALUE"""),"0813716913")</f>
        <v>0813716913</v>
      </c>
      <c r="N2973" s="3">
        <f>IFERROR(__xludf.DUMMYFUNCTION("""COMPUTED_VALUE"""),83860.0)</f>
        <v>83860</v>
      </c>
      <c r="O2973" s="3" t="str">
        <f>IFERROR(__xludf.DUMMYFUNCTION("""COMPUTED_VALUE"""),"ร้าน 222 มินิมาร์ท (สจ.ไพฑูล)")</f>
        <v>ร้าน 222 มินิมาร์ท (สจ.ไพฑูล)</v>
      </c>
      <c r="P2973" s="4">
        <f>IFERROR(__xludf.DUMMYFUNCTION("""COMPUTED_VALUE"""),44661.0)</f>
        <v>44661</v>
      </c>
      <c r="Q2973" s="3" t="str">
        <f>IFERROR(__xludf.DUMMYFUNCTION("""COMPUTED_VALUE"""),"I")</f>
        <v>I</v>
      </c>
      <c r="R2973" s="3" t="str">
        <f>IFERROR(__xludf.DUMMYFUNCTION("""COMPUTED_VALUE"""),"Small Format")</f>
        <v>Small Format</v>
      </c>
      <c r="S2973" s="3" t="str">
        <f>IFERROR(__xludf.DUMMYFUNCTION("""COMPUTED_VALUE"""),"Donjai")</f>
        <v>Donjai</v>
      </c>
      <c r="T2973" s="3" t="str">
        <f>IFERROR(__xludf.DUMMYFUNCTION("""COMPUTED_VALUE"""),"Donjai")</f>
        <v>Donjai</v>
      </c>
      <c r="U2973" s="3" t="str">
        <f>IFERROR(__xludf.DUMMYFUNCTION("""COMPUTED_VALUE"""),"Donjai")</f>
        <v>Donjai</v>
      </c>
      <c r="V2973" s="3" t="str">
        <f>IFERROR(__xludf.DUMMYFUNCTION("""COMPUTED_VALUE"""),"N")</f>
        <v>N</v>
      </c>
      <c r="W2973" s="3"/>
      <c r="X2973" s="3" t="str">
        <f>IFERROR(__xludf.DUMMYFUNCTION("""COMPUTED_VALUE"""),"12/3 หมู่ 2 ต.บางน้ำเปรี้ยว อ.บางน้ำเปรี้ยว จ.ฉะเชิงเทรา ฉะเชิงเทรา 24150")</f>
        <v>12/3 หมู่ 2 ต.บางน้ำเปรี้ยว อ.บางน้ำเปรี้ยว จ.ฉะเชิงเทรา ฉะเชิงเทรา 24150</v>
      </c>
      <c r="Y2973" s="3"/>
      <c r="Z2973" s="3">
        <f>IFERROR(__xludf.DUMMYFUNCTION("""COMPUTED_VALUE"""),0.0)</f>
        <v>0</v>
      </c>
      <c r="AA2973" s="3">
        <f>IFERROR(__xludf.DUMMYFUNCTION("""COMPUTED_VALUE"""),0.0)</f>
        <v>0</v>
      </c>
      <c r="AB2973" s="3" t="str">
        <f>IFERROR(__xludf.DUMMYFUNCTION("""COMPUTED_VALUE"""),"ฉะเชิงเทรา")</f>
        <v>ฉะเชิงเทรา</v>
      </c>
      <c r="AC2973" s="3">
        <f>IFERROR(__xludf.DUMMYFUNCTION("""COMPUTED_VALUE"""),24150.0)</f>
        <v>24150</v>
      </c>
      <c r="AD2973" s="3"/>
      <c r="AE2973" s="3"/>
      <c r="AF2973" s="3" t="str">
        <f>IFERROR(__xludf.DUMMYFUNCTION("""COMPUTED_VALUE"""),"ร้าน 222 มินิมาร์ท (สจ.ไพฑูล)-83860")</f>
        <v>ร้าน 222 มินิมาร์ท (สจ.ไพฑูล)-83860</v>
      </c>
      <c r="AG2973" s="3" t="str">
        <f>IFERROR(__xludf.DUMMYFUNCTION("""COMPUTED_VALUE"""),"ตะวันออก")</f>
        <v>ตะวันออก</v>
      </c>
      <c r="AH2973" s="3" t="str">
        <f>IFERROR(__xludf.DUMMYFUNCTION("""COMPUTED_VALUE"""),"#N/A")</f>
        <v>#N/A</v>
      </c>
      <c r="AI2973" s="3" t="str">
        <f>IFERROR(__xludf.DUMMYFUNCTION("""COMPUTED_VALUE"""),"Out of warranty")</f>
        <v>Out of warranty</v>
      </c>
      <c r="AJ2973" s="3">
        <f>IFERROR(__xludf.DUMMYFUNCTION("""COMPUTED_VALUE"""),46.0)</f>
        <v>46</v>
      </c>
      <c r="AK2973" s="3"/>
      <c r="AL2973" s="3"/>
    </row>
    <row r="2974" ht="15.75" customHeight="1">
      <c r="A2974" s="1" t="str">
        <f>IFERROR(__xludf.DUMMYFUNCTION("""COMPUTED_VALUE"""),"83861")</f>
        <v>83861</v>
      </c>
      <c r="B2974" s="2">
        <f>IFERROR(__xludf.DUMMYFUNCTION("""COMPUTED_VALUE"""),83861.0)</f>
        <v>83861</v>
      </c>
      <c r="C2974" s="3" t="str">
        <f>IFERROR(__xludf.DUMMYFUNCTION("""COMPUTED_VALUE"""),"ร้านแม่สายทอง")</f>
        <v>ร้านแม่สายทอง</v>
      </c>
      <c r="D2974" s="3" t="str">
        <f>IFERROR(__xludf.DUMMYFUNCTION("""COMPUTED_VALUE"""),"ร้านแม่สายทอง")</f>
        <v>ร้านแม่สายทอง</v>
      </c>
      <c r="E2974" s="1" t="str">
        <f>IFERROR(__xludf.DUMMYFUNCTION("""COMPUTED_VALUE"""),"Donjai")</f>
        <v>Donjai</v>
      </c>
      <c r="F2974" s="1" t="str">
        <f>IFERROR(__xludf.DUMMYFUNCTION("""COMPUTED_VALUE"""),"296868")</f>
        <v>296868</v>
      </c>
      <c r="G2974" s="1" t="str">
        <f>IFERROR(__xludf.DUMMYFUNCTION("""COMPUTED_VALUE"""),"นายพีระพงษ์ แก้วดวงดี")</f>
        <v>นายพีระพงษ์ แก้วดวงดี</v>
      </c>
      <c r="H2974" s="1" t="str">
        <f>IFERROR(__xludf.DUMMYFUNCTION("""COMPUTED_VALUE"""),"296868")</f>
        <v>296868</v>
      </c>
      <c r="I2974" s="1" t="str">
        <f>IFERROR(__xludf.DUMMYFUNCTION("""COMPUTED_VALUE"""),"นายพีระพงษ์ แก้วดวงดี")</f>
        <v>นายพีระพงษ์ แก้วดวงดี</v>
      </c>
      <c r="J2974" s="3">
        <f>IFERROR(__xludf.DUMMYFUNCTION("""COMPUTED_VALUE"""),295886.0)</f>
        <v>295886</v>
      </c>
      <c r="K2974" s="3" t="str">
        <f>IFERROR(__xludf.DUMMYFUNCTION("""COMPUTED_VALUE"""),"นายจิระพงษ์ โพธิ์นิล")</f>
        <v>นายจิระพงษ์ โพธิ์นิล</v>
      </c>
      <c r="L2974" s="1" t="str">
        <f>IFERROR(__xludf.DUMMYFUNCTION("""COMPUTED_VALUE"""),"นายจิระพงษ์ โพธิ์นิล")</f>
        <v>นายจิระพงษ์ โพธิ์นิล</v>
      </c>
      <c r="M2974" s="1" t="str">
        <f>IFERROR(__xludf.DUMMYFUNCTION("""COMPUTED_VALUE"""),"0933290754")</f>
        <v>0933290754</v>
      </c>
      <c r="N2974" s="3">
        <f>IFERROR(__xludf.DUMMYFUNCTION("""COMPUTED_VALUE"""),83861.0)</f>
        <v>83861</v>
      </c>
      <c r="O2974" s="3" t="str">
        <f>IFERROR(__xludf.DUMMYFUNCTION("""COMPUTED_VALUE"""),"ร้านแม่สายทอง")</f>
        <v>ร้านแม่สายทอง</v>
      </c>
      <c r="P2974" s="4">
        <f>IFERROR(__xludf.DUMMYFUNCTION("""COMPUTED_VALUE"""),44659.0)</f>
        <v>44659</v>
      </c>
      <c r="Q2974" s="3" t="str">
        <f>IFERROR(__xludf.DUMMYFUNCTION("""COMPUTED_VALUE"""),"I")</f>
        <v>I</v>
      </c>
      <c r="R2974" s="3" t="str">
        <f>IFERROR(__xludf.DUMMYFUNCTION("""COMPUTED_VALUE"""),"Small Format")</f>
        <v>Small Format</v>
      </c>
      <c r="S2974" s="3" t="str">
        <f>IFERROR(__xludf.DUMMYFUNCTION("""COMPUTED_VALUE"""),"Donjai")</f>
        <v>Donjai</v>
      </c>
      <c r="T2974" s="3" t="str">
        <f>IFERROR(__xludf.DUMMYFUNCTION("""COMPUTED_VALUE"""),"03 K.Peerapong K.")</f>
        <v>03 K.Peerapong K.</v>
      </c>
      <c r="U2974" s="3" t="str">
        <f>IFERROR(__xludf.DUMMYFUNCTION("""COMPUTED_VALUE"""),"03 K.Peerapong K.")</f>
        <v>03 K.Peerapong K.</v>
      </c>
      <c r="V2974" s="3" t="str">
        <f>IFERROR(__xludf.DUMMYFUNCTION("""COMPUTED_VALUE"""),"N")</f>
        <v>N</v>
      </c>
      <c r="W2974" s="3"/>
      <c r="X2974" s="3" t="str">
        <f>IFERROR(__xludf.DUMMYFUNCTION("""COMPUTED_VALUE"""),"ที่อยู่ 46 ม.7 บ้านน้อย ตำบลโคกสะอาด อำเภอฆ้องชัย กาฬสินธุ์ 46130")</f>
        <v>ที่อยู่ 46 ม.7 บ้านน้อย ตำบลโคกสะอาด อำเภอฆ้องชัย กาฬสินธุ์ 46130</v>
      </c>
      <c r="Y2974" s="3"/>
      <c r="Z2974" s="3">
        <f>IFERROR(__xludf.DUMMYFUNCTION("""COMPUTED_VALUE"""),0.0)</f>
        <v>0</v>
      </c>
      <c r="AA2974" s="3">
        <f>IFERROR(__xludf.DUMMYFUNCTION("""COMPUTED_VALUE"""),0.0)</f>
        <v>0</v>
      </c>
      <c r="AB2974" s="3" t="str">
        <f>IFERROR(__xludf.DUMMYFUNCTION("""COMPUTED_VALUE"""),"กาฬสินธุ์")</f>
        <v>กาฬสินธุ์</v>
      </c>
      <c r="AC2974" s="3">
        <f>IFERROR(__xludf.DUMMYFUNCTION("""COMPUTED_VALUE"""),46130.0)</f>
        <v>46130</v>
      </c>
      <c r="AD2974" s="3"/>
      <c r="AE2974" s="3"/>
      <c r="AF2974" s="3" t="str">
        <f>IFERROR(__xludf.DUMMYFUNCTION("""COMPUTED_VALUE"""),"ร้านแม่สายทอง-83861")</f>
        <v>ร้านแม่สายทอง-83861</v>
      </c>
      <c r="AG2974" s="3" t="str">
        <f>IFERROR(__xludf.DUMMYFUNCTION("""COMPUTED_VALUE"""),"ตะวันออกเฉียงเหนือ")</f>
        <v>ตะวันออกเฉียงเหนือ</v>
      </c>
      <c r="AH2974" s="3" t="str">
        <f>IFERROR(__xludf.DUMMYFUNCTION("""COMPUTED_VALUE"""),"#N/A")</f>
        <v>#N/A</v>
      </c>
      <c r="AI2974" s="3" t="str">
        <f>IFERROR(__xludf.DUMMYFUNCTION("""COMPUTED_VALUE"""),"Out of warranty")</f>
        <v>Out of warranty</v>
      </c>
      <c r="AJ2974" s="3">
        <f>IFERROR(__xludf.DUMMYFUNCTION("""COMPUTED_VALUE"""),46.0)</f>
        <v>46</v>
      </c>
      <c r="AK2974" s="3"/>
      <c r="AL2974" s="3"/>
    </row>
    <row r="2975" ht="15.75" customHeight="1">
      <c r="A2975" s="1" t="str">
        <f>IFERROR(__xludf.DUMMYFUNCTION("""COMPUTED_VALUE"""),"83862")</f>
        <v>83862</v>
      </c>
      <c r="B2975" s="2">
        <f>IFERROR(__xludf.DUMMYFUNCTION("""COMPUTED_VALUE"""),83862.0)</f>
        <v>83862</v>
      </c>
      <c r="C2975" s="3" t="str">
        <f>IFERROR(__xludf.DUMMYFUNCTION("""COMPUTED_VALUE"""),"ร้านส คำสุข")</f>
        <v>ร้านส คำสุข</v>
      </c>
      <c r="D2975" s="3" t="str">
        <f>IFERROR(__xludf.DUMMYFUNCTION("""COMPUTED_VALUE"""),"ร้านส คำสุข")</f>
        <v>ร้านส คำสุข</v>
      </c>
      <c r="E2975" s="1" t="str">
        <f>IFERROR(__xludf.DUMMYFUNCTION("""COMPUTED_VALUE"""),"Donjai")</f>
        <v>Donjai</v>
      </c>
      <c r="F2975" s="1" t="str">
        <f>IFERROR(__xludf.DUMMYFUNCTION("""COMPUTED_VALUE"""),"296866")</f>
        <v>296866</v>
      </c>
      <c r="G2975" s="1" t="str">
        <f>IFERROR(__xludf.DUMMYFUNCTION("""COMPUTED_VALUE"""),"นายณัฐภูมิ สุจริตธรรม")</f>
        <v>นายณัฐภูมิ สุจริตธรรม</v>
      </c>
      <c r="H2975" s="1" t="str">
        <f>IFERROR(__xludf.DUMMYFUNCTION("""COMPUTED_VALUE"""),"296866")</f>
        <v>296866</v>
      </c>
      <c r="I2975" s="1" t="str">
        <f>IFERROR(__xludf.DUMMYFUNCTION("""COMPUTED_VALUE"""),"นายณัฐภูมิ สุจริตธรรม")</f>
        <v>นายณัฐภูมิ สุจริตธรรม</v>
      </c>
      <c r="J2975" s="3">
        <f>IFERROR(__xludf.DUMMYFUNCTION("""COMPUTED_VALUE"""),228031.0)</f>
        <v>228031</v>
      </c>
      <c r="K2975" s="3" t="str">
        <f>IFERROR(__xludf.DUMMYFUNCTION("""COMPUTED_VALUE"""),"นายธนพงษ์ วันหมัด")</f>
        <v>นายธนพงษ์ วันหมัด</v>
      </c>
      <c r="L2975" s="1" t="str">
        <f>IFERROR(__xludf.DUMMYFUNCTION("""COMPUTED_VALUE"""),"นายธนพงษ์ วันหมัด")</f>
        <v>นายธนพงษ์ วันหมัด</v>
      </c>
      <c r="M2975" s="1" t="str">
        <f>IFERROR(__xludf.DUMMYFUNCTION("""COMPUTED_VALUE"""),"0813716913")</f>
        <v>0813716913</v>
      </c>
      <c r="N2975" s="3">
        <f>IFERROR(__xludf.DUMMYFUNCTION("""COMPUTED_VALUE"""),83862.0)</f>
        <v>83862</v>
      </c>
      <c r="O2975" s="3" t="str">
        <f>IFERROR(__xludf.DUMMYFUNCTION("""COMPUTED_VALUE"""),"ร้านส คำสุข")</f>
        <v>ร้านส คำสุข</v>
      </c>
      <c r="P2975" s="4">
        <f>IFERROR(__xludf.DUMMYFUNCTION("""COMPUTED_VALUE"""),44661.0)</f>
        <v>44661</v>
      </c>
      <c r="Q2975" s="3" t="str">
        <f>IFERROR(__xludf.DUMMYFUNCTION("""COMPUTED_VALUE"""),"I")</f>
        <v>I</v>
      </c>
      <c r="R2975" s="3" t="str">
        <f>IFERROR(__xludf.DUMMYFUNCTION("""COMPUTED_VALUE"""),"Small Format")</f>
        <v>Small Format</v>
      </c>
      <c r="S2975" s="3" t="str">
        <f>IFERROR(__xludf.DUMMYFUNCTION("""COMPUTED_VALUE"""),"Donjai")</f>
        <v>Donjai</v>
      </c>
      <c r="T2975" s="3" t="str">
        <f>IFERROR(__xludf.DUMMYFUNCTION("""COMPUTED_VALUE"""),"#N/A")</f>
        <v>#N/A</v>
      </c>
      <c r="U2975" s="3" t="str">
        <f>IFERROR(__xludf.DUMMYFUNCTION("""COMPUTED_VALUE"""),"#N/A")</f>
        <v>#N/A</v>
      </c>
      <c r="V2975" s="3" t="str">
        <f>IFERROR(__xludf.DUMMYFUNCTION("""COMPUTED_VALUE"""),"N")</f>
        <v>N</v>
      </c>
      <c r="W2975" s="3"/>
      <c r="X2975" s="3" t="str">
        <f>IFERROR(__xludf.DUMMYFUNCTION("""COMPUTED_VALUE"""),"115 หมู่5 ตำบลเชึยงรากใหญ่ อำเภอสามโคก จังหวัดปทุมธานี")</f>
        <v>115 หมู่5 ตำบลเชึยงรากใหญ่ อำเภอสามโคก จังหวัดปทุมธานี</v>
      </c>
      <c r="Y2975" s="3"/>
      <c r="Z2975" s="3">
        <f>IFERROR(__xludf.DUMMYFUNCTION("""COMPUTED_VALUE"""),0.0)</f>
        <v>0</v>
      </c>
      <c r="AA2975" s="3">
        <f>IFERROR(__xludf.DUMMYFUNCTION("""COMPUTED_VALUE"""),0.0)</f>
        <v>0</v>
      </c>
      <c r="AB2975" s="3" t="str">
        <f>IFERROR(__xludf.DUMMYFUNCTION("""COMPUTED_VALUE"""),"ปทุมธานี")</f>
        <v>ปทุมธานี</v>
      </c>
      <c r="AC2975" s="3">
        <f>IFERROR(__xludf.DUMMYFUNCTION("""COMPUTED_VALUE"""),0.0)</f>
        <v>0</v>
      </c>
      <c r="AD2975" s="3"/>
      <c r="AE2975" s="3"/>
      <c r="AF2975" s="3" t="str">
        <f>IFERROR(__xludf.DUMMYFUNCTION("""COMPUTED_VALUE"""),"ร้านส คำสุข-83862")</f>
        <v>ร้านส คำสุข-83862</v>
      </c>
      <c r="AG2975" s="3" t="str">
        <f>IFERROR(__xludf.DUMMYFUNCTION("""COMPUTED_VALUE"""),"กลาง")</f>
        <v>กลาง</v>
      </c>
      <c r="AH2975" s="3" t="str">
        <f>IFERROR(__xludf.DUMMYFUNCTION("""COMPUTED_VALUE"""),"#N/A")</f>
        <v>#N/A</v>
      </c>
      <c r="AI2975" s="3" t="str">
        <f>IFERROR(__xludf.DUMMYFUNCTION("""COMPUTED_VALUE"""),"Out of warranty")</f>
        <v>Out of warranty</v>
      </c>
      <c r="AJ2975" s="3">
        <f>IFERROR(__xludf.DUMMYFUNCTION("""COMPUTED_VALUE"""),46.0)</f>
        <v>46</v>
      </c>
      <c r="AK2975" s="3"/>
      <c r="AL2975" s="3"/>
    </row>
    <row r="2976" ht="15.75" customHeight="1">
      <c r="A2976" s="1" t="str">
        <f>IFERROR(__xludf.DUMMYFUNCTION("""COMPUTED_VALUE"""),"83864")</f>
        <v>83864</v>
      </c>
      <c r="B2976" s="2">
        <f>IFERROR(__xludf.DUMMYFUNCTION("""COMPUTED_VALUE"""),83864.0)</f>
        <v>83864</v>
      </c>
      <c r="C2976" s="3" t="str">
        <f>IFERROR(__xludf.DUMMYFUNCTION("""COMPUTED_VALUE"""),"ร้านนานา2 (ปลีก-ส่ง) (นานามินิมาร์ท)")</f>
        <v>ร้านนานา2 (ปลีก-ส่ง) (นานามินิมาร์ท)</v>
      </c>
      <c r="D2976" s="3" t="str">
        <f>IFERROR(__xludf.DUMMYFUNCTION("""COMPUTED_VALUE"""),"ร้านนานา2 (ปลีก-ส่ง) (นานามินิมาร์ท)")</f>
        <v>ร้านนานา2 (ปลีก-ส่ง) (นานามินิมาร์ท)</v>
      </c>
      <c r="E2976" s="1" t="str">
        <f>IFERROR(__xludf.DUMMYFUNCTION("""COMPUTED_VALUE"""),"Donjai")</f>
        <v>Donjai</v>
      </c>
      <c r="F2976" s="1" t="str">
        <f>IFERROR(__xludf.DUMMYFUNCTION("""COMPUTED_VALUE"""),"20470331")</f>
        <v>20470331</v>
      </c>
      <c r="G2976" s="1" t="str">
        <f>IFERROR(__xludf.DUMMYFUNCTION("""COMPUTED_VALUE"""),"นายสมชาย ลักษณะสุวรรณ")</f>
        <v>นายสมชาย ลักษณะสุวรรณ</v>
      </c>
      <c r="H2976" s="1" t="str">
        <f>IFERROR(__xludf.DUMMYFUNCTION("""COMPUTED_VALUE"""),"20470331")</f>
        <v>20470331</v>
      </c>
      <c r="I2976" s="1" t="str">
        <f>IFERROR(__xludf.DUMMYFUNCTION("""COMPUTED_VALUE"""),"นายสมชาย ลักษณะสุวรรณ")</f>
        <v>นายสมชาย ลักษณะสุวรรณ</v>
      </c>
      <c r="J2976" s="3">
        <f>IFERROR(__xludf.DUMMYFUNCTION("""COMPUTED_VALUE"""),295541.0)</f>
        <v>295541</v>
      </c>
      <c r="K2976" s="3" t="str">
        <f>IFERROR(__xludf.DUMMYFUNCTION("""COMPUTED_VALUE"""),"นายรพิพล ศรีมาตย์")</f>
        <v>นายรพิพล ศรีมาตย์</v>
      </c>
      <c r="L2976" s="1" t="str">
        <f>IFERROR(__xludf.DUMMYFUNCTION("""COMPUTED_VALUE"""),"นายรพิพล ศรีมาตย์")</f>
        <v>นายรพิพล ศรีมาตย์</v>
      </c>
      <c r="M2976" s="1" t="str">
        <f>IFERROR(__xludf.DUMMYFUNCTION("""COMPUTED_VALUE"""),"0613966115")</f>
        <v>0613966115</v>
      </c>
      <c r="N2976" s="3">
        <f>IFERROR(__xludf.DUMMYFUNCTION("""COMPUTED_VALUE"""),83864.0)</f>
        <v>83864</v>
      </c>
      <c r="O2976" s="3" t="str">
        <f>IFERROR(__xludf.DUMMYFUNCTION("""COMPUTED_VALUE"""),"ร้านนานา2 (ปลีก-ส่ง) (นานามินิมาร์ท)")</f>
        <v>ร้านนานา2 (ปลีก-ส่ง) (นานามินิมาร์ท)</v>
      </c>
      <c r="P2976" s="4">
        <f>IFERROR(__xludf.DUMMYFUNCTION("""COMPUTED_VALUE"""),44714.0)</f>
        <v>44714</v>
      </c>
      <c r="Q2976" s="3" t="str">
        <f>IFERROR(__xludf.DUMMYFUNCTION("""COMPUTED_VALUE"""),"A")</f>
        <v>A</v>
      </c>
      <c r="R2976" s="3" t="str">
        <f>IFERROR(__xludf.DUMMYFUNCTION("""COMPUTED_VALUE"""),"Small Format")</f>
        <v>Small Format</v>
      </c>
      <c r="S2976" s="3" t="str">
        <f>IFERROR(__xludf.DUMMYFUNCTION("""COMPUTED_VALUE"""),"Donjai")</f>
        <v>Donjai</v>
      </c>
      <c r="T2976" s="3" t="str">
        <f>IFERROR(__xludf.DUMMYFUNCTION("""COMPUTED_VALUE"""),"15 K.Somchai L")</f>
        <v>15 K.Somchai L</v>
      </c>
      <c r="U2976" s="3" t="str">
        <f>IFERROR(__xludf.DUMMYFUNCTION("""COMPUTED_VALUE"""),"15 K.Somchai L")</f>
        <v>15 K.Somchai L</v>
      </c>
      <c r="V2976" s="3" t="str">
        <f>IFERROR(__xludf.DUMMYFUNCTION("""COMPUTED_VALUE"""),"N")</f>
        <v>N</v>
      </c>
      <c r="W2976" s="3"/>
      <c r="X2976" s="3" t="str">
        <f>IFERROR(__xludf.DUMMYFUNCTION("""COMPUTED_VALUE"""),"91 ม.3 ละหาร สายบุรี ปัตตานี 94110")</f>
        <v>91 ม.3 ละหาร สายบุรี ปัตตานี 94110</v>
      </c>
      <c r="Y2976" s="3"/>
      <c r="Z2976" s="3">
        <f>IFERROR(__xludf.DUMMYFUNCTION("""COMPUTED_VALUE"""),0.0)</f>
        <v>0</v>
      </c>
      <c r="AA2976" s="3">
        <f>IFERROR(__xludf.DUMMYFUNCTION("""COMPUTED_VALUE"""),0.0)</f>
        <v>0</v>
      </c>
      <c r="AB2976" s="3" t="str">
        <f>IFERROR(__xludf.DUMMYFUNCTION("""COMPUTED_VALUE"""),"ปัตตานี")</f>
        <v>ปัตตานี</v>
      </c>
      <c r="AC2976" s="3">
        <f>IFERROR(__xludf.DUMMYFUNCTION("""COMPUTED_VALUE"""),94110.0)</f>
        <v>94110</v>
      </c>
      <c r="AD2976" s="3"/>
      <c r="AE2976" s="3"/>
      <c r="AF2976" s="3" t="str">
        <f>IFERROR(__xludf.DUMMYFUNCTION("""COMPUTED_VALUE"""),"ร้านนานา2 (ปลีก-ส่ง) (นานามินิมาร์ท)-83864")</f>
        <v>ร้านนานา2 (ปลีก-ส่ง) (นานามินิมาร์ท)-83864</v>
      </c>
      <c r="AG2976" s="3" t="str">
        <f>IFERROR(__xludf.DUMMYFUNCTION("""COMPUTED_VALUE"""),"ใต้")</f>
        <v>ใต้</v>
      </c>
      <c r="AH2976" s="3" t="str">
        <f>IFERROR(__xludf.DUMMYFUNCTION("""COMPUTED_VALUE"""),"#N/A")</f>
        <v>#N/A</v>
      </c>
      <c r="AI2976" s="3" t="str">
        <f>IFERROR(__xludf.DUMMYFUNCTION("""COMPUTED_VALUE"""),"Out of warranty")</f>
        <v>Out of warranty</v>
      </c>
      <c r="AJ2976" s="3">
        <f>IFERROR(__xludf.DUMMYFUNCTION("""COMPUTED_VALUE"""),44.0)</f>
        <v>44</v>
      </c>
      <c r="AK2976" s="3"/>
      <c r="AL2976" s="3"/>
    </row>
    <row r="2977" ht="15.75" customHeight="1">
      <c r="A2977" s="1" t="str">
        <f>IFERROR(__xludf.DUMMYFUNCTION("""COMPUTED_VALUE"""),"83865")</f>
        <v>83865</v>
      </c>
      <c r="B2977" s="2">
        <f>IFERROR(__xludf.DUMMYFUNCTION("""COMPUTED_VALUE"""),83865.0)</f>
        <v>83865</v>
      </c>
      <c r="C2977" s="3" t="str">
        <f>IFERROR(__xludf.DUMMYFUNCTION("""COMPUTED_VALUE"""),"ร้าน อัลวา มินิมาร์ท")</f>
        <v>ร้าน อัลวา มินิมาร์ท</v>
      </c>
      <c r="D2977" s="3" t="str">
        <f>IFERROR(__xludf.DUMMYFUNCTION("""COMPUTED_VALUE"""),"ร้าน อัลวา มินิมาร์ท")</f>
        <v>ร้าน อัลวา มินิมาร์ท</v>
      </c>
      <c r="E2977" s="1" t="str">
        <f>IFERROR(__xludf.DUMMYFUNCTION("""COMPUTED_VALUE"""),"Donjai")</f>
        <v>Donjai</v>
      </c>
      <c r="F2977" s="1" t="str">
        <f>IFERROR(__xludf.DUMMYFUNCTION("""COMPUTED_VALUE"""),"20470331")</f>
        <v>20470331</v>
      </c>
      <c r="G2977" s="1" t="str">
        <f>IFERROR(__xludf.DUMMYFUNCTION("""COMPUTED_VALUE"""),"นายสมชาย ลักษณะสุวรรณ")</f>
        <v>นายสมชาย ลักษณะสุวรรณ</v>
      </c>
      <c r="H2977" s="1" t="str">
        <f>IFERROR(__xludf.DUMMYFUNCTION("""COMPUTED_VALUE"""),"20470331")</f>
        <v>20470331</v>
      </c>
      <c r="I2977" s="1" t="str">
        <f>IFERROR(__xludf.DUMMYFUNCTION("""COMPUTED_VALUE"""),"นายสมชาย ลักษณะสุวรรณ")</f>
        <v>นายสมชาย ลักษณะสุวรรณ</v>
      </c>
      <c r="J2977" s="3">
        <f>IFERROR(__xludf.DUMMYFUNCTION("""COMPUTED_VALUE"""),295541.0)</f>
        <v>295541</v>
      </c>
      <c r="K2977" s="3" t="str">
        <f>IFERROR(__xludf.DUMMYFUNCTION("""COMPUTED_VALUE"""),"นายรพิพล ศรีมาตย์")</f>
        <v>นายรพิพล ศรีมาตย์</v>
      </c>
      <c r="L2977" s="1" t="str">
        <f>IFERROR(__xludf.DUMMYFUNCTION("""COMPUTED_VALUE"""),"นายรพิพล ศรีมาตย์")</f>
        <v>นายรพิพล ศรีมาตย์</v>
      </c>
      <c r="M2977" s="1" t="str">
        <f>IFERROR(__xludf.DUMMYFUNCTION("""COMPUTED_VALUE"""),"0613966115")</f>
        <v>0613966115</v>
      </c>
      <c r="N2977" s="3">
        <f>IFERROR(__xludf.DUMMYFUNCTION("""COMPUTED_VALUE"""),83865.0)</f>
        <v>83865</v>
      </c>
      <c r="O2977" s="3" t="str">
        <f>IFERROR(__xludf.DUMMYFUNCTION("""COMPUTED_VALUE"""),"ร้าน อัลวา มินิมาร์ท")</f>
        <v>ร้าน อัลวา มินิมาร์ท</v>
      </c>
      <c r="P2977" s="4">
        <f>IFERROR(__xludf.DUMMYFUNCTION("""COMPUTED_VALUE"""),44651.0)</f>
        <v>44651</v>
      </c>
      <c r="Q2977" s="3" t="str">
        <f>IFERROR(__xludf.DUMMYFUNCTION("""COMPUTED_VALUE"""),"A")</f>
        <v>A</v>
      </c>
      <c r="R2977" s="3" t="str">
        <f>IFERROR(__xludf.DUMMYFUNCTION("""COMPUTED_VALUE"""),"Small Format")</f>
        <v>Small Format</v>
      </c>
      <c r="S2977" s="3" t="str">
        <f>IFERROR(__xludf.DUMMYFUNCTION("""COMPUTED_VALUE"""),"Donjai")</f>
        <v>Donjai</v>
      </c>
      <c r="T2977" s="3" t="str">
        <f>IFERROR(__xludf.DUMMYFUNCTION("""COMPUTED_VALUE"""),"15 K.Somchai L")</f>
        <v>15 K.Somchai L</v>
      </c>
      <c r="U2977" s="3" t="str">
        <f>IFERROR(__xludf.DUMMYFUNCTION("""COMPUTED_VALUE"""),"15 K.Somchai L")</f>
        <v>15 K.Somchai L</v>
      </c>
      <c r="V2977" s="3" t="str">
        <f>IFERROR(__xludf.DUMMYFUNCTION("""COMPUTED_VALUE"""),"N")</f>
        <v>N</v>
      </c>
      <c r="W2977" s="3"/>
      <c r="X2977" s="3" t="str">
        <f>IFERROR(__xludf.DUMMYFUNCTION("""COMPUTED_VALUE"""),"153/12 สะเดา สะเดา สงขลา 47000")</f>
        <v>153/12 สะเดา สะเดา สงขลา 47000</v>
      </c>
      <c r="Y2977" s="3"/>
      <c r="Z2977" s="3">
        <f>IFERROR(__xludf.DUMMYFUNCTION("""COMPUTED_VALUE"""),0.0)</f>
        <v>0</v>
      </c>
      <c r="AA2977" s="3">
        <f>IFERROR(__xludf.DUMMYFUNCTION("""COMPUTED_VALUE"""),0.0)</f>
        <v>0</v>
      </c>
      <c r="AB2977" s="3" t="str">
        <f>IFERROR(__xludf.DUMMYFUNCTION("""COMPUTED_VALUE"""),"สงขลา")</f>
        <v>สงขลา</v>
      </c>
      <c r="AC2977" s="3">
        <f>IFERROR(__xludf.DUMMYFUNCTION("""COMPUTED_VALUE"""),47000.0)</f>
        <v>47000</v>
      </c>
      <c r="AD2977" s="3"/>
      <c r="AE2977" s="3"/>
      <c r="AF2977" s="3" t="str">
        <f>IFERROR(__xludf.DUMMYFUNCTION("""COMPUTED_VALUE"""),"ร้าน อัลวา มินิมาร์ท-83865")</f>
        <v>ร้าน อัลวา มินิมาร์ท-83865</v>
      </c>
      <c r="AG2977" s="3" t="str">
        <f>IFERROR(__xludf.DUMMYFUNCTION("""COMPUTED_VALUE"""),"ใต้")</f>
        <v>ใต้</v>
      </c>
      <c r="AH2977" s="3" t="str">
        <f>IFERROR(__xludf.DUMMYFUNCTION("""COMPUTED_VALUE"""),"#N/A")</f>
        <v>#N/A</v>
      </c>
      <c r="AI2977" s="3" t="str">
        <f>IFERROR(__xludf.DUMMYFUNCTION("""COMPUTED_VALUE"""),"Out of warranty")</f>
        <v>Out of warranty</v>
      </c>
      <c r="AJ2977" s="3">
        <f>IFERROR(__xludf.DUMMYFUNCTION("""COMPUTED_VALUE"""),46.0)</f>
        <v>46</v>
      </c>
      <c r="AK2977" s="3"/>
      <c r="AL2977" s="3"/>
    </row>
    <row r="2978" ht="15.75" customHeight="1">
      <c r="A2978" s="1" t="str">
        <f>IFERROR(__xludf.DUMMYFUNCTION("""COMPUTED_VALUE"""),"83867")</f>
        <v>83867</v>
      </c>
      <c r="B2978" s="2">
        <f>IFERROR(__xludf.DUMMYFUNCTION("""COMPUTED_VALUE"""),83867.0)</f>
        <v>83867</v>
      </c>
      <c r="C2978" s="3" t="str">
        <f>IFERROR(__xludf.DUMMYFUNCTION("""COMPUTED_VALUE"""),"ร้านชุลีพร มินิมาร์ท")</f>
        <v>ร้านชุลีพร มินิมาร์ท</v>
      </c>
      <c r="D2978" s="3" t="str">
        <f>IFERROR(__xludf.DUMMYFUNCTION("""COMPUTED_VALUE"""),"ร้านชุลีพร มินิมาร์ท")</f>
        <v>ร้านชุลีพร มินิมาร์ท</v>
      </c>
      <c r="E2978" s="1" t="str">
        <f>IFERROR(__xludf.DUMMYFUNCTION("""COMPUTED_VALUE"""),"Donjai")</f>
        <v>Donjai</v>
      </c>
      <c r="F2978" s="1" t="str">
        <f>IFERROR(__xludf.DUMMYFUNCTION("""COMPUTED_VALUE"""),"296579")</f>
        <v>296579</v>
      </c>
      <c r="G2978" s="1" t="str">
        <f>IFERROR(__xludf.DUMMYFUNCTION("""COMPUTED_VALUE"""),"นายชนม์ณภัทร กุลพัฒน์จินดา")</f>
        <v>นายชนม์ณภัทร กุลพัฒน์จินดา</v>
      </c>
      <c r="H2978" s="1" t="str">
        <f>IFERROR(__xludf.DUMMYFUNCTION("""COMPUTED_VALUE"""),"296579")</f>
        <v>296579</v>
      </c>
      <c r="I2978" s="1" t="str">
        <f>IFERROR(__xludf.DUMMYFUNCTION("""COMPUTED_VALUE"""),"นายชนม์ณภัทร กุลพัฒน์จินดา")</f>
        <v>นายชนม์ณภัทร กุลพัฒน์จินดา</v>
      </c>
      <c r="J2978" s="3">
        <f>IFERROR(__xludf.DUMMYFUNCTION("""COMPUTED_VALUE"""),228031.0)</f>
        <v>228031</v>
      </c>
      <c r="K2978" s="3" t="str">
        <f>IFERROR(__xludf.DUMMYFUNCTION("""COMPUTED_VALUE"""),"นายธนพงษ์ วันหมัด")</f>
        <v>นายธนพงษ์ วันหมัด</v>
      </c>
      <c r="L2978" s="1" t="str">
        <f>IFERROR(__xludf.DUMMYFUNCTION("""COMPUTED_VALUE"""),"นายธนพงษ์ วันหมัด")</f>
        <v>นายธนพงษ์ วันหมัด</v>
      </c>
      <c r="M2978" s="1" t="str">
        <f>IFERROR(__xludf.DUMMYFUNCTION("""COMPUTED_VALUE"""),"0813716913")</f>
        <v>0813716913</v>
      </c>
      <c r="N2978" s="3">
        <f>IFERROR(__xludf.DUMMYFUNCTION("""COMPUTED_VALUE"""),83867.0)</f>
        <v>83867</v>
      </c>
      <c r="O2978" s="3" t="str">
        <f>IFERROR(__xludf.DUMMYFUNCTION("""COMPUTED_VALUE"""),"ร้านชุลีพร มินิมาร์ท")</f>
        <v>ร้านชุลีพร มินิมาร์ท</v>
      </c>
      <c r="P2978" s="4">
        <f>IFERROR(__xludf.DUMMYFUNCTION("""COMPUTED_VALUE"""),44655.0)</f>
        <v>44655</v>
      </c>
      <c r="Q2978" s="3" t="str">
        <f>IFERROR(__xludf.DUMMYFUNCTION("""COMPUTED_VALUE"""),"I")</f>
        <v>I</v>
      </c>
      <c r="R2978" s="3" t="str">
        <f>IFERROR(__xludf.DUMMYFUNCTION("""COMPUTED_VALUE"""),"Small Format")</f>
        <v>Small Format</v>
      </c>
      <c r="S2978" s="3" t="str">
        <f>IFERROR(__xludf.DUMMYFUNCTION("""COMPUTED_VALUE"""),"Donjai")</f>
        <v>Donjai</v>
      </c>
      <c r="T2978" s="3" t="str">
        <f>IFERROR(__xludf.DUMMYFUNCTION("""COMPUTED_VALUE"""),"#N/A")</f>
        <v>#N/A</v>
      </c>
      <c r="U2978" s="3" t="str">
        <f>IFERROR(__xludf.DUMMYFUNCTION("""COMPUTED_VALUE"""),"#N/A")</f>
        <v>#N/A</v>
      </c>
      <c r="V2978" s="3" t="str">
        <f>IFERROR(__xludf.DUMMYFUNCTION("""COMPUTED_VALUE"""),"N")</f>
        <v>N</v>
      </c>
      <c r="W2978" s="3"/>
      <c r="X2978" s="3" t="str">
        <f>IFERROR(__xludf.DUMMYFUNCTION("""COMPUTED_VALUE"""),"46/6 หมู่ที่ 4 ถ.กรุงนนท์-จงถนอม ต.ศาลากลาง อ.บางกรวย จ.นนทุบรี 11130")</f>
        <v>46/6 หมู่ที่ 4 ถ.กรุงนนท์-จงถนอม ต.ศาลากลาง อ.บางกรวย จ.นนทุบรี 11130</v>
      </c>
      <c r="Y2978" s="3"/>
      <c r="Z2978" s="3">
        <f>IFERROR(__xludf.DUMMYFUNCTION("""COMPUTED_VALUE"""),0.0)</f>
        <v>0</v>
      </c>
      <c r="AA2978" s="3">
        <f>IFERROR(__xludf.DUMMYFUNCTION("""COMPUTED_VALUE"""),0.0)</f>
        <v>0</v>
      </c>
      <c r="AB2978" s="3" t="str">
        <f>IFERROR(__xludf.DUMMYFUNCTION("""COMPUTED_VALUE"""),"นนทบุรี")</f>
        <v>นนทบุรี</v>
      </c>
      <c r="AC2978" s="3">
        <f>IFERROR(__xludf.DUMMYFUNCTION("""COMPUTED_VALUE"""),11130.0)</f>
        <v>11130</v>
      </c>
      <c r="AD2978" s="3"/>
      <c r="AE2978" s="3"/>
      <c r="AF2978" s="3" t="str">
        <f>IFERROR(__xludf.DUMMYFUNCTION("""COMPUTED_VALUE"""),"ร้านชุลีพร มินิมาร์ท-83867")</f>
        <v>ร้านชุลีพร มินิมาร์ท-83867</v>
      </c>
      <c r="AG2978" s="3" t="str">
        <f>IFERROR(__xludf.DUMMYFUNCTION("""COMPUTED_VALUE"""),"กลาง")</f>
        <v>กลาง</v>
      </c>
      <c r="AH2978" s="3" t="str">
        <f>IFERROR(__xludf.DUMMYFUNCTION("""COMPUTED_VALUE"""),"#N/A")</f>
        <v>#N/A</v>
      </c>
      <c r="AI2978" s="3" t="str">
        <f>IFERROR(__xludf.DUMMYFUNCTION("""COMPUTED_VALUE"""),"Out of warranty")</f>
        <v>Out of warranty</v>
      </c>
      <c r="AJ2978" s="3">
        <f>IFERROR(__xludf.DUMMYFUNCTION("""COMPUTED_VALUE"""),46.0)</f>
        <v>46</v>
      </c>
      <c r="AK2978" s="3"/>
      <c r="AL2978" s="3"/>
    </row>
    <row r="2979" ht="15.75" customHeight="1">
      <c r="A2979" s="1" t="str">
        <f>IFERROR(__xludf.DUMMYFUNCTION("""COMPUTED_VALUE"""),"83870")</f>
        <v>83870</v>
      </c>
      <c r="B2979" s="2">
        <f>IFERROR(__xludf.DUMMYFUNCTION("""COMPUTED_VALUE"""),83870.0)</f>
        <v>83870</v>
      </c>
      <c r="C2979" s="3" t="str">
        <f>IFERROR(__xludf.DUMMYFUNCTION("""COMPUTED_VALUE"""),"ร้านSHOP(ฐิติมา)")</f>
        <v>ร้านSHOP(ฐิติมา)</v>
      </c>
      <c r="D2979" s="3" t="str">
        <f>IFERROR(__xludf.DUMMYFUNCTION("""COMPUTED_VALUE"""),"ร้านSHOP(ฐิติมา)")</f>
        <v>ร้านSHOP(ฐิติมา)</v>
      </c>
      <c r="E2979" s="1" t="str">
        <f>IFERROR(__xludf.DUMMYFUNCTION("""COMPUTED_VALUE"""),"Donjai")</f>
        <v>Donjai</v>
      </c>
      <c r="F2979" s="1" t="str">
        <f>IFERROR(__xludf.DUMMYFUNCTION("""COMPUTED_VALUE"""),"046214")</f>
        <v>046214</v>
      </c>
      <c r="G2979" s="1" t="str">
        <f>IFERROR(__xludf.DUMMYFUNCTION("""COMPUTED_VALUE"""),"นายศักดิ์ชัย เด็ดดอกฟ้า")</f>
        <v>นายศักดิ์ชัย เด็ดดอกฟ้า</v>
      </c>
      <c r="H2979" s="1" t="str">
        <f>IFERROR(__xludf.DUMMYFUNCTION("""COMPUTED_VALUE"""),"046214")</f>
        <v>046214</v>
      </c>
      <c r="I2979" s="1" t="str">
        <f>IFERROR(__xludf.DUMMYFUNCTION("""COMPUTED_VALUE"""),"นายศักดิ์ชัย เด็ดดอกฟ้า")</f>
        <v>นายศักดิ์ชัย เด็ดดอกฟ้า</v>
      </c>
      <c r="J2979" s="3">
        <f>IFERROR(__xludf.DUMMYFUNCTION("""COMPUTED_VALUE"""),295886.0)</f>
        <v>295886</v>
      </c>
      <c r="K2979" s="3" t="str">
        <f>IFERROR(__xludf.DUMMYFUNCTION("""COMPUTED_VALUE"""),"นายจิระพงษ์ โพธิ์นิล")</f>
        <v>นายจิระพงษ์ โพธิ์นิล</v>
      </c>
      <c r="L2979" s="1" t="str">
        <f>IFERROR(__xludf.DUMMYFUNCTION("""COMPUTED_VALUE"""),"นายจิระพงษ์ โพธิ์นิล")</f>
        <v>นายจิระพงษ์ โพธิ์นิล</v>
      </c>
      <c r="M2979" s="1" t="str">
        <f>IFERROR(__xludf.DUMMYFUNCTION("""COMPUTED_VALUE"""),"0933290754")</f>
        <v>0933290754</v>
      </c>
      <c r="N2979" s="3">
        <f>IFERROR(__xludf.DUMMYFUNCTION("""COMPUTED_VALUE"""),83870.0)</f>
        <v>83870</v>
      </c>
      <c r="O2979" s="3" t="str">
        <f>IFERROR(__xludf.DUMMYFUNCTION("""COMPUTED_VALUE"""),"ร้านSHOP(ฐิติมา)")</f>
        <v>ร้านSHOP(ฐิติมา)</v>
      </c>
      <c r="P2979" s="4">
        <f>IFERROR(__xludf.DUMMYFUNCTION("""COMPUTED_VALUE"""),44676.0)</f>
        <v>44676</v>
      </c>
      <c r="Q2979" s="3" t="str">
        <f>IFERROR(__xludf.DUMMYFUNCTION("""COMPUTED_VALUE"""),"A")</f>
        <v>A</v>
      </c>
      <c r="R2979" s="3" t="str">
        <f>IFERROR(__xludf.DUMMYFUNCTION("""COMPUTED_VALUE"""),"Small Format")</f>
        <v>Small Format</v>
      </c>
      <c r="S2979" s="3" t="str">
        <f>IFERROR(__xludf.DUMMYFUNCTION("""COMPUTED_VALUE"""),"Donjai")</f>
        <v>Donjai</v>
      </c>
      <c r="T2979" s="3" t="str">
        <f>IFERROR(__xludf.DUMMYFUNCTION("""COMPUTED_VALUE"""),"02 K.Sakchai D")</f>
        <v>02 K.Sakchai D</v>
      </c>
      <c r="U2979" s="3" t="str">
        <f>IFERROR(__xludf.DUMMYFUNCTION("""COMPUTED_VALUE"""),"02 K.Sakchai D")</f>
        <v>02 K.Sakchai D</v>
      </c>
      <c r="V2979" s="3" t="str">
        <f>IFERROR(__xludf.DUMMYFUNCTION("""COMPUTED_VALUE"""),"N")</f>
        <v>N</v>
      </c>
      <c r="W2979" s="3"/>
      <c r="X2979" s="3" t="str">
        <f>IFERROR(__xludf.DUMMYFUNCTION("""COMPUTED_VALUE"""),"102 ม.2 ต.ท่าไม้ อ.ชุมแสง จ.นครสวรรค์ ท่าไม้ ชุมแสง นครสวรรค์ 84160")</f>
        <v>102 ม.2 ต.ท่าไม้ อ.ชุมแสง จ.นครสวรรค์ ท่าไม้ ชุมแสง นครสวรรค์ 84160</v>
      </c>
      <c r="Y2979" s="3"/>
      <c r="Z2979" s="3">
        <f>IFERROR(__xludf.DUMMYFUNCTION("""COMPUTED_VALUE"""),0.0)</f>
        <v>0</v>
      </c>
      <c r="AA2979" s="3">
        <f>IFERROR(__xludf.DUMMYFUNCTION("""COMPUTED_VALUE"""),0.0)</f>
        <v>0</v>
      </c>
      <c r="AB2979" s="3" t="str">
        <f>IFERROR(__xludf.DUMMYFUNCTION("""COMPUTED_VALUE"""),"นครสวรรค์")</f>
        <v>นครสวรรค์</v>
      </c>
      <c r="AC2979" s="3">
        <f>IFERROR(__xludf.DUMMYFUNCTION("""COMPUTED_VALUE"""),84160.0)</f>
        <v>84160</v>
      </c>
      <c r="AD2979" s="3"/>
      <c r="AE2979" s="3"/>
      <c r="AF2979" s="3" t="str">
        <f>IFERROR(__xludf.DUMMYFUNCTION("""COMPUTED_VALUE"""),"ร้านSHOP(ฐิติมา)-83870")</f>
        <v>ร้านSHOP(ฐิติมา)-83870</v>
      </c>
      <c r="AG2979" s="3" t="str">
        <f>IFERROR(__xludf.DUMMYFUNCTION("""COMPUTED_VALUE"""),"กลาง")</f>
        <v>กลาง</v>
      </c>
      <c r="AH2979" s="3" t="str">
        <f>IFERROR(__xludf.DUMMYFUNCTION("""COMPUTED_VALUE"""),"#N/A")</f>
        <v>#N/A</v>
      </c>
      <c r="AI2979" s="3" t="str">
        <f>IFERROR(__xludf.DUMMYFUNCTION("""COMPUTED_VALUE"""),"Out of warranty")</f>
        <v>Out of warranty</v>
      </c>
      <c r="AJ2979" s="3">
        <f>IFERROR(__xludf.DUMMYFUNCTION("""COMPUTED_VALUE"""),45.0)</f>
        <v>45</v>
      </c>
      <c r="AK2979" s="3"/>
      <c r="AL2979" s="3"/>
    </row>
    <row r="2980" ht="15.75" customHeight="1">
      <c r="A2980" s="1" t="str">
        <f>IFERROR(__xludf.DUMMYFUNCTION("""COMPUTED_VALUE"""),"83871")</f>
        <v>83871</v>
      </c>
      <c r="B2980" s="2">
        <f>IFERROR(__xludf.DUMMYFUNCTION("""COMPUTED_VALUE"""),83871.0)</f>
        <v>83871</v>
      </c>
      <c r="C2980" s="3" t="str">
        <f>IFERROR(__xludf.DUMMYFUNCTION("""COMPUTED_VALUE"""),"ร้านแม่แอร์โนนภูทอง (ร้านแม่แอร์)")</f>
        <v>ร้านแม่แอร์โนนภูทอง (ร้านแม่แอร์)</v>
      </c>
      <c r="D2980" s="3" t="str">
        <f>IFERROR(__xludf.DUMMYFUNCTION("""COMPUTED_VALUE"""),"ร้านแม่แอร์โนนภูทอง (ร้านแม่แอร์)")</f>
        <v>ร้านแม่แอร์โนนภูทอง (ร้านแม่แอร์)</v>
      </c>
      <c r="E2980" s="1" t="str">
        <f>IFERROR(__xludf.DUMMYFUNCTION("""COMPUTED_VALUE"""),"Donjai")</f>
        <v>Donjai</v>
      </c>
      <c r="F2980" s="1" t="str">
        <f>IFERROR(__xludf.DUMMYFUNCTION("""COMPUTED_VALUE"""),"296868")</f>
        <v>296868</v>
      </c>
      <c r="G2980" s="1" t="str">
        <f>IFERROR(__xludf.DUMMYFUNCTION("""COMPUTED_VALUE"""),"นายพีระพงษ์ แก้วดวงดี")</f>
        <v>นายพีระพงษ์ แก้วดวงดี</v>
      </c>
      <c r="H2980" s="1" t="str">
        <f>IFERROR(__xludf.DUMMYFUNCTION("""COMPUTED_VALUE"""),"296868")</f>
        <v>296868</v>
      </c>
      <c r="I2980" s="1" t="str">
        <f>IFERROR(__xludf.DUMMYFUNCTION("""COMPUTED_VALUE"""),"นายพีระพงษ์ แก้วดวงดี")</f>
        <v>นายพีระพงษ์ แก้วดวงดี</v>
      </c>
      <c r="J2980" s="3">
        <f>IFERROR(__xludf.DUMMYFUNCTION("""COMPUTED_VALUE"""),295886.0)</f>
        <v>295886</v>
      </c>
      <c r="K2980" s="3" t="str">
        <f>IFERROR(__xludf.DUMMYFUNCTION("""COMPUTED_VALUE"""),"นายจิระพงษ์ โพธิ์นิล")</f>
        <v>นายจิระพงษ์ โพธิ์นิล</v>
      </c>
      <c r="L2980" s="1" t="str">
        <f>IFERROR(__xludf.DUMMYFUNCTION("""COMPUTED_VALUE"""),"นายจิระพงษ์ โพธิ์นิล")</f>
        <v>นายจิระพงษ์ โพธิ์นิล</v>
      </c>
      <c r="M2980" s="1" t="str">
        <f>IFERROR(__xludf.DUMMYFUNCTION("""COMPUTED_VALUE"""),"0933290754")</f>
        <v>0933290754</v>
      </c>
      <c r="N2980" s="3">
        <f>IFERROR(__xludf.DUMMYFUNCTION("""COMPUTED_VALUE"""),83871.0)</f>
        <v>83871</v>
      </c>
      <c r="O2980" s="3" t="str">
        <f>IFERROR(__xludf.DUMMYFUNCTION("""COMPUTED_VALUE"""),"ร้านแม่แอร์โนนภูทอง (ร้านแม่แอร์)")</f>
        <v>ร้านแม่แอร์โนนภูทอง (ร้านแม่แอร์)</v>
      </c>
      <c r="P2980" s="4">
        <f>IFERROR(__xludf.DUMMYFUNCTION("""COMPUTED_VALUE"""),44661.0)</f>
        <v>44661</v>
      </c>
      <c r="Q2980" s="3" t="str">
        <f>IFERROR(__xludf.DUMMYFUNCTION("""COMPUTED_VALUE"""),"I")</f>
        <v>I</v>
      </c>
      <c r="R2980" s="3" t="str">
        <f>IFERROR(__xludf.DUMMYFUNCTION("""COMPUTED_VALUE"""),"Small Format")</f>
        <v>Small Format</v>
      </c>
      <c r="S2980" s="3" t="str">
        <f>IFERROR(__xludf.DUMMYFUNCTION("""COMPUTED_VALUE"""),"Donjai")</f>
        <v>Donjai</v>
      </c>
      <c r="T2980" s="3" t="str">
        <f>IFERROR(__xludf.DUMMYFUNCTION("""COMPUTED_VALUE"""),"03 K.Peerapong K.")</f>
        <v>03 K.Peerapong K.</v>
      </c>
      <c r="U2980" s="3" t="str">
        <f>IFERROR(__xludf.DUMMYFUNCTION("""COMPUTED_VALUE"""),"03 K.Peerapong K.")</f>
        <v>03 K.Peerapong K.</v>
      </c>
      <c r="V2980" s="3" t="str">
        <f>IFERROR(__xludf.DUMMYFUNCTION("""COMPUTED_VALUE"""),"N")</f>
        <v>N</v>
      </c>
      <c r="W2980" s="3"/>
      <c r="X2980" s="3" t="str">
        <f>IFERROR(__xludf.DUMMYFUNCTION("""COMPUTED_VALUE"""),"นาทับไฮ อ.รัตนวาปี หนองคาย")</f>
        <v>นาทับไฮ อ.รัตนวาปี หนองคาย</v>
      </c>
      <c r="Y2980" s="3"/>
      <c r="Z2980" s="3">
        <f>IFERROR(__xludf.DUMMYFUNCTION("""COMPUTED_VALUE"""),0.0)</f>
        <v>0</v>
      </c>
      <c r="AA2980" s="3">
        <f>IFERROR(__xludf.DUMMYFUNCTION("""COMPUTED_VALUE"""),0.0)</f>
        <v>0</v>
      </c>
      <c r="AB2980" s="3" t="str">
        <f>IFERROR(__xludf.DUMMYFUNCTION("""COMPUTED_VALUE"""),"หนองคาย")</f>
        <v>หนองคาย</v>
      </c>
      <c r="AC2980" s="3">
        <f>IFERROR(__xludf.DUMMYFUNCTION("""COMPUTED_VALUE"""),0.0)</f>
        <v>0</v>
      </c>
      <c r="AD2980" s="3"/>
      <c r="AE2980" s="3"/>
      <c r="AF2980" s="3" t="str">
        <f>IFERROR(__xludf.DUMMYFUNCTION("""COMPUTED_VALUE"""),"ร้านแม่แอร์โนนภูทอง (ร้านแม่แอร์)-83871")</f>
        <v>ร้านแม่แอร์โนนภูทอง (ร้านแม่แอร์)-83871</v>
      </c>
      <c r="AG2980" s="3" t="str">
        <f>IFERROR(__xludf.DUMMYFUNCTION("""COMPUTED_VALUE"""),"ตะวันออกเฉียงเหนือ")</f>
        <v>ตะวันออกเฉียงเหนือ</v>
      </c>
      <c r="AH2980" s="3" t="str">
        <f>IFERROR(__xludf.DUMMYFUNCTION("""COMPUTED_VALUE"""),"#N/A")</f>
        <v>#N/A</v>
      </c>
      <c r="AI2980" s="3" t="str">
        <f>IFERROR(__xludf.DUMMYFUNCTION("""COMPUTED_VALUE"""),"Out of warranty")</f>
        <v>Out of warranty</v>
      </c>
      <c r="AJ2980" s="3">
        <f>IFERROR(__xludf.DUMMYFUNCTION("""COMPUTED_VALUE"""),46.0)</f>
        <v>46</v>
      </c>
      <c r="AK2980" s="3"/>
      <c r="AL2980" s="3"/>
    </row>
    <row r="2981" ht="15.75" customHeight="1">
      <c r="A2981" s="1" t="str">
        <f>IFERROR(__xludf.DUMMYFUNCTION("""COMPUTED_VALUE"""),"83872")</f>
        <v>83872</v>
      </c>
      <c r="B2981" s="2">
        <f>IFERROR(__xludf.DUMMYFUNCTION("""COMPUTED_VALUE"""),83872.0)</f>
        <v>83872</v>
      </c>
      <c r="C2981" s="3" t="str">
        <f>IFERROR(__xludf.DUMMYFUNCTION("""COMPUTED_VALUE"""),"ร้านสุพรศรี (นุธิดา)")</f>
        <v>ร้านสุพรศรี (นุธิดา)</v>
      </c>
      <c r="D2981" s="3" t="str">
        <f>IFERROR(__xludf.DUMMYFUNCTION("""COMPUTED_VALUE"""),"ร้านสุพรศรี (นุธิดา)")</f>
        <v>ร้านสุพรศรี (นุธิดา)</v>
      </c>
      <c r="E2981" s="1" t="str">
        <f>IFERROR(__xludf.DUMMYFUNCTION("""COMPUTED_VALUE"""),"Donjai")</f>
        <v>Donjai</v>
      </c>
      <c r="F2981" s="1" t="str">
        <f>IFERROR(__xludf.DUMMYFUNCTION("""COMPUTED_VALUE"""),"2451655")</f>
        <v>2451655</v>
      </c>
      <c r="G2981" s="1" t="str">
        <f>IFERROR(__xludf.DUMMYFUNCTION("""COMPUTED_VALUE"""),"นายวิษณุพงษ์ ชินบุตร")</f>
        <v>นายวิษณุพงษ์ ชินบุตร</v>
      </c>
      <c r="H2981" s="1" t="str">
        <f>IFERROR(__xludf.DUMMYFUNCTION("""COMPUTED_VALUE"""),"2451655")</f>
        <v>2451655</v>
      </c>
      <c r="I2981" s="1" t="str">
        <f>IFERROR(__xludf.DUMMYFUNCTION("""COMPUTED_VALUE"""),"นายวิษณุพงษ์ ชินบุตร")</f>
        <v>นายวิษณุพงษ์ ชินบุตร</v>
      </c>
      <c r="J2981" s="3">
        <f>IFERROR(__xludf.DUMMYFUNCTION("""COMPUTED_VALUE"""),228031.0)</f>
        <v>228031</v>
      </c>
      <c r="K2981" s="3" t="str">
        <f>IFERROR(__xludf.DUMMYFUNCTION("""COMPUTED_VALUE"""),"นายธนพงษ์ วันหมัด")</f>
        <v>นายธนพงษ์ วันหมัด</v>
      </c>
      <c r="L2981" s="1" t="str">
        <f>IFERROR(__xludf.DUMMYFUNCTION("""COMPUTED_VALUE"""),"นายธนพงษ์ วันหมัด")</f>
        <v>นายธนพงษ์ วันหมัด</v>
      </c>
      <c r="M2981" s="1" t="str">
        <f>IFERROR(__xludf.DUMMYFUNCTION("""COMPUTED_VALUE"""),"0813716913")</f>
        <v>0813716913</v>
      </c>
      <c r="N2981" s="3">
        <f>IFERROR(__xludf.DUMMYFUNCTION("""COMPUTED_VALUE"""),83872.0)</f>
        <v>83872</v>
      </c>
      <c r="O2981" s="3" t="str">
        <f>IFERROR(__xludf.DUMMYFUNCTION("""COMPUTED_VALUE"""),"ร้านสุพรศรี (นุธิดา)")</f>
        <v>ร้านสุพรศรี (นุธิดา)</v>
      </c>
      <c r="P2981" s="4">
        <f>IFERROR(__xludf.DUMMYFUNCTION("""COMPUTED_VALUE"""),44681.0)</f>
        <v>44681</v>
      </c>
      <c r="Q2981" s="3" t="str">
        <f>IFERROR(__xludf.DUMMYFUNCTION("""COMPUTED_VALUE"""),"A")</f>
        <v>A</v>
      </c>
      <c r="R2981" s="3" t="str">
        <f>IFERROR(__xludf.DUMMYFUNCTION("""COMPUTED_VALUE"""),"Small Format")</f>
        <v>Small Format</v>
      </c>
      <c r="S2981" s="3" t="str">
        <f>IFERROR(__xludf.DUMMYFUNCTION("""COMPUTED_VALUE"""),"Donjai")</f>
        <v>Donjai</v>
      </c>
      <c r="T2981" s="3" t="str">
        <f>IFERROR(__xludf.DUMMYFUNCTION("""COMPUTED_VALUE"""),"13 K.Wisanupong Ch")</f>
        <v>13 K.Wisanupong Ch</v>
      </c>
      <c r="U2981" s="3" t="str">
        <f>IFERROR(__xludf.DUMMYFUNCTION("""COMPUTED_VALUE"""),"13 K.Wisanupong Ch")</f>
        <v>13 K.Wisanupong Ch</v>
      </c>
      <c r="V2981" s="3" t="str">
        <f>IFERROR(__xludf.DUMMYFUNCTION("""COMPUTED_VALUE"""),"N")</f>
        <v>N</v>
      </c>
      <c r="W2981" s="3"/>
      <c r="X2981" s="3" t="str">
        <f>IFERROR(__xludf.DUMMYFUNCTION("""COMPUTED_VALUE"""),"22/1 ม6 ชะแล ทองผาภูมิ กาญจนบุรี 72180")</f>
        <v>22/1 ม6 ชะแล ทองผาภูมิ กาญจนบุรี 72180</v>
      </c>
      <c r="Y2981" s="3"/>
      <c r="Z2981" s="3">
        <f>IFERROR(__xludf.DUMMYFUNCTION("""COMPUTED_VALUE"""),0.0)</f>
        <v>0</v>
      </c>
      <c r="AA2981" s="3">
        <f>IFERROR(__xludf.DUMMYFUNCTION("""COMPUTED_VALUE"""),0.0)</f>
        <v>0</v>
      </c>
      <c r="AB2981" s="3" t="str">
        <f>IFERROR(__xludf.DUMMYFUNCTION("""COMPUTED_VALUE"""),"กาญจนบุรี")</f>
        <v>กาญจนบุรี</v>
      </c>
      <c r="AC2981" s="3">
        <f>IFERROR(__xludf.DUMMYFUNCTION("""COMPUTED_VALUE"""),72180.0)</f>
        <v>72180</v>
      </c>
      <c r="AD2981" s="3"/>
      <c r="AE2981" s="3"/>
      <c r="AF2981" s="3" t="str">
        <f>IFERROR(__xludf.DUMMYFUNCTION("""COMPUTED_VALUE"""),"ร้านสุพรศรี (นุธิดา)-83872")</f>
        <v>ร้านสุพรศรี (นุธิดา)-83872</v>
      </c>
      <c r="AG2981" s="3" t="str">
        <f>IFERROR(__xludf.DUMMYFUNCTION("""COMPUTED_VALUE"""),"ตะวันตก")</f>
        <v>ตะวันตก</v>
      </c>
      <c r="AH2981" s="3" t="str">
        <f>IFERROR(__xludf.DUMMYFUNCTION("""COMPUTED_VALUE"""),"#N/A")</f>
        <v>#N/A</v>
      </c>
      <c r="AI2981" s="3" t="str">
        <f>IFERROR(__xludf.DUMMYFUNCTION("""COMPUTED_VALUE"""),"Out of warranty")</f>
        <v>Out of warranty</v>
      </c>
      <c r="AJ2981" s="3">
        <f>IFERROR(__xludf.DUMMYFUNCTION("""COMPUTED_VALUE"""),45.0)</f>
        <v>45</v>
      </c>
      <c r="AK2981" s="3"/>
      <c r="AL2981" s="3"/>
    </row>
    <row r="2982" ht="15.75" customHeight="1">
      <c r="A2982" s="1" t="str">
        <f>IFERROR(__xludf.DUMMYFUNCTION("""COMPUTED_VALUE"""),"83873")</f>
        <v>83873</v>
      </c>
      <c r="B2982" s="2">
        <f>IFERROR(__xludf.DUMMYFUNCTION("""COMPUTED_VALUE"""),83873.0)</f>
        <v>83873</v>
      </c>
      <c r="C2982" s="3" t="str">
        <f>IFERROR(__xludf.DUMMYFUNCTION("""COMPUTED_VALUE"""),"ร้านยายอิ๋ว (เจ้อิ๋ว)")</f>
        <v>ร้านยายอิ๋ว (เจ้อิ๋ว)</v>
      </c>
      <c r="D2982" s="3" t="str">
        <f>IFERROR(__xludf.DUMMYFUNCTION("""COMPUTED_VALUE"""),"ร้านยายอิ๋ว (เจ้อิ๋ว)")</f>
        <v>ร้านยายอิ๋ว (เจ้อิ๋ว)</v>
      </c>
      <c r="E2982" s="1" t="str">
        <f>IFERROR(__xludf.DUMMYFUNCTION("""COMPUTED_VALUE"""),"Donjai")</f>
        <v>Donjai</v>
      </c>
      <c r="F2982" s="1" t="str">
        <f>IFERROR(__xludf.DUMMYFUNCTION("""COMPUTED_VALUE"""),"2454781")</f>
        <v>2454781</v>
      </c>
      <c r="G2982" s="1" t="str">
        <f>IFERROR(__xludf.DUMMYFUNCTION("""COMPUTED_VALUE"""),"นายฌานกฤช นันทะโคต")</f>
        <v>นายฌานกฤช นันทะโคต</v>
      </c>
      <c r="H2982" s="1" t="str">
        <f>IFERROR(__xludf.DUMMYFUNCTION("""COMPUTED_VALUE"""),"2454781")</f>
        <v>2454781</v>
      </c>
      <c r="I2982" s="1" t="str">
        <f>IFERROR(__xludf.DUMMYFUNCTION("""COMPUTED_VALUE"""),"นายฌานกฤช นันทะโคต")</f>
        <v>นายฌานกฤช นันทะโคต</v>
      </c>
      <c r="J2982" s="3">
        <f>IFERROR(__xludf.DUMMYFUNCTION("""COMPUTED_VALUE"""),295886.0)</f>
        <v>295886</v>
      </c>
      <c r="K2982" s="3" t="str">
        <f>IFERROR(__xludf.DUMMYFUNCTION("""COMPUTED_VALUE"""),"นายจิระพงษ์ โพธิ์นิล")</f>
        <v>นายจิระพงษ์ โพธิ์นิล</v>
      </c>
      <c r="L2982" s="1" t="str">
        <f>IFERROR(__xludf.DUMMYFUNCTION("""COMPUTED_VALUE"""),"นายจิระพงษ์ โพธิ์นิล")</f>
        <v>นายจิระพงษ์ โพธิ์นิล</v>
      </c>
      <c r="M2982" s="1" t="str">
        <f>IFERROR(__xludf.DUMMYFUNCTION("""COMPUTED_VALUE"""),"0933290754")</f>
        <v>0933290754</v>
      </c>
      <c r="N2982" s="3">
        <f>IFERROR(__xludf.DUMMYFUNCTION("""COMPUTED_VALUE"""),83873.0)</f>
        <v>83873</v>
      </c>
      <c r="O2982" s="3" t="str">
        <f>IFERROR(__xludf.DUMMYFUNCTION("""COMPUTED_VALUE"""),"ร้านยายอิ๋ว (เจ้อิ๋ว)")</f>
        <v>ร้านยายอิ๋ว (เจ้อิ๋ว)</v>
      </c>
      <c r="P2982" s="4">
        <f>IFERROR(__xludf.DUMMYFUNCTION("""COMPUTED_VALUE"""),44661.0)</f>
        <v>44661</v>
      </c>
      <c r="Q2982" s="3" t="str">
        <f>IFERROR(__xludf.DUMMYFUNCTION("""COMPUTED_VALUE"""),"A")</f>
        <v>A</v>
      </c>
      <c r="R2982" s="3" t="str">
        <f>IFERROR(__xludf.DUMMYFUNCTION("""COMPUTED_VALUE"""),"Small Format")</f>
        <v>Small Format</v>
      </c>
      <c r="S2982" s="3" t="str">
        <f>IFERROR(__xludf.DUMMYFUNCTION("""COMPUTED_VALUE"""),"Donjai")</f>
        <v>Donjai</v>
      </c>
      <c r="T2982" s="3" t="str">
        <f>IFERROR(__xludf.DUMMYFUNCTION("""COMPUTED_VALUE"""),"05 K.Chanakrit N.")</f>
        <v>05 K.Chanakrit N.</v>
      </c>
      <c r="U2982" s="3" t="str">
        <f>IFERROR(__xludf.DUMMYFUNCTION("""COMPUTED_VALUE"""),"05 K.Chanakrit N.")</f>
        <v>05 K.Chanakrit N.</v>
      </c>
      <c r="V2982" s="3" t="str">
        <f>IFERROR(__xludf.DUMMYFUNCTION("""COMPUTED_VALUE"""),"N")</f>
        <v>N</v>
      </c>
      <c r="W2982" s="3"/>
      <c r="X2982" s="3" t="str">
        <f>IFERROR(__xludf.DUMMYFUNCTION("""COMPUTED_VALUE"""),"140 ม.21 ต.โดมประดิษฐ์ อ.น้ำยืน จ.อุบลราชธานี")</f>
        <v>140 ม.21 ต.โดมประดิษฐ์ อ.น้ำยืน จ.อุบลราชธานี</v>
      </c>
      <c r="Y2982" s="3"/>
      <c r="Z2982" s="3">
        <f>IFERROR(__xludf.DUMMYFUNCTION("""COMPUTED_VALUE"""),0.0)</f>
        <v>0</v>
      </c>
      <c r="AA2982" s="3">
        <f>IFERROR(__xludf.DUMMYFUNCTION("""COMPUTED_VALUE"""),0.0)</f>
        <v>0</v>
      </c>
      <c r="AB2982" s="3" t="str">
        <f>IFERROR(__xludf.DUMMYFUNCTION("""COMPUTED_VALUE"""),"อุบลราชธานี")</f>
        <v>อุบลราชธานี</v>
      </c>
      <c r="AC2982" s="3">
        <f>IFERROR(__xludf.DUMMYFUNCTION("""COMPUTED_VALUE"""),0.0)</f>
        <v>0</v>
      </c>
      <c r="AD2982" s="3"/>
      <c r="AE2982" s="3"/>
      <c r="AF2982" s="3" t="str">
        <f>IFERROR(__xludf.DUMMYFUNCTION("""COMPUTED_VALUE"""),"ร้านยายอิ๋ว (เจ้อิ๋ว)-83873")</f>
        <v>ร้านยายอิ๋ว (เจ้อิ๋ว)-83873</v>
      </c>
      <c r="AG2982" s="3" t="str">
        <f>IFERROR(__xludf.DUMMYFUNCTION("""COMPUTED_VALUE"""),"ตะวันออกเฉียงเหนือ")</f>
        <v>ตะวันออกเฉียงเหนือ</v>
      </c>
      <c r="AH2982" s="3" t="str">
        <f>IFERROR(__xludf.DUMMYFUNCTION("""COMPUTED_VALUE"""),"#N/A")</f>
        <v>#N/A</v>
      </c>
      <c r="AI2982" s="3" t="str">
        <f>IFERROR(__xludf.DUMMYFUNCTION("""COMPUTED_VALUE"""),"Out of warranty")</f>
        <v>Out of warranty</v>
      </c>
      <c r="AJ2982" s="3">
        <f>IFERROR(__xludf.DUMMYFUNCTION("""COMPUTED_VALUE"""),46.0)</f>
        <v>46</v>
      </c>
      <c r="AK2982" s="3"/>
      <c r="AL2982" s="3"/>
    </row>
    <row r="2983" ht="15.75" customHeight="1">
      <c r="A2983" s="1" t="str">
        <f>IFERROR(__xludf.DUMMYFUNCTION("""COMPUTED_VALUE"""),"83874")</f>
        <v>83874</v>
      </c>
      <c r="B2983" s="2">
        <f>IFERROR(__xludf.DUMMYFUNCTION("""COMPUTED_VALUE"""),83874.0)</f>
        <v>83874</v>
      </c>
      <c r="C2983" s="3" t="str">
        <f>IFERROR(__xludf.DUMMYFUNCTION("""COMPUTED_VALUE"""),"ร้าน ชนัญชิดา")</f>
        <v>ร้าน ชนัญชิดา</v>
      </c>
      <c r="D2983" s="3" t="str">
        <f>IFERROR(__xludf.DUMMYFUNCTION("""COMPUTED_VALUE"""),"ร้าน ชนัญชิดา")</f>
        <v>ร้าน ชนัญชิดา</v>
      </c>
      <c r="E2983" s="1" t="str">
        <f>IFERROR(__xludf.DUMMYFUNCTION("""COMPUTED_VALUE"""),"Donjai")</f>
        <v>Donjai</v>
      </c>
      <c r="F2983" s="1" t="str">
        <f>IFERROR(__xludf.DUMMYFUNCTION("""COMPUTED_VALUE"""),"296608")</f>
        <v>296608</v>
      </c>
      <c r="G2983" s="1" t="str">
        <f>IFERROR(__xludf.DUMMYFUNCTION("""COMPUTED_VALUE"""),"นายภาคภูมิ เพ็ชรนิล")</f>
        <v>นายภาคภูมิ เพ็ชรนิล</v>
      </c>
      <c r="H2983" s="1" t="str">
        <f>IFERROR(__xludf.DUMMYFUNCTION("""COMPUTED_VALUE"""),"296608")</f>
        <v>296608</v>
      </c>
      <c r="I2983" s="1" t="str">
        <f>IFERROR(__xludf.DUMMYFUNCTION("""COMPUTED_VALUE"""),"นายภาคภูมิ เพ็ชรนิล")</f>
        <v>นายภาคภูมิ เพ็ชรนิล</v>
      </c>
      <c r="J2983" s="3">
        <f>IFERROR(__xludf.DUMMYFUNCTION("""COMPUTED_VALUE"""),228031.0)</f>
        <v>228031</v>
      </c>
      <c r="K2983" s="3" t="str">
        <f>IFERROR(__xludf.DUMMYFUNCTION("""COMPUTED_VALUE"""),"นายธนพงษ์ วันหมัด")</f>
        <v>นายธนพงษ์ วันหมัด</v>
      </c>
      <c r="L2983" s="1" t="str">
        <f>IFERROR(__xludf.DUMMYFUNCTION("""COMPUTED_VALUE"""),"นายธนพงษ์ วันหมัด")</f>
        <v>นายธนพงษ์ วันหมัด</v>
      </c>
      <c r="M2983" s="1" t="str">
        <f>IFERROR(__xludf.DUMMYFUNCTION("""COMPUTED_VALUE"""),"0813716913")</f>
        <v>0813716913</v>
      </c>
      <c r="N2983" s="3">
        <f>IFERROR(__xludf.DUMMYFUNCTION("""COMPUTED_VALUE"""),83874.0)</f>
        <v>83874</v>
      </c>
      <c r="O2983" s="3" t="str">
        <f>IFERROR(__xludf.DUMMYFUNCTION("""COMPUTED_VALUE"""),"ร้าน ชนัญชิดา")</f>
        <v>ร้าน ชนัญชิดา</v>
      </c>
      <c r="P2983" s="4">
        <f>IFERROR(__xludf.DUMMYFUNCTION("""COMPUTED_VALUE"""),44660.0)</f>
        <v>44660</v>
      </c>
      <c r="Q2983" s="3" t="str">
        <f>IFERROR(__xludf.DUMMYFUNCTION("""COMPUTED_VALUE"""),"A")</f>
        <v>A</v>
      </c>
      <c r="R2983" s="3" t="str">
        <f>IFERROR(__xludf.DUMMYFUNCTION("""COMPUTED_VALUE"""),"Small Format")</f>
        <v>Small Format</v>
      </c>
      <c r="S2983" s="3" t="str">
        <f>IFERROR(__xludf.DUMMYFUNCTION("""COMPUTED_VALUE"""),"Donjai")</f>
        <v>Donjai</v>
      </c>
      <c r="T2983" s="3" t="str">
        <f>IFERROR(__xludf.DUMMYFUNCTION("""COMPUTED_VALUE"""),"10 K.Phakphoom P.")</f>
        <v>10 K.Phakphoom P.</v>
      </c>
      <c r="U2983" s="3" t="str">
        <f>IFERROR(__xludf.DUMMYFUNCTION("""COMPUTED_VALUE"""),"10 K.Phakphoom P.")</f>
        <v>10 K.Phakphoom P.</v>
      </c>
      <c r="V2983" s="3" t="str">
        <f>IFERROR(__xludf.DUMMYFUNCTION("""COMPUTED_VALUE"""),"N")</f>
        <v>N</v>
      </c>
      <c r="W2983" s="3"/>
      <c r="X2983" s="3" t="str">
        <f>IFERROR(__xludf.DUMMYFUNCTION("""COMPUTED_VALUE"""),"61/1 หมู่ที่7 ต.ดอนกระเบื้อง บ้านโป่ง ราชบุรี 84160")</f>
        <v>61/1 หมู่ที่7 ต.ดอนกระเบื้อง บ้านโป่ง ราชบุรี 84160</v>
      </c>
      <c r="Y2983" s="3"/>
      <c r="Z2983" s="3">
        <f>IFERROR(__xludf.DUMMYFUNCTION("""COMPUTED_VALUE"""),0.0)</f>
        <v>0</v>
      </c>
      <c r="AA2983" s="3">
        <f>IFERROR(__xludf.DUMMYFUNCTION("""COMPUTED_VALUE"""),0.0)</f>
        <v>0</v>
      </c>
      <c r="AB2983" s="3" t="str">
        <f>IFERROR(__xludf.DUMMYFUNCTION("""COMPUTED_VALUE"""),"ราชบุรี")</f>
        <v>ราชบุรี</v>
      </c>
      <c r="AC2983" s="3">
        <f>IFERROR(__xludf.DUMMYFUNCTION("""COMPUTED_VALUE"""),84160.0)</f>
        <v>84160</v>
      </c>
      <c r="AD2983" s="3"/>
      <c r="AE2983" s="3"/>
      <c r="AF2983" s="3" t="str">
        <f>IFERROR(__xludf.DUMMYFUNCTION("""COMPUTED_VALUE"""),"ร้าน ชนัญชิดา-83874")</f>
        <v>ร้าน ชนัญชิดา-83874</v>
      </c>
      <c r="AG2983" s="3" t="str">
        <f>IFERROR(__xludf.DUMMYFUNCTION("""COMPUTED_VALUE"""),"ตะวันตก")</f>
        <v>ตะวันตก</v>
      </c>
      <c r="AH2983" s="3" t="str">
        <f>IFERROR(__xludf.DUMMYFUNCTION("""COMPUTED_VALUE"""),"#N/A")</f>
        <v>#N/A</v>
      </c>
      <c r="AI2983" s="3" t="str">
        <f>IFERROR(__xludf.DUMMYFUNCTION("""COMPUTED_VALUE"""),"Out of warranty")</f>
        <v>Out of warranty</v>
      </c>
      <c r="AJ2983" s="3">
        <f>IFERROR(__xludf.DUMMYFUNCTION("""COMPUTED_VALUE"""),46.0)</f>
        <v>46</v>
      </c>
      <c r="AK2983" s="3"/>
      <c r="AL2983" s="3"/>
    </row>
    <row r="2984" ht="15.75" customHeight="1">
      <c r="A2984" s="1" t="str">
        <f>IFERROR(__xludf.DUMMYFUNCTION("""COMPUTED_VALUE"""),"83875")</f>
        <v>83875</v>
      </c>
      <c r="B2984" s="2">
        <f>IFERROR(__xludf.DUMMYFUNCTION("""COMPUTED_VALUE"""),83875.0)</f>
        <v>83875</v>
      </c>
      <c r="C2984" s="3" t="str">
        <f>IFERROR(__xludf.DUMMYFUNCTION("""COMPUTED_VALUE"""),"ร้านกะลาพอมินิมาร์ท")</f>
        <v>ร้านกะลาพอมินิมาร์ท</v>
      </c>
      <c r="D2984" s="3" t="str">
        <f>IFERROR(__xludf.DUMMYFUNCTION("""COMPUTED_VALUE"""),"ร้านกะลาพอมินิมาร์ท")</f>
        <v>ร้านกะลาพอมินิมาร์ท</v>
      </c>
      <c r="E2984" s="1" t="str">
        <f>IFERROR(__xludf.DUMMYFUNCTION("""COMPUTED_VALUE"""),"Donjai")</f>
        <v>Donjai</v>
      </c>
      <c r="F2984" s="1" t="str">
        <f>IFERROR(__xludf.DUMMYFUNCTION("""COMPUTED_VALUE"""),"20470331")</f>
        <v>20470331</v>
      </c>
      <c r="G2984" s="1" t="str">
        <f>IFERROR(__xludf.DUMMYFUNCTION("""COMPUTED_VALUE"""),"นายสมชาย ลักษณะสุวรรณ")</f>
        <v>นายสมชาย ลักษณะสุวรรณ</v>
      </c>
      <c r="H2984" s="1" t="str">
        <f>IFERROR(__xludf.DUMMYFUNCTION("""COMPUTED_VALUE"""),"20470331")</f>
        <v>20470331</v>
      </c>
      <c r="I2984" s="1" t="str">
        <f>IFERROR(__xludf.DUMMYFUNCTION("""COMPUTED_VALUE"""),"นายสมชาย ลักษณะสุวรรณ")</f>
        <v>นายสมชาย ลักษณะสุวรรณ</v>
      </c>
      <c r="J2984" s="3">
        <f>IFERROR(__xludf.DUMMYFUNCTION("""COMPUTED_VALUE"""),295541.0)</f>
        <v>295541</v>
      </c>
      <c r="K2984" s="3" t="str">
        <f>IFERROR(__xludf.DUMMYFUNCTION("""COMPUTED_VALUE"""),"นายรพิพล ศรีมาตย์")</f>
        <v>นายรพิพล ศรีมาตย์</v>
      </c>
      <c r="L2984" s="1" t="str">
        <f>IFERROR(__xludf.DUMMYFUNCTION("""COMPUTED_VALUE"""),"นายรพิพล ศรีมาตย์")</f>
        <v>นายรพิพล ศรีมาตย์</v>
      </c>
      <c r="M2984" s="1" t="str">
        <f>IFERROR(__xludf.DUMMYFUNCTION("""COMPUTED_VALUE"""),"0613966115")</f>
        <v>0613966115</v>
      </c>
      <c r="N2984" s="3">
        <f>IFERROR(__xludf.DUMMYFUNCTION("""COMPUTED_VALUE"""),83875.0)</f>
        <v>83875</v>
      </c>
      <c r="O2984" s="3" t="str">
        <f>IFERROR(__xludf.DUMMYFUNCTION("""COMPUTED_VALUE"""),"ร้านกะลาพอมินิมาร์ท")</f>
        <v>ร้านกะลาพอมินิมาร์ท</v>
      </c>
      <c r="P2984" s="4">
        <f>IFERROR(__xludf.DUMMYFUNCTION("""COMPUTED_VALUE"""),44659.0)</f>
        <v>44659</v>
      </c>
      <c r="Q2984" s="3" t="str">
        <f>IFERROR(__xludf.DUMMYFUNCTION("""COMPUTED_VALUE"""),"I")</f>
        <v>I</v>
      </c>
      <c r="R2984" s="3" t="str">
        <f>IFERROR(__xludf.DUMMYFUNCTION("""COMPUTED_VALUE"""),"Small Format")</f>
        <v>Small Format</v>
      </c>
      <c r="S2984" s="3" t="str">
        <f>IFERROR(__xludf.DUMMYFUNCTION("""COMPUTED_VALUE"""),"Donjai")</f>
        <v>Donjai</v>
      </c>
      <c r="T2984" s="3" t="str">
        <f>IFERROR(__xludf.DUMMYFUNCTION("""COMPUTED_VALUE"""),"15 K.Somchai L")</f>
        <v>15 K.Somchai L</v>
      </c>
      <c r="U2984" s="3" t="str">
        <f>IFERROR(__xludf.DUMMYFUNCTION("""COMPUTED_VALUE"""),"15 K.Somchai L")</f>
        <v>15 K.Somchai L</v>
      </c>
      <c r="V2984" s="3" t="str">
        <f>IFERROR(__xludf.DUMMYFUNCTION("""COMPUTED_VALUE"""),"N")</f>
        <v>N</v>
      </c>
      <c r="W2984" s="3"/>
      <c r="X2984" s="3" t="str">
        <f>IFERROR(__xludf.DUMMYFUNCTION("""COMPUTED_VALUE"""),"35 ม.11 เตราะบอน สายบุรี ปัตตานี 50200")</f>
        <v>35 ม.11 เตราะบอน สายบุรี ปัตตานี 50200</v>
      </c>
      <c r="Y2984" s="3"/>
      <c r="Z2984" s="3">
        <f>IFERROR(__xludf.DUMMYFUNCTION("""COMPUTED_VALUE"""),0.0)</f>
        <v>0</v>
      </c>
      <c r="AA2984" s="3">
        <f>IFERROR(__xludf.DUMMYFUNCTION("""COMPUTED_VALUE"""),0.0)</f>
        <v>0</v>
      </c>
      <c r="AB2984" s="3" t="str">
        <f>IFERROR(__xludf.DUMMYFUNCTION("""COMPUTED_VALUE"""),"ปัตตานี")</f>
        <v>ปัตตานี</v>
      </c>
      <c r="AC2984" s="3">
        <f>IFERROR(__xludf.DUMMYFUNCTION("""COMPUTED_VALUE"""),50200.0)</f>
        <v>50200</v>
      </c>
      <c r="AD2984" s="3"/>
      <c r="AE2984" s="3"/>
      <c r="AF2984" s="3" t="str">
        <f>IFERROR(__xludf.DUMMYFUNCTION("""COMPUTED_VALUE"""),"ร้านกะลาพอมินิมาร์ท-83875")</f>
        <v>ร้านกะลาพอมินิมาร์ท-83875</v>
      </c>
      <c r="AG2984" s="3" t="str">
        <f>IFERROR(__xludf.DUMMYFUNCTION("""COMPUTED_VALUE"""),"ใต้")</f>
        <v>ใต้</v>
      </c>
      <c r="AH2984" s="3" t="str">
        <f>IFERROR(__xludf.DUMMYFUNCTION("""COMPUTED_VALUE"""),"#N/A")</f>
        <v>#N/A</v>
      </c>
      <c r="AI2984" s="3" t="str">
        <f>IFERROR(__xludf.DUMMYFUNCTION("""COMPUTED_VALUE"""),"Out of warranty")</f>
        <v>Out of warranty</v>
      </c>
      <c r="AJ2984" s="3">
        <f>IFERROR(__xludf.DUMMYFUNCTION("""COMPUTED_VALUE"""),46.0)</f>
        <v>46</v>
      </c>
      <c r="AK2984" s="3"/>
      <c r="AL2984" s="3"/>
    </row>
    <row r="2985" ht="15.75" customHeight="1">
      <c r="A2985" s="1" t="str">
        <f>IFERROR(__xludf.DUMMYFUNCTION("""COMPUTED_VALUE"""),"83876")</f>
        <v>83876</v>
      </c>
      <c r="B2985" s="2">
        <f>IFERROR(__xludf.DUMMYFUNCTION("""COMPUTED_VALUE"""),83876.0)</f>
        <v>83876</v>
      </c>
      <c r="C2985" s="3" t="str">
        <f>IFERROR(__xludf.DUMMYFUNCTION("""COMPUTED_VALUE"""),"ร้าน บุญฤทธิ์การค้า")</f>
        <v>ร้าน บุญฤทธิ์การค้า</v>
      </c>
      <c r="D2985" s="3" t="str">
        <f>IFERROR(__xludf.DUMMYFUNCTION("""COMPUTED_VALUE"""),"ร้าน บุญฤทธิ์การค้า")</f>
        <v>ร้าน บุญฤทธิ์การค้า</v>
      </c>
      <c r="E2985" s="1" t="str">
        <f>IFERROR(__xludf.DUMMYFUNCTION("""COMPUTED_VALUE"""),"Donjai")</f>
        <v>Donjai</v>
      </c>
      <c r="F2985" s="1" t="str">
        <f>IFERROR(__xludf.DUMMYFUNCTION("""COMPUTED_VALUE"""),"296868")</f>
        <v>296868</v>
      </c>
      <c r="G2985" s="1" t="str">
        <f>IFERROR(__xludf.DUMMYFUNCTION("""COMPUTED_VALUE"""),"นายพีระพงษ์ แก้วดวงดี")</f>
        <v>นายพีระพงษ์ แก้วดวงดี</v>
      </c>
      <c r="H2985" s="1" t="str">
        <f>IFERROR(__xludf.DUMMYFUNCTION("""COMPUTED_VALUE"""),"296868")</f>
        <v>296868</v>
      </c>
      <c r="I2985" s="1" t="str">
        <f>IFERROR(__xludf.DUMMYFUNCTION("""COMPUTED_VALUE"""),"นายพีระพงษ์ แก้วดวงดี")</f>
        <v>นายพีระพงษ์ แก้วดวงดี</v>
      </c>
      <c r="J2985" s="3">
        <f>IFERROR(__xludf.DUMMYFUNCTION("""COMPUTED_VALUE"""),295886.0)</f>
        <v>295886</v>
      </c>
      <c r="K2985" s="3" t="str">
        <f>IFERROR(__xludf.DUMMYFUNCTION("""COMPUTED_VALUE"""),"นายจิระพงษ์ โพธิ์นิล")</f>
        <v>นายจิระพงษ์ โพธิ์นิล</v>
      </c>
      <c r="L2985" s="1" t="str">
        <f>IFERROR(__xludf.DUMMYFUNCTION("""COMPUTED_VALUE"""),"นายจิระพงษ์ โพธิ์นิล")</f>
        <v>นายจิระพงษ์ โพธิ์นิล</v>
      </c>
      <c r="M2985" s="1" t="str">
        <f>IFERROR(__xludf.DUMMYFUNCTION("""COMPUTED_VALUE"""),"0933290754")</f>
        <v>0933290754</v>
      </c>
      <c r="N2985" s="3">
        <f>IFERROR(__xludf.DUMMYFUNCTION("""COMPUTED_VALUE"""),83876.0)</f>
        <v>83876</v>
      </c>
      <c r="O2985" s="3" t="str">
        <f>IFERROR(__xludf.DUMMYFUNCTION("""COMPUTED_VALUE"""),"ร้าน บุญฤทธิ์การค้า")</f>
        <v>ร้าน บุญฤทธิ์การค้า</v>
      </c>
      <c r="P2985" s="4">
        <f>IFERROR(__xludf.DUMMYFUNCTION("""COMPUTED_VALUE"""),44678.0)</f>
        <v>44678</v>
      </c>
      <c r="Q2985" s="3" t="str">
        <f>IFERROR(__xludf.DUMMYFUNCTION("""COMPUTED_VALUE"""),"A")</f>
        <v>A</v>
      </c>
      <c r="R2985" s="3" t="str">
        <f>IFERROR(__xludf.DUMMYFUNCTION("""COMPUTED_VALUE"""),"Small Format")</f>
        <v>Small Format</v>
      </c>
      <c r="S2985" s="3" t="str">
        <f>IFERROR(__xludf.DUMMYFUNCTION("""COMPUTED_VALUE"""),"Donjai")</f>
        <v>Donjai</v>
      </c>
      <c r="T2985" s="3" t="str">
        <f>IFERROR(__xludf.DUMMYFUNCTION("""COMPUTED_VALUE"""),"03 K.Peerapong K.")</f>
        <v>03 K.Peerapong K.</v>
      </c>
      <c r="U2985" s="3" t="str">
        <f>IFERROR(__xludf.DUMMYFUNCTION("""COMPUTED_VALUE"""),"03 K.Peerapong K.")</f>
        <v>03 K.Peerapong K.</v>
      </c>
      <c r="V2985" s="3" t="str">
        <f>IFERROR(__xludf.DUMMYFUNCTION("""COMPUTED_VALUE"""),"N")</f>
        <v>N</v>
      </c>
      <c r="W2985" s="3"/>
      <c r="X2985" s="3" t="str">
        <f>IFERROR(__xludf.DUMMYFUNCTION("""COMPUTED_VALUE"""),"110ม.8 เซกา เซกา บึงกาฬ 71180")</f>
        <v>110ม.8 เซกา เซกา บึงกาฬ 71180</v>
      </c>
      <c r="Y2985" s="3"/>
      <c r="Z2985" s="3">
        <f>IFERROR(__xludf.DUMMYFUNCTION("""COMPUTED_VALUE"""),0.0)</f>
        <v>0</v>
      </c>
      <c r="AA2985" s="3">
        <f>IFERROR(__xludf.DUMMYFUNCTION("""COMPUTED_VALUE"""),0.0)</f>
        <v>0</v>
      </c>
      <c r="AB2985" s="3" t="str">
        <f>IFERROR(__xludf.DUMMYFUNCTION("""COMPUTED_VALUE"""),"บึงกาฬ")</f>
        <v>บึงกาฬ</v>
      </c>
      <c r="AC2985" s="3">
        <f>IFERROR(__xludf.DUMMYFUNCTION("""COMPUTED_VALUE"""),71180.0)</f>
        <v>71180</v>
      </c>
      <c r="AD2985" s="3"/>
      <c r="AE2985" s="3"/>
      <c r="AF2985" s="3" t="str">
        <f>IFERROR(__xludf.DUMMYFUNCTION("""COMPUTED_VALUE"""),"ร้าน บุญฤทธิ์การค้า-83876")</f>
        <v>ร้าน บุญฤทธิ์การค้า-83876</v>
      </c>
      <c r="AG2985" s="3" t="str">
        <f>IFERROR(__xludf.DUMMYFUNCTION("""COMPUTED_VALUE"""),"ตะวันออกเฉียงเหนือ")</f>
        <v>ตะวันออกเฉียงเหนือ</v>
      </c>
      <c r="AH2985" s="3" t="str">
        <f>IFERROR(__xludf.DUMMYFUNCTION("""COMPUTED_VALUE"""),"#N/A")</f>
        <v>#N/A</v>
      </c>
      <c r="AI2985" s="3" t="str">
        <f>IFERROR(__xludf.DUMMYFUNCTION("""COMPUTED_VALUE"""),"Out of warranty")</f>
        <v>Out of warranty</v>
      </c>
      <c r="AJ2985" s="3">
        <f>IFERROR(__xludf.DUMMYFUNCTION("""COMPUTED_VALUE"""),45.0)</f>
        <v>45</v>
      </c>
      <c r="AK2985" s="3"/>
      <c r="AL2985" s="3"/>
    </row>
    <row r="2986" ht="15.75" customHeight="1">
      <c r="A2986" s="1" t="str">
        <f>IFERROR(__xludf.DUMMYFUNCTION("""COMPUTED_VALUE"""),"83877")</f>
        <v>83877</v>
      </c>
      <c r="B2986" s="2">
        <f>IFERROR(__xludf.DUMMYFUNCTION("""COMPUTED_VALUE"""),83877.0)</f>
        <v>83877</v>
      </c>
      <c r="C2986" s="3" t="str">
        <f>IFERROR(__xludf.DUMMYFUNCTION("""COMPUTED_VALUE"""),"ร้านมั่นคงนานาภัณฑ์")</f>
        <v>ร้านมั่นคงนานาภัณฑ์</v>
      </c>
      <c r="D2986" s="3" t="str">
        <f>IFERROR(__xludf.DUMMYFUNCTION("""COMPUTED_VALUE"""),"ร้านมั่นคงนานาภัณฑ์")</f>
        <v>ร้านมั่นคงนานาภัณฑ์</v>
      </c>
      <c r="E2986" s="1" t="str">
        <f>IFERROR(__xludf.DUMMYFUNCTION("""COMPUTED_VALUE"""),"Donjai")</f>
        <v>Donjai</v>
      </c>
      <c r="F2986" s="1" t="str">
        <f>IFERROR(__xludf.DUMMYFUNCTION("""COMPUTED_VALUE"""),"20470331")</f>
        <v>20470331</v>
      </c>
      <c r="G2986" s="1" t="str">
        <f>IFERROR(__xludf.DUMMYFUNCTION("""COMPUTED_VALUE"""),"นายสมชาย ลักษณะสุวรรณ")</f>
        <v>นายสมชาย ลักษณะสุวรรณ</v>
      </c>
      <c r="H2986" s="1" t="str">
        <f>IFERROR(__xludf.DUMMYFUNCTION("""COMPUTED_VALUE"""),"20470331")</f>
        <v>20470331</v>
      </c>
      <c r="I2986" s="1" t="str">
        <f>IFERROR(__xludf.DUMMYFUNCTION("""COMPUTED_VALUE"""),"นายสมชาย ลักษณะสุวรรณ")</f>
        <v>นายสมชาย ลักษณะสุวรรณ</v>
      </c>
      <c r="J2986" s="3">
        <f>IFERROR(__xludf.DUMMYFUNCTION("""COMPUTED_VALUE"""),295541.0)</f>
        <v>295541</v>
      </c>
      <c r="K2986" s="3" t="str">
        <f>IFERROR(__xludf.DUMMYFUNCTION("""COMPUTED_VALUE"""),"นายรพิพล ศรีมาตย์")</f>
        <v>นายรพิพล ศรีมาตย์</v>
      </c>
      <c r="L2986" s="1" t="str">
        <f>IFERROR(__xludf.DUMMYFUNCTION("""COMPUTED_VALUE"""),"นายรพิพล ศรีมาตย์")</f>
        <v>นายรพิพล ศรีมาตย์</v>
      </c>
      <c r="M2986" s="1" t="str">
        <f>IFERROR(__xludf.DUMMYFUNCTION("""COMPUTED_VALUE"""),"0613966115")</f>
        <v>0613966115</v>
      </c>
      <c r="N2986" s="3">
        <f>IFERROR(__xludf.DUMMYFUNCTION("""COMPUTED_VALUE"""),83877.0)</f>
        <v>83877</v>
      </c>
      <c r="O2986" s="3" t="str">
        <f>IFERROR(__xludf.DUMMYFUNCTION("""COMPUTED_VALUE"""),"ร้านมั่นคงนานาภัณฑ์")</f>
        <v>ร้านมั่นคงนานาภัณฑ์</v>
      </c>
      <c r="P2986" s="4">
        <f>IFERROR(__xludf.DUMMYFUNCTION("""COMPUTED_VALUE"""),44709.0)</f>
        <v>44709</v>
      </c>
      <c r="Q2986" s="3" t="str">
        <f>IFERROR(__xludf.DUMMYFUNCTION("""COMPUTED_VALUE"""),"I")</f>
        <v>I</v>
      </c>
      <c r="R2986" s="3" t="str">
        <f>IFERROR(__xludf.DUMMYFUNCTION("""COMPUTED_VALUE"""),"Small Format")</f>
        <v>Small Format</v>
      </c>
      <c r="S2986" s="3" t="str">
        <f>IFERROR(__xludf.DUMMYFUNCTION("""COMPUTED_VALUE"""),"Donjai")</f>
        <v>Donjai</v>
      </c>
      <c r="T2986" s="3" t="str">
        <f>IFERROR(__xludf.DUMMYFUNCTION("""COMPUTED_VALUE"""),"15 K.Somchai L")</f>
        <v>15 K.Somchai L</v>
      </c>
      <c r="U2986" s="3" t="str">
        <f>IFERROR(__xludf.DUMMYFUNCTION("""COMPUTED_VALUE"""),"15 K.Somchai L")</f>
        <v>15 K.Somchai L</v>
      </c>
      <c r="V2986" s="3" t="str">
        <f>IFERROR(__xludf.DUMMYFUNCTION("""COMPUTED_VALUE"""),"N")</f>
        <v>N</v>
      </c>
      <c r="W2986" s="3"/>
      <c r="X2986" s="3" t="str">
        <f>IFERROR(__xludf.DUMMYFUNCTION("""COMPUTED_VALUE"""),"221 ม.5 ควนชะลิก หัวไทร นครศรีธรรมราช 80170")</f>
        <v>221 ม.5 ควนชะลิก หัวไทร นครศรีธรรมราช 80170</v>
      </c>
      <c r="Y2986" s="3"/>
      <c r="Z2986" s="3">
        <f>IFERROR(__xludf.DUMMYFUNCTION("""COMPUTED_VALUE"""),0.0)</f>
        <v>0</v>
      </c>
      <c r="AA2986" s="3">
        <f>IFERROR(__xludf.DUMMYFUNCTION("""COMPUTED_VALUE"""),0.0)</f>
        <v>0</v>
      </c>
      <c r="AB2986" s="3" t="str">
        <f>IFERROR(__xludf.DUMMYFUNCTION("""COMPUTED_VALUE"""),"นครศรีธรรมราช")</f>
        <v>นครศรีธรรมราช</v>
      </c>
      <c r="AC2986" s="3">
        <f>IFERROR(__xludf.DUMMYFUNCTION("""COMPUTED_VALUE"""),80170.0)</f>
        <v>80170</v>
      </c>
      <c r="AD2986" s="3"/>
      <c r="AE2986" s="3"/>
      <c r="AF2986" s="3" t="str">
        <f>IFERROR(__xludf.DUMMYFUNCTION("""COMPUTED_VALUE"""),"ร้านมั่นคงนานาภัณฑ์-83877")</f>
        <v>ร้านมั่นคงนานาภัณฑ์-83877</v>
      </c>
      <c r="AG2986" s="3" t="str">
        <f>IFERROR(__xludf.DUMMYFUNCTION("""COMPUTED_VALUE"""),"ใต้")</f>
        <v>ใต้</v>
      </c>
      <c r="AH2986" s="3" t="str">
        <f>IFERROR(__xludf.DUMMYFUNCTION("""COMPUTED_VALUE"""),"#N/A")</f>
        <v>#N/A</v>
      </c>
      <c r="AI2986" s="3" t="str">
        <f>IFERROR(__xludf.DUMMYFUNCTION("""COMPUTED_VALUE"""),"Out of warranty")</f>
        <v>Out of warranty</v>
      </c>
      <c r="AJ2986" s="3">
        <f>IFERROR(__xludf.DUMMYFUNCTION("""COMPUTED_VALUE"""),44.0)</f>
        <v>44</v>
      </c>
      <c r="AK2986" s="3"/>
      <c r="AL2986" s="3"/>
    </row>
    <row r="2987" ht="15.75" customHeight="1">
      <c r="A2987" s="1" t="str">
        <f>IFERROR(__xludf.DUMMYFUNCTION("""COMPUTED_VALUE"""),"83878")</f>
        <v>83878</v>
      </c>
      <c r="B2987" s="2">
        <f>IFERROR(__xludf.DUMMYFUNCTION("""COMPUTED_VALUE"""),83878.0)</f>
        <v>83878</v>
      </c>
      <c r="C2987" s="3" t="str">
        <f>IFERROR(__xludf.DUMMYFUNCTION("""COMPUTED_VALUE"""),"ร้านล้านเหม่ง")</f>
        <v>ร้านล้านเหม่ง</v>
      </c>
      <c r="D2987" s="3" t="str">
        <f>IFERROR(__xludf.DUMMYFUNCTION("""COMPUTED_VALUE"""),"ร้านล้านเหม่ง")</f>
        <v>ร้านล้านเหม่ง</v>
      </c>
      <c r="E2987" s="1" t="str">
        <f>IFERROR(__xludf.DUMMYFUNCTION("""COMPUTED_VALUE"""),"Donjai")</f>
        <v>Donjai</v>
      </c>
      <c r="F2987" s="1" t="str">
        <f>IFERROR(__xludf.DUMMYFUNCTION("""COMPUTED_VALUE"""),"2010023")</f>
        <v>2010023</v>
      </c>
      <c r="G2987" s="1" t="str">
        <f>IFERROR(__xludf.DUMMYFUNCTION("""COMPUTED_VALUE"""),"นายวศิน ไวยรูป")</f>
        <v>นายวศิน ไวยรูป</v>
      </c>
      <c r="H2987" s="1" t="str">
        <f>IFERROR(__xludf.DUMMYFUNCTION("""COMPUTED_VALUE"""),"2010023")</f>
        <v>2010023</v>
      </c>
      <c r="I2987" s="1" t="str">
        <f>IFERROR(__xludf.DUMMYFUNCTION("""COMPUTED_VALUE"""),"นายวศิน ไวยรูป")</f>
        <v>นายวศิน ไวยรูป</v>
      </c>
      <c r="J2987" s="3">
        <f>IFERROR(__xludf.DUMMYFUNCTION("""COMPUTED_VALUE"""),228031.0)</f>
        <v>228031</v>
      </c>
      <c r="K2987" s="3" t="str">
        <f>IFERROR(__xludf.DUMMYFUNCTION("""COMPUTED_VALUE"""),"นายธนพงษ์ วันหมัด")</f>
        <v>นายธนพงษ์ วันหมัด</v>
      </c>
      <c r="L2987" s="1" t="str">
        <f>IFERROR(__xludf.DUMMYFUNCTION("""COMPUTED_VALUE"""),"นายธนพงษ์ วันหมัด")</f>
        <v>นายธนพงษ์ วันหมัด</v>
      </c>
      <c r="M2987" s="1" t="str">
        <f>IFERROR(__xludf.DUMMYFUNCTION("""COMPUTED_VALUE"""),"0813716913")</f>
        <v>0813716913</v>
      </c>
      <c r="N2987" s="3">
        <f>IFERROR(__xludf.DUMMYFUNCTION("""COMPUTED_VALUE"""),83878.0)</f>
        <v>83878</v>
      </c>
      <c r="O2987" s="3" t="str">
        <f>IFERROR(__xludf.DUMMYFUNCTION("""COMPUTED_VALUE"""),"ร้านล้านเหม่ง")</f>
        <v>ร้านล้านเหม่ง</v>
      </c>
      <c r="P2987" s="4">
        <f>IFERROR(__xludf.DUMMYFUNCTION("""COMPUTED_VALUE"""),44680.0)</f>
        <v>44680</v>
      </c>
      <c r="Q2987" s="3" t="str">
        <f>IFERROR(__xludf.DUMMYFUNCTION("""COMPUTED_VALUE"""),"I")</f>
        <v>I</v>
      </c>
      <c r="R2987" s="3" t="str">
        <f>IFERROR(__xludf.DUMMYFUNCTION("""COMPUTED_VALUE"""),"Small Format")</f>
        <v>Small Format</v>
      </c>
      <c r="S2987" s="3" t="str">
        <f>IFERROR(__xludf.DUMMYFUNCTION("""COMPUTED_VALUE"""),"Donjai")</f>
        <v>Donjai</v>
      </c>
      <c r="T2987" s="3" t="str">
        <f>IFERROR(__xludf.DUMMYFUNCTION("""COMPUTED_VALUE"""),"Donjai")</f>
        <v>Donjai</v>
      </c>
      <c r="U2987" s="3" t="str">
        <f>IFERROR(__xludf.DUMMYFUNCTION("""COMPUTED_VALUE"""),"Donjai")</f>
        <v>Donjai</v>
      </c>
      <c r="V2987" s="3" t="str">
        <f>IFERROR(__xludf.DUMMYFUNCTION("""COMPUTED_VALUE"""),"N")</f>
        <v>N</v>
      </c>
      <c r="W2987" s="3"/>
      <c r="X2987" s="3" t="str">
        <f>IFERROR(__xludf.DUMMYFUNCTION("""COMPUTED_VALUE"""),"15/ก หมู่ 6 ต.บางกร่าง อ.เมือง จ.นนทบุรี")</f>
        <v>15/ก หมู่ 6 ต.บางกร่าง อ.เมือง จ.นนทบุรี</v>
      </c>
      <c r="Y2987" s="3"/>
      <c r="Z2987" s="3">
        <f>IFERROR(__xludf.DUMMYFUNCTION("""COMPUTED_VALUE"""),0.0)</f>
        <v>0</v>
      </c>
      <c r="AA2987" s="3">
        <f>IFERROR(__xludf.DUMMYFUNCTION("""COMPUTED_VALUE"""),0.0)</f>
        <v>0</v>
      </c>
      <c r="AB2987" s="3" t="str">
        <f>IFERROR(__xludf.DUMMYFUNCTION("""COMPUTED_VALUE"""),"นนทบุรี")</f>
        <v>นนทบุรี</v>
      </c>
      <c r="AC2987" s="3">
        <f>IFERROR(__xludf.DUMMYFUNCTION("""COMPUTED_VALUE"""),0.0)</f>
        <v>0</v>
      </c>
      <c r="AD2987" s="3"/>
      <c r="AE2987" s="3"/>
      <c r="AF2987" s="3" t="str">
        <f>IFERROR(__xludf.DUMMYFUNCTION("""COMPUTED_VALUE"""),"ร้านล้านเหม่ง-83878")</f>
        <v>ร้านล้านเหม่ง-83878</v>
      </c>
      <c r="AG2987" s="3" t="str">
        <f>IFERROR(__xludf.DUMMYFUNCTION("""COMPUTED_VALUE"""),"กลาง")</f>
        <v>กลาง</v>
      </c>
      <c r="AH2987" s="3" t="str">
        <f>IFERROR(__xludf.DUMMYFUNCTION("""COMPUTED_VALUE"""),"#N/A")</f>
        <v>#N/A</v>
      </c>
      <c r="AI2987" s="3" t="str">
        <f>IFERROR(__xludf.DUMMYFUNCTION("""COMPUTED_VALUE"""),"Out of warranty")</f>
        <v>Out of warranty</v>
      </c>
      <c r="AJ2987" s="3">
        <f>IFERROR(__xludf.DUMMYFUNCTION("""COMPUTED_VALUE"""),45.0)</f>
        <v>45</v>
      </c>
      <c r="AK2987" s="3"/>
      <c r="AL2987" s="3"/>
    </row>
    <row r="2988" ht="15.75" customHeight="1">
      <c r="A2988" s="1" t="str">
        <f>IFERROR(__xludf.DUMMYFUNCTION("""COMPUTED_VALUE"""),"83880")</f>
        <v>83880</v>
      </c>
      <c r="B2988" s="2">
        <f>IFERROR(__xludf.DUMMYFUNCTION("""COMPUTED_VALUE"""),83880.0)</f>
        <v>83880</v>
      </c>
      <c r="C2988" s="3" t="str">
        <f>IFERROR(__xludf.DUMMYFUNCTION("""COMPUTED_VALUE"""),"ร้านอ็อดมินิมาร์ท (เปลี่ยนชื่อจากอ๊อดโดนใจ) (คุณเฉลิมพล)")</f>
        <v>ร้านอ็อดมินิมาร์ท (เปลี่ยนชื่อจากอ๊อดโดนใจ) (คุณเฉลิมพล)</v>
      </c>
      <c r="D2988" s="3" t="str">
        <f>IFERROR(__xludf.DUMMYFUNCTION("""COMPUTED_VALUE"""),"ร้านอ็อดมินิมาร์ท (เปลี่ยนชื่อจากอ๊อดโดนใจ) (คุณเฉลิมพล)")</f>
        <v>ร้านอ็อดมินิมาร์ท (เปลี่ยนชื่อจากอ๊อดโดนใจ) (คุณเฉลิมพล)</v>
      </c>
      <c r="E2988" s="1" t="str">
        <f>IFERROR(__xludf.DUMMYFUNCTION("""COMPUTED_VALUE"""),"Donjai")</f>
        <v>Donjai</v>
      </c>
      <c r="F2988" s="1" t="str">
        <f>IFERROR(__xludf.DUMMYFUNCTION("""COMPUTED_VALUE"""),"2010016")</f>
        <v>2010016</v>
      </c>
      <c r="G2988" s="1" t="str">
        <f>IFERROR(__xludf.DUMMYFUNCTION("""COMPUTED_VALUE"""),"นายตวงธรรม ใหม่ยศ")</f>
        <v>นายตวงธรรม ใหม่ยศ</v>
      </c>
      <c r="H2988" s="1" t="str">
        <f>IFERROR(__xludf.DUMMYFUNCTION("""COMPUTED_VALUE"""),"2010016")</f>
        <v>2010016</v>
      </c>
      <c r="I2988" s="1" t="str">
        <f>IFERROR(__xludf.DUMMYFUNCTION("""COMPUTED_VALUE"""),"นายตวงธรรม ใหม่ยศ")</f>
        <v>นายตวงธรรม ใหม่ยศ</v>
      </c>
      <c r="J2988" s="3">
        <f>IFERROR(__xludf.DUMMYFUNCTION("""COMPUTED_VALUE"""),295886.0)</f>
        <v>295886</v>
      </c>
      <c r="K2988" s="3" t="str">
        <f>IFERROR(__xludf.DUMMYFUNCTION("""COMPUTED_VALUE"""),"นายจิระพงษ์ โพธิ์นิล")</f>
        <v>นายจิระพงษ์ โพธิ์นิล</v>
      </c>
      <c r="L2988" s="1" t="str">
        <f>IFERROR(__xludf.DUMMYFUNCTION("""COMPUTED_VALUE"""),"นายจิระพงษ์ โพธิ์นิล")</f>
        <v>นายจิระพงษ์ โพธิ์นิล</v>
      </c>
      <c r="M2988" s="1" t="str">
        <f>IFERROR(__xludf.DUMMYFUNCTION("""COMPUTED_VALUE"""),"0933290754")</f>
        <v>0933290754</v>
      </c>
      <c r="N2988" s="3">
        <f>IFERROR(__xludf.DUMMYFUNCTION("""COMPUTED_VALUE"""),83880.0)</f>
        <v>83880</v>
      </c>
      <c r="O2988" s="3" t="str">
        <f>IFERROR(__xludf.DUMMYFUNCTION("""COMPUTED_VALUE"""),"ร้านอ็อดมินิมาร์ท (เปลี่ยนชื่อจากอ๊อดโดนใจ) (คุณเฉลิมพล)")</f>
        <v>ร้านอ็อดมินิมาร์ท (เปลี่ยนชื่อจากอ๊อดโดนใจ) (คุณเฉลิมพล)</v>
      </c>
      <c r="P2988" s="4">
        <f>IFERROR(__xludf.DUMMYFUNCTION("""COMPUTED_VALUE"""),44662.0)</f>
        <v>44662</v>
      </c>
      <c r="Q2988" s="3" t="str">
        <f>IFERROR(__xludf.DUMMYFUNCTION("""COMPUTED_VALUE"""),"I")</f>
        <v>I</v>
      </c>
      <c r="R2988" s="3" t="str">
        <f>IFERROR(__xludf.DUMMYFUNCTION("""COMPUTED_VALUE"""),"Small Format")</f>
        <v>Small Format</v>
      </c>
      <c r="S2988" s="3" t="str">
        <f>IFERROR(__xludf.DUMMYFUNCTION("""COMPUTED_VALUE"""),"Donjai")</f>
        <v>Donjai</v>
      </c>
      <c r="T2988" s="3" t="str">
        <f>IFERROR(__xludf.DUMMYFUNCTION("""COMPUTED_VALUE"""),"01 K.Tuangtham M.")</f>
        <v>01 K.Tuangtham M.</v>
      </c>
      <c r="U2988" s="3" t="str">
        <f>IFERROR(__xludf.DUMMYFUNCTION("""COMPUTED_VALUE"""),"01 K.Tuangtham M.")</f>
        <v>01 K.Tuangtham M.</v>
      </c>
      <c r="V2988" s="3" t="str">
        <f>IFERROR(__xludf.DUMMYFUNCTION("""COMPUTED_VALUE"""),"N")</f>
        <v>N</v>
      </c>
      <c r="W2988" s="3"/>
      <c r="X2988" s="3" t="str">
        <f>IFERROR(__xludf.DUMMYFUNCTION("""COMPUTED_VALUE"""),"42/4 ม.3 ต.น้ำขุม อ.ศรีนคร จ.สุโขทัย")</f>
        <v>42/4 ม.3 ต.น้ำขุม อ.ศรีนคร จ.สุโขทัย</v>
      </c>
      <c r="Y2988" s="3"/>
      <c r="Z2988" s="3">
        <f>IFERROR(__xludf.DUMMYFUNCTION("""COMPUTED_VALUE"""),0.0)</f>
        <v>0</v>
      </c>
      <c r="AA2988" s="3">
        <f>IFERROR(__xludf.DUMMYFUNCTION("""COMPUTED_VALUE"""),0.0)</f>
        <v>0</v>
      </c>
      <c r="AB2988" s="3" t="str">
        <f>IFERROR(__xludf.DUMMYFUNCTION("""COMPUTED_VALUE"""),"สุโขทัย")</f>
        <v>สุโขทัย</v>
      </c>
      <c r="AC2988" s="3">
        <f>IFERROR(__xludf.DUMMYFUNCTION("""COMPUTED_VALUE"""),0.0)</f>
        <v>0</v>
      </c>
      <c r="AD2988" s="3"/>
      <c r="AE2988" s="3"/>
      <c r="AF2988" s="3" t="str">
        <f>IFERROR(__xludf.DUMMYFUNCTION("""COMPUTED_VALUE"""),"ร้านอ็อดมินิมาร์ท (เปลี่ยนชื่อจากอ๊อดโดนใจ) (คุณเฉลิมพล)-83880")</f>
        <v>ร้านอ็อดมินิมาร์ท (เปลี่ยนชื่อจากอ๊อดโดนใจ) (คุณเฉลิมพล)-83880</v>
      </c>
      <c r="AG2988" s="3" t="str">
        <f>IFERROR(__xludf.DUMMYFUNCTION("""COMPUTED_VALUE"""),"กลาง")</f>
        <v>กลาง</v>
      </c>
      <c r="AH2988" s="3" t="str">
        <f>IFERROR(__xludf.DUMMYFUNCTION("""COMPUTED_VALUE"""),"#N/A")</f>
        <v>#N/A</v>
      </c>
      <c r="AI2988" s="3" t="str">
        <f>IFERROR(__xludf.DUMMYFUNCTION("""COMPUTED_VALUE"""),"Out of warranty")</f>
        <v>Out of warranty</v>
      </c>
      <c r="AJ2988" s="3">
        <f>IFERROR(__xludf.DUMMYFUNCTION("""COMPUTED_VALUE"""),46.0)</f>
        <v>46</v>
      </c>
      <c r="AK2988" s="3"/>
      <c r="AL2988" s="3"/>
    </row>
    <row r="2989" ht="15.75" customHeight="1">
      <c r="A2989" s="1" t="str">
        <f>IFERROR(__xludf.DUMMYFUNCTION("""COMPUTED_VALUE"""),"83881")</f>
        <v>83881</v>
      </c>
      <c r="B2989" s="2">
        <f>IFERROR(__xludf.DUMMYFUNCTION("""COMPUTED_VALUE"""),83881.0)</f>
        <v>83881</v>
      </c>
      <c r="C2989" s="3" t="str">
        <f>IFERROR(__xludf.DUMMYFUNCTION("""COMPUTED_VALUE"""),"ร้านกัญจน์รัชต์พาณิชย์ (V Shop)")</f>
        <v>ร้านกัญจน์รัชต์พาณิชย์ (V Shop)</v>
      </c>
      <c r="D2989" s="3" t="str">
        <f>IFERROR(__xludf.DUMMYFUNCTION("""COMPUTED_VALUE"""),"ร้านกัญจน์รัชต์พาณิชย์ (V Shop)")</f>
        <v>ร้านกัญจน์รัชต์พาณิชย์ (V Shop)</v>
      </c>
      <c r="E2989" s="1" t="str">
        <f>IFERROR(__xludf.DUMMYFUNCTION("""COMPUTED_VALUE"""),"Donjai")</f>
        <v>Donjai</v>
      </c>
      <c r="F2989" s="1" t="str">
        <f>IFERROR(__xludf.DUMMYFUNCTION("""COMPUTED_VALUE"""),"03510104")</f>
        <v>03510104</v>
      </c>
      <c r="G2989" s="1" t="str">
        <f>IFERROR(__xludf.DUMMYFUNCTION("""COMPUTED_VALUE"""),"นายวิโรจน์ อับดุลสมัด")</f>
        <v>นายวิโรจน์ อับดุลสมัด</v>
      </c>
      <c r="H2989" s="1" t="str">
        <f>IFERROR(__xludf.DUMMYFUNCTION("""COMPUTED_VALUE"""),"03510104")</f>
        <v>03510104</v>
      </c>
      <c r="I2989" s="1" t="str">
        <f>IFERROR(__xludf.DUMMYFUNCTION("""COMPUTED_VALUE"""),"นายวิโรจน์ อับดุลสมัด")</f>
        <v>นายวิโรจน์ อับดุลสมัด</v>
      </c>
      <c r="J2989" s="3">
        <f>IFERROR(__xludf.DUMMYFUNCTION("""COMPUTED_VALUE"""),228031.0)</f>
        <v>228031</v>
      </c>
      <c r="K2989" s="3" t="str">
        <f>IFERROR(__xludf.DUMMYFUNCTION("""COMPUTED_VALUE"""),"นายธนพงษ์ วันหมัด")</f>
        <v>นายธนพงษ์ วันหมัด</v>
      </c>
      <c r="L2989" s="1" t="str">
        <f>IFERROR(__xludf.DUMMYFUNCTION("""COMPUTED_VALUE"""),"นายธนพงษ์ วันหมัด")</f>
        <v>นายธนพงษ์ วันหมัด</v>
      </c>
      <c r="M2989" s="1" t="str">
        <f>IFERROR(__xludf.DUMMYFUNCTION("""COMPUTED_VALUE"""),"0813716913")</f>
        <v>0813716913</v>
      </c>
      <c r="N2989" s="3">
        <f>IFERROR(__xludf.DUMMYFUNCTION("""COMPUTED_VALUE"""),83881.0)</f>
        <v>83881</v>
      </c>
      <c r="O2989" s="3" t="str">
        <f>IFERROR(__xludf.DUMMYFUNCTION("""COMPUTED_VALUE"""),"ร้านกัญจน์รัชต์พาณิชย์ (V Shop)")</f>
        <v>ร้านกัญจน์รัชต์พาณิชย์ (V Shop)</v>
      </c>
      <c r="P2989" s="4">
        <f>IFERROR(__xludf.DUMMYFUNCTION("""COMPUTED_VALUE"""),44656.0)</f>
        <v>44656</v>
      </c>
      <c r="Q2989" s="3" t="str">
        <f>IFERROR(__xludf.DUMMYFUNCTION("""COMPUTED_VALUE"""),"A")</f>
        <v>A</v>
      </c>
      <c r="R2989" s="3" t="str">
        <f>IFERROR(__xludf.DUMMYFUNCTION("""COMPUTED_VALUE"""),"Small Format")</f>
        <v>Small Format</v>
      </c>
      <c r="S2989" s="3" t="str">
        <f>IFERROR(__xludf.DUMMYFUNCTION("""COMPUTED_VALUE"""),"Donjai")</f>
        <v>Donjai</v>
      </c>
      <c r="T2989" s="3" t="str">
        <f>IFERROR(__xludf.DUMMYFUNCTION("""COMPUTED_VALUE"""),"09 K.Wirode A")</f>
        <v>09 K.Wirode A</v>
      </c>
      <c r="U2989" s="3" t="str">
        <f>IFERROR(__xludf.DUMMYFUNCTION("""COMPUTED_VALUE"""),"09 K.Wirode A")</f>
        <v>09 K.Wirode A</v>
      </c>
      <c r="V2989" s="3" t="str">
        <f>IFERROR(__xludf.DUMMYFUNCTION("""COMPUTED_VALUE"""),"N")</f>
        <v>N</v>
      </c>
      <c r="W2989" s="3"/>
      <c r="X2989" s="3" t="str">
        <f>IFERROR(__xludf.DUMMYFUNCTION("""COMPUTED_VALUE"""),"75-76 ซอยเสรีไทย แยก6 แขวงคลองจั่น เขตบางกะปิ กรุงเทพ")</f>
        <v>75-76 ซอยเสรีไทย แยก6 แขวงคลองจั่น เขตบางกะปิ กรุงเทพ</v>
      </c>
      <c r="Y2989" s="3"/>
      <c r="Z2989" s="3">
        <f>IFERROR(__xludf.DUMMYFUNCTION("""COMPUTED_VALUE"""),0.0)</f>
        <v>0</v>
      </c>
      <c r="AA2989" s="3">
        <f>IFERROR(__xludf.DUMMYFUNCTION("""COMPUTED_VALUE"""),0.0)</f>
        <v>0</v>
      </c>
      <c r="AB2989" s="3" t="str">
        <f>IFERROR(__xludf.DUMMYFUNCTION("""COMPUTED_VALUE"""),"กรุงเทพมหานคร")</f>
        <v>กรุงเทพมหานคร</v>
      </c>
      <c r="AC2989" s="3">
        <f>IFERROR(__xludf.DUMMYFUNCTION("""COMPUTED_VALUE"""),0.0)</f>
        <v>0</v>
      </c>
      <c r="AD2989" s="3"/>
      <c r="AE2989" s="3"/>
      <c r="AF2989" s="3" t="str">
        <f>IFERROR(__xludf.DUMMYFUNCTION("""COMPUTED_VALUE"""),"ร้านกัญจน์รัชต์พาณิชย์ (V Shop)-83881")</f>
        <v>ร้านกัญจน์รัชต์พาณิชย์ (V Shop)-83881</v>
      </c>
      <c r="AG2989" s="3" t="str">
        <f>IFERROR(__xludf.DUMMYFUNCTION("""COMPUTED_VALUE"""),"กลาง")</f>
        <v>กลาง</v>
      </c>
      <c r="AH2989" s="3" t="str">
        <f>IFERROR(__xludf.DUMMYFUNCTION("""COMPUTED_VALUE"""),"#N/A")</f>
        <v>#N/A</v>
      </c>
      <c r="AI2989" s="3" t="str">
        <f>IFERROR(__xludf.DUMMYFUNCTION("""COMPUTED_VALUE"""),"Out of warranty")</f>
        <v>Out of warranty</v>
      </c>
      <c r="AJ2989" s="3">
        <f>IFERROR(__xludf.DUMMYFUNCTION("""COMPUTED_VALUE"""),46.0)</f>
        <v>46</v>
      </c>
      <c r="AK2989" s="3"/>
      <c r="AL2989" s="3"/>
    </row>
    <row r="2990" ht="15.75" customHeight="1">
      <c r="A2990" s="1" t="str">
        <f>IFERROR(__xludf.DUMMYFUNCTION("""COMPUTED_VALUE"""),"83882")</f>
        <v>83882</v>
      </c>
      <c r="B2990" s="2">
        <f>IFERROR(__xludf.DUMMYFUNCTION("""COMPUTED_VALUE"""),83882.0)</f>
        <v>83882</v>
      </c>
      <c r="C2990" s="3" t="str">
        <f>IFERROR(__xludf.DUMMYFUNCTION("""COMPUTED_VALUE"""),"ร้านน้องพีพี")</f>
        <v>ร้านน้องพีพี</v>
      </c>
      <c r="D2990" s="3" t="str">
        <f>IFERROR(__xludf.DUMMYFUNCTION("""COMPUTED_VALUE"""),"ร้านน้องพีพี")</f>
        <v>ร้านน้องพีพี</v>
      </c>
      <c r="E2990" s="1" t="str">
        <f>IFERROR(__xludf.DUMMYFUNCTION("""COMPUTED_VALUE"""),"Donjai")</f>
        <v>Donjai</v>
      </c>
      <c r="F2990" s="1" t="str">
        <f>IFERROR(__xludf.DUMMYFUNCTION("""COMPUTED_VALUE"""),"296868")</f>
        <v>296868</v>
      </c>
      <c r="G2990" s="1" t="str">
        <f>IFERROR(__xludf.DUMMYFUNCTION("""COMPUTED_VALUE"""),"นายพีระพงษ์ แก้วดวงดี")</f>
        <v>นายพีระพงษ์ แก้วดวงดี</v>
      </c>
      <c r="H2990" s="1" t="str">
        <f>IFERROR(__xludf.DUMMYFUNCTION("""COMPUTED_VALUE"""),"296868")</f>
        <v>296868</v>
      </c>
      <c r="I2990" s="1" t="str">
        <f>IFERROR(__xludf.DUMMYFUNCTION("""COMPUTED_VALUE"""),"นายพีระพงษ์ แก้วดวงดี")</f>
        <v>นายพีระพงษ์ แก้วดวงดี</v>
      </c>
      <c r="J2990" s="3">
        <f>IFERROR(__xludf.DUMMYFUNCTION("""COMPUTED_VALUE"""),295886.0)</f>
        <v>295886</v>
      </c>
      <c r="K2990" s="3" t="str">
        <f>IFERROR(__xludf.DUMMYFUNCTION("""COMPUTED_VALUE"""),"นายจิระพงษ์ โพธิ์นิล")</f>
        <v>นายจิระพงษ์ โพธิ์นิล</v>
      </c>
      <c r="L2990" s="1" t="str">
        <f>IFERROR(__xludf.DUMMYFUNCTION("""COMPUTED_VALUE"""),"นายจิระพงษ์ โพธิ์นิล")</f>
        <v>นายจิระพงษ์ โพธิ์นิล</v>
      </c>
      <c r="M2990" s="1" t="str">
        <f>IFERROR(__xludf.DUMMYFUNCTION("""COMPUTED_VALUE"""),"0933290754")</f>
        <v>0933290754</v>
      </c>
      <c r="N2990" s="3">
        <f>IFERROR(__xludf.DUMMYFUNCTION("""COMPUTED_VALUE"""),83882.0)</f>
        <v>83882</v>
      </c>
      <c r="O2990" s="3" t="str">
        <f>IFERROR(__xludf.DUMMYFUNCTION("""COMPUTED_VALUE"""),"ร้านน้องพีพี")</f>
        <v>ร้านน้องพีพี</v>
      </c>
      <c r="P2990" s="4">
        <f>IFERROR(__xludf.DUMMYFUNCTION("""COMPUTED_VALUE"""),44683.0)</f>
        <v>44683</v>
      </c>
      <c r="Q2990" s="3" t="str">
        <f>IFERROR(__xludf.DUMMYFUNCTION("""COMPUTED_VALUE"""),"I")</f>
        <v>I</v>
      </c>
      <c r="R2990" s="3" t="str">
        <f>IFERROR(__xludf.DUMMYFUNCTION("""COMPUTED_VALUE"""),"Small Format")</f>
        <v>Small Format</v>
      </c>
      <c r="S2990" s="3" t="str">
        <f>IFERROR(__xludf.DUMMYFUNCTION("""COMPUTED_VALUE"""),"Donjai")</f>
        <v>Donjai</v>
      </c>
      <c r="T2990" s="3" t="str">
        <f>IFERROR(__xludf.DUMMYFUNCTION("""COMPUTED_VALUE"""),"03 K.Peerapong K.")</f>
        <v>03 K.Peerapong K.</v>
      </c>
      <c r="U2990" s="3" t="str">
        <f>IFERROR(__xludf.DUMMYFUNCTION("""COMPUTED_VALUE"""),"03 K.Peerapong K.")</f>
        <v>03 K.Peerapong K.</v>
      </c>
      <c r="V2990" s="3" t="str">
        <f>IFERROR(__xludf.DUMMYFUNCTION("""COMPUTED_VALUE"""),"N")</f>
        <v>N</v>
      </c>
      <c r="W2990" s="3"/>
      <c r="X2990" s="3" t="str">
        <f>IFERROR(__xludf.DUMMYFUNCTION("""COMPUTED_VALUE"""),"18 ม.3 บ้านโนนมณี หนองเลิง เมือง บึงกาฬ 38000")</f>
        <v>18 ม.3 บ้านโนนมณี หนองเลิง เมือง บึงกาฬ 38000</v>
      </c>
      <c r="Y2990" s="3"/>
      <c r="Z2990" s="3">
        <f>IFERROR(__xludf.DUMMYFUNCTION("""COMPUTED_VALUE"""),0.0)</f>
        <v>0</v>
      </c>
      <c r="AA2990" s="3">
        <f>IFERROR(__xludf.DUMMYFUNCTION("""COMPUTED_VALUE"""),0.0)</f>
        <v>0</v>
      </c>
      <c r="AB2990" s="3" t="str">
        <f>IFERROR(__xludf.DUMMYFUNCTION("""COMPUTED_VALUE"""),"บึงกาฬ")</f>
        <v>บึงกาฬ</v>
      </c>
      <c r="AC2990" s="3">
        <f>IFERROR(__xludf.DUMMYFUNCTION("""COMPUTED_VALUE"""),38000.0)</f>
        <v>38000</v>
      </c>
      <c r="AD2990" s="3"/>
      <c r="AE2990" s="3"/>
      <c r="AF2990" s="3" t="str">
        <f>IFERROR(__xludf.DUMMYFUNCTION("""COMPUTED_VALUE"""),"ร้านน้องพีพี-83882")</f>
        <v>ร้านน้องพีพี-83882</v>
      </c>
      <c r="AG2990" s="3" t="str">
        <f>IFERROR(__xludf.DUMMYFUNCTION("""COMPUTED_VALUE"""),"ตะวันออกเฉียงเหนือ")</f>
        <v>ตะวันออกเฉียงเหนือ</v>
      </c>
      <c r="AH2990" s="3" t="str">
        <f>IFERROR(__xludf.DUMMYFUNCTION("""COMPUTED_VALUE"""),"#N/A")</f>
        <v>#N/A</v>
      </c>
      <c r="AI2990" s="3" t="str">
        <f>IFERROR(__xludf.DUMMYFUNCTION("""COMPUTED_VALUE"""),"Out of warranty")</f>
        <v>Out of warranty</v>
      </c>
      <c r="AJ2990" s="3">
        <f>IFERROR(__xludf.DUMMYFUNCTION("""COMPUTED_VALUE"""),45.0)</f>
        <v>45</v>
      </c>
      <c r="AK2990" s="3"/>
      <c r="AL2990" s="3"/>
    </row>
    <row r="2991" ht="15.75" customHeight="1">
      <c r="A2991" s="1" t="str">
        <f>IFERROR(__xludf.DUMMYFUNCTION("""COMPUTED_VALUE"""),"83883")</f>
        <v>83883</v>
      </c>
      <c r="B2991" s="2">
        <f>IFERROR(__xludf.DUMMYFUNCTION("""COMPUTED_VALUE"""),83883.0)</f>
        <v>83883</v>
      </c>
      <c r="C2991" s="3" t="str">
        <f>IFERROR(__xludf.DUMMYFUNCTION("""COMPUTED_VALUE"""),"ร้านเจ้หมิง มิ่งขวัญ(ร้านไพเราะ)")</f>
        <v>ร้านเจ้หมิง มิ่งขวัญ(ร้านไพเราะ)</v>
      </c>
      <c r="D2991" s="3" t="str">
        <f>IFERROR(__xludf.DUMMYFUNCTION("""COMPUTED_VALUE"""),"ร้านเจ้หมิง มิ่งขวัญ(ร้านไพเราะ)")</f>
        <v>ร้านเจ้หมิง มิ่งขวัญ(ร้านไพเราะ)</v>
      </c>
      <c r="E2991" s="1" t="str">
        <f>IFERROR(__xludf.DUMMYFUNCTION("""COMPUTED_VALUE"""),"Donjai")</f>
        <v>Donjai</v>
      </c>
      <c r="F2991" s="1" t="str">
        <f>IFERROR(__xludf.DUMMYFUNCTION("""COMPUTED_VALUE"""),"296945")</f>
        <v>296945</v>
      </c>
      <c r="G2991" s="1" t="str">
        <f>IFERROR(__xludf.DUMMYFUNCTION("""COMPUTED_VALUE"""),"นายรักพงศ์ พงศ์พันธ์งาม")</f>
        <v>นายรักพงศ์ พงศ์พันธ์งาม</v>
      </c>
      <c r="H2991" s="1" t="str">
        <f>IFERROR(__xludf.DUMMYFUNCTION("""COMPUTED_VALUE"""),"296945")</f>
        <v>296945</v>
      </c>
      <c r="I2991" s="1" t="str">
        <f>IFERROR(__xludf.DUMMYFUNCTION("""COMPUTED_VALUE"""),"นายรักพงศ์ พงศ์พันธ์งาม")</f>
        <v>นายรักพงศ์ พงศ์พันธ์งาม</v>
      </c>
      <c r="J2991" s="3">
        <f>IFERROR(__xludf.DUMMYFUNCTION("""COMPUTED_VALUE"""),228031.0)</f>
        <v>228031</v>
      </c>
      <c r="K2991" s="3" t="str">
        <f>IFERROR(__xludf.DUMMYFUNCTION("""COMPUTED_VALUE"""),"นายธนพงษ์ วันหมัด")</f>
        <v>นายธนพงษ์ วันหมัด</v>
      </c>
      <c r="L2991" s="1" t="str">
        <f>IFERROR(__xludf.DUMMYFUNCTION("""COMPUTED_VALUE"""),"นายธนพงษ์ วันหมัด")</f>
        <v>นายธนพงษ์ วันหมัด</v>
      </c>
      <c r="M2991" s="1" t="str">
        <f>IFERROR(__xludf.DUMMYFUNCTION("""COMPUTED_VALUE"""),"0813716913")</f>
        <v>0813716913</v>
      </c>
      <c r="N2991" s="3">
        <f>IFERROR(__xludf.DUMMYFUNCTION("""COMPUTED_VALUE"""),83883.0)</f>
        <v>83883</v>
      </c>
      <c r="O2991" s="3" t="str">
        <f>IFERROR(__xludf.DUMMYFUNCTION("""COMPUTED_VALUE"""),"ร้านเจ้หมิง มิ่งขวัญ(ร้านไพเราะ)")</f>
        <v>ร้านเจ้หมิง มิ่งขวัญ(ร้านไพเราะ)</v>
      </c>
      <c r="P2991" s="4">
        <f>IFERROR(__xludf.DUMMYFUNCTION("""COMPUTED_VALUE"""),44682.0)</f>
        <v>44682</v>
      </c>
      <c r="Q2991" s="3" t="str">
        <f>IFERROR(__xludf.DUMMYFUNCTION("""COMPUTED_VALUE"""),"I")</f>
        <v>I</v>
      </c>
      <c r="R2991" s="3" t="str">
        <f>IFERROR(__xludf.DUMMYFUNCTION("""COMPUTED_VALUE"""),"Small Format")</f>
        <v>Small Format</v>
      </c>
      <c r="S2991" s="3" t="str">
        <f>IFERROR(__xludf.DUMMYFUNCTION("""COMPUTED_VALUE"""),"Donjai")</f>
        <v>Donjai</v>
      </c>
      <c r="T2991" s="3">
        <f>IFERROR(__xludf.DUMMYFUNCTION("""COMPUTED_VALUE"""),0.0)</f>
        <v>0</v>
      </c>
      <c r="U2991" s="3">
        <f>IFERROR(__xludf.DUMMYFUNCTION("""COMPUTED_VALUE"""),0.0)</f>
        <v>0</v>
      </c>
      <c r="V2991" s="3" t="str">
        <f>IFERROR(__xludf.DUMMYFUNCTION("""COMPUTED_VALUE"""),"N")</f>
        <v>N</v>
      </c>
      <c r="W2991" s="3"/>
      <c r="X2991" s="3" t="str">
        <f>IFERROR(__xludf.DUMMYFUNCTION("""COMPUTED_VALUE"""),"5 หมู่ 1 ต.บางหัก อ.พานทอง จ.ชลบุรี")</f>
        <v>5 หมู่ 1 ต.บางหัก อ.พานทอง จ.ชลบุรี</v>
      </c>
      <c r="Y2991" s="3"/>
      <c r="Z2991" s="3">
        <f>IFERROR(__xludf.DUMMYFUNCTION("""COMPUTED_VALUE"""),0.0)</f>
        <v>0</v>
      </c>
      <c r="AA2991" s="3">
        <f>IFERROR(__xludf.DUMMYFUNCTION("""COMPUTED_VALUE"""),0.0)</f>
        <v>0</v>
      </c>
      <c r="AB2991" s="3" t="str">
        <f>IFERROR(__xludf.DUMMYFUNCTION("""COMPUTED_VALUE"""),"ชลบุรี")</f>
        <v>ชลบุรี</v>
      </c>
      <c r="AC2991" s="3">
        <f>IFERROR(__xludf.DUMMYFUNCTION("""COMPUTED_VALUE"""),0.0)</f>
        <v>0</v>
      </c>
      <c r="AD2991" s="3"/>
      <c r="AE2991" s="3"/>
      <c r="AF2991" s="3" t="str">
        <f>IFERROR(__xludf.DUMMYFUNCTION("""COMPUTED_VALUE"""),"ร้านเจ้หมิง มิ่งขวัญ(ร้านไพเราะ)-83883")</f>
        <v>ร้านเจ้หมิง มิ่งขวัญ(ร้านไพเราะ)-83883</v>
      </c>
      <c r="AG2991" s="3" t="str">
        <f>IFERROR(__xludf.DUMMYFUNCTION("""COMPUTED_VALUE"""),"ตะวันออก")</f>
        <v>ตะวันออก</v>
      </c>
      <c r="AH2991" s="3" t="str">
        <f>IFERROR(__xludf.DUMMYFUNCTION("""COMPUTED_VALUE"""),"#N/A")</f>
        <v>#N/A</v>
      </c>
      <c r="AI2991" s="3" t="str">
        <f>IFERROR(__xludf.DUMMYFUNCTION("""COMPUTED_VALUE"""),"Out of warranty")</f>
        <v>Out of warranty</v>
      </c>
      <c r="AJ2991" s="3">
        <f>IFERROR(__xludf.DUMMYFUNCTION("""COMPUTED_VALUE"""),45.0)</f>
        <v>45</v>
      </c>
      <c r="AK2991" s="3"/>
      <c r="AL2991" s="3"/>
    </row>
    <row r="2992" ht="15.75" customHeight="1">
      <c r="A2992" s="1" t="str">
        <f>IFERROR(__xludf.DUMMYFUNCTION("""COMPUTED_VALUE"""),"83885")</f>
        <v>83885</v>
      </c>
      <c r="B2992" s="2">
        <f>IFERROR(__xludf.DUMMYFUNCTION("""COMPUTED_VALUE"""),83885.0)</f>
        <v>83885</v>
      </c>
      <c r="C2992" s="3" t="str">
        <f>IFERROR(__xludf.DUMMYFUNCTION("""COMPUTED_VALUE"""),"ร้านสไมล์ มาร์ท (สมาย มินิมาร์ท)")</f>
        <v>ร้านสไมล์ มาร์ท (สมาย มินิมาร์ท)</v>
      </c>
      <c r="D2992" s="3" t="str">
        <f>IFERROR(__xludf.DUMMYFUNCTION("""COMPUTED_VALUE"""),"ร้านสไมล์ มาร์ท (สมาย มินิมาร์ท)")</f>
        <v>ร้านสไมล์ มาร์ท (สมาย มินิมาร์ท)</v>
      </c>
      <c r="E2992" s="1" t="str">
        <f>IFERROR(__xludf.DUMMYFUNCTION("""COMPUTED_VALUE"""),"Donjai")</f>
        <v>Donjai</v>
      </c>
      <c r="F2992" s="1" t="str">
        <f>IFERROR(__xludf.DUMMYFUNCTION("""COMPUTED_VALUE"""),"296868")</f>
        <v>296868</v>
      </c>
      <c r="G2992" s="1" t="str">
        <f>IFERROR(__xludf.DUMMYFUNCTION("""COMPUTED_VALUE"""),"นายพีระพงษ์ แก้วดวงดี")</f>
        <v>นายพีระพงษ์ แก้วดวงดี</v>
      </c>
      <c r="H2992" s="1" t="str">
        <f>IFERROR(__xludf.DUMMYFUNCTION("""COMPUTED_VALUE"""),"296868")</f>
        <v>296868</v>
      </c>
      <c r="I2992" s="1" t="str">
        <f>IFERROR(__xludf.DUMMYFUNCTION("""COMPUTED_VALUE"""),"นายพีระพงษ์ แก้วดวงดี")</f>
        <v>นายพีระพงษ์ แก้วดวงดี</v>
      </c>
      <c r="J2992" s="3">
        <f>IFERROR(__xludf.DUMMYFUNCTION("""COMPUTED_VALUE"""),295886.0)</f>
        <v>295886</v>
      </c>
      <c r="K2992" s="3" t="str">
        <f>IFERROR(__xludf.DUMMYFUNCTION("""COMPUTED_VALUE"""),"นายจิระพงษ์ โพธิ์นิล")</f>
        <v>นายจิระพงษ์ โพธิ์นิล</v>
      </c>
      <c r="L2992" s="1" t="str">
        <f>IFERROR(__xludf.DUMMYFUNCTION("""COMPUTED_VALUE"""),"นายจิระพงษ์ โพธิ์นิล")</f>
        <v>นายจิระพงษ์ โพธิ์นิล</v>
      </c>
      <c r="M2992" s="1" t="str">
        <f>IFERROR(__xludf.DUMMYFUNCTION("""COMPUTED_VALUE"""),"0933290754")</f>
        <v>0933290754</v>
      </c>
      <c r="N2992" s="3">
        <f>IFERROR(__xludf.DUMMYFUNCTION("""COMPUTED_VALUE"""),83885.0)</f>
        <v>83885</v>
      </c>
      <c r="O2992" s="3" t="str">
        <f>IFERROR(__xludf.DUMMYFUNCTION("""COMPUTED_VALUE"""),"ร้านสไมล์ มาร์ท (สมาย มินิมาร์ท)")</f>
        <v>ร้านสไมล์ มาร์ท (สมาย มินิมาร์ท)</v>
      </c>
      <c r="P2992" s="4">
        <f>IFERROR(__xludf.DUMMYFUNCTION("""COMPUTED_VALUE"""),44690.0)</f>
        <v>44690</v>
      </c>
      <c r="Q2992" s="3" t="str">
        <f>IFERROR(__xludf.DUMMYFUNCTION("""COMPUTED_VALUE"""),"A")</f>
        <v>A</v>
      </c>
      <c r="R2992" s="3" t="str">
        <f>IFERROR(__xludf.DUMMYFUNCTION("""COMPUTED_VALUE"""),"Small Format")</f>
        <v>Small Format</v>
      </c>
      <c r="S2992" s="3" t="str">
        <f>IFERROR(__xludf.DUMMYFUNCTION("""COMPUTED_VALUE"""),"Donjai")</f>
        <v>Donjai</v>
      </c>
      <c r="T2992" s="3" t="str">
        <f>IFERROR(__xludf.DUMMYFUNCTION("""COMPUTED_VALUE"""),"03 K.Peerapong K.")</f>
        <v>03 K.Peerapong K.</v>
      </c>
      <c r="U2992" s="3" t="str">
        <f>IFERROR(__xludf.DUMMYFUNCTION("""COMPUTED_VALUE"""),"03 K.Peerapong K.")</f>
        <v>03 K.Peerapong K.</v>
      </c>
      <c r="V2992" s="3" t="str">
        <f>IFERROR(__xludf.DUMMYFUNCTION("""COMPUTED_VALUE"""),"N")</f>
        <v>N</v>
      </c>
      <c r="W2992" s="3"/>
      <c r="X2992" s="3" t="str">
        <f>IFERROR(__xludf.DUMMYFUNCTION("""COMPUTED_VALUE"""),"314 หมู่ 8 บ้านผือ บ้านผือ อุดรธานี 41160")</f>
        <v>314 หมู่ 8 บ้านผือ บ้านผือ อุดรธานี 41160</v>
      </c>
      <c r="Y2992" s="3"/>
      <c r="Z2992" s="3">
        <f>IFERROR(__xludf.DUMMYFUNCTION("""COMPUTED_VALUE"""),0.0)</f>
        <v>0</v>
      </c>
      <c r="AA2992" s="3">
        <f>IFERROR(__xludf.DUMMYFUNCTION("""COMPUTED_VALUE"""),0.0)</f>
        <v>0</v>
      </c>
      <c r="AB2992" s="3" t="str">
        <f>IFERROR(__xludf.DUMMYFUNCTION("""COMPUTED_VALUE"""),"อุดรธานี")</f>
        <v>อุดรธานี</v>
      </c>
      <c r="AC2992" s="3">
        <f>IFERROR(__xludf.DUMMYFUNCTION("""COMPUTED_VALUE"""),41160.0)</f>
        <v>41160</v>
      </c>
      <c r="AD2992" s="3"/>
      <c r="AE2992" s="3"/>
      <c r="AF2992" s="3" t="str">
        <f>IFERROR(__xludf.DUMMYFUNCTION("""COMPUTED_VALUE"""),"ร้านสไมล์ มาร์ท (สมาย มินิมาร์ท)-83885")</f>
        <v>ร้านสไมล์ มาร์ท (สมาย มินิมาร์ท)-83885</v>
      </c>
      <c r="AG2992" s="3" t="str">
        <f>IFERROR(__xludf.DUMMYFUNCTION("""COMPUTED_VALUE"""),"ตะวันออกเฉียงเหนือ")</f>
        <v>ตะวันออกเฉียงเหนือ</v>
      </c>
      <c r="AH2992" s="3" t="str">
        <f>IFERROR(__xludf.DUMMYFUNCTION("""COMPUTED_VALUE"""),"#N/A")</f>
        <v>#N/A</v>
      </c>
      <c r="AI2992" s="3" t="str">
        <f>IFERROR(__xludf.DUMMYFUNCTION("""COMPUTED_VALUE"""),"Out of warranty")</f>
        <v>Out of warranty</v>
      </c>
      <c r="AJ2992" s="3">
        <f>IFERROR(__xludf.DUMMYFUNCTION("""COMPUTED_VALUE"""),45.0)</f>
        <v>45</v>
      </c>
      <c r="AK2992" s="3"/>
      <c r="AL2992" s="3"/>
    </row>
    <row r="2993" ht="15.75" customHeight="1">
      <c r="A2993" s="1" t="str">
        <f>IFERROR(__xludf.DUMMYFUNCTION("""COMPUTED_VALUE"""),"83886")</f>
        <v>83886</v>
      </c>
      <c r="B2993" s="2">
        <f>IFERROR(__xludf.DUMMYFUNCTION("""COMPUTED_VALUE"""),83886.0)</f>
        <v>83886</v>
      </c>
      <c r="C2993" s="3" t="str">
        <f>IFERROR(__xludf.DUMMYFUNCTION("""COMPUTED_VALUE"""),"ร้านนพรัตน์​ การ​ค้า")</f>
        <v>ร้านนพรัตน์​ การ​ค้า</v>
      </c>
      <c r="D2993" s="3" t="str">
        <f>IFERROR(__xludf.DUMMYFUNCTION("""COMPUTED_VALUE"""),"ร้านนพรัตน์​ การ​ค้า")</f>
        <v>ร้านนพรัตน์​ การ​ค้า</v>
      </c>
      <c r="E2993" s="1" t="str">
        <f>IFERROR(__xludf.DUMMYFUNCTION("""COMPUTED_VALUE"""),"Donjai")</f>
        <v>Donjai</v>
      </c>
      <c r="F2993" s="1" t="str">
        <f>IFERROR(__xludf.DUMMYFUNCTION("""COMPUTED_VALUE"""),"025324")</f>
        <v>025324</v>
      </c>
      <c r="G2993" s="1" t="str">
        <f>IFERROR(__xludf.DUMMYFUNCTION("""COMPUTED_VALUE"""),"นายวิเชฎฐ์ ติรัตนะประคม")</f>
        <v>นายวิเชฎฐ์ ติรัตนะประคม</v>
      </c>
      <c r="H2993" s="1" t="str">
        <f>IFERROR(__xludf.DUMMYFUNCTION("""COMPUTED_VALUE"""),"025324")</f>
        <v>025324</v>
      </c>
      <c r="I2993" s="1" t="str">
        <f>IFERROR(__xludf.DUMMYFUNCTION("""COMPUTED_VALUE"""),"นายวิเชฎฐ์ ติรัตนะประคม")</f>
        <v>นายวิเชฎฐ์ ติรัตนะประคม</v>
      </c>
      <c r="J2993" s="3">
        <f>IFERROR(__xludf.DUMMYFUNCTION("""COMPUTED_VALUE"""),295541.0)</f>
        <v>295541</v>
      </c>
      <c r="K2993" s="3" t="str">
        <f>IFERROR(__xludf.DUMMYFUNCTION("""COMPUTED_VALUE"""),"นายรพิพล ศรีมาตย์")</f>
        <v>นายรพิพล ศรีมาตย์</v>
      </c>
      <c r="L2993" s="1" t="str">
        <f>IFERROR(__xludf.DUMMYFUNCTION("""COMPUTED_VALUE"""),"นายรพิพล ศรีมาตย์")</f>
        <v>นายรพิพล ศรีมาตย์</v>
      </c>
      <c r="M2993" s="1" t="str">
        <f>IFERROR(__xludf.DUMMYFUNCTION("""COMPUTED_VALUE"""),"0613966115")</f>
        <v>0613966115</v>
      </c>
      <c r="N2993" s="3">
        <f>IFERROR(__xludf.DUMMYFUNCTION("""COMPUTED_VALUE"""),83886.0)</f>
        <v>83886</v>
      </c>
      <c r="O2993" s="3" t="str">
        <f>IFERROR(__xludf.DUMMYFUNCTION("""COMPUTED_VALUE"""),"ร้านนพรัตน์​ การ​ค้า")</f>
        <v>ร้านนพรัตน์​ การ​ค้า</v>
      </c>
      <c r="P2993" s="4">
        <f>IFERROR(__xludf.DUMMYFUNCTION("""COMPUTED_VALUE"""),44664.0)</f>
        <v>44664</v>
      </c>
      <c r="Q2993" s="3" t="str">
        <f>IFERROR(__xludf.DUMMYFUNCTION("""COMPUTED_VALUE"""),"I")</f>
        <v>I</v>
      </c>
      <c r="R2993" s="3" t="str">
        <f>IFERROR(__xludf.DUMMYFUNCTION("""COMPUTED_VALUE"""),"Small Format")</f>
        <v>Small Format</v>
      </c>
      <c r="S2993" s="3" t="str">
        <f>IFERROR(__xludf.DUMMYFUNCTION("""COMPUTED_VALUE"""),"Donjai")</f>
        <v>Donjai</v>
      </c>
      <c r="T2993" s="3" t="str">
        <f>IFERROR(__xludf.DUMMYFUNCTION("""COMPUTED_VALUE"""),"14 K.Wichet T.")</f>
        <v>14 K.Wichet T.</v>
      </c>
      <c r="U2993" s="3" t="str">
        <f>IFERROR(__xludf.DUMMYFUNCTION("""COMPUTED_VALUE"""),"14 K.Wichet T.")</f>
        <v>14 K.Wichet T.</v>
      </c>
      <c r="V2993" s="3" t="str">
        <f>IFERROR(__xludf.DUMMYFUNCTION("""COMPUTED_VALUE"""),"N")</f>
        <v>N</v>
      </c>
      <c r="W2993" s="3"/>
      <c r="X2993" s="3" t="str">
        <f>IFERROR(__xludf.DUMMYFUNCTION("""COMPUTED_VALUE"""),"53​ ม.2​ ต.บางเหรียง อ.ทับปุด​ จ.พังงา​")</f>
        <v>53​ ม.2​ ต.บางเหรียง อ.ทับปุด​ จ.พังงา​</v>
      </c>
      <c r="Y2993" s="3"/>
      <c r="Z2993" s="3">
        <f>IFERROR(__xludf.DUMMYFUNCTION("""COMPUTED_VALUE"""),0.0)</f>
        <v>0</v>
      </c>
      <c r="AA2993" s="3">
        <f>IFERROR(__xludf.DUMMYFUNCTION("""COMPUTED_VALUE"""),0.0)</f>
        <v>0</v>
      </c>
      <c r="AB2993" s="3" t="str">
        <f>IFERROR(__xludf.DUMMYFUNCTION("""COMPUTED_VALUE"""),"พังงา")</f>
        <v>พังงา</v>
      </c>
      <c r="AC2993" s="3">
        <f>IFERROR(__xludf.DUMMYFUNCTION("""COMPUTED_VALUE"""),0.0)</f>
        <v>0</v>
      </c>
      <c r="AD2993" s="3"/>
      <c r="AE2993" s="3"/>
      <c r="AF2993" s="3" t="str">
        <f>IFERROR(__xludf.DUMMYFUNCTION("""COMPUTED_VALUE"""),"ร้านนพรัตน์​ การ​ค้า-83886")</f>
        <v>ร้านนพรัตน์​ การ​ค้า-83886</v>
      </c>
      <c r="AG2993" s="3" t="str">
        <f>IFERROR(__xludf.DUMMYFUNCTION("""COMPUTED_VALUE"""),"ใต้")</f>
        <v>ใต้</v>
      </c>
      <c r="AH2993" s="3" t="str">
        <f>IFERROR(__xludf.DUMMYFUNCTION("""COMPUTED_VALUE"""),"#N/A")</f>
        <v>#N/A</v>
      </c>
      <c r="AI2993" s="3" t="str">
        <f>IFERROR(__xludf.DUMMYFUNCTION("""COMPUTED_VALUE"""),"Out of warranty")</f>
        <v>Out of warranty</v>
      </c>
      <c r="AJ2993" s="3">
        <f>IFERROR(__xludf.DUMMYFUNCTION("""COMPUTED_VALUE"""),46.0)</f>
        <v>46</v>
      </c>
      <c r="AK2993" s="3"/>
      <c r="AL2993" s="3"/>
    </row>
    <row r="2994" ht="15.75" customHeight="1">
      <c r="A2994" s="1" t="str">
        <f>IFERROR(__xludf.DUMMYFUNCTION("""COMPUTED_VALUE"""),"83887")</f>
        <v>83887</v>
      </c>
      <c r="B2994" s="2">
        <f>IFERROR(__xludf.DUMMYFUNCTION("""COMPUTED_VALUE"""),83887.0)</f>
        <v>83887</v>
      </c>
      <c r="C2994" s="3" t="str">
        <f>IFERROR(__xludf.DUMMYFUNCTION("""COMPUTED_VALUE"""),"ร้านปภวรินทร์")</f>
        <v>ร้านปภวรินทร์</v>
      </c>
      <c r="D2994" s="3" t="str">
        <f>IFERROR(__xludf.DUMMYFUNCTION("""COMPUTED_VALUE"""),"ร้านปภวรินทร์")</f>
        <v>ร้านปภวรินทร์</v>
      </c>
      <c r="E2994" s="1" t="str">
        <f>IFERROR(__xludf.DUMMYFUNCTION("""COMPUTED_VALUE"""),"Donjai")</f>
        <v>Donjai</v>
      </c>
      <c r="F2994" s="1" t="str">
        <f>IFERROR(__xludf.DUMMYFUNCTION("""COMPUTED_VALUE"""),"015361")</f>
        <v>015361</v>
      </c>
      <c r="G2994" s="1" t="str">
        <f>IFERROR(__xludf.DUMMYFUNCTION("""COMPUTED_VALUE"""),"นายสมบูรณ์ พรหมในเมือง")</f>
        <v>นายสมบูรณ์ พรหมในเมือง</v>
      </c>
      <c r="H2994" s="1" t="str">
        <f>IFERROR(__xludf.DUMMYFUNCTION("""COMPUTED_VALUE"""),"015361")</f>
        <v>015361</v>
      </c>
      <c r="I2994" s="1" t="str">
        <f>IFERROR(__xludf.DUMMYFUNCTION("""COMPUTED_VALUE"""),"นายสมบูรณ์ พรหมในเมือง")</f>
        <v>นายสมบูรณ์ พรหมในเมือง</v>
      </c>
      <c r="J2994" s="3">
        <f>IFERROR(__xludf.DUMMYFUNCTION("""COMPUTED_VALUE"""),295886.0)</f>
        <v>295886</v>
      </c>
      <c r="K2994" s="3" t="str">
        <f>IFERROR(__xludf.DUMMYFUNCTION("""COMPUTED_VALUE"""),"นายจิระพงษ์ โพธิ์นิล")</f>
        <v>นายจิระพงษ์ โพธิ์นิล</v>
      </c>
      <c r="L2994" s="1" t="str">
        <f>IFERROR(__xludf.DUMMYFUNCTION("""COMPUTED_VALUE"""),"นายจิระพงษ์ โพธิ์นิล")</f>
        <v>นายจิระพงษ์ โพธิ์นิล</v>
      </c>
      <c r="M2994" s="1" t="str">
        <f>IFERROR(__xludf.DUMMYFUNCTION("""COMPUTED_VALUE"""),"0933290754")</f>
        <v>0933290754</v>
      </c>
      <c r="N2994" s="3">
        <f>IFERROR(__xludf.DUMMYFUNCTION("""COMPUTED_VALUE"""),83887.0)</f>
        <v>83887</v>
      </c>
      <c r="O2994" s="3" t="str">
        <f>IFERROR(__xludf.DUMMYFUNCTION("""COMPUTED_VALUE"""),"ร้านปภวรินทร์")</f>
        <v>ร้านปภวรินทร์</v>
      </c>
      <c r="P2994" s="4">
        <f>IFERROR(__xludf.DUMMYFUNCTION("""COMPUTED_VALUE"""),44678.0)</f>
        <v>44678</v>
      </c>
      <c r="Q2994" s="3" t="str">
        <f>IFERROR(__xludf.DUMMYFUNCTION("""COMPUTED_VALUE"""),"A")</f>
        <v>A</v>
      </c>
      <c r="R2994" s="3" t="str">
        <f>IFERROR(__xludf.DUMMYFUNCTION("""COMPUTED_VALUE"""),"Small Format")</f>
        <v>Small Format</v>
      </c>
      <c r="S2994" s="3" t="str">
        <f>IFERROR(__xludf.DUMMYFUNCTION("""COMPUTED_VALUE"""),"Donjai")</f>
        <v>Donjai</v>
      </c>
      <c r="T2994" s="3" t="str">
        <f>IFERROR(__xludf.DUMMYFUNCTION("""COMPUTED_VALUE"""),"04 K.Somboon P.")</f>
        <v>04 K.Somboon P.</v>
      </c>
      <c r="U2994" s="3" t="str">
        <f>IFERROR(__xludf.DUMMYFUNCTION("""COMPUTED_VALUE"""),"04 K.Somboon P.")</f>
        <v>04 K.Somboon P.</v>
      </c>
      <c r="V2994" s="3" t="str">
        <f>IFERROR(__xludf.DUMMYFUNCTION("""COMPUTED_VALUE"""),"N")</f>
        <v>N</v>
      </c>
      <c r="W2994" s="3"/>
      <c r="X2994" s="3" t="str">
        <f>IFERROR(__xludf.DUMMYFUNCTION("""COMPUTED_VALUE"""),"154 หมู่ 2 ต.เย้ยปราสาท อ.หนองกี่ จ.บุรีรัมย์")</f>
        <v>154 หมู่ 2 ต.เย้ยปราสาท อ.หนองกี่ จ.บุรีรัมย์</v>
      </c>
      <c r="Y2994" s="3"/>
      <c r="Z2994" s="3">
        <f>IFERROR(__xludf.DUMMYFUNCTION("""COMPUTED_VALUE"""),0.0)</f>
        <v>0</v>
      </c>
      <c r="AA2994" s="3">
        <f>IFERROR(__xludf.DUMMYFUNCTION("""COMPUTED_VALUE"""),0.0)</f>
        <v>0</v>
      </c>
      <c r="AB2994" s="3" t="str">
        <f>IFERROR(__xludf.DUMMYFUNCTION("""COMPUTED_VALUE"""),"บุรีรัมย์")</f>
        <v>บุรีรัมย์</v>
      </c>
      <c r="AC2994" s="3">
        <f>IFERROR(__xludf.DUMMYFUNCTION("""COMPUTED_VALUE"""),0.0)</f>
        <v>0</v>
      </c>
      <c r="AD2994" s="3"/>
      <c r="AE2994" s="3"/>
      <c r="AF2994" s="3" t="str">
        <f>IFERROR(__xludf.DUMMYFUNCTION("""COMPUTED_VALUE"""),"ร้านปภวรินทร์-83887")</f>
        <v>ร้านปภวรินทร์-83887</v>
      </c>
      <c r="AG2994" s="3" t="str">
        <f>IFERROR(__xludf.DUMMYFUNCTION("""COMPUTED_VALUE"""),"ตะวันออกเฉียงเหนือ")</f>
        <v>ตะวันออกเฉียงเหนือ</v>
      </c>
      <c r="AH2994" s="3" t="str">
        <f>IFERROR(__xludf.DUMMYFUNCTION("""COMPUTED_VALUE"""),"#N/A")</f>
        <v>#N/A</v>
      </c>
      <c r="AI2994" s="3" t="str">
        <f>IFERROR(__xludf.DUMMYFUNCTION("""COMPUTED_VALUE"""),"Out of warranty")</f>
        <v>Out of warranty</v>
      </c>
      <c r="AJ2994" s="3">
        <f>IFERROR(__xludf.DUMMYFUNCTION("""COMPUTED_VALUE"""),45.0)</f>
        <v>45</v>
      </c>
      <c r="AK2994" s="3"/>
      <c r="AL2994" s="3"/>
    </row>
    <row r="2995" ht="15.75" customHeight="1">
      <c r="A2995" s="1" t="str">
        <f>IFERROR(__xludf.DUMMYFUNCTION("""COMPUTED_VALUE"""),"83888")</f>
        <v>83888</v>
      </c>
      <c r="B2995" s="2">
        <f>IFERROR(__xludf.DUMMYFUNCTION("""COMPUTED_VALUE"""),83888.0)</f>
        <v>83888</v>
      </c>
      <c r="C2995" s="3" t="str">
        <f>IFERROR(__xludf.DUMMYFUNCTION("""COMPUTED_VALUE"""),"ร้าน กองทุนหมู่บ้านประชารัฐ บ้าน อีโคตร")</f>
        <v>ร้าน กองทุนหมู่บ้านประชารัฐ บ้าน อีโคตร</v>
      </c>
      <c r="D2995" s="3" t="str">
        <f>IFERROR(__xludf.DUMMYFUNCTION("""COMPUTED_VALUE"""),"ร้าน กองทุนหมู่บ้านประชารัฐ บ้าน อีโคตร")</f>
        <v>ร้าน กองทุนหมู่บ้านประชารัฐ บ้าน อีโคตร</v>
      </c>
      <c r="E2995" s="1" t="str">
        <f>IFERROR(__xludf.DUMMYFUNCTION("""COMPUTED_VALUE"""),"Donjai")</f>
        <v>Donjai</v>
      </c>
      <c r="F2995" s="1" t="str">
        <f>IFERROR(__xludf.DUMMYFUNCTION("""COMPUTED_VALUE"""),"296868")</f>
        <v>296868</v>
      </c>
      <c r="G2995" s="1" t="str">
        <f>IFERROR(__xludf.DUMMYFUNCTION("""COMPUTED_VALUE"""),"นายพีระพงษ์ แก้วดวงดี")</f>
        <v>นายพีระพงษ์ แก้วดวงดี</v>
      </c>
      <c r="H2995" s="1" t="str">
        <f>IFERROR(__xludf.DUMMYFUNCTION("""COMPUTED_VALUE"""),"296868")</f>
        <v>296868</v>
      </c>
      <c r="I2995" s="1" t="str">
        <f>IFERROR(__xludf.DUMMYFUNCTION("""COMPUTED_VALUE"""),"นายพีระพงษ์ แก้วดวงดี")</f>
        <v>นายพีระพงษ์ แก้วดวงดี</v>
      </c>
      <c r="J2995" s="3">
        <f>IFERROR(__xludf.DUMMYFUNCTION("""COMPUTED_VALUE"""),295886.0)</f>
        <v>295886</v>
      </c>
      <c r="K2995" s="3" t="str">
        <f>IFERROR(__xludf.DUMMYFUNCTION("""COMPUTED_VALUE"""),"นายจิระพงษ์ โพธิ์นิล")</f>
        <v>นายจิระพงษ์ โพธิ์นิล</v>
      </c>
      <c r="L2995" s="1" t="str">
        <f>IFERROR(__xludf.DUMMYFUNCTION("""COMPUTED_VALUE"""),"นายจิระพงษ์ โพธิ์นิล")</f>
        <v>นายจิระพงษ์ โพธิ์นิล</v>
      </c>
      <c r="M2995" s="1" t="str">
        <f>IFERROR(__xludf.DUMMYFUNCTION("""COMPUTED_VALUE"""),"0933290754")</f>
        <v>0933290754</v>
      </c>
      <c r="N2995" s="3">
        <f>IFERROR(__xludf.DUMMYFUNCTION("""COMPUTED_VALUE"""),83888.0)</f>
        <v>83888</v>
      </c>
      <c r="O2995" s="3" t="str">
        <f>IFERROR(__xludf.DUMMYFUNCTION("""COMPUTED_VALUE"""),"ร้าน กองทุนหมู่บ้านประชารัฐ บ้าน อีโคตร")</f>
        <v>ร้าน กองทุนหมู่บ้านประชารัฐ บ้าน อีโคตร</v>
      </c>
      <c r="P2995" s="4">
        <f>IFERROR(__xludf.DUMMYFUNCTION("""COMPUTED_VALUE"""),44660.0)</f>
        <v>44660</v>
      </c>
      <c r="Q2995" s="3" t="str">
        <f>IFERROR(__xludf.DUMMYFUNCTION("""COMPUTED_VALUE"""),"I")</f>
        <v>I</v>
      </c>
      <c r="R2995" s="3" t="str">
        <f>IFERROR(__xludf.DUMMYFUNCTION("""COMPUTED_VALUE"""),"Small Format")</f>
        <v>Small Format</v>
      </c>
      <c r="S2995" s="3" t="str">
        <f>IFERROR(__xludf.DUMMYFUNCTION("""COMPUTED_VALUE"""),"Donjai")</f>
        <v>Donjai</v>
      </c>
      <c r="T2995" s="3" t="str">
        <f>IFERROR(__xludf.DUMMYFUNCTION("""COMPUTED_VALUE"""),"03 K.Peerapong K.")</f>
        <v>03 K.Peerapong K.</v>
      </c>
      <c r="U2995" s="3" t="str">
        <f>IFERROR(__xludf.DUMMYFUNCTION("""COMPUTED_VALUE"""),"03 K.Peerapong K.")</f>
        <v>03 K.Peerapong K.</v>
      </c>
      <c r="V2995" s="3" t="str">
        <f>IFERROR(__xludf.DUMMYFUNCTION("""COMPUTED_VALUE"""),"N")</f>
        <v>N</v>
      </c>
      <c r="W2995" s="3"/>
      <c r="X2995" s="3" t="str">
        <f>IFERROR(__xludf.DUMMYFUNCTION("""COMPUTED_VALUE"""),"164 ม.1 ต.ต.ศรีโคตร อ.จตุรพักตรพิมาน จ.ร้อยเอ็ด 45180")</f>
        <v>164 ม.1 ต.ต.ศรีโคตร อ.จตุรพักตรพิมาน จ.ร้อยเอ็ด 45180</v>
      </c>
      <c r="Y2995" s="3"/>
      <c r="Z2995" s="3">
        <f>IFERROR(__xludf.DUMMYFUNCTION("""COMPUTED_VALUE"""),0.0)</f>
        <v>0</v>
      </c>
      <c r="AA2995" s="3">
        <f>IFERROR(__xludf.DUMMYFUNCTION("""COMPUTED_VALUE"""),0.0)</f>
        <v>0</v>
      </c>
      <c r="AB2995" s="3" t="str">
        <f>IFERROR(__xludf.DUMMYFUNCTION("""COMPUTED_VALUE"""),"ร้อยเอ็ด")</f>
        <v>ร้อยเอ็ด</v>
      </c>
      <c r="AC2995" s="3">
        <f>IFERROR(__xludf.DUMMYFUNCTION("""COMPUTED_VALUE"""),45180.0)</f>
        <v>45180</v>
      </c>
      <c r="AD2995" s="3"/>
      <c r="AE2995" s="3"/>
      <c r="AF2995" s="3" t="str">
        <f>IFERROR(__xludf.DUMMYFUNCTION("""COMPUTED_VALUE"""),"ร้าน กองทุนหมู่บ้านประชารัฐ บ้าน อีโคตร-83888")</f>
        <v>ร้าน กองทุนหมู่บ้านประชารัฐ บ้าน อีโคตร-83888</v>
      </c>
      <c r="AG2995" s="3" t="str">
        <f>IFERROR(__xludf.DUMMYFUNCTION("""COMPUTED_VALUE"""),"ตะวันออกเฉียงเหนือ")</f>
        <v>ตะวันออกเฉียงเหนือ</v>
      </c>
      <c r="AH2995" s="3" t="str">
        <f>IFERROR(__xludf.DUMMYFUNCTION("""COMPUTED_VALUE"""),"#N/A")</f>
        <v>#N/A</v>
      </c>
      <c r="AI2995" s="3" t="str">
        <f>IFERROR(__xludf.DUMMYFUNCTION("""COMPUTED_VALUE"""),"Out of warranty")</f>
        <v>Out of warranty</v>
      </c>
      <c r="AJ2995" s="3">
        <f>IFERROR(__xludf.DUMMYFUNCTION("""COMPUTED_VALUE"""),46.0)</f>
        <v>46</v>
      </c>
      <c r="AK2995" s="3"/>
      <c r="AL2995" s="3"/>
    </row>
    <row r="2996" ht="15.75" customHeight="1">
      <c r="A2996" s="1" t="str">
        <f>IFERROR(__xludf.DUMMYFUNCTION("""COMPUTED_VALUE"""),"83889")</f>
        <v>83889</v>
      </c>
      <c r="B2996" s="2">
        <f>IFERROR(__xludf.DUMMYFUNCTION("""COMPUTED_VALUE"""),83889.0)</f>
        <v>83889</v>
      </c>
      <c r="C2996" s="3" t="str">
        <f>IFERROR(__xludf.DUMMYFUNCTION("""COMPUTED_VALUE"""),"ร้านMP MART (คุณอนันตยา)")</f>
        <v>ร้านMP MART (คุณอนันตยา)</v>
      </c>
      <c r="D2996" s="3" t="str">
        <f>IFERROR(__xludf.DUMMYFUNCTION("""COMPUTED_VALUE"""),"ร้านMP MART (คุณอนันตยา)")</f>
        <v>ร้านMP MART (คุณอนันตยา)</v>
      </c>
      <c r="E2996" s="1" t="str">
        <f>IFERROR(__xludf.DUMMYFUNCTION("""COMPUTED_VALUE"""),"Donjai")</f>
        <v>Donjai</v>
      </c>
      <c r="F2996" s="1" t="str">
        <f>IFERROR(__xludf.DUMMYFUNCTION("""COMPUTED_VALUE"""),"00510143")</f>
        <v>00510143</v>
      </c>
      <c r="G2996" s="1" t="str">
        <f>IFERROR(__xludf.DUMMYFUNCTION("""COMPUTED_VALUE"""),"นายธีระวัฒน์ บุญสิทธิ์")</f>
        <v>นายธีระวัฒน์ บุญสิทธิ์</v>
      </c>
      <c r="H2996" s="1" t="str">
        <f>IFERROR(__xludf.DUMMYFUNCTION("""COMPUTED_VALUE"""),"00510143")</f>
        <v>00510143</v>
      </c>
      <c r="I2996" s="1" t="str">
        <f>IFERROR(__xludf.DUMMYFUNCTION("""COMPUTED_VALUE"""),"นายธีระวัฒน์ บุญสิทธิ์")</f>
        <v>นายธีระวัฒน์ บุญสิทธิ์</v>
      </c>
      <c r="J2996" s="3">
        <f>IFERROR(__xludf.DUMMYFUNCTION("""COMPUTED_VALUE"""),228031.0)</f>
        <v>228031</v>
      </c>
      <c r="K2996" s="3" t="str">
        <f>IFERROR(__xludf.DUMMYFUNCTION("""COMPUTED_VALUE"""),"นายธนพงษ์ วันหมัด")</f>
        <v>นายธนพงษ์ วันหมัด</v>
      </c>
      <c r="L2996" s="1" t="str">
        <f>IFERROR(__xludf.DUMMYFUNCTION("""COMPUTED_VALUE"""),"นายธนพงษ์ วันหมัด")</f>
        <v>นายธนพงษ์ วันหมัด</v>
      </c>
      <c r="M2996" s="1" t="str">
        <f>IFERROR(__xludf.DUMMYFUNCTION("""COMPUTED_VALUE"""),"0813716913")</f>
        <v>0813716913</v>
      </c>
      <c r="N2996" s="3">
        <f>IFERROR(__xludf.DUMMYFUNCTION("""COMPUTED_VALUE"""),83889.0)</f>
        <v>83889</v>
      </c>
      <c r="O2996" s="3" t="str">
        <f>IFERROR(__xludf.DUMMYFUNCTION("""COMPUTED_VALUE"""),"ร้านMP MART (คุณอนันตยา)")</f>
        <v>ร้านMP MART (คุณอนันตยา)</v>
      </c>
      <c r="P2996" s="4">
        <f>IFERROR(__xludf.DUMMYFUNCTION("""COMPUTED_VALUE"""),44660.0)</f>
        <v>44660</v>
      </c>
      <c r="Q2996" s="3" t="str">
        <f>IFERROR(__xludf.DUMMYFUNCTION("""COMPUTED_VALUE"""),"A")</f>
        <v>A</v>
      </c>
      <c r="R2996" s="3" t="str">
        <f>IFERROR(__xludf.DUMMYFUNCTION("""COMPUTED_VALUE"""),"Small Format")</f>
        <v>Small Format</v>
      </c>
      <c r="S2996" s="3" t="str">
        <f>IFERROR(__xludf.DUMMYFUNCTION("""COMPUTED_VALUE"""),"Donjai")</f>
        <v>Donjai</v>
      </c>
      <c r="T2996" s="3" t="str">
        <f>IFERROR(__xludf.DUMMYFUNCTION("""COMPUTED_VALUE"""),"12 K.Theerawat B.")</f>
        <v>12 K.Theerawat B.</v>
      </c>
      <c r="U2996" s="3" t="str">
        <f>IFERROR(__xludf.DUMMYFUNCTION("""COMPUTED_VALUE"""),"12 K.Theerawat B.")</f>
        <v>12 K.Theerawat B.</v>
      </c>
      <c r="V2996" s="3" t="str">
        <f>IFERROR(__xludf.DUMMYFUNCTION("""COMPUTED_VALUE"""),"N")</f>
        <v>N</v>
      </c>
      <c r="W2996" s="3"/>
      <c r="X2996" s="3" t="str">
        <f>IFERROR(__xludf.DUMMYFUNCTION("""COMPUTED_VALUE"""),"31 หมู่ 12 ตำบลบางอ้อ อำเภอบ้านนา จังหวัดนครนายก")</f>
        <v>31 หมู่ 12 ตำบลบางอ้อ อำเภอบ้านนา จังหวัดนครนายก</v>
      </c>
      <c r="Y2996" s="3"/>
      <c r="Z2996" s="3">
        <f>IFERROR(__xludf.DUMMYFUNCTION("""COMPUTED_VALUE"""),0.0)</f>
        <v>0</v>
      </c>
      <c r="AA2996" s="3">
        <f>IFERROR(__xludf.DUMMYFUNCTION("""COMPUTED_VALUE"""),0.0)</f>
        <v>0</v>
      </c>
      <c r="AB2996" s="3" t="str">
        <f>IFERROR(__xludf.DUMMYFUNCTION("""COMPUTED_VALUE"""),"นครนายก")</f>
        <v>นครนายก</v>
      </c>
      <c r="AC2996" s="3">
        <f>IFERROR(__xludf.DUMMYFUNCTION("""COMPUTED_VALUE"""),0.0)</f>
        <v>0</v>
      </c>
      <c r="AD2996" s="3"/>
      <c r="AE2996" s="3"/>
      <c r="AF2996" s="3" t="str">
        <f>IFERROR(__xludf.DUMMYFUNCTION("""COMPUTED_VALUE"""),"ร้านMP MART (คุณอนันตยา)-83889")</f>
        <v>ร้านMP MART (คุณอนันตยา)-83889</v>
      </c>
      <c r="AG2996" s="3" t="str">
        <f>IFERROR(__xludf.DUMMYFUNCTION("""COMPUTED_VALUE"""),"กลาง")</f>
        <v>กลาง</v>
      </c>
      <c r="AH2996" s="3" t="str">
        <f>IFERROR(__xludf.DUMMYFUNCTION("""COMPUTED_VALUE"""),"#N/A")</f>
        <v>#N/A</v>
      </c>
      <c r="AI2996" s="3" t="str">
        <f>IFERROR(__xludf.DUMMYFUNCTION("""COMPUTED_VALUE"""),"Out of warranty")</f>
        <v>Out of warranty</v>
      </c>
      <c r="AJ2996" s="3">
        <f>IFERROR(__xludf.DUMMYFUNCTION("""COMPUTED_VALUE"""),46.0)</f>
        <v>46</v>
      </c>
      <c r="AK2996" s="3"/>
      <c r="AL2996" s="3"/>
    </row>
    <row r="2997" ht="15.75" customHeight="1">
      <c r="A2997" s="1" t="str">
        <f>IFERROR(__xludf.DUMMYFUNCTION("""COMPUTED_VALUE"""),"83890")</f>
        <v>83890</v>
      </c>
      <c r="B2997" s="2">
        <f>IFERROR(__xludf.DUMMYFUNCTION("""COMPUTED_VALUE"""),83890.0)</f>
        <v>83890</v>
      </c>
      <c r="C2997" s="3" t="str">
        <f>IFERROR(__xludf.DUMMYFUNCTION("""COMPUTED_VALUE"""),"ร้านยายดอกแก้ว (ร้านดอกแก้ว)")</f>
        <v>ร้านยายดอกแก้ว (ร้านดอกแก้ว)</v>
      </c>
      <c r="D2997" s="3" t="str">
        <f>IFERROR(__xludf.DUMMYFUNCTION("""COMPUTED_VALUE"""),"ร้านยายดอกแก้ว (ร้านดอกแก้ว)")</f>
        <v>ร้านยายดอกแก้ว (ร้านดอกแก้ว)</v>
      </c>
      <c r="E2997" s="1" t="str">
        <f>IFERROR(__xludf.DUMMYFUNCTION("""COMPUTED_VALUE"""),"Donjai")</f>
        <v>Donjai</v>
      </c>
      <c r="F2997" s="1" t="str">
        <f>IFERROR(__xludf.DUMMYFUNCTION("""COMPUTED_VALUE"""),"015361")</f>
        <v>015361</v>
      </c>
      <c r="G2997" s="1" t="str">
        <f>IFERROR(__xludf.DUMMYFUNCTION("""COMPUTED_VALUE"""),"นายสมบูรณ์ พรหมในเมือง")</f>
        <v>นายสมบูรณ์ พรหมในเมือง</v>
      </c>
      <c r="H2997" s="1" t="str">
        <f>IFERROR(__xludf.DUMMYFUNCTION("""COMPUTED_VALUE"""),"015361")</f>
        <v>015361</v>
      </c>
      <c r="I2997" s="1" t="str">
        <f>IFERROR(__xludf.DUMMYFUNCTION("""COMPUTED_VALUE"""),"นายสมบูรณ์ พรหมในเมือง")</f>
        <v>นายสมบูรณ์ พรหมในเมือง</v>
      </c>
      <c r="J2997" s="3">
        <f>IFERROR(__xludf.DUMMYFUNCTION("""COMPUTED_VALUE"""),295886.0)</f>
        <v>295886</v>
      </c>
      <c r="K2997" s="3" t="str">
        <f>IFERROR(__xludf.DUMMYFUNCTION("""COMPUTED_VALUE"""),"นายจิระพงษ์ โพธิ์นิล")</f>
        <v>นายจิระพงษ์ โพธิ์นิล</v>
      </c>
      <c r="L2997" s="1" t="str">
        <f>IFERROR(__xludf.DUMMYFUNCTION("""COMPUTED_VALUE"""),"นายจิระพงษ์ โพธิ์นิล")</f>
        <v>นายจิระพงษ์ โพธิ์นิล</v>
      </c>
      <c r="M2997" s="1" t="str">
        <f>IFERROR(__xludf.DUMMYFUNCTION("""COMPUTED_VALUE"""),"0933290754")</f>
        <v>0933290754</v>
      </c>
      <c r="N2997" s="3">
        <f>IFERROR(__xludf.DUMMYFUNCTION("""COMPUTED_VALUE"""),83890.0)</f>
        <v>83890</v>
      </c>
      <c r="O2997" s="3" t="str">
        <f>IFERROR(__xludf.DUMMYFUNCTION("""COMPUTED_VALUE"""),"ร้านยายดอกแก้ว (ร้านดอกแก้ว)")</f>
        <v>ร้านยายดอกแก้ว (ร้านดอกแก้ว)</v>
      </c>
      <c r="P2997" s="4">
        <f>IFERROR(__xludf.DUMMYFUNCTION("""COMPUTED_VALUE"""),44678.0)</f>
        <v>44678</v>
      </c>
      <c r="Q2997" s="3" t="str">
        <f>IFERROR(__xludf.DUMMYFUNCTION("""COMPUTED_VALUE"""),"I")</f>
        <v>I</v>
      </c>
      <c r="R2997" s="3" t="str">
        <f>IFERROR(__xludf.DUMMYFUNCTION("""COMPUTED_VALUE"""),"Small Format")</f>
        <v>Small Format</v>
      </c>
      <c r="S2997" s="3" t="str">
        <f>IFERROR(__xludf.DUMMYFUNCTION("""COMPUTED_VALUE"""),"Donjai")</f>
        <v>Donjai</v>
      </c>
      <c r="T2997" s="3" t="str">
        <f>IFERROR(__xludf.DUMMYFUNCTION("""COMPUTED_VALUE"""),"04 K.Somboon P.")</f>
        <v>04 K.Somboon P.</v>
      </c>
      <c r="U2997" s="3" t="str">
        <f>IFERROR(__xludf.DUMMYFUNCTION("""COMPUTED_VALUE"""),"04 K.Somboon P.")</f>
        <v>04 K.Somboon P.</v>
      </c>
      <c r="V2997" s="3" t="str">
        <f>IFERROR(__xludf.DUMMYFUNCTION("""COMPUTED_VALUE"""),"N")</f>
        <v>N</v>
      </c>
      <c r="W2997" s="3"/>
      <c r="X2997" s="3" t="str">
        <f>IFERROR(__xludf.DUMMYFUNCTION("""COMPUTED_VALUE"""),"29 ม.7 ต.โนนสมบูรณ์ อ.เดชอุดม จ.อุบลราชธานี 34160")</f>
        <v>29 ม.7 ต.โนนสมบูรณ์ อ.เดชอุดม จ.อุบลราชธานี 34160</v>
      </c>
      <c r="Y2997" s="3"/>
      <c r="Z2997" s="3">
        <f>IFERROR(__xludf.DUMMYFUNCTION("""COMPUTED_VALUE"""),0.0)</f>
        <v>0</v>
      </c>
      <c r="AA2997" s="3">
        <f>IFERROR(__xludf.DUMMYFUNCTION("""COMPUTED_VALUE"""),0.0)</f>
        <v>0</v>
      </c>
      <c r="AB2997" s="3" t="str">
        <f>IFERROR(__xludf.DUMMYFUNCTION("""COMPUTED_VALUE"""),"อุบลราชธานี")</f>
        <v>อุบลราชธานี</v>
      </c>
      <c r="AC2997" s="3">
        <f>IFERROR(__xludf.DUMMYFUNCTION("""COMPUTED_VALUE"""),34160.0)</f>
        <v>34160</v>
      </c>
      <c r="AD2997" s="3"/>
      <c r="AE2997" s="3"/>
      <c r="AF2997" s="3" t="str">
        <f>IFERROR(__xludf.DUMMYFUNCTION("""COMPUTED_VALUE"""),"ร้านยายดอกแก้ว (ร้านดอกแก้ว)-83890")</f>
        <v>ร้านยายดอกแก้ว (ร้านดอกแก้ว)-83890</v>
      </c>
      <c r="AG2997" s="3" t="str">
        <f>IFERROR(__xludf.DUMMYFUNCTION("""COMPUTED_VALUE"""),"ตะวันออกเฉียงเหนือ")</f>
        <v>ตะวันออกเฉียงเหนือ</v>
      </c>
      <c r="AH2997" s="3" t="str">
        <f>IFERROR(__xludf.DUMMYFUNCTION("""COMPUTED_VALUE"""),"#N/A")</f>
        <v>#N/A</v>
      </c>
      <c r="AI2997" s="3" t="str">
        <f>IFERROR(__xludf.DUMMYFUNCTION("""COMPUTED_VALUE"""),"Out of warranty")</f>
        <v>Out of warranty</v>
      </c>
      <c r="AJ2997" s="3">
        <f>IFERROR(__xludf.DUMMYFUNCTION("""COMPUTED_VALUE"""),45.0)</f>
        <v>45</v>
      </c>
      <c r="AK2997" s="3"/>
      <c r="AL2997" s="3"/>
    </row>
    <row r="2998" ht="15.75" customHeight="1">
      <c r="A2998" s="1" t="str">
        <f>IFERROR(__xludf.DUMMYFUNCTION("""COMPUTED_VALUE"""),"83891")</f>
        <v>83891</v>
      </c>
      <c r="B2998" s="2">
        <f>IFERROR(__xludf.DUMMYFUNCTION("""COMPUTED_VALUE"""),83891.0)</f>
        <v>83891</v>
      </c>
      <c r="C2998" s="3" t="str">
        <f>IFERROR(__xludf.DUMMYFUNCTION("""COMPUTED_VALUE"""),"ร้านลุงอ้วนการค้า")</f>
        <v>ร้านลุงอ้วนการค้า</v>
      </c>
      <c r="D2998" s="3" t="str">
        <f>IFERROR(__xludf.DUMMYFUNCTION("""COMPUTED_VALUE"""),"ร้านลุงอ้วนการค้า")</f>
        <v>ร้านลุงอ้วนการค้า</v>
      </c>
      <c r="E2998" s="1" t="str">
        <f>IFERROR(__xludf.DUMMYFUNCTION("""COMPUTED_VALUE"""),"Donjai")</f>
        <v>Donjai</v>
      </c>
      <c r="F2998" s="1" t="str">
        <f>IFERROR(__xludf.DUMMYFUNCTION("""COMPUTED_VALUE"""),"2010016")</f>
        <v>2010016</v>
      </c>
      <c r="G2998" s="1" t="str">
        <f>IFERROR(__xludf.DUMMYFUNCTION("""COMPUTED_VALUE"""),"นายตวงธรรม ใหม่ยศ")</f>
        <v>นายตวงธรรม ใหม่ยศ</v>
      </c>
      <c r="H2998" s="1" t="str">
        <f>IFERROR(__xludf.DUMMYFUNCTION("""COMPUTED_VALUE"""),"2010016")</f>
        <v>2010016</v>
      </c>
      <c r="I2998" s="1" t="str">
        <f>IFERROR(__xludf.DUMMYFUNCTION("""COMPUTED_VALUE"""),"นายตวงธรรม ใหม่ยศ")</f>
        <v>นายตวงธรรม ใหม่ยศ</v>
      </c>
      <c r="J2998" s="3">
        <f>IFERROR(__xludf.DUMMYFUNCTION("""COMPUTED_VALUE"""),295886.0)</f>
        <v>295886</v>
      </c>
      <c r="K2998" s="3" t="str">
        <f>IFERROR(__xludf.DUMMYFUNCTION("""COMPUTED_VALUE"""),"นายจิระพงษ์ โพธิ์นิล")</f>
        <v>นายจิระพงษ์ โพธิ์นิล</v>
      </c>
      <c r="L2998" s="1" t="str">
        <f>IFERROR(__xludf.DUMMYFUNCTION("""COMPUTED_VALUE"""),"นายจิระพงษ์ โพธิ์นิล")</f>
        <v>นายจิระพงษ์ โพธิ์นิล</v>
      </c>
      <c r="M2998" s="1" t="str">
        <f>IFERROR(__xludf.DUMMYFUNCTION("""COMPUTED_VALUE"""),"0933290754")</f>
        <v>0933290754</v>
      </c>
      <c r="N2998" s="3">
        <f>IFERROR(__xludf.DUMMYFUNCTION("""COMPUTED_VALUE"""),83891.0)</f>
        <v>83891</v>
      </c>
      <c r="O2998" s="3" t="str">
        <f>IFERROR(__xludf.DUMMYFUNCTION("""COMPUTED_VALUE"""),"ร้านลุงอ้วนการค้า")</f>
        <v>ร้านลุงอ้วนการค้า</v>
      </c>
      <c r="P2998" s="4">
        <f>IFERROR(__xludf.DUMMYFUNCTION("""COMPUTED_VALUE"""),44683.0)</f>
        <v>44683</v>
      </c>
      <c r="Q2998" s="3" t="str">
        <f>IFERROR(__xludf.DUMMYFUNCTION("""COMPUTED_VALUE"""),"I")</f>
        <v>I</v>
      </c>
      <c r="R2998" s="3" t="str">
        <f>IFERROR(__xludf.DUMMYFUNCTION("""COMPUTED_VALUE"""),"Small Format")</f>
        <v>Small Format</v>
      </c>
      <c r="S2998" s="3" t="str">
        <f>IFERROR(__xludf.DUMMYFUNCTION("""COMPUTED_VALUE"""),"Donjai")</f>
        <v>Donjai</v>
      </c>
      <c r="T2998" s="3" t="str">
        <f>IFERROR(__xludf.DUMMYFUNCTION("""COMPUTED_VALUE"""),"01 K.Tuangtham M.")</f>
        <v>01 K.Tuangtham M.</v>
      </c>
      <c r="U2998" s="3" t="str">
        <f>IFERROR(__xludf.DUMMYFUNCTION("""COMPUTED_VALUE"""),"01 K.Tuangtham M.")</f>
        <v>01 K.Tuangtham M.</v>
      </c>
      <c r="V2998" s="3" t="str">
        <f>IFERROR(__xludf.DUMMYFUNCTION("""COMPUTED_VALUE"""),"N")</f>
        <v>N</v>
      </c>
      <c r="W2998" s="3"/>
      <c r="X2998" s="3" t="str">
        <f>IFERROR(__xludf.DUMMYFUNCTION("""COMPUTED_VALUE"""),"149 ม.5 ทุ่งศรี ร้องกวาง แพร่ 54140")</f>
        <v>149 ม.5 ทุ่งศรี ร้องกวาง แพร่ 54140</v>
      </c>
      <c r="Y2998" s="3"/>
      <c r="Z2998" s="3" t="str">
        <f>IFERROR(__xludf.DUMMYFUNCTION("""COMPUTED_VALUE"""),"ทุ่งศรี")</f>
        <v>ทุ่งศรี</v>
      </c>
      <c r="AA2998" s="3" t="str">
        <f>IFERROR(__xludf.DUMMYFUNCTION("""COMPUTED_VALUE"""),"ร้องกวาง")</f>
        <v>ร้องกวาง</v>
      </c>
      <c r="AB2998" s="3" t="str">
        <f>IFERROR(__xludf.DUMMYFUNCTION("""COMPUTED_VALUE"""),"แพร่")</f>
        <v>แพร่</v>
      </c>
      <c r="AC2998" s="3">
        <f>IFERROR(__xludf.DUMMYFUNCTION("""COMPUTED_VALUE"""),54140.0)</f>
        <v>54140</v>
      </c>
      <c r="AD2998" s="3"/>
      <c r="AE2998" s="3"/>
      <c r="AF2998" s="3" t="str">
        <f>IFERROR(__xludf.DUMMYFUNCTION("""COMPUTED_VALUE"""),"ร้านลุงอ้วนการค้า-83891")</f>
        <v>ร้านลุงอ้วนการค้า-83891</v>
      </c>
      <c r="AG2998" s="3" t="str">
        <f>IFERROR(__xludf.DUMMYFUNCTION("""COMPUTED_VALUE"""),"เหนือ")</f>
        <v>เหนือ</v>
      </c>
      <c r="AH2998" s="3" t="str">
        <f>IFERROR(__xludf.DUMMYFUNCTION("""COMPUTED_VALUE"""),"#N/A")</f>
        <v>#N/A</v>
      </c>
      <c r="AI2998" s="3" t="str">
        <f>IFERROR(__xludf.DUMMYFUNCTION("""COMPUTED_VALUE"""),"Out of warranty")</f>
        <v>Out of warranty</v>
      </c>
      <c r="AJ2998" s="3">
        <f>IFERROR(__xludf.DUMMYFUNCTION("""COMPUTED_VALUE"""),45.0)</f>
        <v>45</v>
      </c>
      <c r="AK2998" s="3"/>
      <c r="AL2998" s="3"/>
    </row>
    <row r="2999" ht="15.75" customHeight="1">
      <c r="A2999" s="1" t="str">
        <f>IFERROR(__xludf.DUMMYFUNCTION("""COMPUTED_VALUE"""),"83892")</f>
        <v>83892</v>
      </c>
      <c r="B2999" s="2">
        <f>IFERROR(__xludf.DUMMYFUNCTION("""COMPUTED_VALUE"""),83892.0)</f>
        <v>83892</v>
      </c>
      <c r="C2999" s="3" t="str">
        <f>IFERROR(__xludf.DUMMYFUNCTION("""COMPUTED_VALUE"""),"ร้านโกแอ๊ด (พี่เจี๊ยบ)")</f>
        <v>ร้านโกแอ๊ด (พี่เจี๊ยบ)</v>
      </c>
      <c r="D2999" s="3" t="str">
        <f>IFERROR(__xludf.DUMMYFUNCTION("""COMPUTED_VALUE"""),"ร้านโกแอ๊ด (พี่เจี๊ยบ)")</f>
        <v>ร้านโกแอ๊ด (พี่เจี๊ยบ)</v>
      </c>
      <c r="E2999" s="1" t="str">
        <f>IFERROR(__xludf.DUMMYFUNCTION("""COMPUTED_VALUE"""),"Donjai")</f>
        <v>Donjai</v>
      </c>
      <c r="F2999" s="1" t="str">
        <f>IFERROR(__xludf.DUMMYFUNCTION("""COMPUTED_VALUE"""),"2010016")</f>
        <v>2010016</v>
      </c>
      <c r="G2999" s="1" t="str">
        <f>IFERROR(__xludf.DUMMYFUNCTION("""COMPUTED_VALUE"""),"นายตวงธรรม ใหม่ยศ")</f>
        <v>นายตวงธรรม ใหม่ยศ</v>
      </c>
      <c r="H2999" s="1" t="str">
        <f>IFERROR(__xludf.DUMMYFUNCTION("""COMPUTED_VALUE"""),"2010016")</f>
        <v>2010016</v>
      </c>
      <c r="I2999" s="1" t="str">
        <f>IFERROR(__xludf.DUMMYFUNCTION("""COMPUTED_VALUE"""),"นายตวงธรรม ใหม่ยศ")</f>
        <v>นายตวงธรรม ใหม่ยศ</v>
      </c>
      <c r="J2999" s="3">
        <f>IFERROR(__xludf.DUMMYFUNCTION("""COMPUTED_VALUE"""),295886.0)</f>
        <v>295886</v>
      </c>
      <c r="K2999" s="3" t="str">
        <f>IFERROR(__xludf.DUMMYFUNCTION("""COMPUTED_VALUE"""),"นายจิระพงษ์ โพธิ์นิล")</f>
        <v>นายจิระพงษ์ โพธิ์นิล</v>
      </c>
      <c r="L2999" s="1" t="str">
        <f>IFERROR(__xludf.DUMMYFUNCTION("""COMPUTED_VALUE"""),"นายจิระพงษ์ โพธิ์นิล")</f>
        <v>นายจิระพงษ์ โพธิ์นิล</v>
      </c>
      <c r="M2999" s="1" t="str">
        <f>IFERROR(__xludf.DUMMYFUNCTION("""COMPUTED_VALUE"""),"0933290754")</f>
        <v>0933290754</v>
      </c>
      <c r="N2999" s="3">
        <f>IFERROR(__xludf.DUMMYFUNCTION("""COMPUTED_VALUE"""),83892.0)</f>
        <v>83892</v>
      </c>
      <c r="O2999" s="3" t="str">
        <f>IFERROR(__xludf.DUMMYFUNCTION("""COMPUTED_VALUE"""),"ร้านโกแอ๊ด (พี่เจี๊ยบ)")</f>
        <v>ร้านโกแอ๊ด (พี่เจี๊ยบ)</v>
      </c>
      <c r="P2999" s="4">
        <f>IFERROR(__xludf.DUMMYFUNCTION("""COMPUTED_VALUE"""),44660.0)</f>
        <v>44660</v>
      </c>
      <c r="Q2999" s="3" t="str">
        <f>IFERROR(__xludf.DUMMYFUNCTION("""COMPUTED_VALUE"""),"I")</f>
        <v>I</v>
      </c>
      <c r="R2999" s="3" t="str">
        <f>IFERROR(__xludf.DUMMYFUNCTION("""COMPUTED_VALUE"""),"Small Format")</f>
        <v>Small Format</v>
      </c>
      <c r="S2999" s="3" t="str">
        <f>IFERROR(__xludf.DUMMYFUNCTION("""COMPUTED_VALUE"""),"Donjai")</f>
        <v>Donjai</v>
      </c>
      <c r="T2999" s="3" t="str">
        <f>IFERROR(__xludf.DUMMYFUNCTION("""COMPUTED_VALUE"""),"01 K.Tuangtham M.")</f>
        <v>01 K.Tuangtham M.</v>
      </c>
      <c r="U2999" s="3" t="str">
        <f>IFERROR(__xludf.DUMMYFUNCTION("""COMPUTED_VALUE"""),"01 K.Tuangtham M.")</f>
        <v>01 K.Tuangtham M.</v>
      </c>
      <c r="V2999" s="3" t="str">
        <f>IFERROR(__xludf.DUMMYFUNCTION("""COMPUTED_VALUE"""),"N")</f>
        <v>N</v>
      </c>
      <c r="W2999" s="3"/>
      <c r="X2999" s="3" t="str">
        <f>IFERROR(__xludf.DUMMYFUNCTION("""COMPUTED_VALUE"""),"3/50 ม.9 ต.เมือง")</f>
        <v>3/50 ม.9 ต.เมือง</v>
      </c>
      <c r="Y2999" s="3"/>
      <c r="Z2999" s="3">
        <f>IFERROR(__xludf.DUMMYFUNCTION("""COMPUTED_VALUE"""),0.0)</f>
        <v>0</v>
      </c>
      <c r="AA2999" s="3">
        <f>IFERROR(__xludf.DUMMYFUNCTION("""COMPUTED_VALUE"""),0.0)</f>
        <v>0</v>
      </c>
      <c r="AB2999" s="3">
        <f>IFERROR(__xludf.DUMMYFUNCTION("""COMPUTED_VALUE"""),0.0)</f>
        <v>0</v>
      </c>
      <c r="AC2999" s="3">
        <f>IFERROR(__xludf.DUMMYFUNCTION("""COMPUTED_VALUE"""),0.0)</f>
        <v>0</v>
      </c>
      <c r="AD2999" s="3"/>
      <c r="AE2999" s="3"/>
      <c r="AF2999" s="3" t="str">
        <f>IFERROR(__xludf.DUMMYFUNCTION("""COMPUTED_VALUE"""),"ร้านโกแอ๊ด (พี่เจี๊ยบ)-83892")</f>
        <v>ร้านโกแอ๊ด (พี่เจี๊ยบ)-83892</v>
      </c>
      <c r="AG2999" s="3" t="str">
        <f>IFERROR(__xludf.DUMMYFUNCTION("""COMPUTED_VALUE"""),"#N/A")</f>
        <v>#N/A</v>
      </c>
      <c r="AH2999" s="3" t="str">
        <f>IFERROR(__xludf.DUMMYFUNCTION("""COMPUTED_VALUE"""),"#N/A")</f>
        <v>#N/A</v>
      </c>
      <c r="AI2999" s="3" t="str">
        <f>IFERROR(__xludf.DUMMYFUNCTION("""COMPUTED_VALUE"""),"Out of warranty")</f>
        <v>Out of warranty</v>
      </c>
      <c r="AJ2999" s="3">
        <f>IFERROR(__xludf.DUMMYFUNCTION("""COMPUTED_VALUE"""),46.0)</f>
        <v>46</v>
      </c>
      <c r="AK2999" s="3"/>
      <c r="AL2999" s="3"/>
    </row>
    <row r="3000" ht="15.75" customHeight="1">
      <c r="A3000" s="1" t="str">
        <f>IFERROR(__xludf.DUMMYFUNCTION("""COMPUTED_VALUE"""),"83893")</f>
        <v>83893</v>
      </c>
      <c r="B3000" s="2">
        <f>IFERROR(__xludf.DUMMYFUNCTION("""COMPUTED_VALUE"""),83893.0)</f>
        <v>83893</v>
      </c>
      <c r="C3000" s="3" t="str">
        <f>IFERROR(__xludf.DUMMYFUNCTION("""COMPUTED_VALUE"""),"ร้านบุญมากโดนใจ(อ๋อมแอ๋มพาณิชย์)")</f>
        <v>ร้านบุญมากโดนใจ(อ๋อมแอ๋มพาณิชย์)</v>
      </c>
      <c r="D3000" s="3" t="str">
        <f>IFERROR(__xludf.DUMMYFUNCTION("""COMPUTED_VALUE"""),"ร้านบุญมากโดนใจ(อ๋อมแอ๋มพาณิชย์)")</f>
        <v>ร้านบุญมากโดนใจ(อ๋อมแอ๋มพาณิชย์)</v>
      </c>
      <c r="E3000" s="1" t="str">
        <f>IFERROR(__xludf.DUMMYFUNCTION("""COMPUTED_VALUE"""),"Donjai")</f>
        <v>Donjai</v>
      </c>
      <c r="F3000" s="1" t="str">
        <f>IFERROR(__xludf.DUMMYFUNCTION("""COMPUTED_VALUE"""),"015361")</f>
        <v>015361</v>
      </c>
      <c r="G3000" s="1" t="str">
        <f>IFERROR(__xludf.DUMMYFUNCTION("""COMPUTED_VALUE"""),"นายสมบูรณ์ พรหมในเมือง")</f>
        <v>นายสมบูรณ์ พรหมในเมือง</v>
      </c>
      <c r="H3000" s="1" t="str">
        <f>IFERROR(__xludf.DUMMYFUNCTION("""COMPUTED_VALUE"""),"015361")</f>
        <v>015361</v>
      </c>
      <c r="I3000" s="1" t="str">
        <f>IFERROR(__xludf.DUMMYFUNCTION("""COMPUTED_VALUE"""),"นายสมบูรณ์ พรหมในเมือง")</f>
        <v>นายสมบูรณ์ พรหมในเมือง</v>
      </c>
      <c r="J3000" s="3">
        <f>IFERROR(__xludf.DUMMYFUNCTION("""COMPUTED_VALUE"""),295886.0)</f>
        <v>295886</v>
      </c>
      <c r="K3000" s="3" t="str">
        <f>IFERROR(__xludf.DUMMYFUNCTION("""COMPUTED_VALUE"""),"นายจิระพงษ์ โพธิ์นิล")</f>
        <v>นายจิระพงษ์ โพธิ์นิล</v>
      </c>
      <c r="L3000" s="1" t="str">
        <f>IFERROR(__xludf.DUMMYFUNCTION("""COMPUTED_VALUE"""),"นายจิระพงษ์ โพธิ์นิล")</f>
        <v>นายจิระพงษ์ โพธิ์นิล</v>
      </c>
      <c r="M3000" s="1" t="str">
        <f>IFERROR(__xludf.DUMMYFUNCTION("""COMPUTED_VALUE"""),"0933290754")</f>
        <v>0933290754</v>
      </c>
      <c r="N3000" s="3">
        <f>IFERROR(__xludf.DUMMYFUNCTION("""COMPUTED_VALUE"""),83893.0)</f>
        <v>83893</v>
      </c>
      <c r="O3000" s="3" t="str">
        <f>IFERROR(__xludf.DUMMYFUNCTION("""COMPUTED_VALUE"""),"ร้านบุญมากโดนใจ(อ๋อมแอ๋มพาณิชย์)")</f>
        <v>ร้านบุญมากโดนใจ(อ๋อมแอ๋มพาณิชย์)</v>
      </c>
      <c r="P3000" s="4">
        <f>IFERROR(__xludf.DUMMYFUNCTION("""COMPUTED_VALUE"""),45007.0)</f>
        <v>45007</v>
      </c>
      <c r="Q3000" s="3" t="str">
        <f>IFERROR(__xludf.DUMMYFUNCTION("""COMPUTED_VALUE"""),"I")</f>
        <v>I</v>
      </c>
      <c r="R3000" s="3" t="str">
        <f>IFERROR(__xludf.DUMMYFUNCTION("""COMPUTED_VALUE"""),"Small Format")</f>
        <v>Small Format</v>
      </c>
      <c r="S3000" s="3" t="str">
        <f>IFERROR(__xludf.DUMMYFUNCTION("""COMPUTED_VALUE"""),"Donjai")</f>
        <v>Donjai</v>
      </c>
      <c r="T3000" s="3" t="str">
        <f>IFERROR(__xludf.DUMMYFUNCTION("""COMPUTED_VALUE"""),"04 K.Somboon P.")</f>
        <v>04 K.Somboon P.</v>
      </c>
      <c r="U3000" s="3" t="str">
        <f>IFERROR(__xludf.DUMMYFUNCTION("""COMPUTED_VALUE"""),"04 K.Somboon P.")</f>
        <v>04 K.Somboon P.</v>
      </c>
      <c r="V3000" s="3" t="str">
        <f>IFERROR(__xludf.DUMMYFUNCTION("""COMPUTED_VALUE"""),"N")</f>
        <v>N</v>
      </c>
      <c r="W3000" s="3"/>
      <c r="X3000" s="3" t="str">
        <f>IFERROR(__xludf.DUMMYFUNCTION("""COMPUTED_VALUE"""),"191 ม.14 ต.นาจะหลวย อ.นาจะหลวย จ.อุบลราชธานี")</f>
        <v>191 ม.14 ต.นาจะหลวย อ.นาจะหลวย จ.อุบลราชธานี</v>
      </c>
      <c r="Y3000" s="3"/>
      <c r="Z3000" s="3"/>
      <c r="AA3000" s="3"/>
      <c r="AB3000" s="3"/>
      <c r="AC3000" s="3"/>
      <c r="AD3000" s="3"/>
      <c r="AE3000" s="3"/>
      <c r="AF3000" s="3" t="str">
        <f>IFERROR(__xludf.DUMMYFUNCTION("""COMPUTED_VALUE"""),"ร้านบุญมากโดนใจ(อ๋อมแอ๋มพาณิชย์)-83893")</f>
        <v>ร้านบุญมากโดนใจ(อ๋อมแอ๋มพาณิชย์)-83893</v>
      </c>
      <c r="AG3000" s="3">
        <f>IFERROR(__xludf.DUMMYFUNCTION("""COMPUTED_VALUE"""),0.0)</f>
        <v>0</v>
      </c>
      <c r="AH3000" s="3" t="str">
        <f>IFERROR(__xludf.DUMMYFUNCTION("""COMPUTED_VALUE"""),"#N/A")</f>
        <v>#N/A</v>
      </c>
      <c r="AI3000" s="3" t="str">
        <f>IFERROR(__xludf.DUMMYFUNCTION("""COMPUTED_VALUE"""),"Out of warranty")</f>
        <v>Out of warranty</v>
      </c>
      <c r="AJ3000" s="3">
        <f>IFERROR(__xludf.DUMMYFUNCTION("""COMPUTED_VALUE"""),34.0)</f>
        <v>34</v>
      </c>
      <c r="AK3000" s="3"/>
      <c r="AL3000" s="3"/>
    </row>
    <row r="3001" ht="15.75" customHeight="1">
      <c r="A3001" s="1" t="str">
        <f>IFERROR(__xludf.DUMMYFUNCTION("""COMPUTED_VALUE"""),"83894")</f>
        <v>83894</v>
      </c>
      <c r="B3001" s="2">
        <f>IFERROR(__xludf.DUMMYFUNCTION("""COMPUTED_VALUE"""),83894.0)</f>
        <v>83894</v>
      </c>
      <c r="C3001" s="3" t="str">
        <f>IFERROR(__xludf.DUMMYFUNCTION("""COMPUTED_VALUE"""),"ร้านไสประดู่")</f>
        <v>ร้านไสประดู่</v>
      </c>
      <c r="D3001" s="3" t="str">
        <f>IFERROR(__xludf.DUMMYFUNCTION("""COMPUTED_VALUE"""),"ร้านไสประดู่")</f>
        <v>ร้านไสประดู่</v>
      </c>
      <c r="E3001" s="1" t="str">
        <f>IFERROR(__xludf.DUMMYFUNCTION("""COMPUTED_VALUE"""),"Donjai")</f>
        <v>Donjai</v>
      </c>
      <c r="F3001" s="1" t="str">
        <f>IFERROR(__xludf.DUMMYFUNCTION("""COMPUTED_VALUE"""),"20470331")</f>
        <v>20470331</v>
      </c>
      <c r="G3001" s="1" t="str">
        <f>IFERROR(__xludf.DUMMYFUNCTION("""COMPUTED_VALUE"""),"นายสมชาย ลักษณะสุวรรณ")</f>
        <v>นายสมชาย ลักษณะสุวรรณ</v>
      </c>
      <c r="H3001" s="1" t="str">
        <f>IFERROR(__xludf.DUMMYFUNCTION("""COMPUTED_VALUE"""),"20470331")</f>
        <v>20470331</v>
      </c>
      <c r="I3001" s="1" t="str">
        <f>IFERROR(__xludf.DUMMYFUNCTION("""COMPUTED_VALUE"""),"นายสมชาย ลักษณะสุวรรณ")</f>
        <v>นายสมชาย ลักษณะสุวรรณ</v>
      </c>
      <c r="J3001" s="3">
        <f>IFERROR(__xludf.DUMMYFUNCTION("""COMPUTED_VALUE"""),295541.0)</f>
        <v>295541</v>
      </c>
      <c r="K3001" s="3" t="str">
        <f>IFERROR(__xludf.DUMMYFUNCTION("""COMPUTED_VALUE"""),"นายรพิพล ศรีมาตย์")</f>
        <v>นายรพิพล ศรีมาตย์</v>
      </c>
      <c r="L3001" s="1" t="str">
        <f>IFERROR(__xludf.DUMMYFUNCTION("""COMPUTED_VALUE"""),"นายรพิพล ศรีมาตย์")</f>
        <v>นายรพิพล ศรีมาตย์</v>
      </c>
      <c r="M3001" s="1" t="str">
        <f>IFERROR(__xludf.DUMMYFUNCTION("""COMPUTED_VALUE"""),"0613966115")</f>
        <v>0613966115</v>
      </c>
      <c r="N3001" s="3">
        <f>IFERROR(__xludf.DUMMYFUNCTION("""COMPUTED_VALUE"""),83894.0)</f>
        <v>83894</v>
      </c>
      <c r="O3001" s="3" t="str">
        <f>IFERROR(__xludf.DUMMYFUNCTION("""COMPUTED_VALUE"""),"ร้านไสประดู่")</f>
        <v>ร้านไสประดู่</v>
      </c>
      <c r="P3001" s="4">
        <f>IFERROR(__xludf.DUMMYFUNCTION("""COMPUTED_VALUE"""),44701.0)</f>
        <v>44701</v>
      </c>
      <c r="Q3001" s="3" t="str">
        <f>IFERROR(__xludf.DUMMYFUNCTION("""COMPUTED_VALUE"""),"A")</f>
        <v>A</v>
      </c>
      <c r="R3001" s="3" t="str">
        <f>IFERROR(__xludf.DUMMYFUNCTION("""COMPUTED_VALUE"""),"Small Format")</f>
        <v>Small Format</v>
      </c>
      <c r="S3001" s="3" t="str">
        <f>IFERROR(__xludf.DUMMYFUNCTION("""COMPUTED_VALUE"""),"Donjai")</f>
        <v>Donjai</v>
      </c>
      <c r="T3001" s="3" t="str">
        <f>IFERROR(__xludf.DUMMYFUNCTION("""COMPUTED_VALUE"""),"15 K.Somchai L")</f>
        <v>15 K.Somchai L</v>
      </c>
      <c r="U3001" s="3" t="str">
        <f>IFERROR(__xludf.DUMMYFUNCTION("""COMPUTED_VALUE"""),"15 K.Somchai L")</f>
        <v>15 K.Somchai L</v>
      </c>
      <c r="V3001" s="3" t="str">
        <f>IFERROR(__xludf.DUMMYFUNCTION("""COMPUTED_VALUE"""),"N")</f>
        <v>N</v>
      </c>
      <c r="W3001" s="3"/>
      <c r="X3001" s="3" t="str">
        <f>IFERROR(__xludf.DUMMYFUNCTION("""COMPUTED_VALUE"""),"77ม.2 เขาปู่ ศรีบรรพต พัทลุง 93190")</f>
        <v>77ม.2 เขาปู่ ศรีบรรพต พัทลุง 93190</v>
      </c>
      <c r="Y3001" s="3"/>
      <c r="Z3001" s="3">
        <f>IFERROR(__xludf.DUMMYFUNCTION("""COMPUTED_VALUE"""),0.0)</f>
        <v>0</v>
      </c>
      <c r="AA3001" s="3">
        <f>IFERROR(__xludf.DUMMYFUNCTION("""COMPUTED_VALUE"""),0.0)</f>
        <v>0</v>
      </c>
      <c r="AB3001" s="3" t="str">
        <f>IFERROR(__xludf.DUMMYFUNCTION("""COMPUTED_VALUE"""),"พัทลุง")</f>
        <v>พัทลุง</v>
      </c>
      <c r="AC3001" s="3">
        <f>IFERROR(__xludf.DUMMYFUNCTION("""COMPUTED_VALUE"""),93190.0)</f>
        <v>93190</v>
      </c>
      <c r="AD3001" s="3"/>
      <c r="AE3001" s="3"/>
      <c r="AF3001" s="3" t="str">
        <f>IFERROR(__xludf.DUMMYFUNCTION("""COMPUTED_VALUE"""),"ร้านไสประดู่-83894")</f>
        <v>ร้านไสประดู่-83894</v>
      </c>
      <c r="AG3001" s="3" t="str">
        <f>IFERROR(__xludf.DUMMYFUNCTION("""COMPUTED_VALUE"""),"ใต้")</f>
        <v>ใต้</v>
      </c>
      <c r="AH3001" s="3" t="str">
        <f>IFERROR(__xludf.DUMMYFUNCTION("""COMPUTED_VALUE"""),"#N/A")</f>
        <v>#N/A</v>
      </c>
      <c r="AI3001" s="3" t="str">
        <f>IFERROR(__xludf.DUMMYFUNCTION("""COMPUTED_VALUE"""),"Out of warranty")</f>
        <v>Out of warranty</v>
      </c>
      <c r="AJ3001" s="3">
        <f>IFERROR(__xludf.DUMMYFUNCTION("""COMPUTED_VALUE"""),45.0)</f>
        <v>45</v>
      </c>
      <c r="AK3001" s="3"/>
      <c r="AL3001" s="3"/>
    </row>
    <row r="3002" ht="15.75" customHeight="1">
      <c r="A3002" s="1" t="str">
        <f>IFERROR(__xludf.DUMMYFUNCTION("""COMPUTED_VALUE"""),"83895")</f>
        <v>83895</v>
      </c>
      <c r="B3002" s="2">
        <f>IFERROR(__xludf.DUMMYFUNCTION("""COMPUTED_VALUE"""),83895.0)</f>
        <v>83895</v>
      </c>
      <c r="C3002" s="3" t="str">
        <f>IFERROR(__xludf.DUMMYFUNCTION("""COMPUTED_VALUE"""),"ร้านเจ้หวาน")</f>
        <v>ร้านเจ้หวาน</v>
      </c>
      <c r="D3002" s="3" t="str">
        <f>IFERROR(__xludf.DUMMYFUNCTION("""COMPUTED_VALUE"""),"ร้านเจ้หวาน")</f>
        <v>ร้านเจ้หวาน</v>
      </c>
      <c r="E3002" s="1" t="str">
        <f>IFERROR(__xludf.DUMMYFUNCTION("""COMPUTED_VALUE"""),"Donjai")</f>
        <v>Donjai</v>
      </c>
      <c r="F3002" s="1" t="str">
        <f>IFERROR(__xludf.DUMMYFUNCTION("""COMPUTED_VALUE"""),"00510143")</f>
        <v>00510143</v>
      </c>
      <c r="G3002" s="1" t="str">
        <f>IFERROR(__xludf.DUMMYFUNCTION("""COMPUTED_VALUE"""),"นายธีระวัฒน์ บุญสิทธิ์")</f>
        <v>นายธีระวัฒน์ บุญสิทธิ์</v>
      </c>
      <c r="H3002" s="1" t="str">
        <f>IFERROR(__xludf.DUMMYFUNCTION("""COMPUTED_VALUE"""),"00510143")</f>
        <v>00510143</v>
      </c>
      <c r="I3002" s="1" t="str">
        <f>IFERROR(__xludf.DUMMYFUNCTION("""COMPUTED_VALUE"""),"นายธีระวัฒน์ บุญสิทธิ์")</f>
        <v>นายธีระวัฒน์ บุญสิทธิ์</v>
      </c>
      <c r="J3002" s="3">
        <f>IFERROR(__xludf.DUMMYFUNCTION("""COMPUTED_VALUE"""),228031.0)</f>
        <v>228031</v>
      </c>
      <c r="K3002" s="3" t="str">
        <f>IFERROR(__xludf.DUMMYFUNCTION("""COMPUTED_VALUE"""),"นายธนพงษ์ วันหมัด")</f>
        <v>นายธนพงษ์ วันหมัด</v>
      </c>
      <c r="L3002" s="1" t="str">
        <f>IFERROR(__xludf.DUMMYFUNCTION("""COMPUTED_VALUE"""),"นายธนพงษ์ วันหมัด")</f>
        <v>นายธนพงษ์ วันหมัด</v>
      </c>
      <c r="M3002" s="1" t="str">
        <f>IFERROR(__xludf.DUMMYFUNCTION("""COMPUTED_VALUE"""),"0813716913")</f>
        <v>0813716913</v>
      </c>
      <c r="N3002" s="3">
        <f>IFERROR(__xludf.DUMMYFUNCTION("""COMPUTED_VALUE"""),83895.0)</f>
        <v>83895</v>
      </c>
      <c r="O3002" s="3" t="str">
        <f>IFERROR(__xludf.DUMMYFUNCTION("""COMPUTED_VALUE"""),"ร้านเจ้หวาน")</f>
        <v>ร้านเจ้หวาน</v>
      </c>
      <c r="P3002" s="4">
        <f>IFERROR(__xludf.DUMMYFUNCTION("""COMPUTED_VALUE"""),44683.0)</f>
        <v>44683</v>
      </c>
      <c r="Q3002" s="3" t="str">
        <f>IFERROR(__xludf.DUMMYFUNCTION("""COMPUTED_VALUE"""),"A")</f>
        <v>A</v>
      </c>
      <c r="R3002" s="3" t="str">
        <f>IFERROR(__xludf.DUMMYFUNCTION("""COMPUTED_VALUE"""),"Small Format")</f>
        <v>Small Format</v>
      </c>
      <c r="S3002" s="3" t="str">
        <f>IFERROR(__xludf.DUMMYFUNCTION("""COMPUTED_VALUE"""),"Donjai")</f>
        <v>Donjai</v>
      </c>
      <c r="T3002" s="3" t="str">
        <f>IFERROR(__xludf.DUMMYFUNCTION("""COMPUTED_VALUE"""),"12 K.Theerawat B.")</f>
        <v>12 K.Theerawat B.</v>
      </c>
      <c r="U3002" s="3" t="str">
        <f>IFERROR(__xludf.DUMMYFUNCTION("""COMPUTED_VALUE"""),"12 K.Theerawat B.")</f>
        <v>12 K.Theerawat B.</v>
      </c>
      <c r="V3002" s="3" t="str">
        <f>IFERROR(__xludf.DUMMYFUNCTION("""COMPUTED_VALUE"""),"N")</f>
        <v>N</v>
      </c>
      <c r="W3002" s="3"/>
      <c r="X3002" s="3" t="str">
        <f>IFERROR(__xludf.DUMMYFUNCTION("""COMPUTED_VALUE"""),"ร้านเจ้หวาน คลองหาด อำเภอคลองหาด จังหวัดสระแก้ว")</f>
        <v>ร้านเจ้หวาน คลองหาด อำเภอคลองหาด จังหวัดสระแก้ว</v>
      </c>
      <c r="Y3002" s="3"/>
      <c r="Z3002" s="3">
        <f>IFERROR(__xludf.DUMMYFUNCTION("""COMPUTED_VALUE"""),0.0)</f>
        <v>0</v>
      </c>
      <c r="AA3002" s="3">
        <f>IFERROR(__xludf.DUMMYFUNCTION("""COMPUTED_VALUE"""),0.0)</f>
        <v>0</v>
      </c>
      <c r="AB3002" s="3" t="str">
        <f>IFERROR(__xludf.DUMMYFUNCTION("""COMPUTED_VALUE"""),"สระแก้ว")</f>
        <v>สระแก้ว</v>
      </c>
      <c r="AC3002" s="3">
        <f>IFERROR(__xludf.DUMMYFUNCTION("""COMPUTED_VALUE"""),0.0)</f>
        <v>0</v>
      </c>
      <c r="AD3002" s="3"/>
      <c r="AE3002" s="3"/>
      <c r="AF3002" s="3" t="str">
        <f>IFERROR(__xludf.DUMMYFUNCTION("""COMPUTED_VALUE"""),"ร้านเจ้หวาน-83895")</f>
        <v>ร้านเจ้หวาน-83895</v>
      </c>
      <c r="AG3002" s="3" t="str">
        <f>IFERROR(__xludf.DUMMYFUNCTION("""COMPUTED_VALUE"""),"ตะวันออก")</f>
        <v>ตะวันออก</v>
      </c>
      <c r="AH3002" s="3" t="str">
        <f>IFERROR(__xludf.DUMMYFUNCTION("""COMPUTED_VALUE"""),"#N/A")</f>
        <v>#N/A</v>
      </c>
      <c r="AI3002" s="3" t="str">
        <f>IFERROR(__xludf.DUMMYFUNCTION("""COMPUTED_VALUE"""),"Out of warranty")</f>
        <v>Out of warranty</v>
      </c>
      <c r="AJ3002" s="3">
        <f>IFERROR(__xludf.DUMMYFUNCTION("""COMPUTED_VALUE"""),45.0)</f>
        <v>45</v>
      </c>
      <c r="AK3002" s="3"/>
      <c r="AL3002" s="3"/>
    </row>
    <row r="3003" ht="15.75" customHeight="1">
      <c r="A3003" s="1" t="str">
        <f>IFERROR(__xludf.DUMMYFUNCTION("""COMPUTED_VALUE"""),"83896")</f>
        <v>83896</v>
      </c>
      <c r="B3003" s="2">
        <f>IFERROR(__xludf.DUMMYFUNCTION("""COMPUTED_VALUE"""),83896.0)</f>
        <v>83896</v>
      </c>
      <c r="C3003" s="3" t="str">
        <f>IFERROR(__xludf.DUMMYFUNCTION("""COMPUTED_VALUE"""),"ร้านวนิดาคาเฟ่ (วนิดา)")</f>
        <v>ร้านวนิดาคาเฟ่ (วนิดา)</v>
      </c>
      <c r="D3003" s="3" t="str">
        <f>IFERROR(__xludf.DUMMYFUNCTION("""COMPUTED_VALUE"""),"ร้านวนิดาคาเฟ่ (วนิดา)")</f>
        <v>ร้านวนิดาคาเฟ่ (วนิดา)</v>
      </c>
      <c r="E3003" s="1" t="str">
        <f>IFERROR(__xludf.DUMMYFUNCTION("""COMPUTED_VALUE"""),"Donjai")</f>
        <v>Donjai</v>
      </c>
      <c r="F3003" s="1" t="str">
        <f>IFERROR(__xludf.DUMMYFUNCTION("""COMPUTED_VALUE"""),"2454781")</f>
        <v>2454781</v>
      </c>
      <c r="G3003" s="1" t="str">
        <f>IFERROR(__xludf.DUMMYFUNCTION("""COMPUTED_VALUE"""),"นายฌานกฤช นันทะโคต")</f>
        <v>นายฌานกฤช นันทะโคต</v>
      </c>
      <c r="H3003" s="1" t="str">
        <f>IFERROR(__xludf.DUMMYFUNCTION("""COMPUTED_VALUE"""),"2454781")</f>
        <v>2454781</v>
      </c>
      <c r="I3003" s="1" t="str">
        <f>IFERROR(__xludf.DUMMYFUNCTION("""COMPUTED_VALUE"""),"นายฌานกฤช นันทะโคต")</f>
        <v>นายฌานกฤช นันทะโคต</v>
      </c>
      <c r="J3003" s="3">
        <f>IFERROR(__xludf.DUMMYFUNCTION("""COMPUTED_VALUE"""),295886.0)</f>
        <v>295886</v>
      </c>
      <c r="K3003" s="3" t="str">
        <f>IFERROR(__xludf.DUMMYFUNCTION("""COMPUTED_VALUE"""),"นายจิระพงษ์ โพธิ์นิล")</f>
        <v>นายจิระพงษ์ โพธิ์นิล</v>
      </c>
      <c r="L3003" s="1" t="str">
        <f>IFERROR(__xludf.DUMMYFUNCTION("""COMPUTED_VALUE"""),"นายจิระพงษ์ โพธิ์นิล")</f>
        <v>นายจิระพงษ์ โพธิ์นิล</v>
      </c>
      <c r="M3003" s="1" t="str">
        <f>IFERROR(__xludf.DUMMYFUNCTION("""COMPUTED_VALUE"""),"0933290754")</f>
        <v>0933290754</v>
      </c>
      <c r="N3003" s="3">
        <f>IFERROR(__xludf.DUMMYFUNCTION("""COMPUTED_VALUE"""),83896.0)</f>
        <v>83896</v>
      </c>
      <c r="O3003" s="3" t="str">
        <f>IFERROR(__xludf.DUMMYFUNCTION("""COMPUTED_VALUE"""),"ร้านวนิดาคาเฟ่ (วนิดา)")</f>
        <v>ร้านวนิดาคาเฟ่ (วนิดา)</v>
      </c>
      <c r="P3003" s="4">
        <f>IFERROR(__xludf.DUMMYFUNCTION("""COMPUTED_VALUE"""),44682.0)</f>
        <v>44682</v>
      </c>
      <c r="Q3003" s="3" t="str">
        <f>IFERROR(__xludf.DUMMYFUNCTION("""COMPUTED_VALUE"""),"A")</f>
        <v>A</v>
      </c>
      <c r="R3003" s="3" t="str">
        <f>IFERROR(__xludf.DUMMYFUNCTION("""COMPUTED_VALUE"""),"Small Format")</f>
        <v>Small Format</v>
      </c>
      <c r="S3003" s="3" t="str">
        <f>IFERROR(__xludf.DUMMYFUNCTION("""COMPUTED_VALUE"""),"Donjai")</f>
        <v>Donjai</v>
      </c>
      <c r="T3003" s="3" t="str">
        <f>IFERROR(__xludf.DUMMYFUNCTION("""COMPUTED_VALUE"""),"05 K.Chanakrit N.")</f>
        <v>05 K.Chanakrit N.</v>
      </c>
      <c r="U3003" s="3" t="str">
        <f>IFERROR(__xludf.DUMMYFUNCTION("""COMPUTED_VALUE"""),"05 K.Chanakrit N.")</f>
        <v>05 K.Chanakrit N.</v>
      </c>
      <c r="V3003" s="3" t="str">
        <f>IFERROR(__xludf.DUMMYFUNCTION("""COMPUTED_VALUE"""),"N")</f>
        <v>N</v>
      </c>
      <c r="W3003" s="3"/>
      <c r="X3003" s="3" t="str">
        <f>IFERROR(__xludf.DUMMYFUNCTION("""COMPUTED_VALUE"""),"129 ต.จรัส อ.บัวเชด จ.สุรินทร์ 32230")</f>
        <v>129 ต.จรัส อ.บัวเชด จ.สุรินทร์ 32230</v>
      </c>
      <c r="Y3003" s="3"/>
      <c r="Z3003" s="3">
        <f>IFERROR(__xludf.DUMMYFUNCTION("""COMPUTED_VALUE"""),0.0)</f>
        <v>0</v>
      </c>
      <c r="AA3003" s="3">
        <f>IFERROR(__xludf.DUMMYFUNCTION("""COMPUTED_VALUE"""),0.0)</f>
        <v>0</v>
      </c>
      <c r="AB3003" s="3" t="str">
        <f>IFERROR(__xludf.DUMMYFUNCTION("""COMPUTED_VALUE"""),"สุรินทร์")</f>
        <v>สุรินทร์</v>
      </c>
      <c r="AC3003" s="3">
        <f>IFERROR(__xludf.DUMMYFUNCTION("""COMPUTED_VALUE"""),32230.0)</f>
        <v>32230</v>
      </c>
      <c r="AD3003" s="3"/>
      <c r="AE3003" s="3"/>
      <c r="AF3003" s="3" t="str">
        <f>IFERROR(__xludf.DUMMYFUNCTION("""COMPUTED_VALUE"""),"ร้านวนิดาคาเฟ่ (วนิดา)-83896")</f>
        <v>ร้านวนิดาคาเฟ่ (วนิดา)-83896</v>
      </c>
      <c r="AG3003" s="3" t="str">
        <f>IFERROR(__xludf.DUMMYFUNCTION("""COMPUTED_VALUE"""),"ตะวันออกเฉียงเหนือ")</f>
        <v>ตะวันออกเฉียงเหนือ</v>
      </c>
      <c r="AH3003" s="3" t="str">
        <f>IFERROR(__xludf.DUMMYFUNCTION("""COMPUTED_VALUE"""),"#N/A")</f>
        <v>#N/A</v>
      </c>
      <c r="AI3003" s="3" t="str">
        <f>IFERROR(__xludf.DUMMYFUNCTION("""COMPUTED_VALUE"""),"Out of warranty")</f>
        <v>Out of warranty</v>
      </c>
      <c r="AJ3003" s="3">
        <f>IFERROR(__xludf.DUMMYFUNCTION("""COMPUTED_VALUE"""),45.0)</f>
        <v>45</v>
      </c>
      <c r="AK3003" s="3"/>
      <c r="AL3003" s="3"/>
    </row>
    <row r="3004" ht="15.75" customHeight="1">
      <c r="A3004" s="1" t="str">
        <f>IFERROR(__xludf.DUMMYFUNCTION("""COMPUTED_VALUE"""),"83897")</f>
        <v>83897</v>
      </c>
      <c r="B3004" s="2">
        <f>IFERROR(__xludf.DUMMYFUNCTION("""COMPUTED_VALUE"""),83897.0)</f>
        <v>83897</v>
      </c>
      <c r="C3004" s="3" t="str">
        <f>IFERROR(__xludf.DUMMYFUNCTION("""COMPUTED_VALUE"""),"ร้านเชลล์วรวัฒน์ มินิมาร์ท (คุณทิพรัตน์)")</f>
        <v>ร้านเชลล์วรวัฒน์ มินิมาร์ท (คุณทิพรัตน์)</v>
      </c>
      <c r="D3004" s="3" t="str">
        <f>IFERROR(__xludf.DUMMYFUNCTION("""COMPUTED_VALUE"""),"ร้านเชลล์วรวัฒน์ มินิมาร์ท (คุณทิพรัตน์)")</f>
        <v>ร้านเชลล์วรวัฒน์ มินิมาร์ท (คุณทิพรัตน์)</v>
      </c>
      <c r="E3004" s="1" t="str">
        <f>IFERROR(__xludf.DUMMYFUNCTION("""COMPUTED_VALUE"""),"Donjai")</f>
        <v>Donjai</v>
      </c>
      <c r="F3004" s="1" t="str">
        <f>IFERROR(__xludf.DUMMYFUNCTION("""COMPUTED_VALUE"""),"296608")</f>
        <v>296608</v>
      </c>
      <c r="G3004" s="1" t="str">
        <f>IFERROR(__xludf.DUMMYFUNCTION("""COMPUTED_VALUE"""),"นายภาคภูมิ เพ็ชรนิล")</f>
        <v>นายภาคภูมิ เพ็ชรนิล</v>
      </c>
      <c r="H3004" s="1" t="str">
        <f>IFERROR(__xludf.DUMMYFUNCTION("""COMPUTED_VALUE"""),"296608")</f>
        <v>296608</v>
      </c>
      <c r="I3004" s="1" t="str">
        <f>IFERROR(__xludf.DUMMYFUNCTION("""COMPUTED_VALUE"""),"นายภาคภูมิ เพ็ชรนิล")</f>
        <v>นายภาคภูมิ เพ็ชรนิล</v>
      </c>
      <c r="J3004" s="3">
        <f>IFERROR(__xludf.DUMMYFUNCTION("""COMPUTED_VALUE"""),228031.0)</f>
        <v>228031</v>
      </c>
      <c r="K3004" s="3" t="str">
        <f>IFERROR(__xludf.DUMMYFUNCTION("""COMPUTED_VALUE"""),"นายธนพงษ์ วันหมัด")</f>
        <v>นายธนพงษ์ วันหมัด</v>
      </c>
      <c r="L3004" s="1" t="str">
        <f>IFERROR(__xludf.DUMMYFUNCTION("""COMPUTED_VALUE"""),"นายธนพงษ์ วันหมัด")</f>
        <v>นายธนพงษ์ วันหมัด</v>
      </c>
      <c r="M3004" s="1" t="str">
        <f>IFERROR(__xludf.DUMMYFUNCTION("""COMPUTED_VALUE"""),"0813716913")</f>
        <v>0813716913</v>
      </c>
      <c r="N3004" s="3">
        <f>IFERROR(__xludf.DUMMYFUNCTION("""COMPUTED_VALUE"""),83897.0)</f>
        <v>83897</v>
      </c>
      <c r="O3004" s="3" t="str">
        <f>IFERROR(__xludf.DUMMYFUNCTION("""COMPUTED_VALUE"""),"ร้านเชลล์วรวัฒน์ มินิมาร์ท (คุณทิพรัตน์)")</f>
        <v>ร้านเชลล์วรวัฒน์ มินิมาร์ท (คุณทิพรัตน์)</v>
      </c>
      <c r="P3004" s="4">
        <f>IFERROR(__xludf.DUMMYFUNCTION("""COMPUTED_VALUE"""),44676.0)</f>
        <v>44676</v>
      </c>
      <c r="Q3004" s="3" t="str">
        <f>IFERROR(__xludf.DUMMYFUNCTION("""COMPUTED_VALUE"""),"I")</f>
        <v>I</v>
      </c>
      <c r="R3004" s="3" t="str">
        <f>IFERROR(__xludf.DUMMYFUNCTION("""COMPUTED_VALUE"""),"Small Format")</f>
        <v>Small Format</v>
      </c>
      <c r="S3004" s="3" t="str">
        <f>IFERROR(__xludf.DUMMYFUNCTION("""COMPUTED_VALUE"""),"Donjai")</f>
        <v>Donjai</v>
      </c>
      <c r="T3004" s="3" t="str">
        <f>IFERROR(__xludf.DUMMYFUNCTION("""COMPUTED_VALUE"""),"10 K.Phakphoom P.")</f>
        <v>10 K.Phakphoom P.</v>
      </c>
      <c r="U3004" s="3" t="str">
        <f>IFERROR(__xludf.DUMMYFUNCTION("""COMPUTED_VALUE"""),"10 K.Phakphoom P.")</f>
        <v>10 K.Phakphoom P.</v>
      </c>
      <c r="V3004" s="3" t="str">
        <f>IFERROR(__xludf.DUMMYFUNCTION("""COMPUTED_VALUE"""),"N")</f>
        <v>N</v>
      </c>
      <c r="W3004" s="3"/>
      <c r="X3004" s="3" t="str">
        <f>IFERROR(__xludf.DUMMYFUNCTION("""COMPUTED_VALUE"""),"923/445 ถ.เศรษฐกิจ1 มหาชัย เมือง สมุทรสาคร 74000")</f>
        <v>923/445 ถ.เศรษฐกิจ1 มหาชัย เมือง สมุทรสาคร 74000</v>
      </c>
      <c r="Y3004" s="3"/>
      <c r="Z3004" s="3">
        <f>IFERROR(__xludf.DUMMYFUNCTION("""COMPUTED_VALUE"""),0.0)</f>
        <v>0</v>
      </c>
      <c r="AA3004" s="3">
        <f>IFERROR(__xludf.DUMMYFUNCTION("""COMPUTED_VALUE"""),0.0)</f>
        <v>0</v>
      </c>
      <c r="AB3004" s="3" t="str">
        <f>IFERROR(__xludf.DUMMYFUNCTION("""COMPUTED_VALUE"""),"สมุทรสาคร")</f>
        <v>สมุทรสาคร</v>
      </c>
      <c r="AC3004" s="3">
        <f>IFERROR(__xludf.DUMMYFUNCTION("""COMPUTED_VALUE"""),74000.0)</f>
        <v>74000</v>
      </c>
      <c r="AD3004" s="3"/>
      <c r="AE3004" s="3"/>
      <c r="AF3004" s="3" t="str">
        <f>IFERROR(__xludf.DUMMYFUNCTION("""COMPUTED_VALUE"""),"ร้านเชลล์วรวัฒน์ มินิมาร์ท (คุณทิพรัตน์)-83897")</f>
        <v>ร้านเชลล์วรวัฒน์ มินิมาร์ท (คุณทิพรัตน์)-83897</v>
      </c>
      <c r="AG3004" s="3" t="str">
        <f>IFERROR(__xludf.DUMMYFUNCTION("""COMPUTED_VALUE"""),"กลาง")</f>
        <v>กลาง</v>
      </c>
      <c r="AH3004" s="3" t="str">
        <f>IFERROR(__xludf.DUMMYFUNCTION("""COMPUTED_VALUE"""),"#N/A")</f>
        <v>#N/A</v>
      </c>
      <c r="AI3004" s="3" t="str">
        <f>IFERROR(__xludf.DUMMYFUNCTION("""COMPUTED_VALUE"""),"Out of warranty")</f>
        <v>Out of warranty</v>
      </c>
      <c r="AJ3004" s="3">
        <f>IFERROR(__xludf.DUMMYFUNCTION("""COMPUTED_VALUE"""),45.0)</f>
        <v>45</v>
      </c>
      <c r="AK3004" s="3"/>
      <c r="AL3004" s="3"/>
    </row>
    <row r="3005" ht="15.75" customHeight="1">
      <c r="A3005" s="1" t="str">
        <f>IFERROR(__xludf.DUMMYFUNCTION("""COMPUTED_VALUE"""),"83899")</f>
        <v>83899</v>
      </c>
      <c r="B3005" s="2">
        <f>IFERROR(__xludf.DUMMYFUNCTION("""COMPUTED_VALUE"""),83899.0)</f>
        <v>83899</v>
      </c>
      <c r="C3005" s="3" t="str">
        <f>IFERROR(__xludf.DUMMYFUNCTION("""COMPUTED_VALUE"""),"ร้านเอสพี การค้า (คลีนิกยนต์ มินิมาร์ท)")</f>
        <v>ร้านเอสพี การค้า (คลีนิกยนต์ มินิมาร์ท)</v>
      </c>
      <c r="D3005" s="3" t="str">
        <f>IFERROR(__xludf.DUMMYFUNCTION("""COMPUTED_VALUE"""),"ร้านเอสพี การค้า (คลีนิกยนต์ มินิมาร์ท)")</f>
        <v>ร้านเอสพี การค้า (คลีนิกยนต์ มินิมาร์ท)</v>
      </c>
      <c r="E3005" s="1" t="str">
        <f>IFERROR(__xludf.DUMMYFUNCTION("""COMPUTED_VALUE"""),"Donjai")</f>
        <v>Donjai</v>
      </c>
      <c r="F3005" s="1" t="str">
        <f>IFERROR(__xludf.DUMMYFUNCTION("""COMPUTED_VALUE"""),"2010016")</f>
        <v>2010016</v>
      </c>
      <c r="G3005" s="1" t="str">
        <f>IFERROR(__xludf.DUMMYFUNCTION("""COMPUTED_VALUE"""),"นายตวงธรรม ใหม่ยศ")</f>
        <v>นายตวงธรรม ใหม่ยศ</v>
      </c>
      <c r="H3005" s="1" t="str">
        <f>IFERROR(__xludf.DUMMYFUNCTION("""COMPUTED_VALUE"""),"2010016")</f>
        <v>2010016</v>
      </c>
      <c r="I3005" s="1" t="str">
        <f>IFERROR(__xludf.DUMMYFUNCTION("""COMPUTED_VALUE"""),"นายตวงธรรม ใหม่ยศ")</f>
        <v>นายตวงธรรม ใหม่ยศ</v>
      </c>
      <c r="J3005" s="3">
        <f>IFERROR(__xludf.DUMMYFUNCTION("""COMPUTED_VALUE"""),295886.0)</f>
        <v>295886</v>
      </c>
      <c r="K3005" s="3" t="str">
        <f>IFERROR(__xludf.DUMMYFUNCTION("""COMPUTED_VALUE"""),"นายจิระพงษ์ โพธิ์นิล")</f>
        <v>นายจิระพงษ์ โพธิ์นิล</v>
      </c>
      <c r="L3005" s="1" t="str">
        <f>IFERROR(__xludf.DUMMYFUNCTION("""COMPUTED_VALUE"""),"นายจิระพงษ์ โพธิ์นิล")</f>
        <v>นายจิระพงษ์ โพธิ์นิล</v>
      </c>
      <c r="M3005" s="1" t="str">
        <f>IFERROR(__xludf.DUMMYFUNCTION("""COMPUTED_VALUE"""),"0933290754")</f>
        <v>0933290754</v>
      </c>
      <c r="N3005" s="3">
        <f>IFERROR(__xludf.DUMMYFUNCTION("""COMPUTED_VALUE"""),83899.0)</f>
        <v>83899</v>
      </c>
      <c r="O3005" s="3" t="str">
        <f>IFERROR(__xludf.DUMMYFUNCTION("""COMPUTED_VALUE"""),"ร้านเอสพี การค้า (คลีนิกยนต์ มินิมาร์ท)")</f>
        <v>ร้านเอสพี การค้า (คลีนิกยนต์ มินิมาร์ท)</v>
      </c>
      <c r="P3005" s="4">
        <f>IFERROR(__xludf.DUMMYFUNCTION("""COMPUTED_VALUE"""),44662.0)</f>
        <v>44662</v>
      </c>
      <c r="Q3005" s="3" t="str">
        <f>IFERROR(__xludf.DUMMYFUNCTION("""COMPUTED_VALUE"""),"I")</f>
        <v>I</v>
      </c>
      <c r="R3005" s="3" t="str">
        <f>IFERROR(__xludf.DUMMYFUNCTION("""COMPUTED_VALUE"""),"Small Format")</f>
        <v>Small Format</v>
      </c>
      <c r="S3005" s="3" t="str">
        <f>IFERROR(__xludf.DUMMYFUNCTION("""COMPUTED_VALUE"""),"Donjai")</f>
        <v>Donjai</v>
      </c>
      <c r="T3005" s="3" t="str">
        <f>IFERROR(__xludf.DUMMYFUNCTION("""COMPUTED_VALUE"""),"01 K.Tuangtham M.")</f>
        <v>01 K.Tuangtham M.</v>
      </c>
      <c r="U3005" s="3" t="str">
        <f>IFERROR(__xludf.DUMMYFUNCTION("""COMPUTED_VALUE"""),"01 K.Tuangtham M.")</f>
        <v>01 K.Tuangtham M.</v>
      </c>
      <c r="V3005" s="3" t="str">
        <f>IFERROR(__xludf.DUMMYFUNCTION("""COMPUTED_VALUE"""),"N")</f>
        <v>N</v>
      </c>
      <c r="W3005" s="3"/>
      <c r="X3005" s="3" t="str">
        <f>IFERROR(__xludf.DUMMYFUNCTION("""COMPUTED_VALUE"""),"134หมู่ 5 บ้านสันกลาง ต.และ อ.ทุ่งช้าง จ.น่าน")</f>
        <v>134หมู่ 5 บ้านสันกลาง ต.และ อ.ทุ่งช้าง จ.น่าน</v>
      </c>
      <c r="Y3005" s="3"/>
      <c r="Z3005" s="3">
        <f>IFERROR(__xludf.DUMMYFUNCTION("""COMPUTED_VALUE"""),0.0)</f>
        <v>0</v>
      </c>
      <c r="AA3005" s="3">
        <f>IFERROR(__xludf.DUMMYFUNCTION("""COMPUTED_VALUE"""),0.0)</f>
        <v>0</v>
      </c>
      <c r="AB3005" s="3" t="str">
        <f>IFERROR(__xludf.DUMMYFUNCTION("""COMPUTED_VALUE"""),"น่าน")</f>
        <v>น่าน</v>
      </c>
      <c r="AC3005" s="3">
        <f>IFERROR(__xludf.DUMMYFUNCTION("""COMPUTED_VALUE"""),0.0)</f>
        <v>0</v>
      </c>
      <c r="AD3005" s="3"/>
      <c r="AE3005" s="3"/>
      <c r="AF3005" s="3" t="str">
        <f>IFERROR(__xludf.DUMMYFUNCTION("""COMPUTED_VALUE"""),"ร้านเอสพี การค้า (คลีนิกยนต์ มินิมาร์ท)-83899")</f>
        <v>ร้านเอสพี การค้า (คลีนิกยนต์ มินิมาร์ท)-83899</v>
      </c>
      <c r="AG3005" s="3" t="str">
        <f>IFERROR(__xludf.DUMMYFUNCTION("""COMPUTED_VALUE"""),"เหนือ")</f>
        <v>เหนือ</v>
      </c>
      <c r="AH3005" s="3" t="str">
        <f>IFERROR(__xludf.DUMMYFUNCTION("""COMPUTED_VALUE"""),"#N/A")</f>
        <v>#N/A</v>
      </c>
      <c r="AI3005" s="3" t="str">
        <f>IFERROR(__xludf.DUMMYFUNCTION("""COMPUTED_VALUE"""),"Out of warranty")</f>
        <v>Out of warranty</v>
      </c>
      <c r="AJ3005" s="3">
        <f>IFERROR(__xludf.DUMMYFUNCTION("""COMPUTED_VALUE"""),46.0)</f>
        <v>46</v>
      </c>
      <c r="AK3005" s="3"/>
      <c r="AL3005" s="3"/>
    </row>
    <row r="3006" ht="15.75" customHeight="1">
      <c r="A3006" s="1" t="str">
        <f>IFERROR(__xludf.DUMMYFUNCTION("""COMPUTED_VALUE"""),"83900")</f>
        <v>83900</v>
      </c>
      <c r="B3006" s="2">
        <f>IFERROR(__xludf.DUMMYFUNCTION("""COMPUTED_VALUE"""),83900.0)</f>
        <v>83900</v>
      </c>
      <c r="C3006" s="3" t="str">
        <f>IFERROR(__xludf.DUMMYFUNCTION("""COMPUTED_VALUE"""),"ร้านใฝ่ฝัน")</f>
        <v>ร้านใฝ่ฝัน</v>
      </c>
      <c r="D3006" s="3" t="str">
        <f>IFERROR(__xludf.DUMMYFUNCTION("""COMPUTED_VALUE"""),"ร้านใฝ่ฝัน")</f>
        <v>ร้านใฝ่ฝัน</v>
      </c>
      <c r="E3006" s="1" t="str">
        <f>IFERROR(__xludf.DUMMYFUNCTION("""COMPUTED_VALUE"""),"Donjai")</f>
        <v>Donjai</v>
      </c>
      <c r="F3006" s="1" t="str">
        <f>IFERROR(__xludf.DUMMYFUNCTION("""COMPUTED_VALUE"""),"2010023")</f>
        <v>2010023</v>
      </c>
      <c r="G3006" s="1" t="str">
        <f>IFERROR(__xludf.DUMMYFUNCTION("""COMPUTED_VALUE"""),"นายวศิน ไวยรูป")</f>
        <v>นายวศิน ไวยรูป</v>
      </c>
      <c r="H3006" s="1" t="str">
        <f>IFERROR(__xludf.DUMMYFUNCTION("""COMPUTED_VALUE"""),"2010023")</f>
        <v>2010023</v>
      </c>
      <c r="I3006" s="1" t="str">
        <f>IFERROR(__xludf.DUMMYFUNCTION("""COMPUTED_VALUE"""),"นายวศิน ไวยรูป")</f>
        <v>นายวศิน ไวยรูป</v>
      </c>
      <c r="J3006" s="3">
        <f>IFERROR(__xludf.DUMMYFUNCTION("""COMPUTED_VALUE"""),228031.0)</f>
        <v>228031</v>
      </c>
      <c r="K3006" s="3" t="str">
        <f>IFERROR(__xludf.DUMMYFUNCTION("""COMPUTED_VALUE"""),"นายธนพงษ์ วันหมัด")</f>
        <v>นายธนพงษ์ วันหมัด</v>
      </c>
      <c r="L3006" s="1" t="str">
        <f>IFERROR(__xludf.DUMMYFUNCTION("""COMPUTED_VALUE"""),"นายธนพงษ์ วันหมัด")</f>
        <v>นายธนพงษ์ วันหมัด</v>
      </c>
      <c r="M3006" s="1" t="str">
        <f>IFERROR(__xludf.DUMMYFUNCTION("""COMPUTED_VALUE"""),"0813716913")</f>
        <v>0813716913</v>
      </c>
      <c r="N3006" s="3">
        <f>IFERROR(__xludf.DUMMYFUNCTION("""COMPUTED_VALUE"""),83900.0)</f>
        <v>83900</v>
      </c>
      <c r="O3006" s="3" t="str">
        <f>IFERROR(__xludf.DUMMYFUNCTION("""COMPUTED_VALUE"""),"ร้านใฝ่ฝัน")</f>
        <v>ร้านใฝ่ฝัน</v>
      </c>
      <c r="P3006" s="4">
        <f>IFERROR(__xludf.DUMMYFUNCTION("""COMPUTED_VALUE"""),44682.0)</f>
        <v>44682</v>
      </c>
      <c r="Q3006" s="3" t="str">
        <f>IFERROR(__xludf.DUMMYFUNCTION("""COMPUTED_VALUE"""),"I")</f>
        <v>I</v>
      </c>
      <c r="R3006" s="3" t="str">
        <f>IFERROR(__xludf.DUMMYFUNCTION("""COMPUTED_VALUE"""),"Small Format")</f>
        <v>Small Format</v>
      </c>
      <c r="S3006" s="3" t="str">
        <f>IFERROR(__xludf.DUMMYFUNCTION("""COMPUTED_VALUE"""),"Donjai")</f>
        <v>Donjai</v>
      </c>
      <c r="T3006" s="3" t="str">
        <f>IFERROR(__xludf.DUMMYFUNCTION("""COMPUTED_VALUE"""),"Donjai")</f>
        <v>Donjai</v>
      </c>
      <c r="U3006" s="3" t="str">
        <f>IFERROR(__xludf.DUMMYFUNCTION("""COMPUTED_VALUE"""),"Donjai")</f>
        <v>Donjai</v>
      </c>
      <c r="V3006" s="3" t="str">
        <f>IFERROR(__xludf.DUMMYFUNCTION("""COMPUTED_VALUE"""),"N")</f>
        <v>N</v>
      </c>
      <c r="W3006" s="3"/>
      <c r="X3006" s="3" t="str">
        <f>IFERROR(__xludf.DUMMYFUNCTION("""COMPUTED_VALUE"""),"89/10 หมู่ 9 ถ.สวนเกษตร ต.ลาดสวาย อ.ลำลูกกา ปทุมธานี 12150")</f>
        <v>89/10 หมู่ 9 ถ.สวนเกษตร ต.ลาดสวาย อ.ลำลูกกา ปทุมธานี 12150</v>
      </c>
      <c r="Y3006" s="3"/>
      <c r="Z3006" s="3">
        <f>IFERROR(__xludf.DUMMYFUNCTION("""COMPUTED_VALUE"""),0.0)</f>
        <v>0</v>
      </c>
      <c r="AA3006" s="3">
        <f>IFERROR(__xludf.DUMMYFUNCTION("""COMPUTED_VALUE"""),0.0)</f>
        <v>0</v>
      </c>
      <c r="AB3006" s="3" t="str">
        <f>IFERROR(__xludf.DUMMYFUNCTION("""COMPUTED_VALUE"""),"ปทุมธานี")</f>
        <v>ปทุมธานี</v>
      </c>
      <c r="AC3006" s="3">
        <f>IFERROR(__xludf.DUMMYFUNCTION("""COMPUTED_VALUE"""),12150.0)</f>
        <v>12150</v>
      </c>
      <c r="AD3006" s="3"/>
      <c r="AE3006" s="3"/>
      <c r="AF3006" s="3" t="str">
        <f>IFERROR(__xludf.DUMMYFUNCTION("""COMPUTED_VALUE"""),"ร้านใฝ่ฝัน-83900")</f>
        <v>ร้านใฝ่ฝัน-83900</v>
      </c>
      <c r="AG3006" s="3" t="str">
        <f>IFERROR(__xludf.DUMMYFUNCTION("""COMPUTED_VALUE"""),"กลาง")</f>
        <v>กลาง</v>
      </c>
      <c r="AH3006" s="3" t="str">
        <f>IFERROR(__xludf.DUMMYFUNCTION("""COMPUTED_VALUE"""),"#N/A")</f>
        <v>#N/A</v>
      </c>
      <c r="AI3006" s="3" t="str">
        <f>IFERROR(__xludf.DUMMYFUNCTION("""COMPUTED_VALUE"""),"Out of warranty")</f>
        <v>Out of warranty</v>
      </c>
      <c r="AJ3006" s="3">
        <f>IFERROR(__xludf.DUMMYFUNCTION("""COMPUTED_VALUE"""),45.0)</f>
        <v>45</v>
      </c>
      <c r="AK3006" s="3"/>
      <c r="AL3006" s="3"/>
    </row>
    <row r="3007" ht="15.75" customHeight="1">
      <c r="A3007" s="1" t="str">
        <f>IFERROR(__xludf.DUMMYFUNCTION("""COMPUTED_VALUE"""),"83902")</f>
        <v>83902</v>
      </c>
      <c r="B3007" s="2">
        <f>IFERROR(__xludf.DUMMYFUNCTION("""COMPUTED_VALUE"""),83902.0)</f>
        <v>83902</v>
      </c>
      <c r="C3007" s="3" t="str">
        <f>IFERROR(__xludf.DUMMYFUNCTION("""COMPUTED_VALUE"""),"ร้านชำอ้อ Market (คุณอุไร)")</f>
        <v>ร้านชำอ้อ Market (คุณอุไร)</v>
      </c>
      <c r="D3007" s="3" t="str">
        <f>IFERROR(__xludf.DUMMYFUNCTION("""COMPUTED_VALUE"""),"ร้านชำอ้อ Market (คุณอุไร)")</f>
        <v>ร้านชำอ้อ Market (คุณอุไร)</v>
      </c>
      <c r="E3007" s="1" t="str">
        <f>IFERROR(__xludf.DUMMYFUNCTION("""COMPUTED_VALUE"""),"Donjai")</f>
        <v>Donjai</v>
      </c>
      <c r="F3007" s="1" t="str">
        <f>IFERROR(__xludf.DUMMYFUNCTION("""COMPUTED_VALUE"""),"2010023")</f>
        <v>2010023</v>
      </c>
      <c r="G3007" s="1" t="str">
        <f>IFERROR(__xludf.DUMMYFUNCTION("""COMPUTED_VALUE"""),"นายวศิน ไวยรูป")</f>
        <v>นายวศิน ไวยรูป</v>
      </c>
      <c r="H3007" s="1" t="str">
        <f>IFERROR(__xludf.DUMMYFUNCTION("""COMPUTED_VALUE"""),"2010023")</f>
        <v>2010023</v>
      </c>
      <c r="I3007" s="1" t="str">
        <f>IFERROR(__xludf.DUMMYFUNCTION("""COMPUTED_VALUE"""),"นายวศิน ไวยรูป")</f>
        <v>นายวศิน ไวยรูป</v>
      </c>
      <c r="J3007" s="3">
        <f>IFERROR(__xludf.DUMMYFUNCTION("""COMPUTED_VALUE"""),228031.0)</f>
        <v>228031</v>
      </c>
      <c r="K3007" s="3" t="str">
        <f>IFERROR(__xludf.DUMMYFUNCTION("""COMPUTED_VALUE"""),"นายธนพงษ์ วันหมัด")</f>
        <v>นายธนพงษ์ วันหมัด</v>
      </c>
      <c r="L3007" s="1" t="str">
        <f>IFERROR(__xludf.DUMMYFUNCTION("""COMPUTED_VALUE"""),"นายธนพงษ์ วันหมัด")</f>
        <v>นายธนพงษ์ วันหมัด</v>
      </c>
      <c r="M3007" s="1" t="str">
        <f>IFERROR(__xludf.DUMMYFUNCTION("""COMPUTED_VALUE"""),"0813716913")</f>
        <v>0813716913</v>
      </c>
      <c r="N3007" s="3">
        <f>IFERROR(__xludf.DUMMYFUNCTION("""COMPUTED_VALUE"""),83902.0)</f>
        <v>83902</v>
      </c>
      <c r="O3007" s="3" t="str">
        <f>IFERROR(__xludf.DUMMYFUNCTION("""COMPUTED_VALUE"""),"ร้านชำอ้อ Market (คุณอุไร)")</f>
        <v>ร้านชำอ้อ Market (คุณอุไร)</v>
      </c>
      <c r="P3007" s="4">
        <f>IFERROR(__xludf.DUMMYFUNCTION("""COMPUTED_VALUE"""),44689.0)</f>
        <v>44689</v>
      </c>
      <c r="Q3007" s="3" t="str">
        <f>IFERROR(__xludf.DUMMYFUNCTION("""COMPUTED_VALUE"""),"I")</f>
        <v>I</v>
      </c>
      <c r="R3007" s="3" t="str">
        <f>IFERROR(__xludf.DUMMYFUNCTION("""COMPUTED_VALUE"""),"Small Format")</f>
        <v>Small Format</v>
      </c>
      <c r="S3007" s="3" t="str">
        <f>IFERROR(__xludf.DUMMYFUNCTION("""COMPUTED_VALUE"""),"Donjai")</f>
        <v>Donjai</v>
      </c>
      <c r="T3007" s="3" t="str">
        <f>IFERROR(__xludf.DUMMYFUNCTION("""COMPUTED_VALUE"""),"Donjai")</f>
        <v>Donjai</v>
      </c>
      <c r="U3007" s="3" t="str">
        <f>IFERROR(__xludf.DUMMYFUNCTION("""COMPUTED_VALUE"""),"Donjai")</f>
        <v>Donjai</v>
      </c>
      <c r="V3007" s="3" t="str">
        <f>IFERROR(__xludf.DUMMYFUNCTION("""COMPUTED_VALUE"""),"N")</f>
        <v>N</v>
      </c>
      <c r="W3007" s="3"/>
      <c r="X3007" s="3" t="str">
        <f>IFERROR(__xludf.DUMMYFUNCTION("""COMPUTED_VALUE"""),"28/2 หมู่7 ตำบลบึงชำอ้อ อำเภอหนองเสือ จังหวัดปทุมธานี 12170")</f>
        <v>28/2 หมู่7 ตำบลบึงชำอ้อ อำเภอหนองเสือ จังหวัดปทุมธานี 12170</v>
      </c>
      <c r="Y3007" s="3"/>
      <c r="Z3007" s="3">
        <f>IFERROR(__xludf.DUMMYFUNCTION("""COMPUTED_VALUE"""),0.0)</f>
        <v>0</v>
      </c>
      <c r="AA3007" s="3">
        <f>IFERROR(__xludf.DUMMYFUNCTION("""COMPUTED_VALUE"""),0.0)</f>
        <v>0</v>
      </c>
      <c r="AB3007" s="3" t="str">
        <f>IFERROR(__xludf.DUMMYFUNCTION("""COMPUTED_VALUE"""),"ปทุมธานี")</f>
        <v>ปทุมธานี</v>
      </c>
      <c r="AC3007" s="3">
        <f>IFERROR(__xludf.DUMMYFUNCTION("""COMPUTED_VALUE"""),12170.0)</f>
        <v>12170</v>
      </c>
      <c r="AD3007" s="3"/>
      <c r="AE3007" s="3"/>
      <c r="AF3007" s="3" t="str">
        <f>IFERROR(__xludf.DUMMYFUNCTION("""COMPUTED_VALUE"""),"ร้านชำอ้อ Market (คุณอุไร)-83902")</f>
        <v>ร้านชำอ้อ Market (คุณอุไร)-83902</v>
      </c>
      <c r="AG3007" s="3" t="str">
        <f>IFERROR(__xludf.DUMMYFUNCTION("""COMPUTED_VALUE"""),"กลาง")</f>
        <v>กลาง</v>
      </c>
      <c r="AH3007" s="3" t="str">
        <f>IFERROR(__xludf.DUMMYFUNCTION("""COMPUTED_VALUE"""),"#N/A")</f>
        <v>#N/A</v>
      </c>
      <c r="AI3007" s="3" t="str">
        <f>IFERROR(__xludf.DUMMYFUNCTION("""COMPUTED_VALUE"""),"Out of warranty")</f>
        <v>Out of warranty</v>
      </c>
      <c r="AJ3007" s="3">
        <f>IFERROR(__xludf.DUMMYFUNCTION("""COMPUTED_VALUE"""),45.0)</f>
        <v>45</v>
      </c>
      <c r="AK3007" s="3"/>
      <c r="AL3007" s="3"/>
    </row>
    <row r="3008" ht="15.75" customHeight="1">
      <c r="A3008" s="1" t="str">
        <f>IFERROR(__xludf.DUMMYFUNCTION("""COMPUTED_VALUE"""),"83903")</f>
        <v>83903</v>
      </c>
      <c r="B3008" s="2">
        <f>IFERROR(__xludf.DUMMYFUNCTION("""COMPUTED_VALUE"""),83903.0)</f>
        <v>83903</v>
      </c>
      <c r="C3008" s="3" t="str">
        <f>IFERROR(__xludf.DUMMYFUNCTION("""COMPUTED_VALUE"""),"ร้านชฏาพร")</f>
        <v>ร้านชฏาพร</v>
      </c>
      <c r="D3008" s="3" t="str">
        <f>IFERROR(__xludf.DUMMYFUNCTION("""COMPUTED_VALUE"""),"ร้านชฏาพร")</f>
        <v>ร้านชฏาพร</v>
      </c>
      <c r="E3008" s="1" t="str">
        <f>IFERROR(__xludf.DUMMYFUNCTION("""COMPUTED_VALUE"""),"Donjai")</f>
        <v>Donjai</v>
      </c>
      <c r="F3008" s="1" t="str">
        <f>IFERROR(__xludf.DUMMYFUNCTION("""COMPUTED_VALUE"""),"2452376")</f>
        <v>2452376</v>
      </c>
      <c r="G3008" s="1" t="str">
        <f>IFERROR(__xludf.DUMMYFUNCTION("""COMPUTED_VALUE"""),"นายภาคภูมิ ทวีกุล")</f>
        <v>นายภาคภูมิ ทวีกุล</v>
      </c>
      <c r="H3008" s="1" t="str">
        <f>IFERROR(__xludf.DUMMYFUNCTION("""COMPUTED_VALUE"""),"2452376")</f>
        <v>2452376</v>
      </c>
      <c r="I3008" s="1" t="str">
        <f>IFERROR(__xludf.DUMMYFUNCTION("""COMPUTED_VALUE"""),"นายภาคภูมิ ทวีกุล")</f>
        <v>นายภาคภูมิ ทวีกุล</v>
      </c>
      <c r="J3008" s="3">
        <f>IFERROR(__xludf.DUMMYFUNCTION("""COMPUTED_VALUE"""),295541.0)</f>
        <v>295541</v>
      </c>
      <c r="K3008" s="3" t="str">
        <f>IFERROR(__xludf.DUMMYFUNCTION("""COMPUTED_VALUE"""),"นายรพิพล ศรีมาตย์")</f>
        <v>นายรพิพล ศรีมาตย์</v>
      </c>
      <c r="L3008" s="1" t="str">
        <f>IFERROR(__xludf.DUMMYFUNCTION("""COMPUTED_VALUE"""),"นายรพิพล ศรีมาตย์")</f>
        <v>นายรพิพล ศรีมาตย์</v>
      </c>
      <c r="M3008" s="1" t="str">
        <f>IFERROR(__xludf.DUMMYFUNCTION("""COMPUTED_VALUE"""),"0613966115")</f>
        <v>0613966115</v>
      </c>
      <c r="N3008" s="3">
        <f>IFERROR(__xludf.DUMMYFUNCTION("""COMPUTED_VALUE"""),83903.0)</f>
        <v>83903</v>
      </c>
      <c r="O3008" s="3" t="str">
        <f>IFERROR(__xludf.DUMMYFUNCTION("""COMPUTED_VALUE"""),"ร้านชฏาพร")</f>
        <v>ร้านชฏาพร</v>
      </c>
      <c r="P3008" s="4">
        <f>IFERROR(__xludf.DUMMYFUNCTION("""COMPUTED_VALUE"""),44690.0)</f>
        <v>44690</v>
      </c>
      <c r="Q3008" s="3" t="str">
        <f>IFERROR(__xludf.DUMMYFUNCTION("""COMPUTED_VALUE"""),"A")</f>
        <v>A</v>
      </c>
      <c r="R3008" s="3" t="str">
        <f>IFERROR(__xludf.DUMMYFUNCTION("""COMPUTED_VALUE"""),"Small Format")</f>
        <v>Small Format</v>
      </c>
      <c r="S3008" s="3" t="str">
        <f>IFERROR(__xludf.DUMMYFUNCTION("""COMPUTED_VALUE"""),"Donjai")</f>
        <v>Donjai</v>
      </c>
      <c r="T3008" s="3" t="str">
        <f>IFERROR(__xludf.DUMMYFUNCTION("""COMPUTED_VALUE"""),"08 K.Parkphum T.")</f>
        <v>08 K.Parkphum T.</v>
      </c>
      <c r="U3008" s="3" t="str">
        <f>IFERROR(__xludf.DUMMYFUNCTION("""COMPUTED_VALUE"""),"08 K.Parkphum T.")</f>
        <v>08 K.Parkphum T.</v>
      </c>
      <c r="V3008" s="3" t="str">
        <f>IFERROR(__xludf.DUMMYFUNCTION("""COMPUTED_VALUE"""),"N")</f>
        <v>N</v>
      </c>
      <c r="W3008" s="3"/>
      <c r="X3008" s="3" t="str">
        <f>IFERROR(__xludf.DUMMYFUNCTION("""COMPUTED_VALUE"""),"20/2 ม.3ต.ท่าช้าง อ.เมือง จ.จันทบุรี 22000")</f>
        <v>20/2 ม.3ต.ท่าช้าง อ.เมือง จ.จันทบุรี 22000</v>
      </c>
      <c r="Y3008" s="3"/>
      <c r="Z3008" s="3">
        <f>IFERROR(__xludf.DUMMYFUNCTION("""COMPUTED_VALUE"""),0.0)</f>
        <v>0</v>
      </c>
      <c r="AA3008" s="3">
        <f>IFERROR(__xludf.DUMMYFUNCTION("""COMPUTED_VALUE"""),0.0)</f>
        <v>0</v>
      </c>
      <c r="AB3008" s="3" t="str">
        <f>IFERROR(__xludf.DUMMYFUNCTION("""COMPUTED_VALUE"""),"จันทบุรี")</f>
        <v>จันทบุรี</v>
      </c>
      <c r="AC3008" s="3">
        <f>IFERROR(__xludf.DUMMYFUNCTION("""COMPUTED_VALUE"""),22000.0)</f>
        <v>22000</v>
      </c>
      <c r="AD3008" s="3"/>
      <c r="AE3008" s="3"/>
      <c r="AF3008" s="3" t="str">
        <f>IFERROR(__xludf.DUMMYFUNCTION("""COMPUTED_VALUE"""),"ร้านชฏาพร-83903")</f>
        <v>ร้านชฏาพร-83903</v>
      </c>
      <c r="AG3008" s="3" t="str">
        <f>IFERROR(__xludf.DUMMYFUNCTION("""COMPUTED_VALUE"""),"ตะวันออก")</f>
        <v>ตะวันออก</v>
      </c>
      <c r="AH3008" s="3" t="str">
        <f>IFERROR(__xludf.DUMMYFUNCTION("""COMPUTED_VALUE"""),"#N/A")</f>
        <v>#N/A</v>
      </c>
      <c r="AI3008" s="3" t="str">
        <f>IFERROR(__xludf.DUMMYFUNCTION("""COMPUTED_VALUE"""),"Out of warranty")</f>
        <v>Out of warranty</v>
      </c>
      <c r="AJ3008" s="3">
        <f>IFERROR(__xludf.DUMMYFUNCTION("""COMPUTED_VALUE"""),45.0)</f>
        <v>45</v>
      </c>
      <c r="AK3008" s="3"/>
      <c r="AL3008" s="3"/>
    </row>
    <row r="3009" ht="15.75" customHeight="1">
      <c r="A3009" s="1" t="str">
        <f>IFERROR(__xludf.DUMMYFUNCTION("""COMPUTED_VALUE"""),"83905")</f>
        <v>83905</v>
      </c>
      <c r="B3009" s="2">
        <f>IFERROR(__xludf.DUMMYFUNCTION("""COMPUTED_VALUE"""),83905.0)</f>
        <v>83905</v>
      </c>
      <c r="C3009" s="3" t="str">
        <f>IFERROR(__xludf.DUMMYFUNCTION("""COMPUTED_VALUE"""),"ร้านฐานทองอรุณ")</f>
        <v>ร้านฐานทองอรุณ</v>
      </c>
      <c r="D3009" s="3" t="str">
        <f>IFERROR(__xludf.DUMMYFUNCTION("""COMPUTED_VALUE"""),"ร้านฐานทองอรุณ")</f>
        <v>ร้านฐานทองอรุณ</v>
      </c>
      <c r="E3009" s="1" t="str">
        <f>IFERROR(__xludf.DUMMYFUNCTION("""COMPUTED_VALUE"""),"Donjai")</f>
        <v>Donjai</v>
      </c>
      <c r="F3009" s="1" t="str">
        <f>IFERROR(__xludf.DUMMYFUNCTION("""COMPUTED_VALUE"""),"2010016")</f>
        <v>2010016</v>
      </c>
      <c r="G3009" s="1" t="str">
        <f>IFERROR(__xludf.DUMMYFUNCTION("""COMPUTED_VALUE"""),"นายตวงธรรม ใหม่ยศ")</f>
        <v>นายตวงธรรม ใหม่ยศ</v>
      </c>
      <c r="H3009" s="1" t="str">
        <f>IFERROR(__xludf.DUMMYFUNCTION("""COMPUTED_VALUE"""),"2010016")</f>
        <v>2010016</v>
      </c>
      <c r="I3009" s="1" t="str">
        <f>IFERROR(__xludf.DUMMYFUNCTION("""COMPUTED_VALUE"""),"นายตวงธรรม ใหม่ยศ")</f>
        <v>นายตวงธรรม ใหม่ยศ</v>
      </c>
      <c r="J3009" s="3">
        <f>IFERROR(__xludf.DUMMYFUNCTION("""COMPUTED_VALUE"""),295886.0)</f>
        <v>295886</v>
      </c>
      <c r="K3009" s="3" t="str">
        <f>IFERROR(__xludf.DUMMYFUNCTION("""COMPUTED_VALUE"""),"นายจิระพงษ์ โพธิ์นิล")</f>
        <v>นายจิระพงษ์ โพธิ์นิล</v>
      </c>
      <c r="L3009" s="1" t="str">
        <f>IFERROR(__xludf.DUMMYFUNCTION("""COMPUTED_VALUE"""),"นายจิระพงษ์ โพธิ์นิล")</f>
        <v>นายจิระพงษ์ โพธิ์นิล</v>
      </c>
      <c r="M3009" s="1" t="str">
        <f>IFERROR(__xludf.DUMMYFUNCTION("""COMPUTED_VALUE"""),"0933290754")</f>
        <v>0933290754</v>
      </c>
      <c r="N3009" s="3">
        <f>IFERROR(__xludf.DUMMYFUNCTION("""COMPUTED_VALUE"""),83905.0)</f>
        <v>83905</v>
      </c>
      <c r="O3009" s="3" t="str">
        <f>IFERROR(__xludf.DUMMYFUNCTION("""COMPUTED_VALUE"""),"ร้านฐานทองอรุณ")</f>
        <v>ร้านฐานทองอรุณ</v>
      </c>
      <c r="P3009" s="4">
        <f>IFERROR(__xludf.DUMMYFUNCTION("""COMPUTED_VALUE"""),44663.0)</f>
        <v>44663</v>
      </c>
      <c r="Q3009" s="3" t="str">
        <f>IFERROR(__xludf.DUMMYFUNCTION("""COMPUTED_VALUE"""),"I")</f>
        <v>I</v>
      </c>
      <c r="R3009" s="3" t="str">
        <f>IFERROR(__xludf.DUMMYFUNCTION("""COMPUTED_VALUE"""),"Small Format")</f>
        <v>Small Format</v>
      </c>
      <c r="S3009" s="3" t="str">
        <f>IFERROR(__xludf.DUMMYFUNCTION("""COMPUTED_VALUE"""),"Donjai")</f>
        <v>Donjai</v>
      </c>
      <c r="T3009" s="3" t="str">
        <f>IFERROR(__xludf.DUMMYFUNCTION("""COMPUTED_VALUE"""),"01 K.Tuangtham M.")</f>
        <v>01 K.Tuangtham M.</v>
      </c>
      <c r="U3009" s="3" t="str">
        <f>IFERROR(__xludf.DUMMYFUNCTION("""COMPUTED_VALUE"""),"01 K.Tuangtham M.")</f>
        <v>01 K.Tuangtham M.</v>
      </c>
      <c r="V3009" s="3" t="str">
        <f>IFERROR(__xludf.DUMMYFUNCTION("""COMPUTED_VALUE"""),"N")</f>
        <v>N</v>
      </c>
      <c r="W3009" s="3"/>
      <c r="X3009" s="3" t="str">
        <f>IFERROR(__xludf.DUMMYFUNCTION("""COMPUTED_VALUE"""),"45 หมู่ที่ 1 ต.ช่องแค อ.ตาคลี จ.นครสวรรค์")</f>
        <v>45 หมู่ที่ 1 ต.ช่องแค อ.ตาคลี จ.นครสวรรค์</v>
      </c>
      <c r="Y3009" s="3"/>
      <c r="Z3009" s="3">
        <f>IFERROR(__xludf.DUMMYFUNCTION("""COMPUTED_VALUE"""),0.0)</f>
        <v>0</v>
      </c>
      <c r="AA3009" s="3">
        <f>IFERROR(__xludf.DUMMYFUNCTION("""COMPUTED_VALUE"""),0.0)</f>
        <v>0</v>
      </c>
      <c r="AB3009" s="3" t="str">
        <f>IFERROR(__xludf.DUMMYFUNCTION("""COMPUTED_VALUE"""),"นครสวรรค์")</f>
        <v>นครสวรรค์</v>
      </c>
      <c r="AC3009" s="3">
        <f>IFERROR(__xludf.DUMMYFUNCTION("""COMPUTED_VALUE"""),0.0)</f>
        <v>0</v>
      </c>
      <c r="AD3009" s="3"/>
      <c r="AE3009" s="3"/>
      <c r="AF3009" s="3" t="str">
        <f>IFERROR(__xludf.DUMMYFUNCTION("""COMPUTED_VALUE"""),"ร้านฐานทองอรุณ-83905")</f>
        <v>ร้านฐานทองอรุณ-83905</v>
      </c>
      <c r="AG3009" s="3" t="str">
        <f>IFERROR(__xludf.DUMMYFUNCTION("""COMPUTED_VALUE"""),"กลาง")</f>
        <v>กลาง</v>
      </c>
      <c r="AH3009" s="3" t="str">
        <f>IFERROR(__xludf.DUMMYFUNCTION("""COMPUTED_VALUE"""),"#N/A")</f>
        <v>#N/A</v>
      </c>
      <c r="AI3009" s="3" t="str">
        <f>IFERROR(__xludf.DUMMYFUNCTION("""COMPUTED_VALUE"""),"Out of warranty")</f>
        <v>Out of warranty</v>
      </c>
      <c r="AJ3009" s="3">
        <f>IFERROR(__xludf.DUMMYFUNCTION("""COMPUTED_VALUE"""),46.0)</f>
        <v>46</v>
      </c>
      <c r="AK3009" s="3"/>
      <c r="AL3009" s="3"/>
    </row>
    <row r="3010" ht="15.75" customHeight="1">
      <c r="A3010" s="1" t="str">
        <f>IFERROR(__xludf.DUMMYFUNCTION("""COMPUTED_VALUE"""),"83906")</f>
        <v>83906</v>
      </c>
      <c r="B3010" s="2">
        <f>IFERROR(__xludf.DUMMYFUNCTION("""COMPUTED_VALUE"""),83906.0)</f>
        <v>83906</v>
      </c>
      <c r="C3010" s="3" t="str">
        <f>IFERROR(__xludf.DUMMYFUNCTION("""COMPUTED_VALUE"""),"ร้านหมอทิพย์ ซุปเปอร์มาร์ท (หมอทิพย์)")</f>
        <v>ร้านหมอทิพย์ ซุปเปอร์มาร์ท (หมอทิพย์)</v>
      </c>
      <c r="D3010" s="3" t="str">
        <f>IFERROR(__xludf.DUMMYFUNCTION("""COMPUTED_VALUE"""),"ร้านหมอทิพย์ ซุปเปอร์มาร์ท (หมอทิพย์)")</f>
        <v>ร้านหมอทิพย์ ซุปเปอร์มาร์ท (หมอทิพย์)</v>
      </c>
      <c r="E3010" s="1" t="str">
        <f>IFERROR(__xludf.DUMMYFUNCTION("""COMPUTED_VALUE"""),"Donjai")</f>
        <v>Donjai</v>
      </c>
      <c r="F3010" s="1" t="str">
        <f>IFERROR(__xludf.DUMMYFUNCTION("""COMPUTED_VALUE"""),"20470331")</f>
        <v>20470331</v>
      </c>
      <c r="G3010" s="1" t="str">
        <f>IFERROR(__xludf.DUMMYFUNCTION("""COMPUTED_VALUE"""),"นายสมชาย ลักษณะสุวรรณ")</f>
        <v>นายสมชาย ลักษณะสุวรรณ</v>
      </c>
      <c r="H3010" s="1" t="str">
        <f>IFERROR(__xludf.DUMMYFUNCTION("""COMPUTED_VALUE"""),"20470331")</f>
        <v>20470331</v>
      </c>
      <c r="I3010" s="1" t="str">
        <f>IFERROR(__xludf.DUMMYFUNCTION("""COMPUTED_VALUE"""),"นายสมชาย ลักษณะสุวรรณ")</f>
        <v>นายสมชาย ลักษณะสุวรรณ</v>
      </c>
      <c r="J3010" s="3">
        <f>IFERROR(__xludf.DUMMYFUNCTION("""COMPUTED_VALUE"""),295541.0)</f>
        <v>295541</v>
      </c>
      <c r="K3010" s="3" t="str">
        <f>IFERROR(__xludf.DUMMYFUNCTION("""COMPUTED_VALUE"""),"นายรพิพล ศรีมาตย์")</f>
        <v>นายรพิพล ศรีมาตย์</v>
      </c>
      <c r="L3010" s="1" t="str">
        <f>IFERROR(__xludf.DUMMYFUNCTION("""COMPUTED_VALUE"""),"นายรพิพล ศรีมาตย์")</f>
        <v>นายรพิพล ศรีมาตย์</v>
      </c>
      <c r="M3010" s="1" t="str">
        <f>IFERROR(__xludf.DUMMYFUNCTION("""COMPUTED_VALUE"""),"0613966115")</f>
        <v>0613966115</v>
      </c>
      <c r="N3010" s="3">
        <f>IFERROR(__xludf.DUMMYFUNCTION("""COMPUTED_VALUE"""),83906.0)</f>
        <v>83906</v>
      </c>
      <c r="O3010" s="3" t="str">
        <f>IFERROR(__xludf.DUMMYFUNCTION("""COMPUTED_VALUE"""),"ร้านหมอทิพย์ ซุปเปอร์มาร์ท (หมอทิพย์)")</f>
        <v>ร้านหมอทิพย์ ซุปเปอร์มาร์ท (หมอทิพย์)</v>
      </c>
      <c r="P3010" s="4">
        <f>IFERROR(__xludf.DUMMYFUNCTION("""COMPUTED_VALUE"""),44682.0)</f>
        <v>44682</v>
      </c>
      <c r="Q3010" s="3" t="str">
        <f>IFERROR(__xludf.DUMMYFUNCTION("""COMPUTED_VALUE"""),"A")</f>
        <v>A</v>
      </c>
      <c r="R3010" s="3" t="str">
        <f>IFERROR(__xludf.DUMMYFUNCTION("""COMPUTED_VALUE"""),"Small Format")</f>
        <v>Small Format</v>
      </c>
      <c r="S3010" s="3" t="str">
        <f>IFERROR(__xludf.DUMMYFUNCTION("""COMPUTED_VALUE"""),"Donjai")</f>
        <v>Donjai</v>
      </c>
      <c r="T3010" s="3" t="str">
        <f>IFERROR(__xludf.DUMMYFUNCTION("""COMPUTED_VALUE"""),"15 K.Somchai L")</f>
        <v>15 K.Somchai L</v>
      </c>
      <c r="U3010" s="3" t="str">
        <f>IFERROR(__xludf.DUMMYFUNCTION("""COMPUTED_VALUE"""),"15 K.Somchai L")</f>
        <v>15 K.Somchai L</v>
      </c>
      <c r="V3010" s="3" t="str">
        <f>IFERROR(__xludf.DUMMYFUNCTION("""COMPUTED_VALUE"""),"N")</f>
        <v>N</v>
      </c>
      <c r="W3010" s="3"/>
      <c r="X3010" s="3" t="str">
        <f>IFERROR(__xludf.DUMMYFUNCTION("""COMPUTED_VALUE"""),"2 ม.1 ตะแพน ศรีบรรพต ตรัง 76140")</f>
        <v>2 ม.1 ตะแพน ศรีบรรพต ตรัง 76140</v>
      </c>
      <c r="Y3010" s="3"/>
      <c r="Z3010" s="3">
        <f>IFERROR(__xludf.DUMMYFUNCTION("""COMPUTED_VALUE"""),0.0)</f>
        <v>0</v>
      </c>
      <c r="AA3010" s="3">
        <f>IFERROR(__xludf.DUMMYFUNCTION("""COMPUTED_VALUE"""),0.0)</f>
        <v>0</v>
      </c>
      <c r="AB3010" s="3" t="str">
        <f>IFERROR(__xludf.DUMMYFUNCTION("""COMPUTED_VALUE"""),"ตรัง")</f>
        <v>ตรัง</v>
      </c>
      <c r="AC3010" s="3">
        <f>IFERROR(__xludf.DUMMYFUNCTION("""COMPUTED_VALUE"""),76140.0)</f>
        <v>76140</v>
      </c>
      <c r="AD3010" s="3"/>
      <c r="AE3010" s="3"/>
      <c r="AF3010" s="3" t="str">
        <f>IFERROR(__xludf.DUMMYFUNCTION("""COMPUTED_VALUE"""),"ร้านหมอทิพย์ ซุปเปอร์มาร์ท (หมอทิพย์)-83906")</f>
        <v>ร้านหมอทิพย์ ซุปเปอร์มาร์ท (หมอทิพย์)-83906</v>
      </c>
      <c r="AG3010" s="3" t="str">
        <f>IFERROR(__xludf.DUMMYFUNCTION("""COMPUTED_VALUE"""),"ใต้")</f>
        <v>ใต้</v>
      </c>
      <c r="AH3010" s="3" t="str">
        <f>IFERROR(__xludf.DUMMYFUNCTION("""COMPUTED_VALUE"""),"#N/A")</f>
        <v>#N/A</v>
      </c>
      <c r="AI3010" s="3" t="str">
        <f>IFERROR(__xludf.DUMMYFUNCTION("""COMPUTED_VALUE"""),"Out of warranty")</f>
        <v>Out of warranty</v>
      </c>
      <c r="AJ3010" s="3">
        <f>IFERROR(__xludf.DUMMYFUNCTION("""COMPUTED_VALUE"""),45.0)</f>
        <v>45</v>
      </c>
      <c r="AK3010" s="3"/>
      <c r="AL3010" s="3"/>
    </row>
    <row r="3011" ht="15.75" customHeight="1">
      <c r="A3011" s="1" t="str">
        <f>IFERROR(__xludf.DUMMYFUNCTION("""COMPUTED_VALUE"""),"83907")</f>
        <v>83907</v>
      </c>
      <c r="B3011" s="2">
        <f>IFERROR(__xludf.DUMMYFUNCTION("""COMPUTED_VALUE"""),83907.0)</f>
        <v>83907</v>
      </c>
      <c r="C3011" s="3" t="str">
        <f>IFERROR(__xludf.DUMMYFUNCTION("""COMPUTED_VALUE"""),"ร้านนานาช้อป")</f>
        <v>ร้านนานาช้อป</v>
      </c>
      <c r="D3011" s="3" t="str">
        <f>IFERROR(__xludf.DUMMYFUNCTION("""COMPUTED_VALUE"""),"ร้านนานาช้อป")</f>
        <v>ร้านนานาช้อป</v>
      </c>
      <c r="E3011" s="1" t="str">
        <f>IFERROR(__xludf.DUMMYFUNCTION("""COMPUTED_VALUE"""),"Donjai")</f>
        <v>Donjai</v>
      </c>
      <c r="F3011" s="1" t="str">
        <f>IFERROR(__xludf.DUMMYFUNCTION("""COMPUTED_VALUE"""),"025324")</f>
        <v>025324</v>
      </c>
      <c r="G3011" s="1" t="str">
        <f>IFERROR(__xludf.DUMMYFUNCTION("""COMPUTED_VALUE"""),"นายวิเชฎฐ์ ติรัตนะประคม")</f>
        <v>นายวิเชฎฐ์ ติรัตนะประคม</v>
      </c>
      <c r="H3011" s="1" t="str">
        <f>IFERROR(__xludf.DUMMYFUNCTION("""COMPUTED_VALUE"""),"025324")</f>
        <v>025324</v>
      </c>
      <c r="I3011" s="1" t="str">
        <f>IFERROR(__xludf.DUMMYFUNCTION("""COMPUTED_VALUE"""),"นายวิเชฎฐ์ ติรัตนะประคม")</f>
        <v>นายวิเชฎฐ์ ติรัตนะประคม</v>
      </c>
      <c r="J3011" s="3">
        <f>IFERROR(__xludf.DUMMYFUNCTION("""COMPUTED_VALUE"""),295541.0)</f>
        <v>295541</v>
      </c>
      <c r="K3011" s="3" t="str">
        <f>IFERROR(__xludf.DUMMYFUNCTION("""COMPUTED_VALUE"""),"นายรพิพล ศรีมาตย์")</f>
        <v>นายรพิพล ศรีมาตย์</v>
      </c>
      <c r="L3011" s="1" t="str">
        <f>IFERROR(__xludf.DUMMYFUNCTION("""COMPUTED_VALUE"""),"นายรพิพล ศรีมาตย์")</f>
        <v>นายรพิพล ศรีมาตย์</v>
      </c>
      <c r="M3011" s="1" t="str">
        <f>IFERROR(__xludf.DUMMYFUNCTION("""COMPUTED_VALUE"""),"0613966115")</f>
        <v>0613966115</v>
      </c>
      <c r="N3011" s="3">
        <f>IFERROR(__xludf.DUMMYFUNCTION("""COMPUTED_VALUE"""),83907.0)</f>
        <v>83907</v>
      </c>
      <c r="O3011" s="3" t="str">
        <f>IFERROR(__xludf.DUMMYFUNCTION("""COMPUTED_VALUE"""),"ร้านนานาช้อป")</f>
        <v>ร้านนานาช้อป</v>
      </c>
      <c r="P3011" s="4">
        <f>IFERROR(__xludf.DUMMYFUNCTION("""COMPUTED_VALUE"""),44682.0)</f>
        <v>44682</v>
      </c>
      <c r="Q3011" s="3" t="str">
        <f>IFERROR(__xludf.DUMMYFUNCTION("""COMPUTED_VALUE"""),"I")</f>
        <v>I</v>
      </c>
      <c r="R3011" s="3" t="str">
        <f>IFERROR(__xludf.DUMMYFUNCTION("""COMPUTED_VALUE"""),"Small Format")</f>
        <v>Small Format</v>
      </c>
      <c r="S3011" s="3" t="str">
        <f>IFERROR(__xludf.DUMMYFUNCTION("""COMPUTED_VALUE"""),"Donjai")</f>
        <v>Donjai</v>
      </c>
      <c r="T3011" s="3" t="str">
        <f>IFERROR(__xludf.DUMMYFUNCTION("""COMPUTED_VALUE"""),"14 K.Wichet T.")</f>
        <v>14 K.Wichet T.</v>
      </c>
      <c r="U3011" s="3" t="str">
        <f>IFERROR(__xludf.DUMMYFUNCTION("""COMPUTED_VALUE"""),"14 K.Wichet T.")</f>
        <v>14 K.Wichet T.</v>
      </c>
      <c r="V3011" s="3" t="str">
        <f>IFERROR(__xludf.DUMMYFUNCTION("""COMPUTED_VALUE"""),"N")</f>
        <v>N</v>
      </c>
      <c r="W3011" s="3"/>
      <c r="X3011" s="3" t="str">
        <f>IFERROR(__xludf.DUMMYFUNCTION("""COMPUTED_VALUE"""),"16/14 หมู่3 บ้านบางหลาม ท่าอยู่ ตะกั่วทุ่ง พังงา 10150")</f>
        <v>16/14 หมู่3 บ้านบางหลาม ท่าอยู่ ตะกั่วทุ่ง พังงา 10150</v>
      </c>
      <c r="Y3011" s="3"/>
      <c r="Z3011" s="3">
        <f>IFERROR(__xludf.DUMMYFUNCTION("""COMPUTED_VALUE"""),0.0)</f>
        <v>0</v>
      </c>
      <c r="AA3011" s="3">
        <f>IFERROR(__xludf.DUMMYFUNCTION("""COMPUTED_VALUE"""),0.0)</f>
        <v>0</v>
      </c>
      <c r="AB3011" s="3" t="str">
        <f>IFERROR(__xludf.DUMMYFUNCTION("""COMPUTED_VALUE"""),"พังงา")</f>
        <v>พังงา</v>
      </c>
      <c r="AC3011" s="3">
        <f>IFERROR(__xludf.DUMMYFUNCTION("""COMPUTED_VALUE"""),10150.0)</f>
        <v>10150</v>
      </c>
      <c r="AD3011" s="3"/>
      <c r="AE3011" s="3"/>
      <c r="AF3011" s="3" t="str">
        <f>IFERROR(__xludf.DUMMYFUNCTION("""COMPUTED_VALUE"""),"ร้านนานาช้อป-83907")</f>
        <v>ร้านนานาช้อป-83907</v>
      </c>
      <c r="AG3011" s="3" t="str">
        <f>IFERROR(__xludf.DUMMYFUNCTION("""COMPUTED_VALUE"""),"ใต้")</f>
        <v>ใต้</v>
      </c>
      <c r="AH3011" s="3" t="str">
        <f>IFERROR(__xludf.DUMMYFUNCTION("""COMPUTED_VALUE"""),"#N/A")</f>
        <v>#N/A</v>
      </c>
      <c r="AI3011" s="3" t="str">
        <f>IFERROR(__xludf.DUMMYFUNCTION("""COMPUTED_VALUE"""),"Out of warranty")</f>
        <v>Out of warranty</v>
      </c>
      <c r="AJ3011" s="3">
        <f>IFERROR(__xludf.DUMMYFUNCTION("""COMPUTED_VALUE"""),45.0)</f>
        <v>45</v>
      </c>
      <c r="AK3011" s="3"/>
      <c r="AL3011" s="3"/>
    </row>
    <row r="3012" ht="15.75" customHeight="1">
      <c r="A3012" s="1" t="str">
        <f>IFERROR(__xludf.DUMMYFUNCTION("""COMPUTED_VALUE"""),"83908")</f>
        <v>83908</v>
      </c>
      <c r="B3012" s="2">
        <f>IFERROR(__xludf.DUMMYFUNCTION("""COMPUTED_VALUE"""),83908.0)</f>
        <v>83908</v>
      </c>
      <c r="C3012" s="3" t="str">
        <f>IFERROR(__xludf.DUMMYFUNCTION("""COMPUTED_VALUE"""),"ร้านนุ้ยบริการ")</f>
        <v>ร้านนุ้ยบริการ</v>
      </c>
      <c r="D3012" s="3" t="str">
        <f>IFERROR(__xludf.DUMMYFUNCTION("""COMPUTED_VALUE"""),"ร้านนุ้ยบริการ")</f>
        <v>ร้านนุ้ยบริการ</v>
      </c>
      <c r="E3012" s="1" t="str">
        <f>IFERROR(__xludf.DUMMYFUNCTION("""COMPUTED_VALUE"""),"Donjai")</f>
        <v>Donjai</v>
      </c>
      <c r="F3012" s="1" t="str">
        <f>IFERROR(__xludf.DUMMYFUNCTION("""COMPUTED_VALUE"""),"296608")</f>
        <v>296608</v>
      </c>
      <c r="G3012" s="1" t="str">
        <f>IFERROR(__xludf.DUMMYFUNCTION("""COMPUTED_VALUE"""),"นายภาคภูมิ เพ็ชรนิล")</f>
        <v>นายภาคภูมิ เพ็ชรนิล</v>
      </c>
      <c r="H3012" s="1" t="str">
        <f>IFERROR(__xludf.DUMMYFUNCTION("""COMPUTED_VALUE"""),"296608")</f>
        <v>296608</v>
      </c>
      <c r="I3012" s="1" t="str">
        <f>IFERROR(__xludf.DUMMYFUNCTION("""COMPUTED_VALUE"""),"นายภาคภูมิ เพ็ชรนิล")</f>
        <v>นายภาคภูมิ เพ็ชรนิล</v>
      </c>
      <c r="J3012" s="3">
        <f>IFERROR(__xludf.DUMMYFUNCTION("""COMPUTED_VALUE"""),228031.0)</f>
        <v>228031</v>
      </c>
      <c r="K3012" s="3" t="str">
        <f>IFERROR(__xludf.DUMMYFUNCTION("""COMPUTED_VALUE"""),"นายธนพงษ์ วันหมัด")</f>
        <v>นายธนพงษ์ วันหมัด</v>
      </c>
      <c r="L3012" s="1" t="str">
        <f>IFERROR(__xludf.DUMMYFUNCTION("""COMPUTED_VALUE"""),"นายธนพงษ์ วันหมัด")</f>
        <v>นายธนพงษ์ วันหมัด</v>
      </c>
      <c r="M3012" s="1" t="str">
        <f>IFERROR(__xludf.DUMMYFUNCTION("""COMPUTED_VALUE"""),"0813716913")</f>
        <v>0813716913</v>
      </c>
      <c r="N3012" s="3">
        <f>IFERROR(__xludf.DUMMYFUNCTION("""COMPUTED_VALUE"""),83908.0)</f>
        <v>83908</v>
      </c>
      <c r="O3012" s="3" t="str">
        <f>IFERROR(__xludf.DUMMYFUNCTION("""COMPUTED_VALUE"""),"ร้านนุ้ยบริการ")</f>
        <v>ร้านนุ้ยบริการ</v>
      </c>
      <c r="P3012" s="4">
        <f>IFERROR(__xludf.DUMMYFUNCTION("""COMPUTED_VALUE"""),44689.0)</f>
        <v>44689</v>
      </c>
      <c r="Q3012" s="3" t="str">
        <f>IFERROR(__xludf.DUMMYFUNCTION("""COMPUTED_VALUE"""),"I")</f>
        <v>I</v>
      </c>
      <c r="R3012" s="3" t="str">
        <f>IFERROR(__xludf.DUMMYFUNCTION("""COMPUTED_VALUE"""),"Small Format")</f>
        <v>Small Format</v>
      </c>
      <c r="S3012" s="3" t="str">
        <f>IFERROR(__xludf.DUMMYFUNCTION("""COMPUTED_VALUE"""),"Donjai")</f>
        <v>Donjai</v>
      </c>
      <c r="T3012" s="3" t="str">
        <f>IFERROR(__xludf.DUMMYFUNCTION("""COMPUTED_VALUE"""),"10 K.Phakphoom P.")</f>
        <v>10 K.Phakphoom P.</v>
      </c>
      <c r="U3012" s="3" t="str">
        <f>IFERROR(__xludf.DUMMYFUNCTION("""COMPUTED_VALUE"""),"10 K.Phakphoom P.")</f>
        <v>10 K.Phakphoom P.</v>
      </c>
      <c r="V3012" s="3" t="str">
        <f>IFERROR(__xludf.DUMMYFUNCTION("""COMPUTED_VALUE"""),"N")</f>
        <v>N</v>
      </c>
      <c r="W3012" s="3"/>
      <c r="X3012" s="3" t="str">
        <f>IFERROR(__xludf.DUMMYFUNCTION("""COMPUTED_VALUE"""),"32/1 ม.8 เบิกไพร บ้านโป่ง ราชบุรี 70110")</f>
        <v>32/1 ม.8 เบิกไพร บ้านโป่ง ราชบุรี 70110</v>
      </c>
      <c r="Y3012" s="3"/>
      <c r="Z3012" s="3">
        <f>IFERROR(__xludf.DUMMYFUNCTION("""COMPUTED_VALUE"""),0.0)</f>
        <v>0</v>
      </c>
      <c r="AA3012" s="3">
        <f>IFERROR(__xludf.DUMMYFUNCTION("""COMPUTED_VALUE"""),0.0)</f>
        <v>0</v>
      </c>
      <c r="AB3012" s="3" t="str">
        <f>IFERROR(__xludf.DUMMYFUNCTION("""COMPUTED_VALUE"""),"ราชบุรี")</f>
        <v>ราชบุรี</v>
      </c>
      <c r="AC3012" s="3">
        <f>IFERROR(__xludf.DUMMYFUNCTION("""COMPUTED_VALUE"""),70110.0)</f>
        <v>70110</v>
      </c>
      <c r="AD3012" s="3"/>
      <c r="AE3012" s="3"/>
      <c r="AF3012" s="3" t="str">
        <f>IFERROR(__xludf.DUMMYFUNCTION("""COMPUTED_VALUE"""),"ร้านนุ้ยบริการ-83908")</f>
        <v>ร้านนุ้ยบริการ-83908</v>
      </c>
      <c r="AG3012" s="3" t="str">
        <f>IFERROR(__xludf.DUMMYFUNCTION("""COMPUTED_VALUE"""),"ตะวันตก")</f>
        <v>ตะวันตก</v>
      </c>
      <c r="AH3012" s="3" t="str">
        <f>IFERROR(__xludf.DUMMYFUNCTION("""COMPUTED_VALUE"""),"#N/A")</f>
        <v>#N/A</v>
      </c>
      <c r="AI3012" s="3" t="str">
        <f>IFERROR(__xludf.DUMMYFUNCTION("""COMPUTED_VALUE"""),"Out of warranty")</f>
        <v>Out of warranty</v>
      </c>
      <c r="AJ3012" s="3">
        <f>IFERROR(__xludf.DUMMYFUNCTION("""COMPUTED_VALUE"""),45.0)</f>
        <v>45</v>
      </c>
      <c r="AK3012" s="3"/>
      <c r="AL3012" s="3"/>
    </row>
    <row r="3013" ht="15.75" customHeight="1">
      <c r="A3013" s="1" t="str">
        <f>IFERROR(__xludf.DUMMYFUNCTION("""COMPUTED_VALUE"""),"83909")</f>
        <v>83909</v>
      </c>
      <c r="B3013" s="2">
        <f>IFERROR(__xludf.DUMMYFUNCTION("""COMPUTED_VALUE"""),83909.0)</f>
        <v>83909</v>
      </c>
      <c r="C3013" s="3" t="str">
        <f>IFERROR(__xludf.DUMMYFUNCTION("""COMPUTED_VALUE"""),"ร้านยู่ยี่ &amp; อาร์ม มินิมาร์ท")</f>
        <v>ร้านยู่ยี่ &amp; อาร์ม มินิมาร์ท</v>
      </c>
      <c r="D3013" s="3" t="str">
        <f>IFERROR(__xludf.DUMMYFUNCTION("""COMPUTED_VALUE"""),"ร้านยู่ยี่ &amp; อาร์ม มินิมาร์ท")</f>
        <v>ร้านยู่ยี่ &amp; อาร์ม มินิมาร์ท</v>
      </c>
      <c r="E3013" s="1" t="str">
        <f>IFERROR(__xludf.DUMMYFUNCTION("""COMPUTED_VALUE"""),"Donjai")</f>
        <v>Donjai</v>
      </c>
      <c r="F3013" s="1" t="str">
        <f>IFERROR(__xludf.DUMMYFUNCTION("""COMPUTED_VALUE"""),"046214")</f>
        <v>046214</v>
      </c>
      <c r="G3013" s="1" t="str">
        <f>IFERROR(__xludf.DUMMYFUNCTION("""COMPUTED_VALUE"""),"นายศักดิ์ชัย เด็ดดอกฟ้า")</f>
        <v>นายศักดิ์ชัย เด็ดดอกฟ้า</v>
      </c>
      <c r="H3013" s="1" t="str">
        <f>IFERROR(__xludf.DUMMYFUNCTION("""COMPUTED_VALUE"""),"046214")</f>
        <v>046214</v>
      </c>
      <c r="I3013" s="1" t="str">
        <f>IFERROR(__xludf.DUMMYFUNCTION("""COMPUTED_VALUE"""),"นายศักดิ์ชัย เด็ดดอกฟ้า")</f>
        <v>นายศักดิ์ชัย เด็ดดอกฟ้า</v>
      </c>
      <c r="J3013" s="3">
        <f>IFERROR(__xludf.DUMMYFUNCTION("""COMPUTED_VALUE"""),295886.0)</f>
        <v>295886</v>
      </c>
      <c r="K3013" s="3" t="str">
        <f>IFERROR(__xludf.DUMMYFUNCTION("""COMPUTED_VALUE"""),"นายจิระพงษ์ โพธิ์นิล")</f>
        <v>นายจิระพงษ์ โพธิ์นิล</v>
      </c>
      <c r="L3013" s="1" t="str">
        <f>IFERROR(__xludf.DUMMYFUNCTION("""COMPUTED_VALUE"""),"นายจิระพงษ์ โพธิ์นิล")</f>
        <v>นายจิระพงษ์ โพธิ์นิล</v>
      </c>
      <c r="M3013" s="1" t="str">
        <f>IFERROR(__xludf.DUMMYFUNCTION("""COMPUTED_VALUE"""),"0933290754")</f>
        <v>0933290754</v>
      </c>
      <c r="N3013" s="3">
        <f>IFERROR(__xludf.DUMMYFUNCTION("""COMPUTED_VALUE"""),83909.0)</f>
        <v>83909</v>
      </c>
      <c r="O3013" s="3" t="str">
        <f>IFERROR(__xludf.DUMMYFUNCTION("""COMPUTED_VALUE"""),"ร้านยู่ยี่ &amp; อาร์ม มินิมาร์ท")</f>
        <v>ร้านยู่ยี่ &amp; อาร์ม มินิมาร์ท</v>
      </c>
      <c r="P3013" s="4">
        <f>IFERROR(__xludf.DUMMYFUNCTION("""COMPUTED_VALUE"""),44738.0)</f>
        <v>44738</v>
      </c>
      <c r="Q3013" s="3" t="str">
        <f>IFERROR(__xludf.DUMMYFUNCTION("""COMPUTED_VALUE"""),"A")</f>
        <v>A</v>
      </c>
      <c r="R3013" s="3" t="str">
        <f>IFERROR(__xludf.DUMMYFUNCTION("""COMPUTED_VALUE"""),"Small Format")</f>
        <v>Small Format</v>
      </c>
      <c r="S3013" s="3" t="str">
        <f>IFERROR(__xludf.DUMMYFUNCTION("""COMPUTED_VALUE"""),"Donjai")</f>
        <v>Donjai</v>
      </c>
      <c r="T3013" s="3" t="str">
        <f>IFERROR(__xludf.DUMMYFUNCTION("""COMPUTED_VALUE"""),"02 K.Sakchai D")</f>
        <v>02 K.Sakchai D</v>
      </c>
      <c r="U3013" s="3" t="str">
        <f>IFERROR(__xludf.DUMMYFUNCTION("""COMPUTED_VALUE"""),"02 K.Sakchai D")</f>
        <v>02 K.Sakchai D</v>
      </c>
      <c r="V3013" s="3" t="str">
        <f>IFERROR(__xludf.DUMMYFUNCTION("""COMPUTED_VALUE"""),"N")</f>
        <v>N</v>
      </c>
      <c r="W3013" s="3"/>
      <c r="X3013" s="3" t="str">
        <f>IFERROR(__xludf.DUMMYFUNCTION("""COMPUTED_VALUE"""),"39 โคกโคเฒ่า เมือง สุพรรณบุรี 72000")</f>
        <v>39 โคกโคเฒ่า เมือง สุพรรณบุรี 72000</v>
      </c>
      <c r="Y3013" s="3"/>
      <c r="Z3013" s="3">
        <f>IFERROR(__xludf.DUMMYFUNCTION("""COMPUTED_VALUE"""),0.0)</f>
        <v>0</v>
      </c>
      <c r="AA3013" s="3">
        <f>IFERROR(__xludf.DUMMYFUNCTION("""COMPUTED_VALUE"""),0.0)</f>
        <v>0</v>
      </c>
      <c r="AB3013" s="3" t="str">
        <f>IFERROR(__xludf.DUMMYFUNCTION("""COMPUTED_VALUE"""),"สุพรรณบุรี")</f>
        <v>สุพรรณบุรี</v>
      </c>
      <c r="AC3013" s="3">
        <f>IFERROR(__xludf.DUMMYFUNCTION("""COMPUTED_VALUE"""),72000.0)</f>
        <v>72000</v>
      </c>
      <c r="AD3013" s="3"/>
      <c r="AE3013" s="3"/>
      <c r="AF3013" s="3" t="str">
        <f>IFERROR(__xludf.DUMMYFUNCTION("""COMPUTED_VALUE"""),"ร้านยู่ยี่ &amp; อาร์ม มินิมาร์ท-83909")</f>
        <v>ร้านยู่ยี่ &amp; อาร์ม มินิมาร์ท-83909</v>
      </c>
      <c r="AG3013" s="3" t="str">
        <f>IFERROR(__xludf.DUMMYFUNCTION("""COMPUTED_VALUE"""),"กลาง")</f>
        <v>กลาง</v>
      </c>
      <c r="AH3013" s="3" t="str">
        <f>IFERROR(__xludf.DUMMYFUNCTION("""COMPUTED_VALUE"""),"#N/A")</f>
        <v>#N/A</v>
      </c>
      <c r="AI3013" s="3" t="str">
        <f>IFERROR(__xludf.DUMMYFUNCTION("""COMPUTED_VALUE"""),"Out of warranty")</f>
        <v>Out of warranty</v>
      </c>
      <c r="AJ3013" s="3">
        <f>IFERROR(__xludf.DUMMYFUNCTION("""COMPUTED_VALUE"""),43.0)</f>
        <v>43</v>
      </c>
      <c r="AK3013" s="3"/>
      <c r="AL3013" s="3"/>
    </row>
    <row r="3014" ht="15.75" customHeight="1">
      <c r="A3014" s="1" t="str">
        <f>IFERROR(__xludf.DUMMYFUNCTION("""COMPUTED_VALUE"""),"83912")</f>
        <v>83912</v>
      </c>
      <c r="B3014" s="2">
        <f>IFERROR(__xludf.DUMMYFUNCTION("""COMPUTED_VALUE"""),83912.0)</f>
        <v>83912</v>
      </c>
      <c r="C3014" s="3" t="str">
        <f>IFERROR(__xludf.DUMMYFUNCTION("""COMPUTED_VALUE"""),"ร้านน้องเพลงมินิมาร์ท")</f>
        <v>ร้านน้องเพลงมินิมาร์ท</v>
      </c>
      <c r="D3014" s="3" t="str">
        <f>IFERROR(__xludf.DUMMYFUNCTION("""COMPUTED_VALUE"""),"ร้านน้องเพลงมินิมาร์ท")</f>
        <v>ร้านน้องเพลงมินิมาร์ท</v>
      </c>
      <c r="E3014" s="1" t="str">
        <f>IFERROR(__xludf.DUMMYFUNCTION("""COMPUTED_VALUE"""),"Donjai")</f>
        <v>Donjai</v>
      </c>
      <c r="F3014" s="1" t="str">
        <f>IFERROR(__xludf.DUMMYFUNCTION("""COMPUTED_VALUE"""),"295886")</f>
        <v>295886</v>
      </c>
      <c r="G3014" s="1" t="str">
        <f>IFERROR(__xludf.DUMMYFUNCTION("""COMPUTED_VALUE"""),"นายจิระพงษ์ โพธิ์นิล")</f>
        <v>นายจิระพงษ์ โพธิ์นิล</v>
      </c>
      <c r="H3014" s="1" t="str">
        <f>IFERROR(__xludf.DUMMYFUNCTION("""COMPUTED_VALUE"""),"295886")</f>
        <v>295886</v>
      </c>
      <c r="I3014" s="1" t="str">
        <f>IFERROR(__xludf.DUMMYFUNCTION("""COMPUTED_VALUE"""),"นายจิระพงษ์ โพธิ์นิล")</f>
        <v>นายจิระพงษ์ โพธิ์นิล</v>
      </c>
      <c r="J3014" s="3">
        <f>IFERROR(__xludf.DUMMYFUNCTION("""COMPUTED_VALUE"""),295886.0)</f>
        <v>295886</v>
      </c>
      <c r="K3014" s="3" t="str">
        <f>IFERROR(__xludf.DUMMYFUNCTION("""COMPUTED_VALUE"""),"นายจิระพงษ์ โพธิ์นิล")</f>
        <v>นายจิระพงษ์ โพธิ์นิล</v>
      </c>
      <c r="L3014" s="1" t="str">
        <f>IFERROR(__xludf.DUMMYFUNCTION("""COMPUTED_VALUE"""),"นายจิระพงษ์ โพธิ์นิล")</f>
        <v>นายจิระพงษ์ โพธิ์นิล</v>
      </c>
      <c r="M3014" s="1" t="str">
        <f>IFERROR(__xludf.DUMMYFUNCTION("""COMPUTED_VALUE"""),"0933290754")</f>
        <v>0933290754</v>
      </c>
      <c r="N3014" s="3">
        <f>IFERROR(__xludf.DUMMYFUNCTION("""COMPUTED_VALUE"""),83912.0)</f>
        <v>83912</v>
      </c>
      <c r="O3014" s="3" t="str">
        <f>IFERROR(__xludf.DUMMYFUNCTION("""COMPUTED_VALUE"""),"ร้านน้องเพลงมินิมาร์ท")</f>
        <v>ร้านน้องเพลงมินิมาร์ท</v>
      </c>
      <c r="P3014" s="4">
        <f>IFERROR(__xludf.DUMMYFUNCTION("""COMPUTED_VALUE"""),44739.0)</f>
        <v>44739</v>
      </c>
      <c r="Q3014" s="3" t="str">
        <f>IFERROR(__xludf.DUMMYFUNCTION("""COMPUTED_VALUE"""),"I")</f>
        <v>I</v>
      </c>
      <c r="R3014" s="3" t="str">
        <f>IFERROR(__xludf.DUMMYFUNCTION("""COMPUTED_VALUE"""),"Small Format")</f>
        <v>Small Format</v>
      </c>
      <c r="S3014" s="3" t="str">
        <f>IFERROR(__xludf.DUMMYFUNCTION("""COMPUTED_VALUE"""),"Donjai")</f>
        <v>Donjai</v>
      </c>
      <c r="T3014" s="3" t="str">
        <f>IFERROR(__xludf.DUMMYFUNCTION("""COMPUTED_VALUE"""),"นายจิระพงษ์ โพธิ์นิล")</f>
        <v>นายจิระพงษ์ โพธิ์นิล</v>
      </c>
      <c r="U3014" s="3" t="str">
        <f>IFERROR(__xludf.DUMMYFUNCTION("""COMPUTED_VALUE"""),"นายจิระพงษ์ โพธิ์นิล")</f>
        <v>นายจิระพงษ์ โพธิ์นิล</v>
      </c>
      <c r="V3014" s="3" t="str">
        <f>IFERROR(__xludf.DUMMYFUNCTION("""COMPUTED_VALUE"""),"N")</f>
        <v>N</v>
      </c>
      <c r="W3014" s="3"/>
      <c r="X3014" s="3" t="str">
        <f>IFERROR(__xludf.DUMMYFUNCTION("""COMPUTED_VALUE"""),"154 หมู่ 4 บ้านฝาง บ้านฝาง ขอนแก่น 40270")</f>
        <v>154 หมู่ 4 บ้านฝาง บ้านฝาง ขอนแก่น 40270</v>
      </c>
      <c r="Y3014" s="3"/>
      <c r="Z3014" s="3">
        <f>IFERROR(__xludf.DUMMYFUNCTION("""COMPUTED_VALUE"""),0.0)</f>
        <v>0</v>
      </c>
      <c r="AA3014" s="3">
        <f>IFERROR(__xludf.DUMMYFUNCTION("""COMPUTED_VALUE"""),0.0)</f>
        <v>0</v>
      </c>
      <c r="AB3014" s="3" t="str">
        <f>IFERROR(__xludf.DUMMYFUNCTION("""COMPUTED_VALUE"""),"ขอนแก่น")</f>
        <v>ขอนแก่น</v>
      </c>
      <c r="AC3014" s="3">
        <f>IFERROR(__xludf.DUMMYFUNCTION("""COMPUTED_VALUE"""),40270.0)</f>
        <v>40270</v>
      </c>
      <c r="AD3014" s="3"/>
      <c r="AE3014" s="3"/>
      <c r="AF3014" s="3" t="str">
        <f>IFERROR(__xludf.DUMMYFUNCTION("""COMPUTED_VALUE"""),"ร้านน้องเพลงมินิมาร์ท-83912")</f>
        <v>ร้านน้องเพลงมินิมาร์ท-83912</v>
      </c>
      <c r="AG3014" s="3" t="str">
        <f>IFERROR(__xludf.DUMMYFUNCTION("""COMPUTED_VALUE"""),"ตะวันออกเฉียงเหนือ")</f>
        <v>ตะวันออกเฉียงเหนือ</v>
      </c>
      <c r="AH3014" s="3" t="str">
        <f>IFERROR(__xludf.DUMMYFUNCTION("""COMPUTED_VALUE"""),"#N/A")</f>
        <v>#N/A</v>
      </c>
      <c r="AI3014" s="3" t="str">
        <f>IFERROR(__xludf.DUMMYFUNCTION("""COMPUTED_VALUE"""),"Out of warranty")</f>
        <v>Out of warranty</v>
      </c>
      <c r="AJ3014" s="3">
        <f>IFERROR(__xludf.DUMMYFUNCTION("""COMPUTED_VALUE"""),43.0)</f>
        <v>43</v>
      </c>
      <c r="AK3014" s="3"/>
      <c r="AL3014" s="3"/>
    </row>
    <row r="3015" ht="15.75" customHeight="1">
      <c r="A3015" s="1" t="str">
        <f>IFERROR(__xludf.DUMMYFUNCTION("""COMPUTED_VALUE"""),"83913")</f>
        <v>83913</v>
      </c>
      <c r="B3015" s="2">
        <f>IFERROR(__xludf.DUMMYFUNCTION("""COMPUTED_VALUE"""),83913.0)</f>
        <v>83913</v>
      </c>
      <c r="C3015" s="3" t="str">
        <f>IFERROR(__xludf.DUMMYFUNCTION("""COMPUTED_VALUE"""),"ร้าน NP การค้า")</f>
        <v>ร้าน NP การค้า</v>
      </c>
      <c r="D3015" s="3" t="str">
        <f>IFERROR(__xludf.DUMMYFUNCTION("""COMPUTED_VALUE"""),"ร้าน NP การค้า")</f>
        <v>ร้าน NP การค้า</v>
      </c>
      <c r="E3015" s="1" t="str">
        <f>IFERROR(__xludf.DUMMYFUNCTION("""COMPUTED_VALUE"""),"Donjai")</f>
        <v>Donjai</v>
      </c>
      <c r="F3015" s="1" t="str">
        <f>IFERROR(__xludf.DUMMYFUNCTION("""COMPUTED_VALUE"""),"296945")</f>
        <v>296945</v>
      </c>
      <c r="G3015" s="1" t="str">
        <f>IFERROR(__xludf.DUMMYFUNCTION("""COMPUTED_VALUE"""),"นายรักพงศ์ พงศ์พันธ์งาม")</f>
        <v>นายรักพงศ์ พงศ์พันธ์งาม</v>
      </c>
      <c r="H3015" s="1" t="str">
        <f>IFERROR(__xludf.DUMMYFUNCTION("""COMPUTED_VALUE"""),"296945")</f>
        <v>296945</v>
      </c>
      <c r="I3015" s="1" t="str">
        <f>IFERROR(__xludf.DUMMYFUNCTION("""COMPUTED_VALUE"""),"นายรักพงศ์ พงศ์พันธ์งาม")</f>
        <v>นายรักพงศ์ พงศ์พันธ์งาม</v>
      </c>
      <c r="J3015" s="3">
        <f>IFERROR(__xludf.DUMMYFUNCTION("""COMPUTED_VALUE"""),228031.0)</f>
        <v>228031</v>
      </c>
      <c r="K3015" s="3" t="str">
        <f>IFERROR(__xludf.DUMMYFUNCTION("""COMPUTED_VALUE"""),"นายธนพงษ์ วันหมัด")</f>
        <v>นายธนพงษ์ วันหมัด</v>
      </c>
      <c r="L3015" s="1" t="str">
        <f>IFERROR(__xludf.DUMMYFUNCTION("""COMPUTED_VALUE"""),"นายธนพงษ์ วันหมัด")</f>
        <v>นายธนพงษ์ วันหมัด</v>
      </c>
      <c r="M3015" s="1" t="str">
        <f>IFERROR(__xludf.DUMMYFUNCTION("""COMPUTED_VALUE"""),"0813716913")</f>
        <v>0813716913</v>
      </c>
      <c r="N3015" s="3">
        <f>IFERROR(__xludf.DUMMYFUNCTION("""COMPUTED_VALUE"""),83913.0)</f>
        <v>83913</v>
      </c>
      <c r="O3015" s="3" t="str">
        <f>IFERROR(__xludf.DUMMYFUNCTION("""COMPUTED_VALUE"""),"ร้าน NP การค้า")</f>
        <v>ร้าน NP การค้า</v>
      </c>
      <c r="P3015" s="4">
        <f>IFERROR(__xludf.DUMMYFUNCTION("""COMPUTED_VALUE"""),44691.0)</f>
        <v>44691</v>
      </c>
      <c r="Q3015" s="3" t="str">
        <f>IFERROR(__xludf.DUMMYFUNCTION("""COMPUTED_VALUE"""),"I")</f>
        <v>I</v>
      </c>
      <c r="R3015" s="3" t="str">
        <f>IFERROR(__xludf.DUMMYFUNCTION("""COMPUTED_VALUE"""),"Small Format")</f>
        <v>Small Format</v>
      </c>
      <c r="S3015" s="3" t="str">
        <f>IFERROR(__xludf.DUMMYFUNCTION("""COMPUTED_VALUE"""),"Donjai")</f>
        <v>Donjai</v>
      </c>
      <c r="T3015" s="3">
        <f>IFERROR(__xludf.DUMMYFUNCTION("""COMPUTED_VALUE"""),0.0)</f>
        <v>0</v>
      </c>
      <c r="U3015" s="3">
        <f>IFERROR(__xludf.DUMMYFUNCTION("""COMPUTED_VALUE"""),0.0)</f>
        <v>0</v>
      </c>
      <c r="V3015" s="3" t="str">
        <f>IFERROR(__xludf.DUMMYFUNCTION("""COMPUTED_VALUE"""),"N")</f>
        <v>N</v>
      </c>
      <c r="W3015" s="3"/>
      <c r="X3015" s="3" t="str">
        <f>IFERROR(__xludf.DUMMYFUNCTION("""COMPUTED_VALUE"""),"292 ม.7 ต.หนองกี่ อ.กบินทร์บุรี จ.ปราจีนบุรี")</f>
        <v>292 ม.7 ต.หนองกี่ อ.กบินทร์บุรี จ.ปราจีนบุรี</v>
      </c>
      <c r="Y3015" s="3"/>
      <c r="Z3015" s="3">
        <f>IFERROR(__xludf.DUMMYFUNCTION("""COMPUTED_VALUE"""),0.0)</f>
        <v>0</v>
      </c>
      <c r="AA3015" s="3">
        <f>IFERROR(__xludf.DUMMYFUNCTION("""COMPUTED_VALUE"""),0.0)</f>
        <v>0</v>
      </c>
      <c r="AB3015" s="3" t="str">
        <f>IFERROR(__xludf.DUMMYFUNCTION("""COMPUTED_VALUE"""),"ปราจีนบุรี")</f>
        <v>ปราจีนบุรี</v>
      </c>
      <c r="AC3015" s="3">
        <f>IFERROR(__xludf.DUMMYFUNCTION("""COMPUTED_VALUE"""),0.0)</f>
        <v>0</v>
      </c>
      <c r="AD3015" s="3"/>
      <c r="AE3015" s="3"/>
      <c r="AF3015" s="3" t="str">
        <f>IFERROR(__xludf.DUMMYFUNCTION("""COMPUTED_VALUE"""),"ร้าน NP การค้า-83913")</f>
        <v>ร้าน NP การค้า-83913</v>
      </c>
      <c r="AG3015" s="3" t="str">
        <f>IFERROR(__xludf.DUMMYFUNCTION("""COMPUTED_VALUE"""),"ตะวันออก")</f>
        <v>ตะวันออก</v>
      </c>
      <c r="AH3015" s="3" t="str">
        <f>IFERROR(__xludf.DUMMYFUNCTION("""COMPUTED_VALUE"""),"#N/A")</f>
        <v>#N/A</v>
      </c>
      <c r="AI3015" s="3" t="str">
        <f>IFERROR(__xludf.DUMMYFUNCTION("""COMPUTED_VALUE"""),"Out of warranty")</f>
        <v>Out of warranty</v>
      </c>
      <c r="AJ3015" s="3">
        <f>IFERROR(__xludf.DUMMYFUNCTION("""COMPUTED_VALUE"""),45.0)</f>
        <v>45</v>
      </c>
      <c r="AK3015" s="3"/>
      <c r="AL3015" s="3"/>
    </row>
    <row r="3016" ht="15.75" customHeight="1">
      <c r="A3016" s="1" t="str">
        <f>IFERROR(__xludf.DUMMYFUNCTION("""COMPUTED_VALUE"""),"83916")</f>
        <v>83916</v>
      </c>
      <c r="B3016" s="2">
        <f>IFERROR(__xludf.DUMMYFUNCTION("""COMPUTED_VALUE"""),83916.0)</f>
        <v>83916</v>
      </c>
      <c r="C3016" s="3" t="str">
        <f>IFERROR(__xludf.DUMMYFUNCTION("""COMPUTED_VALUE"""),"ร้านประเสริฐ มินิมาร์ท (รติยา)")</f>
        <v>ร้านประเสริฐ มินิมาร์ท (รติยา)</v>
      </c>
      <c r="D3016" s="3" t="str">
        <f>IFERROR(__xludf.DUMMYFUNCTION("""COMPUTED_VALUE"""),"ร้านประเสริฐ มินิมาร์ท (รติยา)")</f>
        <v>ร้านประเสริฐ มินิมาร์ท (รติยา)</v>
      </c>
      <c r="E3016" s="1" t="str">
        <f>IFERROR(__xludf.DUMMYFUNCTION("""COMPUTED_VALUE"""),"Donjai")</f>
        <v>Donjai</v>
      </c>
      <c r="F3016" s="1" t="str">
        <f>IFERROR(__xludf.DUMMYFUNCTION("""COMPUTED_VALUE"""),"03510104")</f>
        <v>03510104</v>
      </c>
      <c r="G3016" s="1" t="str">
        <f>IFERROR(__xludf.DUMMYFUNCTION("""COMPUTED_VALUE"""),"นายวิโรจน์ อับดุลสมัด")</f>
        <v>นายวิโรจน์ อับดุลสมัด</v>
      </c>
      <c r="H3016" s="1" t="str">
        <f>IFERROR(__xludf.DUMMYFUNCTION("""COMPUTED_VALUE"""),"03510104")</f>
        <v>03510104</v>
      </c>
      <c r="I3016" s="1" t="str">
        <f>IFERROR(__xludf.DUMMYFUNCTION("""COMPUTED_VALUE"""),"นายวิโรจน์ อับดุลสมัด")</f>
        <v>นายวิโรจน์ อับดุลสมัด</v>
      </c>
      <c r="J3016" s="3">
        <f>IFERROR(__xludf.DUMMYFUNCTION("""COMPUTED_VALUE"""),228031.0)</f>
        <v>228031</v>
      </c>
      <c r="K3016" s="3" t="str">
        <f>IFERROR(__xludf.DUMMYFUNCTION("""COMPUTED_VALUE"""),"นายธนพงษ์ วันหมัด")</f>
        <v>นายธนพงษ์ วันหมัด</v>
      </c>
      <c r="L3016" s="1" t="str">
        <f>IFERROR(__xludf.DUMMYFUNCTION("""COMPUTED_VALUE"""),"นายธนพงษ์ วันหมัด")</f>
        <v>นายธนพงษ์ วันหมัด</v>
      </c>
      <c r="M3016" s="1" t="str">
        <f>IFERROR(__xludf.DUMMYFUNCTION("""COMPUTED_VALUE"""),"0813716913")</f>
        <v>0813716913</v>
      </c>
      <c r="N3016" s="3">
        <f>IFERROR(__xludf.DUMMYFUNCTION("""COMPUTED_VALUE"""),83916.0)</f>
        <v>83916</v>
      </c>
      <c r="O3016" s="3" t="str">
        <f>IFERROR(__xludf.DUMMYFUNCTION("""COMPUTED_VALUE"""),"ร้านประเสริฐ มินิมาร์ท (รติยา)")</f>
        <v>ร้านประเสริฐ มินิมาร์ท (รติยา)</v>
      </c>
      <c r="P3016" s="4">
        <f>IFERROR(__xludf.DUMMYFUNCTION("""COMPUTED_VALUE"""),44708.0)</f>
        <v>44708</v>
      </c>
      <c r="Q3016" s="3" t="str">
        <f>IFERROR(__xludf.DUMMYFUNCTION("""COMPUTED_VALUE"""),"A")</f>
        <v>A</v>
      </c>
      <c r="R3016" s="3" t="str">
        <f>IFERROR(__xludf.DUMMYFUNCTION("""COMPUTED_VALUE"""),"Small Format")</f>
        <v>Small Format</v>
      </c>
      <c r="S3016" s="3" t="str">
        <f>IFERROR(__xludf.DUMMYFUNCTION("""COMPUTED_VALUE"""),"Donjai")</f>
        <v>Donjai</v>
      </c>
      <c r="T3016" s="3" t="str">
        <f>IFERROR(__xludf.DUMMYFUNCTION("""COMPUTED_VALUE"""),"09 K.Wirode A")</f>
        <v>09 K.Wirode A</v>
      </c>
      <c r="U3016" s="3" t="str">
        <f>IFERROR(__xludf.DUMMYFUNCTION("""COMPUTED_VALUE"""),"09 K.Wirode A")</f>
        <v>09 K.Wirode A</v>
      </c>
      <c r="V3016" s="3" t="str">
        <f>IFERROR(__xludf.DUMMYFUNCTION("""COMPUTED_VALUE"""),"N")</f>
        <v>N</v>
      </c>
      <c r="W3016" s="3"/>
      <c r="X3016" s="3" t="str">
        <f>IFERROR(__xludf.DUMMYFUNCTION("""COMPUTED_VALUE"""),"28/263 ซ.เวฬุวนาราม16 ดอนเมือง กทม.")</f>
        <v>28/263 ซ.เวฬุวนาราม16 ดอนเมือง กทม.</v>
      </c>
      <c r="Y3016" s="3"/>
      <c r="Z3016" s="3">
        <f>IFERROR(__xludf.DUMMYFUNCTION("""COMPUTED_VALUE"""),0.0)</f>
        <v>0</v>
      </c>
      <c r="AA3016" s="3">
        <f>IFERROR(__xludf.DUMMYFUNCTION("""COMPUTED_VALUE"""),0.0)</f>
        <v>0</v>
      </c>
      <c r="AB3016" s="3" t="str">
        <f>IFERROR(__xludf.DUMMYFUNCTION("""COMPUTED_VALUE"""),"กรุงเทพมหานคร")</f>
        <v>กรุงเทพมหานคร</v>
      </c>
      <c r="AC3016" s="3">
        <f>IFERROR(__xludf.DUMMYFUNCTION("""COMPUTED_VALUE"""),0.0)</f>
        <v>0</v>
      </c>
      <c r="AD3016" s="3"/>
      <c r="AE3016" s="3"/>
      <c r="AF3016" s="3" t="str">
        <f>IFERROR(__xludf.DUMMYFUNCTION("""COMPUTED_VALUE"""),"ร้านประเสริฐ มินิมาร์ท (รติยา)-83916")</f>
        <v>ร้านประเสริฐ มินิมาร์ท (รติยา)-83916</v>
      </c>
      <c r="AG3016" s="3" t="str">
        <f>IFERROR(__xludf.DUMMYFUNCTION("""COMPUTED_VALUE"""),"กลาง")</f>
        <v>กลาง</v>
      </c>
      <c r="AH3016" s="3" t="str">
        <f>IFERROR(__xludf.DUMMYFUNCTION("""COMPUTED_VALUE"""),"#N/A")</f>
        <v>#N/A</v>
      </c>
      <c r="AI3016" s="3" t="str">
        <f>IFERROR(__xludf.DUMMYFUNCTION("""COMPUTED_VALUE"""),"Out of warranty")</f>
        <v>Out of warranty</v>
      </c>
      <c r="AJ3016" s="3">
        <f>IFERROR(__xludf.DUMMYFUNCTION("""COMPUTED_VALUE"""),44.0)</f>
        <v>44</v>
      </c>
      <c r="AK3016" s="3"/>
      <c r="AL3016" s="3"/>
    </row>
    <row r="3017" ht="15.75" customHeight="1">
      <c r="A3017" s="1" t="str">
        <f>IFERROR(__xludf.DUMMYFUNCTION("""COMPUTED_VALUE"""),"83917")</f>
        <v>83917</v>
      </c>
      <c r="B3017" s="2">
        <f>IFERROR(__xludf.DUMMYFUNCTION("""COMPUTED_VALUE"""),83917.0)</f>
        <v>83917</v>
      </c>
      <c r="C3017" s="3" t="str">
        <f>IFERROR(__xludf.DUMMYFUNCTION("""COMPUTED_VALUE"""),"ร้านพีพีพาณิชย์")</f>
        <v>ร้านพีพีพาณิชย์</v>
      </c>
      <c r="D3017" s="3" t="str">
        <f>IFERROR(__xludf.DUMMYFUNCTION("""COMPUTED_VALUE"""),"ร้านพีพีพาณิชย์")</f>
        <v>ร้านพีพีพาณิชย์</v>
      </c>
      <c r="E3017" s="1" t="str">
        <f>IFERROR(__xludf.DUMMYFUNCTION("""COMPUTED_VALUE"""),"Donjai")</f>
        <v>Donjai</v>
      </c>
      <c r="F3017" s="1" t="str">
        <f>IFERROR(__xludf.DUMMYFUNCTION("""COMPUTED_VALUE"""),"2010016")</f>
        <v>2010016</v>
      </c>
      <c r="G3017" s="1" t="str">
        <f>IFERROR(__xludf.DUMMYFUNCTION("""COMPUTED_VALUE"""),"นายตวงธรรม ใหม่ยศ")</f>
        <v>นายตวงธรรม ใหม่ยศ</v>
      </c>
      <c r="H3017" s="1" t="str">
        <f>IFERROR(__xludf.DUMMYFUNCTION("""COMPUTED_VALUE"""),"2010016")</f>
        <v>2010016</v>
      </c>
      <c r="I3017" s="1" t="str">
        <f>IFERROR(__xludf.DUMMYFUNCTION("""COMPUTED_VALUE"""),"นายตวงธรรม ใหม่ยศ")</f>
        <v>นายตวงธรรม ใหม่ยศ</v>
      </c>
      <c r="J3017" s="3">
        <f>IFERROR(__xludf.DUMMYFUNCTION("""COMPUTED_VALUE"""),295886.0)</f>
        <v>295886</v>
      </c>
      <c r="K3017" s="3" t="str">
        <f>IFERROR(__xludf.DUMMYFUNCTION("""COMPUTED_VALUE"""),"นายจิระพงษ์ โพธิ์นิล")</f>
        <v>นายจิระพงษ์ โพธิ์นิล</v>
      </c>
      <c r="L3017" s="1" t="str">
        <f>IFERROR(__xludf.DUMMYFUNCTION("""COMPUTED_VALUE"""),"นายจิระพงษ์ โพธิ์นิล")</f>
        <v>นายจิระพงษ์ โพธิ์นิล</v>
      </c>
      <c r="M3017" s="1" t="str">
        <f>IFERROR(__xludf.DUMMYFUNCTION("""COMPUTED_VALUE"""),"0933290754")</f>
        <v>0933290754</v>
      </c>
      <c r="N3017" s="3">
        <f>IFERROR(__xludf.DUMMYFUNCTION("""COMPUTED_VALUE"""),83917.0)</f>
        <v>83917</v>
      </c>
      <c r="O3017" s="3" t="str">
        <f>IFERROR(__xludf.DUMMYFUNCTION("""COMPUTED_VALUE"""),"ร้านพีพีพาณิชย์")</f>
        <v>ร้านพีพีพาณิชย์</v>
      </c>
      <c r="P3017" s="4">
        <f>IFERROR(__xludf.DUMMYFUNCTION("""COMPUTED_VALUE"""),44704.0)</f>
        <v>44704</v>
      </c>
      <c r="Q3017" s="3" t="str">
        <f>IFERROR(__xludf.DUMMYFUNCTION("""COMPUTED_VALUE"""),"I")</f>
        <v>I</v>
      </c>
      <c r="R3017" s="3" t="str">
        <f>IFERROR(__xludf.DUMMYFUNCTION("""COMPUTED_VALUE"""),"Small Format")</f>
        <v>Small Format</v>
      </c>
      <c r="S3017" s="3" t="str">
        <f>IFERROR(__xludf.DUMMYFUNCTION("""COMPUTED_VALUE"""),"Donjai")</f>
        <v>Donjai</v>
      </c>
      <c r="T3017" s="3" t="str">
        <f>IFERROR(__xludf.DUMMYFUNCTION("""COMPUTED_VALUE"""),"01 K.Tuangtham M.")</f>
        <v>01 K.Tuangtham M.</v>
      </c>
      <c r="U3017" s="3" t="str">
        <f>IFERROR(__xludf.DUMMYFUNCTION("""COMPUTED_VALUE"""),"01 K.Tuangtham M.")</f>
        <v>01 K.Tuangtham M.</v>
      </c>
      <c r="V3017" s="3" t="str">
        <f>IFERROR(__xludf.DUMMYFUNCTION("""COMPUTED_VALUE"""),"N")</f>
        <v>N</v>
      </c>
      <c r="W3017" s="3"/>
      <c r="X3017" s="3" t="str">
        <f>IFERROR(__xludf.DUMMYFUNCTION("""COMPUTED_VALUE"""),"160/1 บ้านโป่งศรี บ้านถิ่น เมือง แพร่ 27210")</f>
        <v>160/1 บ้านโป่งศรี บ้านถิ่น เมือง แพร่ 27210</v>
      </c>
      <c r="Y3017" s="3"/>
      <c r="Z3017" s="3" t="str">
        <f>IFERROR(__xludf.DUMMYFUNCTION("""COMPUTED_VALUE"""),"บ้านถิ่น")</f>
        <v>บ้านถิ่น</v>
      </c>
      <c r="AA3017" s="3" t="str">
        <f>IFERROR(__xludf.DUMMYFUNCTION("""COMPUTED_VALUE"""),"เมืองแพร่")</f>
        <v>เมืองแพร่</v>
      </c>
      <c r="AB3017" s="3" t="str">
        <f>IFERROR(__xludf.DUMMYFUNCTION("""COMPUTED_VALUE"""),"แพร่")</f>
        <v>แพร่</v>
      </c>
      <c r="AC3017" s="3">
        <f>IFERROR(__xludf.DUMMYFUNCTION("""COMPUTED_VALUE"""),27210.0)</f>
        <v>27210</v>
      </c>
      <c r="AD3017" s="3"/>
      <c r="AE3017" s="3"/>
      <c r="AF3017" s="3" t="str">
        <f>IFERROR(__xludf.DUMMYFUNCTION("""COMPUTED_VALUE"""),"ร้านพีพีพาณิชย์-83917")</f>
        <v>ร้านพีพีพาณิชย์-83917</v>
      </c>
      <c r="AG3017" s="3" t="str">
        <f>IFERROR(__xludf.DUMMYFUNCTION("""COMPUTED_VALUE"""),"เหนือ")</f>
        <v>เหนือ</v>
      </c>
      <c r="AH3017" s="3" t="str">
        <f>IFERROR(__xludf.DUMMYFUNCTION("""COMPUTED_VALUE"""),"#N/A")</f>
        <v>#N/A</v>
      </c>
      <c r="AI3017" s="3" t="str">
        <f>IFERROR(__xludf.DUMMYFUNCTION("""COMPUTED_VALUE"""),"Out of warranty")</f>
        <v>Out of warranty</v>
      </c>
      <c r="AJ3017" s="3">
        <f>IFERROR(__xludf.DUMMYFUNCTION("""COMPUTED_VALUE"""),44.0)</f>
        <v>44</v>
      </c>
      <c r="AK3017" s="3"/>
      <c r="AL3017" s="3"/>
    </row>
    <row r="3018" ht="15.75" customHeight="1">
      <c r="A3018" s="1" t="str">
        <f>IFERROR(__xludf.DUMMYFUNCTION("""COMPUTED_VALUE"""),"83918")</f>
        <v>83918</v>
      </c>
      <c r="B3018" s="2">
        <f>IFERROR(__xludf.DUMMYFUNCTION("""COMPUTED_VALUE"""),83918.0)</f>
        <v>83918</v>
      </c>
      <c r="C3018" s="3" t="str">
        <f>IFERROR(__xludf.DUMMYFUNCTION("""COMPUTED_VALUE"""),"ร้านบุญตาพาณิชย์")</f>
        <v>ร้านบุญตาพาณิชย์</v>
      </c>
      <c r="D3018" s="3" t="str">
        <f>IFERROR(__xludf.DUMMYFUNCTION("""COMPUTED_VALUE"""),"ร้านบุญตาพาณิชย์")</f>
        <v>ร้านบุญตาพาณิชย์</v>
      </c>
      <c r="E3018" s="1" t="str">
        <f>IFERROR(__xludf.DUMMYFUNCTION("""COMPUTED_VALUE"""),"Donjai")</f>
        <v>Donjai</v>
      </c>
      <c r="F3018" s="1" t="str">
        <f>IFERROR(__xludf.DUMMYFUNCTION("""COMPUTED_VALUE"""),"2454781")</f>
        <v>2454781</v>
      </c>
      <c r="G3018" s="1" t="str">
        <f>IFERROR(__xludf.DUMMYFUNCTION("""COMPUTED_VALUE"""),"นายฌานกฤช นันทะโคต")</f>
        <v>นายฌานกฤช นันทะโคต</v>
      </c>
      <c r="H3018" s="1" t="str">
        <f>IFERROR(__xludf.DUMMYFUNCTION("""COMPUTED_VALUE"""),"2454781")</f>
        <v>2454781</v>
      </c>
      <c r="I3018" s="1" t="str">
        <f>IFERROR(__xludf.DUMMYFUNCTION("""COMPUTED_VALUE"""),"นายฌานกฤช นันทะโคต")</f>
        <v>นายฌานกฤช นันทะโคต</v>
      </c>
      <c r="J3018" s="3">
        <f>IFERROR(__xludf.DUMMYFUNCTION("""COMPUTED_VALUE"""),295886.0)</f>
        <v>295886</v>
      </c>
      <c r="K3018" s="3" t="str">
        <f>IFERROR(__xludf.DUMMYFUNCTION("""COMPUTED_VALUE"""),"นายจิระพงษ์ โพธิ์นิล")</f>
        <v>นายจิระพงษ์ โพธิ์นิล</v>
      </c>
      <c r="L3018" s="1" t="str">
        <f>IFERROR(__xludf.DUMMYFUNCTION("""COMPUTED_VALUE"""),"นายจิระพงษ์ โพธิ์นิล")</f>
        <v>นายจิระพงษ์ โพธิ์นิล</v>
      </c>
      <c r="M3018" s="1" t="str">
        <f>IFERROR(__xludf.DUMMYFUNCTION("""COMPUTED_VALUE"""),"0933290754")</f>
        <v>0933290754</v>
      </c>
      <c r="N3018" s="3">
        <f>IFERROR(__xludf.DUMMYFUNCTION("""COMPUTED_VALUE"""),83918.0)</f>
        <v>83918</v>
      </c>
      <c r="O3018" s="3" t="str">
        <f>IFERROR(__xludf.DUMMYFUNCTION("""COMPUTED_VALUE"""),"ร้านบุญตาพาณิชย์")</f>
        <v>ร้านบุญตาพาณิชย์</v>
      </c>
      <c r="P3018" s="4">
        <f>IFERROR(__xludf.DUMMYFUNCTION("""COMPUTED_VALUE"""),44709.0)</f>
        <v>44709</v>
      </c>
      <c r="Q3018" s="3" t="str">
        <f>IFERROR(__xludf.DUMMYFUNCTION("""COMPUTED_VALUE"""),"A")</f>
        <v>A</v>
      </c>
      <c r="R3018" s="3" t="str">
        <f>IFERROR(__xludf.DUMMYFUNCTION("""COMPUTED_VALUE"""),"Small Format")</f>
        <v>Small Format</v>
      </c>
      <c r="S3018" s="3" t="str">
        <f>IFERROR(__xludf.DUMMYFUNCTION("""COMPUTED_VALUE"""),"Donjai")</f>
        <v>Donjai</v>
      </c>
      <c r="T3018" s="3" t="str">
        <f>IFERROR(__xludf.DUMMYFUNCTION("""COMPUTED_VALUE"""),"05 K.Chanakrit N.")</f>
        <v>05 K.Chanakrit N.</v>
      </c>
      <c r="U3018" s="3" t="str">
        <f>IFERROR(__xludf.DUMMYFUNCTION("""COMPUTED_VALUE"""),"05 K.Chanakrit N.")</f>
        <v>05 K.Chanakrit N.</v>
      </c>
      <c r="V3018" s="3" t="str">
        <f>IFERROR(__xludf.DUMMYFUNCTION("""COMPUTED_VALUE"""),"N")</f>
        <v>N</v>
      </c>
      <c r="W3018" s="3"/>
      <c r="X3018" s="3" t="str">
        <f>IFERROR(__xludf.DUMMYFUNCTION("""COMPUTED_VALUE"""),"173 ม.3 ต.โคกสะอาด อ.น้ำขุ่น จ.อุบลราชธานี 34260")</f>
        <v>173 ม.3 ต.โคกสะอาด อ.น้ำขุ่น จ.อุบลราชธานี 34260</v>
      </c>
      <c r="Y3018" s="3"/>
      <c r="Z3018" s="3">
        <f>IFERROR(__xludf.DUMMYFUNCTION("""COMPUTED_VALUE"""),0.0)</f>
        <v>0</v>
      </c>
      <c r="AA3018" s="3">
        <f>IFERROR(__xludf.DUMMYFUNCTION("""COMPUTED_VALUE"""),0.0)</f>
        <v>0</v>
      </c>
      <c r="AB3018" s="3" t="str">
        <f>IFERROR(__xludf.DUMMYFUNCTION("""COMPUTED_VALUE"""),"อุบลราชธานี")</f>
        <v>อุบลราชธานี</v>
      </c>
      <c r="AC3018" s="3">
        <f>IFERROR(__xludf.DUMMYFUNCTION("""COMPUTED_VALUE"""),34260.0)</f>
        <v>34260</v>
      </c>
      <c r="AD3018" s="3"/>
      <c r="AE3018" s="3"/>
      <c r="AF3018" s="3" t="str">
        <f>IFERROR(__xludf.DUMMYFUNCTION("""COMPUTED_VALUE"""),"ร้านบุญตาพาณิชย์-83918")</f>
        <v>ร้านบุญตาพาณิชย์-83918</v>
      </c>
      <c r="AG3018" s="3" t="str">
        <f>IFERROR(__xludf.DUMMYFUNCTION("""COMPUTED_VALUE"""),"ตะวันออกเฉียงเหนือ")</f>
        <v>ตะวันออกเฉียงเหนือ</v>
      </c>
      <c r="AH3018" s="3" t="str">
        <f>IFERROR(__xludf.DUMMYFUNCTION("""COMPUTED_VALUE"""),"#N/A")</f>
        <v>#N/A</v>
      </c>
      <c r="AI3018" s="3" t="str">
        <f>IFERROR(__xludf.DUMMYFUNCTION("""COMPUTED_VALUE"""),"Out of warranty")</f>
        <v>Out of warranty</v>
      </c>
      <c r="AJ3018" s="3">
        <f>IFERROR(__xludf.DUMMYFUNCTION("""COMPUTED_VALUE"""),44.0)</f>
        <v>44</v>
      </c>
      <c r="AK3018" s="3"/>
      <c r="AL3018" s="3"/>
    </row>
    <row r="3019" ht="15.75" customHeight="1">
      <c r="A3019" s="1" t="str">
        <f>IFERROR(__xludf.DUMMYFUNCTION("""COMPUTED_VALUE"""),"83920")</f>
        <v>83920</v>
      </c>
      <c r="B3019" s="2">
        <f>IFERROR(__xludf.DUMMYFUNCTION("""COMPUTED_VALUE"""),83920.0)</f>
        <v>83920</v>
      </c>
      <c r="C3019" s="3" t="str">
        <f>IFERROR(__xludf.DUMMYFUNCTION("""COMPUTED_VALUE"""),"ร้าน วี.เค.การค้า (วันวิสา)")</f>
        <v>ร้าน วี.เค.การค้า (วันวิสา)</v>
      </c>
      <c r="D3019" s="3" t="str">
        <f>IFERROR(__xludf.DUMMYFUNCTION("""COMPUTED_VALUE"""),"ร้าน วี.เค.การค้า (วันวิสา)")</f>
        <v>ร้าน วี.เค.การค้า (วันวิสา)</v>
      </c>
      <c r="E3019" s="1" t="str">
        <f>IFERROR(__xludf.DUMMYFUNCTION("""COMPUTED_VALUE"""),"Donjai")</f>
        <v>Donjai</v>
      </c>
      <c r="F3019" s="1" t="str">
        <f>IFERROR(__xludf.DUMMYFUNCTION("""COMPUTED_VALUE"""),"296608")</f>
        <v>296608</v>
      </c>
      <c r="G3019" s="1" t="str">
        <f>IFERROR(__xludf.DUMMYFUNCTION("""COMPUTED_VALUE"""),"นายภาคภูมิ เพ็ชรนิล")</f>
        <v>นายภาคภูมิ เพ็ชรนิล</v>
      </c>
      <c r="H3019" s="1" t="str">
        <f>IFERROR(__xludf.DUMMYFUNCTION("""COMPUTED_VALUE"""),"296608")</f>
        <v>296608</v>
      </c>
      <c r="I3019" s="1" t="str">
        <f>IFERROR(__xludf.DUMMYFUNCTION("""COMPUTED_VALUE"""),"นายภาคภูมิ เพ็ชรนิล")</f>
        <v>นายภาคภูมิ เพ็ชรนิล</v>
      </c>
      <c r="J3019" s="3">
        <f>IFERROR(__xludf.DUMMYFUNCTION("""COMPUTED_VALUE"""),228031.0)</f>
        <v>228031</v>
      </c>
      <c r="K3019" s="3" t="str">
        <f>IFERROR(__xludf.DUMMYFUNCTION("""COMPUTED_VALUE"""),"นายธนพงษ์ วันหมัด")</f>
        <v>นายธนพงษ์ วันหมัด</v>
      </c>
      <c r="L3019" s="1" t="str">
        <f>IFERROR(__xludf.DUMMYFUNCTION("""COMPUTED_VALUE"""),"นายธนพงษ์ วันหมัด")</f>
        <v>นายธนพงษ์ วันหมัด</v>
      </c>
      <c r="M3019" s="1" t="str">
        <f>IFERROR(__xludf.DUMMYFUNCTION("""COMPUTED_VALUE"""),"0813716913")</f>
        <v>0813716913</v>
      </c>
      <c r="N3019" s="3">
        <f>IFERROR(__xludf.DUMMYFUNCTION("""COMPUTED_VALUE"""),83920.0)</f>
        <v>83920</v>
      </c>
      <c r="O3019" s="3" t="str">
        <f>IFERROR(__xludf.DUMMYFUNCTION("""COMPUTED_VALUE"""),"ร้าน วี.เค.การค้า (วันวิสา)")</f>
        <v>ร้าน วี.เค.การค้า (วันวิสา)</v>
      </c>
      <c r="P3019" s="4">
        <f>IFERROR(__xludf.DUMMYFUNCTION("""COMPUTED_VALUE"""),44708.0)</f>
        <v>44708</v>
      </c>
      <c r="Q3019" s="3" t="str">
        <f>IFERROR(__xludf.DUMMYFUNCTION("""COMPUTED_VALUE"""),"I")</f>
        <v>I</v>
      </c>
      <c r="R3019" s="3" t="str">
        <f>IFERROR(__xludf.DUMMYFUNCTION("""COMPUTED_VALUE"""),"Small Format")</f>
        <v>Small Format</v>
      </c>
      <c r="S3019" s="3" t="str">
        <f>IFERROR(__xludf.DUMMYFUNCTION("""COMPUTED_VALUE"""),"Donjai")</f>
        <v>Donjai</v>
      </c>
      <c r="T3019" s="3" t="str">
        <f>IFERROR(__xludf.DUMMYFUNCTION("""COMPUTED_VALUE"""),"10 K.Phakphoom P.")</f>
        <v>10 K.Phakphoom P.</v>
      </c>
      <c r="U3019" s="3" t="str">
        <f>IFERROR(__xludf.DUMMYFUNCTION("""COMPUTED_VALUE"""),"10 K.Phakphoom P.")</f>
        <v>10 K.Phakphoom P.</v>
      </c>
      <c r="V3019" s="3" t="str">
        <f>IFERROR(__xludf.DUMMYFUNCTION("""COMPUTED_VALUE"""),"N")</f>
        <v>N</v>
      </c>
      <c r="W3019" s="3"/>
      <c r="X3019" s="3" t="str">
        <f>IFERROR(__xludf.DUMMYFUNCTION("""COMPUTED_VALUE"""),"2 ท่าล้อ ท่าม่วง กาญจนบุรี 71110")</f>
        <v>2 ท่าล้อ ท่าม่วง กาญจนบุรี 71110</v>
      </c>
      <c r="Y3019" s="3"/>
      <c r="Z3019" s="3">
        <f>IFERROR(__xludf.DUMMYFUNCTION("""COMPUTED_VALUE"""),0.0)</f>
        <v>0</v>
      </c>
      <c r="AA3019" s="3">
        <f>IFERROR(__xludf.DUMMYFUNCTION("""COMPUTED_VALUE"""),0.0)</f>
        <v>0</v>
      </c>
      <c r="AB3019" s="3" t="str">
        <f>IFERROR(__xludf.DUMMYFUNCTION("""COMPUTED_VALUE"""),"กาญจนบุรี")</f>
        <v>กาญจนบุรี</v>
      </c>
      <c r="AC3019" s="3">
        <f>IFERROR(__xludf.DUMMYFUNCTION("""COMPUTED_VALUE"""),71110.0)</f>
        <v>71110</v>
      </c>
      <c r="AD3019" s="3"/>
      <c r="AE3019" s="3"/>
      <c r="AF3019" s="3" t="str">
        <f>IFERROR(__xludf.DUMMYFUNCTION("""COMPUTED_VALUE"""),"ร้าน วี.เค.การค้า (วันวิสา)-83920")</f>
        <v>ร้าน วี.เค.การค้า (วันวิสา)-83920</v>
      </c>
      <c r="AG3019" s="3" t="str">
        <f>IFERROR(__xludf.DUMMYFUNCTION("""COMPUTED_VALUE"""),"ตะวันตก")</f>
        <v>ตะวันตก</v>
      </c>
      <c r="AH3019" s="3" t="str">
        <f>IFERROR(__xludf.DUMMYFUNCTION("""COMPUTED_VALUE"""),"#N/A")</f>
        <v>#N/A</v>
      </c>
      <c r="AI3019" s="3" t="str">
        <f>IFERROR(__xludf.DUMMYFUNCTION("""COMPUTED_VALUE"""),"Out of warranty")</f>
        <v>Out of warranty</v>
      </c>
      <c r="AJ3019" s="3">
        <f>IFERROR(__xludf.DUMMYFUNCTION("""COMPUTED_VALUE"""),44.0)</f>
        <v>44</v>
      </c>
      <c r="AK3019" s="3"/>
      <c r="AL3019" s="3"/>
    </row>
    <row r="3020" ht="15.75" customHeight="1">
      <c r="A3020" s="1" t="str">
        <f>IFERROR(__xludf.DUMMYFUNCTION("""COMPUTED_VALUE"""),"83924")</f>
        <v>83924</v>
      </c>
      <c r="B3020" s="2">
        <f>IFERROR(__xludf.DUMMYFUNCTION("""COMPUTED_VALUE"""),83924.0)</f>
        <v>83924</v>
      </c>
      <c r="C3020" s="3" t="str">
        <f>IFERROR(__xludf.DUMMYFUNCTION("""COMPUTED_VALUE"""),"ร้านโชคอมรพาณิชย์(อมร)")</f>
        <v>ร้านโชคอมรพาณิชย์(อมร)</v>
      </c>
      <c r="D3020" s="3" t="str">
        <f>IFERROR(__xludf.DUMMYFUNCTION("""COMPUTED_VALUE"""),"ร้านโชคอมรพาณิชย์(อมร)")</f>
        <v>ร้านโชคอมรพาณิชย์(อมร)</v>
      </c>
      <c r="E3020" s="1" t="str">
        <f>IFERROR(__xludf.DUMMYFUNCTION("""COMPUTED_VALUE"""),"Donjai")</f>
        <v>Donjai</v>
      </c>
      <c r="F3020" s="1" t="str">
        <f>IFERROR(__xludf.DUMMYFUNCTION("""COMPUTED_VALUE"""),"2451655")</f>
        <v>2451655</v>
      </c>
      <c r="G3020" s="1" t="str">
        <f>IFERROR(__xludf.DUMMYFUNCTION("""COMPUTED_VALUE"""),"นายวิษณุพงษ์ ชินบุตร")</f>
        <v>นายวิษณุพงษ์ ชินบุตร</v>
      </c>
      <c r="H3020" s="1" t="str">
        <f>IFERROR(__xludf.DUMMYFUNCTION("""COMPUTED_VALUE"""),"2451655")</f>
        <v>2451655</v>
      </c>
      <c r="I3020" s="1" t="str">
        <f>IFERROR(__xludf.DUMMYFUNCTION("""COMPUTED_VALUE"""),"นายวิษณุพงษ์ ชินบุตร")</f>
        <v>นายวิษณุพงษ์ ชินบุตร</v>
      </c>
      <c r="J3020" s="3">
        <f>IFERROR(__xludf.DUMMYFUNCTION("""COMPUTED_VALUE"""),228031.0)</f>
        <v>228031</v>
      </c>
      <c r="K3020" s="3" t="str">
        <f>IFERROR(__xludf.DUMMYFUNCTION("""COMPUTED_VALUE"""),"นายธนพงษ์ วันหมัด")</f>
        <v>นายธนพงษ์ วันหมัด</v>
      </c>
      <c r="L3020" s="1" t="str">
        <f>IFERROR(__xludf.DUMMYFUNCTION("""COMPUTED_VALUE"""),"นายธนพงษ์ วันหมัด")</f>
        <v>นายธนพงษ์ วันหมัด</v>
      </c>
      <c r="M3020" s="1" t="str">
        <f>IFERROR(__xludf.DUMMYFUNCTION("""COMPUTED_VALUE"""),"0813716913")</f>
        <v>0813716913</v>
      </c>
      <c r="N3020" s="3">
        <f>IFERROR(__xludf.DUMMYFUNCTION("""COMPUTED_VALUE"""),83924.0)</f>
        <v>83924</v>
      </c>
      <c r="O3020" s="3" t="str">
        <f>IFERROR(__xludf.DUMMYFUNCTION("""COMPUTED_VALUE"""),"ร้านโชคอมรพาณิชย์(อมร)")</f>
        <v>ร้านโชคอมรพาณิชย์(อมร)</v>
      </c>
      <c r="P3020" s="4">
        <f>IFERROR(__xludf.DUMMYFUNCTION("""COMPUTED_VALUE"""),44753.0)</f>
        <v>44753</v>
      </c>
      <c r="Q3020" s="3" t="str">
        <f>IFERROR(__xludf.DUMMYFUNCTION("""COMPUTED_VALUE"""),"A")</f>
        <v>A</v>
      </c>
      <c r="R3020" s="3" t="str">
        <f>IFERROR(__xludf.DUMMYFUNCTION("""COMPUTED_VALUE"""),"Small Format")</f>
        <v>Small Format</v>
      </c>
      <c r="S3020" s="3" t="str">
        <f>IFERROR(__xludf.DUMMYFUNCTION("""COMPUTED_VALUE"""),"Donjai")</f>
        <v>Donjai</v>
      </c>
      <c r="T3020" s="3" t="str">
        <f>IFERROR(__xludf.DUMMYFUNCTION("""COMPUTED_VALUE"""),"13 K.Wisanupong Ch")</f>
        <v>13 K.Wisanupong Ch</v>
      </c>
      <c r="U3020" s="3" t="str">
        <f>IFERROR(__xludf.DUMMYFUNCTION("""COMPUTED_VALUE"""),"13 K.Wisanupong Ch")</f>
        <v>13 K.Wisanupong Ch</v>
      </c>
      <c r="V3020" s="3" t="str">
        <f>IFERROR(__xludf.DUMMYFUNCTION("""COMPUTED_VALUE"""),"N")</f>
        <v>N</v>
      </c>
      <c r="W3020" s="3"/>
      <c r="X3020" s="3" t="str">
        <f>IFERROR(__xludf.DUMMYFUNCTION("""COMPUTED_VALUE"""),"205 ม 5 ต จรเข้เผือก อ ด่านมะขามเตี้ย")</f>
        <v>205 ม 5 ต จรเข้เผือก อ ด่านมะขามเตี้ย</v>
      </c>
      <c r="Y3020" s="3"/>
      <c r="Z3020" s="3">
        <f>IFERROR(__xludf.DUMMYFUNCTION("""COMPUTED_VALUE"""),0.0)</f>
        <v>0</v>
      </c>
      <c r="AA3020" s="3">
        <f>IFERROR(__xludf.DUMMYFUNCTION("""COMPUTED_VALUE"""),0.0)</f>
        <v>0</v>
      </c>
      <c r="AB3020" s="3" t="str">
        <f>IFERROR(__xludf.DUMMYFUNCTION("""COMPUTED_VALUE"""),"กาญจนบุรี")</f>
        <v>กาญจนบุรี</v>
      </c>
      <c r="AC3020" s="3">
        <f>IFERROR(__xludf.DUMMYFUNCTION("""COMPUTED_VALUE"""),0.0)</f>
        <v>0</v>
      </c>
      <c r="AD3020" s="3"/>
      <c r="AE3020" s="3"/>
      <c r="AF3020" s="3" t="str">
        <f>IFERROR(__xludf.DUMMYFUNCTION("""COMPUTED_VALUE"""),"ร้านโชคอมรพาณิชย์(อมร)-83924")</f>
        <v>ร้านโชคอมรพาณิชย์(อมร)-83924</v>
      </c>
      <c r="AG3020" s="3" t="str">
        <f>IFERROR(__xludf.DUMMYFUNCTION("""COMPUTED_VALUE"""),"ตะวันตก")</f>
        <v>ตะวันตก</v>
      </c>
      <c r="AH3020" s="3" t="str">
        <f>IFERROR(__xludf.DUMMYFUNCTION("""COMPUTED_VALUE"""),"#N/A")</f>
        <v>#N/A</v>
      </c>
      <c r="AI3020" s="3" t="str">
        <f>IFERROR(__xludf.DUMMYFUNCTION("""COMPUTED_VALUE"""),"Out of warranty")</f>
        <v>Out of warranty</v>
      </c>
      <c r="AJ3020" s="3">
        <f>IFERROR(__xludf.DUMMYFUNCTION("""COMPUTED_VALUE"""),43.0)</f>
        <v>43</v>
      </c>
      <c r="AK3020" s="3"/>
      <c r="AL3020" s="3"/>
    </row>
    <row r="3021" ht="15.75" customHeight="1">
      <c r="A3021" s="1" t="str">
        <f>IFERROR(__xludf.DUMMYFUNCTION("""COMPUTED_VALUE"""),"83925")</f>
        <v>83925</v>
      </c>
      <c r="B3021" s="2">
        <f>IFERROR(__xludf.DUMMYFUNCTION("""COMPUTED_VALUE"""),83925.0)</f>
        <v>83925</v>
      </c>
      <c r="C3021" s="3" t="str">
        <f>IFERROR(__xludf.DUMMYFUNCTION("""COMPUTED_VALUE"""),"ร้านจินดา")</f>
        <v>ร้านจินดา</v>
      </c>
      <c r="D3021" s="3" t="str">
        <f>IFERROR(__xludf.DUMMYFUNCTION("""COMPUTED_VALUE"""),"ร้านจินดา")</f>
        <v>ร้านจินดา</v>
      </c>
      <c r="E3021" s="1" t="str">
        <f>IFERROR(__xludf.DUMMYFUNCTION("""COMPUTED_VALUE"""),"Donjai")</f>
        <v>Donjai</v>
      </c>
      <c r="F3021" s="1" t="str">
        <f>IFERROR(__xludf.DUMMYFUNCTION("""COMPUTED_VALUE"""),"296868")</f>
        <v>296868</v>
      </c>
      <c r="G3021" s="1" t="str">
        <f>IFERROR(__xludf.DUMMYFUNCTION("""COMPUTED_VALUE"""),"นายพีระพงษ์ แก้วดวงดี")</f>
        <v>นายพีระพงษ์ แก้วดวงดี</v>
      </c>
      <c r="H3021" s="1" t="str">
        <f>IFERROR(__xludf.DUMMYFUNCTION("""COMPUTED_VALUE"""),"296868")</f>
        <v>296868</v>
      </c>
      <c r="I3021" s="1" t="str">
        <f>IFERROR(__xludf.DUMMYFUNCTION("""COMPUTED_VALUE"""),"นายพีระพงษ์ แก้วดวงดี")</f>
        <v>นายพีระพงษ์ แก้วดวงดี</v>
      </c>
      <c r="J3021" s="3">
        <f>IFERROR(__xludf.DUMMYFUNCTION("""COMPUTED_VALUE"""),295886.0)</f>
        <v>295886</v>
      </c>
      <c r="K3021" s="3" t="str">
        <f>IFERROR(__xludf.DUMMYFUNCTION("""COMPUTED_VALUE"""),"นายจิระพงษ์ โพธิ์นิล")</f>
        <v>นายจิระพงษ์ โพธิ์นิล</v>
      </c>
      <c r="L3021" s="1" t="str">
        <f>IFERROR(__xludf.DUMMYFUNCTION("""COMPUTED_VALUE"""),"นายจิระพงษ์ โพธิ์นิล")</f>
        <v>นายจิระพงษ์ โพธิ์นิล</v>
      </c>
      <c r="M3021" s="1" t="str">
        <f>IFERROR(__xludf.DUMMYFUNCTION("""COMPUTED_VALUE"""),"0933290754")</f>
        <v>0933290754</v>
      </c>
      <c r="N3021" s="3">
        <f>IFERROR(__xludf.DUMMYFUNCTION("""COMPUTED_VALUE"""),83925.0)</f>
        <v>83925</v>
      </c>
      <c r="O3021" s="3" t="str">
        <f>IFERROR(__xludf.DUMMYFUNCTION("""COMPUTED_VALUE"""),"ร้านจินดา")</f>
        <v>ร้านจินดา</v>
      </c>
      <c r="P3021" s="4">
        <f>IFERROR(__xludf.DUMMYFUNCTION("""COMPUTED_VALUE"""),44744.0)</f>
        <v>44744</v>
      </c>
      <c r="Q3021" s="3" t="str">
        <f>IFERROR(__xludf.DUMMYFUNCTION("""COMPUTED_VALUE"""),"A")</f>
        <v>A</v>
      </c>
      <c r="R3021" s="3" t="str">
        <f>IFERROR(__xludf.DUMMYFUNCTION("""COMPUTED_VALUE"""),"Small Format")</f>
        <v>Small Format</v>
      </c>
      <c r="S3021" s="3" t="str">
        <f>IFERROR(__xludf.DUMMYFUNCTION("""COMPUTED_VALUE"""),"Donjai")</f>
        <v>Donjai</v>
      </c>
      <c r="T3021" s="3" t="str">
        <f>IFERROR(__xludf.DUMMYFUNCTION("""COMPUTED_VALUE"""),"03 K.Peerapong K.")</f>
        <v>03 K.Peerapong K.</v>
      </c>
      <c r="U3021" s="3" t="str">
        <f>IFERROR(__xludf.DUMMYFUNCTION("""COMPUTED_VALUE"""),"03 K.Peerapong K.")</f>
        <v>03 K.Peerapong K.</v>
      </c>
      <c r="V3021" s="3" t="str">
        <f>IFERROR(__xludf.DUMMYFUNCTION("""COMPUTED_VALUE"""),"N")</f>
        <v>N</v>
      </c>
      <c r="W3021" s="3"/>
      <c r="X3021" s="3" t="str">
        <f>IFERROR(__xludf.DUMMYFUNCTION("""COMPUTED_VALUE"""),"173 หมู่ 2 หนองหลัก ไชยวาน อุดรธานี 41290")</f>
        <v>173 หมู่ 2 หนองหลัก ไชยวาน อุดรธานี 41290</v>
      </c>
      <c r="Y3021" s="3"/>
      <c r="Z3021" s="3">
        <f>IFERROR(__xludf.DUMMYFUNCTION("""COMPUTED_VALUE"""),0.0)</f>
        <v>0</v>
      </c>
      <c r="AA3021" s="3">
        <f>IFERROR(__xludf.DUMMYFUNCTION("""COMPUTED_VALUE"""),0.0)</f>
        <v>0</v>
      </c>
      <c r="AB3021" s="3" t="str">
        <f>IFERROR(__xludf.DUMMYFUNCTION("""COMPUTED_VALUE"""),"อุดรธานี")</f>
        <v>อุดรธานี</v>
      </c>
      <c r="AC3021" s="3">
        <f>IFERROR(__xludf.DUMMYFUNCTION("""COMPUTED_VALUE"""),41290.0)</f>
        <v>41290</v>
      </c>
      <c r="AD3021" s="3"/>
      <c r="AE3021" s="3"/>
      <c r="AF3021" s="3" t="str">
        <f>IFERROR(__xludf.DUMMYFUNCTION("""COMPUTED_VALUE"""),"ร้านจินดา-83925")</f>
        <v>ร้านจินดา-83925</v>
      </c>
      <c r="AG3021" s="3" t="str">
        <f>IFERROR(__xludf.DUMMYFUNCTION("""COMPUTED_VALUE"""),"ตะวันออกเฉียงเหนือ")</f>
        <v>ตะวันออกเฉียงเหนือ</v>
      </c>
      <c r="AH3021" s="3" t="str">
        <f>IFERROR(__xludf.DUMMYFUNCTION("""COMPUTED_VALUE"""),"#N/A")</f>
        <v>#N/A</v>
      </c>
      <c r="AI3021" s="3" t="str">
        <f>IFERROR(__xludf.DUMMYFUNCTION("""COMPUTED_VALUE"""),"Out of warranty")</f>
        <v>Out of warranty</v>
      </c>
      <c r="AJ3021" s="3">
        <f>IFERROR(__xludf.DUMMYFUNCTION("""COMPUTED_VALUE"""),43.0)</f>
        <v>43</v>
      </c>
      <c r="AK3021" s="3"/>
      <c r="AL3021" s="3"/>
    </row>
    <row r="3022" ht="15.75" customHeight="1">
      <c r="A3022" s="1" t="str">
        <f>IFERROR(__xludf.DUMMYFUNCTION("""COMPUTED_VALUE"""),"83927")</f>
        <v>83927</v>
      </c>
      <c r="B3022" s="2">
        <f>IFERROR(__xludf.DUMMYFUNCTION("""COMPUTED_VALUE"""),83927.0)</f>
        <v>83927</v>
      </c>
      <c r="C3022" s="3" t="str">
        <f>IFERROR(__xludf.DUMMYFUNCTION("""COMPUTED_VALUE"""),"ร้านชัยรัตน์")</f>
        <v>ร้านชัยรัตน์</v>
      </c>
      <c r="D3022" s="3" t="str">
        <f>IFERROR(__xludf.DUMMYFUNCTION("""COMPUTED_VALUE"""),"ร้านชัยรัตน์")</f>
        <v>ร้านชัยรัตน์</v>
      </c>
      <c r="E3022" s="1" t="str">
        <f>IFERROR(__xludf.DUMMYFUNCTION("""COMPUTED_VALUE"""),"Donjai")</f>
        <v>Donjai</v>
      </c>
      <c r="F3022" s="1" t="str">
        <f>IFERROR(__xludf.DUMMYFUNCTION("""COMPUTED_VALUE"""),"296945")</f>
        <v>296945</v>
      </c>
      <c r="G3022" s="1" t="str">
        <f>IFERROR(__xludf.DUMMYFUNCTION("""COMPUTED_VALUE"""),"นายรักพงศ์ พงศ์พันธ์งาม")</f>
        <v>นายรักพงศ์ พงศ์พันธ์งาม</v>
      </c>
      <c r="H3022" s="1" t="str">
        <f>IFERROR(__xludf.DUMMYFUNCTION("""COMPUTED_VALUE"""),"296945")</f>
        <v>296945</v>
      </c>
      <c r="I3022" s="1" t="str">
        <f>IFERROR(__xludf.DUMMYFUNCTION("""COMPUTED_VALUE"""),"นายรักพงศ์ พงศ์พันธ์งาม")</f>
        <v>นายรักพงศ์ พงศ์พันธ์งาม</v>
      </c>
      <c r="J3022" s="3">
        <f>IFERROR(__xludf.DUMMYFUNCTION("""COMPUTED_VALUE"""),228031.0)</f>
        <v>228031</v>
      </c>
      <c r="K3022" s="3" t="str">
        <f>IFERROR(__xludf.DUMMYFUNCTION("""COMPUTED_VALUE"""),"นายธนพงษ์ วันหมัด")</f>
        <v>นายธนพงษ์ วันหมัด</v>
      </c>
      <c r="L3022" s="1" t="str">
        <f>IFERROR(__xludf.DUMMYFUNCTION("""COMPUTED_VALUE"""),"นายธนพงษ์ วันหมัด")</f>
        <v>นายธนพงษ์ วันหมัด</v>
      </c>
      <c r="M3022" s="1" t="str">
        <f>IFERROR(__xludf.DUMMYFUNCTION("""COMPUTED_VALUE"""),"0813716913")</f>
        <v>0813716913</v>
      </c>
      <c r="N3022" s="3">
        <f>IFERROR(__xludf.DUMMYFUNCTION("""COMPUTED_VALUE"""),83927.0)</f>
        <v>83927</v>
      </c>
      <c r="O3022" s="3" t="str">
        <f>IFERROR(__xludf.DUMMYFUNCTION("""COMPUTED_VALUE"""),"ร้านชัยรัตน์")</f>
        <v>ร้านชัยรัตน์</v>
      </c>
      <c r="P3022" s="4">
        <f>IFERROR(__xludf.DUMMYFUNCTION("""COMPUTED_VALUE"""),44718.0)</f>
        <v>44718</v>
      </c>
      <c r="Q3022" s="3" t="str">
        <f>IFERROR(__xludf.DUMMYFUNCTION("""COMPUTED_VALUE"""),"I")</f>
        <v>I</v>
      </c>
      <c r="R3022" s="3" t="str">
        <f>IFERROR(__xludf.DUMMYFUNCTION("""COMPUTED_VALUE"""),"Small Format")</f>
        <v>Small Format</v>
      </c>
      <c r="S3022" s="3" t="str">
        <f>IFERROR(__xludf.DUMMYFUNCTION("""COMPUTED_VALUE"""),"Donjai")</f>
        <v>Donjai</v>
      </c>
      <c r="T3022" s="3">
        <f>IFERROR(__xludf.DUMMYFUNCTION("""COMPUTED_VALUE"""),0.0)</f>
        <v>0</v>
      </c>
      <c r="U3022" s="3">
        <f>IFERROR(__xludf.DUMMYFUNCTION("""COMPUTED_VALUE"""),0.0)</f>
        <v>0</v>
      </c>
      <c r="V3022" s="3" t="str">
        <f>IFERROR(__xludf.DUMMYFUNCTION("""COMPUTED_VALUE"""),"N")</f>
        <v>N</v>
      </c>
      <c r="W3022" s="3"/>
      <c r="X3022" s="3" t="str">
        <f>IFERROR(__xludf.DUMMYFUNCTION("""COMPUTED_VALUE"""),"หมู่บ้านภูมิใจนิเวศน์ 288/73 หมู่4 แขวงบางเพรียง เขตบางบ่อ จ.สมุทรปราการ")</f>
        <v>หมู่บ้านภูมิใจนิเวศน์ 288/73 หมู่4 แขวงบางเพรียง เขตบางบ่อ จ.สมุทรปราการ</v>
      </c>
      <c r="Y3022" s="3"/>
      <c r="Z3022" s="3">
        <f>IFERROR(__xludf.DUMMYFUNCTION("""COMPUTED_VALUE"""),0.0)</f>
        <v>0</v>
      </c>
      <c r="AA3022" s="3">
        <f>IFERROR(__xludf.DUMMYFUNCTION("""COMPUTED_VALUE"""),0.0)</f>
        <v>0</v>
      </c>
      <c r="AB3022" s="3" t="str">
        <f>IFERROR(__xludf.DUMMYFUNCTION("""COMPUTED_VALUE"""),"สมุทรปราการ")</f>
        <v>สมุทรปราการ</v>
      </c>
      <c r="AC3022" s="3">
        <f>IFERROR(__xludf.DUMMYFUNCTION("""COMPUTED_VALUE"""),0.0)</f>
        <v>0</v>
      </c>
      <c r="AD3022" s="3"/>
      <c r="AE3022" s="3"/>
      <c r="AF3022" s="3" t="str">
        <f>IFERROR(__xludf.DUMMYFUNCTION("""COMPUTED_VALUE"""),"ร้านชัยรัตน์-83927")</f>
        <v>ร้านชัยรัตน์-83927</v>
      </c>
      <c r="AG3022" s="3" t="str">
        <f>IFERROR(__xludf.DUMMYFUNCTION("""COMPUTED_VALUE"""),"กลาง")</f>
        <v>กลาง</v>
      </c>
      <c r="AH3022" s="3" t="str">
        <f>IFERROR(__xludf.DUMMYFUNCTION("""COMPUTED_VALUE"""),"#N/A")</f>
        <v>#N/A</v>
      </c>
      <c r="AI3022" s="3" t="str">
        <f>IFERROR(__xludf.DUMMYFUNCTION("""COMPUTED_VALUE"""),"Out of warranty")</f>
        <v>Out of warranty</v>
      </c>
      <c r="AJ3022" s="3">
        <f>IFERROR(__xludf.DUMMYFUNCTION("""COMPUTED_VALUE"""),44.0)</f>
        <v>44</v>
      </c>
      <c r="AK3022" s="3"/>
      <c r="AL3022" s="3"/>
    </row>
    <row r="3023" ht="15.75" customHeight="1">
      <c r="A3023" s="1" t="str">
        <f>IFERROR(__xludf.DUMMYFUNCTION("""COMPUTED_VALUE"""),"83929")</f>
        <v>83929</v>
      </c>
      <c r="B3023" s="2">
        <f>IFERROR(__xludf.DUMMYFUNCTION("""COMPUTED_VALUE"""),83929.0)</f>
        <v>83929</v>
      </c>
      <c r="C3023" s="3" t="str">
        <f>IFERROR(__xludf.DUMMYFUNCTION("""COMPUTED_VALUE"""),"ร้านทรัพย์สมพร")</f>
        <v>ร้านทรัพย์สมพร</v>
      </c>
      <c r="D3023" s="3" t="str">
        <f>IFERROR(__xludf.DUMMYFUNCTION("""COMPUTED_VALUE"""),"ร้านทรัพย์สมพร")</f>
        <v>ร้านทรัพย์สมพร</v>
      </c>
      <c r="E3023" s="1" t="str">
        <f>IFERROR(__xludf.DUMMYFUNCTION("""COMPUTED_VALUE"""),"Donjai")</f>
        <v>Donjai</v>
      </c>
      <c r="F3023" s="1" t="str">
        <f>IFERROR(__xludf.DUMMYFUNCTION("""COMPUTED_VALUE"""),"2454781")</f>
        <v>2454781</v>
      </c>
      <c r="G3023" s="1" t="str">
        <f>IFERROR(__xludf.DUMMYFUNCTION("""COMPUTED_VALUE"""),"นายฌานกฤช นันทะโคต")</f>
        <v>นายฌานกฤช นันทะโคต</v>
      </c>
      <c r="H3023" s="1" t="str">
        <f>IFERROR(__xludf.DUMMYFUNCTION("""COMPUTED_VALUE"""),"2454781")</f>
        <v>2454781</v>
      </c>
      <c r="I3023" s="1" t="str">
        <f>IFERROR(__xludf.DUMMYFUNCTION("""COMPUTED_VALUE"""),"นายฌานกฤช นันทะโคต")</f>
        <v>นายฌานกฤช นันทะโคต</v>
      </c>
      <c r="J3023" s="3">
        <f>IFERROR(__xludf.DUMMYFUNCTION("""COMPUTED_VALUE"""),295886.0)</f>
        <v>295886</v>
      </c>
      <c r="K3023" s="3" t="str">
        <f>IFERROR(__xludf.DUMMYFUNCTION("""COMPUTED_VALUE"""),"นายจิระพงษ์ โพธิ์นิล")</f>
        <v>นายจิระพงษ์ โพธิ์นิล</v>
      </c>
      <c r="L3023" s="1" t="str">
        <f>IFERROR(__xludf.DUMMYFUNCTION("""COMPUTED_VALUE"""),"นายจิระพงษ์ โพธิ์นิล")</f>
        <v>นายจิระพงษ์ โพธิ์นิล</v>
      </c>
      <c r="M3023" s="1" t="str">
        <f>IFERROR(__xludf.DUMMYFUNCTION("""COMPUTED_VALUE"""),"0933290754")</f>
        <v>0933290754</v>
      </c>
      <c r="N3023" s="3">
        <f>IFERROR(__xludf.DUMMYFUNCTION("""COMPUTED_VALUE"""),83929.0)</f>
        <v>83929</v>
      </c>
      <c r="O3023" s="3" t="str">
        <f>IFERROR(__xludf.DUMMYFUNCTION("""COMPUTED_VALUE"""),"ร้านทรัพย์สมพร")</f>
        <v>ร้านทรัพย์สมพร</v>
      </c>
      <c r="P3023" s="4">
        <f>IFERROR(__xludf.DUMMYFUNCTION("""COMPUTED_VALUE"""),44712.0)</f>
        <v>44712</v>
      </c>
      <c r="Q3023" s="3" t="str">
        <f>IFERROR(__xludf.DUMMYFUNCTION("""COMPUTED_VALUE"""),"A")</f>
        <v>A</v>
      </c>
      <c r="R3023" s="3" t="str">
        <f>IFERROR(__xludf.DUMMYFUNCTION("""COMPUTED_VALUE"""),"Small Format")</f>
        <v>Small Format</v>
      </c>
      <c r="S3023" s="3" t="str">
        <f>IFERROR(__xludf.DUMMYFUNCTION("""COMPUTED_VALUE"""),"Donjai")</f>
        <v>Donjai</v>
      </c>
      <c r="T3023" s="3" t="str">
        <f>IFERROR(__xludf.DUMMYFUNCTION("""COMPUTED_VALUE"""),"05 K.Chanakrit N.")</f>
        <v>05 K.Chanakrit N.</v>
      </c>
      <c r="U3023" s="3" t="str">
        <f>IFERROR(__xludf.DUMMYFUNCTION("""COMPUTED_VALUE"""),"05 K.Chanakrit N.")</f>
        <v>05 K.Chanakrit N.</v>
      </c>
      <c r="V3023" s="3" t="str">
        <f>IFERROR(__xludf.DUMMYFUNCTION("""COMPUTED_VALUE"""),"N")</f>
        <v>N</v>
      </c>
      <c r="W3023" s="3"/>
      <c r="X3023" s="3" t="str">
        <f>IFERROR(__xludf.DUMMYFUNCTION("""COMPUTED_VALUE"""),"87 บ้านโจดนาลือ ม.4 ต.จิกสังข์ทองอ.ราษีไศล จ.ศรีสะเกษ")</f>
        <v>87 บ้านโจดนาลือ ม.4 ต.จิกสังข์ทองอ.ราษีไศล จ.ศรีสะเกษ</v>
      </c>
      <c r="Y3023" s="3"/>
      <c r="Z3023" s="3">
        <f>IFERROR(__xludf.DUMMYFUNCTION("""COMPUTED_VALUE"""),0.0)</f>
        <v>0</v>
      </c>
      <c r="AA3023" s="3">
        <f>IFERROR(__xludf.DUMMYFUNCTION("""COMPUTED_VALUE"""),0.0)</f>
        <v>0</v>
      </c>
      <c r="AB3023" s="3" t="str">
        <f>IFERROR(__xludf.DUMMYFUNCTION("""COMPUTED_VALUE"""),"ศรีสะเกษ")</f>
        <v>ศรีสะเกษ</v>
      </c>
      <c r="AC3023" s="3">
        <f>IFERROR(__xludf.DUMMYFUNCTION("""COMPUTED_VALUE"""),0.0)</f>
        <v>0</v>
      </c>
      <c r="AD3023" s="3"/>
      <c r="AE3023" s="3"/>
      <c r="AF3023" s="3" t="str">
        <f>IFERROR(__xludf.DUMMYFUNCTION("""COMPUTED_VALUE"""),"ร้านทรัพย์สมพร-83929")</f>
        <v>ร้านทรัพย์สมพร-83929</v>
      </c>
      <c r="AG3023" s="3" t="str">
        <f>IFERROR(__xludf.DUMMYFUNCTION("""COMPUTED_VALUE"""),"ตะวันออกเฉียงเหนือ")</f>
        <v>ตะวันออกเฉียงเหนือ</v>
      </c>
      <c r="AH3023" s="3" t="str">
        <f>IFERROR(__xludf.DUMMYFUNCTION("""COMPUTED_VALUE"""),"#N/A")</f>
        <v>#N/A</v>
      </c>
      <c r="AI3023" s="3" t="str">
        <f>IFERROR(__xludf.DUMMYFUNCTION("""COMPUTED_VALUE"""),"Out of warranty")</f>
        <v>Out of warranty</v>
      </c>
      <c r="AJ3023" s="3">
        <f>IFERROR(__xludf.DUMMYFUNCTION("""COMPUTED_VALUE"""),44.0)</f>
        <v>44</v>
      </c>
      <c r="AK3023" s="3"/>
      <c r="AL3023" s="3"/>
    </row>
    <row r="3024" ht="15.75" customHeight="1">
      <c r="A3024" s="1" t="str">
        <f>IFERROR(__xludf.DUMMYFUNCTION("""COMPUTED_VALUE"""),"83931")</f>
        <v>83931</v>
      </c>
      <c r="B3024" s="2">
        <f>IFERROR(__xludf.DUMMYFUNCTION("""COMPUTED_VALUE"""),83931.0)</f>
        <v>83931</v>
      </c>
      <c r="C3024" s="3" t="str">
        <f>IFERROR(__xludf.DUMMYFUNCTION("""COMPUTED_VALUE"""),"ร้านถูกเลย@ทุ่งน้ำใส")</f>
        <v>ร้านถูกเลย@ทุ่งน้ำใส</v>
      </c>
      <c r="D3024" s="3" t="str">
        <f>IFERROR(__xludf.DUMMYFUNCTION("""COMPUTED_VALUE"""),"ร้านถูกเลย@ทุ่งน้ำใส")</f>
        <v>ร้านถูกเลย@ทุ่งน้ำใส</v>
      </c>
      <c r="E3024" s="1" t="str">
        <f>IFERROR(__xludf.DUMMYFUNCTION("""COMPUTED_VALUE"""),"Donjai")</f>
        <v>Donjai</v>
      </c>
      <c r="F3024" s="1" t="str">
        <f>IFERROR(__xludf.DUMMYFUNCTION("""COMPUTED_VALUE"""),"296868")</f>
        <v>296868</v>
      </c>
      <c r="G3024" s="1" t="str">
        <f>IFERROR(__xludf.DUMMYFUNCTION("""COMPUTED_VALUE"""),"นายพีระพงษ์ แก้วดวงดี")</f>
        <v>นายพีระพงษ์ แก้วดวงดี</v>
      </c>
      <c r="H3024" s="1" t="str">
        <f>IFERROR(__xludf.DUMMYFUNCTION("""COMPUTED_VALUE"""),"296868")</f>
        <v>296868</v>
      </c>
      <c r="I3024" s="1" t="str">
        <f>IFERROR(__xludf.DUMMYFUNCTION("""COMPUTED_VALUE"""),"นายพีระพงษ์ แก้วดวงดี")</f>
        <v>นายพีระพงษ์ แก้วดวงดี</v>
      </c>
      <c r="J3024" s="3">
        <f>IFERROR(__xludf.DUMMYFUNCTION("""COMPUTED_VALUE"""),295886.0)</f>
        <v>295886</v>
      </c>
      <c r="K3024" s="3" t="str">
        <f>IFERROR(__xludf.DUMMYFUNCTION("""COMPUTED_VALUE"""),"นายจิระพงษ์ โพธิ์นิล")</f>
        <v>นายจิระพงษ์ โพธิ์นิล</v>
      </c>
      <c r="L3024" s="1" t="str">
        <f>IFERROR(__xludf.DUMMYFUNCTION("""COMPUTED_VALUE"""),"นายจิระพงษ์ โพธิ์นิล")</f>
        <v>นายจิระพงษ์ โพธิ์นิล</v>
      </c>
      <c r="M3024" s="1" t="str">
        <f>IFERROR(__xludf.DUMMYFUNCTION("""COMPUTED_VALUE"""),"0933290754")</f>
        <v>0933290754</v>
      </c>
      <c r="N3024" s="3">
        <f>IFERROR(__xludf.DUMMYFUNCTION("""COMPUTED_VALUE"""),83931.0)</f>
        <v>83931</v>
      </c>
      <c r="O3024" s="3" t="str">
        <f>IFERROR(__xludf.DUMMYFUNCTION("""COMPUTED_VALUE"""),"ร้านถูกเลย@ทุ่งน้ำใส")</f>
        <v>ร้านถูกเลย@ทุ่งน้ำใส</v>
      </c>
      <c r="P3024" s="4">
        <f>IFERROR(__xludf.DUMMYFUNCTION("""COMPUTED_VALUE"""),44748.0)</f>
        <v>44748</v>
      </c>
      <c r="Q3024" s="3" t="str">
        <f>IFERROR(__xludf.DUMMYFUNCTION("""COMPUTED_VALUE"""),"A")</f>
        <v>A</v>
      </c>
      <c r="R3024" s="3" t="str">
        <f>IFERROR(__xludf.DUMMYFUNCTION("""COMPUTED_VALUE"""),"Small Format")</f>
        <v>Small Format</v>
      </c>
      <c r="S3024" s="3" t="str">
        <f>IFERROR(__xludf.DUMMYFUNCTION("""COMPUTED_VALUE"""),"Donjai")</f>
        <v>Donjai</v>
      </c>
      <c r="T3024" s="3" t="str">
        <f>IFERROR(__xludf.DUMMYFUNCTION("""COMPUTED_VALUE"""),"03 K.Peerapong K.")</f>
        <v>03 K.Peerapong K.</v>
      </c>
      <c r="U3024" s="3" t="str">
        <f>IFERROR(__xludf.DUMMYFUNCTION("""COMPUTED_VALUE"""),"03 K.Peerapong K.")</f>
        <v>03 K.Peerapong K.</v>
      </c>
      <c r="V3024" s="3" t="str">
        <f>IFERROR(__xludf.DUMMYFUNCTION("""COMPUTED_VALUE"""),"N")</f>
        <v>N</v>
      </c>
      <c r="W3024" s="3"/>
      <c r="X3024" s="3" t="str">
        <f>IFERROR(__xludf.DUMMYFUNCTION("""COMPUTED_VALUE"""),"21 หมู่ที่ 7 โป่ง ด่านซ้าย เลย 42120")</f>
        <v>21 หมู่ที่ 7 โป่ง ด่านซ้าย เลย 42120</v>
      </c>
      <c r="Y3024" s="3"/>
      <c r="Z3024" s="3" t="str">
        <f>IFERROR(__xludf.DUMMYFUNCTION("""COMPUTED_VALUE"""),"โป่ง")</f>
        <v>โป่ง</v>
      </c>
      <c r="AA3024" s="3" t="str">
        <f>IFERROR(__xludf.DUMMYFUNCTION("""COMPUTED_VALUE"""),"ด่านซ้าย")</f>
        <v>ด่านซ้าย</v>
      </c>
      <c r="AB3024" s="3" t="str">
        <f>IFERROR(__xludf.DUMMYFUNCTION("""COMPUTED_VALUE"""),"เลย")</f>
        <v>เลย</v>
      </c>
      <c r="AC3024" s="3">
        <f>IFERROR(__xludf.DUMMYFUNCTION("""COMPUTED_VALUE"""),42120.0)</f>
        <v>42120</v>
      </c>
      <c r="AD3024" s="3"/>
      <c r="AE3024" s="3"/>
      <c r="AF3024" s="3" t="str">
        <f>IFERROR(__xludf.DUMMYFUNCTION("""COMPUTED_VALUE"""),"ร้านถูกเลย@ทุ่งน้ำใส-83931")</f>
        <v>ร้านถูกเลย@ทุ่งน้ำใส-83931</v>
      </c>
      <c r="AG3024" s="3" t="str">
        <f>IFERROR(__xludf.DUMMYFUNCTION("""COMPUTED_VALUE"""),"ตะวันออกเฉียงเหนือ")</f>
        <v>ตะวันออกเฉียงเหนือ</v>
      </c>
      <c r="AH3024" s="3" t="str">
        <f>IFERROR(__xludf.DUMMYFUNCTION("""COMPUTED_VALUE"""),"#N/A")</f>
        <v>#N/A</v>
      </c>
      <c r="AI3024" s="3" t="str">
        <f>IFERROR(__xludf.DUMMYFUNCTION("""COMPUTED_VALUE"""),"Out of warranty")</f>
        <v>Out of warranty</v>
      </c>
      <c r="AJ3024" s="3">
        <f>IFERROR(__xludf.DUMMYFUNCTION("""COMPUTED_VALUE"""),43.0)</f>
        <v>43</v>
      </c>
      <c r="AK3024" s="3"/>
      <c r="AL3024" s="3"/>
    </row>
    <row r="3025" ht="15.75" customHeight="1">
      <c r="A3025" s="1" t="str">
        <f>IFERROR(__xludf.DUMMYFUNCTION("""COMPUTED_VALUE"""),"83932")</f>
        <v>83932</v>
      </c>
      <c r="B3025" s="2">
        <f>IFERROR(__xludf.DUMMYFUNCTION("""COMPUTED_VALUE"""),83932.0)</f>
        <v>83932</v>
      </c>
      <c r="C3025" s="3" t="str">
        <f>IFERROR(__xludf.DUMMYFUNCTION("""COMPUTED_VALUE"""),"ร้าน DUCKY")</f>
        <v>ร้าน DUCKY</v>
      </c>
      <c r="D3025" s="3" t="str">
        <f>IFERROR(__xludf.DUMMYFUNCTION("""COMPUTED_VALUE"""),"ร้าน DUCKY")</f>
        <v>ร้าน DUCKY</v>
      </c>
      <c r="E3025" s="1" t="str">
        <f>IFERROR(__xludf.DUMMYFUNCTION("""COMPUTED_VALUE"""),"Donjai")</f>
        <v>Donjai</v>
      </c>
      <c r="F3025" s="1" t="str">
        <f>IFERROR(__xludf.DUMMYFUNCTION("""COMPUTED_VALUE"""),"015361")</f>
        <v>015361</v>
      </c>
      <c r="G3025" s="1" t="str">
        <f>IFERROR(__xludf.DUMMYFUNCTION("""COMPUTED_VALUE"""),"นายสมบูรณ์ พรหมในเมือง")</f>
        <v>นายสมบูรณ์ พรหมในเมือง</v>
      </c>
      <c r="H3025" s="1" t="str">
        <f>IFERROR(__xludf.DUMMYFUNCTION("""COMPUTED_VALUE"""),"015361")</f>
        <v>015361</v>
      </c>
      <c r="I3025" s="1" t="str">
        <f>IFERROR(__xludf.DUMMYFUNCTION("""COMPUTED_VALUE"""),"นายสมบูรณ์ พรหมในเมือง")</f>
        <v>นายสมบูรณ์ พรหมในเมือง</v>
      </c>
      <c r="J3025" s="3">
        <f>IFERROR(__xludf.DUMMYFUNCTION("""COMPUTED_VALUE"""),295886.0)</f>
        <v>295886</v>
      </c>
      <c r="K3025" s="3" t="str">
        <f>IFERROR(__xludf.DUMMYFUNCTION("""COMPUTED_VALUE"""),"นายจิระพงษ์ โพธิ์นิล")</f>
        <v>นายจิระพงษ์ โพธิ์นิล</v>
      </c>
      <c r="L3025" s="1" t="str">
        <f>IFERROR(__xludf.DUMMYFUNCTION("""COMPUTED_VALUE"""),"นายจิระพงษ์ โพธิ์นิล")</f>
        <v>นายจิระพงษ์ โพธิ์นิล</v>
      </c>
      <c r="M3025" s="1" t="str">
        <f>IFERROR(__xludf.DUMMYFUNCTION("""COMPUTED_VALUE"""),"0933290754")</f>
        <v>0933290754</v>
      </c>
      <c r="N3025" s="3">
        <f>IFERROR(__xludf.DUMMYFUNCTION("""COMPUTED_VALUE"""),83932.0)</f>
        <v>83932</v>
      </c>
      <c r="O3025" s="3" t="str">
        <f>IFERROR(__xludf.DUMMYFUNCTION("""COMPUTED_VALUE"""),"ร้าน DUCKY")</f>
        <v>ร้าน DUCKY</v>
      </c>
      <c r="P3025" s="4">
        <f>IFERROR(__xludf.DUMMYFUNCTION("""COMPUTED_VALUE"""),44885.0)</f>
        <v>44885</v>
      </c>
      <c r="Q3025" s="3" t="str">
        <f>IFERROR(__xludf.DUMMYFUNCTION("""COMPUTED_VALUE"""),"I")</f>
        <v>I</v>
      </c>
      <c r="R3025" s="3" t="str">
        <f>IFERROR(__xludf.DUMMYFUNCTION("""COMPUTED_VALUE"""),"Small Format")</f>
        <v>Small Format</v>
      </c>
      <c r="S3025" s="3" t="str">
        <f>IFERROR(__xludf.DUMMYFUNCTION("""COMPUTED_VALUE"""),"Donjai")</f>
        <v>Donjai</v>
      </c>
      <c r="T3025" s="3" t="str">
        <f>IFERROR(__xludf.DUMMYFUNCTION("""COMPUTED_VALUE"""),"04 K.Somboon P.")</f>
        <v>04 K.Somboon P.</v>
      </c>
      <c r="U3025" s="3" t="str">
        <f>IFERROR(__xludf.DUMMYFUNCTION("""COMPUTED_VALUE"""),"04 K.Somboon P.")</f>
        <v>04 K.Somboon P.</v>
      </c>
      <c r="V3025" s="3" t="str">
        <f>IFERROR(__xludf.DUMMYFUNCTION("""COMPUTED_VALUE"""),"N")</f>
        <v>N</v>
      </c>
      <c r="W3025" s="3"/>
      <c r="X3025" s="3" t="str">
        <f>IFERROR(__xludf.DUMMYFUNCTION("""COMPUTED_VALUE"""),"23 หมู่ที่17 บ้านบุ ต.จรเข้มาก อ.ประโคนชัย จ.บุรีรัมย์ 31140")</f>
        <v>23 หมู่ที่17 บ้านบุ ต.จรเข้มาก อ.ประโคนชัย จ.บุรีรัมย์ 31140</v>
      </c>
      <c r="Y3025" s="3"/>
      <c r="Z3025" s="3">
        <f>IFERROR(__xludf.DUMMYFUNCTION("""COMPUTED_VALUE"""),0.0)</f>
        <v>0</v>
      </c>
      <c r="AA3025" s="3">
        <f>IFERROR(__xludf.DUMMYFUNCTION("""COMPUTED_VALUE"""),0.0)</f>
        <v>0</v>
      </c>
      <c r="AB3025" s="3" t="str">
        <f>IFERROR(__xludf.DUMMYFUNCTION("""COMPUTED_VALUE"""),"บุรีรัมย์")</f>
        <v>บุรีรัมย์</v>
      </c>
      <c r="AC3025" s="3">
        <f>IFERROR(__xludf.DUMMYFUNCTION("""COMPUTED_VALUE"""),31140.0)</f>
        <v>31140</v>
      </c>
      <c r="AD3025" s="3"/>
      <c r="AE3025" s="3"/>
      <c r="AF3025" s="3" t="str">
        <f>IFERROR(__xludf.DUMMYFUNCTION("""COMPUTED_VALUE"""),"ร้าน DUCKY-83932")</f>
        <v>ร้าน DUCKY-83932</v>
      </c>
      <c r="AG3025" s="3" t="str">
        <f>IFERROR(__xludf.DUMMYFUNCTION("""COMPUTED_VALUE"""),"ตะวันออกเฉียงเหนือ")</f>
        <v>ตะวันออกเฉียงเหนือ</v>
      </c>
      <c r="AH3025" s="3" t="str">
        <f>IFERROR(__xludf.DUMMYFUNCTION("""COMPUTED_VALUE"""),"#N/A")</f>
        <v>#N/A</v>
      </c>
      <c r="AI3025" s="3" t="str">
        <f>IFERROR(__xludf.DUMMYFUNCTION("""COMPUTED_VALUE"""),"Out of warranty")</f>
        <v>Out of warranty</v>
      </c>
      <c r="AJ3025" s="3">
        <f>IFERROR(__xludf.DUMMYFUNCTION("""COMPUTED_VALUE"""),39.0)</f>
        <v>39</v>
      </c>
      <c r="AK3025" s="3"/>
      <c r="AL3025" s="3"/>
    </row>
    <row r="3026" ht="15.75" customHeight="1">
      <c r="A3026" s="1" t="str">
        <f>IFERROR(__xludf.DUMMYFUNCTION("""COMPUTED_VALUE"""),"83933")</f>
        <v>83933</v>
      </c>
      <c r="B3026" s="2">
        <f>IFERROR(__xludf.DUMMYFUNCTION("""COMPUTED_VALUE"""),83933.0)</f>
        <v>83933</v>
      </c>
      <c r="C3026" s="3" t="str">
        <f>IFERROR(__xludf.DUMMYFUNCTION("""COMPUTED_VALUE"""),"ร้านนาเบรียเจริญการค้า")</f>
        <v>ร้านนาเบรียเจริญการค้า</v>
      </c>
      <c r="D3026" s="3" t="str">
        <f>IFERROR(__xludf.DUMMYFUNCTION("""COMPUTED_VALUE"""),"ร้านนาเบรียเจริญการค้า")</f>
        <v>ร้านนาเบรียเจริญการค้า</v>
      </c>
      <c r="E3026" s="1" t="str">
        <f>IFERROR(__xludf.DUMMYFUNCTION("""COMPUTED_VALUE"""),"Donjai")</f>
        <v>Donjai</v>
      </c>
      <c r="F3026" s="1" t="str">
        <f>IFERROR(__xludf.DUMMYFUNCTION("""COMPUTED_VALUE"""),"296868")</f>
        <v>296868</v>
      </c>
      <c r="G3026" s="1" t="str">
        <f>IFERROR(__xludf.DUMMYFUNCTION("""COMPUTED_VALUE"""),"นายพีระพงษ์ แก้วดวงดี")</f>
        <v>นายพีระพงษ์ แก้วดวงดี</v>
      </c>
      <c r="H3026" s="1" t="str">
        <f>IFERROR(__xludf.DUMMYFUNCTION("""COMPUTED_VALUE"""),"296868")</f>
        <v>296868</v>
      </c>
      <c r="I3026" s="1" t="str">
        <f>IFERROR(__xludf.DUMMYFUNCTION("""COMPUTED_VALUE"""),"นายพีระพงษ์ แก้วดวงดี")</f>
        <v>นายพีระพงษ์ แก้วดวงดี</v>
      </c>
      <c r="J3026" s="3">
        <f>IFERROR(__xludf.DUMMYFUNCTION("""COMPUTED_VALUE"""),295886.0)</f>
        <v>295886</v>
      </c>
      <c r="K3026" s="3" t="str">
        <f>IFERROR(__xludf.DUMMYFUNCTION("""COMPUTED_VALUE"""),"นายจิระพงษ์ โพธิ์นิล")</f>
        <v>นายจิระพงษ์ โพธิ์นิล</v>
      </c>
      <c r="L3026" s="1" t="str">
        <f>IFERROR(__xludf.DUMMYFUNCTION("""COMPUTED_VALUE"""),"นายจิระพงษ์ โพธิ์นิล")</f>
        <v>นายจิระพงษ์ โพธิ์นิล</v>
      </c>
      <c r="M3026" s="1" t="str">
        <f>IFERROR(__xludf.DUMMYFUNCTION("""COMPUTED_VALUE"""),"0933290754")</f>
        <v>0933290754</v>
      </c>
      <c r="N3026" s="3">
        <f>IFERROR(__xludf.DUMMYFUNCTION("""COMPUTED_VALUE"""),83933.0)</f>
        <v>83933</v>
      </c>
      <c r="O3026" s="3" t="str">
        <f>IFERROR(__xludf.DUMMYFUNCTION("""COMPUTED_VALUE"""),"ร้านนาเบรียเจริญการค้า")</f>
        <v>ร้านนาเบรียเจริญการค้า</v>
      </c>
      <c r="P3026" s="4">
        <f>IFERROR(__xludf.DUMMYFUNCTION("""COMPUTED_VALUE"""),44768.0)</f>
        <v>44768</v>
      </c>
      <c r="Q3026" s="3" t="str">
        <f>IFERROR(__xludf.DUMMYFUNCTION("""COMPUTED_VALUE"""),"A")</f>
        <v>A</v>
      </c>
      <c r="R3026" s="3" t="str">
        <f>IFERROR(__xludf.DUMMYFUNCTION("""COMPUTED_VALUE"""),"Small Format")</f>
        <v>Small Format</v>
      </c>
      <c r="S3026" s="3" t="str">
        <f>IFERROR(__xludf.DUMMYFUNCTION("""COMPUTED_VALUE"""),"Donjai")</f>
        <v>Donjai</v>
      </c>
      <c r="T3026" s="3" t="str">
        <f>IFERROR(__xludf.DUMMYFUNCTION("""COMPUTED_VALUE"""),"03 K.Peerapong K.")</f>
        <v>03 K.Peerapong K.</v>
      </c>
      <c r="U3026" s="3" t="str">
        <f>IFERROR(__xludf.DUMMYFUNCTION("""COMPUTED_VALUE"""),"03 K.Peerapong K.")</f>
        <v>03 K.Peerapong K.</v>
      </c>
      <c r="V3026" s="3" t="str">
        <f>IFERROR(__xludf.DUMMYFUNCTION("""COMPUTED_VALUE"""),"N")</f>
        <v>N</v>
      </c>
      <c r="W3026" s="3"/>
      <c r="X3026" s="3" t="str">
        <f>IFERROR(__xludf.DUMMYFUNCTION("""COMPUTED_VALUE"""),"99 ม.9 ปากชม ปากชม เลย 84130")</f>
        <v>99 ม.9 ปากชม ปากชม เลย 84130</v>
      </c>
      <c r="Y3026" s="3"/>
      <c r="Z3026" s="3" t="str">
        <f>IFERROR(__xludf.DUMMYFUNCTION("""COMPUTED_VALUE"""),"ปากชม")</f>
        <v>ปากชม</v>
      </c>
      <c r="AA3026" s="3" t="str">
        <f>IFERROR(__xludf.DUMMYFUNCTION("""COMPUTED_VALUE"""),"ปากชม")</f>
        <v>ปากชม</v>
      </c>
      <c r="AB3026" s="3" t="str">
        <f>IFERROR(__xludf.DUMMYFUNCTION("""COMPUTED_VALUE"""),"เลย")</f>
        <v>เลย</v>
      </c>
      <c r="AC3026" s="3">
        <f>IFERROR(__xludf.DUMMYFUNCTION("""COMPUTED_VALUE"""),84130.0)</f>
        <v>84130</v>
      </c>
      <c r="AD3026" s="3"/>
      <c r="AE3026" s="3"/>
      <c r="AF3026" s="3" t="str">
        <f>IFERROR(__xludf.DUMMYFUNCTION("""COMPUTED_VALUE"""),"ร้านนาเบรียเจริญการค้า-83933")</f>
        <v>ร้านนาเบรียเจริญการค้า-83933</v>
      </c>
      <c r="AG3026" s="3" t="str">
        <f>IFERROR(__xludf.DUMMYFUNCTION("""COMPUTED_VALUE"""),"ตะวันออกเฉียงเหนือ")</f>
        <v>ตะวันออกเฉียงเหนือ</v>
      </c>
      <c r="AH3026" s="3" t="str">
        <f>IFERROR(__xludf.DUMMYFUNCTION("""COMPUTED_VALUE"""),"#N/A")</f>
        <v>#N/A</v>
      </c>
      <c r="AI3026" s="3" t="str">
        <f>IFERROR(__xludf.DUMMYFUNCTION("""COMPUTED_VALUE"""),"Out of warranty")</f>
        <v>Out of warranty</v>
      </c>
      <c r="AJ3026" s="3">
        <f>IFERROR(__xludf.DUMMYFUNCTION("""COMPUTED_VALUE"""),42.0)</f>
        <v>42</v>
      </c>
      <c r="AK3026" s="3"/>
      <c r="AL3026" s="3"/>
    </row>
    <row r="3027" ht="15.75" customHeight="1">
      <c r="A3027" s="1" t="str">
        <f>IFERROR(__xludf.DUMMYFUNCTION("""COMPUTED_VALUE"""),"83935")</f>
        <v>83935</v>
      </c>
      <c r="B3027" s="2">
        <f>IFERROR(__xludf.DUMMYFUNCTION("""COMPUTED_VALUE"""),83935.0)</f>
        <v>83935</v>
      </c>
      <c r="C3027" s="3" t="str">
        <f>IFERROR(__xludf.DUMMYFUNCTION("""COMPUTED_VALUE"""),"ร้านหน่องน้ำส้ม สาขา2")</f>
        <v>ร้านหน่องน้ำส้ม สาขา2</v>
      </c>
      <c r="D3027" s="3" t="str">
        <f>IFERROR(__xludf.DUMMYFUNCTION("""COMPUTED_VALUE"""),"ร้านหน่องน้ำส้ม สาขา2")</f>
        <v>ร้านหน่องน้ำส้ม สาขา2</v>
      </c>
      <c r="E3027" s="1" t="str">
        <f>IFERROR(__xludf.DUMMYFUNCTION("""COMPUTED_VALUE"""),"Donjai")</f>
        <v>Donjai</v>
      </c>
      <c r="F3027" s="1" t="str">
        <f>IFERROR(__xludf.DUMMYFUNCTION("""COMPUTED_VALUE"""),"015361")</f>
        <v>015361</v>
      </c>
      <c r="G3027" s="1" t="str">
        <f>IFERROR(__xludf.DUMMYFUNCTION("""COMPUTED_VALUE"""),"นายสมบูรณ์ พรหมในเมือง")</f>
        <v>นายสมบูรณ์ พรหมในเมือง</v>
      </c>
      <c r="H3027" s="1" t="str">
        <f>IFERROR(__xludf.DUMMYFUNCTION("""COMPUTED_VALUE"""),"015361")</f>
        <v>015361</v>
      </c>
      <c r="I3027" s="1" t="str">
        <f>IFERROR(__xludf.DUMMYFUNCTION("""COMPUTED_VALUE"""),"นายสมบูรณ์ พรหมในเมือง")</f>
        <v>นายสมบูรณ์ พรหมในเมือง</v>
      </c>
      <c r="J3027" s="3">
        <f>IFERROR(__xludf.DUMMYFUNCTION("""COMPUTED_VALUE"""),295886.0)</f>
        <v>295886</v>
      </c>
      <c r="K3027" s="3" t="str">
        <f>IFERROR(__xludf.DUMMYFUNCTION("""COMPUTED_VALUE"""),"นายจิระพงษ์ โพธิ์นิล")</f>
        <v>นายจิระพงษ์ โพธิ์นิล</v>
      </c>
      <c r="L3027" s="1" t="str">
        <f>IFERROR(__xludf.DUMMYFUNCTION("""COMPUTED_VALUE"""),"นายจิระพงษ์ โพธิ์นิล")</f>
        <v>นายจิระพงษ์ โพธิ์นิล</v>
      </c>
      <c r="M3027" s="1" t="str">
        <f>IFERROR(__xludf.DUMMYFUNCTION("""COMPUTED_VALUE"""),"0933290754")</f>
        <v>0933290754</v>
      </c>
      <c r="N3027" s="3">
        <f>IFERROR(__xludf.DUMMYFUNCTION("""COMPUTED_VALUE"""),83935.0)</f>
        <v>83935</v>
      </c>
      <c r="O3027" s="3" t="str">
        <f>IFERROR(__xludf.DUMMYFUNCTION("""COMPUTED_VALUE"""),"ร้านหน่องน้ำส้ม สาขา2")</f>
        <v>ร้านหน่องน้ำส้ม สาขา2</v>
      </c>
      <c r="P3027" s="4">
        <f>IFERROR(__xludf.DUMMYFUNCTION("""COMPUTED_VALUE"""),44755.0)</f>
        <v>44755</v>
      </c>
      <c r="Q3027" s="3" t="str">
        <f>IFERROR(__xludf.DUMMYFUNCTION("""COMPUTED_VALUE"""),"A")</f>
        <v>A</v>
      </c>
      <c r="R3027" s="3" t="str">
        <f>IFERROR(__xludf.DUMMYFUNCTION("""COMPUTED_VALUE"""),"Small Format")</f>
        <v>Small Format</v>
      </c>
      <c r="S3027" s="3" t="str">
        <f>IFERROR(__xludf.DUMMYFUNCTION("""COMPUTED_VALUE"""),"Donjai")</f>
        <v>Donjai</v>
      </c>
      <c r="T3027" s="3" t="str">
        <f>IFERROR(__xludf.DUMMYFUNCTION("""COMPUTED_VALUE"""),"04 K.Somboon P.")</f>
        <v>04 K.Somboon P.</v>
      </c>
      <c r="U3027" s="3" t="str">
        <f>IFERROR(__xludf.DUMMYFUNCTION("""COMPUTED_VALUE"""),"04 K.Somboon P.")</f>
        <v>04 K.Somboon P.</v>
      </c>
      <c r="V3027" s="3" t="str">
        <f>IFERROR(__xludf.DUMMYFUNCTION("""COMPUTED_VALUE"""),"N")</f>
        <v>N</v>
      </c>
      <c r="W3027" s="3"/>
      <c r="X3027" s="3" t="str">
        <f>IFERROR(__xludf.DUMMYFUNCTION("""COMPUTED_VALUE"""),"243 หมู่ 5 ชำนิ ชำนิ บุรีรัมย์ 31110")</f>
        <v>243 หมู่ 5 ชำนิ ชำนิ บุรีรัมย์ 31110</v>
      </c>
      <c r="Y3027" s="3"/>
      <c r="Z3027" s="3">
        <f>IFERROR(__xludf.DUMMYFUNCTION("""COMPUTED_VALUE"""),0.0)</f>
        <v>0</v>
      </c>
      <c r="AA3027" s="3">
        <f>IFERROR(__xludf.DUMMYFUNCTION("""COMPUTED_VALUE"""),0.0)</f>
        <v>0</v>
      </c>
      <c r="AB3027" s="3" t="str">
        <f>IFERROR(__xludf.DUMMYFUNCTION("""COMPUTED_VALUE"""),"บุรีรัมย์")</f>
        <v>บุรีรัมย์</v>
      </c>
      <c r="AC3027" s="3">
        <f>IFERROR(__xludf.DUMMYFUNCTION("""COMPUTED_VALUE"""),31110.0)</f>
        <v>31110</v>
      </c>
      <c r="AD3027" s="3"/>
      <c r="AE3027" s="3"/>
      <c r="AF3027" s="3" t="str">
        <f>IFERROR(__xludf.DUMMYFUNCTION("""COMPUTED_VALUE"""),"ร้านหน่องน้ำส้ม สาขา2-83935")</f>
        <v>ร้านหน่องน้ำส้ม สาขา2-83935</v>
      </c>
      <c r="AG3027" s="3" t="str">
        <f>IFERROR(__xludf.DUMMYFUNCTION("""COMPUTED_VALUE"""),"ตะวันออกเฉียงเหนือ")</f>
        <v>ตะวันออกเฉียงเหนือ</v>
      </c>
      <c r="AH3027" s="3" t="str">
        <f>IFERROR(__xludf.DUMMYFUNCTION("""COMPUTED_VALUE"""),"#N/A")</f>
        <v>#N/A</v>
      </c>
      <c r="AI3027" s="3" t="str">
        <f>IFERROR(__xludf.DUMMYFUNCTION("""COMPUTED_VALUE"""),"Out of warranty")</f>
        <v>Out of warranty</v>
      </c>
      <c r="AJ3027" s="3">
        <f>IFERROR(__xludf.DUMMYFUNCTION("""COMPUTED_VALUE"""),43.0)</f>
        <v>43</v>
      </c>
      <c r="AK3027" s="3"/>
      <c r="AL3027" s="3"/>
    </row>
    <row r="3028" ht="15.75" customHeight="1">
      <c r="A3028" s="1" t="str">
        <f>IFERROR(__xludf.DUMMYFUNCTION("""COMPUTED_VALUE"""),"83937")</f>
        <v>83937</v>
      </c>
      <c r="B3028" s="2">
        <f>IFERROR(__xludf.DUMMYFUNCTION("""COMPUTED_VALUE"""),83937.0)</f>
        <v>83937</v>
      </c>
      <c r="C3028" s="3" t="str">
        <f>IFERROR(__xludf.DUMMYFUNCTION("""COMPUTED_VALUE"""),"ร้านบ้านสวนซุปเปอร์มาร์เก็ต (คุณชาติ)")</f>
        <v>ร้านบ้านสวนซุปเปอร์มาร์เก็ต (คุณชาติ)</v>
      </c>
      <c r="D3028" s="3" t="str">
        <f>IFERROR(__xludf.DUMMYFUNCTION("""COMPUTED_VALUE"""),"ร้านบ้านสวนซุปเปอร์มาร์เก็ต (คุณชาติ)")</f>
        <v>ร้านบ้านสวนซุปเปอร์มาร์เก็ต (คุณชาติ)</v>
      </c>
      <c r="E3028" s="1" t="str">
        <f>IFERROR(__xludf.DUMMYFUNCTION("""COMPUTED_VALUE"""),"Donjai")</f>
        <v>Donjai</v>
      </c>
      <c r="F3028" s="1" t="str">
        <f>IFERROR(__xludf.DUMMYFUNCTION("""COMPUTED_VALUE"""),"296945")</f>
        <v>296945</v>
      </c>
      <c r="G3028" s="1" t="str">
        <f>IFERROR(__xludf.DUMMYFUNCTION("""COMPUTED_VALUE"""),"นายรักพงศ์ พงศ์พันธ์งาม")</f>
        <v>นายรักพงศ์ พงศ์พันธ์งาม</v>
      </c>
      <c r="H3028" s="1" t="str">
        <f>IFERROR(__xludf.DUMMYFUNCTION("""COMPUTED_VALUE"""),"296945")</f>
        <v>296945</v>
      </c>
      <c r="I3028" s="1" t="str">
        <f>IFERROR(__xludf.DUMMYFUNCTION("""COMPUTED_VALUE"""),"นายรักพงศ์ พงศ์พันธ์งาม")</f>
        <v>นายรักพงศ์ พงศ์พันธ์งาม</v>
      </c>
      <c r="J3028" s="3">
        <f>IFERROR(__xludf.DUMMYFUNCTION("""COMPUTED_VALUE"""),228031.0)</f>
        <v>228031</v>
      </c>
      <c r="K3028" s="3" t="str">
        <f>IFERROR(__xludf.DUMMYFUNCTION("""COMPUTED_VALUE"""),"นายธนพงษ์ วันหมัด")</f>
        <v>นายธนพงษ์ วันหมัด</v>
      </c>
      <c r="L3028" s="1" t="str">
        <f>IFERROR(__xludf.DUMMYFUNCTION("""COMPUTED_VALUE"""),"นายธนพงษ์ วันหมัด")</f>
        <v>นายธนพงษ์ วันหมัด</v>
      </c>
      <c r="M3028" s="1" t="str">
        <f>IFERROR(__xludf.DUMMYFUNCTION("""COMPUTED_VALUE"""),"0813716913")</f>
        <v>0813716913</v>
      </c>
      <c r="N3028" s="3">
        <f>IFERROR(__xludf.DUMMYFUNCTION("""COMPUTED_VALUE"""),83937.0)</f>
        <v>83937</v>
      </c>
      <c r="O3028" s="3" t="str">
        <f>IFERROR(__xludf.DUMMYFUNCTION("""COMPUTED_VALUE"""),"ร้านบ้านสวนซุปเปอร์มาร์เก็ต (คุณชาติ)")</f>
        <v>ร้านบ้านสวนซุปเปอร์มาร์เก็ต (คุณชาติ)</v>
      </c>
      <c r="P3028" s="4">
        <f>IFERROR(__xludf.DUMMYFUNCTION("""COMPUTED_VALUE"""),44754.0)</f>
        <v>44754</v>
      </c>
      <c r="Q3028" s="3" t="str">
        <f>IFERROR(__xludf.DUMMYFUNCTION("""COMPUTED_VALUE"""),"I")</f>
        <v>I</v>
      </c>
      <c r="R3028" s="3" t="str">
        <f>IFERROR(__xludf.DUMMYFUNCTION("""COMPUTED_VALUE"""),"Small Format")</f>
        <v>Small Format</v>
      </c>
      <c r="S3028" s="3" t="str">
        <f>IFERROR(__xludf.DUMMYFUNCTION("""COMPUTED_VALUE"""),"Donjai")</f>
        <v>Donjai</v>
      </c>
      <c r="T3028" s="3">
        <f>IFERROR(__xludf.DUMMYFUNCTION("""COMPUTED_VALUE"""),0.0)</f>
        <v>0</v>
      </c>
      <c r="U3028" s="3">
        <f>IFERROR(__xludf.DUMMYFUNCTION("""COMPUTED_VALUE"""),0.0)</f>
        <v>0</v>
      </c>
      <c r="V3028" s="3" t="str">
        <f>IFERROR(__xludf.DUMMYFUNCTION("""COMPUTED_VALUE"""),"N")</f>
        <v>N</v>
      </c>
      <c r="W3028" s="3"/>
      <c r="X3028" s="3" t="str">
        <f>IFERROR(__xludf.DUMMYFUNCTION("""COMPUTED_VALUE"""),"28/21 ถนน หนองไ่ม้แก่น เมืองพัทยา บางละมุง ชลบุรี 20150")</f>
        <v>28/21 ถนน หนองไ่ม้แก่น เมืองพัทยา บางละมุง ชลบุรี 20150</v>
      </c>
      <c r="Y3028" s="3"/>
      <c r="Z3028" s="3">
        <f>IFERROR(__xludf.DUMMYFUNCTION("""COMPUTED_VALUE"""),0.0)</f>
        <v>0</v>
      </c>
      <c r="AA3028" s="3">
        <f>IFERROR(__xludf.DUMMYFUNCTION("""COMPUTED_VALUE"""),0.0)</f>
        <v>0</v>
      </c>
      <c r="AB3028" s="3" t="str">
        <f>IFERROR(__xludf.DUMMYFUNCTION("""COMPUTED_VALUE"""),"ชลบุรี")</f>
        <v>ชลบุรี</v>
      </c>
      <c r="AC3028" s="3">
        <f>IFERROR(__xludf.DUMMYFUNCTION("""COMPUTED_VALUE"""),20150.0)</f>
        <v>20150</v>
      </c>
      <c r="AD3028" s="3"/>
      <c r="AE3028" s="3"/>
      <c r="AF3028" s="3" t="str">
        <f>IFERROR(__xludf.DUMMYFUNCTION("""COMPUTED_VALUE"""),"ร้านบ้านสวนซุปเปอร์มาร์เก็ต (คุณชาติ)-83937")</f>
        <v>ร้านบ้านสวนซุปเปอร์มาร์เก็ต (คุณชาติ)-83937</v>
      </c>
      <c r="AG3028" s="3" t="str">
        <f>IFERROR(__xludf.DUMMYFUNCTION("""COMPUTED_VALUE"""),"ตะวันออก")</f>
        <v>ตะวันออก</v>
      </c>
      <c r="AH3028" s="3" t="str">
        <f>IFERROR(__xludf.DUMMYFUNCTION("""COMPUTED_VALUE"""),"#N/A")</f>
        <v>#N/A</v>
      </c>
      <c r="AI3028" s="3" t="str">
        <f>IFERROR(__xludf.DUMMYFUNCTION("""COMPUTED_VALUE"""),"Out of warranty")</f>
        <v>Out of warranty</v>
      </c>
      <c r="AJ3028" s="3">
        <f>IFERROR(__xludf.DUMMYFUNCTION("""COMPUTED_VALUE"""),43.0)</f>
        <v>43</v>
      </c>
      <c r="AK3028" s="3"/>
      <c r="AL3028" s="3"/>
    </row>
    <row r="3029" ht="15.75" customHeight="1">
      <c r="A3029" s="1" t="str">
        <f>IFERROR(__xludf.DUMMYFUNCTION("""COMPUTED_VALUE"""),"83939")</f>
        <v>83939</v>
      </c>
      <c r="B3029" s="2">
        <f>IFERROR(__xludf.DUMMYFUNCTION("""COMPUTED_VALUE"""),83939.0)</f>
        <v>83939</v>
      </c>
      <c r="C3029" s="3" t="str">
        <f>IFERROR(__xludf.DUMMYFUNCTION("""COMPUTED_VALUE"""),"ร้านลักษณ์มินิมาร์ท")</f>
        <v>ร้านลักษณ์มินิมาร์ท</v>
      </c>
      <c r="D3029" s="3" t="str">
        <f>IFERROR(__xludf.DUMMYFUNCTION("""COMPUTED_VALUE"""),"ร้านลักษณ์มินิมาร์ท")</f>
        <v>ร้านลักษณ์มินิมาร์ท</v>
      </c>
      <c r="E3029" s="1" t="str">
        <f>IFERROR(__xludf.DUMMYFUNCTION("""COMPUTED_VALUE"""),"Donjai")</f>
        <v>Donjai</v>
      </c>
      <c r="F3029" s="1" t="str">
        <f>IFERROR(__xludf.DUMMYFUNCTION("""COMPUTED_VALUE"""),"296868")</f>
        <v>296868</v>
      </c>
      <c r="G3029" s="1" t="str">
        <f>IFERROR(__xludf.DUMMYFUNCTION("""COMPUTED_VALUE"""),"นายพีระพงษ์ แก้วดวงดี")</f>
        <v>นายพีระพงษ์ แก้วดวงดี</v>
      </c>
      <c r="H3029" s="1" t="str">
        <f>IFERROR(__xludf.DUMMYFUNCTION("""COMPUTED_VALUE"""),"296868")</f>
        <v>296868</v>
      </c>
      <c r="I3029" s="1" t="str">
        <f>IFERROR(__xludf.DUMMYFUNCTION("""COMPUTED_VALUE"""),"นายพีระพงษ์ แก้วดวงดี")</f>
        <v>นายพีระพงษ์ แก้วดวงดี</v>
      </c>
      <c r="J3029" s="3">
        <f>IFERROR(__xludf.DUMMYFUNCTION("""COMPUTED_VALUE"""),295886.0)</f>
        <v>295886</v>
      </c>
      <c r="K3029" s="3" t="str">
        <f>IFERROR(__xludf.DUMMYFUNCTION("""COMPUTED_VALUE"""),"นายจิระพงษ์ โพธิ์นิล")</f>
        <v>นายจิระพงษ์ โพธิ์นิล</v>
      </c>
      <c r="L3029" s="1" t="str">
        <f>IFERROR(__xludf.DUMMYFUNCTION("""COMPUTED_VALUE"""),"นายจิระพงษ์ โพธิ์นิล")</f>
        <v>นายจิระพงษ์ โพธิ์นิล</v>
      </c>
      <c r="M3029" s="1" t="str">
        <f>IFERROR(__xludf.DUMMYFUNCTION("""COMPUTED_VALUE"""),"0933290754")</f>
        <v>0933290754</v>
      </c>
      <c r="N3029" s="3">
        <f>IFERROR(__xludf.DUMMYFUNCTION("""COMPUTED_VALUE"""),83939.0)</f>
        <v>83939</v>
      </c>
      <c r="O3029" s="3" t="str">
        <f>IFERROR(__xludf.DUMMYFUNCTION("""COMPUTED_VALUE"""),"ร้านลักษณ์มินิมาร์ท")</f>
        <v>ร้านลักษณ์มินิมาร์ท</v>
      </c>
      <c r="P3029" s="4">
        <f>IFERROR(__xludf.DUMMYFUNCTION("""COMPUTED_VALUE"""),44820.0)</f>
        <v>44820</v>
      </c>
      <c r="Q3029" s="3" t="str">
        <f>IFERROR(__xludf.DUMMYFUNCTION("""COMPUTED_VALUE"""),"A")</f>
        <v>A</v>
      </c>
      <c r="R3029" s="3" t="str">
        <f>IFERROR(__xludf.DUMMYFUNCTION("""COMPUTED_VALUE"""),"Small Format")</f>
        <v>Small Format</v>
      </c>
      <c r="S3029" s="3" t="str">
        <f>IFERROR(__xludf.DUMMYFUNCTION("""COMPUTED_VALUE"""),"Donjai")</f>
        <v>Donjai</v>
      </c>
      <c r="T3029" s="3" t="str">
        <f>IFERROR(__xludf.DUMMYFUNCTION("""COMPUTED_VALUE"""),"03 K.Peerapong K.")</f>
        <v>03 K.Peerapong K.</v>
      </c>
      <c r="U3029" s="3" t="str">
        <f>IFERROR(__xludf.DUMMYFUNCTION("""COMPUTED_VALUE"""),"03 K.Peerapong K.")</f>
        <v>03 K.Peerapong K.</v>
      </c>
      <c r="V3029" s="3" t="str">
        <f>IFERROR(__xludf.DUMMYFUNCTION("""COMPUTED_VALUE"""),"N")</f>
        <v>N</v>
      </c>
      <c r="W3029" s="3"/>
      <c r="X3029" s="3" t="str">
        <f>IFERROR(__xludf.DUMMYFUNCTION("""COMPUTED_VALUE"""),"141 หมู่ที่ 16 ต.ทรายขาว อ.วังสะพุง จ.เลย 42130")</f>
        <v>141 หมู่ที่ 16 ต.ทรายขาว อ.วังสะพุง จ.เลย 42130</v>
      </c>
      <c r="Y3029" s="3"/>
      <c r="Z3029" s="3" t="str">
        <f>IFERROR(__xludf.DUMMYFUNCTION("""COMPUTED_VALUE"""),"ทรายขาว")</f>
        <v>ทรายขาว</v>
      </c>
      <c r="AA3029" s="3" t="str">
        <f>IFERROR(__xludf.DUMMYFUNCTION("""COMPUTED_VALUE"""),"วังสะพุฃ")</f>
        <v>วังสะพุฃ</v>
      </c>
      <c r="AB3029" s="3" t="str">
        <f>IFERROR(__xludf.DUMMYFUNCTION("""COMPUTED_VALUE"""),"เลย")</f>
        <v>เลย</v>
      </c>
      <c r="AC3029" s="3">
        <f>IFERROR(__xludf.DUMMYFUNCTION("""COMPUTED_VALUE"""),42130.0)</f>
        <v>42130</v>
      </c>
      <c r="AD3029" s="3"/>
      <c r="AE3029" s="3"/>
      <c r="AF3029" s="3" t="str">
        <f>IFERROR(__xludf.DUMMYFUNCTION("""COMPUTED_VALUE"""),"ร้านลักษณ์มินิมาร์ท-83939")</f>
        <v>ร้านลักษณ์มินิมาร์ท-83939</v>
      </c>
      <c r="AG3029" s="3" t="str">
        <f>IFERROR(__xludf.DUMMYFUNCTION("""COMPUTED_VALUE"""),"ตะวันออกเฉียงเหนือ")</f>
        <v>ตะวันออกเฉียงเหนือ</v>
      </c>
      <c r="AH3029" s="3" t="str">
        <f>IFERROR(__xludf.DUMMYFUNCTION("""COMPUTED_VALUE"""),"#N/A")</f>
        <v>#N/A</v>
      </c>
      <c r="AI3029" s="3" t="str">
        <f>IFERROR(__xludf.DUMMYFUNCTION("""COMPUTED_VALUE"""),"Out of warranty")</f>
        <v>Out of warranty</v>
      </c>
      <c r="AJ3029" s="3">
        <f>IFERROR(__xludf.DUMMYFUNCTION("""COMPUTED_VALUE"""),41.0)</f>
        <v>41</v>
      </c>
      <c r="AK3029" s="3"/>
      <c r="AL3029" s="3"/>
    </row>
    <row r="3030" ht="15.75" customHeight="1">
      <c r="A3030" s="1" t="str">
        <f>IFERROR(__xludf.DUMMYFUNCTION("""COMPUTED_VALUE"""),"83941")</f>
        <v>83941</v>
      </c>
      <c r="B3030" s="2">
        <f>IFERROR(__xludf.DUMMYFUNCTION("""COMPUTED_VALUE"""),83941.0)</f>
        <v>83941</v>
      </c>
      <c r="C3030" s="3" t="str">
        <f>IFERROR(__xludf.DUMMYFUNCTION("""COMPUTED_VALUE"""),"ร้านชีโร่ซุปเปอร์มาร์เก็ต")</f>
        <v>ร้านชีโร่ซุปเปอร์มาร์เก็ต</v>
      </c>
      <c r="D3030" s="3" t="str">
        <f>IFERROR(__xludf.DUMMYFUNCTION("""COMPUTED_VALUE"""),"ร้านชีโร่ซุปเปอร์มาร์เก็ต")</f>
        <v>ร้านชีโร่ซุปเปอร์มาร์เก็ต</v>
      </c>
      <c r="E3030" s="1" t="str">
        <f>IFERROR(__xludf.DUMMYFUNCTION("""COMPUTED_VALUE"""),"Donjai")</f>
        <v>Donjai</v>
      </c>
      <c r="F3030" s="1" t="str">
        <f>IFERROR(__xludf.DUMMYFUNCTION("""COMPUTED_VALUE"""),"2454781")</f>
        <v>2454781</v>
      </c>
      <c r="G3030" s="1" t="str">
        <f>IFERROR(__xludf.DUMMYFUNCTION("""COMPUTED_VALUE"""),"นายฌานกฤช นันทะโคต")</f>
        <v>นายฌานกฤช นันทะโคต</v>
      </c>
      <c r="H3030" s="1" t="str">
        <f>IFERROR(__xludf.DUMMYFUNCTION("""COMPUTED_VALUE"""),"2454781")</f>
        <v>2454781</v>
      </c>
      <c r="I3030" s="1" t="str">
        <f>IFERROR(__xludf.DUMMYFUNCTION("""COMPUTED_VALUE"""),"นายฌานกฤช นันทะโคต")</f>
        <v>นายฌานกฤช นันทะโคต</v>
      </c>
      <c r="J3030" s="3">
        <f>IFERROR(__xludf.DUMMYFUNCTION("""COMPUTED_VALUE"""),295886.0)</f>
        <v>295886</v>
      </c>
      <c r="K3030" s="3" t="str">
        <f>IFERROR(__xludf.DUMMYFUNCTION("""COMPUTED_VALUE"""),"นายจิระพงษ์ โพธิ์นิล")</f>
        <v>นายจิระพงษ์ โพธิ์นิล</v>
      </c>
      <c r="L3030" s="1" t="str">
        <f>IFERROR(__xludf.DUMMYFUNCTION("""COMPUTED_VALUE"""),"นายจิระพงษ์ โพธิ์นิล")</f>
        <v>นายจิระพงษ์ โพธิ์นิล</v>
      </c>
      <c r="M3030" s="1" t="str">
        <f>IFERROR(__xludf.DUMMYFUNCTION("""COMPUTED_VALUE"""),"0933290754")</f>
        <v>0933290754</v>
      </c>
      <c r="N3030" s="3">
        <f>IFERROR(__xludf.DUMMYFUNCTION("""COMPUTED_VALUE"""),83941.0)</f>
        <v>83941</v>
      </c>
      <c r="O3030" s="3" t="str">
        <f>IFERROR(__xludf.DUMMYFUNCTION("""COMPUTED_VALUE"""),"ร้านชีโร่ซุปเปอร์มาร์เก็ต")</f>
        <v>ร้านชีโร่ซุปเปอร์มาร์เก็ต</v>
      </c>
      <c r="P3030" s="4">
        <f>IFERROR(__xludf.DUMMYFUNCTION("""COMPUTED_VALUE"""),44753.0)</f>
        <v>44753</v>
      </c>
      <c r="Q3030" s="3" t="str">
        <f>IFERROR(__xludf.DUMMYFUNCTION("""COMPUTED_VALUE"""),"A")</f>
        <v>A</v>
      </c>
      <c r="R3030" s="3" t="str">
        <f>IFERROR(__xludf.DUMMYFUNCTION("""COMPUTED_VALUE"""),"Small Format")</f>
        <v>Small Format</v>
      </c>
      <c r="S3030" s="3" t="str">
        <f>IFERROR(__xludf.DUMMYFUNCTION("""COMPUTED_VALUE"""),"Donjai")</f>
        <v>Donjai</v>
      </c>
      <c r="T3030" s="3" t="str">
        <f>IFERROR(__xludf.DUMMYFUNCTION("""COMPUTED_VALUE"""),"05 K.Chanakrit N.")</f>
        <v>05 K.Chanakrit N.</v>
      </c>
      <c r="U3030" s="3" t="str">
        <f>IFERROR(__xludf.DUMMYFUNCTION("""COMPUTED_VALUE"""),"05 K.Chanakrit N.")</f>
        <v>05 K.Chanakrit N.</v>
      </c>
      <c r="V3030" s="3" t="str">
        <f>IFERROR(__xludf.DUMMYFUNCTION("""COMPUTED_VALUE"""),"N")</f>
        <v>N</v>
      </c>
      <c r="W3030" s="3"/>
      <c r="X3030" s="3" t="str">
        <f>IFERROR(__xludf.DUMMYFUNCTION("""COMPUTED_VALUE"""),"166 โคกเพชร ขุขันธ์ ศรีสะเกษ 33140")</f>
        <v>166 โคกเพชร ขุขันธ์ ศรีสะเกษ 33140</v>
      </c>
      <c r="Y3030" s="3"/>
      <c r="Z3030" s="3">
        <f>IFERROR(__xludf.DUMMYFUNCTION("""COMPUTED_VALUE"""),0.0)</f>
        <v>0</v>
      </c>
      <c r="AA3030" s="3">
        <f>IFERROR(__xludf.DUMMYFUNCTION("""COMPUTED_VALUE"""),0.0)</f>
        <v>0</v>
      </c>
      <c r="AB3030" s="3" t="str">
        <f>IFERROR(__xludf.DUMMYFUNCTION("""COMPUTED_VALUE"""),"ศรีสะเกษ")</f>
        <v>ศรีสะเกษ</v>
      </c>
      <c r="AC3030" s="3">
        <f>IFERROR(__xludf.DUMMYFUNCTION("""COMPUTED_VALUE"""),33140.0)</f>
        <v>33140</v>
      </c>
      <c r="AD3030" s="3"/>
      <c r="AE3030" s="3"/>
      <c r="AF3030" s="3" t="str">
        <f>IFERROR(__xludf.DUMMYFUNCTION("""COMPUTED_VALUE"""),"ร้านชีโร่ซุปเปอร์มาร์เก็ต-83941")</f>
        <v>ร้านชีโร่ซุปเปอร์มาร์เก็ต-83941</v>
      </c>
      <c r="AG3030" s="3" t="str">
        <f>IFERROR(__xludf.DUMMYFUNCTION("""COMPUTED_VALUE"""),"ตะวันออกเฉียงเหนือ")</f>
        <v>ตะวันออกเฉียงเหนือ</v>
      </c>
      <c r="AH3030" s="3" t="str">
        <f>IFERROR(__xludf.DUMMYFUNCTION("""COMPUTED_VALUE"""),"#N/A")</f>
        <v>#N/A</v>
      </c>
      <c r="AI3030" s="3" t="str">
        <f>IFERROR(__xludf.DUMMYFUNCTION("""COMPUTED_VALUE"""),"Out of warranty")</f>
        <v>Out of warranty</v>
      </c>
      <c r="AJ3030" s="3">
        <f>IFERROR(__xludf.DUMMYFUNCTION("""COMPUTED_VALUE"""),43.0)</f>
        <v>43</v>
      </c>
      <c r="AK3030" s="3"/>
      <c r="AL3030" s="3"/>
    </row>
    <row r="3031" ht="15.75" customHeight="1">
      <c r="A3031" s="1" t="str">
        <f>IFERROR(__xludf.DUMMYFUNCTION("""COMPUTED_VALUE"""),"83942")</f>
        <v>83942</v>
      </c>
      <c r="B3031" s="2">
        <f>IFERROR(__xludf.DUMMYFUNCTION("""COMPUTED_VALUE"""),83942.0)</f>
        <v>83942</v>
      </c>
      <c r="C3031" s="3" t="str">
        <f>IFERROR(__xludf.DUMMYFUNCTION("""COMPUTED_VALUE"""),"ร้านทองบัญชา")</f>
        <v>ร้านทองบัญชา</v>
      </c>
      <c r="D3031" s="3" t="str">
        <f>IFERROR(__xludf.DUMMYFUNCTION("""COMPUTED_VALUE"""),"ร้านทองบัญชา")</f>
        <v>ร้านทองบัญชา</v>
      </c>
      <c r="E3031" s="1" t="str">
        <f>IFERROR(__xludf.DUMMYFUNCTION("""COMPUTED_VALUE"""),"Donjai")</f>
        <v>Donjai</v>
      </c>
      <c r="F3031" s="1" t="str">
        <f>IFERROR(__xludf.DUMMYFUNCTION("""COMPUTED_VALUE"""),"2454781")</f>
        <v>2454781</v>
      </c>
      <c r="G3031" s="1" t="str">
        <f>IFERROR(__xludf.DUMMYFUNCTION("""COMPUTED_VALUE"""),"นายฌานกฤช นันทะโคต")</f>
        <v>นายฌานกฤช นันทะโคต</v>
      </c>
      <c r="H3031" s="1" t="str">
        <f>IFERROR(__xludf.DUMMYFUNCTION("""COMPUTED_VALUE"""),"2454781")</f>
        <v>2454781</v>
      </c>
      <c r="I3031" s="1" t="str">
        <f>IFERROR(__xludf.DUMMYFUNCTION("""COMPUTED_VALUE"""),"นายฌานกฤช นันทะโคต")</f>
        <v>นายฌานกฤช นันทะโคต</v>
      </c>
      <c r="J3031" s="3">
        <f>IFERROR(__xludf.DUMMYFUNCTION("""COMPUTED_VALUE"""),295886.0)</f>
        <v>295886</v>
      </c>
      <c r="K3031" s="3" t="str">
        <f>IFERROR(__xludf.DUMMYFUNCTION("""COMPUTED_VALUE"""),"นายจิระพงษ์ โพธิ์นิล")</f>
        <v>นายจิระพงษ์ โพธิ์นิล</v>
      </c>
      <c r="L3031" s="1" t="str">
        <f>IFERROR(__xludf.DUMMYFUNCTION("""COMPUTED_VALUE"""),"นายจิระพงษ์ โพธิ์นิล")</f>
        <v>นายจิระพงษ์ โพธิ์นิล</v>
      </c>
      <c r="M3031" s="1" t="str">
        <f>IFERROR(__xludf.DUMMYFUNCTION("""COMPUTED_VALUE"""),"0933290754")</f>
        <v>0933290754</v>
      </c>
      <c r="N3031" s="3">
        <f>IFERROR(__xludf.DUMMYFUNCTION("""COMPUTED_VALUE"""),83942.0)</f>
        <v>83942</v>
      </c>
      <c r="O3031" s="3" t="str">
        <f>IFERROR(__xludf.DUMMYFUNCTION("""COMPUTED_VALUE"""),"ร้านทองบัญชา")</f>
        <v>ร้านทองบัญชา</v>
      </c>
      <c r="P3031" s="4">
        <f>IFERROR(__xludf.DUMMYFUNCTION("""COMPUTED_VALUE"""),44758.0)</f>
        <v>44758</v>
      </c>
      <c r="Q3031" s="3" t="str">
        <f>IFERROR(__xludf.DUMMYFUNCTION("""COMPUTED_VALUE"""),"A")</f>
        <v>A</v>
      </c>
      <c r="R3031" s="3" t="str">
        <f>IFERROR(__xludf.DUMMYFUNCTION("""COMPUTED_VALUE"""),"Small Format")</f>
        <v>Small Format</v>
      </c>
      <c r="S3031" s="3" t="str">
        <f>IFERROR(__xludf.DUMMYFUNCTION("""COMPUTED_VALUE"""),"Donjai")</f>
        <v>Donjai</v>
      </c>
      <c r="T3031" s="3" t="str">
        <f>IFERROR(__xludf.DUMMYFUNCTION("""COMPUTED_VALUE"""),"05 K.Chanakrit N.")</f>
        <v>05 K.Chanakrit N.</v>
      </c>
      <c r="U3031" s="3" t="str">
        <f>IFERROR(__xludf.DUMMYFUNCTION("""COMPUTED_VALUE"""),"05 K.Chanakrit N.")</f>
        <v>05 K.Chanakrit N.</v>
      </c>
      <c r="V3031" s="3" t="str">
        <f>IFERROR(__xludf.DUMMYFUNCTION("""COMPUTED_VALUE"""),"N")</f>
        <v>N</v>
      </c>
      <c r="W3031" s="3"/>
      <c r="X3031" s="3" t="str">
        <f>IFERROR(__xludf.DUMMYFUNCTION("""COMPUTED_VALUE"""),"198 บ้านหนองตะกาศ ภูเงิน กันทรลักษ์ ศรีสะเกษ 33110")</f>
        <v>198 บ้านหนองตะกาศ ภูเงิน กันทรลักษ์ ศรีสะเกษ 33110</v>
      </c>
      <c r="Y3031" s="3"/>
      <c r="Z3031" s="3">
        <f>IFERROR(__xludf.DUMMYFUNCTION("""COMPUTED_VALUE"""),0.0)</f>
        <v>0</v>
      </c>
      <c r="AA3031" s="3">
        <f>IFERROR(__xludf.DUMMYFUNCTION("""COMPUTED_VALUE"""),0.0)</f>
        <v>0</v>
      </c>
      <c r="AB3031" s="3" t="str">
        <f>IFERROR(__xludf.DUMMYFUNCTION("""COMPUTED_VALUE"""),"ศรีสะเกษ")</f>
        <v>ศรีสะเกษ</v>
      </c>
      <c r="AC3031" s="3">
        <f>IFERROR(__xludf.DUMMYFUNCTION("""COMPUTED_VALUE"""),33110.0)</f>
        <v>33110</v>
      </c>
      <c r="AD3031" s="3"/>
      <c r="AE3031" s="3"/>
      <c r="AF3031" s="3" t="str">
        <f>IFERROR(__xludf.DUMMYFUNCTION("""COMPUTED_VALUE"""),"ร้านทองบัญชา-83942")</f>
        <v>ร้านทองบัญชา-83942</v>
      </c>
      <c r="AG3031" s="3" t="str">
        <f>IFERROR(__xludf.DUMMYFUNCTION("""COMPUTED_VALUE"""),"ตะวันออกเฉียงเหนือ")</f>
        <v>ตะวันออกเฉียงเหนือ</v>
      </c>
      <c r="AH3031" s="3" t="str">
        <f>IFERROR(__xludf.DUMMYFUNCTION("""COMPUTED_VALUE"""),"#N/A")</f>
        <v>#N/A</v>
      </c>
      <c r="AI3031" s="3" t="str">
        <f>IFERROR(__xludf.DUMMYFUNCTION("""COMPUTED_VALUE"""),"Out of warranty")</f>
        <v>Out of warranty</v>
      </c>
      <c r="AJ3031" s="3">
        <f>IFERROR(__xludf.DUMMYFUNCTION("""COMPUTED_VALUE"""),43.0)</f>
        <v>43</v>
      </c>
      <c r="AK3031" s="3"/>
      <c r="AL3031" s="3"/>
    </row>
    <row r="3032" ht="15.75" customHeight="1">
      <c r="A3032" s="1" t="str">
        <f>IFERROR(__xludf.DUMMYFUNCTION("""COMPUTED_VALUE"""),"83946")</f>
        <v>83946</v>
      </c>
      <c r="B3032" s="2">
        <f>IFERROR(__xludf.DUMMYFUNCTION("""COMPUTED_VALUE"""),83946.0)</f>
        <v>83946</v>
      </c>
      <c r="C3032" s="3" t="str">
        <f>IFERROR(__xludf.DUMMYFUNCTION("""COMPUTED_VALUE"""),"ร้านภูไท การค้า ( ประวันญา การค้า )")</f>
        <v>ร้านภูไท การค้า ( ประวันญา การค้า )</v>
      </c>
      <c r="D3032" s="3" t="str">
        <f>IFERROR(__xludf.DUMMYFUNCTION("""COMPUTED_VALUE"""),"ร้านภูไท การค้า ( ประวันญา การค้า )")</f>
        <v>ร้านภูไท การค้า ( ประวันญา การค้า )</v>
      </c>
      <c r="E3032" s="1" t="str">
        <f>IFERROR(__xludf.DUMMYFUNCTION("""COMPUTED_VALUE"""),"Donjai")</f>
        <v>Donjai</v>
      </c>
      <c r="F3032" s="1" t="str">
        <f>IFERROR(__xludf.DUMMYFUNCTION("""COMPUTED_VALUE"""),"296868")</f>
        <v>296868</v>
      </c>
      <c r="G3032" s="1" t="str">
        <f>IFERROR(__xludf.DUMMYFUNCTION("""COMPUTED_VALUE"""),"นายพีระพงษ์ แก้วดวงดี")</f>
        <v>นายพีระพงษ์ แก้วดวงดี</v>
      </c>
      <c r="H3032" s="1" t="str">
        <f>IFERROR(__xludf.DUMMYFUNCTION("""COMPUTED_VALUE"""),"296868")</f>
        <v>296868</v>
      </c>
      <c r="I3032" s="1" t="str">
        <f>IFERROR(__xludf.DUMMYFUNCTION("""COMPUTED_VALUE"""),"นายพีระพงษ์ แก้วดวงดี")</f>
        <v>นายพีระพงษ์ แก้วดวงดี</v>
      </c>
      <c r="J3032" s="3">
        <f>IFERROR(__xludf.DUMMYFUNCTION("""COMPUTED_VALUE"""),295886.0)</f>
        <v>295886</v>
      </c>
      <c r="K3032" s="3" t="str">
        <f>IFERROR(__xludf.DUMMYFUNCTION("""COMPUTED_VALUE"""),"นายจิระพงษ์ โพธิ์นิล")</f>
        <v>นายจิระพงษ์ โพธิ์นิล</v>
      </c>
      <c r="L3032" s="1" t="str">
        <f>IFERROR(__xludf.DUMMYFUNCTION("""COMPUTED_VALUE"""),"นายจิระพงษ์ โพธิ์นิล")</f>
        <v>นายจิระพงษ์ โพธิ์นิล</v>
      </c>
      <c r="M3032" s="1" t="str">
        <f>IFERROR(__xludf.DUMMYFUNCTION("""COMPUTED_VALUE"""),"0933290754")</f>
        <v>0933290754</v>
      </c>
      <c r="N3032" s="3">
        <f>IFERROR(__xludf.DUMMYFUNCTION("""COMPUTED_VALUE"""),83946.0)</f>
        <v>83946</v>
      </c>
      <c r="O3032" s="3" t="str">
        <f>IFERROR(__xludf.DUMMYFUNCTION("""COMPUTED_VALUE"""),"ร้านภูไท การค้า ( ประวันญา การค้า )")</f>
        <v>ร้านภูไท การค้า ( ประวันญา การค้า )</v>
      </c>
      <c r="P3032" s="4">
        <f>IFERROR(__xludf.DUMMYFUNCTION("""COMPUTED_VALUE"""),44757.0)</f>
        <v>44757</v>
      </c>
      <c r="Q3032" s="3" t="str">
        <f>IFERROR(__xludf.DUMMYFUNCTION("""COMPUTED_VALUE"""),"I")</f>
        <v>I</v>
      </c>
      <c r="R3032" s="3" t="str">
        <f>IFERROR(__xludf.DUMMYFUNCTION("""COMPUTED_VALUE"""),"Small Format")</f>
        <v>Small Format</v>
      </c>
      <c r="S3032" s="3" t="str">
        <f>IFERROR(__xludf.DUMMYFUNCTION("""COMPUTED_VALUE"""),"Donjai")</f>
        <v>Donjai</v>
      </c>
      <c r="T3032" s="3" t="str">
        <f>IFERROR(__xludf.DUMMYFUNCTION("""COMPUTED_VALUE"""),"03 K.Peerapong K.")</f>
        <v>03 K.Peerapong K.</v>
      </c>
      <c r="U3032" s="3" t="str">
        <f>IFERROR(__xludf.DUMMYFUNCTION("""COMPUTED_VALUE"""),"03 K.Peerapong K.")</f>
        <v>03 K.Peerapong K.</v>
      </c>
      <c r="V3032" s="3" t="str">
        <f>IFERROR(__xludf.DUMMYFUNCTION("""COMPUTED_VALUE"""),"N")</f>
        <v>N</v>
      </c>
      <c r="W3032" s="3"/>
      <c r="X3032" s="3" t="str">
        <f>IFERROR(__xludf.DUMMYFUNCTION("""COMPUTED_VALUE"""),"49 ม.9 หนองกวั่ง บ้านม่วง สกลนคร 47140")</f>
        <v>49 ม.9 หนองกวั่ง บ้านม่วง สกลนคร 47140</v>
      </c>
      <c r="Y3032" s="3"/>
      <c r="Z3032" s="3">
        <f>IFERROR(__xludf.DUMMYFUNCTION("""COMPUTED_VALUE"""),0.0)</f>
        <v>0</v>
      </c>
      <c r="AA3032" s="3">
        <f>IFERROR(__xludf.DUMMYFUNCTION("""COMPUTED_VALUE"""),0.0)</f>
        <v>0</v>
      </c>
      <c r="AB3032" s="3" t="str">
        <f>IFERROR(__xludf.DUMMYFUNCTION("""COMPUTED_VALUE"""),"สกลนคร")</f>
        <v>สกลนคร</v>
      </c>
      <c r="AC3032" s="3">
        <f>IFERROR(__xludf.DUMMYFUNCTION("""COMPUTED_VALUE"""),47140.0)</f>
        <v>47140</v>
      </c>
      <c r="AD3032" s="3"/>
      <c r="AE3032" s="3"/>
      <c r="AF3032" s="3" t="str">
        <f>IFERROR(__xludf.DUMMYFUNCTION("""COMPUTED_VALUE"""),"ร้านภูไท การค้า ( ประวันญา การค้า )-83946")</f>
        <v>ร้านภูไท การค้า ( ประวันญา การค้า )-83946</v>
      </c>
      <c r="AG3032" s="3" t="str">
        <f>IFERROR(__xludf.DUMMYFUNCTION("""COMPUTED_VALUE"""),"ตะวันออกเฉียงเหนือ")</f>
        <v>ตะวันออกเฉียงเหนือ</v>
      </c>
      <c r="AH3032" s="3" t="str">
        <f>IFERROR(__xludf.DUMMYFUNCTION("""COMPUTED_VALUE"""),"#N/A")</f>
        <v>#N/A</v>
      </c>
      <c r="AI3032" s="3" t="str">
        <f>IFERROR(__xludf.DUMMYFUNCTION("""COMPUTED_VALUE"""),"Out of warranty")</f>
        <v>Out of warranty</v>
      </c>
      <c r="AJ3032" s="3">
        <f>IFERROR(__xludf.DUMMYFUNCTION("""COMPUTED_VALUE"""),43.0)</f>
        <v>43</v>
      </c>
      <c r="AK3032" s="3"/>
      <c r="AL3032" s="3"/>
    </row>
    <row r="3033" ht="15.75" customHeight="1">
      <c r="A3033" s="1" t="str">
        <f>IFERROR(__xludf.DUMMYFUNCTION("""COMPUTED_VALUE"""),"83948")</f>
        <v>83948</v>
      </c>
      <c r="B3033" s="2">
        <f>IFERROR(__xludf.DUMMYFUNCTION("""COMPUTED_VALUE"""),83948.0)</f>
        <v>83948</v>
      </c>
      <c r="C3033" s="3" t="str">
        <f>IFERROR(__xludf.DUMMYFUNCTION("""COMPUTED_VALUE"""),"ร้าน 3 ป. มินิมาร์ท")</f>
        <v>ร้าน 3 ป. มินิมาร์ท</v>
      </c>
      <c r="D3033" s="3" t="str">
        <f>IFERROR(__xludf.DUMMYFUNCTION("""COMPUTED_VALUE"""),"ร้าน 3 ป. มินิมาร์ท")</f>
        <v>ร้าน 3 ป. มินิมาร์ท</v>
      </c>
      <c r="E3033" s="1" t="str">
        <f>IFERROR(__xludf.DUMMYFUNCTION("""COMPUTED_VALUE"""),"Donjai")</f>
        <v>Donjai</v>
      </c>
      <c r="F3033" s="1" t="str">
        <f>IFERROR(__xludf.DUMMYFUNCTION("""COMPUTED_VALUE"""),"2454781")</f>
        <v>2454781</v>
      </c>
      <c r="G3033" s="1" t="str">
        <f>IFERROR(__xludf.DUMMYFUNCTION("""COMPUTED_VALUE"""),"นายฌานกฤช นันทะโคต")</f>
        <v>นายฌานกฤช นันทะโคต</v>
      </c>
      <c r="H3033" s="1" t="str">
        <f>IFERROR(__xludf.DUMMYFUNCTION("""COMPUTED_VALUE"""),"2454781")</f>
        <v>2454781</v>
      </c>
      <c r="I3033" s="1" t="str">
        <f>IFERROR(__xludf.DUMMYFUNCTION("""COMPUTED_VALUE"""),"นายฌานกฤช นันทะโคต")</f>
        <v>นายฌานกฤช นันทะโคต</v>
      </c>
      <c r="J3033" s="3">
        <f>IFERROR(__xludf.DUMMYFUNCTION("""COMPUTED_VALUE"""),295886.0)</f>
        <v>295886</v>
      </c>
      <c r="K3033" s="3" t="str">
        <f>IFERROR(__xludf.DUMMYFUNCTION("""COMPUTED_VALUE"""),"นายจิระพงษ์ โพธิ์นิล")</f>
        <v>นายจิระพงษ์ โพธิ์นิล</v>
      </c>
      <c r="L3033" s="1" t="str">
        <f>IFERROR(__xludf.DUMMYFUNCTION("""COMPUTED_VALUE"""),"นายจิระพงษ์ โพธิ์นิล")</f>
        <v>นายจิระพงษ์ โพธิ์นิล</v>
      </c>
      <c r="M3033" s="1" t="str">
        <f>IFERROR(__xludf.DUMMYFUNCTION("""COMPUTED_VALUE"""),"0933290754")</f>
        <v>0933290754</v>
      </c>
      <c r="N3033" s="3">
        <f>IFERROR(__xludf.DUMMYFUNCTION("""COMPUTED_VALUE"""),83948.0)</f>
        <v>83948</v>
      </c>
      <c r="O3033" s="3" t="str">
        <f>IFERROR(__xludf.DUMMYFUNCTION("""COMPUTED_VALUE"""),"ร้าน 3 ป. มินิมาร์ท")</f>
        <v>ร้าน 3 ป. มินิมาร์ท</v>
      </c>
      <c r="P3033" s="4">
        <f>IFERROR(__xludf.DUMMYFUNCTION("""COMPUTED_VALUE"""),44798.0)</f>
        <v>44798</v>
      </c>
      <c r="Q3033" s="3" t="str">
        <f>IFERROR(__xludf.DUMMYFUNCTION("""COMPUTED_VALUE"""),"A")</f>
        <v>A</v>
      </c>
      <c r="R3033" s="3" t="str">
        <f>IFERROR(__xludf.DUMMYFUNCTION("""COMPUTED_VALUE"""),"Small Format")</f>
        <v>Small Format</v>
      </c>
      <c r="S3033" s="3" t="str">
        <f>IFERROR(__xludf.DUMMYFUNCTION("""COMPUTED_VALUE"""),"Donjai")</f>
        <v>Donjai</v>
      </c>
      <c r="T3033" s="3" t="str">
        <f>IFERROR(__xludf.DUMMYFUNCTION("""COMPUTED_VALUE"""),"05 K.Chanakrit N.")</f>
        <v>05 K.Chanakrit N.</v>
      </c>
      <c r="U3033" s="3" t="str">
        <f>IFERROR(__xludf.DUMMYFUNCTION("""COMPUTED_VALUE"""),"05 K.Chanakrit N.")</f>
        <v>05 K.Chanakrit N.</v>
      </c>
      <c r="V3033" s="3" t="str">
        <f>IFERROR(__xludf.DUMMYFUNCTION("""COMPUTED_VALUE"""),"N")</f>
        <v>N</v>
      </c>
      <c r="W3033" s="3"/>
      <c r="X3033" s="3" t="str">
        <f>IFERROR(__xludf.DUMMYFUNCTION("""COMPUTED_VALUE"""),"29 หมู่ 2 ตำบลเหล่าอ้อย อำเภอกร่องคำ จังหวัดกาฬสินธุ์ 46210")</f>
        <v>29 หมู่ 2 ตำบลเหล่าอ้อย อำเภอกร่องคำ จังหวัดกาฬสินธุ์ 46210</v>
      </c>
      <c r="Y3033" s="3"/>
      <c r="Z3033" s="3">
        <f>IFERROR(__xludf.DUMMYFUNCTION("""COMPUTED_VALUE"""),0.0)</f>
        <v>0</v>
      </c>
      <c r="AA3033" s="3">
        <f>IFERROR(__xludf.DUMMYFUNCTION("""COMPUTED_VALUE"""),0.0)</f>
        <v>0</v>
      </c>
      <c r="AB3033" s="3" t="str">
        <f>IFERROR(__xludf.DUMMYFUNCTION("""COMPUTED_VALUE"""),"กาฬสินธุ์")</f>
        <v>กาฬสินธุ์</v>
      </c>
      <c r="AC3033" s="3">
        <f>IFERROR(__xludf.DUMMYFUNCTION("""COMPUTED_VALUE"""),46210.0)</f>
        <v>46210</v>
      </c>
      <c r="AD3033" s="3"/>
      <c r="AE3033" s="3"/>
      <c r="AF3033" s="3" t="str">
        <f>IFERROR(__xludf.DUMMYFUNCTION("""COMPUTED_VALUE"""),"ร้าน 3 ป. มินิมาร์ท-83948")</f>
        <v>ร้าน 3 ป. มินิมาร์ท-83948</v>
      </c>
      <c r="AG3033" s="3" t="str">
        <f>IFERROR(__xludf.DUMMYFUNCTION("""COMPUTED_VALUE"""),"ตะวันออกเฉียงเหนือ")</f>
        <v>ตะวันออกเฉียงเหนือ</v>
      </c>
      <c r="AH3033" s="3" t="str">
        <f>IFERROR(__xludf.DUMMYFUNCTION("""COMPUTED_VALUE"""),"#N/A")</f>
        <v>#N/A</v>
      </c>
      <c r="AI3033" s="3" t="str">
        <f>IFERROR(__xludf.DUMMYFUNCTION("""COMPUTED_VALUE"""),"Out of warranty")</f>
        <v>Out of warranty</v>
      </c>
      <c r="AJ3033" s="3">
        <f>IFERROR(__xludf.DUMMYFUNCTION("""COMPUTED_VALUE"""),41.0)</f>
        <v>41</v>
      </c>
      <c r="AK3033" s="3"/>
      <c r="AL3033" s="3"/>
    </row>
    <row r="3034" ht="15.75" customHeight="1">
      <c r="A3034" s="1" t="str">
        <f>IFERROR(__xludf.DUMMYFUNCTION("""COMPUTED_VALUE"""),"83949")</f>
        <v>83949</v>
      </c>
      <c r="B3034" s="2">
        <f>IFERROR(__xludf.DUMMYFUNCTION("""COMPUTED_VALUE"""),83949.0)</f>
        <v>83949</v>
      </c>
      <c r="C3034" s="3" t="str">
        <f>IFERROR(__xludf.DUMMYFUNCTION("""COMPUTED_VALUE"""),"ทรัพย์สมบูรณ์การค้า")</f>
        <v>ทรัพย์สมบูรณ์การค้า</v>
      </c>
      <c r="D3034" s="3" t="str">
        <f>IFERROR(__xludf.DUMMYFUNCTION("""COMPUTED_VALUE"""),"ทรัพย์สมบูรณ์การค้า")</f>
        <v>ทรัพย์สมบูรณ์การค้า</v>
      </c>
      <c r="E3034" s="1" t="str">
        <f>IFERROR(__xludf.DUMMYFUNCTION("""COMPUTED_VALUE"""),"Donjai")</f>
        <v>Donjai</v>
      </c>
      <c r="F3034" s="1" t="str">
        <f>IFERROR(__xludf.DUMMYFUNCTION("""COMPUTED_VALUE"""),"296868")</f>
        <v>296868</v>
      </c>
      <c r="G3034" s="1" t="str">
        <f>IFERROR(__xludf.DUMMYFUNCTION("""COMPUTED_VALUE"""),"นายพีระพงษ์ แก้วดวงดี")</f>
        <v>นายพีระพงษ์ แก้วดวงดี</v>
      </c>
      <c r="H3034" s="1" t="str">
        <f>IFERROR(__xludf.DUMMYFUNCTION("""COMPUTED_VALUE"""),"296868")</f>
        <v>296868</v>
      </c>
      <c r="I3034" s="1" t="str">
        <f>IFERROR(__xludf.DUMMYFUNCTION("""COMPUTED_VALUE"""),"นายพีระพงษ์ แก้วดวงดี")</f>
        <v>นายพีระพงษ์ แก้วดวงดี</v>
      </c>
      <c r="J3034" s="3">
        <f>IFERROR(__xludf.DUMMYFUNCTION("""COMPUTED_VALUE"""),295886.0)</f>
        <v>295886</v>
      </c>
      <c r="K3034" s="3" t="str">
        <f>IFERROR(__xludf.DUMMYFUNCTION("""COMPUTED_VALUE"""),"นายจิระพงษ์ โพธิ์นิล")</f>
        <v>นายจิระพงษ์ โพธิ์นิล</v>
      </c>
      <c r="L3034" s="1" t="str">
        <f>IFERROR(__xludf.DUMMYFUNCTION("""COMPUTED_VALUE"""),"นายจิระพงษ์ โพธิ์นิล")</f>
        <v>นายจิระพงษ์ โพธิ์นิล</v>
      </c>
      <c r="M3034" s="1" t="str">
        <f>IFERROR(__xludf.DUMMYFUNCTION("""COMPUTED_VALUE"""),"0933290754")</f>
        <v>0933290754</v>
      </c>
      <c r="N3034" s="3">
        <f>IFERROR(__xludf.DUMMYFUNCTION("""COMPUTED_VALUE"""),83949.0)</f>
        <v>83949</v>
      </c>
      <c r="O3034" s="3" t="str">
        <f>IFERROR(__xludf.DUMMYFUNCTION("""COMPUTED_VALUE"""),"ทรัพย์สมบูรณ์การค้า")</f>
        <v>ทรัพย์สมบูรณ์การค้า</v>
      </c>
      <c r="P3034" s="4">
        <f>IFERROR(__xludf.DUMMYFUNCTION("""COMPUTED_VALUE"""),44833.0)</f>
        <v>44833</v>
      </c>
      <c r="Q3034" s="3" t="str">
        <f>IFERROR(__xludf.DUMMYFUNCTION("""COMPUTED_VALUE"""),"A")</f>
        <v>A</v>
      </c>
      <c r="R3034" s="3" t="str">
        <f>IFERROR(__xludf.DUMMYFUNCTION("""COMPUTED_VALUE"""),"Small Format")</f>
        <v>Small Format</v>
      </c>
      <c r="S3034" s="3" t="str">
        <f>IFERROR(__xludf.DUMMYFUNCTION("""COMPUTED_VALUE"""),"Donjai")</f>
        <v>Donjai</v>
      </c>
      <c r="T3034" s="3" t="str">
        <f>IFERROR(__xludf.DUMMYFUNCTION("""COMPUTED_VALUE"""),"03 K.Peerapong K.")</f>
        <v>03 K.Peerapong K.</v>
      </c>
      <c r="U3034" s="3" t="str">
        <f>IFERROR(__xludf.DUMMYFUNCTION("""COMPUTED_VALUE"""),"03 K.Peerapong K.")</f>
        <v>03 K.Peerapong K.</v>
      </c>
      <c r="V3034" s="3" t="str">
        <f>IFERROR(__xludf.DUMMYFUNCTION("""COMPUTED_VALUE"""),"N")</f>
        <v>N</v>
      </c>
      <c r="W3034" s="3"/>
      <c r="X3034" s="3" t="str">
        <f>IFERROR(__xludf.DUMMYFUNCTION("""COMPUTED_VALUE"""),"9 ม.14 บ่อแก้ว บ้านม่วง สกลนคร 47140")</f>
        <v>9 ม.14 บ่อแก้ว บ้านม่วง สกลนคร 47140</v>
      </c>
      <c r="Y3034" s="3"/>
      <c r="Z3034" s="3">
        <f>IFERROR(__xludf.DUMMYFUNCTION("""COMPUTED_VALUE"""),0.0)</f>
        <v>0</v>
      </c>
      <c r="AA3034" s="3">
        <f>IFERROR(__xludf.DUMMYFUNCTION("""COMPUTED_VALUE"""),0.0)</f>
        <v>0</v>
      </c>
      <c r="AB3034" s="3" t="str">
        <f>IFERROR(__xludf.DUMMYFUNCTION("""COMPUTED_VALUE"""),"สกลนคร")</f>
        <v>สกลนคร</v>
      </c>
      <c r="AC3034" s="3">
        <f>IFERROR(__xludf.DUMMYFUNCTION("""COMPUTED_VALUE"""),47140.0)</f>
        <v>47140</v>
      </c>
      <c r="AD3034" s="3"/>
      <c r="AE3034" s="3"/>
      <c r="AF3034" s="3" t="str">
        <f>IFERROR(__xludf.DUMMYFUNCTION("""COMPUTED_VALUE"""),"ทรัพย์สมบูรณ์การค้า-83949")</f>
        <v>ทรัพย์สมบูรณ์การค้า-83949</v>
      </c>
      <c r="AG3034" s="3" t="str">
        <f>IFERROR(__xludf.DUMMYFUNCTION("""COMPUTED_VALUE"""),"ตะวันออกเฉียงเหนือ")</f>
        <v>ตะวันออกเฉียงเหนือ</v>
      </c>
      <c r="AH3034" s="3" t="str">
        <f>IFERROR(__xludf.DUMMYFUNCTION("""COMPUTED_VALUE"""),"#N/A")</f>
        <v>#N/A</v>
      </c>
      <c r="AI3034" s="3" t="str">
        <f>IFERROR(__xludf.DUMMYFUNCTION("""COMPUTED_VALUE"""),"Out of warranty")</f>
        <v>Out of warranty</v>
      </c>
      <c r="AJ3034" s="3">
        <f>IFERROR(__xludf.DUMMYFUNCTION("""COMPUTED_VALUE"""),40.0)</f>
        <v>40</v>
      </c>
      <c r="AK3034" s="3"/>
      <c r="AL3034" s="3"/>
    </row>
    <row r="3035" ht="15.75" customHeight="1">
      <c r="A3035" s="1" t="str">
        <f>IFERROR(__xludf.DUMMYFUNCTION("""COMPUTED_VALUE"""),"83951")</f>
        <v>83951</v>
      </c>
      <c r="B3035" s="2">
        <f>IFERROR(__xludf.DUMMYFUNCTION("""COMPUTED_VALUE"""),83951.0)</f>
        <v>83951</v>
      </c>
      <c r="C3035" s="3" t="str">
        <f>IFERROR(__xludf.DUMMYFUNCTION("""COMPUTED_VALUE"""),"ร้านสิรินรัตน์การเกษตร")</f>
        <v>ร้านสิรินรัตน์การเกษตร</v>
      </c>
      <c r="D3035" s="3" t="str">
        <f>IFERROR(__xludf.DUMMYFUNCTION("""COMPUTED_VALUE"""),"ร้านสิรินรัตน์การเกษตร")</f>
        <v>ร้านสิรินรัตน์การเกษตร</v>
      </c>
      <c r="E3035" s="1" t="str">
        <f>IFERROR(__xludf.DUMMYFUNCTION("""COMPUTED_VALUE"""),"Donjai")</f>
        <v>Donjai</v>
      </c>
      <c r="F3035" s="1" t="str">
        <f>IFERROR(__xludf.DUMMYFUNCTION("""COMPUTED_VALUE"""),"2454781")</f>
        <v>2454781</v>
      </c>
      <c r="G3035" s="1" t="str">
        <f>IFERROR(__xludf.DUMMYFUNCTION("""COMPUTED_VALUE"""),"นายฌานกฤช นันทะโคต")</f>
        <v>นายฌานกฤช นันทะโคต</v>
      </c>
      <c r="H3035" s="1" t="str">
        <f>IFERROR(__xludf.DUMMYFUNCTION("""COMPUTED_VALUE"""),"2454781")</f>
        <v>2454781</v>
      </c>
      <c r="I3035" s="1" t="str">
        <f>IFERROR(__xludf.DUMMYFUNCTION("""COMPUTED_VALUE"""),"นายฌานกฤช นันทะโคต")</f>
        <v>นายฌานกฤช นันทะโคต</v>
      </c>
      <c r="J3035" s="3">
        <f>IFERROR(__xludf.DUMMYFUNCTION("""COMPUTED_VALUE"""),295886.0)</f>
        <v>295886</v>
      </c>
      <c r="K3035" s="3" t="str">
        <f>IFERROR(__xludf.DUMMYFUNCTION("""COMPUTED_VALUE"""),"นายจิระพงษ์ โพธิ์นิล")</f>
        <v>นายจิระพงษ์ โพธิ์นิล</v>
      </c>
      <c r="L3035" s="1" t="str">
        <f>IFERROR(__xludf.DUMMYFUNCTION("""COMPUTED_VALUE"""),"นายจิระพงษ์ โพธิ์นิล")</f>
        <v>นายจิระพงษ์ โพธิ์นิล</v>
      </c>
      <c r="M3035" s="1" t="str">
        <f>IFERROR(__xludf.DUMMYFUNCTION("""COMPUTED_VALUE"""),"0933290754")</f>
        <v>0933290754</v>
      </c>
      <c r="N3035" s="3">
        <f>IFERROR(__xludf.DUMMYFUNCTION("""COMPUTED_VALUE"""),83951.0)</f>
        <v>83951</v>
      </c>
      <c r="O3035" s="3" t="str">
        <f>IFERROR(__xludf.DUMMYFUNCTION("""COMPUTED_VALUE"""),"ร้านสิรินรัตน์การเกษตร")</f>
        <v>ร้านสิรินรัตน์การเกษตร</v>
      </c>
      <c r="P3035" s="4">
        <f>IFERROR(__xludf.DUMMYFUNCTION("""COMPUTED_VALUE"""),44874.0)</f>
        <v>44874</v>
      </c>
      <c r="Q3035" s="3" t="str">
        <f>IFERROR(__xludf.DUMMYFUNCTION("""COMPUTED_VALUE"""),"A")</f>
        <v>A</v>
      </c>
      <c r="R3035" s="3" t="str">
        <f>IFERROR(__xludf.DUMMYFUNCTION("""COMPUTED_VALUE"""),"Small Format")</f>
        <v>Small Format</v>
      </c>
      <c r="S3035" s="3" t="str">
        <f>IFERROR(__xludf.DUMMYFUNCTION("""COMPUTED_VALUE"""),"Donjai")</f>
        <v>Donjai</v>
      </c>
      <c r="T3035" s="3" t="str">
        <f>IFERROR(__xludf.DUMMYFUNCTION("""COMPUTED_VALUE"""),"05 K.Chanakrit N.")</f>
        <v>05 K.Chanakrit N.</v>
      </c>
      <c r="U3035" s="3" t="str">
        <f>IFERROR(__xludf.DUMMYFUNCTION("""COMPUTED_VALUE"""),"05 K.Chanakrit N.")</f>
        <v>05 K.Chanakrit N.</v>
      </c>
      <c r="V3035" s="3" t="str">
        <f>IFERROR(__xludf.DUMMYFUNCTION("""COMPUTED_VALUE"""),"N")</f>
        <v>N</v>
      </c>
      <c r="W3035" s="3"/>
      <c r="X3035" s="3" t="str">
        <f>IFERROR(__xludf.DUMMYFUNCTION("""COMPUTED_VALUE"""),"219 หมู่ 8 ต.ภูเงิน อ.เสลภูมิ จ.ร้อยเอ็ด 45120")</f>
        <v>219 หมู่ 8 ต.ภูเงิน อ.เสลภูมิ จ.ร้อยเอ็ด 45120</v>
      </c>
      <c r="Y3035" s="3"/>
      <c r="Z3035" s="3">
        <f>IFERROR(__xludf.DUMMYFUNCTION("""COMPUTED_VALUE"""),0.0)</f>
        <v>0</v>
      </c>
      <c r="AA3035" s="3">
        <f>IFERROR(__xludf.DUMMYFUNCTION("""COMPUTED_VALUE"""),0.0)</f>
        <v>0</v>
      </c>
      <c r="AB3035" s="3" t="str">
        <f>IFERROR(__xludf.DUMMYFUNCTION("""COMPUTED_VALUE"""),"ร้อยเอ็ด")</f>
        <v>ร้อยเอ็ด</v>
      </c>
      <c r="AC3035" s="3">
        <f>IFERROR(__xludf.DUMMYFUNCTION("""COMPUTED_VALUE"""),45120.0)</f>
        <v>45120</v>
      </c>
      <c r="AD3035" s="3"/>
      <c r="AE3035" s="3"/>
      <c r="AF3035" s="3" t="str">
        <f>IFERROR(__xludf.DUMMYFUNCTION("""COMPUTED_VALUE"""),"ร้านสิรินรัตน์การเกษตร-83951")</f>
        <v>ร้านสิรินรัตน์การเกษตร-83951</v>
      </c>
      <c r="AG3035" s="3" t="str">
        <f>IFERROR(__xludf.DUMMYFUNCTION("""COMPUTED_VALUE"""),"ตะวันออกเฉียงเหนือ")</f>
        <v>ตะวันออกเฉียงเหนือ</v>
      </c>
      <c r="AH3035" s="3" t="str">
        <f>IFERROR(__xludf.DUMMYFUNCTION("""COMPUTED_VALUE"""),"#N/A")</f>
        <v>#N/A</v>
      </c>
      <c r="AI3035" s="3" t="str">
        <f>IFERROR(__xludf.DUMMYFUNCTION("""COMPUTED_VALUE"""),"Out of warranty")</f>
        <v>Out of warranty</v>
      </c>
      <c r="AJ3035" s="3">
        <f>IFERROR(__xludf.DUMMYFUNCTION("""COMPUTED_VALUE"""),39.0)</f>
        <v>39</v>
      </c>
      <c r="AK3035" s="3"/>
      <c r="AL3035" s="3"/>
    </row>
    <row r="3036" ht="15.75" customHeight="1">
      <c r="A3036" s="1" t="str">
        <f>IFERROR(__xludf.DUMMYFUNCTION("""COMPUTED_VALUE"""),"83952")</f>
        <v>83952</v>
      </c>
      <c r="B3036" s="2">
        <f>IFERROR(__xludf.DUMMYFUNCTION("""COMPUTED_VALUE"""),83952.0)</f>
        <v>83952</v>
      </c>
      <c r="C3036" s="3" t="str">
        <f>IFERROR(__xludf.DUMMYFUNCTION("""COMPUTED_VALUE"""),"ร้าน ๙หน้ามินิมาร์ท ( 888 มินิมาร์ท )")</f>
        <v>ร้าน ๙หน้ามินิมาร์ท ( 888 มินิมาร์ท )</v>
      </c>
      <c r="D3036" s="3" t="str">
        <f>IFERROR(__xludf.DUMMYFUNCTION("""COMPUTED_VALUE"""),"ร้าน ๙หน้ามินิมาร์ท ( 888 มินิมาร์ท )")</f>
        <v>ร้าน ๙หน้ามินิมาร์ท ( 888 มินิมาร์ท )</v>
      </c>
      <c r="E3036" s="1" t="str">
        <f>IFERROR(__xludf.DUMMYFUNCTION("""COMPUTED_VALUE"""),"Donjai")</f>
        <v>Donjai</v>
      </c>
      <c r="F3036" s="1" t="str">
        <f>IFERROR(__xludf.DUMMYFUNCTION("""COMPUTED_VALUE"""),"2010016")</f>
        <v>2010016</v>
      </c>
      <c r="G3036" s="1" t="str">
        <f>IFERROR(__xludf.DUMMYFUNCTION("""COMPUTED_VALUE"""),"นายตวงธรรม ใหม่ยศ")</f>
        <v>นายตวงธรรม ใหม่ยศ</v>
      </c>
      <c r="H3036" s="1" t="str">
        <f>IFERROR(__xludf.DUMMYFUNCTION("""COMPUTED_VALUE"""),"2010016")</f>
        <v>2010016</v>
      </c>
      <c r="I3036" s="1" t="str">
        <f>IFERROR(__xludf.DUMMYFUNCTION("""COMPUTED_VALUE"""),"นายตวงธรรม ใหม่ยศ")</f>
        <v>นายตวงธรรม ใหม่ยศ</v>
      </c>
      <c r="J3036" s="3">
        <f>IFERROR(__xludf.DUMMYFUNCTION("""COMPUTED_VALUE"""),295886.0)</f>
        <v>295886</v>
      </c>
      <c r="K3036" s="3" t="str">
        <f>IFERROR(__xludf.DUMMYFUNCTION("""COMPUTED_VALUE"""),"นายจิระพงษ์ โพธิ์นิล")</f>
        <v>นายจิระพงษ์ โพธิ์นิล</v>
      </c>
      <c r="L3036" s="1" t="str">
        <f>IFERROR(__xludf.DUMMYFUNCTION("""COMPUTED_VALUE"""),"นายจิระพงษ์ โพธิ์นิล")</f>
        <v>นายจิระพงษ์ โพธิ์นิล</v>
      </c>
      <c r="M3036" s="1" t="str">
        <f>IFERROR(__xludf.DUMMYFUNCTION("""COMPUTED_VALUE"""),"0933290754")</f>
        <v>0933290754</v>
      </c>
      <c r="N3036" s="3">
        <f>IFERROR(__xludf.DUMMYFUNCTION("""COMPUTED_VALUE"""),83952.0)</f>
        <v>83952</v>
      </c>
      <c r="O3036" s="3" t="str">
        <f>IFERROR(__xludf.DUMMYFUNCTION("""COMPUTED_VALUE"""),"ร้าน ๙หน้ามินิมาร์ท ( 888 มินิมาร์ท )")</f>
        <v>ร้าน ๙หน้ามินิมาร์ท ( 888 มินิมาร์ท )</v>
      </c>
      <c r="P3036" s="4">
        <f>IFERROR(__xludf.DUMMYFUNCTION("""COMPUTED_VALUE"""),44761.0)</f>
        <v>44761</v>
      </c>
      <c r="Q3036" s="3" t="str">
        <f>IFERROR(__xludf.DUMMYFUNCTION("""COMPUTED_VALUE"""),"I")</f>
        <v>I</v>
      </c>
      <c r="R3036" s="3" t="str">
        <f>IFERROR(__xludf.DUMMYFUNCTION("""COMPUTED_VALUE"""),"Small Format")</f>
        <v>Small Format</v>
      </c>
      <c r="S3036" s="3" t="str">
        <f>IFERROR(__xludf.DUMMYFUNCTION("""COMPUTED_VALUE"""),"Donjai")</f>
        <v>Donjai</v>
      </c>
      <c r="T3036" s="3" t="str">
        <f>IFERROR(__xludf.DUMMYFUNCTION("""COMPUTED_VALUE"""),"01 K.Tuangtham M.")</f>
        <v>01 K.Tuangtham M.</v>
      </c>
      <c r="U3036" s="3" t="str">
        <f>IFERROR(__xludf.DUMMYFUNCTION("""COMPUTED_VALUE"""),"01 K.Tuangtham M.")</f>
        <v>01 K.Tuangtham M.</v>
      </c>
      <c r="V3036" s="3" t="str">
        <f>IFERROR(__xludf.DUMMYFUNCTION("""COMPUTED_VALUE"""),"N")</f>
        <v>N</v>
      </c>
      <c r="W3036" s="3"/>
      <c r="X3036" s="3" t="str">
        <f>IFERROR(__xludf.DUMMYFUNCTION("""COMPUTED_VALUE"""),"8 ม.3 ท่าด้วง หนองไผ่ เพชรบูรณ์ 67140")</f>
        <v>8 ม.3 ท่าด้วง หนองไผ่ เพชรบูรณ์ 67140</v>
      </c>
      <c r="Y3036" s="3"/>
      <c r="Z3036" s="3" t="str">
        <f>IFERROR(__xludf.DUMMYFUNCTION("""COMPUTED_VALUE"""),"หนองไผ่")</f>
        <v>หนองไผ่</v>
      </c>
      <c r="AA3036" s="3" t="str">
        <f>IFERROR(__xludf.DUMMYFUNCTION("""COMPUTED_VALUE"""),"เพชรบูรณ์")</f>
        <v>เพชรบูรณ์</v>
      </c>
      <c r="AB3036" s="3" t="str">
        <f>IFERROR(__xludf.DUMMYFUNCTION("""COMPUTED_VALUE"""),"เพชรบูรณ์")</f>
        <v>เพชรบูรณ์</v>
      </c>
      <c r="AC3036" s="3">
        <f>IFERROR(__xludf.DUMMYFUNCTION("""COMPUTED_VALUE"""),67140.0)</f>
        <v>67140</v>
      </c>
      <c r="AD3036" s="3"/>
      <c r="AE3036" s="3"/>
      <c r="AF3036" s="3" t="str">
        <f>IFERROR(__xludf.DUMMYFUNCTION("""COMPUTED_VALUE"""),"ร้าน ๙หน้ามินิมาร์ท ( 888 มินิมาร์ท )-83952")</f>
        <v>ร้าน ๙หน้ามินิมาร์ท ( 888 มินิมาร์ท )-83952</v>
      </c>
      <c r="AG3036" s="3" t="str">
        <f>IFERROR(__xludf.DUMMYFUNCTION("""COMPUTED_VALUE"""),"กลาง")</f>
        <v>กลาง</v>
      </c>
      <c r="AH3036" s="3" t="str">
        <f>IFERROR(__xludf.DUMMYFUNCTION("""COMPUTED_VALUE"""),"#N/A")</f>
        <v>#N/A</v>
      </c>
      <c r="AI3036" s="3" t="str">
        <f>IFERROR(__xludf.DUMMYFUNCTION("""COMPUTED_VALUE"""),"Out of warranty")</f>
        <v>Out of warranty</v>
      </c>
      <c r="AJ3036" s="3">
        <f>IFERROR(__xludf.DUMMYFUNCTION("""COMPUTED_VALUE"""),43.0)</f>
        <v>43</v>
      </c>
      <c r="AK3036" s="3"/>
      <c r="AL3036" s="3"/>
    </row>
    <row r="3037" ht="15.75" customHeight="1">
      <c r="A3037" s="1" t="str">
        <f>IFERROR(__xludf.DUMMYFUNCTION("""COMPUTED_VALUE"""),"83953")</f>
        <v>83953</v>
      </c>
      <c r="B3037" s="2">
        <f>IFERROR(__xludf.DUMMYFUNCTION("""COMPUTED_VALUE"""),83953.0)</f>
        <v>83953</v>
      </c>
      <c r="C3037" s="3" t="str">
        <f>IFERROR(__xludf.DUMMYFUNCTION("""COMPUTED_VALUE"""),"ร้ายแม่สวงพาณิชย์ (ยายสวงพาณิชย์)")</f>
        <v>ร้ายแม่สวงพาณิชย์ (ยายสวงพาณิชย์)</v>
      </c>
      <c r="D3037" s="3" t="str">
        <f>IFERROR(__xludf.DUMMYFUNCTION("""COMPUTED_VALUE"""),"ร้ายแม่สวงพาณิชย์ (ยายสวงพาณิชย์)")</f>
        <v>ร้ายแม่สวงพาณิชย์ (ยายสวงพาณิชย์)</v>
      </c>
      <c r="E3037" s="1" t="str">
        <f>IFERROR(__xludf.DUMMYFUNCTION("""COMPUTED_VALUE"""),"Donjai")</f>
        <v>Donjai</v>
      </c>
      <c r="F3037" s="1" t="str">
        <f>IFERROR(__xludf.DUMMYFUNCTION("""COMPUTED_VALUE"""),"015361")</f>
        <v>015361</v>
      </c>
      <c r="G3037" s="1" t="str">
        <f>IFERROR(__xludf.DUMMYFUNCTION("""COMPUTED_VALUE"""),"นายสมบูรณ์ พรหมในเมือง")</f>
        <v>นายสมบูรณ์ พรหมในเมือง</v>
      </c>
      <c r="H3037" s="1" t="str">
        <f>IFERROR(__xludf.DUMMYFUNCTION("""COMPUTED_VALUE"""),"015361")</f>
        <v>015361</v>
      </c>
      <c r="I3037" s="1" t="str">
        <f>IFERROR(__xludf.DUMMYFUNCTION("""COMPUTED_VALUE"""),"นายสมบูรณ์ พรหมในเมือง")</f>
        <v>นายสมบูรณ์ พรหมในเมือง</v>
      </c>
      <c r="J3037" s="3">
        <f>IFERROR(__xludf.DUMMYFUNCTION("""COMPUTED_VALUE"""),295886.0)</f>
        <v>295886</v>
      </c>
      <c r="K3037" s="3" t="str">
        <f>IFERROR(__xludf.DUMMYFUNCTION("""COMPUTED_VALUE"""),"นายจิระพงษ์ โพธิ์นิล")</f>
        <v>นายจิระพงษ์ โพธิ์นิล</v>
      </c>
      <c r="L3037" s="1" t="str">
        <f>IFERROR(__xludf.DUMMYFUNCTION("""COMPUTED_VALUE"""),"นายจิระพงษ์ โพธิ์นิล")</f>
        <v>นายจิระพงษ์ โพธิ์นิล</v>
      </c>
      <c r="M3037" s="1" t="str">
        <f>IFERROR(__xludf.DUMMYFUNCTION("""COMPUTED_VALUE"""),"0933290754")</f>
        <v>0933290754</v>
      </c>
      <c r="N3037" s="3">
        <f>IFERROR(__xludf.DUMMYFUNCTION("""COMPUTED_VALUE"""),83953.0)</f>
        <v>83953</v>
      </c>
      <c r="O3037" s="3" t="str">
        <f>IFERROR(__xludf.DUMMYFUNCTION("""COMPUTED_VALUE"""),"ร้ายแม่สวงพาณิชย์ (ยายสวงพาณิชย์)")</f>
        <v>ร้ายแม่สวงพาณิชย์ (ยายสวงพาณิชย์)</v>
      </c>
      <c r="P3037" s="4">
        <f>IFERROR(__xludf.DUMMYFUNCTION("""COMPUTED_VALUE"""),44766.0)</f>
        <v>44766</v>
      </c>
      <c r="Q3037" s="3" t="str">
        <f>IFERROR(__xludf.DUMMYFUNCTION("""COMPUTED_VALUE"""),"I")</f>
        <v>I</v>
      </c>
      <c r="R3037" s="3" t="str">
        <f>IFERROR(__xludf.DUMMYFUNCTION("""COMPUTED_VALUE"""),"Small Format")</f>
        <v>Small Format</v>
      </c>
      <c r="S3037" s="3" t="str">
        <f>IFERROR(__xludf.DUMMYFUNCTION("""COMPUTED_VALUE"""),"Donjai")</f>
        <v>Donjai</v>
      </c>
      <c r="T3037" s="3" t="str">
        <f>IFERROR(__xludf.DUMMYFUNCTION("""COMPUTED_VALUE"""),"04 K.Somboon P.")</f>
        <v>04 K.Somboon P.</v>
      </c>
      <c r="U3037" s="3" t="str">
        <f>IFERROR(__xludf.DUMMYFUNCTION("""COMPUTED_VALUE"""),"04 K.Somboon P.")</f>
        <v>04 K.Somboon P.</v>
      </c>
      <c r="V3037" s="3" t="str">
        <f>IFERROR(__xludf.DUMMYFUNCTION("""COMPUTED_VALUE"""),"N")</f>
        <v>N</v>
      </c>
      <c r="W3037" s="3"/>
      <c r="X3037" s="3" t="str">
        <f>IFERROR(__xludf.DUMMYFUNCTION("""COMPUTED_VALUE"""),"144 หมู่ พันชนะ ด่านขุดทด นครราชสีมา 30210")</f>
        <v>144 หมู่ พันชนะ ด่านขุดทด นครราชสีมา 30210</v>
      </c>
      <c r="Y3037" s="3"/>
      <c r="Z3037" s="3">
        <f>IFERROR(__xludf.DUMMYFUNCTION("""COMPUTED_VALUE"""),0.0)</f>
        <v>0</v>
      </c>
      <c r="AA3037" s="3">
        <f>IFERROR(__xludf.DUMMYFUNCTION("""COMPUTED_VALUE"""),0.0)</f>
        <v>0</v>
      </c>
      <c r="AB3037" s="3" t="str">
        <f>IFERROR(__xludf.DUMMYFUNCTION("""COMPUTED_VALUE"""),"นครราชสีมา")</f>
        <v>นครราชสีมา</v>
      </c>
      <c r="AC3037" s="3">
        <f>IFERROR(__xludf.DUMMYFUNCTION("""COMPUTED_VALUE"""),30210.0)</f>
        <v>30210</v>
      </c>
      <c r="AD3037" s="3"/>
      <c r="AE3037" s="3"/>
      <c r="AF3037" s="3" t="str">
        <f>IFERROR(__xludf.DUMMYFUNCTION("""COMPUTED_VALUE"""),"ร้ายแม่สวงพาณิชย์ (ยายสวงพาณิชย์)-83953")</f>
        <v>ร้ายแม่สวงพาณิชย์ (ยายสวงพาณิชย์)-83953</v>
      </c>
      <c r="AG3037" s="3" t="str">
        <f>IFERROR(__xludf.DUMMYFUNCTION("""COMPUTED_VALUE"""),"ตะวันออกเฉียงเหนือ")</f>
        <v>ตะวันออกเฉียงเหนือ</v>
      </c>
      <c r="AH3037" s="3" t="str">
        <f>IFERROR(__xludf.DUMMYFUNCTION("""COMPUTED_VALUE"""),"#N/A")</f>
        <v>#N/A</v>
      </c>
      <c r="AI3037" s="3" t="str">
        <f>IFERROR(__xludf.DUMMYFUNCTION("""COMPUTED_VALUE"""),"Out of warranty")</f>
        <v>Out of warranty</v>
      </c>
      <c r="AJ3037" s="3">
        <f>IFERROR(__xludf.DUMMYFUNCTION("""COMPUTED_VALUE"""),42.0)</f>
        <v>42</v>
      </c>
      <c r="AK3037" s="3"/>
      <c r="AL3037" s="3"/>
    </row>
    <row r="3038" ht="15.75" customHeight="1">
      <c r="A3038" s="1" t="str">
        <f>IFERROR(__xludf.DUMMYFUNCTION("""COMPUTED_VALUE"""),"83957")</f>
        <v>83957</v>
      </c>
      <c r="B3038" s="2">
        <f>IFERROR(__xludf.DUMMYFUNCTION("""COMPUTED_VALUE"""),83957.0)</f>
        <v>83957</v>
      </c>
      <c r="C3038" s="3" t="str">
        <f>IFERROR(__xludf.DUMMYFUNCTION("""COMPUTED_VALUE"""),"ร้าน ริมทางนมสด")</f>
        <v>ร้าน ริมทางนมสด</v>
      </c>
      <c r="D3038" s="3" t="str">
        <f>IFERROR(__xludf.DUMMYFUNCTION("""COMPUTED_VALUE"""),"ร้าน ริมทางนมสด")</f>
        <v>ร้าน ริมทางนมสด</v>
      </c>
      <c r="E3038" s="1" t="str">
        <f>IFERROR(__xludf.DUMMYFUNCTION("""COMPUTED_VALUE"""),"Donjai")</f>
        <v>Donjai</v>
      </c>
      <c r="F3038" s="1" t="str">
        <f>IFERROR(__xludf.DUMMYFUNCTION("""COMPUTED_VALUE"""),"296868")</f>
        <v>296868</v>
      </c>
      <c r="G3038" s="1" t="str">
        <f>IFERROR(__xludf.DUMMYFUNCTION("""COMPUTED_VALUE"""),"นายพีระพงษ์ แก้วดวงดี")</f>
        <v>นายพีระพงษ์ แก้วดวงดี</v>
      </c>
      <c r="H3038" s="1" t="str">
        <f>IFERROR(__xludf.DUMMYFUNCTION("""COMPUTED_VALUE"""),"296868")</f>
        <v>296868</v>
      </c>
      <c r="I3038" s="1" t="str">
        <f>IFERROR(__xludf.DUMMYFUNCTION("""COMPUTED_VALUE"""),"นายพีระพงษ์ แก้วดวงดี")</f>
        <v>นายพีระพงษ์ แก้วดวงดี</v>
      </c>
      <c r="J3038" s="3">
        <f>IFERROR(__xludf.DUMMYFUNCTION("""COMPUTED_VALUE"""),295886.0)</f>
        <v>295886</v>
      </c>
      <c r="K3038" s="3" t="str">
        <f>IFERROR(__xludf.DUMMYFUNCTION("""COMPUTED_VALUE"""),"นายจิระพงษ์ โพธิ์นิล")</f>
        <v>นายจิระพงษ์ โพธิ์นิล</v>
      </c>
      <c r="L3038" s="1" t="str">
        <f>IFERROR(__xludf.DUMMYFUNCTION("""COMPUTED_VALUE"""),"นายจิระพงษ์ โพธิ์นิล")</f>
        <v>นายจิระพงษ์ โพธิ์นิล</v>
      </c>
      <c r="M3038" s="1" t="str">
        <f>IFERROR(__xludf.DUMMYFUNCTION("""COMPUTED_VALUE"""),"0933290754")</f>
        <v>0933290754</v>
      </c>
      <c r="N3038" s="3">
        <f>IFERROR(__xludf.DUMMYFUNCTION("""COMPUTED_VALUE"""),83957.0)</f>
        <v>83957</v>
      </c>
      <c r="O3038" s="3" t="str">
        <f>IFERROR(__xludf.DUMMYFUNCTION("""COMPUTED_VALUE"""),"ร้าน ริมทางนมสด")</f>
        <v>ร้าน ริมทางนมสด</v>
      </c>
      <c r="P3038" s="4">
        <f>IFERROR(__xludf.DUMMYFUNCTION("""COMPUTED_VALUE"""),44761.0)</f>
        <v>44761</v>
      </c>
      <c r="Q3038" s="3" t="str">
        <f>IFERROR(__xludf.DUMMYFUNCTION("""COMPUTED_VALUE"""),"I")</f>
        <v>I</v>
      </c>
      <c r="R3038" s="3" t="str">
        <f>IFERROR(__xludf.DUMMYFUNCTION("""COMPUTED_VALUE"""),"Small Format")</f>
        <v>Small Format</v>
      </c>
      <c r="S3038" s="3" t="str">
        <f>IFERROR(__xludf.DUMMYFUNCTION("""COMPUTED_VALUE"""),"Donjai")</f>
        <v>Donjai</v>
      </c>
      <c r="T3038" s="3" t="str">
        <f>IFERROR(__xludf.DUMMYFUNCTION("""COMPUTED_VALUE"""),"03 K.Peerapong K.")</f>
        <v>03 K.Peerapong K.</v>
      </c>
      <c r="U3038" s="3" t="str">
        <f>IFERROR(__xludf.DUMMYFUNCTION("""COMPUTED_VALUE"""),"03 K.Peerapong K.")</f>
        <v>03 K.Peerapong K.</v>
      </c>
      <c r="V3038" s="3" t="str">
        <f>IFERROR(__xludf.DUMMYFUNCTION("""COMPUTED_VALUE"""),"N")</f>
        <v>N</v>
      </c>
      <c r="W3038" s="3"/>
      <c r="X3038" s="3" t="str">
        <f>IFERROR(__xludf.DUMMYFUNCTION("""COMPUTED_VALUE"""),"5 หมู่ 9 ตำบล วาใหญ่ อำเภอ อากาศอำนวย จังหวัด สกลนคร")</f>
        <v>5 หมู่ 9 ตำบล วาใหญ่ อำเภอ อากาศอำนวย จังหวัด สกลนคร</v>
      </c>
      <c r="Y3038" s="3"/>
      <c r="Z3038" s="3">
        <f>IFERROR(__xludf.DUMMYFUNCTION("""COMPUTED_VALUE"""),0.0)</f>
        <v>0</v>
      </c>
      <c r="AA3038" s="3">
        <f>IFERROR(__xludf.DUMMYFUNCTION("""COMPUTED_VALUE"""),0.0)</f>
        <v>0</v>
      </c>
      <c r="AB3038" s="3" t="str">
        <f>IFERROR(__xludf.DUMMYFUNCTION("""COMPUTED_VALUE"""),"สกลนคร")</f>
        <v>สกลนคร</v>
      </c>
      <c r="AC3038" s="3">
        <f>IFERROR(__xludf.DUMMYFUNCTION("""COMPUTED_VALUE"""),0.0)</f>
        <v>0</v>
      </c>
      <c r="AD3038" s="3"/>
      <c r="AE3038" s="3"/>
      <c r="AF3038" s="3" t="str">
        <f>IFERROR(__xludf.DUMMYFUNCTION("""COMPUTED_VALUE"""),"ร้าน ริมทางนมสด-83957")</f>
        <v>ร้าน ริมทางนมสด-83957</v>
      </c>
      <c r="AG3038" s="3" t="str">
        <f>IFERROR(__xludf.DUMMYFUNCTION("""COMPUTED_VALUE"""),"ตะวันออกเฉียงเหนือ")</f>
        <v>ตะวันออกเฉียงเหนือ</v>
      </c>
      <c r="AH3038" s="3" t="str">
        <f>IFERROR(__xludf.DUMMYFUNCTION("""COMPUTED_VALUE"""),"#N/A")</f>
        <v>#N/A</v>
      </c>
      <c r="AI3038" s="3" t="str">
        <f>IFERROR(__xludf.DUMMYFUNCTION("""COMPUTED_VALUE"""),"Out of warranty")</f>
        <v>Out of warranty</v>
      </c>
      <c r="AJ3038" s="3">
        <f>IFERROR(__xludf.DUMMYFUNCTION("""COMPUTED_VALUE"""),43.0)</f>
        <v>43</v>
      </c>
      <c r="AK3038" s="3"/>
      <c r="AL3038" s="3"/>
    </row>
    <row r="3039" ht="15.75" customHeight="1">
      <c r="A3039" s="1" t="str">
        <f>IFERROR(__xludf.DUMMYFUNCTION("""COMPUTED_VALUE"""),"83961")</f>
        <v>83961</v>
      </c>
      <c r="B3039" s="2">
        <f>IFERROR(__xludf.DUMMYFUNCTION("""COMPUTED_VALUE"""),83961.0)</f>
        <v>83961</v>
      </c>
      <c r="C3039" s="3" t="str">
        <f>IFERROR(__xludf.DUMMYFUNCTION("""COMPUTED_VALUE"""),"ร้าน ณภัทร มินิมาร์ท")</f>
        <v>ร้าน ณภัทร มินิมาร์ท</v>
      </c>
      <c r="D3039" s="3" t="str">
        <f>IFERROR(__xludf.DUMMYFUNCTION("""COMPUTED_VALUE"""),"ร้าน ณภัทร มินิมาร์ท")</f>
        <v>ร้าน ณภัทร มินิมาร์ท</v>
      </c>
      <c r="E3039" s="1" t="str">
        <f>IFERROR(__xludf.DUMMYFUNCTION("""COMPUTED_VALUE"""),"Donjai")</f>
        <v>Donjai</v>
      </c>
      <c r="F3039" s="1" t="str">
        <f>IFERROR(__xludf.DUMMYFUNCTION("""COMPUTED_VALUE"""),"296868")</f>
        <v>296868</v>
      </c>
      <c r="G3039" s="1" t="str">
        <f>IFERROR(__xludf.DUMMYFUNCTION("""COMPUTED_VALUE"""),"นายพีระพงษ์ แก้วดวงดี")</f>
        <v>นายพีระพงษ์ แก้วดวงดี</v>
      </c>
      <c r="H3039" s="1" t="str">
        <f>IFERROR(__xludf.DUMMYFUNCTION("""COMPUTED_VALUE"""),"296868")</f>
        <v>296868</v>
      </c>
      <c r="I3039" s="1" t="str">
        <f>IFERROR(__xludf.DUMMYFUNCTION("""COMPUTED_VALUE"""),"นายพีระพงษ์ แก้วดวงดี")</f>
        <v>นายพีระพงษ์ แก้วดวงดี</v>
      </c>
      <c r="J3039" s="3">
        <f>IFERROR(__xludf.DUMMYFUNCTION("""COMPUTED_VALUE"""),295886.0)</f>
        <v>295886</v>
      </c>
      <c r="K3039" s="3" t="str">
        <f>IFERROR(__xludf.DUMMYFUNCTION("""COMPUTED_VALUE"""),"นายจิระพงษ์ โพธิ์นิล")</f>
        <v>นายจิระพงษ์ โพธิ์นิล</v>
      </c>
      <c r="L3039" s="1" t="str">
        <f>IFERROR(__xludf.DUMMYFUNCTION("""COMPUTED_VALUE"""),"นายจิระพงษ์ โพธิ์นิล")</f>
        <v>นายจิระพงษ์ โพธิ์นิล</v>
      </c>
      <c r="M3039" s="1" t="str">
        <f>IFERROR(__xludf.DUMMYFUNCTION("""COMPUTED_VALUE"""),"0933290754")</f>
        <v>0933290754</v>
      </c>
      <c r="N3039" s="3">
        <f>IFERROR(__xludf.DUMMYFUNCTION("""COMPUTED_VALUE"""),83961.0)</f>
        <v>83961</v>
      </c>
      <c r="O3039" s="3" t="str">
        <f>IFERROR(__xludf.DUMMYFUNCTION("""COMPUTED_VALUE"""),"ร้าน ณภัทร มินิมาร์ท")</f>
        <v>ร้าน ณภัทร มินิมาร์ท</v>
      </c>
      <c r="P3039" s="4">
        <f>IFERROR(__xludf.DUMMYFUNCTION("""COMPUTED_VALUE"""),44778.0)</f>
        <v>44778</v>
      </c>
      <c r="Q3039" s="3" t="str">
        <f>IFERROR(__xludf.DUMMYFUNCTION("""COMPUTED_VALUE"""),"I")</f>
        <v>I</v>
      </c>
      <c r="R3039" s="3" t="str">
        <f>IFERROR(__xludf.DUMMYFUNCTION("""COMPUTED_VALUE"""),"Small Format")</f>
        <v>Small Format</v>
      </c>
      <c r="S3039" s="3" t="str">
        <f>IFERROR(__xludf.DUMMYFUNCTION("""COMPUTED_VALUE"""),"Donjai")</f>
        <v>Donjai</v>
      </c>
      <c r="T3039" s="3" t="str">
        <f>IFERROR(__xludf.DUMMYFUNCTION("""COMPUTED_VALUE"""),"03 K.Peerapong K.")</f>
        <v>03 K.Peerapong K.</v>
      </c>
      <c r="U3039" s="3" t="str">
        <f>IFERROR(__xludf.DUMMYFUNCTION("""COMPUTED_VALUE"""),"03 K.Peerapong K.")</f>
        <v>03 K.Peerapong K.</v>
      </c>
      <c r="V3039" s="3" t="str">
        <f>IFERROR(__xludf.DUMMYFUNCTION("""COMPUTED_VALUE"""),"N")</f>
        <v>N</v>
      </c>
      <c r="W3039" s="3"/>
      <c r="X3039" s="3" t="str">
        <f>IFERROR(__xludf.DUMMYFUNCTION("""COMPUTED_VALUE"""),"บ้านเลขที่ 83 หมู่ที่ 3 บ้านดงสว่าง ตำบล หนองขาม อำเภอ อาจสามารถ จังหวัด ร้อยเอ็ด 45160")</f>
        <v>บ้านเลขที่ 83 หมู่ที่ 3 บ้านดงสว่าง ตำบล หนองขาม อำเภอ อาจสามารถ จังหวัด ร้อยเอ็ด 45160</v>
      </c>
      <c r="Y3039" s="3"/>
      <c r="Z3039" s="3">
        <f>IFERROR(__xludf.DUMMYFUNCTION("""COMPUTED_VALUE"""),0.0)</f>
        <v>0</v>
      </c>
      <c r="AA3039" s="3">
        <f>IFERROR(__xludf.DUMMYFUNCTION("""COMPUTED_VALUE"""),0.0)</f>
        <v>0</v>
      </c>
      <c r="AB3039" s="3" t="str">
        <f>IFERROR(__xludf.DUMMYFUNCTION("""COMPUTED_VALUE"""),"ร้อยเอ็ด")</f>
        <v>ร้อยเอ็ด</v>
      </c>
      <c r="AC3039" s="3">
        <f>IFERROR(__xludf.DUMMYFUNCTION("""COMPUTED_VALUE"""),45160.0)</f>
        <v>45160</v>
      </c>
      <c r="AD3039" s="3"/>
      <c r="AE3039" s="3"/>
      <c r="AF3039" s="3" t="str">
        <f>IFERROR(__xludf.DUMMYFUNCTION("""COMPUTED_VALUE"""),"ร้าน ณภัทร มินิมาร์ท-83961")</f>
        <v>ร้าน ณภัทร มินิมาร์ท-83961</v>
      </c>
      <c r="AG3039" s="3" t="str">
        <f>IFERROR(__xludf.DUMMYFUNCTION("""COMPUTED_VALUE"""),"ตะวันออกเฉียงเหนือ")</f>
        <v>ตะวันออกเฉียงเหนือ</v>
      </c>
      <c r="AH3039" s="3" t="str">
        <f>IFERROR(__xludf.DUMMYFUNCTION("""COMPUTED_VALUE"""),"#N/A")</f>
        <v>#N/A</v>
      </c>
      <c r="AI3039" s="3" t="str">
        <f>IFERROR(__xludf.DUMMYFUNCTION("""COMPUTED_VALUE"""),"Out of warranty")</f>
        <v>Out of warranty</v>
      </c>
      <c r="AJ3039" s="3">
        <f>IFERROR(__xludf.DUMMYFUNCTION("""COMPUTED_VALUE"""),42.0)</f>
        <v>42</v>
      </c>
      <c r="AK3039" s="3"/>
      <c r="AL3039" s="3"/>
    </row>
    <row r="3040" ht="15.75" customHeight="1">
      <c r="A3040" s="1" t="str">
        <f>IFERROR(__xludf.DUMMYFUNCTION("""COMPUTED_VALUE"""),"83962")</f>
        <v>83962</v>
      </c>
      <c r="B3040" s="2">
        <f>IFERROR(__xludf.DUMMYFUNCTION("""COMPUTED_VALUE"""),83962.0)</f>
        <v>83962</v>
      </c>
      <c r="C3040" s="3" t="str">
        <f>IFERROR(__xludf.DUMMYFUNCTION("""COMPUTED_VALUE"""),"ร้าน ชัชวาลย์พาณิชย์")</f>
        <v>ร้าน ชัชวาลย์พาณิชย์</v>
      </c>
      <c r="D3040" s="3" t="str">
        <f>IFERROR(__xludf.DUMMYFUNCTION("""COMPUTED_VALUE"""),"ร้าน ชัชวาลย์พาณิชย์")</f>
        <v>ร้าน ชัชวาลย์พาณิชย์</v>
      </c>
      <c r="E3040" s="1" t="str">
        <f>IFERROR(__xludf.DUMMYFUNCTION("""COMPUTED_VALUE"""),"Donjai")</f>
        <v>Donjai</v>
      </c>
      <c r="F3040" s="1" t="str">
        <f>IFERROR(__xludf.DUMMYFUNCTION("""COMPUTED_VALUE"""),"296868")</f>
        <v>296868</v>
      </c>
      <c r="G3040" s="1" t="str">
        <f>IFERROR(__xludf.DUMMYFUNCTION("""COMPUTED_VALUE"""),"นายพีระพงษ์ แก้วดวงดี")</f>
        <v>นายพีระพงษ์ แก้วดวงดี</v>
      </c>
      <c r="H3040" s="1" t="str">
        <f>IFERROR(__xludf.DUMMYFUNCTION("""COMPUTED_VALUE"""),"296868")</f>
        <v>296868</v>
      </c>
      <c r="I3040" s="1" t="str">
        <f>IFERROR(__xludf.DUMMYFUNCTION("""COMPUTED_VALUE"""),"นายพีระพงษ์ แก้วดวงดี")</f>
        <v>นายพีระพงษ์ แก้วดวงดี</v>
      </c>
      <c r="J3040" s="3">
        <f>IFERROR(__xludf.DUMMYFUNCTION("""COMPUTED_VALUE"""),295886.0)</f>
        <v>295886</v>
      </c>
      <c r="K3040" s="3" t="str">
        <f>IFERROR(__xludf.DUMMYFUNCTION("""COMPUTED_VALUE"""),"นายจิระพงษ์ โพธิ์นิล")</f>
        <v>นายจิระพงษ์ โพธิ์นิล</v>
      </c>
      <c r="L3040" s="1" t="str">
        <f>IFERROR(__xludf.DUMMYFUNCTION("""COMPUTED_VALUE"""),"นายจิระพงษ์ โพธิ์นิล")</f>
        <v>นายจิระพงษ์ โพธิ์นิล</v>
      </c>
      <c r="M3040" s="1" t="str">
        <f>IFERROR(__xludf.DUMMYFUNCTION("""COMPUTED_VALUE"""),"0933290754")</f>
        <v>0933290754</v>
      </c>
      <c r="N3040" s="3">
        <f>IFERROR(__xludf.DUMMYFUNCTION("""COMPUTED_VALUE"""),83962.0)</f>
        <v>83962</v>
      </c>
      <c r="O3040" s="3" t="str">
        <f>IFERROR(__xludf.DUMMYFUNCTION("""COMPUTED_VALUE"""),"ร้าน ชัชวาลย์พาณิชย์")</f>
        <v>ร้าน ชัชวาลย์พาณิชย์</v>
      </c>
      <c r="P3040" s="4">
        <f>IFERROR(__xludf.DUMMYFUNCTION("""COMPUTED_VALUE"""),44800.0)</f>
        <v>44800</v>
      </c>
      <c r="Q3040" s="3" t="str">
        <f>IFERROR(__xludf.DUMMYFUNCTION("""COMPUTED_VALUE"""),"I")</f>
        <v>I</v>
      </c>
      <c r="R3040" s="3" t="str">
        <f>IFERROR(__xludf.DUMMYFUNCTION("""COMPUTED_VALUE"""),"Small Format")</f>
        <v>Small Format</v>
      </c>
      <c r="S3040" s="3" t="str">
        <f>IFERROR(__xludf.DUMMYFUNCTION("""COMPUTED_VALUE"""),"Donjai")</f>
        <v>Donjai</v>
      </c>
      <c r="T3040" s="3" t="str">
        <f>IFERROR(__xludf.DUMMYFUNCTION("""COMPUTED_VALUE"""),"03 K.Peerapong K.")</f>
        <v>03 K.Peerapong K.</v>
      </c>
      <c r="U3040" s="3" t="str">
        <f>IFERROR(__xludf.DUMMYFUNCTION("""COMPUTED_VALUE"""),"03 K.Peerapong K.")</f>
        <v>03 K.Peerapong K.</v>
      </c>
      <c r="V3040" s="3" t="str">
        <f>IFERROR(__xludf.DUMMYFUNCTION("""COMPUTED_VALUE"""),"N")</f>
        <v>N</v>
      </c>
      <c r="W3040" s="3"/>
      <c r="X3040" s="3" t="str">
        <f>IFERROR(__xludf.DUMMYFUNCTION("""COMPUTED_VALUE"""),"211 หมู่ 6 บ้านหนองบัว ต.บึงนาเรียง อ.ห้วยเม็ก ต.กาฬสินธุ์ 46170")</f>
        <v>211 หมู่ 6 บ้านหนองบัว ต.บึงนาเรียง อ.ห้วยเม็ก ต.กาฬสินธุ์ 46170</v>
      </c>
      <c r="Y3040" s="3"/>
      <c r="Z3040" s="3">
        <f>IFERROR(__xludf.DUMMYFUNCTION("""COMPUTED_VALUE"""),0.0)</f>
        <v>0</v>
      </c>
      <c r="AA3040" s="3">
        <f>IFERROR(__xludf.DUMMYFUNCTION("""COMPUTED_VALUE"""),0.0)</f>
        <v>0</v>
      </c>
      <c r="AB3040" s="3" t="str">
        <f>IFERROR(__xludf.DUMMYFUNCTION("""COMPUTED_VALUE"""),"กาฬสินธุ์")</f>
        <v>กาฬสินธุ์</v>
      </c>
      <c r="AC3040" s="3">
        <f>IFERROR(__xludf.DUMMYFUNCTION("""COMPUTED_VALUE"""),46170.0)</f>
        <v>46170</v>
      </c>
      <c r="AD3040" s="3"/>
      <c r="AE3040" s="3"/>
      <c r="AF3040" s="3" t="str">
        <f>IFERROR(__xludf.DUMMYFUNCTION("""COMPUTED_VALUE"""),"ร้าน ชัชวาลย์พาณิชย์-83962")</f>
        <v>ร้าน ชัชวาลย์พาณิชย์-83962</v>
      </c>
      <c r="AG3040" s="3" t="str">
        <f>IFERROR(__xludf.DUMMYFUNCTION("""COMPUTED_VALUE"""),"ตะวันออกเฉียงเหนือ")</f>
        <v>ตะวันออกเฉียงเหนือ</v>
      </c>
      <c r="AH3040" s="3" t="str">
        <f>IFERROR(__xludf.DUMMYFUNCTION("""COMPUTED_VALUE"""),"#N/A")</f>
        <v>#N/A</v>
      </c>
      <c r="AI3040" s="3" t="str">
        <f>IFERROR(__xludf.DUMMYFUNCTION("""COMPUTED_VALUE"""),"Out of warranty")</f>
        <v>Out of warranty</v>
      </c>
      <c r="AJ3040" s="3">
        <f>IFERROR(__xludf.DUMMYFUNCTION("""COMPUTED_VALUE"""),41.0)</f>
        <v>41</v>
      </c>
      <c r="AK3040" s="3"/>
      <c r="AL3040" s="3"/>
    </row>
    <row r="3041" ht="15.75" customHeight="1">
      <c r="A3041" s="1" t="str">
        <f>IFERROR(__xludf.DUMMYFUNCTION("""COMPUTED_VALUE"""),"83965")</f>
        <v>83965</v>
      </c>
      <c r="B3041" s="2">
        <f>IFERROR(__xludf.DUMMYFUNCTION("""COMPUTED_VALUE"""),83965.0)</f>
        <v>83965</v>
      </c>
      <c r="C3041" s="3" t="str">
        <f>IFERROR(__xludf.DUMMYFUNCTION("""COMPUTED_VALUE"""),"ร้าน บ้าน เจ๊ ก")</f>
        <v>ร้าน บ้าน เจ๊ ก</v>
      </c>
      <c r="D3041" s="3" t="str">
        <f>IFERROR(__xludf.DUMMYFUNCTION("""COMPUTED_VALUE"""),"ร้าน บ้าน เจ๊ ก")</f>
        <v>ร้าน บ้าน เจ๊ ก</v>
      </c>
      <c r="E3041" s="1" t="str">
        <f>IFERROR(__xludf.DUMMYFUNCTION("""COMPUTED_VALUE"""),"Donjai")</f>
        <v>Donjai</v>
      </c>
      <c r="F3041" s="1" t="str">
        <f>IFERROR(__xludf.DUMMYFUNCTION("""COMPUTED_VALUE"""),"296868")</f>
        <v>296868</v>
      </c>
      <c r="G3041" s="1" t="str">
        <f>IFERROR(__xludf.DUMMYFUNCTION("""COMPUTED_VALUE"""),"นายพีระพงษ์ แก้วดวงดี")</f>
        <v>นายพีระพงษ์ แก้วดวงดี</v>
      </c>
      <c r="H3041" s="1" t="str">
        <f>IFERROR(__xludf.DUMMYFUNCTION("""COMPUTED_VALUE"""),"296868")</f>
        <v>296868</v>
      </c>
      <c r="I3041" s="1" t="str">
        <f>IFERROR(__xludf.DUMMYFUNCTION("""COMPUTED_VALUE"""),"นายพีระพงษ์ แก้วดวงดี")</f>
        <v>นายพีระพงษ์ แก้วดวงดี</v>
      </c>
      <c r="J3041" s="3">
        <f>IFERROR(__xludf.DUMMYFUNCTION("""COMPUTED_VALUE"""),295886.0)</f>
        <v>295886</v>
      </c>
      <c r="K3041" s="3" t="str">
        <f>IFERROR(__xludf.DUMMYFUNCTION("""COMPUTED_VALUE"""),"นายจิระพงษ์ โพธิ์นิล")</f>
        <v>นายจิระพงษ์ โพธิ์นิล</v>
      </c>
      <c r="L3041" s="1" t="str">
        <f>IFERROR(__xludf.DUMMYFUNCTION("""COMPUTED_VALUE"""),"นายจิระพงษ์ โพธิ์นิล")</f>
        <v>นายจิระพงษ์ โพธิ์นิล</v>
      </c>
      <c r="M3041" s="1" t="str">
        <f>IFERROR(__xludf.DUMMYFUNCTION("""COMPUTED_VALUE"""),"0933290754")</f>
        <v>0933290754</v>
      </c>
      <c r="N3041" s="3">
        <f>IFERROR(__xludf.DUMMYFUNCTION("""COMPUTED_VALUE"""),83965.0)</f>
        <v>83965</v>
      </c>
      <c r="O3041" s="3" t="str">
        <f>IFERROR(__xludf.DUMMYFUNCTION("""COMPUTED_VALUE"""),"ร้าน บ้าน เจ๊ ก")</f>
        <v>ร้าน บ้าน เจ๊ ก</v>
      </c>
      <c r="P3041" s="4">
        <f>IFERROR(__xludf.DUMMYFUNCTION("""COMPUTED_VALUE"""),44798.0)</f>
        <v>44798</v>
      </c>
      <c r="Q3041" s="3" t="str">
        <f>IFERROR(__xludf.DUMMYFUNCTION("""COMPUTED_VALUE"""),"I")</f>
        <v>I</v>
      </c>
      <c r="R3041" s="3" t="str">
        <f>IFERROR(__xludf.DUMMYFUNCTION("""COMPUTED_VALUE"""),"Small Format")</f>
        <v>Small Format</v>
      </c>
      <c r="S3041" s="3" t="str">
        <f>IFERROR(__xludf.DUMMYFUNCTION("""COMPUTED_VALUE"""),"Donjai")</f>
        <v>Donjai</v>
      </c>
      <c r="T3041" s="3" t="str">
        <f>IFERROR(__xludf.DUMMYFUNCTION("""COMPUTED_VALUE"""),"03 K.Peerapong K.")</f>
        <v>03 K.Peerapong K.</v>
      </c>
      <c r="U3041" s="3" t="str">
        <f>IFERROR(__xludf.DUMMYFUNCTION("""COMPUTED_VALUE"""),"03 K.Peerapong K.")</f>
        <v>03 K.Peerapong K.</v>
      </c>
      <c r="V3041" s="3" t="str">
        <f>IFERROR(__xludf.DUMMYFUNCTION("""COMPUTED_VALUE"""),"N")</f>
        <v>N</v>
      </c>
      <c r="W3041" s="3"/>
      <c r="X3041" s="3" t="str">
        <f>IFERROR(__xludf.DUMMYFUNCTION("""COMPUTED_VALUE"""),"81/1 หมู่ 14 ตำบลธาตุ อำเภอเชียงคาน จังหวัดเลย 42110")</f>
        <v>81/1 หมู่ 14 ตำบลธาตุ อำเภอเชียงคาน จังหวัดเลย 42110</v>
      </c>
      <c r="Y3041" s="3"/>
      <c r="Z3041" s="3" t="str">
        <f>IFERROR(__xludf.DUMMYFUNCTION("""COMPUTED_VALUE"""),"ธาตุ")</f>
        <v>ธาตุ</v>
      </c>
      <c r="AA3041" s="3" t="str">
        <f>IFERROR(__xludf.DUMMYFUNCTION("""COMPUTED_VALUE"""),"เชียงคาน")</f>
        <v>เชียงคาน</v>
      </c>
      <c r="AB3041" s="3" t="str">
        <f>IFERROR(__xludf.DUMMYFUNCTION("""COMPUTED_VALUE"""),"เลย")</f>
        <v>เลย</v>
      </c>
      <c r="AC3041" s="3">
        <f>IFERROR(__xludf.DUMMYFUNCTION("""COMPUTED_VALUE"""),42110.0)</f>
        <v>42110</v>
      </c>
      <c r="AD3041" s="3"/>
      <c r="AE3041" s="3"/>
      <c r="AF3041" s="3" t="str">
        <f>IFERROR(__xludf.DUMMYFUNCTION("""COMPUTED_VALUE"""),"ร้าน บ้าน เจ๊ ก-83965")</f>
        <v>ร้าน บ้าน เจ๊ ก-83965</v>
      </c>
      <c r="AG3041" s="3" t="str">
        <f>IFERROR(__xludf.DUMMYFUNCTION("""COMPUTED_VALUE"""),"ตะวันออกเฉียงเหนือ")</f>
        <v>ตะวันออกเฉียงเหนือ</v>
      </c>
      <c r="AH3041" s="3" t="str">
        <f>IFERROR(__xludf.DUMMYFUNCTION("""COMPUTED_VALUE"""),"#N/A")</f>
        <v>#N/A</v>
      </c>
      <c r="AI3041" s="3" t="str">
        <f>IFERROR(__xludf.DUMMYFUNCTION("""COMPUTED_VALUE"""),"Out of warranty")</f>
        <v>Out of warranty</v>
      </c>
      <c r="AJ3041" s="3">
        <f>IFERROR(__xludf.DUMMYFUNCTION("""COMPUTED_VALUE"""),41.0)</f>
        <v>41</v>
      </c>
      <c r="AK3041" s="3"/>
      <c r="AL3041" s="3"/>
    </row>
    <row r="3042" ht="15.75" customHeight="1">
      <c r="A3042" s="1" t="str">
        <f>IFERROR(__xludf.DUMMYFUNCTION("""COMPUTED_VALUE"""),"83967")</f>
        <v>83967</v>
      </c>
      <c r="B3042" s="2">
        <f>IFERROR(__xludf.DUMMYFUNCTION("""COMPUTED_VALUE"""),83967.0)</f>
        <v>83967</v>
      </c>
      <c r="C3042" s="3" t="str">
        <f>IFERROR(__xludf.DUMMYFUNCTION("""COMPUTED_VALUE"""),"ร้านธนโชติ มินิมาร์ท (ธนโชติ อนันต์)")</f>
        <v>ร้านธนโชติ มินิมาร์ท (ธนโชติ อนันต์)</v>
      </c>
      <c r="D3042" s="3" t="str">
        <f>IFERROR(__xludf.DUMMYFUNCTION("""COMPUTED_VALUE"""),"ร้านธนโชติ มินิมาร์ท (ธนโชติ อนันต์)")</f>
        <v>ร้านธนโชติ มินิมาร์ท (ธนโชติ อนันต์)</v>
      </c>
      <c r="E3042" s="1" t="str">
        <f>IFERROR(__xludf.DUMMYFUNCTION("""COMPUTED_VALUE"""),"Donjai")</f>
        <v>Donjai</v>
      </c>
      <c r="F3042" s="1" t="str">
        <f>IFERROR(__xludf.DUMMYFUNCTION("""COMPUTED_VALUE"""),"2010023")</f>
        <v>2010023</v>
      </c>
      <c r="G3042" s="1" t="str">
        <f>IFERROR(__xludf.DUMMYFUNCTION("""COMPUTED_VALUE"""),"นายวศิน ไวยรูป")</f>
        <v>นายวศิน ไวยรูป</v>
      </c>
      <c r="H3042" s="1" t="str">
        <f>IFERROR(__xludf.DUMMYFUNCTION("""COMPUTED_VALUE"""),"2010023")</f>
        <v>2010023</v>
      </c>
      <c r="I3042" s="1" t="str">
        <f>IFERROR(__xludf.DUMMYFUNCTION("""COMPUTED_VALUE"""),"นายวศิน ไวยรูป")</f>
        <v>นายวศิน ไวยรูป</v>
      </c>
      <c r="J3042" s="3">
        <f>IFERROR(__xludf.DUMMYFUNCTION("""COMPUTED_VALUE"""),228031.0)</f>
        <v>228031</v>
      </c>
      <c r="K3042" s="3" t="str">
        <f>IFERROR(__xludf.DUMMYFUNCTION("""COMPUTED_VALUE"""),"นายธนพงษ์ วันหมัด")</f>
        <v>นายธนพงษ์ วันหมัด</v>
      </c>
      <c r="L3042" s="1" t="str">
        <f>IFERROR(__xludf.DUMMYFUNCTION("""COMPUTED_VALUE"""),"นายธนพงษ์ วันหมัด")</f>
        <v>นายธนพงษ์ วันหมัด</v>
      </c>
      <c r="M3042" s="1" t="str">
        <f>IFERROR(__xludf.DUMMYFUNCTION("""COMPUTED_VALUE"""),"0813716913")</f>
        <v>0813716913</v>
      </c>
      <c r="N3042" s="3">
        <f>IFERROR(__xludf.DUMMYFUNCTION("""COMPUTED_VALUE"""),83967.0)</f>
        <v>83967</v>
      </c>
      <c r="O3042" s="3" t="str">
        <f>IFERROR(__xludf.DUMMYFUNCTION("""COMPUTED_VALUE"""),"ร้านธนโชติ มินิมาร์ท (ธนโชติ อนันต์)")</f>
        <v>ร้านธนโชติ มินิมาร์ท (ธนโชติ อนันต์)</v>
      </c>
      <c r="P3042" s="4">
        <f>IFERROR(__xludf.DUMMYFUNCTION("""COMPUTED_VALUE"""),44817.0)</f>
        <v>44817</v>
      </c>
      <c r="Q3042" s="3" t="str">
        <f>IFERROR(__xludf.DUMMYFUNCTION("""COMPUTED_VALUE"""),"I")</f>
        <v>I</v>
      </c>
      <c r="R3042" s="3" t="str">
        <f>IFERROR(__xludf.DUMMYFUNCTION("""COMPUTED_VALUE"""),"Small Format")</f>
        <v>Small Format</v>
      </c>
      <c r="S3042" s="3" t="str">
        <f>IFERROR(__xludf.DUMMYFUNCTION("""COMPUTED_VALUE"""),"Donjai")</f>
        <v>Donjai</v>
      </c>
      <c r="T3042" s="3" t="str">
        <f>IFERROR(__xludf.DUMMYFUNCTION("""COMPUTED_VALUE"""),"Donjai")</f>
        <v>Donjai</v>
      </c>
      <c r="U3042" s="3" t="str">
        <f>IFERROR(__xludf.DUMMYFUNCTION("""COMPUTED_VALUE"""),"Donjai")</f>
        <v>Donjai</v>
      </c>
      <c r="V3042" s="3" t="str">
        <f>IFERROR(__xludf.DUMMYFUNCTION("""COMPUTED_VALUE"""),"N")</f>
        <v>N</v>
      </c>
      <c r="W3042" s="3"/>
      <c r="X3042" s="3" t="str">
        <f>IFERROR(__xludf.DUMMYFUNCTION("""COMPUTED_VALUE"""),"15/17 หมู่ที่ 4 ถนนโรจนะ ต.คานหาร อ.อุทัย จ.พระนครศรีอยุธยา 13210")</f>
        <v>15/17 หมู่ที่ 4 ถนนโรจนะ ต.คานหาร อ.อุทัย จ.พระนครศรีอยุธยา 13210</v>
      </c>
      <c r="Y3042" s="3"/>
      <c r="Z3042" s="3">
        <f>IFERROR(__xludf.DUMMYFUNCTION("""COMPUTED_VALUE"""),0.0)</f>
        <v>0</v>
      </c>
      <c r="AA3042" s="3">
        <f>IFERROR(__xludf.DUMMYFUNCTION("""COMPUTED_VALUE"""),0.0)</f>
        <v>0</v>
      </c>
      <c r="AB3042" s="3" t="str">
        <f>IFERROR(__xludf.DUMMYFUNCTION("""COMPUTED_VALUE"""),"พระนครศรีอยุธยา")</f>
        <v>พระนครศรีอยุธยา</v>
      </c>
      <c r="AC3042" s="3">
        <f>IFERROR(__xludf.DUMMYFUNCTION("""COMPUTED_VALUE"""),13210.0)</f>
        <v>13210</v>
      </c>
      <c r="AD3042" s="3"/>
      <c r="AE3042" s="3"/>
      <c r="AF3042" s="3" t="str">
        <f>IFERROR(__xludf.DUMMYFUNCTION("""COMPUTED_VALUE"""),"ร้านธนโชติ มินิมาร์ท (ธนโชติ อนันต์)-83967")</f>
        <v>ร้านธนโชติ มินิมาร์ท (ธนโชติ อนันต์)-83967</v>
      </c>
      <c r="AG3042" s="3" t="str">
        <f>IFERROR(__xludf.DUMMYFUNCTION("""COMPUTED_VALUE"""),"กลาง")</f>
        <v>กลาง</v>
      </c>
      <c r="AH3042" s="3" t="str">
        <f>IFERROR(__xludf.DUMMYFUNCTION("""COMPUTED_VALUE"""),"#N/A")</f>
        <v>#N/A</v>
      </c>
      <c r="AI3042" s="3" t="str">
        <f>IFERROR(__xludf.DUMMYFUNCTION("""COMPUTED_VALUE"""),"Out of warranty")</f>
        <v>Out of warranty</v>
      </c>
      <c r="AJ3042" s="3">
        <f>IFERROR(__xludf.DUMMYFUNCTION("""COMPUTED_VALUE"""),41.0)</f>
        <v>41</v>
      </c>
      <c r="AK3042" s="3"/>
      <c r="AL3042" s="3"/>
    </row>
    <row r="3043" ht="15.75" customHeight="1">
      <c r="A3043" s="1" t="str">
        <f>IFERROR(__xludf.DUMMYFUNCTION("""COMPUTED_VALUE"""),"83971")</f>
        <v>83971</v>
      </c>
      <c r="B3043" s="2">
        <f>IFERROR(__xludf.DUMMYFUNCTION("""COMPUTED_VALUE"""),83971.0)</f>
        <v>83971</v>
      </c>
      <c r="C3043" s="3" t="str">
        <f>IFERROR(__xludf.DUMMYFUNCTION("""COMPUTED_VALUE"""),"ร้านเจริญสุขการค้า")</f>
        <v>ร้านเจริญสุขการค้า</v>
      </c>
      <c r="D3043" s="3" t="str">
        <f>IFERROR(__xludf.DUMMYFUNCTION("""COMPUTED_VALUE"""),"ร้านเจริญสุขการค้า")</f>
        <v>ร้านเจริญสุขการค้า</v>
      </c>
      <c r="E3043" s="1" t="str">
        <f>IFERROR(__xludf.DUMMYFUNCTION("""COMPUTED_VALUE"""),"Donjai")</f>
        <v>Donjai</v>
      </c>
      <c r="F3043" s="1" t="str">
        <f>IFERROR(__xludf.DUMMYFUNCTION("""COMPUTED_VALUE"""),"2452376")</f>
        <v>2452376</v>
      </c>
      <c r="G3043" s="1" t="str">
        <f>IFERROR(__xludf.DUMMYFUNCTION("""COMPUTED_VALUE"""),"นายภาคภูมิ ทวีกุล")</f>
        <v>นายภาคภูมิ ทวีกุล</v>
      </c>
      <c r="H3043" s="1" t="str">
        <f>IFERROR(__xludf.DUMMYFUNCTION("""COMPUTED_VALUE"""),"2452376")</f>
        <v>2452376</v>
      </c>
      <c r="I3043" s="1" t="str">
        <f>IFERROR(__xludf.DUMMYFUNCTION("""COMPUTED_VALUE"""),"นายภาคภูมิ ทวีกุล")</f>
        <v>นายภาคภูมิ ทวีกุล</v>
      </c>
      <c r="J3043" s="3">
        <f>IFERROR(__xludf.DUMMYFUNCTION("""COMPUTED_VALUE"""),295541.0)</f>
        <v>295541</v>
      </c>
      <c r="K3043" s="3" t="str">
        <f>IFERROR(__xludf.DUMMYFUNCTION("""COMPUTED_VALUE"""),"นายรพิพล ศรีมาตย์")</f>
        <v>นายรพิพล ศรีมาตย์</v>
      </c>
      <c r="L3043" s="1" t="str">
        <f>IFERROR(__xludf.DUMMYFUNCTION("""COMPUTED_VALUE"""),"นายรพิพล ศรีมาตย์")</f>
        <v>นายรพิพล ศรีมาตย์</v>
      </c>
      <c r="M3043" s="1" t="str">
        <f>IFERROR(__xludf.DUMMYFUNCTION("""COMPUTED_VALUE"""),"0613966115")</f>
        <v>0613966115</v>
      </c>
      <c r="N3043" s="3">
        <f>IFERROR(__xludf.DUMMYFUNCTION("""COMPUTED_VALUE"""),83971.0)</f>
        <v>83971</v>
      </c>
      <c r="O3043" s="3" t="str">
        <f>IFERROR(__xludf.DUMMYFUNCTION("""COMPUTED_VALUE"""),"ร้านเจริญสุขการค้า")</f>
        <v>ร้านเจริญสุขการค้า</v>
      </c>
      <c r="P3043" s="4">
        <f>IFERROR(__xludf.DUMMYFUNCTION("""COMPUTED_VALUE"""),44858.0)</f>
        <v>44858</v>
      </c>
      <c r="Q3043" s="3" t="str">
        <f>IFERROR(__xludf.DUMMYFUNCTION("""COMPUTED_VALUE"""),"A")</f>
        <v>A</v>
      </c>
      <c r="R3043" s="3" t="str">
        <f>IFERROR(__xludf.DUMMYFUNCTION("""COMPUTED_VALUE"""),"Small Format")</f>
        <v>Small Format</v>
      </c>
      <c r="S3043" s="3" t="str">
        <f>IFERROR(__xludf.DUMMYFUNCTION("""COMPUTED_VALUE"""),"Donjai")</f>
        <v>Donjai</v>
      </c>
      <c r="T3043" s="3" t="str">
        <f>IFERROR(__xludf.DUMMYFUNCTION("""COMPUTED_VALUE"""),"08 K.Parkphum T.")</f>
        <v>08 K.Parkphum T.</v>
      </c>
      <c r="U3043" s="3" t="str">
        <f>IFERROR(__xludf.DUMMYFUNCTION("""COMPUTED_VALUE"""),"08 K.Parkphum T.")</f>
        <v>08 K.Parkphum T.</v>
      </c>
      <c r="V3043" s="3" t="str">
        <f>IFERROR(__xludf.DUMMYFUNCTION("""COMPUTED_VALUE"""),"N")</f>
        <v>N</v>
      </c>
      <c r="W3043" s="3"/>
      <c r="X3043" s="3" t="str">
        <f>IFERROR(__xludf.DUMMYFUNCTION("""COMPUTED_VALUE"""),"304 262 หมู่ 1 ตำบลทับไทร อำเภอโป่ง น้ำร้อน จังหวัดจันทบุรี 22140")</f>
        <v>304 262 หมู่ 1 ตำบลทับไทร อำเภอโป่ง น้ำร้อน จังหวัดจันทบุรี 22140</v>
      </c>
      <c r="Y3043" s="3"/>
      <c r="Z3043" s="3">
        <f>IFERROR(__xludf.DUMMYFUNCTION("""COMPUTED_VALUE"""),0.0)</f>
        <v>0</v>
      </c>
      <c r="AA3043" s="3">
        <f>IFERROR(__xludf.DUMMYFUNCTION("""COMPUTED_VALUE"""),0.0)</f>
        <v>0</v>
      </c>
      <c r="AB3043" s="3" t="str">
        <f>IFERROR(__xludf.DUMMYFUNCTION("""COMPUTED_VALUE"""),"จันทบุรี")</f>
        <v>จันทบุรี</v>
      </c>
      <c r="AC3043" s="3">
        <f>IFERROR(__xludf.DUMMYFUNCTION("""COMPUTED_VALUE"""),22140.0)</f>
        <v>22140</v>
      </c>
      <c r="AD3043" s="3"/>
      <c r="AE3043" s="3"/>
      <c r="AF3043" s="3" t="str">
        <f>IFERROR(__xludf.DUMMYFUNCTION("""COMPUTED_VALUE"""),"ร้านเจริญสุขการค้า-83971")</f>
        <v>ร้านเจริญสุขการค้า-83971</v>
      </c>
      <c r="AG3043" s="3" t="str">
        <f>IFERROR(__xludf.DUMMYFUNCTION("""COMPUTED_VALUE"""),"ตะวันออก")</f>
        <v>ตะวันออก</v>
      </c>
      <c r="AH3043" s="3" t="str">
        <f>IFERROR(__xludf.DUMMYFUNCTION("""COMPUTED_VALUE"""),"#N/A")</f>
        <v>#N/A</v>
      </c>
      <c r="AI3043" s="3" t="str">
        <f>IFERROR(__xludf.DUMMYFUNCTION("""COMPUTED_VALUE"""),"Out of warranty")</f>
        <v>Out of warranty</v>
      </c>
      <c r="AJ3043" s="3">
        <f>IFERROR(__xludf.DUMMYFUNCTION("""COMPUTED_VALUE"""),39.0)</f>
        <v>39</v>
      </c>
      <c r="AK3043" s="3"/>
      <c r="AL3043" s="3"/>
    </row>
    <row r="3044" ht="15.75" customHeight="1">
      <c r="A3044" s="1" t="str">
        <f>IFERROR(__xludf.DUMMYFUNCTION("""COMPUTED_VALUE"""),"83973")</f>
        <v>83973</v>
      </c>
      <c r="B3044" s="2">
        <f>IFERROR(__xludf.DUMMYFUNCTION("""COMPUTED_VALUE"""),83973.0)</f>
        <v>83973</v>
      </c>
      <c r="C3044" s="3" t="str">
        <f>IFERROR(__xludf.DUMMYFUNCTION("""COMPUTED_VALUE"""),"ร้านธาราวิศุทธ์")</f>
        <v>ร้านธาราวิศุทธ์</v>
      </c>
      <c r="D3044" s="3" t="str">
        <f>IFERROR(__xludf.DUMMYFUNCTION("""COMPUTED_VALUE"""),"ร้านธาราวิศุทธ์")</f>
        <v>ร้านธาราวิศุทธ์</v>
      </c>
      <c r="E3044" s="1" t="str">
        <f>IFERROR(__xludf.DUMMYFUNCTION("""COMPUTED_VALUE"""),"Donjai")</f>
        <v>Donjai</v>
      </c>
      <c r="F3044" s="1" t="str">
        <f>IFERROR(__xludf.DUMMYFUNCTION("""COMPUTED_VALUE"""),"2454781")</f>
        <v>2454781</v>
      </c>
      <c r="G3044" s="1" t="str">
        <f>IFERROR(__xludf.DUMMYFUNCTION("""COMPUTED_VALUE"""),"นายฌานกฤช นันทะโคต")</f>
        <v>นายฌานกฤช นันทะโคต</v>
      </c>
      <c r="H3044" s="1" t="str">
        <f>IFERROR(__xludf.DUMMYFUNCTION("""COMPUTED_VALUE"""),"2454781")</f>
        <v>2454781</v>
      </c>
      <c r="I3044" s="1" t="str">
        <f>IFERROR(__xludf.DUMMYFUNCTION("""COMPUTED_VALUE"""),"นายฌานกฤช นันทะโคต")</f>
        <v>นายฌานกฤช นันทะโคต</v>
      </c>
      <c r="J3044" s="3">
        <f>IFERROR(__xludf.DUMMYFUNCTION("""COMPUTED_VALUE"""),295886.0)</f>
        <v>295886</v>
      </c>
      <c r="K3044" s="3" t="str">
        <f>IFERROR(__xludf.DUMMYFUNCTION("""COMPUTED_VALUE"""),"นายจิระพงษ์ โพธิ์นิล")</f>
        <v>นายจิระพงษ์ โพธิ์นิล</v>
      </c>
      <c r="L3044" s="1" t="str">
        <f>IFERROR(__xludf.DUMMYFUNCTION("""COMPUTED_VALUE"""),"นายจิระพงษ์ โพธิ์นิล")</f>
        <v>นายจิระพงษ์ โพธิ์นิล</v>
      </c>
      <c r="M3044" s="1" t="str">
        <f>IFERROR(__xludf.DUMMYFUNCTION("""COMPUTED_VALUE"""),"0933290754")</f>
        <v>0933290754</v>
      </c>
      <c r="N3044" s="3">
        <f>IFERROR(__xludf.DUMMYFUNCTION("""COMPUTED_VALUE"""),83973.0)</f>
        <v>83973</v>
      </c>
      <c r="O3044" s="3" t="str">
        <f>IFERROR(__xludf.DUMMYFUNCTION("""COMPUTED_VALUE"""),"ร้านธาราวิศุทธ์")</f>
        <v>ร้านธาราวิศุทธ์</v>
      </c>
      <c r="P3044" s="4">
        <f>IFERROR(__xludf.DUMMYFUNCTION("""COMPUTED_VALUE"""),44821.0)</f>
        <v>44821</v>
      </c>
      <c r="Q3044" s="3" t="str">
        <f>IFERROR(__xludf.DUMMYFUNCTION("""COMPUTED_VALUE"""),"A")</f>
        <v>A</v>
      </c>
      <c r="R3044" s="3" t="str">
        <f>IFERROR(__xludf.DUMMYFUNCTION("""COMPUTED_VALUE"""),"Small Format")</f>
        <v>Small Format</v>
      </c>
      <c r="S3044" s="3" t="str">
        <f>IFERROR(__xludf.DUMMYFUNCTION("""COMPUTED_VALUE"""),"Donjai")</f>
        <v>Donjai</v>
      </c>
      <c r="T3044" s="3" t="str">
        <f>IFERROR(__xludf.DUMMYFUNCTION("""COMPUTED_VALUE"""),"05 K.Chanakrit N.")</f>
        <v>05 K.Chanakrit N.</v>
      </c>
      <c r="U3044" s="3" t="str">
        <f>IFERROR(__xludf.DUMMYFUNCTION("""COMPUTED_VALUE"""),"05 K.Chanakrit N.")</f>
        <v>05 K.Chanakrit N.</v>
      </c>
      <c r="V3044" s="3" t="str">
        <f>IFERROR(__xludf.DUMMYFUNCTION("""COMPUTED_VALUE"""),"N")</f>
        <v>N</v>
      </c>
      <c r="W3044" s="3"/>
      <c r="X3044" s="3" t="str">
        <f>IFERROR(__xludf.DUMMYFUNCTION("""COMPUTED_VALUE"""),"220 หมู่ 1 ตำบล เดิต อำเภอ เมือง จังหวัด ยโสธร 35000")</f>
        <v>220 หมู่ 1 ตำบล เดิต อำเภอ เมือง จังหวัด ยโสธร 35000</v>
      </c>
      <c r="Y3044" s="3"/>
      <c r="Z3044" s="3">
        <f>IFERROR(__xludf.DUMMYFUNCTION("""COMPUTED_VALUE"""),0.0)</f>
        <v>0</v>
      </c>
      <c r="AA3044" s="3">
        <f>IFERROR(__xludf.DUMMYFUNCTION("""COMPUTED_VALUE"""),0.0)</f>
        <v>0</v>
      </c>
      <c r="AB3044" s="3" t="str">
        <f>IFERROR(__xludf.DUMMYFUNCTION("""COMPUTED_VALUE"""),"ยโสธร")</f>
        <v>ยโสธร</v>
      </c>
      <c r="AC3044" s="3">
        <f>IFERROR(__xludf.DUMMYFUNCTION("""COMPUTED_VALUE"""),35000.0)</f>
        <v>35000</v>
      </c>
      <c r="AD3044" s="3"/>
      <c r="AE3044" s="3"/>
      <c r="AF3044" s="3" t="str">
        <f>IFERROR(__xludf.DUMMYFUNCTION("""COMPUTED_VALUE"""),"ร้านธาราวิศุทธ์-83973")</f>
        <v>ร้านธาราวิศุทธ์-83973</v>
      </c>
      <c r="AG3044" s="3" t="str">
        <f>IFERROR(__xludf.DUMMYFUNCTION("""COMPUTED_VALUE"""),"ตะวันออกเฉียงเหนือ")</f>
        <v>ตะวันออกเฉียงเหนือ</v>
      </c>
      <c r="AH3044" s="3" t="str">
        <f>IFERROR(__xludf.DUMMYFUNCTION("""COMPUTED_VALUE"""),"#N/A")</f>
        <v>#N/A</v>
      </c>
      <c r="AI3044" s="3" t="str">
        <f>IFERROR(__xludf.DUMMYFUNCTION("""COMPUTED_VALUE"""),"Out of warranty")</f>
        <v>Out of warranty</v>
      </c>
      <c r="AJ3044" s="3">
        <f>IFERROR(__xludf.DUMMYFUNCTION("""COMPUTED_VALUE"""),41.0)</f>
        <v>41</v>
      </c>
      <c r="AK3044" s="3"/>
      <c r="AL3044" s="3"/>
    </row>
    <row r="3045" ht="15.75" customHeight="1">
      <c r="A3045" s="1" t="str">
        <f>IFERROR(__xludf.DUMMYFUNCTION("""COMPUTED_VALUE"""),"83976")</f>
        <v>83976</v>
      </c>
      <c r="B3045" s="2">
        <f>IFERROR(__xludf.DUMMYFUNCTION("""COMPUTED_VALUE"""),83976.0)</f>
        <v>83976</v>
      </c>
      <c r="C3045" s="3" t="str">
        <f>IFERROR(__xludf.DUMMYFUNCTION("""COMPUTED_VALUE"""),"ร้านป้าตุ๊ก สโตร์")</f>
        <v>ร้านป้าตุ๊ก สโตร์</v>
      </c>
      <c r="D3045" s="3" t="str">
        <f>IFERROR(__xludf.DUMMYFUNCTION("""COMPUTED_VALUE"""),"ร้านป้าตุ๊ก สโตร์")</f>
        <v>ร้านป้าตุ๊ก สโตร์</v>
      </c>
      <c r="E3045" s="1" t="str">
        <f>IFERROR(__xludf.DUMMYFUNCTION("""COMPUTED_VALUE"""),"Donjai")</f>
        <v>Donjai</v>
      </c>
      <c r="F3045" s="1" t="str">
        <f>IFERROR(__xludf.DUMMYFUNCTION("""COMPUTED_VALUE"""),"295886")</f>
        <v>295886</v>
      </c>
      <c r="G3045" s="1" t="str">
        <f>IFERROR(__xludf.DUMMYFUNCTION("""COMPUTED_VALUE"""),"นายจิระพงษ์ โพธิ์นิล")</f>
        <v>นายจิระพงษ์ โพธิ์นิล</v>
      </c>
      <c r="H3045" s="1" t="str">
        <f>IFERROR(__xludf.DUMMYFUNCTION("""COMPUTED_VALUE"""),"295886")</f>
        <v>295886</v>
      </c>
      <c r="I3045" s="1" t="str">
        <f>IFERROR(__xludf.DUMMYFUNCTION("""COMPUTED_VALUE"""),"นายจิระพงษ์ โพธิ์นิล")</f>
        <v>นายจิระพงษ์ โพธิ์นิล</v>
      </c>
      <c r="J3045" s="3">
        <f>IFERROR(__xludf.DUMMYFUNCTION("""COMPUTED_VALUE"""),295886.0)</f>
        <v>295886</v>
      </c>
      <c r="K3045" s="3" t="str">
        <f>IFERROR(__xludf.DUMMYFUNCTION("""COMPUTED_VALUE"""),"นายจิระพงษ์ โพธิ์นิล")</f>
        <v>นายจิระพงษ์ โพธิ์นิล</v>
      </c>
      <c r="L3045" s="1" t="str">
        <f>IFERROR(__xludf.DUMMYFUNCTION("""COMPUTED_VALUE"""),"นายจิระพงษ์ โพธิ์นิล")</f>
        <v>นายจิระพงษ์ โพธิ์นิล</v>
      </c>
      <c r="M3045" s="1" t="str">
        <f>IFERROR(__xludf.DUMMYFUNCTION("""COMPUTED_VALUE"""),"0933290754")</f>
        <v>0933290754</v>
      </c>
      <c r="N3045" s="3">
        <f>IFERROR(__xludf.DUMMYFUNCTION("""COMPUTED_VALUE"""),83976.0)</f>
        <v>83976</v>
      </c>
      <c r="O3045" s="3" t="str">
        <f>IFERROR(__xludf.DUMMYFUNCTION("""COMPUTED_VALUE"""),"ร้านป้าตุ๊ก สโตร์")</f>
        <v>ร้านป้าตุ๊ก สโตร์</v>
      </c>
      <c r="P3045" s="4">
        <f>IFERROR(__xludf.DUMMYFUNCTION("""COMPUTED_VALUE"""),44816.0)</f>
        <v>44816</v>
      </c>
      <c r="Q3045" s="3" t="str">
        <f>IFERROR(__xludf.DUMMYFUNCTION("""COMPUTED_VALUE"""),"I")</f>
        <v>I</v>
      </c>
      <c r="R3045" s="3" t="str">
        <f>IFERROR(__xludf.DUMMYFUNCTION("""COMPUTED_VALUE"""),"Small Format")</f>
        <v>Small Format</v>
      </c>
      <c r="S3045" s="3" t="str">
        <f>IFERROR(__xludf.DUMMYFUNCTION("""COMPUTED_VALUE"""),"Donjai")</f>
        <v>Donjai</v>
      </c>
      <c r="T3045" s="3" t="str">
        <f>IFERROR(__xludf.DUMMYFUNCTION("""COMPUTED_VALUE"""),"นายจิระพงษ์ โพธิ์นิล")</f>
        <v>นายจิระพงษ์ โพธิ์นิล</v>
      </c>
      <c r="U3045" s="3" t="str">
        <f>IFERROR(__xludf.DUMMYFUNCTION("""COMPUTED_VALUE"""),"นายจิระพงษ์ โพธิ์นิล")</f>
        <v>นายจิระพงษ์ โพธิ์นิล</v>
      </c>
      <c r="V3045" s="3" t="str">
        <f>IFERROR(__xludf.DUMMYFUNCTION("""COMPUTED_VALUE"""),"N")</f>
        <v>N</v>
      </c>
      <c r="W3045" s="3"/>
      <c r="X3045" s="3" t="str">
        <f>IFERROR(__xludf.DUMMYFUNCTION("""COMPUTED_VALUE"""),"889 หมู่ 2 ตำบล ลุมพุก อำเภอ คำเขื่อนแก้ว จังหวัด ยโสธร รหัสไปรษณีย์ 35110")</f>
        <v>889 หมู่ 2 ตำบล ลุมพุก อำเภอ คำเขื่อนแก้ว จังหวัด ยโสธร รหัสไปรษณีย์ 35110</v>
      </c>
      <c r="Y3045" s="3"/>
      <c r="Z3045" s="3">
        <f>IFERROR(__xludf.DUMMYFUNCTION("""COMPUTED_VALUE"""),0.0)</f>
        <v>0</v>
      </c>
      <c r="AA3045" s="3">
        <f>IFERROR(__xludf.DUMMYFUNCTION("""COMPUTED_VALUE"""),0.0)</f>
        <v>0</v>
      </c>
      <c r="AB3045" s="3" t="str">
        <f>IFERROR(__xludf.DUMMYFUNCTION("""COMPUTED_VALUE"""),"ยโสธร")</f>
        <v>ยโสธร</v>
      </c>
      <c r="AC3045" s="3">
        <f>IFERROR(__xludf.DUMMYFUNCTION("""COMPUTED_VALUE"""),35110.0)</f>
        <v>35110</v>
      </c>
      <c r="AD3045" s="3"/>
      <c r="AE3045" s="3"/>
      <c r="AF3045" s="3" t="str">
        <f>IFERROR(__xludf.DUMMYFUNCTION("""COMPUTED_VALUE"""),"ร้านป้าตุ๊ก สโตร์-83976")</f>
        <v>ร้านป้าตุ๊ก สโตร์-83976</v>
      </c>
      <c r="AG3045" s="3" t="str">
        <f>IFERROR(__xludf.DUMMYFUNCTION("""COMPUTED_VALUE"""),"ตะวันออกเฉียงเหนือ")</f>
        <v>ตะวันออกเฉียงเหนือ</v>
      </c>
      <c r="AH3045" s="3" t="str">
        <f>IFERROR(__xludf.DUMMYFUNCTION("""COMPUTED_VALUE"""),"#N/A")</f>
        <v>#N/A</v>
      </c>
      <c r="AI3045" s="3" t="str">
        <f>IFERROR(__xludf.DUMMYFUNCTION("""COMPUTED_VALUE"""),"Out of warranty")</f>
        <v>Out of warranty</v>
      </c>
      <c r="AJ3045" s="3">
        <f>IFERROR(__xludf.DUMMYFUNCTION("""COMPUTED_VALUE"""),41.0)</f>
        <v>41</v>
      </c>
      <c r="AK3045" s="3"/>
      <c r="AL3045" s="3"/>
    </row>
    <row r="3046" ht="15.75" customHeight="1">
      <c r="A3046" s="1" t="str">
        <f>IFERROR(__xludf.DUMMYFUNCTION("""COMPUTED_VALUE"""),"83977")</f>
        <v>83977</v>
      </c>
      <c r="B3046" s="2">
        <f>IFERROR(__xludf.DUMMYFUNCTION("""COMPUTED_VALUE"""),83977.0)</f>
        <v>83977</v>
      </c>
      <c r="C3046" s="3" t="str">
        <f>IFERROR(__xludf.DUMMYFUNCTION("""COMPUTED_VALUE"""),"ร้านกรุณาพาณิชย์")</f>
        <v>ร้านกรุณาพาณิชย์</v>
      </c>
      <c r="D3046" s="3" t="str">
        <f>IFERROR(__xludf.DUMMYFUNCTION("""COMPUTED_VALUE"""),"ร้านกรุณาพาณิชย์")</f>
        <v>ร้านกรุณาพาณิชย์</v>
      </c>
      <c r="E3046" s="1" t="str">
        <f>IFERROR(__xludf.DUMMYFUNCTION("""COMPUTED_VALUE"""),"Donjai")</f>
        <v>Donjai</v>
      </c>
      <c r="F3046" s="1" t="str">
        <f>IFERROR(__xludf.DUMMYFUNCTION("""COMPUTED_VALUE"""),"015361")</f>
        <v>015361</v>
      </c>
      <c r="G3046" s="1" t="str">
        <f>IFERROR(__xludf.DUMMYFUNCTION("""COMPUTED_VALUE"""),"นายสมบูรณ์ พรหมในเมือง")</f>
        <v>นายสมบูรณ์ พรหมในเมือง</v>
      </c>
      <c r="H3046" s="1" t="str">
        <f>IFERROR(__xludf.DUMMYFUNCTION("""COMPUTED_VALUE"""),"015361")</f>
        <v>015361</v>
      </c>
      <c r="I3046" s="1" t="str">
        <f>IFERROR(__xludf.DUMMYFUNCTION("""COMPUTED_VALUE"""),"นายสมบูรณ์ พรหมในเมือง")</f>
        <v>นายสมบูรณ์ พรหมในเมือง</v>
      </c>
      <c r="J3046" s="3">
        <f>IFERROR(__xludf.DUMMYFUNCTION("""COMPUTED_VALUE"""),295886.0)</f>
        <v>295886</v>
      </c>
      <c r="K3046" s="3" t="str">
        <f>IFERROR(__xludf.DUMMYFUNCTION("""COMPUTED_VALUE"""),"นายจิระพงษ์ โพธิ์นิล")</f>
        <v>นายจิระพงษ์ โพธิ์นิล</v>
      </c>
      <c r="L3046" s="1" t="str">
        <f>IFERROR(__xludf.DUMMYFUNCTION("""COMPUTED_VALUE"""),"นายจิระพงษ์ โพธิ์นิล")</f>
        <v>นายจิระพงษ์ โพธิ์นิล</v>
      </c>
      <c r="M3046" s="1" t="str">
        <f>IFERROR(__xludf.DUMMYFUNCTION("""COMPUTED_VALUE"""),"0933290754")</f>
        <v>0933290754</v>
      </c>
      <c r="N3046" s="3">
        <f>IFERROR(__xludf.DUMMYFUNCTION("""COMPUTED_VALUE"""),83977.0)</f>
        <v>83977</v>
      </c>
      <c r="O3046" s="3" t="str">
        <f>IFERROR(__xludf.DUMMYFUNCTION("""COMPUTED_VALUE"""),"ร้านกรุณาพาณิชย์")</f>
        <v>ร้านกรุณาพาณิชย์</v>
      </c>
      <c r="P3046" s="4">
        <f>IFERROR(__xludf.DUMMYFUNCTION("""COMPUTED_VALUE"""),44808.0)</f>
        <v>44808</v>
      </c>
      <c r="Q3046" s="3" t="str">
        <f>IFERROR(__xludf.DUMMYFUNCTION("""COMPUTED_VALUE"""),"I")</f>
        <v>I</v>
      </c>
      <c r="R3046" s="3" t="str">
        <f>IFERROR(__xludf.DUMMYFUNCTION("""COMPUTED_VALUE"""),"Small Format")</f>
        <v>Small Format</v>
      </c>
      <c r="S3046" s="3" t="str">
        <f>IFERROR(__xludf.DUMMYFUNCTION("""COMPUTED_VALUE"""),"Donjai")</f>
        <v>Donjai</v>
      </c>
      <c r="T3046" s="3" t="str">
        <f>IFERROR(__xludf.DUMMYFUNCTION("""COMPUTED_VALUE"""),"04 K.Somboon P.")</f>
        <v>04 K.Somboon P.</v>
      </c>
      <c r="U3046" s="3" t="str">
        <f>IFERROR(__xludf.DUMMYFUNCTION("""COMPUTED_VALUE"""),"04 K.Somboon P.")</f>
        <v>04 K.Somboon P.</v>
      </c>
      <c r="V3046" s="3" t="str">
        <f>IFERROR(__xludf.DUMMYFUNCTION("""COMPUTED_VALUE"""),"N")</f>
        <v>N</v>
      </c>
      <c r="W3046" s="3"/>
      <c r="X3046" s="3" t="str">
        <f>IFERROR(__xludf.DUMMYFUNCTION("""COMPUTED_VALUE"""),"161/1 หมู่ 8 ตำบล ปราสาททอง อำเภอ เขวาสินรินทร์ จังหวัด สุรินทร์ รหัสไปรษณีย์ 32000")</f>
        <v>161/1 หมู่ 8 ตำบล ปราสาททอง อำเภอ เขวาสินรินทร์ จังหวัด สุรินทร์ รหัสไปรษณีย์ 32000</v>
      </c>
      <c r="Y3046" s="3"/>
      <c r="Z3046" s="3">
        <f>IFERROR(__xludf.DUMMYFUNCTION("""COMPUTED_VALUE"""),0.0)</f>
        <v>0</v>
      </c>
      <c r="AA3046" s="3">
        <f>IFERROR(__xludf.DUMMYFUNCTION("""COMPUTED_VALUE"""),0.0)</f>
        <v>0</v>
      </c>
      <c r="AB3046" s="3" t="str">
        <f>IFERROR(__xludf.DUMMYFUNCTION("""COMPUTED_VALUE"""),"สุรินทร์")</f>
        <v>สุรินทร์</v>
      </c>
      <c r="AC3046" s="3">
        <f>IFERROR(__xludf.DUMMYFUNCTION("""COMPUTED_VALUE"""),32000.0)</f>
        <v>32000</v>
      </c>
      <c r="AD3046" s="3"/>
      <c r="AE3046" s="3"/>
      <c r="AF3046" s="3" t="str">
        <f>IFERROR(__xludf.DUMMYFUNCTION("""COMPUTED_VALUE"""),"ร้านกรุณาพาณิชย์-83977")</f>
        <v>ร้านกรุณาพาณิชย์-83977</v>
      </c>
      <c r="AG3046" s="3" t="str">
        <f>IFERROR(__xludf.DUMMYFUNCTION("""COMPUTED_VALUE"""),"ตะวันออกเฉียงเหนือ")</f>
        <v>ตะวันออกเฉียงเหนือ</v>
      </c>
      <c r="AH3046" s="3" t="str">
        <f>IFERROR(__xludf.DUMMYFUNCTION("""COMPUTED_VALUE"""),"#N/A")</f>
        <v>#N/A</v>
      </c>
      <c r="AI3046" s="3" t="str">
        <f>IFERROR(__xludf.DUMMYFUNCTION("""COMPUTED_VALUE"""),"Out of warranty")</f>
        <v>Out of warranty</v>
      </c>
      <c r="AJ3046" s="3">
        <f>IFERROR(__xludf.DUMMYFUNCTION("""COMPUTED_VALUE"""),41.0)</f>
        <v>41</v>
      </c>
      <c r="AK3046" s="3"/>
      <c r="AL3046" s="3"/>
    </row>
    <row r="3047" ht="15.75" customHeight="1">
      <c r="A3047" s="1" t="str">
        <f>IFERROR(__xludf.DUMMYFUNCTION("""COMPUTED_VALUE"""),"83980")</f>
        <v>83980</v>
      </c>
      <c r="B3047" s="2">
        <f>IFERROR(__xludf.DUMMYFUNCTION("""COMPUTED_VALUE"""),83980.0)</f>
        <v>83980</v>
      </c>
      <c r="C3047" s="3" t="str">
        <f>IFERROR(__xludf.DUMMYFUNCTION("""COMPUTED_VALUE"""),"ร้าน ราซันย์มินิมาร์ท")</f>
        <v>ร้าน ราซันย์มินิมาร์ท</v>
      </c>
      <c r="D3047" s="3" t="str">
        <f>IFERROR(__xludf.DUMMYFUNCTION("""COMPUTED_VALUE"""),"ร้าน ราซันย์มินิมาร์ท")</f>
        <v>ร้าน ราซันย์มินิมาร์ท</v>
      </c>
      <c r="E3047" s="1" t="str">
        <f>IFERROR(__xludf.DUMMYFUNCTION("""COMPUTED_VALUE"""),"Donjai")</f>
        <v>Donjai</v>
      </c>
      <c r="F3047" s="1" t="str">
        <f>IFERROR(__xludf.DUMMYFUNCTION("""COMPUTED_VALUE"""),"015361")</f>
        <v>015361</v>
      </c>
      <c r="G3047" s="1" t="str">
        <f>IFERROR(__xludf.DUMMYFUNCTION("""COMPUTED_VALUE"""),"นายสมบูรณ์ พรหมในเมือง")</f>
        <v>นายสมบูรณ์ พรหมในเมือง</v>
      </c>
      <c r="H3047" s="1" t="str">
        <f>IFERROR(__xludf.DUMMYFUNCTION("""COMPUTED_VALUE"""),"015361")</f>
        <v>015361</v>
      </c>
      <c r="I3047" s="1" t="str">
        <f>IFERROR(__xludf.DUMMYFUNCTION("""COMPUTED_VALUE"""),"นายสมบูรณ์ พรหมในเมือง")</f>
        <v>นายสมบูรณ์ พรหมในเมือง</v>
      </c>
      <c r="J3047" s="3">
        <f>IFERROR(__xludf.DUMMYFUNCTION("""COMPUTED_VALUE"""),295886.0)</f>
        <v>295886</v>
      </c>
      <c r="K3047" s="3" t="str">
        <f>IFERROR(__xludf.DUMMYFUNCTION("""COMPUTED_VALUE"""),"นายจิระพงษ์ โพธิ์นิล")</f>
        <v>นายจิระพงษ์ โพธิ์นิล</v>
      </c>
      <c r="L3047" s="1" t="str">
        <f>IFERROR(__xludf.DUMMYFUNCTION("""COMPUTED_VALUE"""),"นายจิระพงษ์ โพธิ์นิล")</f>
        <v>นายจิระพงษ์ โพธิ์นิล</v>
      </c>
      <c r="M3047" s="1" t="str">
        <f>IFERROR(__xludf.DUMMYFUNCTION("""COMPUTED_VALUE"""),"0933290754")</f>
        <v>0933290754</v>
      </c>
      <c r="N3047" s="3">
        <f>IFERROR(__xludf.DUMMYFUNCTION("""COMPUTED_VALUE"""),83980.0)</f>
        <v>83980</v>
      </c>
      <c r="O3047" s="3" t="str">
        <f>IFERROR(__xludf.DUMMYFUNCTION("""COMPUTED_VALUE"""),"ร้าน ราซันย์มินิมาร์ท")</f>
        <v>ร้าน ราซันย์มินิมาร์ท</v>
      </c>
      <c r="P3047" s="4">
        <f>IFERROR(__xludf.DUMMYFUNCTION("""COMPUTED_VALUE"""),44816.0)</f>
        <v>44816</v>
      </c>
      <c r="Q3047" s="3" t="str">
        <f>IFERROR(__xludf.DUMMYFUNCTION("""COMPUTED_VALUE"""),"I")</f>
        <v>I</v>
      </c>
      <c r="R3047" s="3" t="str">
        <f>IFERROR(__xludf.DUMMYFUNCTION("""COMPUTED_VALUE"""),"Small Format")</f>
        <v>Small Format</v>
      </c>
      <c r="S3047" s="3" t="str">
        <f>IFERROR(__xludf.DUMMYFUNCTION("""COMPUTED_VALUE"""),"Donjai")</f>
        <v>Donjai</v>
      </c>
      <c r="T3047" s="3" t="str">
        <f>IFERROR(__xludf.DUMMYFUNCTION("""COMPUTED_VALUE"""),"04 K.Somboon P.")</f>
        <v>04 K.Somboon P.</v>
      </c>
      <c r="U3047" s="3" t="str">
        <f>IFERROR(__xludf.DUMMYFUNCTION("""COMPUTED_VALUE"""),"04 K.Somboon P.")</f>
        <v>04 K.Somboon P.</v>
      </c>
      <c r="V3047" s="3" t="str">
        <f>IFERROR(__xludf.DUMMYFUNCTION("""COMPUTED_VALUE"""),"N")</f>
        <v>N</v>
      </c>
      <c r="W3047" s="3"/>
      <c r="X3047" s="3" t="str">
        <f>IFERROR(__xludf.DUMMYFUNCTION("""COMPUTED_VALUE"""),"180 หมู่ 5 บ้าน นาจาน ตำบล ระเว อำเภอ พิบูลมังสาหาร จังหวัด อุบลราชธานี 34110")</f>
        <v>180 หมู่ 5 บ้าน นาจาน ตำบล ระเว อำเภอ พิบูลมังสาหาร จังหวัด อุบลราชธานี 34110</v>
      </c>
      <c r="Y3047" s="3"/>
      <c r="Z3047" s="3">
        <f>IFERROR(__xludf.DUMMYFUNCTION("""COMPUTED_VALUE"""),0.0)</f>
        <v>0</v>
      </c>
      <c r="AA3047" s="3">
        <f>IFERROR(__xludf.DUMMYFUNCTION("""COMPUTED_VALUE"""),0.0)</f>
        <v>0</v>
      </c>
      <c r="AB3047" s="3" t="str">
        <f>IFERROR(__xludf.DUMMYFUNCTION("""COMPUTED_VALUE"""),"อุบลราชธานี")</f>
        <v>อุบลราชธานี</v>
      </c>
      <c r="AC3047" s="3">
        <f>IFERROR(__xludf.DUMMYFUNCTION("""COMPUTED_VALUE"""),34110.0)</f>
        <v>34110</v>
      </c>
      <c r="AD3047" s="3"/>
      <c r="AE3047" s="3"/>
      <c r="AF3047" s="3" t="str">
        <f>IFERROR(__xludf.DUMMYFUNCTION("""COMPUTED_VALUE"""),"ร้าน ราซันย์มินิมาร์ท-83980")</f>
        <v>ร้าน ราซันย์มินิมาร์ท-83980</v>
      </c>
      <c r="AG3047" s="3" t="str">
        <f>IFERROR(__xludf.DUMMYFUNCTION("""COMPUTED_VALUE"""),"ตะวันออกเฉียงเหนือ")</f>
        <v>ตะวันออกเฉียงเหนือ</v>
      </c>
      <c r="AH3047" s="3" t="str">
        <f>IFERROR(__xludf.DUMMYFUNCTION("""COMPUTED_VALUE"""),"#N/A")</f>
        <v>#N/A</v>
      </c>
      <c r="AI3047" s="3" t="str">
        <f>IFERROR(__xludf.DUMMYFUNCTION("""COMPUTED_VALUE"""),"Out of warranty")</f>
        <v>Out of warranty</v>
      </c>
      <c r="AJ3047" s="3">
        <f>IFERROR(__xludf.DUMMYFUNCTION("""COMPUTED_VALUE"""),41.0)</f>
        <v>41</v>
      </c>
      <c r="AK3047" s="3"/>
      <c r="AL3047" s="3"/>
    </row>
    <row r="3048" ht="15.75" customHeight="1">
      <c r="A3048" s="1" t="str">
        <f>IFERROR(__xludf.DUMMYFUNCTION("""COMPUTED_VALUE"""),"83981")</f>
        <v>83981</v>
      </c>
      <c r="B3048" s="2">
        <f>IFERROR(__xludf.DUMMYFUNCTION("""COMPUTED_VALUE"""),83981.0)</f>
        <v>83981</v>
      </c>
      <c r="C3048" s="3" t="str">
        <f>IFERROR(__xludf.DUMMYFUNCTION("""COMPUTED_VALUE"""),"ร้านดีดีพาณิชย์")</f>
        <v>ร้านดีดีพาณิชย์</v>
      </c>
      <c r="D3048" s="3" t="str">
        <f>IFERROR(__xludf.DUMMYFUNCTION("""COMPUTED_VALUE"""),"ร้านดีดีพาณิชย์")</f>
        <v>ร้านดีดีพาณิชย์</v>
      </c>
      <c r="E3048" s="1" t="str">
        <f>IFERROR(__xludf.DUMMYFUNCTION("""COMPUTED_VALUE"""),"Donjai")</f>
        <v>Donjai</v>
      </c>
      <c r="F3048" s="1" t="str">
        <f>IFERROR(__xludf.DUMMYFUNCTION("""COMPUTED_VALUE"""),"015361")</f>
        <v>015361</v>
      </c>
      <c r="G3048" s="1" t="str">
        <f>IFERROR(__xludf.DUMMYFUNCTION("""COMPUTED_VALUE"""),"นายสมบูรณ์ พรหมในเมือง")</f>
        <v>นายสมบูรณ์ พรหมในเมือง</v>
      </c>
      <c r="H3048" s="1" t="str">
        <f>IFERROR(__xludf.DUMMYFUNCTION("""COMPUTED_VALUE"""),"015361")</f>
        <v>015361</v>
      </c>
      <c r="I3048" s="1" t="str">
        <f>IFERROR(__xludf.DUMMYFUNCTION("""COMPUTED_VALUE"""),"นายสมบูรณ์ พรหมในเมือง")</f>
        <v>นายสมบูรณ์ พรหมในเมือง</v>
      </c>
      <c r="J3048" s="3">
        <f>IFERROR(__xludf.DUMMYFUNCTION("""COMPUTED_VALUE"""),295886.0)</f>
        <v>295886</v>
      </c>
      <c r="K3048" s="3" t="str">
        <f>IFERROR(__xludf.DUMMYFUNCTION("""COMPUTED_VALUE"""),"นายจิระพงษ์ โพธิ์นิล")</f>
        <v>นายจิระพงษ์ โพธิ์นิล</v>
      </c>
      <c r="L3048" s="1" t="str">
        <f>IFERROR(__xludf.DUMMYFUNCTION("""COMPUTED_VALUE"""),"นายจิระพงษ์ โพธิ์นิล")</f>
        <v>นายจิระพงษ์ โพธิ์นิล</v>
      </c>
      <c r="M3048" s="1" t="str">
        <f>IFERROR(__xludf.DUMMYFUNCTION("""COMPUTED_VALUE"""),"0933290754")</f>
        <v>0933290754</v>
      </c>
      <c r="N3048" s="3">
        <f>IFERROR(__xludf.DUMMYFUNCTION("""COMPUTED_VALUE"""),83981.0)</f>
        <v>83981</v>
      </c>
      <c r="O3048" s="3" t="str">
        <f>IFERROR(__xludf.DUMMYFUNCTION("""COMPUTED_VALUE"""),"ร้านดีดีพาณิชย์")</f>
        <v>ร้านดีดีพาณิชย์</v>
      </c>
      <c r="P3048" s="4">
        <f>IFERROR(__xludf.DUMMYFUNCTION("""COMPUTED_VALUE"""),44805.0)</f>
        <v>44805</v>
      </c>
      <c r="Q3048" s="3" t="str">
        <f>IFERROR(__xludf.DUMMYFUNCTION("""COMPUTED_VALUE"""),"A")</f>
        <v>A</v>
      </c>
      <c r="R3048" s="3" t="str">
        <f>IFERROR(__xludf.DUMMYFUNCTION("""COMPUTED_VALUE"""),"Small Format")</f>
        <v>Small Format</v>
      </c>
      <c r="S3048" s="3" t="str">
        <f>IFERROR(__xludf.DUMMYFUNCTION("""COMPUTED_VALUE"""),"Donjai")</f>
        <v>Donjai</v>
      </c>
      <c r="T3048" s="3" t="str">
        <f>IFERROR(__xludf.DUMMYFUNCTION("""COMPUTED_VALUE"""),"04 K.Somboon P.")</f>
        <v>04 K.Somboon P.</v>
      </c>
      <c r="U3048" s="3" t="str">
        <f>IFERROR(__xludf.DUMMYFUNCTION("""COMPUTED_VALUE"""),"04 K.Somboon P.")</f>
        <v>04 K.Somboon P.</v>
      </c>
      <c r="V3048" s="3" t="str">
        <f>IFERROR(__xludf.DUMMYFUNCTION("""COMPUTED_VALUE"""),"N")</f>
        <v>N</v>
      </c>
      <c r="W3048" s="3"/>
      <c r="X3048" s="3" t="str">
        <f>IFERROR(__xludf.DUMMYFUNCTION("""COMPUTED_VALUE"""),"75 ม.18 ต.สามสวน อ.บ้านแท่น จ.ชัยภูมิ 36190")</f>
        <v>75 ม.18 ต.สามสวน อ.บ้านแท่น จ.ชัยภูมิ 36190</v>
      </c>
      <c r="Y3048" s="3"/>
      <c r="Z3048" s="3">
        <f>IFERROR(__xludf.DUMMYFUNCTION("""COMPUTED_VALUE"""),0.0)</f>
        <v>0</v>
      </c>
      <c r="AA3048" s="3">
        <f>IFERROR(__xludf.DUMMYFUNCTION("""COMPUTED_VALUE"""),0.0)</f>
        <v>0</v>
      </c>
      <c r="AB3048" s="3" t="str">
        <f>IFERROR(__xludf.DUMMYFUNCTION("""COMPUTED_VALUE"""),"ชัยภูมิ")</f>
        <v>ชัยภูมิ</v>
      </c>
      <c r="AC3048" s="3">
        <f>IFERROR(__xludf.DUMMYFUNCTION("""COMPUTED_VALUE"""),36190.0)</f>
        <v>36190</v>
      </c>
      <c r="AD3048" s="3"/>
      <c r="AE3048" s="3"/>
      <c r="AF3048" s="3" t="str">
        <f>IFERROR(__xludf.DUMMYFUNCTION("""COMPUTED_VALUE"""),"ร้านดีดีพาณิชย์-83981")</f>
        <v>ร้านดีดีพาณิชย์-83981</v>
      </c>
      <c r="AG3048" s="3" t="str">
        <f>IFERROR(__xludf.DUMMYFUNCTION("""COMPUTED_VALUE"""),"ตะวันออกเฉียงเหนือ")</f>
        <v>ตะวันออกเฉียงเหนือ</v>
      </c>
      <c r="AH3048" s="3" t="str">
        <f>IFERROR(__xludf.DUMMYFUNCTION("""COMPUTED_VALUE"""),"#N/A")</f>
        <v>#N/A</v>
      </c>
      <c r="AI3048" s="3" t="str">
        <f>IFERROR(__xludf.DUMMYFUNCTION("""COMPUTED_VALUE"""),"Out of warranty")</f>
        <v>Out of warranty</v>
      </c>
      <c r="AJ3048" s="3">
        <f>IFERROR(__xludf.DUMMYFUNCTION("""COMPUTED_VALUE"""),41.0)</f>
        <v>41</v>
      </c>
      <c r="AK3048" s="3"/>
      <c r="AL3048" s="3"/>
    </row>
    <row r="3049" ht="15.75" customHeight="1">
      <c r="A3049" s="1" t="str">
        <f>IFERROR(__xludf.DUMMYFUNCTION("""COMPUTED_VALUE"""),"83982")</f>
        <v>83982</v>
      </c>
      <c r="B3049" s="2">
        <f>IFERROR(__xludf.DUMMYFUNCTION("""COMPUTED_VALUE"""),83982.0)</f>
        <v>83982</v>
      </c>
      <c r="C3049" s="3" t="str">
        <f>IFERROR(__xludf.DUMMYFUNCTION("""COMPUTED_VALUE"""),"ร้านทวีผล สาขา2")</f>
        <v>ร้านทวีผล สาขา2</v>
      </c>
      <c r="D3049" s="3" t="str">
        <f>IFERROR(__xludf.DUMMYFUNCTION("""COMPUTED_VALUE"""),"ร้านทวีผล สาขา2")</f>
        <v>ร้านทวีผล สาขา2</v>
      </c>
      <c r="E3049" s="1" t="str">
        <f>IFERROR(__xludf.DUMMYFUNCTION("""COMPUTED_VALUE"""),"Donjai")</f>
        <v>Donjai</v>
      </c>
      <c r="F3049" s="1" t="str">
        <f>IFERROR(__xludf.DUMMYFUNCTION("""COMPUTED_VALUE"""),"046214")</f>
        <v>046214</v>
      </c>
      <c r="G3049" s="1" t="str">
        <f>IFERROR(__xludf.DUMMYFUNCTION("""COMPUTED_VALUE"""),"นายศักดิ์ชัย เด็ดดอกฟ้า")</f>
        <v>นายศักดิ์ชัย เด็ดดอกฟ้า</v>
      </c>
      <c r="H3049" s="1" t="str">
        <f>IFERROR(__xludf.DUMMYFUNCTION("""COMPUTED_VALUE"""),"046214")</f>
        <v>046214</v>
      </c>
      <c r="I3049" s="1" t="str">
        <f>IFERROR(__xludf.DUMMYFUNCTION("""COMPUTED_VALUE"""),"นายศักดิ์ชัย เด็ดดอกฟ้า")</f>
        <v>นายศักดิ์ชัย เด็ดดอกฟ้า</v>
      </c>
      <c r="J3049" s="3">
        <f>IFERROR(__xludf.DUMMYFUNCTION("""COMPUTED_VALUE"""),295886.0)</f>
        <v>295886</v>
      </c>
      <c r="K3049" s="3" t="str">
        <f>IFERROR(__xludf.DUMMYFUNCTION("""COMPUTED_VALUE"""),"นายจิระพงษ์ โพธิ์นิล")</f>
        <v>นายจิระพงษ์ โพธิ์นิล</v>
      </c>
      <c r="L3049" s="1" t="str">
        <f>IFERROR(__xludf.DUMMYFUNCTION("""COMPUTED_VALUE"""),"นายจิระพงษ์ โพธิ์นิล")</f>
        <v>นายจิระพงษ์ โพธิ์นิล</v>
      </c>
      <c r="M3049" s="1" t="str">
        <f>IFERROR(__xludf.DUMMYFUNCTION("""COMPUTED_VALUE"""),"0933290754")</f>
        <v>0933290754</v>
      </c>
      <c r="N3049" s="3">
        <f>IFERROR(__xludf.DUMMYFUNCTION("""COMPUTED_VALUE"""),83982.0)</f>
        <v>83982</v>
      </c>
      <c r="O3049" s="3" t="str">
        <f>IFERROR(__xludf.DUMMYFUNCTION("""COMPUTED_VALUE"""),"ร้านทวีผล สาขา2")</f>
        <v>ร้านทวีผล สาขา2</v>
      </c>
      <c r="P3049" s="4">
        <f>IFERROR(__xludf.DUMMYFUNCTION("""COMPUTED_VALUE"""),44801.0)</f>
        <v>44801</v>
      </c>
      <c r="Q3049" s="3" t="str">
        <f>IFERROR(__xludf.DUMMYFUNCTION("""COMPUTED_VALUE"""),"A")</f>
        <v>A</v>
      </c>
      <c r="R3049" s="3" t="str">
        <f>IFERROR(__xludf.DUMMYFUNCTION("""COMPUTED_VALUE"""),"Small Format")</f>
        <v>Small Format</v>
      </c>
      <c r="S3049" s="3" t="str">
        <f>IFERROR(__xludf.DUMMYFUNCTION("""COMPUTED_VALUE"""),"Donjai")</f>
        <v>Donjai</v>
      </c>
      <c r="T3049" s="3" t="str">
        <f>IFERROR(__xludf.DUMMYFUNCTION("""COMPUTED_VALUE"""),"02 K.Sakchai D")</f>
        <v>02 K.Sakchai D</v>
      </c>
      <c r="U3049" s="3" t="str">
        <f>IFERROR(__xludf.DUMMYFUNCTION("""COMPUTED_VALUE"""),"02 K.Sakchai D")</f>
        <v>02 K.Sakchai D</v>
      </c>
      <c r="V3049" s="3" t="str">
        <f>IFERROR(__xludf.DUMMYFUNCTION("""COMPUTED_VALUE"""),"N")</f>
        <v>N</v>
      </c>
      <c r="W3049" s="3"/>
      <c r="X3049" s="3" t="str">
        <f>IFERROR(__xludf.DUMMYFUNCTION("""COMPUTED_VALUE"""),"6/431 ซ.เทศบาล 6 ต.อ้อมใหญ่ อ.สามพราน จ.นครปฐม 73160")</f>
        <v>6/431 ซ.เทศบาล 6 ต.อ้อมใหญ่ อ.สามพราน จ.นครปฐม 73160</v>
      </c>
      <c r="Y3049" s="3"/>
      <c r="Z3049" s="3">
        <f>IFERROR(__xludf.DUMMYFUNCTION("""COMPUTED_VALUE"""),0.0)</f>
        <v>0</v>
      </c>
      <c r="AA3049" s="3">
        <f>IFERROR(__xludf.DUMMYFUNCTION("""COMPUTED_VALUE"""),0.0)</f>
        <v>0</v>
      </c>
      <c r="AB3049" s="3" t="str">
        <f>IFERROR(__xludf.DUMMYFUNCTION("""COMPUTED_VALUE"""),"นครปฐม")</f>
        <v>นครปฐม</v>
      </c>
      <c r="AC3049" s="3">
        <f>IFERROR(__xludf.DUMMYFUNCTION("""COMPUTED_VALUE"""),73160.0)</f>
        <v>73160</v>
      </c>
      <c r="AD3049" s="3"/>
      <c r="AE3049" s="3"/>
      <c r="AF3049" s="3" t="str">
        <f>IFERROR(__xludf.DUMMYFUNCTION("""COMPUTED_VALUE"""),"ร้านทวีผล สาขา2-83982")</f>
        <v>ร้านทวีผล สาขา2-83982</v>
      </c>
      <c r="AG3049" s="3" t="str">
        <f>IFERROR(__xludf.DUMMYFUNCTION("""COMPUTED_VALUE"""),"กลาง")</f>
        <v>กลาง</v>
      </c>
      <c r="AH3049" s="3" t="str">
        <f>IFERROR(__xludf.DUMMYFUNCTION("""COMPUTED_VALUE"""),"#N/A")</f>
        <v>#N/A</v>
      </c>
      <c r="AI3049" s="3" t="str">
        <f>IFERROR(__xludf.DUMMYFUNCTION("""COMPUTED_VALUE"""),"Out of warranty")</f>
        <v>Out of warranty</v>
      </c>
      <c r="AJ3049" s="3">
        <f>IFERROR(__xludf.DUMMYFUNCTION("""COMPUTED_VALUE"""),41.0)</f>
        <v>41</v>
      </c>
      <c r="AK3049" s="3"/>
      <c r="AL3049" s="3"/>
    </row>
    <row r="3050" ht="15.75" customHeight="1">
      <c r="A3050" s="1" t="str">
        <f>IFERROR(__xludf.DUMMYFUNCTION("""COMPUTED_VALUE"""),"83983")</f>
        <v>83983</v>
      </c>
      <c r="B3050" s="2">
        <f>IFERROR(__xludf.DUMMYFUNCTION("""COMPUTED_VALUE"""),83983.0)</f>
        <v>83983</v>
      </c>
      <c r="C3050" s="3" t="str">
        <f>IFERROR(__xludf.DUMMYFUNCTION("""COMPUTED_VALUE"""),"ร้านเหลือง(ศศิณัทนันท์)")</f>
        <v>ร้านเหลือง(ศศิณัทนันท์)</v>
      </c>
      <c r="D3050" s="3" t="str">
        <f>IFERROR(__xludf.DUMMYFUNCTION("""COMPUTED_VALUE"""),"ร้านเหลือง(ศศิณัทนันท์)")</f>
        <v>ร้านเหลือง(ศศิณัทนันท์)</v>
      </c>
      <c r="E3050" s="1" t="str">
        <f>IFERROR(__xludf.DUMMYFUNCTION("""COMPUTED_VALUE"""),"Donjai")</f>
        <v>Donjai</v>
      </c>
      <c r="F3050" s="1" t="str">
        <f>IFERROR(__xludf.DUMMYFUNCTION("""COMPUTED_VALUE"""),"015361")</f>
        <v>015361</v>
      </c>
      <c r="G3050" s="1" t="str">
        <f>IFERROR(__xludf.DUMMYFUNCTION("""COMPUTED_VALUE"""),"นายสมบูรณ์ พรหมในเมือง")</f>
        <v>นายสมบูรณ์ พรหมในเมือง</v>
      </c>
      <c r="H3050" s="1" t="str">
        <f>IFERROR(__xludf.DUMMYFUNCTION("""COMPUTED_VALUE"""),"015361")</f>
        <v>015361</v>
      </c>
      <c r="I3050" s="1" t="str">
        <f>IFERROR(__xludf.DUMMYFUNCTION("""COMPUTED_VALUE"""),"นายสมบูรณ์ พรหมในเมือง")</f>
        <v>นายสมบูรณ์ พรหมในเมือง</v>
      </c>
      <c r="J3050" s="3">
        <f>IFERROR(__xludf.DUMMYFUNCTION("""COMPUTED_VALUE"""),295886.0)</f>
        <v>295886</v>
      </c>
      <c r="K3050" s="3" t="str">
        <f>IFERROR(__xludf.DUMMYFUNCTION("""COMPUTED_VALUE"""),"นายจิระพงษ์ โพธิ์นิล")</f>
        <v>นายจิระพงษ์ โพธิ์นิล</v>
      </c>
      <c r="L3050" s="1" t="str">
        <f>IFERROR(__xludf.DUMMYFUNCTION("""COMPUTED_VALUE"""),"นายจิระพงษ์ โพธิ์นิล")</f>
        <v>นายจิระพงษ์ โพธิ์นิล</v>
      </c>
      <c r="M3050" s="1" t="str">
        <f>IFERROR(__xludf.DUMMYFUNCTION("""COMPUTED_VALUE"""),"0933290754")</f>
        <v>0933290754</v>
      </c>
      <c r="N3050" s="3">
        <f>IFERROR(__xludf.DUMMYFUNCTION("""COMPUTED_VALUE"""),83983.0)</f>
        <v>83983</v>
      </c>
      <c r="O3050" s="3" t="str">
        <f>IFERROR(__xludf.DUMMYFUNCTION("""COMPUTED_VALUE"""),"ร้านเหลือง(ศศิณัทนันท์)")</f>
        <v>ร้านเหลือง(ศศิณัทนันท์)</v>
      </c>
      <c r="P3050" s="4">
        <f>IFERROR(__xludf.DUMMYFUNCTION("""COMPUTED_VALUE"""),44804.0)</f>
        <v>44804</v>
      </c>
      <c r="Q3050" s="3" t="str">
        <f>IFERROR(__xludf.DUMMYFUNCTION("""COMPUTED_VALUE"""),"A")</f>
        <v>A</v>
      </c>
      <c r="R3050" s="3" t="str">
        <f>IFERROR(__xludf.DUMMYFUNCTION("""COMPUTED_VALUE"""),"Small Format")</f>
        <v>Small Format</v>
      </c>
      <c r="S3050" s="3" t="str">
        <f>IFERROR(__xludf.DUMMYFUNCTION("""COMPUTED_VALUE"""),"Donjai")</f>
        <v>Donjai</v>
      </c>
      <c r="T3050" s="3" t="str">
        <f>IFERROR(__xludf.DUMMYFUNCTION("""COMPUTED_VALUE"""),"04 K.Somboon P.")</f>
        <v>04 K.Somboon P.</v>
      </c>
      <c r="U3050" s="3" t="str">
        <f>IFERROR(__xludf.DUMMYFUNCTION("""COMPUTED_VALUE"""),"04 K.Somboon P.")</f>
        <v>04 K.Somboon P.</v>
      </c>
      <c r="V3050" s="3" t="str">
        <f>IFERROR(__xludf.DUMMYFUNCTION("""COMPUTED_VALUE"""),"N")</f>
        <v>N</v>
      </c>
      <c r="W3050" s="3"/>
      <c r="X3050" s="3" t="str">
        <f>IFERROR(__xludf.DUMMYFUNCTION("""COMPUTED_VALUE"""),"555หมู่2 ถ.มิตรภาพ อ.สีคิ้ว จ.นครราชสีมา 30140")</f>
        <v>555หมู่2 ถ.มิตรภาพ อ.สีคิ้ว จ.นครราชสีมา 30140</v>
      </c>
      <c r="Y3050" s="3"/>
      <c r="Z3050" s="3">
        <f>IFERROR(__xludf.DUMMYFUNCTION("""COMPUTED_VALUE"""),0.0)</f>
        <v>0</v>
      </c>
      <c r="AA3050" s="3">
        <f>IFERROR(__xludf.DUMMYFUNCTION("""COMPUTED_VALUE"""),0.0)</f>
        <v>0</v>
      </c>
      <c r="AB3050" s="3" t="str">
        <f>IFERROR(__xludf.DUMMYFUNCTION("""COMPUTED_VALUE"""),"นครราชสีมา")</f>
        <v>นครราชสีมา</v>
      </c>
      <c r="AC3050" s="3">
        <f>IFERROR(__xludf.DUMMYFUNCTION("""COMPUTED_VALUE"""),30140.0)</f>
        <v>30140</v>
      </c>
      <c r="AD3050" s="3"/>
      <c r="AE3050" s="3"/>
      <c r="AF3050" s="3" t="str">
        <f>IFERROR(__xludf.DUMMYFUNCTION("""COMPUTED_VALUE"""),"ร้านเหลือง(ศศิณัทนันท์)-83983")</f>
        <v>ร้านเหลือง(ศศิณัทนันท์)-83983</v>
      </c>
      <c r="AG3050" s="3" t="str">
        <f>IFERROR(__xludf.DUMMYFUNCTION("""COMPUTED_VALUE"""),"ตะวันออกเฉียงเหนือ")</f>
        <v>ตะวันออกเฉียงเหนือ</v>
      </c>
      <c r="AH3050" s="3" t="str">
        <f>IFERROR(__xludf.DUMMYFUNCTION("""COMPUTED_VALUE"""),"#N/A")</f>
        <v>#N/A</v>
      </c>
      <c r="AI3050" s="3" t="str">
        <f>IFERROR(__xludf.DUMMYFUNCTION("""COMPUTED_VALUE"""),"Out of warranty")</f>
        <v>Out of warranty</v>
      </c>
      <c r="AJ3050" s="3">
        <f>IFERROR(__xludf.DUMMYFUNCTION("""COMPUTED_VALUE"""),41.0)</f>
        <v>41</v>
      </c>
      <c r="AK3050" s="3"/>
      <c r="AL3050" s="3"/>
    </row>
    <row r="3051" ht="15.75" customHeight="1">
      <c r="A3051" s="1" t="str">
        <f>IFERROR(__xludf.DUMMYFUNCTION("""COMPUTED_VALUE"""),"83984")</f>
        <v>83984</v>
      </c>
      <c r="B3051" s="2">
        <f>IFERROR(__xludf.DUMMYFUNCTION("""COMPUTED_VALUE"""),83984.0)</f>
        <v>83984</v>
      </c>
      <c r="C3051" s="3" t="str">
        <f>IFERROR(__xludf.DUMMYFUNCTION("""COMPUTED_VALUE"""),"ร้านศิริวรรณการค้า")</f>
        <v>ร้านศิริวรรณการค้า</v>
      </c>
      <c r="D3051" s="3" t="str">
        <f>IFERROR(__xludf.DUMMYFUNCTION("""COMPUTED_VALUE"""),"ร้านศิริวรรณการค้า")</f>
        <v>ร้านศิริวรรณการค้า</v>
      </c>
      <c r="E3051" s="1" t="str">
        <f>IFERROR(__xludf.DUMMYFUNCTION("""COMPUTED_VALUE"""),"Donjai")</f>
        <v>Donjai</v>
      </c>
      <c r="F3051" s="1" t="str">
        <f>IFERROR(__xludf.DUMMYFUNCTION("""COMPUTED_VALUE"""),"2451655")</f>
        <v>2451655</v>
      </c>
      <c r="G3051" s="1" t="str">
        <f>IFERROR(__xludf.DUMMYFUNCTION("""COMPUTED_VALUE"""),"นายวิษณุพงษ์ ชินบุตร")</f>
        <v>นายวิษณุพงษ์ ชินบุตร</v>
      </c>
      <c r="H3051" s="1" t="str">
        <f>IFERROR(__xludf.DUMMYFUNCTION("""COMPUTED_VALUE"""),"2451655")</f>
        <v>2451655</v>
      </c>
      <c r="I3051" s="1" t="str">
        <f>IFERROR(__xludf.DUMMYFUNCTION("""COMPUTED_VALUE"""),"นายวิษณุพงษ์ ชินบุตร")</f>
        <v>นายวิษณุพงษ์ ชินบุตร</v>
      </c>
      <c r="J3051" s="3">
        <f>IFERROR(__xludf.DUMMYFUNCTION("""COMPUTED_VALUE"""),228031.0)</f>
        <v>228031</v>
      </c>
      <c r="K3051" s="3" t="str">
        <f>IFERROR(__xludf.DUMMYFUNCTION("""COMPUTED_VALUE"""),"นายธนพงษ์ วันหมัด")</f>
        <v>นายธนพงษ์ วันหมัด</v>
      </c>
      <c r="L3051" s="1" t="str">
        <f>IFERROR(__xludf.DUMMYFUNCTION("""COMPUTED_VALUE"""),"นายธนพงษ์ วันหมัด")</f>
        <v>นายธนพงษ์ วันหมัด</v>
      </c>
      <c r="M3051" s="1" t="str">
        <f>IFERROR(__xludf.DUMMYFUNCTION("""COMPUTED_VALUE"""),"0813716913")</f>
        <v>0813716913</v>
      </c>
      <c r="N3051" s="3">
        <f>IFERROR(__xludf.DUMMYFUNCTION("""COMPUTED_VALUE"""),83984.0)</f>
        <v>83984</v>
      </c>
      <c r="O3051" s="3" t="str">
        <f>IFERROR(__xludf.DUMMYFUNCTION("""COMPUTED_VALUE"""),"ร้านศิริวรรณการค้า")</f>
        <v>ร้านศิริวรรณการค้า</v>
      </c>
      <c r="P3051" s="4">
        <f>IFERROR(__xludf.DUMMYFUNCTION("""COMPUTED_VALUE"""),44837.0)</f>
        <v>44837</v>
      </c>
      <c r="Q3051" s="3" t="str">
        <f>IFERROR(__xludf.DUMMYFUNCTION("""COMPUTED_VALUE"""),"A")</f>
        <v>A</v>
      </c>
      <c r="R3051" s="3" t="str">
        <f>IFERROR(__xludf.DUMMYFUNCTION("""COMPUTED_VALUE"""),"Small Format")</f>
        <v>Small Format</v>
      </c>
      <c r="S3051" s="3" t="str">
        <f>IFERROR(__xludf.DUMMYFUNCTION("""COMPUTED_VALUE"""),"Donjai")</f>
        <v>Donjai</v>
      </c>
      <c r="T3051" s="3" t="str">
        <f>IFERROR(__xludf.DUMMYFUNCTION("""COMPUTED_VALUE"""),"13 K.Wisanupong Ch")</f>
        <v>13 K.Wisanupong Ch</v>
      </c>
      <c r="U3051" s="3" t="str">
        <f>IFERROR(__xludf.DUMMYFUNCTION("""COMPUTED_VALUE"""),"13 K.Wisanupong Ch")</f>
        <v>13 K.Wisanupong Ch</v>
      </c>
      <c r="V3051" s="3" t="str">
        <f>IFERROR(__xludf.DUMMYFUNCTION("""COMPUTED_VALUE"""),"N")</f>
        <v>N</v>
      </c>
      <c r="W3051" s="3"/>
      <c r="X3051" s="3" t="str">
        <f>IFERROR(__xludf.DUMMYFUNCTION("""COMPUTED_VALUE"""),"27/2 ม.2 ต.ท่าขนุน อ.ทองผาภูมิ จ.กาญจนบุรี 71180")</f>
        <v>27/2 ม.2 ต.ท่าขนุน อ.ทองผาภูมิ จ.กาญจนบุรี 71180</v>
      </c>
      <c r="Y3051" s="3"/>
      <c r="Z3051" s="3">
        <f>IFERROR(__xludf.DUMMYFUNCTION("""COMPUTED_VALUE"""),0.0)</f>
        <v>0</v>
      </c>
      <c r="AA3051" s="3">
        <f>IFERROR(__xludf.DUMMYFUNCTION("""COMPUTED_VALUE"""),0.0)</f>
        <v>0</v>
      </c>
      <c r="AB3051" s="3" t="str">
        <f>IFERROR(__xludf.DUMMYFUNCTION("""COMPUTED_VALUE"""),"กาญจนบุรี")</f>
        <v>กาญจนบุรี</v>
      </c>
      <c r="AC3051" s="3">
        <f>IFERROR(__xludf.DUMMYFUNCTION("""COMPUTED_VALUE"""),71180.0)</f>
        <v>71180</v>
      </c>
      <c r="AD3051" s="3"/>
      <c r="AE3051" s="3"/>
      <c r="AF3051" s="3" t="str">
        <f>IFERROR(__xludf.DUMMYFUNCTION("""COMPUTED_VALUE"""),"ร้านศิริวรรณการค้า-83984")</f>
        <v>ร้านศิริวรรณการค้า-83984</v>
      </c>
      <c r="AG3051" s="3" t="str">
        <f>IFERROR(__xludf.DUMMYFUNCTION("""COMPUTED_VALUE"""),"ตะวันตก")</f>
        <v>ตะวันตก</v>
      </c>
      <c r="AH3051" s="3" t="str">
        <f>IFERROR(__xludf.DUMMYFUNCTION("""COMPUTED_VALUE"""),"#N/A")</f>
        <v>#N/A</v>
      </c>
      <c r="AI3051" s="3" t="str">
        <f>IFERROR(__xludf.DUMMYFUNCTION("""COMPUTED_VALUE"""),"Out of warranty")</f>
        <v>Out of warranty</v>
      </c>
      <c r="AJ3051" s="3">
        <f>IFERROR(__xludf.DUMMYFUNCTION("""COMPUTED_VALUE"""),40.0)</f>
        <v>40</v>
      </c>
      <c r="AK3051" s="3"/>
      <c r="AL3051" s="3"/>
    </row>
    <row r="3052" ht="15.75" customHeight="1">
      <c r="A3052" s="1" t="str">
        <f>IFERROR(__xludf.DUMMYFUNCTION("""COMPUTED_VALUE"""),"83989")</f>
        <v>83989</v>
      </c>
      <c r="B3052" s="2">
        <f>IFERROR(__xludf.DUMMYFUNCTION("""COMPUTED_VALUE"""),83989.0)</f>
        <v>83989</v>
      </c>
      <c r="C3052" s="3" t="str">
        <f>IFERROR(__xludf.DUMMYFUNCTION("""COMPUTED_VALUE"""),"ร้านทรัพย์นับตังค์ (ร้านปิยรัตน์)")</f>
        <v>ร้านทรัพย์นับตังค์ (ร้านปิยรัตน์)</v>
      </c>
      <c r="D3052" s="3" t="str">
        <f>IFERROR(__xludf.DUMMYFUNCTION("""COMPUTED_VALUE"""),"ร้านทรัพย์นับตังค์ (ร้านปิยรัตน์)")</f>
        <v>ร้านทรัพย์นับตังค์ (ร้านปิยรัตน์)</v>
      </c>
      <c r="E3052" s="1" t="str">
        <f>IFERROR(__xludf.DUMMYFUNCTION("""COMPUTED_VALUE"""),"Donjai")</f>
        <v>Donjai</v>
      </c>
      <c r="F3052" s="1" t="str">
        <f>IFERROR(__xludf.DUMMYFUNCTION("""COMPUTED_VALUE"""),"2451655")</f>
        <v>2451655</v>
      </c>
      <c r="G3052" s="1" t="str">
        <f>IFERROR(__xludf.DUMMYFUNCTION("""COMPUTED_VALUE"""),"นายวิษณุพงษ์ ชินบุตร")</f>
        <v>นายวิษณุพงษ์ ชินบุตร</v>
      </c>
      <c r="H3052" s="1" t="str">
        <f>IFERROR(__xludf.DUMMYFUNCTION("""COMPUTED_VALUE"""),"2451655")</f>
        <v>2451655</v>
      </c>
      <c r="I3052" s="1" t="str">
        <f>IFERROR(__xludf.DUMMYFUNCTION("""COMPUTED_VALUE"""),"นายวิษณุพงษ์ ชินบุตร")</f>
        <v>นายวิษณุพงษ์ ชินบุตร</v>
      </c>
      <c r="J3052" s="3">
        <f>IFERROR(__xludf.DUMMYFUNCTION("""COMPUTED_VALUE"""),228031.0)</f>
        <v>228031</v>
      </c>
      <c r="K3052" s="3" t="str">
        <f>IFERROR(__xludf.DUMMYFUNCTION("""COMPUTED_VALUE"""),"นายธนพงษ์ วันหมัด")</f>
        <v>นายธนพงษ์ วันหมัด</v>
      </c>
      <c r="L3052" s="1" t="str">
        <f>IFERROR(__xludf.DUMMYFUNCTION("""COMPUTED_VALUE"""),"นายธนพงษ์ วันหมัด")</f>
        <v>นายธนพงษ์ วันหมัด</v>
      </c>
      <c r="M3052" s="1" t="str">
        <f>IFERROR(__xludf.DUMMYFUNCTION("""COMPUTED_VALUE"""),"0813716913")</f>
        <v>0813716913</v>
      </c>
      <c r="N3052" s="3">
        <f>IFERROR(__xludf.DUMMYFUNCTION("""COMPUTED_VALUE"""),83989.0)</f>
        <v>83989</v>
      </c>
      <c r="O3052" s="3" t="str">
        <f>IFERROR(__xludf.DUMMYFUNCTION("""COMPUTED_VALUE"""),"ร้านทรัพย์นับตังค์ (ร้านปิยรัตน์)")</f>
        <v>ร้านทรัพย์นับตังค์ (ร้านปิยรัตน์)</v>
      </c>
      <c r="P3052" s="4">
        <f>IFERROR(__xludf.DUMMYFUNCTION("""COMPUTED_VALUE"""),44853.0)</f>
        <v>44853</v>
      </c>
      <c r="Q3052" s="3" t="str">
        <f>IFERROR(__xludf.DUMMYFUNCTION("""COMPUTED_VALUE"""),"A")</f>
        <v>A</v>
      </c>
      <c r="R3052" s="3" t="str">
        <f>IFERROR(__xludf.DUMMYFUNCTION("""COMPUTED_VALUE"""),"Small Format")</f>
        <v>Small Format</v>
      </c>
      <c r="S3052" s="3" t="str">
        <f>IFERROR(__xludf.DUMMYFUNCTION("""COMPUTED_VALUE"""),"Donjai")</f>
        <v>Donjai</v>
      </c>
      <c r="T3052" s="3" t="str">
        <f>IFERROR(__xludf.DUMMYFUNCTION("""COMPUTED_VALUE"""),"13 K.Wisanupong Ch")</f>
        <v>13 K.Wisanupong Ch</v>
      </c>
      <c r="U3052" s="3" t="str">
        <f>IFERROR(__xludf.DUMMYFUNCTION("""COMPUTED_VALUE"""),"13 K.Wisanupong Ch")</f>
        <v>13 K.Wisanupong Ch</v>
      </c>
      <c r="V3052" s="3" t="str">
        <f>IFERROR(__xludf.DUMMYFUNCTION("""COMPUTED_VALUE"""),"N")</f>
        <v>N</v>
      </c>
      <c r="W3052" s="3"/>
      <c r="X3052" s="3" t="str">
        <f>IFERROR(__xludf.DUMMYFUNCTION("""COMPUTED_VALUE"""),"196 ม.5 ต.สมเด็จเจริญ อ.หนองปรือ จ.กาญจนบุรี 71220")</f>
        <v>196 ม.5 ต.สมเด็จเจริญ อ.หนองปรือ จ.กาญจนบุรี 71220</v>
      </c>
      <c r="Y3052" s="3"/>
      <c r="Z3052" s="3">
        <f>IFERROR(__xludf.DUMMYFUNCTION("""COMPUTED_VALUE"""),0.0)</f>
        <v>0</v>
      </c>
      <c r="AA3052" s="3">
        <f>IFERROR(__xludf.DUMMYFUNCTION("""COMPUTED_VALUE"""),0.0)</f>
        <v>0</v>
      </c>
      <c r="AB3052" s="3" t="str">
        <f>IFERROR(__xludf.DUMMYFUNCTION("""COMPUTED_VALUE"""),"กาญจนบุรี")</f>
        <v>กาญจนบุรี</v>
      </c>
      <c r="AC3052" s="3">
        <f>IFERROR(__xludf.DUMMYFUNCTION("""COMPUTED_VALUE"""),71220.0)</f>
        <v>71220</v>
      </c>
      <c r="AD3052" s="3"/>
      <c r="AE3052" s="3"/>
      <c r="AF3052" s="3" t="str">
        <f>IFERROR(__xludf.DUMMYFUNCTION("""COMPUTED_VALUE"""),"ร้านทรัพย์นับตังค์ (ร้านปิยรัตน์)-83989")</f>
        <v>ร้านทรัพย์นับตังค์ (ร้านปิยรัตน์)-83989</v>
      </c>
      <c r="AG3052" s="3" t="str">
        <f>IFERROR(__xludf.DUMMYFUNCTION("""COMPUTED_VALUE"""),"ตะวันตก")</f>
        <v>ตะวันตก</v>
      </c>
      <c r="AH3052" s="3" t="str">
        <f>IFERROR(__xludf.DUMMYFUNCTION("""COMPUTED_VALUE"""),"#N/A")</f>
        <v>#N/A</v>
      </c>
      <c r="AI3052" s="3" t="str">
        <f>IFERROR(__xludf.DUMMYFUNCTION("""COMPUTED_VALUE"""),"Out of warranty")</f>
        <v>Out of warranty</v>
      </c>
      <c r="AJ3052" s="3">
        <f>IFERROR(__xludf.DUMMYFUNCTION("""COMPUTED_VALUE"""),40.0)</f>
        <v>40</v>
      </c>
      <c r="AK3052" s="3"/>
      <c r="AL3052" s="3"/>
    </row>
    <row r="3053" ht="15.75" customHeight="1">
      <c r="A3053" s="1" t="str">
        <f>IFERROR(__xludf.DUMMYFUNCTION("""COMPUTED_VALUE"""),"83991")</f>
        <v>83991</v>
      </c>
      <c r="B3053" s="2">
        <f>IFERROR(__xludf.DUMMYFUNCTION("""COMPUTED_VALUE"""),83991.0)</f>
        <v>83991</v>
      </c>
      <c r="C3053" s="3" t="str">
        <f>IFERROR(__xludf.DUMMYFUNCTION("""COMPUTED_VALUE"""),"ร้าน วศ. วัชระพาณิชย์")</f>
        <v>ร้าน วศ. วัชระพาณิชย์</v>
      </c>
      <c r="D3053" s="3" t="str">
        <f>IFERROR(__xludf.DUMMYFUNCTION("""COMPUTED_VALUE"""),"ร้าน วศ. วัชระพาณิชย์")</f>
        <v>ร้าน วศ. วัชระพาณิชย์</v>
      </c>
      <c r="E3053" s="1" t="str">
        <f>IFERROR(__xludf.DUMMYFUNCTION("""COMPUTED_VALUE"""),"Donjai")</f>
        <v>Donjai</v>
      </c>
      <c r="F3053" s="1" t="str">
        <f>IFERROR(__xludf.DUMMYFUNCTION("""COMPUTED_VALUE"""),"015361")</f>
        <v>015361</v>
      </c>
      <c r="G3053" s="1" t="str">
        <f>IFERROR(__xludf.DUMMYFUNCTION("""COMPUTED_VALUE"""),"นายสมบูรณ์ พรหมในเมือง")</f>
        <v>นายสมบูรณ์ พรหมในเมือง</v>
      </c>
      <c r="H3053" s="1" t="str">
        <f>IFERROR(__xludf.DUMMYFUNCTION("""COMPUTED_VALUE"""),"015361")</f>
        <v>015361</v>
      </c>
      <c r="I3053" s="1" t="str">
        <f>IFERROR(__xludf.DUMMYFUNCTION("""COMPUTED_VALUE"""),"นายสมบูรณ์ พรหมในเมือง")</f>
        <v>นายสมบูรณ์ พรหมในเมือง</v>
      </c>
      <c r="J3053" s="3">
        <f>IFERROR(__xludf.DUMMYFUNCTION("""COMPUTED_VALUE"""),295886.0)</f>
        <v>295886</v>
      </c>
      <c r="K3053" s="3" t="str">
        <f>IFERROR(__xludf.DUMMYFUNCTION("""COMPUTED_VALUE"""),"นายจิระพงษ์ โพธิ์นิล")</f>
        <v>นายจิระพงษ์ โพธิ์นิล</v>
      </c>
      <c r="L3053" s="1" t="str">
        <f>IFERROR(__xludf.DUMMYFUNCTION("""COMPUTED_VALUE"""),"นายจิระพงษ์ โพธิ์นิล")</f>
        <v>นายจิระพงษ์ โพธิ์นิล</v>
      </c>
      <c r="M3053" s="1" t="str">
        <f>IFERROR(__xludf.DUMMYFUNCTION("""COMPUTED_VALUE"""),"0933290754")</f>
        <v>0933290754</v>
      </c>
      <c r="N3053" s="3">
        <f>IFERROR(__xludf.DUMMYFUNCTION("""COMPUTED_VALUE"""),83991.0)</f>
        <v>83991</v>
      </c>
      <c r="O3053" s="3" t="str">
        <f>IFERROR(__xludf.DUMMYFUNCTION("""COMPUTED_VALUE"""),"ร้าน วศ. วัชระพาณิชย์")</f>
        <v>ร้าน วศ. วัชระพาณิชย์</v>
      </c>
      <c r="P3053" s="4">
        <f>IFERROR(__xludf.DUMMYFUNCTION("""COMPUTED_VALUE"""),44853.0)</f>
        <v>44853</v>
      </c>
      <c r="Q3053" s="3" t="str">
        <f>IFERROR(__xludf.DUMMYFUNCTION("""COMPUTED_VALUE"""),"I")</f>
        <v>I</v>
      </c>
      <c r="R3053" s="3" t="str">
        <f>IFERROR(__xludf.DUMMYFUNCTION("""COMPUTED_VALUE"""),"Small Format")</f>
        <v>Small Format</v>
      </c>
      <c r="S3053" s="3" t="str">
        <f>IFERROR(__xludf.DUMMYFUNCTION("""COMPUTED_VALUE"""),"Donjai")</f>
        <v>Donjai</v>
      </c>
      <c r="T3053" s="3" t="str">
        <f>IFERROR(__xludf.DUMMYFUNCTION("""COMPUTED_VALUE"""),"04 K.Somboon P.")</f>
        <v>04 K.Somboon P.</v>
      </c>
      <c r="U3053" s="3" t="str">
        <f>IFERROR(__xludf.DUMMYFUNCTION("""COMPUTED_VALUE"""),"04 K.Somboon P.")</f>
        <v>04 K.Somboon P.</v>
      </c>
      <c r="V3053" s="3" t="str">
        <f>IFERROR(__xludf.DUMMYFUNCTION("""COMPUTED_VALUE"""),"N")</f>
        <v>N</v>
      </c>
      <c r="W3053" s="3"/>
      <c r="X3053" s="3" t="str">
        <f>IFERROR(__xludf.DUMMYFUNCTION("""COMPUTED_VALUE"""),"153 หมุ่ 8 บ้านปางโก ต.ดอนเมือง อ สีคิ้ว จ.นครราชสีมา 30140")</f>
        <v>153 หมุ่ 8 บ้านปางโก ต.ดอนเมือง อ สีคิ้ว จ.นครราชสีมา 30140</v>
      </c>
      <c r="Y3053" s="3"/>
      <c r="Z3053" s="3">
        <f>IFERROR(__xludf.DUMMYFUNCTION("""COMPUTED_VALUE"""),0.0)</f>
        <v>0</v>
      </c>
      <c r="AA3053" s="3">
        <f>IFERROR(__xludf.DUMMYFUNCTION("""COMPUTED_VALUE"""),0.0)</f>
        <v>0</v>
      </c>
      <c r="AB3053" s="3" t="str">
        <f>IFERROR(__xludf.DUMMYFUNCTION("""COMPUTED_VALUE"""),"นครราชสีมา")</f>
        <v>นครราชสีมา</v>
      </c>
      <c r="AC3053" s="3">
        <f>IFERROR(__xludf.DUMMYFUNCTION("""COMPUTED_VALUE"""),30140.0)</f>
        <v>30140</v>
      </c>
      <c r="AD3053" s="3"/>
      <c r="AE3053" s="3"/>
      <c r="AF3053" s="3" t="str">
        <f>IFERROR(__xludf.DUMMYFUNCTION("""COMPUTED_VALUE"""),"ร้าน วศ. วัชระพาณิชย์-83991")</f>
        <v>ร้าน วศ. วัชระพาณิชย์-83991</v>
      </c>
      <c r="AG3053" s="3" t="str">
        <f>IFERROR(__xludf.DUMMYFUNCTION("""COMPUTED_VALUE"""),"ตะวันออกเฉียงเหนือ")</f>
        <v>ตะวันออกเฉียงเหนือ</v>
      </c>
      <c r="AH3053" s="3" t="str">
        <f>IFERROR(__xludf.DUMMYFUNCTION("""COMPUTED_VALUE"""),"#N/A")</f>
        <v>#N/A</v>
      </c>
      <c r="AI3053" s="3" t="str">
        <f>IFERROR(__xludf.DUMMYFUNCTION("""COMPUTED_VALUE"""),"Out of warranty")</f>
        <v>Out of warranty</v>
      </c>
      <c r="AJ3053" s="3">
        <f>IFERROR(__xludf.DUMMYFUNCTION("""COMPUTED_VALUE"""),40.0)</f>
        <v>40</v>
      </c>
      <c r="AK3053" s="3"/>
      <c r="AL3053" s="3"/>
    </row>
    <row r="3054" ht="15.75" customHeight="1">
      <c r="A3054" s="1" t="str">
        <f>IFERROR(__xludf.DUMMYFUNCTION("""COMPUTED_VALUE"""),"83992")</f>
        <v>83992</v>
      </c>
      <c r="B3054" s="2">
        <f>IFERROR(__xludf.DUMMYFUNCTION("""COMPUTED_VALUE"""),83992.0)</f>
        <v>83992</v>
      </c>
      <c r="C3054" s="3" t="str">
        <f>IFERROR(__xludf.DUMMYFUNCTION("""COMPUTED_VALUE"""),"ร้านยุพิน มินิมาร์ท (ยุพินพาณิชย์)")</f>
        <v>ร้านยุพิน มินิมาร์ท (ยุพินพาณิชย์)</v>
      </c>
      <c r="D3054" s="3" t="str">
        <f>IFERROR(__xludf.DUMMYFUNCTION("""COMPUTED_VALUE"""),"ร้านยุพิน มินิมาร์ท (ยุพินพาณิชย์)")</f>
        <v>ร้านยุพิน มินิมาร์ท (ยุพินพาณิชย์)</v>
      </c>
      <c r="E3054" s="1" t="str">
        <f>IFERROR(__xludf.DUMMYFUNCTION("""COMPUTED_VALUE"""),"Donjai")</f>
        <v>Donjai</v>
      </c>
      <c r="F3054" s="1" t="str">
        <f>IFERROR(__xludf.DUMMYFUNCTION("""COMPUTED_VALUE"""),"015361")</f>
        <v>015361</v>
      </c>
      <c r="G3054" s="1" t="str">
        <f>IFERROR(__xludf.DUMMYFUNCTION("""COMPUTED_VALUE"""),"นายสมบูรณ์ พรหมในเมือง")</f>
        <v>นายสมบูรณ์ พรหมในเมือง</v>
      </c>
      <c r="H3054" s="1" t="str">
        <f>IFERROR(__xludf.DUMMYFUNCTION("""COMPUTED_VALUE"""),"015361")</f>
        <v>015361</v>
      </c>
      <c r="I3054" s="1" t="str">
        <f>IFERROR(__xludf.DUMMYFUNCTION("""COMPUTED_VALUE"""),"นายสมบูรณ์ พรหมในเมือง")</f>
        <v>นายสมบูรณ์ พรหมในเมือง</v>
      </c>
      <c r="J3054" s="3">
        <f>IFERROR(__xludf.DUMMYFUNCTION("""COMPUTED_VALUE"""),295886.0)</f>
        <v>295886</v>
      </c>
      <c r="K3054" s="3" t="str">
        <f>IFERROR(__xludf.DUMMYFUNCTION("""COMPUTED_VALUE"""),"นายจิระพงษ์ โพธิ์นิล")</f>
        <v>นายจิระพงษ์ โพธิ์นิล</v>
      </c>
      <c r="L3054" s="1" t="str">
        <f>IFERROR(__xludf.DUMMYFUNCTION("""COMPUTED_VALUE"""),"นายจิระพงษ์ โพธิ์นิล")</f>
        <v>นายจิระพงษ์ โพธิ์นิล</v>
      </c>
      <c r="M3054" s="1" t="str">
        <f>IFERROR(__xludf.DUMMYFUNCTION("""COMPUTED_VALUE"""),"0933290754")</f>
        <v>0933290754</v>
      </c>
      <c r="N3054" s="3">
        <f>IFERROR(__xludf.DUMMYFUNCTION("""COMPUTED_VALUE"""),83992.0)</f>
        <v>83992</v>
      </c>
      <c r="O3054" s="3" t="str">
        <f>IFERROR(__xludf.DUMMYFUNCTION("""COMPUTED_VALUE"""),"ร้านยุพิน มินิมาร์ท (ยุพินพาณิชย์)")</f>
        <v>ร้านยุพิน มินิมาร์ท (ยุพินพาณิชย์)</v>
      </c>
      <c r="P3054" s="4">
        <f>IFERROR(__xludf.DUMMYFUNCTION("""COMPUTED_VALUE"""),44830.0)</f>
        <v>44830</v>
      </c>
      <c r="Q3054" s="3" t="str">
        <f>IFERROR(__xludf.DUMMYFUNCTION("""COMPUTED_VALUE"""),"A")</f>
        <v>A</v>
      </c>
      <c r="R3054" s="3" t="str">
        <f>IFERROR(__xludf.DUMMYFUNCTION("""COMPUTED_VALUE"""),"Small Format")</f>
        <v>Small Format</v>
      </c>
      <c r="S3054" s="3" t="str">
        <f>IFERROR(__xludf.DUMMYFUNCTION("""COMPUTED_VALUE"""),"Donjai")</f>
        <v>Donjai</v>
      </c>
      <c r="T3054" s="3" t="str">
        <f>IFERROR(__xludf.DUMMYFUNCTION("""COMPUTED_VALUE"""),"04 K.Somboon P.")</f>
        <v>04 K.Somboon P.</v>
      </c>
      <c r="U3054" s="3" t="str">
        <f>IFERROR(__xludf.DUMMYFUNCTION("""COMPUTED_VALUE"""),"04 K.Somboon P.")</f>
        <v>04 K.Somboon P.</v>
      </c>
      <c r="V3054" s="3" t="str">
        <f>IFERROR(__xludf.DUMMYFUNCTION("""COMPUTED_VALUE"""),"N")</f>
        <v>N</v>
      </c>
      <c r="W3054" s="3"/>
      <c r="X3054" s="3" t="str">
        <f>IFERROR(__xludf.DUMMYFUNCTION("""COMPUTED_VALUE"""),"67 หมู่ที่ 9 ต. นิคม อ.สตึก จ. บุรีรัมย์ 31150")</f>
        <v>67 หมู่ที่ 9 ต. นิคม อ.สตึก จ. บุรีรัมย์ 31150</v>
      </c>
      <c r="Y3054" s="3"/>
      <c r="Z3054" s="3">
        <f>IFERROR(__xludf.DUMMYFUNCTION("""COMPUTED_VALUE"""),0.0)</f>
        <v>0</v>
      </c>
      <c r="AA3054" s="3">
        <f>IFERROR(__xludf.DUMMYFUNCTION("""COMPUTED_VALUE"""),0.0)</f>
        <v>0</v>
      </c>
      <c r="AB3054" s="3" t="str">
        <f>IFERROR(__xludf.DUMMYFUNCTION("""COMPUTED_VALUE"""),"บุรีรัมย์")</f>
        <v>บุรีรัมย์</v>
      </c>
      <c r="AC3054" s="3">
        <f>IFERROR(__xludf.DUMMYFUNCTION("""COMPUTED_VALUE"""),31150.0)</f>
        <v>31150</v>
      </c>
      <c r="AD3054" s="3"/>
      <c r="AE3054" s="3"/>
      <c r="AF3054" s="3" t="str">
        <f>IFERROR(__xludf.DUMMYFUNCTION("""COMPUTED_VALUE"""),"ร้านยุพิน มินิมาร์ท (ยุพินพาณิชย์)-83992")</f>
        <v>ร้านยุพิน มินิมาร์ท (ยุพินพาณิชย์)-83992</v>
      </c>
      <c r="AG3054" s="3" t="str">
        <f>IFERROR(__xludf.DUMMYFUNCTION("""COMPUTED_VALUE"""),"ตะวันออกเฉียงเหนือ")</f>
        <v>ตะวันออกเฉียงเหนือ</v>
      </c>
      <c r="AH3054" s="3" t="str">
        <f>IFERROR(__xludf.DUMMYFUNCTION("""COMPUTED_VALUE"""),"#N/A")</f>
        <v>#N/A</v>
      </c>
      <c r="AI3054" s="3" t="str">
        <f>IFERROR(__xludf.DUMMYFUNCTION("""COMPUTED_VALUE"""),"Out of warranty")</f>
        <v>Out of warranty</v>
      </c>
      <c r="AJ3054" s="3">
        <f>IFERROR(__xludf.DUMMYFUNCTION("""COMPUTED_VALUE"""),40.0)</f>
        <v>40</v>
      </c>
      <c r="AK3054" s="3"/>
      <c r="AL3054" s="3"/>
    </row>
    <row r="3055" ht="15.75" customHeight="1">
      <c r="A3055" s="1" t="str">
        <f>IFERROR(__xludf.DUMMYFUNCTION("""COMPUTED_VALUE"""),"83996")</f>
        <v>83996</v>
      </c>
      <c r="B3055" s="2">
        <f>IFERROR(__xludf.DUMMYFUNCTION("""COMPUTED_VALUE"""),83996.0)</f>
        <v>83996</v>
      </c>
      <c r="C3055" s="3" t="str">
        <f>IFERROR(__xludf.DUMMYFUNCTION("""COMPUTED_VALUE"""),"ร้านแสงชัยพาณิชย์")</f>
        <v>ร้านแสงชัยพาณิชย์</v>
      </c>
      <c r="D3055" s="3" t="str">
        <f>IFERROR(__xludf.DUMMYFUNCTION("""COMPUTED_VALUE"""),"ร้านแสงชัยพาณิชย์")</f>
        <v>ร้านแสงชัยพาณิชย์</v>
      </c>
      <c r="E3055" s="1" t="str">
        <f>IFERROR(__xludf.DUMMYFUNCTION("""COMPUTED_VALUE"""),"Donjai")</f>
        <v>Donjai</v>
      </c>
      <c r="F3055" s="1" t="str">
        <f>IFERROR(__xludf.DUMMYFUNCTION("""COMPUTED_VALUE"""),"2454781")</f>
        <v>2454781</v>
      </c>
      <c r="G3055" s="1" t="str">
        <f>IFERROR(__xludf.DUMMYFUNCTION("""COMPUTED_VALUE"""),"นายฌานกฤช นันทะโคต")</f>
        <v>นายฌานกฤช นันทะโคต</v>
      </c>
      <c r="H3055" s="1" t="str">
        <f>IFERROR(__xludf.DUMMYFUNCTION("""COMPUTED_VALUE"""),"2454781")</f>
        <v>2454781</v>
      </c>
      <c r="I3055" s="1" t="str">
        <f>IFERROR(__xludf.DUMMYFUNCTION("""COMPUTED_VALUE"""),"นายฌานกฤช นันทะโคต")</f>
        <v>นายฌานกฤช นันทะโคต</v>
      </c>
      <c r="J3055" s="3">
        <f>IFERROR(__xludf.DUMMYFUNCTION("""COMPUTED_VALUE"""),295886.0)</f>
        <v>295886</v>
      </c>
      <c r="K3055" s="3" t="str">
        <f>IFERROR(__xludf.DUMMYFUNCTION("""COMPUTED_VALUE"""),"นายจิระพงษ์ โพธิ์นิล")</f>
        <v>นายจิระพงษ์ โพธิ์นิล</v>
      </c>
      <c r="L3055" s="1" t="str">
        <f>IFERROR(__xludf.DUMMYFUNCTION("""COMPUTED_VALUE"""),"นายจิระพงษ์ โพธิ์นิล")</f>
        <v>นายจิระพงษ์ โพธิ์นิล</v>
      </c>
      <c r="M3055" s="1" t="str">
        <f>IFERROR(__xludf.DUMMYFUNCTION("""COMPUTED_VALUE"""),"0933290754")</f>
        <v>0933290754</v>
      </c>
      <c r="N3055" s="3">
        <f>IFERROR(__xludf.DUMMYFUNCTION("""COMPUTED_VALUE"""),83996.0)</f>
        <v>83996</v>
      </c>
      <c r="O3055" s="3" t="str">
        <f>IFERROR(__xludf.DUMMYFUNCTION("""COMPUTED_VALUE"""),"ร้านแสงชัยพาณิชย์")</f>
        <v>ร้านแสงชัยพาณิชย์</v>
      </c>
      <c r="P3055" s="4">
        <f>IFERROR(__xludf.DUMMYFUNCTION("""COMPUTED_VALUE"""),44863.0)</f>
        <v>44863</v>
      </c>
      <c r="Q3055" s="3" t="str">
        <f>IFERROR(__xludf.DUMMYFUNCTION("""COMPUTED_VALUE"""),"A")</f>
        <v>A</v>
      </c>
      <c r="R3055" s="3" t="str">
        <f>IFERROR(__xludf.DUMMYFUNCTION("""COMPUTED_VALUE"""),"Small Format")</f>
        <v>Small Format</v>
      </c>
      <c r="S3055" s="3" t="str">
        <f>IFERROR(__xludf.DUMMYFUNCTION("""COMPUTED_VALUE"""),"Donjai")</f>
        <v>Donjai</v>
      </c>
      <c r="T3055" s="3" t="str">
        <f>IFERROR(__xludf.DUMMYFUNCTION("""COMPUTED_VALUE"""),"05 K.Chanakrit N.")</f>
        <v>05 K.Chanakrit N.</v>
      </c>
      <c r="U3055" s="3" t="str">
        <f>IFERROR(__xludf.DUMMYFUNCTION("""COMPUTED_VALUE"""),"05 K.Chanakrit N.")</f>
        <v>05 K.Chanakrit N.</v>
      </c>
      <c r="V3055" s="3" t="str">
        <f>IFERROR(__xludf.DUMMYFUNCTION("""COMPUTED_VALUE"""),"N")</f>
        <v>N</v>
      </c>
      <c r="W3055" s="3"/>
      <c r="X3055" s="3" t="str">
        <f>IFERROR(__xludf.DUMMYFUNCTION("""COMPUTED_VALUE"""),"76 ม.6 บ้านหัวตะพาน ต.หัวตะพาน อ.หัวตะพาน จ.อำนาจเจริญ 37240")</f>
        <v>76 ม.6 บ้านหัวตะพาน ต.หัวตะพาน อ.หัวตะพาน จ.อำนาจเจริญ 37240</v>
      </c>
      <c r="Y3055" s="3"/>
      <c r="Z3055" s="3">
        <f>IFERROR(__xludf.DUMMYFUNCTION("""COMPUTED_VALUE"""),0.0)</f>
        <v>0</v>
      </c>
      <c r="AA3055" s="3">
        <f>IFERROR(__xludf.DUMMYFUNCTION("""COMPUTED_VALUE"""),0.0)</f>
        <v>0</v>
      </c>
      <c r="AB3055" s="3" t="str">
        <f>IFERROR(__xludf.DUMMYFUNCTION("""COMPUTED_VALUE"""),"อำนาจเจริญ")</f>
        <v>อำนาจเจริญ</v>
      </c>
      <c r="AC3055" s="3">
        <f>IFERROR(__xludf.DUMMYFUNCTION("""COMPUTED_VALUE"""),37240.0)</f>
        <v>37240</v>
      </c>
      <c r="AD3055" s="3"/>
      <c r="AE3055" s="3"/>
      <c r="AF3055" s="3" t="str">
        <f>IFERROR(__xludf.DUMMYFUNCTION("""COMPUTED_VALUE"""),"ร้านแสงชัยพาณิชย์-83996")</f>
        <v>ร้านแสงชัยพาณิชย์-83996</v>
      </c>
      <c r="AG3055" s="3" t="str">
        <f>IFERROR(__xludf.DUMMYFUNCTION("""COMPUTED_VALUE"""),"ตะวันออกเฉียงเหนือ")</f>
        <v>ตะวันออกเฉียงเหนือ</v>
      </c>
      <c r="AH3055" s="3" t="str">
        <f>IFERROR(__xludf.DUMMYFUNCTION("""COMPUTED_VALUE"""),"#N/A")</f>
        <v>#N/A</v>
      </c>
      <c r="AI3055" s="3" t="str">
        <f>IFERROR(__xludf.DUMMYFUNCTION("""COMPUTED_VALUE"""),"Out of warranty")</f>
        <v>Out of warranty</v>
      </c>
      <c r="AJ3055" s="3">
        <f>IFERROR(__xludf.DUMMYFUNCTION("""COMPUTED_VALUE"""),39.0)</f>
        <v>39</v>
      </c>
      <c r="AK3055" s="3"/>
      <c r="AL3055" s="3"/>
    </row>
    <row r="3056" ht="15.75" customHeight="1">
      <c r="A3056" s="1" t="str">
        <f>IFERROR(__xludf.DUMMYFUNCTION("""COMPUTED_VALUE"""),"83997")</f>
        <v>83997</v>
      </c>
      <c r="B3056" s="2">
        <f>IFERROR(__xludf.DUMMYFUNCTION("""COMPUTED_VALUE"""),83997.0)</f>
        <v>83997</v>
      </c>
      <c r="C3056" s="3" t="str">
        <f>IFERROR(__xludf.DUMMYFUNCTION("""COMPUTED_VALUE"""),"ร้านมายด์กิ๊ฟช้อป")</f>
        <v>ร้านมายด์กิ๊ฟช้อป</v>
      </c>
      <c r="D3056" s="3" t="str">
        <f>IFERROR(__xludf.DUMMYFUNCTION("""COMPUTED_VALUE"""),"ร้านมายด์กิ๊ฟช้อป")</f>
        <v>ร้านมายด์กิ๊ฟช้อป</v>
      </c>
      <c r="E3056" s="1" t="str">
        <f>IFERROR(__xludf.DUMMYFUNCTION("""COMPUTED_VALUE"""),"Donjai")</f>
        <v>Donjai</v>
      </c>
      <c r="F3056" s="1" t="str">
        <f>IFERROR(__xludf.DUMMYFUNCTION("""COMPUTED_VALUE"""),"025324")</f>
        <v>025324</v>
      </c>
      <c r="G3056" s="1" t="str">
        <f>IFERROR(__xludf.DUMMYFUNCTION("""COMPUTED_VALUE"""),"นายวิเชฎฐ์ ติรัตนะประคม")</f>
        <v>นายวิเชฎฐ์ ติรัตนะประคม</v>
      </c>
      <c r="H3056" s="1" t="str">
        <f>IFERROR(__xludf.DUMMYFUNCTION("""COMPUTED_VALUE"""),"025324")</f>
        <v>025324</v>
      </c>
      <c r="I3056" s="1" t="str">
        <f>IFERROR(__xludf.DUMMYFUNCTION("""COMPUTED_VALUE"""),"นายวิเชฎฐ์ ติรัตนะประคม")</f>
        <v>นายวิเชฎฐ์ ติรัตนะประคม</v>
      </c>
      <c r="J3056" s="3">
        <f>IFERROR(__xludf.DUMMYFUNCTION("""COMPUTED_VALUE"""),295541.0)</f>
        <v>295541</v>
      </c>
      <c r="K3056" s="3" t="str">
        <f>IFERROR(__xludf.DUMMYFUNCTION("""COMPUTED_VALUE"""),"นายรพิพล ศรีมาตย์")</f>
        <v>นายรพิพล ศรีมาตย์</v>
      </c>
      <c r="L3056" s="1" t="str">
        <f>IFERROR(__xludf.DUMMYFUNCTION("""COMPUTED_VALUE"""),"นายรพิพล ศรีมาตย์")</f>
        <v>นายรพิพล ศรีมาตย์</v>
      </c>
      <c r="M3056" s="1" t="str">
        <f>IFERROR(__xludf.DUMMYFUNCTION("""COMPUTED_VALUE"""),"0613966115")</f>
        <v>0613966115</v>
      </c>
      <c r="N3056" s="3">
        <f>IFERROR(__xludf.DUMMYFUNCTION("""COMPUTED_VALUE"""),83997.0)</f>
        <v>83997</v>
      </c>
      <c r="O3056" s="3" t="str">
        <f>IFERROR(__xludf.DUMMYFUNCTION("""COMPUTED_VALUE"""),"ร้านมายด์กิ๊ฟช้อป")</f>
        <v>ร้านมายด์กิ๊ฟช้อป</v>
      </c>
      <c r="P3056" s="4">
        <f>IFERROR(__xludf.DUMMYFUNCTION("""COMPUTED_VALUE"""),44827.0)</f>
        <v>44827</v>
      </c>
      <c r="Q3056" s="3" t="str">
        <f>IFERROR(__xludf.DUMMYFUNCTION("""COMPUTED_VALUE"""),"A")</f>
        <v>A</v>
      </c>
      <c r="R3056" s="3" t="str">
        <f>IFERROR(__xludf.DUMMYFUNCTION("""COMPUTED_VALUE"""),"Small Format")</f>
        <v>Small Format</v>
      </c>
      <c r="S3056" s="3" t="str">
        <f>IFERROR(__xludf.DUMMYFUNCTION("""COMPUTED_VALUE"""),"Donjai")</f>
        <v>Donjai</v>
      </c>
      <c r="T3056" s="3" t="str">
        <f>IFERROR(__xludf.DUMMYFUNCTION("""COMPUTED_VALUE"""),"14 K.Wichet T.")</f>
        <v>14 K.Wichet T.</v>
      </c>
      <c r="U3056" s="3" t="str">
        <f>IFERROR(__xludf.DUMMYFUNCTION("""COMPUTED_VALUE"""),"14 K.Wichet T.")</f>
        <v>14 K.Wichet T.</v>
      </c>
      <c r="V3056" s="3" t="str">
        <f>IFERROR(__xludf.DUMMYFUNCTION("""COMPUTED_VALUE"""),"N")</f>
        <v>N</v>
      </c>
      <c r="W3056" s="3"/>
      <c r="X3056" s="3" t="str">
        <f>IFERROR(__xludf.DUMMYFUNCTION("""COMPUTED_VALUE"""),"48/2 หมู่ 5 เทพราช สิชล นครศรีธรรมราช 80340")</f>
        <v>48/2 หมู่ 5 เทพราช สิชล นครศรีธรรมราช 80340</v>
      </c>
      <c r="Y3056" s="3"/>
      <c r="Z3056" s="3">
        <f>IFERROR(__xludf.DUMMYFUNCTION("""COMPUTED_VALUE"""),0.0)</f>
        <v>0</v>
      </c>
      <c r="AA3056" s="3">
        <f>IFERROR(__xludf.DUMMYFUNCTION("""COMPUTED_VALUE"""),0.0)</f>
        <v>0</v>
      </c>
      <c r="AB3056" s="3" t="str">
        <f>IFERROR(__xludf.DUMMYFUNCTION("""COMPUTED_VALUE"""),"นครศรีธรรมราช")</f>
        <v>นครศรีธรรมราช</v>
      </c>
      <c r="AC3056" s="3">
        <f>IFERROR(__xludf.DUMMYFUNCTION("""COMPUTED_VALUE"""),80340.0)</f>
        <v>80340</v>
      </c>
      <c r="AD3056" s="3"/>
      <c r="AE3056" s="3"/>
      <c r="AF3056" s="3" t="str">
        <f>IFERROR(__xludf.DUMMYFUNCTION("""COMPUTED_VALUE"""),"ร้านมายด์กิ๊ฟช้อป-83997")</f>
        <v>ร้านมายด์กิ๊ฟช้อป-83997</v>
      </c>
      <c r="AG3056" s="3" t="str">
        <f>IFERROR(__xludf.DUMMYFUNCTION("""COMPUTED_VALUE"""),"ใต้")</f>
        <v>ใต้</v>
      </c>
      <c r="AH3056" s="3" t="str">
        <f>IFERROR(__xludf.DUMMYFUNCTION("""COMPUTED_VALUE"""),"#N/A")</f>
        <v>#N/A</v>
      </c>
      <c r="AI3056" s="3" t="str">
        <f>IFERROR(__xludf.DUMMYFUNCTION("""COMPUTED_VALUE"""),"Out of warranty")</f>
        <v>Out of warranty</v>
      </c>
      <c r="AJ3056" s="3">
        <f>IFERROR(__xludf.DUMMYFUNCTION("""COMPUTED_VALUE"""),40.0)</f>
        <v>40</v>
      </c>
      <c r="AK3056" s="3"/>
      <c r="AL3056" s="3"/>
    </row>
    <row r="3057" ht="15.75" customHeight="1">
      <c r="A3057" s="1" t="str">
        <f>IFERROR(__xludf.DUMMYFUNCTION("""COMPUTED_VALUE"""),"83998")</f>
        <v>83998</v>
      </c>
      <c r="B3057" s="2">
        <f>IFERROR(__xludf.DUMMYFUNCTION("""COMPUTED_VALUE"""),83998.0)</f>
        <v>83998</v>
      </c>
      <c r="C3057" s="3" t="str">
        <f>IFERROR(__xludf.DUMMYFUNCTION("""COMPUTED_VALUE"""),"สุขไสว")</f>
        <v>สุขไสว</v>
      </c>
      <c r="D3057" s="3" t="str">
        <f>IFERROR(__xludf.DUMMYFUNCTION("""COMPUTED_VALUE"""),"สุขไสว")</f>
        <v>สุขไสว</v>
      </c>
      <c r="E3057" s="1" t="str">
        <f>IFERROR(__xludf.DUMMYFUNCTION("""COMPUTED_VALUE"""),"Donjai")</f>
        <v>Donjai</v>
      </c>
      <c r="F3057" s="1" t="str">
        <f>IFERROR(__xludf.DUMMYFUNCTION("""COMPUTED_VALUE"""),"296945")</f>
        <v>296945</v>
      </c>
      <c r="G3057" s="1" t="str">
        <f>IFERROR(__xludf.DUMMYFUNCTION("""COMPUTED_VALUE"""),"นายรักพงศ์ พงศ์พันธ์งาม")</f>
        <v>นายรักพงศ์ พงศ์พันธ์งาม</v>
      </c>
      <c r="H3057" s="1" t="str">
        <f>IFERROR(__xludf.DUMMYFUNCTION("""COMPUTED_VALUE"""),"296945")</f>
        <v>296945</v>
      </c>
      <c r="I3057" s="1" t="str">
        <f>IFERROR(__xludf.DUMMYFUNCTION("""COMPUTED_VALUE"""),"นายรักพงศ์ พงศ์พันธ์งาม")</f>
        <v>นายรักพงศ์ พงศ์พันธ์งาม</v>
      </c>
      <c r="J3057" s="3">
        <f>IFERROR(__xludf.DUMMYFUNCTION("""COMPUTED_VALUE"""),228031.0)</f>
        <v>228031</v>
      </c>
      <c r="K3057" s="3" t="str">
        <f>IFERROR(__xludf.DUMMYFUNCTION("""COMPUTED_VALUE"""),"นายธนพงษ์ วันหมัด")</f>
        <v>นายธนพงษ์ วันหมัด</v>
      </c>
      <c r="L3057" s="1" t="str">
        <f>IFERROR(__xludf.DUMMYFUNCTION("""COMPUTED_VALUE"""),"นายธนพงษ์ วันหมัด")</f>
        <v>นายธนพงษ์ วันหมัด</v>
      </c>
      <c r="M3057" s="1" t="str">
        <f>IFERROR(__xludf.DUMMYFUNCTION("""COMPUTED_VALUE"""),"0813716913")</f>
        <v>0813716913</v>
      </c>
      <c r="N3057" s="3">
        <f>IFERROR(__xludf.DUMMYFUNCTION("""COMPUTED_VALUE"""),83998.0)</f>
        <v>83998</v>
      </c>
      <c r="O3057" s="3" t="str">
        <f>IFERROR(__xludf.DUMMYFUNCTION("""COMPUTED_VALUE"""),"สุขไสว")</f>
        <v>สุขไสว</v>
      </c>
      <c r="P3057" s="4">
        <f>IFERROR(__xludf.DUMMYFUNCTION("""COMPUTED_VALUE"""),44845.0)</f>
        <v>44845</v>
      </c>
      <c r="Q3057" s="3" t="str">
        <f>IFERROR(__xludf.DUMMYFUNCTION("""COMPUTED_VALUE"""),"I")</f>
        <v>I</v>
      </c>
      <c r="R3057" s="3" t="str">
        <f>IFERROR(__xludf.DUMMYFUNCTION("""COMPUTED_VALUE"""),"Small Format")</f>
        <v>Small Format</v>
      </c>
      <c r="S3057" s="3" t="str">
        <f>IFERROR(__xludf.DUMMYFUNCTION("""COMPUTED_VALUE"""),"Donjai")</f>
        <v>Donjai</v>
      </c>
      <c r="T3057" s="3">
        <f>IFERROR(__xludf.DUMMYFUNCTION("""COMPUTED_VALUE"""),0.0)</f>
        <v>0</v>
      </c>
      <c r="U3057" s="3">
        <f>IFERROR(__xludf.DUMMYFUNCTION("""COMPUTED_VALUE"""),0.0)</f>
        <v>0</v>
      </c>
      <c r="V3057" s="3" t="str">
        <f>IFERROR(__xludf.DUMMYFUNCTION("""COMPUTED_VALUE"""),"N")</f>
        <v>N</v>
      </c>
      <c r="W3057" s="3"/>
      <c r="X3057" s="3" t="str">
        <f>IFERROR(__xludf.DUMMYFUNCTION("""COMPUTED_VALUE"""),"127/6 ถ.สุขุมวิท ต.ศรีราชา อ.ศรีราชา จ.ชลบุรี 20110")</f>
        <v>127/6 ถ.สุขุมวิท ต.ศรีราชา อ.ศรีราชา จ.ชลบุรี 20110</v>
      </c>
      <c r="Y3057" s="3"/>
      <c r="Z3057" s="3">
        <f>IFERROR(__xludf.DUMMYFUNCTION("""COMPUTED_VALUE"""),0.0)</f>
        <v>0</v>
      </c>
      <c r="AA3057" s="3">
        <f>IFERROR(__xludf.DUMMYFUNCTION("""COMPUTED_VALUE"""),0.0)</f>
        <v>0</v>
      </c>
      <c r="AB3057" s="3" t="str">
        <f>IFERROR(__xludf.DUMMYFUNCTION("""COMPUTED_VALUE"""),"ชลบุรี")</f>
        <v>ชลบุรี</v>
      </c>
      <c r="AC3057" s="3">
        <f>IFERROR(__xludf.DUMMYFUNCTION("""COMPUTED_VALUE"""),20110.0)</f>
        <v>20110</v>
      </c>
      <c r="AD3057" s="3"/>
      <c r="AE3057" s="3"/>
      <c r="AF3057" s="3" t="str">
        <f>IFERROR(__xludf.DUMMYFUNCTION("""COMPUTED_VALUE"""),"สุขไสว-83998")</f>
        <v>สุขไสว-83998</v>
      </c>
      <c r="AG3057" s="3" t="str">
        <f>IFERROR(__xludf.DUMMYFUNCTION("""COMPUTED_VALUE"""),"ตะวันออก")</f>
        <v>ตะวันออก</v>
      </c>
      <c r="AH3057" s="3" t="str">
        <f>IFERROR(__xludf.DUMMYFUNCTION("""COMPUTED_VALUE"""),"#N/A")</f>
        <v>#N/A</v>
      </c>
      <c r="AI3057" s="3" t="str">
        <f>IFERROR(__xludf.DUMMYFUNCTION("""COMPUTED_VALUE"""),"Out of warranty")</f>
        <v>Out of warranty</v>
      </c>
      <c r="AJ3057" s="3">
        <f>IFERROR(__xludf.DUMMYFUNCTION("""COMPUTED_VALUE"""),40.0)</f>
        <v>40</v>
      </c>
      <c r="AK3057" s="3"/>
      <c r="AL3057" s="3"/>
    </row>
    <row r="3058" ht="15.75" customHeight="1">
      <c r="A3058" s="1" t="str">
        <f>IFERROR(__xludf.DUMMYFUNCTION("""COMPUTED_VALUE"""),"83999")</f>
        <v>83999</v>
      </c>
      <c r="B3058" s="2">
        <f>IFERROR(__xludf.DUMMYFUNCTION("""COMPUTED_VALUE"""),83999.0)</f>
        <v>83999</v>
      </c>
      <c r="C3058" s="3" t="str">
        <f>IFERROR(__xludf.DUMMYFUNCTION("""COMPUTED_VALUE"""),"ร้านทัศนีย์การค้า")</f>
        <v>ร้านทัศนีย์การค้า</v>
      </c>
      <c r="D3058" s="3" t="str">
        <f>IFERROR(__xludf.DUMMYFUNCTION("""COMPUTED_VALUE"""),"ร้านทัศนีย์การค้า")</f>
        <v>ร้านทัศนีย์การค้า</v>
      </c>
      <c r="E3058" s="1" t="str">
        <f>IFERROR(__xludf.DUMMYFUNCTION("""COMPUTED_VALUE"""),"Donjai")</f>
        <v>Donjai</v>
      </c>
      <c r="F3058" s="1" t="str">
        <f>IFERROR(__xludf.DUMMYFUNCTION("""COMPUTED_VALUE"""),"015361")</f>
        <v>015361</v>
      </c>
      <c r="G3058" s="1" t="str">
        <f>IFERROR(__xludf.DUMMYFUNCTION("""COMPUTED_VALUE"""),"นายสมบูรณ์ พรหมในเมือง")</f>
        <v>นายสมบูรณ์ พรหมในเมือง</v>
      </c>
      <c r="H3058" s="1" t="str">
        <f>IFERROR(__xludf.DUMMYFUNCTION("""COMPUTED_VALUE"""),"015361")</f>
        <v>015361</v>
      </c>
      <c r="I3058" s="1" t="str">
        <f>IFERROR(__xludf.DUMMYFUNCTION("""COMPUTED_VALUE"""),"นายสมบูรณ์ พรหมในเมือง")</f>
        <v>นายสมบูรณ์ พรหมในเมือง</v>
      </c>
      <c r="J3058" s="3">
        <f>IFERROR(__xludf.DUMMYFUNCTION("""COMPUTED_VALUE"""),295886.0)</f>
        <v>295886</v>
      </c>
      <c r="K3058" s="3" t="str">
        <f>IFERROR(__xludf.DUMMYFUNCTION("""COMPUTED_VALUE"""),"นายจิระพงษ์ โพธิ์นิล")</f>
        <v>นายจิระพงษ์ โพธิ์นิล</v>
      </c>
      <c r="L3058" s="1" t="str">
        <f>IFERROR(__xludf.DUMMYFUNCTION("""COMPUTED_VALUE"""),"นายจิระพงษ์ โพธิ์นิล")</f>
        <v>นายจิระพงษ์ โพธิ์นิล</v>
      </c>
      <c r="M3058" s="1" t="str">
        <f>IFERROR(__xludf.DUMMYFUNCTION("""COMPUTED_VALUE"""),"0933290754")</f>
        <v>0933290754</v>
      </c>
      <c r="N3058" s="3">
        <f>IFERROR(__xludf.DUMMYFUNCTION("""COMPUTED_VALUE"""),83999.0)</f>
        <v>83999</v>
      </c>
      <c r="O3058" s="3" t="str">
        <f>IFERROR(__xludf.DUMMYFUNCTION("""COMPUTED_VALUE"""),"ร้านทัศนีย์การค้า")</f>
        <v>ร้านทัศนีย์การค้า</v>
      </c>
      <c r="P3058" s="4">
        <f>IFERROR(__xludf.DUMMYFUNCTION("""COMPUTED_VALUE"""),44861.0)</f>
        <v>44861</v>
      </c>
      <c r="Q3058" s="3" t="str">
        <f>IFERROR(__xludf.DUMMYFUNCTION("""COMPUTED_VALUE"""),"A")</f>
        <v>A</v>
      </c>
      <c r="R3058" s="3" t="str">
        <f>IFERROR(__xludf.DUMMYFUNCTION("""COMPUTED_VALUE"""),"Small Format")</f>
        <v>Small Format</v>
      </c>
      <c r="S3058" s="3" t="str">
        <f>IFERROR(__xludf.DUMMYFUNCTION("""COMPUTED_VALUE"""),"Donjai")</f>
        <v>Donjai</v>
      </c>
      <c r="T3058" s="3" t="str">
        <f>IFERROR(__xludf.DUMMYFUNCTION("""COMPUTED_VALUE"""),"04 K.Somboon P.")</f>
        <v>04 K.Somboon P.</v>
      </c>
      <c r="U3058" s="3" t="str">
        <f>IFERROR(__xludf.DUMMYFUNCTION("""COMPUTED_VALUE"""),"04 K.Somboon P.")</f>
        <v>04 K.Somboon P.</v>
      </c>
      <c r="V3058" s="3" t="str">
        <f>IFERROR(__xludf.DUMMYFUNCTION("""COMPUTED_VALUE"""),"N")</f>
        <v>N</v>
      </c>
      <c r="W3058" s="3"/>
      <c r="X3058" s="3" t="str">
        <f>IFERROR(__xludf.DUMMYFUNCTION("""COMPUTED_VALUE"""),"บ้านเลขที่ 11 หมู่ที่ 10 ตำบล โหรา อำเภอ อาจสามารถ ร้อยเอ็ด 45160")</f>
        <v>บ้านเลขที่ 11 หมู่ที่ 10 ตำบล โหรา อำเภอ อาจสามารถ ร้อยเอ็ด 45160</v>
      </c>
      <c r="Y3058" s="3"/>
      <c r="Z3058" s="3">
        <f>IFERROR(__xludf.DUMMYFUNCTION("""COMPUTED_VALUE"""),0.0)</f>
        <v>0</v>
      </c>
      <c r="AA3058" s="3">
        <f>IFERROR(__xludf.DUMMYFUNCTION("""COMPUTED_VALUE"""),0.0)</f>
        <v>0</v>
      </c>
      <c r="AB3058" s="3" t="str">
        <f>IFERROR(__xludf.DUMMYFUNCTION("""COMPUTED_VALUE"""),"ร้อยเอ็ด")</f>
        <v>ร้อยเอ็ด</v>
      </c>
      <c r="AC3058" s="3">
        <f>IFERROR(__xludf.DUMMYFUNCTION("""COMPUTED_VALUE"""),45160.0)</f>
        <v>45160</v>
      </c>
      <c r="AD3058" s="3"/>
      <c r="AE3058" s="3"/>
      <c r="AF3058" s="3" t="str">
        <f>IFERROR(__xludf.DUMMYFUNCTION("""COMPUTED_VALUE"""),"ร้านทัศนีย์การค้า-83999")</f>
        <v>ร้านทัศนีย์การค้า-83999</v>
      </c>
      <c r="AG3058" s="3" t="str">
        <f>IFERROR(__xludf.DUMMYFUNCTION("""COMPUTED_VALUE"""),"ตะวันออกเฉียงเหนือ")</f>
        <v>ตะวันออกเฉียงเหนือ</v>
      </c>
      <c r="AH3058" s="3" t="str">
        <f>IFERROR(__xludf.DUMMYFUNCTION("""COMPUTED_VALUE"""),"#N/A")</f>
        <v>#N/A</v>
      </c>
      <c r="AI3058" s="3" t="str">
        <f>IFERROR(__xludf.DUMMYFUNCTION("""COMPUTED_VALUE"""),"Out of warranty")</f>
        <v>Out of warranty</v>
      </c>
      <c r="AJ3058" s="3">
        <f>IFERROR(__xludf.DUMMYFUNCTION("""COMPUTED_VALUE"""),39.0)</f>
        <v>39</v>
      </c>
      <c r="AK3058" s="3"/>
      <c r="AL3058" s="3"/>
    </row>
    <row r="3059" ht="15.75" customHeight="1">
      <c r="A3059" s="1" t="str">
        <f>IFERROR(__xludf.DUMMYFUNCTION("""COMPUTED_VALUE"""),"84000")</f>
        <v>84000</v>
      </c>
      <c r="B3059" s="2">
        <f>IFERROR(__xludf.DUMMYFUNCTION("""COMPUTED_VALUE"""),84000.0)</f>
        <v>84000</v>
      </c>
      <c r="C3059" s="3" t="str">
        <f>IFERROR(__xludf.DUMMYFUNCTION("""COMPUTED_VALUE"""),"ร้าน ท็อปช็อป")</f>
        <v>ร้าน ท็อปช็อป</v>
      </c>
      <c r="D3059" s="3" t="str">
        <f>IFERROR(__xludf.DUMMYFUNCTION("""COMPUTED_VALUE"""),"ร้าน ท็อปช็อป")</f>
        <v>ร้าน ท็อปช็อป</v>
      </c>
      <c r="E3059" s="1" t="str">
        <f>IFERROR(__xludf.DUMMYFUNCTION("""COMPUTED_VALUE"""),"Donjai")</f>
        <v>Donjai</v>
      </c>
      <c r="F3059" s="1" t="str">
        <f>IFERROR(__xludf.DUMMYFUNCTION("""COMPUTED_VALUE"""),"015361")</f>
        <v>015361</v>
      </c>
      <c r="G3059" s="1" t="str">
        <f>IFERROR(__xludf.DUMMYFUNCTION("""COMPUTED_VALUE"""),"นายสมบูรณ์ พรหมในเมือง")</f>
        <v>นายสมบูรณ์ พรหมในเมือง</v>
      </c>
      <c r="H3059" s="1" t="str">
        <f>IFERROR(__xludf.DUMMYFUNCTION("""COMPUTED_VALUE"""),"015361")</f>
        <v>015361</v>
      </c>
      <c r="I3059" s="1" t="str">
        <f>IFERROR(__xludf.DUMMYFUNCTION("""COMPUTED_VALUE"""),"นายสมบูรณ์ พรหมในเมือง")</f>
        <v>นายสมบูรณ์ พรหมในเมือง</v>
      </c>
      <c r="J3059" s="3">
        <f>IFERROR(__xludf.DUMMYFUNCTION("""COMPUTED_VALUE"""),295886.0)</f>
        <v>295886</v>
      </c>
      <c r="K3059" s="3" t="str">
        <f>IFERROR(__xludf.DUMMYFUNCTION("""COMPUTED_VALUE"""),"นายจิระพงษ์ โพธิ์นิล")</f>
        <v>นายจิระพงษ์ โพธิ์นิล</v>
      </c>
      <c r="L3059" s="1" t="str">
        <f>IFERROR(__xludf.DUMMYFUNCTION("""COMPUTED_VALUE"""),"นายจิระพงษ์ โพธิ์นิล")</f>
        <v>นายจิระพงษ์ โพธิ์นิล</v>
      </c>
      <c r="M3059" s="1" t="str">
        <f>IFERROR(__xludf.DUMMYFUNCTION("""COMPUTED_VALUE"""),"0933290754")</f>
        <v>0933290754</v>
      </c>
      <c r="N3059" s="3">
        <f>IFERROR(__xludf.DUMMYFUNCTION("""COMPUTED_VALUE"""),84000.0)</f>
        <v>84000</v>
      </c>
      <c r="O3059" s="3" t="str">
        <f>IFERROR(__xludf.DUMMYFUNCTION("""COMPUTED_VALUE"""),"ร้าน ท็อปช็อป")</f>
        <v>ร้าน ท็อปช็อป</v>
      </c>
      <c r="P3059" s="4">
        <f>IFERROR(__xludf.DUMMYFUNCTION("""COMPUTED_VALUE"""),44845.0)</f>
        <v>44845</v>
      </c>
      <c r="Q3059" s="3" t="str">
        <f>IFERROR(__xludf.DUMMYFUNCTION("""COMPUTED_VALUE"""),"A")</f>
        <v>A</v>
      </c>
      <c r="R3059" s="3" t="str">
        <f>IFERROR(__xludf.DUMMYFUNCTION("""COMPUTED_VALUE"""),"Small Format")</f>
        <v>Small Format</v>
      </c>
      <c r="S3059" s="3" t="str">
        <f>IFERROR(__xludf.DUMMYFUNCTION("""COMPUTED_VALUE"""),"Donjai")</f>
        <v>Donjai</v>
      </c>
      <c r="T3059" s="3" t="str">
        <f>IFERROR(__xludf.DUMMYFUNCTION("""COMPUTED_VALUE"""),"04 K.Somboon P.")</f>
        <v>04 K.Somboon P.</v>
      </c>
      <c r="U3059" s="3" t="str">
        <f>IFERROR(__xludf.DUMMYFUNCTION("""COMPUTED_VALUE"""),"04 K.Somboon P.")</f>
        <v>04 K.Somboon P.</v>
      </c>
      <c r="V3059" s="3" t="str">
        <f>IFERROR(__xludf.DUMMYFUNCTION("""COMPUTED_VALUE"""),"N")</f>
        <v>N</v>
      </c>
      <c r="W3059" s="3"/>
      <c r="X3059" s="3" t="str">
        <f>IFERROR(__xludf.DUMMYFUNCTION("""COMPUTED_VALUE"""),"70 หมู่ที่ 13 ตำบลคำพอุง อำเภอโพธิ์ชัย จังหวัด ร้อยเอ็ด 45230")</f>
        <v>70 หมู่ที่ 13 ตำบลคำพอุง อำเภอโพธิ์ชัย จังหวัด ร้อยเอ็ด 45230</v>
      </c>
      <c r="Y3059" s="3"/>
      <c r="Z3059" s="3">
        <f>IFERROR(__xludf.DUMMYFUNCTION("""COMPUTED_VALUE"""),0.0)</f>
        <v>0</v>
      </c>
      <c r="AA3059" s="3">
        <f>IFERROR(__xludf.DUMMYFUNCTION("""COMPUTED_VALUE"""),0.0)</f>
        <v>0</v>
      </c>
      <c r="AB3059" s="3" t="str">
        <f>IFERROR(__xludf.DUMMYFUNCTION("""COMPUTED_VALUE"""),"ร้อยเอ็ด")</f>
        <v>ร้อยเอ็ด</v>
      </c>
      <c r="AC3059" s="3">
        <f>IFERROR(__xludf.DUMMYFUNCTION("""COMPUTED_VALUE"""),45230.0)</f>
        <v>45230</v>
      </c>
      <c r="AD3059" s="3"/>
      <c r="AE3059" s="3"/>
      <c r="AF3059" s="3" t="str">
        <f>IFERROR(__xludf.DUMMYFUNCTION("""COMPUTED_VALUE"""),"ร้าน ท็อปช็อป-84000")</f>
        <v>ร้าน ท็อปช็อป-84000</v>
      </c>
      <c r="AG3059" s="3" t="str">
        <f>IFERROR(__xludf.DUMMYFUNCTION("""COMPUTED_VALUE"""),"ตะวันออกเฉียงเหนือ")</f>
        <v>ตะวันออกเฉียงเหนือ</v>
      </c>
      <c r="AH3059" s="3" t="str">
        <f>IFERROR(__xludf.DUMMYFUNCTION("""COMPUTED_VALUE"""),"#N/A")</f>
        <v>#N/A</v>
      </c>
      <c r="AI3059" s="3" t="str">
        <f>IFERROR(__xludf.DUMMYFUNCTION("""COMPUTED_VALUE"""),"Out of warranty")</f>
        <v>Out of warranty</v>
      </c>
      <c r="AJ3059" s="3">
        <f>IFERROR(__xludf.DUMMYFUNCTION("""COMPUTED_VALUE"""),40.0)</f>
        <v>40</v>
      </c>
      <c r="AK3059" s="3"/>
      <c r="AL3059" s="3"/>
    </row>
    <row r="3060" ht="15.75" customHeight="1">
      <c r="A3060" s="1" t="str">
        <f>IFERROR(__xludf.DUMMYFUNCTION("""COMPUTED_VALUE"""),"84002")</f>
        <v>84002</v>
      </c>
      <c r="B3060" s="2">
        <f>IFERROR(__xludf.DUMMYFUNCTION("""COMPUTED_VALUE"""),84002.0)</f>
        <v>84002</v>
      </c>
      <c r="C3060" s="3" t="str">
        <f>IFERROR(__xludf.DUMMYFUNCTION("""COMPUTED_VALUE"""),"ร้านพูนทรัพย์ (เฒ่าน้อย)")</f>
        <v>ร้านพูนทรัพย์ (เฒ่าน้อย)</v>
      </c>
      <c r="D3060" s="3" t="str">
        <f>IFERROR(__xludf.DUMMYFUNCTION("""COMPUTED_VALUE"""),"ร้านพูนทรัพย์ (เฒ่าน้อย)")</f>
        <v>ร้านพูนทรัพย์ (เฒ่าน้อย)</v>
      </c>
      <c r="E3060" s="1" t="str">
        <f>IFERROR(__xludf.DUMMYFUNCTION("""COMPUTED_VALUE"""),"Donjai")</f>
        <v>Donjai</v>
      </c>
      <c r="F3060" s="1" t="str">
        <f>IFERROR(__xludf.DUMMYFUNCTION("""COMPUTED_VALUE"""),"015361")</f>
        <v>015361</v>
      </c>
      <c r="G3060" s="1" t="str">
        <f>IFERROR(__xludf.DUMMYFUNCTION("""COMPUTED_VALUE"""),"นายสมบูรณ์ พรหมในเมือง")</f>
        <v>นายสมบูรณ์ พรหมในเมือง</v>
      </c>
      <c r="H3060" s="1" t="str">
        <f>IFERROR(__xludf.DUMMYFUNCTION("""COMPUTED_VALUE"""),"015361")</f>
        <v>015361</v>
      </c>
      <c r="I3060" s="1" t="str">
        <f>IFERROR(__xludf.DUMMYFUNCTION("""COMPUTED_VALUE"""),"นายสมบูรณ์ พรหมในเมือง")</f>
        <v>นายสมบูรณ์ พรหมในเมือง</v>
      </c>
      <c r="J3060" s="3">
        <f>IFERROR(__xludf.DUMMYFUNCTION("""COMPUTED_VALUE"""),295886.0)</f>
        <v>295886</v>
      </c>
      <c r="K3060" s="3" t="str">
        <f>IFERROR(__xludf.DUMMYFUNCTION("""COMPUTED_VALUE"""),"นายจิระพงษ์ โพธิ์นิล")</f>
        <v>นายจิระพงษ์ โพธิ์นิล</v>
      </c>
      <c r="L3060" s="1" t="str">
        <f>IFERROR(__xludf.DUMMYFUNCTION("""COMPUTED_VALUE"""),"นายจิระพงษ์ โพธิ์นิล")</f>
        <v>นายจิระพงษ์ โพธิ์นิล</v>
      </c>
      <c r="M3060" s="1" t="str">
        <f>IFERROR(__xludf.DUMMYFUNCTION("""COMPUTED_VALUE"""),"0933290754")</f>
        <v>0933290754</v>
      </c>
      <c r="N3060" s="3">
        <f>IFERROR(__xludf.DUMMYFUNCTION("""COMPUTED_VALUE"""),84002.0)</f>
        <v>84002</v>
      </c>
      <c r="O3060" s="3" t="str">
        <f>IFERROR(__xludf.DUMMYFUNCTION("""COMPUTED_VALUE"""),"ร้านพูนทรัพย์ (เฒ่าน้อย)")</f>
        <v>ร้านพูนทรัพย์ (เฒ่าน้อย)</v>
      </c>
      <c r="P3060" s="4">
        <f>IFERROR(__xludf.DUMMYFUNCTION("""COMPUTED_VALUE"""),44889.0)</f>
        <v>44889</v>
      </c>
      <c r="Q3060" s="3" t="str">
        <f>IFERROR(__xludf.DUMMYFUNCTION("""COMPUTED_VALUE"""),"I")</f>
        <v>I</v>
      </c>
      <c r="R3060" s="3" t="str">
        <f>IFERROR(__xludf.DUMMYFUNCTION("""COMPUTED_VALUE"""),"Small Format")</f>
        <v>Small Format</v>
      </c>
      <c r="S3060" s="3" t="str">
        <f>IFERROR(__xludf.DUMMYFUNCTION("""COMPUTED_VALUE"""),"Donjai")</f>
        <v>Donjai</v>
      </c>
      <c r="T3060" s="3" t="str">
        <f>IFERROR(__xludf.DUMMYFUNCTION("""COMPUTED_VALUE"""),"04 K.Somboon P.")</f>
        <v>04 K.Somboon P.</v>
      </c>
      <c r="U3060" s="3" t="str">
        <f>IFERROR(__xludf.DUMMYFUNCTION("""COMPUTED_VALUE"""),"04 K.Somboon P.")</f>
        <v>04 K.Somboon P.</v>
      </c>
      <c r="V3060" s="3" t="str">
        <f>IFERROR(__xludf.DUMMYFUNCTION("""COMPUTED_VALUE"""),"N")</f>
        <v>N</v>
      </c>
      <c r="W3060" s="3"/>
      <c r="X3060" s="3" t="str">
        <f>IFERROR(__xludf.DUMMYFUNCTION("""COMPUTED_VALUE"""),"129/1 ม.2 บ้านโนนเต็ง ต.โนนเมืองพัฒนา อ.ด่านขุนทด จ.นครราชสีมา 30210")</f>
        <v>129/1 ม.2 บ้านโนนเต็ง ต.โนนเมืองพัฒนา อ.ด่านขุนทด จ.นครราชสีมา 30210</v>
      </c>
      <c r="Y3060" s="3"/>
      <c r="Z3060" s="3">
        <f>IFERROR(__xludf.DUMMYFUNCTION("""COMPUTED_VALUE"""),0.0)</f>
        <v>0</v>
      </c>
      <c r="AA3060" s="3">
        <f>IFERROR(__xludf.DUMMYFUNCTION("""COMPUTED_VALUE"""),0.0)</f>
        <v>0</v>
      </c>
      <c r="AB3060" s="3" t="str">
        <f>IFERROR(__xludf.DUMMYFUNCTION("""COMPUTED_VALUE"""),"นครราชสีมา")</f>
        <v>นครราชสีมา</v>
      </c>
      <c r="AC3060" s="3">
        <f>IFERROR(__xludf.DUMMYFUNCTION("""COMPUTED_VALUE"""),30210.0)</f>
        <v>30210</v>
      </c>
      <c r="AD3060" s="3"/>
      <c r="AE3060" s="3"/>
      <c r="AF3060" s="3" t="str">
        <f>IFERROR(__xludf.DUMMYFUNCTION("""COMPUTED_VALUE"""),"ร้านพูนทรัพย์ (เฒ่าน้อย)-84002")</f>
        <v>ร้านพูนทรัพย์ (เฒ่าน้อย)-84002</v>
      </c>
      <c r="AG3060" s="3" t="str">
        <f>IFERROR(__xludf.DUMMYFUNCTION("""COMPUTED_VALUE"""),"ตะวันออกเฉียงเหนือ")</f>
        <v>ตะวันออกเฉียงเหนือ</v>
      </c>
      <c r="AH3060" s="3" t="str">
        <f>IFERROR(__xludf.DUMMYFUNCTION("""COMPUTED_VALUE"""),"#N/A")</f>
        <v>#N/A</v>
      </c>
      <c r="AI3060" s="3" t="str">
        <f>IFERROR(__xludf.DUMMYFUNCTION("""COMPUTED_VALUE"""),"Out of warranty")</f>
        <v>Out of warranty</v>
      </c>
      <c r="AJ3060" s="3">
        <f>IFERROR(__xludf.DUMMYFUNCTION("""COMPUTED_VALUE"""),38.0)</f>
        <v>38</v>
      </c>
      <c r="AK3060" s="3"/>
      <c r="AL3060" s="3"/>
    </row>
    <row r="3061" ht="15.75" customHeight="1">
      <c r="A3061" s="1" t="str">
        <f>IFERROR(__xludf.DUMMYFUNCTION("""COMPUTED_VALUE"""),"84003")</f>
        <v>84003</v>
      </c>
      <c r="B3061" s="2">
        <f>IFERROR(__xludf.DUMMYFUNCTION("""COMPUTED_VALUE"""),84003.0)</f>
        <v>84003</v>
      </c>
      <c r="C3061" s="3" t="str">
        <f>IFERROR(__xludf.DUMMYFUNCTION("""COMPUTED_VALUE"""),"ร้านอุสมานการค้า")</f>
        <v>ร้านอุสมานการค้า</v>
      </c>
      <c r="D3061" s="3" t="str">
        <f>IFERROR(__xludf.DUMMYFUNCTION("""COMPUTED_VALUE"""),"ร้านอุสมานการค้า")</f>
        <v>ร้านอุสมานการค้า</v>
      </c>
      <c r="E3061" s="1" t="str">
        <f>IFERROR(__xludf.DUMMYFUNCTION("""COMPUTED_VALUE"""),"Donjai")</f>
        <v>Donjai</v>
      </c>
      <c r="F3061" s="1" t="str">
        <f>IFERROR(__xludf.DUMMYFUNCTION("""COMPUTED_VALUE"""),"20470331")</f>
        <v>20470331</v>
      </c>
      <c r="G3061" s="1" t="str">
        <f>IFERROR(__xludf.DUMMYFUNCTION("""COMPUTED_VALUE"""),"นายสมชาย ลักษณะสุวรรณ")</f>
        <v>นายสมชาย ลักษณะสุวรรณ</v>
      </c>
      <c r="H3061" s="1" t="str">
        <f>IFERROR(__xludf.DUMMYFUNCTION("""COMPUTED_VALUE"""),"20470331")</f>
        <v>20470331</v>
      </c>
      <c r="I3061" s="1" t="str">
        <f>IFERROR(__xludf.DUMMYFUNCTION("""COMPUTED_VALUE"""),"นายสมชาย ลักษณะสุวรรณ")</f>
        <v>นายสมชาย ลักษณะสุวรรณ</v>
      </c>
      <c r="J3061" s="3">
        <f>IFERROR(__xludf.DUMMYFUNCTION("""COMPUTED_VALUE"""),295541.0)</f>
        <v>295541</v>
      </c>
      <c r="K3061" s="3" t="str">
        <f>IFERROR(__xludf.DUMMYFUNCTION("""COMPUTED_VALUE"""),"นายรพิพล ศรีมาตย์")</f>
        <v>นายรพิพล ศรีมาตย์</v>
      </c>
      <c r="L3061" s="1" t="str">
        <f>IFERROR(__xludf.DUMMYFUNCTION("""COMPUTED_VALUE"""),"นายรพิพล ศรีมาตย์")</f>
        <v>นายรพิพล ศรีมาตย์</v>
      </c>
      <c r="M3061" s="1" t="str">
        <f>IFERROR(__xludf.DUMMYFUNCTION("""COMPUTED_VALUE"""),"0613966115")</f>
        <v>0613966115</v>
      </c>
      <c r="N3061" s="3">
        <f>IFERROR(__xludf.DUMMYFUNCTION("""COMPUTED_VALUE"""),84003.0)</f>
        <v>84003</v>
      </c>
      <c r="O3061" s="3" t="str">
        <f>IFERROR(__xludf.DUMMYFUNCTION("""COMPUTED_VALUE"""),"ร้านอุสมานการค้า")</f>
        <v>ร้านอุสมานการค้า</v>
      </c>
      <c r="P3061" s="4">
        <f>IFERROR(__xludf.DUMMYFUNCTION("""COMPUTED_VALUE"""),44842.0)</f>
        <v>44842</v>
      </c>
      <c r="Q3061" s="3" t="str">
        <f>IFERROR(__xludf.DUMMYFUNCTION("""COMPUTED_VALUE"""),"A")</f>
        <v>A</v>
      </c>
      <c r="R3061" s="3" t="str">
        <f>IFERROR(__xludf.DUMMYFUNCTION("""COMPUTED_VALUE"""),"Small Format")</f>
        <v>Small Format</v>
      </c>
      <c r="S3061" s="3" t="str">
        <f>IFERROR(__xludf.DUMMYFUNCTION("""COMPUTED_VALUE"""),"Donjai")</f>
        <v>Donjai</v>
      </c>
      <c r="T3061" s="3" t="str">
        <f>IFERROR(__xludf.DUMMYFUNCTION("""COMPUTED_VALUE"""),"15 K.Somchai L")</f>
        <v>15 K.Somchai L</v>
      </c>
      <c r="U3061" s="3" t="str">
        <f>IFERROR(__xludf.DUMMYFUNCTION("""COMPUTED_VALUE"""),"15 K.Somchai L")</f>
        <v>15 K.Somchai L</v>
      </c>
      <c r="V3061" s="3" t="str">
        <f>IFERROR(__xludf.DUMMYFUNCTION("""COMPUTED_VALUE"""),"N")</f>
        <v>N</v>
      </c>
      <c r="W3061" s="3"/>
      <c r="X3061" s="3" t="str">
        <f>IFERROR(__xludf.DUMMYFUNCTION("""COMPUTED_VALUE"""),"86 หมู่ที่ 5 ต.เทพา อ.เทพา จ.สงขลา 90150")</f>
        <v>86 หมู่ที่ 5 ต.เทพา อ.เทพา จ.สงขลา 90150</v>
      </c>
      <c r="Y3061" s="3"/>
      <c r="Z3061" s="3">
        <f>IFERROR(__xludf.DUMMYFUNCTION("""COMPUTED_VALUE"""),0.0)</f>
        <v>0</v>
      </c>
      <c r="AA3061" s="3">
        <f>IFERROR(__xludf.DUMMYFUNCTION("""COMPUTED_VALUE"""),0.0)</f>
        <v>0</v>
      </c>
      <c r="AB3061" s="3" t="str">
        <f>IFERROR(__xludf.DUMMYFUNCTION("""COMPUTED_VALUE"""),"สงขลา")</f>
        <v>สงขลา</v>
      </c>
      <c r="AC3061" s="3">
        <f>IFERROR(__xludf.DUMMYFUNCTION("""COMPUTED_VALUE"""),90150.0)</f>
        <v>90150</v>
      </c>
      <c r="AD3061" s="3"/>
      <c r="AE3061" s="3"/>
      <c r="AF3061" s="3" t="str">
        <f>IFERROR(__xludf.DUMMYFUNCTION("""COMPUTED_VALUE"""),"ร้านอุสมานการค้า-84003")</f>
        <v>ร้านอุสมานการค้า-84003</v>
      </c>
      <c r="AG3061" s="3" t="str">
        <f>IFERROR(__xludf.DUMMYFUNCTION("""COMPUTED_VALUE"""),"ใต้")</f>
        <v>ใต้</v>
      </c>
      <c r="AH3061" s="3" t="str">
        <f>IFERROR(__xludf.DUMMYFUNCTION("""COMPUTED_VALUE"""),"#N/A")</f>
        <v>#N/A</v>
      </c>
      <c r="AI3061" s="3" t="str">
        <f>IFERROR(__xludf.DUMMYFUNCTION("""COMPUTED_VALUE"""),"Out of warranty")</f>
        <v>Out of warranty</v>
      </c>
      <c r="AJ3061" s="3">
        <f>IFERROR(__xludf.DUMMYFUNCTION("""COMPUTED_VALUE"""),40.0)</f>
        <v>40</v>
      </c>
      <c r="AK3061" s="3"/>
      <c r="AL3061" s="3"/>
    </row>
    <row r="3062" ht="15.75" customHeight="1">
      <c r="A3062" s="1" t="str">
        <f>IFERROR(__xludf.DUMMYFUNCTION("""COMPUTED_VALUE"""),"84005")</f>
        <v>84005</v>
      </c>
      <c r="B3062" s="2">
        <f>IFERROR(__xludf.DUMMYFUNCTION("""COMPUTED_VALUE"""),84005.0)</f>
        <v>84005</v>
      </c>
      <c r="C3062" s="3" t="str">
        <f>IFERROR(__xludf.DUMMYFUNCTION("""COMPUTED_VALUE"""),"ร้านต้นข้าว-รวงข้าว")</f>
        <v>ร้านต้นข้าว-รวงข้าว</v>
      </c>
      <c r="D3062" s="3" t="str">
        <f>IFERROR(__xludf.DUMMYFUNCTION("""COMPUTED_VALUE"""),"ร้านต้นข้าว-รวงข้าว")</f>
        <v>ร้านต้นข้าว-รวงข้าว</v>
      </c>
      <c r="E3062" s="1" t="str">
        <f>IFERROR(__xludf.DUMMYFUNCTION("""COMPUTED_VALUE"""),"Donjai")</f>
        <v>Donjai</v>
      </c>
      <c r="F3062" s="1" t="str">
        <f>IFERROR(__xludf.DUMMYFUNCTION("""COMPUTED_VALUE"""),"296868")</f>
        <v>296868</v>
      </c>
      <c r="G3062" s="1" t="str">
        <f>IFERROR(__xludf.DUMMYFUNCTION("""COMPUTED_VALUE"""),"นายพีระพงษ์ แก้วดวงดี")</f>
        <v>นายพีระพงษ์ แก้วดวงดี</v>
      </c>
      <c r="H3062" s="1" t="str">
        <f>IFERROR(__xludf.DUMMYFUNCTION("""COMPUTED_VALUE"""),"296868")</f>
        <v>296868</v>
      </c>
      <c r="I3062" s="1" t="str">
        <f>IFERROR(__xludf.DUMMYFUNCTION("""COMPUTED_VALUE"""),"นายพีระพงษ์ แก้วดวงดี")</f>
        <v>นายพีระพงษ์ แก้วดวงดี</v>
      </c>
      <c r="J3062" s="3">
        <f>IFERROR(__xludf.DUMMYFUNCTION("""COMPUTED_VALUE"""),295886.0)</f>
        <v>295886</v>
      </c>
      <c r="K3062" s="3" t="str">
        <f>IFERROR(__xludf.DUMMYFUNCTION("""COMPUTED_VALUE"""),"นายจิระพงษ์ โพธิ์นิล")</f>
        <v>นายจิระพงษ์ โพธิ์นิล</v>
      </c>
      <c r="L3062" s="1" t="str">
        <f>IFERROR(__xludf.DUMMYFUNCTION("""COMPUTED_VALUE"""),"นายจิระพงษ์ โพธิ์นิล")</f>
        <v>นายจิระพงษ์ โพธิ์นิล</v>
      </c>
      <c r="M3062" s="1" t="str">
        <f>IFERROR(__xludf.DUMMYFUNCTION("""COMPUTED_VALUE"""),"0933290754")</f>
        <v>0933290754</v>
      </c>
      <c r="N3062" s="3">
        <f>IFERROR(__xludf.DUMMYFUNCTION("""COMPUTED_VALUE"""),84005.0)</f>
        <v>84005</v>
      </c>
      <c r="O3062" s="3" t="str">
        <f>IFERROR(__xludf.DUMMYFUNCTION("""COMPUTED_VALUE"""),"ร้านต้นข้าว-รวงข้าว")</f>
        <v>ร้านต้นข้าว-รวงข้าว</v>
      </c>
      <c r="P3062" s="4">
        <f>IFERROR(__xludf.DUMMYFUNCTION("""COMPUTED_VALUE"""),44842.0)</f>
        <v>44842</v>
      </c>
      <c r="Q3062" s="3" t="str">
        <f>IFERROR(__xludf.DUMMYFUNCTION("""COMPUTED_VALUE"""),"A")</f>
        <v>A</v>
      </c>
      <c r="R3062" s="3" t="str">
        <f>IFERROR(__xludf.DUMMYFUNCTION("""COMPUTED_VALUE"""),"Small Format")</f>
        <v>Small Format</v>
      </c>
      <c r="S3062" s="3" t="str">
        <f>IFERROR(__xludf.DUMMYFUNCTION("""COMPUTED_VALUE"""),"Donjai")</f>
        <v>Donjai</v>
      </c>
      <c r="T3062" s="3" t="str">
        <f>IFERROR(__xludf.DUMMYFUNCTION("""COMPUTED_VALUE"""),"03 K.Peerapong K.")</f>
        <v>03 K.Peerapong K.</v>
      </c>
      <c r="U3062" s="3" t="str">
        <f>IFERROR(__xludf.DUMMYFUNCTION("""COMPUTED_VALUE"""),"03 K.Peerapong K.")</f>
        <v>03 K.Peerapong K.</v>
      </c>
      <c r="V3062" s="3" t="str">
        <f>IFERROR(__xludf.DUMMYFUNCTION("""COMPUTED_VALUE"""),"N")</f>
        <v>N</v>
      </c>
      <c r="W3062" s="3"/>
      <c r="X3062" s="3" t="str">
        <f>IFERROR(__xludf.DUMMYFUNCTION("""COMPUTED_VALUE"""),"15/1 ม.3 บ. คอกวัว ต. หนองกุงแก้ว อ. ศรีบุญเรือง จ. หนองบัวลำภู 39180")</f>
        <v>15/1 ม.3 บ. คอกวัว ต. หนองกุงแก้ว อ. ศรีบุญเรือง จ. หนองบัวลำภู 39180</v>
      </c>
      <c r="Y3062" s="3"/>
      <c r="Z3062" s="3">
        <f>IFERROR(__xludf.DUMMYFUNCTION("""COMPUTED_VALUE"""),0.0)</f>
        <v>0</v>
      </c>
      <c r="AA3062" s="3">
        <f>IFERROR(__xludf.DUMMYFUNCTION("""COMPUTED_VALUE"""),0.0)</f>
        <v>0</v>
      </c>
      <c r="AB3062" s="3" t="str">
        <f>IFERROR(__xludf.DUMMYFUNCTION("""COMPUTED_VALUE"""),"หนองบัวลำภู")</f>
        <v>หนองบัวลำภู</v>
      </c>
      <c r="AC3062" s="3">
        <f>IFERROR(__xludf.DUMMYFUNCTION("""COMPUTED_VALUE"""),39180.0)</f>
        <v>39180</v>
      </c>
      <c r="AD3062" s="3"/>
      <c r="AE3062" s="3"/>
      <c r="AF3062" s="3" t="str">
        <f>IFERROR(__xludf.DUMMYFUNCTION("""COMPUTED_VALUE"""),"ร้านต้นข้าว-รวงข้าว-84005")</f>
        <v>ร้านต้นข้าว-รวงข้าว-84005</v>
      </c>
      <c r="AG3062" s="3" t="str">
        <f>IFERROR(__xludf.DUMMYFUNCTION("""COMPUTED_VALUE"""),"ตะวันออกเฉียงเหนือ")</f>
        <v>ตะวันออกเฉียงเหนือ</v>
      </c>
      <c r="AH3062" s="3" t="str">
        <f>IFERROR(__xludf.DUMMYFUNCTION("""COMPUTED_VALUE"""),"#N/A")</f>
        <v>#N/A</v>
      </c>
      <c r="AI3062" s="3" t="str">
        <f>IFERROR(__xludf.DUMMYFUNCTION("""COMPUTED_VALUE"""),"Out of warranty")</f>
        <v>Out of warranty</v>
      </c>
      <c r="AJ3062" s="3">
        <f>IFERROR(__xludf.DUMMYFUNCTION("""COMPUTED_VALUE"""),40.0)</f>
        <v>40</v>
      </c>
      <c r="AK3062" s="3"/>
      <c r="AL3062" s="3"/>
    </row>
    <row r="3063" ht="15.75" customHeight="1">
      <c r="A3063" s="1" t="str">
        <f>IFERROR(__xludf.DUMMYFUNCTION("""COMPUTED_VALUE"""),"84010")</f>
        <v>84010</v>
      </c>
      <c r="B3063" s="2">
        <f>IFERROR(__xludf.DUMMYFUNCTION("""COMPUTED_VALUE"""),84010.0)</f>
        <v>84010</v>
      </c>
      <c r="C3063" s="3" t="str">
        <f>IFERROR(__xludf.DUMMYFUNCTION("""COMPUTED_VALUE"""),"ร้าน ม.ไพบูลย์")</f>
        <v>ร้าน ม.ไพบูลย์</v>
      </c>
      <c r="D3063" s="3" t="str">
        <f>IFERROR(__xludf.DUMMYFUNCTION("""COMPUTED_VALUE"""),"ร้าน ม.ไพบูลย์")</f>
        <v>ร้าน ม.ไพบูลย์</v>
      </c>
      <c r="E3063" s="1" t="str">
        <f>IFERROR(__xludf.DUMMYFUNCTION("""COMPUTED_VALUE"""),"Donjai")</f>
        <v>Donjai</v>
      </c>
      <c r="F3063" s="1" t="str">
        <f>IFERROR(__xludf.DUMMYFUNCTION("""COMPUTED_VALUE"""),"13461215")</f>
        <v>13461215</v>
      </c>
      <c r="G3063" s="1" t="str">
        <f>IFERROR(__xludf.DUMMYFUNCTION("""COMPUTED_VALUE"""),"นายธีรภัทร สังข์เงิน")</f>
        <v>นายธีรภัทร สังข์เงิน</v>
      </c>
      <c r="H3063" s="1" t="str">
        <f>IFERROR(__xludf.DUMMYFUNCTION("""COMPUTED_VALUE"""),"13461215")</f>
        <v>13461215</v>
      </c>
      <c r="I3063" s="1" t="str">
        <f>IFERROR(__xludf.DUMMYFUNCTION("""COMPUTED_VALUE"""),"นายธีรภัทร สังข์เงิน")</f>
        <v>นายธีรภัทร สังข์เงิน</v>
      </c>
      <c r="J3063" s="3">
        <f>IFERROR(__xludf.DUMMYFUNCTION("""COMPUTED_VALUE"""),295541.0)</f>
        <v>295541</v>
      </c>
      <c r="K3063" s="3" t="str">
        <f>IFERROR(__xludf.DUMMYFUNCTION("""COMPUTED_VALUE"""),"นายรพิพล ศรีมาตย์")</f>
        <v>นายรพิพล ศรีมาตย์</v>
      </c>
      <c r="L3063" s="1" t="str">
        <f>IFERROR(__xludf.DUMMYFUNCTION("""COMPUTED_VALUE"""),"นายรพิพล ศรีมาตย์")</f>
        <v>นายรพิพล ศรีมาตย์</v>
      </c>
      <c r="M3063" s="1" t="str">
        <f>IFERROR(__xludf.DUMMYFUNCTION("""COMPUTED_VALUE"""),"0613966115")</f>
        <v>0613966115</v>
      </c>
      <c r="N3063" s="3">
        <f>IFERROR(__xludf.DUMMYFUNCTION("""COMPUTED_VALUE"""),84010.0)</f>
        <v>84010</v>
      </c>
      <c r="O3063" s="3" t="str">
        <f>IFERROR(__xludf.DUMMYFUNCTION("""COMPUTED_VALUE"""),"ร้าน ม.ไพบูลย์")</f>
        <v>ร้าน ม.ไพบูลย์</v>
      </c>
      <c r="P3063" s="4">
        <f>IFERROR(__xludf.DUMMYFUNCTION("""COMPUTED_VALUE"""),44887.0)</f>
        <v>44887</v>
      </c>
      <c r="Q3063" s="3" t="str">
        <f>IFERROR(__xludf.DUMMYFUNCTION("""COMPUTED_VALUE"""),"A")</f>
        <v>A</v>
      </c>
      <c r="R3063" s="3" t="str">
        <f>IFERROR(__xludf.DUMMYFUNCTION("""COMPUTED_VALUE"""),"Small Format")</f>
        <v>Small Format</v>
      </c>
      <c r="S3063" s="3" t="str">
        <f>IFERROR(__xludf.DUMMYFUNCTION("""COMPUTED_VALUE"""),"Donjai")</f>
        <v>Donjai</v>
      </c>
      <c r="T3063" s="3" t="str">
        <f>IFERROR(__xludf.DUMMYFUNCTION("""COMPUTED_VALUE"""),"06 K.Teerapat")</f>
        <v>06 K.Teerapat</v>
      </c>
      <c r="U3063" s="3" t="str">
        <f>IFERROR(__xludf.DUMMYFUNCTION("""COMPUTED_VALUE"""),"06 K.Teerapat")</f>
        <v>06 K.Teerapat</v>
      </c>
      <c r="V3063" s="3" t="str">
        <f>IFERROR(__xludf.DUMMYFUNCTION("""COMPUTED_VALUE"""),"N")</f>
        <v>N</v>
      </c>
      <c r="W3063" s="3"/>
      <c r="X3063" s="3" t="str">
        <f>IFERROR(__xludf.DUMMYFUNCTION("""COMPUTED_VALUE"""),"36/1 หมู่ 1 ซ.ชัยพรวิถี 21 ต.หนองปรือ อ.บางละมุง จ.ชลบุรี")</f>
        <v>36/1 หมู่ 1 ซ.ชัยพรวิถี 21 ต.หนองปรือ อ.บางละมุง จ.ชลบุรี</v>
      </c>
      <c r="Y3063" s="3"/>
      <c r="Z3063" s="3">
        <f>IFERROR(__xludf.DUMMYFUNCTION("""COMPUTED_VALUE"""),0.0)</f>
        <v>0</v>
      </c>
      <c r="AA3063" s="3">
        <f>IFERROR(__xludf.DUMMYFUNCTION("""COMPUTED_VALUE"""),0.0)</f>
        <v>0</v>
      </c>
      <c r="AB3063" s="3" t="str">
        <f>IFERROR(__xludf.DUMMYFUNCTION("""COMPUTED_VALUE"""),"ชลบุรี")</f>
        <v>ชลบุรี</v>
      </c>
      <c r="AC3063" s="3">
        <f>IFERROR(__xludf.DUMMYFUNCTION("""COMPUTED_VALUE"""),0.0)</f>
        <v>0</v>
      </c>
      <c r="AD3063" s="3"/>
      <c r="AE3063" s="3"/>
      <c r="AF3063" s="3" t="str">
        <f>IFERROR(__xludf.DUMMYFUNCTION("""COMPUTED_VALUE"""),"ร้าน ม.ไพบูลย์-84010")</f>
        <v>ร้าน ม.ไพบูลย์-84010</v>
      </c>
      <c r="AG3063" s="3" t="str">
        <f>IFERROR(__xludf.DUMMYFUNCTION("""COMPUTED_VALUE"""),"ตะวันออก")</f>
        <v>ตะวันออก</v>
      </c>
      <c r="AH3063" s="3" t="str">
        <f>IFERROR(__xludf.DUMMYFUNCTION("""COMPUTED_VALUE"""),"#N/A")</f>
        <v>#N/A</v>
      </c>
      <c r="AI3063" s="3" t="str">
        <f>IFERROR(__xludf.DUMMYFUNCTION("""COMPUTED_VALUE"""),"Out of warranty")</f>
        <v>Out of warranty</v>
      </c>
      <c r="AJ3063" s="3">
        <f>IFERROR(__xludf.DUMMYFUNCTION("""COMPUTED_VALUE"""),38.0)</f>
        <v>38</v>
      </c>
      <c r="AK3063" s="3"/>
      <c r="AL3063" s="3"/>
    </row>
    <row r="3064" ht="15.75" customHeight="1">
      <c r="A3064" s="1" t="str">
        <f>IFERROR(__xludf.DUMMYFUNCTION("""COMPUTED_VALUE"""),"84014")</f>
        <v>84014</v>
      </c>
      <c r="B3064" s="2">
        <f>IFERROR(__xludf.DUMMYFUNCTION("""COMPUTED_VALUE"""),84014.0)</f>
        <v>84014</v>
      </c>
      <c r="C3064" s="3" t="str">
        <f>IFERROR(__xludf.DUMMYFUNCTION("""COMPUTED_VALUE"""),"ร้านบุญถาวร")</f>
        <v>ร้านบุญถาวร</v>
      </c>
      <c r="D3064" s="3" t="str">
        <f>IFERROR(__xludf.DUMMYFUNCTION("""COMPUTED_VALUE"""),"ร้านบุญถาวร")</f>
        <v>ร้านบุญถาวร</v>
      </c>
      <c r="E3064" s="1" t="str">
        <f>IFERROR(__xludf.DUMMYFUNCTION("""COMPUTED_VALUE"""),"Donjai")</f>
        <v>Donjai</v>
      </c>
      <c r="F3064" s="1" t="str">
        <f>IFERROR(__xludf.DUMMYFUNCTION("""COMPUTED_VALUE"""),"296942")</f>
        <v>296942</v>
      </c>
      <c r="G3064" s="1" t="str">
        <f>IFERROR(__xludf.DUMMYFUNCTION("""COMPUTED_VALUE"""),"นายปิยะ รักษากิจ")</f>
        <v>นายปิยะ รักษากิจ</v>
      </c>
      <c r="H3064" s="1" t="str">
        <f>IFERROR(__xludf.DUMMYFUNCTION("""COMPUTED_VALUE"""),"296942")</f>
        <v>296942</v>
      </c>
      <c r="I3064" s="1" t="str">
        <f>IFERROR(__xludf.DUMMYFUNCTION("""COMPUTED_VALUE"""),"นายปิยะ รักษากิจ")</f>
        <v>นายปิยะ รักษากิจ</v>
      </c>
      <c r="J3064" s="3">
        <f>IFERROR(__xludf.DUMMYFUNCTION("""COMPUTED_VALUE"""),295541.0)</f>
        <v>295541</v>
      </c>
      <c r="K3064" s="3" t="str">
        <f>IFERROR(__xludf.DUMMYFUNCTION("""COMPUTED_VALUE"""),"นายรพิพล ศรีมาตย์")</f>
        <v>นายรพิพล ศรีมาตย์</v>
      </c>
      <c r="L3064" s="1" t="str">
        <f>IFERROR(__xludf.DUMMYFUNCTION("""COMPUTED_VALUE"""),"นายรพิพล ศรีมาตย์")</f>
        <v>นายรพิพล ศรีมาตย์</v>
      </c>
      <c r="M3064" s="1" t="str">
        <f>IFERROR(__xludf.DUMMYFUNCTION("""COMPUTED_VALUE"""),"0613966115")</f>
        <v>0613966115</v>
      </c>
      <c r="N3064" s="3">
        <f>IFERROR(__xludf.DUMMYFUNCTION("""COMPUTED_VALUE"""),84014.0)</f>
        <v>84014</v>
      </c>
      <c r="O3064" s="3" t="str">
        <f>IFERROR(__xludf.DUMMYFUNCTION("""COMPUTED_VALUE"""),"ร้านบุญถาวร")</f>
        <v>ร้านบุญถาวร</v>
      </c>
      <c r="P3064" s="4">
        <f>IFERROR(__xludf.DUMMYFUNCTION("""COMPUTED_VALUE"""),44851.0)</f>
        <v>44851</v>
      </c>
      <c r="Q3064" s="3" t="str">
        <f>IFERROR(__xludf.DUMMYFUNCTION("""COMPUTED_VALUE"""),"A")</f>
        <v>A</v>
      </c>
      <c r="R3064" s="3" t="str">
        <f>IFERROR(__xludf.DUMMYFUNCTION("""COMPUTED_VALUE"""),"Small Format")</f>
        <v>Small Format</v>
      </c>
      <c r="S3064" s="3" t="str">
        <f>IFERROR(__xludf.DUMMYFUNCTION("""COMPUTED_VALUE"""),"Donjai")</f>
        <v>Donjai</v>
      </c>
      <c r="T3064" s="3" t="str">
        <f>IFERROR(__xludf.DUMMYFUNCTION("""COMPUTED_VALUE"""),"07 K.Piya R.")</f>
        <v>07 K.Piya R.</v>
      </c>
      <c r="U3064" s="3" t="str">
        <f>IFERROR(__xludf.DUMMYFUNCTION("""COMPUTED_VALUE"""),"07 K.Piya R.")</f>
        <v>07 K.Piya R.</v>
      </c>
      <c r="V3064" s="3" t="str">
        <f>IFERROR(__xludf.DUMMYFUNCTION("""COMPUTED_VALUE"""),"N")</f>
        <v>N</v>
      </c>
      <c r="W3064" s="3"/>
      <c r="X3064" s="3" t="str">
        <f>IFERROR(__xludf.DUMMYFUNCTION("""COMPUTED_VALUE"""),"20/2 หมู่ 5 ต.แกลง อ.เมือง จ.ระยอง 21160")</f>
        <v>20/2 หมู่ 5 ต.แกลง อ.เมือง จ.ระยอง 21160</v>
      </c>
      <c r="Y3064" s="3"/>
      <c r="Z3064" s="3">
        <f>IFERROR(__xludf.DUMMYFUNCTION("""COMPUTED_VALUE"""),0.0)</f>
        <v>0</v>
      </c>
      <c r="AA3064" s="3">
        <f>IFERROR(__xludf.DUMMYFUNCTION("""COMPUTED_VALUE"""),0.0)</f>
        <v>0</v>
      </c>
      <c r="AB3064" s="3" t="str">
        <f>IFERROR(__xludf.DUMMYFUNCTION("""COMPUTED_VALUE"""),"ระยอง")</f>
        <v>ระยอง</v>
      </c>
      <c r="AC3064" s="3">
        <f>IFERROR(__xludf.DUMMYFUNCTION("""COMPUTED_VALUE"""),21160.0)</f>
        <v>21160</v>
      </c>
      <c r="AD3064" s="3"/>
      <c r="AE3064" s="3"/>
      <c r="AF3064" s="3" t="str">
        <f>IFERROR(__xludf.DUMMYFUNCTION("""COMPUTED_VALUE"""),"ร้านบุญถาวร-84014")</f>
        <v>ร้านบุญถาวร-84014</v>
      </c>
      <c r="AG3064" s="3" t="str">
        <f>IFERROR(__xludf.DUMMYFUNCTION("""COMPUTED_VALUE"""),"ตะวันออก")</f>
        <v>ตะวันออก</v>
      </c>
      <c r="AH3064" s="3" t="str">
        <f>IFERROR(__xludf.DUMMYFUNCTION("""COMPUTED_VALUE"""),"#N/A")</f>
        <v>#N/A</v>
      </c>
      <c r="AI3064" s="3" t="str">
        <f>IFERROR(__xludf.DUMMYFUNCTION("""COMPUTED_VALUE"""),"Out of warranty")</f>
        <v>Out of warranty</v>
      </c>
      <c r="AJ3064" s="3">
        <f>IFERROR(__xludf.DUMMYFUNCTION("""COMPUTED_VALUE"""),40.0)</f>
        <v>40</v>
      </c>
      <c r="AK3064" s="3"/>
      <c r="AL3064" s="3"/>
    </row>
    <row r="3065" ht="15.75" customHeight="1">
      <c r="A3065" s="1" t="str">
        <f>IFERROR(__xludf.DUMMYFUNCTION("""COMPUTED_VALUE"""),"84015")</f>
        <v>84015</v>
      </c>
      <c r="B3065" s="2">
        <f>IFERROR(__xludf.DUMMYFUNCTION("""COMPUTED_VALUE"""),84015.0)</f>
        <v>84015</v>
      </c>
      <c r="C3065" s="3" t="str">
        <f>IFERROR(__xludf.DUMMYFUNCTION("""COMPUTED_VALUE"""),"ร้าน NP มินิมาร์ท (นครินทร์)")</f>
        <v>ร้าน NP มินิมาร์ท (นครินทร์)</v>
      </c>
      <c r="D3065" s="3" t="str">
        <f>IFERROR(__xludf.DUMMYFUNCTION("""COMPUTED_VALUE"""),"ร้าน NP มินิมาร์ท (นครินทร์)")</f>
        <v>ร้าน NP มินิมาร์ท (นครินทร์)</v>
      </c>
      <c r="E3065" s="1" t="str">
        <f>IFERROR(__xludf.DUMMYFUNCTION("""COMPUTED_VALUE"""),"Donjai")</f>
        <v>Donjai</v>
      </c>
      <c r="F3065" s="1" t="str">
        <f>IFERROR(__xludf.DUMMYFUNCTION("""COMPUTED_VALUE"""),"296945")</f>
        <v>296945</v>
      </c>
      <c r="G3065" s="1" t="str">
        <f>IFERROR(__xludf.DUMMYFUNCTION("""COMPUTED_VALUE"""),"นายรักพงศ์ พงศ์พันธ์งาม")</f>
        <v>นายรักพงศ์ พงศ์พันธ์งาม</v>
      </c>
      <c r="H3065" s="1" t="str">
        <f>IFERROR(__xludf.DUMMYFUNCTION("""COMPUTED_VALUE"""),"296945")</f>
        <v>296945</v>
      </c>
      <c r="I3065" s="1" t="str">
        <f>IFERROR(__xludf.DUMMYFUNCTION("""COMPUTED_VALUE"""),"นายรักพงศ์ พงศ์พันธ์งาม")</f>
        <v>นายรักพงศ์ พงศ์พันธ์งาม</v>
      </c>
      <c r="J3065" s="3">
        <f>IFERROR(__xludf.DUMMYFUNCTION("""COMPUTED_VALUE"""),228031.0)</f>
        <v>228031</v>
      </c>
      <c r="K3065" s="3" t="str">
        <f>IFERROR(__xludf.DUMMYFUNCTION("""COMPUTED_VALUE"""),"นายธนพงษ์ วันหมัด")</f>
        <v>นายธนพงษ์ วันหมัด</v>
      </c>
      <c r="L3065" s="1" t="str">
        <f>IFERROR(__xludf.DUMMYFUNCTION("""COMPUTED_VALUE"""),"นายธนพงษ์ วันหมัด")</f>
        <v>นายธนพงษ์ วันหมัด</v>
      </c>
      <c r="M3065" s="1" t="str">
        <f>IFERROR(__xludf.DUMMYFUNCTION("""COMPUTED_VALUE"""),"0813716913")</f>
        <v>0813716913</v>
      </c>
      <c r="N3065" s="3">
        <f>IFERROR(__xludf.DUMMYFUNCTION("""COMPUTED_VALUE"""),84015.0)</f>
        <v>84015</v>
      </c>
      <c r="O3065" s="3" t="str">
        <f>IFERROR(__xludf.DUMMYFUNCTION("""COMPUTED_VALUE"""),"ร้าน NP มินิมาร์ท (นครินทร์)")</f>
        <v>ร้าน NP มินิมาร์ท (นครินทร์)</v>
      </c>
      <c r="P3065" s="4">
        <f>IFERROR(__xludf.DUMMYFUNCTION("""COMPUTED_VALUE"""),44842.0)</f>
        <v>44842</v>
      </c>
      <c r="Q3065" s="3" t="str">
        <f>IFERROR(__xludf.DUMMYFUNCTION("""COMPUTED_VALUE"""),"I")</f>
        <v>I</v>
      </c>
      <c r="R3065" s="3" t="str">
        <f>IFERROR(__xludf.DUMMYFUNCTION("""COMPUTED_VALUE"""),"Small Format")</f>
        <v>Small Format</v>
      </c>
      <c r="S3065" s="3" t="str">
        <f>IFERROR(__xludf.DUMMYFUNCTION("""COMPUTED_VALUE"""),"Donjai")</f>
        <v>Donjai</v>
      </c>
      <c r="T3065" s="3">
        <f>IFERROR(__xludf.DUMMYFUNCTION("""COMPUTED_VALUE"""),0.0)</f>
        <v>0</v>
      </c>
      <c r="U3065" s="3">
        <f>IFERROR(__xludf.DUMMYFUNCTION("""COMPUTED_VALUE"""),0.0)</f>
        <v>0</v>
      </c>
      <c r="V3065" s="3" t="str">
        <f>IFERROR(__xludf.DUMMYFUNCTION("""COMPUTED_VALUE"""),"N")</f>
        <v>N</v>
      </c>
      <c r="W3065" s="3"/>
      <c r="X3065" s="3" t="str">
        <f>IFERROR(__xludf.DUMMYFUNCTION("""COMPUTED_VALUE"""),"439/4 หมู่ 3 ซอย 2 ต.แม่น้ำคู้ อ.ปลวกแดง จ.ระยอง 21140")</f>
        <v>439/4 หมู่ 3 ซอย 2 ต.แม่น้ำคู้ อ.ปลวกแดง จ.ระยอง 21140</v>
      </c>
      <c r="Y3065" s="3"/>
      <c r="Z3065" s="3">
        <f>IFERROR(__xludf.DUMMYFUNCTION("""COMPUTED_VALUE"""),0.0)</f>
        <v>0</v>
      </c>
      <c r="AA3065" s="3">
        <f>IFERROR(__xludf.DUMMYFUNCTION("""COMPUTED_VALUE"""),0.0)</f>
        <v>0</v>
      </c>
      <c r="AB3065" s="3" t="str">
        <f>IFERROR(__xludf.DUMMYFUNCTION("""COMPUTED_VALUE"""),"ระยอง")</f>
        <v>ระยอง</v>
      </c>
      <c r="AC3065" s="3">
        <f>IFERROR(__xludf.DUMMYFUNCTION("""COMPUTED_VALUE"""),21140.0)</f>
        <v>21140</v>
      </c>
      <c r="AD3065" s="3"/>
      <c r="AE3065" s="3"/>
      <c r="AF3065" s="3" t="str">
        <f>IFERROR(__xludf.DUMMYFUNCTION("""COMPUTED_VALUE"""),"ร้าน NP มินิมาร์ท (นครินทร์)-84015")</f>
        <v>ร้าน NP มินิมาร์ท (นครินทร์)-84015</v>
      </c>
      <c r="AG3065" s="3" t="str">
        <f>IFERROR(__xludf.DUMMYFUNCTION("""COMPUTED_VALUE"""),"ตะวันออก")</f>
        <v>ตะวันออก</v>
      </c>
      <c r="AH3065" s="3" t="str">
        <f>IFERROR(__xludf.DUMMYFUNCTION("""COMPUTED_VALUE"""),"#N/A")</f>
        <v>#N/A</v>
      </c>
      <c r="AI3065" s="3" t="str">
        <f>IFERROR(__xludf.DUMMYFUNCTION("""COMPUTED_VALUE"""),"Out of warranty")</f>
        <v>Out of warranty</v>
      </c>
      <c r="AJ3065" s="3">
        <f>IFERROR(__xludf.DUMMYFUNCTION("""COMPUTED_VALUE"""),40.0)</f>
        <v>40</v>
      </c>
      <c r="AK3065" s="3"/>
      <c r="AL3065" s="3"/>
    </row>
    <row r="3066" ht="15.75" customHeight="1">
      <c r="A3066" s="1" t="str">
        <f>IFERROR(__xludf.DUMMYFUNCTION("""COMPUTED_VALUE"""),"84016")</f>
        <v>84016</v>
      </c>
      <c r="B3066" s="2">
        <f>IFERROR(__xludf.DUMMYFUNCTION("""COMPUTED_VALUE"""),84016.0)</f>
        <v>84016</v>
      </c>
      <c r="C3066" s="3" t="str">
        <f>IFERROR(__xludf.DUMMYFUNCTION("""COMPUTED_VALUE"""),"ร้านยิ่งเจริญการค้า")</f>
        <v>ร้านยิ่งเจริญการค้า</v>
      </c>
      <c r="D3066" s="3" t="str">
        <f>IFERROR(__xludf.DUMMYFUNCTION("""COMPUTED_VALUE"""),"ร้านยิ่งเจริญการค้า")</f>
        <v>ร้านยิ่งเจริญการค้า</v>
      </c>
      <c r="E3066" s="1" t="str">
        <f>IFERROR(__xludf.DUMMYFUNCTION("""COMPUTED_VALUE"""),"Donjai")</f>
        <v>Donjai</v>
      </c>
      <c r="F3066" s="1" t="str">
        <f>IFERROR(__xludf.DUMMYFUNCTION("""COMPUTED_VALUE"""),"296868")</f>
        <v>296868</v>
      </c>
      <c r="G3066" s="1" t="str">
        <f>IFERROR(__xludf.DUMMYFUNCTION("""COMPUTED_VALUE"""),"นายพีระพงษ์ แก้วดวงดี")</f>
        <v>นายพีระพงษ์ แก้วดวงดี</v>
      </c>
      <c r="H3066" s="1" t="str">
        <f>IFERROR(__xludf.DUMMYFUNCTION("""COMPUTED_VALUE"""),"296868")</f>
        <v>296868</v>
      </c>
      <c r="I3066" s="1" t="str">
        <f>IFERROR(__xludf.DUMMYFUNCTION("""COMPUTED_VALUE"""),"นายพีระพงษ์ แก้วดวงดี")</f>
        <v>นายพีระพงษ์ แก้วดวงดี</v>
      </c>
      <c r="J3066" s="3">
        <f>IFERROR(__xludf.DUMMYFUNCTION("""COMPUTED_VALUE"""),295886.0)</f>
        <v>295886</v>
      </c>
      <c r="K3066" s="3" t="str">
        <f>IFERROR(__xludf.DUMMYFUNCTION("""COMPUTED_VALUE"""),"นายจิระพงษ์ โพธิ์นิล")</f>
        <v>นายจิระพงษ์ โพธิ์นิล</v>
      </c>
      <c r="L3066" s="1" t="str">
        <f>IFERROR(__xludf.DUMMYFUNCTION("""COMPUTED_VALUE"""),"นายจิระพงษ์ โพธิ์นิล")</f>
        <v>นายจิระพงษ์ โพธิ์นิล</v>
      </c>
      <c r="M3066" s="1" t="str">
        <f>IFERROR(__xludf.DUMMYFUNCTION("""COMPUTED_VALUE"""),"0933290754")</f>
        <v>0933290754</v>
      </c>
      <c r="N3066" s="3">
        <f>IFERROR(__xludf.DUMMYFUNCTION("""COMPUTED_VALUE"""),84016.0)</f>
        <v>84016</v>
      </c>
      <c r="O3066" s="3" t="str">
        <f>IFERROR(__xludf.DUMMYFUNCTION("""COMPUTED_VALUE"""),"ร้านยิ่งเจริญการค้า")</f>
        <v>ร้านยิ่งเจริญการค้า</v>
      </c>
      <c r="P3066" s="4">
        <f>IFERROR(__xludf.DUMMYFUNCTION("""COMPUTED_VALUE"""),44914.0)</f>
        <v>44914</v>
      </c>
      <c r="Q3066" s="3" t="str">
        <f>IFERROR(__xludf.DUMMYFUNCTION("""COMPUTED_VALUE"""),"A")</f>
        <v>A</v>
      </c>
      <c r="R3066" s="3" t="str">
        <f>IFERROR(__xludf.DUMMYFUNCTION("""COMPUTED_VALUE"""),"Small Format")</f>
        <v>Small Format</v>
      </c>
      <c r="S3066" s="3" t="str">
        <f>IFERROR(__xludf.DUMMYFUNCTION("""COMPUTED_VALUE"""),"Donjai")</f>
        <v>Donjai</v>
      </c>
      <c r="T3066" s="3" t="str">
        <f>IFERROR(__xludf.DUMMYFUNCTION("""COMPUTED_VALUE"""),"03 K.Peerapong K.")</f>
        <v>03 K.Peerapong K.</v>
      </c>
      <c r="U3066" s="3" t="str">
        <f>IFERROR(__xludf.DUMMYFUNCTION("""COMPUTED_VALUE"""),"03 K.Peerapong K.")</f>
        <v>03 K.Peerapong K.</v>
      </c>
      <c r="V3066" s="3" t="str">
        <f>IFERROR(__xludf.DUMMYFUNCTION("""COMPUTED_VALUE"""),"N")</f>
        <v>N</v>
      </c>
      <c r="W3066" s="3"/>
      <c r="X3066" s="3" t="str">
        <f>IFERROR(__xludf.DUMMYFUNCTION("""COMPUTED_VALUE"""),"97 ม.13 บ้านดอนแดง ต.คำเตย อ.เมือง จ.นครพนม")</f>
        <v>97 ม.13 บ้านดอนแดง ต.คำเตย อ.เมือง จ.นครพนม</v>
      </c>
      <c r="Y3066" s="3"/>
      <c r="Z3066" s="3">
        <f>IFERROR(__xludf.DUMMYFUNCTION("""COMPUTED_VALUE"""),0.0)</f>
        <v>0</v>
      </c>
      <c r="AA3066" s="3">
        <f>IFERROR(__xludf.DUMMYFUNCTION("""COMPUTED_VALUE"""),0.0)</f>
        <v>0</v>
      </c>
      <c r="AB3066" s="3" t="str">
        <f>IFERROR(__xludf.DUMMYFUNCTION("""COMPUTED_VALUE"""),"นครพนม")</f>
        <v>นครพนม</v>
      </c>
      <c r="AC3066" s="3">
        <f>IFERROR(__xludf.DUMMYFUNCTION("""COMPUTED_VALUE"""),0.0)</f>
        <v>0</v>
      </c>
      <c r="AD3066" s="3"/>
      <c r="AE3066" s="3"/>
      <c r="AF3066" s="3" t="str">
        <f>IFERROR(__xludf.DUMMYFUNCTION("""COMPUTED_VALUE"""),"ร้านยิ่งเจริญการค้า-84016")</f>
        <v>ร้านยิ่งเจริญการค้า-84016</v>
      </c>
      <c r="AG3066" s="3" t="str">
        <f>IFERROR(__xludf.DUMMYFUNCTION("""COMPUTED_VALUE"""),"ตะวันออกเฉียงเหนือ")</f>
        <v>ตะวันออกเฉียงเหนือ</v>
      </c>
      <c r="AH3066" s="3" t="str">
        <f>IFERROR(__xludf.DUMMYFUNCTION("""COMPUTED_VALUE"""),"#N/A")</f>
        <v>#N/A</v>
      </c>
      <c r="AI3066" s="3" t="str">
        <f>IFERROR(__xludf.DUMMYFUNCTION("""COMPUTED_VALUE"""),"Out of warranty")</f>
        <v>Out of warranty</v>
      </c>
      <c r="AJ3066" s="3">
        <f>IFERROR(__xludf.DUMMYFUNCTION("""COMPUTED_VALUE"""),38.0)</f>
        <v>38</v>
      </c>
      <c r="AK3066" s="3"/>
      <c r="AL3066" s="3"/>
    </row>
    <row r="3067" ht="15.75" customHeight="1">
      <c r="A3067" s="1" t="str">
        <f>IFERROR(__xludf.DUMMYFUNCTION("""COMPUTED_VALUE"""),"84018")</f>
        <v>84018</v>
      </c>
      <c r="B3067" s="2">
        <f>IFERROR(__xludf.DUMMYFUNCTION("""COMPUTED_VALUE"""),84018.0)</f>
        <v>84018</v>
      </c>
      <c r="C3067" s="3" t="str">
        <f>IFERROR(__xludf.DUMMYFUNCTION("""COMPUTED_VALUE"""),"ร้านโดนใจปากแพรก")</f>
        <v>ร้านโดนใจปากแพรก</v>
      </c>
      <c r="D3067" s="3" t="str">
        <f>IFERROR(__xludf.DUMMYFUNCTION("""COMPUTED_VALUE"""),"ร้านโดนใจปากแพรก")</f>
        <v>ร้านโดนใจปากแพรก</v>
      </c>
      <c r="E3067" s="1" t="str">
        <f>IFERROR(__xludf.DUMMYFUNCTION("""COMPUTED_VALUE"""),"Donjai")</f>
        <v>Donjai</v>
      </c>
      <c r="F3067" s="1" t="str">
        <f>IFERROR(__xludf.DUMMYFUNCTION("""COMPUTED_VALUE"""),"20470331")</f>
        <v>20470331</v>
      </c>
      <c r="G3067" s="1" t="str">
        <f>IFERROR(__xludf.DUMMYFUNCTION("""COMPUTED_VALUE"""),"นายสมชาย ลักษณะสุวรรณ")</f>
        <v>นายสมชาย ลักษณะสุวรรณ</v>
      </c>
      <c r="H3067" s="1" t="str">
        <f>IFERROR(__xludf.DUMMYFUNCTION("""COMPUTED_VALUE"""),"20470331")</f>
        <v>20470331</v>
      </c>
      <c r="I3067" s="1" t="str">
        <f>IFERROR(__xludf.DUMMYFUNCTION("""COMPUTED_VALUE"""),"นายสมชาย ลักษณะสุวรรณ")</f>
        <v>นายสมชาย ลักษณะสุวรรณ</v>
      </c>
      <c r="J3067" s="3">
        <f>IFERROR(__xludf.DUMMYFUNCTION("""COMPUTED_VALUE"""),295541.0)</f>
        <v>295541</v>
      </c>
      <c r="K3067" s="3" t="str">
        <f>IFERROR(__xludf.DUMMYFUNCTION("""COMPUTED_VALUE"""),"นายรพิพล ศรีมาตย์")</f>
        <v>นายรพิพล ศรีมาตย์</v>
      </c>
      <c r="L3067" s="1" t="str">
        <f>IFERROR(__xludf.DUMMYFUNCTION("""COMPUTED_VALUE"""),"นายรพิพล ศรีมาตย์")</f>
        <v>นายรพิพล ศรีมาตย์</v>
      </c>
      <c r="M3067" s="1" t="str">
        <f>IFERROR(__xludf.DUMMYFUNCTION("""COMPUTED_VALUE"""),"0613966115")</f>
        <v>0613966115</v>
      </c>
      <c r="N3067" s="3">
        <f>IFERROR(__xludf.DUMMYFUNCTION("""COMPUTED_VALUE"""),84018.0)</f>
        <v>84018</v>
      </c>
      <c r="O3067" s="3" t="str">
        <f>IFERROR(__xludf.DUMMYFUNCTION("""COMPUTED_VALUE"""),"ร้านโดนใจปากแพรก")</f>
        <v>ร้านโดนใจปากแพรก</v>
      </c>
      <c r="P3067" s="4">
        <f>IFERROR(__xludf.DUMMYFUNCTION("""COMPUTED_VALUE"""),44910.0)</f>
        <v>44910</v>
      </c>
      <c r="Q3067" s="3" t="str">
        <f>IFERROR(__xludf.DUMMYFUNCTION("""COMPUTED_VALUE"""),"A")</f>
        <v>A</v>
      </c>
      <c r="R3067" s="3" t="str">
        <f>IFERROR(__xludf.DUMMYFUNCTION("""COMPUTED_VALUE"""),"Small Format")</f>
        <v>Small Format</v>
      </c>
      <c r="S3067" s="3" t="str">
        <f>IFERROR(__xludf.DUMMYFUNCTION("""COMPUTED_VALUE"""),"Donjai")</f>
        <v>Donjai</v>
      </c>
      <c r="T3067" s="3" t="str">
        <f>IFERROR(__xludf.DUMMYFUNCTION("""COMPUTED_VALUE"""),"15 K.Somchai L")</f>
        <v>15 K.Somchai L</v>
      </c>
      <c r="U3067" s="3" t="str">
        <f>IFERROR(__xludf.DUMMYFUNCTION("""COMPUTED_VALUE"""),"15 K.Somchai L")</f>
        <v>15 K.Somchai L</v>
      </c>
      <c r="V3067" s="3" t="str">
        <f>IFERROR(__xludf.DUMMYFUNCTION("""COMPUTED_VALUE"""),"N")</f>
        <v>N</v>
      </c>
      <c r="W3067" s="3"/>
      <c r="X3067" s="3" t="str">
        <f>IFERROR(__xludf.DUMMYFUNCTION("""COMPUTED_VALUE"""),"130 ถ.ปากแพรก ต.คูหาสววรค์ อ.เมืองพัทลุง จ.พัทลุง 93000")</f>
        <v>130 ถ.ปากแพรก ต.คูหาสววรค์ อ.เมืองพัทลุง จ.พัทลุง 93000</v>
      </c>
      <c r="Y3067" s="3"/>
      <c r="Z3067" s="3">
        <f>IFERROR(__xludf.DUMMYFUNCTION("""COMPUTED_VALUE"""),0.0)</f>
        <v>0</v>
      </c>
      <c r="AA3067" s="3">
        <f>IFERROR(__xludf.DUMMYFUNCTION("""COMPUTED_VALUE"""),0.0)</f>
        <v>0</v>
      </c>
      <c r="AB3067" s="3" t="str">
        <f>IFERROR(__xludf.DUMMYFUNCTION("""COMPUTED_VALUE"""),"พัทลุง")</f>
        <v>พัทลุง</v>
      </c>
      <c r="AC3067" s="3">
        <f>IFERROR(__xludf.DUMMYFUNCTION("""COMPUTED_VALUE"""),93000.0)</f>
        <v>93000</v>
      </c>
      <c r="AD3067" s="3"/>
      <c r="AE3067" s="3"/>
      <c r="AF3067" s="3" t="str">
        <f>IFERROR(__xludf.DUMMYFUNCTION("""COMPUTED_VALUE"""),"ร้านโดนใจปากแพรก-84018")</f>
        <v>ร้านโดนใจปากแพรก-84018</v>
      </c>
      <c r="AG3067" s="3" t="str">
        <f>IFERROR(__xludf.DUMMYFUNCTION("""COMPUTED_VALUE"""),"ใต้")</f>
        <v>ใต้</v>
      </c>
      <c r="AH3067" s="3" t="str">
        <f>IFERROR(__xludf.DUMMYFUNCTION("""COMPUTED_VALUE"""),"#N/A")</f>
        <v>#N/A</v>
      </c>
      <c r="AI3067" s="3" t="str">
        <f>IFERROR(__xludf.DUMMYFUNCTION("""COMPUTED_VALUE"""),"Out of warranty")</f>
        <v>Out of warranty</v>
      </c>
      <c r="AJ3067" s="3">
        <f>IFERROR(__xludf.DUMMYFUNCTION("""COMPUTED_VALUE"""),38.0)</f>
        <v>38</v>
      </c>
      <c r="AK3067" s="3"/>
      <c r="AL3067" s="3"/>
    </row>
    <row r="3068" ht="15.75" customHeight="1">
      <c r="A3068" s="1" t="str">
        <f>IFERROR(__xludf.DUMMYFUNCTION("""COMPUTED_VALUE"""),"84020")</f>
        <v>84020</v>
      </c>
      <c r="B3068" s="2">
        <f>IFERROR(__xludf.DUMMYFUNCTION("""COMPUTED_VALUE"""),84020.0)</f>
        <v>84020</v>
      </c>
      <c r="C3068" s="3" t="str">
        <f>IFERROR(__xludf.DUMMYFUNCTION("""COMPUTED_VALUE"""),"ร้านสิงห์ทอง")</f>
        <v>ร้านสิงห์ทอง</v>
      </c>
      <c r="D3068" s="3" t="str">
        <f>IFERROR(__xludf.DUMMYFUNCTION("""COMPUTED_VALUE"""),"ร้านสิงห์ทอง")</f>
        <v>ร้านสิงห์ทอง</v>
      </c>
      <c r="E3068" s="1" t="str">
        <f>IFERROR(__xludf.DUMMYFUNCTION("""COMPUTED_VALUE"""),"Donjai")</f>
        <v>Donjai</v>
      </c>
      <c r="F3068" s="1" t="str">
        <f>IFERROR(__xludf.DUMMYFUNCTION("""COMPUTED_VALUE"""),"015361")</f>
        <v>015361</v>
      </c>
      <c r="G3068" s="1" t="str">
        <f>IFERROR(__xludf.DUMMYFUNCTION("""COMPUTED_VALUE"""),"นายสมบูรณ์ พรหมในเมือง")</f>
        <v>นายสมบูรณ์ พรหมในเมือง</v>
      </c>
      <c r="H3068" s="1" t="str">
        <f>IFERROR(__xludf.DUMMYFUNCTION("""COMPUTED_VALUE"""),"015361")</f>
        <v>015361</v>
      </c>
      <c r="I3068" s="1" t="str">
        <f>IFERROR(__xludf.DUMMYFUNCTION("""COMPUTED_VALUE"""),"นายสมบูรณ์ พรหมในเมือง")</f>
        <v>นายสมบูรณ์ พรหมในเมือง</v>
      </c>
      <c r="J3068" s="3">
        <f>IFERROR(__xludf.DUMMYFUNCTION("""COMPUTED_VALUE"""),295886.0)</f>
        <v>295886</v>
      </c>
      <c r="K3068" s="3" t="str">
        <f>IFERROR(__xludf.DUMMYFUNCTION("""COMPUTED_VALUE"""),"นายจิระพงษ์ โพธิ์นิล")</f>
        <v>นายจิระพงษ์ โพธิ์นิล</v>
      </c>
      <c r="L3068" s="1" t="str">
        <f>IFERROR(__xludf.DUMMYFUNCTION("""COMPUTED_VALUE"""),"นายจิระพงษ์ โพธิ์นิล")</f>
        <v>นายจิระพงษ์ โพธิ์นิล</v>
      </c>
      <c r="M3068" s="1" t="str">
        <f>IFERROR(__xludf.DUMMYFUNCTION("""COMPUTED_VALUE"""),"0933290754")</f>
        <v>0933290754</v>
      </c>
      <c r="N3068" s="3">
        <f>IFERROR(__xludf.DUMMYFUNCTION("""COMPUTED_VALUE"""),84020.0)</f>
        <v>84020</v>
      </c>
      <c r="O3068" s="3" t="str">
        <f>IFERROR(__xludf.DUMMYFUNCTION("""COMPUTED_VALUE"""),"ร้านสิงห์ทอง")</f>
        <v>ร้านสิงห์ทอง</v>
      </c>
      <c r="P3068" s="4">
        <f>IFERROR(__xludf.DUMMYFUNCTION("""COMPUTED_VALUE"""),44917.0)</f>
        <v>44917</v>
      </c>
      <c r="Q3068" s="3" t="str">
        <f>IFERROR(__xludf.DUMMYFUNCTION("""COMPUTED_VALUE"""),"A")</f>
        <v>A</v>
      </c>
      <c r="R3068" s="3" t="str">
        <f>IFERROR(__xludf.DUMMYFUNCTION("""COMPUTED_VALUE"""),"Small Format")</f>
        <v>Small Format</v>
      </c>
      <c r="S3068" s="3" t="str">
        <f>IFERROR(__xludf.DUMMYFUNCTION("""COMPUTED_VALUE"""),"Donjai")</f>
        <v>Donjai</v>
      </c>
      <c r="T3068" s="3" t="str">
        <f>IFERROR(__xludf.DUMMYFUNCTION("""COMPUTED_VALUE"""),"04 K.Somboon P.")</f>
        <v>04 K.Somboon P.</v>
      </c>
      <c r="U3068" s="3" t="str">
        <f>IFERROR(__xludf.DUMMYFUNCTION("""COMPUTED_VALUE"""),"04 K.Somboon P.")</f>
        <v>04 K.Somboon P.</v>
      </c>
      <c r="V3068" s="3" t="str">
        <f>IFERROR(__xludf.DUMMYFUNCTION("""COMPUTED_VALUE"""),"N")</f>
        <v>N</v>
      </c>
      <c r="W3068" s="3"/>
      <c r="X3068" s="3" t="str">
        <f>IFERROR(__xludf.DUMMYFUNCTION("""COMPUTED_VALUE"""),"130 ม.7 ปั๊มเชลล์บ้านสิงห์ ต.บ้านสิงห์ อ.นางรอง จ.บุรีรัมย์ 31110")</f>
        <v>130 ม.7 ปั๊มเชลล์บ้านสิงห์ ต.บ้านสิงห์ อ.นางรอง จ.บุรีรัมย์ 31110</v>
      </c>
      <c r="Y3068" s="3"/>
      <c r="Z3068" s="3">
        <f>IFERROR(__xludf.DUMMYFUNCTION("""COMPUTED_VALUE"""),0.0)</f>
        <v>0</v>
      </c>
      <c r="AA3068" s="3">
        <f>IFERROR(__xludf.DUMMYFUNCTION("""COMPUTED_VALUE"""),0.0)</f>
        <v>0</v>
      </c>
      <c r="AB3068" s="3" t="str">
        <f>IFERROR(__xludf.DUMMYFUNCTION("""COMPUTED_VALUE"""),"บุรีรัมย์")</f>
        <v>บุรีรัมย์</v>
      </c>
      <c r="AC3068" s="3">
        <f>IFERROR(__xludf.DUMMYFUNCTION("""COMPUTED_VALUE"""),31110.0)</f>
        <v>31110</v>
      </c>
      <c r="AD3068" s="3"/>
      <c r="AE3068" s="3"/>
      <c r="AF3068" s="3" t="str">
        <f>IFERROR(__xludf.DUMMYFUNCTION("""COMPUTED_VALUE"""),"ร้านสิงห์ทอง-84020")</f>
        <v>ร้านสิงห์ทอง-84020</v>
      </c>
      <c r="AG3068" s="3" t="str">
        <f>IFERROR(__xludf.DUMMYFUNCTION("""COMPUTED_VALUE"""),"ตะวันออกเฉียงเหนือ")</f>
        <v>ตะวันออกเฉียงเหนือ</v>
      </c>
      <c r="AH3068" s="3" t="str">
        <f>IFERROR(__xludf.DUMMYFUNCTION("""COMPUTED_VALUE"""),"#N/A")</f>
        <v>#N/A</v>
      </c>
      <c r="AI3068" s="3" t="str">
        <f>IFERROR(__xludf.DUMMYFUNCTION("""COMPUTED_VALUE"""),"Out of warranty")</f>
        <v>Out of warranty</v>
      </c>
      <c r="AJ3068" s="3">
        <f>IFERROR(__xludf.DUMMYFUNCTION("""COMPUTED_VALUE"""),37.0)</f>
        <v>37</v>
      </c>
      <c r="AK3068" s="3"/>
      <c r="AL3068" s="3"/>
    </row>
    <row r="3069" ht="15.75" customHeight="1">
      <c r="A3069" s="1" t="str">
        <f>IFERROR(__xludf.DUMMYFUNCTION("""COMPUTED_VALUE"""),"84022")</f>
        <v>84022</v>
      </c>
      <c r="B3069" s="2">
        <f>IFERROR(__xludf.DUMMYFUNCTION("""COMPUTED_VALUE"""),84022.0)</f>
        <v>84022</v>
      </c>
      <c r="C3069" s="3" t="str">
        <f>IFERROR(__xludf.DUMMYFUNCTION("""COMPUTED_VALUE"""),"ร้านณัฐมัย (ดีกับคุณ)")</f>
        <v>ร้านณัฐมัย (ดีกับคุณ)</v>
      </c>
      <c r="D3069" s="3" t="str">
        <f>IFERROR(__xludf.DUMMYFUNCTION("""COMPUTED_VALUE"""),"ร้านณัฐมัย (ดีกับคุณ)")</f>
        <v>ร้านณัฐมัย (ดีกับคุณ)</v>
      </c>
      <c r="E3069" s="1" t="str">
        <f>IFERROR(__xludf.DUMMYFUNCTION("""COMPUTED_VALUE"""),"Donjai")</f>
        <v>Donjai</v>
      </c>
      <c r="F3069" s="1" t="str">
        <f>IFERROR(__xludf.DUMMYFUNCTION("""COMPUTED_VALUE"""),"296942")</f>
        <v>296942</v>
      </c>
      <c r="G3069" s="1" t="str">
        <f>IFERROR(__xludf.DUMMYFUNCTION("""COMPUTED_VALUE"""),"นายปิยะ รักษากิจ")</f>
        <v>นายปิยะ รักษากิจ</v>
      </c>
      <c r="H3069" s="1" t="str">
        <f>IFERROR(__xludf.DUMMYFUNCTION("""COMPUTED_VALUE"""),"296942")</f>
        <v>296942</v>
      </c>
      <c r="I3069" s="1" t="str">
        <f>IFERROR(__xludf.DUMMYFUNCTION("""COMPUTED_VALUE"""),"นายปิยะ รักษากิจ")</f>
        <v>นายปิยะ รักษากิจ</v>
      </c>
      <c r="J3069" s="3">
        <f>IFERROR(__xludf.DUMMYFUNCTION("""COMPUTED_VALUE"""),295541.0)</f>
        <v>295541</v>
      </c>
      <c r="K3069" s="3" t="str">
        <f>IFERROR(__xludf.DUMMYFUNCTION("""COMPUTED_VALUE"""),"นายรพิพล ศรีมาตย์")</f>
        <v>นายรพิพล ศรีมาตย์</v>
      </c>
      <c r="L3069" s="1" t="str">
        <f>IFERROR(__xludf.DUMMYFUNCTION("""COMPUTED_VALUE"""),"นายรพิพล ศรีมาตย์")</f>
        <v>นายรพิพล ศรีมาตย์</v>
      </c>
      <c r="M3069" s="1" t="str">
        <f>IFERROR(__xludf.DUMMYFUNCTION("""COMPUTED_VALUE"""),"0613966115")</f>
        <v>0613966115</v>
      </c>
      <c r="N3069" s="3">
        <f>IFERROR(__xludf.DUMMYFUNCTION("""COMPUTED_VALUE"""),84022.0)</f>
        <v>84022</v>
      </c>
      <c r="O3069" s="3" t="str">
        <f>IFERROR(__xludf.DUMMYFUNCTION("""COMPUTED_VALUE"""),"ร้านณัฐมัย (ดีกับคุณ)")</f>
        <v>ร้านณัฐมัย (ดีกับคุณ)</v>
      </c>
      <c r="P3069" s="4">
        <f>IFERROR(__xludf.DUMMYFUNCTION("""COMPUTED_VALUE"""),44907.0)</f>
        <v>44907</v>
      </c>
      <c r="Q3069" s="3" t="str">
        <f>IFERROR(__xludf.DUMMYFUNCTION("""COMPUTED_VALUE"""),"A")</f>
        <v>A</v>
      </c>
      <c r="R3069" s="3" t="str">
        <f>IFERROR(__xludf.DUMMYFUNCTION("""COMPUTED_VALUE"""),"Small Format")</f>
        <v>Small Format</v>
      </c>
      <c r="S3069" s="3" t="str">
        <f>IFERROR(__xludf.DUMMYFUNCTION("""COMPUTED_VALUE"""),"Donjai")</f>
        <v>Donjai</v>
      </c>
      <c r="T3069" s="3" t="str">
        <f>IFERROR(__xludf.DUMMYFUNCTION("""COMPUTED_VALUE"""),"07 K.Piya R.")</f>
        <v>07 K.Piya R.</v>
      </c>
      <c r="U3069" s="3" t="str">
        <f>IFERROR(__xludf.DUMMYFUNCTION("""COMPUTED_VALUE"""),"07 K.Piya R.")</f>
        <v>07 K.Piya R.</v>
      </c>
      <c r="V3069" s="3" t="str">
        <f>IFERROR(__xludf.DUMMYFUNCTION("""COMPUTED_VALUE"""),"N")</f>
        <v>N</v>
      </c>
      <c r="W3069" s="3"/>
      <c r="X3069" s="3" t="str">
        <f>IFERROR(__xludf.DUMMYFUNCTION("""COMPUTED_VALUE"""),"79 หมู่ 7 ต.พนานิคม อ.นิคมพัฒนา จ.ระยอง 21180")</f>
        <v>79 หมู่ 7 ต.พนานิคม อ.นิคมพัฒนา จ.ระยอง 21180</v>
      </c>
      <c r="Y3069" s="3"/>
      <c r="Z3069" s="3">
        <f>IFERROR(__xludf.DUMMYFUNCTION("""COMPUTED_VALUE"""),0.0)</f>
        <v>0</v>
      </c>
      <c r="AA3069" s="3">
        <f>IFERROR(__xludf.DUMMYFUNCTION("""COMPUTED_VALUE"""),0.0)</f>
        <v>0</v>
      </c>
      <c r="AB3069" s="3" t="str">
        <f>IFERROR(__xludf.DUMMYFUNCTION("""COMPUTED_VALUE"""),"ระยอง")</f>
        <v>ระยอง</v>
      </c>
      <c r="AC3069" s="3">
        <f>IFERROR(__xludf.DUMMYFUNCTION("""COMPUTED_VALUE"""),21180.0)</f>
        <v>21180</v>
      </c>
      <c r="AD3069" s="3"/>
      <c r="AE3069" s="3"/>
      <c r="AF3069" s="3" t="str">
        <f>IFERROR(__xludf.DUMMYFUNCTION("""COMPUTED_VALUE"""),"ร้านณัฐมัย (ดีกับคุณ)-84022")</f>
        <v>ร้านณัฐมัย (ดีกับคุณ)-84022</v>
      </c>
      <c r="AG3069" s="3" t="str">
        <f>IFERROR(__xludf.DUMMYFUNCTION("""COMPUTED_VALUE"""),"ตะวันออก")</f>
        <v>ตะวันออก</v>
      </c>
      <c r="AH3069" s="3" t="str">
        <f>IFERROR(__xludf.DUMMYFUNCTION("""COMPUTED_VALUE"""),"#N/A")</f>
        <v>#N/A</v>
      </c>
      <c r="AI3069" s="3" t="str">
        <f>IFERROR(__xludf.DUMMYFUNCTION("""COMPUTED_VALUE"""),"Out of warranty")</f>
        <v>Out of warranty</v>
      </c>
      <c r="AJ3069" s="3">
        <f>IFERROR(__xludf.DUMMYFUNCTION("""COMPUTED_VALUE"""),38.0)</f>
        <v>38</v>
      </c>
      <c r="AK3069" s="3"/>
      <c r="AL3069" s="3"/>
    </row>
    <row r="3070" ht="15.75" customHeight="1">
      <c r="A3070" s="1" t="str">
        <f>IFERROR(__xludf.DUMMYFUNCTION("""COMPUTED_VALUE"""),"84025")</f>
        <v>84025</v>
      </c>
      <c r="B3070" s="2">
        <f>IFERROR(__xludf.DUMMYFUNCTION("""COMPUTED_VALUE"""),84025.0)</f>
        <v>84025</v>
      </c>
      <c r="C3070" s="3" t="str">
        <f>IFERROR(__xludf.DUMMYFUNCTION("""COMPUTED_VALUE"""),"ร้าน อบต.เส สี่แยกปากเจา มินิมาร์ท (ป้าแดง)")</f>
        <v>ร้าน อบต.เส สี่แยกปากเจา มินิมาร์ท (ป้าแดง)</v>
      </c>
      <c r="D3070" s="3" t="str">
        <f>IFERROR(__xludf.DUMMYFUNCTION("""COMPUTED_VALUE"""),"ร้าน อบต.เส สี่แยกปากเจา มินิมาร์ท (ป้าแดง)")</f>
        <v>ร้าน อบต.เส สี่แยกปากเจา มินิมาร์ท (ป้าแดง)</v>
      </c>
      <c r="E3070" s="1" t="str">
        <f>IFERROR(__xludf.DUMMYFUNCTION("""COMPUTED_VALUE"""),"Donjai")</f>
        <v>Donjai</v>
      </c>
      <c r="F3070" s="1" t="str">
        <f>IFERROR(__xludf.DUMMYFUNCTION("""COMPUTED_VALUE"""),"025324")</f>
        <v>025324</v>
      </c>
      <c r="G3070" s="1" t="str">
        <f>IFERROR(__xludf.DUMMYFUNCTION("""COMPUTED_VALUE"""),"นายวิเชฎฐ์ ติรัตนะประคม")</f>
        <v>นายวิเชฎฐ์ ติรัตนะประคม</v>
      </c>
      <c r="H3070" s="1" t="str">
        <f>IFERROR(__xludf.DUMMYFUNCTION("""COMPUTED_VALUE"""),"025324")</f>
        <v>025324</v>
      </c>
      <c r="I3070" s="1" t="str">
        <f>IFERROR(__xludf.DUMMYFUNCTION("""COMPUTED_VALUE"""),"นายวิเชฎฐ์ ติรัตนะประคม")</f>
        <v>นายวิเชฎฐ์ ติรัตนะประคม</v>
      </c>
      <c r="J3070" s="3">
        <f>IFERROR(__xludf.DUMMYFUNCTION("""COMPUTED_VALUE"""),295541.0)</f>
        <v>295541</v>
      </c>
      <c r="K3070" s="3" t="str">
        <f>IFERROR(__xludf.DUMMYFUNCTION("""COMPUTED_VALUE"""),"นายรพิพล ศรีมาตย์")</f>
        <v>นายรพิพล ศรีมาตย์</v>
      </c>
      <c r="L3070" s="1" t="str">
        <f>IFERROR(__xludf.DUMMYFUNCTION("""COMPUTED_VALUE"""),"นายรพิพล ศรีมาตย์")</f>
        <v>นายรพิพล ศรีมาตย์</v>
      </c>
      <c r="M3070" s="1" t="str">
        <f>IFERROR(__xludf.DUMMYFUNCTION("""COMPUTED_VALUE"""),"0613966115")</f>
        <v>0613966115</v>
      </c>
      <c r="N3070" s="3">
        <f>IFERROR(__xludf.DUMMYFUNCTION("""COMPUTED_VALUE"""),84025.0)</f>
        <v>84025</v>
      </c>
      <c r="O3070" s="3" t="str">
        <f>IFERROR(__xludf.DUMMYFUNCTION("""COMPUTED_VALUE"""),"ร้าน อบต.เส สี่แยกปากเจา มินิมาร์ท (ป้าแดง)")</f>
        <v>ร้าน อบต.เส สี่แยกปากเจา มินิมาร์ท (ป้าแดง)</v>
      </c>
      <c r="P3070" s="4">
        <f>IFERROR(__xludf.DUMMYFUNCTION("""COMPUTED_VALUE"""),44855.0)</f>
        <v>44855</v>
      </c>
      <c r="Q3070" s="3" t="str">
        <f>IFERROR(__xludf.DUMMYFUNCTION("""COMPUTED_VALUE"""),"A")</f>
        <v>A</v>
      </c>
      <c r="R3070" s="3" t="str">
        <f>IFERROR(__xludf.DUMMYFUNCTION("""COMPUTED_VALUE"""),"Small Format")</f>
        <v>Small Format</v>
      </c>
      <c r="S3070" s="3" t="str">
        <f>IFERROR(__xludf.DUMMYFUNCTION("""COMPUTED_VALUE"""),"Donjai")</f>
        <v>Donjai</v>
      </c>
      <c r="T3070" s="3" t="str">
        <f>IFERROR(__xludf.DUMMYFUNCTION("""COMPUTED_VALUE"""),"14 K.Wichet T.")</f>
        <v>14 K.Wichet T.</v>
      </c>
      <c r="U3070" s="3" t="str">
        <f>IFERROR(__xludf.DUMMYFUNCTION("""COMPUTED_VALUE"""),"14 K.Wichet T.")</f>
        <v>14 K.Wichet T.</v>
      </c>
      <c r="V3070" s="3" t="str">
        <f>IFERROR(__xludf.DUMMYFUNCTION("""COMPUTED_VALUE"""),"N")</f>
        <v>N</v>
      </c>
      <c r="W3070" s="3"/>
      <c r="X3070" s="3" t="str">
        <f>IFERROR(__xludf.DUMMYFUNCTION("""COMPUTED_VALUE"""),"1/1 หมู่ที่ 8 ต.ตลิ่งชัน อ.ท่าศาลา จ.นครศรีธรรมราช 80160")</f>
        <v>1/1 หมู่ที่ 8 ต.ตลิ่งชัน อ.ท่าศาลา จ.นครศรีธรรมราช 80160</v>
      </c>
      <c r="Y3070" s="3"/>
      <c r="Z3070" s="3">
        <f>IFERROR(__xludf.DUMMYFUNCTION("""COMPUTED_VALUE"""),0.0)</f>
        <v>0</v>
      </c>
      <c r="AA3070" s="3">
        <f>IFERROR(__xludf.DUMMYFUNCTION("""COMPUTED_VALUE"""),0.0)</f>
        <v>0</v>
      </c>
      <c r="AB3070" s="3" t="str">
        <f>IFERROR(__xludf.DUMMYFUNCTION("""COMPUTED_VALUE"""),"นครศรีธรรมราช")</f>
        <v>นครศรีธรรมราช</v>
      </c>
      <c r="AC3070" s="3">
        <f>IFERROR(__xludf.DUMMYFUNCTION("""COMPUTED_VALUE"""),80160.0)</f>
        <v>80160</v>
      </c>
      <c r="AD3070" s="3"/>
      <c r="AE3070" s="3"/>
      <c r="AF3070" s="3" t="str">
        <f>IFERROR(__xludf.DUMMYFUNCTION("""COMPUTED_VALUE"""),"ร้าน อบต.เส สี่แยกปากเจา มินิมาร์ท (ป้าแดง)-84025")</f>
        <v>ร้าน อบต.เส สี่แยกปากเจา มินิมาร์ท (ป้าแดง)-84025</v>
      </c>
      <c r="AG3070" s="3" t="str">
        <f>IFERROR(__xludf.DUMMYFUNCTION("""COMPUTED_VALUE"""),"ใต้")</f>
        <v>ใต้</v>
      </c>
      <c r="AH3070" s="3" t="str">
        <f>IFERROR(__xludf.DUMMYFUNCTION("""COMPUTED_VALUE"""),"#N/A")</f>
        <v>#N/A</v>
      </c>
      <c r="AI3070" s="3" t="str">
        <f>IFERROR(__xludf.DUMMYFUNCTION("""COMPUTED_VALUE"""),"Out of warranty")</f>
        <v>Out of warranty</v>
      </c>
      <c r="AJ3070" s="3">
        <f>IFERROR(__xludf.DUMMYFUNCTION("""COMPUTED_VALUE"""),39.0)</f>
        <v>39</v>
      </c>
      <c r="AK3070" s="3"/>
      <c r="AL3070" s="3"/>
    </row>
    <row r="3071" ht="15.75" customHeight="1">
      <c r="A3071" s="1" t="str">
        <f>IFERROR(__xludf.DUMMYFUNCTION("""COMPUTED_VALUE"""),"84026")</f>
        <v>84026</v>
      </c>
      <c r="B3071" s="2">
        <f>IFERROR(__xludf.DUMMYFUNCTION("""COMPUTED_VALUE"""),84026.0)</f>
        <v>84026</v>
      </c>
      <c r="C3071" s="3" t="str">
        <f>IFERROR(__xludf.DUMMYFUNCTION("""COMPUTED_VALUE"""),"ร้านบังหมี่การค้า")</f>
        <v>ร้านบังหมี่การค้า</v>
      </c>
      <c r="D3071" s="3" t="str">
        <f>IFERROR(__xludf.DUMMYFUNCTION("""COMPUTED_VALUE"""),"ร้านบังหมี่การค้า")</f>
        <v>ร้านบังหมี่การค้า</v>
      </c>
      <c r="E3071" s="1" t="str">
        <f>IFERROR(__xludf.DUMMYFUNCTION("""COMPUTED_VALUE"""),"Donjai")</f>
        <v>Donjai</v>
      </c>
      <c r="F3071" s="1" t="str">
        <f>IFERROR(__xludf.DUMMYFUNCTION("""COMPUTED_VALUE"""),"20470331")</f>
        <v>20470331</v>
      </c>
      <c r="G3071" s="1" t="str">
        <f>IFERROR(__xludf.DUMMYFUNCTION("""COMPUTED_VALUE"""),"นายสมชาย ลักษณะสุวรรณ")</f>
        <v>นายสมชาย ลักษณะสุวรรณ</v>
      </c>
      <c r="H3071" s="1" t="str">
        <f>IFERROR(__xludf.DUMMYFUNCTION("""COMPUTED_VALUE"""),"20470331")</f>
        <v>20470331</v>
      </c>
      <c r="I3071" s="1" t="str">
        <f>IFERROR(__xludf.DUMMYFUNCTION("""COMPUTED_VALUE"""),"นายสมชาย ลักษณะสุวรรณ")</f>
        <v>นายสมชาย ลักษณะสุวรรณ</v>
      </c>
      <c r="J3071" s="3">
        <f>IFERROR(__xludf.DUMMYFUNCTION("""COMPUTED_VALUE"""),295541.0)</f>
        <v>295541</v>
      </c>
      <c r="K3071" s="3" t="str">
        <f>IFERROR(__xludf.DUMMYFUNCTION("""COMPUTED_VALUE"""),"นายรพิพล ศรีมาตย์")</f>
        <v>นายรพิพล ศรีมาตย์</v>
      </c>
      <c r="L3071" s="1" t="str">
        <f>IFERROR(__xludf.DUMMYFUNCTION("""COMPUTED_VALUE"""),"นายรพิพล ศรีมาตย์")</f>
        <v>นายรพิพล ศรีมาตย์</v>
      </c>
      <c r="M3071" s="1" t="str">
        <f>IFERROR(__xludf.DUMMYFUNCTION("""COMPUTED_VALUE"""),"0613966115")</f>
        <v>0613966115</v>
      </c>
      <c r="N3071" s="3">
        <f>IFERROR(__xludf.DUMMYFUNCTION("""COMPUTED_VALUE"""),84026.0)</f>
        <v>84026</v>
      </c>
      <c r="O3071" s="3" t="str">
        <f>IFERROR(__xludf.DUMMYFUNCTION("""COMPUTED_VALUE"""),"ร้านบังหมี่การค้า")</f>
        <v>ร้านบังหมี่การค้า</v>
      </c>
      <c r="P3071" s="4">
        <f>IFERROR(__xludf.DUMMYFUNCTION("""COMPUTED_VALUE"""),44861.0)</f>
        <v>44861</v>
      </c>
      <c r="Q3071" s="3" t="str">
        <f>IFERROR(__xludf.DUMMYFUNCTION("""COMPUTED_VALUE"""),"A")</f>
        <v>A</v>
      </c>
      <c r="R3071" s="3" t="str">
        <f>IFERROR(__xludf.DUMMYFUNCTION("""COMPUTED_VALUE"""),"Small Format")</f>
        <v>Small Format</v>
      </c>
      <c r="S3071" s="3" t="str">
        <f>IFERROR(__xludf.DUMMYFUNCTION("""COMPUTED_VALUE"""),"Donjai")</f>
        <v>Donjai</v>
      </c>
      <c r="T3071" s="3" t="str">
        <f>IFERROR(__xludf.DUMMYFUNCTION("""COMPUTED_VALUE"""),"15 K.Somchai L")</f>
        <v>15 K.Somchai L</v>
      </c>
      <c r="U3071" s="3" t="str">
        <f>IFERROR(__xludf.DUMMYFUNCTION("""COMPUTED_VALUE"""),"15 K.Somchai L")</f>
        <v>15 K.Somchai L</v>
      </c>
      <c r="V3071" s="3" t="str">
        <f>IFERROR(__xludf.DUMMYFUNCTION("""COMPUTED_VALUE"""),"N")</f>
        <v>N</v>
      </c>
      <c r="W3071" s="3"/>
      <c r="X3071" s="3" t="str">
        <f>IFERROR(__xludf.DUMMYFUNCTION("""COMPUTED_VALUE"""),"108 ม.2 ต.ท่าเรือ อ.ท่าแพ จ.สตูล 91150")</f>
        <v>108 ม.2 ต.ท่าเรือ อ.ท่าแพ จ.สตูล 91150</v>
      </c>
      <c r="Y3071" s="3"/>
      <c r="Z3071" s="3">
        <f>IFERROR(__xludf.DUMMYFUNCTION("""COMPUTED_VALUE"""),0.0)</f>
        <v>0</v>
      </c>
      <c r="AA3071" s="3">
        <f>IFERROR(__xludf.DUMMYFUNCTION("""COMPUTED_VALUE"""),0.0)</f>
        <v>0</v>
      </c>
      <c r="AB3071" s="3" t="str">
        <f>IFERROR(__xludf.DUMMYFUNCTION("""COMPUTED_VALUE"""),"สตูล")</f>
        <v>สตูล</v>
      </c>
      <c r="AC3071" s="3">
        <f>IFERROR(__xludf.DUMMYFUNCTION("""COMPUTED_VALUE"""),91150.0)</f>
        <v>91150</v>
      </c>
      <c r="AD3071" s="3"/>
      <c r="AE3071" s="3"/>
      <c r="AF3071" s="3" t="str">
        <f>IFERROR(__xludf.DUMMYFUNCTION("""COMPUTED_VALUE"""),"ร้านบังหมี่การค้า-84026")</f>
        <v>ร้านบังหมี่การค้า-84026</v>
      </c>
      <c r="AG3071" s="3" t="str">
        <f>IFERROR(__xludf.DUMMYFUNCTION("""COMPUTED_VALUE"""),"ใต้")</f>
        <v>ใต้</v>
      </c>
      <c r="AH3071" s="3" t="str">
        <f>IFERROR(__xludf.DUMMYFUNCTION("""COMPUTED_VALUE"""),"#N/A")</f>
        <v>#N/A</v>
      </c>
      <c r="AI3071" s="3" t="str">
        <f>IFERROR(__xludf.DUMMYFUNCTION("""COMPUTED_VALUE"""),"Out of warranty")</f>
        <v>Out of warranty</v>
      </c>
      <c r="AJ3071" s="3">
        <f>IFERROR(__xludf.DUMMYFUNCTION("""COMPUTED_VALUE"""),39.0)</f>
        <v>39</v>
      </c>
      <c r="AK3071" s="3"/>
      <c r="AL3071" s="3"/>
    </row>
    <row r="3072" ht="15.75" customHeight="1">
      <c r="A3072" s="1" t="str">
        <f>IFERROR(__xludf.DUMMYFUNCTION("""COMPUTED_VALUE"""),"84027")</f>
        <v>84027</v>
      </c>
      <c r="B3072" s="2">
        <f>IFERROR(__xludf.DUMMYFUNCTION("""COMPUTED_VALUE"""),84027.0)</f>
        <v>84027</v>
      </c>
      <c r="C3072" s="3" t="str">
        <f>IFERROR(__xludf.DUMMYFUNCTION("""COMPUTED_VALUE"""),"ร้านมิตรภาพการค้า")</f>
        <v>ร้านมิตรภาพการค้า</v>
      </c>
      <c r="D3072" s="3" t="str">
        <f>IFERROR(__xludf.DUMMYFUNCTION("""COMPUTED_VALUE"""),"ร้านมิตรภาพการค้า")</f>
        <v>ร้านมิตรภาพการค้า</v>
      </c>
      <c r="E3072" s="1" t="str">
        <f>IFERROR(__xludf.DUMMYFUNCTION("""COMPUTED_VALUE"""),"Donjai")</f>
        <v>Donjai</v>
      </c>
      <c r="F3072" s="1" t="str">
        <f>IFERROR(__xludf.DUMMYFUNCTION("""COMPUTED_VALUE"""),"296868")</f>
        <v>296868</v>
      </c>
      <c r="G3072" s="1" t="str">
        <f>IFERROR(__xludf.DUMMYFUNCTION("""COMPUTED_VALUE"""),"นายพีระพงษ์ แก้วดวงดี")</f>
        <v>นายพีระพงษ์ แก้วดวงดี</v>
      </c>
      <c r="H3072" s="1" t="str">
        <f>IFERROR(__xludf.DUMMYFUNCTION("""COMPUTED_VALUE"""),"296868")</f>
        <v>296868</v>
      </c>
      <c r="I3072" s="1" t="str">
        <f>IFERROR(__xludf.DUMMYFUNCTION("""COMPUTED_VALUE"""),"นายพีระพงษ์ แก้วดวงดี")</f>
        <v>นายพีระพงษ์ แก้วดวงดี</v>
      </c>
      <c r="J3072" s="3">
        <f>IFERROR(__xludf.DUMMYFUNCTION("""COMPUTED_VALUE"""),295886.0)</f>
        <v>295886</v>
      </c>
      <c r="K3072" s="3" t="str">
        <f>IFERROR(__xludf.DUMMYFUNCTION("""COMPUTED_VALUE"""),"นายจิระพงษ์ โพธิ์นิล")</f>
        <v>นายจิระพงษ์ โพธิ์นิล</v>
      </c>
      <c r="L3072" s="1" t="str">
        <f>IFERROR(__xludf.DUMMYFUNCTION("""COMPUTED_VALUE"""),"นายจิระพงษ์ โพธิ์นิล")</f>
        <v>นายจิระพงษ์ โพธิ์นิล</v>
      </c>
      <c r="M3072" s="1" t="str">
        <f>IFERROR(__xludf.DUMMYFUNCTION("""COMPUTED_VALUE"""),"0933290754")</f>
        <v>0933290754</v>
      </c>
      <c r="N3072" s="3">
        <f>IFERROR(__xludf.DUMMYFUNCTION("""COMPUTED_VALUE"""),84027.0)</f>
        <v>84027</v>
      </c>
      <c r="O3072" s="3" t="str">
        <f>IFERROR(__xludf.DUMMYFUNCTION("""COMPUTED_VALUE"""),"ร้านมิตรภาพการค้า")</f>
        <v>ร้านมิตรภาพการค้า</v>
      </c>
      <c r="P3072" s="4">
        <f>IFERROR(__xludf.DUMMYFUNCTION("""COMPUTED_VALUE"""),44865.0)</f>
        <v>44865</v>
      </c>
      <c r="Q3072" s="3" t="str">
        <f>IFERROR(__xludf.DUMMYFUNCTION("""COMPUTED_VALUE"""),"A")</f>
        <v>A</v>
      </c>
      <c r="R3072" s="3" t="str">
        <f>IFERROR(__xludf.DUMMYFUNCTION("""COMPUTED_VALUE"""),"Small Format")</f>
        <v>Small Format</v>
      </c>
      <c r="S3072" s="3" t="str">
        <f>IFERROR(__xludf.DUMMYFUNCTION("""COMPUTED_VALUE"""),"Donjai")</f>
        <v>Donjai</v>
      </c>
      <c r="T3072" s="3" t="str">
        <f>IFERROR(__xludf.DUMMYFUNCTION("""COMPUTED_VALUE"""),"03 K.Peerapong K.")</f>
        <v>03 K.Peerapong K.</v>
      </c>
      <c r="U3072" s="3" t="str">
        <f>IFERROR(__xludf.DUMMYFUNCTION("""COMPUTED_VALUE"""),"03 K.Peerapong K.")</f>
        <v>03 K.Peerapong K.</v>
      </c>
      <c r="V3072" s="3" t="str">
        <f>IFERROR(__xludf.DUMMYFUNCTION("""COMPUTED_VALUE"""),"N")</f>
        <v>N</v>
      </c>
      <c r="W3072" s="3"/>
      <c r="X3072" s="3" t="str">
        <f>IFERROR(__xludf.DUMMYFUNCTION("""COMPUTED_VALUE"""),"194 หมู่ที่5 ตำบลทุ่งหลวง อำเภอโพนพิสัย จังหวัดหนองคาย 43120")</f>
        <v>194 หมู่ที่5 ตำบลทุ่งหลวง อำเภอโพนพิสัย จังหวัดหนองคาย 43120</v>
      </c>
      <c r="Y3072" s="3"/>
      <c r="Z3072" s="3">
        <f>IFERROR(__xludf.DUMMYFUNCTION("""COMPUTED_VALUE"""),0.0)</f>
        <v>0</v>
      </c>
      <c r="AA3072" s="3">
        <f>IFERROR(__xludf.DUMMYFUNCTION("""COMPUTED_VALUE"""),0.0)</f>
        <v>0</v>
      </c>
      <c r="AB3072" s="3" t="str">
        <f>IFERROR(__xludf.DUMMYFUNCTION("""COMPUTED_VALUE"""),"หนองคาย")</f>
        <v>หนองคาย</v>
      </c>
      <c r="AC3072" s="3">
        <f>IFERROR(__xludf.DUMMYFUNCTION("""COMPUTED_VALUE"""),43120.0)</f>
        <v>43120</v>
      </c>
      <c r="AD3072" s="3"/>
      <c r="AE3072" s="3"/>
      <c r="AF3072" s="3" t="str">
        <f>IFERROR(__xludf.DUMMYFUNCTION("""COMPUTED_VALUE"""),"ร้านมิตรภาพการค้า-84027")</f>
        <v>ร้านมิตรภาพการค้า-84027</v>
      </c>
      <c r="AG3072" s="3" t="str">
        <f>IFERROR(__xludf.DUMMYFUNCTION("""COMPUTED_VALUE"""),"ตะวันออกเฉียงเหนือ")</f>
        <v>ตะวันออกเฉียงเหนือ</v>
      </c>
      <c r="AH3072" s="3" t="str">
        <f>IFERROR(__xludf.DUMMYFUNCTION("""COMPUTED_VALUE"""),"#N/A")</f>
        <v>#N/A</v>
      </c>
      <c r="AI3072" s="3" t="str">
        <f>IFERROR(__xludf.DUMMYFUNCTION("""COMPUTED_VALUE"""),"Out of warranty")</f>
        <v>Out of warranty</v>
      </c>
      <c r="AJ3072" s="3">
        <f>IFERROR(__xludf.DUMMYFUNCTION("""COMPUTED_VALUE"""),39.0)</f>
        <v>39</v>
      </c>
      <c r="AK3072" s="3"/>
      <c r="AL3072" s="3"/>
    </row>
    <row r="3073" ht="15.75" customHeight="1">
      <c r="A3073" s="1" t="str">
        <f>IFERROR(__xludf.DUMMYFUNCTION("""COMPUTED_VALUE"""),"84028")</f>
        <v>84028</v>
      </c>
      <c r="B3073" s="2">
        <f>IFERROR(__xludf.DUMMYFUNCTION("""COMPUTED_VALUE"""),84028.0)</f>
        <v>84028</v>
      </c>
      <c r="C3073" s="3" t="str">
        <f>IFERROR(__xludf.DUMMYFUNCTION("""COMPUTED_VALUE"""),"ร้านไอเดียไอด้า (ไอเดีย)")</f>
        <v>ร้านไอเดียไอด้า (ไอเดีย)</v>
      </c>
      <c r="D3073" s="3" t="str">
        <f>IFERROR(__xludf.DUMMYFUNCTION("""COMPUTED_VALUE"""),"ร้านไอเดียไอด้า (ไอเดีย)")</f>
        <v>ร้านไอเดียไอด้า (ไอเดีย)</v>
      </c>
      <c r="E3073" s="1" t="str">
        <f>IFERROR(__xludf.DUMMYFUNCTION("""COMPUTED_VALUE"""),"Donjai")</f>
        <v>Donjai</v>
      </c>
      <c r="F3073" s="1" t="str">
        <f>IFERROR(__xludf.DUMMYFUNCTION("""COMPUTED_VALUE"""),"2454781")</f>
        <v>2454781</v>
      </c>
      <c r="G3073" s="1" t="str">
        <f>IFERROR(__xludf.DUMMYFUNCTION("""COMPUTED_VALUE"""),"นายฌานกฤช นันทะโคต")</f>
        <v>นายฌานกฤช นันทะโคต</v>
      </c>
      <c r="H3073" s="1" t="str">
        <f>IFERROR(__xludf.DUMMYFUNCTION("""COMPUTED_VALUE"""),"2454781")</f>
        <v>2454781</v>
      </c>
      <c r="I3073" s="1" t="str">
        <f>IFERROR(__xludf.DUMMYFUNCTION("""COMPUTED_VALUE"""),"นายฌานกฤช นันทะโคต")</f>
        <v>นายฌานกฤช นันทะโคต</v>
      </c>
      <c r="J3073" s="3">
        <f>IFERROR(__xludf.DUMMYFUNCTION("""COMPUTED_VALUE"""),295886.0)</f>
        <v>295886</v>
      </c>
      <c r="K3073" s="3" t="str">
        <f>IFERROR(__xludf.DUMMYFUNCTION("""COMPUTED_VALUE"""),"นายจิระพงษ์ โพธิ์นิล")</f>
        <v>นายจิระพงษ์ โพธิ์นิล</v>
      </c>
      <c r="L3073" s="1" t="str">
        <f>IFERROR(__xludf.DUMMYFUNCTION("""COMPUTED_VALUE"""),"นายจิระพงษ์ โพธิ์นิล")</f>
        <v>นายจิระพงษ์ โพธิ์นิล</v>
      </c>
      <c r="M3073" s="1" t="str">
        <f>IFERROR(__xludf.DUMMYFUNCTION("""COMPUTED_VALUE"""),"0933290754")</f>
        <v>0933290754</v>
      </c>
      <c r="N3073" s="3">
        <f>IFERROR(__xludf.DUMMYFUNCTION("""COMPUTED_VALUE"""),84028.0)</f>
        <v>84028</v>
      </c>
      <c r="O3073" s="3" t="str">
        <f>IFERROR(__xludf.DUMMYFUNCTION("""COMPUTED_VALUE"""),"ร้านไอเดียไอด้า (ไอเดีย)")</f>
        <v>ร้านไอเดียไอด้า (ไอเดีย)</v>
      </c>
      <c r="P3073" s="4">
        <f>IFERROR(__xludf.DUMMYFUNCTION("""COMPUTED_VALUE"""),44886.0)</f>
        <v>44886</v>
      </c>
      <c r="Q3073" s="3" t="str">
        <f>IFERROR(__xludf.DUMMYFUNCTION("""COMPUTED_VALUE"""),"A")</f>
        <v>A</v>
      </c>
      <c r="R3073" s="3" t="str">
        <f>IFERROR(__xludf.DUMMYFUNCTION("""COMPUTED_VALUE"""),"Small Format")</f>
        <v>Small Format</v>
      </c>
      <c r="S3073" s="3" t="str">
        <f>IFERROR(__xludf.DUMMYFUNCTION("""COMPUTED_VALUE"""),"Donjai")</f>
        <v>Donjai</v>
      </c>
      <c r="T3073" s="3" t="str">
        <f>IFERROR(__xludf.DUMMYFUNCTION("""COMPUTED_VALUE"""),"05 K.Chanakrit N.")</f>
        <v>05 K.Chanakrit N.</v>
      </c>
      <c r="U3073" s="3" t="str">
        <f>IFERROR(__xludf.DUMMYFUNCTION("""COMPUTED_VALUE"""),"05 K.Chanakrit N.")</f>
        <v>05 K.Chanakrit N.</v>
      </c>
      <c r="V3073" s="3" t="str">
        <f>IFERROR(__xludf.DUMMYFUNCTION("""COMPUTED_VALUE"""),"N")</f>
        <v>N</v>
      </c>
      <c r="W3073" s="3"/>
      <c r="X3073" s="3" t="str">
        <f>IFERROR(__xludf.DUMMYFUNCTION("""COMPUTED_VALUE"""),"152 หมู่ 13 บ้าน คำแดง ตำบลเดิด อำเภอ เมือง จังหวัด ยโสธร 35000")</f>
        <v>152 หมู่ 13 บ้าน คำแดง ตำบลเดิด อำเภอ เมือง จังหวัด ยโสธร 35000</v>
      </c>
      <c r="Y3073" s="3"/>
      <c r="Z3073" s="3">
        <f>IFERROR(__xludf.DUMMYFUNCTION("""COMPUTED_VALUE"""),0.0)</f>
        <v>0</v>
      </c>
      <c r="AA3073" s="3">
        <f>IFERROR(__xludf.DUMMYFUNCTION("""COMPUTED_VALUE"""),0.0)</f>
        <v>0</v>
      </c>
      <c r="AB3073" s="3" t="str">
        <f>IFERROR(__xludf.DUMMYFUNCTION("""COMPUTED_VALUE"""),"ยโสธร")</f>
        <v>ยโสธร</v>
      </c>
      <c r="AC3073" s="3">
        <f>IFERROR(__xludf.DUMMYFUNCTION("""COMPUTED_VALUE"""),35000.0)</f>
        <v>35000</v>
      </c>
      <c r="AD3073" s="3"/>
      <c r="AE3073" s="3"/>
      <c r="AF3073" s="3" t="str">
        <f>IFERROR(__xludf.DUMMYFUNCTION("""COMPUTED_VALUE"""),"ร้านไอเดียไอด้า (ไอเดีย)-84028")</f>
        <v>ร้านไอเดียไอด้า (ไอเดีย)-84028</v>
      </c>
      <c r="AG3073" s="3" t="str">
        <f>IFERROR(__xludf.DUMMYFUNCTION("""COMPUTED_VALUE"""),"ตะวันออกเฉียงเหนือ")</f>
        <v>ตะวันออกเฉียงเหนือ</v>
      </c>
      <c r="AH3073" s="3" t="str">
        <f>IFERROR(__xludf.DUMMYFUNCTION("""COMPUTED_VALUE"""),"#N/A")</f>
        <v>#N/A</v>
      </c>
      <c r="AI3073" s="3" t="str">
        <f>IFERROR(__xludf.DUMMYFUNCTION("""COMPUTED_VALUE"""),"Out of warranty")</f>
        <v>Out of warranty</v>
      </c>
      <c r="AJ3073" s="3">
        <f>IFERROR(__xludf.DUMMYFUNCTION("""COMPUTED_VALUE"""),38.0)</f>
        <v>38</v>
      </c>
      <c r="AK3073" s="3"/>
      <c r="AL3073" s="3"/>
    </row>
    <row r="3074" ht="15.75" customHeight="1">
      <c r="A3074" s="1" t="str">
        <f>IFERROR(__xludf.DUMMYFUNCTION("""COMPUTED_VALUE"""),"84031")</f>
        <v>84031</v>
      </c>
      <c r="B3074" s="2">
        <f>IFERROR(__xludf.DUMMYFUNCTION("""COMPUTED_VALUE"""),84031.0)</f>
        <v>84031</v>
      </c>
      <c r="C3074" s="3" t="str">
        <f>IFERROR(__xludf.DUMMYFUNCTION("""COMPUTED_VALUE"""),"ร้านแม่เซีย(ต.โต้ง)")</f>
        <v>ร้านแม่เซีย(ต.โต้ง)</v>
      </c>
      <c r="D3074" s="3" t="str">
        <f>IFERROR(__xludf.DUMMYFUNCTION("""COMPUTED_VALUE"""),"ร้านแม่เซีย(ต.โต้ง)")</f>
        <v>ร้านแม่เซีย(ต.โต้ง)</v>
      </c>
      <c r="E3074" s="1" t="str">
        <f>IFERROR(__xludf.DUMMYFUNCTION("""COMPUTED_VALUE"""),"Donjai")</f>
        <v>Donjai</v>
      </c>
      <c r="F3074" s="1" t="str">
        <f>IFERROR(__xludf.DUMMYFUNCTION("""COMPUTED_VALUE"""),"2010016")</f>
        <v>2010016</v>
      </c>
      <c r="G3074" s="1" t="str">
        <f>IFERROR(__xludf.DUMMYFUNCTION("""COMPUTED_VALUE"""),"นายตวงธรรม ใหม่ยศ")</f>
        <v>นายตวงธรรม ใหม่ยศ</v>
      </c>
      <c r="H3074" s="1" t="str">
        <f>IFERROR(__xludf.DUMMYFUNCTION("""COMPUTED_VALUE"""),"2010016")</f>
        <v>2010016</v>
      </c>
      <c r="I3074" s="1" t="str">
        <f>IFERROR(__xludf.DUMMYFUNCTION("""COMPUTED_VALUE"""),"นายตวงธรรม ใหม่ยศ")</f>
        <v>นายตวงธรรม ใหม่ยศ</v>
      </c>
      <c r="J3074" s="3">
        <f>IFERROR(__xludf.DUMMYFUNCTION("""COMPUTED_VALUE"""),295886.0)</f>
        <v>295886</v>
      </c>
      <c r="K3074" s="3" t="str">
        <f>IFERROR(__xludf.DUMMYFUNCTION("""COMPUTED_VALUE"""),"นายจิระพงษ์ โพธิ์นิล")</f>
        <v>นายจิระพงษ์ โพธิ์นิล</v>
      </c>
      <c r="L3074" s="1" t="str">
        <f>IFERROR(__xludf.DUMMYFUNCTION("""COMPUTED_VALUE"""),"นายจิระพงษ์ โพธิ์นิล")</f>
        <v>นายจิระพงษ์ โพธิ์นิล</v>
      </c>
      <c r="M3074" s="1" t="str">
        <f>IFERROR(__xludf.DUMMYFUNCTION("""COMPUTED_VALUE"""),"0933290754")</f>
        <v>0933290754</v>
      </c>
      <c r="N3074" s="3">
        <f>IFERROR(__xludf.DUMMYFUNCTION("""COMPUTED_VALUE"""),84031.0)</f>
        <v>84031</v>
      </c>
      <c r="O3074" s="3" t="str">
        <f>IFERROR(__xludf.DUMMYFUNCTION("""COMPUTED_VALUE"""),"ร้านแม่เซีย(ต.โต้ง)")</f>
        <v>ร้านแม่เซีย(ต.โต้ง)</v>
      </c>
      <c r="P3074" s="4">
        <f>IFERROR(__xludf.DUMMYFUNCTION("""COMPUTED_VALUE"""),44919.0)</f>
        <v>44919</v>
      </c>
      <c r="Q3074" s="3" t="str">
        <f>IFERROR(__xludf.DUMMYFUNCTION("""COMPUTED_VALUE"""),"A")</f>
        <v>A</v>
      </c>
      <c r="R3074" s="3" t="str">
        <f>IFERROR(__xludf.DUMMYFUNCTION("""COMPUTED_VALUE"""),"Small Format")</f>
        <v>Small Format</v>
      </c>
      <c r="S3074" s="3" t="str">
        <f>IFERROR(__xludf.DUMMYFUNCTION("""COMPUTED_VALUE"""),"Donjai")</f>
        <v>Donjai</v>
      </c>
      <c r="T3074" s="3" t="str">
        <f>IFERROR(__xludf.DUMMYFUNCTION("""COMPUTED_VALUE"""),"01 K.Tuangtham M.")</f>
        <v>01 K.Tuangtham M.</v>
      </c>
      <c r="U3074" s="3" t="str">
        <f>IFERROR(__xludf.DUMMYFUNCTION("""COMPUTED_VALUE"""),"01 K.Tuangtham M.")</f>
        <v>01 K.Tuangtham M.</v>
      </c>
      <c r="V3074" s="3" t="str">
        <f>IFERROR(__xludf.DUMMYFUNCTION("""COMPUTED_VALUE"""),"N")</f>
        <v>N</v>
      </c>
      <c r="W3074" s="3"/>
      <c r="X3074" s="3" t="str">
        <f>IFERROR(__xludf.DUMMYFUNCTION("""COMPUTED_VALUE"""),"168/6-7 หนองควาย หางดง เชียงใหม่ 50230")</f>
        <v>168/6-7 หนองควาย หางดง เชียงใหม่ 50230</v>
      </c>
      <c r="Y3074" s="3"/>
      <c r="Z3074" s="3" t="str">
        <f>IFERROR(__xludf.DUMMYFUNCTION("""COMPUTED_VALUE"""),"หนองควาย")</f>
        <v>หนองควาย</v>
      </c>
      <c r="AA3074" s="3" t="str">
        <f>IFERROR(__xludf.DUMMYFUNCTION("""COMPUTED_VALUE"""),"หางดง")</f>
        <v>หางดง</v>
      </c>
      <c r="AB3074" s="3" t="str">
        <f>IFERROR(__xludf.DUMMYFUNCTION("""COMPUTED_VALUE"""),"เชียงใหม่")</f>
        <v>เชียงใหม่</v>
      </c>
      <c r="AC3074" s="3">
        <f>IFERROR(__xludf.DUMMYFUNCTION("""COMPUTED_VALUE"""),50230.0)</f>
        <v>50230</v>
      </c>
      <c r="AD3074" s="3"/>
      <c r="AE3074" s="3"/>
      <c r="AF3074" s="3" t="str">
        <f>IFERROR(__xludf.DUMMYFUNCTION("""COMPUTED_VALUE"""),"ร้านแม่เซีย(ต.โต้ง)-84031")</f>
        <v>ร้านแม่เซีย(ต.โต้ง)-84031</v>
      </c>
      <c r="AG3074" s="3" t="str">
        <f>IFERROR(__xludf.DUMMYFUNCTION("""COMPUTED_VALUE"""),"เหนือ")</f>
        <v>เหนือ</v>
      </c>
      <c r="AH3074" s="3" t="str">
        <f>IFERROR(__xludf.DUMMYFUNCTION("""COMPUTED_VALUE"""),"#N/A")</f>
        <v>#N/A</v>
      </c>
      <c r="AI3074" s="3" t="str">
        <f>IFERROR(__xludf.DUMMYFUNCTION("""COMPUTED_VALUE"""),"Out of warranty")</f>
        <v>Out of warranty</v>
      </c>
      <c r="AJ3074" s="3">
        <f>IFERROR(__xludf.DUMMYFUNCTION("""COMPUTED_VALUE"""),37.0)</f>
        <v>37</v>
      </c>
      <c r="AK3074" s="3"/>
      <c r="AL3074" s="3"/>
    </row>
    <row r="3075" ht="15.75" customHeight="1">
      <c r="A3075" s="1" t="str">
        <f>IFERROR(__xludf.DUMMYFUNCTION("""COMPUTED_VALUE"""),"84032")</f>
        <v>84032</v>
      </c>
      <c r="B3075" s="2">
        <f>IFERROR(__xludf.DUMMYFUNCTION("""COMPUTED_VALUE"""),84032.0)</f>
        <v>84032</v>
      </c>
      <c r="C3075" s="3" t="str">
        <f>IFERROR(__xludf.DUMMYFUNCTION("""COMPUTED_VALUE"""),"ร้านบุญพูลการค้า(แจ๊คมินิมาร์ท)")</f>
        <v>ร้านบุญพูลการค้า(แจ๊คมินิมาร์ท)</v>
      </c>
      <c r="D3075" s="3" t="str">
        <f>IFERROR(__xludf.DUMMYFUNCTION("""COMPUTED_VALUE"""),"ร้านบุญพูลการค้า(แจ๊คมินิมาร์ท)")</f>
        <v>ร้านบุญพูลการค้า(แจ๊คมินิมาร์ท)</v>
      </c>
      <c r="E3075" s="1" t="str">
        <f>IFERROR(__xludf.DUMMYFUNCTION("""COMPUTED_VALUE"""),"Donjai")</f>
        <v>Donjai</v>
      </c>
      <c r="F3075" s="1" t="str">
        <f>IFERROR(__xludf.DUMMYFUNCTION("""COMPUTED_VALUE"""),"296868")</f>
        <v>296868</v>
      </c>
      <c r="G3075" s="1" t="str">
        <f>IFERROR(__xludf.DUMMYFUNCTION("""COMPUTED_VALUE"""),"นายพีระพงษ์ แก้วดวงดี")</f>
        <v>นายพีระพงษ์ แก้วดวงดี</v>
      </c>
      <c r="H3075" s="1" t="str">
        <f>IFERROR(__xludf.DUMMYFUNCTION("""COMPUTED_VALUE"""),"296868")</f>
        <v>296868</v>
      </c>
      <c r="I3075" s="1" t="str">
        <f>IFERROR(__xludf.DUMMYFUNCTION("""COMPUTED_VALUE"""),"นายพีระพงษ์ แก้วดวงดี")</f>
        <v>นายพีระพงษ์ แก้วดวงดี</v>
      </c>
      <c r="J3075" s="3">
        <f>IFERROR(__xludf.DUMMYFUNCTION("""COMPUTED_VALUE"""),295886.0)</f>
        <v>295886</v>
      </c>
      <c r="K3075" s="3" t="str">
        <f>IFERROR(__xludf.DUMMYFUNCTION("""COMPUTED_VALUE"""),"นายจิระพงษ์ โพธิ์นิล")</f>
        <v>นายจิระพงษ์ โพธิ์นิล</v>
      </c>
      <c r="L3075" s="1" t="str">
        <f>IFERROR(__xludf.DUMMYFUNCTION("""COMPUTED_VALUE"""),"นายจิระพงษ์ โพธิ์นิล")</f>
        <v>นายจิระพงษ์ โพธิ์นิล</v>
      </c>
      <c r="M3075" s="1" t="str">
        <f>IFERROR(__xludf.DUMMYFUNCTION("""COMPUTED_VALUE"""),"0933290754")</f>
        <v>0933290754</v>
      </c>
      <c r="N3075" s="3">
        <f>IFERROR(__xludf.DUMMYFUNCTION("""COMPUTED_VALUE"""),84032.0)</f>
        <v>84032</v>
      </c>
      <c r="O3075" s="3" t="str">
        <f>IFERROR(__xludf.DUMMYFUNCTION("""COMPUTED_VALUE"""),"ร้านบุญพูลการค้า(แจ๊คมินิมาร์ท)")</f>
        <v>ร้านบุญพูลการค้า(แจ๊คมินิมาร์ท)</v>
      </c>
      <c r="P3075" s="4">
        <f>IFERROR(__xludf.DUMMYFUNCTION("""COMPUTED_VALUE"""),44876.0)</f>
        <v>44876</v>
      </c>
      <c r="Q3075" s="3" t="str">
        <f>IFERROR(__xludf.DUMMYFUNCTION("""COMPUTED_VALUE"""),"A")</f>
        <v>A</v>
      </c>
      <c r="R3075" s="3" t="str">
        <f>IFERROR(__xludf.DUMMYFUNCTION("""COMPUTED_VALUE"""),"Small Format")</f>
        <v>Small Format</v>
      </c>
      <c r="S3075" s="3" t="str">
        <f>IFERROR(__xludf.DUMMYFUNCTION("""COMPUTED_VALUE"""),"Donjai")</f>
        <v>Donjai</v>
      </c>
      <c r="T3075" s="3" t="str">
        <f>IFERROR(__xludf.DUMMYFUNCTION("""COMPUTED_VALUE"""),"03 K.Peerapong K.")</f>
        <v>03 K.Peerapong K.</v>
      </c>
      <c r="U3075" s="3" t="str">
        <f>IFERROR(__xludf.DUMMYFUNCTION("""COMPUTED_VALUE"""),"03 K.Peerapong K.")</f>
        <v>03 K.Peerapong K.</v>
      </c>
      <c r="V3075" s="3" t="str">
        <f>IFERROR(__xludf.DUMMYFUNCTION("""COMPUTED_VALUE"""),"N")</f>
        <v>N</v>
      </c>
      <c r="W3075" s="3"/>
      <c r="X3075" s="3" t="str">
        <f>IFERROR(__xludf.DUMMYFUNCTION("""COMPUTED_VALUE"""),"97 หมู่ 5 บ้านโคกสุวรรณ ต.ตาลโกน อ.สว่างแดนดิน สกลนคร 47240")</f>
        <v>97 หมู่ 5 บ้านโคกสุวรรณ ต.ตาลโกน อ.สว่างแดนดิน สกลนคร 47240</v>
      </c>
      <c r="Y3075" s="3"/>
      <c r="Z3075" s="3">
        <f>IFERROR(__xludf.DUMMYFUNCTION("""COMPUTED_VALUE"""),0.0)</f>
        <v>0</v>
      </c>
      <c r="AA3075" s="3">
        <f>IFERROR(__xludf.DUMMYFUNCTION("""COMPUTED_VALUE"""),0.0)</f>
        <v>0</v>
      </c>
      <c r="AB3075" s="3" t="str">
        <f>IFERROR(__xludf.DUMMYFUNCTION("""COMPUTED_VALUE"""),"สกลนคร")</f>
        <v>สกลนคร</v>
      </c>
      <c r="AC3075" s="3">
        <f>IFERROR(__xludf.DUMMYFUNCTION("""COMPUTED_VALUE"""),47240.0)</f>
        <v>47240</v>
      </c>
      <c r="AD3075" s="3"/>
      <c r="AE3075" s="3"/>
      <c r="AF3075" s="3" t="str">
        <f>IFERROR(__xludf.DUMMYFUNCTION("""COMPUTED_VALUE"""),"ร้านบุญพูลการค้า(แจ๊คมินิมาร์ท)-84032")</f>
        <v>ร้านบุญพูลการค้า(แจ๊คมินิมาร์ท)-84032</v>
      </c>
      <c r="AG3075" s="3" t="str">
        <f>IFERROR(__xludf.DUMMYFUNCTION("""COMPUTED_VALUE"""),"ตะวันออกเฉียงเหนือ")</f>
        <v>ตะวันออกเฉียงเหนือ</v>
      </c>
      <c r="AH3075" s="3" t="str">
        <f>IFERROR(__xludf.DUMMYFUNCTION("""COMPUTED_VALUE"""),"#N/A")</f>
        <v>#N/A</v>
      </c>
      <c r="AI3075" s="3" t="str">
        <f>IFERROR(__xludf.DUMMYFUNCTION("""COMPUTED_VALUE"""),"Out of warranty")</f>
        <v>Out of warranty</v>
      </c>
      <c r="AJ3075" s="3">
        <f>IFERROR(__xludf.DUMMYFUNCTION("""COMPUTED_VALUE"""),39.0)</f>
        <v>39</v>
      </c>
      <c r="AK3075" s="3"/>
      <c r="AL3075" s="3"/>
    </row>
    <row r="3076" ht="15.75" customHeight="1">
      <c r="A3076" s="1" t="str">
        <f>IFERROR(__xludf.DUMMYFUNCTION("""COMPUTED_VALUE"""),"84036")</f>
        <v>84036</v>
      </c>
      <c r="B3076" s="2">
        <f>IFERROR(__xludf.DUMMYFUNCTION("""COMPUTED_VALUE"""),84036.0)</f>
        <v>84036</v>
      </c>
      <c r="C3076" s="3" t="str">
        <f>IFERROR(__xludf.DUMMYFUNCTION("""COMPUTED_VALUE"""),"ร้านรจนา")</f>
        <v>ร้านรจนา</v>
      </c>
      <c r="D3076" s="3" t="str">
        <f>IFERROR(__xludf.DUMMYFUNCTION("""COMPUTED_VALUE"""),"ร้านรจนา")</f>
        <v>ร้านรจนา</v>
      </c>
      <c r="E3076" s="1" t="str">
        <f>IFERROR(__xludf.DUMMYFUNCTION("""COMPUTED_VALUE"""),"Donjai")</f>
        <v>Donjai</v>
      </c>
      <c r="F3076" s="1" t="str">
        <f>IFERROR(__xludf.DUMMYFUNCTION("""COMPUTED_VALUE"""),"015361")</f>
        <v>015361</v>
      </c>
      <c r="G3076" s="1" t="str">
        <f>IFERROR(__xludf.DUMMYFUNCTION("""COMPUTED_VALUE"""),"นายสมบูรณ์ พรหมในเมือง")</f>
        <v>นายสมบูรณ์ พรหมในเมือง</v>
      </c>
      <c r="H3076" s="1" t="str">
        <f>IFERROR(__xludf.DUMMYFUNCTION("""COMPUTED_VALUE"""),"015361")</f>
        <v>015361</v>
      </c>
      <c r="I3076" s="1" t="str">
        <f>IFERROR(__xludf.DUMMYFUNCTION("""COMPUTED_VALUE"""),"นายสมบูรณ์ พรหมในเมือง")</f>
        <v>นายสมบูรณ์ พรหมในเมือง</v>
      </c>
      <c r="J3076" s="3">
        <f>IFERROR(__xludf.DUMMYFUNCTION("""COMPUTED_VALUE"""),295886.0)</f>
        <v>295886</v>
      </c>
      <c r="K3076" s="3" t="str">
        <f>IFERROR(__xludf.DUMMYFUNCTION("""COMPUTED_VALUE"""),"นายจิระพงษ์ โพธิ์นิล")</f>
        <v>นายจิระพงษ์ โพธิ์นิล</v>
      </c>
      <c r="L3076" s="1" t="str">
        <f>IFERROR(__xludf.DUMMYFUNCTION("""COMPUTED_VALUE"""),"นายจิระพงษ์ โพธิ์นิล")</f>
        <v>นายจิระพงษ์ โพธิ์นิล</v>
      </c>
      <c r="M3076" s="1" t="str">
        <f>IFERROR(__xludf.DUMMYFUNCTION("""COMPUTED_VALUE"""),"0933290754")</f>
        <v>0933290754</v>
      </c>
      <c r="N3076" s="3">
        <f>IFERROR(__xludf.DUMMYFUNCTION("""COMPUTED_VALUE"""),84036.0)</f>
        <v>84036</v>
      </c>
      <c r="O3076" s="3" t="str">
        <f>IFERROR(__xludf.DUMMYFUNCTION("""COMPUTED_VALUE"""),"ร้านรจนา")</f>
        <v>ร้านรจนา</v>
      </c>
      <c r="P3076" s="4">
        <f>IFERROR(__xludf.DUMMYFUNCTION("""COMPUTED_VALUE"""),44875.0)</f>
        <v>44875</v>
      </c>
      <c r="Q3076" s="3" t="str">
        <f>IFERROR(__xludf.DUMMYFUNCTION("""COMPUTED_VALUE"""),"A")</f>
        <v>A</v>
      </c>
      <c r="R3076" s="3" t="str">
        <f>IFERROR(__xludf.DUMMYFUNCTION("""COMPUTED_VALUE"""),"Small Format")</f>
        <v>Small Format</v>
      </c>
      <c r="S3076" s="3" t="str">
        <f>IFERROR(__xludf.DUMMYFUNCTION("""COMPUTED_VALUE"""),"Donjai")</f>
        <v>Donjai</v>
      </c>
      <c r="T3076" s="3" t="str">
        <f>IFERROR(__xludf.DUMMYFUNCTION("""COMPUTED_VALUE"""),"04 K.Somboon P.")</f>
        <v>04 K.Somboon P.</v>
      </c>
      <c r="U3076" s="3" t="str">
        <f>IFERROR(__xludf.DUMMYFUNCTION("""COMPUTED_VALUE"""),"04 K.Somboon P.")</f>
        <v>04 K.Somboon P.</v>
      </c>
      <c r="V3076" s="3" t="str">
        <f>IFERROR(__xludf.DUMMYFUNCTION("""COMPUTED_VALUE"""),"N")</f>
        <v>N</v>
      </c>
      <c r="W3076" s="3"/>
      <c r="X3076" s="3" t="str">
        <f>IFERROR(__xludf.DUMMYFUNCTION("""COMPUTED_VALUE"""),"94 ม.1 ตบ้านปรางค์ อ.คง จ.นครราชสีมา 30260")</f>
        <v>94 ม.1 ตบ้านปรางค์ อ.คง จ.นครราชสีมา 30260</v>
      </c>
      <c r="Y3076" s="3"/>
      <c r="Z3076" s="3">
        <f>IFERROR(__xludf.DUMMYFUNCTION("""COMPUTED_VALUE"""),0.0)</f>
        <v>0</v>
      </c>
      <c r="AA3076" s="3">
        <f>IFERROR(__xludf.DUMMYFUNCTION("""COMPUTED_VALUE"""),0.0)</f>
        <v>0</v>
      </c>
      <c r="AB3076" s="3" t="str">
        <f>IFERROR(__xludf.DUMMYFUNCTION("""COMPUTED_VALUE"""),"นครราชสีมา")</f>
        <v>นครราชสีมา</v>
      </c>
      <c r="AC3076" s="3">
        <f>IFERROR(__xludf.DUMMYFUNCTION("""COMPUTED_VALUE"""),30260.0)</f>
        <v>30260</v>
      </c>
      <c r="AD3076" s="3"/>
      <c r="AE3076" s="3"/>
      <c r="AF3076" s="3" t="str">
        <f>IFERROR(__xludf.DUMMYFUNCTION("""COMPUTED_VALUE"""),"ร้านรจนา-84036")</f>
        <v>ร้านรจนา-84036</v>
      </c>
      <c r="AG3076" s="3" t="str">
        <f>IFERROR(__xludf.DUMMYFUNCTION("""COMPUTED_VALUE"""),"ตะวันออกเฉียงเหนือ")</f>
        <v>ตะวันออกเฉียงเหนือ</v>
      </c>
      <c r="AH3076" s="3" t="str">
        <f>IFERROR(__xludf.DUMMYFUNCTION("""COMPUTED_VALUE"""),"#N/A")</f>
        <v>#N/A</v>
      </c>
      <c r="AI3076" s="3" t="str">
        <f>IFERROR(__xludf.DUMMYFUNCTION("""COMPUTED_VALUE"""),"Out of warranty")</f>
        <v>Out of warranty</v>
      </c>
      <c r="AJ3076" s="3">
        <f>IFERROR(__xludf.DUMMYFUNCTION("""COMPUTED_VALUE"""),39.0)</f>
        <v>39</v>
      </c>
      <c r="AK3076" s="3"/>
      <c r="AL3076" s="3"/>
    </row>
    <row r="3077" ht="15.75" customHeight="1">
      <c r="A3077" s="1" t="str">
        <f>IFERROR(__xludf.DUMMYFUNCTION("""COMPUTED_VALUE"""),"84037")</f>
        <v>84037</v>
      </c>
      <c r="B3077" s="2">
        <f>IFERROR(__xludf.DUMMYFUNCTION("""COMPUTED_VALUE"""),84037.0)</f>
        <v>84037</v>
      </c>
      <c r="C3077" s="3" t="str">
        <f>IFERROR(__xludf.DUMMYFUNCTION("""COMPUTED_VALUE"""),"ร้าน ชาญเดชการค้า (เสี่ยต๋ง)")</f>
        <v>ร้าน ชาญเดชการค้า (เสี่ยต๋ง)</v>
      </c>
      <c r="D3077" s="3" t="str">
        <f>IFERROR(__xludf.DUMMYFUNCTION("""COMPUTED_VALUE"""),"ร้าน ชาญเดชการค้า (เสี่ยต๋ง)")</f>
        <v>ร้าน ชาญเดชการค้า (เสี่ยต๋ง)</v>
      </c>
      <c r="E3077" s="1" t="str">
        <f>IFERROR(__xludf.DUMMYFUNCTION("""COMPUTED_VALUE"""),"Donjai")</f>
        <v>Donjai</v>
      </c>
      <c r="F3077" s="1" t="str">
        <f>IFERROR(__xludf.DUMMYFUNCTION("""COMPUTED_VALUE"""),"296868")</f>
        <v>296868</v>
      </c>
      <c r="G3077" s="1" t="str">
        <f>IFERROR(__xludf.DUMMYFUNCTION("""COMPUTED_VALUE"""),"นายพีระพงษ์ แก้วดวงดี")</f>
        <v>นายพีระพงษ์ แก้วดวงดี</v>
      </c>
      <c r="H3077" s="1" t="str">
        <f>IFERROR(__xludf.DUMMYFUNCTION("""COMPUTED_VALUE"""),"296868")</f>
        <v>296868</v>
      </c>
      <c r="I3077" s="1" t="str">
        <f>IFERROR(__xludf.DUMMYFUNCTION("""COMPUTED_VALUE"""),"นายพีระพงษ์ แก้วดวงดี")</f>
        <v>นายพีระพงษ์ แก้วดวงดี</v>
      </c>
      <c r="J3077" s="3">
        <f>IFERROR(__xludf.DUMMYFUNCTION("""COMPUTED_VALUE"""),295886.0)</f>
        <v>295886</v>
      </c>
      <c r="K3077" s="3" t="str">
        <f>IFERROR(__xludf.DUMMYFUNCTION("""COMPUTED_VALUE"""),"นายจิระพงษ์ โพธิ์นิล")</f>
        <v>นายจิระพงษ์ โพธิ์นิล</v>
      </c>
      <c r="L3077" s="1" t="str">
        <f>IFERROR(__xludf.DUMMYFUNCTION("""COMPUTED_VALUE"""),"นายจิระพงษ์ โพธิ์นิล")</f>
        <v>นายจิระพงษ์ โพธิ์นิล</v>
      </c>
      <c r="M3077" s="1" t="str">
        <f>IFERROR(__xludf.DUMMYFUNCTION("""COMPUTED_VALUE"""),"0933290754")</f>
        <v>0933290754</v>
      </c>
      <c r="N3077" s="3">
        <f>IFERROR(__xludf.DUMMYFUNCTION("""COMPUTED_VALUE"""),84037.0)</f>
        <v>84037</v>
      </c>
      <c r="O3077" s="3" t="str">
        <f>IFERROR(__xludf.DUMMYFUNCTION("""COMPUTED_VALUE"""),"ร้าน ชาญเดชการค้า (เสี่ยต๋ง)")</f>
        <v>ร้าน ชาญเดชการค้า (เสี่ยต๋ง)</v>
      </c>
      <c r="P3077" s="4">
        <f>IFERROR(__xludf.DUMMYFUNCTION("""COMPUTED_VALUE"""),44865.0)</f>
        <v>44865</v>
      </c>
      <c r="Q3077" s="3" t="str">
        <f>IFERROR(__xludf.DUMMYFUNCTION("""COMPUTED_VALUE"""),"I")</f>
        <v>I</v>
      </c>
      <c r="R3077" s="3" t="str">
        <f>IFERROR(__xludf.DUMMYFUNCTION("""COMPUTED_VALUE"""),"Small Format")</f>
        <v>Small Format</v>
      </c>
      <c r="S3077" s="3" t="str">
        <f>IFERROR(__xludf.DUMMYFUNCTION("""COMPUTED_VALUE"""),"Donjai")</f>
        <v>Donjai</v>
      </c>
      <c r="T3077" s="3" t="str">
        <f>IFERROR(__xludf.DUMMYFUNCTION("""COMPUTED_VALUE"""),"03 K.Peerapong K.")</f>
        <v>03 K.Peerapong K.</v>
      </c>
      <c r="U3077" s="3" t="str">
        <f>IFERROR(__xludf.DUMMYFUNCTION("""COMPUTED_VALUE"""),"03 K.Peerapong K.")</f>
        <v>03 K.Peerapong K.</v>
      </c>
      <c r="V3077" s="3" t="str">
        <f>IFERROR(__xludf.DUMMYFUNCTION("""COMPUTED_VALUE"""),"N")</f>
        <v>N</v>
      </c>
      <c r="W3077" s="3"/>
      <c r="X3077" s="3" t="str">
        <f>IFERROR(__xludf.DUMMYFUNCTION("""COMPUTED_VALUE"""),"213 ม.11 ต.บ้านเหล่า อ.เจริญศิลป์ จ.สกลนคร 47290")</f>
        <v>213 ม.11 ต.บ้านเหล่า อ.เจริญศิลป์ จ.สกลนคร 47290</v>
      </c>
      <c r="Y3077" s="3"/>
      <c r="Z3077" s="3">
        <f>IFERROR(__xludf.DUMMYFUNCTION("""COMPUTED_VALUE"""),0.0)</f>
        <v>0</v>
      </c>
      <c r="AA3077" s="3">
        <f>IFERROR(__xludf.DUMMYFUNCTION("""COMPUTED_VALUE"""),0.0)</f>
        <v>0</v>
      </c>
      <c r="AB3077" s="3" t="str">
        <f>IFERROR(__xludf.DUMMYFUNCTION("""COMPUTED_VALUE"""),"สกลนคร")</f>
        <v>สกลนคร</v>
      </c>
      <c r="AC3077" s="3">
        <f>IFERROR(__xludf.DUMMYFUNCTION("""COMPUTED_VALUE"""),47290.0)</f>
        <v>47290</v>
      </c>
      <c r="AD3077" s="3"/>
      <c r="AE3077" s="3"/>
      <c r="AF3077" s="3" t="str">
        <f>IFERROR(__xludf.DUMMYFUNCTION("""COMPUTED_VALUE"""),"ร้าน ชาญเดชการค้า (เสี่ยต๋ง)-84037")</f>
        <v>ร้าน ชาญเดชการค้า (เสี่ยต๋ง)-84037</v>
      </c>
      <c r="AG3077" s="3" t="str">
        <f>IFERROR(__xludf.DUMMYFUNCTION("""COMPUTED_VALUE"""),"ตะวันออกเฉียงเหนือ")</f>
        <v>ตะวันออกเฉียงเหนือ</v>
      </c>
      <c r="AH3077" s="3" t="str">
        <f>IFERROR(__xludf.DUMMYFUNCTION("""COMPUTED_VALUE"""),"#N/A")</f>
        <v>#N/A</v>
      </c>
      <c r="AI3077" s="3" t="str">
        <f>IFERROR(__xludf.DUMMYFUNCTION("""COMPUTED_VALUE"""),"Out of warranty")</f>
        <v>Out of warranty</v>
      </c>
      <c r="AJ3077" s="3">
        <f>IFERROR(__xludf.DUMMYFUNCTION("""COMPUTED_VALUE"""),39.0)</f>
        <v>39</v>
      </c>
      <c r="AK3077" s="3"/>
      <c r="AL3077" s="3"/>
    </row>
    <row r="3078" ht="15.75" customHeight="1">
      <c r="A3078" s="1" t="str">
        <f>IFERROR(__xludf.DUMMYFUNCTION("""COMPUTED_VALUE"""),"84040")</f>
        <v>84040</v>
      </c>
      <c r="B3078" s="2">
        <f>IFERROR(__xludf.DUMMYFUNCTION("""COMPUTED_VALUE"""),84040.0)</f>
        <v>84040</v>
      </c>
      <c r="C3078" s="3" t="str">
        <f>IFERROR(__xludf.DUMMYFUNCTION("""COMPUTED_VALUE"""),"ร้านเจ้รวย")</f>
        <v>ร้านเจ้รวย</v>
      </c>
      <c r="D3078" s="3" t="str">
        <f>IFERROR(__xludf.DUMMYFUNCTION("""COMPUTED_VALUE"""),"ร้านเจ้รวย")</f>
        <v>ร้านเจ้รวย</v>
      </c>
      <c r="E3078" s="1" t="str">
        <f>IFERROR(__xludf.DUMMYFUNCTION("""COMPUTED_VALUE"""),"Donjai")</f>
        <v>Donjai</v>
      </c>
      <c r="F3078" s="1" t="str">
        <f>IFERROR(__xludf.DUMMYFUNCTION("""COMPUTED_VALUE"""),"2451655")</f>
        <v>2451655</v>
      </c>
      <c r="G3078" s="1" t="str">
        <f>IFERROR(__xludf.DUMMYFUNCTION("""COMPUTED_VALUE"""),"นายวิษณุพงษ์ ชินบุตร")</f>
        <v>นายวิษณุพงษ์ ชินบุตร</v>
      </c>
      <c r="H3078" s="1" t="str">
        <f>IFERROR(__xludf.DUMMYFUNCTION("""COMPUTED_VALUE"""),"2451655")</f>
        <v>2451655</v>
      </c>
      <c r="I3078" s="1" t="str">
        <f>IFERROR(__xludf.DUMMYFUNCTION("""COMPUTED_VALUE"""),"นายวิษณุพงษ์ ชินบุตร")</f>
        <v>นายวิษณุพงษ์ ชินบุตร</v>
      </c>
      <c r="J3078" s="3">
        <f>IFERROR(__xludf.DUMMYFUNCTION("""COMPUTED_VALUE"""),228031.0)</f>
        <v>228031</v>
      </c>
      <c r="K3078" s="3" t="str">
        <f>IFERROR(__xludf.DUMMYFUNCTION("""COMPUTED_VALUE"""),"นายธนพงษ์ วันหมัด")</f>
        <v>นายธนพงษ์ วันหมัด</v>
      </c>
      <c r="L3078" s="1" t="str">
        <f>IFERROR(__xludf.DUMMYFUNCTION("""COMPUTED_VALUE"""),"นายธนพงษ์ วันหมัด")</f>
        <v>นายธนพงษ์ วันหมัด</v>
      </c>
      <c r="M3078" s="1" t="str">
        <f>IFERROR(__xludf.DUMMYFUNCTION("""COMPUTED_VALUE"""),"0813716913")</f>
        <v>0813716913</v>
      </c>
      <c r="N3078" s="3">
        <f>IFERROR(__xludf.DUMMYFUNCTION("""COMPUTED_VALUE"""),84040.0)</f>
        <v>84040</v>
      </c>
      <c r="O3078" s="3" t="str">
        <f>IFERROR(__xludf.DUMMYFUNCTION("""COMPUTED_VALUE"""),"ร้านเจ้รวย")</f>
        <v>ร้านเจ้รวย</v>
      </c>
      <c r="P3078" s="4">
        <f>IFERROR(__xludf.DUMMYFUNCTION("""COMPUTED_VALUE"""),44865.0)</f>
        <v>44865</v>
      </c>
      <c r="Q3078" s="3" t="str">
        <f>IFERROR(__xludf.DUMMYFUNCTION("""COMPUTED_VALUE"""),"A")</f>
        <v>A</v>
      </c>
      <c r="R3078" s="3" t="str">
        <f>IFERROR(__xludf.DUMMYFUNCTION("""COMPUTED_VALUE"""),"Small Format")</f>
        <v>Small Format</v>
      </c>
      <c r="S3078" s="3" t="str">
        <f>IFERROR(__xludf.DUMMYFUNCTION("""COMPUTED_VALUE"""),"Donjai")</f>
        <v>Donjai</v>
      </c>
      <c r="T3078" s="3" t="str">
        <f>IFERROR(__xludf.DUMMYFUNCTION("""COMPUTED_VALUE"""),"13 K.Wisanupong Ch")</f>
        <v>13 K.Wisanupong Ch</v>
      </c>
      <c r="U3078" s="3" t="str">
        <f>IFERROR(__xludf.DUMMYFUNCTION("""COMPUTED_VALUE"""),"13 K.Wisanupong Ch")</f>
        <v>13 K.Wisanupong Ch</v>
      </c>
      <c r="V3078" s="3" t="str">
        <f>IFERROR(__xludf.DUMMYFUNCTION("""COMPUTED_VALUE"""),"N")</f>
        <v>N</v>
      </c>
      <c r="W3078" s="3"/>
      <c r="X3078" s="3" t="str">
        <f>IFERROR(__xludf.DUMMYFUNCTION("""COMPUTED_VALUE"""),"เลขที่ 7/1 หมู่ 2 ตำบลปรังเผล อำเภอสังขละบุรี จังหวัดกาญจนบุรี 71240")</f>
        <v>เลขที่ 7/1 หมู่ 2 ตำบลปรังเผล อำเภอสังขละบุรี จังหวัดกาญจนบุรี 71240</v>
      </c>
      <c r="Y3078" s="3"/>
      <c r="Z3078" s="3">
        <f>IFERROR(__xludf.DUMMYFUNCTION("""COMPUTED_VALUE"""),0.0)</f>
        <v>0</v>
      </c>
      <c r="AA3078" s="3">
        <f>IFERROR(__xludf.DUMMYFUNCTION("""COMPUTED_VALUE"""),0.0)</f>
        <v>0</v>
      </c>
      <c r="AB3078" s="3" t="str">
        <f>IFERROR(__xludf.DUMMYFUNCTION("""COMPUTED_VALUE"""),"กาญจนบุรี")</f>
        <v>กาญจนบุรี</v>
      </c>
      <c r="AC3078" s="3">
        <f>IFERROR(__xludf.DUMMYFUNCTION("""COMPUTED_VALUE"""),71240.0)</f>
        <v>71240</v>
      </c>
      <c r="AD3078" s="3"/>
      <c r="AE3078" s="3"/>
      <c r="AF3078" s="3" t="str">
        <f>IFERROR(__xludf.DUMMYFUNCTION("""COMPUTED_VALUE"""),"ร้านเจ้รวย-84040")</f>
        <v>ร้านเจ้รวย-84040</v>
      </c>
      <c r="AG3078" s="3" t="str">
        <f>IFERROR(__xludf.DUMMYFUNCTION("""COMPUTED_VALUE"""),"ตะวันตก")</f>
        <v>ตะวันตก</v>
      </c>
      <c r="AH3078" s="3" t="str">
        <f>IFERROR(__xludf.DUMMYFUNCTION("""COMPUTED_VALUE"""),"#N/A")</f>
        <v>#N/A</v>
      </c>
      <c r="AI3078" s="3" t="str">
        <f>IFERROR(__xludf.DUMMYFUNCTION("""COMPUTED_VALUE"""),"Out of warranty")</f>
        <v>Out of warranty</v>
      </c>
      <c r="AJ3078" s="3">
        <f>IFERROR(__xludf.DUMMYFUNCTION("""COMPUTED_VALUE"""),39.0)</f>
        <v>39</v>
      </c>
      <c r="AK3078" s="3"/>
      <c r="AL3078" s="3"/>
    </row>
    <row r="3079" ht="15.75" customHeight="1">
      <c r="A3079" s="1" t="str">
        <f>IFERROR(__xludf.DUMMYFUNCTION("""COMPUTED_VALUE"""),"84041")</f>
        <v>84041</v>
      </c>
      <c r="B3079" s="2">
        <f>IFERROR(__xludf.DUMMYFUNCTION("""COMPUTED_VALUE"""),84041.0)</f>
        <v>84041</v>
      </c>
      <c r="C3079" s="3" t="str">
        <f>IFERROR(__xludf.DUMMYFUNCTION("""COMPUTED_VALUE"""),"ร้านจ้างการค้า")</f>
        <v>ร้านจ้างการค้า</v>
      </c>
      <c r="D3079" s="3" t="str">
        <f>IFERROR(__xludf.DUMMYFUNCTION("""COMPUTED_VALUE"""),"ร้านจ้างการค้า")</f>
        <v>ร้านจ้างการค้า</v>
      </c>
      <c r="E3079" s="1" t="str">
        <f>IFERROR(__xludf.DUMMYFUNCTION("""COMPUTED_VALUE"""),"Donjai")</f>
        <v>Donjai</v>
      </c>
      <c r="F3079" s="1" t="str">
        <f>IFERROR(__xludf.DUMMYFUNCTION("""COMPUTED_VALUE"""),"2010016")</f>
        <v>2010016</v>
      </c>
      <c r="G3079" s="1" t="str">
        <f>IFERROR(__xludf.DUMMYFUNCTION("""COMPUTED_VALUE"""),"นายตวงธรรม ใหม่ยศ")</f>
        <v>นายตวงธรรม ใหม่ยศ</v>
      </c>
      <c r="H3079" s="1" t="str">
        <f>IFERROR(__xludf.DUMMYFUNCTION("""COMPUTED_VALUE"""),"2010016")</f>
        <v>2010016</v>
      </c>
      <c r="I3079" s="1" t="str">
        <f>IFERROR(__xludf.DUMMYFUNCTION("""COMPUTED_VALUE"""),"นายตวงธรรม ใหม่ยศ")</f>
        <v>นายตวงธรรม ใหม่ยศ</v>
      </c>
      <c r="J3079" s="3">
        <f>IFERROR(__xludf.DUMMYFUNCTION("""COMPUTED_VALUE"""),295886.0)</f>
        <v>295886</v>
      </c>
      <c r="K3079" s="3" t="str">
        <f>IFERROR(__xludf.DUMMYFUNCTION("""COMPUTED_VALUE"""),"นายจิระพงษ์ โพธิ์นิล")</f>
        <v>นายจิระพงษ์ โพธิ์นิล</v>
      </c>
      <c r="L3079" s="1" t="str">
        <f>IFERROR(__xludf.DUMMYFUNCTION("""COMPUTED_VALUE"""),"นายจิระพงษ์ โพธิ์นิล")</f>
        <v>นายจิระพงษ์ โพธิ์นิล</v>
      </c>
      <c r="M3079" s="1" t="str">
        <f>IFERROR(__xludf.DUMMYFUNCTION("""COMPUTED_VALUE"""),"0933290754")</f>
        <v>0933290754</v>
      </c>
      <c r="N3079" s="3">
        <f>IFERROR(__xludf.DUMMYFUNCTION("""COMPUTED_VALUE"""),84041.0)</f>
        <v>84041</v>
      </c>
      <c r="O3079" s="3" t="str">
        <f>IFERROR(__xludf.DUMMYFUNCTION("""COMPUTED_VALUE"""),"ร้านจ้างการค้า")</f>
        <v>ร้านจ้างการค้า</v>
      </c>
      <c r="P3079" s="4">
        <f>IFERROR(__xludf.DUMMYFUNCTION("""COMPUTED_VALUE"""),44890.0)</f>
        <v>44890</v>
      </c>
      <c r="Q3079" s="3" t="str">
        <f>IFERROR(__xludf.DUMMYFUNCTION("""COMPUTED_VALUE"""),"A")</f>
        <v>A</v>
      </c>
      <c r="R3079" s="3" t="str">
        <f>IFERROR(__xludf.DUMMYFUNCTION("""COMPUTED_VALUE"""),"Small Format")</f>
        <v>Small Format</v>
      </c>
      <c r="S3079" s="3" t="str">
        <f>IFERROR(__xludf.DUMMYFUNCTION("""COMPUTED_VALUE"""),"Donjai")</f>
        <v>Donjai</v>
      </c>
      <c r="T3079" s="3" t="str">
        <f>IFERROR(__xludf.DUMMYFUNCTION("""COMPUTED_VALUE"""),"01 K.Tuangtham M.")</f>
        <v>01 K.Tuangtham M.</v>
      </c>
      <c r="U3079" s="3" t="str">
        <f>IFERROR(__xludf.DUMMYFUNCTION("""COMPUTED_VALUE"""),"01 K.Tuangtham M.")</f>
        <v>01 K.Tuangtham M.</v>
      </c>
      <c r="V3079" s="3" t="str">
        <f>IFERROR(__xludf.DUMMYFUNCTION("""COMPUTED_VALUE"""),"N")</f>
        <v>N</v>
      </c>
      <c r="W3079" s="3"/>
      <c r="X3079" s="3" t="str">
        <f>IFERROR(__xludf.DUMMYFUNCTION("""COMPUTED_VALUE"""),"242 ม. ต.สันทะ อ.นาน้อย จ.น่าน 55150")</f>
        <v>242 ม. ต.สันทะ อ.นาน้อย จ.น่าน 55150</v>
      </c>
      <c r="Y3079" s="3"/>
      <c r="Z3079" s="3">
        <f>IFERROR(__xludf.DUMMYFUNCTION("""COMPUTED_VALUE"""),0.0)</f>
        <v>0</v>
      </c>
      <c r="AA3079" s="3">
        <f>IFERROR(__xludf.DUMMYFUNCTION("""COMPUTED_VALUE"""),0.0)</f>
        <v>0</v>
      </c>
      <c r="AB3079" s="3" t="str">
        <f>IFERROR(__xludf.DUMMYFUNCTION("""COMPUTED_VALUE"""),"น่าน")</f>
        <v>น่าน</v>
      </c>
      <c r="AC3079" s="3">
        <f>IFERROR(__xludf.DUMMYFUNCTION("""COMPUTED_VALUE"""),55150.0)</f>
        <v>55150</v>
      </c>
      <c r="AD3079" s="3"/>
      <c r="AE3079" s="3"/>
      <c r="AF3079" s="3" t="str">
        <f>IFERROR(__xludf.DUMMYFUNCTION("""COMPUTED_VALUE"""),"ร้านจ้างการค้า-84041")</f>
        <v>ร้านจ้างการค้า-84041</v>
      </c>
      <c r="AG3079" s="3" t="str">
        <f>IFERROR(__xludf.DUMMYFUNCTION("""COMPUTED_VALUE"""),"เหนือ")</f>
        <v>เหนือ</v>
      </c>
      <c r="AH3079" s="3" t="str">
        <f>IFERROR(__xludf.DUMMYFUNCTION("""COMPUTED_VALUE"""),"#N/A")</f>
        <v>#N/A</v>
      </c>
      <c r="AI3079" s="3" t="str">
        <f>IFERROR(__xludf.DUMMYFUNCTION("""COMPUTED_VALUE"""),"Out of warranty")</f>
        <v>Out of warranty</v>
      </c>
      <c r="AJ3079" s="3">
        <f>IFERROR(__xludf.DUMMYFUNCTION("""COMPUTED_VALUE"""),38.0)</f>
        <v>38</v>
      </c>
      <c r="AK3079" s="3"/>
      <c r="AL3079" s="3"/>
    </row>
    <row r="3080" ht="15.75" customHeight="1">
      <c r="A3080" s="1" t="str">
        <f>IFERROR(__xludf.DUMMYFUNCTION("""COMPUTED_VALUE"""),"84043")</f>
        <v>84043</v>
      </c>
      <c r="B3080" s="2">
        <f>IFERROR(__xludf.DUMMYFUNCTION("""COMPUTED_VALUE"""),84043.0)</f>
        <v>84043</v>
      </c>
      <c r="C3080" s="3" t="str">
        <f>IFERROR(__xludf.DUMMYFUNCTION("""COMPUTED_VALUE"""),"ร้านธนากฤตโดนใจ (ร้านคุณทิว)")</f>
        <v>ร้านธนากฤตโดนใจ (ร้านคุณทิว)</v>
      </c>
      <c r="D3080" s="3" t="str">
        <f>IFERROR(__xludf.DUMMYFUNCTION("""COMPUTED_VALUE"""),"ร้านธนากฤตโดนใจ (ร้านคุณทิว)")</f>
        <v>ร้านธนากฤตโดนใจ (ร้านคุณทิว)</v>
      </c>
      <c r="E3080" s="1" t="str">
        <f>IFERROR(__xludf.DUMMYFUNCTION("""COMPUTED_VALUE"""),"Donjai")</f>
        <v>Donjai</v>
      </c>
      <c r="F3080" s="1" t="str">
        <f>IFERROR(__xludf.DUMMYFUNCTION("""COMPUTED_VALUE"""),"296579")</f>
        <v>296579</v>
      </c>
      <c r="G3080" s="1" t="str">
        <f>IFERROR(__xludf.DUMMYFUNCTION("""COMPUTED_VALUE"""),"นายชนม์ณภัทร กุลพัฒน์จินดา")</f>
        <v>นายชนม์ณภัทร กุลพัฒน์จินดา</v>
      </c>
      <c r="H3080" s="1" t="str">
        <f>IFERROR(__xludf.DUMMYFUNCTION("""COMPUTED_VALUE"""),"296579")</f>
        <v>296579</v>
      </c>
      <c r="I3080" s="1" t="str">
        <f>IFERROR(__xludf.DUMMYFUNCTION("""COMPUTED_VALUE"""),"นายชนม์ณภัทร กุลพัฒน์จินดา")</f>
        <v>นายชนม์ณภัทร กุลพัฒน์จินดา</v>
      </c>
      <c r="J3080" s="3">
        <f>IFERROR(__xludf.DUMMYFUNCTION("""COMPUTED_VALUE"""),228031.0)</f>
        <v>228031</v>
      </c>
      <c r="K3080" s="3" t="str">
        <f>IFERROR(__xludf.DUMMYFUNCTION("""COMPUTED_VALUE"""),"นายธนพงษ์ วันหมัด")</f>
        <v>นายธนพงษ์ วันหมัด</v>
      </c>
      <c r="L3080" s="1" t="str">
        <f>IFERROR(__xludf.DUMMYFUNCTION("""COMPUTED_VALUE"""),"นายธนพงษ์ วันหมัด")</f>
        <v>นายธนพงษ์ วันหมัด</v>
      </c>
      <c r="M3080" s="1" t="str">
        <f>IFERROR(__xludf.DUMMYFUNCTION("""COMPUTED_VALUE"""),"0813716913")</f>
        <v>0813716913</v>
      </c>
      <c r="N3080" s="3">
        <f>IFERROR(__xludf.DUMMYFUNCTION("""COMPUTED_VALUE"""),84043.0)</f>
        <v>84043</v>
      </c>
      <c r="O3080" s="3" t="str">
        <f>IFERROR(__xludf.DUMMYFUNCTION("""COMPUTED_VALUE"""),"ร้านธนากฤตโดนใจ (ร้านคุณทิว)")</f>
        <v>ร้านธนากฤตโดนใจ (ร้านคุณทิว)</v>
      </c>
      <c r="P3080" s="4">
        <f>IFERROR(__xludf.DUMMYFUNCTION("""COMPUTED_VALUE"""),44876.0)</f>
        <v>44876</v>
      </c>
      <c r="Q3080" s="3" t="str">
        <f>IFERROR(__xludf.DUMMYFUNCTION("""COMPUTED_VALUE"""),"I")</f>
        <v>I</v>
      </c>
      <c r="R3080" s="3" t="str">
        <f>IFERROR(__xludf.DUMMYFUNCTION("""COMPUTED_VALUE"""),"Small Format")</f>
        <v>Small Format</v>
      </c>
      <c r="S3080" s="3" t="str">
        <f>IFERROR(__xludf.DUMMYFUNCTION("""COMPUTED_VALUE"""),"Donjai")</f>
        <v>Donjai</v>
      </c>
      <c r="T3080" s="3" t="str">
        <f>IFERROR(__xludf.DUMMYFUNCTION("""COMPUTED_VALUE"""),"#N/A")</f>
        <v>#N/A</v>
      </c>
      <c r="U3080" s="3" t="str">
        <f>IFERROR(__xludf.DUMMYFUNCTION("""COMPUTED_VALUE"""),"#N/A")</f>
        <v>#N/A</v>
      </c>
      <c r="V3080" s="3" t="str">
        <f>IFERROR(__xludf.DUMMYFUNCTION("""COMPUTED_VALUE"""),"N")</f>
        <v>N</v>
      </c>
      <c r="W3080" s="3"/>
      <c r="X3080" s="3" t="str">
        <f>IFERROR(__xludf.DUMMYFUNCTION("""COMPUTED_VALUE"""),"10/29-30 ถ.สุขุมวิท ซอยบุญศิริ อ.เมืองสมุทรปราการ ต.บางเมือง สมุทรปราการ 10270")</f>
        <v>10/29-30 ถ.สุขุมวิท ซอยบุญศิริ อ.เมืองสมุทรปราการ ต.บางเมือง สมุทรปราการ 10270</v>
      </c>
      <c r="Y3080" s="3"/>
      <c r="Z3080" s="3">
        <f>IFERROR(__xludf.DUMMYFUNCTION("""COMPUTED_VALUE"""),0.0)</f>
        <v>0</v>
      </c>
      <c r="AA3080" s="3">
        <f>IFERROR(__xludf.DUMMYFUNCTION("""COMPUTED_VALUE"""),0.0)</f>
        <v>0</v>
      </c>
      <c r="AB3080" s="3" t="str">
        <f>IFERROR(__xludf.DUMMYFUNCTION("""COMPUTED_VALUE"""),"สมุทรปราการ")</f>
        <v>สมุทรปราการ</v>
      </c>
      <c r="AC3080" s="3">
        <f>IFERROR(__xludf.DUMMYFUNCTION("""COMPUTED_VALUE"""),10270.0)</f>
        <v>10270</v>
      </c>
      <c r="AD3080" s="3"/>
      <c r="AE3080" s="3"/>
      <c r="AF3080" s="3" t="str">
        <f>IFERROR(__xludf.DUMMYFUNCTION("""COMPUTED_VALUE"""),"ร้านธนากฤตโดนใจ (ร้านคุณทิว)-84043")</f>
        <v>ร้านธนากฤตโดนใจ (ร้านคุณทิว)-84043</v>
      </c>
      <c r="AG3080" s="3" t="str">
        <f>IFERROR(__xludf.DUMMYFUNCTION("""COMPUTED_VALUE"""),"กลาง")</f>
        <v>กลาง</v>
      </c>
      <c r="AH3080" s="3" t="str">
        <f>IFERROR(__xludf.DUMMYFUNCTION("""COMPUTED_VALUE"""),"#N/A")</f>
        <v>#N/A</v>
      </c>
      <c r="AI3080" s="3" t="str">
        <f>IFERROR(__xludf.DUMMYFUNCTION("""COMPUTED_VALUE"""),"Out of warranty")</f>
        <v>Out of warranty</v>
      </c>
      <c r="AJ3080" s="3">
        <f>IFERROR(__xludf.DUMMYFUNCTION("""COMPUTED_VALUE"""),39.0)</f>
        <v>39</v>
      </c>
      <c r="AK3080" s="3"/>
      <c r="AL3080" s="3"/>
    </row>
    <row r="3081" ht="15.75" customHeight="1">
      <c r="A3081" s="1" t="str">
        <f>IFERROR(__xludf.DUMMYFUNCTION("""COMPUTED_VALUE"""),"84047")</f>
        <v>84047</v>
      </c>
      <c r="B3081" s="2">
        <f>IFERROR(__xludf.DUMMYFUNCTION("""COMPUTED_VALUE"""),84047.0)</f>
        <v>84047</v>
      </c>
      <c r="C3081" s="3" t="str">
        <f>IFERROR(__xludf.DUMMYFUNCTION("""COMPUTED_VALUE"""),"ร้านตะวันฉายมินิมาร์ท")</f>
        <v>ร้านตะวันฉายมินิมาร์ท</v>
      </c>
      <c r="D3081" s="3" t="str">
        <f>IFERROR(__xludf.DUMMYFUNCTION("""COMPUTED_VALUE"""),"ร้านตะวันฉายมินิมาร์ท")</f>
        <v>ร้านตะวันฉายมินิมาร์ท</v>
      </c>
      <c r="E3081" s="1" t="str">
        <f>IFERROR(__xludf.DUMMYFUNCTION("""COMPUTED_VALUE"""),"Donjai")</f>
        <v>Donjai</v>
      </c>
      <c r="F3081" s="1" t="str">
        <f>IFERROR(__xludf.DUMMYFUNCTION("""COMPUTED_VALUE"""),"296868")</f>
        <v>296868</v>
      </c>
      <c r="G3081" s="1" t="str">
        <f>IFERROR(__xludf.DUMMYFUNCTION("""COMPUTED_VALUE"""),"นายพีระพงษ์ แก้วดวงดี")</f>
        <v>นายพีระพงษ์ แก้วดวงดี</v>
      </c>
      <c r="H3081" s="1" t="str">
        <f>IFERROR(__xludf.DUMMYFUNCTION("""COMPUTED_VALUE"""),"296868")</f>
        <v>296868</v>
      </c>
      <c r="I3081" s="1" t="str">
        <f>IFERROR(__xludf.DUMMYFUNCTION("""COMPUTED_VALUE"""),"นายพีระพงษ์ แก้วดวงดี")</f>
        <v>นายพีระพงษ์ แก้วดวงดี</v>
      </c>
      <c r="J3081" s="3">
        <f>IFERROR(__xludf.DUMMYFUNCTION("""COMPUTED_VALUE"""),295886.0)</f>
        <v>295886</v>
      </c>
      <c r="K3081" s="3" t="str">
        <f>IFERROR(__xludf.DUMMYFUNCTION("""COMPUTED_VALUE"""),"นายจิระพงษ์ โพธิ์นิล")</f>
        <v>นายจิระพงษ์ โพธิ์นิล</v>
      </c>
      <c r="L3081" s="1" t="str">
        <f>IFERROR(__xludf.DUMMYFUNCTION("""COMPUTED_VALUE"""),"นายจิระพงษ์ โพธิ์นิล")</f>
        <v>นายจิระพงษ์ โพธิ์นิล</v>
      </c>
      <c r="M3081" s="1" t="str">
        <f>IFERROR(__xludf.DUMMYFUNCTION("""COMPUTED_VALUE"""),"0933290754")</f>
        <v>0933290754</v>
      </c>
      <c r="N3081" s="3">
        <f>IFERROR(__xludf.DUMMYFUNCTION("""COMPUTED_VALUE"""),84047.0)</f>
        <v>84047</v>
      </c>
      <c r="O3081" s="3" t="str">
        <f>IFERROR(__xludf.DUMMYFUNCTION("""COMPUTED_VALUE"""),"ร้านตะวันฉายมินิมาร์ท")</f>
        <v>ร้านตะวันฉายมินิมาร์ท</v>
      </c>
      <c r="P3081" s="4">
        <f>IFERROR(__xludf.DUMMYFUNCTION("""COMPUTED_VALUE"""),44905.0)</f>
        <v>44905</v>
      </c>
      <c r="Q3081" s="3" t="str">
        <f>IFERROR(__xludf.DUMMYFUNCTION("""COMPUTED_VALUE"""),"I")</f>
        <v>I</v>
      </c>
      <c r="R3081" s="3" t="str">
        <f>IFERROR(__xludf.DUMMYFUNCTION("""COMPUTED_VALUE"""),"Small Format")</f>
        <v>Small Format</v>
      </c>
      <c r="S3081" s="3" t="str">
        <f>IFERROR(__xludf.DUMMYFUNCTION("""COMPUTED_VALUE"""),"Donjai")</f>
        <v>Donjai</v>
      </c>
      <c r="T3081" s="3" t="str">
        <f>IFERROR(__xludf.DUMMYFUNCTION("""COMPUTED_VALUE"""),"03 K.Peerapong K.")</f>
        <v>03 K.Peerapong K.</v>
      </c>
      <c r="U3081" s="3" t="str">
        <f>IFERROR(__xludf.DUMMYFUNCTION("""COMPUTED_VALUE"""),"03 K.Peerapong K.")</f>
        <v>03 K.Peerapong K.</v>
      </c>
      <c r="V3081" s="3" t="str">
        <f>IFERROR(__xludf.DUMMYFUNCTION("""COMPUTED_VALUE"""),"N")</f>
        <v>N</v>
      </c>
      <c r="W3081" s="3"/>
      <c r="X3081" s="3" t="str">
        <f>IFERROR(__xludf.DUMMYFUNCTION("""COMPUTED_VALUE"""),"389/10 ม.1 ถ.เจ้าแม่สองนาง ต.บึงกาฬ อ.เมือง จ.บึงกาฬ")</f>
        <v>389/10 ม.1 ถ.เจ้าแม่สองนาง ต.บึงกาฬ อ.เมือง จ.บึงกาฬ</v>
      </c>
      <c r="Y3081" s="3"/>
      <c r="Z3081" s="3">
        <f>IFERROR(__xludf.DUMMYFUNCTION("""COMPUTED_VALUE"""),0.0)</f>
        <v>0</v>
      </c>
      <c r="AA3081" s="3">
        <f>IFERROR(__xludf.DUMMYFUNCTION("""COMPUTED_VALUE"""),0.0)</f>
        <v>0</v>
      </c>
      <c r="AB3081" s="3" t="str">
        <f>IFERROR(__xludf.DUMMYFUNCTION("""COMPUTED_VALUE"""),"บึงกาฬ")</f>
        <v>บึงกาฬ</v>
      </c>
      <c r="AC3081" s="3">
        <f>IFERROR(__xludf.DUMMYFUNCTION("""COMPUTED_VALUE"""),0.0)</f>
        <v>0</v>
      </c>
      <c r="AD3081" s="3"/>
      <c r="AE3081" s="3"/>
      <c r="AF3081" s="3" t="str">
        <f>IFERROR(__xludf.DUMMYFUNCTION("""COMPUTED_VALUE"""),"ร้านตะวันฉายมินิมาร์ท-84047")</f>
        <v>ร้านตะวันฉายมินิมาร์ท-84047</v>
      </c>
      <c r="AG3081" s="3" t="str">
        <f>IFERROR(__xludf.DUMMYFUNCTION("""COMPUTED_VALUE"""),"ตะวันออกเฉียงเหนือ")</f>
        <v>ตะวันออกเฉียงเหนือ</v>
      </c>
      <c r="AH3081" s="3" t="str">
        <f>IFERROR(__xludf.DUMMYFUNCTION("""COMPUTED_VALUE"""),"#N/A")</f>
        <v>#N/A</v>
      </c>
      <c r="AI3081" s="3" t="str">
        <f>IFERROR(__xludf.DUMMYFUNCTION("""COMPUTED_VALUE"""),"Out of warranty")</f>
        <v>Out of warranty</v>
      </c>
      <c r="AJ3081" s="3">
        <f>IFERROR(__xludf.DUMMYFUNCTION("""COMPUTED_VALUE"""),38.0)</f>
        <v>38</v>
      </c>
      <c r="AK3081" s="3"/>
      <c r="AL3081" s="3"/>
    </row>
    <row r="3082" ht="15.75" customHeight="1">
      <c r="A3082" s="1" t="str">
        <f>IFERROR(__xludf.DUMMYFUNCTION("""COMPUTED_VALUE"""),"84048")</f>
        <v>84048</v>
      </c>
      <c r="B3082" s="2">
        <f>IFERROR(__xludf.DUMMYFUNCTION("""COMPUTED_VALUE"""),84048.0)</f>
        <v>84048</v>
      </c>
      <c r="C3082" s="3" t="str">
        <f>IFERROR(__xludf.DUMMYFUNCTION("""COMPUTED_VALUE"""),"ร้านโอ่งพาณิชย์ (แดงแบดดิ้ง)")</f>
        <v>ร้านโอ่งพาณิชย์ (แดงแบดดิ้ง)</v>
      </c>
      <c r="D3082" s="3" t="str">
        <f>IFERROR(__xludf.DUMMYFUNCTION("""COMPUTED_VALUE"""),"ร้านโอ่งพาณิชย์ (แดงแบดดิ้ง)")</f>
        <v>ร้านโอ่งพาณิชย์ (แดงแบดดิ้ง)</v>
      </c>
      <c r="E3082" s="1" t="str">
        <f>IFERROR(__xludf.DUMMYFUNCTION("""COMPUTED_VALUE"""),"Donjai")</f>
        <v>Donjai</v>
      </c>
      <c r="F3082" s="1" t="str">
        <f>IFERROR(__xludf.DUMMYFUNCTION("""COMPUTED_VALUE"""),"296868")</f>
        <v>296868</v>
      </c>
      <c r="G3082" s="1" t="str">
        <f>IFERROR(__xludf.DUMMYFUNCTION("""COMPUTED_VALUE"""),"นายพีระพงษ์ แก้วดวงดี")</f>
        <v>นายพีระพงษ์ แก้วดวงดี</v>
      </c>
      <c r="H3082" s="1" t="str">
        <f>IFERROR(__xludf.DUMMYFUNCTION("""COMPUTED_VALUE"""),"296868")</f>
        <v>296868</v>
      </c>
      <c r="I3082" s="1" t="str">
        <f>IFERROR(__xludf.DUMMYFUNCTION("""COMPUTED_VALUE"""),"นายพีระพงษ์ แก้วดวงดี")</f>
        <v>นายพีระพงษ์ แก้วดวงดี</v>
      </c>
      <c r="J3082" s="3">
        <f>IFERROR(__xludf.DUMMYFUNCTION("""COMPUTED_VALUE"""),295886.0)</f>
        <v>295886</v>
      </c>
      <c r="K3082" s="3" t="str">
        <f>IFERROR(__xludf.DUMMYFUNCTION("""COMPUTED_VALUE"""),"นายจิระพงษ์ โพธิ์นิล")</f>
        <v>นายจิระพงษ์ โพธิ์นิล</v>
      </c>
      <c r="L3082" s="1" t="str">
        <f>IFERROR(__xludf.DUMMYFUNCTION("""COMPUTED_VALUE"""),"นายจิระพงษ์ โพธิ์นิล")</f>
        <v>นายจิระพงษ์ โพธิ์นิล</v>
      </c>
      <c r="M3082" s="1" t="str">
        <f>IFERROR(__xludf.DUMMYFUNCTION("""COMPUTED_VALUE"""),"0933290754")</f>
        <v>0933290754</v>
      </c>
      <c r="N3082" s="3">
        <f>IFERROR(__xludf.DUMMYFUNCTION("""COMPUTED_VALUE"""),84048.0)</f>
        <v>84048</v>
      </c>
      <c r="O3082" s="3" t="str">
        <f>IFERROR(__xludf.DUMMYFUNCTION("""COMPUTED_VALUE"""),"ร้านโอ่งพาณิชย์ (แดงแบดดิ้ง)")</f>
        <v>ร้านโอ่งพาณิชย์ (แดงแบดดิ้ง)</v>
      </c>
      <c r="P3082" s="4">
        <f>IFERROR(__xludf.DUMMYFUNCTION("""COMPUTED_VALUE"""),44918.0)</f>
        <v>44918</v>
      </c>
      <c r="Q3082" s="3" t="str">
        <f>IFERROR(__xludf.DUMMYFUNCTION("""COMPUTED_VALUE"""),"A")</f>
        <v>A</v>
      </c>
      <c r="R3082" s="3" t="str">
        <f>IFERROR(__xludf.DUMMYFUNCTION("""COMPUTED_VALUE"""),"Small Format")</f>
        <v>Small Format</v>
      </c>
      <c r="S3082" s="3" t="str">
        <f>IFERROR(__xludf.DUMMYFUNCTION("""COMPUTED_VALUE"""),"Donjai")</f>
        <v>Donjai</v>
      </c>
      <c r="T3082" s="3" t="str">
        <f>IFERROR(__xludf.DUMMYFUNCTION("""COMPUTED_VALUE"""),"03 K.Peerapong K.")</f>
        <v>03 K.Peerapong K.</v>
      </c>
      <c r="U3082" s="3" t="str">
        <f>IFERROR(__xludf.DUMMYFUNCTION("""COMPUTED_VALUE"""),"03 K.Peerapong K.")</f>
        <v>03 K.Peerapong K.</v>
      </c>
      <c r="V3082" s="3" t="str">
        <f>IFERROR(__xludf.DUMMYFUNCTION("""COMPUTED_VALUE"""),"N")</f>
        <v>N</v>
      </c>
      <c r="W3082" s="3"/>
      <c r="X3082" s="3" t="str">
        <f>IFERROR(__xludf.DUMMYFUNCTION("""COMPUTED_VALUE"""),"29 หมู่ 12 ต.โพนแพง อ.อากาศอำนวย จ.สกลนคร 47170")</f>
        <v>29 หมู่ 12 ต.โพนแพง อ.อากาศอำนวย จ.สกลนคร 47170</v>
      </c>
      <c r="Y3082" s="3"/>
      <c r="Z3082" s="3">
        <f>IFERROR(__xludf.DUMMYFUNCTION("""COMPUTED_VALUE"""),0.0)</f>
        <v>0</v>
      </c>
      <c r="AA3082" s="3">
        <f>IFERROR(__xludf.DUMMYFUNCTION("""COMPUTED_VALUE"""),0.0)</f>
        <v>0</v>
      </c>
      <c r="AB3082" s="3" t="str">
        <f>IFERROR(__xludf.DUMMYFUNCTION("""COMPUTED_VALUE"""),"สกลนคร")</f>
        <v>สกลนคร</v>
      </c>
      <c r="AC3082" s="3">
        <f>IFERROR(__xludf.DUMMYFUNCTION("""COMPUTED_VALUE"""),47170.0)</f>
        <v>47170</v>
      </c>
      <c r="AD3082" s="3"/>
      <c r="AE3082" s="3"/>
      <c r="AF3082" s="3" t="str">
        <f>IFERROR(__xludf.DUMMYFUNCTION("""COMPUTED_VALUE"""),"ร้านโอ่งพาณิชย์ (แดงแบดดิ้ง)-84048")</f>
        <v>ร้านโอ่งพาณิชย์ (แดงแบดดิ้ง)-84048</v>
      </c>
      <c r="AG3082" s="3" t="str">
        <f>IFERROR(__xludf.DUMMYFUNCTION("""COMPUTED_VALUE"""),"ตะวันออกเฉียงเหนือ")</f>
        <v>ตะวันออกเฉียงเหนือ</v>
      </c>
      <c r="AH3082" s="3" t="str">
        <f>IFERROR(__xludf.DUMMYFUNCTION("""COMPUTED_VALUE"""),"#N/A")</f>
        <v>#N/A</v>
      </c>
      <c r="AI3082" s="3" t="str">
        <f>IFERROR(__xludf.DUMMYFUNCTION("""COMPUTED_VALUE"""),"Out of warranty")</f>
        <v>Out of warranty</v>
      </c>
      <c r="AJ3082" s="3">
        <f>IFERROR(__xludf.DUMMYFUNCTION("""COMPUTED_VALUE"""),37.0)</f>
        <v>37</v>
      </c>
      <c r="AK3082" s="3"/>
      <c r="AL3082" s="3"/>
    </row>
    <row r="3083" ht="15.75" customHeight="1">
      <c r="A3083" s="1" t="str">
        <f>IFERROR(__xludf.DUMMYFUNCTION("""COMPUTED_VALUE"""),"84052")</f>
        <v>84052</v>
      </c>
      <c r="B3083" s="2">
        <f>IFERROR(__xludf.DUMMYFUNCTION("""COMPUTED_VALUE"""),84052.0)</f>
        <v>84052</v>
      </c>
      <c r="C3083" s="3" t="str">
        <f>IFERROR(__xludf.DUMMYFUNCTION("""COMPUTED_VALUE"""),"ร้านโพธิ์ทองการค้า")</f>
        <v>ร้านโพธิ์ทองการค้า</v>
      </c>
      <c r="D3083" s="3" t="str">
        <f>IFERROR(__xludf.DUMMYFUNCTION("""COMPUTED_VALUE"""),"ร้านโพธิ์ทองการค้า")</f>
        <v>ร้านโพธิ์ทองการค้า</v>
      </c>
      <c r="E3083" s="1" t="str">
        <f>IFERROR(__xludf.DUMMYFUNCTION("""COMPUTED_VALUE"""),"Donjai")</f>
        <v>Donjai</v>
      </c>
      <c r="F3083" s="1" t="str">
        <f>IFERROR(__xludf.DUMMYFUNCTION("""COMPUTED_VALUE"""),"296868")</f>
        <v>296868</v>
      </c>
      <c r="G3083" s="1" t="str">
        <f>IFERROR(__xludf.DUMMYFUNCTION("""COMPUTED_VALUE"""),"นายพีระพงษ์ แก้วดวงดี")</f>
        <v>นายพีระพงษ์ แก้วดวงดี</v>
      </c>
      <c r="H3083" s="1" t="str">
        <f>IFERROR(__xludf.DUMMYFUNCTION("""COMPUTED_VALUE"""),"296868")</f>
        <v>296868</v>
      </c>
      <c r="I3083" s="1" t="str">
        <f>IFERROR(__xludf.DUMMYFUNCTION("""COMPUTED_VALUE"""),"นายพีระพงษ์ แก้วดวงดี")</f>
        <v>นายพีระพงษ์ แก้วดวงดี</v>
      </c>
      <c r="J3083" s="3">
        <f>IFERROR(__xludf.DUMMYFUNCTION("""COMPUTED_VALUE"""),295886.0)</f>
        <v>295886</v>
      </c>
      <c r="K3083" s="3" t="str">
        <f>IFERROR(__xludf.DUMMYFUNCTION("""COMPUTED_VALUE"""),"นายจิระพงษ์ โพธิ์นิล")</f>
        <v>นายจิระพงษ์ โพธิ์นิล</v>
      </c>
      <c r="L3083" s="1" t="str">
        <f>IFERROR(__xludf.DUMMYFUNCTION("""COMPUTED_VALUE"""),"นายจิระพงษ์ โพธิ์นิล")</f>
        <v>นายจิระพงษ์ โพธิ์นิล</v>
      </c>
      <c r="M3083" s="1" t="str">
        <f>IFERROR(__xludf.DUMMYFUNCTION("""COMPUTED_VALUE"""),"0933290754")</f>
        <v>0933290754</v>
      </c>
      <c r="N3083" s="3">
        <f>IFERROR(__xludf.DUMMYFUNCTION("""COMPUTED_VALUE"""),84052.0)</f>
        <v>84052</v>
      </c>
      <c r="O3083" s="3" t="str">
        <f>IFERROR(__xludf.DUMMYFUNCTION("""COMPUTED_VALUE"""),"ร้านโพธิ์ทองการค้า")</f>
        <v>ร้านโพธิ์ทองการค้า</v>
      </c>
      <c r="P3083" s="4">
        <f>IFERROR(__xludf.DUMMYFUNCTION("""COMPUTED_VALUE"""),44901.0)</f>
        <v>44901</v>
      </c>
      <c r="Q3083" s="3" t="str">
        <f>IFERROR(__xludf.DUMMYFUNCTION("""COMPUTED_VALUE"""),"A")</f>
        <v>A</v>
      </c>
      <c r="R3083" s="3" t="str">
        <f>IFERROR(__xludf.DUMMYFUNCTION("""COMPUTED_VALUE"""),"Small Format")</f>
        <v>Small Format</v>
      </c>
      <c r="S3083" s="3" t="str">
        <f>IFERROR(__xludf.DUMMYFUNCTION("""COMPUTED_VALUE"""),"Donjai")</f>
        <v>Donjai</v>
      </c>
      <c r="T3083" s="3" t="str">
        <f>IFERROR(__xludf.DUMMYFUNCTION("""COMPUTED_VALUE"""),"03 K.Peerapong K.")</f>
        <v>03 K.Peerapong K.</v>
      </c>
      <c r="U3083" s="3" t="str">
        <f>IFERROR(__xludf.DUMMYFUNCTION("""COMPUTED_VALUE"""),"03 K.Peerapong K.")</f>
        <v>03 K.Peerapong K.</v>
      </c>
      <c r="V3083" s="3" t="str">
        <f>IFERROR(__xludf.DUMMYFUNCTION("""COMPUTED_VALUE"""),"N")</f>
        <v>N</v>
      </c>
      <c r="W3083" s="3"/>
      <c r="X3083" s="3" t="str">
        <f>IFERROR(__xludf.DUMMYFUNCTION("""COMPUTED_VALUE"""),"217 ม.3 ต.นายูง อ.นายูง จ.อุดรธานี")</f>
        <v>217 ม.3 ต.นายูง อ.นายูง จ.อุดรธานี</v>
      </c>
      <c r="Y3083" s="3"/>
      <c r="Z3083" s="3">
        <f>IFERROR(__xludf.DUMMYFUNCTION("""COMPUTED_VALUE"""),0.0)</f>
        <v>0</v>
      </c>
      <c r="AA3083" s="3">
        <f>IFERROR(__xludf.DUMMYFUNCTION("""COMPUTED_VALUE"""),0.0)</f>
        <v>0</v>
      </c>
      <c r="AB3083" s="3" t="str">
        <f>IFERROR(__xludf.DUMMYFUNCTION("""COMPUTED_VALUE"""),"อุดรธานี")</f>
        <v>อุดรธานี</v>
      </c>
      <c r="AC3083" s="3">
        <f>IFERROR(__xludf.DUMMYFUNCTION("""COMPUTED_VALUE"""),0.0)</f>
        <v>0</v>
      </c>
      <c r="AD3083" s="3"/>
      <c r="AE3083" s="3"/>
      <c r="AF3083" s="3" t="str">
        <f>IFERROR(__xludf.DUMMYFUNCTION("""COMPUTED_VALUE"""),"ร้านโพธิ์ทองการค้า-84052")</f>
        <v>ร้านโพธิ์ทองการค้า-84052</v>
      </c>
      <c r="AG3083" s="3" t="str">
        <f>IFERROR(__xludf.DUMMYFUNCTION("""COMPUTED_VALUE"""),"ตะวันออกเฉียงเหนือ")</f>
        <v>ตะวันออกเฉียงเหนือ</v>
      </c>
      <c r="AH3083" s="3" t="str">
        <f>IFERROR(__xludf.DUMMYFUNCTION("""COMPUTED_VALUE"""),"#N/A")</f>
        <v>#N/A</v>
      </c>
      <c r="AI3083" s="3" t="str">
        <f>IFERROR(__xludf.DUMMYFUNCTION("""COMPUTED_VALUE"""),"Out of warranty")</f>
        <v>Out of warranty</v>
      </c>
      <c r="AJ3083" s="3">
        <f>IFERROR(__xludf.DUMMYFUNCTION("""COMPUTED_VALUE"""),38.0)</f>
        <v>38</v>
      </c>
      <c r="AK3083" s="3"/>
      <c r="AL3083" s="3"/>
    </row>
    <row r="3084" ht="15.75" customHeight="1">
      <c r="A3084" s="1" t="str">
        <f>IFERROR(__xludf.DUMMYFUNCTION("""COMPUTED_VALUE"""),"84058")</f>
        <v>84058</v>
      </c>
      <c r="B3084" s="2">
        <f>IFERROR(__xludf.DUMMYFUNCTION("""COMPUTED_VALUE"""),84058.0)</f>
        <v>84058</v>
      </c>
      <c r="C3084" s="3" t="str">
        <f>IFERROR(__xludf.DUMMYFUNCTION("""COMPUTED_VALUE"""),"ร้านพีรพัฒน์ 99 (พีรพัฒน์)")</f>
        <v>ร้านพีรพัฒน์ 99 (พีรพัฒน์)</v>
      </c>
      <c r="D3084" s="3" t="str">
        <f>IFERROR(__xludf.DUMMYFUNCTION("""COMPUTED_VALUE"""),"ร้านพีรพัฒน์ 99 (พีรพัฒน์)")</f>
        <v>ร้านพีรพัฒน์ 99 (พีรพัฒน์)</v>
      </c>
      <c r="E3084" s="1" t="str">
        <f>IFERROR(__xludf.DUMMYFUNCTION("""COMPUTED_VALUE"""),"Donjai")</f>
        <v>Donjai</v>
      </c>
      <c r="F3084" s="1" t="str">
        <f>IFERROR(__xludf.DUMMYFUNCTION("""COMPUTED_VALUE"""),"00510143")</f>
        <v>00510143</v>
      </c>
      <c r="G3084" s="1" t="str">
        <f>IFERROR(__xludf.DUMMYFUNCTION("""COMPUTED_VALUE"""),"นายธีระวัฒน์ บุญสิทธิ์")</f>
        <v>นายธีระวัฒน์ บุญสิทธิ์</v>
      </c>
      <c r="H3084" s="1" t="str">
        <f>IFERROR(__xludf.DUMMYFUNCTION("""COMPUTED_VALUE"""),"00510143")</f>
        <v>00510143</v>
      </c>
      <c r="I3084" s="1" t="str">
        <f>IFERROR(__xludf.DUMMYFUNCTION("""COMPUTED_VALUE"""),"นายธีระวัฒน์ บุญสิทธิ์")</f>
        <v>นายธีระวัฒน์ บุญสิทธิ์</v>
      </c>
      <c r="J3084" s="3">
        <f>IFERROR(__xludf.DUMMYFUNCTION("""COMPUTED_VALUE"""),228031.0)</f>
        <v>228031</v>
      </c>
      <c r="K3084" s="3" t="str">
        <f>IFERROR(__xludf.DUMMYFUNCTION("""COMPUTED_VALUE"""),"นายธนพงษ์ วันหมัด")</f>
        <v>นายธนพงษ์ วันหมัด</v>
      </c>
      <c r="L3084" s="1" t="str">
        <f>IFERROR(__xludf.DUMMYFUNCTION("""COMPUTED_VALUE"""),"นายธนพงษ์ วันหมัด")</f>
        <v>นายธนพงษ์ วันหมัด</v>
      </c>
      <c r="M3084" s="1" t="str">
        <f>IFERROR(__xludf.DUMMYFUNCTION("""COMPUTED_VALUE"""),"0813716913")</f>
        <v>0813716913</v>
      </c>
      <c r="N3084" s="3">
        <f>IFERROR(__xludf.DUMMYFUNCTION("""COMPUTED_VALUE"""),84058.0)</f>
        <v>84058</v>
      </c>
      <c r="O3084" s="3" t="str">
        <f>IFERROR(__xludf.DUMMYFUNCTION("""COMPUTED_VALUE"""),"ร้านพีรพัฒน์ 99 (พีรพัฒน์)")</f>
        <v>ร้านพีรพัฒน์ 99 (พีรพัฒน์)</v>
      </c>
      <c r="P3084" s="4">
        <f>IFERROR(__xludf.DUMMYFUNCTION("""COMPUTED_VALUE"""),44872.0)</f>
        <v>44872</v>
      </c>
      <c r="Q3084" s="3" t="str">
        <f>IFERROR(__xludf.DUMMYFUNCTION("""COMPUTED_VALUE"""),"I")</f>
        <v>I</v>
      </c>
      <c r="R3084" s="3" t="str">
        <f>IFERROR(__xludf.DUMMYFUNCTION("""COMPUTED_VALUE"""),"Small Format")</f>
        <v>Small Format</v>
      </c>
      <c r="S3084" s="3" t="str">
        <f>IFERROR(__xludf.DUMMYFUNCTION("""COMPUTED_VALUE"""),"Donjai")</f>
        <v>Donjai</v>
      </c>
      <c r="T3084" s="3" t="str">
        <f>IFERROR(__xludf.DUMMYFUNCTION("""COMPUTED_VALUE"""),"12 K.Theerawat B.")</f>
        <v>12 K.Theerawat B.</v>
      </c>
      <c r="U3084" s="3" t="str">
        <f>IFERROR(__xludf.DUMMYFUNCTION("""COMPUTED_VALUE"""),"12 K.Theerawat B.")</f>
        <v>12 K.Theerawat B.</v>
      </c>
      <c r="V3084" s="3" t="str">
        <f>IFERROR(__xludf.DUMMYFUNCTION("""COMPUTED_VALUE"""),"N")</f>
        <v>N</v>
      </c>
      <c r="W3084" s="3"/>
      <c r="X3084" s="3" t="str">
        <f>IFERROR(__xludf.DUMMYFUNCTION("""COMPUTED_VALUE"""),"ปั๊ม ESSO ล็อกA1 เลขที่ 65 หมู่ 2 แขวงพืชอุดม เขต ลำลูกกา จังหวัด ปทุมธานี 12150")</f>
        <v>ปั๊ม ESSO ล็อกA1 เลขที่ 65 หมู่ 2 แขวงพืชอุดม เขต ลำลูกกา จังหวัด ปทุมธานี 12150</v>
      </c>
      <c r="Y3084" s="3"/>
      <c r="Z3084" s="3">
        <f>IFERROR(__xludf.DUMMYFUNCTION("""COMPUTED_VALUE"""),0.0)</f>
        <v>0</v>
      </c>
      <c r="AA3084" s="3">
        <f>IFERROR(__xludf.DUMMYFUNCTION("""COMPUTED_VALUE"""),0.0)</f>
        <v>0</v>
      </c>
      <c r="AB3084" s="3" t="str">
        <f>IFERROR(__xludf.DUMMYFUNCTION("""COMPUTED_VALUE"""),"ปทุมธานี")</f>
        <v>ปทุมธานี</v>
      </c>
      <c r="AC3084" s="3">
        <f>IFERROR(__xludf.DUMMYFUNCTION("""COMPUTED_VALUE"""),12150.0)</f>
        <v>12150</v>
      </c>
      <c r="AD3084" s="3"/>
      <c r="AE3084" s="3"/>
      <c r="AF3084" s="3" t="str">
        <f>IFERROR(__xludf.DUMMYFUNCTION("""COMPUTED_VALUE"""),"ร้านพีรพัฒน์ 99 (พีรพัฒน์)-84058")</f>
        <v>ร้านพีรพัฒน์ 99 (พีรพัฒน์)-84058</v>
      </c>
      <c r="AG3084" s="3" t="str">
        <f>IFERROR(__xludf.DUMMYFUNCTION("""COMPUTED_VALUE"""),"กลาง")</f>
        <v>กลาง</v>
      </c>
      <c r="AH3084" s="3" t="str">
        <f>IFERROR(__xludf.DUMMYFUNCTION("""COMPUTED_VALUE"""),"#N/A")</f>
        <v>#N/A</v>
      </c>
      <c r="AI3084" s="3" t="str">
        <f>IFERROR(__xludf.DUMMYFUNCTION("""COMPUTED_VALUE"""),"Out of warranty")</f>
        <v>Out of warranty</v>
      </c>
      <c r="AJ3084" s="3">
        <f>IFERROR(__xludf.DUMMYFUNCTION("""COMPUTED_VALUE"""),39.0)</f>
        <v>39</v>
      </c>
      <c r="AK3084" s="3"/>
      <c r="AL3084" s="3"/>
    </row>
    <row r="3085" ht="15.75" customHeight="1">
      <c r="A3085" s="1" t="str">
        <f>IFERROR(__xludf.DUMMYFUNCTION("""COMPUTED_VALUE"""),"84059")</f>
        <v>84059</v>
      </c>
      <c r="B3085" s="2">
        <f>IFERROR(__xludf.DUMMYFUNCTION("""COMPUTED_VALUE"""),84059.0)</f>
        <v>84059</v>
      </c>
      <c r="C3085" s="3" t="str">
        <f>IFERROR(__xludf.DUMMYFUNCTION("""COMPUTED_VALUE"""),"ร้านปริญญาพารวย (เสถียร)")</f>
        <v>ร้านปริญญาพารวย (เสถียร)</v>
      </c>
      <c r="D3085" s="3" t="str">
        <f>IFERROR(__xludf.DUMMYFUNCTION("""COMPUTED_VALUE"""),"ร้านปริญญาพารวย (เสถียร)")</f>
        <v>ร้านปริญญาพารวย (เสถียร)</v>
      </c>
      <c r="E3085" s="1" t="str">
        <f>IFERROR(__xludf.DUMMYFUNCTION("""COMPUTED_VALUE"""),"Donjai")</f>
        <v>Donjai</v>
      </c>
      <c r="F3085" s="1" t="str">
        <f>IFERROR(__xludf.DUMMYFUNCTION("""COMPUTED_VALUE"""),"296868")</f>
        <v>296868</v>
      </c>
      <c r="G3085" s="1" t="str">
        <f>IFERROR(__xludf.DUMMYFUNCTION("""COMPUTED_VALUE"""),"นายพีระพงษ์ แก้วดวงดี")</f>
        <v>นายพีระพงษ์ แก้วดวงดี</v>
      </c>
      <c r="H3085" s="1" t="str">
        <f>IFERROR(__xludf.DUMMYFUNCTION("""COMPUTED_VALUE"""),"296868")</f>
        <v>296868</v>
      </c>
      <c r="I3085" s="1" t="str">
        <f>IFERROR(__xludf.DUMMYFUNCTION("""COMPUTED_VALUE"""),"นายพีระพงษ์ แก้วดวงดี")</f>
        <v>นายพีระพงษ์ แก้วดวงดี</v>
      </c>
      <c r="J3085" s="3">
        <f>IFERROR(__xludf.DUMMYFUNCTION("""COMPUTED_VALUE"""),295886.0)</f>
        <v>295886</v>
      </c>
      <c r="K3085" s="3" t="str">
        <f>IFERROR(__xludf.DUMMYFUNCTION("""COMPUTED_VALUE"""),"นายจิระพงษ์ โพธิ์นิล")</f>
        <v>นายจิระพงษ์ โพธิ์นิล</v>
      </c>
      <c r="L3085" s="1" t="str">
        <f>IFERROR(__xludf.DUMMYFUNCTION("""COMPUTED_VALUE"""),"นายจิระพงษ์ โพธิ์นิล")</f>
        <v>นายจิระพงษ์ โพธิ์นิล</v>
      </c>
      <c r="M3085" s="1" t="str">
        <f>IFERROR(__xludf.DUMMYFUNCTION("""COMPUTED_VALUE"""),"0933290754")</f>
        <v>0933290754</v>
      </c>
      <c r="N3085" s="3">
        <f>IFERROR(__xludf.DUMMYFUNCTION("""COMPUTED_VALUE"""),84059.0)</f>
        <v>84059</v>
      </c>
      <c r="O3085" s="3" t="str">
        <f>IFERROR(__xludf.DUMMYFUNCTION("""COMPUTED_VALUE"""),"ร้านปริญญาพารวย (เสถียร)")</f>
        <v>ร้านปริญญาพารวย (เสถียร)</v>
      </c>
      <c r="P3085" s="4">
        <f>IFERROR(__xludf.DUMMYFUNCTION("""COMPUTED_VALUE"""),44920.0)</f>
        <v>44920</v>
      </c>
      <c r="Q3085" s="3" t="str">
        <f>IFERROR(__xludf.DUMMYFUNCTION("""COMPUTED_VALUE"""),"A")</f>
        <v>A</v>
      </c>
      <c r="R3085" s="3" t="str">
        <f>IFERROR(__xludf.DUMMYFUNCTION("""COMPUTED_VALUE"""),"Small Format")</f>
        <v>Small Format</v>
      </c>
      <c r="S3085" s="3" t="str">
        <f>IFERROR(__xludf.DUMMYFUNCTION("""COMPUTED_VALUE"""),"Donjai")</f>
        <v>Donjai</v>
      </c>
      <c r="T3085" s="3" t="str">
        <f>IFERROR(__xludf.DUMMYFUNCTION("""COMPUTED_VALUE"""),"03 K.Peerapong K.")</f>
        <v>03 K.Peerapong K.</v>
      </c>
      <c r="U3085" s="3" t="str">
        <f>IFERROR(__xludf.DUMMYFUNCTION("""COMPUTED_VALUE"""),"03 K.Peerapong K.")</f>
        <v>03 K.Peerapong K.</v>
      </c>
      <c r="V3085" s="3" t="str">
        <f>IFERROR(__xludf.DUMMYFUNCTION("""COMPUTED_VALUE"""),"N")</f>
        <v>N</v>
      </c>
      <c r="W3085" s="3"/>
      <c r="X3085" s="3" t="str">
        <f>IFERROR(__xludf.DUMMYFUNCTION("""COMPUTED_VALUE"""),"146 หมู่ 6 ต.เหล่าปอแดง อ.เมือง จ.สกลนคร 47000")</f>
        <v>146 หมู่ 6 ต.เหล่าปอแดง อ.เมือง จ.สกลนคร 47000</v>
      </c>
      <c r="Y3085" s="3"/>
      <c r="Z3085" s="3">
        <f>IFERROR(__xludf.DUMMYFUNCTION("""COMPUTED_VALUE"""),0.0)</f>
        <v>0</v>
      </c>
      <c r="AA3085" s="3">
        <f>IFERROR(__xludf.DUMMYFUNCTION("""COMPUTED_VALUE"""),0.0)</f>
        <v>0</v>
      </c>
      <c r="AB3085" s="3" t="str">
        <f>IFERROR(__xludf.DUMMYFUNCTION("""COMPUTED_VALUE"""),"สกลนคร")</f>
        <v>สกลนคร</v>
      </c>
      <c r="AC3085" s="3">
        <f>IFERROR(__xludf.DUMMYFUNCTION("""COMPUTED_VALUE"""),47000.0)</f>
        <v>47000</v>
      </c>
      <c r="AD3085" s="3"/>
      <c r="AE3085" s="3"/>
      <c r="AF3085" s="3" t="str">
        <f>IFERROR(__xludf.DUMMYFUNCTION("""COMPUTED_VALUE"""),"ร้านปริญญาพารวย (เสถียร)-84059")</f>
        <v>ร้านปริญญาพารวย (เสถียร)-84059</v>
      </c>
      <c r="AG3085" s="3" t="str">
        <f>IFERROR(__xludf.DUMMYFUNCTION("""COMPUTED_VALUE"""),"ตะวันออกเฉียงเหนือ")</f>
        <v>ตะวันออกเฉียงเหนือ</v>
      </c>
      <c r="AH3085" s="3" t="str">
        <f>IFERROR(__xludf.DUMMYFUNCTION("""COMPUTED_VALUE"""),"#N/A")</f>
        <v>#N/A</v>
      </c>
      <c r="AI3085" s="3" t="str">
        <f>IFERROR(__xludf.DUMMYFUNCTION("""COMPUTED_VALUE"""),"Out of warranty")</f>
        <v>Out of warranty</v>
      </c>
      <c r="AJ3085" s="3">
        <f>IFERROR(__xludf.DUMMYFUNCTION("""COMPUTED_VALUE"""),37.0)</f>
        <v>37</v>
      </c>
      <c r="AK3085" s="3"/>
      <c r="AL3085" s="3"/>
    </row>
    <row r="3086" ht="15.75" customHeight="1">
      <c r="A3086" s="1" t="str">
        <f>IFERROR(__xludf.DUMMYFUNCTION("""COMPUTED_VALUE"""),"84060")</f>
        <v>84060</v>
      </c>
      <c r="B3086" s="2">
        <f>IFERROR(__xludf.DUMMYFUNCTION("""COMPUTED_VALUE"""),84060.0)</f>
        <v>84060</v>
      </c>
      <c r="C3086" s="3" t="str">
        <f>IFERROR(__xludf.DUMMYFUNCTION("""COMPUTED_VALUE"""),"ร้าน ป.มาร์เก็ต (วราภรณ์)")</f>
        <v>ร้าน ป.มาร์เก็ต (วราภรณ์)</v>
      </c>
      <c r="D3086" s="3" t="str">
        <f>IFERROR(__xludf.DUMMYFUNCTION("""COMPUTED_VALUE"""),"ร้าน ป.มาร์เก็ต (วราภรณ์)")</f>
        <v>ร้าน ป.มาร์เก็ต (วราภรณ์)</v>
      </c>
      <c r="E3086" s="1" t="str">
        <f>IFERROR(__xludf.DUMMYFUNCTION("""COMPUTED_VALUE"""),"Donjai")</f>
        <v>Donjai</v>
      </c>
      <c r="F3086" s="1" t="str">
        <f>IFERROR(__xludf.DUMMYFUNCTION("""COMPUTED_VALUE"""),"00510143")</f>
        <v>00510143</v>
      </c>
      <c r="G3086" s="1" t="str">
        <f>IFERROR(__xludf.DUMMYFUNCTION("""COMPUTED_VALUE"""),"นายธีระวัฒน์ บุญสิทธิ์")</f>
        <v>นายธีระวัฒน์ บุญสิทธิ์</v>
      </c>
      <c r="H3086" s="1" t="str">
        <f>IFERROR(__xludf.DUMMYFUNCTION("""COMPUTED_VALUE"""),"00510143")</f>
        <v>00510143</v>
      </c>
      <c r="I3086" s="1" t="str">
        <f>IFERROR(__xludf.DUMMYFUNCTION("""COMPUTED_VALUE"""),"นายธีระวัฒน์ บุญสิทธิ์")</f>
        <v>นายธีระวัฒน์ บุญสิทธิ์</v>
      </c>
      <c r="J3086" s="3">
        <f>IFERROR(__xludf.DUMMYFUNCTION("""COMPUTED_VALUE"""),228031.0)</f>
        <v>228031</v>
      </c>
      <c r="K3086" s="3" t="str">
        <f>IFERROR(__xludf.DUMMYFUNCTION("""COMPUTED_VALUE"""),"นายธนพงษ์ วันหมัด")</f>
        <v>นายธนพงษ์ วันหมัด</v>
      </c>
      <c r="L3086" s="1" t="str">
        <f>IFERROR(__xludf.DUMMYFUNCTION("""COMPUTED_VALUE"""),"นายธนพงษ์ วันหมัด")</f>
        <v>นายธนพงษ์ วันหมัด</v>
      </c>
      <c r="M3086" s="1" t="str">
        <f>IFERROR(__xludf.DUMMYFUNCTION("""COMPUTED_VALUE"""),"0813716913")</f>
        <v>0813716913</v>
      </c>
      <c r="N3086" s="3">
        <f>IFERROR(__xludf.DUMMYFUNCTION("""COMPUTED_VALUE"""),84060.0)</f>
        <v>84060</v>
      </c>
      <c r="O3086" s="3" t="str">
        <f>IFERROR(__xludf.DUMMYFUNCTION("""COMPUTED_VALUE"""),"ร้าน ป.มาร์เก็ต (วราภรณ์)")</f>
        <v>ร้าน ป.มาร์เก็ต (วราภรณ์)</v>
      </c>
      <c r="P3086" s="4">
        <f>IFERROR(__xludf.DUMMYFUNCTION("""COMPUTED_VALUE"""),44916.0)</f>
        <v>44916</v>
      </c>
      <c r="Q3086" s="3" t="str">
        <f>IFERROR(__xludf.DUMMYFUNCTION("""COMPUTED_VALUE"""),"A")</f>
        <v>A</v>
      </c>
      <c r="R3086" s="3" t="str">
        <f>IFERROR(__xludf.DUMMYFUNCTION("""COMPUTED_VALUE"""),"Small Format")</f>
        <v>Small Format</v>
      </c>
      <c r="S3086" s="3" t="str">
        <f>IFERROR(__xludf.DUMMYFUNCTION("""COMPUTED_VALUE"""),"Donjai")</f>
        <v>Donjai</v>
      </c>
      <c r="T3086" s="3" t="str">
        <f>IFERROR(__xludf.DUMMYFUNCTION("""COMPUTED_VALUE"""),"12 K.Theerawat B.")</f>
        <v>12 K.Theerawat B.</v>
      </c>
      <c r="U3086" s="3" t="str">
        <f>IFERROR(__xludf.DUMMYFUNCTION("""COMPUTED_VALUE"""),"12 K.Theerawat B.")</f>
        <v>12 K.Theerawat B.</v>
      </c>
      <c r="V3086" s="3" t="str">
        <f>IFERROR(__xludf.DUMMYFUNCTION("""COMPUTED_VALUE"""),"N")</f>
        <v>N</v>
      </c>
      <c r="W3086" s="3"/>
      <c r="X3086" s="3" t="str">
        <f>IFERROR(__xludf.DUMMYFUNCTION("""COMPUTED_VALUE"""),"90 หมู่ 1 ต.บางขนาก อ.บางน้ำเปรี้ยว จ.ฉะเชิงเทรา 24150")</f>
        <v>90 หมู่ 1 ต.บางขนาก อ.บางน้ำเปรี้ยว จ.ฉะเชิงเทรา 24150</v>
      </c>
      <c r="Y3086" s="3"/>
      <c r="Z3086" s="3">
        <f>IFERROR(__xludf.DUMMYFUNCTION("""COMPUTED_VALUE"""),0.0)</f>
        <v>0</v>
      </c>
      <c r="AA3086" s="3">
        <f>IFERROR(__xludf.DUMMYFUNCTION("""COMPUTED_VALUE"""),0.0)</f>
        <v>0</v>
      </c>
      <c r="AB3086" s="3" t="str">
        <f>IFERROR(__xludf.DUMMYFUNCTION("""COMPUTED_VALUE"""),"ฉะเชิงเทรา")</f>
        <v>ฉะเชิงเทรา</v>
      </c>
      <c r="AC3086" s="3">
        <f>IFERROR(__xludf.DUMMYFUNCTION("""COMPUTED_VALUE"""),24150.0)</f>
        <v>24150</v>
      </c>
      <c r="AD3086" s="3"/>
      <c r="AE3086" s="3"/>
      <c r="AF3086" s="3" t="str">
        <f>IFERROR(__xludf.DUMMYFUNCTION("""COMPUTED_VALUE"""),"ร้าน ป.มาร์เก็ต (วราภรณ์)-84060")</f>
        <v>ร้าน ป.มาร์เก็ต (วราภรณ์)-84060</v>
      </c>
      <c r="AG3086" s="3" t="str">
        <f>IFERROR(__xludf.DUMMYFUNCTION("""COMPUTED_VALUE"""),"ตะวันออก")</f>
        <v>ตะวันออก</v>
      </c>
      <c r="AH3086" s="3" t="str">
        <f>IFERROR(__xludf.DUMMYFUNCTION("""COMPUTED_VALUE"""),"#N/A")</f>
        <v>#N/A</v>
      </c>
      <c r="AI3086" s="3" t="str">
        <f>IFERROR(__xludf.DUMMYFUNCTION("""COMPUTED_VALUE"""),"Out of warranty")</f>
        <v>Out of warranty</v>
      </c>
      <c r="AJ3086" s="3">
        <f>IFERROR(__xludf.DUMMYFUNCTION("""COMPUTED_VALUE"""),37.0)</f>
        <v>37</v>
      </c>
      <c r="AK3086" s="3"/>
      <c r="AL3086" s="3"/>
    </row>
    <row r="3087" ht="15.75" customHeight="1">
      <c r="A3087" s="1" t="str">
        <f>IFERROR(__xludf.DUMMYFUNCTION("""COMPUTED_VALUE"""),"84061")</f>
        <v>84061</v>
      </c>
      <c r="B3087" s="2">
        <f>IFERROR(__xludf.DUMMYFUNCTION("""COMPUTED_VALUE"""),84061.0)</f>
        <v>84061</v>
      </c>
      <c r="C3087" s="3" t="str">
        <f>IFERROR(__xludf.DUMMYFUNCTION("""COMPUTED_VALUE"""),"ร้านทุมมาพาณิชย์")</f>
        <v>ร้านทุมมาพาณิชย์</v>
      </c>
      <c r="D3087" s="3" t="str">
        <f>IFERROR(__xludf.DUMMYFUNCTION("""COMPUTED_VALUE"""),"ร้านทุมมาพาณิชย์")</f>
        <v>ร้านทุมมาพาณิชย์</v>
      </c>
      <c r="E3087" s="1" t="str">
        <f>IFERROR(__xludf.DUMMYFUNCTION("""COMPUTED_VALUE"""),"Donjai")</f>
        <v>Donjai</v>
      </c>
      <c r="F3087" s="1" t="str">
        <f>IFERROR(__xludf.DUMMYFUNCTION("""COMPUTED_VALUE"""),"015361")</f>
        <v>015361</v>
      </c>
      <c r="G3087" s="1" t="str">
        <f>IFERROR(__xludf.DUMMYFUNCTION("""COMPUTED_VALUE"""),"นายสมบูรณ์ พรหมในเมือง")</f>
        <v>นายสมบูรณ์ พรหมในเมือง</v>
      </c>
      <c r="H3087" s="1" t="str">
        <f>IFERROR(__xludf.DUMMYFUNCTION("""COMPUTED_VALUE"""),"015361")</f>
        <v>015361</v>
      </c>
      <c r="I3087" s="1" t="str">
        <f>IFERROR(__xludf.DUMMYFUNCTION("""COMPUTED_VALUE"""),"นายสมบูรณ์ พรหมในเมือง")</f>
        <v>นายสมบูรณ์ พรหมในเมือง</v>
      </c>
      <c r="J3087" s="3">
        <f>IFERROR(__xludf.DUMMYFUNCTION("""COMPUTED_VALUE"""),295886.0)</f>
        <v>295886</v>
      </c>
      <c r="K3087" s="3" t="str">
        <f>IFERROR(__xludf.DUMMYFUNCTION("""COMPUTED_VALUE"""),"นายจิระพงษ์ โพธิ์นิล")</f>
        <v>นายจิระพงษ์ โพธิ์นิล</v>
      </c>
      <c r="L3087" s="1" t="str">
        <f>IFERROR(__xludf.DUMMYFUNCTION("""COMPUTED_VALUE"""),"นายจิระพงษ์ โพธิ์นิล")</f>
        <v>นายจิระพงษ์ โพธิ์นิล</v>
      </c>
      <c r="M3087" s="1" t="str">
        <f>IFERROR(__xludf.DUMMYFUNCTION("""COMPUTED_VALUE"""),"0933290754")</f>
        <v>0933290754</v>
      </c>
      <c r="N3087" s="3">
        <f>IFERROR(__xludf.DUMMYFUNCTION("""COMPUTED_VALUE"""),84061.0)</f>
        <v>84061</v>
      </c>
      <c r="O3087" s="3" t="str">
        <f>IFERROR(__xludf.DUMMYFUNCTION("""COMPUTED_VALUE"""),"ร้านทุมมาพาณิชย์")</f>
        <v>ร้านทุมมาพาณิชย์</v>
      </c>
      <c r="P3087" s="4">
        <f>IFERROR(__xludf.DUMMYFUNCTION("""COMPUTED_VALUE"""),44893.0)</f>
        <v>44893</v>
      </c>
      <c r="Q3087" s="3" t="str">
        <f>IFERROR(__xludf.DUMMYFUNCTION("""COMPUTED_VALUE"""),"I")</f>
        <v>I</v>
      </c>
      <c r="R3087" s="3" t="str">
        <f>IFERROR(__xludf.DUMMYFUNCTION("""COMPUTED_VALUE"""),"Small Format")</f>
        <v>Small Format</v>
      </c>
      <c r="S3087" s="3" t="str">
        <f>IFERROR(__xludf.DUMMYFUNCTION("""COMPUTED_VALUE"""),"Donjai")</f>
        <v>Donjai</v>
      </c>
      <c r="T3087" s="3" t="str">
        <f>IFERROR(__xludf.DUMMYFUNCTION("""COMPUTED_VALUE"""),"04 K.Somboon P.")</f>
        <v>04 K.Somboon P.</v>
      </c>
      <c r="U3087" s="3" t="str">
        <f>IFERROR(__xludf.DUMMYFUNCTION("""COMPUTED_VALUE"""),"04 K.Somboon P.")</f>
        <v>04 K.Somboon P.</v>
      </c>
      <c r="V3087" s="3" t="str">
        <f>IFERROR(__xludf.DUMMYFUNCTION("""COMPUTED_VALUE"""),"N")</f>
        <v>N</v>
      </c>
      <c r="W3087" s="3"/>
      <c r="X3087" s="3" t="str">
        <f>IFERROR(__xludf.DUMMYFUNCTION("""COMPUTED_VALUE"""),"224/1 ม.7 ต.ถ้ำวัวแดง อ.หนองบัวแดง จ.ชัยภูมิ 36210")</f>
        <v>224/1 ม.7 ต.ถ้ำวัวแดง อ.หนองบัวแดง จ.ชัยภูมิ 36210</v>
      </c>
      <c r="Y3087" s="3"/>
      <c r="Z3087" s="3">
        <f>IFERROR(__xludf.DUMMYFUNCTION("""COMPUTED_VALUE"""),0.0)</f>
        <v>0</v>
      </c>
      <c r="AA3087" s="3">
        <f>IFERROR(__xludf.DUMMYFUNCTION("""COMPUTED_VALUE"""),0.0)</f>
        <v>0</v>
      </c>
      <c r="AB3087" s="3" t="str">
        <f>IFERROR(__xludf.DUMMYFUNCTION("""COMPUTED_VALUE"""),"ชัยภูมิ")</f>
        <v>ชัยภูมิ</v>
      </c>
      <c r="AC3087" s="3">
        <f>IFERROR(__xludf.DUMMYFUNCTION("""COMPUTED_VALUE"""),36210.0)</f>
        <v>36210</v>
      </c>
      <c r="AD3087" s="3"/>
      <c r="AE3087" s="3"/>
      <c r="AF3087" s="3" t="str">
        <f>IFERROR(__xludf.DUMMYFUNCTION("""COMPUTED_VALUE"""),"ร้านทุมมาพาณิชย์-84061")</f>
        <v>ร้านทุมมาพาณิชย์-84061</v>
      </c>
      <c r="AG3087" s="3" t="str">
        <f>IFERROR(__xludf.DUMMYFUNCTION("""COMPUTED_VALUE"""),"ตะวันออกเฉียงเหนือ")</f>
        <v>ตะวันออกเฉียงเหนือ</v>
      </c>
      <c r="AH3087" s="3" t="str">
        <f>IFERROR(__xludf.DUMMYFUNCTION("""COMPUTED_VALUE"""),"#N/A")</f>
        <v>#N/A</v>
      </c>
      <c r="AI3087" s="3" t="str">
        <f>IFERROR(__xludf.DUMMYFUNCTION("""COMPUTED_VALUE"""),"Out of warranty")</f>
        <v>Out of warranty</v>
      </c>
      <c r="AJ3087" s="3">
        <f>IFERROR(__xludf.DUMMYFUNCTION("""COMPUTED_VALUE"""),38.0)</f>
        <v>38</v>
      </c>
      <c r="AK3087" s="3"/>
      <c r="AL3087" s="3"/>
    </row>
    <row r="3088" ht="15.75" customHeight="1">
      <c r="A3088" s="1" t="str">
        <f>IFERROR(__xludf.DUMMYFUNCTION("""COMPUTED_VALUE"""),"84062")</f>
        <v>84062</v>
      </c>
      <c r="B3088" s="2">
        <f>IFERROR(__xludf.DUMMYFUNCTION("""COMPUTED_VALUE"""),84062.0)</f>
        <v>84062</v>
      </c>
      <c r="C3088" s="3" t="str">
        <f>IFERROR(__xludf.DUMMYFUNCTION("""COMPUTED_VALUE"""),"ร้านมีสุข 168 (วนิดา)")</f>
        <v>ร้านมีสุข 168 (วนิดา)</v>
      </c>
      <c r="D3088" s="3" t="str">
        <f>IFERROR(__xludf.DUMMYFUNCTION("""COMPUTED_VALUE"""),"ร้านมีสุข 168 (วนิดา)")</f>
        <v>ร้านมีสุข 168 (วนิดา)</v>
      </c>
      <c r="E3088" s="1" t="str">
        <f>IFERROR(__xludf.DUMMYFUNCTION("""COMPUTED_VALUE"""),"Donjai")</f>
        <v>Donjai</v>
      </c>
      <c r="F3088" s="1" t="str">
        <f>IFERROR(__xludf.DUMMYFUNCTION("""COMPUTED_VALUE"""),"296579")</f>
        <v>296579</v>
      </c>
      <c r="G3088" s="1" t="str">
        <f>IFERROR(__xludf.DUMMYFUNCTION("""COMPUTED_VALUE"""),"นายชนม์ณภัทร กุลพัฒน์จินดา")</f>
        <v>นายชนม์ณภัทร กุลพัฒน์จินดา</v>
      </c>
      <c r="H3088" s="1" t="str">
        <f>IFERROR(__xludf.DUMMYFUNCTION("""COMPUTED_VALUE"""),"296579")</f>
        <v>296579</v>
      </c>
      <c r="I3088" s="1" t="str">
        <f>IFERROR(__xludf.DUMMYFUNCTION("""COMPUTED_VALUE"""),"นายชนม์ณภัทร กุลพัฒน์จินดา")</f>
        <v>นายชนม์ณภัทร กุลพัฒน์จินดา</v>
      </c>
      <c r="J3088" s="3">
        <f>IFERROR(__xludf.DUMMYFUNCTION("""COMPUTED_VALUE"""),228031.0)</f>
        <v>228031</v>
      </c>
      <c r="K3088" s="3" t="str">
        <f>IFERROR(__xludf.DUMMYFUNCTION("""COMPUTED_VALUE"""),"นายธนพงษ์ วันหมัด")</f>
        <v>นายธนพงษ์ วันหมัด</v>
      </c>
      <c r="L3088" s="1" t="str">
        <f>IFERROR(__xludf.DUMMYFUNCTION("""COMPUTED_VALUE"""),"นายธนพงษ์ วันหมัด")</f>
        <v>นายธนพงษ์ วันหมัด</v>
      </c>
      <c r="M3088" s="1" t="str">
        <f>IFERROR(__xludf.DUMMYFUNCTION("""COMPUTED_VALUE"""),"0813716913")</f>
        <v>0813716913</v>
      </c>
      <c r="N3088" s="3">
        <f>IFERROR(__xludf.DUMMYFUNCTION("""COMPUTED_VALUE"""),84062.0)</f>
        <v>84062</v>
      </c>
      <c r="O3088" s="3" t="str">
        <f>IFERROR(__xludf.DUMMYFUNCTION("""COMPUTED_VALUE"""),"ร้านมีสุข 168 (วนิดา)")</f>
        <v>ร้านมีสุข 168 (วนิดา)</v>
      </c>
      <c r="P3088" s="4">
        <f>IFERROR(__xludf.DUMMYFUNCTION("""COMPUTED_VALUE"""),44905.0)</f>
        <v>44905</v>
      </c>
      <c r="Q3088" s="3" t="str">
        <f>IFERROR(__xludf.DUMMYFUNCTION("""COMPUTED_VALUE"""),"I")</f>
        <v>I</v>
      </c>
      <c r="R3088" s="3" t="str">
        <f>IFERROR(__xludf.DUMMYFUNCTION("""COMPUTED_VALUE"""),"Small Format")</f>
        <v>Small Format</v>
      </c>
      <c r="S3088" s="3" t="str">
        <f>IFERROR(__xludf.DUMMYFUNCTION("""COMPUTED_VALUE"""),"Donjai")</f>
        <v>Donjai</v>
      </c>
      <c r="T3088" s="3" t="str">
        <f>IFERROR(__xludf.DUMMYFUNCTION("""COMPUTED_VALUE"""),"#N/A")</f>
        <v>#N/A</v>
      </c>
      <c r="U3088" s="3" t="str">
        <f>IFERROR(__xludf.DUMMYFUNCTION("""COMPUTED_VALUE"""),"#N/A")</f>
        <v>#N/A</v>
      </c>
      <c r="V3088" s="3" t="str">
        <f>IFERROR(__xludf.DUMMYFUNCTION("""COMPUTED_VALUE"""),"N")</f>
        <v>N</v>
      </c>
      <c r="W3088" s="3"/>
      <c r="X3088" s="3" t="str">
        <f>IFERROR(__xludf.DUMMYFUNCTION("""COMPUTED_VALUE"""),"12/18 หมู่ 5 ถ.บางไผ่พัฒนา ต.บางศรีเมือง อ.เมือง จ.นนทบุรี")</f>
        <v>12/18 หมู่ 5 ถ.บางไผ่พัฒนา ต.บางศรีเมือง อ.เมือง จ.นนทบุรี</v>
      </c>
      <c r="Y3088" s="3"/>
      <c r="Z3088" s="3">
        <f>IFERROR(__xludf.DUMMYFUNCTION("""COMPUTED_VALUE"""),0.0)</f>
        <v>0</v>
      </c>
      <c r="AA3088" s="3">
        <f>IFERROR(__xludf.DUMMYFUNCTION("""COMPUTED_VALUE"""),0.0)</f>
        <v>0</v>
      </c>
      <c r="AB3088" s="3" t="str">
        <f>IFERROR(__xludf.DUMMYFUNCTION("""COMPUTED_VALUE"""),"นนทบุรี")</f>
        <v>นนทบุรี</v>
      </c>
      <c r="AC3088" s="3">
        <f>IFERROR(__xludf.DUMMYFUNCTION("""COMPUTED_VALUE"""),0.0)</f>
        <v>0</v>
      </c>
      <c r="AD3088" s="3"/>
      <c r="AE3088" s="3"/>
      <c r="AF3088" s="3" t="str">
        <f>IFERROR(__xludf.DUMMYFUNCTION("""COMPUTED_VALUE"""),"ร้านมีสุข 168 (วนิดา)-84062")</f>
        <v>ร้านมีสุข 168 (วนิดา)-84062</v>
      </c>
      <c r="AG3088" s="3" t="str">
        <f>IFERROR(__xludf.DUMMYFUNCTION("""COMPUTED_VALUE"""),"กลาง")</f>
        <v>กลาง</v>
      </c>
      <c r="AH3088" s="3" t="str">
        <f>IFERROR(__xludf.DUMMYFUNCTION("""COMPUTED_VALUE"""),"#N/A")</f>
        <v>#N/A</v>
      </c>
      <c r="AI3088" s="3" t="str">
        <f>IFERROR(__xludf.DUMMYFUNCTION("""COMPUTED_VALUE"""),"Out of warranty")</f>
        <v>Out of warranty</v>
      </c>
      <c r="AJ3088" s="3">
        <f>IFERROR(__xludf.DUMMYFUNCTION("""COMPUTED_VALUE"""),38.0)</f>
        <v>38</v>
      </c>
      <c r="AK3088" s="3"/>
      <c r="AL3088" s="3"/>
    </row>
    <row r="3089" ht="15.75" customHeight="1">
      <c r="A3089" s="1" t="str">
        <f>IFERROR(__xludf.DUMMYFUNCTION("""COMPUTED_VALUE"""),"84066")</f>
        <v>84066</v>
      </c>
      <c r="B3089" s="2">
        <f>IFERROR(__xludf.DUMMYFUNCTION("""COMPUTED_VALUE"""),84066.0)</f>
        <v>84066</v>
      </c>
      <c r="C3089" s="3" t="str">
        <f>IFERROR(__xludf.DUMMYFUNCTION("""COMPUTED_VALUE"""),"ร้านน้องเบล")</f>
        <v>ร้านน้องเบล</v>
      </c>
      <c r="D3089" s="3" t="str">
        <f>IFERROR(__xludf.DUMMYFUNCTION("""COMPUTED_VALUE"""),"ร้านน้องเบล")</f>
        <v>ร้านน้องเบล</v>
      </c>
      <c r="E3089" s="1" t="str">
        <f>IFERROR(__xludf.DUMMYFUNCTION("""COMPUTED_VALUE"""),"Donjai")</f>
        <v>Donjai</v>
      </c>
      <c r="F3089" s="1" t="str">
        <f>IFERROR(__xludf.DUMMYFUNCTION("""COMPUTED_VALUE"""),"2452376")</f>
        <v>2452376</v>
      </c>
      <c r="G3089" s="1" t="str">
        <f>IFERROR(__xludf.DUMMYFUNCTION("""COMPUTED_VALUE"""),"นายภาคภูมิ ทวีกุล")</f>
        <v>นายภาคภูมิ ทวีกุล</v>
      </c>
      <c r="H3089" s="1" t="str">
        <f>IFERROR(__xludf.DUMMYFUNCTION("""COMPUTED_VALUE"""),"2452376")</f>
        <v>2452376</v>
      </c>
      <c r="I3089" s="1" t="str">
        <f>IFERROR(__xludf.DUMMYFUNCTION("""COMPUTED_VALUE"""),"นายภาคภูมิ ทวีกุล")</f>
        <v>นายภาคภูมิ ทวีกุล</v>
      </c>
      <c r="J3089" s="3">
        <f>IFERROR(__xludf.DUMMYFUNCTION("""COMPUTED_VALUE"""),295541.0)</f>
        <v>295541</v>
      </c>
      <c r="K3089" s="3" t="str">
        <f>IFERROR(__xludf.DUMMYFUNCTION("""COMPUTED_VALUE"""),"นายรพิพล ศรีมาตย์")</f>
        <v>นายรพิพล ศรีมาตย์</v>
      </c>
      <c r="L3089" s="1" t="str">
        <f>IFERROR(__xludf.DUMMYFUNCTION("""COMPUTED_VALUE"""),"นายรพิพล ศรีมาตย์")</f>
        <v>นายรพิพล ศรีมาตย์</v>
      </c>
      <c r="M3089" s="1" t="str">
        <f>IFERROR(__xludf.DUMMYFUNCTION("""COMPUTED_VALUE"""),"0613966115")</f>
        <v>0613966115</v>
      </c>
      <c r="N3089" s="3">
        <f>IFERROR(__xludf.DUMMYFUNCTION("""COMPUTED_VALUE"""),84066.0)</f>
        <v>84066</v>
      </c>
      <c r="O3089" s="3" t="str">
        <f>IFERROR(__xludf.DUMMYFUNCTION("""COMPUTED_VALUE"""),"ร้านน้องเบล")</f>
        <v>ร้านน้องเบล</v>
      </c>
      <c r="P3089" s="4">
        <f>IFERROR(__xludf.DUMMYFUNCTION("""COMPUTED_VALUE"""),44892.0)</f>
        <v>44892</v>
      </c>
      <c r="Q3089" s="3" t="str">
        <f>IFERROR(__xludf.DUMMYFUNCTION("""COMPUTED_VALUE"""),"I")</f>
        <v>I</v>
      </c>
      <c r="R3089" s="3" t="str">
        <f>IFERROR(__xludf.DUMMYFUNCTION("""COMPUTED_VALUE"""),"Small Format")</f>
        <v>Small Format</v>
      </c>
      <c r="S3089" s="3" t="str">
        <f>IFERROR(__xludf.DUMMYFUNCTION("""COMPUTED_VALUE"""),"Donjai")</f>
        <v>Donjai</v>
      </c>
      <c r="T3089" s="3" t="str">
        <f>IFERROR(__xludf.DUMMYFUNCTION("""COMPUTED_VALUE"""),"08 K.Parkphum T.")</f>
        <v>08 K.Parkphum T.</v>
      </c>
      <c r="U3089" s="3" t="str">
        <f>IFERROR(__xludf.DUMMYFUNCTION("""COMPUTED_VALUE"""),"08 K.Parkphum T.")</f>
        <v>08 K.Parkphum T.</v>
      </c>
      <c r="V3089" s="3" t="str">
        <f>IFERROR(__xludf.DUMMYFUNCTION("""COMPUTED_VALUE"""),"N")</f>
        <v>N</v>
      </c>
      <c r="W3089" s="3"/>
      <c r="X3089" s="3" t="str">
        <f>IFERROR(__xludf.DUMMYFUNCTION("""COMPUTED_VALUE"""),"10 หมู่ 3 ต.ตะปอน อ.ขลุง จ.จันทบุรี 22110")</f>
        <v>10 หมู่ 3 ต.ตะปอน อ.ขลุง จ.จันทบุรี 22110</v>
      </c>
      <c r="Y3089" s="3"/>
      <c r="Z3089" s="3">
        <f>IFERROR(__xludf.DUMMYFUNCTION("""COMPUTED_VALUE"""),0.0)</f>
        <v>0</v>
      </c>
      <c r="AA3089" s="3">
        <f>IFERROR(__xludf.DUMMYFUNCTION("""COMPUTED_VALUE"""),0.0)</f>
        <v>0</v>
      </c>
      <c r="AB3089" s="3" t="str">
        <f>IFERROR(__xludf.DUMMYFUNCTION("""COMPUTED_VALUE"""),"จันทบุรี")</f>
        <v>จันทบุรี</v>
      </c>
      <c r="AC3089" s="3">
        <f>IFERROR(__xludf.DUMMYFUNCTION("""COMPUTED_VALUE"""),22110.0)</f>
        <v>22110</v>
      </c>
      <c r="AD3089" s="3"/>
      <c r="AE3089" s="3"/>
      <c r="AF3089" s="3" t="str">
        <f>IFERROR(__xludf.DUMMYFUNCTION("""COMPUTED_VALUE"""),"ร้านน้องเบล-84066")</f>
        <v>ร้านน้องเบล-84066</v>
      </c>
      <c r="AG3089" s="3" t="str">
        <f>IFERROR(__xludf.DUMMYFUNCTION("""COMPUTED_VALUE"""),"ตะวันออก")</f>
        <v>ตะวันออก</v>
      </c>
      <c r="AH3089" s="3" t="str">
        <f>IFERROR(__xludf.DUMMYFUNCTION("""COMPUTED_VALUE"""),"#N/A")</f>
        <v>#N/A</v>
      </c>
      <c r="AI3089" s="3" t="str">
        <f>IFERROR(__xludf.DUMMYFUNCTION("""COMPUTED_VALUE"""),"Out of warranty")</f>
        <v>Out of warranty</v>
      </c>
      <c r="AJ3089" s="3">
        <f>IFERROR(__xludf.DUMMYFUNCTION("""COMPUTED_VALUE"""),38.0)</f>
        <v>38</v>
      </c>
      <c r="AK3089" s="3"/>
      <c r="AL3089" s="3"/>
    </row>
    <row r="3090" ht="15.75" customHeight="1">
      <c r="A3090" s="1" t="str">
        <f>IFERROR(__xludf.DUMMYFUNCTION("""COMPUTED_VALUE"""),"84067")</f>
        <v>84067</v>
      </c>
      <c r="B3090" s="2">
        <f>IFERROR(__xludf.DUMMYFUNCTION("""COMPUTED_VALUE"""),84067.0)</f>
        <v>84067</v>
      </c>
      <c r="C3090" s="3" t="str">
        <f>IFERROR(__xludf.DUMMYFUNCTION("""COMPUTED_VALUE"""),"ร้านโดนใจถูกจัง (นิวช็อป)")</f>
        <v>ร้านโดนใจถูกจัง (นิวช็อป)</v>
      </c>
      <c r="D3090" s="3" t="str">
        <f>IFERROR(__xludf.DUMMYFUNCTION("""COMPUTED_VALUE"""),"ร้านโดนใจถูกจัง (นิวช็อป)")</f>
        <v>ร้านโดนใจถูกจัง (นิวช็อป)</v>
      </c>
      <c r="E3090" s="1" t="str">
        <f>IFERROR(__xludf.DUMMYFUNCTION("""COMPUTED_VALUE"""),"Donjai")</f>
        <v>Donjai</v>
      </c>
      <c r="F3090" s="1" t="str">
        <f>IFERROR(__xludf.DUMMYFUNCTION("""COMPUTED_VALUE"""),"296608")</f>
        <v>296608</v>
      </c>
      <c r="G3090" s="1" t="str">
        <f>IFERROR(__xludf.DUMMYFUNCTION("""COMPUTED_VALUE"""),"นายภาคภูมิ เพ็ชรนิล")</f>
        <v>นายภาคภูมิ เพ็ชรนิล</v>
      </c>
      <c r="H3090" s="1" t="str">
        <f>IFERROR(__xludf.DUMMYFUNCTION("""COMPUTED_VALUE"""),"296608")</f>
        <v>296608</v>
      </c>
      <c r="I3090" s="1" t="str">
        <f>IFERROR(__xludf.DUMMYFUNCTION("""COMPUTED_VALUE"""),"นายภาคภูมิ เพ็ชรนิล")</f>
        <v>นายภาคภูมิ เพ็ชรนิล</v>
      </c>
      <c r="J3090" s="3">
        <f>IFERROR(__xludf.DUMMYFUNCTION("""COMPUTED_VALUE"""),228031.0)</f>
        <v>228031</v>
      </c>
      <c r="K3090" s="3" t="str">
        <f>IFERROR(__xludf.DUMMYFUNCTION("""COMPUTED_VALUE"""),"นายธนพงษ์ วันหมัด")</f>
        <v>นายธนพงษ์ วันหมัด</v>
      </c>
      <c r="L3090" s="1" t="str">
        <f>IFERROR(__xludf.DUMMYFUNCTION("""COMPUTED_VALUE"""),"นายธนพงษ์ วันหมัด")</f>
        <v>นายธนพงษ์ วันหมัด</v>
      </c>
      <c r="M3090" s="1" t="str">
        <f>IFERROR(__xludf.DUMMYFUNCTION("""COMPUTED_VALUE"""),"0813716913")</f>
        <v>0813716913</v>
      </c>
      <c r="N3090" s="3">
        <f>IFERROR(__xludf.DUMMYFUNCTION("""COMPUTED_VALUE"""),84067.0)</f>
        <v>84067</v>
      </c>
      <c r="O3090" s="3" t="str">
        <f>IFERROR(__xludf.DUMMYFUNCTION("""COMPUTED_VALUE"""),"ร้านโดนใจถูกจัง (นิวช็อป)")</f>
        <v>ร้านโดนใจถูกจัง (นิวช็อป)</v>
      </c>
      <c r="P3090" s="4">
        <f>IFERROR(__xludf.DUMMYFUNCTION("""COMPUTED_VALUE"""),44910.0)</f>
        <v>44910</v>
      </c>
      <c r="Q3090" s="3" t="str">
        <f>IFERROR(__xludf.DUMMYFUNCTION("""COMPUTED_VALUE"""),"I")</f>
        <v>I</v>
      </c>
      <c r="R3090" s="3" t="str">
        <f>IFERROR(__xludf.DUMMYFUNCTION("""COMPUTED_VALUE"""),"Small Format")</f>
        <v>Small Format</v>
      </c>
      <c r="S3090" s="3" t="str">
        <f>IFERROR(__xludf.DUMMYFUNCTION("""COMPUTED_VALUE"""),"Donjai")</f>
        <v>Donjai</v>
      </c>
      <c r="T3090" s="3" t="str">
        <f>IFERROR(__xludf.DUMMYFUNCTION("""COMPUTED_VALUE"""),"10 K.Phakphoom P.")</f>
        <v>10 K.Phakphoom P.</v>
      </c>
      <c r="U3090" s="3" t="str">
        <f>IFERROR(__xludf.DUMMYFUNCTION("""COMPUTED_VALUE"""),"10 K.Phakphoom P.")</f>
        <v>10 K.Phakphoom P.</v>
      </c>
      <c r="V3090" s="3" t="str">
        <f>IFERROR(__xludf.DUMMYFUNCTION("""COMPUTED_VALUE"""),"N")</f>
        <v>N</v>
      </c>
      <c r="W3090" s="3"/>
      <c r="X3090" s="3" t="str">
        <f>IFERROR(__xludf.DUMMYFUNCTION("""COMPUTED_VALUE"""),"105/12 ต.ท่าเรือ อ.ท่ามะกา จ.กาญจนบุรี 71130")</f>
        <v>105/12 ต.ท่าเรือ อ.ท่ามะกา จ.กาญจนบุรี 71130</v>
      </c>
      <c r="Y3090" s="3"/>
      <c r="Z3090" s="3">
        <f>IFERROR(__xludf.DUMMYFUNCTION("""COMPUTED_VALUE"""),0.0)</f>
        <v>0</v>
      </c>
      <c r="AA3090" s="3">
        <f>IFERROR(__xludf.DUMMYFUNCTION("""COMPUTED_VALUE"""),0.0)</f>
        <v>0</v>
      </c>
      <c r="AB3090" s="3" t="str">
        <f>IFERROR(__xludf.DUMMYFUNCTION("""COMPUTED_VALUE"""),"กาญจนบุรี")</f>
        <v>กาญจนบุรี</v>
      </c>
      <c r="AC3090" s="3">
        <f>IFERROR(__xludf.DUMMYFUNCTION("""COMPUTED_VALUE"""),71130.0)</f>
        <v>71130</v>
      </c>
      <c r="AD3090" s="3"/>
      <c r="AE3090" s="3"/>
      <c r="AF3090" s="3" t="str">
        <f>IFERROR(__xludf.DUMMYFUNCTION("""COMPUTED_VALUE"""),"ร้านโดนใจถูกจัง (นิวช็อป)-84067")</f>
        <v>ร้านโดนใจถูกจัง (นิวช็อป)-84067</v>
      </c>
      <c r="AG3090" s="3" t="str">
        <f>IFERROR(__xludf.DUMMYFUNCTION("""COMPUTED_VALUE"""),"ตะวันตก")</f>
        <v>ตะวันตก</v>
      </c>
      <c r="AH3090" s="3" t="str">
        <f>IFERROR(__xludf.DUMMYFUNCTION("""COMPUTED_VALUE"""),"#N/A")</f>
        <v>#N/A</v>
      </c>
      <c r="AI3090" s="3" t="str">
        <f>IFERROR(__xludf.DUMMYFUNCTION("""COMPUTED_VALUE"""),"Out of warranty")</f>
        <v>Out of warranty</v>
      </c>
      <c r="AJ3090" s="3">
        <f>IFERROR(__xludf.DUMMYFUNCTION("""COMPUTED_VALUE"""),38.0)</f>
        <v>38</v>
      </c>
      <c r="AK3090" s="3"/>
      <c r="AL3090" s="3"/>
    </row>
    <row r="3091" ht="15.75" customHeight="1">
      <c r="A3091" s="1" t="str">
        <f>IFERROR(__xludf.DUMMYFUNCTION("""COMPUTED_VALUE"""),"84070")</f>
        <v>84070</v>
      </c>
      <c r="B3091" s="2">
        <f>IFERROR(__xludf.DUMMYFUNCTION("""COMPUTED_VALUE"""),84070.0)</f>
        <v>84070</v>
      </c>
      <c r="C3091" s="3" t="str">
        <f>IFERROR(__xludf.DUMMYFUNCTION("""COMPUTED_VALUE"""),"ร้านบูมพาณิชย์")</f>
        <v>ร้านบูมพาณิชย์</v>
      </c>
      <c r="D3091" s="3" t="str">
        <f>IFERROR(__xludf.DUMMYFUNCTION("""COMPUTED_VALUE"""),"ร้านบูมพาณิชย์")</f>
        <v>ร้านบูมพาณิชย์</v>
      </c>
      <c r="E3091" s="1" t="str">
        <f>IFERROR(__xludf.DUMMYFUNCTION("""COMPUTED_VALUE"""),"Donjai")</f>
        <v>Donjai</v>
      </c>
      <c r="F3091" s="1" t="str">
        <f>IFERROR(__xludf.DUMMYFUNCTION("""COMPUTED_VALUE"""),"025324")</f>
        <v>025324</v>
      </c>
      <c r="G3091" s="1" t="str">
        <f>IFERROR(__xludf.DUMMYFUNCTION("""COMPUTED_VALUE"""),"นายวิเชฎฐ์ ติรัตนะประคม")</f>
        <v>นายวิเชฎฐ์ ติรัตนะประคม</v>
      </c>
      <c r="H3091" s="1" t="str">
        <f>IFERROR(__xludf.DUMMYFUNCTION("""COMPUTED_VALUE"""),"025324")</f>
        <v>025324</v>
      </c>
      <c r="I3091" s="1" t="str">
        <f>IFERROR(__xludf.DUMMYFUNCTION("""COMPUTED_VALUE"""),"นายวิเชฎฐ์ ติรัตนะประคม")</f>
        <v>นายวิเชฎฐ์ ติรัตนะประคม</v>
      </c>
      <c r="J3091" s="3">
        <f>IFERROR(__xludf.DUMMYFUNCTION("""COMPUTED_VALUE"""),295541.0)</f>
        <v>295541</v>
      </c>
      <c r="K3091" s="3" t="str">
        <f>IFERROR(__xludf.DUMMYFUNCTION("""COMPUTED_VALUE"""),"นายรพิพล ศรีมาตย์")</f>
        <v>นายรพิพล ศรีมาตย์</v>
      </c>
      <c r="L3091" s="1" t="str">
        <f>IFERROR(__xludf.DUMMYFUNCTION("""COMPUTED_VALUE"""),"นายรพิพล ศรีมาตย์")</f>
        <v>นายรพิพล ศรีมาตย์</v>
      </c>
      <c r="M3091" s="1" t="str">
        <f>IFERROR(__xludf.DUMMYFUNCTION("""COMPUTED_VALUE"""),"0613966115")</f>
        <v>0613966115</v>
      </c>
      <c r="N3091" s="3">
        <f>IFERROR(__xludf.DUMMYFUNCTION("""COMPUTED_VALUE"""),84070.0)</f>
        <v>84070</v>
      </c>
      <c r="O3091" s="3" t="str">
        <f>IFERROR(__xludf.DUMMYFUNCTION("""COMPUTED_VALUE"""),"ร้านบูมพาณิชย์")</f>
        <v>ร้านบูมพาณิชย์</v>
      </c>
      <c r="P3091" s="4">
        <f>IFERROR(__xludf.DUMMYFUNCTION("""COMPUTED_VALUE"""),44956.0)</f>
        <v>44956</v>
      </c>
      <c r="Q3091" s="3" t="str">
        <f>IFERROR(__xludf.DUMMYFUNCTION("""COMPUTED_VALUE"""),"A")</f>
        <v>A</v>
      </c>
      <c r="R3091" s="3" t="str">
        <f>IFERROR(__xludf.DUMMYFUNCTION("""COMPUTED_VALUE"""),"Small Format")</f>
        <v>Small Format</v>
      </c>
      <c r="S3091" s="3" t="str">
        <f>IFERROR(__xludf.DUMMYFUNCTION("""COMPUTED_VALUE"""),"Donjai")</f>
        <v>Donjai</v>
      </c>
      <c r="T3091" s="3" t="str">
        <f>IFERROR(__xludf.DUMMYFUNCTION("""COMPUTED_VALUE"""),"14 K.Wichet T.")</f>
        <v>14 K.Wichet T.</v>
      </c>
      <c r="U3091" s="3" t="str">
        <f>IFERROR(__xludf.DUMMYFUNCTION("""COMPUTED_VALUE"""),"14 K.Wichet T.")</f>
        <v>14 K.Wichet T.</v>
      </c>
      <c r="V3091" s="3" t="str">
        <f>IFERROR(__xludf.DUMMYFUNCTION("""COMPUTED_VALUE"""),"N")</f>
        <v>N</v>
      </c>
      <c r="W3091" s="3"/>
      <c r="X3091" s="3" t="str">
        <f>IFERROR(__xludf.DUMMYFUNCTION("""COMPUTED_VALUE"""),"หมู่บ้านอ่างทอง ถ.เพชรเกษม-บ้านร้านตัดผม ต.หงษ์เจริญ อ.ท่าแซะ จ.ชุมพร")</f>
        <v>หมู่บ้านอ่างทอง ถ.เพชรเกษม-บ้านร้านตัดผม ต.หงษ์เจริญ อ.ท่าแซะ จ.ชุมพร</v>
      </c>
      <c r="Y3091" s="3"/>
      <c r="Z3091" s="3">
        <f>IFERROR(__xludf.DUMMYFUNCTION("""COMPUTED_VALUE"""),0.0)</f>
        <v>0</v>
      </c>
      <c r="AA3091" s="3">
        <f>IFERROR(__xludf.DUMMYFUNCTION("""COMPUTED_VALUE"""),0.0)</f>
        <v>0</v>
      </c>
      <c r="AB3091" s="3" t="str">
        <f>IFERROR(__xludf.DUMMYFUNCTION("""COMPUTED_VALUE"""),"ชุมพร")</f>
        <v>ชุมพร</v>
      </c>
      <c r="AC3091" s="3">
        <f>IFERROR(__xludf.DUMMYFUNCTION("""COMPUTED_VALUE"""),0.0)</f>
        <v>0</v>
      </c>
      <c r="AD3091" s="3"/>
      <c r="AE3091" s="3"/>
      <c r="AF3091" s="3" t="str">
        <f>IFERROR(__xludf.DUMMYFUNCTION("""COMPUTED_VALUE"""),"ร้านบูมพาณิชย์-84070")</f>
        <v>ร้านบูมพาณิชย์-84070</v>
      </c>
      <c r="AG3091" s="3" t="str">
        <f>IFERROR(__xludf.DUMMYFUNCTION("""COMPUTED_VALUE"""),"ใต้")</f>
        <v>ใต้</v>
      </c>
      <c r="AH3091" s="3" t="str">
        <f>IFERROR(__xludf.DUMMYFUNCTION("""COMPUTED_VALUE"""),"#N/A")</f>
        <v>#N/A</v>
      </c>
      <c r="AI3091" s="3" t="str">
        <f>IFERROR(__xludf.DUMMYFUNCTION("""COMPUTED_VALUE"""),"Out of warranty")</f>
        <v>Out of warranty</v>
      </c>
      <c r="AJ3091" s="3">
        <f>IFERROR(__xludf.DUMMYFUNCTION("""COMPUTED_VALUE"""),36.0)</f>
        <v>36</v>
      </c>
      <c r="AK3091" s="3"/>
      <c r="AL3091" s="3"/>
    </row>
    <row r="3092" ht="15.75" customHeight="1">
      <c r="A3092" s="1" t="str">
        <f>IFERROR(__xludf.DUMMYFUNCTION("""COMPUTED_VALUE"""),"84076")</f>
        <v>84076</v>
      </c>
      <c r="B3092" s="2">
        <f>IFERROR(__xludf.DUMMYFUNCTION("""COMPUTED_VALUE"""),84076.0)</f>
        <v>84076</v>
      </c>
      <c r="C3092" s="3" t="str">
        <f>IFERROR(__xludf.DUMMYFUNCTION("""COMPUTED_VALUE"""),"ร้านโดนใจกนกวรรณ (ภาณุพงศ์)")</f>
        <v>ร้านโดนใจกนกวรรณ (ภาณุพงศ์)</v>
      </c>
      <c r="D3092" s="3" t="str">
        <f>IFERROR(__xludf.DUMMYFUNCTION("""COMPUTED_VALUE"""),"ร้านโดนใจกนกวรรณ (ภาณุพงศ์)")</f>
        <v>ร้านโดนใจกนกวรรณ (ภาณุพงศ์)</v>
      </c>
      <c r="E3092" s="1" t="str">
        <f>IFERROR(__xludf.DUMMYFUNCTION("""COMPUTED_VALUE"""),"Donjai")</f>
        <v>Donjai</v>
      </c>
      <c r="F3092" s="1" t="str">
        <f>IFERROR(__xludf.DUMMYFUNCTION("""COMPUTED_VALUE"""),"00510143")</f>
        <v>00510143</v>
      </c>
      <c r="G3092" s="1" t="str">
        <f>IFERROR(__xludf.DUMMYFUNCTION("""COMPUTED_VALUE"""),"นายธีระวัฒน์ บุญสิทธิ์")</f>
        <v>นายธีระวัฒน์ บุญสิทธิ์</v>
      </c>
      <c r="H3092" s="1" t="str">
        <f>IFERROR(__xludf.DUMMYFUNCTION("""COMPUTED_VALUE"""),"00510143")</f>
        <v>00510143</v>
      </c>
      <c r="I3092" s="1" t="str">
        <f>IFERROR(__xludf.DUMMYFUNCTION("""COMPUTED_VALUE"""),"นายธีระวัฒน์ บุญสิทธิ์")</f>
        <v>นายธีระวัฒน์ บุญสิทธิ์</v>
      </c>
      <c r="J3092" s="3">
        <f>IFERROR(__xludf.DUMMYFUNCTION("""COMPUTED_VALUE"""),228031.0)</f>
        <v>228031</v>
      </c>
      <c r="K3092" s="3" t="str">
        <f>IFERROR(__xludf.DUMMYFUNCTION("""COMPUTED_VALUE"""),"นายธนพงษ์ วันหมัด")</f>
        <v>นายธนพงษ์ วันหมัด</v>
      </c>
      <c r="L3092" s="1" t="str">
        <f>IFERROR(__xludf.DUMMYFUNCTION("""COMPUTED_VALUE"""),"นายธนพงษ์ วันหมัด")</f>
        <v>นายธนพงษ์ วันหมัด</v>
      </c>
      <c r="M3092" s="1" t="str">
        <f>IFERROR(__xludf.DUMMYFUNCTION("""COMPUTED_VALUE"""),"0813716913")</f>
        <v>0813716913</v>
      </c>
      <c r="N3092" s="3">
        <f>IFERROR(__xludf.DUMMYFUNCTION("""COMPUTED_VALUE"""),84076.0)</f>
        <v>84076</v>
      </c>
      <c r="O3092" s="3" t="str">
        <f>IFERROR(__xludf.DUMMYFUNCTION("""COMPUTED_VALUE"""),"ร้านโดนใจกนกวรรณ (ภาณุพงศ์)")</f>
        <v>ร้านโดนใจกนกวรรณ (ภาณุพงศ์)</v>
      </c>
      <c r="P3092" s="4">
        <f>IFERROR(__xludf.DUMMYFUNCTION("""COMPUTED_VALUE"""),44910.0)</f>
        <v>44910</v>
      </c>
      <c r="Q3092" s="3" t="str">
        <f>IFERROR(__xludf.DUMMYFUNCTION("""COMPUTED_VALUE"""),"A")</f>
        <v>A</v>
      </c>
      <c r="R3092" s="3" t="str">
        <f>IFERROR(__xludf.DUMMYFUNCTION("""COMPUTED_VALUE"""),"Small Format")</f>
        <v>Small Format</v>
      </c>
      <c r="S3092" s="3" t="str">
        <f>IFERROR(__xludf.DUMMYFUNCTION("""COMPUTED_VALUE"""),"Donjai")</f>
        <v>Donjai</v>
      </c>
      <c r="T3092" s="3" t="str">
        <f>IFERROR(__xludf.DUMMYFUNCTION("""COMPUTED_VALUE"""),"12 K.Theerawat B.")</f>
        <v>12 K.Theerawat B.</v>
      </c>
      <c r="U3092" s="3" t="str">
        <f>IFERROR(__xludf.DUMMYFUNCTION("""COMPUTED_VALUE"""),"12 K.Theerawat B.")</f>
        <v>12 K.Theerawat B.</v>
      </c>
      <c r="V3092" s="3" t="str">
        <f>IFERROR(__xludf.DUMMYFUNCTION("""COMPUTED_VALUE"""),"N")</f>
        <v>N</v>
      </c>
      <c r="W3092" s="3"/>
      <c r="X3092" s="3" t="str">
        <f>IFERROR(__xludf.DUMMYFUNCTION("""COMPUTED_VALUE"""),"(ปั้มEsso) 43/4 หมู่2 ตำบล บ้านฉาง อำเภอเมืองปทุมธานี ปทุมธานี 12000")</f>
        <v>(ปั้มEsso) 43/4 หมู่2 ตำบล บ้านฉาง อำเภอเมืองปทุมธานี ปทุมธานี 12000</v>
      </c>
      <c r="Y3092" s="3"/>
      <c r="Z3092" s="3">
        <f>IFERROR(__xludf.DUMMYFUNCTION("""COMPUTED_VALUE"""),0.0)</f>
        <v>0</v>
      </c>
      <c r="AA3092" s="3">
        <f>IFERROR(__xludf.DUMMYFUNCTION("""COMPUTED_VALUE"""),0.0)</f>
        <v>0</v>
      </c>
      <c r="AB3092" s="3" t="str">
        <f>IFERROR(__xludf.DUMMYFUNCTION("""COMPUTED_VALUE"""),"ปทุมธานี")</f>
        <v>ปทุมธานี</v>
      </c>
      <c r="AC3092" s="3">
        <f>IFERROR(__xludf.DUMMYFUNCTION("""COMPUTED_VALUE"""),12000.0)</f>
        <v>12000</v>
      </c>
      <c r="AD3092" s="3"/>
      <c r="AE3092" s="3"/>
      <c r="AF3092" s="3" t="str">
        <f>IFERROR(__xludf.DUMMYFUNCTION("""COMPUTED_VALUE"""),"ร้านโดนใจกนกวรรณ (ภาณุพงศ์)-84076")</f>
        <v>ร้านโดนใจกนกวรรณ (ภาณุพงศ์)-84076</v>
      </c>
      <c r="AG3092" s="3" t="str">
        <f>IFERROR(__xludf.DUMMYFUNCTION("""COMPUTED_VALUE"""),"กลาง")</f>
        <v>กลาง</v>
      </c>
      <c r="AH3092" s="3" t="str">
        <f>IFERROR(__xludf.DUMMYFUNCTION("""COMPUTED_VALUE"""),"#N/A")</f>
        <v>#N/A</v>
      </c>
      <c r="AI3092" s="3" t="str">
        <f>IFERROR(__xludf.DUMMYFUNCTION("""COMPUTED_VALUE"""),"Out of warranty")</f>
        <v>Out of warranty</v>
      </c>
      <c r="AJ3092" s="3">
        <f>IFERROR(__xludf.DUMMYFUNCTION("""COMPUTED_VALUE"""),38.0)</f>
        <v>38</v>
      </c>
      <c r="AK3092" s="3"/>
      <c r="AL3092" s="3"/>
    </row>
    <row r="3093" ht="15.75" customHeight="1">
      <c r="A3093" s="1" t="str">
        <f>IFERROR(__xludf.DUMMYFUNCTION("""COMPUTED_VALUE"""),"84078")</f>
        <v>84078</v>
      </c>
      <c r="B3093" s="2">
        <f>IFERROR(__xludf.DUMMYFUNCTION("""COMPUTED_VALUE"""),84078.0)</f>
        <v>84078</v>
      </c>
      <c r="C3093" s="3" t="str">
        <f>IFERROR(__xludf.DUMMYFUNCTION("""COMPUTED_VALUE"""),"ร้านยายทิพย์")</f>
        <v>ร้านยายทิพย์</v>
      </c>
      <c r="D3093" s="3" t="str">
        <f>IFERROR(__xludf.DUMMYFUNCTION("""COMPUTED_VALUE"""),"ร้านยายทิพย์")</f>
        <v>ร้านยายทิพย์</v>
      </c>
      <c r="E3093" s="1" t="str">
        <f>IFERROR(__xludf.DUMMYFUNCTION("""COMPUTED_VALUE"""),"Donjai")</f>
        <v>Donjai</v>
      </c>
      <c r="F3093" s="1" t="str">
        <f>IFERROR(__xludf.DUMMYFUNCTION("""COMPUTED_VALUE"""),"296866")</f>
        <v>296866</v>
      </c>
      <c r="G3093" s="1" t="str">
        <f>IFERROR(__xludf.DUMMYFUNCTION("""COMPUTED_VALUE"""),"นายณัฐภูมิ สุจริตธรรม")</f>
        <v>นายณัฐภูมิ สุจริตธรรม</v>
      </c>
      <c r="H3093" s="1" t="str">
        <f>IFERROR(__xludf.DUMMYFUNCTION("""COMPUTED_VALUE"""),"296866")</f>
        <v>296866</v>
      </c>
      <c r="I3093" s="1" t="str">
        <f>IFERROR(__xludf.DUMMYFUNCTION("""COMPUTED_VALUE"""),"นายณัฐภูมิ สุจริตธรรม")</f>
        <v>นายณัฐภูมิ สุจริตธรรม</v>
      </c>
      <c r="J3093" s="3">
        <f>IFERROR(__xludf.DUMMYFUNCTION("""COMPUTED_VALUE"""),228031.0)</f>
        <v>228031</v>
      </c>
      <c r="K3093" s="3" t="str">
        <f>IFERROR(__xludf.DUMMYFUNCTION("""COMPUTED_VALUE"""),"นายธนพงษ์ วันหมัด")</f>
        <v>นายธนพงษ์ วันหมัด</v>
      </c>
      <c r="L3093" s="1" t="str">
        <f>IFERROR(__xludf.DUMMYFUNCTION("""COMPUTED_VALUE"""),"นายธนพงษ์ วันหมัด")</f>
        <v>นายธนพงษ์ วันหมัด</v>
      </c>
      <c r="M3093" s="1" t="str">
        <f>IFERROR(__xludf.DUMMYFUNCTION("""COMPUTED_VALUE"""),"0813716913")</f>
        <v>0813716913</v>
      </c>
      <c r="N3093" s="3">
        <f>IFERROR(__xludf.DUMMYFUNCTION("""COMPUTED_VALUE"""),84078.0)</f>
        <v>84078</v>
      </c>
      <c r="O3093" s="3" t="str">
        <f>IFERROR(__xludf.DUMMYFUNCTION("""COMPUTED_VALUE"""),"ร้านยายทิพย์")</f>
        <v>ร้านยายทิพย์</v>
      </c>
      <c r="P3093" s="4">
        <f>IFERROR(__xludf.DUMMYFUNCTION("""COMPUTED_VALUE"""),44916.0)</f>
        <v>44916</v>
      </c>
      <c r="Q3093" s="3" t="str">
        <f>IFERROR(__xludf.DUMMYFUNCTION("""COMPUTED_VALUE"""),"I")</f>
        <v>I</v>
      </c>
      <c r="R3093" s="3" t="str">
        <f>IFERROR(__xludf.DUMMYFUNCTION("""COMPUTED_VALUE"""),"Small Format")</f>
        <v>Small Format</v>
      </c>
      <c r="S3093" s="3" t="str">
        <f>IFERROR(__xludf.DUMMYFUNCTION("""COMPUTED_VALUE"""),"Donjai")</f>
        <v>Donjai</v>
      </c>
      <c r="T3093" s="3" t="str">
        <f>IFERROR(__xludf.DUMMYFUNCTION("""COMPUTED_VALUE"""),"#N/A")</f>
        <v>#N/A</v>
      </c>
      <c r="U3093" s="3" t="str">
        <f>IFERROR(__xludf.DUMMYFUNCTION("""COMPUTED_VALUE"""),"#N/A")</f>
        <v>#N/A</v>
      </c>
      <c r="V3093" s="3" t="str">
        <f>IFERROR(__xludf.DUMMYFUNCTION("""COMPUTED_VALUE"""),"N")</f>
        <v>N</v>
      </c>
      <c r="W3093" s="3"/>
      <c r="X3093" s="3" t="str">
        <f>IFERROR(__xludf.DUMMYFUNCTION("""COMPUTED_VALUE"""),"207 หมู่ 2 โคกกร่าง ต.สร้อยทอง อ.ตาคลี จ.นครสวรรค์")</f>
        <v>207 หมู่ 2 โคกกร่าง ต.สร้อยทอง อ.ตาคลี จ.นครสวรรค์</v>
      </c>
      <c r="Y3093" s="3"/>
      <c r="Z3093" s="3">
        <f>IFERROR(__xludf.DUMMYFUNCTION("""COMPUTED_VALUE"""),0.0)</f>
        <v>0</v>
      </c>
      <c r="AA3093" s="3">
        <f>IFERROR(__xludf.DUMMYFUNCTION("""COMPUTED_VALUE"""),0.0)</f>
        <v>0</v>
      </c>
      <c r="AB3093" s="3" t="str">
        <f>IFERROR(__xludf.DUMMYFUNCTION("""COMPUTED_VALUE"""),"นครสวรรค์")</f>
        <v>นครสวรรค์</v>
      </c>
      <c r="AC3093" s="3">
        <f>IFERROR(__xludf.DUMMYFUNCTION("""COMPUTED_VALUE"""),0.0)</f>
        <v>0</v>
      </c>
      <c r="AD3093" s="3"/>
      <c r="AE3093" s="3"/>
      <c r="AF3093" s="3" t="str">
        <f>IFERROR(__xludf.DUMMYFUNCTION("""COMPUTED_VALUE"""),"ร้านยายทิพย์-84078")</f>
        <v>ร้านยายทิพย์-84078</v>
      </c>
      <c r="AG3093" s="3" t="str">
        <f>IFERROR(__xludf.DUMMYFUNCTION("""COMPUTED_VALUE"""),"กลาง")</f>
        <v>กลาง</v>
      </c>
      <c r="AH3093" s="3" t="str">
        <f>IFERROR(__xludf.DUMMYFUNCTION("""COMPUTED_VALUE"""),"#N/A")</f>
        <v>#N/A</v>
      </c>
      <c r="AI3093" s="3" t="str">
        <f>IFERROR(__xludf.DUMMYFUNCTION("""COMPUTED_VALUE"""),"Out of warranty")</f>
        <v>Out of warranty</v>
      </c>
      <c r="AJ3093" s="3">
        <f>IFERROR(__xludf.DUMMYFUNCTION("""COMPUTED_VALUE"""),37.0)</f>
        <v>37</v>
      </c>
      <c r="AK3093" s="3"/>
      <c r="AL3093" s="3"/>
    </row>
    <row r="3094" ht="15.75" customHeight="1">
      <c r="A3094" s="1" t="str">
        <f>IFERROR(__xludf.DUMMYFUNCTION("""COMPUTED_VALUE"""),"84079")</f>
        <v>84079</v>
      </c>
      <c r="B3094" s="2">
        <f>IFERROR(__xludf.DUMMYFUNCTION("""COMPUTED_VALUE"""),84079.0)</f>
        <v>84079</v>
      </c>
      <c r="C3094" s="3" t="str">
        <f>IFERROR(__xludf.DUMMYFUNCTION("""COMPUTED_VALUE"""),"ร้านจิราภรณ์พาณิชย์")</f>
        <v>ร้านจิราภรณ์พาณิชย์</v>
      </c>
      <c r="D3094" s="3" t="str">
        <f>IFERROR(__xludf.DUMMYFUNCTION("""COMPUTED_VALUE"""),"ร้านจิราภรณ์พาณิชย์")</f>
        <v>ร้านจิราภรณ์พาณิชย์</v>
      </c>
      <c r="E3094" s="1" t="str">
        <f>IFERROR(__xludf.DUMMYFUNCTION("""COMPUTED_VALUE"""),"Donjai")</f>
        <v>Donjai</v>
      </c>
      <c r="F3094" s="1" t="str">
        <f>IFERROR(__xludf.DUMMYFUNCTION("""COMPUTED_VALUE"""),"296868")</f>
        <v>296868</v>
      </c>
      <c r="G3094" s="1" t="str">
        <f>IFERROR(__xludf.DUMMYFUNCTION("""COMPUTED_VALUE"""),"นายพีระพงษ์ แก้วดวงดี")</f>
        <v>นายพีระพงษ์ แก้วดวงดี</v>
      </c>
      <c r="H3094" s="1" t="str">
        <f>IFERROR(__xludf.DUMMYFUNCTION("""COMPUTED_VALUE"""),"296868")</f>
        <v>296868</v>
      </c>
      <c r="I3094" s="1" t="str">
        <f>IFERROR(__xludf.DUMMYFUNCTION("""COMPUTED_VALUE"""),"นายพีระพงษ์ แก้วดวงดี")</f>
        <v>นายพีระพงษ์ แก้วดวงดี</v>
      </c>
      <c r="J3094" s="3">
        <f>IFERROR(__xludf.DUMMYFUNCTION("""COMPUTED_VALUE"""),295886.0)</f>
        <v>295886</v>
      </c>
      <c r="K3094" s="3" t="str">
        <f>IFERROR(__xludf.DUMMYFUNCTION("""COMPUTED_VALUE"""),"นายจิระพงษ์ โพธิ์นิล")</f>
        <v>นายจิระพงษ์ โพธิ์นิล</v>
      </c>
      <c r="L3094" s="1" t="str">
        <f>IFERROR(__xludf.DUMMYFUNCTION("""COMPUTED_VALUE"""),"นายจิระพงษ์ โพธิ์นิล")</f>
        <v>นายจิระพงษ์ โพธิ์นิล</v>
      </c>
      <c r="M3094" s="1" t="str">
        <f>IFERROR(__xludf.DUMMYFUNCTION("""COMPUTED_VALUE"""),"0933290754")</f>
        <v>0933290754</v>
      </c>
      <c r="N3094" s="3">
        <f>IFERROR(__xludf.DUMMYFUNCTION("""COMPUTED_VALUE"""),84079.0)</f>
        <v>84079</v>
      </c>
      <c r="O3094" s="3" t="str">
        <f>IFERROR(__xludf.DUMMYFUNCTION("""COMPUTED_VALUE"""),"ร้านจิราภรณ์พาณิชย์")</f>
        <v>ร้านจิราภรณ์พาณิชย์</v>
      </c>
      <c r="P3094" s="4">
        <f>IFERROR(__xludf.DUMMYFUNCTION("""COMPUTED_VALUE"""),44912.0)</f>
        <v>44912</v>
      </c>
      <c r="Q3094" s="3" t="str">
        <f>IFERROR(__xludf.DUMMYFUNCTION("""COMPUTED_VALUE"""),"I")</f>
        <v>I</v>
      </c>
      <c r="R3094" s="3" t="str">
        <f>IFERROR(__xludf.DUMMYFUNCTION("""COMPUTED_VALUE"""),"Small Format")</f>
        <v>Small Format</v>
      </c>
      <c r="S3094" s="3" t="str">
        <f>IFERROR(__xludf.DUMMYFUNCTION("""COMPUTED_VALUE"""),"Donjai")</f>
        <v>Donjai</v>
      </c>
      <c r="T3094" s="3" t="str">
        <f>IFERROR(__xludf.DUMMYFUNCTION("""COMPUTED_VALUE"""),"03 K.Peerapong K.")</f>
        <v>03 K.Peerapong K.</v>
      </c>
      <c r="U3094" s="3" t="str">
        <f>IFERROR(__xludf.DUMMYFUNCTION("""COMPUTED_VALUE"""),"03 K.Peerapong K.")</f>
        <v>03 K.Peerapong K.</v>
      </c>
      <c r="V3094" s="3" t="str">
        <f>IFERROR(__xludf.DUMMYFUNCTION("""COMPUTED_VALUE"""),"N")</f>
        <v>N</v>
      </c>
      <c r="W3094" s="3"/>
      <c r="X3094" s="3" t="str">
        <f>IFERROR(__xludf.DUMMYFUNCTION("""COMPUTED_VALUE"""),"170 ม.3 ต.โนนท่อน อ.เมืองขอนแก่น จ.ขอนแก่น 40000")</f>
        <v>170 ม.3 ต.โนนท่อน อ.เมืองขอนแก่น จ.ขอนแก่น 40000</v>
      </c>
      <c r="Y3094" s="3"/>
      <c r="Z3094" s="3">
        <f>IFERROR(__xludf.DUMMYFUNCTION("""COMPUTED_VALUE"""),0.0)</f>
        <v>0</v>
      </c>
      <c r="AA3094" s="3">
        <f>IFERROR(__xludf.DUMMYFUNCTION("""COMPUTED_VALUE"""),0.0)</f>
        <v>0</v>
      </c>
      <c r="AB3094" s="3" t="str">
        <f>IFERROR(__xludf.DUMMYFUNCTION("""COMPUTED_VALUE"""),"ขอนแก่น")</f>
        <v>ขอนแก่น</v>
      </c>
      <c r="AC3094" s="3">
        <f>IFERROR(__xludf.DUMMYFUNCTION("""COMPUTED_VALUE"""),40000.0)</f>
        <v>40000</v>
      </c>
      <c r="AD3094" s="3"/>
      <c r="AE3094" s="3"/>
      <c r="AF3094" s="3" t="str">
        <f>IFERROR(__xludf.DUMMYFUNCTION("""COMPUTED_VALUE"""),"ร้านจิราภรณ์พาณิชย์-84079")</f>
        <v>ร้านจิราภรณ์พาณิชย์-84079</v>
      </c>
      <c r="AG3094" s="3" t="str">
        <f>IFERROR(__xludf.DUMMYFUNCTION("""COMPUTED_VALUE"""),"ตะวันออกเฉียงเหนือ")</f>
        <v>ตะวันออกเฉียงเหนือ</v>
      </c>
      <c r="AH3094" s="3" t="str">
        <f>IFERROR(__xludf.DUMMYFUNCTION("""COMPUTED_VALUE"""),"#N/A")</f>
        <v>#N/A</v>
      </c>
      <c r="AI3094" s="3" t="str">
        <f>IFERROR(__xludf.DUMMYFUNCTION("""COMPUTED_VALUE"""),"Out of warranty")</f>
        <v>Out of warranty</v>
      </c>
      <c r="AJ3094" s="3">
        <f>IFERROR(__xludf.DUMMYFUNCTION("""COMPUTED_VALUE"""),38.0)</f>
        <v>38</v>
      </c>
      <c r="AK3094" s="3"/>
      <c r="AL3094" s="3"/>
    </row>
    <row r="3095" ht="15.75" customHeight="1">
      <c r="A3095" s="1" t="str">
        <f>IFERROR(__xludf.DUMMYFUNCTION("""COMPUTED_VALUE"""),"84091")</f>
        <v>84091</v>
      </c>
      <c r="B3095" s="2">
        <f>IFERROR(__xludf.DUMMYFUNCTION("""COMPUTED_VALUE"""),84091.0)</f>
        <v>84091</v>
      </c>
      <c r="C3095" s="3" t="str">
        <f>IFERROR(__xludf.DUMMYFUNCTION("""COMPUTED_VALUE"""),"ร้านเจ้ปูมินิมาร์ท(สุวิมล)")</f>
        <v>ร้านเจ้ปูมินิมาร์ท(สุวิมล)</v>
      </c>
      <c r="D3095" s="3" t="str">
        <f>IFERROR(__xludf.DUMMYFUNCTION("""COMPUTED_VALUE"""),"ร้านเจ้ปูมินิมาร์ท(สุวิมล)")</f>
        <v>ร้านเจ้ปูมินิมาร์ท(สุวิมล)</v>
      </c>
      <c r="E3095" s="1" t="str">
        <f>IFERROR(__xludf.DUMMYFUNCTION("""COMPUTED_VALUE"""),"Donjai")</f>
        <v>Donjai</v>
      </c>
      <c r="F3095" s="1" t="str">
        <f>IFERROR(__xludf.DUMMYFUNCTION("""COMPUTED_VALUE"""),"296942")</f>
        <v>296942</v>
      </c>
      <c r="G3095" s="1" t="str">
        <f>IFERROR(__xludf.DUMMYFUNCTION("""COMPUTED_VALUE"""),"นายปิยะ รักษากิจ")</f>
        <v>นายปิยะ รักษากิจ</v>
      </c>
      <c r="H3095" s="1" t="str">
        <f>IFERROR(__xludf.DUMMYFUNCTION("""COMPUTED_VALUE"""),"296942")</f>
        <v>296942</v>
      </c>
      <c r="I3095" s="1" t="str">
        <f>IFERROR(__xludf.DUMMYFUNCTION("""COMPUTED_VALUE"""),"นายปิยะ รักษากิจ")</f>
        <v>นายปิยะ รักษากิจ</v>
      </c>
      <c r="J3095" s="3">
        <f>IFERROR(__xludf.DUMMYFUNCTION("""COMPUTED_VALUE"""),295541.0)</f>
        <v>295541</v>
      </c>
      <c r="K3095" s="3" t="str">
        <f>IFERROR(__xludf.DUMMYFUNCTION("""COMPUTED_VALUE"""),"นายรพิพล ศรีมาตย์")</f>
        <v>นายรพิพล ศรีมาตย์</v>
      </c>
      <c r="L3095" s="1" t="str">
        <f>IFERROR(__xludf.DUMMYFUNCTION("""COMPUTED_VALUE"""),"นายรพิพล ศรีมาตย์")</f>
        <v>นายรพิพล ศรีมาตย์</v>
      </c>
      <c r="M3095" s="1" t="str">
        <f>IFERROR(__xludf.DUMMYFUNCTION("""COMPUTED_VALUE"""),"0613966115")</f>
        <v>0613966115</v>
      </c>
      <c r="N3095" s="3">
        <f>IFERROR(__xludf.DUMMYFUNCTION("""COMPUTED_VALUE"""),84091.0)</f>
        <v>84091</v>
      </c>
      <c r="O3095" s="3" t="str">
        <f>IFERROR(__xludf.DUMMYFUNCTION("""COMPUTED_VALUE"""),"ร้านเจ้ปูมินิมาร์ท(สุวิมล)")</f>
        <v>ร้านเจ้ปูมินิมาร์ท(สุวิมล)</v>
      </c>
      <c r="P3095" s="4">
        <f>IFERROR(__xludf.DUMMYFUNCTION("""COMPUTED_VALUE"""),44913.0)</f>
        <v>44913</v>
      </c>
      <c r="Q3095" s="3" t="str">
        <f>IFERROR(__xludf.DUMMYFUNCTION("""COMPUTED_VALUE"""),"A")</f>
        <v>A</v>
      </c>
      <c r="R3095" s="3" t="str">
        <f>IFERROR(__xludf.DUMMYFUNCTION("""COMPUTED_VALUE"""),"Small Format")</f>
        <v>Small Format</v>
      </c>
      <c r="S3095" s="3" t="str">
        <f>IFERROR(__xludf.DUMMYFUNCTION("""COMPUTED_VALUE"""),"Donjai")</f>
        <v>Donjai</v>
      </c>
      <c r="T3095" s="3" t="str">
        <f>IFERROR(__xludf.DUMMYFUNCTION("""COMPUTED_VALUE"""),"07 K.Piya R.")</f>
        <v>07 K.Piya R.</v>
      </c>
      <c r="U3095" s="3" t="str">
        <f>IFERROR(__xludf.DUMMYFUNCTION("""COMPUTED_VALUE"""),"07 K.Piya R.")</f>
        <v>07 K.Piya R.</v>
      </c>
      <c r="V3095" s="3" t="str">
        <f>IFERROR(__xludf.DUMMYFUNCTION("""COMPUTED_VALUE"""),"N")</f>
        <v>N</v>
      </c>
      <c r="W3095" s="3"/>
      <c r="X3095" s="3" t="str">
        <f>IFERROR(__xludf.DUMMYFUNCTION("""COMPUTED_VALUE"""),"36/39 หมู่2 ต.หนองตะพาน อ.บ้านค่าย จ.ระยอง 21120")</f>
        <v>36/39 หมู่2 ต.หนองตะพาน อ.บ้านค่าย จ.ระยอง 21120</v>
      </c>
      <c r="Y3095" s="3"/>
      <c r="Z3095" s="3">
        <f>IFERROR(__xludf.DUMMYFUNCTION("""COMPUTED_VALUE"""),0.0)</f>
        <v>0</v>
      </c>
      <c r="AA3095" s="3">
        <f>IFERROR(__xludf.DUMMYFUNCTION("""COMPUTED_VALUE"""),0.0)</f>
        <v>0</v>
      </c>
      <c r="AB3095" s="3" t="str">
        <f>IFERROR(__xludf.DUMMYFUNCTION("""COMPUTED_VALUE"""),"ระยอง")</f>
        <v>ระยอง</v>
      </c>
      <c r="AC3095" s="3">
        <f>IFERROR(__xludf.DUMMYFUNCTION("""COMPUTED_VALUE"""),21120.0)</f>
        <v>21120</v>
      </c>
      <c r="AD3095" s="3"/>
      <c r="AE3095" s="3"/>
      <c r="AF3095" s="3" t="str">
        <f>IFERROR(__xludf.DUMMYFUNCTION("""COMPUTED_VALUE"""),"ร้านเจ้ปูมินิมาร์ท(สุวิมล)-84091")</f>
        <v>ร้านเจ้ปูมินิมาร์ท(สุวิมล)-84091</v>
      </c>
      <c r="AG3095" s="3" t="str">
        <f>IFERROR(__xludf.DUMMYFUNCTION("""COMPUTED_VALUE"""),"ตะวันออก")</f>
        <v>ตะวันออก</v>
      </c>
      <c r="AH3095" s="3" t="str">
        <f>IFERROR(__xludf.DUMMYFUNCTION("""COMPUTED_VALUE"""),"#N/A")</f>
        <v>#N/A</v>
      </c>
      <c r="AI3095" s="3" t="str">
        <f>IFERROR(__xludf.DUMMYFUNCTION("""COMPUTED_VALUE"""),"Out of warranty")</f>
        <v>Out of warranty</v>
      </c>
      <c r="AJ3095" s="3">
        <f>IFERROR(__xludf.DUMMYFUNCTION("""COMPUTED_VALUE"""),38.0)</f>
        <v>38</v>
      </c>
      <c r="AK3095" s="3"/>
      <c r="AL3095" s="3"/>
    </row>
    <row r="3096" ht="15.75" customHeight="1">
      <c r="A3096" s="1" t="str">
        <f>IFERROR(__xludf.DUMMYFUNCTION("""COMPUTED_VALUE"""),"84096")</f>
        <v>84096</v>
      </c>
      <c r="B3096" s="2">
        <f>IFERROR(__xludf.DUMMYFUNCTION("""COMPUTED_VALUE"""),84096.0)</f>
        <v>84096</v>
      </c>
      <c r="C3096" s="3" t="str">
        <f>IFERROR(__xludf.DUMMYFUNCTION("""COMPUTED_VALUE"""),"ร้าน เจ &amp; จี (ก๊อบ&amp;จ๊อบ) (คุณวุฒิชัย (ร้านใหม่))")</f>
        <v>ร้าน เจ &amp; จี (ก๊อบ&amp;จ๊อบ) (คุณวุฒิชัย (ร้านใหม่))</v>
      </c>
      <c r="D3096" s="3" t="str">
        <f>IFERROR(__xludf.DUMMYFUNCTION("""COMPUTED_VALUE"""),"ร้าน เจ &amp; จี (ก๊อบ&amp;จ๊อบ) (คุณวุฒิชัย (ร้านใหม่))")</f>
        <v>ร้าน เจ &amp; จี (ก๊อบ&amp;จ๊อบ) (คุณวุฒิชัย (ร้านใหม่))</v>
      </c>
      <c r="E3096" s="1" t="str">
        <f>IFERROR(__xludf.DUMMYFUNCTION("""COMPUTED_VALUE"""),"Donjai")</f>
        <v>Donjai</v>
      </c>
      <c r="F3096" s="1" t="str">
        <f>IFERROR(__xludf.DUMMYFUNCTION("""COMPUTED_VALUE"""),"13461215")</f>
        <v>13461215</v>
      </c>
      <c r="G3096" s="1" t="str">
        <f>IFERROR(__xludf.DUMMYFUNCTION("""COMPUTED_VALUE"""),"นายธีรภัทร สังข์เงิน")</f>
        <v>นายธีรภัทร สังข์เงิน</v>
      </c>
      <c r="H3096" s="1" t="str">
        <f>IFERROR(__xludf.DUMMYFUNCTION("""COMPUTED_VALUE"""),"13461215")</f>
        <v>13461215</v>
      </c>
      <c r="I3096" s="1" t="str">
        <f>IFERROR(__xludf.DUMMYFUNCTION("""COMPUTED_VALUE"""),"นายธีรภัทร สังข์เงิน")</f>
        <v>นายธีรภัทร สังข์เงิน</v>
      </c>
      <c r="J3096" s="3">
        <f>IFERROR(__xludf.DUMMYFUNCTION("""COMPUTED_VALUE"""),295541.0)</f>
        <v>295541</v>
      </c>
      <c r="K3096" s="3" t="str">
        <f>IFERROR(__xludf.DUMMYFUNCTION("""COMPUTED_VALUE"""),"นายรพิพล ศรีมาตย์")</f>
        <v>นายรพิพล ศรีมาตย์</v>
      </c>
      <c r="L3096" s="1" t="str">
        <f>IFERROR(__xludf.DUMMYFUNCTION("""COMPUTED_VALUE"""),"นายรพิพล ศรีมาตย์")</f>
        <v>นายรพิพล ศรีมาตย์</v>
      </c>
      <c r="M3096" s="1" t="str">
        <f>IFERROR(__xludf.DUMMYFUNCTION("""COMPUTED_VALUE"""),"0613966115")</f>
        <v>0613966115</v>
      </c>
      <c r="N3096" s="3">
        <f>IFERROR(__xludf.DUMMYFUNCTION("""COMPUTED_VALUE"""),84096.0)</f>
        <v>84096</v>
      </c>
      <c r="O3096" s="3" t="str">
        <f>IFERROR(__xludf.DUMMYFUNCTION("""COMPUTED_VALUE"""),"ร้าน เจ &amp; จี (ก๊อบ&amp;จ๊อบ) (คุณวุฒิชัย (ร้านใหม่))")</f>
        <v>ร้าน เจ &amp; จี (ก๊อบ&amp;จ๊อบ) (คุณวุฒิชัย (ร้านใหม่))</v>
      </c>
      <c r="P3096" s="4">
        <f>IFERROR(__xludf.DUMMYFUNCTION("""COMPUTED_VALUE"""),44921.0)</f>
        <v>44921</v>
      </c>
      <c r="Q3096" s="3" t="str">
        <f>IFERROR(__xludf.DUMMYFUNCTION("""COMPUTED_VALUE"""),"I")</f>
        <v>I</v>
      </c>
      <c r="R3096" s="3" t="str">
        <f>IFERROR(__xludf.DUMMYFUNCTION("""COMPUTED_VALUE"""),"Small Format")</f>
        <v>Small Format</v>
      </c>
      <c r="S3096" s="3" t="str">
        <f>IFERROR(__xludf.DUMMYFUNCTION("""COMPUTED_VALUE"""),"Donjai")</f>
        <v>Donjai</v>
      </c>
      <c r="T3096" s="3" t="str">
        <f>IFERROR(__xludf.DUMMYFUNCTION("""COMPUTED_VALUE"""),"06 K.Teerapat")</f>
        <v>06 K.Teerapat</v>
      </c>
      <c r="U3096" s="3" t="str">
        <f>IFERROR(__xludf.DUMMYFUNCTION("""COMPUTED_VALUE"""),"06 K.Teerapat")</f>
        <v>06 K.Teerapat</v>
      </c>
      <c r="V3096" s="3" t="str">
        <f>IFERROR(__xludf.DUMMYFUNCTION("""COMPUTED_VALUE"""),"N")</f>
        <v>N</v>
      </c>
      <c r="W3096" s="3"/>
      <c r="X3096" s="3" t="str">
        <f>IFERROR(__xludf.DUMMYFUNCTION("""COMPUTED_VALUE"""),"18 ม.4 ต.เกษตรสุวรรณ อ.บ่อทอง จ.ชลบุรี 20270")</f>
        <v>18 ม.4 ต.เกษตรสุวรรณ อ.บ่อทอง จ.ชลบุรี 20270</v>
      </c>
      <c r="Y3096" s="3"/>
      <c r="Z3096" s="3">
        <f>IFERROR(__xludf.DUMMYFUNCTION("""COMPUTED_VALUE"""),0.0)</f>
        <v>0</v>
      </c>
      <c r="AA3096" s="3">
        <f>IFERROR(__xludf.DUMMYFUNCTION("""COMPUTED_VALUE"""),0.0)</f>
        <v>0</v>
      </c>
      <c r="AB3096" s="3" t="str">
        <f>IFERROR(__xludf.DUMMYFUNCTION("""COMPUTED_VALUE"""),"ชลบุรี")</f>
        <v>ชลบุรี</v>
      </c>
      <c r="AC3096" s="3">
        <f>IFERROR(__xludf.DUMMYFUNCTION("""COMPUTED_VALUE"""),20270.0)</f>
        <v>20270</v>
      </c>
      <c r="AD3096" s="3"/>
      <c r="AE3096" s="3"/>
      <c r="AF3096" s="3" t="str">
        <f>IFERROR(__xludf.DUMMYFUNCTION("""COMPUTED_VALUE"""),"ร้าน เจ &amp; จี (ก๊อบ&amp;จ๊อบ) (คุณวุฒิชัย (ร้านใหม่))-84096")</f>
        <v>ร้าน เจ &amp; จี (ก๊อบ&amp;จ๊อบ) (คุณวุฒิชัย (ร้านใหม่))-84096</v>
      </c>
      <c r="AG3096" s="3" t="str">
        <f>IFERROR(__xludf.DUMMYFUNCTION("""COMPUTED_VALUE"""),"ตะวันออก")</f>
        <v>ตะวันออก</v>
      </c>
      <c r="AH3096" s="3" t="str">
        <f>IFERROR(__xludf.DUMMYFUNCTION("""COMPUTED_VALUE"""),"#N/A")</f>
        <v>#N/A</v>
      </c>
      <c r="AI3096" s="3" t="str">
        <f>IFERROR(__xludf.DUMMYFUNCTION("""COMPUTED_VALUE"""),"Out of warranty")</f>
        <v>Out of warranty</v>
      </c>
      <c r="AJ3096" s="3">
        <f>IFERROR(__xludf.DUMMYFUNCTION("""COMPUTED_VALUE"""),37.0)</f>
        <v>37</v>
      </c>
      <c r="AK3096" s="3"/>
      <c r="AL3096" s="3"/>
    </row>
    <row r="3097" ht="15.75" customHeight="1">
      <c r="A3097" s="1" t="str">
        <f>IFERROR(__xludf.DUMMYFUNCTION("""COMPUTED_VALUE"""),"84097")</f>
        <v>84097</v>
      </c>
      <c r="B3097" s="2">
        <f>IFERROR(__xludf.DUMMYFUNCTION("""COMPUTED_VALUE"""),84097.0)</f>
        <v>84097</v>
      </c>
      <c r="C3097" s="3" t="str">
        <f>IFERROR(__xludf.DUMMYFUNCTION("""COMPUTED_VALUE"""),"ร้านน้องกัปตัน-น้องดีกัน")</f>
        <v>ร้านน้องกัปตัน-น้องดีกัน</v>
      </c>
      <c r="D3097" s="3" t="str">
        <f>IFERROR(__xludf.DUMMYFUNCTION("""COMPUTED_VALUE"""),"ร้านน้องกัปตัน-น้องดีกัน")</f>
        <v>ร้านน้องกัปตัน-น้องดีกัน</v>
      </c>
      <c r="E3097" s="1" t="str">
        <f>IFERROR(__xludf.DUMMYFUNCTION("""COMPUTED_VALUE"""),"Donjai")</f>
        <v>Donjai</v>
      </c>
      <c r="F3097" s="1" t="str">
        <f>IFERROR(__xludf.DUMMYFUNCTION("""COMPUTED_VALUE"""),"296608")</f>
        <v>296608</v>
      </c>
      <c r="G3097" s="1" t="str">
        <f>IFERROR(__xludf.DUMMYFUNCTION("""COMPUTED_VALUE"""),"นายภาคภูมิ เพ็ชรนิล")</f>
        <v>นายภาคภูมิ เพ็ชรนิล</v>
      </c>
      <c r="H3097" s="1" t="str">
        <f>IFERROR(__xludf.DUMMYFUNCTION("""COMPUTED_VALUE"""),"296608")</f>
        <v>296608</v>
      </c>
      <c r="I3097" s="1" t="str">
        <f>IFERROR(__xludf.DUMMYFUNCTION("""COMPUTED_VALUE"""),"นายภาคภูมิ เพ็ชรนิล")</f>
        <v>นายภาคภูมิ เพ็ชรนิล</v>
      </c>
      <c r="J3097" s="3">
        <f>IFERROR(__xludf.DUMMYFUNCTION("""COMPUTED_VALUE"""),228031.0)</f>
        <v>228031</v>
      </c>
      <c r="K3097" s="3" t="str">
        <f>IFERROR(__xludf.DUMMYFUNCTION("""COMPUTED_VALUE"""),"นายธนพงษ์ วันหมัด")</f>
        <v>นายธนพงษ์ วันหมัด</v>
      </c>
      <c r="L3097" s="1" t="str">
        <f>IFERROR(__xludf.DUMMYFUNCTION("""COMPUTED_VALUE"""),"นายธนพงษ์ วันหมัด")</f>
        <v>นายธนพงษ์ วันหมัด</v>
      </c>
      <c r="M3097" s="1" t="str">
        <f>IFERROR(__xludf.DUMMYFUNCTION("""COMPUTED_VALUE"""),"0813716913")</f>
        <v>0813716913</v>
      </c>
      <c r="N3097" s="3">
        <f>IFERROR(__xludf.DUMMYFUNCTION("""COMPUTED_VALUE"""),84097.0)</f>
        <v>84097</v>
      </c>
      <c r="O3097" s="3" t="str">
        <f>IFERROR(__xludf.DUMMYFUNCTION("""COMPUTED_VALUE"""),"ร้านน้องกัปตัน-น้องดีกัน")</f>
        <v>ร้านน้องกัปตัน-น้องดีกัน</v>
      </c>
      <c r="P3097" s="4">
        <f>IFERROR(__xludf.DUMMYFUNCTION("""COMPUTED_VALUE"""),44919.0)</f>
        <v>44919</v>
      </c>
      <c r="Q3097" s="3" t="str">
        <f>IFERROR(__xludf.DUMMYFUNCTION("""COMPUTED_VALUE"""),"I")</f>
        <v>I</v>
      </c>
      <c r="R3097" s="3" t="str">
        <f>IFERROR(__xludf.DUMMYFUNCTION("""COMPUTED_VALUE"""),"Small Format")</f>
        <v>Small Format</v>
      </c>
      <c r="S3097" s="3" t="str">
        <f>IFERROR(__xludf.DUMMYFUNCTION("""COMPUTED_VALUE"""),"Donjai")</f>
        <v>Donjai</v>
      </c>
      <c r="T3097" s="3" t="str">
        <f>IFERROR(__xludf.DUMMYFUNCTION("""COMPUTED_VALUE"""),"10 K.Phakphoom P.")</f>
        <v>10 K.Phakphoom P.</v>
      </c>
      <c r="U3097" s="3" t="str">
        <f>IFERROR(__xludf.DUMMYFUNCTION("""COMPUTED_VALUE"""),"10 K.Phakphoom P.")</f>
        <v>10 K.Phakphoom P.</v>
      </c>
      <c r="V3097" s="3" t="str">
        <f>IFERROR(__xludf.DUMMYFUNCTION("""COMPUTED_VALUE"""),"N")</f>
        <v>N</v>
      </c>
      <c r="W3097" s="3"/>
      <c r="X3097" s="3" t="str">
        <f>IFERROR(__xludf.DUMMYFUNCTION("""COMPUTED_VALUE"""),"79/181 หมู่บ้านตะวันงาม บางใหญ่ บางใหญ่ นนทบุรี 11140")</f>
        <v>79/181 หมู่บ้านตะวันงาม บางใหญ่ บางใหญ่ นนทบุรี 11140</v>
      </c>
      <c r="Y3097" s="3"/>
      <c r="Z3097" s="3">
        <f>IFERROR(__xludf.DUMMYFUNCTION("""COMPUTED_VALUE"""),0.0)</f>
        <v>0</v>
      </c>
      <c r="AA3097" s="3">
        <f>IFERROR(__xludf.DUMMYFUNCTION("""COMPUTED_VALUE"""),0.0)</f>
        <v>0</v>
      </c>
      <c r="AB3097" s="3" t="str">
        <f>IFERROR(__xludf.DUMMYFUNCTION("""COMPUTED_VALUE"""),"นนทบุรี")</f>
        <v>นนทบุรี</v>
      </c>
      <c r="AC3097" s="3">
        <f>IFERROR(__xludf.DUMMYFUNCTION("""COMPUTED_VALUE"""),11140.0)</f>
        <v>11140</v>
      </c>
      <c r="AD3097" s="3"/>
      <c r="AE3097" s="3"/>
      <c r="AF3097" s="3" t="str">
        <f>IFERROR(__xludf.DUMMYFUNCTION("""COMPUTED_VALUE"""),"ร้านน้องกัปตัน-น้องดีกัน-84097")</f>
        <v>ร้านน้องกัปตัน-น้องดีกัน-84097</v>
      </c>
      <c r="AG3097" s="3" t="str">
        <f>IFERROR(__xludf.DUMMYFUNCTION("""COMPUTED_VALUE"""),"กลาง")</f>
        <v>กลาง</v>
      </c>
      <c r="AH3097" s="3" t="str">
        <f>IFERROR(__xludf.DUMMYFUNCTION("""COMPUTED_VALUE"""),"#N/A")</f>
        <v>#N/A</v>
      </c>
      <c r="AI3097" s="3" t="str">
        <f>IFERROR(__xludf.DUMMYFUNCTION("""COMPUTED_VALUE"""),"Out of warranty")</f>
        <v>Out of warranty</v>
      </c>
      <c r="AJ3097" s="3">
        <f>IFERROR(__xludf.DUMMYFUNCTION("""COMPUTED_VALUE"""),37.0)</f>
        <v>37</v>
      </c>
      <c r="AK3097" s="3"/>
      <c r="AL3097" s="3"/>
    </row>
    <row r="3098" ht="15.75" customHeight="1">
      <c r="A3098" s="1" t="str">
        <f>IFERROR(__xludf.DUMMYFUNCTION("""COMPUTED_VALUE"""),"84099")</f>
        <v>84099</v>
      </c>
      <c r="B3098" s="2">
        <f>IFERROR(__xludf.DUMMYFUNCTION("""COMPUTED_VALUE"""),84099.0)</f>
        <v>84099</v>
      </c>
      <c r="C3098" s="3" t="str">
        <f>IFERROR(__xludf.DUMMYFUNCTION("""COMPUTED_VALUE"""),"ร้านออกัสมาร์เก็ต")</f>
        <v>ร้านออกัสมาร์เก็ต</v>
      </c>
      <c r="D3098" s="3" t="str">
        <f>IFERROR(__xludf.DUMMYFUNCTION("""COMPUTED_VALUE"""),"ร้านออกัสมาร์เก็ต")</f>
        <v>ร้านออกัสมาร์เก็ต</v>
      </c>
      <c r="E3098" s="1" t="str">
        <f>IFERROR(__xludf.DUMMYFUNCTION("""COMPUTED_VALUE"""),"Donjai")</f>
        <v>Donjai</v>
      </c>
      <c r="F3098" s="1" t="str">
        <f>IFERROR(__xludf.DUMMYFUNCTION("""COMPUTED_VALUE"""),"2451655")</f>
        <v>2451655</v>
      </c>
      <c r="G3098" s="1" t="str">
        <f>IFERROR(__xludf.DUMMYFUNCTION("""COMPUTED_VALUE"""),"นายวิษณุพงษ์ ชินบุตร")</f>
        <v>นายวิษณุพงษ์ ชินบุตร</v>
      </c>
      <c r="H3098" s="1" t="str">
        <f>IFERROR(__xludf.DUMMYFUNCTION("""COMPUTED_VALUE"""),"2451655")</f>
        <v>2451655</v>
      </c>
      <c r="I3098" s="1" t="str">
        <f>IFERROR(__xludf.DUMMYFUNCTION("""COMPUTED_VALUE"""),"นายวิษณุพงษ์ ชินบุตร")</f>
        <v>นายวิษณุพงษ์ ชินบุตร</v>
      </c>
      <c r="J3098" s="3">
        <f>IFERROR(__xludf.DUMMYFUNCTION("""COMPUTED_VALUE"""),228031.0)</f>
        <v>228031</v>
      </c>
      <c r="K3098" s="3" t="str">
        <f>IFERROR(__xludf.DUMMYFUNCTION("""COMPUTED_VALUE"""),"นายธนพงษ์ วันหมัด")</f>
        <v>นายธนพงษ์ วันหมัด</v>
      </c>
      <c r="L3098" s="1" t="str">
        <f>IFERROR(__xludf.DUMMYFUNCTION("""COMPUTED_VALUE"""),"นายธนพงษ์ วันหมัด")</f>
        <v>นายธนพงษ์ วันหมัด</v>
      </c>
      <c r="M3098" s="1" t="str">
        <f>IFERROR(__xludf.DUMMYFUNCTION("""COMPUTED_VALUE"""),"0813716913")</f>
        <v>0813716913</v>
      </c>
      <c r="N3098" s="3">
        <f>IFERROR(__xludf.DUMMYFUNCTION("""COMPUTED_VALUE"""),84099.0)</f>
        <v>84099</v>
      </c>
      <c r="O3098" s="3" t="str">
        <f>IFERROR(__xludf.DUMMYFUNCTION("""COMPUTED_VALUE"""),"ร้านออกัสมาร์เก็ต")</f>
        <v>ร้านออกัสมาร์เก็ต</v>
      </c>
      <c r="P3098" s="4">
        <f>IFERROR(__xludf.DUMMYFUNCTION("""COMPUTED_VALUE"""),44920.0)</f>
        <v>44920</v>
      </c>
      <c r="Q3098" s="3" t="str">
        <f>IFERROR(__xludf.DUMMYFUNCTION("""COMPUTED_VALUE"""),"A")</f>
        <v>A</v>
      </c>
      <c r="R3098" s="3" t="str">
        <f>IFERROR(__xludf.DUMMYFUNCTION("""COMPUTED_VALUE"""),"Small Format")</f>
        <v>Small Format</v>
      </c>
      <c r="S3098" s="3" t="str">
        <f>IFERROR(__xludf.DUMMYFUNCTION("""COMPUTED_VALUE"""),"Donjai")</f>
        <v>Donjai</v>
      </c>
      <c r="T3098" s="3" t="str">
        <f>IFERROR(__xludf.DUMMYFUNCTION("""COMPUTED_VALUE"""),"13 K.Wisanupong Ch")</f>
        <v>13 K.Wisanupong Ch</v>
      </c>
      <c r="U3098" s="3" t="str">
        <f>IFERROR(__xludf.DUMMYFUNCTION("""COMPUTED_VALUE"""),"13 K.Wisanupong Ch")</f>
        <v>13 K.Wisanupong Ch</v>
      </c>
      <c r="V3098" s="3" t="str">
        <f>IFERROR(__xludf.DUMMYFUNCTION("""COMPUTED_VALUE"""),"N")</f>
        <v>N</v>
      </c>
      <c r="W3098" s="3"/>
      <c r="X3098" s="3" t="str">
        <f>IFERROR(__xludf.DUMMYFUNCTION("""COMPUTED_VALUE"""),"21 ม.1 ต.ทุ่งสมอ อ.พนมทวน จ.กาญจนบุรี 71140")</f>
        <v>21 ม.1 ต.ทุ่งสมอ อ.พนมทวน จ.กาญจนบุรี 71140</v>
      </c>
      <c r="Y3098" s="3"/>
      <c r="Z3098" s="3">
        <f>IFERROR(__xludf.DUMMYFUNCTION("""COMPUTED_VALUE"""),0.0)</f>
        <v>0</v>
      </c>
      <c r="AA3098" s="3">
        <f>IFERROR(__xludf.DUMMYFUNCTION("""COMPUTED_VALUE"""),0.0)</f>
        <v>0</v>
      </c>
      <c r="AB3098" s="3" t="str">
        <f>IFERROR(__xludf.DUMMYFUNCTION("""COMPUTED_VALUE"""),"กาญจนบุรี")</f>
        <v>กาญจนบุรี</v>
      </c>
      <c r="AC3098" s="3">
        <f>IFERROR(__xludf.DUMMYFUNCTION("""COMPUTED_VALUE"""),71140.0)</f>
        <v>71140</v>
      </c>
      <c r="AD3098" s="3"/>
      <c r="AE3098" s="3"/>
      <c r="AF3098" s="3" t="str">
        <f>IFERROR(__xludf.DUMMYFUNCTION("""COMPUTED_VALUE"""),"ร้านออกัสมาร์เก็ต-84099")</f>
        <v>ร้านออกัสมาร์เก็ต-84099</v>
      </c>
      <c r="AG3098" s="3" t="str">
        <f>IFERROR(__xludf.DUMMYFUNCTION("""COMPUTED_VALUE"""),"ตะวันตก")</f>
        <v>ตะวันตก</v>
      </c>
      <c r="AH3098" s="3" t="str">
        <f>IFERROR(__xludf.DUMMYFUNCTION("""COMPUTED_VALUE"""),"#N/A")</f>
        <v>#N/A</v>
      </c>
      <c r="AI3098" s="3" t="str">
        <f>IFERROR(__xludf.DUMMYFUNCTION("""COMPUTED_VALUE"""),"Out of warranty")</f>
        <v>Out of warranty</v>
      </c>
      <c r="AJ3098" s="3">
        <f>IFERROR(__xludf.DUMMYFUNCTION("""COMPUTED_VALUE"""),37.0)</f>
        <v>37</v>
      </c>
      <c r="AK3098" s="3"/>
      <c r="AL3098" s="3"/>
    </row>
    <row r="3099" ht="15.75" customHeight="1">
      <c r="A3099" s="1" t="str">
        <f>IFERROR(__xludf.DUMMYFUNCTION("""COMPUTED_VALUE"""),"84103")</f>
        <v>84103</v>
      </c>
      <c r="B3099" s="2">
        <f>IFERROR(__xludf.DUMMYFUNCTION("""COMPUTED_VALUE"""),84103.0)</f>
        <v>84103</v>
      </c>
      <c r="C3099" s="3" t="str">
        <f>IFERROR(__xludf.DUMMYFUNCTION("""COMPUTED_VALUE"""),"ร้านปฏิภาณ")</f>
        <v>ร้านปฏิภาณ</v>
      </c>
      <c r="D3099" s="3" t="str">
        <f>IFERROR(__xludf.DUMMYFUNCTION("""COMPUTED_VALUE"""),"ร้านปฏิภาณ")</f>
        <v>ร้านปฏิภาณ</v>
      </c>
      <c r="E3099" s="1" t="str">
        <f>IFERROR(__xludf.DUMMYFUNCTION("""COMPUTED_VALUE"""),"Donjai")</f>
        <v>Donjai</v>
      </c>
      <c r="F3099" s="1" t="str">
        <f>IFERROR(__xludf.DUMMYFUNCTION("""COMPUTED_VALUE"""),"00510143")</f>
        <v>00510143</v>
      </c>
      <c r="G3099" s="1" t="str">
        <f>IFERROR(__xludf.DUMMYFUNCTION("""COMPUTED_VALUE"""),"นายธีระวัฒน์ บุญสิทธิ์")</f>
        <v>นายธีระวัฒน์ บุญสิทธิ์</v>
      </c>
      <c r="H3099" s="1" t="str">
        <f>IFERROR(__xludf.DUMMYFUNCTION("""COMPUTED_VALUE"""),"00510143")</f>
        <v>00510143</v>
      </c>
      <c r="I3099" s="1" t="str">
        <f>IFERROR(__xludf.DUMMYFUNCTION("""COMPUTED_VALUE"""),"นายธีระวัฒน์ บุญสิทธิ์")</f>
        <v>นายธีระวัฒน์ บุญสิทธิ์</v>
      </c>
      <c r="J3099" s="3">
        <f>IFERROR(__xludf.DUMMYFUNCTION("""COMPUTED_VALUE"""),228031.0)</f>
        <v>228031</v>
      </c>
      <c r="K3099" s="3" t="str">
        <f>IFERROR(__xludf.DUMMYFUNCTION("""COMPUTED_VALUE"""),"นายธนพงษ์ วันหมัด")</f>
        <v>นายธนพงษ์ วันหมัด</v>
      </c>
      <c r="L3099" s="1" t="str">
        <f>IFERROR(__xludf.DUMMYFUNCTION("""COMPUTED_VALUE"""),"นายธนพงษ์ วันหมัด")</f>
        <v>นายธนพงษ์ วันหมัด</v>
      </c>
      <c r="M3099" s="1" t="str">
        <f>IFERROR(__xludf.DUMMYFUNCTION("""COMPUTED_VALUE"""),"0813716913")</f>
        <v>0813716913</v>
      </c>
      <c r="N3099" s="3">
        <f>IFERROR(__xludf.DUMMYFUNCTION("""COMPUTED_VALUE"""),84103.0)</f>
        <v>84103</v>
      </c>
      <c r="O3099" s="3" t="str">
        <f>IFERROR(__xludf.DUMMYFUNCTION("""COMPUTED_VALUE"""),"ร้านปฏิภาณ")</f>
        <v>ร้านปฏิภาณ</v>
      </c>
      <c r="P3099" s="4">
        <f>IFERROR(__xludf.DUMMYFUNCTION("""COMPUTED_VALUE"""),44923.0)</f>
        <v>44923</v>
      </c>
      <c r="Q3099" s="3" t="str">
        <f>IFERROR(__xludf.DUMMYFUNCTION("""COMPUTED_VALUE"""),"A")</f>
        <v>A</v>
      </c>
      <c r="R3099" s="3" t="str">
        <f>IFERROR(__xludf.DUMMYFUNCTION("""COMPUTED_VALUE"""),"Small Format")</f>
        <v>Small Format</v>
      </c>
      <c r="S3099" s="3" t="str">
        <f>IFERROR(__xludf.DUMMYFUNCTION("""COMPUTED_VALUE"""),"Donjai")</f>
        <v>Donjai</v>
      </c>
      <c r="T3099" s="3" t="str">
        <f>IFERROR(__xludf.DUMMYFUNCTION("""COMPUTED_VALUE"""),"12 K.Theerawat B.")</f>
        <v>12 K.Theerawat B.</v>
      </c>
      <c r="U3099" s="3" t="str">
        <f>IFERROR(__xludf.DUMMYFUNCTION("""COMPUTED_VALUE"""),"12 K.Theerawat B.")</f>
        <v>12 K.Theerawat B.</v>
      </c>
      <c r="V3099" s="3" t="str">
        <f>IFERROR(__xludf.DUMMYFUNCTION("""COMPUTED_VALUE"""),"N")</f>
        <v>N</v>
      </c>
      <c r="W3099" s="3"/>
      <c r="X3099" s="3" t="str">
        <f>IFERROR(__xludf.DUMMYFUNCTION("""COMPUTED_VALUE"""),"17 ม.6 ต.หนองม่วง อ.โคกสูง จ.สระแก้ว 27120")</f>
        <v>17 ม.6 ต.หนองม่วง อ.โคกสูง จ.สระแก้ว 27120</v>
      </c>
      <c r="Y3099" s="3"/>
      <c r="Z3099" s="3">
        <f>IFERROR(__xludf.DUMMYFUNCTION("""COMPUTED_VALUE"""),0.0)</f>
        <v>0</v>
      </c>
      <c r="AA3099" s="3">
        <f>IFERROR(__xludf.DUMMYFUNCTION("""COMPUTED_VALUE"""),0.0)</f>
        <v>0</v>
      </c>
      <c r="AB3099" s="3" t="str">
        <f>IFERROR(__xludf.DUMMYFUNCTION("""COMPUTED_VALUE"""),"สระแก้ว")</f>
        <v>สระแก้ว</v>
      </c>
      <c r="AC3099" s="3">
        <f>IFERROR(__xludf.DUMMYFUNCTION("""COMPUTED_VALUE"""),27120.0)</f>
        <v>27120</v>
      </c>
      <c r="AD3099" s="3"/>
      <c r="AE3099" s="3"/>
      <c r="AF3099" s="3" t="str">
        <f>IFERROR(__xludf.DUMMYFUNCTION("""COMPUTED_VALUE"""),"ร้านปฏิภาณ-84103")</f>
        <v>ร้านปฏิภาณ-84103</v>
      </c>
      <c r="AG3099" s="3" t="str">
        <f>IFERROR(__xludf.DUMMYFUNCTION("""COMPUTED_VALUE"""),"ตะวันออก")</f>
        <v>ตะวันออก</v>
      </c>
      <c r="AH3099" s="3" t="str">
        <f>IFERROR(__xludf.DUMMYFUNCTION("""COMPUTED_VALUE"""),"#N/A")</f>
        <v>#N/A</v>
      </c>
      <c r="AI3099" s="3" t="str">
        <f>IFERROR(__xludf.DUMMYFUNCTION("""COMPUTED_VALUE"""),"Out of warranty")</f>
        <v>Out of warranty</v>
      </c>
      <c r="AJ3099" s="3">
        <f>IFERROR(__xludf.DUMMYFUNCTION("""COMPUTED_VALUE"""),37.0)</f>
        <v>37</v>
      </c>
      <c r="AK3099" s="3"/>
      <c r="AL3099" s="3"/>
    </row>
    <row r="3100" ht="15.75" customHeight="1">
      <c r="A3100" s="1" t="str">
        <f>IFERROR(__xludf.DUMMYFUNCTION("""COMPUTED_VALUE"""),"84104")</f>
        <v>84104</v>
      </c>
      <c r="B3100" s="2">
        <f>IFERROR(__xludf.DUMMYFUNCTION("""COMPUTED_VALUE"""),84104.0)</f>
        <v>84104</v>
      </c>
      <c r="C3100" s="3" t="str">
        <f>IFERROR(__xludf.DUMMYFUNCTION("""COMPUTED_VALUE"""),"ร้านสิริมล การค้า")</f>
        <v>ร้านสิริมล การค้า</v>
      </c>
      <c r="D3100" s="3" t="str">
        <f>IFERROR(__xludf.DUMMYFUNCTION("""COMPUTED_VALUE"""),"ร้านสิริมล การค้า")</f>
        <v>ร้านสิริมล การค้า</v>
      </c>
      <c r="E3100" s="1" t="str">
        <f>IFERROR(__xludf.DUMMYFUNCTION("""COMPUTED_VALUE"""),"Donjai")</f>
        <v>Donjai</v>
      </c>
      <c r="F3100" s="1" t="str">
        <f>IFERROR(__xludf.DUMMYFUNCTION("""COMPUTED_VALUE"""),"015361")</f>
        <v>015361</v>
      </c>
      <c r="G3100" s="1" t="str">
        <f>IFERROR(__xludf.DUMMYFUNCTION("""COMPUTED_VALUE"""),"นายสมบูรณ์ พรหมในเมือง")</f>
        <v>นายสมบูรณ์ พรหมในเมือง</v>
      </c>
      <c r="H3100" s="1" t="str">
        <f>IFERROR(__xludf.DUMMYFUNCTION("""COMPUTED_VALUE"""),"015361")</f>
        <v>015361</v>
      </c>
      <c r="I3100" s="1" t="str">
        <f>IFERROR(__xludf.DUMMYFUNCTION("""COMPUTED_VALUE"""),"นายสมบูรณ์ พรหมในเมือง")</f>
        <v>นายสมบูรณ์ พรหมในเมือง</v>
      </c>
      <c r="J3100" s="3">
        <f>IFERROR(__xludf.DUMMYFUNCTION("""COMPUTED_VALUE"""),295886.0)</f>
        <v>295886</v>
      </c>
      <c r="K3100" s="3" t="str">
        <f>IFERROR(__xludf.DUMMYFUNCTION("""COMPUTED_VALUE"""),"นายจิระพงษ์ โพธิ์นิล")</f>
        <v>นายจิระพงษ์ โพธิ์นิล</v>
      </c>
      <c r="L3100" s="1" t="str">
        <f>IFERROR(__xludf.DUMMYFUNCTION("""COMPUTED_VALUE"""),"นายจิระพงษ์ โพธิ์นิล")</f>
        <v>นายจิระพงษ์ โพธิ์นิล</v>
      </c>
      <c r="M3100" s="1" t="str">
        <f>IFERROR(__xludf.DUMMYFUNCTION("""COMPUTED_VALUE"""),"0933290754")</f>
        <v>0933290754</v>
      </c>
      <c r="N3100" s="3">
        <f>IFERROR(__xludf.DUMMYFUNCTION("""COMPUTED_VALUE"""),84104.0)</f>
        <v>84104</v>
      </c>
      <c r="O3100" s="3" t="str">
        <f>IFERROR(__xludf.DUMMYFUNCTION("""COMPUTED_VALUE"""),"ร้านสิริมล การค้า")</f>
        <v>ร้านสิริมล การค้า</v>
      </c>
      <c r="P3100" s="4">
        <f>IFERROR(__xludf.DUMMYFUNCTION("""COMPUTED_VALUE"""),44913.0)</f>
        <v>44913</v>
      </c>
      <c r="Q3100" s="3" t="str">
        <f>IFERROR(__xludf.DUMMYFUNCTION("""COMPUTED_VALUE"""),"I")</f>
        <v>I</v>
      </c>
      <c r="R3100" s="3" t="str">
        <f>IFERROR(__xludf.DUMMYFUNCTION("""COMPUTED_VALUE"""),"Small Format")</f>
        <v>Small Format</v>
      </c>
      <c r="S3100" s="3" t="str">
        <f>IFERROR(__xludf.DUMMYFUNCTION("""COMPUTED_VALUE"""),"Donjai")</f>
        <v>Donjai</v>
      </c>
      <c r="T3100" s="3" t="str">
        <f>IFERROR(__xludf.DUMMYFUNCTION("""COMPUTED_VALUE"""),"04 K.Somboon P.")</f>
        <v>04 K.Somboon P.</v>
      </c>
      <c r="U3100" s="3" t="str">
        <f>IFERROR(__xludf.DUMMYFUNCTION("""COMPUTED_VALUE"""),"04 K.Somboon P.")</f>
        <v>04 K.Somboon P.</v>
      </c>
      <c r="V3100" s="3" t="str">
        <f>IFERROR(__xludf.DUMMYFUNCTION("""COMPUTED_VALUE"""),"N")</f>
        <v>N</v>
      </c>
      <c r="W3100" s="3"/>
      <c r="X3100" s="3" t="str">
        <f>IFERROR(__xludf.DUMMYFUNCTION("""COMPUTED_VALUE"""),"150 ม.10 สำโรง พลับพลายชัย บุรีรัมย์ 31250")</f>
        <v>150 ม.10 สำโรง พลับพลายชัย บุรีรัมย์ 31250</v>
      </c>
      <c r="Y3100" s="3"/>
      <c r="Z3100" s="3">
        <f>IFERROR(__xludf.DUMMYFUNCTION("""COMPUTED_VALUE"""),0.0)</f>
        <v>0</v>
      </c>
      <c r="AA3100" s="3">
        <f>IFERROR(__xludf.DUMMYFUNCTION("""COMPUTED_VALUE"""),0.0)</f>
        <v>0</v>
      </c>
      <c r="AB3100" s="3" t="str">
        <f>IFERROR(__xludf.DUMMYFUNCTION("""COMPUTED_VALUE"""),"บุรีรัมย์")</f>
        <v>บุรีรัมย์</v>
      </c>
      <c r="AC3100" s="3">
        <f>IFERROR(__xludf.DUMMYFUNCTION("""COMPUTED_VALUE"""),31250.0)</f>
        <v>31250</v>
      </c>
      <c r="AD3100" s="3"/>
      <c r="AE3100" s="3"/>
      <c r="AF3100" s="3" t="str">
        <f>IFERROR(__xludf.DUMMYFUNCTION("""COMPUTED_VALUE"""),"ร้านสิริมล การค้า-84104")</f>
        <v>ร้านสิริมล การค้า-84104</v>
      </c>
      <c r="AG3100" s="3" t="str">
        <f>IFERROR(__xludf.DUMMYFUNCTION("""COMPUTED_VALUE"""),"ตะวันออกเฉียงเหนือ")</f>
        <v>ตะวันออกเฉียงเหนือ</v>
      </c>
      <c r="AH3100" s="3" t="str">
        <f>IFERROR(__xludf.DUMMYFUNCTION("""COMPUTED_VALUE"""),"#N/A")</f>
        <v>#N/A</v>
      </c>
      <c r="AI3100" s="3" t="str">
        <f>IFERROR(__xludf.DUMMYFUNCTION("""COMPUTED_VALUE"""),"Out of warranty")</f>
        <v>Out of warranty</v>
      </c>
      <c r="AJ3100" s="3">
        <f>IFERROR(__xludf.DUMMYFUNCTION("""COMPUTED_VALUE"""),38.0)</f>
        <v>38</v>
      </c>
      <c r="AK3100" s="3"/>
      <c r="AL3100" s="3"/>
    </row>
    <row r="3101" ht="15.75" customHeight="1">
      <c r="A3101" s="1" t="str">
        <f>IFERROR(__xludf.DUMMYFUNCTION("""COMPUTED_VALUE"""),"84107")</f>
        <v>84107</v>
      </c>
      <c r="B3101" s="2">
        <f>IFERROR(__xludf.DUMMYFUNCTION("""COMPUTED_VALUE"""),84107.0)</f>
        <v>84107</v>
      </c>
      <c r="C3101" s="3" t="str">
        <f>IFERROR(__xludf.DUMMYFUNCTION("""COMPUTED_VALUE"""),"ร้าน ร้านเติมสุขพาณิชย์ (เฮงเฮงพานิชย์)")</f>
        <v>ร้าน ร้านเติมสุขพาณิชย์ (เฮงเฮงพานิชย์)</v>
      </c>
      <c r="D3101" s="3" t="str">
        <f>IFERROR(__xludf.DUMMYFUNCTION("""COMPUTED_VALUE"""),"ร้าน ร้านเติมสุขพาณิชย์ (เฮงเฮงพานิชย์)")</f>
        <v>ร้าน ร้านเติมสุขพาณิชย์ (เฮงเฮงพานิชย์)</v>
      </c>
      <c r="E3101" s="1" t="str">
        <f>IFERROR(__xludf.DUMMYFUNCTION("""COMPUTED_VALUE"""),"Donjai")</f>
        <v>Donjai</v>
      </c>
      <c r="F3101" s="1" t="str">
        <f>IFERROR(__xludf.DUMMYFUNCTION("""COMPUTED_VALUE"""),"2454781")</f>
        <v>2454781</v>
      </c>
      <c r="G3101" s="1" t="str">
        <f>IFERROR(__xludf.DUMMYFUNCTION("""COMPUTED_VALUE"""),"นายฌานกฤช นันทะโคต")</f>
        <v>นายฌานกฤช นันทะโคต</v>
      </c>
      <c r="H3101" s="1" t="str">
        <f>IFERROR(__xludf.DUMMYFUNCTION("""COMPUTED_VALUE"""),"2454781")</f>
        <v>2454781</v>
      </c>
      <c r="I3101" s="1" t="str">
        <f>IFERROR(__xludf.DUMMYFUNCTION("""COMPUTED_VALUE"""),"นายฌานกฤช นันทะโคต")</f>
        <v>นายฌานกฤช นันทะโคต</v>
      </c>
      <c r="J3101" s="3">
        <f>IFERROR(__xludf.DUMMYFUNCTION("""COMPUTED_VALUE"""),295886.0)</f>
        <v>295886</v>
      </c>
      <c r="K3101" s="3" t="str">
        <f>IFERROR(__xludf.DUMMYFUNCTION("""COMPUTED_VALUE"""),"นายจิระพงษ์ โพธิ์นิล")</f>
        <v>นายจิระพงษ์ โพธิ์นิล</v>
      </c>
      <c r="L3101" s="1" t="str">
        <f>IFERROR(__xludf.DUMMYFUNCTION("""COMPUTED_VALUE"""),"นายจิระพงษ์ โพธิ์นิล")</f>
        <v>นายจิระพงษ์ โพธิ์นิล</v>
      </c>
      <c r="M3101" s="1" t="str">
        <f>IFERROR(__xludf.DUMMYFUNCTION("""COMPUTED_VALUE"""),"0933290754")</f>
        <v>0933290754</v>
      </c>
      <c r="N3101" s="3">
        <f>IFERROR(__xludf.DUMMYFUNCTION("""COMPUTED_VALUE"""),84107.0)</f>
        <v>84107</v>
      </c>
      <c r="O3101" s="3" t="str">
        <f>IFERROR(__xludf.DUMMYFUNCTION("""COMPUTED_VALUE"""),"ร้าน ร้านเติมสุขพาณิชย์ (เฮงเฮงพานิชย์)")</f>
        <v>ร้าน ร้านเติมสุขพาณิชย์ (เฮงเฮงพานิชย์)</v>
      </c>
      <c r="P3101" s="4">
        <f>IFERROR(__xludf.DUMMYFUNCTION("""COMPUTED_VALUE"""),44977.0)</f>
        <v>44977</v>
      </c>
      <c r="Q3101" s="3" t="str">
        <f>IFERROR(__xludf.DUMMYFUNCTION("""COMPUTED_VALUE"""),"A")</f>
        <v>A</v>
      </c>
      <c r="R3101" s="3" t="str">
        <f>IFERROR(__xludf.DUMMYFUNCTION("""COMPUTED_VALUE"""),"Small Format")</f>
        <v>Small Format</v>
      </c>
      <c r="S3101" s="3" t="str">
        <f>IFERROR(__xludf.DUMMYFUNCTION("""COMPUTED_VALUE"""),"Donjai")</f>
        <v>Donjai</v>
      </c>
      <c r="T3101" s="3" t="str">
        <f>IFERROR(__xludf.DUMMYFUNCTION("""COMPUTED_VALUE"""),"05 K.Chanakrit N.")</f>
        <v>05 K.Chanakrit N.</v>
      </c>
      <c r="U3101" s="3" t="str">
        <f>IFERROR(__xludf.DUMMYFUNCTION("""COMPUTED_VALUE"""),"05 K.Chanakrit N.")</f>
        <v>05 K.Chanakrit N.</v>
      </c>
      <c r="V3101" s="3" t="str">
        <f>IFERROR(__xludf.DUMMYFUNCTION("""COMPUTED_VALUE"""),"N")</f>
        <v>N</v>
      </c>
      <c r="W3101" s="3"/>
      <c r="X3101" s="3" t="str">
        <f>IFERROR(__xludf.DUMMYFUNCTION("""COMPUTED_VALUE"""),"206 หมู่ 1 ตำบล คำไฮ อำเภอ พนมไพร จังหวัด ร้อยเอ็ด 45140")</f>
        <v>206 หมู่ 1 ตำบล คำไฮ อำเภอ พนมไพร จังหวัด ร้อยเอ็ด 45140</v>
      </c>
      <c r="Y3101" s="3"/>
      <c r="Z3101" s="3"/>
      <c r="AA3101" s="3"/>
      <c r="AB3101" s="3"/>
      <c r="AC3101" s="3"/>
      <c r="AD3101" s="3"/>
      <c r="AE3101" s="3"/>
      <c r="AF3101" s="3" t="str">
        <f>IFERROR(__xludf.DUMMYFUNCTION("""COMPUTED_VALUE"""),"ร้าน ร้านเติมสุขพาณิชย์ (เฮงเฮงพานิชย์)-84107")</f>
        <v>ร้าน ร้านเติมสุขพาณิชย์ (เฮงเฮงพานิชย์)-84107</v>
      </c>
      <c r="AG3101" s="3">
        <f>IFERROR(__xludf.DUMMYFUNCTION("""COMPUTED_VALUE"""),0.0)</f>
        <v>0</v>
      </c>
      <c r="AH3101" s="3" t="str">
        <f>IFERROR(__xludf.DUMMYFUNCTION("""COMPUTED_VALUE"""),"#N/A")</f>
        <v>#N/A</v>
      </c>
      <c r="AI3101" s="3" t="str">
        <f>IFERROR(__xludf.DUMMYFUNCTION("""COMPUTED_VALUE"""),"Out of warranty")</f>
        <v>Out of warranty</v>
      </c>
      <c r="AJ3101" s="3">
        <f>IFERROR(__xludf.DUMMYFUNCTION("""COMPUTED_VALUE"""),36.0)</f>
        <v>36</v>
      </c>
      <c r="AK3101" s="3"/>
      <c r="AL3101" s="3"/>
    </row>
    <row r="3102" ht="15.75" customHeight="1">
      <c r="A3102" s="1" t="str">
        <f>IFERROR(__xludf.DUMMYFUNCTION("""COMPUTED_VALUE"""),"84108")</f>
        <v>84108</v>
      </c>
      <c r="B3102" s="2">
        <f>IFERROR(__xludf.DUMMYFUNCTION("""COMPUTED_VALUE"""),84108.0)</f>
        <v>84108</v>
      </c>
      <c r="C3102" s="3" t="str">
        <f>IFERROR(__xludf.DUMMYFUNCTION("""COMPUTED_VALUE"""),"ร้านแบงค์ บอส ช๊อป (บี.บี ช๊อป)")</f>
        <v>ร้านแบงค์ บอส ช๊อป (บี.บี ช๊อป)</v>
      </c>
      <c r="D3102" s="3" t="str">
        <f>IFERROR(__xludf.DUMMYFUNCTION("""COMPUTED_VALUE"""),"ร้านแบงค์ บอส ช๊อป (บี.บี ช๊อป)")</f>
        <v>ร้านแบงค์ บอส ช๊อป (บี.บี ช๊อป)</v>
      </c>
      <c r="E3102" s="1" t="str">
        <f>IFERROR(__xludf.DUMMYFUNCTION("""COMPUTED_VALUE"""),"Donjai")</f>
        <v>Donjai</v>
      </c>
      <c r="F3102" s="1" t="str">
        <f>IFERROR(__xludf.DUMMYFUNCTION("""COMPUTED_VALUE"""),"2454781")</f>
        <v>2454781</v>
      </c>
      <c r="G3102" s="1" t="str">
        <f>IFERROR(__xludf.DUMMYFUNCTION("""COMPUTED_VALUE"""),"นายฌานกฤช นันทะโคต")</f>
        <v>นายฌานกฤช นันทะโคต</v>
      </c>
      <c r="H3102" s="1" t="str">
        <f>IFERROR(__xludf.DUMMYFUNCTION("""COMPUTED_VALUE"""),"2454781")</f>
        <v>2454781</v>
      </c>
      <c r="I3102" s="1" t="str">
        <f>IFERROR(__xludf.DUMMYFUNCTION("""COMPUTED_VALUE"""),"นายฌานกฤช นันทะโคต")</f>
        <v>นายฌานกฤช นันทะโคต</v>
      </c>
      <c r="J3102" s="3">
        <f>IFERROR(__xludf.DUMMYFUNCTION("""COMPUTED_VALUE"""),295886.0)</f>
        <v>295886</v>
      </c>
      <c r="K3102" s="3" t="str">
        <f>IFERROR(__xludf.DUMMYFUNCTION("""COMPUTED_VALUE"""),"นายจิระพงษ์ โพธิ์นิล")</f>
        <v>นายจิระพงษ์ โพธิ์นิล</v>
      </c>
      <c r="L3102" s="1" t="str">
        <f>IFERROR(__xludf.DUMMYFUNCTION("""COMPUTED_VALUE"""),"นายจิระพงษ์ โพธิ์นิล")</f>
        <v>นายจิระพงษ์ โพธิ์นิล</v>
      </c>
      <c r="M3102" s="1" t="str">
        <f>IFERROR(__xludf.DUMMYFUNCTION("""COMPUTED_VALUE"""),"0933290754")</f>
        <v>0933290754</v>
      </c>
      <c r="N3102" s="3">
        <f>IFERROR(__xludf.DUMMYFUNCTION("""COMPUTED_VALUE"""),84108.0)</f>
        <v>84108</v>
      </c>
      <c r="O3102" s="3" t="str">
        <f>IFERROR(__xludf.DUMMYFUNCTION("""COMPUTED_VALUE"""),"ร้านแบงค์ บอส ช๊อป (บี.บี ช๊อป)")</f>
        <v>ร้านแบงค์ บอส ช๊อป (บี.บี ช๊อป)</v>
      </c>
      <c r="P3102" s="4">
        <f>IFERROR(__xludf.DUMMYFUNCTION("""COMPUTED_VALUE"""),44920.0)</f>
        <v>44920</v>
      </c>
      <c r="Q3102" s="3" t="str">
        <f>IFERROR(__xludf.DUMMYFUNCTION("""COMPUTED_VALUE"""),"A")</f>
        <v>A</v>
      </c>
      <c r="R3102" s="3" t="str">
        <f>IFERROR(__xludf.DUMMYFUNCTION("""COMPUTED_VALUE"""),"Small Format")</f>
        <v>Small Format</v>
      </c>
      <c r="S3102" s="3" t="str">
        <f>IFERROR(__xludf.DUMMYFUNCTION("""COMPUTED_VALUE"""),"Donjai")</f>
        <v>Donjai</v>
      </c>
      <c r="T3102" s="3" t="str">
        <f>IFERROR(__xludf.DUMMYFUNCTION("""COMPUTED_VALUE"""),"05 K.Chanakrit N.")</f>
        <v>05 K.Chanakrit N.</v>
      </c>
      <c r="U3102" s="3" t="str">
        <f>IFERROR(__xludf.DUMMYFUNCTION("""COMPUTED_VALUE"""),"05 K.Chanakrit N.")</f>
        <v>05 K.Chanakrit N.</v>
      </c>
      <c r="V3102" s="3" t="str">
        <f>IFERROR(__xludf.DUMMYFUNCTION("""COMPUTED_VALUE"""),"N")</f>
        <v>N</v>
      </c>
      <c r="W3102" s="3"/>
      <c r="X3102" s="3" t="str">
        <f>IFERROR(__xludf.DUMMYFUNCTION("""COMPUTED_VALUE"""),"17 หมู่ 5 ตำบล ศรีฐาน อำเภอ ป่าติ้ว จังหวัด ยโสธร 35150")</f>
        <v>17 หมู่ 5 ตำบล ศรีฐาน อำเภอ ป่าติ้ว จังหวัด ยโสธร 35150</v>
      </c>
      <c r="Y3102" s="3"/>
      <c r="Z3102" s="3">
        <f>IFERROR(__xludf.DUMMYFUNCTION("""COMPUTED_VALUE"""),0.0)</f>
        <v>0</v>
      </c>
      <c r="AA3102" s="3">
        <f>IFERROR(__xludf.DUMMYFUNCTION("""COMPUTED_VALUE"""),0.0)</f>
        <v>0</v>
      </c>
      <c r="AB3102" s="3" t="str">
        <f>IFERROR(__xludf.DUMMYFUNCTION("""COMPUTED_VALUE"""),"ยโสธร")</f>
        <v>ยโสธร</v>
      </c>
      <c r="AC3102" s="3">
        <f>IFERROR(__xludf.DUMMYFUNCTION("""COMPUTED_VALUE"""),35150.0)</f>
        <v>35150</v>
      </c>
      <c r="AD3102" s="3"/>
      <c r="AE3102" s="3"/>
      <c r="AF3102" s="3" t="str">
        <f>IFERROR(__xludf.DUMMYFUNCTION("""COMPUTED_VALUE"""),"ร้านแบงค์ บอส ช๊อป (บี.บี ช๊อป)-84108")</f>
        <v>ร้านแบงค์ บอส ช๊อป (บี.บี ช๊อป)-84108</v>
      </c>
      <c r="AG3102" s="3" t="str">
        <f>IFERROR(__xludf.DUMMYFUNCTION("""COMPUTED_VALUE"""),"ตะวันออกเฉียงเหนือ")</f>
        <v>ตะวันออกเฉียงเหนือ</v>
      </c>
      <c r="AH3102" s="3" t="str">
        <f>IFERROR(__xludf.DUMMYFUNCTION("""COMPUTED_VALUE"""),"#N/A")</f>
        <v>#N/A</v>
      </c>
      <c r="AI3102" s="3" t="str">
        <f>IFERROR(__xludf.DUMMYFUNCTION("""COMPUTED_VALUE"""),"Out of warranty")</f>
        <v>Out of warranty</v>
      </c>
      <c r="AJ3102" s="3">
        <f>IFERROR(__xludf.DUMMYFUNCTION("""COMPUTED_VALUE"""),37.0)</f>
        <v>37</v>
      </c>
      <c r="AK3102" s="3"/>
      <c r="AL3102" s="3"/>
    </row>
    <row r="3103" ht="15.75" customHeight="1">
      <c r="A3103" s="1" t="str">
        <f>IFERROR(__xludf.DUMMYFUNCTION("""COMPUTED_VALUE"""),"84110")</f>
        <v>84110</v>
      </c>
      <c r="B3103" s="2">
        <f>IFERROR(__xludf.DUMMYFUNCTION("""COMPUTED_VALUE"""),84110.0)</f>
        <v>84110</v>
      </c>
      <c r="C3103" s="3" t="str">
        <f>IFERROR(__xludf.DUMMYFUNCTION("""COMPUTED_VALUE"""),"ร้านนายนา พาณิชย์")</f>
        <v>ร้านนายนา พาณิชย์</v>
      </c>
      <c r="D3103" s="3" t="str">
        <f>IFERROR(__xludf.DUMMYFUNCTION("""COMPUTED_VALUE"""),"ร้านนายนา พาณิชย์")</f>
        <v>ร้านนายนา พาณิชย์</v>
      </c>
      <c r="E3103" s="1" t="str">
        <f>IFERROR(__xludf.DUMMYFUNCTION("""COMPUTED_VALUE"""),"Donjai")</f>
        <v>Donjai</v>
      </c>
      <c r="F3103" s="1" t="str">
        <f>IFERROR(__xludf.DUMMYFUNCTION("""COMPUTED_VALUE"""),"295886")</f>
        <v>295886</v>
      </c>
      <c r="G3103" s="1" t="str">
        <f>IFERROR(__xludf.DUMMYFUNCTION("""COMPUTED_VALUE"""),"นายจิระพงษ์ โพธิ์นิล")</f>
        <v>นายจิระพงษ์ โพธิ์นิล</v>
      </c>
      <c r="H3103" s="1" t="str">
        <f>IFERROR(__xludf.DUMMYFUNCTION("""COMPUTED_VALUE"""),"295886")</f>
        <v>295886</v>
      </c>
      <c r="I3103" s="1" t="str">
        <f>IFERROR(__xludf.DUMMYFUNCTION("""COMPUTED_VALUE"""),"นายจิระพงษ์ โพธิ์นิล")</f>
        <v>นายจิระพงษ์ โพธิ์นิล</v>
      </c>
      <c r="J3103" s="3">
        <f>IFERROR(__xludf.DUMMYFUNCTION("""COMPUTED_VALUE"""),295886.0)</f>
        <v>295886</v>
      </c>
      <c r="K3103" s="3" t="str">
        <f>IFERROR(__xludf.DUMMYFUNCTION("""COMPUTED_VALUE"""),"นายจิระพงษ์ โพธิ์นิล")</f>
        <v>นายจิระพงษ์ โพธิ์นิล</v>
      </c>
      <c r="L3103" s="1" t="str">
        <f>IFERROR(__xludf.DUMMYFUNCTION("""COMPUTED_VALUE"""),"นายจิระพงษ์ โพธิ์นิล")</f>
        <v>นายจิระพงษ์ โพธิ์นิล</v>
      </c>
      <c r="M3103" s="1" t="str">
        <f>IFERROR(__xludf.DUMMYFUNCTION("""COMPUTED_VALUE"""),"0933290754")</f>
        <v>0933290754</v>
      </c>
      <c r="N3103" s="3">
        <f>IFERROR(__xludf.DUMMYFUNCTION("""COMPUTED_VALUE"""),84110.0)</f>
        <v>84110</v>
      </c>
      <c r="O3103" s="3" t="str">
        <f>IFERROR(__xludf.DUMMYFUNCTION("""COMPUTED_VALUE"""),"ร้านนายนา พาณิชย์")</f>
        <v>ร้านนายนา พาณิชย์</v>
      </c>
      <c r="P3103" s="4">
        <f>IFERROR(__xludf.DUMMYFUNCTION("""COMPUTED_VALUE"""),44920.0)</f>
        <v>44920</v>
      </c>
      <c r="Q3103" s="3" t="str">
        <f>IFERROR(__xludf.DUMMYFUNCTION("""COMPUTED_VALUE"""),"I")</f>
        <v>I</v>
      </c>
      <c r="R3103" s="3" t="str">
        <f>IFERROR(__xludf.DUMMYFUNCTION("""COMPUTED_VALUE"""),"Small Format")</f>
        <v>Small Format</v>
      </c>
      <c r="S3103" s="3" t="str">
        <f>IFERROR(__xludf.DUMMYFUNCTION("""COMPUTED_VALUE"""),"Donjai")</f>
        <v>Donjai</v>
      </c>
      <c r="T3103" s="3" t="str">
        <f>IFERROR(__xludf.DUMMYFUNCTION("""COMPUTED_VALUE"""),"นายจิระพงษ์ โพธิ์นิล")</f>
        <v>นายจิระพงษ์ โพธิ์นิล</v>
      </c>
      <c r="U3103" s="3" t="str">
        <f>IFERROR(__xludf.DUMMYFUNCTION("""COMPUTED_VALUE"""),"นายจิระพงษ์ โพธิ์นิล")</f>
        <v>นายจิระพงษ์ โพธิ์นิล</v>
      </c>
      <c r="V3103" s="3" t="str">
        <f>IFERROR(__xludf.DUMMYFUNCTION("""COMPUTED_VALUE"""),"N")</f>
        <v>N</v>
      </c>
      <c r="W3103" s="3"/>
      <c r="X3103" s="3" t="str">
        <f>IFERROR(__xludf.DUMMYFUNCTION("""COMPUTED_VALUE"""),"178 หมู่ 2 ต.กระเบื้อง อ.ชุมพลบุรี จ.สุรินทร์ 32190")</f>
        <v>178 หมู่ 2 ต.กระเบื้อง อ.ชุมพลบุรี จ.สุรินทร์ 32190</v>
      </c>
      <c r="Y3103" s="3"/>
      <c r="Z3103" s="3">
        <f>IFERROR(__xludf.DUMMYFUNCTION("""COMPUTED_VALUE"""),0.0)</f>
        <v>0</v>
      </c>
      <c r="AA3103" s="3">
        <f>IFERROR(__xludf.DUMMYFUNCTION("""COMPUTED_VALUE"""),0.0)</f>
        <v>0</v>
      </c>
      <c r="AB3103" s="3" t="str">
        <f>IFERROR(__xludf.DUMMYFUNCTION("""COMPUTED_VALUE"""),"สุรินทร์")</f>
        <v>สุรินทร์</v>
      </c>
      <c r="AC3103" s="3">
        <f>IFERROR(__xludf.DUMMYFUNCTION("""COMPUTED_VALUE"""),32190.0)</f>
        <v>32190</v>
      </c>
      <c r="AD3103" s="3"/>
      <c r="AE3103" s="3"/>
      <c r="AF3103" s="3" t="str">
        <f>IFERROR(__xludf.DUMMYFUNCTION("""COMPUTED_VALUE"""),"ร้านนายนา พาณิชย์-84110")</f>
        <v>ร้านนายนา พาณิชย์-84110</v>
      </c>
      <c r="AG3103" s="3" t="str">
        <f>IFERROR(__xludf.DUMMYFUNCTION("""COMPUTED_VALUE"""),"ตะวันออกเฉียงเหนือ")</f>
        <v>ตะวันออกเฉียงเหนือ</v>
      </c>
      <c r="AH3103" s="3" t="str">
        <f>IFERROR(__xludf.DUMMYFUNCTION("""COMPUTED_VALUE"""),"#N/A")</f>
        <v>#N/A</v>
      </c>
      <c r="AI3103" s="3" t="str">
        <f>IFERROR(__xludf.DUMMYFUNCTION("""COMPUTED_VALUE"""),"Out of warranty")</f>
        <v>Out of warranty</v>
      </c>
      <c r="AJ3103" s="3">
        <f>IFERROR(__xludf.DUMMYFUNCTION("""COMPUTED_VALUE"""),37.0)</f>
        <v>37</v>
      </c>
      <c r="AK3103" s="3"/>
      <c r="AL3103" s="3"/>
    </row>
    <row r="3104" ht="15.75" customHeight="1">
      <c r="A3104" s="1" t="str">
        <f>IFERROR(__xludf.DUMMYFUNCTION("""COMPUTED_VALUE"""),"84111")</f>
        <v>84111</v>
      </c>
      <c r="B3104" s="2">
        <f>IFERROR(__xludf.DUMMYFUNCTION("""COMPUTED_VALUE"""),84111.0)</f>
        <v>84111</v>
      </c>
      <c r="C3104" s="3" t="str">
        <f>IFERROR(__xludf.DUMMYFUNCTION("""COMPUTED_VALUE"""),"ร้านน้ำหวาน")</f>
        <v>ร้านน้ำหวาน</v>
      </c>
      <c r="D3104" s="3" t="str">
        <f>IFERROR(__xludf.DUMMYFUNCTION("""COMPUTED_VALUE"""),"ร้านน้ำหวาน")</f>
        <v>ร้านน้ำหวาน</v>
      </c>
      <c r="E3104" s="1" t="str">
        <f>IFERROR(__xludf.DUMMYFUNCTION("""COMPUTED_VALUE"""),"Donjai")</f>
        <v>Donjai</v>
      </c>
      <c r="F3104" s="1" t="str">
        <f>IFERROR(__xludf.DUMMYFUNCTION("""COMPUTED_VALUE"""),"2010023")</f>
        <v>2010023</v>
      </c>
      <c r="G3104" s="1" t="str">
        <f>IFERROR(__xludf.DUMMYFUNCTION("""COMPUTED_VALUE"""),"นายวศิน ไวยรูป")</f>
        <v>นายวศิน ไวยรูป</v>
      </c>
      <c r="H3104" s="1" t="str">
        <f>IFERROR(__xludf.DUMMYFUNCTION("""COMPUTED_VALUE"""),"2010023")</f>
        <v>2010023</v>
      </c>
      <c r="I3104" s="1" t="str">
        <f>IFERROR(__xludf.DUMMYFUNCTION("""COMPUTED_VALUE"""),"นายวศิน ไวยรูป")</f>
        <v>นายวศิน ไวยรูป</v>
      </c>
      <c r="J3104" s="3">
        <f>IFERROR(__xludf.DUMMYFUNCTION("""COMPUTED_VALUE"""),228031.0)</f>
        <v>228031</v>
      </c>
      <c r="K3104" s="3" t="str">
        <f>IFERROR(__xludf.DUMMYFUNCTION("""COMPUTED_VALUE"""),"นายธนพงษ์ วันหมัด")</f>
        <v>นายธนพงษ์ วันหมัด</v>
      </c>
      <c r="L3104" s="1" t="str">
        <f>IFERROR(__xludf.DUMMYFUNCTION("""COMPUTED_VALUE"""),"นายธนพงษ์ วันหมัด")</f>
        <v>นายธนพงษ์ วันหมัด</v>
      </c>
      <c r="M3104" s="1" t="str">
        <f>IFERROR(__xludf.DUMMYFUNCTION("""COMPUTED_VALUE"""),"0813716913")</f>
        <v>0813716913</v>
      </c>
      <c r="N3104" s="3">
        <f>IFERROR(__xludf.DUMMYFUNCTION("""COMPUTED_VALUE"""),84111.0)</f>
        <v>84111</v>
      </c>
      <c r="O3104" s="3" t="str">
        <f>IFERROR(__xludf.DUMMYFUNCTION("""COMPUTED_VALUE"""),"ร้านน้ำหวาน")</f>
        <v>ร้านน้ำหวาน</v>
      </c>
      <c r="P3104" s="4">
        <f>IFERROR(__xludf.DUMMYFUNCTION("""COMPUTED_VALUE"""),44918.0)</f>
        <v>44918</v>
      </c>
      <c r="Q3104" s="3" t="str">
        <f>IFERROR(__xludf.DUMMYFUNCTION("""COMPUTED_VALUE"""),"I")</f>
        <v>I</v>
      </c>
      <c r="R3104" s="3" t="str">
        <f>IFERROR(__xludf.DUMMYFUNCTION("""COMPUTED_VALUE"""),"Small Format")</f>
        <v>Small Format</v>
      </c>
      <c r="S3104" s="3" t="str">
        <f>IFERROR(__xludf.DUMMYFUNCTION("""COMPUTED_VALUE"""),"Donjai")</f>
        <v>Donjai</v>
      </c>
      <c r="T3104" s="3" t="str">
        <f>IFERROR(__xludf.DUMMYFUNCTION("""COMPUTED_VALUE"""),"Donjai")</f>
        <v>Donjai</v>
      </c>
      <c r="U3104" s="3" t="str">
        <f>IFERROR(__xludf.DUMMYFUNCTION("""COMPUTED_VALUE"""),"Donjai")</f>
        <v>Donjai</v>
      </c>
      <c r="V3104" s="3" t="str">
        <f>IFERROR(__xludf.DUMMYFUNCTION("""COMPUTED_VALUE"""),"N")</f>
        <v>N</v>
      </c>
      <c r="W3104" s="3"/>
      <c r="X3104" s="3" t="str">
        <f>IFERROR(__xludf.DUMMYFUNCTION("""COMPUTED_VALUE"""),"57/7 ซ.บรมราชนนี 101แขวงศาลาธรรมศพย์ เขตทวีวัฒนา จ.กรุงเทพมหานคร 10170")</f>
        <v>57/7 ซ.บรมราชนนี 101แขวงศาลาธรรมศพย์ เขตทวีวัฒนา จ.กรุงเทพมหานคร 10170</v>
      </c>
      <c r="Y3104" s="3"/>
      <c r="Z3104" s="3">
        <f>IFERROR(__xludf.DUMMYFUNCTION("""COMPUTED_VALUE"""),0.0)</f>
        <v>0</v>
      </c>
      <c r="AA3104" s="3">
        <f>IFERROR(__xludf.DUMMYFUNCTION("""COMPUTED_VALUE"""),0.0)</f>
        <v>0</v>
      </c>
      <c r="AB3104" s="3" t="str">
        <f>IFERROR(__xludf.DUMMYFUNCTION("""COMPUTED_VALUE"""),"กรุงเทพมหานคร")</f>
        <v>กรุงเทพมหานคร</v>
      </c>
      <c r="AC3104" s="3">
        <f>IFERROR(__xludf.DUMMYFUNCTION("""COMPUTED_VALUE"""),10170.0)</f>
        <v>10170</v>
      </c>
      <c r="AD3104" s="3"/>
      <c r="AE3104" s="3"/>
      <c r="AF3104" s="3" t="str">
        <f>IFERROR(__xludf.DUMMYFUNCTION("""COMPUTED_VALUE"""),"ร้านน้ำหวาน-84111")</f>
        <v>ร้านน้ำหวาน-84111</v>
      </c>
      <c r="AG3104" s="3" t="str">
        <f>IFERROR(__xludf.DUMMYFUNCTION("""COMPUTED_VALUE"""),"กลาง")</f>
        <v>กลาง</v>
      </c>
      <c r="AH3104" s="3" t="str">
        <f>IFERROR(__xludf.DUMMYFUNCTION("""COMPUTED_VALUE"""),"#N/A")</f>
        <v>#N/A</v>
      </c>
      <c r="AI3104" s="3" t="str">
        <f>IFERROR(__xludf.DUMMYFUNCTION("""COMPUTED_VALUE"""),"Out of warranty")</f>
        <v>Out of warranty</v>
      </c>
      <c r="AJ3104" s="3">
        <f>IFERROR(__xludf.DUMMYFUNCTION("""COMPUTED_VALUE"""),37.0)</f>
        <v>37</v>
      </c>
      <c r="AK3104" s="3"/>
      <c r="AL3104" s="3"/>
    </row>
    <row r="3105" ht="15.75" customHeight="1">
      <c r="A3105" s="1" t="str">
        <f>IFERROR(__xludf.DUMMYFUNCTION("""COMPUTED_VALUE"""),"84115")</f>
        <v>84115</v>
      </c>
      <c r="B3105" s="2">
        <f>IFERROR(__xludf.DUMMYFUNCTION("""COMPUTED_VALUE"""),84115.0)</f>
        <v>84115</v>
      </c>
      <c r="C3105" s="3" t="str">
        <f>IFERROR(__xludf.DUMMYFUNCTION("""COMPUTED_VALUE"""),"ร้านคุณยาย")</f>
        <v>ร้านคุณยาย</v>
      </c>
      <c r="D3105" s="3" t="str">
        <f>IFERROR(__xludf.DUMMYFUNCTION("""COMPUTED_VALUE"""),"ร้านคุณยาย")</f>
        <v>ร้านคุณยาย</v>
      </c>
      <c r="E3105" s="1" t="str">
        <f>IFERROR(__xludf.DUMMYFUNCTION("""COMPUTED_VALUE"""),"Donjai")</f>
        <v>Donjai</v>
      </c>
      <c r="F3105" s="1" t="str">
        <f>IFERROR(__xludf.DUMMYFUNCTION("""COMPUTED_VALUE"""),"025324")</f>
        <v>025324</v>
      </c>
      <c r="G3105" s="1" t="str">
        <f>IFERROR(__xludf.DUMMYFUNCTION("""COMPUTED_VALUE"""),"นายวิเชฎฐ์ ติรัตนะประคม")</f>
        <v>นายวิเชฎฐ์ ติรัตนะประคม</v>
      </c>
      <c r="H3105" s="1" t="str">
        <f>IFERROR(__xludf.DUMMYFUNCTION("""COMPUTED_VALUE"""),"025324")</f>
        <v>025324</v>
      </c>
      <c r="I3105" s="1" t="str">
        <f>IFERROR(__xludf.DUMMYFUNCTION("""COMPUTED_VALUE"""),"นายวิเชฎฐ์ ติรัตนะประคม")</f>
        <v>นายวิเชฎฐ์ ติรัตนะประคม</v>
      </c>
      <c r="J3105" s="3">
        <f>IFERROR(__xludf.DUMMYFUNCTION("""COMPUTED_VALUE"""),295541.0)</f>
        <v>295541</v>
      </c>
      <c r="K3105" s="3" t="str">
        <f>IFERROR(__xludf.DUMMYFUNCTION("""COMPUTED_VALUE"""),"นายรพิพล ศรีมาตย์")</f>
        <v>นายรพิพล ศรีมาตย์</v>
      </c>
      <c r="L3105" s="1" t="str">
        <f>IFERROR(__xludf.DUMMYFUNCTION("""COMPUTED_VALUE"""),"นายรพิพล ศรีมาตย์")</f>
        <v>นายรพิพล ศรีมาตย์</v>
      </c>
      <c r="M3105" s="1" t="str">
        <f>IFERROR(__xludf.DUMMYFUNCTION("""COMPUTED_VALUE"""),"0613966115")</f>
        <v>0613966115</v>
      </c>
      <c r="N3105" s="3">
        <f>IFERROR(__xludf.DUMMYFUNCTION("""COMPUTED_VALUE"""),84115.0)</f>
        <v>84115</v>
      </c>
      <c r="O3105" s="3" t="str">
        <f>IFERROR(__xludf.DUMMYFUNCTION("""COMPUTED_VALUE"""),"ร้านคุณยาย")</f>
        <v>ร้านคุณยาย</v>
      </c>
      <c r="P3105" s="4">
        <f>IFERROR(__xludf.DUMMYFUNCTION("""COMPUTED_VALUE"""),44915.0)</f>
        <v>44915</v>
      </c>
      <c r="Q3105" s="3" t="str">
        <f>IFERROR(__xludf.DUMMYFUNCTION("""COMPUTED_VALUE"""),"A")</f>
        <v>A</v>
      </c>
      <c r="R3105" s="3" t="str">
        <f>IFERROR(__xludf.DUMMYFUNCTION("""COMPUTED_VALUE"""),"Small Format")</f>
        <v>Small Format</v>
      </c>
      <c r="S3105" s="3" t="str">
        <f>IFERROR(__xludf.DUMMYFUNCTION("""COMPUTED_VALUE"""),"Donjai")</f>
        <v>Donjai</v>
      </c>
      <c r="T3105" s="3" t="str">
        <f>IFERROR(__xludf.DUMMYFUNCTION("""COMPUTED_VALUE"""),"14 K.Wichet T.")</f>
        <v>14 K.Wichet T.</v>
      </c>
      <c r="U3105" s="3" t="str">
        <f>IFERROR(__xludf.DUMMYFUNCTION("""COMPUTED_VALUE"""),"14 K.Wichet T.")</f>
        <v>14 K.Wichet T.</v>
      </c>
      <c r="V3105" s="3" t="str">
        <f>IFERROR(__xludf.DUMMYFUNCTION("""COMPUTED_VALUE"""),"N")</f>
        <v>N</v>
      </c>
      <c r="W3105" s="3"/>
      <c r="X3105" s="3" t="str">
        <f>IFERROR(__xludf.DUMMYFUNCTION("""COMPUTED_VALUE"""),"157 หมู่ 3 ต.เทพราช สิชล นครศรีธรรมราช 80340")</f>
        <v>157 หมู่ 3 ต.เทพราช สิชล นครศรีธรรมราช 80340</v>
      </c>
      <c r="Y3105" s="3"/>
      <c r="Z3105" s="3">
        <f>IFERROR(__xludf.DUMMYFUNCTION("""COMPUTED_VALUE"""),0.0)</f>
        <v>0</v>
      </c>
      <c r="AA3105" s="3">
        <f>IFERROR(__xludf.DUMMYFUNCTION("""COMPUTED_VALUE"""),0.0)</f>
        <v>0</v>
      </c>
      <c r="AB3105" s="3" t="str">
        <f>IFERROR(__xludf.DUMMYFUNCTION("""COMPUTED_VALUE"""),"นครศรีธรรมราช")</f>
        <v>นครศรีธรรมราช</v>
      </c>
      <c r="AC3105" s="3">
        <f>IFERROR(__xludf.DUMMYFUNCTION("""COMPUTED_VALUE"""),80340.0)</f>
        <v>80340</v>
      </c>
      <c r="AD3105" s="3"/>
      <c r="AE3105" s="3"/>
      <c r="AF3105" s="3" t="str">
        <f>IFERROR(__xludf.DUMMYFUNCTION("""COMPUTED_VALUE"""),"ร้านคุณยาย-84115")</f>
        <v>ร้านคุณยาย-84115</v>
      </c>
      <c r="AG3105" s="3" t="str">
        <f>IFERROR(__xludf.DUMMYFUNCTION("""COMPUTED_VALUE"""),"ใต้")</f>
        <v>ใต้</v>
      </c>
      <c r="AH3105" s="3" t="str">
        <f>IFERROR(__xludf.DUMMYFUNCTION("""COMPUTED_VALUE"""),"#N/A")</f>
        <v>#N/A</v>
      </c>
      <c r="AI3105" s="3" t="str">
        <f>IFERROR(__xludf.DUMMYFUNCTION("""COMPUTED_VALUE"""),"Out of warranty")</f>
        <v>Out of warranty</v>
      </c>
      <c r="AJ3105" s="3">
        <f>IFERROR(__xludf.DUMMYFUNCTION("""COMPUTED_VALUE"""),38.0)</f>
        <v>38</v>
      </c>
      <c r="AK3105" s="3"/>
      <c r="AL3105" s="3"/>
    </row>
    <row r="3106" ht="15.75" customHeight="1">
      <c r="A3106" s="1" t="str">
        <f>IFERROR(__xludf.DUMMYFUNCTION("""COMPUTED_VALUE"""),"84116")</f>
        <v>84116</v>
      </c>
      <c r="B3106" s="2">
        <f>IFERROR(__xludf.DUMMYFUNCTION("""COMPUTED_VALUE"""),84116.0)</f>
        <v>84116</v>
      </c>
      <c r="C3106" s="3" t="str">
        <f>IFERROR(__xludf.DUMMYFUNCTION("""COMPUTED_VALUE"""),"ร้าน น การเกษตร")</f>
        <v>ร้าน น การเกษตร</v>
      </c>
      <c r="D3106" s="3" t="str">
        <f>IFERROR(__xludf.DUMMYFUNCTION("""COMPUTED_VALUE"""),"ร้าน น การเกษตร")</f>
        <v>ร้าน น การเกษตร</v>
      </c>
      <c r="E3106" s="1" t="str">
        <f>IFERROR(__xludf.DUMMYFUNCTION("""COMPUTED_VALUE"""),"Donjai")</f>
        <v>Donjai</v>
      </c>
      <c r="F3106" s="1" t="str">
        <f>IFERROR(__xludf.DUMMYFUNCTION("""COMPUTED_VALUE"""),"015361")</f>
        <v>015361</v>
      </c>
      <c r="G3106" s="1" t="str">
        <f>IFERROR(__xludf.DUMMYFUNCTION("""COMPUTED_VALUE"""),"นายสมบูรณ์ พรหมในเมือง")</f>
        <v>นายสมบูรณ์ พรหมในเมือง</v>
      </c>
      <c r="H3106" s="1" t="str">
        <f>IFERROR(__xludf.DUMMYFUNCTION("""COMPUTED_VALUE"""),"015361")</f>
        <v>015361</v>
      </c>
      <c r="I3106" s="1" t="str">
        <f>IFERROR(__xludf.DUMMYFUNCTION("""COMPUTED_VALUE"""),"นายสมบูรณ์ พรหมในเมือง")</f>
        <v>นายสมบูรณ์ พรหมในเมือง</v>
      </c>
      <c r="J3106" s="3">
        <f>IFERROR(__xludf.DUMMYFUNCTION("""COMPUTED_VALUE"""),295886.0)</f>
        <v>295886</v>
      </c>
      <c r="K3106" s="3" t="str">
        <f>IFERROR(__xludf.DUMMYFUNCTION("""COMPUTED_VALUE"""),"นายจิระพงษ์ โพธิ์นิล")</f>
        <v>นายจิระพงษ์ โพธิ์นิล</v>
      </c>
      <c r="L3106" s="1" t="str">
        <f>IFERROR(__xludf.DUMMYFUNCTION("""COMPUTED_VALUE"""),"นายจิระพงษ์ โพธิ์นิล")</f>
        <v>นายจิระพงษ์ โพธิ์นิล</v>
      </c>
      <c r="M3106" s="1" t="str">
        <f>IFERROR(__xludf.DUMMYFUNCTION("""COMPUTED_VALUE"""),"0933290754")</f>
        <v>0933290754</v>
      </c>
      <c r="N3106" s="3">
        <f>IFERROR(__xludf.DUMMYFUNCTION("""COMPUTED_VALUE"""),84116.0)</f>
        <v>84116</v>
      </c>
      <c r="O3106" s="3" t="str">
        <f>IFERROR(__xludf.DUMMYFUNCTION("""COMPUTED_VALUE"""),"ร้าน น การเกษตร")</f>
        <v>ร้าน น การเกษตร</v>
      </c>
      <c r="P3106" s="4">
        <f>IFERROR(__xludf.DUMMYFUNCTION("""COMPUTED_VALUE"""),44952.0)</f>
        <v>44952</v>
      </c>
      <c r="Q3106" s="3" t="str">
        <f>IFERROR(__xludf.DUMMYFUNCTION("""COMPUTED_VALUE"""),"I")</f>
        <v>I</v>
      </c>
      <c r="R3106" s="3" t="str">
        <f>IFERROR(__xludf.DUMMYFUNCTION("""COMPUTED_VALUE"""),"Small Format")</f>
        <v>Small Format</v>
      </c>
      <c r="S3106" s="3" t="str">
        <f>IFERROR(__xludf.DUMMYFUNCTION("""COMPUTED_VALUE"""),"Donjai")</f>
        <v>Donjai</v>
      </c>
      <c r="T3106" s="3" t="str">
        <f>IFERROR(__xludf.DUMMYFUNCTION("""COMPUTED_VALUE"""),"04 K.Somboon P.")</f>
        <v>04 K.Somboon P.</v>
      </c>
      <c r="U3106" s="3" t="str">
        <f>IFERROR(__xludf.DUMMYFUNCTION("""COMPUTED_VALUE"""),"04 K.Somboon P.")</f>
        <v>04 K.Somboon P.</v>
      </c>
      <c r="V3106" s="3" t="str">
        <f>IFERROR(__xludf.DUMMYFUNCTION("""COMPUTED_VALUE"""),"N")</f>
        <v>N</v>
      </c>
      <c r="W3106" s="3"/>
      <c r="X3106" s="3" t="str">
        <f>IFERROR(__xludf.DUMMYFUNCTION("""COMPUTED_VALUE"""),"25/3 ต.วังโรงใหญ่ อ.สีคิ้ว จ.นครราชสีมา 30140")</f>
        <v>25/3 ต.วังโรงใหญ่ อ.สีคิ้ว จ.นครราชสีมา 30140</v>
      </c>
      <c r="Y3106" s="3"/>
      <c r="Z3106" s="3">
        <f>IFERROR(__xludf.DUMMYFUNCTION("""COMPUTED_VALUE"""),0.0)</f>
        <v>0</v>
      </c>
      <c r="AA3106" s="3">
        <f>IFERROR(__xludf.DUMMYFUNCTION("""COMPUTED_VALUE"""),0.0)</f>
        <v>0</v>
      </c>
      <c r="AB3106" s="3" t="str">
        <f>IFERROR(__xludf.DUMMYFUNCTION("""COMPUTED_VALUE"""),"นครราชสีมา")</f>
        <v>นครราชสีมา</v>
      </c>
      <c r="AC3106" s="3">
        <f>IFERROR(__xludf.DUMMYFUNCTION("""COMPUTED_VALUE"""),30140.0)</f>
        <v>30140</v>
      </c>
      <c r="AD3106" s="3"/>
      <c r="AE3106" s="3"/>
      <c r="AF3106" s="3" t="str">
        <f>IFERROR(__xludf.DUMMYFUNCTION("""COMPUTED_VALUE"""),"ร้าน น การเกษตร-84116")</f>
        <v>ร้าน น การเกษตร-84116</v>
      </c>
      <c r="AG3106" s="3" t="str">
        <f>IFERROR(__xludf.DUMMYFUNCTION("""COMPUTED_VALUE"""),"ตะวันออกเฉียงเหนือ")</f>
        <v>ตะวันออกเฉียงเหนือ</v>
      </c>
      <c r="AH3106" s="3" t="str">
        <f>IFERROR(__xludf.DUMMYFUNCTION("""COMPUTED_VALUE"""),"#N/A")</f>
        <v>#N/A</v>
      </c>
      <c r="AI3106" s="3" t="str">
        <f>IFERROR(__xludf.DUMMYFUNCTION("""COMPUTED_VALUE"""),"Out of warranty")</f>
        <v>Out of warranty</v>
      </c>
      <c r="AJ3106" s="3">
        <f>IFERROR(__xludf.DUMMYFUNCTION("""COMPUTED_VALUE"""),36.0)</f>
        <v>36</v>
      </c>
      <c r="AK3106" s="3"/>
      <c r="AL3106" s="3"/>
    </row>
    <row r="3107" ht="15.75" customHeight="1">
      <c r="A3107" s="1" t="str">
        <f>IFERROR(__xludf.DUMMYFUNCTION("""COMPUTED_VALUE"""),"84118")</f>
        <v>84118</v>
      </c>
      <c r="B3107" s="2">
        <f>IFERROR(__xludf.DUMMYFUNCTION("""COMPUTED_VALUE"""),84118.0)</f>
        <v>84118</v>
      </c>
      <c r="C3107" s="3" t="str">
        <f>IFERROR(__xludf.DUMMYFUNCTION("""COMPUTED_VALUE"""),"ร้านแม่ศิริจรรยา พ่อธีระศักดิ์ มินิมาร์ท")</f>
        <v>ร้านแม่ศิริจรรยา พ่อธีระศักดิ์ มินิมาร์ท</v>
      </c>
      <c r="D3107" s="3" t="str">
        <f>IFERROR(__xludf.DUMMYFUNCTION("""COMPUTED_VALUE"""),"ร้านแม่ศิริจรรยา พ่อธีระศักดิ์ มินิมาร์ท")</f>
        <v>ร้านแม่ศิริจรรยา พ่อธีระศักดิ์ มินิมาร์ท</v>
      </c>
      <c r="E3107" s="1" t="str">
        <f>IFERROR(__xludf.DUMMYFUNCTION("""COMPUTED_VALUE"""),"Donjai")</f>
        <v>Donjai</v>
      </c>
      <c r="F3107" s="1" t="str">
        <f>IFERROR(__xludf.DUMMYFUNCTION("""COMPUTED_VALUE"""),"015361")</f>
        <v>015361</v>
      </c>
      <c r="G3107" s="1" t="str">
        <f>IFERROR(__xludf.DUMMYFUNCTION("""COMPUTED_VALUE"""),"นายสมบูรณ์ พรหมในเมือง")</f>
        <v>นายสมบูรณ์ พรหมในเมือง</v>
      </c>
      <c r="H3107" s="1" t="str">
        <f>IFERROR(__xludf.DUMMYFUNCTION("""COMPUTED_VALUE"""),"015361")</f>
        <v>015361</v>
      </c>
      <c r="I3107" s="1" t="str">
        <f>IFERROR(__xludf.DUMMYFUNCTION("""COMPUTED_VALUE"""),"นายสมบูรณ์ พรหมในเมือง")</f>
        <v>นายสมบูรณ์ พรหมในเมือง</v>
      </c>
      <c r="J3107" s="3">
        <f>IFERROR(__xludf.DUMMYFUNCTION("""COMPUTED_VALUE"""),295886.0)</f>
        <v>295886</v>
      </c>
      <c r="K3107" s="3" t="str">
        <f>IFERROR(__xludf.DUMMYFUNCTION("""COMPUTED_VALUE"""),"นายจิระพงษ์ โพธิ์นิล")</f>
        <v>นายจิระพงษ์ โพธิ์นิล</v>
      </c>
      <c r="L3107" s="1" t="str">
        <f>IFERROR(__xludf.DUMMYFUNCTION("""COMPUTED_VALUE"""),"นายจิระพงษ์ โพธิ์นิล")</f>
        <v>นายจิระพงษ์ โพธิ์นิล</v>
      </c>
      <c r="M3107" s="1" t="str">
        <f>IFERROR(__xludf.DUMMYFUNCTION("""COMPUTED_VALUE"""),"0933290754")</f>
        <v>0933290754</v>
      </c>
      <c r="N3107" s="3">
        <f>IFERROR(__xludf.DUMMYFUNCTION("""COMPUTED_VALUE"""),84118.0)</f>
        <v>84118</v>
      </c>
      <c r="O3107" s="3" t="str">
        <f>IFERROR(__xludf.DUMMYFUNCTION("""COMPUTED_VALUE"""),"ร้านแม่ศิริจรรยา พ่อธีระศักดิ์ มินิมาร์ท")</f>
        <v>ร้านแม่ศิริจรรยา พ่อธีระศักดิ์ มินิมาร์ท</v>
      </c>
      <c r="P3107" s="4">
        <f>IFERROR(__xludf.DUMMYFUNCTION("""COMPUTED_VALUE"""),44941.0)</f>
        <v>44941</v>
      </c>
      <c r="Q3107" s="3" t="str">
        <f>IFERROR(__xludf.DUMMYFUNCTION("""COMPUTED_VALUE"""),"A")</f>
        <v>A</v>
      </c>
      <c r="R3107" s="3" t="str">
        <f>IFERROR(__xludf.DUMMYFUNCTION("""COMPUTED_VALUE"""),"Small Format")</f>
        <v>Small Format</v>
      </c>
      <c r="S3107" s="3" t="str">
        <f>IFERROR(__xludf.DUMMYFUNCTION("""COMPUTED_VALUE"""),"Donjai")</f>
        <v>Donjai</v>
      </c>
      <c r="T3107" s="3" t="str">
        <f>IFERROR(__xludf.DUMMYFUNCTION("""COMPUTED_VALUE"""),"04 K.Somboon P.")</f>
        <v>04 K.Somboon P.</v>
      </c>
      <c r="U3107" s="3" t="str">
        <f>IFERROR(__xludf.DUMMYFUNCTION("""COMPUTED_VALUE"""),"04 K.Somboon P.")</f>
        <v>04 K.Somboon P.</v>
      </c>
      <c r="V3107" s="3" t="str">
        <f>IFERROR(__xludf.DUMMYFUNCTION("""COMPUTED_VALUE"""),"N")</f>
        <v>N</v>
      </c>
      <c r="W3107" s="3"/>
      <c r="X3107" s="3" t="str">
        <f>IFERROR(__xludf.DUMMYFUNCTION("""COMPUTED_VALUE"""),"27 หมู่ 8 ถ.เทศบาล ต.ไชยสอ อ.ชุมแพ จ.ขอนแก่น 40130")</f>
        <v>27 หมู่ 8 ถ.เทศบาล ต.ไชยสอ อ.ชุมแพ จ.ขอนแก่น 40130</v>
      </c>
      <c r="Y3107" s="3"/>
      <c r="Z3107" s="3">
        <f>IFERROR(__xludf.DUMMYFUNCTION("""COMPUTED_VALUE"""),0.0)</f>
        <v>0</v>
      </c>
      <c r="AA3107" s="3">
        <f>IFERROR(__xludf.DUMMYFUNCTION("""COMPUTED_VALUE"""),0.0)</f>
        <v>0</v>
      </c>
      <c r="AB3107" s="3" t="str">
        <f>IFERROR(__xludf.DUMMYFUNCTION("""COMPUTED_VALUE"""),"ขอนแก่น")</f>
        <v>ขอนแก่น</v>
      </c>
      <c r="AC3107" s="3">
        <f>IFERROR(__xludf.DUMMYFUNCTION("""COMPUTED_VALUE"""),40130.0)</f>
        <v>40130</v>
      </c>
      <c r="AD3107" s="3"/>
      <c r="AE3107" s="3"/>
      <c r="AF3107" s="3" t="str">
        <f>IFERROR(__xludf.DUMMYFUNCTION("""COMPUTED_VALUE"""),"ร้านแม่ศิริจรรยา พ่อธีระศักดิ์ มินิมาร์ท-84118")</f>
        <v>ร้านแม่ศิริจรรยา พ่อธีระศักดิ์ มินิมาร์ท-84118</v>
      </c>
      <c r="AG3107" s="3" t="str">
        <f>IFERROR(__xludf.DUMMYFUNCTION("""COMPUTED_VALUE"""),"ตะวันออกเฉียงเหนือ")</f>
        <v>ตะวันออกเฉียงเหนือ</v>
      </c>
      <c r="AH3107" s="3" t="str">
        <f>IFERROR(__xludf.DUMMYFUNCTION("""COMPUTED_VALUE"""),"#N/A")</f>
        <v>#N/A</v>
      </c>
      <c r="AI3107" s="3" t="str">
        <f>IFERROR(__xludf.DUMMYFUNCTION("""COMPUTED_VALUE"""),"Out of warranty")</f>
        <v>Out of warranty</v>
      </c>
      <c r="AJ3107" s="3">
        <f>IFERROR(__xludf.DUMMYFUNCTION("""COMPUTED_VALUE"""),37.0)</f>
        <v>37</v>
      </c>
      <c r="AK3107" s="3"/>
      <c r="AL3107" s="3"/>
    </row>
    <row r="3108" ht="15.75" customHeight="1">
      <c r="A3108" s="1" t="str">
        <f>IFERROR(__xludf.DUMMYFUNCTION("""COMPUTED_VALUE"""),"84119")</f>
        <v>84119</v>
      </c>
      <c r="B3108" s="2">
        <f>IFERROR(__xludf.DUMMYFUNCTION("""COMPUTED_VALUE"""),84119.0)</f>
        <v>84119</v>
      </c>
      <c r="C3108" s="3" t="str">
        <f>IFERROR(__xludf.DUMMYFUNCTION("""COMPUTED_VALUE"""),"ร้านตาลคู่ (ซาลอน)")</f>
        <v>ร้านตาลคู่ (ซาลอน)</v>
      </c>
      <c r="D3108" s="3" t="str">
        <f>IFERROR(__xludf.DUMMYFUNCTION("""COMPUTED_VALUE"""),"ร้านตาลคู่ (ซาลอน)")</f>
        <v>ร้านตาลคู่ (ซาลอน)</v>
      </c>
      <c r="E3108" s="1" t="str">
        <f>IFERROR(__xludf.DUMMYFUNCTION("""COMPUTED_VALUE"""),"Donjai")</f>
        <v>Donjai</v>
      </c>
      <c r="F3108" s="1" t="str">
        <f>IFERROR(__xludf.DUMMYFUNCTION("""COMPUTED_VALUE"""),"2010023")</f>
        <v>2010023</v>
      </c>
      <c r="G3108" s="1" t="str">
        <f>IFERROR(__xludf.DUMMYFUNCTION("""COMPUTED_VALUE"""),"นายวศิน ไวยรูป")</f>
        <v>นายวศิน ไวยรูป</v>
      </c>
      <c r="H3108" s="1" t="str">
        <f>IFERROR(__xludf.DUMMYFUNCTION("""COMPUTED_VALUE"""),"2010023")</f>
        <v>2010023</v>
      </c>
      <c r="I3108" s="1" t="str">
        <f>IFERROR(__xludf.DUMMYFUNCTION("""COMPUTED_VALUE"""),"นายวศิน ไวยรูป")</f>
        <v>นายวศิน ไวยรูป</v>
      </c>
      <c r="J3108" s="3">
        <f>IFERROR(__xludf.DUMMYFUNCTION("""COMPUTED_VALUE"""),228031.0)</f>
        <v>228031</v>
      </c>
      <c r="K3108" s="3" t="str">
        <f>IFERROR(__xludf.DUMMYFUNCTION("""COMPUTED_VALUE"""),"นายธนพงษ์ วันหมัด")</f>
        <v>นายธนพงษ์ วันหมัด</v>
      </c>
      <c r="L3108" s="1" t="str">
        <f>IFERROR(__xludf.DUMMYFUNCTION("""COMPUTED_VALUE"""),"นายธนพงษ์ วันหมัด")</f>
        <v>นายธนพงษ์ วันหมัด</v>
      </c>
      <c r="M3108" s="1" t="str">
        <f>IFERROR(__xludf.DUMMYFUNCTION("""COMPUTED_VALUE"""),"0813716913")</f>
        <v>0813716913</v>
      </c>
      <c r="N3108" s="3">
        <f>IFERROR(__xludf.DUMMYFUNCTION("""COMPUTED_VALUE"""),84119.0)</f>
        <v>84119</v>
      </c>
      <c r="O3108" s="3" t="str">
        <f>IFERROR(__xludf.DUMMYFUNCTION("""COMPUTED_VALUE"""),"ร้านตาลคู่ (ซาลอน)")</f>
        <v>ร้านตาลคู่ (ซาลอน)</v>
      </c>
      <c r="P3108" s="4">
        <f>IFERROR(__xludf.DUMMYFUNCTION("""COMPUTED_VALUE"""),44952.0)</f>
        <v>44952</v>
      </c>
      <c r="Q3108" s="3" t="str">
        <f>IFERROR(__xludf.DUMMYFUNCTION("""COMPUTED_VALUE"""),"I")</f>
        <v>I</v>
      </c>
      <c r="R3108" s="3" t="str">
        <f>IFERROR(__xludf.DUMMYFUNCTION("""COMPUTED_VALUE"""),"Small Format")</f>
        <v>Small Format</v>
      </c>
      <c r="S3108" s="3" t="str">
        <f>IFERROR(__xludf.DUMMYFUNCTION("""COMPUTED_VALUE"""),"Donjai")</f>
        <v>Donjai</v>
      </c>
      <c r="T3108" s="3" t="str">
        <f>IFERROR(__xludf.DUMMYFUNCTION("""COMPUTED_VALUE"""),"Donjai")</f>
        <v>Donjai</v>
      </c>
      <c r="U3108" s="3" t="str">
        <f>IFERROR(__xludf.DUMMYFUNCTION("""COMPUTED_VALUE"""),"Donjai")</f>
        <v>Donjai</v>
      </c>
      <c r="V3108" s="3" t="str">
        <f>IFERROR(__xludf.DUMMYFUNCTION("""COMPUTED_VALUE"""),"N")</f>
        <v>N</v>
      </c>
      <c r="W3108" s="3"/>
      <c r="X3108" s="3" t="str">
        <f>IFERROR(__xludf.DUMMYFUNCTION("""COMPUTED_VALUE"""),"38/3 หมู่ 10 ต.หมอนทอง อ.บางน้ำเปรี้ยว จ.ฉะเชิงเทรา 24150")</f>
        <v>38/3 หมู่ 10 ต.หมอนทอง อ.บางน้ำเปรี้ยว จ.ฉะเชิงเทรา 24150</v>
      </c>
      <c r="Y3108" s="3"/>
      <c r="Z3108" s="3">
        <f>IFERROR(__xludf.DUMMYFUNCTION("""COMPUTED_VALUE"""),0.0)</f>
        <v>0</v>
      </c>
      <c r="AA3108" s="3">
        <f>IFERROR(__xludf.DUMMYFUNCTION("""COMPUTED_VALUE"""),0.0)</f>
        <v>0</v>
      </c>
      <c r="AB3108" s="3" t="str">
        <f>IFERROR(__xludf.DUMMYFUNCTION("""COMPUTED_VALUE"""),"ฉะเชิงเทรา")</f>
        <v>ฉะเชิงเทรา</v>
      </c>
      <c r="AC3108" s="3">
        <f>IFERROR(__xludf.DUMMYFUNCTION("""COMPUTED_VALUE"""),24150.0)</f>
        <v>24150</v>
      </c>
      <c r="AD3108" s="3"/>
      <c r="AE3108" s="3"/>
      <c r="AF3108" s="3" t="str">
        <f>IFERROR(__xludf.DUMMYFUNCTION("""COMPUTED_VALUE"""),"ร้านตาลคู่ (ซาลอน)-84119")</f>
        <v>ร้านตาลคู่ (ซาลอน)-84119</v>
      </c>
      <c r="AG3108" s="3" t="str">
        <f>IFERROR(__xludf.DUMMYFUNCTION("""COMPUTED_VALUE"""),"ตะวันออก")</f>
        <v>ตะวันออก</v>
      </c>
      <c r="AH3108" s="3" t="str">
        <f>IFERROR(__xludf.DUMMYFUNCTION("""COMPUTED_VALUE"""),"#N/A")</f>
        <v>#N/A</v>
      </c>
      <c r="AI3108" s="3" t="str">
        <f>IFERROR(__xludf.DUMMYFUNCTION("""COMPUTED_VALUE"""),"Out of warranty")</f>
        <v>Out of warranty</v>
      </c>
      <c r="AJ3108" s="3">
        <f>IFERROR(__xludf.DUMMYFUNCTION("""COMPUTED_VALUE"""),36.0)</f>
        <v>36</v>
      </c>
      <c r="AK3108" s="3"/>
      <c r="AL3108" s="3"/>
    </row>
    <row r="3109" ht="15.75" customHeight="1">
      <c r="A3109" s="1" t="str">
        <f>IFERROR(__xludf.DUMMYFUNCTION("""COMPUTED_VALUE"""),"84120")</f>
        <v>84120</v>
      </c>
      <c r="B3109" s="2">
        <f>IFERROR(__xludf.DUMMYFUNCTION("""COMPUTED_VALUE"""),84120.0)</f>
        <v>84120</v>
      </c>
      <c r="C3109" s="3" t="str">
        <f>IFERROR(__xludf.DUMMYFUNCTION("""COMPUTED_VALUE"""),"ร้านริศา (สีสวาท)")</f>
        <v>ร้านริศา (สีสวาท)</v>
      </c>
      <c r="D3109" s="3" t="str">
        <f>IFERROR(__xludf.DUMMYFUNCTION("""COMPUTED_VALUE"""),"ร้านริศา (สีสวาท)")</f>
        <v>ร้านริศา (สีสวาท)</v>
      </c>
      <c r="E3109" s="1" t="str">
        <f>IFERROR(__xludf.DUMMYFUNCTION("""COMPUTED_VALUE"""),"Donjai")</f>
        <v>Donjai</v>
      </c>
      <c r="F3109" s="1" t="str">
        <f>IFERROR(__xludf.DUMMYFUNCTION("""COMPUTED_VALUE"""),"2452378")</f>
        <v>2452378</v>
      </c>
      <c r="G3109" s="1" t="str">
        <f>IFERROR(__xludf.DUMMYFUNCTION("""COMPUTED_VALUE"""),"นายศักดิ์ดา พวงประดับ")</f>
        <v>นายศักดิ์ดา พวงประดับ</v>
      </c>
      <c r="H3109" s="1" t="str">
        <f>IFERROR(__xludf.DUMMYFUNCTION("""COMPUTED_VALUE"""),"2452378")</f>
        <v>2452378</v>
      </c>
      <c r="I3109" s="1" t="str">
        <f>IFERROR(__xludf.DUMMYFUNCTION("""COMPUTED_VALUE"""),"นายศักดิ์ดา พวงประดับ")</f>
        <v>นายศักดิ์ดา พวงประดับ</v>
      </c>
      <c r="J3109" s="3">
        <f>IFERROR(__xludf.DUMMYFUNCTION("""COMPUTED_VALUE"""),228031.0)</f>
        <v>228031</v>
      </c>
      <c r="K3109" s="3" t="str">
        <f>IFERROR(__xludf.DUMMYFUNCTION("""COMPUTED_VALUE"""),"นายธนพงษ์ วันหมัด")</f>
        <v>นายธนพงษ์ วันหมัด</v>
      </c>
      <c r="L3109" s="1" t="str">
        <f>IFERROR(__xludf.DUMMYFUNCTION("""COMPUTED_VALUE"""),"นายธนพงษ์ วันหมัด")</f>
        <v>นายธนพงษ์ วันหมัด</v>
      </c>
      <c r="M3109" s="1" t="str">
        <f>IFERROR(__xludf.DUMMYFUNCTION("""COMPUTED_VALUE"""),"0813716913")</f>
        <v>0813716913</v>
      </c>
      <c r="N3109" s="3">
        <f>IFERROR(__xludf.DUMMYFUNCTION("""COMPUTED_VALUE"""),84120.0)</f>
        <v>84120</v>
      </c>
      <c r="O3109" s="3" t="str">
        <f>IFERROR(__xludf.DUMMYFUNCTION("""COMPUTED_VALUE"""),"ร้านริศา (สีสวาท)")</f>
        <v>ร้านริศา (สีสวาท)</v>
      </c>
      <c r="P3109" s="4">
        <f>IFERROR(__xludf.DUMMYFUNCTION("""COMPUTED_VALUE"""),44962.0)</f>
        <v>44962</v>
      </c>
      <c r="Q3109" s="3" t="str">
        <f>IFERROR(__xludf.DUMMYFUNCTION("""COMPUTED_VALUE"""),"A")</f>
        <v>A</v>
      </c>
      <c r="R3109" s="3" t="str">
        <f>IFERROR(__xludf.DUMMYFUNCTION("""COMPUTED_VALUE"""),"Small Format")</f>
        <v>Small Format</v>
      </c>
      <c r="S3109" s="3" t="str">
        <f>IFERROR(__xludf.DUMMYFUNCTION("""COMPUTED_VALUE"""),"Donjai")</f>
        <v>Donjai</v>
      </c>
      <c r="T3109" s="3" t="str">
        <f>IFERROR(__xludf.DUMMYFUNCTION("""COMPUTED_VALUE"""),"11 K.Sakda P.")</f>
        <v>11 K.Sakda P.</v>
      </c>
      <c r="U3109" s="3" t="str">
        <f>IFERROR(__xludf.DUMMYFUNCTION("""COMPUTED_VALUE"""),"11 K.Sakda P.")</f>
        <v>11 K.Sakda P.</v>
      </c>
      <c r="V3109" s="3" t="str">
        <f>IFERROR(__xludf.DUMMYFUNCTION("""COMPUTED_VALUE"""),"N")</f>
        <v>N</v>
      </c>
      <c r="W3109" s="3"/>
      <c r="X3109" s="3" t="str">
        <f>IFERROR(__xludf.DUMMYFUNCTION("""COMPUTED_VALUE"""),"999 หมู่ที่ 5 ต.สำโรงเหนือ อ.เมืองสมุทรปราการ จ.สมุทรปราการ")</f>
        <v>999 หมู่ที่ 5 ต.สำโรงเหนือ อ.เมืองสมุทรปราการ จ.สมุทรปราการ</v>
      </c>
      <c r="Y3109" s="3"/>
      <c r="Z3109" s="3">
        <f>IFERROR(__xludf.DUMMYFUNCTION("""COMPUTED_VALUE"""),0.0)</f>
        <v>0</v>
      </c>
      <c r="AA3109" s="3">
        <f>IFERROR(__xludf.DUMMYFUNCTION("""COMPUTED_VALUE"""),0.0)</f>
        <v>0</v>
      </c>
      <c r="AB3109" s="3" t="str">
        <f>IFERROR(__xludf.DUMMYFUNCTION("""COMPUTED_VALUE"""),"สมุทรปราการ")</f>
        <v>สมุทรปราการ</v>
      </c>
      <c r="AC3109" s="3">
        <f>IFERROR(__xludf.DUMMYFUNCTION("""COMPUTED_VALUE"""),0.0)</f>
        <v>0</v>
      </c>
      <c r="AD3109" s="3"/>
      <c r="AE3109" s="3"/>
      <c r="AF3109" s="3" t="str">
        <f>IFERROR(__xludf.DUMMYFUNCTION("""COMPUTED_VALUE"""),"ร้านริศา (สีสวาท)-84120")</f>
        <v>ร้านริศา (สีสวาท)-84120</v>
      </c>
      <c r="AG3109" s="3" t="str">
        <f>IFERROR(__xludf.DUMMYFUNCTION("""COMPUTED_VALUE"""),"กลาง")</f>
        <v>กลาง</v>
      </c>
      <c r="AH3109" s="3" t="str">
        <f>IFERROR(__xludf.DUMMYFUNCTION("""COMPUTED_VALUE"""),"#N/A")</f>
        <v>#N/A</v>
      </c>
      <c r="AI3109" s="3" t="str">
        <f>IFERROR(__xludf.DUMMYFUNCTION("""COMPUTED_VALUE"""),"Out of warranty")</f>
        <v>Out of warranty</v>
      </c>
      <c r="AJ3109" s="3">
        <f>IFERROR(__xludf.DUMMYFUNCTION("""COMPUTED_VALUE"""),36.0)</f>
        <v>36</v>
      </c>
      <c r="AK3109" s="3"/>
      <c r="AL3109" s="3"/>
    </row>
    <row r="3110" ht="15.75" customHeight="1">
      <c r="A3110" s="1" t="str">
        <f>IFERROR(__xludf.DUMMYFUNCTION("""COMPUTED_VALUE"""),"84124")</f>
        <v>84124</v>
      </c>
      <c r="B3110" s="2">
        <f>IFERROR(__xludf.DUMMYFUNCTION("""COMPUTED_VALUE"""),84124.0)</f>
        <v>84124</v>
      </c>
      <c r="C3110" s="3" t="str">
        <f>IFERROR(__xludf.DUMMYFUNCTION("""COMPUTED_VALUE"""),"ร้านคุณน้ำทิพย์ การค้า")</f>
        <v>ร้านคุณน้ำทิพย์ การค้า</v>
      </c>
      <c r="D3110" s="3" t="str">
        <f>IFERROR(__xludf.DUMMYFUNCTION("""COMPUTED_VALUE"""),"ร้านคุณน้ำทิพย์ การค้า")</f>
        <v>ร้านคุณน้ำทิพย์ การค้า</v>
      </c>
      <c r="E3110" s="1" t="str">
        <f>IFERROR(__xludf.DUMMYFUNCTION("""COMPUTED_VALUE"""),"Donjai")</f>
        <v>Donjai</v>
      </c>
      <c r="F3110" s="1" t="str">
        <f>IFERROR(__xludf.DUMMYFUNCTION("""COMPUTED_VALUE"""),"296868")</f>
        <v>296868</v>
      </c>
      <c r="G3110" s="1" t="str">
        <f>IFERROR(__xludf.DUMMYFUNCTION("""COMPUTED_VALUE"""),"นายพีระพงษ์ แก้วดวงดี")</f>
        <v>นายพีระพงษ์ แก้วดวงดี</v>
      </c>
      <c r="H3110" s="1" t="str">
        <f>IFERROR(__xludf.DUMMYFUNCTION("""COMPUTED_VALUE"""),"296868")</f>
        <v>296868</v>
      </c>
      <c r="I3110" s="1" t="str">
        <f>IFERROR(__xludf.DUMMYFUNCTION("""COMPUTED_VALUE"""),"นายพีระพงษ์ แก้วดวงดี")</f>
        <v>นายพีระพงษ์ แก้วดวงดี</v>
      </c>
      <c r="J3110" s="3">
        <f>IFERROR(__xludf.DUMMYFUNCTION("""COMPUTED_VALUE"""),295886.0)</f>
        <v>295886</v>
      </c>
      <c r="K3110" s="3" t="str">
        <f>IFERROR(__xludf.DUMMYFUNCTION("""COMPUTED_VALUE"""),"นายจิระพงษ์ โพธิ์นิล")</f>
        <v>นายจิระพงษ์ โพธิ์นิล</v>
      </c>
      <c r="L3110" s="1" t="str">
        <f>IFERROR(__xludf.DUMMYFUNCTION("""COMPUTED_VALUE"""),"นายจิระพงษ์ โพธิ์นิล")</f>
        <v>นายจิระพงษ์ โพธิ์นิล</v>
      </c>
      <c r="M3110" s="1" t="str">
        <f>IFERROR(__xludf.DUMMYFUNCTION("""COMPUTED_VALUE"""),"0933290754")</f>
        <v>0933290754</v>
      </c>
      <c r="N3110" s="3">
        <f>IFERROR(__xludf.DUMMYFUNCTION("""COMPUTED_VALUE"""),84124.0)</f>
        <v>84124</v>
      </c>
      <c r="O3110" s="3" t="str">
        <f>IFERROR(__xludf.DUMMYFUNCTION("""COMPUTED_VALUE"""),"ร้านคุณน้ำทิพย์ การค้า")</f>
        <v>ร้านคุณน้ำทิพย์ การค้า</v>
      </c>
      <c r="P3110" s="4">
        <f>IFERROR(__xludf.DUMMYFUNCTION("""COMPUTED_VALUE"""),44955.0)</f>
        <v>44955</v>
      </c>
      <c r="Q3110" s="3" t="str">
        <f>IFERROR(__xludf.DUMMYFUNCTION("""COMPUTED_VALUE"""),"A")</f>
        <v>A</v>
      </c>
      <c r="R3110" s="3" t="str">
        <f>IFERROR(__xludf.DUMMYFUNCTION("""COMPUTED_VALUE"""),"Small Format")</f>
        <v>Small Format</v>
      </c>
      <c r="S3110" s="3" t="str">
        <f>IFERROR(__xludf.DUMMYFUNCTION("""COMPUTED_VALUE"""),"Donjai")</f>
        <v>Donjai</v>
      </c>
      <c r="T3110" s="3" t="str">
        <f>IFERROR(__xludf.DUMMYFUNCTION("""COMPUTED_VALUE"""),"03 K.Peerapong K.")</f>
        <v>03 K.Peerapong K.</v>
      </c>
      <c r="U3110" s="3" t="str">
        <f>IFERROR(__xludf.DUMMYFUNCTION("""COMPUTED_VALUE"""),"03 K.Peerapong K.")</f>
        <v>03 K.Peerapong K.</v>
      </c>
      <c r="V3110" s="3" t="str">
        <f>IFERROR(__xludf.DUMMYFUNCTION("""COMPUTED_VALUE"""),"N")</f>
        <v>N</v>
      </c>
      <c r="W3110" s="3"/>
      <c r="X3110" s="3" t="str">
        <f>IFERROR(__xludf.DUMMYFUNCTION("""COMPUTED_VALUE"""),"266 หมู่ 8 ต.หนองญาติ อ.เมือง จ.นครพนม 48000")</f>
        <v>266 หมู่ 8 ต.หนองญาติ อ.เมือง จ.นครพนม 48000</v>
      </c>
      <c r="Y3110" s="3"/>
      <c r="Z3110" s="3">
        <f>IFERROR(__xludf.DUMMYFUNCTION("""COMPUTED_VALUE"""),0.0)</f>
        <v>0</v>
      </c>
      <c r="AA3110" s="3">
        <f>IFERROR(__xludf.DUMMYFUNCTION("""COMPUTED_VALUE"""),0.0)</f>
        <v>0</v>
      </c>
      <c r="AB3110" s="3" t="str">
        <f>IFERROR(__xludf.DUMMYFUNCTION("""COMPUTED_VALUE"""),"นครพนม")</f>
        <v>นครพนม</v>
      </c>
      <c r="AC3110" s="3">
        <f>IFERROR(__xludf.DUMMYFUNCTION("""COMPUTED_VALUE"""),48000.0)</f>
        <v>48000</v>
      </c>
      <c r="AD3110" s="3"/>
      <c r="AE3110" s="3"/>
      <c r="AF3110" s="3" t="str">
        <f>IFERROR(__xludf.DUMMYFUNCTION("""COMPUTED_VALUE"""),"ร้านคุณน้ำทิพย์ การค้า-84124")</f>
        <v>ร้านคุณน้ำทิพย์ การค้า-84124</v>
      </c>
      <c r="AG3110" s="3" t="str">
        <f>IFERROR(__xludf.DUMMYFUNCTION("""COMPUTED_VALUE"""),"ตะวันออกเฉียงเหนือ")</f>
        <v>ตะวันออกเฉียงเหนือ</v>
      </c>
      <c r="AH3110" s="3" t="str">
        <f>IFERROR(__xludf.DUMMYFUNCTION("""COMPUTED_VALUE"""),"#N/A")</f>
        <v>#N/A</v>
      </c>
      <c r="AI3110" s="3" t="str">
        <f>IFERROR(__xludf.DUMMYFUNCTION("""COMPUTED_VALUE"""),"Out of warranty")</f>
        <v>Out of warranty</v>
      </c>
      <c r="AJ3110" s="3">
        <f>IFERROR(__xludf.DUMMYFUNCTION("""COMPUTED_VALUE"""),36.0)</f>
        <v>36</v>
      </c>
      <c r="AK3110" s="3"/>
      <c r="AL3110" s="3"/>
    </row>
    <row r="3111" ht="15.75" customHeight="1">
      <c r="A3111" s="1" t="str">
        <f>IFERROR(__xludf.DUMMYFUNCTION("""COMPUTED_VALUE"""),"84125")</f>
        <v>84125</v>
      </c>
      <c r="B3111" s="2">
        <f>IFERROR(__xludf.DUMMYFUNCTION("""COMPUTED_VALUE"""),84125.0)</f>
        <v>84125</v>
      </c>
      <c r="C3111" s="3" t="str">
        <f>IFERROR(__xludf.DUMMYFUNCTION("""COMPUTED_VALUE"""),"ร้านโชคชฎาพร")</f>
        <v>ร้านโชคชฎาพร</v>
      </c>
      <c r="D3111" s="3" t="str">
        <f>IFERROR(__xludf.DUMMYFUNCTION("""COMPUTED_VALUE"""),"ร้านโชคชฎาพร")</f>
        <v>ร้านโชคชฎาพร</v>
      </c>
      <c r="E3111" s="1" t="str">
        <f>IFERROR(__xludf.DUMMYFUNCTION("""COMPUTED_VALUE"""),"Donjai")</f>
        <v>Donjai</v>
      </c>
      <c r="F3111" s="1" t="str">
        <f>IFERROR(__xludf.DUMMYFUNCTION("""COMPUTED_VALUE"""),"2454781")</f>
        <v>2454781</v>
      </c>
      <c r="G3111" s="1" t="str">
        <f>IFERROR(__xludf.DUMMYFUNCTION("""COMPUTED_VALUE"""),"นายฌานกฤช นันทะโคต")</f>
        <v>นายฌานกฤช นันทะโคต</v>
      </c>
      <c r="H3111" s="1" t="str">
        <f>IFERROR(__xludf.DUMMYFUNCTION("""COMPUTED_VALUE"""),"2454781")</f>
        <v>2454781</v>
      </c>
      <c r="I3111" s="1" t="str">
        <f>IFERROR(__xludf.DUMMYFUNCTION("""COMPUTED_VALUE"""),"นายฌานกฤช นันทะโคต")</f>
        <v>นายฌานกฤช นันทะโคต</v>
      </c>
      <c r="J3111" s="3">
        <f>IFERROR(__xludf.DUMMYFUNCTION("""COMPUTED_VALUE"""),295886.0)</f>
        <v>295886</v>
      </c>
      <c r="K3111" s="3" t="str">
        <f>IFERROR(__xludf.DUMMYFUNCTION("""COMPUTED_VALUE"""),"นายจิระพงษ์ โพธิ์นิล")</f>
        <v>นายจิระพงษ์ โพธิ์นิล</v>
      </c>
      <c r="L3111" s="1" t="str">
        <f>IFERROR(__xludf.DUMMYFUNCTION("""COMPUTED_VALUE"""),"นายจิระพงษ์ โพธิ์นิล")</f>
        <v>นายจิระพงษ์ โพธิ์นิล</v>
      </c>
      <c r="M3111" s="1" t="str">
        <f>IFERROR(__xludf.DUMMYFUNCTION("""COMPUTED_VALUE"""),"0933290754")</f>
        <v>0933290754</v>
      </c>
      <c r="N3111" s="3">
        <f>IFERROR(__xludf.DUMMYFUNCTION("""COMPUTED_VALUE"""),84125.0)</f>
        <v>84125</v>
      </c>
      <c r="O3111" s="3" t="str">
        <f>IFERROR(__xludf.DUMMYFUNCTION("""COMPUTED_VALUE"""),"ร้านโชคชฎาพร")</f>
        <v>ร้านโชคชฎาพร</v>
      </c>
      <c r="P3111" s="4">
        <f>IFERROR(__xludf.DUMMYFUNCTION("""COMPUTED_VALUE"""),44977.0)</f>
        <v>44977</v>
      </c>
      <c r="Q3111" s="3" t="str">
        <f>IFERROR(__xludf.DUMMYFUNCTION("""COMPUTED_VALUE"""),"A")</f>
        <v>A</v>
      </c>
      <c r="R3111" s="3" t="str">
        <f>IFERROR(__xludf.DUMMYFUNCTION("""COMPUTED_VALUE"""),"Small Format")</f>
        <v>Small Format</v>
      </c>
      <c r="S3111" s="3" t="str">
        <f>IFERROR(__xludf.DUMMYFUNCTION("""COMPUTED_VALUE"""),"Donjai")</f>
        <v>Donjai</v>
      </c>
      <c r="T3111" s="3" t="str">
        <f>IFERROR(__xludf.DUMMYFUNCTION("""COMPUTED_VALUE"""),"05 K.Chanakrit N.")</f>
        <v>05 K.Chanakrit N.</v>
      </c>
      <c r="U3111" s="3" t="str">
        <f>IFERROR(__xludf.DUMMYFUNCTION("""COMPUTED_VALUE"""),"05 K.Chanakrit N.")</f>
        <v>05 K.Chanakrit N.</v>
      </c>
      <c r="V3111" s="3" t="str">
        <f>IFERROR(__xludf.DUMMYFUNCTION("""COMPUTED_VALUE"""),"N")</f>
        <v>N</v>
      </c>
      <c r="W3111" s="3"/>
      <c r="X3111" s="3" t="str">
        <f>IFERROR(__xludf.DUMMYFUNCTION("""COMPUTED_VALUE"""),"294 หมู่ที่ 10 ต.สมสะอาด อ.เดชอุดม จ.อุบลราชธานี")</f>
        <v>294 หมู่ที่ 10 ต.สมสะอาด อ.เดชอุดม จ.อุบลราชธานี</v>
      </c>
      <c r="Y3111" s="3"/>
      <c r="Z3111" s="3"/>
      <c r="AA3111" s="3"/>
      <c r="AB3111" s="3"/>
      <c r="AC3111" s="3"/>
      <c r="AD3111" s="3"/>
      <c r="AE3111" s="3"/>
      <c r="AF3111" s="3" t="str">
        <f>IFERROR(__xludf.DUMMYFUNCTION("""COMPUTED_VALUE"""),"ร้านโชคชฎาพร-84125")</f>
        <v>ร้านโชคชฎาพร-84125</v>
      </c>
      <c r="AG3111" s="3">
        <f>IFERROR(__xludf.DUMMYFUNCTION("""COMPUTED_VALUE"""),0.0)</f>
        <v>0</v>
      </c>
      <c r="AH3111" s="3" t="str">
        <f>IFERROR(__xludf.DUMMYFUNCTION("""COMPUTED_VALUE"""),"#N/A")</f>
        <v>#N/A</v>
      </c>
      <c r="AI3111" s="3" t="str">
        <f>IFERROR(__xludf.DUMMYFUNCTION("""COMPUTED_VALUE"""),"Out of warranty")</f>
        <v>Out of warranty</v>
      </c>
      <c r="AJ3111" s="3">
        <f>IFERROR(__xludf.DUMMYFUNCTION("""COMPUTED_VALUE"""),36.0)</f>
        <v>36</v>
      </c>
      <c r="AK3111" s="3"/>
      <c r="AL3111" s="3"/>
    </row>
    <row r="3112" ht="15.75" customHeight="1">
      <c r="A3112" s="1" t="str">
        <f>IFERROR(__xludf.DUMMYFUNCTION("""COMPUTED_VALUE"""),"84126")</f>
        <v>84126</v>
      </c>
      <c r="B3112" s="2">
        <f>IFERROR(__xludf.DUMMYFUNCTION("""COMPUTED_VALUE"""),84126.0)</f>
        <v>84126</v>
      </c>
      <c r="C3112" s="3" t="str">
        <f>IFERROR(__xludf.DUMMYFUNCTION("""COMPUTED_VALUE"""),"ร้าน @สยาม")</f>
        <v>ร้าน @สยาม</v>
      </c>
      <c r="D3112" s="3" t="str">
        <f>IFERROR(__xludf.DUMMYFUNCTION("""COMPUTED_VALUE"""),"ร้าน @สยาม")</f>
        <v>ร้าน @สยาม</v>
      </c>
      <c r="E3112" s="1" t="str">
        <f>IFERROR(__xludf.DUMMYFUNCTION("""COMPUTED_VALUE"""),"Donjai")</f>
        <v>Donjai</v>
      </c>
      <c r="F3112" s="1" t="str">
        <f>IFERROR(__xludf.DUMMYFUNCTION("""COMPUTED_VALUE"""),"295886")</f>
        <v>295886</v>
      </c>
      <c r="G3112" s="1" t="str">
        <f>IFERROR(__xludf.DUMMYFUNCTION("""COMPUTED_VALUE"""),"นายจิระพงษ์ โพธิ์นิล")</f>
        <v>นายจิระพงษ์ โพธิ์นิล</v>
      </c>
      <c r="H3112" s="1" t="str">
        <f>IFERROR(__xludf.DUMMYFUNCTION("""COMPUTED_VALUE"""),"295886")</f>
        <v>295886</v>
      </c>
      <c r="I3112" s="1" t="str">
        <f>IFERROR(__xludf.DUMMYFUNCTION("""COMPUTED_VALUE"""),"นายจิระพงษ์ โพธิ์นิล")</f>
        <v>นายจิระพงษ์ โพธิ์นิล</v>
      </c>
      <c r="J3112" s="3">
        <f>IFERROR(__xludf.DUMMYFUNCTION("""COMPUTED_VALUE"""),295886.0)</f>
        <v>295886</v>
      </c>
      <c r="K3112" s="3" t="str">
        <f>IFERROR(__xludf.DUMMYFUNCTION("""COMPUTED_VALUE"""),"นายจิระพงษ์ โพธิ์นิล")</f>
        <v>นายจิระพงษ์ โพธิ์นิล</v>
      </c>
      <c r="L3112" s="1" t="str">
        <f>IFERROR(__xludf.DUMMYFUNCTION("""COMPUTED_VALUE"""),"นายจิระพงษ์ โพธิ์นิล")</f>
        <v>นายจิระพงษ์ โพธิ์นิล</v>
      </c>
      <c r="M3112" s="1" t="str">
        <f>IFERROR(__xludf.DUMMYFUNCTION("""COMPUTED_VALUE"""),"0933290754")</f>
        <v>0933290754</v>
      </c>
      <c r="N3112" s="3">
        <f>IFERROR(__xludf.DUMMYFUNCTION("""COMPUTED_VALUE"""),84126.0)</f>
        <v>84126</v>
      </c>
      <c r="O3112" s="3" t="str">
        <f>IFERROR(__xludf.DUMMYFUNCTION("""COMPUTED_VALUE"""),"ร้าน @สยาม")</f>
        <v>ร้าน @สยาม</v>
      </c>
      <c r="P3112" s="4">
        <f>IFERROR(__xludf.DUMMYFUNCTION("""COMPUTED_VALUE"""),44956.0)</f>
        <v>44956</v>
      </c>
      <c r="Q3112" s="3" t="str">
        <f>IFERROR(__xludf.DUMMYFUNCTION("""COMPUTED_VALUE"""),"I")</f>
        <v>I</v>
      </c>
      <c r="R3112" s="3" t="str">
        <f>IFERROR(__xludf.DUMMYFUNCTION("""COMPUTED_VALUE"""),"Small Format")</f>
        <v>Small Format</v>
      </c>
      <c r="S3112" s="3" t="str">
        <f>IFERROR(__xludf.DUMMYFUNCTION("""COMPUTED_VALUE"""),"Donjai")</f>
        <v>Donjai</v>
      </c>
      <c r="T3112" s="3" t="str">
        <f>IFERROR(__xludf.DUMMYFUNCTION("""COMPUTED_VALUE"""),"นายจิระพงษ์ โพธิ์นิล")</f>
        <v>นายจิระพงษ์ โพธิ์นิล</v>
      </c>
      <c r="U3112" s="3" t="str">
        <f>IFERROR(__xludf.DUMMYFUNCTION("""COMPUTED_VALUE"""),"นายจิระพงษ์ โพธิ์นิล")</f>
        <v>นายจิระพงษ์ โพธิ์นิล</v>
      </c>
      <c r="V3112" s="3" t="str">
        <f>IFERROR(__xludf.DUMMYFUNCTION("""COMPUTED_VALUE"""),"N")</f>
        <v>N</v>
      </c>
      <c r="W3112" s="3"/>
      <c r="X3112" s="3" t="str">
        <f>IFERROR(__xludf.DUMMYFUNCTION("""COMPUTED_VALUE"""),"235/1 ถ.วารีราชเดช ตำบล ในเมือง อำเภอ เมือง จังหวัด ยโสธร 35000")</f>
        <v>235/1 ถ.วารีราชเดช ตำบล ในเมือง อำเภอ เมือง จังหวัด ยโสธร 35000</v>
      </c>
      <c r="Y3112" s="3"/>
      <c r="Z3112" s="3">
        <f>IFERROR(__xludf.DUMMYFUNCTION("""COMPUTED_VALUE"""),0.0)</f>
        <v>0</v>
      </c>
      <c r="AA3112" s="3">
        <f>IFERROR(__xludf.DUMMYFUNCTION("""COMPUTED_VALUE"""),0.0)</f>
        <v>0</v>
      </c>
      <c r="AB3112" s="3" t="str">
        <f>IFERROR(__xludf.DUMMYFUNCTION("""COMPUTED_VALUE"""),"ยโสธร")</f>
        <v>ยโสธร</v>
      </c>
      <c r="AC3112" s="3">
        <f>IFERROR(__xludf.DUMMYFUNCTION("""COMPUTED_VALUE"""),35000.0)</f>
        <v>35000</v>
      </c>
      <c r="AD3112" s="3"/>
      <c r="AE3112" s="3"/>
      <c r="AF3112" s="3" t="str">
        <f>IFERROR(__xludf.DUMMYFUNCTION("""COMPUTED_VALUE"""),"ร้าน @สยาม-84126")</f>
        <v>ร้าน @สยาม-84126</v>
      </c>
      <c r="AG3112" s="3" t="str">
        <f>IFERROR(__xludf.DUMMYFUNCTION("""COMPUTED_VALUE"""),"ตะวันออกเฉียงเหนือ")</f>
        <v>ตะวันออกเฉียงเหนือ</v>
      </c>
      <c r="AH3112" s="3" t="str">
        <f>IFERROR(__xludf.DUMMYFUNCTION("""COMPUTED_VALUE"""),"#N/A")</f>
        <v>#N/A</v>
      </c>
      <c r="AI3112" s="3" t="str">
        <f>IFERROR(__xludf.DUMMYFUNCTION("""COMPUTED_VALUE"""),"Out of warranty")</f>
        <v>Out of warranty</v>
      </c>
      <c r="AJ3112" s="3">
        <f>IFERROR(__xludf.DUMMYFUNCTION("""COMPUTED_VALUE"""),36.0)</f>
        <v>36</v>
      </c>
      <c r="AK3112" s="3"/>
      <c r="AL3112" s="3"/>
    </row>
    <row r="3113" ht="15.75" customHeight="1">
      <c r="A3113" s="1" t="str">
        <f>IFERROR(__xludf.DUMMYFUNCTION("""COMPUTED_VALUE"""),"84127")</f>
        <v>84127</v>
      </c>
      <c r="B3113" s="2">
        <f>IFERROR(__xludf.DUMMYFUNCTION("""COMPUTED_VALUE"""),84127.0)</f>
        <v>84127</v>
      </c>
      <c r="C3113" s="3" t="str">
        <f>IFERROR(__xludf.DUMMYFUNCTION("""COMPUTED_VALUE"""),"ร้านบอสพีชมินิมาร์ท")</f>
        <v>ร้านบอสพีชมินิมาร์ท</v>
      </c>
      <c r="D3113" s="3" t="str">
        <f>IFERROR(__xludf.DUMMYFUNCTION("""COMPUTED_VALUE"""),"ร้านบอสพีชมินิมาร์ท")</f>
        <v>ร้านบอสพีชมินิมาร์ท</v>
      </c>
      <c r="E3113" s="1" t="str">
        <f>IFERROR(__xludf.DUMMYFUNCTION("""COMPUTED_VALUE"""),"Donjai")</f>
        <v>Donjai</v>
      </c>
      <c r="F3113" s="1" t="str">
        <f>IFERROR(__xludf.DUMMYFUNCTION("""COMPUTED_VALUE"""),"2454781")</f>
        <v>2454781</v>
      </c>
      <c r="G3113" s="1" t="str">
        <f>IFERROR(__xludf.DUMMYFUNCTION("""COMPUTED_VALUE"""),"นายฌานกฤช นันทะโคต")</f>
        <v>นายฌานกฤช นันทะโคต</v>
      </c>
      <c r="H3113" s="1" t="str">
        <f>IFERROR(__xludf.DUMMYFUNCTION("""COMPUTED_VALUE"""),"2454781")</f>
        <v>2454781</v>
      </c>
      <c r="I3113" s="1" t="str">
        <f>IFERROR(__xludf.DUMMYFUNCTION("""COMPUTED_VALUE"""),"นายฌานกฤช นันทะโคต")</f>
        <v>นายฌานกฤช นันทะโคต</v>
      </c>
      <c r="J3113" s="3">
        <f>IFERROR(__xludf.DUMMYFUNCTION("""COMPUTED_VALUE"""),295886.0)</f>
        <v>295886</v>
      </c>
      <c r="K3113" s="3" t="str">
        <f>IFERROR(__xludf.DUMMYFUNCTION("""COMPUTED_VALUE"""),"นายจิระพงษ์ โพธิ์นิล")</f>
        <v>นายจิระพงษ์ โพธิ์นิล</v>
      </c>
      <c r="L3113" s="1" t="str">
        <f>IFERROR(__xludf.DUMMYFUNCTION("""COMPUTED_VALUE"""),"นายจิระพงษ์ โพธิ์นิล")</f>
        <v>นายจิระพงษ์ โพธิ์นิล</v>
      </c>
      <c r="M3113" s="1" t="str">
        <f>IFERROR(__xludf.DUMMYFUNCTION("""COMPUTED_VALUE"""),"0933290754")</f>
        <v>0933290754</v>
      </c>
      <c r="N3113" s="3">
        <f>IFERROR(__xludf.DUMMYFUNCTION("""COMPUTED_VALUE"""),84127.0)</f>
        <v>84127</v>
      </c>
      <c r="O3113" s="3" t="str">
        <f>IFERROR(__xludf.DUMMYFUNCTION("""COMPUTED_VALUE"""),"ร้านบอสพีชมินิมาร์ท")</f>
        <v>ร้านบอสพีชมินิมาร์ท</v>
      </c>
      <c r="P3113" s="4">
        <f>IFERROR(__xludf.DUMMYFUNCTION("""COMPUTED_VALUE"""),44962.0)</f>
        <v>44962</v>
      </c>
      <c r="Q3113" s="3" t="str">
        <f>IFERROR(__xludf.DUMMYFUNCTION("""COMPUTED_VALUE"""),"A")</f>
        <v>A</v>
      </c>
      <c r="R3113" s="3" t="str">
        <f>IFERROR(__xludf.DUMMYFUNCTION("""COMPUTED_VALUE"""),"Small Format")</f>
        <v>Small Format</v>
      </c>
      <c r="S3113" s="3" t="str">
        <f>IFERROR(__xludf.DUMMYFUNCTION("""COMPUTED_VALUE"""),"Donjai")</f>
        <v>Donjai</v>
      </c>
      <c r="T3113" s="3" t="str">
        <f>IFERROR(__xludf.DUMMYFUNCTION("""COMPUTED_VALUE"""),"05 K.Chanakrit N.")</f>
        <v>05 K.Chanakrit N.</v>
      </c>
      <c r="U3113" s="3" t="str">
        <f>IFERROR(__xludf.DUMMYFUNCTION("""COMPUTED_VALUE"""),"05 K.Chanakrit N.")</f>
        <v>05 K.Chanakrit N.</v>
      </c>
      <c r="V3113" s="3" t="str">
        <f>IFERROR(__xludf.DUMMYFUNCTION("""COMPUTED_VALUE"""),"N")</f>
        <v>N</v>
      </c>
      <c r="W3113" s="3"/>
      <c r="X3113" s="3" t="str">
        <f>IFERROR(__xludf.DUMMYFUNCTION("""COMPUTED_VALUE"""),"1 หมู่ที่5 ตำบลหนองอึ่ง อ.ราษีไศล จ.ศรีสะเกษ")</f>
        <v>1 หมู่ที่5 ตำบลหนองอึ่ง อ.ราษีไศล จ.ศรีสะเกษ</v>
      </c>
      <c r="Y3113" s="3"/>
      <c r="Z3113" s="3">
        <f>IFERROR(__xludf.DUMMYFUNCTION("""COMPUTED_VALUE"""),0.0)</f>
        <v>0</v>
      </c>
      <c r="AA3113" s="3">
        <f>IFERROR(__xludf.DUMMYFUNCTION("""COMPUTED_VALUE"""),0.0)</f>
        <v>0</v>
      </c>
      <c r="AB3113" s="3" t="str">
        <f>IFERROR(__xludf.DUMMYFUNCTION("""COMPUTED_VALUE"""),"ศรีสะเกษ")</f>
        <v>ศรีสะเกษ</v>
      </c>
      <c r="AC3113" s="3">
        <f>IFERROR(__xludf.DUMMYFUNCTION("""COMPUTED_VALUE"""),0.0)</f>
        <v>0</v>
      </c>
      <c r="AD3113" s="3"/>
      <c r="AE3113" s="3"/>
      <c r="AF3113" s="3" t="str">
        <f>IFERROR(__xludf.DUMMYFUNCTION("""COMPUTED_VALUE"""),"ร้านบอสพีชมินิมาร์ท-84127")</f>
        <v>ร้านบอสพีชมินิมาร์ท-84127</v>
      </c>
      <c r="AG3113" s="3" t="str">
        <f>IFERROR(__xludf.DUMMYFUNCTION("""COMPUTED_VALUE"""),"ตะวันออกเฉียงเหนือ")</f>
        <v>ตะวันออกเฉียงเหนือ</v>
      </c>
      <c r="AH3113" s="3" t="str">
        <f>IFERROR(__xludf.DUMMYFUNCTION("""COMPUTED_VALUE"""),"#N/A")</f>
        <v>#N/A</v>
      </c>
      <c r="AI3113" s="3" t="str">
        <f>IFERROR(__xludf.DUMMYFUNCTION("""COMPUTED_VALUE"""),"Out of warranty")</f>
        <v>Out of warranty</v>
      </c>
      <c r="AJ3113" s="3">
        <f>IFERROR(__xludf.DUMMYFUNCTION("""COMPUTED_VALUE"""),36.0)</f>
        <v>36</v>
      </c>
      <c r="AK3113" s="3"/>
      <c r="AL3113" s="3"/>
    </row>
    <row r="3114" ht="15.75" customHeight="1">
      <c r="A3114" s="1" t="str">
        <f>IFERROR(__xludf.DUMMYFUNCTION("""COMPUTED_VALUE"""),"84129")</f>
        <v>84129</v>
      </c>
      <c r="B3114" s="2">
        <f>IFERROR(__xludf.DUMMYFUNCTION("""COMPUTED_VALUE"""),84129.0)</f>
        <v>84129</v>
      </c>
      <c r="C3114" s="3" t="str">
        <f>IFERROR(__xludf.DUMMYFUNCTION("""COMPUTED_VALUE"""),"ร้านรุ่งเรืองพาณิชย์")</f>
        <v>ร้านรุ่งเรืองพาณิชย์</v>
      </c>
      <c r="D3114" s="3" t="str">
        <f>IFERROR(__xludf.DUMMYFUNCTION("""COMPUTED_VALUE"""),"ร้านรุ่งเรืองพาณิชย์")</f>
        <v>ร้านรุ่งเรืองพาณิชย์</v>
      </c>
      <c r="E3114" s="1" t="str">
        <f>IFERROR(__xludf.DUMMYFUNCTION("""COMPUTED_VALUE"""),"Donjai")</f>
        <v>Donjai</v>
      </c>
      <c r="F3114" s="1" t="str">
        <f>IFERROR(__xludf.DUMMYFUNCTION("""COMPUTED_VALUE"""),"296942")</f>
        <v>296942</v>
      </c>
      <c r="G3114" s="1" t="str">
        <f>IFERROR(__xludf.DUMMYFUNCTION("""COMPUTED_VALUE"""),"นายปิยะ รักษากิจ")</f>
        <v>นายปิยะ รักษากิจ</v>
      </c>
      <c r="H3114" s="1" t="str">
        <f>IFERROR(__xludf.DUMMYFUNCTION("""COMPUTED_VALUE"""),"296942")</f>
        <v>296942</v>
      </c>
      <c r="I3114" s="1" t="str">
        <f>IFERROR(__xludf.DUMMYFUNCTION("""COMPUTED_VALUE"""),"นายปิยะ รักษากิจ")</f>
        <v>นายปิยะ รักษากิจ</v>
      </c>
      <c r="J3114" s="3">
        <f>IFERROR(__xludf.DUMMYFUNCTION("""COMPUTED_VALUE"""),295541.0)</f>
        <v>295541</v>
      </c>
      <c r="K3114" s="3" t="str">
        <f>IFERROR(__xludf.DUMMYFUNCTION("""COMPUTED_VALUE"""),"นายรพิพล ศรีมาตย์")</f>
        <v>นายรพิพล ศรีมาตย์</v>
      </c>
      <c r="L3114" s="1" t="str">
        <f>IFERROR(__xludf.DUMMYFUNCTION("""COMPUTED_VALUE"""),"นายรพิพล ศรีมาตย์")</f>
        <v>นายรพิพล ศรีมาตย์</v>
      </c>
      <c r="M3114" s="1" t="str">
        <f>IFERROR(__xludf.DUMMYFUNCTION("""COMPUTED_VALUE"""),"0613966115")</f>
        <v>0613966115</v>
      </c>
      <c r="N3114" s="3">
        <f>IFERROR(__xludf.DUMMYFUNCTION("""COMPUTED_VALUE"""),84129.0)</f>
        <v>84129</v>
      </c>
      <c r="O3114" s="3" t="str">
        <f>IFERROR(__xludf.DUMMYFUNCTION("""COMPUTED_VALUE"""),"ร้านรุ่งเรืองพาณิชย์")</f>
        <v>ร้านรุ่งเรืองพาณิชย์</v>
      </c>
      <c r="P3114" s="4">
        <f>IFERROR(__xludf.DUMMYFUNCTION("""COMPUTED_VALUE"""),44956.0)</f>
        <v>44956</v>
      </c>
      <c r="Q3114" s="3" t="str">
        <f>IFERROR(__xludf.DUMMYFUNCTION("""COMPUTED_VALUE"""),"A")</f>
        <v>A</v>
      </c>
      <c r="R3114" s="3" t="str">
        <f>IFERROR(__xludf.DUMMYFUNCTION("""COMPUTED_VALUE"""),"Small Format")</f>
        <v>Small Format</v>
      </c>
      <c r="S3114" s="3" t="str">
        <f>IFERROR(__xludf.DUMMYFUNCTION("""COMPUTED_VALUE"""),"Donjai")</f>
        <v>Donjai</v>
      </c>
      <c r="T3114" s="3" t="str">
        <f>IFERROR(__xludf.DUMMYFUNCTION("""COMPUTED_VALUE"""),"07 K.Piya R.")</f>
        <v>07 K.Piya R.</v>
      </c>
      <c r="U3114" s="3" t="str">
        <f>IFERROR(__xludf.DUMMYFUNCTION("""COMPUTED_VALUE"""),"07 K.Piya R.")</f>
        <v>07 K.Piya R.</v>
      </c>
      <c r="V3114" s="3" t="str">
        <f>IFERROR(__xludf.DUMMYFUNCTION("""COMPUTED_VALUE"""),"N")</f>
        <v>N</v>
      </c>
      <c r="W3114" s="3"/>
      <c r="X3114" s="3" t="str">
        <f>IFERROR(__xludf.DUMMYFUNCTION("""COMPUTED_VALUE"""),"บ้านเลขที่ 45/8 หมู่ที่ 4 ตำบล มาบตาพุด อำเภอเมืองระยอง จังหวัด ระยอง")</f>
        <v>บ้านเลขที่ 45/8 หมู่ที่ 4 ตำบล มาบตาพุด อำเภอเมืองระยอง จังหวัด ระยอง</v>
      </c>
      <c r="Y3114" s="3"/>
      <c r="Z3114" s="3">
        <f>IFERROR(__xludf.DUMMYFUNCTION("""COMPUTED_VALUE"""),0.0)</f>
        <v>0</v>
      </c>
      <c r="AA3114" s="3">
        <f>IFERROR(__xludf.DUMMYFUNCTION("""COMPUTED_VALUE"""),0.0)</f>
        <v>0</v>
      </c>
      <c r="AB3114" s="3" t="str">
        <f>IFERROR(__xludf.DUMMYFUNCTION("""COMPUTED_VALUE"""),"ระยอง")</f>
        <v>ระยอง</v>
      </c>
      <c r="AC3114" s="3">
        <f>IFERROR(__xludf.DUMMYFUNCTION("""COMPUTED_VALUE"""),0.0)</f>
        <v>0</v>
      </c>
      <c r="AD3114" s="3"/>
      <c r="AE3114" s="3"/>
      <c r="AF3114" s="3" t="str">
        <f>IFERROR(__xludf.DUMMYFUNCTION("""COMPUTED_VALUE"""),"ร้านรุ่งเรืองพาณิชย์-84129")</f>
        <v>ร้านรุ่งเรืองพาณิชย์-84129</v>
      </c>
      <c r="AG3114" s="3" t="str">
        <f>IFERROR(__xludf.DUMMYFUNCTION("""COMPUTED_VALUE"""),"ตะวันออก")</f>
        <v>ตะวันออก</v>
      </c>
      <c r="AH3114" s="3" t="str">
        <f>IFERROR(__xludf.DUMMYFUNCTION("""COMPUTED_VALUE"""),"#N/A")</f>
        <v>#N/A</v>
      </c>
      <c r="AI3114" s="3" t="str">
        <f>IFERROR(__xludf.DUMMYFUNCTION("""COMPUTED_VALUE"""),"Out of warranty")</f>
        <v>Out of warranty</v>
      </c>
      <c r="AJ3114" s="3">
        <f>IFERROR(__xludf.DUMMYFUNCTION("""COMPUTED_VALUE"""),36.0)</f>
        <v>36</v>
      </c>
      <c r="AK3114" s="3"/>
      <c r="AL3114" s="3"/>
    </row>
    <row r="3115" ht="15.75" customHeight="1">
      <c r="A3115" s="1" t="str">
        <f>IFERROR(__xludf.DUMMYFUNCTION("""COMPUTED_VALUE"""),"84131")</f>
        <v>84131</v>
      </c>
      <c r="B3115" s="2">
        <f>IFERROR(__xludf.DUMMYFUNCTION("""COMPUTED_VALUE"""),84131.0)</f>
        <v>84131</v>
      </c>
      <c r="C3115" s="3" t="str">
        <f>IFERROR(__xludf.DUMMYFUNCTION("""COMPUTED_VALUE"""),"ร้านคุณโอม")</f>
        <v>ร้านคุณโอม</v>
      </c>
      <c r="D3115" s="3" t="str">
        <f>IFERROR(__xludf.DUMMYFUNCTION("""COMPUTED_VALUE"""),"ร้านคุณโอม")</f>
        <v>ร้านคุณโอม</v>
      </c>
      <c r="E3115" s="1" t="str">
        <f>IFERROR(__xludf.DUMMYFUNCTION("""COMPUTED_VALUE"""),"Donjai")</f>
        <v>Donjai</v>
      </c>
      <c r="F3115" s="1" t="str">
        <f>IFERROR(__xludf.DUMMYFUNCTION("""COMPUTED_VALUE"""),"296608")</f>
        <v>296608</v>
      </c>
      <c r="G3115" s="1" t="str">
        <f>IFERROR(__xludf.DUMMYFUNCTION("""COMPUTED_VALUE"""),"นายภาคภูมิ เพ็ชรนิล")</f>
        <v>นายภาคภูมิ เพ็ชรนิล</v>
      </c>
      <c r="H3115" s="1" t="str">
        <f>IFERROR(__xludf.DUMMYFUNCTION("""COMPUTED_VALUE"""),"296608")</f>
        <v>296608</v>
      </c>
      <c r="I3115" s="1" t="str">
        <f>IFERROR(__xludf.DUMMYFUNCTION("""COMPUTED_VALUE"""),"นายภาคภูมิ เพ็ชรนิล")</f>
        <v>นายภาคภูมิ เพ็ชรนิล</v>
      </c>
      <c r="J3115" s="3">
        <f>IFERROR(__xludf.DUMMYFUNCTION("""COMPUTED_VALUE"""),228031.0)</f>
        <v>228031</v>
      </c>
      <c r="K3115" s="3" t="str">
        <f>IFERROR(__xludf.DUMMYFUNCTION("""COMPUTED_VALUE"""),"นายธนพงษ์ วันหมัด")</f>
        <v>นายธนพงษ์ วันหมัด</v>
      </c>
      <c r="L3115" s="1" t="str">
        <f>IFERROR(__xludf.DUMMYFUNCTION("""COMPUTED_VALUE"""),"นายธนพงษ์ วันหมัด")</f>
        <v>นายธนพงษ์ วันหมัด</v>
      </c>
      <c r="M3115" s="1" t="str">
        <f>IFERROR(__xludf.DUMMYFUNCTION("""COMPUTED_VALUE"""),"0813716913")</f>
        <v>0813716913</v>
      </c>
      <c r="N3115" s="3">
        <f>IFERROR(__xludf.DUMMYFUNCTION("""COMPUTED_VALUE"""),84131.0)</f>
        <v>84131</v>
      </c>
      <c r="O3115" s="3" t="str">
        <f>IFERROR(__xludf.DUMMYFUNCTION("""COMPUTED_VALUE"""),"ร้านคุณโอม")</f>
        <v>ร้านคุณโอม</v>
      </c>
      <c r="P3115" s="4">
        <f>IFERROR(__xludf.DUMMYFUNCTION("""COMPUTED_VALUE"""),44952.0)</f>
        <v>44952</v>
      </c>
      <c r="Q3115" s="3" t="str">
        <f>IFERROR(__xludf.DUMMYFUNCTION("""COMPUTED_VALUE"""),"I")</f>
        <v>I</v>
      </c>
      <c r="R3115" s="3" t="str">
        <f>IFERROR(__xludf.DUMMYFUNCTION("""COMPUTED_VALUE"""),"Small Format")</f>
        <v>Small Format</v>
      </c>
      <c r="S3115" s="3" t="str">
        <f>IFERROR(__xludf.DUMMYFUNCTION("""COMPUTED_VALUE"""),"Donjai")</f>
        <v>Donjai</v>
      </c>
      <c r="T3115" s="3" t="str">
        <f>IFERROR(__xludf.DUMMYFUNCTION("""COMPUTED_VALUE"""),"10 K.Phakphoom P.")</f>
        <v>10 K.Phakphoom P.</v>
      </c>
      <c r="U3115" s="3" t="str">
        <f>IFERROR(__xludf.DUMMYFUNCTION("""COMPUTED_VALUE"""),"10 K.Phakphoom P.")</f>
        <v>10 K.Phakphoom P.</v>
      </c>
      <c r="V3115" s="3" t="str">
        <f>IFERROR(__xludf.DUMMYFUNCTION("""COMPUTED_VALUE"""),"N")</f>
        <v>N</v>
      </c>
      <c r="W3115" s="3"/>
      <c r="X3115" s="3" t="str">
        <f>IFERROR(__xludf.DUMMYFUNCTION("""COMPUTED_VALUE"""),"58/5 ถ.สวัสดิการ 2 แขวงหนองแขม เขตหนองแขม กทม.")</f>
        <v>58/5 ถ.สวัสดิการ 2 แขวงหนองแขม เขตหนองแขม กทม.</v>
      </c>
      <c r="Y3115" s="3"/>
      <c r="Z3115" s="3">
        <f>IFERROR(__xludf.DUMMYFUNCTION("""COMPUTED_VALUE"""),0.0)</f>
        <v>0</v>
      </c>
      <c r="AA3115" s="3">
        <f>IFERROR(__xludf.DUMMYFUNCTION("""COMPUTED_VALUE"""),0.0)</f>
        <v>0</v>
      </c>
      <c r="AB3115" s="3" t="str">
        <f>IFERROR(__xludf.DUMMYFUNCTION("""COMPUTED_VALUE"""),"กรุงเทพมหานคร")</f>
        <v>กรุงเทพมหานคร</v>
      </c>
      <c r="AC3115" s="3">
        <f>IFERROR(__xludf.DUMMYFUNCTION("""COMPUTED_VALUE"""),0.0)</f>
        <v>0</v>
      </c>
      <c r="AD3115" s="3"/>
      <c r="AE3115" s="3"/>
      <c r="AF3115" s="3" t="str">
        <f>IFERROR(__xludf.DUMMYFUNCTION("""COMPUTED_VALUE"""),"ร้านคุณโอม-84131")</f>
        <v>ร้านคุณโอม-84131</v>
      </c>
      <c r="AG3115" s="3" t="str">
        <f>IFERROR(__xludf.DUMMYFUNCTION("""COMPUTED_VALUE"""),"กลาง")</f>
        <v>กลาง</v>
      </c>
      <c r="AH3115" s="3" t="str">
        <f>IFERROR(__xludf.DUMMYFUNCTION("""COMPUTED_VALUE"""),"#N/A")</f>
        <v>#N/A</v>
      </c>
      <c r="AI3115" s="3" t="str">
        <f>IFERROR(__xludf.DUMMYFUNCTION("""COMPUTED_VALUE"""),"Out of warranty")</f>
        <v>Out of warranty</v>
      </c>
      <c r="AJ3115" s="3">
        <f>IFERROR(__xludf.DUMMYFUNCTION("""COMPUTED_VALUE"""),36.0)</f>
        <v>36</v>
      </c>
      <c r="AK3115" s="3"/>
      <c r="AL3115" s="3"/>
    </row>
    <row r="3116" ht="15.75" customHeight="1">
      <c r="A3116" s="1" t="str">
        <f>IFERROR(__xludf.DUMMYFUNCTION("""COMPUTED_VALUE"""),"84134")</f>
        <v>84134</v>
      </c>
      <c r="B3116" s="2">
        <f>IFERROR(__xludf.DUMMYFUNCTION("""COMPUTED_VALUE"""),84134.0)</f>
        <v>84134</v>
      </c>
      <c r="C3116" s="3" t="str">
        <f>IFERROR(__xludf.DUMMYFUNCTION("""COMPUTED_VALUE"""),"ร้าน(เจมส์ มาร์ท) NPJ Mart")</f>
        <v>ร้าน(เจมส์ มาร์ท) NPJ Mart</v>
      </c>
      <c r="D3116" s="3" t="str">
        <f>IFERROR(__xludf.DUMMYFUNCTION("""COMPUTED_VALUE"""),"ร้าน(เจมส์ มาร์ท) NPJ Mart")</f>
        <v>ร้าน(เจมส์ มาร์ท) NPJ Mart</v>
      </c>
      <c r="E3116" s="1" t="str">
        <f>IFERROR(__xludf.DUMMYFUNCTION("""COMPUTED_VALUE"""),"Donjai")</f>
        <v>Donjai</v>
      </c>
      <c r="F3116" s="1" t="str">
        <f>IFERROR(__xludf.DUMMYFUNCTION("""COMPUTED_VALUE"""),"296945")</f>
        <v>296945</v>
      </c>
      <c r="G3116" s="1" t="str">
        <f>IFERROR(__xludf.DUMMYFUNCTION("""COMPUTED_VALUE"""),"นายรักพงศ์ พงศ์พันธ์งาม")</f>
        <v>นายรักพงศ์ พงศ์พันธ์งาม</v>
      </c>
      <c r="H3116" s="1" t="str">
        <f>IFERROR(__xludf.DUMMYFUNCTION("""COMPUTED_VALUE"""),"296945")</f>
        <v>296945</v>
      </c>
      <c r="I3116" s="1" t="str">
        <f>IFERROR(__xludf.DUMMYFUNCTION("""COMPUTED_VALUE"""),"นายรักพงศ์ พงศ์พันธ์งาม")</f>
        <v>นายรักพงศ์ พงศ์พันธ์งาม</v>
      </c>
      <c r="J3116" s="3">
        <f>IFERROR(__xludf.DUMMYFUNCTION("""COMPUTED_VALUE"""),228031.0)</f>
        <v>228031</v>
      </c>
      <c r="K3116" s="3" t="str">
        <f>IFERROR(__xludf.DUMMYFUNCTION("""COMPUTED_VALUE"""),"นายธนพงษ์ วันหมัด")</f>
        <v>นายธนพงษ์ วันหมัด</v>
      </c>
      <c r="L3116" s="1" t="str">
        <f>IFERROR(__xludf.DUMMYFUNCTION("""COMPUTED_VALUE"""),"นายธนพงษ์ วันหมัด")</f>
        <v>นายธนพงษ์ วันหมัด</v>
      </c>
      <c r="M3116" s="1" t="str">
        <f>IFERROR(__xludf.DUMMYFUNCTION("""COMPUTED_VALUE"""),"0813716913")</f>
        <v>0813716913</v>
      </c>
      <c r="N3116" s="3">
        <f>IFERROR(__xludf.DUMMYFUNCTION("""COMPUTED_VALUE"""),84134.0)</f>
        <v>84134</v>
      </c>
      <c r="O3116" s="3" t="str">
        <f>IFERROR(__xludf.DUMMYFUNCTION("""COMPUTED_VALUE"""),"ร้าน(เจมส์ มาร์ท) NPJ Mart")</f>
        <v>ร้าน(เจมส์ มาร์ท) NPJ Mart</v>
      </c>
      <c r="P3116" s="4">
        <f>IFERROR(__xludf.DUMMYFUNCTION("""COMPUTED_VALUE"""),44962.0)</f>
        <v>44962</v>
      </c>
      <c r="Q3116" s="3" t="str">
        <f>IFERROR(__xludf.DUMMYFUNCTION("""COMPUTED_VALUE"""),"I")</f>
        <v>I</v>
      </c>
      <c r="R3116" s="3" t="str">
        <f>IFERROR(__xludf.DUMMYFUNCTION("""COMPUTED_VALUE"""),"Small Format")</f>
        <v>Small Format</v>
      </c>
      <c r="S3116" s="3" t="str">
        <f>IFERROR(__xludf.DUMMYFUNCTION("""COMPUTED_VALUE"""),"Donjai")</f>
        <v>Donjai</v>
      </c>
      <c r="T3116" s="3">
        <f>IFERROR(__xludf.DUMMYFUNCTION("""COMPUTED_VALUE"""),0.0)</f>
        <v>0</v>
      </c>
      <c r="U3116" s="3">
        <f>IFERROR(__xludf.DUMMYFUNCTION("""COMPUTED_VALUE"""),0.0)</f>
        <v>0</v>
      </c>
      <c r="V3116" s="3" t="str">
        <f>IFERROR(__xludf.DUMMYFUNCTION("""COMPUTED_VALUE"""),"N")</f>
        <v>N</v>
      </c>
      <c r="W3116" s="3"/>
      <c r="X3116" s="3" t="str">
        <f>IFERROR(__xludf.DUMMYFUNCTION("""COMPUTED_VALUE"""),"319/1 หมู่ที่ 11 ต.หนองอิรุณ อ.บ้านบึง จ.ชลบุรี")</f>
        <v>319/1 หมู่ที่ 11 ต.หนองอิรุณ อ.บ้านบึง จ.ชลบุรี</v>
      </c>
      <c r="Y3116" s="3"/>
      <c r="Z3116" s="3">
        <f>IFERROR(__xludf.DUMMYFUNCTION("""COMPUTED_VALUE"""),0.0)</f>
        <v>0</v>
      </c>
      <c r="AA3116" s="3">
        <f>IFERROR(__xludf.DUMMYFUNCTION("""COMPUTED_VALUE"""),0.0)</f>
        <v>0</v>
      </c>
      <c r="AB3116" s="3" t="str">
        <f>IFERROR(__xludf.DUMMYFUNCTION("""COMPUTED_VALUE"""),"ชลบุรี")</f>
        <v>ชลบุรี</v>
      </c>
      <c r="AC3116" s="3">
        <f>IFERROR(__xludf.DUMMYFUNCTION("""COMPUTED_VALUE"""),0.0)</f>
        <v>0</v>
      </c>
      <c r="AD3116" s="3"/>
      <c r="AE3116" s="3"/>
      <c r="AF3116" s="3" t="str">
        <f>IFERROR(__xludf.DUMMYFUNCTION("""COMPUTED_VALUE"""),"ร้าน(เจมส์ มาร์ท) NPJ Mart-84134")</f>
        <v>ร้าน(เจมส์ มาร์ท) NPJ Mart-84134</v>
      </c>
      <c r="AG3116" s="3" t="str">
        <f>IFERROR(__xludf.DUMMYFUNCTION("""COMPUTED_VALUE"""),"ตะวันออก")</f>
        <v>ตะวันออก</v>
      </c>
      <c r="AH3116" s="3" t="str">
        <f>IFERROR(__xludf.DUMMYFUNCTION("""COMPUTED_VALUE"""),"#N/A")</f>
        <v>#N/A</v>
      </c>
      <c r="AI3116" s="3" t="str">
        <f>IFERROR(__xludf.DUMMYFUNCTION("""COMPUTED_VALUE"""),"Out of warranty")</f>
        <v>Out of warranty</v>
      </c>
      <c r="AJ3116" s="3">
        <f>IFERROR(__xludf.DUMMYFUNCTION("""COMPUTED_VALUE"""),36.0)</f>
        <v>36</v>
      </c>
      <c r="AK3116" s="3"/>
      <c r="AL3116" s="3"/>
    </row>
    <row r="3117" ht="15.75" customHeight="1">
      <c r="A3117" s="1" t="str">
        <f>IFERROR(__xludf.DUMMYFUNCTION("""COMPUTED_VALUE"""),"84135")</f>
        <v>84135</v>
      </c>
      <c r="B3117" s="2">
        <f>IFERROR(__xludf.DUMMYFUNCTION("""COMPUTED_VALUE"""),84135.0)</f>
        <v>84135</v>
      </c>
      <c r="C3117" s="3" t="str">
        <f>IFERROR(__xludf.DUMMYFUNCTION("""COMPUTED_VALUE"""),"ร้านมอตามา")</f>
        <v>ร้านมอตามา</v>
      </c>
      <c r="D3117" s="3" t="str">
        <f>IFERROR(__xludf.DUMMYFUNCTION("""COMPUTED_VALUE"""),"ร้านมอตามา")</f>
        <v>ร้านมอตามา</v>
      </c>
      <c r="E3117" s="1" t="str">
        <f>IFERROR(__xludf.DUMMYFUNCTION("""COMPUTED_VALUE"""),"Donjai")</f>
        <v>Donjai</v>
      </c>
      <c r="F3117" s="1" t="str">
        <f>IFERROR(__xludf.DUMMYFUNCTION("""COMPUTED_VALUE"""),"015361")</f>
        <v>015361</v>
      </c>
      <c r="G3117" s="1" t="str">
        <f>IFERROR(__xludf.DUMMYFUNCTION("""COMPUTED_VALUE"""),"นายสมบูรณ์ พรหมในเมือง")</f>
        <v>นายสมบูรณ์ พรหมในเมือง</v>
      </c>
      <c r="H3117" s="1" t="str">
        <f>IFERROR(__xludf.DUMMYFUNCTION("""COMPUTED_VALUE"""),"015361")</f>
        <v>015361</v>
      </c>
      <c r="I3117" s="1" t="str">
        <f>IFERROR(__xludf.DUMMYFUNCTION("""COMPUTED_VALUE"""),"นายสมบูรณ์ พรหมในเมือง")</f>
        <v>นายสมบูรณ์ พรหมในเมือง</v>
      </c>
      <c r="J3117" s="3">
        <f>IFERROR(__xludf.DUMMYFUNCTION("""COMPUTED_VALUE"""),295886.0)</f>
        <v>295886</v>
      </c>
      <c r="K3117" s="3" t="str">
        <f>IFERROR(__xludf.DUMMYFUNCTION("""COMPUTED_VALUE"""),"นายจิระพงษ์ โพธิ์นิล")</f>
        <v>นายจิระพงษ์ โพธิ์นิล</v>
      </c>
      <c r="L3117" s="1" t="str">
        <f>IFERROR(__xludf.DUMMYFUNCTION("""COMPUTED_VALUE"""),"นายจิระพงษ์ โพธิ์นิล")</f>
        <v>นายจิระพงษ์ โพธิ์นิล</v>
      </c>
      <c r="M3117" s="1" t="str">
        <f>IFERROR(__xludf.DUMMYFUNCTION("""COMPUTED_VALUE"""),"0933290754")</f>
        <v>0933290754</v>
      </c>
      <c r="N3117" s="3">
        <f>IFERROR(__xludf.DUMMYFUNCTION("""COMPUTED_VALUE"""),84135.0)</f>
        <v>84135</v>
      </c>
      <c r="O3117" s="3" t="str">
        <f>IFERROR(__xludf.DUMMYFUNCTION("""COMPUTED_VALUE"""),"ร้านมอตามา")</f>
        <v>ร้านมอตามา</v>
      </c>
      <c r="P3117" s="4">
        <f>IFERROR(__xludf.DUMMYFUNCTION("""COMPUTED_VALUE"""),44958.0)</f>
        <v>44958</v>
      </c>
      <c r="Q3117" s="3" t="str">
        <f>IFERROR(__xludf.DUMMYFUNCTION("""COMPUTED_VALUE"""),"A")</f>
        <v>A</v>
      </c>
      <c r="R3117" s="3" t="str">
        <f>IFERROR(__xludf.DUMMYFUNCTION("""COMPUTED_VALUE"""),"Small Format")</f>
        <v>Small Format</v>
      </c>
      <c r="S3117" s="3" t="str">
        <f>IFERROR(__xludf.DUMMYFUNCTION("""COMPUTED_VALUE"""),"Donjai")</f>
        <v>Donjai</v>
      </c>
      <c r="T3117" s="3" t="str">
        <f>IFERROR(__xludf.DUMMYFUNCTION("""COMPUTED_VALUE"""),"04 K.Somboon P.")</f>
        <v>04 K.Somboon P.</v>
      </c>
      <c r="U3117" s="3" t="str">
        <f>IFERROR(__xludf.DUMMYFUNCTION("""COMPUTED_VALUE"""),"04 K.Somboon P.")</f>
        <v>04 K.Somboon P.</v>
      </c>
      <c r="V3117" s="3" t="str">
        <f>IFERROR(__xludf.DUMMYFUNCTION("""COMPUTED_VALUE"""),"N")</f>
        <v>N</v>
      </c>
      <c r="W3117" s="3"/>
      <c r="X3117" s="3" t="str">
        <f>IFERROR(__xludf.DUMMYFUNCTION("""COMPUTED_VALUE"""),"69 หมู่ที่ 14 ตำบลลาดบัวขาว อำเภอสีคิ้ว จังหวัดนครราชสีมา 30340")</f>
        <v>69 หมู่ที่ 14 ตำบลลาดบัวขาว อำเภอสีคิ้ว จังหวัดนครราชสีมา 30340</v>
      </c>
      <c r="Y3117" s="3"/>
      <c r="Z3117" s="3">
        <f>IFERROR(__xludf.DUMMYFUNCTION("""COMPUTED_VALUE"""),0.0)</f>
        <v>0</v>
      </c>
      <c r="AA3117" s="3">
        <f>IFERROR(__xludf.DUMMYFUNCTION("""COMPUTED_VALUE"""),0.0)</f>
        <v>0</v>
      </c>
      <c r="AB3117" s="3" t="str">
        <f>IFERROR(__xludf.DUMMYFUNCTION("""COMPUTED_VALUE"""),"นครราชสีมา")</f>
        <v>นครราชสีมา</v>
      </c>
      <c r="AC3117" s="3">
        <f>IFERROR(__xludf.DUMMYFUNCTION("""COMPUTED_VALUE"""),30340.0)</f>
        <v>30340</v>
      </c>
      <c r="AD3117" s="3"/>
      <c r="AE3117" s="3"/>
      <c r="AF3117" s="3" t="str">
        <f>IFERROR(__xludf.DUMMYFUNCTION("""COMPUTED_VALUE"""),"ร้านมอตามา-84135")</f>
        <v>ร้านมอตามา-84135</v>
      </c>
      <c r="AG3117" s="3" t="str">
        <f>IFERROR(__xludf.DUMMYFUNCTION("""COMPUTED_VALUE"""),"ตะวันออกเฉียงเหนือ")</f>
        <v>ตะวันออกเฉียงเหนือ</v>
      </c>
      <c r="AH3117" s="3" t="str">
        <f>IFERROR(__xludf.DUMMYFUNCTION("""COMPUTED_VALUE"""),"#N/A")</f>
        <v>#N/A</v>
      </c>
      <c r="AI3117" s="3" t="str">
        <f>IFERROR(__xludf.DUMMYFUNCTION("""COMPUTED_VALUE"""),"Out of warranty")</f>
        <v>Out of warranty</v>
      </c>
      <c r="AJ3117" s="3">
        <f>IFERROR(__xludf.DUMMYFUNCTION("""COMPUTED_VALUE"""),36.0)</f>
        <v>36</v>
      </c>
      <c r="AK3117" s="3"/>
      <c r="AL3117" s="3"/>
    </row>
    <row r="3118" ht="15.75" customHeight="1">
      <c r="A3118" s="1" t="str">
        <f>IFERROR(__xludf.DUMMYFUNCTION("""COMPUTED_VALUE"""),"84138")</f>
        <v>84138</v>
      </c>
      <c r="B3118" s="2">
        <f>IFERROR(__xludf.DUMMYFUNCTION("""COMPUTED_VALUE"""),84138.0)</f>
        <v>84138</v>
      </c>
      <c r="C3118" s="3" t="str">
        <f>IFERROR(__xludf.DUMMYFUNCTION("""COMPUTED_VALUE"""),"ร้านสะดวกดี พานิชย์")</f>
        <v>ร้านสะดวกดี พานิชย์</v>
      </c>
      <c r="D3118" s="3" t="str">
        <f>IFERROR(__xludf.DUMMYFUNCTION("""COMPUTED_VALUE"""),"ร้านสะดวกดี พานิชย์")</f>
        <v>ร้านสะดวกดี พานิชย์</v>
      </c>
      <c r="E3118" s="1" t="str">
        <f>IFERROR(__xludf.DUMMYFUNCTION("""COMPUTED_VALUE"""),"Donjai")</f>
        <v>Donjai</v>
      </c>
      <c r="F3118" s="1" t="str">
        <f>IFERROR(__xludf.DUMMYFUNCTION("""COMPUTED_VALUE"""),"296942")</f>
        <v>296942</v>
      </c>
      <c r="G3118" s="1" t="str">
        <f>IFERROR(__xludf.DUMMYFUNCTION("""COMPUTED_VALUE"""),"นายปิยะ รักษากิจ")</f>
        <v>นายปิยะ รักษากิจ</v>
      </c>
      <c r="H3118" s="1" t="str">
        <f>IFERROR(__xludf.DUMMYFUNCTION("""COMPUTED_VALUE"""),"296942")</f>
        <v>296942</v>
      </c>
      <c r="I3118" s="1" t="str">
        <f>IFERROR(__xludf.DUMMYFUNCTION("""COMPUTED_VALUE"""),"นายปิยะ รักษากิจ")</f>
        <v>นายปิยะ รักษากิจ</v>
      </c>
      <c r="J3118" s="3">
        <f>IFERROR(__xludf.DUMMYFUNCTION("""COMPUTED_VALUE"""),295541.0)</f>
        <v>295541</v>
      </c>
      <c r="K3118" s="3" t="str">
        <f>IFERROR(__xludf.DUMMYFUNCTION("""COMPUTED_VALUE"""),"นายรพิพล ศรีมาตย์")</f>
        <v>นายรพิพล ศรีมาตย์</v>
      </c>
      <c r="L3118" s="1" t="str">
        <f>IFERROR(__xludf.DUMMYFUNCTION("""COMPUTED_VALUE"""),"นายรพิพล ศรีมาตย์")</f>
        <v>นายรพิพล ศรีมาตย์</v>
      </c>
      <c r="M3118" s="1" t="str">
        <f>IFERROR(__xludf.DUMMYFUNCTION("""COMPUTED_VALUE"""),"0613966115")</f>
        <v>0613966115</v>
      </c>
      <c r="N3118" s="3">
        <f>IFERROR(__xludf.DUMMYFUNCTION("""COMPUTED_VALUE"""),84138.0)</f>
        <v>84138</v>
      </c>
      <c r="O3118" s="3" t="str">
        <f>IFERROR(__xludf.DUMMYFUNCTION("""COMPUTED_VALUE"""),"ร้านสะดวกดี พานิชย์")</f>
        <v>ร้านสะดวกดี พานิชย์</v>
      </c>
      <c r="P3118" s="4">
        <f>IFERROR(__xludf.DUMMYFUNCTION("""COMPUTED_VALUE"""),44971.0)</f>
        <v>44971</v>
      </c>
      <c r="Q3118" s="3" t="str">
        <f>IFERROR(__xludf.DUMMYFUNCTION("""COMPUTED_VALUE"""),"A")</f>
        <v>A</v>
      </c>
      <c r="R3118" s="3" t="str">
        <f>IFERROR(__xludf.DUMMYFUNCTION("""COMPUTED_VALUE"""),"Small Format")</f>
        <v>Small Format</v>
      </c>
      <c r="S3118" s="3" t="str">
        <f>IFERROR(__xludf.DUMMYFUNCTION("""COMPUTED_VALUE"""),"Donjai")</f>
        <v>Donjai</v>
      </c>
      <c r="T3118" s="3" t="str">
        <f>IFERROR(__xludf.DUMMYFUNCTION("""COMPUTED_VALUE"""),"07 K.Piya R.")</f>
        <v>07 K.Piya R.</v>
      </c>
      <c r="U3118" s="3" t="str">
        <f>IFERROR(__xludf.DUMMYFUNCTION("""COMPUTED_VALUE"""),"07 K.Piya R.")</f>
        <v>07 K.Piya R.</v>
      </c>
      <c r="V3118" s="3" t="str">
        <f>IFERROR(__xludf.DUMMYFUNCTION("""COMPUTED_VALUE"""),"N")</f>
        <v>N</v>
      </c>
      <c r="W3118" s="3"/>
      <c r="X3118" s="3" t="str">
        <f>IFERROR(__xludf.DUMMYFUNCTION("""COMPUTED_VALUE"""),"70/6 ม.7 ห้วยยาง แกลง ระยอง 21110")</f>
        <v>70/6 ม.7 ห้วยยาง แกลง ระยอง 21110</v>
      </c>
      <c r="Y3118" s="3"/>
      <c r="Z3118" s="3">
        <f>IFERROR(__xludf.DUMMYFUNCTION("""COMPUTED_VALUE"""),0.0)</f>
        <v>0</v>
      </c>
      <c r="AA3118" s="3">
        <f>IFERROR(__xludf.DUMMYFUNCTION("""COMPUTED_VALUE"""),0.0)</f>
        <v>0</v>
      </c>
      <c r="AB3118" s="3" t="str">
        <f>IFERROR(__xludf.DUMMYFUNCTION("""COMPUTED_VALUE"""),"ระยอง")</f>
        <v>ระยอง</v>
      </c>
      <c r="AC3118" s="3">
        <f>IFERROR(__xludf.DUMMYFUNCTION("""COMPUTED_VALUE"""),21110.0)</f>
        <v>21110</v>
      </c>
      <c r="AD3118" s="3"/>
      <c r="AE3118" s="3"/>
      <c r="AF3118" s="3" t="str">
        <f>IFERROR(__xludf.DUMMYFUNCTION("""COMPUTED_VALUE"""),"ร้านสะดวกดี พานิชย์-84138")</f>
        <v>ร้านสะดวกดี พานิชย์-84138</v>
      </c>
      <c r="AG3118" s="3" t="str">
        <f>IFERROR(__xludf.DUMMYFUNCTION("""COMPUTED_VALUE"""),"ตะวันออก")</f>
        <v>ตะวันออก</v>
      </c>
      <c r="AH3118" s="3" t="str">
        <f>IFERROR(__xludf.DUMMYFUNCTION("""COMPUTED_VALUE"""),"#N/A")</f>
        <v>#N/A</v>
      </c>
      <c r="AI3118" s="3" t="str">
        <f>IFERROR(__xludf.DUMMYFUNCTION("""COMPUTED_VALUE"""),"Out of warranty")</f>
        <v>Out of warranty</v>
      </c>
      <c r="AJ3118" s="3">
        <f>IFERROR(__xludf.DUMMYFUNCTION("""COMPUTED_VALUE"""),36.0)</f>
        <v>36</v>
      </c>
      <c r="AK3118" s="3"/>
      <c r="AL3118" s="3"/>
    </row>
    <row r="3119" ht="15.75" customHeight="1">
      <c r="A3119" s="1" t="str">
        <f>IFERROR(__xludf.DUMMYFUNCTION("""COMPUTED_VALUE"""),"84139")</f>
        <v>84139</v>
      </c>
      <c r="B3119" s="2">
        <f>IFERROR(__xludf.DUMMYFUNCTION("""COMPUTED_VALUE"""),84139.0)</f>
        <v>84139</v>
      </c>
      <c r="C3119" s="3" t="str">
        <f>IFERROR(__xludf.DUMMYFUNCTION("""COMPUTED_VALUE"""),"ร้านเสรี @โป่ง (เสรี พาณิชย์)")</f>
        <v>ร้านเสรี @โป่ง (เสรี พาณิชย์)</v>
      </c>
      <c r="D3119" s="3" t="str">
        <f>IFERROR(__xludf.DUMMYFUNCTION("""COMPUTED_VALUE"""),"ร้านเสรี @โป่ง (เสรี พาณิชย์)")</f>
        <v>ร้านเสรี @โป่ง (เสรี พาณิชย์)</v>
      </c>
      <c r="E3119" s="1" t="str">
        <f>IFERROR(__xludf.DUMMYFUNCTION("""COMPUTED_VALUE"""),"Donjai")</f>
        <v>Donjai</v>
      </c>
      <c r="F3119" s="1" t="str">
        <f>IFERROR(__xludf.DUMMYFUNCTION("""COMPUTED_VALUE"""),"296945")</f>
        <v>296945</v>
      </c>
      <c r="G3119" s="1" t="str">
        <f>IFERROR(__xludf.DUMMYFUNCTION("""COMPUTED_VALUE"""),"นายรักพงศ์ พงศ์พันธ์งาม")</f>
        <v>นายรักพงศ์ พงศ์พันธ์งาม</v>
      </c>
      <c r="H3119" s="1" t="str">
        <f>IFERROR(__xludf.DUMMYFUNCTION("""COMPUTED_VALUE"""),"296945")</f>
        <v>296945</v>
      </c>
      <c r="I3119" s="1" t="str">
        <f>IFERROR(__xludf.DUMMYFUNCTION("""COMPUTED_VALUE"""),"นายรักพงศ์ พงศ์พันธ์งาม")</f>
        <v>นายรักพงศ์ พงศ์พันธ์งาม</v>
      </c>
      <c r="J3119" s="3">
        <f>IFERROR(__xludf.DUMMYFUNCTION("""COMPUTED_VALUE"""),228031.0)</f>
        <v>228031</v>
      </c>
      <c r="K3119" s="3" t="str">
        <f>IFERROR(__xludf.DUMMYFUNCTION("""COMPUTED_VALUE"""),"นายธนพงษ์ วันหมัด")</f>
        <v>นายธนพงษ์ วันหมัด</v>
      </c>
      <c r="L3119" s="1" t="str">
        <f>IFERROR(__xludf.DUMMYFUNCTION("""COMPUTED_VALUE"""),"นายธนพงษ์ วันหมัด")</f>
        <v>นายธนพงษ์ วันหมัด</v>
      </c>
      <c r="M3119" s="1" t="str">
        <f>IFERROR(__xludf.DUMMYFUNCTION("""COMPUTED_VALUE"""),"0813716913")</f>
        <v>0813716913</v>
      </c>
      <c r="N3119" s="3">
        <f>IFERROR(__xludf.DUMMYFUNCTION("""COMPUTED_VALUE"""),84139.0)</f>
        <v>84139</v>
      </c>
      <c r="O3119" s="3" t="str">
        <f>IFERROR(__xludf.DUMMYFUNCTION("""COMPUTED_VALUE"""),"ร้านเสรี @โป่ง (เสรี พาณิชย์)")</f>
        <v>ร้านเสรี @โป่ง (เสรี พาณิชย์)</v>
      </c>
      <c r="P3119" s="4">
        <f>IFERROR(__xludf.DUMMYFUNCTION("""COMPUTED_VALUE"""),45106.0)</f>
        <v>45106</v>
      </c>
      <c r="Q3119" s="3" t="str">
        <f>IFERROR(__xludf.DUMMYFUNCTION("""COMPUTED_VALUE"""),"I")</f>
        <v>I</v>
      </c>
      <c r="R3119" s="3" t="str">
        <f>IFERROR(__xludf.DUMMYFUNCTION("""COMPUTED_VALUE"""),"Small Format")</f>
        <v>Small Format</v>
      </c>
      <c r="S3119" s="3" t="str">
        <f>IFERROR(__xludf.DUMMYFUNCTION("""COMPUTED_VALUE"""),"Donjai")</f>
        <v>Donjai</v>
      </c>
      <c r="T3119" s="3">
        <f>IFERROR(__xludf.DUMMYFUNCTION("""COMPUTED_VALUE"""),0.0)</f>
        <v>0</v>
      </c>
      <c r="U3119" s="3">
        <f>IFERROR(__xludf.DUMMYFUNCTION("""COMPUTED_VALUE"""),0.0)</f>
        <v>0</v>
      </c>
      <c r="V3119" s="3" t="str">
        <f>IFERROR(__xludf.DUMMYFUNCTION("""COMPUTED_VALUE"""),"N")</f>
        <v>N</v>
      </c>
      <c r="W3119" s="3"/>
      <c r="X3119" s="3" t="str">
        <f>IFERROR(__xludf.DUMMYFUNCTION("""COMPUTED_VALUE"""),"42/1 หมู่ที่2 ต.โป่ง อ.บางละมุง จ.ชลบุรี")</f>
        <v>42/1 หมู่ที่2 ต.โป่ง อ.บางละมุง จ.ชลบุรี</v>
      </c>
      <c r="Y3119" s="3"/>
      <c r="Z3119" s="3" t="str">
        <f>IFERROR(__xludf.DUMMYFUNCTION("""COMPUTED_VALUE"""),"โป่ง")</f>
        <v>โป่ง</v>
      </c>
      <c r="AA3119" s="3" t="str">
        <f>IFERROR(__xludf.DUMMYFUNCTION("""COMPUTED_VALUE"""),"บางละมุง")</f>
        <v>บางละมุง</v>
      </c>
      <c r="AB3119" s="3" t="str">
        <f>IFERROR(__xludf.DUMMYFUNCTION("""COMPUTED_VALUE"""),"ชลบุรี")</f>
        <v>ชลบุรี</v>
      </c>
      <c r="AC3119" s="3"/>
      <c r="AD3119" s="3"/>
      <c r="AE3119" s="3"/>
      <c r="AF3119" s="3" t="str">
        <f>IFERROR(__xludf.DUMMYFUNCTION("""COMPUTED_VALUE"""),"ร้านเสรี @โป่ง (เสรี พาณิชย์)-84139")</f>
        <v>ร้านเสรี @โป่ง (เสรี พาณิชย์)-84139</v>
      </c>
      <c r="AG3119" s="3" t="str">
        <f>IFERROR(__xludf.DUMMYFUNCTION("""COMPUTED_VALUE"""),"ตะวันออก")</f>
        <v>ตะวันออก</v>
      </c>
      <c r="AH3119" s="3" t="str">
        <f>IFERROR(__xludf.DUMMYFUNCTION("""COMPUTED_VALUE"""),"#N/A")</f>
        <v>#N/A</v>
      </c>
      <c r="AI3119" s="3" t="str">
        <f>IFERROR(__xludf.DUMMYFUNCTION("""COMPUTED_VALUE"""),"Out of warranty")</f>
        <v>Out of warranty</v>
      </c>
      <c r="AJ3119" s="3">
        <f>IFERROR(__xludf.DUMMYFUNCTION("""COMPUTED_VALUE"""),31.0)</f>
        <v>31</v>
      </c>
      <c r="AK3119" s="3"/>
      <c r="AL3119" s="3"/>
    </row>
    <row r="3120" ht="15.75" customHeight="1">
      <c r="A3120" s="1" t="str">
        <f>IFERROR(__xludf.DUMMYFUNCTION("""COMPUTED_VALUE"""),"84140")</f>
        <v>84140</v>
      </c>
      <c r="B3120" s="2">
        <f>IFERROR(__xludf.DUMMYFUNCTION("""COMPUTED_VALUE"""),84140.0)</f>
        <v>84140</v>
      </c>
      <c r="C3120" s="3" t="str">
        <f>IFERROR(__xludf.DUMMYFUNCTION("""COMPUTED_VALUE"""),"ร้านหมูแดง")</f>
        <v>ร้านหมูแดง</v>
      </c>
      <c r="D3120" s="3" t="str">
        <f>IFERROR(__xludf.DUMMYFUNCTION("""COMPUTED_VALUE"""),"ร้านหมูแดง")</f>
        <v>ร้านหมูแดง</v>
      </c>
      <c r="E3120" s="1" t="str">
        <f>IFERROR(__xludf.DUMMYFUNCTION("""COMPUTED_VALUE"""),"Donjai")</f>
        <v>Donjai</v>
      </c>
      <c r="F3120" s="1" t="str">
        <f>IFERROR(__xludf.DUMMYFUNCTION("""COMPUTED_VALUE"""),"296579")</f>
        <v>296579</v>
      </c>
      <c r="G3120" s="1" t="str">
        <f>IFERROR(__xludf.DUMMYFUNCTION("""COMPUTED_VALUE"""),"นายชนม์ณภัทร กุลพัฒน์จินดา")</f>
        <v>นายชนม์ณภัทร กุลพัฒน์จินดา</v>
      </c>
      <c r="H3120" s="1" t="str">
        <f>IFERROR(__xludf.DUMMYFUNCTION("""COMPUTED_VALUE"""),"296579")</f>
        <v>296579</v>
      </c>
      <c r="I3120" s="1" t="str">
        <f>IFERROR(__xludf.DUMMYFUNCTION("""COMPUTED_VALUE"""),"นายชนม์ณภัทร กุลพัฒน์จินดา")</f>
        <v>นายชนม์ณภัทร กุลพัฒน์จินดา</v>
      </c>
      <c r="J3120" s="3">
        <f>IFERROR(__xludf.DUMMYFUNCTION("""COMPUTED_VALUE"""),228031.0)</f>
        <v>228031</v>
      </c>
      <c r="K3120" s="3" t="str">
        <f>IFERROR(__xludf.DUMMYFUNCTION("""COMPUTED_VALUE"""),"นายธนพงษ์ วันหมัด")</f>
        <v>นายธนพงษ์ วันหมัด</v>
      </c>
      <c r="L3120" s="1" t="str">
        <f>IFERROR(__xludf.DUMMYFUNCTION("""COMPUTED_VALUE"""),"นายธนพงษ์ วันหมัด")</f>
        <v>นายธนพงษ์ วันหมัด</v>
      </c>
      <c r="M3120" s="1" t="str">
        <f>IFERROR(__xludf.DUMMYFUNCTION("""COMPUTED_VALUE"""),"0813716913")</f>
        <v>0813716913</v>
      </c>
      <c r="N3120" s="3">
        <f>IFERROR(__xludf.DUMMYFUNCTION("""COMPUTED_VALUE"""),84140.0)</f>
        <v>84140</v>
      </c>
      <c r="O3120" s="3" t="str">
        <f>IFERROR(__xludf.DUMMYFUNCTION("""COMPUTED_VALUE"""),"ร้านหมูแดง")</f>
        <v>ร้านหมูแดง</v>
      </c>
      <c r="P3120" s="4">
        <f>IFERROR(__xludf.DUMMYFUNCTION("""COMPUTED_VALUE"""),45000.0)</f>
        <v>45000</v>
      </c>
      <c r="Q3120" s="3" t="str">
        <f>IFERROR(__xludf.DUMMYFUNCTION("""COMPUTED_VALUE"""),"I")</f>
        <v>I</v>
      </c>
      <c r="R3120" s="3" t="str">
        <f>IFERROR(__xludf.DUMMYFUNCTION("""COMPUTED_VALUE"""),"Small Format")</f>
        <v>Small Format</v>
      </c>
      <c r="S3120" s="3" t="str">
        <f>IFERROR(__xludf.DUMMYFUNCTION("""COMPUTED_VALUE"""),"Donjai")</f>
        <v>Donjai</v>
      </c>
      <c r="T3120" s="3" t="str">
        <f>IFERROR(__xludf.DUMMYFUNCTION("""COMPUTED_VALUE"""),"#N/A")</f>
        <v>#N/A</v>
      </c>
      <c r="U3120" s="3" t="str">
        <f>IFERROR(__xludf.DUMMYFUNCTION("""COMPUTED_VALUE"""),"#N/A")</f>
        <v>#N/A</v>
      </c>
      <c r="V3120" s="3" t="str">
        <f>IFERROR(__xludf.DUMMYFUNCTION("""COMPUTED_VALUE"""),"N")</f>
        <v>N</v>
      </c>
      <c r="W3120" s="3"/>
      <c r="X3120" s="3" t="str">
        <f>IFERROR(__xludf.DUMMYFUNCTION("""COMPUTED_VALUE"""),"213/45 หมู่ที่7 ต.พิมลราช อ.บางบัวทอง จ.นนทบุรี")</f>
        <v>213/45 หมู่ที่7 ต.พิมลราช อ.บางบัวทอง จ.นนทบุรี</v>
      </c>
      <c r="Y3120" s="3"/>
      <c r="Z3120" s="3">
        <f>IFERROR(__xludf.DUMMYFUNCTION("""COMPUTED_VALUE"""),0.0)</f>
        <v>0</v>
      </c>
      <c r="AA3120" s="3">
        <f>IFERROR(__xludf.DUMMYFUNCTION("""COMPUTED_VALUE"""),0.0)</f>
        <v>0</v>
      </c>
      <c r="AB3120" s="3" t="str">
        <f>IFERROR(__xludf.DUMMYFUNCTION("""COMPUTED_VALUE"""),"นนทบุรี")</f>
        <v>นนทบุรี</v>
      </c>
      <c r="AC3120" s="3">
        <f>IFERROR(__xludf.DUMMYFUNCTION("""COMPUTED_VALUE"""),0.0)</f>
        <v>0</v>
      </c>
      <c r="AD3120" s="3"/>
      <c r="AE3120" s="3"/>
      <c r="AF3120" s="3" t="str">
        <f>IFERROR(__xludf.DUMMYFUNCTION("""COMPUTED_VALUE"""),"ร้านหมูแดง-84140")</f>
        <v>ร้านหมูแดง-84140</v>
      </c>
      <c r="AG3120" s="3" t="str">
        <f>IFERROR(__xludf.DUMMYFUNCTION("""COMPUTED_VALUE"""),"กลาง")</f>
        <v>กลาง</v>
      </c>
      <c r="AH3120" s="3" t="str">
        <f>IFERROR(__xludf.DUMMYFUNCTION("""COMPUTED_VALUE"""),"#N/A")</f>
        <v>#N/A</v>
      </c>
      <c r="AI3120" s="3" t="str">
        <f>IFERROR(__xludf.DUMMYFUNCTION("""COMPUTED_VALUE"""),"Out of warranty")</f>
        <v>Out of warranty</v>
      </c>
      <c r="AJ3120" s="3">
        <f>IFERROR(__xludf.DUMMYFUNCTION("""COMPUTED_VALUE"""),35.0)</f>
        <v>35</v>
      </c>
      <c r="AK3120" s="3"/>
      <c r="AL3120" s="3"/>
    </row>
    <row r="3121" ht="15.75" customHeight="1">
      <c r="A3121" s="1" t="str">
        <f>IFERROR(__xludf.DUMMYFUNCTION("""COMPUTED_VALUE"""),"84142")</f>
        <v>84142</v>
      </c>
      <c r="B3121" s="2">
        <f>IFERROR(__xludf.DUMMYFUNCTION("""COMPUTED_VALUE"""),84142.0)</f>
        <v>84142</v>
      </c>
      <c r="C3121" s="3" t="str">
        <f>IFERROR(__xludf.DUMMYFUNCTION("""COMPUTED_VALUE"""),"ร้านดูดี สะดวกซื้อ")</f>
        <v>ร้านดูดี สะดวกซื้อ</v>
      </c>
      <c r="D3121" s="3" t="str">
        <f>IFERROR(__xludf.DUMMYFUNCTION("""COMPUTED_VALUE"""),"ร้านดูดี สะดวกซื้อ")</f>
        <v>ร้านดูดี สะดวกซื้อ</v>
      </c>
      <c r="E3121" s="1" t="str">
        <f>IFERROR(__xludf.DUMMYFUNCTION("""COMPUTED_VALUE"""),"Donjai")</f>
        <v>Donjai</v>
      </c>
      <c r="F3121" s="1" t="str">
        <f>IFERROR(__xludf.DUMMYFUNCTION("""COMPUTED_VALUE"""),"296942")</f>
        <v>296942</v>
      </c>
      <c r="G3121" s="1" t="str">
        <f>IFERROR(__xludf.DUMMYFUNCTION("""COMPUTED_VALUE"""),"นายปิยะ รักษากิจ")</f>
        <v>นายปิยะ รักษากิจ</v>
      </c>
      <c r="H3121" s="1" t="str">
        <f>IFERROR(__xludf.DUMMYFUNCTION("""COMPUTED_VALUE"""),"296942")</f>
        <v>296942</v>
      </c>
      <c r="I3121" s="1" t="str">
        <f>IFERROR(__xludf.DUMMYFUNCTION("""COMPUTED_VALUE"""),"นายปิยะ รักษากิจ")</f>
        <v>นายปิยะ รักษากิจ</v>
      </c>
      <c r="J3121" s="3">
        <f>IFERROR(__xludf.DUMMYFUNCTION("""COMPUTED_VALUE"""),295541.0)</f>
        <v>295541</v>
      </c>
      <c r="K3121" s="3" t="str">
        <f>IFERROR(__xludf.DUMMYFUNCTION("""COMPUTED_VALUE"""),"นายรพิพล ศรีมาตย์")</f>
        <v>นายรพิพล ศรีมาตย์</v>
      </c>
      <c r="L3121" s="1" t="str">
        <f>IFERROR(__xludf.DUMMYFUNCTION("""COMPUTED_VALUE"""),"นายรพิพล ศรีมาตย์")</f>
        <v>นายรพิพล ศรีมาตย์</v>
      </c>
      <c r="M3121" s="1" t="str">
        <f>IFERROR(__xludf.DUMMYFUNCTION("""COMPUTED_VALUE"""),"0613966115")</f>
        <v>0613966115</v>
      </c>
      <c r="N3121" s="3">
        <f>IFERROR(__xludf.DUMMYFUNCTION("""COMPUTED_VALUE"""),84142.0)</f>
        <v>84142</v>
      </c>
      <c r="O3121" s="3" t="str">
        <f>IFERROR(__xludf.DUMMYFUNCTION("""COMPUTED_VALUE"""),"ร้านดูดี สะดวกซื้อ")</f>
        <v>ร้านดูดี สะดวกซื้อ</v>
      </c>
      <c r="P3121" s="4">
        <f>IFERROR(__xludf.DUMMYFUNCTION("""COMPUTED_VALUE"""),44971.0)</f>
        <v>44971</v>
      </c>
      <c r="Q3121" s="3" t="str">
        <f>IFERROR(__xludf.DUMMYFUNCTION("""COMPUTED_VALUE"""),"A")</f>
        <v>A</v>
      </c>
      <c r="R3121" s="3" t="str">
        <f>IFERROR(__xludf.DUMMYFUNCTION("""COMPUTED_VALUE"""),"Small Format")</f>
        <v>Small Format</v>
      </c>
      <c r="S3121" s="3" t="str">
        <f>IFERROR(__xludf.DUMMYFUNCTION("""COMPUTED_VALUE"""),"Donjai")</f>
        <v>Donjai</v>
      </c>
      <c r="T3121" s="3" t="str">
        <f>IFERROR(__xludf.DUMMYFUNCTION("""COMPUTED_VALUE"""),"07 K.Piya R.")</f>
        <v>07 K.Piya R.</v>
      </c>
      <c r="U3121" s="3" t="str">
        <f>IFERROR(__xludf.DUMMYFUNCTION("""COMPUTED_VALUE"""),"07 K.Piya R.")</f>
        <v>07 K.Piya R.</v>
      </c>
      <c r="V3121" s="3" t="str">
        <f>IFERROR(__xludf.DUMMYFUNCTION("""COMPUTED_VALUE"""),"N")</f>
        <v>N</v>
      </c>
      <c r="W3121" s="3"/>
      <c r="X3121" s="3" t="str">
        <f>IFERROR(__xludf.DUMMYFUNCTION("""COMPUTED_VALUE"""),"201 หมู่ที่ 1 ต.ชากบก อ.บ้านค่าย จ.ระยอง")</f>
        <v>201 หมู่ที่ 1 ต.ชากบก อ.บ้านค่าย จ.ระยอง</v>
      </c>
      <c r="Y3121" s="3"/>
      <c r="Z3121" s="3">
        <f>IFERROR(__xludf.DUMMYFUNCTION("""COMPUTED_VALUE"""),0.0)</f>
        <v>0</v>
      </c>
      <c r="AA3121" s="3">
        <f>IFERROR(__xludf.DUMMYFUNCTION("""COMPUTED_VALUE"""),0.0)</f>
        <v>0</v>
      </c>
      <c r="AB3121" s="3" t="str">
        <f>IFERROR(__xludf.DUMMYFUNCTION("""COMPUTED_VALUE"""),"ระยอง")</f>
        <v>ระยอง</v>
      </c>
      <c r="AC3121" s="3">
        <f>IFERROR(__xludf.DUMMYFUNCTION("""COMPUTED_VALUE"""),0.0)</f>
        <v>0</v>
      </c>
      <c r="AD3121" s="3"/>
      <c r="AE3121" s="3"/>
      <c r="AF3121" s="3" t="str">
        <f>IFERROR(__xludf.DUMMYFUNCTION("""COMPUTED_VALUE"""),"ร้านดูดี สะดวกซื้อ-84142")</f>
        <v>ร้านดูดี สะดวกซื้อ-84142</v>
      </c>
      <c r="AG3121" s="3" t="str">
        <f>IFERROR(__xludf.DUMMYFUNCTION("""COMPUTED_VALUE"""),"ตะวันออก")</f>
        <v>ตะวันออก</v>
      </c>
      <c r="AH3121" s="3" t="str">
        <f>IFERROR(__xludf.DUMMYFUNCTION("""COMPUTED_VALUE"""),"#N/A")</f>
        <v>#N/A</v>
      </c>
      <c r="AI3121" s="3" t="str">
        <f>IFERROR(__xludf.DUMMYFUNCTION("""COMPUTED_VALUE"""),"Out of warranty")</f>
        <v>Out of warranty</v>
      </c>
      <c r="AJ3121" s="3">
        <f>IFERROR(__xludf.DUMMYFUNCTION("""COMPUTED_VALUE"""),36.0)</f>
        <v>36</v>
      </c>
      <c r="AK3121" s="3"/>
      <c r="AL3121" s="3"/>
    </row>
    <row r="3122" ht="15.75" customHeight="1">
      <c r="A3122" s="1" t="str">
        <f>IFERROR(__xludf.DUMMYFUNCTION("""COMPUTED_VALUE"""),"84143")</f>
        <v>84143</v>
      </c>
      <c r="B3122" s="2">
        <f>IFERROR(__xludf.DUMMYFUNCTION("""COMPUTED_VALUE"""),84143.0)</f>
        <v>84143</v>
      </c>
      <c r="C3122" s="3" t="str">
        <f>IFERROR(__xludf.DUMMYFUNCTION("""COMPUTED_VALUE"""),"ร้านลี่ &amp; วาว มินิมาร์ท")</f>
        <v>ร้านลี่ &amp; วาว มินิมาร์ท</v>
      </c>
      <c r="D3122" s="3" t="str">
        <f>IFERROR(__xludf.DUMMYFUNCTION("""COMPUTED_VALUE"""),"ร้านลี่ &amp; วาว มินิมาร์ท")</f>
        <v>ร้านลี่ &amp; วาว มินิมาร์ท</v>
      </c>
      <c r="E3122" s="1" t="str">
        <f>IFERROR(__xludf.DUMMYFUNCTION("""COMPUTED_VALUE"""),"Donjai")</f>
        <v>Donjai</v>
      </c>
      <c r="F3122" s="1" t="str">
        <f>IFERROR(__xludf.DUMMYFUNCTION("""COMPUTED_VALUE"""),"2010016")</f>
        <v>2010016</v>
      </c>
      <c r="G3122" s="1" t="str">
        <f>IFERROR(__xludf.DUMMYFUNCTION("""COMPUTED_VALUE"""),"นายตวงธรรม ใหม่ยศ")</f>
        <v>นายตวงธรรม ใหม่ยศ</v>
      </c>
      <c r="H3122" s="1" t="str">
        <f>IFERROR(__xludf.DUMMYFUNCTION("""COMPUTED_VALUE"""),"2010016")</f>
        <v>2010016</v>
      </c>
      <c r="I3122" s="1" t="str">
        <f>IFERROR(__xludf.DUMMYFUNCTION("""COMPUTED_VALUE"""),"นายตวงธรรม ใหม่ยศ")</f>
        <v>นายตวงธรรม ใหม่ยศ</v>
      </c>
      <c r="J3122" s="3">
        <f>IFERROR(__xludf.DUMMYFUNCTION("""COMPUTED_VALUE"""),295886.0)</f>
        <v>295886</v>
      </c>
      <c r="K3122" s="3" t="str">
        <f>IFERROR(__xludf.DUMMYFUNCTION("""COMPUTED_VALUE"""),"นายจิระพงษ์ โพธิ์นิล")</f>
        <v>นายจิระพงษ์ โพธิ์นิล</v>
      </c>
      <c r="L3122" s="1" t="str">
        <f>IFERROR(__xludf.DUMMYFUNCTION("""COMPUTED_VALUE"""),"นายจิระพงษ์ โพธิ์นิล")</f>
        <v>นายจิระพงษ์ โพธิ์นิล</v>
      </c>
      <c r="M3122" s="1" t="str">
        <f>IFERROR(__xludf.DUMMYFUNCTION("""COMPUTED_VALUE"""),"0933290754")</f>
        <v>0933290754</v>
      </c>
      <c r="N3122" s="3">
        <f>IFERROR(__xludf.DUMMYFUNCTION("""COMPUTED_VALUE"""),84143.0)</f>
        <v>84143</v>
      </c>
      <c r="O3122" s="3" t="str">
        <f>IFERROR(__xludf.DUMMYFUNCTION("""COMPUTED_VALUE"""),"ร้านลี่ &amp; วาว มินิมาร์ท")</f>
        <v>ร้านลี่ &amp; วาว มินิมาร์ท</v>
      </c>
      <c r="P3122" s="4">
        <f>IFERROR(__xludf.DUMMYFUNCTION("""COMPUTED_VALUE"""),44986.0)</f>
        <v>44986</v>
      </c>
      <c r="Q3122" s="3" t="str">
        <f>IFERROR(__xludf.DUMMYFUNCTION("""COMPUTED_VALUE"""),"A")</f>
        <v>A</v>
      </c>
      <c r="R3122" s="3" t="str">
        <f>IFERROR(__xludf.DUMMYFUNCTION("""COMPUTED_VALUE"""),"Small Format")</f>
        <v>Small Format</v>
      </c>
      <c r="S3122" s="3" t="str">
        <f>IFERROR(__xludf.DUMMYFUNCTION("""COMPUTED_VALUE"""),"Donjai")</f>
        <v>Donjai</v>
      </c>
      <c r="T3122" s="3" t="str">
        <f>IFERROR(__xludf.DUMMYFUNCTION("""COMPUTED_VALUE"""),"01 K.Tuangtham M.")</f>
        <v>01 K.Tuangtham M.</v>
      </c>
      <c r="U3122" s="3" t="str">
        <f>IFERROR(__xludf.DUMMYFUNCTION("""COMPUTED_VALUE"""),"01 K.Tuangtham M.")</f>
        <v>01 K.Tuangtham M.</v>
      </c>
      <c r="V3122" s="3" t="str">
        <f>IFERROR(__xludf.DUMMYFUNCTION("""COMPUTED_VALUE"""),"N")</f>
        <v>N</v>
      </c>
      <c r="W3122" s="3"/>
      <c r="X3122" s="3" t="str">
        <f>IFERROR(__xludf.DUMMYFUNCTION("""COMPUTED_VALUE"""),"226 หมู่ที่ 9 ต.สรอย อ.วังชิ้น จ.แพร่")</f>
        <v>226 หมู่ที่ 9 ต.สรอย อ.วังชิ้น จ.แพร่</v>
      </c>
      <c r="Y3122" s="3"/>
      <c r="Z3122" s="3" t="str">
        <f>IFERROR(__xludf.DUMMYFUNCTION("""COMPUTED_VALUE"""),"สรอย")</f>
        <v>สรอย</v>
      </c>
      <c r="AA3122" s="3" t="str">
        <f>IFERROR(__xludf.DUMMYFUNCTION("""COMPUTED_VALUE"""),"วังชิน")</f>
        <v>วังชิน</v>
      </c>
      <c r="AB3122" s="3" t="str">
        <f>IFERROR(__xludf.DUMMYFUNCTION("""COMPUTED_VALUE"""),"แพร่")</f>
        <v>แพร่</v>
      </c>
      <c r="AC3122" s="3">
        <f>IFERROR(__xludf.DUMMYFUNCTION("""COMPUTED_VALUE"""),0.0)</f>
        <v>0</v>
      </c>
      <c r="AD3122" s="3"/>
      <c r="AE3122" s="3"/>
      <c r="AF3122" s="3" t="str">
        <f>IFERROR(__xludf.DUMMYFUNCTION("""COMPUTED_VALUE"""),"ร้านลี่ &amp; วาว มินิมาร์ท-84143")</f>
        <v>ร้านลี่ &amp; วาว มินิมาร์ท-84143</v>
      </c>
      <c r="AG3122" s="3" t="str">
        <f>IFERROR(__xludf.DUMMYFUNCTION("""COMPUTED_VALUE"""),"เหนือ")</f>
        <v>เหนือ</v>
      </c>
      <c r="AH3122" s="3" t="str">
        <f>IFERROR(__xludf.DUMMYFUNCTION("""COMPUTED_VALUE"""),"#N/A")</f>
        <v>#N/A</v>
      </c>
      <c r="AI3122" s="3" t="str">
        <f>IFERROR(__xludf.DUMMYFUNCTION("""COMPUTED_VALUE"""),"Out of warranty")</f>
        <v>Out of warranty</v>
      </c>
      <c r="AJ3122" s="3">
        <f>IFERROR(__xludf.DUMMYFUNCTION("""COMPUTED_VALUE"""),35.0)</f>
        <v>35</v>
      </c>
      <c r="AK3122" s="3"/>
      <c r="AL3122" s="3"/>
    </row>
    <row r="3123" ht="15.75" customHeight="1">
      <c r="A3123" s="1" t="str">
        <f>IFERROR(__xludf.DUMMYFUNCTION("""COMPUTED_VALUE"""),"84145")</f>
        <v>84145</v>
      </c>
      <c r="B3123" s="2">
        <f>IFERROR(__xludf.DUMMYFUNCTION("""COMPUTED_VALUE"""),84145.0)</f>
        <v>84145</v>
      </c>
      <c r="C3123" s="3" t="str">
        <f>IFERROR(__xludf.DUMMYFUNCTION("""COMPUTED_VALUE"""),"ร้านร้านสามพี่น้องพานิช (สามพี่น้องการค้า)")</f>
        <v>ร้านร้านสามพี่น้องพานิช (สามพี่น้องการค้า)</v>
      </c>
      <c r="D3123" s="3" t="str">
        <f>IFERROR(__xludf.DUMMYFUNCTION("""COMPUTED_VALUE"""),"ร้านร้านสามพี่น้องพานิช (สามพี่น้องการค้า)")</f>
        <v>ร้านร้านสามพี่น้องพานิช (สามพี่น้องการค้า)</v>
      </c>
      <c r="E3123" s="1" t="str">
        <f>IFERROR(__xludf.DUMMYFUNCTION("""COMPUTED_VALUE"""),"Donjai")</f>
        <v>Donjai</v>
      </c>
      <c r="F3123" s="1" t="str">
        <f>IFERROR(__xludf.DUMMYFUNCTION("""COMPUTED_VALUE"""),"296868")</f>
        <v>296868</v>
      </c>
      <c r="G3123" s="1" t="str">
        <f>IFERROR(__xludf.DUMMYFUNCTION("""COMPUTED_VALUE"""),"นายพีระพงษ์ แก้วดวงดี")</f>
        <v>นายพีระพงษ์ แก้วดวงดี</v>
      </c>
      <c r="H3123" s="1" t="str">
        <f>IFERROR(__xludf.DUMMYFUNCTION("""COMPUTED_VALUE"""),"296868")</f>
        <v>296868</v>
      </c>
      <c r="I3123" s="1" t="str">
        <f>IFERROR(__xludf.DUMMYFUNCTION("""COMPUTED_VALUE"""),"นายพีระพงษ์ แก้วดวงดี")</f>
        <v>นายพีระพงษ์ แก้วดวงดี</v>
      </c>
      <c r="J3123" s="3">
        <f>IFERROR(__xludf.DUMMYFUNCTION("""COMPUTED_VALUE"""),295886.0)</f>
        <v>295886</v>
      </c>
      <c r="K3123" s="3" t="str">
        <f>IFERROR(__xludf.DUMMYFUNCTION("""COMPUTED_VALUE"""),"นายจิระพงษ์ โพธิ์นิล")</f>
        <v>นายจิระพงษ์ โพธิ์นิล</v>
      </c>
      <c r="L3123" s="1" t="str">
        <f>IFERROR(__xludf.DUMMYFUNCTION("""COMPUTED_VALUE"""),"นายจิระพงษ์ โพธิ์นิล")</f>
        <v>นายจิระพงษ์ โพธิ์นิล</v>
      </c>
      <c r="M3123" s="1" t="str">
        <f>IFERROR(__xludf.DUMMYFUNCTION("""COMPUTED_VALUE"""),"0933290754")</f>
        <v>0933290754</v>
      </c>
      <c r="N3123" s="3">
        <f>IFERROR(__xludf.DUMMYFUNCTION("""COMPUTED_VALUE"""),84145.0)</f>
        <v>84145</v>
      </c>
      <c r="O3123" s="3" t="str">
        <f>IFERROR(__xludf.DUMMYFUNCTION("""COMPUTED_VALUE"""),"ร้านร้านสามพี่น้องพานิช (สามพี่น้องการค้า)")</f>
        <v>ร้านร้านสามพี่น้องพานิช (สามพี่น้องการค้า)</v>
      </c>
      <c r="P3123" s="4">
        <f>IFERROR(__xludf.DUMMYFUNCTION("""COMPUTED_VALUE"""),44982.0)</f>
        <v>44982</v>
      </c>
      <c r="Q3123" s="3" t="str">
        <f>IFERROR(__xludf.DUMMYFUNCTION("""COMPUTED_VALUE"""),"A")</f>
        <v>A</v>
      </c>
      <c r="R3123" s="3" t="str">
        <f>IFERROR(__xludf.DUMMYFUNCTION("""COMPUTED_VALUE"""),"Small Format")</f>
        <v>Small Format</v>
      </c>
      <c r="S3123" s="3" t="str">
        <f>IFERROR(__xludf.DUMMYFUNCTION("""COMPUTED_VALUE"""),"Donjai")</f>
        <v>Donjai</v>
      </c>
      <c r="T3123" s="3" t="str">
        <f>IFERROR(__xludf.DUMMYFUNCTION("""COMPUTED_VALUE"""),"03 K.Peerapong K.")</f>
        <v>03 K.Peerapong K.</v>
      </c>
      <c r="U3123" s="3" t="str">
        <f>IFERROR(__xludf.DUMMYFUNCTION("""COMPUTED_VALUE"""),"03 K.Peerapong K.")</f>
        <v>03 K.Peerapong K.</v>
      </c>
      <c r="V3123" s="3" t="str">
        <f>IFERROR(__xludf.DUMMYFUNCTION("""COMPUTED_VALUE"""),"N")</f>
        <v>N</v>
      </c>
      <c r="W3123" s="3"/>
      <c r="X3123" s="3" t="str">
        <f>IFERROR(__xludf.DUMMYFUNCTION("""COMPUTED_VALUE"""),"296 หมู่ที่ 4 ต.พรเจริญ อ.พรเจริญ จ.บึงกาฬ")</f>
        <v>296 หมู่ที่ 4 ต.พรเจริญ อ.พรเจริญ จ.บึงกาฬ</v>
      </c>
      <c r="Y3123" s="3"/>
      <c r="Z3123" s="3"/>
      <c r="AA3123" s="3"/>
      <c r="AB3123" s="3"/>
      <c r="AC3123" s="3"/>
      <c r="AD3123" s="3"/>
      <c r="AE3123" s="3"/>
      <c r="AF3123" s="3" t="str">
        <f>IFERROR(__xludf.DUMMYFUNCTION("""COMPUTED_VALUE"""),"ร้านร้านสามพี่น้องพานิช (สามพี่น้องการค้า)-84145")</f>
        <v>ร้านร้านสามพี่น้องพานิช (สามพี่น้องการค้า)-84145</v>
      </c>
      <c r="AG3123" s="3">
        <f>IFERROR(__xludf.DUMMYFUNCTION("""COMPUTED_VALUE"""),0.0)</f>
        <v>0</v>
      </c>
      <c r="AH3123" s="3" t="str">
        <f>IFERROR(__xludf.DUMMYFUNCTION("""COMPUTED_VALUE"""),"#N/A")</f>
        <v>#N/A</v>
      </c>
      <c r="AI3123" s="3" t="str">
        <f>IFERROR(__xludf.DUMMYFUNCTION("""COMPUTED_VALUE"""),"Out of warranty")</f>
        <v>Out of warranty</v>
      </c>
      <c r="AJ3123" s="3">
        <f>IFERROR(__xludf.DUMMYFUNCTION("""COMPUTED_VALUE"""),35.0)</f>
        <v>35</v>
      </c>
      <c r="AK3123" s="3"/>
      <c r="AL3123" s="3"/>
    </row>
    <row r="3124" ht="15.75" customHeight="1">
      <c r="A3124" s="1" t="str">
        <f>IFERROR(__xludf.DUMMYFUNCTION("""COMPUTED_VALUE"""),"84148")</f>
        <v>84148</v>
      </c>
      <c r="B3124" s="2">
        <f>IFERROR(__xludf.DUMMYFUNCTION("""COMPUTED_VALUE"""),84148.0)</f>
        <v>84148</v>
      </c>
      <c r="C3124" s="3" t="str">
        <f>IFERROR(__xludf.DUMMYFUNCTION("""COMPUTED_VALUE"""),"ร้านยุวธิดา")</f>
        <v>ร้านยุวธิดา</v>
      </c>
      <c r="D3124" s="3" t="str">
        <f>IFERROR(__xludf.DUMMYFUNCTION("""COMPUTED_VALUE"""),"ร้านยุวธิดา")</f>
        <v>ร้านยุวธิดา</v>
      </c>
      <c r="E3124" s="1" t="str">
        <f>IFERROR(__xludf.DUMMYFUNCTION("""COMPUTED_VALUE"""),"Donjai")</f>
        <v>Donjai</v>
      </c>
      <c r="F3124" s="1" t="str">
        <f>IFERROR(__xludf.DUMMYFUNCTION("""COMPUTED_VALUE"""),"2451655")</f>
        <v>2451655</v>
      </c>
      <c r="G3124" s="1" t="str">
        <f>IFERROR(__xludf.DUMMYFUNCTION("""COMPUTED_VALUE"""),"นายวิษณุพงษ์ ชินบุตร")</f>
        <v>นายวิษณุพงษ์ ชินบุตร</v>
      </c>
      <c r="H3124" s="1" t="str">
        <f>IFERROR(__xludf.DUMMYFUNCTION("""COMPUTED_VALUE"""),"2451655")</f>
        <v>2451655</v>
      </c>
      <c r="I3124" s="1" t="str">
        <f>IFERROR(__xludf.DUMMYFUNCTION("""COMPUTED_VALUE"""),"นายวิษณุพงษ์ ชินบุตร")</f>
        <v>นายวิษณุพงษ์ ชินบุตร</v>
      </c>
      <c r="J3124" s="3">
        <f>IFERROR(__xludf.DUMMYFUNCTION("""COMPUTED_VALUE"""),228031.0)</f>
        <v>228031</v>
      </c>
      <c r="K3124" s="3" t="str">
        <f>IFERROR(__xludf.DUMMYFUNCTION("""COMPUTED_VALUE"""),"นายธนพงษ์ วันหมัด")</f>
        <v>นายธนพงษ์ วันหมัด</v>
      </c>
      <c r="L3124" s="1" t="str">
        <f>IFERROR(__xludf.DUMMYFUNCTION("""COMPUTED_VALUE"""),"นายธนพงษ์ วันหมัด")</f>
        <v>นายธนพงษ์ วันหมัด</v>
      </c>
      <c r="M3124" s="1" t="str">
        <f>IFERROR(__xludf.DUMMYFUNCTION("""COMPUTED_VALUE"""),"0813716913")</f>
        <v>0813716913</v>
      </c>
      <c r="N3124" s="3">
        <f>IFERROR(__xludf.DUMMYFUNCTION("""COMPUTED_VALUE"""),84148.0)</f>
        <v>84148</v>
      </c>
      <c r="O3124" s="3" t="str">
        <f>IFERROR(__xludf.DUMMYFUNCTION("""COMPUTED_VALUE"""),"ร้านยุวธิดา")</f>
        <v>ร้านยุวธิดา</v>
      </c>
      <c r="P3124" s="4">
        <f>IFERROR(__xludf.DUMMYFUNCTION("""COMPUTED_VALUE"""),44985.0)</f>
        <v>44985</v>
      </c>
      <c r="Q3124" s="3" t="str">
        <f>IFERROR(__xludf.DUMMYFUNCTION("""COMPUTED_VALUE"""),"A")</f>
        <v>A</v>
      </c>
      <c r="R3124" s="3" t="str">
        <f>IFERROR(__xludf.DUMMYFUNCTION("""COMPUTED_VALUE"""),"Small Format")</f>
        <v>Small Format</v>
      </c>
      <c r="S3124" s="3" t="str">
        <f>IFERROR(__xludf.DUMMYFUNCTION("""COMPUTED_VALUE"""),"Donjai")</f>
        <v>Donjai</v>
      </c>
      <c r="T3124" s="3" t="str">
        <f>IFERROR(__xludf.DUMMYFUNCTION("""COMPUTED_VALUE"""),"13 K.Wisanupong Ch")</f>
        <v>13 K.Wisanupong Ch</v>
      </c>
      <c r="U3124" s="3" t="str">
        <f>IFERROR(__xludf.DUMMYFUNCTION("""COMPUTED_VALUE"""),"13 K.Wisanupong Ch")</f>
        <v>13 K.Wisanupong Ch</v>
      </c>
      <c r="V3124" s="3" t="str">
        <f>IFERROR(__xludf.DUMMYFUNCTION("""COMPUTED_VALUE"""),"N")</f>
        <v>N</v>
      </c>
      <c r="W3124" s="3"/>
      <c r="X3124" s="3" t="str">
        <f>IFERROR(__xludf.DUMMYFUNCTION("""COMPUTED_VALUE"""),"351/1 บางโฉลง บางพลี สมุทรปราการ 10540")</f>
        <v>351/1 บางโฉลง บางพลี สมุทรปราการ 10540</v>
      </c>
      <c r="Y3124" s="3"/>
      <c r="Z3124" s="3">
        <f>IFERROR(__xludf.DUMMYFUNCTION("""COMPUTED_VALUE"""),0.0)</f>
        <v>0</v>
      </c>
      <c r="AA3124" s="3">
        <f>IFERROR(__xludf.DUMMYFUNCTION("""COMPUTED_VALUE"""),0.0)</f>
        <v>0</v>
      </c>
      <c r="AB3124" s="3" t="str">
        <f>IFERROR(__xludf.DUMMYFUNCTION("""COMPUTED_VALUE"""),"สมุทรปราการ")</f>
        <v>สมุทรปราการ</v>
      </c>
      <c r="AC3124" s="3">
        <f>IFERROR(__xludf.DUMMYFUNCTION("""COMPUTED_VALUE"""),10540.0)</f>
        <v>10540</v>
      </c>
      <c r="AD3124" s="3"/>
      <c r="AE3124" s="3"/>
      <c r="AF3124" s="3" t="str">
        <f>IFERROR(__xludf.DUMMYFUNCTION("""COMPUTED_VALUE"""),"ร้านยุวธิดา-84148")</f>
        <v>ร้านยุวธิดา-84148</v>
      </c>
      <c r="AG3124" s="3" t="str">
        <f>IFERROR(__xludf.DUMMYFUNCTION("""COMPUTED_VALUE"""),"กลาง")</f>
        <v>กลาง</v>
      </c>
      <c r="AH3124" s="3" t="str">
        <f>IFERROR(__xludf.DUMMYFUNCTION("""COMPUTED_VALUE"""),"#N/A")</f>
        <v>#N/A</v>
      </c>
      <c r="AI3124" s="3" t="str">
        <f>IFERROR(__xludf.DUMMYFUNCTION("""COMPUTED_VALUE"""),"Out of warranty")</f>
        <v>Out of warranty</v>
      </c>
      <c r="AJ3124" s="3">
        <f>IFERROR(__xludf.DUMMYFUNCTION("""COMPUTED_VALUE"""),35.0)</f>
        <v>35</v>
      </c>
      <c r="AK3124" s="3"/>
      <c r="AL3124" s="3"/>
    </row>
    <row r="3125" ht="15.75" customHeight="1">
      <c r="A3125" s="1" t="str">
        <f>IFERROR(__xludf.DUMMYFUNCTION("""COMPUTED_VALUE"""),"84151")</f>
        <v>84151</v>
      </c>
      <c r="B3125" s="2">
        <f>IFERROR(__xludf.DUMMYFUNCTION("""COMPUTED_VALUE"""),84151.0)</f>
        <v>84151</v>
      </c>
      <c r="C3125" s="3" t="str">
        <f>IFERROR(__xludf.DUMMYFUNCTION("""COMPUTED_VALUE"""),"ร้านวิว-กวินมินิมาร์ท")</f>
        <v>ร้านวิว-กวินมินิมาร์ท</v>
      </c>
      <c r="D3125" s="3" t="str">
        <f>IFERROR(__xludf.DUMMYFUNCTION("""COMPUTED_VALUE"""),"ร้านวิว-กวินมินิมาร์ท")</f>
        <v>ร้านวิว-กวินมินิมาร์ท</v>
      </c>
      <c r="E3125" s="1" t="str">
        <f>IFERROR(__xludf.DUMMYFUNCTION("""COMPUTED_VALUE"""),"Donjai")</f>
        <v>Donjai</v>
      </c>
      <c r="F3125" s="1" t="str">
        <f>IFERROR(__xludf.DUMMYFUNCTION("""COMPUTED_VALUE"""),"015361")</f>
        <v>015361</v>
      </c>
      <c r="G3125" s="1" t="str">
        <f>IFERROR(__xludf.DUMMYFUNCTION("""COMPUTED_VALUE"""),"นายสมบูรณ์ พรหมในเมือง")</f>
        <v>นายสมบูรณ์ พรหมในเมือง</v>
      </c>
      <c r="H3125" s="1" t="str">
        <f>IFERROR(__xludf.DUMMYFUNCTION("""COMPUTED_VALUE"""),"015361")</f>
        <v>015361</v>
      </c>
      <c r="I3125" s="1" t="str">
        <f>IFERROR(__xludf.DUMMYFUNCTION("""COMPUTED_VALUE"""),"นายสมบูรณ์ พรหมในเมือง")</f>
        <v>นายสมบูรณ์ พรหมในเมือง</v>
      </c>
      <c r="J3125" s="3">
        <f>IFERROR(__xludf.DUMMYFUNCTION("""COMPUTED_VALUE"""),295886.0)</f>
        <v>295886</v>
      </c>
      <c r="K3125" s="3" t="str">
        <f>IFERROR(__xludf.DUMMYFUNCTION("""COMPUTED_VALUE"""),"นายจิระพงษ์ โพธิ์นิล")</f>
        <v>นายจิระพงษ์ โพธิ์นิล</v>
      </c>
      <c r="L3125" s="1" t="str">
        <f>IFERROR(__xludf.DUMMYFUNCTION("""COMPUTED_VALUE"""),"นายจิระพงษ์ โพธิ์นิล")</f>
        <v>นายจิระพงษ์ โพธิ์นิล</v>
      </c>
      <c r="M3125" s="1" t="str">
        <f>IFERROR(__xludf.DUMMYFUNCTION("""COMPUTED_VALUE"""),"0933290754")</f>
        <v>0933290754</v>
      </c>
      <c r="N3125" s="3">
        <f>IFERROR(__xludf.DUMMYFUNCTION("""COMPUTED_VALUE"""),84151.0)</f>
        <v>84151</v>
      </c>
      <c r="O3125" s="3" t="str">
        <f>IFERROR(__xludf.DUMMYFUNCTION("""COMPUTED_VALUE"""),"ร้านวิว-กวินมินิมาร์ท")</f>
        <v>ร้านวิว-กวินมินิมาร์ท</v>
      </c>
      <c r="P3125" s="4">
        <f>IFERROR(__xludf.DUMMYFUNCTION("""COMPUTED_VALUE"""),44990.0)</f>
        <v>44990</v>
      </c>
      <c r="Q3125" s="3" t="str">
        <f>IFERROR(__xludf.DUMMYFUNCTION("""COMPUTED_VALUE"""),"A")</f>
        <v>A</v>
      </c>
      <c r="R3125" s="3" t="str">
        <f>IFERROR(__xludf.DUMMYFUNCTION("""COMPUTED_VALUE"""),"Small Format")</f>
        <v>Small Format</v>
      </c>
      <c r="S3125" s="3" t="str">
        <f>IFERROR(__xludf.DUMMYFUNCTION("""COMPUTED_VALUE"""),"Donjai")</f>
        <v>Donjai</v>
      </c>
      <c r="T3125" s="3" t="str">
        <f>IFERROR(__xludf.DUMMYFUNCTION("""COMPUTED_VALUE"""),"04 K.Somboon P.")</f>
        <v>04 K.Somboon P.</v>
      </c>
      <c r="U3125" s="3" t="str">
        <f>IFERROR(__xludf.DUMMYFUNCTION("""COMPUTED_VALUE"""),"04 K.Somboon P.")</f>
        <v>04 K.Somboon P.</v>
      </c>
      <c r="V3125" s="3" t="str">
        <f>IFERROR(__xludf.DUMMYFUNCTION("""COMPUTED_VALUE"""),"N")</f>
        <v>N</v>
      </c>
      <c r="W3125" s="3"/>
      <c r="X3125" s="3" t="str">
        <f>IFERROR(__xludf.DUMMYFUNCTION("""COMPUTED_VALUE"""),"66หมู่21 หินดาด ด่านขุนทด นครราชสีมา 30210")</f>
        <v>66หมู่21 หินดาด ด่านขุนทด นครราชสีมา 30210</v>
      </c>
      <c r="Y3125" s="3"/>
      <c r="Z3125" s="3">
        <f>IFERROR(__xludf.DUMMYFUNCTION("""COMPUTED_VALUE"""),0.0)</f>
        <v>0</v>
      </c>
      <c r="AA3125" s="3">
        <f>IFERROR(__xludf.DUMMYFUNCTION("""COMPUTED_VALUE"""),0.0)</f>
        <v>0</v>
      </c>
      <c r="AB3125" s="3" t="str">
        <f>IFERROR(__xludf.DUMMYFUNCTION("""COMPUTED_VALUE"""),"นครราชสีมา")</f>
        <v>นครราชสีมา</v>
      </c>
      <c r="AC3125" s="3">
        <f>IFERROR(__xludf.DUMMYFUNCTION("""COMPUTED_VALUE"""),30210.0)</f>
        <v>30210</v>
      </c>
      <c r="AD3125" s="3"/>
      <c r="AE3125" s="3"/>
      <c r="AF3125" s="3" t="str">
        <f>IFERROR(__xludf.DUMMYFUNCTION("""COMPUTED_VALUE"""),"ร้านวิว-กวินมินิมาร์ท-84151")</f>
        <v>ร้านวิว-กวินมินิมาร์ท-84151</v>
      </c>
      <c r="AG3125" s="3" t="str">
        <f>IFERROR(__xludf.DUMMYFUNCTION("""COMPUTED_VALUE"""),"ตะวันออกเฉียงเหนือ")</f>
        <v>ตะวันออกเฉียงเหนือ</v>
      </c>
      <c r="AH3125" s="3" t="str">
        <f>IFERROR(__xludf.DUMMYFUNCTION("""COMPUTED_VALUE"""),"#N/A")</f>
        <v>#N/A</v>
      </c>
      <c r="AI3125" s="3" t="str">
        <f>IFERROR(__xludf.DUMMYFUNCTION("""COMPUTED_VALUE"""),"Out of warranty")</f>
        <v>Out of warranty</v>
      </c>
      <c r="AJ3125" s="3">
        <f>IFERROR(__xludf.DUMMYFUNCTION("""COMPUTED_VALUE"""),35.0)</f>
        <v>35</v>
      </c>
      <c r="AK3125" s="3"/>
      <c r="AL3125" s="3"/>
    </row>
    <row r="3126" ht="15.75" customHeight="1">
      <c r="A3126" s="1" t="str">
        <f>IFERROR(__xludf.DUMMYFUNCTION("""COMPUTED_VALUE"""),"84152")</f>
        <v>84152</v>
      </c>
      <c r="B3126" s="2">
        <f>IFERROR(__xludf.DUMMYFUNCTION("""COMPUTED_VALUE"""),84152.0)</f>
        <v>84152</v>
      </c>
      <c r="C3126" s="3" t="str">
        <f>IFERROR(__xludf.DUMMYFUNCTION("""COMPUTED_VALUE"""),"ร้านหลานตาพาณิชย์")</f>
        <v>ร้านหลานตาพาณิชย์</v>
      </c>
      <c r="D3126" s="3" t="str">
        <f>IFERROR(__xludf.DUMMYFUNCTION("""COMPUTED_VALUE"""),"ร้านหลานตาพาณิชย์")</f>
        <v>ร้านหลานตาพาณิชย์</v>
      </c>
      <c r="E3126" s="1" t="str">
        <f>IFERROR(__xludf.DUMMYFUNCTION("""COMPUTED_VALUE"""),"Donjai")</f>
        <v>Donjai</v>
      </c>
      <c r="F3126" s="1" t="str">
        <f>IFERROR(__xludf.DUMMYFUNCTION("""COMPUTED_VALUE"""),"015361")</f>
        <v>015361</v>
      </c>
      <c r="G3126" s="1" t="str">
        <f>IFERROR(__xludf.DUMMYFUNCTION("""COMPUTED_VALUE"""),"นายสมบูรณ์ พรหมในเมือง")</f>
        <v>นายสมบูรณ์ พรหมในเมือง</v>
      </c>
      <c r="H3126" s="1" t="str">
        <f>IFERROR(__xludf.DUMMYFUNCTION("""COMPUTED_VALUE"""),"015361")</f>
        <v>015361</v>
      </c>
      <c r="I3126" s="1" t="str">
        <f>IFERROR(__xludf.DUMMYFUNCTION("""COMPUTED_VALUE"""),"นายสมบูรณ์ พรหมในเมือง")</f>
        <v>นายสมบูรณ์ พรหมในเมือง</v>
      </c>
      <c r="J3126" s="3">
        <f>IFERROR(__xludf.DUMMYFUNCTION("""COMPUTED_VALUE"""),295886.0)</f>
        <v>295886</v>
      </c>
      <c r="K3126" s="3" t="str">
        <f>IFERROR(__xludf.DUMMYFUNCTION("""COMPUTED_VALUE"""),"นายจิระพงษ์ โพธิ์นิล")</f>
        <v>นายจิระพงษ์ โพธิ์นิล</v>
      </c>
      <c r="L3126" s="1" t="str">
        <f>IFERROR(__xludf.DUMMYFUNCTION("""COMPUTED_VALUE"""),"นายจิระพงษ์ โพธิ์นิล")</f>
        <v>นายจิระพงษ์ โพธิ์นิล</v>
      </c>
      <c r="M3126" s="1" t="str">
        <f>IFERROR(__xludf.DUMMYFUNCTION("""COMPUTED_VALUE"""),"0933290754")</f>
        <v>0933290754</v>
      </c>
      <c r="N3126" s="3">
        <f>IFERROR(__xludf.DUMMYFUNCTION("""COMPUTED_VALUE"""),84152.0)</f>
        <v>84152</v>
      </c>
      <c r="O3126" s="3" t="str">
        <f>IFERROR(__xludf.DUMMYFUNCTION("""COMPUTED_VALUE"""),"ร้านหลานตาพาณิชย์")</f>
        <v>ร้านหลานตาพาณิชย์</v>
      </c>
      <c r="P3126" s="4">
        <f>IFERROR(__xludf.DUMMYFUNCTION("""COMPUTED_VALUE"""),45001.0)</f>
        <v>45001</v>
      </c>
      <c r="Q3126" s="3" t="str">
        <f>IFERROR(__xludf.DUMMYFUNCTION("""COMPUTED_VALUE"""),"A")</f>
        <v>A</v>
      </c>
      <c r="R3126" s="3" t="str">
        <f>IFERROR(__xludf.DUMMYFUNCTION("""COMPUTED_VALUE"""),"Small Format")</f>
        <v>Small Format</v>
      </c>
      <c r="S3126" s="3" t="str">
        <f>IFERROR(__xludf.DUMMYFUNCTION("""COMPUTED_VALUE"""),"Donjai")</f>
        <v>Donjai</v>
      </c>
      <c r="T3126" s="3" t="str">
        <f>IFERROR(__xludf.DUMMYFUNCTION("""COMPUTED_VALUE"""),"04 K.Somboon P.")</f>
        <v>04 K.Somboon P.</v>
      </c>
      <c r="U3126" s="3" t="str">
        <f>IFERROR(__xludf.DUMMYFUNCTION("""COMPUTED_VALUE"""),"04 K.Somboon P.")</f>
        <v>04 K.Somboon P.</v>
      </c>
      <c r="V3126" s="3" t="str">
        <f>IFERROR(__xludf.DUMMYFUNCTION("""COMPUTED_VALUE"""),"N")</f>
        <v>N</v>
      </c>
      <c r="W3126" s="3"/>
      <c r="X3126" s="3" t="str">
        <f>IFERROR(__xludf.DUMMYFUNCTION("""COMPUTED_VALUE"""),"หมู่ 1 ต.ท่าหลวง อ.พิมาย จ.นครราชสีมา 30110")</f>
        <v>หมู่ 1 ต.ท่าหลวง อ.พิมาย จ.นครราชสีมา 30110</v>
      </c>
      <c r="Y3126" s="3"/>
      <c r="Z3126" s="3">
        <f>IFERROR(__xludf.DUMMYFUNCTION("""COMPUTED_VALUE"""),0.0)</f>
        <v>0</v>
      </c>
      <c r="AA3126" s="3">
        <f>IFERROR(__xludf.DUMMYFUNCTION("""COMPUTED_VALUE"""),0.0)</f>
        <v>0</v>
      </c>
      <c r="AB3126" s="3" t="str">
        <f>IFERROR(__xludf.DUMMYFUNCTION("""COMPUTED_VALUE"""),"นครราชสีมา")</f>
        <v>นครราชสีมา</v>
      </c>
      <c r="AC3126" s="3">
        <f>IFERROR(__xludf.DUMMYFUNCTION("""COMPUTED_VALUE"""),30110.0)</f>
        <v>30110</v>
      </c>
      <c r="AD3126" s="3"/>
      <c r="AE3126" s="3"/>
      <c r="AF3126" s="3" t="str">
        <f>IFERROR(__xludf.DUMMYFUNCTION("""COMPUTED_VALUE"""),"ร้านหลานตาพาณิชย์-84152")</f>
        <v>ร้านหลานตาพาณิชย์-84152</v>
      </c>
      <c r="AG3126" s="3" t="str">
        <f>IFERROR(__xludf.DUMMYFUNCTION("""COMPUTED_VALUE"""),"ตะวันออกเฉียงเหนือ")</f>
        <v>ตะวันออกเฉียงเหนือ</v>
      </c>
      <c r="AH3126" s="3" t="str">
        <f>IFERROR(__xludf.DUMMYFUNCTION("""COMPUTED_VALUE"""),"#N/A")</f>
        <v>#N/A</v>
      </c>
      <c r="AI3126" s="3" t="str">
        <f>IFERROR(__xludf.DUMMYFUNCTION("""COMPUTED_VALUE"""),"Out of warranty")</f>
        <v>Out of warranty</v>
      </c>
      <c r="AJ3126" s="3">
        <f>IFERROR(__xludf.DUMMYFUNCTION("""COMPUTED_VALUE"""),35.0)</f>
        <v>35</v>
      </c>
      <c r="AK3126" s="3"/>
      <c r="AL3126" s="3"/>
    </row>
    <row r="3127" ht="15.75" customHeight="1">
      <c r="A3127" s="1" t="str">
        <f>IFERROR(__xludf.DUMMYFUNCTION("""COMPUTED_VALUE"""),"84156")</f>
        <v>84156</v>
      </c>
      <c r="B3127" s="2">
        <f>IFERROR(__xludf.DUMMYFUNCTION("""COMPUTED_VALUE"""),84156.0)</f>
        <v>84156</v>
      </c>
      <c r="C3127" s="3" t="str">
        <f>IFERROR(__xludf.DUMMYFUNCTION("""COMPUTED_VALUE"""),"ร้านนั่งชิวสุขสบายมินิมาร์")</f>
        <v>ร้านนั่งชิวสุขสบายมินิมาร์</v>
      </c>
      <c r="D3127" s="3" t="str">
        <f>IFERROR(__xludf.DUMMYFUNCTION("""COMPUTED_VALUE"""),"ร้านนั่งชิวสุขสบายมินิมาร์")</f>
        <v>ร้านนั่งชิวสุขสบายมินิมาร์</v>
      </c>
      <c r="E3127" s="1" t="str">
        <f>IFERROR(__xludf.DUMMYFUNCTION("""COMPUTED_VALUE"""),"Donjai")</f>
        <v>Donjai</v>
      </c>
      <c r="F3127" s="1" t="str">
        <f>IFERROR(__xludf.DUMMYFUNCTION("""COMPUTED_VALUE"""),"2454781")</f>
        <v>2454781</v>
      </c>
      <c r="G3127" s="1" t="str">
        <f>IFERROR(__xludf.DUMMYFUNCTION("""COMPUTED_VALUE"""),"นายฌานกฤช นันทะโคต")</f>
        <v>นายฌานกฤช นันทะโคต</v>
      </c>
      <c r="H3127" s="1" t="str">
        <f>IFERROR(__xludf.DUMMYFUNCTION("""COMPUTED_VALUE"""),"2454781")</f>
        <v>2454781</v>
      </c>
      <c r="I3127" s="1" t="str">
        <f>IFERROR(__xludf.DUMMYFUNCTION("""COMPUTED_VALUE"""),"นายฌานกฤช นันทะโคต")</f>
        <v>นายฌานกฤช นันทะโคต</v>
      </c>
      <c r="J3127" s="3">
        <f>IFERROR(__xludf.DUMMYFUNCTION("""COMPUTED_VALUE"""),295886.0)</f>
        <v>295886</v>
      </c>
      <c r="K3127" s="3" t="str">
        <f>IFERROR(__xludf.DUMMYFUNCTION("""COMPUTED_VALUE"""),"นายจิระพงษ์ โพธิ์นิล")</f>
        <v>นายจิระพงษ์ โพธิ์นิล</v>
      </c>
      <c r="L3127" s="1" t="str">
        <f>IFERROR(__xludf.DUMMYFUNCTION("""COMPUTED_VALUE"""),"นายจิระพงษ์ โพธิ์นิล")</f>
        <v>นายจิระพงษ์ โพธิ์นิล</v>
      </c>
      <c r="M3127" s="1" t="str">
        <f>IFERROR(__xludf.DUMMYFUNCTION("""COMPUTED_VALUE"""),"0933290754")</f>
        <v>0933290754</v>
      </c>
      <c r="N3127" s="3">
        <f>IFERROR(__xludf.DUMMYFUNCTION("""COMPUTED_VALUE"""),84156.0)</f>
        <v>84156</v>
      </c>
      <c r="O3127" s="3" t="str">
        <f>IFERROR(__xludf.DUMMYFUNCTION("""COMPUTED_VALUE"""),"ร้านนั่งชิวสุขสบายมินิมาร์")</f>
        <v>ร้านนั่งชิวสุขสบายมินิมาร์</v>
      </c>
      <c r="P3127" s="4">
        <f>IFERROR(__xludf.DUMMYFUNCTION("""COMPUTED_VALUE"""),44982.0)</f>
        <v>44982</v>
      </c>
      <c r="Q3127" s="3" t="str">
        <f>IFERROR(__xludf.DUMMYFUNCTION("""COMPUTED_VALUE"""),"A")</f>
        <v>A</v>
      </c>
      <c r="R3127" s="3" t="str">
        <f>IFERROR(__xludf.DUMMYFUNCTION("""COMPUTED_VALUE"""),"Small Format")</f>
        <v>Small Format</v>
      </c>
      <c r="S3127" s="3" t="str">
        <f>IFERROR(__xludf.DUMMYFUNCTION("""COMPUTED_VALUE"""),"Donjai")</f>
        <v>Donjai</v>
      </c>
      <c r="T3127" s="3" t="str">
        <f>IFERROR(__xludf.DUMMYFUNCTION("""COMPUTED_VALUE"""),"05 K.Chanakrit N.")</f>
        <v>05 K.Chanakrit N.</v>
      </c>
      <c r="U3127" s="3" t="str">
        <f>IFERROR(__xludf.DUMMYFUNCTION("""COMPUTED_VALUE"""),"05 K.Chanakrit N.")</f>
        <v>05 K.Chanakrit N.</v>
      </c>
      <c r="V3127" s="3" t="str">
        <f>IFERROR(__xludf.DUMMYFUNCTION("""COMPUTED_VALUE"""),"N")</f>
        <v>N</v>
      </c>
      <c r="W3127" s="3"/>
      <c r="X3127" s="3" t="str">
        <f>IFERROR(__xludf.DUMMYFUNCTION("""COMPUTED_VALUE"""),"111 หมู่ที่12 ต.ก้ามปู อ.พยัคฆภูมิพิสัย จ.มหาสารคาม")</f>
        <v>111 หมู่ที่12 ต.ก้ามปู อ.พยัคฆภูมิพิสัย จ.มหาสารคาม</v>
      </c>
      <c r="Y3127" s="3"/>
      <c r="Z3127" s="3"/>
      <c r="AA3127" s="3"/>
      <c r="AB3127" s="3"/>
      <c r="AC3127" s="3"/>
      <c r="AD3127" s="3"/>
      <c r="AE3127" s="3"/>
      <c r="AF3127" s="3" t="str">
        <f>IFERROR(__xludf.DUMMYFUNCTION("""COMPUTED_VALUE"""),"ร้านนั่งชิวสุขสบายมินิมาร์-84156")</f>
        <v>ร้านนั่งชิวสุขสบายมินิมาร์-84156</v>
      </c>
      <c r="AG3127" s="3">
        <f>IFERROR(__xludf.DUMMYFUNCTION("""COMPUTED_VALUE"""),0.0)</f>
        <v>0</v>
      </c>
      <c r="AH3127" s="3" t="str">
        <f>IFERROR(__xludf.DUMMYFUNCTION("""COMPUTED_VALUE"""),"#N/A")</f>
        <v>#N/A</v>
      </c>
      <c r="AI3127" s="3" t="str">
        <f>IFERROR(__xludf.DUMMYFUNCTION("""COMPUTED_VALUE"""),"Out of warranty")</f>
        <v>Out of warranty</v>
      </c>
      <c r="AJ3127" s="3">
        <f>IFERROR(__xludf.DUMMYFUNCTION("""COMPUTED_VALUE"""),35.0)</f>
        <v>35</v>
      </c>
      <c r="AK3127" s="3"/>
      <c r="AL3127" s="3"/>
    </row>
    <row r="3128" ht="15.75" customHeight="1">
      <c r="A3128" s="1" t="str">
        <f>IFERROR(__xludf.DUMMYFUNCTION("""COMPUTED_VALUE"""),"84157")</f>
        <v>84157</v>
      </c>
      <c r="B3128" s="2">
        <f>IFERROR(__xludf.DUMMYFUNCTION("""COMPUTED_VALUE"""),84157.0)</f>
        <v>84157</v>
      </c>
      <c r="C3128" s="3" t="str">
        <f>IFERROR(__xludf.DUMMYFUNCTION("""COMPUTED_VALUE"""),"ร้านเพชรมงคลมาร์ท")</f>
        <v>ร้านเพชรมงคลมาร์ท</v>
      </c>
      <c r="D3128" s="3" t="str">
        <f>IFERROR(__xludf.DUMMYFUNCTION("""COMPUTED_VALUE"""),"ร้านเพชรมงคลมาร์ท")</f>
        <v>ร้านเพชรมงคลมาร์ท</v>
      </c>
      <c r="E3128" s="1" t="str">
        <f>IFERROR(__xludf.DUMMYFUNCTION("""COMPUTED_VALUE"""),"Donjai")</f>
        <v>Donjai</v>
      </c>
      <c r="F3128" s="1" t="str">
        <f>IFERROR(__xludf.DUMMYFUNCTION("""COMPUTED_VALUE"""),"015361")</f>
        <v>015361</v>
      </c>
      <c r="G3128" s="1" t="str">
        <f>IFERROR(__xludf.DUMMYFUNCTION("""COMPUTED_VALUE"""),"นายสมบูรณ์ พรหมในเมือง")</f>
        <v>นายสมบูรณ์ พรหมในเมือง</v>
      </c>
      <c r="H3128" s="1" t="str">
        <f>IFERROR(__xludf.DUMMYFUNCTION("""COMPUTED_VALUE"""),"015361")</f>
        <v>015361</v>
      </c>
      <c r="I3128" s="1" t="str">
        <f>IFERROR(__xludf.DUMMYFUNCTION("""COMPUTED_VALUE"""),"นายสมบูรณ์ พรหมในเมือง")</f>
        <v>นายสมบูรณ์ พรหมในเมือง</v>
      </c>
      <c r="J3128" s="3">
        <f>IFERROR(__xludf.DUMMYFUNCTION("""COMPUTED_VALUE"""),295886.0)</f>
        <v>295886</v>
      </c>
      <c r="K3128" s="3" t="str">
        <f>IFERROR(__xludf.DUMMYFUNCTION("""COMPUTED_VALUE"""),"นายจิระพงษ์ โพธิ์นิล")</f>
        <v>นายจิระพงษ์ โพธิ์นิล</v>
      </c>
      <c r="L3128" s="1" t="str">
        <f>IFERROR(__xludf.DUMMYFUNCTION("""COMPUTED_VALUE"""),"นายจิระพงษ์ โพธิ์นิล")</f>
        <v>นายจิระพงษ์ โพธิ์นิล</v>
      </c>
      <c r="M3128" s="1" t="str">
        <f>IFERROR(__xludf.DUMMYFUNCTION("""COMPUTED_VALUE"""),"0933290754")</f>
        <v>0933290754</v>
      </c>
      <c r="N3128" s="3">
        <f>IFERROR(__xludf.DUMMYFUNCTION("""COMPUTED_VALUE"""),84157.0)</f>
        <v>84157</v>
      </c>
      <c r="O3128" s="3" t="str">
        <f>IFERROR(__xludf.DUMMYFUNCTION("""COMPUTED_VALUE"""),"ร้านเพชรมงคลมาร์ท")</f>
        <v>ร้านเพชรมงคลมาร์ท</v>
      </c>
      <c r="P3128" s="4">
        <f>IFERROR(__xludf.DUMMYFUNCTION("""COMPUTED_VALUE"""),45017.0)</f>
        <v>45017</v>
      </c>
      <c r="Q3128" s="3" t="str">
        <f>IFERROR(__xludf.DUMMYFUNCTION("""COMPUTED_VALUE"""),"A")</f>
        <v>A</v>
      </c>
      <c r="R3128" s="3" t="str">
        <f>IFERROR(__xludf.DUMMYFUNCTION("""COMPUTED_VALUE"""),"Small Format")</f>
        <v>Small Format</v>
      </c>
      <c r="S3128" s="3" t="str">
        <f>IFERROR(__xludf.DUMMYFUNCTION("""COMPUTED_VALUE"""),"Donjai")</f>
        <v>Donjai</v>
      </c>
      <c r="T3128" s="3" t="str">
        <f>IFERROR(__xludf.DUMMYFUNCTION("""COMPUTED_VALUE"""),"04 K.Somboon P.")</f>
        <v>04 K.Somboon P.</v>
      </c>
      <c r="U3128" s="3" t="str">
        <f>IFERROR(__xludf.DUMMYFUNCTION("""COMPUTED_VALUE"""),"04 K.Somboon P.")</f>
        <v>04 K.Somboon P.</v>
      </c>
      <c r="V3128" s="3" t="str">
        <f>IFERROR(__xludf.DUMMYFUNCTION("""COMPUTED_VALUE"""),"N")</f>
        <v>N</v>
      </c>
      <c r="W3128" s="3"/>
      <c r="X3128" s="3" t="str">
        <f>IFERROR(__xludf.DUMMYFUNCTION("""COMPUTED_VALUE"""),"139/1 ต. ห้วยแถลง อ.ห้วยแถลง จ.นครราชสีมา")</f>
        <v>139/1 ต. ห้วยแถลง อ.ห้วยแถลง จ.นครราชสีมา</v>
      </c>
      <c r="Y3128" s="3"/>
      <c r="Z3128" s="3">
        <f>IFERROR(__xludf.DUMMYFUNCTION("""COMPUTED_VALUE"""),0.0)</f>
        <v>0</v>
      </c>
      <c r="AA3128" s="3">
        <f>IFERROR(__xludf.DUMMYFUNCTION("""COMPUTED_VALUE"""),0.0)</f>
        <v>0</v>
      </c>
      <c r="AB3128" s="3" t="str">
        <f>IFERROR(__xludf.DUMMYFUNCTION("""COMPUTED_VALUE"""),"นครราชสีมา")</f>
        <v>นครราชสีมา</v>
      </c>
      <c r="AC3128" s="3">
        <f>IFERROR(__xludf.DUMMYFUNCTION("""COMPUTED_VALUE"""),0.0)</f>
        <v>0</v>
      </c>
      <c r="AD3128" s="3"/>
      <c r="AE3128" s="3"/>
      <c r="AF3128" s="3" t="str">
        <f>IFERROR(__xludf.DUMMYFUNCTION("""COMPUTED_VALUE"""),"ร้านเพชรมงคลมาร์ท-84157")</f>
        <v>ร้านเพชรมงคลมาร์ท-84157</v>
      </c>
      <c r="AG3128" s="3" t="str">
        <f>IFERROR(__xludf.DUMMYFUNCTION("""COMPUTED_VALUE"""),"ตะวันออกเฉียงเหนือ")</f>
        <v>ตะวันออกเฉียงเหนือ</v>
      </c>
      <c r="AH3128" s="3" t="str">
        <f>IFERROR(__xludf.DUMMYFUNCTION("""COMPUTED_VALUE"""),"#N/A")</f>
        <v>#N/A</v>
      </c>
      <c r="AI3128" s="3" t="str">
        <f>IFERROR(__xludf.DUMMYFUNCTION("""COMPUTED_VALUE"""),"Out of warranty")</f>
        <v>Out of warranty</v>
      </c>
      <c r="AJ3128" s="3">
        <f>IFERROR(__xludf.DUMMYFUNCTION("""COMPUTED_VALUE"""),34.0)</f>
        <v>34</v>
      </c>
      <c r="AK3128" s="3"/>
      <c r="AL3128" s="3"/>
    </row>
    <row r="3129" ht="15.75" customHeight="1">
      <c r="A3129" s="1" t="str">
        <f>IFERROR(__xludf.DUMMYFUNCTION("""COMPUTED_VALUE"""),"84159")</f>
        <v>84159</v>
      </c>
      <c r="B3129" s="2">
        <f>IFERROR(__xludf.DUMMYFUNCTION("""COMPUTED_VALUE"""),84159.0)</f>
        <v>84159</v>
      </c>
      <c r="C3129" s="3" t="str">
        <f>IFERROR(__xludf.DUMMYFUNCTION("""COMPUTED_VALUE"""),"ร้านโดนใจอ่าวปอ")</f>
        <v>ร้านโดนใจอ่าวปอ</v>
      </c>
      <c r="D3129" s="3" t="str">
        <f>IFERROR(__xludf.DUMMYFUNCTION("""COMPUTED_VALUE"""),"ร้านโดนใจอ่าวปอ")</f>
        <v>ร้านโดนใจอ่าวปอ</v>
      </c>
      <c r="E3129" s="1" t="str">
        <f>IFERROR(__xludf.DUMMYFUNCTION("""COMPUTED_VALUE"""),"Donjai")</f>
        <v>Donjai</v>
      </c>
      <c r="F3129" s="1" t="str">
        <f>IFERROR(__xludf.DUMMYFUNCTION("""COMPUTED_VALUE"""),"025324")</f>
        <v>025324</v>
      </c>
      <c r="G3129" s="1" t="str">
        <f>IFERROR(__xludf.DUMMYFUNCTION("""COMPUTED_VALUE"""),"นายวิเชฎฐ์ ติรัตนะประคม")</f>
        <v>นายวิเชฎฐ์ ติรัตนะประคม</v>
      </c>
      <c r="H3129" s="1" t="str">
        <f>IFERROR(__xludf.DUMMYFUNCTION("""COMPUTED_VALUE"""),"025324")</f>
        <v>025324</v>
      </c>
      <c r="I3129" s="1" t="str">
        <f>IFERROR(__xludf.DUMMYFUNCTION("""COMPUTED_VALUE"""),"นายวิเชฎฐ์ ติรัตนะประคม")</f>
        <v>นายวิเชฎฐ์ ติรัตนะประคม</v>
      </c>
      <c r="J3129" s="3">
        <f>IFERROR(__xludf.DUMMYFUNCTION("""COMPUTED_VALUE"""),295541.0)</f>
        <v>295541</v>
      </c>
      <c r="K3129" s="3" t="str">
        <f>IFERROR(__xludf.DUMMYFUNCTION("""COMPUTED_VALUE"""),"นายรพิพล ศรีมาตย์")</f>
        <v>นายรพิพล ศรีมาตย์</v>
      </c>
      <c r="L3129" s="1" t="str">
        <f>IFERROR(__xludf.DUMMYFUNCTION("""COMPUTED_VALUE"""),"นายรพิพล ศรีมาตย์")</f>
        <v>นายรพิพล ศรีมาตย์</v>
      </c>
      <c r="M3129" s="1" t="str">
        <f>IFERROR(__xludf.DUMMYFUNCTION("""COMPUTED_VALUE"""),"0613966115")</f>
        <v>0613966115</v>
      </c>
      <c r="N3129" s="3">
        <f>IFERROR(__xludf.DUMMYFUNCTION("""COMPUTED_VALUE"""),84159.0)</f>
        <v>84159</v>
      </c>
      <c r="O3129" s="3" t="str">
        <f>IFERROR(__xludf.DUMMYFUNCTION("""COMPUTED_VALUE"""),"ร้านโดนใจอ่าวปอ")</f>
        <v>ร้านโดนใจอ่าวปอ</v>
      </c>
      <c r="P3129" s="4">
        <f>IFERROR(__xludf.DUMMYFUNCTION("""COMPUTED_VALUE"""),45027.0)</f>
        <v>45027</v>
      </c>
      <c r="Q3129" s="3" t="str">
        <f>IFERROR(__xludf.DUMMYFUNCTION("""COMPUTED_VALUE"""),"A")</f>
        <v>A</v>
      </c>
      <c r="R3129" s="3" t="str">
        <f>IFERROR(__xludf.DUMMYFUNCTION("""COMPUTED_VALUE"""),"Small Format")</f>
        <v>Small Format</v>
      </c>
      <c r="S3129" s="3" t="str">
        <f>IFERROR(__xludf.DUMMYFUNCTION("""COMPUTED_VALUE"""),"Donjai")</f>
        <v>Donjai</v>
      </c>
      <c r="T3129" s="3" t="str">
        <f>IFERROR(__xludf.DUMMYFUNCTION("""COMPUTED_VALUE"""),"14 K.Wichet T.")</f>
        <v>14 K.Wichet T.</v>
      </c>
      <c r="U3129" s="3" t="str">
        <f>IFERROR(__xludf.DUMMYFUNCTION("""COMPUTED_VALUE"""),"14 K.Wichet T.")</f>
        <v>14 K.Wichet T.</v>
      </c>
      <c r="V3129" s="3" t="str">
        <f>IFERROR(__xludf.DUMMYFUNCTION("""COMPUTED_VALUE"""),"N")</f>
        <v>N</v>
      </c>
      <c r="W3129" s="3"/>
      <c r="X3129" s="3" t="str">
        <f>IFERROR(__xludf.DUMMYFUNCTION("""COMPUTED_VALUE"""),"164/12 ม.6 ป่าคลอก ถลาง ภูเก็ต 83110")</f>
        <v>164/12 ม.6 ป่าคลอก ถลาง ภูเก็ต 83110</v>
      </c>
      <c r="Y3129" s="3"/>
      <c r="Z3129" s="3">
        <f>IFERROR(__xludf.DUMMYFUNCTION("""COMPUTED_VALUE"""),0.0)</f>
        <v>0</v>
      </c>
      <c r="AA3129" s="3">
        <f>IFERROR(__xludf.DUMMYFUNCTION("""COMPUTED_VALUE"""),0.0)</f>
        <v>0</v>
      </c>
      <c r="AB3129" s="3" t="str">
        <f>IFERROR(__xludf.DUMMYFUNCTION("""COMPUTED_VALUE"""),"ภูเก็ต")</f>
        <v>ภูเก็ต</v>
      </c>
      <c r="AC3129" s="3">
        <f>IFERROR(__xludf.DUMMYFUNCTION("""COMPUTED_VALUE"""),83110.0)</f>
        <v>83110</v>
      </c>
      <c r="AD3129" s="3"/>
      <c r="AE3129" s="3"/>
      <c r="AF3129" s="3" t="str">
        <f>IFERROR(__xludf.DUMMYFUNCTION("""COMPUTED_VALUE"""),"ร้านโดนใจอ่าวปอ-84159")</f>
        <v>ร้านโดนใจอ่าวปอ-84159</v>
      </c>
      <c r="AG3129" s="3" t="str">
        <f>IFERROR(__xludf.DUMMYFUNCTION("""COMPUTED_VALUE"""),"ใต้")</f>
        <v>ใต้</v>
      </c>
      <c r="AH3129" s="3" t="str">
        <f>IFERROR(__xludf.DUMMYFUNCTION("""COMPUTED_VALUE"""),"#N/A")</f>
        <v>#N/A</v>
      </c>
      <c r="AI3129" s="3" t="str">
        <f>IFERROR(__xludf.DUMMYFUNCTION("""COMPUTED_VALUE"""),"Out of warranty")</f>
        <v>Out of warranty</v>
      </c>
      <c r="AJ3129" s="3">
        <f>IFERROR(__xludf.DUMMYFUNCTION("""COMPUTED_VALUE"""),34.0)</f>
        <v>34</v>
      </c>
      <c r="AK3129" s="3"/>
      <c r="AL3129" s="3"/>
    </row>
    <row r="3130" ht="15.75" customHeight="1">
      <c r="A3130" s="1" t="str">
        <f>IFERROR(__xludf.DUMMYFUNCTION("""COMPUTED_VALUE"""),"84161")</f>
        <v>84161</v>
      </c>
      <c r="B3130" s="2">
        <f>IFERROR(__xludf.DUMMYFUNCTION("""COMPUTED_VALUE"""),84161.0)</f>
        <v>84161</v>
      </c>
      <c r="C3130" s="3" t="str">
        <f>IFERROR(__xludf.DUMMYFUNCTION("""COMPUTED_VALUE"""),"ร้านรุ่งโรจน์ การค้า")</f>
        <v>ร้านรุ่งโรจน์ การค้า</v>
      </c>
      <c r="D3130" s="3" t="str">
        <f>IFERROR(__xludf.DUMMYFUNCTION("""COMPUTED_VALUE"""),"ร้านรุ่งโรจน์ การค้า")</f>
        <v>ร้านรุ่งโรจน์ การค้า</v>
      </c>
      <c r="E3130" s="1" t="str">
        <f>IFERROR(__xludf.DUMMYFUNCTION("""COMPUTED_VALUE"""),"Donjai")</f>
        <v>Donjai</v>
      </c>
      <c r="F3130" s="1" t="str">
        <f>IFERROR(__xludf.DUMMYFUNCTION("""COMPUTED_VALUE"""),"296868")</f>
        <v>296868</v>
      </c>
      <c r="G3130" s="1" t="str">
        <f>IFERROR(__xludf.DUMMYFUNCTION("""COMPUTED_VALUE"""),"นายพีระพงษ์ แก้วดวงดี")</f>
        <v>นายพีระพงษ์ แก้วดวงดี</v>
      </c>
      <c r="H3130" s="1" t="str">
        <f>IFERROR(__xludf.DUMMYFUNCTION("""COMPUTED_VALUE"""),"296868")</f>
        <v>296868</v>
      </c>
      <c r="I3130" s="1" t="str">
        <f>IFERROR(__xludf.DUMMYFUNCTION("""COMPUTED_VALUE"""),"นายพีระพงษ์ แก้วดวงดี")</f>
        <v>นายพีระพงษ์ แก้วดวงดี</v>
      </c>
      <c r="J3130" s="3">
        <f>IFERROR(__xludf.DUMMYFUNCTION("""COMPUTED_VALUE"""),295886.0)</f>
        <v>295886</v>
      </c>
      <c r="K3130" s="3" t="str">
        <f>IFERROR(__xludf.DUMMYFUNCTION("""COMPUTED_VALUE"""),"นายจิระพงษ์ โพธิ์นิล")</f>
        <v>นายจิระพงษ์ โพธิ์นิล</v>
      </c>
      <c r="L3130" s="1" t="str">
        <f>IFERROR(__xludf.DUMMYFUNCTION("""COMPUTED_VALUE"""),"นายจิระพงษ์ โพธิ์นิล")</f>
        <v>นายจิระพงษ์ โพธิ์นิล</v>
      </c>
      <c r="M3130" s="1" t="str">
        <f>IFERROR(__xludf.DUMMYFUNCTION("""COMPUTED_VALUE"""),"0933290754")</f>
        <v>0933290754</v>
      </c>
      <c r="N3130" s="3">
        <f>IFERROR(__xludf.DUMMYFUNCTION("""COMPUTED_VALUE"""),84161.0)</f>
        <v>84161</v>
      </c>
      <c r="O3130" s="3" t="str">
        <f>IFERROR(__xludf.DUMMYFUNCTION("""COMPUTED_VALUE"""),"ร้านรุ่งโรจน์ การค้า")</f>
        <v>ร้านรุ่งโรจน์ การค้า</v>
      </c>
      <c r="P3130" s="4">
        <f>IFERROR(__xludf.DUMMYFUNCTION("""COMPUTED_VALUE"""),45000.0)</f>
        <v>45000</v>
      </c>
      <c r="Q3130" s="3" t="str">
        <f>IFERROR(__xludf.DUMMYFUNCTION("""COMPUTED_VALUE"""),"A")</f>
        <v>A</v>
      </c>
      <c r="R3130" s="3" t="str">
        <f>IFERROR(__xludf.DUMMYFUNCTION("""COMPUTED_VALUE"""),"Small Format")</f>
        <v>Small Format</v>
      </c>
      <c r="S3130" s="3" t="str">
        <f>IFERROR(__xludf.DUMMYFUNCTION("""COMPUTED_VALUE"""),"Donjai")</f>
        <v>Donjai</v>
      </c>
      <c r="T3130" s="3" t="str">
        <f>IFERROR(__xludf.DUMMYFUNCTION("""COMPUTED_VALUE"""),"03 K.Peerapong K.")</f>
        <v>03 K.Peerapong K.</v>
      </c>
      <c r="U3130" s="3" t="str">
        <f>IFERROR(__xludf.DUMMYFUNCTION("""COMPUTED_VALUE"""),"03 K.Peerapong K.")</f>
        <v>03 K.Peerapong K.</v>
      </c>
      <c r="V3130" s="3" t="str">
        <f>IFERROR(__xludf.DUMMYFUNCTION("""COMPUTED_VALUE"""),"N")</f>
        <v>N</v>
      </c>
      <c r="W3130" s="3"/>
      <c r="X3130" s="3" t="str">
        <f>IFERROR(__xludf.DUMMYFUNCTION("""COMPUTED_VALUE"""),"103 คำเตย เมือง นครพนม 48000")</f>
        <v>103 คำเตย เมือง นครพนม 48000</v>
      </c>
      <c r="Y3130" s="3"/>
      <c r="Z3130" s="3">
        <f>IFERROR(__xludf.DUMMYFUNCTION("""COMPUTED_VALUE"""),0.0)</f>
        <v>0</v>
      </c>
      <c r="AA3130" s="3">
        <f>IFERROR(__xludf.DUMMYFUNCTION("""COMPUTED_VALUE"""),0.0)</f>
        <v>0</v>
      </c>
      <c r="AB3130" s="3" t="str">
        <f>IFERROR(__xludf.DUMMYFUNCTION("""COMPUTED_VALUE"""),"นครพนม")</f>
        <v>นครพนม</v>
      </c>
      <c r="AC3130" s="3">
        <f>IFERROR(__xludf.DUMMYFUNCTION("""COMPUTED_VALUE"""),48000.0)</f>
        <v>48000</v>
      </c>
      <c r="AD3130" s="3"/>
      <c r="AE3130" s="3"/>
      <c r="AF3130" s="3" t="str">
        <f>IFERROR(__xludf.DUMMYFUNCTION("""COMPUTED_VALUE"""),"ร้านรุ่งโรจน์ การค้า-84161")</f>
        <v>ร้านรุ่งโรจน์ การค้า-84161</v>
      </c>
      <c r="AG3130" s="3" t="str">
        <f>IFERROR(__xludf.DUMMYFUNCTION("""COMPUTED_VALUE"""),"ตะวันออกเฉียงเหนือ")</f>
        <v>ตะวันออกเฉียงเหนือ</v>
      </c>
      <c r="AH3130" s="3" t="str">
        <f>IFERROR(__xludf.DUMMYFUNCTION("""COMPUTED_VALUE"""),"#N/A")</f>
        <v>#N/A</v>
      </c>
      <c r="AI3130" s="3" t="str">
        <f>IFERROR(__xludf.DUMMYFUNCTION("""COMPUTED_VALUE"""),"Out of warranty")</f>
        <v>Out of warranty</v>
      </c>
      <c r="AJ3130" s="3">
        <f>IFERROR(__xludf.DUMMYFUNCTION("""COMPUTED_VALUE"""),35.0)</f>
        <v>35</v>
      </c>
      <c r="AK3130" s="3"/>
      <c r="AL3130" s="3"/>
    </row>
    <row r="3131" ht="15.75" customHeight="1">
      <c r="A3131" s="1" t="str">
        <f>IFERROR(__xludf.DUMMYFUNCTION("""COMPUTED_VALUE"""),"84162")</f>
        <v>84162</v>
      </c>
      <c r="B3131" s="2">
        <f>IFERROR(__xludf.DUMMYFUNCTION("""COMPUTED_VALUE"""),84162.0)</f>
        <v>84162</v>
      </c>
      <c r="C3131" s="3" t="str">
        <f>IFERROR(__xludf.DUMMYFUNCTION("""COMPUTED_VALUE"""),"ร้าน Day Night supermarket 24 Hrs ( Swaad)")</f>
        <v>ร้าน Day Night supermarket 24 Hrs ( Swaad)</v>
      </c>
      <c r="D3131" s="3" t="str">
        <f>IFERROR(__xludf.DUMMYFUNCTION("""COMPUTED_VALUE"""),"ร้าน Day Night supermarket 24 Hrs ( Swaad)")</f>
        <v>ร้าน Day Night supermarket 24 Hrs ( Swaad)</v>
      </c>
      <c r="E3131" s="1" t="str">
        <f>IFERROR(__xludf.DUMMYFUNCTION("""COMPUTED_VALUE"""),"Donjai")</f>
        <v>Donjai</v>
      </c>
      <c r="F3131" s="1" t="str">
        <f>IFERROR(__xludf.DUMMYFUNCTION("""COMPUTED_VALUE"""),"13461215")</f>
        <v>13461215</v>
      </c>
      <c r="G3131" s="1" t="str">
        <f>IFERROR(__xludf.DUMMYFUNCTION("""COMPUTED_VALUE"""),"นายธีรภัทร สังข์เงิน")</f>
        <v>นายธีรภัทร สังข์เงิน</v>
      </c>
      <c r="H3131" s="1" t="str">
        <f>IFERROR(__xludf.DUMMYFUNCTION("""COMPUTED_VALUE"""),"13461215")</f>
        <v>13461215</v>
      </c>
      <c r="I3131" s="1" t="str">
        <f>IFERROR(__xludf.DUMMYFUNCTION("""COMPUTED_VALUE"""),"นายธีรภัทร สังข์เงิน")</f>
        <v>นายธีรภัทร สังข์เงิน</v>
      </c>
      <c r="J3131" s="3">
        <f>IFERROR(__xludf.DUMMYFUNCTION("""COMPUTED_VALUE"""),295541.0)</f>
        <v>295541</v>
      </c>
      <c r="K3131" s="3" t="str">
        <f>IFERROR(__xludf.DUMMYFUNCTION("""COMPUTED_VALUE"""),"นายรพิพล ศรีมาตย์")</f>
        <v>นายรพิพล ศรีมาตย์</v>
      </c>
      <c r="L3131" s="1" t="str">
        <f>IFERROR(__xludf.DUMMYFUNCTION("""COMPUTED_VALUE"""),"นายรพิพล ศรีมาตย์")</f>
        <v>นายรพิพล ศรีมาตย์</v>
      </c>
      <c r="M3131" s="1" t="str">
        <f>IFERROR(__xludf.DUMMYFUNCTION("""COMPUTED_VALUE"""),"0613966115")</f>
        <v>0613966115</v>
      </c>
      <c r="N3131" s="3">
        <f>IFERROR(__xludf.DUMMYFUNCTION("""COMPUTED_VALUE"""),84162.0)</f>
        <v>84162</v>
      </c>
      <c r="O3131" s="3" t="str">
        <f>IFERROR(__xludf.DUMMYFUNCTION("""COMPUTED_VALUE"""),"ร้าน Day Night supermarket 24 Hrs ( Swaad)")</f>
        <v>ร้าน Day Night supermarket 24 Hrs ( Swaad)</v>
      </c>
      <c r="P3131" s="4">
        <f>IFERROR(__xludf.DUMMYFUNCTION("""COMPUTED_VALUE"""),45017.0)</f>
        <v>45017</v>
      </c>
      <c r="Q3131" s="3" t="str">
        <f>IFERROR(__xludf.DUMMYFUNCTION("""COMPUTED_VALUE"""),"A")</f>
        <v>A</v>
      </c>
      <c r="R3131" s="3" t="str">
        <f>IFERROR(__xludf.DUMMYFUNCTION("""COMPUTED_VALUE"""),"Small Format")</f>
        <v>Small Format</v>
      </c>
      <c r="S3131" s="3" t="str">
        <f>IFERROR(__xludf.DUMMYFUNCTION("""COMPUTED_VALUE"""),"Donjai")</f>
        <v>Donjai</v>
      </c>
      <c r="T3131" s="3" t="str">
        <f>IFERROR(__xludf.DUMMYFUNCTION("""COMPUTED_VALUE"""),"06 K.Teerapat")</f>
        <v>06 K.Teerapat</v>
      </c>
      <c r="U3131" s="3" t="str">
        <f>IFERROR(__xludf.DUMMYFUNCTION("""COMPUTED_VALUE"""),"06 K.Teerapat")</f>
        <v>06 K.Teerapat</v>
      </c>
      <c r="V3131" s="3" t="str">
        <f>IFERROR(__xludf.DUMMYFUNCTION("""COMPUTED_VALUE"""),"N")</f>
        <v>N</v>
      </c>
      <c r="W3131" s="3"/>
      <c r="X3131" s="3" t="str">
        <f>IFERROR(__xludf.DUMMYFUNCTION("""COMPUTED_VALUE"""),"10 หนองปรีอ บางละมุง ชลบุรี 20150")</f>
        <v>10 หนองปรีอ บางละมุง ชลบุรี 20150</v>
      </c>
      <c r="Y3131" s="3"/>
      <c r="Z3131" s="3">
        <f>IFERROR(__xludf.DUMMYFUNCTION("""COMPUTED_VALUE"""),0.0)</f>
        <v>0</v>
      </c>
      <c r="AA3131" s="3">
        <f>IFERROR(__xludf.DUMMYFUNCTION("""COMPUTED_VALUE"""),0.0)</f>
        <v>0</v>
      </c>
      <c r="AB3131" s="3" t="str">
        <f>IFERROR(__xludf.DUMMYFUNCTION("""COMPUTED_VALUE"""),"ชลบุรี")</f>
        <v>ชลบุรี</v>
      </c>
      <c r="AC3131" s="3">
        <f>IFERROR(__xludf.DUMMYFUNCTION("""COMPUTED_VALUE"""),20150.0)</f>
        <v>20150</v>
      </c>
      <c r="AD3131" s="3"/>
      <c r="AE3131" s="3"/>
      <c r="AF3131" s="3" t="str">
        <f>IFERROR(__xludf.DUMMYFUNCTION("""COMPUTED_VALUE"""),"ร้าน Day Night supermarket 24 Hrs ( Swaad)-84162")</f>
        <v>ร้าน Day Night supermarket 24 Hrs ( Swaad)-84162</v>
      </c>
      <c r="AG3131" s="3" t="str">
        <f>IFERROR(__xludf.DUMMYFUNCTION("""COMPUTED_VALUE"""),"ตะวันออก")</f>
        <v>ตะวันออก</v>
      </c>
      <c r="AH3131" s="3" t="str">
        <f>IFERROR(__xludf.DUMMYFUNCTION("""COMPUTED_VALUE"""),"#N/A")</f>
        <v>#N/A</v>
      </c>
      <c r="AI3131" s="3" t="str">
        <f>IFERROR(__xludf.DUMMYFUNCTION("""COMPUTED_VALUE"""),"Out of warranty")</f>
        <v>Out of warranty</v>
      </c>
      <c r="AJ3131" s="3">
        <f>IFERROR(__xludf.DUMMYFUNCTION("""COMPUTED_VALUE"""),34.0)</f>
        <v>34</v>
      </c>
      <c r="AK3131" s="3"/>
      <c r="AL3131" s="3"/>
    </row>
    <row r="3132" ht="15.75" customHeight="1">
      <c r="A3132" s="1" t="str">
        <f>IFERROR(__xludf.DUMMYFUNCTION("""COMPUTED_VALUE"""),"84163")</f>
        <v>84163</v>
      </c>
      <c r="B3132" s="2">
        <f>IFERROR(__xludf.DUMMYFUNCTION("""COMPUTED_VALUE"""),84163.0)</f>
        <v>84163</v>
      </c>
      <c r="C3132" s="3" t="str">
        <f>IFERROR(__xludf.DUMMYFUNCTION("""COMPUTED_VALUE"""),"ร้านนายแคต")</f>
        <v>ร้านนายแคต</v>
      </c>
      <c r="D3132" s="3" t="str">
        <f>IFERROR(__xludf.DUMMYFUNCTION("""COMPUTED_VALUE"""),"ร้านนายแคต")</f>
        <v>ร้านนายแคต</v>
      </c>
      <c r="E3132" s="1" t="str">
        <f>IFERROR(__xludf.DUMMYFUNCTION("""COMPUTED_VALUE"""),"Donjai")</f>
        <v>Donjai</v>
      </c>
      <c r="F3132" s="1" t="str">
        <f>IFERROR(__xludf.DUMMYFUNCTION("""COMPUTED_VALUE"""),"296868")</f>
        <v>296868</v>
      </c>
      <c r="G3132" s="1" t="str">
        <f>IFERROR(__xludf.DUMMYFUNCTION("""COMPUTED_VALUE"""),"นายพีระพงษ์ แก้วดวงดี")</f>
        <v>นายพีระพงษ์ แก้วดวงดี</v>
      </c>
      <c r="H3132" s="1" t="str">
        <f>IFERROR(__xludf.DUMMYFUNCTION("""COMPUTED_VALUE"""),"296868")</f>
        <v>296868</v>
      </c>
      <c r="I3132" s="1" t="str">
        <f>IFERROR(__xludf.DUMMYFUNCTION("""COMPUTED_VALUE"""),"นายพีระพงษ์ แก้วดวงดี")</f>
        <v>นายพีระพงษ์ แก้วดวงดี</v>
      </c>
      <c r="J3132" s="3">
        <f>IFERROR(__xludf.DUMMYFUNCTION("""COMPUTED_VALUE"""),295886.0)</f>
        <v>295886</v>
      </c>
      <c r="K3132" s="3" t="str">
        <f>IFERROR(__xludf.DUMMYFUNCTION("""COMPUTED_VALUE"""),"นายจิระพงษ์ โพธิ์นิล")</f>
        <v>นายจิระพงษ์ โพธิ์นิล</v>
      </c>
      <c r="L3132" s="1" t="str">
        <f>IFERROR(__xludf.DUMMYFUNCTION("""COMPUTED_VALUE"""),"นายจิระพงษ์ โพธิ์นิล")</f>
        <v>นายจิระพงษ์ โพธิ์นิล</v>
      </c>
      <c r="M3132" s="1" t="str">
        <f>IFERROR(__xludf.DUMMYFUNCTION("""COMPUTED_VALUE"""),"0933290754")</f>
        <v>0933290754</v>
      </c>
      <c r="N3132" s="3">
        <f>IFERROR(__xludf.DUMMYFUNCTION("""COMPUTED_VALUE"""),84163.0)</f>
        <v>84163</v>
      </c>
      <c r="O3132" s="3" t="str">
        <f>IFERROR(__xludf.DUMMYFUNCTION("""COMPUTED_VALUE"""),"ร้านนายแคต")</f>
        <v>ร้านนายแคต</v>
      </c>
      <c r="P3132" s="4">
        <f>IFERROR(__xludf.DUMMYFUNCTION("""COMPUTED_VALUE"""),45002.0)</f>
        <v>45002</v>
      </c>
      <c r="Q3132" s="3" t="str">
        <f>IFERROR(__xludf.DUMMYFUNCTION("""COMPUTED_VALUE"""),"I")</f>
        <v>I</v>
      </c>
      <c r="R3132" s="3" t="str">
        <f>IFERROR(__xludf.DUMMYFUNCTION("""COMPUTED_VALUE"""),"Small Format")</f>
        <v>Small Format</v>
      </c>
      <c r="S3132" s="3" t="str">
        <f>IFERROR(__xludf.DUMMYFUNCTION("""COMPUTED_VALUE"""),"Donjai")</f>
        <v>Donjai</v>
      </c>
      <c r="T3132" s="3" t="str">
        <f>IFERROR(__xludf.DUMMYFUNCTION("""COMPUTED_VALUE"""),"03 K.Peerapong K.")</f>
        <v>03 K.Peerapong K.</v>
      </c>
      <c r="U3132" s="3" t="str">
        <f>IFERROR(__xludf.DUMMYFUNCTION("""COMPUTED_VALUE"""),"03 K.Peerapong K.")</f>
        <v>03 K.Peerapong K.</v>
      </c>
      <c r="V3132" s="3" t="str">
        <f>IFERROR(__xludf.DUMMYFUNCTION("""COMPUTED_VALUE"""),"N")</f>
        <v>N</v>
      </c>
      <c r="W3132" s="3"/>
      <c r="X3132" s="3" t="str">
        <f>IFERROR(__xludf.DUMMYFUNCTION("""COMPUTED_VALUE"""),"59 หมู่15 จุมจัง กุฉินารายน์ กาฬสินธุ์ 46110")</f>
        <v>59 หมู่15 จุมจัง กุฉินารายน์ กาฬสินธุ์ 46110</v>
      </c>
      <c r="Y3132" s="3"/>
      <c r="Z3132" s="3">
        <f>IFERROR(__xludf.DUMMYFUNCTION("""COMPUTED_VALUE"""),0.0)</f>
        <v>0</v>
      </c>
      <c r="AA3132" s="3">
        <f>IFERROR(__xludf.DUMMYFUNCTION("""COMPUTED_VALUE"""),0.0)</f>
        <v>0</v>
      </c>
      <c r="AB3132" s="3" t="str">
        <f>IFERROR(__xludf.DUMMYFUNCTION("""COMPUTED_VALUE"""),"กาฬสินธุ์")</f>
        <v>กาฬสินธุ์</v>
      </c>
      <c r="AC3132" s="3">
        <f>IFERROR(__xludf.DUMMYFUNCTION("""COMPUTED_VALUE"""),46110.0)</f>
        <v>46110</v>
      </c>
      <c r="AD3132" s="3"/>
      <c r="AE3132" s="3"/>
      <c r="AF3132" s="3" t="str">
        <f>IFERROR(__xludf.DUMMYFUNCTION("""COMPUTED_VALUE"""),"ร้านนายแคต-84163")</f>
        <v>ร้านนายแคต-84163</v>
      </c>
      <c r="AG3132" s="3" t="str">
        <f>IFERROR(__xludf.DUMMYFUNCTION("""COMPUTED_VALUE"""),"ตะวันออกเฉียงเหนือ")</f>
        <v>ตะวันออกเฉียงเหนือ</v>
      </c>
      <c r="AH3132" s="3" t="str">
        <f>IFERROR(__xludf.DUMMYFUNCTION("""COMPUTED_VALUE"""),"#N/A")</f>
        <v>#N/A</v>
      </c>
      <c r="AI3132" s="3" t="str">
        <f>IFERROR(__xludf.DUMMYFUNCTION("""COMPUTED_VALUE"""),"Out of warranty")</f>
        <v>Out of warranty</v>
      </c>
      <c r="AJ3132" s="3">
        <f>IFERROR(__xludf.DUMMYFUNCTION("""COMPUTED_VALUE"""),35.0)</f>
        <v>35</v>
      </c>
      <c r="AK3132" s="3"/>
      <c r="AL3132" s="3"/>
    </row>
    <row r="3133" ht="15.75" customHeight="1">
      <c r="A3133" s="1" t="str">
        <f>IFERROR(__xludf.DUMMYFUNCTION("""COMPUTED_VALUE"""),"84164")</f>
        <v>84164</v>
      </c>
      <c r="B3133" s="2">
        <f>IFERROR(__xludf.DUMMYFUNCTION("""COMPUTED_VALUE"""),84164.0)</f>
        <v>84164</v>
      </c>
      <c r="C3133" s="3" t="str">
        <f>IFERROR(__xludf.DUMMYFUNCTION("""COMPUTED_VALUE"""),"ร้านมานพ")</f>
        <v>ร้านมานพ</v>
      </c>
      <c r="D3133" s="3" t="str">
        <f>IFERROR(__xludf.DUMMYFUNCTION("""COMPUTED_VALUE"""),"ร้านมานพ")</f>
        <v>ร้านมานพ</v>
      </c>
      <c r="E3133" s="1" t="str">
        <f>IFERROR(__xludf.DUMMYFUNCTION("""COMPUTED_VALUE"""),"Donjai")</f>
        <v>Donjai</v>
      </c>
      <c r="F3133" s="1" t="str">
        <f>IFERROR(__xludf.DUMMYFUNCTION("""COMPUTED_VALUE"""),"296942")</f>
        <v>296942</v>
      </c>
      <c r="G3133" s="1" t="str">
        <f>IFERROR(__xludf.DUMMYFUNCTION("""COMPUTED_VALUE"""),"นายปิยะ รักษากิจ")</f>
        <v>นายปิยะ รักษากิจ</v>
      </c>
      <c r="H3133" s="1" t="str">
        <f>IFERROR(__xludf.DUMMYFUNCTION("""COMPUTED_VALUE"""),"296942")</f>
        <v>296942</v>
      </c>
      <c r="I3133" s="1" t="str">
        <f>IFERROR(__xludf.DUMMYFUNCTION("""COMPUTED_VALUE"""),"นายปิยะ รักษากิจ")</f>
        <v>นายปิยะ รักษากิจ</v>
      </c>
      <c r="J3133" s="3">
        <f>IFERROR(__xludf.DUMMYFUNCTION("""COMPUTED_VALUE"""),295541.0)</f>
        <v>295541</v>
      </c>
      <c r="K3133" s="3" t="str">
        <f>IFERROR(__xludf.DUMMYFUNCTION("""COMPUTED_VALUE"""),"นายรพิพล ศรีมาตย์")</f>
        <v>นายรพิพล ศรีมาตย์</v>
      </c>
      <c r="L3133" s="1" t="str">
        <f>IFERROR(__xludf.DUMMYFUNCTION("""COMPUTED_VALUE"""),"นายรพิพล ศรีมาตย์")</f>
        <v>นายรพิพล ศรีมาตย์</v>
      </c>
      <c r="M3133" s="1" t="str">
        <f>IFERROR(__xludf.DUMMYFUNCTION("""COMPUTED_VALUE"""),"0613966115")</f>
        <v>0613966115</v>
      </c>
      <c r="N3133" s="3">
        <f>IFERROR(__xludf.DUMMYFUNCTION("""COMPUTED_VALUE"""),84164.0)</f>
        <v>84164</v>
      </c>
      <c r="O3133" s="3" t="str">
        <f>IFERROR(__xludf.DUMMYFUNCTION("""COMPUTED_VALUE"""),"ร้านมานพ")</f>
        <v>ร้านมานพ</v>
      </c>
      <c r="P3133" s="4">
        <f>IFERROR(__xludf.DUMMYFUNCTION("""COMPUTED_VALUE"""),45010.0)</f>
        <v>45010</v>
      </c>
      <c r="Q3133" s="3" t="str">
        <f>IFERROR(__xludf.DUMMYFUNCTION("""COMPUTED_VALUE"""),"A")</f>
        <v>A</v>
      </c>
      <c r="R3133" s="3" t="str">
        <f>IFERROR(__xludf.DUMMYFUNCTION("""COMPUTED_VALUE"""),"Small Format")</f>
        <v>Small Format</v>
      </c>
      <c r="S3133" s="3" t="str">
        <f>IFERROR(__xludf.DUMMYFUNCTION("""COMPUTED_VALUE"""),"Donjai")</f>
        <v>Donjai</v>
      </c>
      <c r="T3133" s="3" t="str">
        <f>IFERROR(__xludf.DUMMYFUNCTION("""COMPUTED_VALUE"""),"07 K.Piya R.")</f>
        <v>07 K.Piya R.</v>
      </c>
      <c r="U3133" s="3" t="str">
        <f>IFERROR(__xludf.DUMMYFUNCTION("""COMPUTED_VALUE"""),"07 K.Piya R.")</f>
        <v>07 K.Piya R.</v>
      </c>
      <c r="V3133" s="3" t="str">
        <f>IFERROR(__xludf.DUMMYFUNCTION("""COMPUTED_VALUE"""),"N")</f>
        <v>N</v>
      </c>
      <c r="W3133" s="3"/>
      <c r="X3133" s="3" t="str">
        <f>IFERROR(__xludf.DUMMYFUNCTION("""COMPUTED_VALUE"""),"333/9 ม.3 ตำบล ชากพง อำเภอแกลง ระยอง 21110")</f>
        <v>333/9 ม.3 ตำบล ชากพง อำเภอแกลง ระยอง 21110</v>
      </c>
      <c r="Y3133" s="3"/>
      <c r="Z3133" s="3">
        <f>IFERROR(__xludf.DUMMYFUNCTION("""COMPUTED_VALUE"""),0.0)</f>
        <v>0</v>
      </c>
      <c r="AA3133" s="3">
        <f>IFERROR(__xludf.DUMMYFUNCTION("""COMPUTED_VALUE"""),0.0)</f>
        <v>0</v>
      </c>
      <c r="AB3133" s="3" t="str">
        <f>IFERROR(__xludf.DUMMYFUNCTION("""COMPUTED_VALUE"""),"ระยอง")</f>
        <v>ระยอง</v>
      </c>
      <c r="AC3133" s="3">
        <f>IFERROR(__xludf.DUMMYFUNCTION("""COMPUTED_VALUE"""),21110.0)</f>
        <v>21110</v>
      </c>
      <c r="AD3133" s="3"/>
      <c r="AE3133" s="3"/>
      <c r="AF3133" s="3" t="str">
        <f>IFERROR(__xludf.DUMMYFUNCTION("""COMPUTED_VALUE"""),"ร้านมานพ-84164")</f>
        <v>ร้านมานพ-84164</v>
      </c>
      <c r="AG3133" s="3" t="str">
        <f>IFERROR(__xludf.DUMMYFUNCTION("""COMPUTED_VALUE"""),"ตะวันออก")</f>
        <v>ตะวันออก</v>
      </c>
      <c r="AH3133" s="3" t="str">
        <f>IFERROR(__xludf.DUMMYFUNCTION("""COMPUTED_VALUE"""),"#N/A")</f>
        <v>#N/A</v>
      </c>
      <c r="AI3133" s="3" t="str">
        <f>IFERROR(__xludf.DUMMYFUNCTION("""COMPUTED_VALUE"""),"Out of warranty")</f>
        <v>Out of warranty</v>
      </c>
      <c r="AJ3133" s="3">
        <f>IFERROR(__xludf.DUMMYFUNCTION("""COMPUTED_VALUE"""),34.0)</f>
        <v>34</v>
      </c>
      <c r="AK3133" s="3"/>
      <c r="AL3133" s="3"/>
    </row>
    <row r="3134" ht="15.75" customHeight="1">
      <c r="A3134" s="1" t="str">
        <f>IFERROR(__xludf.DUMMYFUNCTION("""COMPUTED_VALUE"""),"84165")</f>
        <v>84165</v>
      </c>
      <c r="B3134" s="2">
        <f>IFERROR(__xludf.DUMMYFUNCTION("""COMPUTED_VALUE"""),84165.0)</f>
        <v>84165</v>
      </c>
      <c r="C3134" s="3" t="str">
        <f>IFERROR(__xludf.DUMMYFUNCTION("""COMPUTED_VALUE"""),"ร้านซันเดย์ซีซ่า")</f>
        <v>ร้านซันเดย์ซีซ่า</v>
      </c>
      <c r="D3134" s="3" t="str">
        <f>IFERROR(__xludf.DUMMYFUNCTION("""COMPUTED_VALUE"""),"ร้านซันเดย์ซีซ่า")</f>
        <v>ร้านซันเดย์ซีซ่า</v>
      </c>
      <c r="E3134" s="1" t="str">
        <f>IFERROR(__xludf.DUMMYFUNCTION("""COMPUTED_VALUE"""),"Donjai")</f>
        <v>Donjai</v>
      </c>
      <c r="F3134" s="1" t="str">
        <f>IFERROR(__xludf.DUMMYFUNCTION("""COMPUTED_VALUE"""),"2454781")</f>
        <v>2454781</v>
      </c>
      <c r="G3134" s="1" t="str">
        <f>IFERROR(__xludf.DUMMYFUNCTION("""COMPUTED_VALUE"""),"นายฌานกฤช นันทะโคต")</f>
        <v>นายฌานกฤช นันทะโคต</v>
      </c>
      <c r="H3134" s="1" t="str">
        <f>IFERROR(__xludf.DUMMYFUNCTION("""COMPUTED_VALUE"""),"2454781")</f>
        <v>2454781</v>
      </c>
      <c r="I3134" s="1" t="str">
        <f>IFERROR(__xludf.DUMMYFUNCTION("""COMPUTED_VALUE"""),"นายฌานกฤช นันทะโคต")</f>
        <v>นายฌานกฤช นันทะโคต</v>
      </c>
      <c r="J3134" s="3">
        <f>IFERROR(__xludf.DUMMYFUNCTION("""COMPUTED_VALUE"""),295886.0)</f>
        <v>295886</v>
      </c>
      <c r="K3134" s="3" t="str">
        <f>IFERROR(__xludf.DUMMYFUNCTION("""COMPUTED_VALUE"""),"นายจิระพงษ์ โพธิ์นิล")</f>
        <v>นายจิระพงษ์ โพธิ์นิล</v>
      </c>
      <c r="L3134" s="1" t="str">
        <f>IFERROR(__xludf.DUMMYFUNCTION("""COMPUTED_VALUE"""),"นายจิระพงษ์ โพธิ์นิล")</f>
        <v>นายจิระพงษ์ โพธิ์นิล</v>
      </c>
      <c r="M3134" s="1" t="str">
        <f>IFERROR(__xludf.DUMMYFUNCTION("""COMPUTED_VALUE"""),"0933290754")</f>
        <v>0933290754</v>
      </c>
      <c r="N3134" s="3">
        <f>IFERROR(__xludf.DUMMYFUNCTION("""COMPUTED_VALUE"""),84165.0)</f>
        <v>84165</v>
      </c>
      <c r="O3134" s="3" t="str">
        <f>IFERROR(__xludf.DUMMYFUNCTION("""COMPUTED_VALUE"""),"ร้านซันเดย์ซีซ่า")</f>
        <v>ร้านซันเดย์ซีซ่า</v>
      </c>
      <c r="P3134" s="4">
        <f>IFERROR(__xludf.DUMMYFUNCTION("""COMPUTED_VALUE"""),45017.0)</f>
        <v>45017</v>
      </c>
      <c r="Q3134" s="3" t="str">
        <f>IFERROR(__xludf.DUMMYFUNCTION("""COMPUTED_VALUE"""),"A")</f>
        <v>A</v>
      </c>
      <c r="R3134" s="3" t="str">
        <f>IFERROR(__xludf.DUMMYFUNCTION("""COMPUTED_VALUE"""),"Small Format")</f>
        <v>Small Format</v>
      </c>
      <c r="S3134" s="3" t="str">
        <f>IFERROR(__xludf.DUMMYFUNCTION("""COMPUTED_VALUE"""),"Donjai")</f>
        <v>Donjai</v>
      </c>
      <c r="T3134" s="3" t="str">
        <f>IFERROR(__xludf.DUMMYFUNCTION("""COMPUTED_VALUE"""),"05 K.Chanakrit N.")</f>
        <v>05 K.Chanakrit N.</v>
      </c>
      <c r="U3134" s="3" t="str">
        <f>IFERROR(__xludf.DUMMYFUNCTION("""COMPUTED_VALUE"""),"05 K.Chanakrit N.")</f>
        <v>05 K.Chanakrit N.</v>
      </c>
      <c r="V3134" s="3" t="str">
        <f>IFERROR(__xludf.DUMMYFUNCTION("""COMPUTED_VALUE"""),"N")</f>
        <v>N</v>
      </c>
      <c r="W3134" s="3"/>
      <c r="X3134" s="3" t="str">
        <f>IFERROR(__xludf.DUMMYFUNCTION("""COMPUTED_VALUE"""),"192 หมู่ 1 หนองไฮ เสนางคนิคม อำนาจเจริญ 37290")</f>
        <v>192 หมู่ 1 หนองไฮ เสนางคนิคม อำนาจเจริญ 37290</v>
      </c>
      <c r="Y3134" s="3"/>
      <c r="Z3134" s="3">
        <f>IFERROR(__xludf.DUMMYFUNCTION("""COMPUTED_VALUE"""),0.0)</f>
        <v>0</v>
      </c>
      <c r="AA3134" s="3">
        <f>IFERROR(__xludf.DUMMYFUNCTION("""COMPUTED_VALUE"""),0.0)</f>
        <v>0</v>
      </c>
      <c r="AB3134" s="3" t="str">
        <f>IFERROR(__xludf.DUMMYFUNCTION("""COMPUTED_VALUE"""),"อำนาจเจริญ")</f>
        <v>อำนาจเจริญ</v>
      </c>
      <c r="AC3134" s="3">
        <f>IFERROR(__xludf.DUMMYFUNCTION("""COMPUTED_VALUE"""),37290.0)</f>
        <v>37290</v>
      </c>
      <c r="AD3134" s="3"/>
      <c r="AE3134" s="3"/>
      <c r="AF3134" s="3" t="str">
        <f>IFERROR(__xludf.DUMMYFUNCTION("""COMPUTED_VALUE"""),"ร้านซันเดย์ซีซ่า-84165")</f>
        <v>ร้านซันเดย์ซีซ่า-84165</v>
      </c>
      <c r="AG3134" s="3" t="str">
        <f>IFERROR(__xludf.DUMMYFUNCTION("""COMPUTED_VALUE"""),"ตะวันออกเฉียงเหนือ")</f>
        <v>ตะวันออกเฉียงเหนือ</v>
      </c>
      <c r="AH3134" s="3" t="str">
        <f>IFERROR(__xludf.DUMMYFUNCTION("""COMPUTED_VALUE"""),"#N/A")</f>
        <v>#N/A</v>
      </c>
      <c r="AI3134" s="3" t="str">
        <f>IFERROR(__xludf.DUMMYFUNCTION("""COMPUTED_VALUE"""),"Out of warranty")</f>
        <v>Out of warranty</v>
      </c>
      <c r="AJ3134" s="3">
        <f>IFERROR(__xludf.DUMMYFUNCTION("""COMPUTED_VALUE"""),34.0)</f>
        <v>34</v>
      </c>
      <c r="AK3134" s="3"/>
      <c r="AL3134" s="3"/>
    </row>
    <row r="3135" ht="15.75" customHeight="1">
      <c r="A3135" s="1" t="str">
        <f>IFERROR(__xludf.DUMMYFUNCTION("""COMPUTED_VALUE"""),"84166")</f>
        <v>84166</v>
      </c>
      <c r="B3135" s="2">
        <f>IFERROR(__xludf.DUMMYFUNCTION("""COMPUTED_VALUE"""),84166.0)</f>
        <v>84166</v>
      </c>
      <c r="C3135" s="3" t="str">
        <f>IFERROR(__xludf.DUMMYFUNCTION("""COMPUTED_VALUE"""),"ร้านน้องจีจี้")</f>
        <v>ร้านน้องจีจี้</v>
      </c>
      <c r="D3135" s="3" t="str">
        <f>IFERROR(__xludf.DUMMYFUNCTION("""COMPUTED_VALUE"""),"ร้านน้องจีจี้")</f>
        <v>ร้านน้องจีจี้</v>
      </c>
      <c r="E3135" s="1" t="str">
        <f>IFERROR(__xludf.DUMMYFUNCTION("""COMPUTED_VALUE"""),"Donjai")</f>
        <v>Donjai</v>
      </c>
      <c r="F3135" s="1" t="str">
        <f>IFERROR(__xludf.DUMMYFUNCTION("""COMPUTED_VALUE"""),"296868")</f>
        <v>296868</v>
      </c>
      <c r="G3135" s="1" t="str">
        <f>IFERROR(__xludf.DUMMYFUNCTION("""COMPUTED_VALUE"""),"นายพีระพงษ์ แก้วดวงดี")</f>
        <v>นายพีระพงษ์ แก้วดวงดี</v>
      </c>
      <c r="H3135" s="1" t="str">
        <f>IFERROR(__xludf.DUMMYFUNCTION("""COMPUTED_VALUE"""),"296868")</f>
        <v>296868</v>
      </c>
      <c r="I3135" s="1" t="str">
        <f>IFERROR(__xludf.DUMMYFUNCTION("""COMPUTED_VALUE"""),"นายพีระพงษ์ แก้วดวงดี")</f>
        <v>นายพีระพงษ์ แก้วดวงดี</v>
      </c>
      <c r="J3135" s="3">
        <f>IFERROR(__xludf.DUMMYFUNCTION("""COMPUTED_VALUE"""),295886.0)</f>
        <v>295886</v>
      </c>
      <c r="K3135" s="3" t="str">
        <f>IFERROR(__xludf.DUMMYFUNCTION("""COMPUTED_VALUE"""),"นายจิระพงษ์ โพธิ์นิล")</f>
        <v>นายจิระพงษ์ โพธิ์นิล</v>
      </c>
      <c r="L3135" s="1" t="str">
        <f>IFERROR(__xludf.DUMMYFUNCTION("""COMPUTED_VALUE"""),"นายจิระพงษ์ โพธิ์นิล")</f>
        <v>นายจิระพงษ์ โพธิ์นิล</v>
      </c>
      <c r="M3135" s="1" t="str">
        <f>IFERROR(__xludf.DUMMYFUNCTION("""COMPUTED_VALUE"""),"0933290754")</f>
        <v>0933290754</v>
      </c>
      <c r="N3135" s="3">
        <f>IFERROR(__xludf.DUMMYFUNCTION("""COMPUTED_VALUE"""),84166.0)</f>
        <v>84166</v>
      </c>
      <c r="O3135" s="3" t="str">
        <f>IFERROR(__xludf.DUMMYFUNCTION("""COMPUTED_VALUE"""),"ร้านน้องจีจี้")</f>
        <v>ร้านน้องจีจี้</v>
      </c>
      <c r="P3135" s="4">
        <f>IFERROR(__xludf.DUMMYFUNCTION("""COMPUTED_VALUE"""),45017.0)</f>
        <v>45017</v>
      </c>
      <c r="Q3135" s="3" t="str">
        <f>IFERROR(__xludf.DUMMYFUNCTION("""COMPUTED_VALUE"""),"I")</f>
        <v>I</v>
      </c>
      <c r="R3135" s="3" t="str">
        <f>IFERROR(__xludf.DUMMYFUNCTION("""COMPUTED_VALUE"""),"Small Format")</f>
        <v>Small Format</v>
      </c>
      <c r="S3135" s="3" t="str">
        <f>IFERROR(__xludf.DUMMYFUNCTION("""COMPUTED_VALUE"""),"Donjai")</f>
        <v>Donjai</v>
      </c>
      <c r="T3135" s="3" t="str">
        <f>IFERROR(__xludf.DUMMYFUNCTION("""COMPUTED_VALUE"""),"03 K.Peerapong K.")</f>
        <v>03 K.Peerapong K.</v>
      </c>
      <c r="U3135" s="3" t="str">
        <f>IFERROR(__xludf.DUMMYFUNCTION("""COMPUTED_VALUE"""),"03 K.Peerapong K.")</f>
        <v>03 K.Peerapong K.</v>
      </c>
      <c r="V3135" s="3" t="str">
        <f>IFERROR(__xludf.DUMMYFUNCTION("""COMPUTED_VALUE"""),"N")</f>
        <v>N</v>
      </c>
      <c r="W3135" s="3"/>
      <c r="X3135" s="3" t="str">
        <f>IFERROR(__xludf.DUMMYFUNCTION("""COMPUTED_VALUE"""),"143 หมู่10 หนองหัวช้าง พรเจริญ บึงกาฬ 38220")</f>
        <v>143 หมู่10 หนองหัวช้าง พรเจริญ บึงกาฬ 38220</v>
      </c>
      <c r="Y3135" s="3"/>
      <c r="Z3135" s="3">
        <f>IFERROR(__xludf.DUMMYFUNCTION("""COMPUTED_VALUE"""),0.0)</f>
        <v>0</v>
      </c>
      <c r="AA3135" s="3">
        <f>IFERROR(__xludf.DUMMYFUNCTION("""COMPUTED_VALUE"""),0.0)</f>
        <v>0</v>
      </c>
      <c r="AB3135" s="3" t="str">
        <f>IFERROR(__xludf.DUMMYFUNCTION("""COMPUTED_VALUE"""),"บึงกาฬ")</f>
        <v>บึงกาฬ</v>
      </c>
      <c r="AC3135" s="3">
        <f>IFERROR(__xludf.DUMMYFUNCTION("""COMPUTED_VALUE"""),38220.0)</f>
        <v>38220</v>
      </c>
      <c r="AD3135" s="3"/>
      <c r="AE3135" s="3"/>
      <c r="AF3135" s="3" t="str">
        <f>IFERROR(__xludf.DUMMYFUNCTION("""COMPUTED_VALUE"""),"ร้านน้องจีจี้-84166")</f>
        <v>ร้านน้องจีจี้-84166</v>
      </c>
      <c r="AG3135" s="3" t="str">
        <f>IFERROR(__xludf.DUMMYFUNCTION("""COMPUTED_VALUE"""),"ตะวันออกเฉียงเหนือ")</f>
        <v>ตะวันออกเฉียงเหนือ</v>
      </c>
      <c r="AH3135" s="3" t="str">
        <f>IFERROR(__xludf.DUMMYFUNCTION("""COMPUTED_VALUE"""),"#N/A")</f>
        <v>#N/A</v>
      </c>
      <c r="AI3135" s="3" t="str">
        <f>IFERROR(__xludf.DUMMYFUNCTION("""COMPUTED_VALUE"""),"Out of warranty")</f>
        <v>Out of warranty</v>
      </c>
      <c r="AJ3135" s="3">
        <f>IFERROR(__xludf.DUMMYFUNCTION("""COMPUTED_VALUE"""),34.0)</f>
        <v>34</v>
      </c>
      <c r="AK3135" s="3"/>
      <c r="AL3135" s="3"/>
    </row>
    <row r="3136" ht="15.75" customHeight="1">
      <c r="A3136" s="1" t="str">
        <f>IFERROR(__xludf.DUMMYFUNCTION("""COMPUTED_VALUE"""),"84167")</f>
        <v>84167</v>
      </c>
      <c r="B3136" s="2">
        <f>IFERROR(__xludf.DUMMYFUNCTION("""COMPUTED_VALUE"""),84167.0)</f>
        <v>84167</v>
      </c>
      <c r="C3136" s="3" t="str">
        <f>IFERROR(__xludf.DUMMYFUNCTION("""COMPUTED_VALUE"""),"ร้านคุณนภา")</f>
        <v>ร้านคุณนภา</v>
      </c>
      <c r="D3136" s="3" t="str">
        <f>IFERROR(__xludf.DUMMYFUNCTION("""COMPUTED_VALUE"""),"ร้านคุณนภา")</f>
        <v>ร้านคุณนภา</v>
      </c>
      <c r="E3136" s="1" t="str">
        <f>IFERROR(__xludf.DUMMYFUNCTION("""COMPUTED_VALUE"""),"Donjai")</f>
        <v>Donjai</v>
      </c>
      <c r="F3136" s="1" t="str">
        <f>IFERROR(__xludf.DUMMYFUNCTION("""COMPUTED_VALUE"""),"296608")</f>
        <v>296608</v>
      </c>
      <c r="G3136" s="1" t="str">
        <f>IFERROR(__xludf.DUMMYFUNCTION("""COMPUTED_VALUE"""),"นายภาคภูมิ เพ็ชรนิล")</f>
        <v>นายภาคภูมิ เพ็ชรนิล</v>
      </c>
      <c r="H3136" s="1" t="str">
        <f>IFERROR(__xludf.DUMMYFUNCTION("""COMPUTED_VALUE"""),"296608")</f>
        <v>296608</v>
      </c>
      <c r="I3136" s="1" t="str">
        <f>IFERROR(__xludf.DUMMYFUNCTION("""COMPUTED_VALUE"""),"นายภาคภูมิ เพ็ชรนิล")</f>
        <v>นายภาคภูมิ เพ็ชรนิล</v>
      </c>
      <c r="J3136" s="3">
        <f>IFERROR(__xludf.DUMMYFUNCTION("""COMPUTED_VALUE"""),228031.0)</f>
        <v>228031</v>
      </c>
      <c r="K3136" s="3" t="str">
        <f>IFERROR(__xludf.DUMMYFUNCTION("""COMPUTED_VALUE"""),"นายธนพงษ์ วันหมัด")</f>
        <v>นายธนพงษ์ วันหมัด</v>
      </c>
      <c r="L3136" s="1" t="str">
        <f>IFERROR(__xludf.DUMMYFUNCTION("""COMPUTED_VALUE"""),"นายธนพงษ์ วันหมัด")</f>
        <v>นายธนพงษ์ วันหมัด</v>
      </c>
      <c r="M3136" s="1" t="str">
        <f>IFERROR(__xludf.DUMMYFUNCTION("""COMPUTED_VALUE"""),"0813716913")</f>
        <v>0813716913</v>
      </c>
      <c r="N3136" s="3">
        <f>IFERROR(__xludf.DUMMYFUNCTION("""COMPUTED_VALUE"""),84167.0)</f>
        <v>84167</v>
      </c>
      <c r="O3136" s="3" t="str">
        <f>IFERROR(__xludf.DUMMYFUNCTION("""COMPUTED_VALUE"""),"ร้านคุณนภา")</f>
        <v>ร้านคุณนภา</v>
      </c>
      <c r="P3136" s="4">
        <f>IFERROR(__xludf.DUMMYFUNCTION("""COMPUTED_VALUE"""),45019.0)</f>
        <v>45019</v>
      </c>
      <c r="Q3136" s="3" t="str">
        <f>IFERROR(__xludf.DUMMYFUNCTION("""COMPUTED_VALUE"""),"A")</f>
        <v>A</v>
      </c>
      <c r="R3136" s="3" t="str">
        <f>IFERROR(__xludf.DUMMYFUNCTION("""COMPUTED_VALUE"""),"Small Format")</f>
        <v>Small Format</v>
      </c>
      <c r="S3136" s="3" t="str">
        <f>IFERROR(__xludf.DUMMYFUNCTION("""COMPUTED_VALUE"""),"Donjai")</f>
        <v>Donjai</v>
      </c>
      <c r="T3136" s="3" t="str">
        <f>IFERROR(__xludf.DUMMYFUNCTION("""COMPUTED_VALUE"""),"10 K.Phakphoom P.")</f>
        <v>10 K.Phakphoom P.</v>
      </c>
      <c r="U3136" s="3" t="str">
        <f>IFERROR(__xludf.DUMMYFUNCTION("""COMPUTED_VALUE"""),"10 K.Phakphoom P.")</f>
        <v>10 K.Phakphoom P.</v>
      </c>
      <c r="V3136" s="3" t="str">
        <f>IFERROR(__xludf.DUMMYFUNCTION("""COMPUTED_VALUE"""),"N")</f>
        <v>N</v>
      </c>
      <c r="W3136" s="3"/>
      <c r="X3136" s="3" t="str">
        <f>IFERROR(__xludf.DUMMYFUNCTION("""COMPUTED_VALUE"""),"246 ถนนบางบอน1 บางบอน บางบอน กรุงเทพมหานคร 10150")</f>
        <v>246 ถนนบางบอน1 บางบอน บางบอน กรุงเทพมหานคร 10150</v>
      </c>
      <c r="Y3136" s="3"/>
      <c r="Z3136" s="3">
        <f>IFERROR(__xludf.DUMMYFUNCTION("""COMPUTED_VALUE"""),0.0)</f>
        <v>0</v>
      </c>
      <c r="AA3136" s="3">
        <f>IFERROR(__xludf.DUMMYFUNCTION("""COMPUTED_VALUE"""),0.0)</f>
        <v>0</v>
      </c>
      <c r="AB3136" s="3" t="str">
        <f>IFERROR(__xludf.DUMMYFUNCTION("""COMPUTED_VALUE"""),"กรุงเทพมหานคร")</f>
        <v>กรุงเทพมหานคร</v>
      </c>
      <c r="AC3136" s="3">
        <f>IFERROR(__xludf.DUMMYFUNCTION("""COMPUTED_VALUE"""),10150.0)</f>
        <v>10150</v>
      </c>
      <c r="AD3136" s="3"/>
      <c r="AE3136" s="3"/>
      <c r="AF3136" s="3" t="str">
        <f>IFERROR(__xludf.DUMMYFUNCTION("""COMPUTED_VALUE"""),"ร้านคุณนภา-84167")</f>
        <v>ร้านคุณนภา-84167</v>
      </c>
      <c r="AG3136" s="3" t="str">
        <f>IFERROR(__xludf.DUMMYFUNCTION("""COMPUTED_VALUE"""),"กลาง")</f>
        <v>กลาง</v>
      </c>
      <c r="AH3136" s="3" t="str">
        <f>IFERROR(__xludf.DUMMYFUNCTION("""COMPUTED_VALUE"""),"#N/A")</f>
        <v>#N/A</v>
      </c>
      <c r="AI3136" s="3" t="str">
        <f>IFERROR(__xludf.DUMMYFUNCTION("""COMPUTED_VALUE"""),"Out of warranty")</f>
        <v>Out of warranty</v>
      </c>
      <c r="AJ3136" s="3">
        <f>IFERROR(__xludf.DUMMYFUNCTION("""COMPUTED_VALUE"""),34.0)</f>
        <v>34</v>
      </c>
      <c r="AK3136" s="3"/>
      <c r="AL3136" s="3"/>
    </row>
    <row r="3137" ht="15.75" customHeight="1">
      <c r="A3137" s="1" t="str">
        <f>IFERROR(__xludf.DUMMYFUNCTION("""COMPUTED_VALUE"""),"84170")</f>
        <v>84170</v>
      </c>
      <c r="B3137" s="2">
        <f>IFERROR(__xludf.DUMMYFUNCTION("""COMPUTED_VALUE"""),84170.0)</f>
        <v>84170</v>
      </c>
      <c r="C3137" s="3" t="str">
        <f>IFERROR(__xludf.DUMMYFUNCTION("""COMPUTED_VALUE"""),"ร้าน P&amp;N (N&amp;P)")</f>
        <v>ร้าน P&amp;N (N&amp;P)</v>
      </c>
      <c r="D3137" s="3" t="str">
        <f>IFERROR(__xludf.DUMMYFUNCTION("""COMPUTED_VALUE"""),"ร้าน P&amp;N (N&amp;P)")</f>
        <v>ร้าน P&amp;N (N&amp;P)</v>
      </c>
      <c r="E3137" s="1" t="str">
        <f>IFERROR(__xludf.DUMMYFUNCTION("""COMPUTED_VALUE"""),"Donjai")</f>
        <v>Donjai</v>
      </c>
      <c r="F3137" s="1" t="str">
        <f>IFERROR(__xludf.DUMMYFUNCTION("""COMPUTED_VALUE"""),"296868")</f>
        <v>296868</v>
      </c>
      <c r="G3137" s="1" t="str">
        <f>IFERROR(__xludf.DUMMYFUNCTION("""COMPUTED_VALUE"""),"นายพีระพงษ์ แก้วดวงดี")</f>
        <v>นายพีระพงษ์ แก้วดวงดี</v>
      </c>
      <c r="H3137" s="1" t="str">
        <f>IFERROR(__xludf.DUMMYFUNCTION("""COMPUTED_VALUE"""),"296868")</f>
        <v>296868</v>
      </c>
      <c r="I3137" s="1" t="str">
        <f>IFERROR(__xludf.DUMMYFUNCTION("""COMPUTED_VALUE"""),"นายพีระพงษ์ แก้วดวงดี")</f>
        <v>นายพีระพงษ์ แก้วดวงดี</v>
      </c>
      <c r="J3137" s="3">
        <f>IFERROR(__xludf.DUMMYFUNCTION("""COMPUTED_VALUE"""),295886.0)</f>
        <v>295886</v>
      </c>
      <c r="K3137" s="3" t="str">
        <f>IFERROR(__xludf.DUMMYFUNCTION("""COMPUTED_VALUE"""),"นายจิระพงษ์ โพธิ์นิล")</f>
        <v>นายจิระพงษ์ โพธิ์นิล</v>
      </c>
      <c r="L3137" s="1" t="str">
        <f>IFERROR(__xludf.DUMMYFUNCTION("""COMPUTED_VALUE"""),"นายจิระพงษ์ โพธิ์นิล")</f>
        <v>นายจิระพงษ์ โพธิ์นิล</v>
      </c>
      <c r="M3137" s="1" t="str">
        <f>IFERROR(__xludf.DUMMYFUNCTION("""COMPUTED_VALUE"""),"0933290754")</f>
        <v>0933290754</v>
      </c>
      <c r="N3137" s="3">
        <f>IFERROR(__xludf.DUMMYFUNCTION("""COMPUTED_VALUE"""),84170.0)</f>
        <v>84170</v>
      </c>
      <c r="O3137" s="3" t="str">
        <f>IFERROR(__xludf.DUMMYFUNCTION("""COMPUTED_VALUE"""),"ร้าน P&amp;N (N&amp;P)")</f>
        <v>ร้าน P&amp;N (N&amp;P)</v>
      </c>
      <c r="P3137" s="4">
        <f>IFERROR(__xludf.DUMMYFUNCTION("""COMPUTED_VALUE"""),45017.0)</f>
        <v>45017</v>
      </c>
      <c r="Q3137" s="3" t="str">
        <f>IFERROR(__xludf.DUMMYFUNCTION("""COMPUTED_VALUE"""),"I")</f>
        <v>I</v>
      </c>
      <c r="R3137" s="3" t="str">
        <f>IFERROR(__xludf.DUMMYFUNCTION("""COMPUTED_VALUE"""),"Small Format")</f>
        <v>Small Format</v>
      </c>
      <c r="S3137" s="3" t="str">
        <f>IFERROR(__xludf.DUMMYFUNCTION("""COMPUTED_VALUE"""),"Donjai")</f>
        <v>Donjai</v>
      </c>
      <c r="T3137" s="3" t="str">
        <f>IFERROR(__xludf.DUMMYFUNCTION("""COMPUTED_VALUE"""),"03 K.Peerapong K.")</f>
        <v>03 K.Peerapong K.</v>
      </c>
      <c r="U3137" s="3" t="str">
        <f>IFERROR(__xludf.DUMMYFUNCTION("""COMPUTED_VALUE"""),"03 K.Peerapong K.")</f>
        <v>03 K.Peerapong K.</v>
      </c>
      <c r="V3137" s="3" t="str">
        <f>IFERROR(__xludf.DUMMYFUNCTION("""COMPUTED_VALUE"""),"N")</f>
        <v>N</v>
      </c>
      <c r="W3137" s="3"/>
      <c r="X3137" s="3" t="str">
        <f>IFERROR(__xludf.DUMMYFUNCTION("""COMPUTED_VALUE"""),"30 หมู่3 ศรีสำราญ พรเจริญ บึงกาฬ 34180")</f>
        <v>30 หมู่3 ศรีสำราญ พรเจริญ บึงกาฬ 34180</v>
      </c>
      <c r="Y3137" s="3"/>
      <c r="Z3137" s="3">
        <f>IFERROR(__xludf.DUMMYFUNCTION("""COMPUTED_VALUE"""),0.0)</f>
        <v>0</v>
      </c>
      <c r="AA3137" s="3">
        <f>IFERROR(__xludf.DUMMYFUNCTION("""COMPUTED_VALUE"""),0.0)</f>
        <v>0</v>
      </c>
      <c r="AB3137" s="3" t="str">
        <f>IFERROR(__xludf.DUMMYFUNCTION("""COMPUTED_VALUE"""),"บึงกาฬ")</f>
        <v>บึงกาฬ</v>
      </c>
      <c r="AC3137" s="3">
        <f>IFERROR(__xludf.DUMMYFUNCTION("""COMPUTED_VALUE"""),34180.0)</f>
        <v>34180</v>
      </c>
      <c r="AD3137" s="3"/>
      <c r="AE3137" s="3"/>
      <c r="AF3137" s="3" t="str">
        <f>IFERROR(__xludf.DUMMYFUNCTION("""COMPUTED_VALUE"""),"ร้าน P&amp;N (N&amp;P)-84170")</f>
        <v>ร้าน P&amp;N (N&amp;P)-84170</v>
      </c>
      <c r="AG3137" s="3" t="str">
        <f>IFERROR(__xludf.DUMMYFUNCTION("""COMPUTED_VALUE"""),"ตะวันออกเฉียงเหนือ")</f>
        <v>ตะวันออกเฉียงเหนือ</v>
      </c>
      <c r="AH3137" s="3" t="str">
        <f>IFERROR(__xludf.DUMMYFUNCTION("""COMPUTED_VALUE"""),"#N/A")</f>
        <v>#N/A</v>
      </c>
      <c r="AI3137" s="3" t="str">
        <f>IFERROR(__xludf.DUMMYFUNCTION("""COMPUTED_VALUE"""),"Out of warranty")</f>
        <v>Out of warranty</v>
      </c>
      <c r="AJ3137" s="3">
        <f>IFERROR(__xludf.DUMMYFUNCTION("""COMPUTED_VALUE"""),34.0)</f>
        <v>34</v>
      </c>
      <c r="AK3137" s="3"/>
      <c r="AL3137" s="3"/>
    </row>
    <row r="3138" ht="15.75" customHeight="1">
      <c r="A3138" s="1" t="str">
        <f>IFERROR(__xludf.DUMMYFUNCTION("""COMPUTED_VALUE"""),"84178")</f>
        <v>84178</v>
      </c>
      <c r="B3138" s="2">
        <f>IFERROR(__xludf.DUMMYFUNCTION("""COMPUTED_VALUE"""),84178.0)</f>
        <v>84178</v>
      </c>
      <c r="C3138" s="3" t="str">
        <f>IFERROR(__xludf.DUMMYFUNCTION("""COMPUTED_VALUE"""),"ร้านแทน&amp;แนน")</f>
        <v>ร้านแทน&amp;แนน</v>
      </c>
      <c r="D3138" s="3" t="str">
        <f>IFERROR(__xludf.DUMMYFUNCTION("""COMPUTED_VALUE"""),"ร้านแทน&amp;แนน")</f>
        <v>ร้านแทน&amp;แนน</v>
      </c>
      <c r="E3138" s="1" t="str">
        <f>IFERROR(__xludf.DUMMYFUNCTION("""COMPUTED_VALUE"""),"Donjai")</f>
        <v>Donjai</v>
      </c>
      <c r="F3138" s="1" t="str">
        <f>IFERROR(__xludf.DUMMYFUNCTION("""COMPUTED_VALUE"""),"2454781")</f>
        <v>2454781</v>
      </c>
      <c r="G3138" s="1" t="str">
        <f>IFERROR(__xludf.DUMMYFUNCTION("""COMPUTED_VALUE"""),"นายฌานกฤช นันทะโคต")</f>
        <v>นายฌานกฤช นันทะโคต</v>
      </c>
      <c r="H3138" s="1" t="str">
        <f>IFERROR(__xludf.DUMMYFUNCTION("""COMPUTED_VALUE"""),"2454781")</f>
        <v>2454781</v>
      </c>
      <c r="I3138" s="1" t="str">
        <f>IFERROR(__xludf.DUMMYFUNCTION("""COMPUTED_VALUE"""),"นายฌานกฤช นันทะโคต")</f>
        <v>นายฌานกฤช นันทะโคต</v>
      </c>
      <c r="J3138" s="3">
        <f>IFERROR(__xludf.DUMMYFUNCTION("""COMPUTED_VALUE"""),295886.0)</f>
        <v>295886</v>
      </c>
      <c r="K3138" s="3" t="str">
        <f>IFERROR(__xludf.DUMMYFUNCTION("""COMPUTED_VALUE"""),"นายจิระพงษ์ โพธิ์นิล")</f>
        <v>นายจิระพงษ์ โพธิ์นิล</v>
      </c>
      <c r="L3138" s="1" t="str">
        <f>IFERROR(__xludf.DUMMYFUNCTION("""COMPUTED_VALUE"""),"นายจิระพงษ์ โพธิ์นิล")</f>
        <v>นายจิระพงษ์ โพธิ์นิล</v>
      </c>
      <c r="M3138" s="1" t="str">
        <f>IFERROR(__xludf.DUMMYFUNCTION("""COMPUTED_VALUE"""),"0933290754")</f>
        <v>0933290754</v>
      </c>
      <c r="N3138" s="3">
        <f>IFERROR(__xludf.DUMMYFUNCTION("""COMPUTED_VALUE"""),84178.0)</f>
        <v>84178</v>
      </c>
      <c r="O3138" s="3" t="str">
        <f>IFERROR(__xludf.DUMMYFUNCTION("""COMPUTED_VALUE"""),"ร้านแทน&amp;แนน")</f>
        <v>ร้านแทน&amp;แนน</v>
      </c>
      <c r="P3138" s="4">
        <f>IFERROR(__xludf.DUMMYFUNCTION("""COMPUTED_VALUE"""),45027.0)</f>
        <v>45027</v>
      </c>
      <c r="Q3138" s="3" t="str">
        <f>IFERROR(__xludf.DUMMYFUNCTION("""COMPUTED_VALUE"""),"A")</f>
        <v>A</v>
      </c>
      <c r="R3138" s="3" t="str">
        <f>IFERROR(__xludf.DUMMYFUNCTION("""COMPUTED_VALUE"""),"Small Format")</f>
        <v>Small Format</v>
      </c>
      <c r="S3138" s="3" t="str">
        <f>IFERROR(__xludf.DUMMYFUNCTION("""COMPUTED_VALUE"""),"Donjai")</f>
        <v>Donjai</v>
      </c>
      <c r="T3138" s="3" t="str">
        <f>IFERROR(__xludf.DUMMYFUNCTION("""COMPUTED_VALUE"""),"05 K.Chanakrit N.")</f>
        <v>05 K.Chanakrit N.</v>
      </c>
      <c r="U3138" s="3" t="str">
        <f>IFERROR(__xludf.DUMMYFUNCTION("""COMPUTED_VALUE"""),"05 K.Chanakrit N.")</f>
        <v>05 K.Chanakrit N.</v>
      </c>
      <c r="V3138" s="3" t="str">
        <f>IFERROR(__xludf.DUMMYFUNCTION("""COMPUTED_VALUE"""),"N")</f>
        <v>N</v>
      </c>
      <c r="W3138" s="3"/>
      <c r="X3138" s="3" t="str">
        <f>IFERROR(__xludf.DUMMYFUNCTION("""COMPUTED_VALUE"""),"275 หมู่ 8 ต.หนองสิม อ.เขมราช จ.อุบลราชธานี 34170")</f>
        <v>275 หมู่ 8 ต.หนองสิม อ.เขมราช จ.อุบลราชธานี 34170</v>
      </c>
      <c r="Y3138" s="3"/>
      <c r="Z3138" s="3">
        <f>IFERROR(__xludf.DUMMYFUNCTION("""COMPUTED_VALUE"""),0.0)</f>
        <v>0</v>
      </c>
      <c r="AA3138" s="3">
        <f>IFERROR(__xludf.DUMMYFUNCTION("""COMPUTED_VALUE"""),0.0)</f>
        <v>0</v>
      </c>
      <c r="AB3138" s="3" t="str">
        <f>IFERROR(__xludf.DUMMYFUNCTION("""COMPUTED_VALUE"""),"อุบลราชธานี")</f>
        <v>อุบลราชธานี</v>
      </c>
      <c r="AC3138" s="3">
        <f>IFERROR(__xludf.DUMMYFUNCTION("""COMPUTED_VALUE"""),34170.0)</f>
        <v>34170</v>
      </c>
      <c r="AD3138" s="3"/>
      <c r="AE3138" s="3"/>
      <c r="AF3138" s="3" t="str">
        <f>IFERROR(__xludf.DUMMYFUNCTION("""COMPUTED_VALUE"""),"ร้านแทน&amp;แนน-84178")</f>
        <v>ร้านแทน&amp;แนน-84178</v>
      </c>
      <c r="AG3138" s="3" t="str">
        <f>IFERROR(__xludf.DUMMYFUNCTION("""COMPUTED_VALUE"""),"ตะวันออกเฉียงเหนือ")</f>
        <v>ตะวันออกเฉียงเหนือ</v>
      </c>
      <c r="AH3138" s="3" t="str">
        <f>IFERROR(__xludf.DUMMYFUNCTION("""COMPUTED_VALUE"""),"#N/A")</f>
        <v>#N/A</v>
      </c>
      <c r="AI3138" s="3" t="str">
        <f>IFERROR(__xludf.DUMMYFUNCTION("""COMPUTED_VALUE"""),"Out of warranty")</f>
        <v>Out of warranty</v>
      </c>
      <c r="AJ3138" s="3">
        <f>IFERROR(__xludf.DUMMYFUNCTION("""COMPUTED_VALUE"""),34.0)</f>
        <v>34</v>
      </c>
      <c r="AK3138" s="3"/>
      <c r="AL3138" s="3"/>
    </row>
    <row r="3139" ht="15.75" customHeight="1">
      <c r="A3139" s="1" t="str">
        <f>IFERROR(__xludf.DUMMYFUNCTION("""COMPUTED_VALUE"""),"84179")</f>
        <v>84179</v>
      </c>
      <c r="B3139" s="2">
        <f>IFERROR(__xludf.DUMMYFUNCTION("""COMPUTED_VALUE"""),84179.0)</f>
        <v>84179</v>
      </c>
      <c r="C3139" s="3" t="str">
        <f>IFERROR(__xludf.DUMMYFUNCTION("""COMPUTED_VALUE"""),"ร้านทองสุขการค้า")</f>
        <v>ร้านทองสุขการค้า</v>
      </c>
      <c r="D3139" s="3" t="str">
        <f>IFERROR(__xludf.DUMMYFUNCTION("""COMPUTED_VALUE"""),"ร้านทองสุขการค้า")</f>
        <v>ร้านทองสุขการค้า</v>
      </c>
      <c r="E3139" s="1" t="str">
        <f>IFERROR(__xludf.DUMMYFUNCTION("""COMPUTED_VALUE"""),"Donjai")</f>
        <v>Donjai</v>
      </c>
      <c r="F3139" s="1" t="str">
        <f>IFERROR(__xludf.DUMMYFUNCTION("""COMPUTED_VALUE"""),"2454781")</f>
        <v>2454781</v>
      </c>
      <c r="G3139" s="1" t="str">
        <f>IFERROR(__xludf.DUMMYFUNCTION("""COMPUTED_VALUE"""),"นายฌานกฤช นันทะโคต")</f>
        <v>นายฌานกฤช นันทะโคต</v>
      </c>
      <c r="H3139" s="1" t="str">
        <f>IFERROR(__xludf.DUMMYFUNCTION("""COMPUTED_VALUE"""),"2454781")</f>
        <v>2454781</v>
      </c>
      <c r="I3139" s="1" t="str">
        <f>IFERROR(__xludf.DUMMYFUNCTION("""COMPUTED_VALUE"""),"นายฌานกฤช นันทะโคต")</f>
        <v>นายฌานกฤช นันทะโคต</v>
      </c>
      <c r="J3139" s="3">
        <f>IFERROR(__xludf.DUMMYFUNCTION("""COMPUTED_VALUE"""),295886.0)</f>
        <v>295886</v>
      </c>
      <c r="K3139" s="3" t="str">
        <f>IFERROR(__xludf.DUMMYFUNCTION("""COMPUTED_VALUE"""),"นายจิระพงษ์ โพธิ์นิล")</f>
        <v>นายจิระพงษ์ โพธิ์นิล</v>
      </c>
      <c r="L3139" s="1" t="str">
        <f>IFERROR(__xludf.DUMMYFUNCTION("""COMPUTED_VALUE"""),"นายจิระพงษ์ โพธิ์นิล")</f>
        <v>นายจิระพงษ์ โพธิ์นิล</v>
      </c>
      <c r="M3139" s="1" t="str">
        <f>IFERROR(__xludf.DUMMYFUNCTION("""COMPUTED_VALUE"""),"0933290754")</f>
        <v>0933290754</v>
      </c>
      <c r="N3139" s="3">
        <f>IFERROR(__xludf.DUMMYFUNCTION("""COMPUTED_VALUE"""),84179.0)</f>
        <v>84179</v>
      </c>
      <c r="O3139" s="3" t="str">
        <f>IFERROR(__xludf.DUMMYFUNCTION("""COMPUTED_VALUE"""),"ร้านทองสุขการค้า")</f>
        <v>ร้านทองสุขการค้า</v>
      </c>
      <c r="P3139" s="4">
        <f>IFERROR(__xludf.DUMMYFUNCTION("""COMPUTED_VALUE"""),45017.0)</f>
        <v>45017</v>
      </c>
      <c r="Q3139" s="3" t="str">
        <f>IFERROR(__xludf.DUMMYFUNCTION("""COMPUTED_VALUE"""),"A")</f>
        <v>A</v>
      </c>
      <c r="R3139" s="3" t="str">
        <f>IFERROR(__xludf.DUMMYFUNCTION("""COMPUTED_VALUE"""),"Small Format")</f>
        <v>Small Format</v>
      </c>
      <c r="S3139" s="3" t="str">
        <f>IFERROR(__xludf.DUMMYFUNCTION("""COMPUTED_VALUE"""),"Donjai")</f>
        <v>Donjai</v>
      </c>
      <c r="T3139" s="3" t="str">
        <f>IFERROR(__xludf.DUMMYFUNCTION("""COMPUTED_VALUE"""),"05 K.Chanakrit N.")</f>
        <v>05 K.Chanakrit N.</v>
      </c>
      <c r="U3139" s="3" t="str">
        <f>IFERROR(__xludf.DUMMYFUNCTION("""COMPUTED_VALUE"""),"05 K.Chanakrit N.")</f>
        <v>05 K.Chanakrit N.</v>
      </c>
      <c r="V3139" s="3" t="str">
        <f>IFERROR(__xludf.DUMMYFUNCTION("""COMPUTED_VALUE"""),"N")</f>
        <v>N</v>
      </c>
      <c r="W3139" s="3"/>
      <c r="X3139" s="3" t="str">
        <f>IFERROR(__xludf.DUMMYFUNCTION("""COMPUTED_VALUE"""),"17 ม.5 ต.หัวขวาง อ.โกสุมพิสัย จ.มหาสารคาม 44140")</f>
        <v>17 ม.5 ต.หัวขวาง อ.โกสุมพิสัย จ.มหาสารคาม 44140</v>
      </c>
      <c r="Y3139" s="3"/>
      <c r="Z3139" s="3">
        <f>IFERROR(__xludf.DUMMYFUNCTION("""COMPUTED_VALUE"""),0.0)</f>
        <v>0</v>
      </c>
      <c r="AA3139" s="3">
        <f>IFERROR(__xludf.DUMMYFUNCTION("""COMPUTED_VALUE"""),0.0)</f>
        <v>0</v>
      </c>
      <c r="AB3139" s="3" t="str">
        <f>IFERROR(__xludf.DUMMYFUNCTION("""COMPUTED_VALUE"""),"มหาสารคาม")</f>
        <v>มหาสารคาม</v>
      </c>
      <c r="AC3139" s="3">
        <f>IFERROR(__xludf.DUMMYFUNCTION("""COMPUTED_VALUE"""),44140.0)</f>
        <v>44140</v>
      </c>
      <c r="AD3139" s="3"/>
      <c r="AE3139" s="3"/>
      <c r="AF3139" s="3" t="str">
        <f>IFERROR(__xludf.DUMMYFUNCTION("""COMPUTED_VALUE"""),"ร้านทองสุขการค้า-84179")</f>
        <v>ร้านทองสุขการค้า-84179</v>
      </c>
      <c r="AG3139" s="3" t="str">
        <f>IFERROR(__xludf.DUMMYFUNCTION("""COMPUTED_VALUE"""),"ตะวันออกเฉียงเหนือ")</f>
        <v>ตะวันออกเฉียงเหนือ</v>
      </c>
      <c r="AH3139" s="3" t="str">
        <f>IFERROR(__xludf.DUMMYFUNCTION("""COMPUTED_VALUE"""),"#N/A")</f>
        <v>#N/A</v>
      </c>
      <c r="AI3139" s="3" t="str">
        <f>IFERROR(__xludf.DUMMYFUNCTION("""COMPUTED_VALUE"""),"Out of warranty")</f>
        <v>Out of warranty</v>
      </c>
      <c r="AJ3139" s="3">
        <f>IFERROR(__xludf.DUMMYFUNCTION("""COMPUTED_VALUE"""),34.0)</f>
        <v>34</v>
      </c>
      <c r="AK3139" s="3"/>
      <c r="AL3139" s="3"/>
    </row>
    <row r="3140" ht="15.75" customHeight="1">
      <c r="A3140" s="1" t="str">
        <f>IFERROR(__xludf.DUMMYFUNCTION("""COMPUTED_VALUE"""),"84185")</f>
        <v>84185</v>
      </c>
      <c r="B3140" s="2">
        <f>IFERROR(__xludf.DUMMYFUNCTION("""COMPUTED_VALUE"""),84185.0)</f>
        <v>84185</v>
      </c>
      <c r="C3140" s="3" t="str">
        <f>IFERROR(__xludf.DUMMYFUNCTION("""COMPUTED_VALUE"""),"ร้าน N.ONE")</f>
        <v>ร้าน N.ONE</v>
      </c>
      <c r="D3140" s="3" t="str">
        <f>IFERROR(__xludf.DUMMYFUNCTION("""COMPUTED_VALUE"""),"ร้าน N.ONE")</f>
        <v>ร้าน N.ONE</v>
      </c>
      <c r="E3140" s="1" t="str">
        <f>IFERROR(__xludf.DUMMYFUNCTION("""COMPUTED_VALUE"""),"Donjai")</f>
        <v>Donjai</v>
      </c>
      <c r="F3140" s="1" t="str">
        <f>IFERROR(__xludf.DUMMYFUNCTION("""COMPUTED_VALUE"""),"2451655")</f>
        <v>2451655</v>
      </c>
      <c r="G3140" s="1" t="str">
        <f>IFERROR(__xludf.DUMMYFUNCTION("""COMPUTED_VALUE"""),"นายวิษณุพงษ์ ชินบุตร")</f>
        <v>นายวิษณุพงษ์ ชินบุตร</v>
      </c>
      <c r="H3140" s="1" t="str">
        <f>IFERROR(__xludf.DUMMYFUNCTION("""COMPUTED_VALUE"""),"2451655")</f>
        <v>2451655</v>
      </c>
      <c r="I3140" s="1" t="str">
        <f>IFERROR(__xludf.DUMMYFUNCTION("""COMPUTED_VALUE"""),"นายวิษณุพงษ์ ชินบุตร")</f>
        <v>นายวิษณุพงษ์ ชินบุตร</v>
      </c>
      <c r="J3140" s="3">
        <f>IFERROR(__xludf.DUMMYFUNCTION("""COMPUTED_VALUE"""),228031.0)</f>
        <v>228031</v>
      </c>
      <c r="K3140" s="3" t="str">
        <f>IFERROR(__xludf.DUMMYFUNCTION("""COMPUTED_VALUE"""),"นายธนพงษ์ วันหมัด")</f>
        <v>นายธนพงษ์ วันหมัด</v>
      </c>
      <c r="L3140" s="1" t="str">
        <f>IFERROR(__xludf.DUMMYFUNCTION("""COMPUTED_VALUE"""),"นายธนพงษ์ วันหมัด")</f>
        <v>นายธนพงษ์ วันหมัด</v>
      </c>
      <c r="M3140" s="1" t="str">
        <f>IFERROR(__xludf.DUMMYFUNCTION("""COMPUTED_VALUE"""),"0813716913")</f>
        <v>0813716913</v>
      </c>
      <c r="N3140" s="3">
        <f>IFERROR(__xludf.DUMMYFUNCTION("""COMPUTED_VALUE"""),84185.0)</f>
        <v>84185</v>
      </c>
      <c r="O3140" s="3" t="str">
        <f>IFERROR(__xludf.DUMMYFUNCTION("""COMPUTED_VALUE"""),"ร้าน N.ONE")</f>
        <v>ร้าน N.ONE</v>
      </c>
      <c r="P3140" s="4">
        <f>IFERROR(__xludf.DUMMYFUNCTION("""COMPUTED_VALUE"""),45092.0)</f>
        <v>45092</v>
      </c>
      <c r="Q3140" s="3" t="str">
        <f>IFERROR(__xludf.DUMMYFUNCTION("""COMPUTED_VALUE"""),"A")</f>
        <v>A</v>
      </c>
      <c r="R3140" s="3" t="str">
        <f>IFERROR(__xludf.DUMMYFUNCTION("""COMPUTED_VALUE"""),"Small Format")</f>
        <v>Small Format</v>
      </c>
      <c r="S3140" s="3" t="str">
        <f>IFERROR(__xludf.DUMMYFUNCTION("""COMPUTED_VALUE"""),"Donjai")</f>
        <v>Donjai</v>
      </c>
      <c r="T3140" s="3" t="str">
        <f>IFERROR(__xludf.DUMMYFUNCTION("""COMPUTED_VALUE"""),"13 K.Wisanupong Ch")</f>
        <v>13 K.Wisanupong Ch</v>
      </c>
      <c r="U3140" s="3" t="str">
        <f>IFERROR(__xludf.DUMMYFUNCTION("""COMPUTED_VALUE"""),"13 K.Wisanupong Ch")</f>
        <v>13 K.Wisanupong Ch</v>
      </c>
      <c r="V3140" s="3" t="str">
        <f>IFERROR(__xludf.DUMMYFUNCTION("""COMPUTED_VALUE"""),"N")</f>
        <v>N</v>
      </c>
      <c r="W3140" s="3"/>
      <c r="X3140" s="3" t="str">
        <f>IFERROR(__xludf.DUMMYFUNCTION("""COMPUTED_VALUE"""),"36/129 ถนนเอกชัย มหาชัย เมือง สมุทรสาคร 74000")</f>
        <v>36/129 ถนนเอกชัย มหาชัย เมือง สมุทรสาคร 74000</v>
      </c>
      <c r="Y3140" s="3"/>
      <c r="Z3140" s="3"/>
      <c r="AA3140" s="3"/>
      <c r="AB3140" s="3"/>
      <c r="AC3140" s="3"/>
      <c r="AD3140" s="3"/>
      <c r="AE3140" s="3"/>
      <c r="AF3140" s="3" t="str">
        <f>IFERROR(__xludf.DUMMYFUNCTION("""COMPUTED_VALUE"""),"ร้าน N.ONE-84185")</f>
        <v>ร้าน N.ONE-84185</v>
      </c>
      <c r="AG3140" s="3">
        <f>IFERROR(__xludf.DUMMYFUNCTION("""COMPUTED_VALUE"""),0.0)</f>
        <v>0</v>
      </c>
      <c r="AH3140" s="3" t="str">
        <f>IFERROR(__xludf.DUMMYFUNCTION("""COMPUTED_VALUE"""),"#N/A")</f>
        <v>#N/A</v>
      </c>
      <c r="AI3140" s="3" t="str">
        <f>IFERROR(__xludf.DUMMYFUNCTION("""COMPUTED_VALUE"""),"Out of warranty")</f>
        <v>Out of warranty</v>
      </c>
      <c r="AJ3140" s="3">
        <f>IFERROR(__xludf.DUMMYFUNCTION("""COMPUTED_VALUE"""),32.0)</f>
        <v>32</v>
      </c>
      <c r="AK3140" s="3"/>
      <c r="AL3140" s="3"/>
    </row>
    <row r="3141" ht="15.75" customHeight="1">
      <c r="A3141" s="1" t="str">
        <f>IFERROR(__xludf.DUMMYFUNCTION("""COMPUTED_VALUE"""),"84187")</f>
        <v>84187</v>
      </c>
      <c r="B3141" s="2">
        <f>IFERROR(__xludf.DUMMYFUNCTION("""COMPUTED_VALUE"""),84187.0)</f>
        <v>84187</v>
      </c>
      <c r="C3141" s="3" t="str">
        <f>IFERROR(__xludf.DUMMYFUNCTION("""COMPUTED_VALUE"""),"ร้านประชา การค้า")</f>
        <v>ร้านประชา การค้า</v>
      </c>
      <c r="D3141" s="3" t="str">
        <f>IFERROR(__xludf.DUMMYFUNCTION("""COMPUTED_VALUE"""),"ร้านประชา การค้า")</f>
        <v>ร้านประชา การค้า</v>
      </c>
      <c r="E3141" s="1" t="str">
        <f>IFERROR(__xludf.DUMMYFUNCTION("""COMPUTED_VALUE"""),"Donjai")</f>
        <v>Donjai</v>
      </c>
      <c r="F3141" s="1" t="str">
        <f>IFERROR(__xludf.DUMMYFUNCTION("""COMPUTED_VALUE"""),"296868")</f>
        <v>296868</v>
      </c>
      <c r="G3141" s="1" t="str">
        <f>IFERROR(__xludf.DUMMYFUNCTION("""COMPUTED_VALUE"""),"นายพีระพงษ์ แก้วดวงดี")</f>
        <v>นายพีระพงษ์ แก้วดวงดี</v>
      </c>
      <c r="H3141" s="1" t="str">
        <f>IFERROR(__xludf.DUMMYFUNCTION("""COMPUTED_VALUE"""),"296868")</f>
        <v>296868</v>
      </c>
      <c r="I3141" s="1" t="str">
        <f>IFERROR(__xludf.DUMMYFUNCTION("""COMPUTED_VALUE"""),"นายพีระพงษ์ แก้วดวงดี")</f>
        <v>นายพีระพงษ์ แก้วดวงดี</v>
      </c>
      <c r="J3141" s="3">
        <f>IFERROR(__xludf.DUMMYFUNCTION("""COMPUTED_VALUE"""),295886.0)</f>
        <v>295886</v>
      </c>
      <c r="K3141" s="3" t="str">
        <f>IFERROR(__xludf.DUMMYFUNCTION("""COMPUTED_VALUE"""),"นายจิระพงษ์ โพธิ์นิล")</f>
        <v>นายจิระพงษ์ โพธิ์นิล</v>
      </c>
      <c r="L3141" s="1" t="str">
        <f>IFERROR(__xludf.DUMMYFUNCTION("""COMPUTED_VALUE"""),"นายจิระพงษ์ โพธิ์นิล")</f>
        <v>นายจิระพงษ์ โพธิ์นิล</v>
      </c>
      <c r="M3141" s="1" t="str">
        <f>IFERROR(__xludf.DUMMYFUNCTION("""COMPUTED_VALUE"""),"0933290754")</f>
        <v>0933290754</v>
      </c>
      <c r="N3141" s="3">
        <f>IFERROR(__xludf.DUMMYFUNCTION("""COMPUTED_VALUE"""),84187.0)</f>
        <v>84187</v>
      </c>
      <c r="O3141" s="3" t="str">
        <f>IFERROR(__xludf.DUMMYFUNCTION("""COMPUTED_VALUE"""),"ร้านประชา การค้า")</f>
        <v>ร้านประชา การค้า</v>
      </c>
      <c r="P3141" s="4">
        <f>IFERROR(__xludf.DUMMYFUNCTION("""COMPUTED_VALUE"""),45023.0)</f>
        <v>45023</v>
      </c>
      <c r="Q3141" s="3" t="str">
        <f>IFERROR(__xludf.DUMMYFUNCTION("""COMPUTED_VALUE"""),"A")</f>
        <v>A</v>
      </c>
      <c r="R3141" s="3" t="str">
        <f>IFERROR(__xludf.DUMMYFUNCTION("""COMPUTED_VALUE"""),"Small Format")</f>
        <v>Small Format</v>
      </c>
      <c r="S3141" s="3" t="str">
        <f>IFERROR(__xludf.DUMMYFUNCTION("""COMPUTED_VALUE"""),"Donjai")</f>
        <v>Donjai</v>
      </c>
      <c r="T3141" s="3" t="str">
        <f>IFERROR(__xludf.DUMMYFUNCTION("""COMPUTED_VALUE"""),"03 K.Peerapong K.")</f>
        <v>03 K.Peerapong K.</v>
      </c>
      <c r="U3141" s="3" t="str">
        <f>IFERROR(__xludf.DUMMYFUNCTION("""COMPUTED_VALUE"""),"03 K.Peerapong K.")</f>
        <v>03 K.Peerapong K.</v>
      </c>
      <c r="V3141" s="3" t="str">
        <f>IFERROR(__xludf.DUMMYFUNCTION("""COMPUTED_VALUE"""),"N")</f>
        <v>N</v>
      </c>
      <c r="W3141" s="3"/>
      <c r="X3141" s="3" t="str">
        <f>IFERROR(__xludf.DUMMYFUNCTION("""COMPUTED_VALUE"""),"58 หมู่ที่ 11 ต.หนองบัวสิม อ. คำตากล้า จ.สกลนคร")</f>
        <v>58 หมู่ที่ 11 ต.หนองบัวสิม อ. คำตากล้า จ.สกลนคร</v>
      </c>
      <c r="Y3141" s="3"/>
      <c r="Z3141" s="3">
        <f>IFERROR(__xludf.DUMMYFUNCTION("""COMPUTED_VALUE"""),0.0)</f>
        <v>0</v>
      </c>
      <c r="AA3141" s="3">
        <f>IFERROR(__xludf.DUMMYFUNCTION("""COMPUTED_VALUE"""),0.0)</f>
        <v>0</v>
      </c>
      <c r="AB3141" s="3" t="str">
        <f>IFERROR(__xludf.DUMMYFUNCTION("""COMPUTED_VALUE"""),"สกลนคร")</f>
        <v>สกลนคร</v>
      </c>
      <c r="AC3141" s="3">
        <f>IFERROR(__xludf.DUMMYFUNCTION("""COMPUTED_VALUE"""),0.0)</f>
        <v>0</v>
      </c>
      <c r="AD3141" s="3"/>
      <c r="AE3141" s="3"/>
      <c r="AF3141" s="3" t="str">
        <f>IFERROR(__xludf.DUMMYFUNCTION("""COMPUTED_VALUE"""),"ร้านประชา การค้า-84187")</f>
        <v>ร้านประชา การค้า-84187</v>
      </c>
      <c r="AG3141" s="3" t="str">
        <f>IFERROR(__xludf.DUMMYFUNCTION("""COMPUTED_VALUE"""),"ตะวันออกเฉียงเหนือ")</f>
        <v>ตะวันออกเฉียงเหนือ</v>
      </c>
      <c r="AH3141" s="3" t="str">
        <f>IFERROR(__xludf.DUMMYFUNCTION("""COMPUTED_VALUE"""),"#N/A")</f>
        <v>#N/A</v>
      </c>
      <c r="AI3141" s="3" t="str">
        <f>IFERROR(__xludf.DUMMYFUNCTION("""COMPUTED_VALUE"""),"Out of warranty")</f>
        <v>Out of warranty</v>
      </c>
      <c r="AJ3141" s="3">
        <f>IFERROR(__xludf.DUMMYFUNCTION("""COMPUTED_VALUE"""),34.0)</f>
        <v>34</v>
      </c>
      <c r="AK3141" s="3"/>
      <c r="AL3141" s="3"/>
    </row>
    <row r="3142" ht="15.75" customHeight="1">
      <c r="A3142" s="1" t="str">
        <f>IFERROR(__xludf.DUMMYFUNCTION("""COMPUTED_VALUE"""),"84190")</f>
        <v>84190</v>
      </c>
      <c r="B3142" s="2">
        <f>IFERROR(__xludf.DUMMYFUNCTION("""COMPUTED_VALUE"""),84190.0)</f>
        <v>84190</v>
      </c>
      <c r="C3142" s="3" t="str">
        <f>IFERROR(__xludf.DUMMYFUNCTION("""COMPUTED_VALUE"""),"ร้านฮักยูว์")</f>
        <v>ร้านฮักยูว์</v>
      </c>
      <c r="D3142" s="3" t="str">
        <f>IFERROR(__xludf.DUMMYFUNCTION("""COMPUTED_VALUE"""),"ร้านฮักยูว์")</f>
        <v>ร้านฮักยูว์</v>
      </c>
      <c r="E3142" s="1" t="str">
        <f>IFERROR(__xludf.DUMMYFUNCTION("""COMPUTED_VALUE"""),"Donjai")</f>
        <v>Donjai</v>
      </c>
      <c r="F3142" s="1" t="str">
        <f>IFERROR(__xludf.DUMMYFUNCTION("""COMPUTED_VALUE"""),"2010016")</f>
        <v>2010016</v>
      </c>
      <c r="G3142" s="1" t="str">
        <f>IFERROR(__xludf.DUMMYFUNCTION("""COMPUTED_VALUE"""),"นายตวงธรรม ใหม่ยศ")</f>
        <v>นายตวงธรรม ใหม่ยศ</v>
      </c>
      <c r="H3142" s="1" t="str">
        <f>IFERROR(__xludf.DUMMYFUNCTION("""COMPUTED_VALUE"""),"2010016")</f>
        <v>2010016</v>
      </c>
      <c r="I3142" s="1" t="str">
        <f>IFERROR(__xludf.DUMMYFUNCTION("""COMPUTED_VALUE"""),"นายตวงธรรม ใหม่ยศ")</f>
        <v>นายตวงธรรม ใหม่ยศ</v>
      </c>
      <c r="J3142" s="3">
        <f>IFERROR(__xludf.DUMMYFUNCTION("""COMPUTED_VALUE"""),295886.0)</f>
        <v>295886</v>
      </c>
      <c r="K3142" s="3" t="str">
        <f>IFERROR(__xludf.DUMMYFUNCTION("""COMPUTED_VALUE"""),"นายจิระพงษ์ โพธิ์นิล")</f>
        <v>นายจิระพงษ์ โพธิ์นิล</v>
      </c>
      <c r="L3142" s="1" t="str">
        <f>IFERROR(__xludf.DUMMYFUNCTION("""COMPUTED_VALUE"""),"นายจิระพงษ์ โพธิ์นิล")</f>
        <v>นายจิระพงษ์ โพธิ์นิล</v>
      </c>
      <c r="M3142" s="1" t="str">
        <f>IFERROR(__xludf.DUMMYFUNCTION("""COMPUTED_VALUE"""),"0933290754")</f>
        <v>0933290754</v>
      </c>
      <c r="N3142" s="3">
        <f>IFERROR(__xludf.DUMMYFUNCTION("""COMPUTED_VALUE"""),84190.0)</f>
        <v>84190</v>
      </c>
      <c r="O3142" s="3" t="str">
        <f>IFERROR(__xludf.DUMMYFUNCTION("""COMPUTED_VALUE"""),"ร้านฮักยูว์")</f>
        <v>ร้านฮักยูว์</v>
      </c>
      <c r="P3142" s="4">
        <f>IFERROR(__xludf.DUMMYFUNCTION("""COMPUTED_VALUE"""),45048.0)</f>
        <v>45048</v>
      </c>
      <c r="Q3142" s="3" t="str">
        <f>IFERROR(__xludf.DUMMYFUNCTION("""COMPUTED_VALUE"""),"A")</f>
        <v>A</v>
      </c>
      <c r="R3142" s="3" t="str">
        <f>IFERROR(__xludf.DUMMYFUNCTION("""COMPUTED_VALUE"""),"Small Format")</f>
        <v>Small Format</v>
      </c>
      <c r="S3142" s="3" t="str">
        <f>IFERROR(__xludf.DUMMYFUNCTION("""COMPUTED_VALUE"""),"Donjai")</f>
        <v>Donjai</v>
      </c>
      <c r="T3142" s="3" t="str">
        <f>IFERROR(__xludf.DUMMYFUNCTION("""COMPUTED_VALUE"""),"01 K.Tuangtham M.")</f>
        <v>01 K.Tuangtham M.</v>
      </c>
      <c r="U3142" s="3" t="str">
        <f>IFERROR(__xludf.DUMMYFUNCTION("""COMPUTED_VALUE"""),"01 K.Tuangtham M.")</f>
        <v>01 K.Tuangtham M.</v>
      </c>
      <c r="V3142" s="3" t="str">
        <f>IFERROR(__xludf.DUMMYFUNCTION("""COMPUTED_VALUE"""),"N")</f>
        <v>N</v>
      </c>
      <c r="W3142" s="3"/>
      <c r="X3142" s="3" t="str">
        <f>IFERROR(__xludf.DUMMYFUNCTION("""COMPUTED_VALUE"""),"121 สวนดอก เมืองลำปาง ลำปาง")</f>
        <v>121 สวนดอก เมืองลำปาง ลำปาง</v>
      </c>
      <c r="Y3142" s="3"/>
      <c r="Z3142" s="3">
        <f>IFERROR(__xludf.DUMMYFUNCTION("""COMPUTED_VALUE"""),0.0)</f>
        <v>0</v>
      </c>
      <c r="AA3142" s="3">
        <f>IFERROR(__xludf.DUMMYFUNCTION("""COMPUTED_VALUE"""),0.0)</f>
        <v>0</v>
      </c>
      <c r="AB3142" s="3" t="str">
        <f>IFERROR(__xludf.DUMMYFUNCTION("""COMPUTED_VALUE"""),"ลำปาง")</f>
        <v>ลำปาง</v>
      </c>
      <c r="AC3142" s="3">
        <f>IFERROR(__xludf.DUMMYFUNCTION("""COMPUTED_VALUE"""),0.0)</f>
        <v>0</v>
      </c>
      <c r="AD3142" s="3"/>
      <c r="AE3142" s="3"/>
      <c r="AF3142" s="3" t="str">
        <f>IFERROR(__xludf.DUMMYFUNCTION("""COMPUTED_VALUE"""),"ร้านฮักยูว์-84190")</f>
        <v>ร้านฮักยูว์-84190</v>
      </c>
      <c r="AG3142" s="3" t="str">
        <f>IFERROR(__xludf.DUMMYFUNCTION("""COMPUTED_VALUE"""),"เหนือ")</f>
        <v>เหนือ</v>
      </c>
      <c r="AH3142" s="3" t="str">
        <f>IFERROR(__xludf.DUMMYFUNCTION("""COMPUTED_VALUE"""),"#N/A")</f>
        <v>#N/A</v>
      </c>
      <c r="AI3142" s="3" t="str">
        <f>IFERROR(__xludf.DUMMYFUNCTION("""COMPUTED_VALUE"""),"Out of warranty")</f>
        <v>Out of warranty</v>
      </c>
      <c r="AJ3142" s="3">
        <f>IFERROR(__xludf.DUMMYFUNCTION("""COMPUTED_VALUE"""),33.0)</f>
        <v>33</v>
      </c>
      <c r="AK3142" s="3"/>
      <c r="AL3142" s="3"/>
    </row>
    <row r="3143" ht="15.75" customHeight="1">
      <c r="A3143" s="1" t="str">
        <f>IFERROR(__xludf.DUMMYFUNCTION("""COMPUTED_VALUE"""),"84191")</f>
        <v>84191</v>
      </c>
      <c r="B3143" s="2">
        <f>IFERROR(__xludf.DUMMYFUNCTION("""COMPUTED_VALUE"""),84191.0)</f>
        <v>84191</v>
      </c>
      <c r="C3143" s="3" t="str">
        <f>IFERROR(__xludf.DUMMYFUNCTION("""COMPUTED_VALUE"""),"ร้านซัมไทม์ วิว")</f>
        <v>ร้านซัมไทม์ วิว</v>
      </c>
      <c r="D3143" s="3" t="str">
        <f>IFERROR(__xludf.DUMMYFUNCTION("""COMPUTED_VALUE"""),"ร้านซัมไทม์ วิว")</f>
        <v>ร้านซัมไทม์ วิว</v>
      </c>
      <c r="E3143" s="1" t="str">
        <f>IFERROR(__xludf.DUMMYFUNCTION("""COMPUTED_VALUE"""),"Donjai")</f>
        <v>Donjai</v>
      </c>
      <c r="F3143" s="1" t="str">
        <f>IFERROR(__xludf.DUMMYFUNCTION("""COMPUTED_VALUE"""),"2451655")</f>
        <v>2451655</v>
      </c>
      <c r="G3143" s="1" t="str">
        <f>IFERROR(__xludf.DUMMYFUNCTION("""COMPUTED_VALUE"""),"นายวิษณุพงษ์ ชินบุตร")</f>
        <v>นายวิษณุพงษ์ ชินบุตร</v>
      </c>
      <c r="H3143" s="1" t="str">
        <f>IFERROR(__xludf.DUMMYFUNCTION("""COMPUTED_VALUE"""),"2451655")</f>
        <v>2451655</v>
      </c>
      <c r="I3143" s="1" t="str">
        <f>IFERROR(__xludf.DUMMYFUNCTION("""COMPUTED_VALUE"""),"นายวิษณุพงษ์ ชินบุตร")</f>
        <v>นายวิษณุพงษ์ ชินบุตร</v>
      </c>
      <c r="J3143" s="3">
        <f>IFERROR(__xludf.DUMMYFUNCTION("""COMPUTED_VALUE"""),228031.0)</f>
        <v>228031</v>
      </c>
      <c r="K3143" s="3" t="str">
        <f>IFERROR(__xludf.DUMMYFUNCTION("""COMPUTED_VALUE"""),"นายธนพงษ์ วันหมัด")</f>
        <v>นายธนพงษ์ วันหมัด</v>
      </c>
      <c r="L3143" s="1" t="str">
        <f>IFERROR(__xludf.DUMMYFUNCTION("""COMPUTED_VALUE"""),"นายธนพงษ์ วันหมัด")</f>
        <v>นายธนพงษ์ วันหมัด</v>
      </c>
      <c r="M3143" s="1" t="str">
        <f>IFERROR(__xludf.DUMMYFUNCTION("""COMPUTED_VALUE"""),"0813716913")</f>
        <v>0813716913</v>
      </c>
      <c r="N3143" s="3">
        <f>IFERROR(__xludf.DUMMYFUNCTION("""COMPUTED_VALUE"""),84191.0)</f>
        <v>84191</v>
      </c>
      <c r="O3143" s="3" t="str">
        <f>IFERROR(__xludf.DUMMYFUNCTION("""COMPUTED_VALUE"""),"ร้านซัมไทม์ วิว")</f>
        <v>ร้านซัมไทม์ วิว</v>
      </c>
      <c r="P3143" s="4">
        <f>IFERROR(__xludf.DUMMYFUNCTION("""COMPUTED_VALUE"""),45028.0)</f>
        <v>45028</v>
      </c>
      <c r="Q3143" s="3" t="str">
        <f>IFERROR(__xludf.DUMMYFUNCTION("""COMPUTED_VALUE"""),"A")</f>
        <v>A</v>
      </c>
      <c r="R3143" s="3" t="str">
        <f>IFERROR(__xludf.DUMMYFUNCTION("""COMPUTED_VALUE"""),"Small Format")</f>
        <v>Small Format</v>
      </c>
      <c r="S3143" s="3" t="str">
        <f>IFERROR(__xludf.DUMMYFUNCTION("""COMPUTED_VALUE"""),"Donjai")</f>
        <v>Donjai</v>
      </c>
      <c r="T3143" s="3" t="str">
        <f>IFERROR(__xludf.DUMMYFUNCTION("""COMPUTED_VALUE"""),"13 K.Wisanupong Ch")</f>
        <v>13 K.Wisanupong Ch</v>
      </c>
      <c r="U3143" s="3" t="str">
        <f>IFERROR(__xludf.DUMMYFUNCTION("""COMPUTED_VALUE"""),"13 K.Wisanupong Ch")</f>
        <v>13 K.Wisanupong Ch</v>
      </c>
      <c r="V3143" s="3" t="str">
        <f>IFERROR(__xludf.DUMMYFUNCTION("""COMPUTED_VALUE"""),"N")</f>
        <v>N</v>
      </c>
      <c r="W3143" s="3"/>
      <c r="X3143" s="3" t="str">
        <f>IFERROR(__xludf.DUMMYFUNCTION("""COMPUTED_VALUE"""),"119 หมู่ 1 วันดาว ปากท่อ ราชบุรี")</f>
        <v>119 หมู่ 1 วันดาว ปากท่อ ราชบุรี</v>
      </c>
      <c r="Y3143" s="3"/>
      <c r="Z3143" s="3">
        <f>IFERROR(__xludf.DUMMYFUNCTION("""COMPUTED_VALUE"""),0.0)</f>
        <v>0</v>
      </c>
      <c r="AA3143" s="3">
        <f>IFERROR(__xludf.DUMMYFUNCTION("""COMPUTED_VALUE"""),0.0)</f>
        <v>0</v>
      </c>
      <c r="AB3143" s="3" t="str">
        <f>IFERROR(__xludf.DUMMYFUNCTION("""COMPUTED_VALUE"""),"ราชบุรี")</f>
        <v>ราชบุรี</v>
      </c>
      <c r="AC3143" s="3">
        <f>IFERROR(__xludf.DUMMYFUNCTION("""COMPUTED_VALUE"""),0.0)</f>
        <v>0</v>
      </c>
      <c r="AD3143" s="3"/>
      <c r="AE3143" s="3"/>
      <c r="AF3143" s="3" t="str">
        <f>IFERROR(__xludf.DUMMYFUNCTION("""COMPUTED_VALUE"""),"ร้านซัมไทม์ วิว-84191")</f>
        <v>ร้านซัมไทม์ วิว-84191</v>
      </c>
      <c r="AG3143" s="3" t="str">
        <f>IFERROR(__xludf.DUMMYFUNCTION("""COMPUTED_VALUE"""),"ตะวันตก")</f>
        <v>ตะวันตก</v>
      </c>
      <c r="AH3143" s="3" t="str">
        <f>IFERROR(__xludf.DUMMYFUNCTION("""COMPUTED_VALUE"""),"#N/A")</f>
        <v>#N/A</v>
      </c>
      <c r="AI3143" s="3" t="str">
        <f>IFERROR(__xludf.DUMMYFUNCTION("""COMPUTED_VALUE"""),"Out of warranty")</f>
        <v>Out of warranty</v>
      </c>
      <c r="AJ3143" s="3">
        <f>IFERROR(__xludf.DUMMYFUNCTION("""COMPUTED_VALUE"""),34.0)</f>
        <v>34</v>
      </c>
      <c r="AK3143" s="3"/>
      <c r="AL3143" s="3"/>
    </row>
    <row r="3144" ht="15.75" customHeight="1">
      <c r="A3144" s="1" t="str">
        <f>IFERROR(__xludf.DUMMYFUNCTION("""COMPUTED_VALUE"""),"84194")</f>
        <v>84194</v>
      </c>
      <c r="B3144" s="2">
        <f>IFERROR(__xludf.DUMMYFUNCTION("""COMPUTED_VALUE"""),84194.0)</f>
        <v>84194</v>
      </c>
      <c r="C3144" s="3" t="str">
        <f>IFERROR(__xludf.DUMMYFUNCTION("""COMPUTED_VALUE"""),"ร้านแสงหาญพาณิชย์")</f>
        <v>ร้านแสงหาญพาณิชย์</v>
      </c>
      <c r="D3144" s="3" t="str">
        <f>IFERROR(__xludf.DUMMYFUNCTION("""COMPUTED_VALUE"""),"ร้านแสงหาญพาณิชย์")</f>
        <v>ร้านแสงหาญพาณิชย์</v>
      </c>
      <c r="E3144" s="1" t="str">
        <f>IFERROR(__xludf.DUMMYFUNCTION("""COMPUTED_VALUE"""),"Donjai")</f>
        <v>Donjai</v>
      </c>
      <c r="F3144" s="1" t="str">
        <f>IFERROR(__xludf.DUMMYFUNCTION("""COMPUTED_VALUE"""),"296868")</f>
        <v>296868</v>
      </c>
      <c r="G3144" s="1" t="str">
        <f>IFERROR(__xludf.DUMMYFUNCTION("""COMPUTED_VALUE"""),"นายพีระพงษ์ แก้วดวงดี")</f>
        <v>นายพีระพงษ์ แก้วดวงดี</v>
      </c>
      <c r="H3144" s="1" t="str">
        <f>IFERROR(__xludf.DUMMYFUNCTION("""COMPUTED_VALUE"""),"296868")</f>
        <v>296868</v>
      </c>
      <c r="I3144" s="1" t="str">
        <f>IFERROR(__xludf.DUMMYFUNCTION("""COMPUTED_VALUE"""),"นายพีระพงษ์ แก้วดวงดี")</f>
        <v>นายพีระพงษ์ แก้วดวงดี</v>
      </c>
      <c r="J3144" s="3">
        <f>IFERROR(__xludf.DUMMYFUNCTION("""COMPUTED_VALUE"""),295886.0)</f>
        <v>295886</v>
      </c>
      <c r="K3144" s="3" t="str">
        <f>IFERROR(__xludf.DUMMYFUNCTION("""COMPUTED_VALUE"""),"นายจิระพงษ์ โพธิ์นิล")</f>
        <v>นายจิระพงษ์ โพธิ์นิล</v>
      </c>
      <c r="L3144" s="1" t="str">
        <f>IFERROR(__xludf.DUMMYFUNCTION("""COMPUTED_VALUE"""),"นายจิระพงษ์ โพธิ์นิล")</f>
        <v>นายจิระพงษ์ โพธิ์นิล</v>
      </c>
      <c r="M3144" s="1" t="str">
        <f>IFERROR(__xludf.DUMMYFUNCTION("""COMPUTED_VALUE"""),"0933290754")</f>
        <v>0933290754</v>
      </c>
      <c r="N3144" s="3">
        <f>IFERROR(__xludf.DUMMYFUNCTION("""COMPUTED_VALUE"""),84194.0)</f>
        <v>84194</v>
      </c>
      <c r="O3144" s="3" t="str">
        <f>IFERROR(__xludf.DUMMYFUNCTION("""COMPUTED_VALUE"""),"ร้านแสงหาญพาณิชย์")</f>
        <v>ร้านแสงหาญพาณิชย์</v>
      </c>
      <c r="P3144" s="4">
        <f>IFERROR(__xludf.DUMMYFUNCTION("""COMPUTED_VALUE"""),45050.0)</f>
        <v>45050</v>
      </c>
      <c r="Q3144" s="3" t="str">
        <f>IFERROR(__xludf.DUMMYFUNCTION("""COMPUTED_VALUE"""),"I")</f>
        <v>I</v>
      </c>
      <c r="R3144" s="3" t="str">
        <f>IFERROR(__xludf.DUMMYFUNCTION("""COMPUTED_VALUE"""),"Small Format")</f>
        <v>Small Format</v>
      </c>
      <c r="S3144" s="3" t="str">
        <f>IFERROR(__xludf.DUMMYFUNCTION("""COMPUTED_VALUE"""),"Donjai")</f>
        <v>Donjai</v>
      </c>
      <c r="T3144" s="3" t="str">
        <f>IFERROR(__xludf.DUMMYFUNCTION("""COMPUTED_VALUE"""),"03 K.Peerapong K.")</f>
        <v>03 K.Peerapong K.</v>
      </c>
      <c r="U3144" s="3" t="str">
        <f>IFERROR(__xludf.DUMMYFUNCTION("""COMPUTED_VALUE"""),"03 K.Peerapong K.")</f>
        <v>03 K.Peerapong K.</v>
      </c>
      <c r="V3144" s="3" t="str">
        <f>IFERROR(__xludf.DUMMYFUNCTION("""COMPUTED_VALUE"""),"N")</f>
        <v>N</v>
      </c>
      <c r="W3144" s="3"/>
      <c r="X3144" s="3" t="str">
        <f>IFERROR(__xludf.DUMMYFUNCTION("""COMPUTED_VALUE"""),"ที่อยู่ 76 หมู่ที่ 7 ต.ดงหม้อทอง อ.บ้านม่วง บึงกาฬ 47140")</f>
        <v>ที่อยู่ 76 หมู่ที่ 7 ต.ดงหม้อทอง อ.บ้านม่วง บึงกาฬ 47140</v>
      </c>
      <c r="Y3144" s="3"/>
      <c r="Z3144" s="3">
        <f>IFERROR(__xludf.DUMMYFUNCTION("""COMPUTED_VALUE"""),0.0)</f>
        <v>0</v>
      </c>
      <c r="AA3144" s="3">
        <f>IFERROR(__xludf.DUMMYFUNCTION("""COMPUTED_VALUE"""),0.0)</f>
        <v>0</v>
      </c>
      <c r="AB3144" s="3" t="str">
        <f>IFERROR(__xludf.DUMMYFUNCTION("""COMPUTED_VALUE"""),"บึงกาฬ")</f>
        <v>บึงกาฬ</v>
      </c>
      <c r="AC3144" s="3">
        <f>IFERROR(__xludf.DUMMYFUNCTION("""COMPUTED_VALUE"""),47140.0)</f>
        <v>47140</v>
      </c>
      <c r="AD3144" s="3"/>
      <c r="AE3144" s="3"/>
      <c r="AF3144" s="3" t="str">
        <f>IFERROR(__xludf.DUMMYFUNCTION("""COMPUTED_VALUE"""),"ร้านแสงหาญพาณิชย์-84194")</f>
        <v>ร้านแสงหาญพาณิชย์-84194</v>
      </c>
      <c r="AG3144" s="3" t="str">
        <f>IFERROR(__xludf.DUMMYFUNCTION("""COMPUTED_VALUE"""),"ตะวันออกเฉียงเหนือ")</f>
        <v>ตะวันออกเฉียงเหนือ</v>
      </c>
      <c r="AH3144" s="3" t="str">
        <f>IFERROR(__xludf.DUMMYFUNCTION("""COMPUTED_VALUE"""),"#N/A")</f>
        <v>#N/A</v>
      </c>
      <c r="AI3144" s="3" t="str">
        <f>IFERROR(__xludf.DUMMYFUNCTION("""COMPUTED_VALUE"""),"Out of warranty")</f>
        <v>Out of warranty</v>
      </c>
      <c r="AJ3144" s="3">
        <f>IFERROR(__xludf.DUMMYFUNCTION("""COMPUTED_VALUE"""),33.0)</f>
        <v>33</v>
      </c>
      <c r="AK3144" s="3"/>
      <c r="AL3144" s="3"/>
    </row>
    <row r="3145" ht="15.75" customHeight="1">
      <c r="A3145" s="1" t="str">
        <f>IFERROR(__xludf.DUMMYFUNCTION("""COMPUTED_VALUE"""),"84199")</f>
        <v>84199</v>
      </c>
      <c r="B3145" s="2">
        <f>IFERROR(__xludf.DUMMYFUNCTION("""COMPUTED_VALUE"""),84199.0)</f>
        <v>84199</v>
      </c>
      <c r="C3145" s="3" t="str">
        <f>IFERROR(__xludf.DUMMYFUNCTION("""COMPUTED_VALUE"""),"ร้านไอเดีย")</f>
        <v>ร้านไอเดีย</v>
      </c>
      <c r="D3145" s="3" t="str">
        <f>IFERROR(__xludf.DUMMYFUNCTION("""COMPUTED_VALUE"""),"ร้านไอเดีย")</f>
        <v>ร้านไอเดีย</v>
      </c>
      <c r="E3145" s="1" t="str">
        <f>IFERROR(__xludf.DUMMYFUNCTION("""COMPUTED_VALUE"""),"Donjai")</f>
        <v>Donjai</v>
      </c>
      <c r="F3145" s="1" t="str">
        <f>IFERROR(__xludf.DUMMYFUNCTION("""COMPUTED_VALUE"""),"296942")</f>
        <v>296942</v>
      </c>
      <c r="G3145" s="1" t="str">
        <f>IFERROR(__xludf.DUMMYFUNCTION("""COMPUTED_VALUE"""),"นายปิยะ รักษากิจ")</f>
        <v>นายปิยะ รักษากิจ</v>
      </c>
      <c r="H3145" s="1" t="str">
        <f>IFERROR(__xludf.DUMMYFUNCTION("""COMPUTED_VALUE"""),"296942")</f>
        <v>296942</v>
      </c>
      <c r="I3145" s="1" t="str">
        <f>IFERROR(__xludf.DUMMYFUNCTION("""COMPUTED_VALUE"""),"นายปิยะ รักษากิจ")</f>
        <v>นายปิยะ รักษากิจ</v>
      </c>
      <c r="J3145" s="3">
        <f>IFERROR(__xludf.DUMMYFUNCTION("""COMPUTED_VALUE"""),295541.0)</f>
        <v>295541</v>
      </c>
      <c r="K3145" s="3" t="str">
        <f>IFERROR(__xludf.DUMMYFUNCTION("""COMPUTED_VALUE"""),"นายรพิพล ศรีมาตย์")</f>
        <v>นายรพิพล ศรีมาตย์</v>
      </c>
      <c r="L3145" s="1" t="str">
        <f>IFERROR(__xludf.DUMMYFUNCTION("""COMPUTED_VALUE"""),"นายรพิพล ศรีมาตย์")</f>
        <v>นายรพิพล ศรีมาตย์</v>
      </c>
      <c r="M3145" s="1" t="str">
        <f>IFERROR(__xludf.DUMMYFUNCTION("""COMPUTED_VALUE"""),"0613966115")</f>
        <v>0613966115</v>
      </c>
      <c r="N3145" s="3">
        <f>IFERROR(__xludf.DUMMYFUNCTION("""COMPUTED_VALUE"""),84199.0)</f>
        <v>84199</v>
      </c>
      <c r="O3145" s="3" t="str">
        <f>IFERROR(__xludf.DUMMYFUNCTION("""COMPUTED_VALUE"""),"ร้านไอเดีย")</f>
        <v>ร้านไอเดีย</v>
      </c>
      <c r="P3145" s="4">
        <f>IFERROR(__xludf.DUMMYFUNCTION("""COMPUTED_VALUE"""),45063.0)</f>
        <v>45063</v>
      </c>
      <c r="Q3145" s="3" t="str">
        <f>IFERROR(__xludf.DUMMYFUNCTION("""COMPUTED_VALUE"""),"A")</f>
        <v>A</v>
      </c>
      <c r="R3145" s="3" t="str">
        <f>IFERROR(__xludf.DUMMYFUNCTION("""COMPUTED_VALUE"""),"Small Format")</f>
        <v>Small Format</v>
      </c>
      <c r="S3145" s="3" t="str">
        <f>IFERROR(__xludf.DUMMYFUNCTION("""COMPUTED_VALUE"""),"Donjai")</f>
        <v>Donjai</v>
      </c>
      <c r="T3145" s="3" t="str">
        <f>IFERROR(__xludf.DUMMYFUNCTION("""COMPUTED_VALUE"""),"07 K.Piya R.")</f>
        <v>07 K.Piya R.</v>
      </c>
      <c r="U3145" s="3" t="str">
        <f>IFERROR(__xludf.DUMMYFUNCTION("""COMPUTED_VALUE"""),"07 K.Piya R.")</f>
        <v>07 K.Piya R.</v>
      </c>
      <c r="V3145" s="3" t="str">
        <f>IFERROR(__xludf.DUMMYFUNCTION("""COMPUTED_VALUE"""),"N")</f>
        <v>N</v>
      </c>
      <c r="W3145" s="3"/>
      <c r="X3145" s="3" t="str">
        <f>IFERROR(__xludf.DUMMYFUNCTION("""COMPUTED_VALUE"""),"62/138 ม.2 บ้านสวน เมืองชลบุรี ระยอง 20000")</f>
        <v>62/138 ม.2 บ้านสวน เมืองชลบุรี ระยอง 20000</v>
      </c>
      <c r="Y3145" s="3"/>
      <c r="Z3145" s="3">
        <f>IFERROR(__xludf.DUMMYFUNCTION("""COMPUTED_VALUE"""),0.0)</f>
        <v>0</v>
      </c>
      <c r="AA3145" s="3">
        <f>IFERROR(__xludf.DUMMYFUNCTION("""COMPUTED_VALUE"""),0.0)</f>
        <v>0</v>
      </c>
      <c r="AB3145" s="3" t="str">
        <f>IFERROR(__xludf.DUMMYFUNCTION("""COMPUTED_VALUE"""),"ระยอง")</f>
        <v>ระยอง</v>
      </c>
      <c r="AC3145" s="3">
        <f>IFERROR(__xludf.DUMMYFUNCTION("""COMPUTED_VALUE"""),20000.0)</f>
        <v>20000</v>
      </c>
      <c r="AD3145" s="3"/>
      <c r="AE3145" s="3"/>
      <c r="AF3145" s="3" t="str">
        <f>IFERROR(__xludf.DUMMYFUNCTION("""COMPUTED_VALUE"""),"ร้านไอเดีย-84199")</f>
        <v>ร้านไอเดีย-84199</v>
      </c>
      <c r="AG3145" s="3" t="str">
        <f>IFERROR(__xludf.DUMMYFUNCTION("""COMPUTED_VALUE"""),"ตะวันออก")</f>
        <v>ตะวันออก</v>
      </c>
      <c r="AH3145" s="3" t="str">
        <f>IFERROR(__xludf.DUMMYFUNCTION("""COMPUTED_VALUE"""),"#N/A")</f>
        <v>#N/A</v>
      </c>
      <c r="AI3145" s="3" t="str">
        <f>IFERROR(__xludf.DUMMYFUNCTION("""COMPUTED_VALUE"""),"Out of warranty")</f>
        <v>Out of warranty</v>
      </c>
      <c r="AJ3145" s="3">
        <f>IFERROR(__xludf.DUMMYFUNCTION("""COMPUTED_VALUE"""),33.0)</f>
        <v>33</v>
      </c>
      <c r="AK3145" s="3"/>
      <c r="AL3145" s="3"/>
    </row>
    <row r="3146" ht="15.75" customHeight="1">
      <c r="A3146" s="1" t="str">
        <f>IFERROR(__xludf.DUMMYFUNCTION("""COMPUTED_VALUE"""),"84200")</f>
        <v>84200</v>
      </c>
      <c r="B3146" s="2">
        <f>IFERROR(__xludf.DUMMYFUNCTION("""COMPUTED_VALUE"""),84200.0)</f>
        <v>84200</v>
      </c>
      <c r="C3146" s="3" t="str">
        <f>IFERROR(__xludf.DUMMYFUNCTION("""COMPUTED_VALUE"""),"ร้าน ส.สุขสวัสดิ์")</f>
        <v>ร้าน ส.สุขสวัสดิ์</v>
      </c>
      <c r="D3146" s="3" t="str">
        <f>IFERROR(__xludf.DUMMYFUNCTION("""COMPUTED_VALUE"""),"ร้าน ส.สุขสวัสดิ์")</f>
        <v>ร้าน ส.สุขสวัสดิ์</v>
      </c>
      <c r="E3146" s="1" t="str">
        <f>IFERROR(__xludf.DUMMYFUNCTION("""COMPUTED_VALUE"""),"Donjai")</f>
        <v>Donjai</v>
      </c>
      <c r="F3146" s="1" t="str">
        <f>IFERROR(__xludf.DUMMYFUNCTION("""COMPUTED_VALUE"""),"296945")</f>
        <v>296945</v>
      </c>
      <c r="G3146" s="1" t="str">
        <f>IFERROR(__xludf.DUMMYFUNCTION("""COMPUTED_VALUE"""),"นายรักพงศ์ พงศ์พันธ์งาม")</f>
        <v>นายรักพงศ์ พงศ์พันธ์งาม</v>
      </c>
      <c r="H3146" s="1" t="str">
        <f>IFERROR(__xludf.DUMMYFUNCTION("""COMPUTED_VALUE"""),"296945")</f>
        <v>296945</v>
      </c>
      <c r="I3146" s="1" t="str">
        <f>IFERROR(__xludf.DUMMYFUNCTION("""COMPUTED_VALUE"""),"นายรักพงศ์ พงศ์พันธ์งาม")</f>
        <v>นายรักพงศ์ พงศ์พันธ์งาม</v>
      </c>
      <c r="J3146" s="3">
        <f>IFERROR(__xludf.DUMMYFUNCTION("""COMPUTED_VALUE"""),228031.0)</f>
        <v>228031</v>
      </c>
      <c r="K3146" s="3" t="str">
        <f>IFERROR(__xludf.DUMMYFUNCTION("""COMPUTED_VALUE"""),"นายธนพงษ์ วันหมัด")</f>
        <v>นายธนพงษ์ วันหมัด</v>
      </c>
      <c r="L3146" s="1" t="str">
        <f>IFERROR(__xludf.DUMMYFUNCTION("""COMPUTED_VALUE"""),"นายธนพงษ์ วันหมัด")</f>
        <v>นายธนพงษ์ วันหมัด</v>
      </c>
      <c r="M3146" s="1" t="str">
        <f>IFERROR(__xludf.DUMMYFUNCTION("""COMPUTED_VALUE"""),"0813716913")</f>
        <v>0813716913</v>
      </c>
      <c r="N3146" s="3">
        <f>IFERROR(__xludf.DUMMYFUNCTION("""COMPUTED_VALUE"""),84200.0)</f>
        <v>84200</v>
      </c>
      <c r="O3146" s="3" t="str">
        <f>IFERROR(__xludf.DUMMYFUNCTION("""COMPUTED_VALUE"""),"ร้าน ส.สุขสวัสดิ์")</f>
        <v>ร้าน ส.สุขสวัสดิ์</v>
      </c>
      <c r="P3146" s="4">
        <f>IFERROR(__xludf.DUMMYFUNCTION("""COMPUTED_VALUE"""),45068.0)</f>
        <v>45068</v>
      </c>
      <c r="Q3146" s="3" t="str">
        <f>IFERROR(__xludf.DUMMYFUNCTION("""COMPUTED_VALUE"""),"I")</f>
        <v>I</v>
      </c>
      <c r="R3146" s="3" t="str">
        <f>IFERROR(__xludf.DUMMYFUNCTION("""COMPUTED_VALUE"""),"Small Format")</f>
        <v>Small Format</v>
      </c>
      <c r="S3146" s="3" t="str">
        <f>IFERROR(__xludf.DUMMYFUNCTION("""COMPUTED_VALUE"""),"Donjai")</f>
        <v>Donjai</v>
      </c>
      <c r="T3146" s="3">
        <f>IFERROR(__xludf.DUMMYFUNCTION("""COMPUTED_VALUE"""),0.0)</f>
        <v>0</v>
      </c>
      <c r="U3146" s="3">
        <f>IFERROR(__xludf.DUMMYFUNCTION("""COMPUTED_VALUE"""),0.0)</f>
        <v>0</v>
      </c>
      <c r="V3146" s="3" t="str">
        <f>IFERROR(__xludf.DUMMYFUNCTION("""COMPUTED_VALUE"""),"N")</f>
        <v>N</v>
      </c>
      <c r="W3146" s="3"/>
      <c r="X3146" s="3" t="str">
        <f>IFERROR(__xludf.DUMMYFUNCTION("""COMPUTED_VALUE"""),"133 ม.4 พนานิคม นิคมพัฒนา ระยอง")</f>
        <v>133 ม.4 พนานิคม นิคมพัฒนา ระยอง</v>
      </c>
      <c r="Y3146" s="3"/>
      <c r="Z3146" s="3">
        <f>IFERROR(__xludf.DUMMYFUNCTION("""COMPUTED_VALUE"""),0.0)</f>
        <v>0</v>
      </c>
      <c r="AA3146" s="3">
        <f>IFERROR(__xludf.DUMMYFUNCTION("""COMPUTED_VALUE"""),0.0)</f>
        <v>0</v>
      </c>
      <c r="AB3146" s="3" t="str">
        <f>IFERROR(__xludf.DUMMYFUNCTION("""COMPUTED_VALUE"""),"ระยอง")</f>
        <v>ระยอง</v>
      </c>
      <c r="AC3146" s="3">
        <f>IFERROR(__xludf.DUMMYFUNCTION("""COMPUTED_VALUE"""),0.0)</f>
        <v>0</v>
      </c>
      <c r="AD3146" s="3"/>
      <c r="AE3146" s="3"/>
      <c r="AF3146" s="3" t="str">
        <f>IFERROR(__xludf.DUMMYFUNCTION("""COMPUTED_VALUE"""),"ร้าน ส.สุขสวัสดิ์-84200")</f>
        <v>ร้าน ส.สุขสวัสดิ์-84200</v>
      </c>
      <c r="AG3146" s="3" t="str">
        <f>IFERROR(__xludf.DUMMYFUNCTION("""COMPUTED_VALUE"""),"ตะวันออก")</f>
        <v>ตะวันออก</v>
      </c>
      <c r="AH3146" s="3" t="str">
        <f>IFERROR(__xludf.DUMMYFUNCTION("""COMPUTED_VALUE"""),"#N/A")</f>
        <v>#N/A</v>
      </c>
      <c r="AI3146" s="3" t="str">
        <f>IFERROR(__xludf.DUMMYFUNCTION("""COMPUTED_VALUE"""),"Out of warranty")</f>
        <v>Out of warranty</v>
      </c>
      <c r="AJ3146" s="3">
        <f>IFERROR(__xludf.DUMMYFUNCTION("""COMPUTED_VALUE"""),32.0)</f>
        <v>32</v>
      </c>
      <c r="AK3146" s="3"/>
      <c r="AL3146" s="3"/>
    </row>
    <row r="3147" ht="15.75" customHeight="1">
      <c r="A3147" s="1" t="str">
        <f>IFERROR(__xludf.DUMMYFUNCTION("""COMPUTED_VALUE"""),"84201")</f>
        <v>84201</v>
      </c>
      <c r="B3147" s="2">
        <f>IFERROR(__xludf.DUMMYFUNCTION("""COMPUTED_VALUE"""),84201.0)</f>
        <v>84201</v>
      </c>
      <c r="C3147" s="3" t="str">
        <f>IFERROR(__xludf.DUMMYFUNCTION("""COMPUTED_VALUE"""),"ร้านโชคดีพาณิชย์ (คุณเติ้ล)")</f>
        <v>ร้านโชคดีพาณิชย์ (คุณเติ้ล)</v>
      </c>
      <c r="D3147" s="3" t="str">
        <f>IFERROR(__xludf.DUMMYFUNCTION("""COMPUTED_VALUE"""),"ร้านโชคดีพาณิชย์ (คุณเติ้ล)")</f>
        <v>ร้านโชคดีพาณิชย์ (คุณเติ้ล)</v>
      </c>
      <c r="E3147" s="1" t="str">
        <f>IFERROR(__xludf.DUMMYFUNCTION("""COMPUTED_VALUE"""),"Donjai")</f>
        <v>Donjai</v>
      </c>
      <c r="F3147" s="1" t="str">
        <f>IFERROR(__xludf.DUMMYFUNCTION("""COMPUTED_VALUE"""),"13461215")</f>
        <v>13461215</v>
      </c>
      <c r="G3147" s="1" t="str">
        <f>IFERROR(__xludf.DUMMYFUNCTION("""COMPUTED_VALUE"""),"นายธีรภัทร สังข์เงิน")</f>
        <v>นายธีรภัทร สังข์เงิน</v>
      </c>
      <c r="H3147" s="1" t="str">
        <f>IFERROR(__xludf.DUMMYFUNCTION("""COMPUTED_VALUE"""),"13461215")</f>
        <v>13461215</v>
      </c>
      <c r="I3147" s="1" t="str">
        <f>IFERROR(__xludf.DUMMYFUNCTION("""COMPUTED_VALUE"""),"นายธีรภัทร สังข์เงิน")</f>
        <v>นายธีรภัทร สังข์เงิน</v>
      </c>
      <c r="J3147" s="3">
        <f>IFERROR(__xludf.DUMMYFUNCTION("""COMPUTED_VALUE"""),295541.0)</f>
        <v>295541</v>
      </c>
      <c r="K3147" s="3" t="str">
        <f>IFERROR(__xludf.DUMMYFUNCTION("""COMPUTED_VALUE"""),"นายรพิพล ศรีมาตย์")</f>
        <v>นายรพิพล ศรีมาตย์</v>
      </c>
      <c r="L3147" s="1" t="str">
        <f>IFERROR(__xludf.DUMMYFUNCTION("""COMPUTED_VALUE"""),"นายรพิพล ศรีมาตย์")</f>
        <v>นายรพิพล ศรีมาตย์</v>
      </c>
      <c r="M3147" s="1" t="str">
        <f>IFERROR(__xludf.DUMMYFUNCTION("""COMPUTED_VALUE"""),"0613966115")</f>
        <v>0613966115</v>
      </c>
      <c r="N3147" s="3">
        <f>IFERROR(__xludf.DUMMYFUNCTION("""COMPUTED_VALUE"""),84201.0)</f>
        <v>84201</v>
      </c>
      <c r="O3147" s="3" t="str">
        <f>IFERROR(__xludf.DUMMYFUNCTION("""COMPUTED_VALUE"""),"ร้านโชคดีพาณิชย์ (คุณเติ้ล)")</f>
        <v>ร้านโชคดีพาณิชย์ (คุณเติ้ล)</v>
      </c>
      <c r="P3147" s="4">
        <f>IFERROR(__xludf.DUMMYFUNCTION("""COMPUTED_VALUE"""),45064.0)</f>
        <v>45064</v>
      </c>
      <c r="Q3147" s="3" t="str">
        <f>IFERROR(__xludf.DUMMYFUNCTION("""COMPUTED_VALUE"""),"A")</f>
        <v>A</v>
      </c>
      <c r="R3147" s="3" t="str">
        <f>IFERROR(__xludf.DUMMYFUNCTION("""COMPUTED_VALUE"""),"Small Format")</f>
        <v>Small Format</v>
      </c>
      <c r="S3147" s="3" t="str">
        <f>IFERROR(__xludf.DUMMYFUNCTION("""COMPUTED_VALUE"""),"Donjai")</f>
        <v>Donjai</v>
      </c>
      <c r="T3147" s="3" t="str">
        <f>IFERROR(__xludf.DUMMYFUNCTION("""COMPUTED_VALUE"""),"06 K.Teerapat")</f>
        <v>06 K.Teerapat</v>
      </c>
      <c r="U3147" s="3" t="str">
        <f>IFERROR(__xludf.DUMMYFUNCTION("""COMPUTED_VALUE"""),"06 K.Teerapat")</f>
        <v>06 K.Teerapat</v>
      </c>
      <c r="V3147" s="3" t="str">
        <f>IFERROR(__xludf.DUMMYFUNCTION("""COMPUTED_VALUE"""),"N")</f>
        <v>N</v>
      </c>
      <c r="W3147" s="3"/>
      <c r="X3147" s="3" t="str">
        <f>IFERROR(__xludf.DUMMYFUNCTION("""COMPUTED_VALUE"""),"9 หมู่9 นาวังหิน พนัสนิคม ชลบุรี")</f>
        <v>9 หมู่9 นาวังหิน พนัสนิคม ชลบุรี</v>
      </c>
      <c r="Y3147" s="3"/>
      <c r="Z3147" s="3">
        <f>IFERROR(__xludf.DUMMYFUNCTION("""COMPUTED_VALUE"""),0.0)</f>
        <v>0</v>
      </c>
      <c r="AA3147" s="3">
        <f>IFERROR(__xludf.DUMMYFUNCTION("""COMPUTED_VALUE"""),0.0)</f>
        <v>0</v>
      </c>
      <c r="AB3147" s="3" t="str">
        <f>IFERROR(__xludf.DUMMYFUNCTION("""COMPUTED_VALUE"""),"ชลบุรี")</f>
        <v>ชลบุรี</v>
      </c>
      <c r="AC3147" s="3">
        <f>IFERROR(__xludf.DUMMYFUNCTION("""COMPUTED_VALUE"""),0.0)</f>
        <v>0</v>
      </c>
      <c r="AD3147" s="3"/>
      <c r="AE3147" s="3"/>
      <c r="AF3147" s="3" t="str">
        <f>IFERROR(__xludf.DUMMYFUNCTION("""COMPUTED_VALUE"""),"ร้านโชคดีพาณิชย์ (คุณเติ้ล)-84201")</f>
        <v>ร้านโชคดีพาณิชย์ (คุณเติ้ล)-84201</v>
      </c>
      <c r="AG3147" s="3" t="str">
        <f>IFERROR(__xludf.DUMMYFUNCTION("""COMPUTED_VALUE"""),"ตะวันออก")</f>
        <v>ตะวันออก</v>
      </c>
      <c r="AH3147" s="3" t="str">
        <f>IFERROR(__xludf.DUMMYFUNCTION("""COMPUTED_VALUE"""),"#N/A")</f>
        <v>#N/A</v>
      </c>
      <c r="AI3147" s="3" t="str">
        <f>IFERROR(__xludf.DUMMYFUNCTION("""COMPUTED_VALUE"""),"Out of warranty")</f>
        <v>Out of warranty</v>
      </c>
      <c r="AJ3147" s="3">
        <f>IFERROR(__xludf.DUMMYFUNCTION("""COMPUTED_VALUE"""),33.0)</f>
        <v>33</v>
      </c>
      <c r="AK3147" s="3"/>
      <c r="AL3147" s="3"/>
    </row>
    <row r="3148" ht="15.75" customHeight="1">
      <c r="A3148" s="1" t="str">
        <f>IFERROR(__xludf.DUMMYFUNCTION("""COMPUTED_VALUE"""),"84202")</f>
        <v>84202</v>
      </c>
      <c r="B3148" s="2">
        <f>IFERROR(__xludf.DUMMYFUNCTION("""COMPUTED_VALUE"""),84202.0)</f>
        <v>84202</v>
      </c>
      <c r="C3148" s="3" t="str">
        <f>IFERROR(__xludf.DUMMYFUNCTION("""COMPUTED_VALUE"""),"BEST&amp;CHEAP (เฉวงเฮ้าสไลท์)")</f>
        <v>BEST&amp;CHEAP (เฉวงเฮ้าสไลท์)</v>
      </c>
      <c r="D3148" s="3" t="str">
        <f>IFERROR(__xludf.DUMMYFUNCTION("""COMPUTED_VALUE"""),"BEST&amp;CHEAP (เฉวงเฮ้าสไลท์)")</f>
        <v>BEST&amp;CHEAP (เฉวงเฮ้าสไลท์)</v>
      </c>
      <c r="E3148" s="1" t="str">
        <f>IFERROR(__xludf.DUMMYFUNCTION("""COMPUTED_VALUE"""),"Donjai")</f>
        <v>Donjai</v>
      </c>
      <c r="F3148" s="1" t="str">
        <f>IFERROR(__xludf.DUMMYFUNCTION("""COMPUTED_VALUE"""),"025324")</f>
        <v>025324</v>
      </c>
      <c r="G3148" s="1" t="str">
        <f>IFERROR(__xludf.DUMMYFUNCTION("""COMPUTED_VALUE"""),"นายวิเชฎฐ์ ติรัตนะประคม")</f>
        <v>นายวิเชฎฐ์ ติรัตนะประคม</v>
      </c>
      <c r="H3148" s="1" t="str">
        <f>IFERROR(__xludf.DUMMYFUNCTION("""COMPUTED_VALUE"""),"025324")</f>
        <v>025324</v>
      </c>
      <c r="I3148" s="1" t="str">
        <f>IFERROR(__xludf.DUMMYFUNCTION("""COMPUTED_VALUE"""),"นายวิเชฎฐ์ ติรัตนะประคม")</f>
        <v>นายวิเชฎฐ์ ติรัตนะประคม</v>
      </c>
      <c r="J3148" s="3">
        <f>IFERROR(__xludf.DUMMYFUNCTION("""COMPUTED_VALUE"""),295541.0)</f>
        <v>295541</v>
      </c>
      <c r="K3148" s="3" t="str">
        <f>IFERROR(__xludf.DUMMYFUNCTION("""COMPUTED_VALUE"""),"นายรพิพล ศรีมาตย์")</f>
        <v>นายรพิพล ศรีมาตย์</v>
      </c>
      <c r="L3148" s="1" t="str">
        <f>IFERROR(__xludf.DUMMYFUNCTION("""COMPUTED_VALUE"""),"นายรพิพล ศรีมาตย์")</f>
        <v>นายรพิพล ศรีมาตย์</v>
      </c>
      <c r="M3148" s="1" t="str">
        <f>IFERROR(__xludf.DUMMYFUNCTION("""COMPUTED_VALUE"""),"0613966115")</f>
        <v>0613966115</v>
      </c>
      <c r="N3148" s="3">
        <f>IFERROR(__xludf.DUMMYFUNCTION("""COMPUTED_VALUE"""),84202.0)</f>
        <v>84202</v>
      </c>
      <c r="O3148" s="3" t="str">
        <f>IFERROR(__xludf.DUMMYFUNCTION("""COMPUTED_VALUE"""),"BEST&amp;CHEAP (เฉวงเฮ้าสไลท์)")</f>
        <v>BEST&amp;CHEAP (เฉวงเฮ้าสไลท์)</v>
      </c>
      <c r="P3148" s="4">
        <f>IFERROR(__xludf.DUMMYFUNCTION("""COMPUTED_VALUE"""),45171.0)</f>
        <v>45171</v>
      </c>
      <c r="Q3148" s="3" t="str">
        <f>IFERROR(__xludf.DUMMYFUNCTION("""COMPUTED_VALUE"""),"A")</f>
        <v>A</v>
      </c>
      <c r="R3148" s="3" t="str">
        <f>IFERROR(__xludf.DUMMYFUNCTION("""COMPUTED_VALUE"""),"Small Format")</f>
        <v>Small Format</v>
      </c>
      <c r="S3148" s="3" t="str">
        <f>IFERROR(__xludf.DUMMYFUNCTION("""COMPUTED_VALUE"""),"Donjai")</f>
        <v>Donjai</v>
      </c>
      <c r="T3148" s="3" t="str">
        <f>IFERROR(__xludf.DUMMYFUNCTION("""COMPUTED_VALUE"""),"14 K.Wichet T.")</f>
        <v>14 K.Wichet T.</v>
      </c>
      <c r="U3148" s="3" t="str">
        <f>IFERROR(__xludf.DUMMYFUNCTION("""COMPUTED_VALUE"""),"14 K.Wichet T.")</f>
        <v>14 K.Wichet T.</v>
      </c>
      <c r="V3148" s="3" t="str">
        <f>IFERROR(__xludf.DUMMYFUNCTION("""COMPUTED_VALUE"""),"N")</f>
        <v>N</v>
      </c>
      <c r="W3148" s="3"/>
      <c r="X3148" s="3" t="str">
        <f>IFERROR(__xludf.DUMMYFUNCTION("""COMPUTED_VALUE"""),"99/5 ม.3 ซ.หาดเฉวง1 บ่อผุด เกาะสมุย สุราษฎร์ธานี")</f>
        <v>99/5 ม.3 ซ.หาดเฉวง1 บ่อผุด เกาะสมุย สุราษฎร์ธานี</v>
      </c>
      <c r="Y3148" s="3"/>
      <c r="Z3148" s="3"/>
      <c r="AA3148" s="3"/>
      <c r="AB3148" s="3"/>
      <c r="AC3148" s="3"/>
      <c r="AD3148" s="3"/>
      <c r="AE3148" s="3"/>
      <c r="AF3148" s="3" t="str">
        <f>IFERROR(__xludf.DUMMYFUNCTION("""COMPUTED_VALUE"""),"BEST&amp;CHEAP (เฉวงเฮ้าสไลท์)-84202")</f>
        <v>BEST&amp;CHEAP (เฉวงเฮ้าสไลท์)-84202</v>
      </c>
      <c r="AG3148" s="3">
        <f>IFERROR(__xludf.DUMMYFUNCTION("""COMPUTED_VALUE"""),0.0)</f>
        <v>0</v>
      </c>
      <c r="AH3148" s="3" t="str">
        <f>IFERROR(__xludf.DUMMYFUNCTION("""COMPUTED_VALUE"""),"#N/A")</f>
        <v>#N/A</v>
      </c>
      <c r="AI3148" s="3" t="str">
        <f>IFERROR(__xludf.DUMMYFUNCTION("""COMPUTED_VALUE"""),"Out of warranty")</f>
        <v>Out of warranty</v>
      </c>
      <c r="AJ3148" s="3">
        <f>IFERROR(__xludf.DUMMYFUNCTION("""COMPUTED_VALUE"""),29.0)</f>
        <v>29</v>
      </c>
      <c r="AK3148" s="3"/>
      <c r="AL3148" s="3"/>
    </row>
    <row r="3149" ht="15.75" customHeight="1">
      <c r="A3149" s="1" t="str">
        <f>IFERROR(__xludf.DUMMYFUNCTION("""COMPUTED_VALUE"""),"84203")</f>
        <v>84203</v>
      </c>
      <c r="B3149" s="2">
        <f>IFERROR(__xludf.DUMMYFUNCTION("""COMPUTED_VALUE"""),84203.0)</f>
        <v>84203</v>
      </c>
      <c r="C3149" s="3" t="str">
        <f>IFERROR(__xludf.DUMMYFUNCTION("""COMPUTED_VALUE"""),"ร้านดอนแคน มาร์ท (แชน แชน มินิมาร์ท)")</f>
        <v>ร้านดอนแคน มาร์ท (แชน แชน มินิมาร์ท)</v>
      </c>
      <c r="D3149" s="3" t="str">
        <f>IFERROR(__xludf.DUMMYFUNCTION("""COMPUTED_VALUE"""),"ร้านดอนแคน มาร์ท (แชน แชน มินิมาร์ท)")</f>
        <v>ร้านดอนแคน มาร์ท (แชน แชน มินิมาร์ท)</v>
      </c>
      <c r="E3149" s="1" t="str">
        <f>IFERROR(__xludf.DUMMYFUNCTION("""COMPUTED_VALUE"""),"Donjai")</f>
        <v>Donjai</v>
      </c>
      <c r="F3149" s="1" t="str">
        <f>IFERROR(__xludf.DUMMYFUNCTION("""COMPUTED_VALUE"""),"296868")</f>
        <v>296868</v>
      </c>
      <c r="G3149" s="1" t="str">
        <f>IFERROR(__xludf.DUMMYFUNCTION("""COMPUTED_VALUE"""),"นายพีระพงษ์ แก้วดวงดี")</f>
        <v>นายพีระพงษ์ แก้วดวงดี</v>
      </c>
      <c r="H3149" s="1" t="str">
        <f>IFERROR(__xludf.DUMMYFUNCTION("""COMPUTED_VALUE"""),"296868")</f>
        <v>296868</v>
      </c>
      <c r="I3149" s="1" t="str">
        <f>IFERROR(__xludf.DUMMYFUNCTION("""COMPUTED_VALUE"""),"นายพีระพงษ์ แก้วดวงดี")</f>
        <v>นายพีระพงษ์ แก้วดวงดี</v>
      </c>
      <c r="J3149" s="3">
        <f>IFERROR(__xludf.DUMMYFUNCTION("""COMPUTED_VALUE"""),295886.0)</f>
        <v>295886</v>
      </c>
      <c r="K3149" s="3" t="str">
        <f>IFERROR(__xludf.DUMMYFUNCTION("""COMPUTED_VALUE"""),"นายจิระพงษ์ โพธิ์นิล")</f>
        <v>นายจิระพงษ์ โพธิ์นิล</v>
      </c>
      <c r="L3149" s="1" t="str">
        <f>IFERROR(__xludf.DUMMYFUNCTION("""COMPUTED_VALUE"""),"นายจิระพงษ์ โพธิ์นิล")</f>
        <v>นายจิระพงษ์ โพธิ์นิล</v>
      </c>
      <c r="M3149" s="1" t="str">
        <f>IFERROR(__xludf.DUMMYFUNCTION("""COMPUTED_VALUE"""),"0933290754")</f>
        <v>0933290754</v>
      </c>
      <c r="N3149" s="3">
        <f>IFERROR(__xludf.DUMMYFUNCTION("""COMPUTED_VALUE"""),84203.0)</f>
        <v>84203</v>
      </c>
      <c r="O3149" s="3" t="str">
        <f>IFERROR(__xludf.DUMMYFUNCTION("""COMPUTED_VALUE"""),"ร้านดอนแคน มาร์ท (แชน แชน มินิมาร์ท)")</f>
        <v>ร้านดอนแคน มาร์ท (แชน แชน มินิมาร์ท)</v>
      </c>
      <c r="P3149" s="4">
        <f>IFERROR(__xludf.DUMMYFUNCTION("""COMPUTED_VALUE"""),45057.0)</f>
        <v>45057</v>
      </c>
      <c r="Q3149" s="3" t="str">
        <f>IFERROR(__xludf.DUMMYFUNCTION("""COMPUTED_VALUE"""),"I")</f>
        <v>I</v>
      </c>
      <c r="R3149" s="3" t="str">
        <f>IFERROR(__xludf.DUMMYFUNCTION("""COMPUTED_VALUE"""),"Small Format")</f>
        <v>Small Format</v>
      </c>
      <c r="S3149" s="3" t="str">
        <f>IFERROR(__xludf.DUMMYFUNCTION("""COMPUTED_VALUE"""),"Donjai")</f>
        <v>Donjai</v>
      </c>
      <c r="T3149" s="3" t="str">
        <f>IFERROR(__xludf.DUMMYFUNCTION("""COMPUTED_VALUE"""),"03 K.Peerapong K.")</f>
        <v>03 K.Peerapong K.</v>
      </c>
      <c r="U3149" s="3" t="str">
        <f>IFERROR(__xludf.DUMMYFUNCTION("""COMPUTED_VALUE"""),"03 K.Peerapong K.")</f>
        <v>03 K.Peerapong K.</v>
      </c>
      <c r="V3149" s="3" t="str">
        <f>IFERROR(__xludf.DUMMYFUNCTION("""COMPUTED_VALUE"""),"N")</f>
        <v>N</v>
      </c>
      <c r="W3149" s="3"/>
      <c r="X3149" s="3" t="str">
        <f>IFERROR(__xludf.DUMMYFUNCTION("""COMPUTED_VALUE"""),"บ้านฝาง บ้านเลขที่ 93 หมู่ที่ 1 บ้านฝาง เกษตรวิสัย ร้อยเอ็ด 45150")</f>
        <v>บ้านฝาง บ้านเลขที่ 93 หมู่ที่ 1 บ้านฝาง เกษตรวิสัย ร้อยเอ็ด 45150</v>
      </c>
      <c r="Y3149" s="3"/>
      <c r="Z3149" s="3">
        <f>IFERROR(__xludf.DUMMYFUNCTION("""COMPUTED_VALUE"""),0.0)</f>
        <v>0</v>
      </c>
      <c r="AA3149" s="3">
        <f>IFERROR(__xludf.DUMMYFUNCTION("""COMPUTED_VALUE"""),0.0)</f>
        <v>0</v>
      </c>
      <c r="AB3149" s="3" t="str">
        <f>IFERROR(__xludf.DUMMYFUNCTION("""COMPUTED_VALUE"""),"ร้อยเอ็ด")</f>
        <v>ร้อยเอ็ด</v>
      </c>
      <c r="AC3149" s="3">
        <f>IFERROR(__xludf.DUMMYFUNCTION("""COMPUTED_VALUE"""),45150.0)</f>
        <v>45150</v>
      </c>
      <c r="AD3149" s="3"/>
      <c r="AE3149" s="3"/>
      <c r="AF3149" s="3" t="str">
        <f>IFERROR(__xludf.DUMMYFUNCTION("""COMPUTED_VALUE"""),"ร้านดอนแคน มาร์ท (แชน แชน มินิมาร์ท)-84203")</f>
        <v>ร้านดอนแคน มาร์ท (แชน แชน มินิมาร์ท)-84203</v>
      </c>
      <c r="AG3149" s="3" t="str">
        <f>IFERROR(__xludf.DUMMYFUNCTION("""COMPUTED_VALUE"""),"ตะวันออกเฉียงเหนือ")</f>
        <v>ตะวันออกเฉียงเหนือ</v>
      </c>
      <c r="AH3149" s="3" t="str">
        <f>IFERROR(__xludf.DUMMYFUNCTION("""COMPUTED_VALUE"""),"#N/A")</f>
        <v>#N/A</v>
      </c>
      <c r="AI3149" s="3" t="str">
        <f>IFERROR(__xludf.DUMMYFUNCTION("""COMPUTED_VALUE"""),"Out of warranty")</f>
        <v>Out of warranty</v>
      </c>
      <c r="AJ3149" s="3">
        <f>IFERROR(__xludf.DUMMYFUNCTION("""COMPUTED_VALUE"""),33.0)</f>
        <v>33</v>
      </c>
      <c r="AK3149" s="3"/>
      <c r="AL3149" s="3"/>
    </row>
    <row r="3150" ht="15.75" customHeight="1">
      <c r="A3150" s="1" t="str">
        <f>IFERROR(__xludf.DUMMYFUNCTION("""COMPUTED_VALUE"""),"84204")</f>
        <v>84204</v>
      </c>
      <c r="B3150" s="2">
        <f>IFERROR(__xludf.DUMMYFUNCTION("""COMPUTED_VALUE"""),84204.0)</f>
        <v>84204</v>
      </c>
      <c r="C3150" s="3" t="str">
        <f>IFERROR(__xludf.DUMMYFUNCTION("""COMPUTED_VALUE"""),"ร้านเป้กะปอนด์พาณิชย์")</f>
        <v>ร้านเป้กะปอนด์พาณิชย์</v>
      </c>
      <c r="D3150" s="3" t="str">
        <f>IFERROR(__xludf.DUMMYFUNCTION("""COMPUTED_VALUE"""),"ร้านเป้กะปอนด์พาณิชย์")</f>
        <v>ร้านเป้กะปอนด์พาณิชย์</v>
      </c>
      <c r="E3150" s="1" t="str">
        <f>IFERROR(__xludf.DUMMYFUNCTION("""COMPUTED_VALUE"""),"Donjai")</f>
        <v>Donjai</v>
      </c>
      <c r="F3150" s="1" t="str">
        <f>IFERROR(__xludf.DUMMYFUNCTION("""COMPUTED_VALUE"""),"015361")</f>
        <v>015361</v>
      </c>
      <c r="G3150" s="1" t="str">
        <f>IFERROR(__xludf.DUMMYFUNCTION("""COMPUTED_VALUE"""),"นายสมบูรณ์ พรหมในเมือง")</f>
        <v>นายสมบูรณ์ พรหมในเมือง</v>
      </c>
      <c r="H3150" s="1" t="str">
        <f>IFERROR(__xludf.DUMMYFUNCTION("""COMPUTED_VALUE"""),"015361")</f>
        <v>015361</v>
      </c>
      <c r="I3150" s="1" t="str">
        <f>IFERROR(__xludf.DUMMYFUNCTION("""COMPUTED_VALUE"""),"นายสมบูรณ์ พรหมในเมือง")</f>
        <v>นายสมบูรณ์ พรหมในเมือง</v>
      </c>
      <c r="J3150" s="3">
        <f>IFERROR(__xludf.DUMMYFUNCTION("""COMPUTED_VALUE"""),295886.0)</f>
        <v>295886</v>
      </c>
      <c r="K3150" s="3" t="str">
        <f>IFERROR(__xludf.DUMMYFUNCTION("""COMPUTED_VALUE"""),"นายจิระพงษ์ โพธิ์นิล")</f>
        <v>นายจิระพงษ์ โพธิ์นิล</v>
      </c>
      <c r="L3150" s="1" t="str">
        <f>IFERROR(__xludf.DUMMYFUNCTION("""COMPUTED_VALUE"""),"นายจิระพงษ์ โพธิ์นิล")</f>
        <v>นายจิระพงษ์ โพธิ์นิล</v>
      </c>
      <c r="M3150" s="1" t="str">
        <f>IFERROR(__xludf.DUMMYFUNCTION("""COMPUTED_VALUE"""),"0933290754")</f>
        <v>0933290754</v>
      </c>
      <c r="N3150" s="3">
        <f>IFERROR(__xludf.DUMMYFUNCTION("""COMPUTED_VALUE"""),84204.0)</f>
        <v>84204</v>
      </c>
      <c r="O3150" s="3" t="str">
        <f>IFERROR(__xludf.DUMMYFUNCTION("""COMPUTED_VALUE"""),"ร้านเป้กะปอนด์พาณิชย์")</f>
        <v>ร้านเป้กะปอนด์พาณิชย์</v>
      </c>
      <c r="P3150" s="4">
        <f>IFERROR(__xludf.DUMMYFUNCTION("""COMPUTED_VALUE"""),45050.0)</f>
        <v>45050</v>
      </c>
      <c r="Q3150" s="3" t="str">
        <f>IFERROR(__xludf.DUMMYFUNCTION("""COMPUTED_VALUE"""),"I")</f>
        <v>I</v>
      </c>
      <c r="R3150" s="3" t="str">
        <f>IFERROR(__xludf.DUMMYFUNCTION("""COMPUTED_VALUE"""),"Small Format")</f>
        <v>Small Format</v>
      </c>
      <c r="S3150" s="3" t="str">
        <f>IFERROR(__xludf.DUMMYFUNCTION("""COMPUTED_VALUE"""),"Donjai")</f>
        <v>Donjai</v>
      </c>
      <c r="T3150" s="3" t="str">
        <f>IFERROR(__xludf.DUMMYFUNCTION("""COMPUTED_VALUE"""),"04 K.Somboon P.")</f>
        <v>04 K.Somboon P.</v>
      </c>
      <c r="U3150" s="3" t="str">
        <f>IFERROR(__xludf.DUMMYFUNCTION("""COMPUTED_VALUE"""),"04 K.Somboon P.")</f>
        <v>04 K.Somboon P.</v>
      </c>
      <c r="V3150" s="3" t="str">
        <f>IFERROR(__xludf.DUMMYFUNCTION("""COMPUTED_VALUE"""),"N")</f>
        <v>N</v>
      </c>
      <c r="W3150" s="3"/>
      <c r="X3150" s="3" t="str">
        <f>IFERROR(__xludf.DUMMYFUNCTION("""COMPUTED_VALUE"""),"498 ม.9 ตาเกา น้ำขุ่น อุบลราชธานี")</f>
        <v>498 ม.9 ตาเกา น้ำขุ่น อุบลราชธานี</v>
      </c>
      <c r="Y3150" s="3"/>
      <c r="Z3150" s="3">
        <f>IFERROR(__xludf.DUMMYFUNCTION("""COMPUTED_VALUE"""),0.0)</f>
        <v>0</v>
      </c>
      <c r="AA3150" s="3">
        <f>IFERROR(__xludf.DUMMYFUNCTION("""COMPUTED_VALUE"""),0.0)</f>
        <v>0</v>
      </c>
      <c r="AB3150" s="3" t="str">
        <f>IFERROR(__xludf.DUMMYFUNCTION("""COMPUTED_VALUE"""),"อุบลราชธานี")</f>
        <v>อุบลราชธานี</v>
      </c>
      <c r="AC3150" s="3">
        <f>IFERROR(__xludf.DUMMYFUNCTION("""COMPUTED_VALUE"""),0.0)</f>
        <v>0</v>
      </c>
      <c r="AD3150" s="3"/>
      <c r="AE3150" s="3"/>
      <c r="AF3150" s="3" t="str">
        <f>IFERROR(__xludf.DUMMYFUNCTION("""COMPUTED_VALUE"""),"ร้านเป้กะปอนด์พาณิชย์-84204")</f>
        <v>ร้านเป้กะปอนด์พาณิชย์-84204</v>
      </c>
      <c r="AG3150" s="3" t="str">
        <f>IFERROR(__xludf.DUMMYFUNCTION("""COMPUTED_VALUE"""),"ตะวันออกเฉียงเหนือ")</f>
        <v>ตะวันออกเฉียงเหนือ</v>
      </c>
      <c r="AH3150" s="3" t="str">
        <f>IFERROR(__xludf.DUMMYFUNCTION("""COMPUTED_VALUE"""),"#N/A")</f>
        <v>#N/A</v>
      </c>
      <c r="AI3150" s="3" t="str">
        <f>IFERROR(__xludf.DUMMYFUNCTION("""COMPUTED_VALUE"""),"Out of warranty")</f>
        <v>Out of warranty</v>
      </c>
      <c r="AJ3150" s="3">
        <f>IFERROR(__xludf.DUMMYFUNCTION("""COMPUTED_VALUE"""),33.0)</f>
        <v>33</v>
      </c>
      <c r="AK3150" s="3"/>
      <c r="AL3150" s="3"/>
    </row>
    <row r="3151" ht="15.75" customHeight="1">
      <c r="A3151" s="1" t="str">
        <f>IFERROR(__xludf.DUMMYFUNCTION("""COMPUTED_VALUE"""),"84206")</f>
        <v>84206</v>
      </c>
      <c r="B3151" s="2">
        <f>IFERROR(__xludf.DUMMYFUNCTION("""COMPUTED_VALUE"""),84206.0)</f>
        <v>84206</v>
      </c>
      <c r="C3151" s="3" t="str">
        <f>IFERROR(__xludf.DUMMYFUNCTION("""COMPUTED_VALUE"""),"ร้านซอฟามาร์ท")</f>
        <v>ร้านซอฟามาร์ท</v>
      </c>
      <c r="D3151" s="3" t="str">
        <f>IFERROR(__xludf.DUMMYFUNCTION("""COMPUTED_VALUE"""),"ร้านซอฟามาร์ท")</f>
        <v>ร้านซอฟามาร์ท</v>
      </c>
      <c r="E3151" s="1" t="str">
        <f>IFERROR(__xludf.DUMMYFUNCTION("""COMPUTED_VALUE"""),"Donjai")</f>
        <v>Donjai</v>
      </c>
      <c r="F3151" s="1" t="str">
        <f>IFERROR(__xludf.DUMMYFUNCTION("""COMPUTED_VALUE"""),"20470331")</f>
        <v>20470331</v>
      </c>
      <c r="G3151" s="1" t="str">
        <f>IFERROR(__xludf.DUMMYFUNCTION("""COMPUTED_VALUE"""),"นายสมชาย ลักษณะสุวรรณ")</f>
        <v>นายสมชาย ลักษณะสุวรรณ</v>
      </c>
      <c r="H3151" s="1" t="str">
        <f>IFERROR(__xludf.DUMMYFUNCTION("""COMPUTED_VALUE"""),"20470331")</f>
        <v>20470331</v>
      </c>
      <c r="I3151" s="1" t="str">
        <f>IFERROR(__xludf.DUMMYFUNCTION("""COMPUTED_VALUE"""),"นายสมชาย ลักษณะสุวรรณ")</f>
        <v>นายสมชาย ลักษณะสุวรรณ</v>
      </c>
      <c r="J3151" s="3">
        <f>IFERROR(__xludf.DUMMYFUNCTION("""COMPUTED_VALUE"""),295541.0)</f>
        <v>295541</v>
      </c>
      <c r="K3151" s="3" t="str">
        <f>IFERROR(__xludf.DUMMYFUNCTION("""COMPUTED_VALUE"""),"นายรพิพล ศรีมาตย์")</f>
        <v>นายรพิพล ศรีมาตย์</v>
      </c>
      <c r="L3151" s="1" t="str">
        <f>IFERROR(__xludf.DUMMYFUNCTION("""COMPUTED_VALUE"""),"นายรพิพล ศรีมาตย์")</f>
        <v>นายรพิพล ศรีมาตย์</v>
      </c>
      <c r="M3151" s="1" t="str">
        <f>IFERROR(__xludf.DUMMYFUNCTION("""COMPUTED_VALUE"""),"0613966115")</f>
        <v>0613966115</v>
      </c>
      <c r="N3151" s="3">
        <f>IFERROR(__xludf.DUMMYFUNCTION("""COMPUTED_VALUE"""),84206.0)</f>
        <v>84206</v>
      </c>
      <c r="O3151" s="3" t="str">
        <f>IFERROR(__xludf.DUMMYFUNCTION("""COMPUTED_VALUE"""),"ร้านซอฟามาร์ท")</f>
        <v>ร้านซอฟามาร์ท</v>
      </c>
      <c r="P3151" s="4">
        <f>IFERROR(__xludf.DUMMYFUNCTION("""COMPUTED_VALUE"""),45064.0)</f>
        <v>45064</v>
      </c>
      <c r="Q3151" s="3" t="str">
        <f>IFERROR(__xludf.DUMMYFUNCTION("""COMPUTED_VALUE"""),"A")</f>
        <v>A</v>
      </c>
      <c r="R3151" s="3" t="str">
        <f>IFERROR(__xludf.DUMMYFUNCTION("""COMPUTED_VALUE"""),"Small Format")</f>
        <v>Small Format</v>
      </c>
      <c r="S3151" s="3" t="str">
        <f>IFERROR(__xludf.DUMMYFUNCTION("""COMPUTED_VALUE"""),"Donjai")</f>
        <v>Donjai</v>
      </c>
      <c r="T3151" s="3" t="str">
        <f>IFERROR(__xludf.DUMMYFUNCTION("""COMPUTED_VALUE"""),"15 K.Somchai L")</f>
        <v>15 K.Somchai L</v>
      </c>
      <c r="U3151" s="3" t="str">
        <f>IFERROR(__xludf.DUMMYFUNCTION("""COMPUTED_VALUE"""),"15 K.Somchai L")</f>
        <v>15 K.Somchai L</v>
      </c>
      <c r="V3151" s="3" t="str">
        <f>IFERROR(__xludf.DUMMYFUNCTION("""COMPUTED_VALUE"""),"N")</f>
        <v>N</v>
      </c>
      <c r="W3151" s="3"/>
      <c r="X3151" s="3" t="str">
        <f>IFERROR(__xludf.DUMMYFUNCTION("""COMPUTED_VALUE"""),"32/2 ม.2 ต.นาทอน ทุ่งหว้า สตูล 91120")</f>
        <v>32/2 ม.2 ต.นาทอน ทุ่งหว้า สตูล 91120</v>
      </c>
      <c r="Y3151" s="3"/>
      <c r="Z3151" s="3">
        <f>IFERROR(__xludf.DUMMYFUNCTION("""COMPUTED_VALUE"""),0.0)</f>
        <v>0</v>
      </c>
      <c r="AA3151" s="3">
        <f>IFERROR(__xludf.DUMMYFUNCTION("""COMPUTED_VALUE"""),0.0)</f>
        <v>0</v>
      </c>
      <c r="AB3151" s="3" t="str">
        <f>IFERROR(__xludf.DUMMYFUNCTION("""COMPUTED_VALUE"""),"สตูล")</f>
        <v>สตูล</v>
      </c>
      <c r="AC3151" s="3">
        <f>IFERROR(__xludf.DUMMYFUNCTION("""COMPUTED_VALUE"""),91120.0)</f>
        <v>91120</v>
      </c>
      <c r="AD3151" s="3"/>
      <c r="AE3151" s="3"/>
      <c r="AF3151" s="3" t="str">
        <f>IFERROR(__xludf.DUMMYFUNCTION("""COMPUTED_VALUE"""),"ร้านซอฟามาร์ท-84206")</f>
        <v>ร้านซอฟามาร์ท-84206</v>
      </c>
      <c r="AG3151" s="3" t="str">
        <f>IFERROR(__xludf.DUMMYFUNCTION("""COMPUTED_VALUE"""),"ใต้")</f>
        <v>ใต้</v>
      </c>
      <c r="AH3151" s="3" t="str">
        <f>IFERROR(__xludf.DUMMYFUNCTION("""COMPUTED_VALUE"""),"#N/A")</f>
        <v>#N/A</v>
      </c>
      <c r="AI3151" s="3" t="str">
        <f>IFERROR(__xludf.DUMMYFUNCTION("""COMPUTED_VALUE"""),"Out of warranty")</f>
        <v>Out of warranty</v>
      </c>
      <c r="AJ3151" s="3">
        <f>IFERROR(__xludf.DUMMYFUNCTION("""COMPUTED_VALUE"""),33.0)</f>
        <v>33</v>
      </c>
      <c r="AK3151" s="3"/>
      <c r="AL3151" s="3"/>
    </row>
    <row r="3152" ht="15.75" customHeight="1">
      <c r="A3152" s="1" t="str">
        <f>IFERROR(__xludf.DUMMYFUNCTION("""COMPUTED_VALUE"""),"84207")</f>
        <v>84207</v>
      </c>
      <c r="B3152" s="2">
        <f>IFERROR(__xludf.DUMMYFUNCTION("""COMPUTED_VALUE"""),84207.0)</f>
        <v>84207</v>
      </c>
      <c r="C3152" s="3" t="str">
        <f>IFERROR(__xludf.DUMMYFUNCTION("""COMPUTED_VALUE"""),"ร้านS.P. มินิมาร์ท (ลดา/ประสงค์)")</f>
        <v>ร้านS.P. มินิมาร์ท (ลดา/ประสงค์)</v>
      </c>
      <c r="D3152" s="3" t="str">
        <f>IFERROR(__xludf.DUMMYFUNCTION("""COMPUTED_VALUE"""),"ร้านS.P. มินิมาร์ท (ลดา/ประสงค์)")</f>
        <v>ร้านS.P. มินิมาร์ท (ลดา/ประสงค์)</v>
      </c>
      <c r="E3152" s="1" t="str">
        <f>IFERROR(__xludf.DUMMYFUNCTION("""COMPUTED_VALUE"""),"Donjai")</f>
        <v>Donjai</v>
      </c>
      <c r="F3152" s="1" t="str">
        <f>IFERROR(__xludf.DUMMYFUNCTION("""COMPUTED_VALUE"""),"13461215")</f>
        <v>13461215</v>
      </c>
      <c r="G3152" s="1" t="str">
        <f>IFERROR(__xludf.DUMMYFUNCTION("""COMPUTED_VALUE"""),"นายธีรภัทร สังข์เงิน")</f>
        <v>นายธีรภัทร สังข์เงิน</v>
      </c>
      <c r="H3152" s="1" t="str">
        <f>IFERROR(__xludf.DUMMYFUNCTION("""COMPUTED_VALUE"""),"13461215")</f>
        <v>13461215</v>
      </c>
      <c r="I3152" s="1" t="str">
        <f>IFERROR(__xludf.DUMMYFUNCTION("""COMPUTED_VALUE"""),"นายธีรภัทร สังข์เงิน")</f>
        <v>นายธีรภัทร สังข์เงิน</v>
      </c>
      <c r="J3152" s="3">
        <f>IFERROR(__xludf.DUMMYFUNCTION("""COMPUTED_VALUE"""),295541.0)</f>
        <v>295541</v>
      </c>
      <c r="K3152" s="3" t="str">
        <f>IFERROR(__xludf.DUMMYFUNCTION("""COMPUTED_VALUE"""),"นายรพิพล ศรีมาตย์")</f>
        <v>นายรพิพล ศรีมาตย์</v>
      </c>
      <c r="L3152" s="1" t="str">
        <f>IFERROR(__xludf.DUMMYFUNCTION("""COMPUTED_VALUE"""),"นายรพิพล ศรีมาตย์")</f>
        <v>นายรพิพล ศรีมาตย์</v>
      </c>
      <c r="M3152" s="1" t="str">
        <f>IFERROR(__xludf.DUMMYFUNCTION("""COMPUTED_VALUE"""),"0613966115")</f>
        <v>0613966115</v>
      </c>
      <c r="N3152" s="3">
        <f>IFERROR(__xludf.DUMMYFUNCTION("""COMPUTED_VALUE"""),84207.0)</f>
        <v>84207</v>
      </c>
      <c r="O3152" s="3" t="str">
        <f>IFERROR(__xludf.DUMMYFUNCTION("""COMPUTED_VALUE"""),"ร้านS.P. มินิมาร์ท (ลดา/ประสงค์)")</f>
        <v>ร้านS.P. มินิมาร์ท (ลดา/ประสงค์)</v>
      </c>
      <c r="P3152" s="4">
        <f>IFERROR(__xludf.DUMMYFUNCTION("""COMPUTED_VALUE"""),45061.0)</f>
        <v>45061</v>
      </c>
      <c r="Q3152" s="3" t="str">
        <f>IFERROR(__xludf.DUMMYFUNCTION("""COMPUTED_VALUE"""),"I")</f>
        <v>I</v>
      </c>
      <c r="R3152" s="3" t="str">
        <f>IFERROR(__xludf.DUMMYFUNCTION("""COMPUTED_VALUE"""),"Small Format")</f>
        <v>Small Format</v>
      </c>
      <c r="S3152" s="3" t="str">
        <f>IFERROR(__xludf.DUMMYFUNCTION("""COMPUTED_VALUE"""),"Donjai")</f>
        <v>Donjai</v>
      </c>
      <c r="T3152" s="3" t="str">
        <f>IFERROR(__xludf.DUMMYFUNCTION("""COMPUTED_VALUE"""),"06 K.Teerapat")</f>
        <v>06 K.Teerapat</v>
      </c>
      <c r="U3152" s="3" t="str">
        <f>IFERROR(__xludf.DUMMYFUNCTION("""COMPUTED_VALUE"""),"06 K.Teerapat")</f>
        <v>06 K.Teerapat</v>
      </c>
      <c r="V3152" s="3" t="str">
        <f>IFERROR(__xludf.DUMMYFUNCTION("""COMPUTED_VALUE"""),"N")</f>
        <v>N</v>
      </c>
      <c r="W3152" s="3"/>
      <c r="X3152" s="3" t="str">
        <f>IFERROR(__xludf.DUMMYFUNCTION("""COMPUTED_VALUE"""),"18-19หม๋10 บุญสัมพันธ์ เมืองพัทยา ชลบุรี 20250")</f>
        <v>18-19หม๋10 บุญสัมพันธ์ เมืองพัทยา ชลบุรี 20250</v>
      </c>
      <c r="Y3152" s="3"/>
      <c r="Z3152" s="3">
        <f>IFERROR(__xludf.DUMMYFUNCTION("""COMPUTED_VALUE"""),0.0)</f>
        <v>0</v>
      </c>
      <c r="AA3152" s="3">
        <f>IFERROR(__xludf.DUMMYFUNCTION("""COMPUTED_VALUE"""),0.0)</f>
        <v>0</v>
      </c>
      <c r="AB3152" s="3" t="str">
        <f>IFERROR(__xludf.DUMMYFUNCTION("""COMPUTED_VALUE"""),"ชลบุรี")</f>
        <v>ชลบุรี</v>
      </c>
      <c r="AC3152" s="3">
        <f>IFERROR(__xludf.DUMMYFUNCTION("""COMPUTED_VALUE"""),20250.0)</f>
        <v>20250</v>
      </c>
      <c r="AD3152" s="3"/>
      <c r="AE3152" s="3"/>
      <c r="AF3152" s="3" t="str">
        <f>IFERROR(__xludf.DUMMYFUNCTION("""COMPUTED_VALUE"""),"ร้านS.P. มินิมาร์ท (ลดา/ประสงค์)-84207")</f>
        <v>ร้านS.P. มินิมาร์ท (ลดา/ประสงค์)-84207</v>
      </c>
      <c r="AG3152" s="3" t="str">
        <f>IFERROR(__xludf.DUMMYFUNCTION("""COMPUTED_VALUE"""),"ตะวันออก")</f>
        <v>ตะวันออก</v>
      </c>
      <c r="AH3152" s="3" t="str">
        <f>IFERROR(__xludf.DUMMYFUNCTION("""COMPUTED_VALUE"""),"#N/A")</f>
        <v>#N/A</v>
      </c>
      <c r="AI3152" s="3" t="str">
        <f>IFERROR(__xludf.DUMMYFUNCTION("""COMPUTED_VALUE"""),"Out of warranty")</f>
        <v>Out of warranty</v>
      </c>
      <c r="AJ3152" s="3">
        <f>IFERROR(__xludf.DUMMYFUNCTION("""COMPUTED_VALUE"""),33.0)</f>
        <v>33</v>
      </c>
      <c r="AK3152" s="3"/>
      <c r="AL3152" s="3"/>
    </row>
    <row r="3153" ht="15.75" customHeight="1">
      <c r="A3153" s="1" t="str">
        <f>IFERROR(__xludf.DUMMYFUNCTION("""COMPUTED_VALUE"""),"84208")</f>
        <v>84208</v>
      </c>
      <c r="B3153" s="2">
        <f>IFERROR(__xludf.DUMMYFUNCTION("""COMPUTED_VALUE"""),84208.0)</f>
        <v>84208</v>
      </c>
      <c r="C3153" s="3" t="str">
        <f>IFERROR(__xludf.DUMMYFUNCTION("""COMPUTED_VALUE"""),"ร้านภูพานบ้านสวน")</f>
        <v>ร้านภูพานบ้านสวน</v>
      </c>
      <c r="D3153" s="3" t="str">
        <f>IFERROR(__xludf.DUMMYFUNCTION("""COMPUTED_VALUE"""),"ร้านภูพานบ้านสวน")</f>
        <v>ร้านภูพานบ้านสวน</v>
      </c>
      <c r="E3153" s="1" t="str">
        <f>IFERROR(__xludf.DUMMYFUNCTION("""COMPUTED_VALUE"""),"Donjai")</f>
        <v>Donjai</v>
      </c>
      <c r="F3153" s="1" t="str">
        <f>IFERROR(__xludf.DUMMYFUNCTION("""COMPUTED_VALUE"""),"296868")</f>
        <v>296868</v>
      </c>
      <c r="G3153" s="1" t="str">
        <f>IFERROR(__xludf.DUMMYFUNCTION("""COMPUTED_VALUE"""),"นายพีระพงษ์ แก้วดวงดี")</f>
        <v>นายพีระพงษ์ แก้วดวงดี</v>
      </c>
      <c r="H3153" s="1" t="str">
        <f>IFERROR(__xludf.DUMMYFUNCTION("""COMPUTED_VALUE"""),"296868")</f>
        <v>296868</v>
      </c>
      <c r="I3153" s="1" t="str">
        <f>IFERROR(__xludf.DUMMYFUNCTION("""COMPUTED_VALUE"""),"นายพีระพงษ์ แก้วดวงดี")</f>
        <v>นายพีระพงษ์ แก้วดวงดี</v>
      </c>
      <c r="J3153" s="3">
        <f>IFERROR(__xludf.DUMMYFUNCTION("""COMPUTED_VALUE"""),295886.0)</f>
        <v>295886</v>
      </c>
      <c r="K3153" s="3" t="str">
        <f>IFERROR(__xludf.DUMMYFUNCTION("""COMPUTED_VALUE"""),"นายจิระพงษ์ โพธิ์นิล")</f>
        <v>นายจิระพงษ์ โพธิ์นิล</v>
      </c>
      <c r="L3153" s="1" t="str">
        <f>IFERROR(__xludf.DUMMYFUNCTION("""COMPUTED_VALUE"""),"นายจิระพงษ์ โพธิ์นิล")</f>
        <v>นายจิระพงษ์ โพธิ์นิล</v>
      </c>
      <c r="M3153" s="1" t="str">
        <f>IFERROR(__xludf.DUMMYFUNCTION("""COMPUTED_VALUE"""),"0933290754")</f>
        <v>0933290754</v>
      </c>
      <c r="N3153" s="3">
        <f>IFERROR(__xludf.DUMMYFUNCTION("""COMPUTED_VALUE"""),84208.0)</f>
        <v>84208</v>
      </c>
      <c r="O3153" s="3" t="str">
        <f>IFERROR(__xludf.DUMMYFUNCTION("""COMPUTED_VALUE"""),"ร้านภูพานบ้านสวน")</f>
        <v>ร้านภูพานบ้านสวน</v>
      </c>
      <c r="P3153" s="4">
        <f>IFERROR(__xludf.DUMMYFUNCTION("""COMPUTED_VALUE"""),45075.0)</f>
        <v>45075</v>
      </c>
      <c r="Q3153" s="3" t="str">
        <f>IFERROR(__xludf.DUMMYFUNCTION("""COMPUTED_VALUE"""),"A")</f>
        <v>A</v>
      </c>
      <c r="R3153" s="3" t="str">
        <f>IFERROR(__xludf.DUMMYFUNCTION("""COMPUTED_VALUE"""),"Small Format")</f>
        <v>Small Format</v>
      </c>
      <c r="S3153" s="3" t="str">
        <f>IFERROR(__xludf.DUMMYFUNCTION("""COMPUTED_VALUE"""),"Donjai")</f>
        <v>Donjai</v>
      </c>
      <c r="T3153" s="3" t="str">
        <f>IFERROR(__xludf.DUMMYFUNCTION("""COMPUTED_VALUE"""),"03 K.Peerapong K.")</f>
        <v>03 K.Peerapong K.</v>
      </c>
      <c r="U3153" s="3" t="str">
        <f>IFERROR(__xludf.DUMMYFUNCTION("""COMPUTED_VALUE"""),"03 K.Peerapong K.")</f>
        <v>03 K.Peerapong K.</v>
      </c>
      <c r="V3153" s="3" t="str">
        <f>IFERROR(__xludf.DUMMYFUNCTION("""COMPUTED_VALUE"""),"N")</f>
        <v>N</v>
      </c>
      <c r="W3153" s="3"/>
      <c r="X3153" s="3" t="str">
        <f>IFERROR(__xludf.DUMMYFUNCTION("""COMPUTED_VALUE"""),"431/1 หมู่ 4 ห้วยยาง เมืองสกลนคร สกลนคร")</f>
        <v>431/1 หมู่ 4 ห้วยยาง เมืองสกลนคร สกลนคร</v>
      </c>
      <c r="Y3153" s="3"/>
      <c r="Z3153" s="3">
        <f>IFERROR(__xludf.DUMMYFUNCTION("""COMPUTED_VALUE"""),0.0)</f>
        <v>0</v>
      </c>
      <c r="AA3153" s="3">
        <f>IFERROR(__xludf.DUMMYFUNCTION("""COMPUTED_VALUE"""),0.0)</f>
        <v>0</v>
      </c>
      <c r="AB3153" s="3" t="str">
        <f>IFERROR(__xludf.DUMMYFUNCTION("""COMPUTED_VALUE"""),"สกลนคร")</f>
        <v>สกลนคร</v>
      </c>
      <c r="AC3153" s="3">
        <f>IFERROR(__xludf.DUMMYFUNCTION("""COMPUTED_VALUE"""),0.0)</f>
        <v>0</v>
      </c>
      <c r="AD3153" s="3"/>
      <c r="AE3153" s="3"/>
      <c r="AF3153" s="3" t="str">
        <f>IFERROR(__xludf.DUMMYFUNCTION("""COMPUTED_VALUE"""),"ร้านภูพานบ้านสวน-84208")</f>
        <v>ร้านภูพานบ้านสวน-84208</v>
      </c>
      <c r="AG3153" s="3" t="str">
        <f>IFERROR(__xludf.DUMMYFUNCTION("""COMPUTED_VALUE"""),"ตะวันออกเฉียงเหนือ")</f>
        <v>ตะวันออกเฉียงเหนือ</v>
      </c>
      <c r="AH3153" s="3" t="str">
        <f>IFERROR(__xludf.DUMMYFUNCTION("""COMPUTED_VALUE"""),"#N/A")</f>
        <v>#N/A</v>
      </c>
      <c r="AI3153" s="3" t="str">
        <f>IFERROR(__xludf.DUMMYFUNCTION("""COMPUTED_VALUE"""),"Out of warranty")</f>
        <v>Out of warranty</v>
      </c>
      <c r="AJ3153" s="3">
        <f>IFERROR(__xludf.DUMMYFUNCTION("""COMPUTED_VALUE"""),32.0)</f>
        <v>32</v>
      </c>
      <c r="AK3153" s="3"/>
      <c r="AL3153" s="3"/>
    </row>
    <row r="3154" ht="15.75" customHeight="1">
      <c r="A3154" s="1" t="str">
        <f>IFERROR(__xludf.DUMMYFUNCTION("""COMPUTED_VALUE"""),"84209")</f>
        <v>84209</v>
      </c>
      <c r="B3154" s="2">
        <f>IFERROR(__xludf.DUMMYFUNCTION("""COMPUTED_VALUE"""),84209.0)</f>
        <v>84209</v>
      </c>
      <c r="C3154" s="3" t="str">
        <f>IFERROR(__xludf.DUMMYFUNCTION("""COMPUTED_VALUE"""),"ร้าน byเน่จัง (by สามพอ)")</f>
        <v>ร้าน byเน่จัง (by สามพอ)</v>
      </c>
      <c r="D3154" s="3" t="str">
        <f>IFERROR(__xludf.DUMMYFUNCTION("""COMPUTED_VALUE"""),"ร้าน byเน่จัง (by สามพอ)")</f>
        <v>ร้าน byเน่จัง (by สามพอ)</v>
      </c>
      <c r="E3154" s="1" t="str">
        <f>IFERROR(__xludf.DUMMYFUNCTION("""COMPUTED_VALUE"""),"Donjai")</f>
        <v>Donjai</v>
      </c>
      <c r="F3154" s="1" t="str">
        <f>IFERROR(__xludf.DUMMYFUNCTION("""COMPUTED_VALUE"""),"296579")</f>
        <v>296579</v>
      </c>
      <c r="G3154" s="1" t="str">
        <f>IFERROR(__xludf.DUMMYFUNCTION("""COMPUTED_VALUE"""),"นายชนม์ณภัทร กุลพัฒน์จินดา")</f>
        <v>นายชนม์ณภัทร กุลพัฒน์จินดา</v>
      </c>
      <c r="H3154" s="1" t="str">
        <f>IFERROR(__xludf.DUMMYFUNCTION("""COMPUTED_VALUE"""),"296579")</f>
        <v>296579</v>
      </c>
      <c r="I3154" s="1" t="str">
        <f>IFERROR(__xludf.DUMMYFUNCTION("""COMPUTED_VALUE"""),"นายชนม์ณภัทร กุลพัฒน์จินดา")</f>
        <v>นายชนม์ณภัทร กุลพัฒน์จินดา</v>
      </c>
      <c r="J3154" s="3">
        <f>IFERROR(__xludf.DUMMYFUNCTION("""COMPUTED_VALUE"""),228031.0)</f>
        <v>228031</v>
      </c>
      <c r="K3154" s="3" t="str">
        <f>IFERROR(__xludf.DUMMYFUNCTION("""COMPUTED_VALUE"""),"นายธนพงษ์ วันหมัด")</f>
        <v>นายธนพงษ์ วันหมัด</v>
      </c>
      <c r="L3154" s="1" t="str">
        <f>IFERROR(__xludf.DUMMYFUNCTION("""COMPUTED_VALUE"""),"นายธนพงษ์ วันหมัด")</f>
        <v>นายธนพงษ์ วันหมัด</v>
      </c>
      <c r="M3154" s="1" t="str">
        <f>IFERROR(__xludf.DUMMYFUNCTION("""COMPUTED_VALUE"""),"0813716913")</f>
        <v>0813716913</v>
      </c>
      <c r="N3154" s="3">
        <f>IFERROR(__xludf.DUMMYFUNCTION("""COMPUTED_VALUE"""),84209.0)</f>
        <v>84209</v>
      </c>
      <c r="O3154" s="3" t="str">
        <f>IFERROR(__xludf.DUMMYFUNCTION("""COMPUTED_VALUE"""),"ร้าน byเน่จัง (by สามพอ)")</f>
        <v>ร้าน byเน่จัง (by สามพอ)</v>
      </c>
      <c r="P3154" s="4">
        <f>IFERROR(__xludf.DUMMYFUNCTION("""COMPUTED_VALUE"""),45068.0)</f>
        <v>45068</v>
      </c>
      <c r="Q3154" s="3" t="str">
        <f>IFERROR(__xludf.DUMMYFUNCTION("""COMPUTED_VALUE"""),"I")</f>
        <v>I</v>
      </c>
      <c r="R3154" s="3" t="str">
        <f>IFERROR(__xludf.DUMMYFUNCTION("""COMPUTED_VALUE"""),"Small Format")</f>
        <v>Small Format</v>
      </c>
      <c r="S3154" s="3" t="str">
        <f>IFERROR(__xludf.DUMMYFUNCTION("""COMPUTED_VALUE"""),"Donjai")</f>
        <v>Donjai</v>
      </c>
      <c r="T3154" s="3" t="str">
        <f>IFERROR(__xludf.DUMMYFUNCTION("""COMPUTED_VALUE"""),"#N/A")</f>
        <v>#N/A</v>
      </c>
      <c r="U3154" s="3" t="str">
        <f>IFERROR(__xludf.DUMMYFUNCTION("""COMPUTED_VALUE"""),"#N/A")</f>
        <v>#N/A</v>
      </c>
      <c r="V3154" s="3" t="str">
        <f>IFERROR(__xludf.DUMMYFUNCTION("""COMPUTED_VALUE"""),"N")</f>
        <v>N</v>
      </c>
      <c r="W3154" s="3"/>
      <c r="X3154" s="3" t="str">
        <f>IFERROR(__xludf.DUMMYFUNCTION("""COMPUTED_VALUE"""),"73 ดาวคะนอง ธนบุรี กรุงเทพมหานคร 10600")</f>
        <v>73 ดาวคะนอง ธนบุรี กรุงเทพมหานคร 10600</v>
      </c>
      <c r="Y3154" s="3"/>
      <c r="Z3154" s="3">
        <f>IFERROR(__xludf.DUMMYFUNCTION("""COMPUTED_VALUE"""),0.0)</f>
        <v>0</v>
      </c>
      <c r="AA3154" s="3">
        <f>IFERROR(__xludf.DUMMYFUNCTION("""COMPUTED_VALUE"""),0.0)</f>
        <v>0</v>
      </c>
      <c r="AB3154" s="3" t="str">
        <f>IFERROR(__xludf.DUMMYFUNCTION("""COMPUTED_VALUE"""),"กรุงเทพมหานคร")</f>
        <v>กรุงเทพมหานคร</v>
      </c>
      <c r="AC3154" s="3">
        <f>IFERROR(__xludf.DUMMYFUNCTION("""COMPUTED_VALUE"""),10600.0)</f>
        <v>10600</v>
      </c>
      <c r="AD3154" s="3"/>
      <c r="AE3154" s="3"/>
      <c r="AF3154" s="3" t="str">
        <f>IFERROR(__xludf.DUMMYFUNCTION("""COMPUTED_VALUE"""),"ร้าน byเน่จัง (by สามพอ)-84209")</f>
        <v>ร้าน byเน่จัง (by สามพอ)-84209</v>
      </c>
      <c r="AG3154" s="3" t="str">
        <f>IFERROR(__xludf.DUMMYFUNCTION("""COMPUTED_VALUE"""),"กลาง")</f>
        <v>กลาง</v>
      </c>
      <c r="AH3154" s="3" t="str">
        <f>IFERROR(__xludf.DUMMYFUNCTION("""COMPUTED_VALUE"""),"#N/A")</f>
        <v>#N/A</v>
      </c>
      <c r="AI3154" s="3" t="str">
        <f>IFERROR(__xludf.DUMMYFUNCTION("""COMPUTED_VALUE"""),"Out of warranty")</f>
        <v>Out of warranty</v>
      </c>
      <c r="AJ3154" s="3">
        <f>IFERROR(__xludf.DUMMYFUNCTION("""COMPUTED_VALUE"""),32.0)</f>
        <v>32</v>
      </c>
      <c r="AK3154" s="3"/>
      <c r="AL3154" s="3"/>
    </row>
    <row r="3155" ht="15.75" customHeight="1">
      <c r="A3155" s="1" t="str">
        <f>IFERROR(__xludf.DUMMYFUNCTION("""COMPUTED_VALUE"""),"84211")</f>
        <v>84211</v>
      </c>
      <c r="B3155" s="2">
        <f>IFERROR(__xludf.DUMMYFUNCTION("""COMPUTED_VALUE"""),84211.0)</f>
        <v>84211</v>
      </c>
      <c r="C3155" s="3" t="str">
        <f>IFERROR(__xludf.DUMMYFUNCTION("""COMPUTED_VALUE"""),"ร้านนวลวรรณ")</f>
        <v>ร้านนวลวรรณ</v>
      </c>
      <c r="D3155" s="3" t="str">
        <f>IFERROR(__xludf.DUMMYFUNCTION("""COMPUTED_VALUE"""),"ร้านนวลวรรณ")</f>
        <v>ร้านนวลวรรณ</v>
      </c>
      <c r="E3155" s="1" t="str">
        <f>IFERROR(__xludf.DUMMYFUNCTION("""COMPUTED_VALUE"""),"Donjai")</f>
        <v>Donjai</v>
      </c>
      <c r="F3155" s="1" t="str">
        <f>IFERROR(__xludf.DUMMYFUNCTION("""COMPUTED_VALUE"""),"015361")</f>
        <v>015361</v>
      </c>
      <c r="G3155" s="1" t="str">
        <f>IFERROR(__xludf.DUMMYFUNCTION("""COMPUTED_VALUE"""),"นายสมบูรณ์ พรหมในเมือง")</f>
        <v>นายสมบูรณ์ พรหมในเมือง</v>
      </c>
      <c r="H3155" s="1" t="str">
        <f>IFERROR(__xludf.DUMMYFUNCTION("""COMPUTED_VALUE"""),"015361")</f>
        <v>015361</v>
      </c>
      <c r="I3155" s="1" t="str">
        <f>IFERROR(__xludf.DUMMYFUNCTION("""COMPUTED_VALUE"""),"นายสมบูรณ์ พรหมในเมือง")</f>
        <v>นายสมบูรณ์ พรหมในเมือง</v>
      </c>
      <c r="J3155" s="3">
        <f>IFERROR(__xludf.DUMMYFUNCTION("""COMPUTED_VALUE"""),295886.0)</f>
        <v>295886</v>
      </c>
      <c r="K3155" s="3" t="str">
        <f>IFERROR(__xludf.DUMMYFUNCTION("""COMPUTED_VALUE"""),"นายจิระพงษ์ โพธิ์นิล")</f>
        <v>นายจิระพงษ์ โพธิ์นิล</v>
      </c>
      <c r="L3155" s="1" t="str">
        <f>IFERROR(__xludf.DUMMYFUNCTION("""COMPUTED_VALUE"""),"นายจิระพงษ์ โพธิ์นิล")</f>
        <v>นายจิระพงษ์ โพธิ์นิล</v>
      </c>
      <c r="M3155" s="1" t="str">
        <f>IFERROR(__xludf.DUMMYFUNCTION("""COMPUTED_VALUE"""),"0933290754")</f>
        <v>0933290754</v>
      </c>
      <c r="N3155" s="3">
        <f>IFERROR(__xludf.DUMMYFUNCTION("""COMPUTED_VALUE"""),84211.0)</f>
        <v>84211</v>
      </c>
      <c r="O3155" s="3" t="str">
        <f>IFERROR(__xludf.DUMMYFUNCTION("""COMPUTED_VALUE"""),"ร้านนวลวรรณ")</f>
        <v>ร้านนวลวรรณ</v>
      </c>
      <c r="P3155" s="4">
        <f>IFERROR(__xludf.DUMMYFUNCTION("""COMPUTED_VALUE"""),45071.0)</f>
        <v>45071</v>
      </c>
      <c r="Q3155" s="3" t="str">
        <f>IFERROR(__xludf.DUMMYFUNCTION("""COMPUTED_VALUE"""),"I")</f>
        <v>I</v>
      </c>
      <c r="R3155" s="3" t="str">
        <f>IFERROR(__xludf.DUMMYFUNCTION("""COMPUTED_VALUE"""),"Small Format")</f>
        <v>Small Format</v>
      </c>
      <c r="S3155" s="3" t="str">
        <f>IFERROR(__xludf.DUMMYFUNCTION("""COMPUTED_VALUE"""),"Donjai")</f>
        <v>Donjai</v>
      </c>
      <c r="T3155" s="3" t="str">
        <f>IFERROR(__xludf.DUMMYFUNCTION("""COMPUTED_VALUE"""),"04 K.Somboon P.")</f>
        <v>04 K.Somboon P.</v>
      </c>
      <c r="U3155" s="3" t="str">
        <f>IFERROR(__xludf.DUMMYFUNCTION("""COMPUTED_VALUE"""),"04 K.Somboon P.")</f>
        <v>04 K.Somboon P.</v>
      </c>
      <c r="V3155" s="3" t="str">
        <f>IFERROR(__xludf.DUMMYFUNCTION("""COMPUTED_VALUE"""),"N")</f>
        <v>N</v>
      </c>
      <c r="W3155" s="3"/>
      <c r="X3155" s="3" t="str">
        <f>IFERROR(__xludf.DUMMYFUNCTION("""COMPUTED_VALUE"""),"183 หมู่บ้านม่วงหมาก ถ.ศรีสะเกษ รัตนบุรี ต.ธาตุ อ.รัตนบุรี จ.สุรินทร์ 32130")</f>
        <v>183 หมู่บ้านม่วงหมาก ถ.ศรีสะเกษ รัตนบุรี ต.ธาตุ อ.รัตนบุรี จ.สุรินทร์ 32130</v>
      </c>
      <c r="Y3155" s="3"/>
      <c r="Z3155" s="3">
        <f>IFERROR(__xludf.DUMMYFUNCTION("""COMPUTED_VALUE"""),0.0)</f>
        <v>0</v>
      </c>
      <c r="AA3155" s="3">
        <f>IFERROR(__xludf.DUMMYFUNCTION("""COMPUTED_VALUE"""),0.0)</f>
        <v>0</v>
      </c>
      <c r="AB3155" s="3" t="str">
        <f>IFERROR(__xludf.DUMMYFUNCTION("""COMPUTED_VALUE"""),"สุรินทร์")</f>
        <v>สุรินทร์</v>
      </c>
      <c r="AC3155" s="3">
        <f>IFERROR(__xludf.DUMMYFUNCTION("""COMPUTED_VALUE"""),32130.0)</f>
        <v>32130</v>
      </c>
      <c r="AD3155" s="3"/>
      <c r="AE3155" s="3"/>
      <c r="AF3155" s="3" t="str">
        <f>IFERROR(__xludf.DUMMYFUNCTION("""COMPUTED_VALUE"""),"ร้านนวลวรรณ-84211")</f>
        <v>ร้านนวลวรรณ-84211</v>
      </c>
      <c r="AG3155" s="3" t="str">
        <f>IFERROR(__xludf.DUMMYFUNCTION("""COMPUTED_VALUE"""),"ตะวันออกเฉียงเหนือ")</f>
        <v>ตะวันออกเฉียงเหนือ</v>
      </c>
      <c r="AH3155" s="3" t="str">
        <f>IFERROR(__xludf.DUMMYFUNCTION("""COMPUTED_VALUE"""),"#N/A")</f>
        <v>#N/A</v>
      </c>
      <c r="AI3155" s="3" t="str">
        <f>IFERROR(__xludf.DUMMYFUNCTION("""COMPUTED_VALUE"""),"Out of warranty")</f>
        <v>Out of warranty</v>
      </c>
      <c r="AJ3155" s="3">
        <f>IFERROR(__xludf.DUMMYFUNCTION("""COMPUTED_VALUE"""),32.0)</f>
        <v>32</v>
      </c>
      <c r="AK3155" s="3"/>
      <c r="AL3155" s="3"/>
    </row>
    <row r="3156" ht="15.75" customHeight="1">
      <c r="A3156" s="1" t="str">
        <f>IFERROR(__xludf.DUMMYFUNCTION("""COMPUTED_VALUE"""),"84213")</f>
        <v>84213</v>
      </c>
      <c r="B3156" s="2">
        <f>IFERROR(__xludf.DUMMYFUNCTION("""COMPUTED_VALUE"""),84213.0)</f>
        <v>84213</v>
      </c>
      <c r="C3156" s="3" t="str">
        <f>IFERROR(__xludf.DUMMYFUNCTION("""COMPUTED_VALUE"""),"ร้านโกศล (ทัศนีย์)")</f>
        <v>ร้านโกศล (ทัศนีย์)</v>
      </c>
      <c r="D3156" s="3" t="str">
        <f>IFERROR(__xludf.DUMMYFUNCTION("""COMPUTED_VALUE"""),"ร้านโกศล (ทัศนีย์)")</f>
        <v>ร้านโกศล (ทัศนีย์)</v>
      </c>
      <c r="E3156" s="1" t="str">
        <f>IFERROR(__xludf.DUMMYFUNCTION("""COMPUTED_VALUE"""),"Donjai")</f>
        <v>Donjai</v>
      </c>
      <c r="F3156" s="1" t="str">
        <f>IFERROR(__xludf.DUMMYFUNCTION("""COMPUTED_VALUE"""),"015361")</f>
        <v>015361</v>
      </c>
      <c r="G3156" s="1" t="str">
        <f>IFERROR(__xludf.DUMMYFUNCTION("""COMPUTED_VALUE"""),"นายสมบูรณ์ พรหมในเมือง")</f>
        <v>นายสมบูรณ์ พรหมในเมือง</v>
      </c>
      <c r="H3156" s="1" t="str">
        <f>IFERROR(__xludf.DUMMYFUNCTION("""COMPUTED_VALUE"""),"015361")</f>
        <v>015361</v>
      </c>
      <c r="I3156" s="1" t="str">
        <f>IFERROR(__xludf.DUMMYFUNCTION("""COMPUTED_VALUE"""),"นายสมบูรณ์ พรหมในเมือง")</f>
        <v>นายสมบูรณ์ พรหมในเมือง</v>
      </c>
      <c r="J3156" s="3">
        <f>IFERROR(__xludf.DUMMYFUNCTION("""COMPUTED_VALUE"""),295886.0)</f>
        <v>295886</v>
      </c>
      <c r="K3156" s="3" t="str">
        <f>IFERROR(__xludf.DUMMYFUNCTION("""COMPUTED_VALUE"""),"นายจิระพงษ์ โพธิ์นิล")</f>
        <v>นายจิระพงษ์ โพธิ์นิล</v>
      </c>
      <c r="L3156" s="1" t="str">
        <f>IFERROR(__xludf.DUMMYFUNCTION("""COMPUTED_VALUE"""),"นายจิระพงษ์ โพธิ์นิล")</f>
        <v>นายจิระพงษ์ โพธิ์นิล</v>
      </c>
      <c r="M3156" s="1" t="str">
        <f>IFERROR(__xludf.DUMMYFUNCTION("""COMPUTED_VALUE"""),"0933290754")</f>
        <v>0933290754</v>
      </c>
      <c r="N3156" s="3">
        <f>IFERROR(__xludf.DUMMYFUNCTION("""COMPUTED_VALUE"""),84213.0)</f>
        <v>84213</v>
      </c>
      <c r="O3156" s="3" t="str">
        <f>IFERROR(__xludf.DUMMYFUNCTION("""COMPUTED_VALUE"""),"ร้านโกศล (ทัศนีย์)")</f>
        <v>ร้านโกศล (ทัศนีย์)</v>
      </c>
      <c r="P3156" s="4">
        <f>IFERROR(__xludf.DUMMYFUNCTION("""COMPUTED_VALUE"""),45097.0)</f>
        <v>45097</v>
      </c>
      <c r="Q3156" s="3" t="str">
        <f>IFERROR(__xludf.DUMMYFUNCTION("""COMPUTED_VALUE"""),"A")</f>
        <v>A</v>
      </c>
      <c r="R3156" s="3" t="str">
        <f>IFERROR(__xludf.DUMMYFUNCTION("""COMPUTED_VALUE"""),"Small Format")</f>
        <v>Small Format</v>
      </c>
      <c r="S3156" s="3" t="str">
        <f>IFERROR(__xludf.DUMMYFUNCTION("""COMPUTED_VALUE"""),"Donjai")</f>
        <v>Donjai</v>
      </c>
      <c r="T3156" s="3" t="str">
        <f>IFERROR(__xludf.DUMMYFUNCTION("""COMPUTED_VALUE"""),"04 K.Somboon P.")</f>
        <v>04 K.Somboon P.</v>
      </c>
      <c r="U3156" s="3" t="str">
        <f>IFERROR(__xludf.DUMMYFUNCTION("""COMPUTED_VALUE"""),"04 K.Somboon P.")</f>
        <v>04 K.Somboon P.</v>
      </c>
      <c r="V3156" s="3" t="str">
        <f>IFERROR(__xludf.DUMMYFUNCTION("""COMPUTED_VALUE"""),"N")</f>
        <v>N</v>
      </c>
      <c r="W3156" s="3"/>
      <c r="X3156" s="3" t="str">
        <f>IFERROR(__xludf.DUMMYFUNCTION("""COMPUTED_VALUE"""),"16 ม.4 โคราช สูงเนิน นครราชสีมา")</f>
        <v>16 ม.4 โคราช สูงเนิน นครราชสีมา</v>
      </c>
      <c r="Y3156" s="3"/>
      <c r="Z3156" s="3"/>
      <c r="AA3156" s="3"/>
      <c r="AB3156" s="3"/>
      <c r="AC3156" s="3"/>
      <c r="AD3156" s="3"/>
      <c r="AE3156" s="3"/>
      <c r="AF3156" s="3" t="str">
        <f>IFERROR(__xludf.DUMMYFUNCTION("""COMPUTED_VALUE"""),"ร้านโกศล (ทัศนีย์)-84213")</f>
        <v>ร้านโกศล (ทัศนีย์)-84213</v>
      </c>
      <c r="AG3156" s="3">
        <f>IFERROR(__xludf.DUMMYFUNCTION("""COMPUTED_VALUE"""),0.0)</f>
        <v>0</v>
      </c>
      <c r="AH3156" s="3" t="str">
        <f>IFERROR(__xludf.DUMMYFUNCTION("""COMPUTED_VALUE"""),"#N/A")</f>
        <v>#N/A</v>
      </c>
      <c r="AI3156" s="3" t="str">
        <f>IFERROR(__xludf.DUMMYFUNCTION("""COMPUTED_VALUE"""),"Out of warranty")</f>
        <v>Out of warranty</v>
      </c>
      <c r="AJ3156" s="3">
        <f>IFERROR(__xludf.DUMMYFUNCTION("""COMPUTED_VALUE"""),32.0)</f>
        <v>32</v>
      </c>
      <c r="AK3156" s="3"/>
      <c r="AL3156" s="3"/>
    </row>
    <row r="3157" ht="15.75" customHeight="1">
      <c r="A3157" s="1" t="str">
        <f>IFERROR(__xludf.DUMMYFUNCTION("""COMPUTED_VALUE"""),"84214")</f>
        <v>84214</v>
      </c>
      <c r="B3157" s="2">
        <f>IFERROR(__xludf.DUMMYFUNCTION("""COMPUTED_VALUE"""),84214.0)</f>
        <v>84214</v>
      </c>
      <c r="C3157" s="3" t="str">
        <f>IFERROR(__xludf.DUMMYFUNCTION("""COMPUTED_VALUE"""),"ร้าน PJ มินิมาร์ท (ลากูน่ารีสอร์ท 3)")</f>
        <v>ร้าน PJ มินิมาร์ท (ลากูน่ารีสอร์ท 3)</v>
      </c>
      <c r="D3157" s="3" t="str">
        <f>IFERROR(__xludf.DUMMYFUNCTION("""COMPUTED_VALUE"""),"ร้าน PJ มินิมาร์ท (ลากูน่ารีสอร์ท 3)")</f>
        <v>ร้าน PJ มินิมาร์ท (ลากูน่ารีสอร์ท 3)</v>
      </c>
      <c r="E3157" s="1" t="str">
        <f>IFERROR(__xludf.DUMMYFUNCTION("""COMPUTED_VALUE"""),"Donjai")</f>
        <v>Donjai</v>
      </c>
      <c r="F3157" s="1" t="str">
        <f>IFERROR(__xludf.DUMMYFUNCTION("""COMPUTED_VALUE"""),"13461215")</f>
        <v>13461215</v>
      </c>
      <c r="G3157" s="1" t="str">
        <f>IFERROR(__xludf.DUMMYFUNCTION("""COMPUTED_VALUE"""),"นายธีรภัทร สังข์เงิน")</f>
        <v>นายธีรภัทร สังข์เงิน</v>
      </c>
      <c r="H3157" s="1" t="str">
        <f>IFERROR(__xludf.DUMMYFUNCTION("""COMPUTED_VALUE"""),"13461215")</f>
        <v>13461215</v>
      </c>
      <c r="I3157" s="1" t="str">
        <f>IFERROR(__xludf.DUMMYFUNCTION("""COMPUTED_VALUE"""),"นายธีรภัทร สังข์เงิน")</f>
        <v>นายธีรภัทร สังข์เงิน</v>
      </c>
      <c r="J3157" s="3">
        <f>IFERROR(__xludf.DUMMYFUNCTION("""COMPUTED_VALUE"""),295541.0)</f>
        <v>295541</v>
      </c>
      <c r="K3157" s="3" t="str">
        <f>IFERROR(__xludf.DUMMYFUNCTION("""COMPUTED_VALUE"""),"นายรพิพล ศรีมาตย์")</f>
        <v>นายรพิพล ศรีมาตย์</v>
      </c>
      <c r="L3157" s="1" t="str">
        <f>IFERROR(__xludf.DUMMYFUNCTION("""COMPUTED_VALUE"""),"นายรพิพล ศรีมาตย์")</f>
        <v>นายรพิพล ศรีมาตย์</v>
      </c>
      <c r="M3157" s="1" t="str">
        <f>IFERROR(__xludf.DUMMYFUNCTION("""COMPUTED_VALUE"""),"0613966115")</f>
        <v>0613966115</v>
      </c>
      <c r="N3157" s="3">
        <f>IFERROR(__xludf.DUMMYFUNCTION("""COMPUTED_VALUE"""),84214.0)</f>
        <v>84214</v>
      </c>
      <c r="O3157" s="3" t="str">
        <f>IFERROR(__xludf.DUMMYFUNCTION("""COMPUTED_VALUE"""),"ร้าน PJ มินิมาร์ท (ลากูน่ารีสอร์ท 3)")</f>
        <v>ร้าน PJ มินิมาร์ท (ลากูน่ารีสอร์ท 3)</v>
      </c>
      <c r="P3157" s="4">
        <f>IFERROR(__xludf.DUMMYFUNCTION("""COMPUTED_VALUE"""),45083.0)</f>
        <v>45083</v>
      </c>
      <c r="Q3157" s="3" t="str">
        <f>IFERROR(__xludf.DUMMYFUNCTION("""COMPUTED_VALUE"""),"A")</f>
        <v>A</v>
      </c>
      <c r="R3157" s="3" t="str">
        <f>IFERROR(__xludf.DUMMYFUNCTION("""COMPUTED_VALUE"""),"Small Format")</f>
        <v>Small Format</v>
      </c>
      <c r="S3157" s="3" t="str">
        <f>IFERROR(__xludf.DUMMYFUNCTION("""COMPUTED_VALUE"""),"Donjai")</f>
        <v>Donjai</v>
      </c>
      <c r="T3157" s="3" t="str">
        <f>IFERROR(__xludf.DUMMYFUNCTION("""COMPUTED_VALUE"""),"06 K.Teerapat")</f>
        <v>06 K.Teerapat</v>
      </c>
      <c r="U3157" s="3" t="str">
        <f>IFERROR(__xludf.DUMMYFUNCTION("""COMPUTED_VALUE"""),"06 K.Teerapat")</f>
        <v>06 K.Teerapat</v>
      </c>
      <c r="V3157" s="3" t="str">
        <f>IFERROR(__xludf.DUMMYFUNCTION("""COMPUTED_VALUE"""),"N")</f>
        <v>N</v>
      </c>
      <c r="W3157" s="3"/>
      <c r="X3157" s="3" t="str">
        <f>IFERROR(__xludf.DUMMYFUNCTION("""COMPUTED_VALUE"""),"164/827 หนองปรือ บางละมุง ชลบุรี")</f>
        <v>164/827 หนองปรือ บางละมุง ชลบุรี</v>
      </c>
      <c r="Y3157" s="3"/>
      <c r="Z3157" s="3">
        <f>IFERROR(__xludf.DUMMYFUNCTION("""COMPUTED_VALUE"""),0.0)</f>
        <v>0</v>
      </c>
      <c r="AA3157" s="3">
        <f>IFERROR(__xludf.DUMMYFUNCTION("""COMPUTED_VALUE"""),0.0)</f>
        <v>0</v>
      </c>
      <c r="AB3157" s="3" t="str">
        <f>IFERROR(__xludf.DUMMYFUNCTION("""COMPUTED_VALUE"""),"ชลบุรี")</f>
        <v>ชลบุรี</v>
      </c>
      <c r="AC3157" s="3">
        <f>IFERROR(__xludf.DUMMYFUNCTION("""COMPUTED_VALUE"""),0.0)</f>
        <v>0</v>
      </c>
      <c r="AD3157" s="3"/>
      <c r="AE3157" s="3"/>
      <c r="AF3157" s="3" t="str">
        <f>IFERROR(__xludf.DUMMYFUNCTION("""COMPUTED_VALUE"""),"ร้าน PJ มินิมาร์ท (ลากูน่ารีสอร์ท 3)-84214")</f>
        <v>ร้าน PJ มินิมาร์ท (ลากูน่ารีสอร์ท 3)-84214</v>
      </c>
      <c r="AG3157" s="3" t="str">
        <f>IFERROR(__xludf.DUMMYFUNCTION("""COMPUTED_VALUE"""),"ตะวันออก")</f>
        <v>ตะวันออก</v>
      </c>
      <c r="AH3157" s="3" t="str">
        <f>IFERROR(__xludf.DUMMYFUNCTION("""COMPUTED_VALUE"""),"#N/A")</f>
        <v>#N/A</v>
      </c>
      <c r="AI3157" s="3" t="str">
        <f>IFERROR(__xludf.DUMMYFUNCTION("""COMPUTED_VALUE"""),"Out of warranty")</f>
        <v>Out of warranty</v>
      </c>
      <c r="AJ3157" s="3">
        <f>IFERROR(__xludf.DUMMYFUNCTION("""COMPUTED_VALUE"""),32.0)</f>
        <v>32</v>
      </c>
      <c r="AK3157" s="3"/>
      <c r="AL3157" s="3"/>
    </row>
    <row r="3158" ht="15.75" customHeight="1">
      <c r="A3158" s="1" t="str">
        <f>IFERROR(__xludf.DUMMYFUNCTION("""COMPUTED_VALUE"""),"84216")</f>
        <v>84216</v>
      </c>
      <c r="B3158" s="2">
        <f>IFERROR(__xludf.DUMMYFUNCTION("""COMPUTED_VALUE"""),84216.0)</f>
        <v>84216</v>
      </c>
      <c r="C3158" s="3" t="str">
        <f>IFERROR(__xludf.DUMMYFUNCTION("""COMPUTED_VALUE"""),"ร้านเจ้เตน")</f>
        <v>ร้านเจ้เตน</v>
      </c>
      <c r="D3158" s="3" t="str">
        <f>IFERROR(__xludf.DUMMYFUNCTION("""COMPUTED_VALUE"""),"ร้านเจ้เตน")</f>
        <v>ร้านเจ้เตน</v>
      </c>
      <c r="E3158" s="1" t="str">
        <f>IFERROR(__xludf.DUMMYFUNCTION("""COMPUTED_VALUE"""),"Donjai")</f>
        <v>Donjai</v>
      </c>
      <c r="F3158" s="1" t="str">
        <f>IFERROR(__xludf.DUMMYFUNCTION("""COMPUTED_VALUE"""),"296868")</f>
        <v>296868</v>
      </c>
      <c r="G3158" s="1" t="str">
        <f>IFERROR(__xludf.DUMMYFUNCTION("""COMPUTED_VALUE"""),"นายพีระพงษ์ แก้วดวงดี")</f>
        <v>นายพีระพงษ์ แก้วดวงดี</v>
      </c>
      <c r="H3158" s="1" t="str">
        <f>IFERROR(__xludf.DUMMYFUNCTION("""COMPUTED_VALUE"""),"296868")</f>
        <v>296868</v>
      </c>
      <c r="I3158" s="1" t="str">
        <f>IFERROR(__xludf.DUMMYFUNCTION("""COMPUTED_VALUE"""),"นายพีระพงษ์ แก้วดวงดี")</f>
        <v>นายพีระพงษ์ แก้วดวงดี</v>
      </c>
      <c r="J3158" s="3">
        <f>IFERROR(__xludf.DUMMYFUNCTION("""COMPUTED_VALUE"""),295886.0)</f>
        <v>295886</v>
      </c>
      <c r="K3158" s="3" t="str">
        <f>IFERROR(__xludf.DUMMYFUNCTION("""COMPUTED_VALUE"""),"นายจิระพงษ์ โพธิ์นิล")</f>
        <v>นายจิระพงษ์ โพธิ์นิล</v>
      </c>
      <c r="L3158" s="1" t="str">
        <f>IFERROR(__xludf.DUMMYFUNCTION("""COMPUTED_VALUE"""),"นายจิระพงษ์ โพธิ์นิล")</f>
        <v>นายจิระพงษ์ โพธิ์นิล</v>
      </c>
      <c r="M3158" s="1" t="str">
        <f>IFERROR(__xludf.DUMMYFUNCTION("""COMPUTED_VALUE"""),"0933290754")</f>
        <v>0933290754</v>
      </c>
      <c r="N3158" s="3">
        <f>IFERROR(__xludf.DUMMYFUNCTION("""COMPUTED_VALUE"""),84216.0)</f>
        <v>84216</v>
      </c>
      <c r="O3158" s="3" t="str">
        <f>IFERROR(__xludf.DUMMYFUNCTION("""COMPUTED_VALUE"""),"ร้านเจ้เตน")</f>
        <v>ร้านเจ้เตน</v>
      </c>
      <c r="P3158" s="4">
        <f>IFERROR(__xludf.DUMMYFUNCTION("""COMPUTED_VALUE"""),45083.0)</f>
        <v>45083</v>
      </c>
      <c r="Q3158" s="3" t="str">
        <f>IFERROR(__xludf.DUMMYFUNCTION("""COMPUTED_VALUE"""),"A")</f>
        <v>A</v>
      </c>
      <c r="R3158" s="3" t="str">
        <f>IFERROR(__xludf.DUMMYFUNCTION("""COMPUTED_VALUE"""),"Small Format")</f>
        <v>Small Format</v>
      </c>
      <c r="S3158" s="3" t="str">
        <f>IFERROR(__xludf.DUMMYFUNCTION("""COMPUTED_VALUE"""),"Donjai")</f>
        <v>Donjai</v>
      </c>
      <c r="T3158" s="3" t="str">
        <f>IFERROR(__xludf.DUMMYFUNCTION("""COMPUTED_VALUE"""),"03 K.Peerapong K.")</f>
        <v>03 K.Peerapong K.</v>
      </c>
      <c r="U3158" s="3" t="str">
        <f>IFERROR(__xludf.DUMMYFUNCTION("""COMPUTED_VALUE"""),"03 K.Peerapong K.")</f>
        <v>03 K.Peerapong K.</v>
      </c>
      <c r="V3158" s="3" t="str">
        <f>IFERROR(__xludf.DUMMYFUNCTION("""COMPUTED_VALUE"""),"N")</f>
        <v>N</v>
      </c>
      <c r="W3158" s="3"/>
      <c r="X3158" s="3" t="str">
        <f>IFERROR(__xludf.DUMMYFUNCTION("""COMPUTED_VALUE"""),"151 หมู่ 9 ต.โพธิไพศาล อ.กุสุมาลย์ จ.สกลนคร")</f>
        <v>151 หมู่ 9 ต.โพธิไพศาล อ.กุสุมาลย์ จ.สกลนคร</v>
      </c>
      <c r="Y3158" s="3"/>
      <c r="Z3158" s="3">
        <f>IFERROR(__xludf.DUMMYFUNCTION("""COMPUTED_VALUE"""),0.0)</f>
        <v>0</v>
      </c>
      <c r="AA3158" s="3">
        <f>IFERROR(__xludf.DUMMYFUNCTION("""COMPUTED_VALUE"""),0.0)</f>
        <v>0</v>
      </c>
      <c r="AB3158" s="3" t="str">
        <f>IFERROR(__xludf.DUMMYFUNCTION("""COMPUTED_VALUE"""),"สกลนคร")</f>
        <v>สกลนคร</v>
      </c>
      <c r="AC3158" s="3">
        <f>IFERROR(__xludf.DUMMYFUNCTION("""COMPUTED_VALUE"""),0.0)</f>
        <v>0</v>
      </c>
      <c r="AD3158" s="3"/>
      <c r="AE3158" s="3"/>
      <c r="AF3158" s="3" t="str">
        <f>IFERROR(__xludf.DUMMYFUNCTION("""COMPUTED_VALUE"""),"ร้านเจ้เตน-84216")</f>
        <v>ร้านเจ้เตน-84216</v>
      </c>
      <c r="AG3158" s="3" t="str">
        <f>IFERROR(__xludf.DUMMYFUNCTION("""COMPUTED_VALUE"""),"ตะวันออกเฉียงเหนือ")</f>
        <v>ตะวันออกเฉียงเหนือ</v>
      </c>
      <c r="AH3158" s="3" t="str">
        <f>IFERROR(__xludf.DUMMYFUNCTION("""COMPUTED_VALUE"""),"#N/A")</f>
        <v>#N/A</v>
      </c>
      <c r="AI3158" s="3" t="str">
        <f>IFERROR(__xludf.DUMMYFUNCTION("""COMPUTED_VALUE"""),"Out of warranty")</f>
        <v>Out of warranty</v>
      </c>
      <c r="AJ3158" s="3">
        <f>IFERROR(__xludf.DUMMYFUNCTION("""COMPUTED_VALUE"""),32.0)</f>
        <v>32</v>
      </c>
      <c r="AK3158" s="3"/>
      <c r="AL3158" s="3"/>
    </row>
    <row r="3159" ht="15.75" customHeight="1">
      <c r="A3159" s="1" t="str">
        <f>IFERROR(__xludf.DUMMYFUNCTION("""COMPUTED_VALUE"""),"84218")</f>
        <v>84218</v>
      </c>
      <c r="B3159" s="2">
        <f>IFERROR(__xludf.DUMMYFUNCTION("""COMPUTED_VALUE"""),84218.0)</f>
        <v>84218</v>
      </c>
      <c r="C3159" s="3" t="str">
        <f>IFERROR(__xludf.DUMMYFUNCTION("""COMPUTED_VALUE"""),"ร้านณิชกานต์ รุ่งเรือง")</f>
        <v>ร้านณิชกานต์ รุ่งเรือง</v>
      </c>
      <c r="D3159" s="3" t="str">
        <f>IFERROR(__xludf.DUMMYFUNCTION("""COMPUTED_VALUE"""),"ร้านณิชกานต์ รุ่งเรือง")</f>
        <v>ร้านณิชกานต์ รุ่งเรือง</v>
      </c>
      <c r="E3159" s="1" t="str">
        <f>IFERROR(__xludf.DUMMYFUNCTION("""COMPUTED_VALUE"""),"Donjai")</f>
        <v>Donjai</v>
      </c>
      <c r="F3159" s="1" t="str">
        <f>IFERROR(__xludf.DUMMYFUNCTION("""COMPUTED_VALUE"""),"296868")</f>
        <v>296868</v>
      </c>
      <c r="G3159" s="1" t="str">
        <f>IFERROR(__xludf.DUMMYFUNCTION("""COMPUTED_VALUE"""),"นายพีระพงษ์ แก้วดวงดี")</f>
        <v>นายพีระพงษ์ แก้วดวงดี</v>
      </c>
      <c r="H3159" s="1" t="str">
        <f>IFERROR(__xludf.DUMMYFUNCTION("""COMPUTED_VALUE"""),"296868")</f>
        <v>296868</v>
      </c>
      <c r="I3159" s="1" t="str">
        <f>IFERROR(__xludf.DUMMYFUNCTION("""COMPUTED_VALUE"""),"นายพีระพงษ์ แก้วดวงดี")</f>
        <v>นายพีระพงษ์ แก้วดวงดี</v>
      </c>
      <c r="J3159" s="3">
        <f>IFERROR(__xludf.DUMMYFUNCTION("""COMPUTED_VALUE"""),295886.0)</f>
        <v>295886</v>
      </c>
      <c r="K3159" s="3" t="str">
        <f>IFERROR(__xludf.DUMMYFUNCTION("""COMPUTED_VALUE"""),"นายจิระพงษ์ โพธิ์นิล")</f>
        <v>นายจิระพงษ์ โพธิ์นิล</v>
      </c>
      <c r="L3159" s="1" t="str">
        <f>IFERROR(__xludf.DUMMYFUNCTION("""COMPUTED_VALUE"""),"นายจิระพงษ์ โพธิ์นิล")</f>
        <v>นายจิระพงษ์ โพธิ์นิล</v>
      </c>
      <c r="M3159" s="1" t="str">
        <f>IFERROR(__xludf.DUMMYFUNCTION("""COMPUTED_VALUE"""),"0933290754")</f>
        <v>0933290754</v>
      </c>
      <c r="N3159" s="3">
        <f>IFERROR(__xludf.DUMMYFUNCTION("""COMPUTED_VALUE"""),84218.0)</f>
        <v>84218</v>
      </c>
      <c r="O3159" s="3" t="str">
        <f>IFERROR(__xludf.DUMMYFUNCTION("""COMPUTED_VALUE"""),"ร้านณิชกานต์ รุ่งเรือง")</f>
        <v>ร้านณิชกานต์ รุ่งเรือง</v>
      </c>
      <c r="P3159" s="4">
        <f>IFERROR(__xludf.DUMMYFUNCTION("""COMPUTED_VALUE"""),45063.0)</f>
        <v>45063</v>
      </c>
      <c r="Q3159" s="3" t="str">
        <f>IFERROR(__xludf.DUMMYFUNCTION("""COMPUTED_VALUE"""),"A")</f>
        <v>A</v>
      </c>
      <c r="R3159" s="3" t="str">
        <f>IFERROR(__xludf.DUMMYFUNCTION("""COMPUTED_VALUE"""),"Small Format")</f>
        <v>Small Format</v>
      </c>
      <c r="S3159" s="3" t="str">
        <f>IFERROR(__xludf.DUMMYFUNCTION("""COMPUTED_VALUE"""),"Donjai")</f>
        <v>Donjai</v>
      </c>
      <c r="T3159" s="3" t="str">
        <f>IFERROR(__xludf.DUMMYFUNCTION("""COMPUTED_VALUE"""),"03 K.Peerapong K.")</f>
        <v>03 K.Peerapong K.</v>
      </c>
      <c r="U3159" s="3" t="str">
        <f>IFERROR(__xludf.DUMMYFUNCTION("""COMPUTED_VALUE"""),"03 K.Peerapong K.")</f>
        <v>03 K.Peerapong K.</v>
      </c>
      <c r="V3159" s="3" t="str">
        <f>IFERROR(__xludf.DUMMYFUNCTION("""COMPUTED_VALUE"""),"N")</f>
        <v>N</v>
      </c>
      <c r="W3159" s="3"/>
      <c r="X3159" s="3" t="str">
        <f>IFERROR(__xludf.DUMMYFUNCTION("""COMPUTED_VALUE"""),"43 หมู่ 2 ม่วงไข่ พังโคน สกลนคร")</f>
        <v>43 หมู่ 2 ม่วงไข่ พังโคน สกลนคร</v>
      </c>
      <c r="Y3159" s="3"/>
      <c r="Z3159" s="3">
        <f>IFERROR(__xludf.DUMMYFUNCTION("""COMPUTED_VALUE"""),0.0)</f>
        <v>0</v>
      </c>
      <c r="AA3159" s="3">
        <f>IFERROR(__xludf.DUMMYFUNCTION("""COMPUTED_VALUE"""),0.0)</f>
        <v>0</v>
      </c>
      <c r="AB3159" s="3" t="str">
        <f>IFERROR(__xludf.DUMMYFUNCTION("""COMPUTED_VALUE"""),"สกลนคร")</f>
        <v>สกลนคร</v>
      </c>
      <c r="AC3159" s="3">
        <f>IFERROR(__xludf.DUMMYFUNCTION("""COMPUTED_VALUE"""),0.0)</f>
        <v>0</v>
      </c>
      <c r="AD3159" s="3"/>
      <c r="AE3159" s="3"/>
      <c r="AF3159" s="3" t="str">
        <f>IFERROR(__xludf.DUMMYFUNCTION("""COMPUTED_VALUE"""),"ร้านณิชกานต์ รุ่งเรือง-84218")</f>
        <v>ร้านณิชกานต์ รุ่งเรือง-84218</v>
      </c>
      <c r="AG3159" s="3" t="str">
        <f>IFERROR(__xludf.DUMMYFUNCTION("""COMPUTED_VALUE"""),"ตะวันออกเฉียงเหนือ")</f>
        <v>ตะวันออกเฉียงเหนือ</v>
      </c>
      <c r="AH3159" s="3" t="str">
        <f>IFERROR(__xludf.DUMMYFUNCTION("""COMPUTED_VALUE"""),"#N/A")</f>
        <v>#N/A</v>
      </c>
      <c r="AI3159" s="3" t="str">
        <f>IFERROR(__xludf.DUMMYFUNCTION("""COMPUTED_VALUE"""),"Out of warranty")</f>
        <v>Out of warranty</v>
      </c>
      <c r="AJ3159" s="3">
        <f>IFERROR(__xludf.DUMMYFUNCTION("""COMPUTED_VALUE"""),33.0)</f>
        <v>33</v>
      </c>
      <c r="AK3159" s="3"/>
      <c r="AL3159" s="3"/>
    </row>
    <row r="3160" ht="15.75" customHeight="1">
      <c r="A3160" s="1" t="str">
        <f>IFERROR(__xludf.DUMMYFUNCTION("""COMPUTED_VALUE"""),"84219")</f>
        <v>84219</v>
      </c>
      <c r="B3160" s="2">
        <f>IFERROR(__xludf.DUMMYFUNCTION("""COMPUTED_VALUE"""),84219.0)</f>
        <v>84219</v>
      </c>
      <c r="C3160" s="3" t="str">
        <f>IFERROR(__xludf.DUMMYFUNCTION("""COMPUTED_VALUE"""),"ร้านทวีภัทร การค้า")</f>
        <v>ร้านทวีภัทร การค้า</v>
      </c>
      <c r="D3160" s="3" t="str">
        <f>IFERROR(__xludf.DUMMYFUNCTION("""COMPUTED_VALUE"""),"ร้านทวีภัทร การค้า")</f>
        <v>ร้านทวีภัทร การค้า</v>
      </c>
      <c r="E3160" s="1" t="str">
        <f>IFERROR(__xludf.DUMMYFUNCTION("""COMPUTED_VALUE"""),"Donjai")</f>
        <v>Donjai</v>
      </c>
      <c r="F3160" s="1" t="str">
        <f>IFERROR(__xludf.DUMMYFUNCTION("""COMPUTED_VALUE"""),"015361")</f>
        <v>015361</v>
      </c>
      <c r="G3160" s="1" t="str">
        <f>IFERROR(__xludf.DUMMYFUNCTION("""COMPUTED_VALUE"""),"นายสมบูรณ์ พรหมในเมือง")</f>
        <v>นายสมบูรณ์ พรหมในเมือง</v>
      </c>
      <c r="H3160" s="1" t="str">
        <f>IFERROR(__xludf.DUMMYFUNCTION("""COMPUTED_VALUE"""),"015361")</f>
        <v>015361</v>
      </c>
      <c r="I3160" s="1" t="str">
        <f>IFERROR(__xludf.DUMMYFUNCTION("""COMPUTED_VALUE"""),"นายสมบูรณ์ พรหมในเมือง")</f>
        <v>นายสมบูรณ์ พรหมในเมือง</v>
      </c>
      <c r="J3160" s="3">
        <f>IFERROR(__xludf.DUMMYFUNCTION("""COMPUTED_VALUE"""),295886.0)</f>
        <v>295886</v>
      </c>
      <c r="K3160" s="3" t="str">
        <f>IFERROR(__xludf.DUMMYFUNCTION("""COMPUTED_VALUE"""),"นายจิระพงษ์ โพธิ์นิล")</f>
        <v>นายจิระพงษ์ โพธิ์นิล</v>
      </c>
      <c r="L3160" s="1" t="str">
        <f>IFERROR(__xludf.DUMMYFUNCTION("""COMPUTED_VALUE"""),"นายจิระพงษ์ โพธิ์นิล")</f>
        <v>นายจิระพงษ์ โพธิ์นิล</v>
      </c>
      <c r="M3160" s="1" t="str">
        <f>IFERROR(__xludf.DUMMYFUNCTION("""COMPUTED_VALUE"""),"0933290754")</f>
        <v>0933290754</v>
      </c>
      <c r="N3160" s="3">
        <f>IFERROR(__xludf.DUMMYFUNCTION("""COMPUTED_VALUE"""),84219.0)</f>
        <v>84219</v>
      </c>
      <c r="O3160" s="3" t="str">
        <f>IFERROR(__xludf.DUMMYFUNCTION("""COMPUTED_VALUE"""),"ร้านทวีภัทร การค้า")</f>
        <v>ร้านทวีภัทร การค้า</v>
      </c>
      <c r="P3160" s="4">
        <f>IFERROR(__xludf.DUMMYFUNCTION("""COMPUTED_VALUE"""),45261.0)</f>
        <v>45261</v>
      </c>
      <c r="Q3160" s="3" t="str">
        <f>IFERROR(__xludf.DUMMYFUNCTION("""COMPUTED_VALUE"""),"I")</f>
        <v>I</v>
      </c>
      <c r="R3160" s="3" t="str">
        <f>IFERROR(__xludf.DUMMYFUNCTION("""COMPUTED_VALUE"""),"Small Format")</f>
        <v>Small Format</v>
      </c>
      <c r="S3160" s="3" t="str">
        <f>IFERROR(__xludf.DUMMYFUNCTION("""COMPUTED_VALUE"""),"Donjai")</f>
        <v>Donjai</v>
      </c>
      <c r="T3160" s="3" t="str">
        <f>IFERROR(__xludf.DUMMYFUNCTION("""COMPUTED_VALUE"""),"04 K.Somboon P.")</f>
        <v>04 K.Somboon P.</v>
      </c>
      <c r="U3160" s="3" t="str">
        <f>IFERROR(__xludf.DUMMYFUNCTION("""COMPUTED_VALUE"""),"04 K.Somboon P.")</f>
        <v>04 K.Somboon P.</v>
      </c>
      <c r="V3160" s="3" t="str">
        <f>IFERROR(__xludf.DUMMYFUNCTION("""COMPUTED_VALUE"""),"N")</f>
        <v>N</v>
      </c>
      <c r="W3160" s="3"/>
      <c r="X3160" s="3" t="str">
        <f>IFERROR(__xludf.DUMMYFUNCTION("""COMPUTED_VALUE"""),"205 หมู่ 12 ตาจง ละหานทราย บุรีรัมย์ 31170")</f>
        <v>205 หมู่ 12 ตาจง ละหานทราย บุรีรัมย์ 31170</v>
      </c>
      <c r="Y3160" s="3"/>
      <c r="Z3160" s="3"/>
      <c r="AA3160" s="3"/>
      <c r="AB3160" s="3"/>
      <c r="AC3160" s="3"/>
      <c r="AD3160" s="3"/>
      <c r="AE3160" s="3"/>
      <c r="AF3160" s="3" t="str">
        <f>IFERROR(__xludf.DUMMYFUNCTION("""COMPUTED_VALUE"""),"ร้านทวีภัทร การค้า-84219")</f>
        <v>ร้านทวีภัทร การค้า-84219</v>
      </c>
      <c r="AG3160" s="3">
        <f>IFERROR(__xludf.DUMMYFUNCTION("""COMPUTED_VALUE"""),0.0)</f>
        <v>0</v>
      </c>
      <c r="AH3160" s="3" t="str">
        <f>IFERROR(__xludf.DUMMYFUNCTION("""COMPUTED_VALUE"""),"#N/A")</f>
        <v>#N/A</v>
      </c>
      <c r="AI3160" s="3" t="str">
        <f>IFERROR(__xludf.DUMMYFUNCTION("""COMPUTED_VALUE"""),"Out of warranty")</f>
        <v>Out of warranty</v>
      </c>
      <c r="AJ3160" s="3">
        <f>IFERROR(__xludf.DUMMYFUNCTION("""COMPUTED_VALUE"""),26.0)</f>
        <v>26</v>
      </c>
      <c r="AK3160" s="3"/>
      <c r="AL3160" s="3"/>
    </row>
    <row r="3161" ht="15.75" customHeight="1">
      <c r="A3161" s="1" t="str">
        <f>IFERROR(__xludf.DUMMYFUNCTION("""COMPUTED_VALUE"""),"84222")</f>
        <v>84222</v>
      </c>
      <c r="B3161" s="2">
        <f>IFERROR(__xludf.DUMMYFUNCTION("""COMPUTED_VALUE"""),84222.0)</f>
        <v>84222</v>
      </c>
      <c r="C3161" s="3" t="str">
        <f>IFERROR(__xludf.DUMMYFUNCTION("""COMPUTED_VALUE"""),"ร้าน Super P ซุปเปอร์พี (บีซีเจ มาร์ท) (กัญจณิตฐ์)")</f>
        <v>ร้าน Super P ซุปเปอร์พี (บีซีเจ มาร์ท) (กัญจณิตฐ์)</v>
      </c>
      <c r="D3161" s="3" t="str">
        <f>IFERROR(__xludf.DUMMYFUNCTION("""COMPUTED_VALUE"""),"ร้าน Super P ซุปเปอร์พี (บีซีเจ มาร์ท) (กัญจณิตฐ์)")</f>
        <v>ร้าน Super P ซุปเปอร์พี (บีซีเจ มาร์ท) (กัญจณิตฐ์)</v>
      </c>
      <c r="E3161" s="1" t="str">
        <f>IFERROR(__xludf.DUMMYFUNCTION("""COMPUTED_VALUE"""),"Donjai")</f>
        <v>Donjai</v>
      </c>
      <c r="F3161" s="1" t="str">
        <f>IFERROR(__xludf.DUMMYFUNCTION("""COMPUTED_VALUE"""),"20470331")</f>
        <v>20470331</v>
      </c>
      <c r="G3161" s="1" t="str">
        <f>IFERROR(__xludf.DUMMYFUNCTION("""COMPUTED_VALUE"""),"นายสมชาย ลักษณะสุวรรณ")</f>
        <v>นายสมชาย ลักษณะสุวรรณ</v>
      </c>
      <c r="H3161" s="1" t="str">
        <f>IFERROR(__xludf.DUMMYFUNCTION("""COMPUTED_VALUE"""),"20470331")</f>
        <v>20470331</v>
      </c>
      <c r="I3161" s="1" t="str">
        <f>IFERROR(__xludf.DUMMYFUNCTION("""COMPUTED_VALUE"""),"นายสมชาย ลักษณะสุวรรณ")</f>
        <v>นายสมชาย ลักษณะสุวรรณ</v>
      </c>
      <c r="J3161" s="3">
        <f>IFERROR(__xludf.DUMMYFUNCTION("""COMPUTED_VALUE"""),295541.0)</f>
        <v>295541</v>
      </c>
      <c r="K3161" s="3" t="str">
        <f>IFERROR(__xludf.DUMMYFUNCTION("""COMPUTED_VALUE"""),"นายรพิพล ศรีมาตย์")</f>
        <v>นายรพิพล ศรีมาตย์</v>
      </c>
      <c r="L3161" s="1" t="str">
        <f>IFERROR(__xludf.DUMMYFUNCTION("""COMPUTED_VALUE"""),"นายรพิพล ศรีมาตย์")</f>
        <v>นายรพิพล ศรีมาตย์</v>
      </c>
      <c r="M3161" s="1" t="str">
        <f>IFERROR(__xludf.DUMMYFUNCTION("""COMPUTED_VALUE"""),"0613966115")</f>
        <v>0613966115</v>
      </c>
      <c r="N3161" s="3">
        <f>IFERROR(__xludf.DUMMYFUNCTION("""COMPUTED_VALUE"""),84222.0)</f>
        <v>84222</v>
      </c>
      <c r="O3161" s="3" t="str">
        <f>IFERROR(__xludf.DUMMYFUNCTION("""COMPUTED_VALUE"""),"ร้าน Super P ซุปเปอร์พี (บีซีเจ มาร์ท) (กัญจณิตฐ์)")</f>
        <v>ร้าน Super P ซุปเปอร์พี (บีซีเจ มาร์ท) (กัญจณิตฐ์)</v>
      </c>
      <c r="P3161" s="4">
        <f>IFERROR(__xludf.DUMMYFUNCTION("""COMPUTED_VALUE"""),45098.0)</f>
        <v>45098</v>
      </c>
      <c r="Q3161" s="3" t="str">
        <f>IFERROR(__xludf.DUMMYFUNCTION("""COMPUTED_VALUE"""),"I")</f>
        <v>I</v>
      </c>
      <c r="R3161" s="3" t="str">
        <f>IFERROR(__xludf.DUMMYFUNCTION("""COMPUTED_VALUE"""),"Small Format")</f>
        <v>Small Format</v>
      </c>
      <c r="S3161" s="3" t="str">
        <f>IFERROR(__xludf.DUMMYFUNCTION("""COMPUTED_VALUE"""),"Donjai")</f>
        <v>Donjai</v>
      </c>
      <c r="T3161" s="3" t="str">
        <f>IFERROR(__xludf.DUMMYFUNCTION("""COMPUTED_VALUE"""),"15 K.Somchai L")</f>
        <v>15 K.Somchai L</v>
      </c>
      <c r="U3161" s="3" t="str">
        <f>IFERROR(__xludf.DUMMYFUNCTION("""COMPUTED_VALUE"""),"15 K.Somchai L")</f>
        <v>15 K.Somchai L</v>
      </c>
      <c r="V3161" s="3" t="str">
        <f>IFERROR(__xludf.DUMMYFUNCTION("""COMPUTED_VALUE"""),"N")</f>
        <v>N</v>
      </c>
      <c r="W3161" s="3"/>
      <c r="X3161" s="3" t="str">
        <f>IFERROR(__xludf.DUMMYFUNCTION("""COMPUTED_VALUE"""),"124/10 ต.ที่วัง อ.ทุ่งสง จ.นครศรีธรรมราช 80110")</f>
        <v>124/10 ต.ที่วัง อ.ทุ่งสง จ.นครศรีธรรมราช 80110</v>
      </c>
      <c r="Y3161" s="3"/>
      <c r="Z3161" s="3" t="str">
        <f>IFERROR(__xludf.DUMMYFUNCTION("""COMPUTED_VALUE"""),"ทีวัง")</f>
        <v>ทีวัง</v>
      </c>
      <c r="AA3161" s="3" t="str">
        <f>IFERROR(__xludf.DUMMYFUNCTION("""COMPUTED_VALUE"""),"ทุ่งสง")</f>
        <v>ทุ่งสง</v>
      </c>
      <c r="AB3161" s="3" t="str">
        <f>IFERROR(__xludf.DUMMYFUNCTION("""COMPUTED_VALUE"""),"นครศรีธรรมราช")</f>
        <v>นครศรีธรรมราช</v>
      </c>
      <c r="AC3161" s="3">
        <f>IFERROR(__xludf.DUMMYFUNCTION("""COMPUTED_VALUE"""),80110.0)</f>
        <v>80110</v>
      </c>
      <c r="AD3161" s="3"/>
      <c r="AE3161" s="3"/>
      <c r="AF3161" s="3" t="str">
        <f>IFERROR(__xludf.DUMMYFUNCTION("""COMPUTED_VALUE"""),"ร้าน Super P ซุปเปอร์พี (บีซีเจ มาร์ท) (กัญจณิตฐ์)-84222")</f>
        <v>ร้าน Super P ซุปเปอร์พี (บีซีเจ มาร์ท) (กัญจณิตฐ์)-84222</v>
      </c>
      <c r="AG3161" s="3" t="str">
        <f>IFERROR(__xludf.DUMMYFUNCTION("""COMPUTED_VALUE"""),"ใต้")</f>
        <v>ใต้</v>
      </c>
      <c r="AH3161" s="3" t="str">
        <f>IFERROR(__xludf.DUMMYFUNCTION("""COMPUTED_VALUE"""),"#N/A")</f>
        <v>#N/A</v>
      </c>
      <c r="AI3161" s="3" t="str">
        <f>IFERROR(__xludf.DUMMYFUNCTION("""COMPUTED_VALUE"""),"Out of warranty")</f>
        <v>Out of warranty</v>
      </c>
      <c r="AJ3161" s="3">
        <f>IFERROR(__xludf.DUMMYFUNCTION("""COMPUTED_VALUE"""),31.0)</f>
        <v>31</v>
      </c>
      <c r="AK3161" s="3"/>
      <c r="AL3161" s="3"/>
    </row>
    <row r="3162" ht="15.75" customHeight="1">
      <c r="A3162" s="1" t="str">
        <f>IFERROR(__xludf.DUMMYFUNCTION("""COMPUTED_VALUE"""),"84224")</f>
        <v>84224</v>
      </c>
      <c r="B3162" s="2">
        <f>IFERROR(__xludf.DUMMYFUNCTION("""COMPUTED_VALUE"""),84224.0)</f>
        <v>84224</v>
      </c>
      <c r="C3162" s="3" t="str">
        <f>IFERROR(__xludf.DUMMYFUNCTION("""COMPUTED_VALUE"""),"ร้านแก่นจันทร์ซุปเปอร์")</f>
        <v>ร้านแก่นจันทร์ซุปเปอร์</v>
      </c>
      <c r="D3162" s="3" t="str">
        <f>IFERROR(__xludf.DUMMYFUNCTION("""COMPUTED_VALUE"""),"ร้านแก่นจันทร์ซุปเปอร์")</f>
        <v>ร้านแก่นจันทร์ซุปเปอร์</v>
      </c>
      <c r="E3162" s="1" t="str">
        <f>IFERROR(__xludf.DUMMYFUNCTION("""COMPUTED_VALUE"""),"Donjai")</f>
        <v>Donjai</v>
      </c>
      <c r="F3162" s="1" t="str">
        <f>IFERROR(__xludf.DUMMYFUNCTION("""COMPUTED_VALUE"""),"015361")</f>
        <v>015361</v>
      </c>
      <c r="G3162" s="1" t="str">
        <f>IFERROR(__xludf.DUMMYFUNCTION("""COMPUTED_VALUE"""),"นายสมบูรณ์ พรหมในเมือง")</f>
        <v>นายสมบูรณ์ พรหมในเมือง</v>
      </c>
      <c r="H3162" s="1" t="str">
        <f>IFERROR(__xludf.DUMMYFUNCTION("""COMPUTED_VALUE"""),"015361")</f>
        <v>015361</v>
      </c>
      <c r="I3162" s="1" t="str">
        <f>IFERROR(__xludf.DUMMYFUNCTION("""COMPUTED_VALUE"""),"นายสมบูรณ์ พรหมในเมือง")</f>
        <v>นายสมบูรณ์ พรหมในเมือง</v>
      </c>
      <c r="J3162" s="3">
        <f>IFERROR(__xludf.DUMMYFUNCTION("""COMPUTED_VALUE"""),295886.0)</f>
        <v>295886</v>
      </c>
      <c r="K3162" s="3" t="str">
        <f>IFERROR(__xludf.DUMMYFUNCTION("""COMPUTED_VALUE"""),"นายจิระพงษ์ โพธิ์นิล")</f>
        <v>นายจิระพงษ์ โพธิ์นิล</v>
      </c>
      <c r="L3162" s="1" t="str">
        <f>IFERROR(__xludf.DUMMYFUNCTION("""COMPUTED_VALUE"""),"นายจิระพงษ์ โพธิ์นิล")</f>
        <v>นายจิระพงษ์ โพธิ์นิล</v>
      </c>
      <c r="M3162" s="1" t="str">
        <f>IFERROR(__xludf.DUMMYFUNCTION("""COMPUTED_VALUE"""),"0933290754")</f>
        <v>0933290754</v>
      </c>
      <c r="N3162" s="3">
        <f>IFERROR(__xludf.DUMMYFUNCTION("""COMPUTED_VALUE"""),84224.0)</f>
        <v>84224</v>
      </c>
      <c r="O3162" s="3" t="str">
        <f>IFERROR(__xludf.DUMMYFUNCTION("""COMPUTED_VALUE"""),"ร้านแก่นจันทร์ซุปเปอร์")</f>
        <v>ร้านแก่นจันทร์ซุปเปอร์</v>
      </c>
      <c r="P3162" s="4">
        <f>IFERROR(__xludf.DUMMYFUNCTION("""COMPUTED_VALUE"""),45136.0)</f>
        <v>45136</v>
      </c>
      <c r="Q3162" s="3" t="str">
        <f>IFERROR(__xludf.DUMMYFUNCTION("""COMPUTED_VALUE"""),"A")</f>
        <v>A</v>
      </c>
      <c r="R3162" s="3" t="str">
        <f>IFERROR(__xludf.DUMMYFUNCTION("""COMPUTED_VALUE"""),"Small Format")</f>
        <v>Small Format</v>
      </c>
      <c r="S3162" s="3" t="str">
        <f>IFERROR(__xludf.DUMMYFUNCTION("""COMPUTED_VALUE"""),"Donjai")</f>
        <v>Donjai</v>
      </c>
      <c r="T3162" s="3" t="str">
        <f>IFERROR(__xludf.DUMMYFUNCTION("""COMPUTED_VALUE"""),"04 K.Somboon P.")</f>
        <v>04 K.Somboon P.</v>
      </c>
      <c r="U3162" s="3" t="str">
        <f>IFERROR(__xludf.DUMMYFUNCTION("""COMPUTED_VALUE"""),"04 K.Somboon P.")</f>
        <v>04 K.Somboon P.</v>
      </c>
      <c r="V3162" s="3" t="str">
        <f>IFERROR(__xludf.DUMMYFUNCTION("""COMPUTED_VALUE"""),"N")</f>
        <v>N</v>
      </c>
      <c r="W3162" s="3"/>
      <c r="X3162" s="3" t="str">
        <f>IFERROR(__xludf.DUMMYFUNCTION("""COMPUTED_VALUE"""),"151 ม.7 เหนือเมือง เมือง ร้อยเอ็ด")</f>
        <v>151 ม.7 เหนือเมือง เมือง ร้อยเอ็ด</v>
      </c>
      <c r="Y3162" s="3"/>
      <c r="Z3162" s="3" t="str">
        <f>IFERROR(__xludf.DUMMYFUNCTION("""COMPUTED_VALUE"""),"เหนือเมือง")</f>
        <v>เหนือเมือง</v>
      </c>
      <c r="AA3162" s="3" t="str">
        <f>IFERROR(__xludf.DUMMYFUNCTION("""COMPUTED_VALUE"""),"เมืองร้อยเอ็ด")</f>
        <v>เมืองร้อยเอ็ด</v>
      </c>
      <c r="AB3162" s="3" t="str">
        <f>IFERROR(__xludf.DUMMYFUNCTION("""COMPUTED_VALUE"""),"ร้อยเอ็ด")</f>
        <v>ร้อยเอ็ด</v>
      </c>
      <c r="AC3162" s="3"/>
      <c r="AD3162" s="3"/>
      <c r="AE3162" s="3"/>
      <c r="AF3162" s="3" t="str">
        <f>IFERROR(__xludf.DUMMYFUNCTION("""COMPUTED_VALUE"""),"ร้านแก่นจันทร์ซุปเปอร์-84224")</f>
        <v>ร้านแก่นจันทร์ซุปเปอร์-84224</v>
      </c>
      <c r="AG3162" s="3" t="str">
        <f>IFERROR(__xludf.DUMMYFUNCTION("""COMPUTED_VALUE"""),"ตะวันออกเฉียงเหนือ")</f>
        <v>ตะวันออกเฉียงเหนือ</v>
      </c>
      <c r="AH3162" s="3" t="str">
        <f>IFERROR(__xludf.DUMMYFUNCTION("""COMPUTED_VALUE"""),"#N/A")</f>
        <v>#N/A</v>
      </c>
      <c r="AI3162" s="3" t="str">
        <f>IFERROR(__xludf.DUMMYFUNCTION("""COMPUTED_VALUE"""),"Out of warranty")</f>
        <v>Out of warranty</v>
      </c>
      <c r="AJ3162" s="3">
        <f>IFERROR(__xludf.DUMMYFUNCTION("""COMPUTED_VALUE"""),30.0)</f>
        <v>30</v>
      </c>
      <c r="AK3162" s="3"/>
      <c r="AL3162" s="3"/>
    </row>
    <row r="3163" ht="15.75" customHeight="1">
      <c r="A3163" s="1" t="str">
        <f>IFERROR(__xludf.DUMMYFUNCTION("""COMPUTED_VALUE"""),"84227")</f>
        <v>84227</v>
      </c>
      <c r="B3163" s="2">
        <f>IFERROR(__xludf.DUMMYFUNCTION("""COMPUTED_VALUE"""),84227.0)</f>
        <v>84227</v>
      </c>
      <c r="C3163" s="3" t="str">
        <f>IFERROR(__xludf.DUMMYFUNCTION("""COMPUTED_VALUE"""),"ร้านเจ๊ปู พาณิชย์")</f>
        <v>ร้านเจ๊ปู พาณิชย์</v>
      </c>
      <c r="D3163" s="3" t="str">
        <f>IFERROR(__xludf.DUMMYFUNCTION("""COMPUTED_VALUE"""),"ร้านเจ๊ปู พาณิชย์")</f>
        <v>ร้านเจ๊ปู พาณิชย์</v>
      </c>
      <c r="E3163" s="1" t="str">
        <f>IFERROR(__xludf.DUMMYFUNCTION("""COMPUTED_VALUE"""),"Donjai")</f>
        <v>Donjai</v>
      </c>
      <c r="F3163" s="1" t="str">
        <f>IFERROR(__xludf.DUMMYFUNCTION("""COMPUTED_VALUE"""),"015361")</f>
        <v>015361</v>
      </c>
      <c r="G3163" s="1" t="str">
        <f>IFERROR(__xludf.DUMMYFUNCTION("""COMPUTED_VALUE"""),"นายสมบูรณ์ พรหมในเมือง")</f>
        <v>นายสมบูรณ์ พรหมในเมือง</v>
      </c>
      <c r="H3163" s="1" t="str">
        <f>IFERROR(__xludf.DUMMYFUNCTION("""COMPUTED_VALUE"""),"015361")</f>
        <v>015361</v>
      </c>
      <c r="I3163" s="1" t="str">
        <f>IFERROR(__xludf.DUMMYFUNCTION("""COMPUTED_VALUE"""),"นายสมบูรณ์ พรหมในเมือง")</f>
        <v>นายสมบูรณ์ พรหมในเมือง</v>
      </c>
      <c r="J3163" s="3">
        <f>IFERROR(__xludf.DUMMYFUNCTION("""COMPUTED_VALUE"""),295886.0)</f>
        <v>295886</v>
      </c>
      <c r="K3163" s="3" t="str">
        <f>IFERROR(__xludf.DUMMYFUNCTION("""COMPUTED_VALUE"""),"นายจิระพงษ์ โพธิ์นิล")</f>
        <v>นายจิระพงษ์ โพธิ์นิล</v>
      </c>
      <c r="L3163" s="1" t="str">
        <f>IFERROR(__xludf.DUMMYFUNCTION("""COMPUTED_VALUE"""),"นายจิระพงษ์ โพธิ์นิล")</f>
        <v>นายจิระพงษ์ โพธิ์นิล</v>
      </c>
      <c r="M3163" s="1" t="str">
        <f>IFERROR(__xludf.DUMMYFUNCTION("""COMPUTED_VALUE"""),"0933290754")</f>
        <v>0933290754</v>
      </c>
      <c r="N3163" s="3">
        <f>IFERROR(__xludf.DUMMYFUNCTION("""COMPUTED_VALUE"""),84227.0)</f>
        <v>84227</v>
      </c>
      <c r="O3163" s="3" t="str">
        <f>IFERROR(__xludf.DUMMYFUNCTION("""COMPUTED_VALUE"""),"ร้านเจ๊ปู พาณิชย์")</f>
        <v>ร้านเจ๊ปู พาณิชย์</v>
      </c>
      <c r="P3163" s="4">
        <f>IFERROR(__xludf.DUMMYFUNCTION("""COMPUTED_VALUE"""),45137.0)</f>
        <v>45137</v>
      </c>
      <c r="Q3163" s="3" t="str">
        <f>IFERROR(__xludf.DUMMYFUNCTION("""COMPUTED_VALUE"""),"A")</f>
        <v>A</v>
      </c>
      <c r="R3163" s="3" t="str">
        <f>IFERROR(__xludf.DUMMYFUNCTION("""COMPUTED_VALUE"""),"Small Format")</f>
        <v>Small Format</v>
      </c>
      <c r="S3163" s="3" t="str">
        <f>IFERROR(__xludf.DUMMYFUNCTION("""COMPUTED_VALUE"""),"Donjai")</f>
        <v>Donjai</v>
      </c>
      <c r="T3163" s="3" t="str">
        <f>IFERROR(__xludf.DUMMYFUNCTION("""COMPUTED_VALUE"""),"04 K.Somboon P.")</f>
        <v>04 K.Somboon P.</v>
      </c>
      <c r="U3163" s="3" t="str">
        <f>IFERROR(__xludf.DUMMYFUNCTION("""COMPUTED_VALUE"""),"04 K.Somboon P.")</f>
        <v>04 K.Somboon P.</v>
      </c>
      <c r="V3163" s="3" t="str">
        <f>IFERROR(__xludf.DUMMYFUNCTION("""COMPUTED_VALUE"""),"N")</f>
        <v>N</v>
      </c>
      <c r="W3163" s="3"/>
      <c r="X3163" s="3" t="str">
        <f>IFERROR(__xludf.DUMMYFUNCTION("""COMPUTED_VALUE"""),"91 ม.6 บ้านหว้า เมือง ขอนแก่น")</f>
        <v>91 ม.6 บ้านหว้า เมือง ขอนแก่น</v>
      </c>
      <c r="Y3163" s="3"/>
      <c r="Z3163" s="3" t="str">
        <f>IFERROR(__xludf.DUMMYFUNCTION("""COMPUTED_VALUE"""),"บ้านหว้า")</f>
        <v>บ้านหว้า</v>
      </c>
      <c r="AA3163" s="3" t="str">
        <f>IFERROR(__xludf.DUMMYFUNCTION("""COMPUTED_VALUE"""),"เมืองขอนแก่น")</f>
        <v>เมืองขอนแก่น</v>
      </c>
      <c r="AB3163" s="3" t="str">
        <f>IFERROR(__xludf.DUMMYFUNCTION("""COMPUTED_VALUE"""),"ขอนแก่น")</f>
        <v>ขอนแก่น</v>
      </c>
      <c r="AC3163" s="3"/>
      <c r="AD3163" s="3"/>
      <c r="AE3163" s="3"/>
      <c r="AF3163" s="3" t="str">
        <f>IFERROR(__xludf.DUMMYFUNCTION("""COMPUTED_VALUE"""),"ร้านเจ๊ปู พาณิชย์-84227")</f>
        <v>ร้านเจ๊ปู พาณิชย์-84227</v>
      </c>
      <c r="AG3163" s="3" t="str">
        <f>IFERROR(__xludf.DUMMYFUNCTION("""COMPUTED_VALUE"""),"ตะวันออกเฉียงเหนือ")</f>
        <v>ตะวันออกเฉียงเหนือ</v>
      </c>
      <c r="AH3163" s="3" t="str">
        <f>IFERROR(__xludf.DUMMYFUNCTION("""COMPUTED_VALUE"""),"#N/A")</f>
        <v>#N/A</v>
      </c>
      <c r="AI3163" s="3" t="str">
        <f>IFERROR(__xludf.DUMMYFUNCTION("""COMPUTED_VALUE"""),"Out of warranty")</f>
        <v>Out of warranty</v>
      </c>
      <c r="AJ3163" s="3">
        <f>IFERROR(__xludf.DUMMYFUNCTION("""COMPUTED_VALUE"""),30.0)</f>
        <v>30</v>
      </c>
      <c r="AK3163" s="3"/>
      <c r="AL3163" s="3"/>
    </row>
    <row r="3164" ht="15.75" customHeight="1">
      <c r="A3164" s="1" t="str">
        <f>IFERROR(__xludf.DUMMYFUNCTION("""COMPUTED_VALUE"""),"84228")</f>
        <v>84228</v>
      </c>
      <c r="B3164" s="2">
        <f>IFERROR(__xludf.DUMMYFUNCTION("""COMPUTED_VALUE"""),84228.0)</f>
        <v>84228</v>
      </c>
      <c r="C3164" s="3" t="str">
        <f>IFERROR(__xludf.DUMMYFUNCTION("""COMPUTED_VALUE"""),"ร้านบุญมีพารวย")</f>
        <v>ร้านบุญมีพารวย</v>
      </c>
      <c r="D3164" s="3" t="str">
        <f>IFERROR(__xludf.DUMMYFUNCTION("""COMPUTED_VALUE"""),"ร้านบุญมีพารวย")</f>
        <v>ร้านบุญมีพารวย</v>
      </c>
      <c r="E3164" s="1" t="str">
        <f>IFERROR(__xludf.DUMMYFUNCTION("""COMPUTED_VALUE"""),"Donjai")</f>
        <v>Donjai</v>
      </c>
      <c r="F3164" s="1" t="str">
        <f>IFERROR(__xludf.DUMMYFUNCTION("""COMPUTED_VALUE"""),"296945")</f>
        <v>296945</v>
      </c>
      <c r="G3164" s="1" t="str">
        <f>IFERROR(__xludf.DUMMYFUNCTION("""COMPUTED_VALUE"""),"นายรักพงศ์ พงศ์พันธ์งาม")</f>
        <v>นายรักพงศ์ พงศ์พันธ์งาม</v>
      </c>
      <c r="H3164" s="1" t="str">
        <f>IFERROR(__xludf.DUMMYFUNCTION("""COMPUTED_VALUE"""),"296945")</f>
        <v>296945</v>
      </c>
      <c r="I3164" s="1" t="str">
        <f>IFERROR(__xludf.DUMMYFUNCTION("""COMPUTED_VALUE"""),"นายรักพงศ์ พงศ์พันธ์งาม")</f>
        <v>นายรักพงศ์ พงศ์พันธ์งาม</v>
      </c>
      <c r="J3164" s="3">
        <f>IFERROR(__xludf.DUMMYFUNCTION("""COMPUTED_VALUE"""),228031.0)</f>
        <v>228031</v>
      </c>
      <c r="K3164" s="3" t="str">
        <f>IFERROR(__xludf.DUMMYFUNCTION("""COMPUTED_VALUE"""),"นายธนพงษ์ วันหมัด")</f>
        <v>นายธนพงษ์ วันหมัด</v>
      </c>
      <c r="L3164" s="1" t="str">
        <f>IFERROR(__xludf.DUMMYFUNCTION("""COMPUTED_VALUE"""),"นายธนพงษ์ วันหมัด")</f>
        <v>นายธนพงษ์ วันหมัด</v>
      </c>
      <c r="M3164" s="1" t="str">
        <f>IFERROR(__xludf.DUMMYFUNCTION("""COMPUTED_VALUE"""),"0813716913")</f>
        <v>0813716913</v>
      </c>
      <c r="N3164" s="3">
        <f>IFERROR(__xludf.DUMMYFUNCTION("""COMPUTED_VALUE"""),84228.0)</f>
        <v>84228</v>
      </c>
      <c r="O3164" s="3" t="str">
        <f>IFERROR(__xludf.DUMMYFUNCTION("""COMPUTED_VALUE"""),"ร้านบุญมีพารวย")</f>
        <v>ร้านบุญมีพารวย</v>
      </c>
      <c r="P3164" s="4">
        <f>IFERROR(__xludf.DUMMYFUNCTION("""COMPUTED_VALUE"""),45190.0)</f>
        <v>45190</v>
      </c>
      <c r="Q3164" s="3" t="str">
        <f>IFERROR(__xludf.DUMMYFUNCTION("""COMPUTED_VALUE"""),"I")</f>
        <v>I</v>
      </c>
      <c r="R3164" s="3" t="str">
        <f>IFERROR(__xludf.DUMMYFUNCTION("""COMPUTED_VALUE"""),"Small Format")</f>
        <v>Small Format</v>
      </c>
      <c r="S3164" s="3" t="str">
        <f>IFERROR(__xludf.DUMMYFUNCTION("""COMPUTED_VALUE"""),"Donjai")</f>
        <v>Donjai</v>
      </c>
      <c r="T3164" s="3">
        <f>IFERROR(__xludf.DUMMYFUNCTION("""COMPUTED_VALUE"""),0.0)</f>
        <v>0</v>
      </c>
      <c r="U3164" s="3">
        <f>IFERROR(__xludf.DUMMYFUNCTION("""COMPUTED_VALUE"""),0.0)</f>
        <v>0</v>
      </c>
      <c r="V3164" s="3" t="str">
        <f>IFERROR(__xludf.DUMMYFUNCTION("""COMPUTED_VALUE"""),"N")</f>
        <v>N</v>
      </c>
      <c r="W3164" s="3"/>
      <c r="X3164" s="3" t="str">
        <f>IFERROR(__xludf.DUMMYFUNCTION("""COMPUTED_VALUE"""),"204/12 หมู่ที่1บางโฉลง บางพลี สมุทรปราการ")</f>
        <v>204/12 หมู่ที่1บางโฉลง บางพลี สมุทรปราการ</v>
      </c>
      <c r="Y3164" s="3"/>
      <c r="Z3164" s="3"/>
      <c r="AA3164" s="3"/>
      <c r="AB3164" s="3"/>
      <c r="AC3164" s="3"/>
      <c r="AD3164" s="3"/>
      <c r="AE3164" s="3"/>
      <c r="AF3164" s="3" t="str">
        <f>IFERROR(__xludf.DUMMYFUNCTION("""COMPUTED_VALUE"""),"ร้านบุญมีพารวย-84228")</f>
        <v>ร้านบุญมีพารวย-84228</v>
      </c>
      <c r="AG3164" s="3">
        <f>IFERROR(__xludf.DUMMYFUNCTION("""COMPUTED_VALUE"""),0.0)</f>
        <v>0</v>
      </c>
      <c r="AH3164" s="3" t="str">
        <f>IFERROR(__xludf.DUMMYFUNCTION("""COMPUTED_VALUE"""),"#N/A")</f>
        <v>#N/A</v>
      </c>
      <c r="AI3164" s="3" t="str">
        <f>IFERROR(__xludf.DUMMYFUNCTION("""COMPUTED_VALUE"""),"Out of warranty")</f>
        <v>Out of warranty</v>
      </c>
      <c r="AJ3164" s="3">
        <f>IFERROR(__xludf.DUMMYFUNCTION("""COMPUTED_VALUE"""),28.0)</f>
        <v>28</v>
      </c>
      <c r="AK3164" s="3"/>
      <c r="AL3164" s="3"/>
    </row>
    <row r="3165" ht="15.75" customHeight="1">
      <c r="A3165" s="1" t="str">
        <f>IFERROR(__xludf.DUMMYFUNCTION("""COMPUTED_VALUE"""),"84230")</f>
        <v>84230</v>
      </c>
      <c r="B3165" s="2">
        <f>IFERROR(__xludf.DUMMYFUNCTION("""COMPUTED_VALUE"""),84230.0)</f>
        <v>84230</v>
      </c>
      <c r="C3165" s="3" t="str">
        <f>IFERROR(__xludf.DUMMYFUNCTION("""COMPUTED_VALUE"""),"ร้านโอเค")</f>
        <v>ร้านโอเค</v>
      </c>
      <c r="D3165" s="3" t="str">
        <f>IFERROR(__xludf.DUMMYFUNCTION("""COMPUTED_VALUE"""),"ร้านโอเค")</f>
        <v>ร้านโอเค</v>
      </c>
      <c r="E3165" s="1" t="str">
        <f>IFERROR(__xludf.DUMMYFUNCTION("""COMPUTED_VALUE"""),"Donjai")</f>
        <v>Donjai</v>
      </c>
      <c r="F3165" s="1" t="str">
        <f>IFERROR(__xludf.DUMMYFUNCTION("""COMPUTED_VALUE"""),"20470331")</f>
        <v>20470331</v>
      </c>
      <c r="G3165" s="1" t="str">
        <f>IFERROR(__xludf.DUMMYFUNCTION("""COMPUTED_VALUE"""),"นายสมชาย ลักษณะสุวรรณ")</f>
        <v>นายสมชาย ลักษณะสุวรรณ</v>
      </c>
      <c r="H3165" s="1" t="str">
        <f>IFERROR(__xludf.DUMMYFUNCTION("""COMPUTED_VALUE"""),"20470331")</f>
        <v>20470331</v>
      </c>
      <c r="I3165" s="1" t="str">
        <f>IFERROR(__xludf.DUMMYFUNCTION("""COMPUTED_VALUE"""),"นายสมชาย ลักษณะสุวรรณ")</f>
        <v>นายสมชาย ลักษณะสุวรรณ</v>
      </c>
      <c r="J3165" s="3">
        <f>IFERROR(__xludf.DUMMYFUNCTION("""COMPUTED_VALUE"""),295541.0)</f>
        <v>295541</v>
      </c>
      <c r="K3165" s="3" t="str">
        <f>IFERROR(__xludf.DUMMYFUNCTION("""COMPUTED_VALUE"""),"นายรพิพล ศรีมาตย์")</f>
        <v>นายรพิพล ศรีมาตย์</v>
      </c>
      <c r="L3165" s="1" t="str">
        <f>IFERROR(__xludf.DUMMYFUNCTION("""COMPUTED_VALUE"""),"นายรพิพล ศรีมาตย์")</f>
        <v>นายรพิพล ศรีมาตย์</v>
      </c>
      <c r="M3165" s="1" t="str">
        <f>IFERROR(__xludf.DUMMYFUNCTION("""COMPUTED_VALUE"""),"0613966115")</f>
        <v>0613966115</v>
      </c>
      <c r="N3165" s="3">
        <f>IFERROR(__xludf.DUMMYFUNCTION("""COMPUTED_VALUE"""),84230.0)</f>
        <v>84230</v>
      </c>
      <c r="O3165" s="3" t="str">
        <f>IFERROR(__xludf.DUMMYFUNCTION("""COMPUTED_VALUE"""),"ร้านโอเค")</f>
        <v>ร้านโอเค</v>
      </c>
      <c r="P3165" s="4">
        <f>IFERROR(__xludf.DUMMYFUNCTION("""COMPUTED_VALUE"""),45184.0)</f>
        <v>45184</v>
      </c>
      <c r="Q3165" s="3" t="str">
        <f>IFERROR(__xludf.DUMMYFUNCTION("""COMPUTED_VALUE"""),"A")</f>
        <v>A</v>
      </c>
      <c r="R3165" s="3" t="str">
        <f>IFERROR(__xludf.DUMMYFUNCTION("""COMPUTED_VALUE"""),"Small Format")</f>
        <v>Small Format</v>
      </c>
      <c r="S3165" s="3" t="str">
        <f>IFERROR(__xludf.DUMMYFUNCTION("""COMPUTED_VALUE"""),"Donjai")</f>
        <v>Donjai</v>
      </c>
      <c r="T3165" s="3" t="str">
        <f>IFERROR(__xludf.DUMMYFUNCTION("""COMPUTED_VALUE"""),"15 K.Somchai L")</f>
        <v>15 K.Somchai L</v>
      </c>
      <c r="U3165" s="3" t="str">
        <f>IFERROR(__xludf.DUMMYFUNCTION("""COMPUTED_VALUE"""),"15 K.Somchai L")</f>
        <v>15 K.Somchai L</v>
      </c>
      <c r="V3165" s="3" t="str">
        <f>IFERROR(__xludf.DUMMYFUNCTION("""COMPUTED_VALUE"""),"N")</f>
        <v>N</v>
      </c>
      <c r="W3165" s="3"/>
      <c r="X3165" s="3" t="str">
        <f>IFERROR(__xludf.DUMMYFUNCTION("""COMPUTED_VALUE"""),"96 หมู่1 ม่วงงาม สิงหนคร สงขลา")</f>
        <v>96 หมู่1 ม่วงงาม สิงหนคร สงขลา</v>
      </c>
      <c r="Y3165" s="3"/>
      <c r="Z3165" s="3" t="str">
        <f>IFERROR(__xludf.DUMMYFUNCTION("""COMPUTED_VALUE"""),"ม่วงงาม")</f>
        <v>ม่วงงาม</v>
      </c>
      <c r="AA3165" s="3" t="str">
        <f>IFERROR(__xludf.DUMMYFUNCTION("""COMPUTED_VALUE"""),"สิงหนคร")</f>
        <v>สิงหนคร</v>
      </c>
      <c r="AB3165" s="3" t="str">
        <f>IFERROR(__xludf.DUMMYFUNCTION("""COMPUTED_VALUE"""),"สงขลา")</f>
        <v>สงขลา</v>
      </c>
      <c r="AC3165" s="3"/>
      <c r="AD3165" s="3"/>
      <c r="AE3165" s="3"/>
      <c r="AF3165" s="3" t="str">
        <f>IFERROR(__xludf.DUMMYFUNCTION("""COMPUTED_VALUE"""),"ร้านโอเค-84230")</f>
        <v>ร้านโอเค-84230</v>
      </c>
      <c r="AG3165" s="3" t="str">
        <f>IFERROR(__xludf.DUMMYFUNCTION("""COMPUTED_VALUE"""),"ใต้")</f>
        <v>ใต้</v>
      </c>
      <c r="AH3165" s="3" t="str">
        <f>IFERROR(__xludf.DUMMYFUNCTION("""COMPUTED_VALUE"""),"#N/A")</f>
        <v>#N/A</v>
      </c>
      <c r="AI3165" s="3" t="str">
        <f>IFERROR(__xludf.DUMMYFUNCTION("""COMPUTED_VALUE"""),"Out of warranty")</f>
        <v>Out of warranty</v>
      </c>
      <c r="AJ3165" s="3">
        <f>IFERROR(__xludf.DUMMYFUNCTION("""COMPUTED_VALUE"""),29.0)</f>
        <v>29</v>
      </c>
      <c r="AK3165" s="3"/>
      <c r="AL3165" s="3"/>
    </row>
    <row r="3166" ht="15.75" customHeight="1">
      <c r="A3166" s="1" t="str">
        <f>IFERROR(__xludf.DUMMYFUNCTION("""COMPUTED_VALUE"""),"84231")</f>
        <v>84231</v>
      </c>
      <c r="B3166" s="2">
        <f>IFERROR(__xludf.DUMMYFUNCTION("""COMPUTED_VALUE"""),84231.0)</f>
        <v>84231</v>
      </c>
      <c r="C3166" s="3" t="str">
        <f>IFERROR(__xludf.DUMMYFUNCTION("""COMPUTED_VALUE"""),"ร้านชิว Shop สาย2")</f>
        <v>ร้านชิว Shop สาย2</v>
      </c>
      <c r="D3166" s="3" t="str">
        <f>IFERROR(__xludf.DUMMYFUNCTION("""COMPUTED_VALUE"""),"ร้านชิว Shop สาย2")</f>
        <v>ร้านชิว Shop สาย2</v>
      </c>
      <c r="E3166" s="1" t="str">
        <f>IFERROR(__xludf.DUMMYFUNCTION("""COMPUTED_VALUE"""),"Donjai")</f>
        <v>Donjai</v>
      </c>
      <c r="F3166" s="1" t="str">
        <f>IFERROR(__xludf.DUMMYFUNCTION("""COMPUTED_VALUE"""),"20470331")</f>
        <v>20470331</v>
      </c>
      <c r="G3166" s="1" t="str">
        <f>IFERROR(__xludf.DUMMYFUNCTION("""COMPUTED_VALUE"""),"นายสมชาย ลักษณะสุวรรณ")</f>
        <v>นายสมชาย ลักษณะสุวรรณ</v>
      </c>
      <c r="H3166" s="1" t="str">
        <f>IFERROR(__xludf.DUMMYFUNCTION("""COMPUTED_VALUE"""),"20470331")</f>
        <v>20470331</v>
      </c>
      <c r="I3166" s="1" t="str">
        <f>IFERROR(__xludf.DUMMYFUNCTION("""COMPUTED_VALUE"""),"นายสมชาย ลักษณะสุวรรณ")</f>
        <v>นายสมชาย ลักษณะสุวรรณ</v>
      </c>
      <c r="J3166" s="3">
        <f>IFERROR(__xludf.DUMMYFUNCTION("""COMPUTED_VALUE"""),295541.0)</f>
        <v>295541</v>
      </c>
      <c r="K3166" s="3" t="str">
        <f>IFERROR(__xludf.DUMMYFUNCTION("""COMPUTED_VALUE"""),"นายรพิพล ศรีมาตย์")</f>
        <v>นายรพิพล ศรีมาตย์</v>
      </c>
      <c r="L3166" s="1" t="str">
        <f>IFERROR(__xludf.DUMMYFUNCTION("""COMPUTED_VALUE"""),"นายรพิพล ศรีมาตย์")</f>
        <v>นายรพิพล ศรีมาตย์</v>
      </c>
      <c r="M3166" s="1" t="str">
        <f>IFERROR(__xludf.DUMMYFUNCTION("""COMPUTED_VALUE"""),"0613966115")</f>
        <v>0613966115</v>
      </c>
      <c r="N3166" s="3">
        <f>IFERROR(__xludf.DUMMYFUNCTION("""COMPUTED_VALUE"""),84231.0)</f>
        <v>84231</v>
      </c>
      <c r="O3166" s="3" t="str">
        <f>IFERROR(__xludf.DUMMYFUNCTION("""COMPUTED_VALUE"""),"ร้านชิว Shop สาย2")</f>
        <v>ร้านชิว Shop สาย2</v>
      </c>
      <c r="P3166" s="4">
        <f>IFERROR(__xludf.DUMMYFUNCTION("""COMPUTED_VALUE"""),45158.0)</f>
        <v>45158</v>
      </c>
      <c r="Q3166" s="3" t="str">
        <f>IFERROR(__xludf.DUMMYFUNCTION("""COMPUTED_VALUE"""),"I")</f>
        <v>I</v>
      </c>
      <c r="R3166" s="3" t="str">
        <f>IFERROR(__xludf.DUMMYFUNCTION("""COMPUTED_VALUE"""),"Small Format")</f>
        <v>Small Format</v>
      </c>
      <c r="S3166" s="3" t="str">
        <f>IFERROR(__xludf.DUMMYFUNCTION("""COMPUTED_VALUE"""),"Donjai")</f>
        <v>Donjai</v>
      </c>
      <c r="T3166" s="3" t="str">
        <f>IFERROR(__xludf.DUMMYFUNCTION("""COMPUTED_VALUE"""),"15 K.Somchai L")</f>
        <v>15 K.Somchai L</v>
      </c>
      <c r="U3166" s="3" t="str">
        <f>IFERROR(__xludf.DUMMYFUNCTION("""COMPUTED_VALUE"""),"15 K.Somchai L")</f>
        <v>15 K.Somchai L</v>
      </c>
      <c r="V3166" s="3" t="str">
        <f>IFERROR(__xludf.DUMMYFUNCTION("""COMPUTED_VALUE"""),"N")</f>
        <v>N</v>
      </c>
      <c r="W3166" s="3"/>
      <c r="X3166" s="3" t="str">
        <f>IFERROR(__xludf.DUMMYFUNCTION("""COMPUTED_VALUE"""),"พราววิลเลจ เรซิเดนซ์ 142/24 ถ.ภาษีเจริญ บ้านพรุ หาดใหญ่ สงขลา")</f>
        <v>พราววิลเลจ เรซิเดนซ์ 142/24 ถ.ภาษีเจริญ บ้านพรุ หาดใหญ่ สงขลา</v>
      </c>
      <c r="Y3166" s="3"/>
      <c r="Z3166" s="3"/>
      <c r="AA3166" s="3"/>
      <c r="AB3166" s="3"/>
      <c r="AC3166" s="3"/>
      <c r="AD3166" s="3"/>
      <c r="AE3166" s="3"/>
      <c r="AF3166" s="3" t="str">
        <f>IFERROR(__xludf.DUMMYFUNCTION("""COMPUTED_VALUE"""),"ร้านชิว Shop สาย2-84231")</f>
        <v>ร้านชิว Shop สาย2-84231</v>
      </c>
      <c r="AG3166" s="3">
        <f>IFERROR(__xludf.DUMMYFUNCTION("""COMPUTED_VALUE"""),0.0)</f>
        <v>0</v>
      </c>
      <c r="AH3166" s="3" t="str">
        <f>IFERROR(__xludf.DUMMYFUNCTION("""COMPUTED_VALUE"""),"#N/A")</f>
        <v>#N/A</v>
      </c>
      <c r="AI3166" s="3" t="str">
        <f>IFERROR(__xludf.DUMMYFUNCTION("""COMPUTED_VALUE"""),"Out of warranty")</f>
        <v>Out of warranty</v>
      </c>
      <c r="AJ3166" s="3">
        <f>IFERROR(__xludf.DUMMYFUNCTION("""COMPUTED_VALUE"""),30.0)</f>
        <v>30</v>
      </c>
      <c r="AK3166" s="3"/>
      <c r="AL3166" s="3"/>
    </row>
    <row r="3167" ht="15.75" customHeight="1">
      <c r="A3167" s="1" t="str">
        <f>IFERROR(__xludf.DUMMYFUNCTION("""COMPUTED_VALUE"""),"84232")</f>
        <v>84232</v>
      </c>
      <c r="B3167" s="2">
        <f>IFERROR(__xludf.DUMMYFUNCTION("""COMPUTED_VALUE"""),84232.0)</f>
        <v>84232</v>
      </c>
      <c r="C3167" s="3" t="str">
        <f>IFERROR(__xludf.DUMMYFUNCTION("""COMPUTED_VALUE"""),"ร้านร้านนำโชคช็อป (ร้านนำโชคดี)")</f>
        <v>ร้านร้านนำโชคช็อป (ร้านนำโชคดี)</v>
      </c>
      <c r="D3167" s="3" t="str">
        <f>IFERROR(__xludf.DUMMYFUNCTION("""COMPUTED_VALUE"""),"ร้านร้านนำโชคช็อป (ร้านนำโชคดี)")</f>
        <v>ร้านร้านนำโชคช็อป (ร้านนำโชคดี)</v>
      </c>
      <c r="E3167" s="1" t="str">
        <f>IFERROR(__xludf.DUMMYFUNCTION("""COMPUTED_VALUE"""),"Donjai")</f>
        <v>Donjai</v>
      </c>
      <c r="F3167" s="1" t="str">
        <f>IFERROR(__xludf.DUMMYFUNCTION("""COMPUTED_VALUE"""),"015361")</f>
        <v>015361</v>
      </c>
      <c r="G3167" s="1" t="str">
        <f>IFERROR(__xludf.DUMMYFUNCTION("""COMPUTED_VALUE"""),"นายสมบูรณ์ พรหมในเมือง")</f>
        <v>นายสมบูรณ์ พรหมในเมือง</v>
      </c>
      <c r="H3167" s="1" t="str">
        <f>IFERROR(__xludf.DUMMYFUNCTION("""COMPUTED_VALUE"""),"015361")</f>
        <v>015361</v>
      </c>
      <c r="I3167" s="1" t="str">
        <f>IFERROR(__xludf.DUMMYFUNCTION("""COMPUTED_VALUE"""),"นายสมบูรณ์ พรหมในเมือง")</f>
        <v>นายสมบูรณ์ พรหมในเมือง</v>
      </c>
      <c r="J3167" s="3">
        <f>IFERROR(__xludf.DUMMYFUNCTION("""COMPUTED_VALUE"""),295886.0)</f>
        <v>295886</v>
      </c>
      <c r="K3167" s="3" t="str">
        <f>IFERROR(__xludf.DUMMYFUNCTION("""COMPUTED_VALUE"""),"นายจิระพงษ์ โพธิ์นิล")</f>
        <v>นายจิระพงษ์ โพธิ์นิล</v>
      </c>
      <c r="L3167" s="1" t="str">
        <f>IFERROR(__xludf.DUMMYFUNCTION("""COMPUTED_VALUE"""),"นายจิระพงษ์ โพธิ์นิล")</f>
        <v>นายจิระพงษ์ โพธิ์นิล</v>
      </c>
      <c r="M3167" s="1" t="str">
        <f>IFERROR(__xludf.DUMMYFUNCTION("""COMPUTED_VALUE"""),"0933290754")</f>
        <v>0933290754</v>
      </c>
      <c r="N3167" s="3">
        <f>IFERROR(__xludf.DUMMYFUNCTION("""COMPUTED_VALUE"""),84232.0)</f>
        <v>84232</v>
      </c>
      <c r="O3167" s="3" t="str">
        <f>IFERROR(__xludf.DUMMYFUNCTION("""COMPUTED_VALUE"""),"ร้านร้านนำโชคช็อป (ร้านนำโชคดี)")</f>
        <v>ร้านร้านนำโชคช็อป (ร้านนำโชคดี)</v>
      </c>
      <c r="P3167" s="4">
        <f>IFERROR(__xludf.DUMMYFUNCTION("""COMPUTED_VALUE"""),45189.0)</f>
        <v>45189</v>
      </c>
      <c r="Q3167" s="3" t="str">
        <f>IFERROR(__xludf.DUMMYFUNCTION("""COMPUTED_VALUE"""),"A")</f>
        <v>A</v>
      </c>
      <c r="R3167" s="3" t="str">
        <f>IFERROR(__xludf.DUMMYFUNCTION("""COMPUTED_VALUE"""),"Small Format")</f>
        <v>Small Format</v>
      </c>
      <c r="S3167" s="3" t="str">
        <f>IFERROR(__xludf.DUMMYFUNCTION("""COMPUTED_VALUE"""),"Donjai")</f>
        <v>Donjai</v>
      </c>
      <c r="T3167" s="3" t="str">
        <f>IFERROR(__xludf.DUMMYFUNCTION("""COMPUTED_VALUE"""),"04 K.Somboon P.")</f>
        <v>04 K.Somboon P.</v>
      </c>
      <c r="U3167" s="3" t="str">
        <f>IFERROR(__xludf.DUMMYFUNCTION("""COMPUTED_VALUE"""),"04 K.Somboon P.")</f>
        <v>04 K.Somboon P.</v>
      </c>
      <c r="V3167" s="3" t="str">
        <f>IFERROR(__xludf.DUMMYFUNCTION("""COMPUTED_VALUE"""),"N")</f>
        <v>N</v>
      </c>
      <c r="W3167" s="3"/>
      <c r="X3167" s="3" t="str">
        <f>IFERROR(__xludf.DUMMYFUNCTION("""COMPUTED_VALUE"""),"114 หมู่ 7 หนองพอก ธวัชบุรี ร้อยเอ็ด")</f>
        <v>114 หมู่ 7 หนองพอก ธวัชบุรี ร้อยเอ็ด</v>
      </c>
      <c r="Y3167" s="3"/>
      <c r="Z3167" s="3" t="str">
        <f>IFERROR(__xludf.DUMMYFUNCTION("""COMPUTED_VALUE"""),"หนองพอก")</f>
        <v>หนองพอก</v>
      </c>
      <c r="AA3167" s="3" t="str">
        <f>IFERROR(__xludf.DUMMYFUNCTION("""COMPUTED_VALUE"""),"ธวัชบุรี")</f>
        <v>ธวัชบุรี</v>
      </c>
      <c r="AB3167" s="3" t="str">
        <f>IFERROR(__xludf.DUMMYFUNCTION("""COMPUTED_VALUE"""),"ร้อยเอ็ด")</f>
        <v>ร้อยเอ็ด</v>
      </c>
      <c r="AC3167" s="3"/>
      <c r="AD3167" s="3"/>
      <c r="AE3167" s="3"/>
      <c r="AF3167" s="3" t="str">
        <f>IFERROR(__xludf.DUMMYFUNCTION("""COMPUTED_VALUE"""),"ร้านร้านนำโชคช็อป (ร้านนำโชคดี)-84232")</f>
        <v>ร้านร้านนำโชคช็อป (ร้านนำโชคดี)-84232</v>
      </c>
      <c r="AG3167" s="3" t="str">
        <f>IFERROR(__xludf.DUMMYFUNCTION("""COMPUTED_VALUE"""),"ตะวันออกเฉียงเหนือ")</f>
        <v>ตะวันออกเฉียงเหนือ</v>
      </c>
      <c r="AH3167" s="3" t="str">
        <f>IFERROR(__xludf.DUMMYFUNCTION("""COMPUTED_VALUE"""),"#N/A")</f>
        <v>#N/A</v>
      </c>
      <c r="AI3167" s="3" t="str">
        <f>IFERROR(__xludf.DUMMYFUNCTION("""COMPUTED_VALUE"""),"Out of warranty")</f>
        <v>Out of warranty</v>
      </c>
      <c r="AJ3167" s="3">
        <f>IFERROR(__xludf.DUMMYFUNCTION("""COMPUTED_VALUE"""),29.0)</f>
        <v>29</v>
      </c>
      <c r="AK3167" s="3"/>
      <c r="AL3167" s="3"/>
    </row>
    <row r="3168" ht="15.75" customHeight="1">
      <c r="A3168" s="1" t="str">
        <f>IFERROR(__xludf.DUMMYFUNCTION("""COMPUTED_VALUE"""),"84233")</f>
        <v>84233</v>
      </c>
      <c r="B3168" s="2">
        <f>IFERROR(__xludf.DUMMYFUNCTION("""COMPUTED_VALUE"""),84233.0)</f>
        <v>84233</v>
      </c>
      <c r="C3168" s="3" t="str">
        <f>IFERROR(__xludf.DUMMYFUNCTION("""COMPUTED_VALUE"""),"ร้านฉิมวงค์ทวีทรัพย์")</f>
        <v>ร้านฉิมวงค์ทวีทรัพย์</v>
      </c>
      <c r="D3168" s="3" t="str">
        <f>IFERROR(__xludf.DUMMYFUNCTION("""COMPUTED_VALUE"""),"ร้านฉิมวงค์ทวีทรัพย์")</f>
        <v>ร้านฉิมวงค์ทวีทรัพย์</v>
      </c>
      <c r="E3168" s="1" t="str">
        <f>IFERROR(__xludf.DUMMYFUNCTION("""COMPUTED_VALUE"""),"Donjai")</f>
        <v>Donjai</v>
      </c>
      <c r="F3168" s="1" t="str">
        <f>IFERROR(__xludf.DUMMYFUNCTION("""COMPUTED_VALUE"""),"015361")</f>
        <v>015361</v>
      </c>
      <c r="G3168" s="1" t="str">
        <f>IFERROR(__xludf.DUMMYFUNCTION("""COMPUTED_VALUE"""),"นายสมบูรณ์ พรหมในเมือง")</f>
        <v>นายสมบูรณ์ พรหมในเมือง</v>
      </c>
      <c r="H3168" s="1" t="str">
        <f>IFERROR(__xludf.DUMMYFUNCTION("""COMPUTED_VALUE"""),"015361")</f>
        <v>015361</v>
      </c>
      <c r="I3168" s="1" t="str">
        <f>IFERROR(__xludf.DUMMYFUNCTION("""COMPUTED_VALUE"""),"นายสมบูรณ์ พรหมในเมือง")</f>
        <v>นายสมบูรณ์ พรหมในเมือง</v>
      </c>
      <c r="J3168" s="3">
        <f>IFERROR(__xludf.DUMMYFUNCTION("""COMPUTED_VALUE"""),295886.0)</f>
        <v>295886</v>
      </c>
      <c r="K3168" s="3" t="str">
        <f>IFERROR(__xludf.DUMMYFUNCTION("""COMPUTED_VALUE"""),"นายจิระพงษ์ โพธิ์นิล")</f>
        <v>นายจิระพงษ์ โพธิ์นิล</v>
      </c>
      <c r="L3168" s="1" t="str">
        <f>IFERROR(__xludf.DUMMYFUNCTION("""COMPUTED_VALUE"""),"นายจิระพงษ์ โพธิ์นิล")</f>
        <v>นายจิระพงษ์ โพธิ์นิล</v>
      </c>
      <c r="M3168" s="1" t="str">
        <f>IFERROR(__xludf.DUMMYFUNCTION("""COMPUTED_VALUE"""),"0933290754")</f>
        <v>0933290754</v>
      </c>
      <c r="N3168" s="3">
        <f>IFERROR(__xludf.DUMMYFUNCTION("""COMPUTED_VALUE"""),84233.0)</f>
        <v>84233</v>
      </c>
      <c r="O3168" s="3" t="str">
        <f>IFERROR(__xludf.DUMMYFUNCTION("""COMPUTED_VALUE"""),"ร้านฉิมวงค์ทวีทรัพย์")</f>
        <v>ร้านฉิมวงค์ทวีทรัพย์</v>
      </c>
      <c r="P3168" s="4">
        <f>IFERROR(__xludf.DUMMYFUNCTION("""COMPUTED_VALUE"""),45170.0)</f>
        <v>45170</v>
      </c>
      <c r="Q3168" s="3" t="str">
        <f>IFERROR(__xludf.DUMMYFUNCTION("""COMPUTED_VALUE"""),"A")</f>
        <v>A</v>
      </c>
      <c r="R3168" s="3" t="str">
        <f>IFERROR(__xludf.DUMMYFUNCTION("""COMPUTED_VALUE"""),"Small Format")</f>
        <v>Small Format</v>
      </c>
      <c r="S3168" s="3" t="str">
        <f>IFERROR(__xludf.DUMMYFUNCTION("""COMPUTED_VALUE"""),"Donjai")</f>
        <v>Donjai</v>
      </c>
      <c r="T3168" s="3" t="str">
        <f>IFERROR(__xludf.DUMMYFUNCTION("""COMPUTED_VALUE"""),"04 K.Somboon P.")</f>
        <v>04 K.Somboon P.</v>
      </c>
      <c r="U3168" s="3" t="str">
        <f>IFERROR(__xludf.DUMMYFUNCTION("""COMPUTED_VALUE"""),"04 K.Somboon P.")</f>
        <v>04 K.Somboon P.</v>
      </c>
      <c r="V3168" s="3" t="str">
        <f>IFERROR(__xludf.DUMMYFUNCTION("""COMPUTED_VALUE"""),"N")</f>
        <v>N</v>
      </c>
      <c r="W3168" s="3"/>
      <c r="X3168" s="3" t="str">
        <f>IFERROR(__xludf.DUMMYFUNCTION("""COMPUTED_VALUE"""),"62 หมู่ 13 หนองแวง หนองบัวแดง ชัยภูมิ")</f>
        <v>62 หมู่ 13 หนองแวง หนองบัวแดง ชัยภูมิ</v>
      </c>
      <c r="Y3168" s="3"/>
      <c r="Z3168" s="3"/>
      <c r="AA3168" s="3"/>
      <c r="AB3168" s="3"/>
      <c r="AC3168" s="3"/>
      <c r="AD3168" s="3"/>
      <c r="AE3168" s="3"/>
      <c r="AF3168" s="3" t="str">
        <f>IFERROR(__xludf.DUMMYFUNCTION("""COMPUTED_VALUE"""),"ร้านฉิมวงค์ทวีทรัพย์-84233")</f>
        <v>ร้านฉิมวงค์ทวีทรัพย์-84233</v>
      </c>
      <c r="AG3168" s="3">
        <f>IFERROR(__xludf.DUMMYFUNCTION("""COMPUTED_VALUE"""),0.0)</f>
        <v>0</v>
      </c>
      <c r="AH3168" s="3" t="str">
        <f>IFERROR(__xludf.DUMMYFUNCTION("""COMPUTED_VALUE"""),"#N/A")</f>
        <v>#N/A</v>
      </c>
      <c r="AI3168" s="3" t="str">
        <f>IFERROR(__xludf.DUMMYFUNCTION("""COMPUTED_VALUE"""),"Out of warranty")</f>
        <v>Out of warranty</v>
      </c>
      <c r="AJ3168" s="3">
        <f>IFERROR(__xludf.DUMMYFUNCTION("""COMPUTED_VALUE"""),29.0)</f>
        <v>29</v>
      </c>
      <c r="AK3168" s="3"/>
      <c r="AL3168" s="3"/>
    </row>
    <row r="3169" ht="15.75" customHeight="1">
      <c r="A3169" s="1" t="str">
        <f>IFERROR(__xludf.DUMMYFUNCTION("""COMPUTED_VALUE"""),"84234")</f>
        <v>84234</v>
      </c>
      <c r="B3169" s="2">
        <f>IFERROR(__xludf.DUMMYFUNCTION("""COMPUTED_VALUE"""),84234.0)</f>
        <v>84234</v>
      </c>
      <c r="C3169" s="3" t="str">
        <f>IFERROR(__xludf.DUMMYFUNCTION("""COMPUTED_VALUE"""),"ร้าน S&amp;N Happy Shop")</f>
        <v>ร้าน S&amp;N Happy Shop</v>
      </c>
      <c r="D3169" s="3" t="str">
        <f>IFERROR(__xludf.DUMMYFUNCTION("""COMPUTED_VALUE"""),"ร้าน S&amp;N Happy Shop")</f>
        <v>ร้าน S&amp;N Happy Shop</v>
      </c>
      <c r="E3169" s="1" t="str">
        <f>IFERROR(__xludf.DUMMYFUNCTION("""COMPUTED_VALUE"""),"Donjai")</f>
        <v>Donjai</v>
      </c>
      <c r="F3169" s="1" t="str">
        <f>IFERROR(__xludf.DUMMYFUNCTION("""COMPUTED_VALUE"""),"296868")</f>
        <v>296868</v>
      </c>
      <c r="G3169" s="1" t="str">
        <f>IFERROR(__xludf.DUMMYFUNCTION("""COMPUTED_VALUE"""),"นายพีระพงษ์ แก้วดวงดี")</f>
        <v>นายพีระพงษ์ แก้วดวงดี</v>
      </c>
      <c r="H3169" s="1" t="str">
        <f>IFERROR(__xludf.DUMMYFUNCTION("""COMPUTED_VALUE"""),"296868")</f>
        <v>296868</v>
      </c>
      <c r="I3169" s="1" t="str">
        <f>IFERROR(__xludf.DUMMYFUNCTION("""COMPUTED_VALUE"""),"นายพีระพงษ์ แก้วดวงดี")</f>
        <v>นายพีระพงษ์ แก้วดวงดี</v>
      </c>
      <c r="J3169" s="3">
        <f>IFERROR(__xludf.DUMMYFUNCTION("""COMPUTED_VALUE"""),295886.0)</f>
        <v>295886</v>
      </c>
      <c r="K3169" s="3" t="str">
        <f>IFERROR(__xludf.DUMMYFUNCTION("""COMPUTED_VALUE"""),"นายจิระพงษ์ โพธิ์นิล")</f>
        <v>นายจิระพงษ์ โพธิ์นิล</v>
      </c>
      <c r="L3169" s="1" t="str">
        <f>IFERROR(__xludf.DUMMYFUNCTION("""COMPUTED_VALUE"""),"นายจิระพงษ์ โพธิ์นิล")</f>
        <v>นายจิระพงษ์ โพธิ์นิล</v>
      </c>
      <c r="M3169" s="1" t="str">
        <f>IFERROR(__xludf.DUMMYFUNCTION("""COMPUTED_VALUE"""),"0933290754")</f>
        <v>0933290754</v>
      </c>
      <c r="N3169" s="3">
        <f>IFERROR(__xludf.DUMMYFUNCTION("""COMPUTED_VALUE"""),84234.0)</f>
        <v>84234</v>
      </c>
      <c r="O3169" s="3" t="str">
        <f>IFERROR(__xludf.DUMMYFUNCTION("""COMPUTED_VALUE"""),"ร้าน S&amp;N Happy Shop")</f>
        <v>ร้าน S&amp;N Happy Shop</v>
      </c>
      <c r="P3169" s="4">
        <f>IFERROR(__xludf.DUMMYFUNCTION("""COMPUTED_VALUE"""),45196.0)</f>
        <v>45196</v>
      </c>
      <c r="Q3169" s="3" t="str">
        <f>IFERROR(__xludf.DUMMYFUNCTION("""COMPUTED_VALUE"""),"A")</f>
        <v>A</v>
      </c>
      <c r="R3169" s="3" t="str">
        <f>IFERROR(__xludf.DUMMYFUNCTION("""COMPUTED_VALUE"""),"Small Format")</f>
        <v>Small Format</v>
      </c>
      <c r="S3169" s="3" t="str">
        <f>IFERROR(__xludf.DUMMYFUNCTION("""COMPUTED_VALUE"""),"Donjai")</f>
        <v>Donjai</v>
      </c>
      <c r="T3169" s="3" t="str">
        <f>IFERROR(__xludf.DUMMYFUNCTION("""COMPUTED_VALUE"""),"03 K.Peerapong K.")</f>
        <v>03 K.Peerapong K.</v>
      </c>
      <c r="U3169" s="3" t="str">
        <f>IFERROR(__xludf.DUMMYFUNCTION("""COMPUTED_VALUE"""),"03 K.Peerapong K.")</f>
        <v>03 K.Peerapong K.</v>
      </c>
      <c r="V3169" s="3" t="str">
        <f>IFERROR(__xludf.DUMMYFUNCTION("""COMPUTED_VALUE"""),"N")</f>
        <v>N</v>
      </c>
      <c r="W3169" s="3"/>
      <c r="X3169" s="3" t="str">
        <f>IFERROR(__xludf.DUMMYFUNCTION("""COMPUTED_VALUE"""),"200 หมู่ที่ 8 ต.หนองฮี อ.ปลาปาก จ.นครพนม")</f>
        <v>200 หมู่ที่ 8 ต.หนองฮี อ.ปลาปาก จ.นครพนม</v>
      </c>
      <c r="Y3169" s="3"/>
      <c r="Z3169" s="3"/>
      <c r="AA3169" s="3"/>
      <c r="AB3169" s="3"/>
      <c r="AC3169" s="3"/>
      <c r="AD3169" s="3"/>
      <c r="AE3169" s="3"/>
      <c r="AF3169" s="3" t="str">
        <f>IFERROR(__xludf.DUMMYFUNCTION("""COMPUTED_VALUE"""),"ร้าน S&amp;N Happy Shop-84234")</f>
        <v>ร้าน S&amp;N Happy Shop-84234</v>
      </c>
      <c r="AG3169" s="3">
        <f>IFERROR(__xludf.DUMMYFUNCTION("""COMPUTED_VALUE"""),0.0)</f>
        <v>0</v>
      </c>
      <c r="AH3169" s="3" t="str">
        <f>IFERROR(__xludf.DUMMYFUNCTION("""COMPUTED_VALUE"""),"#N/A")</f>
        <v>#N/A</v>
      </c>
      <c r="AI3169" s="3" t="str">
        <f>IFERROR(__xludf.DUMMYFUNCTION("""COMPUTED_VALUE"""),"Out of warranty")</f>
        <v>Out of warranty</v>
      </c>
      <c r="AJ3169" s="3">
        <f>IFERROR(__xludf.DUMMYFUNCTION("""COMPUTED_VALUE"""),28.0)</f>
        <v>28</v>
      </c>
      <c r="AK3169" s="3"/>
      <c r="AL3169" s="3"/>
    </row>
    <row r="3170" ht="15.75" customHeight="1">
      <c r="A3170" s="1" t="str">
        <f>IFERROR(__xludf.DUMMYFUNCTION("""COMPUTED_VALUE"""),"84235")</f>
        <v>84235</v>
      </c>
      <c r="B3170" s="2">
        <f>IFERROR(__xludf.DUMMYFUNCTION("""COMPUTED_VALUE"""),84235.0)</f>
        <v>84235</v>
      </c>
      <c r="C3170" s="3" t="str">
        <f>IFERROR(__xludf.DUMMYFUNCTION("""COMPUTED_VALUE"""),"ร้านอาบีด๊ะห์")</f>
        <v>ร้านอาบีด๊ะห์</v>
      </c>
      <c r="D3170" s="3" t="str">
        <f>IFERROR(__xludf.DUMMYFUNCTION("""COMPUTED_VALUE"""),"ร้านอาบีด๊ะห์")</f>
        <v>ร้านอาบีด๊ะห์</v>
      </c>
      <c r="E3170" s="1" t="str">
        <f>IFERROR(__xludf.DUMMYFUNCTION("""COMPUTED_VALUE"""),"Donjai")</f>
        <v>Donjai</v>
      </c>
      <c r="F3170" s="1" t="str">
        <f>IFERROR(__xludf.DUMMYFUNCTION("""COMPUTED_VALUE"""),"296608")</f>
        <v>296608</v>
      </c>
      <c r="G3170" s="1" t="str">
        <f>IFERROR(__xludf.DUMMYFUNCTION("""COMPUTED_VALUE"""),"นายภาคภูมิ เพ็ชรนิล")</f>
        <v>นายภาคภูมิ เพ็ชรนิล</v>
      </c>
      <c r="H3170" s="1" t="str">
        <f>IFERROR(__xludf.DUMMYFUNCTION("""COMPUTED_VALUE"""),"296608")</f>
        <v>296608</v>
      </c>
      <c r="I3170" s="1" t="str">
        <f>IFERROR(__xludf.DUMMYFUNCTION("""COMPUTED_VALUE"""),"นายภาคภูมิ เพ็ชรนิล")</f>
        <v>นายภาคภูมิ เพ็ชรนิล</v>
      </c>
      <c r="J3170" s="3">
        <f>IFERROR(__xludf.DUMMYFUNCTION("""COMPUTED_VALUE"""),228031.0)</f>
        <v>228031</v>
      </c>
      <c r="K3170" s="3" t="str">
        <f>IFERROR(__xludf.DUMMYFUNCTION("""COMPUTED_VALUE"""),"นายธนพงษ์ วันหมัด")</f>
        <v>นายธนพงษ์ วันหมัด</v>
      </c>
      <c r="L3170" s="1" t="str">
        <f>IFERROR(__xludf.DUMMYFUNCTION("""COMPUTED_VALUE"""),"นายธนพงษ์ วันหมัด")</f>
        <v>นายธนพงษ์ วันหมัด</v>
      </c>
      <c r="M3170" s="1" t="str">
        <f>IFERROR(__xludf.DUMMYFUNCTION("""COMPUTED_VALUE"""),"0813716913")</f>
        <v>0813716913</v>
      </c>
      <c r="N3170" s="3">
        <f>IFERROR(__xludf.DUMMYFUNCTION("""COMPUTED_VALUE"""),84235.0)</f>
        <v>84235</v>
      </c>
      <c r="O3170" s="3" t="str">
        <f>IFERROR(__xludf.DUMMYFUNCTION("""COMPUTED_VALUE"""),"ร้านอาบีด๊ะห์")</f>
        <v>ร้านอาบีด๊ะห์</v>
      </c>
      <c r="P3170" s="4">
        <f>IFERROR(__xludf.DUMMYFUNCTION("""COMPUTED_VALUE"""),45213.0)</f>
        <v>45213</v>
      </c>
      <c r="Q3170" s="3" t="str">
        <f>IFERROR(__xludf.DUMMYFUNCTION("""COMPUTED_VALUE"""),"A")</f>
        <v>A</v>
      </c>
      <c r="R3170" s="3" t="str">
        <f>IFERROR(__xludf.DUMMYFUNCTION("""COMPUTED_VALUE"""),"Small Format")</f>
        <v>Small Format</v>
      </c>
      <c r="S3170" s="3" t="str">
        <f>IFERROR(__xludf.DUMMYFUNCTION("""COMPUTED_VALUE"""),"Donjai")</f>
        <v>Donjai</v>
      </c>
      <c r="T3170" s="3" t="str">
        <f>IFERROR(__xludf.DUMMYFUNCTION("""COMPUTED_VALUE"""),"10 K.Phakphoom P.")</f>
        <v>10 K.Phakphoom P.</v>
      </c>
      <c r="U3170" s="3" t="str">
        <f>IFERROR(__xludf.DUMMYFUNCTION("""COMPUTED_VALUE"""),"10 K.Phakphoom P.")</f>
        <v>10 K.Phakphoom P.</v>
      </c>
      <c r="V3170" s="3" t="str">
        <f>IFERROR(__xludf.DUMMYFUNCTION("""COMPUTED_VALUE"""),"N")</f>
        <v>N</v>
      </c>
      <c r="W3170" s="3"/>
      <c r="X3170" s="3" t="str">
        <f>IFERROR(__xludf.DUMMYFUNCTION("""COMPUTED_VALUE"""),"108/22 หมู่ 2 ท่าแร้งออก บ้านแหลม เพชรบุรี")</f>
        <v>108/22 หมู่ 2 ท่าแร้งออก บ้านแหลม เพชรบุรี</v>
      </c>
      <c r="Y3170" s="3"/>
      <c r="Z3170" s="3"/>
      <c r="AA3170" s="3"/>
      <c r="AB3170" s="3"/>
      <c r="AC3170" s="3"/>
      <c r="AD3170" s="3"/>
      <c r="AE3170" s="3"/>
      <c r="AF3170" s="3" t="str">
        <f>IFERROR(__xludf.DUMMYFUNCTION("""COMPUTED_VALUE"""),"ร้านอาบีด๊ะห์-84235")</f>
        <v>ร้านอาบีด๊ะห์-84235</v>
      </c>
      <c r="AG3170" s="3">
        <f>IFERROR(__xludf.DUMMYFUNCTION("""COMPUTED_VALUE"""),0.0)</f>
        <v>0</v>
      </c>
      <c r="AH3170" s="3" t="str">
        <f>IFERROR(__xludf.DUMMYFUNCTION("""COMPUTED_VALUE"""),"#N/A")</f>
        <v>#N/A</v>
      </c>
      <c r="AI3170" s="3" t="str">
        <f>IFERROR(__xludf.DUMMYFUNCTION("""COMPUTED_VALUE"""),"Out of warranty")</f>
        <v>Out of warranty</v>
      </c>
      <c r="AJ3170" s="3">
        <f>IFERROR(__xludf.DUMMYFUNCTION("""COMPUTED_VALUE"""),28.0)</f>
        <v>28</v>
      </c>
      <c r="AK3170" s="3"/>
      <c r="AL3170" s="3"/>
    </row>
    <row r="3171" ht="15.75" customHeight="1">
      <c r="A3171" s="1" t="str">
        <f>IFERROR(__xludf.DUMMYFUNCTION("""COMPUTED_VALUE"""),"84236")</f>
        <v>84236</v>
      </c>
      <c r="B3171" s="2">
        <f>IFERROR(__xludf.DUMMYFUNCTION("""COMPUTED_VALUE"""),84236.0)</f>
        <v>84236</v>
      </c>
      <c r="C3171" s="3" t="str">
        <f>IFERROR(__xludf.DUMMYFUNCTION("""COMPUTED_VALUE"""),"ร้าน PJ มินิมาร์ท สาขา 2")</f>
        <v>ร้าน PJ มินิมาร์ท สาขา 2</v>
      </c>
      <c r="D3171" s="3" t="str">
        <f>IFERROR(__xludf.DUMMYFUNCTION("""COMPUTED_VALUE"""),"ร้าน PJ มินิมาร์ท สาขา 2")</f>
        <v>ร้าน PJ มินิมาร์ท สาขา 2</v>
      </c>
      <c r="E3171" s="1" t="str">
        <f>IFERROR(__xludf.DUMMYFUNCTION("""COMPUTED_VALUE"""),"Donjai")</f>
        <v>Donjai</v>
      </c>
      <c r="F3171" s="1" t="str">
        <f>IFERROR(__xludf.DUMMYFUNCTION("""COMPUTED_VALUE"""),"296945")</f>
        <v>296945</v>
      </c>
      <c r="G3171" s="1" t="str">
        <f>IFERROR(__xludf.DUMMYFUNCTION("""COMPUTED_VALUE"""),"นายรักพงศ์ พงศ์พันธ์งาม")</f>
        <v>นายรักพงศ์ พงศ์พันธ์งาม</v>
      </c>
      <c r="H3171" s="1" t="str">
        <f>IFERROR(__xludf.DUMMYFUNCTION("""COMPUTED_VALUE"""),"296945")</f>
        <v>296945</v>
      </c>
      <c r="I3171" s="1" t="str">
        <f>IFERROR(__xludf.DUMMYFUNCTION("""COMPUTED_VALUE"""),"นายรักพงศ์ พงศ์พันธ์งาม")</f>
        <v>นายรักพงศ์ พงศ์พันธ์งาม</v>
      </c>
      <c r="J3171" s="3">
        <f>IFERROR(__xludf.DUMMYFUNCTION("""COMPUTED_VALUE"""),228031.0)</f>
        <v>228031</v>
      </c>
      <c r="K3171" s="3" t="str">
        <f>IFERROR(__xludf.DUMMYFUNCTION("""COMPUTED_VALUE"""),"นายธนพงษ์ วันหมัด")</f>
        <v>นายธนพงษ์ วันหมัด</v>
      </c>
      <c r="L3171" s="1" t="str">
        <f>IFERROR(__xludf.DUMMYFUNCTION("""COMPUTED_VALUE"""),"นายธนพงษ์ วันหมัด")</f>
        <v>นายธนพงษ์ วันหมัด</v>
      </c>
      <c r="M3171" s="1" t="str">
        <f>IFERROR(__xludf.DUMMYFUNCTION("""COMPUTED_VALUE"""),"0813716913")</f>
        <v>0813716913</v>
      </c>
      <c r="N3171" s="3">
        <f>IFERROR(__xludf.DUMMYFUNCTION("""COMPUTED_VALUE"""),84236.0)</f>
        <v>84236</v>
      </c>
      <c r="O3171" s="3" t="str">
        <f>IFERROR(__xludf.DUMMYFUNCTION("""COMPUTED_VALUE"""),"ร้าน PJ มินิมาร์ท สาขา 2")</f>
        <v>ร้าน PJ มินิมาร์ท สาขา 2</v>
      </c>
      <c r="P3171" s="4">
        <f>IFERROR(__xludf.DUMMYFUNCTION("""COMPUTED_VALUE"""),45220.0)</f>
        <v>45220</v>
      </c>
      <c r="Q3171" s="3" t="str">
        <f>IFERROR(__xludf.DUMMYFUNCTION("""COMPUTED_VALUE"""),"I")</f>
        <v>I</v>
      </c>
      <c r="R3171" s="3" t="str">
        <f>IFERROR(__xludf.DUMMYFUNCTION("""COMPUTED_VALUE"""),"Small Format")</f>
        <v>Small Format</v>
      </c>
      <c r="S3171" s="3" t="str">
        <f>IFERROR(__xludf.DUMMYFUNCTION("""COMPUTED_VALUE"""),"Donjai")</f>
        <v>Donjai</v>
      </c>
      <c r="T3171" s="3">
        <f>IFERROR(__xludf.DUMMYFUNCTION("""COMPUTED_VALUE"""),0.0)</f>
        <v>0</v>
      </c>
      <c r="U3171" s="3">
        <f>IFERROR(__xludf.DUMMYFUNCTION("""COMPUTED_VALUE"""),0.0)</f>
        <v>0</v>
      </c>
      <c r="V3171" s="3" t="str">
        <f>IFERROR(__xludf.DUMMYFUNCTION("""COMPUTED_VALUE"""),"N")</f>
        <v>N</v>
      </c>
      <c r="W3171" s="3"/>
      <c r="X3171" s="3" t="str">
        <f>IFERROR(__xludf.DUMMYFUNCTION("""COMPUTED_VALUE"""),"อาคาเดีย บีช รีสอร์ท คอนโดมิเนียม หนองปรือ หนองปรือ ชลบุรี")</f>
        <v>อาคาเดีย บีช รีสอร์ท คอนโดมิเนียม หนองปรือ หนองปรือ ชลบุรี</v>
      </c>
      <c r="Y3171" s="3"/>
      <c r="Z3171" s="3" t="str">
        <f>IFERROR(__xludf.DUMMYFUNCTION("""COMPUTED_VALUE"""),"หนองปรือ")</f>
        <v>หนองปรือ</v>
      </c>
      <c r="AA3171" s="3" t="str">
        <f>IFERROR(__xludf.DUMMYFUNCTION("""COMPUTED_VALUE"""),"หนองปรือ")</f>
        <v>หนองปรือ</v>
      </c>
      <c r="AB3171" s="3" t="str">
        <f>IFERROR(__xludf.DUMMYFUNCTION("""COMPUTED_VALUE"""),"ชลบุรี")</f>
        <v>ชลบุรี</v>
      </c>
      <c r="AC3171" s="3"/>
      <c r="AD3171" s="3"/>
      <c r="AE3171" s="3"/>
      <c r="AF3171" s="3" t="str">
        <f>IFERROR(__xludf.DUMMYFUNCTION("""COMPUTED_VALUE"""),"ร้าน PJ มินิมาร์ท สาขา 2-84236")</f>
        <v>ร้าน PJ มินิมาร์ท สาขา 2-84236</v>
      </c>
      <c r="AG3171" s="3" t="str">
        <f>IFERROR(__xludf.DUMMYFUNCTION("""COMPUTED_VALUE"""),"ตะวันออก")</f>
        <v>ตะวันออก</v>
      </c>
      <c r="AH3171" s="3" t="str">
        <f>IFERROR(__xludf.DUMMYFUNCTION("""COMPUTED_VALUE"""),"#N/A")</f>
        <v>#N/A</v>
      </c>
      <c r="AI3171" s="3" t="str">
        <f>IFERROR(__xludf.DUMMYFUNCTION("""COMPUTED_VALUE"""),"Out of warranty")</f>
        <v>Out of warranty</v>
      </c>
      <c r="AJ3171" s="3">
        <f>IFERROR(__xludf.DUMMYFUNCTION("""COMPUTED_VALUE"""),27.0)</f>
        <v>27</v>
      </c>
      <c r="AK3171" s="3"/>
      <c r="AL3171" s="3"/>
    </row>
    <row r="3172" ht="15.75" customHeight="1">
      <c r="A3172" s="1" t="str">
        <f>IFERROR(__xludf.DUMMYFUNCTION("""COMPUTED_VALUE"""),"84240")</f>
        <v>84240</v>
      </c>
      <c r="B3172" s="2">
        <f>IFERROR(__xludf.DUMMYFUNCTION("""COMPUTED_VALUE"""),84240.0)</f>
        <v>84240</v>
      </c>
      <c r="C3172" s="3" t="str">
        <f>IFERROR(__xludf.DUMMYFUNCTION("""COMPUTED_VALUE"""),"ร้านรื่นพาณิชย์")</f>
        <v>ร้านรื่นพาณิชย์</v>
      </c>
      <c r="D3172" s="3" t="str">
        <f>IFERROR(__xludf.DUMMYFUNCTION("""COMPUTED_VALUE"""),"ร้านรื่นพาณิชย์")</f>
        <v>ร้านรื่นพาณิชย์</v>
      </c>
      <c r="E3172" s="1" t="str">
        <f>IFERROR(__xludf.DUMMYFUNCTION("""COMPUTED_VALUE"""),"Donjai")</f>
        <v>Donjai</v>
      </c>
      <c r="F3172" s="1" t="str">
        <f>IFERROR(__xludf.DUMMYFUNCTION("""COMPUTED_VALUE"""),"296868")</f>
        <v>296868</v>
      </c>
      <c r="G3172" s="1" t="str">
        <f>IFERROR(__xludf.DUMMYFUNCTION("""COMPUTED_VALUE"""),"นายพีระพงษ์ แก้วดวงดี")</f>
        <v>นายพีระพงษ์ แก้วดวงดี</v>
      </c>
      <c r="H3172" s="1" t="str">
        <f>IFERROR(__xludf.DUMMYFUNCTION("""COMPUTED_VALUE"""),"296868")</f>
        <v>296868</v>
      </c>
      <c r="I3172" s="1" t="str">
        <f>IFERROR(__xludf.DUMMYFUNCTION("""COMPUTED_VALUE"""),"นายพีระพงษ์ แก้วดวงดี")</f>
        <v>นายพีระพงษ์ แก้วดวงดี</v>
      </c>
      <c r="J3172" s="3">
        <f>IFERROR(__xludf.DUMMYFUNCTION("""COMPUTED_VALUE"""),295886.0)</f>
        <v>295886</v>
      </c>
      <c r="K3172" s="3" t="str">
        <f>IFERROR(__xludf.DUMMYFUNCTION("""COMPUTED_VALUE"""),"นายจิระพงษ์ โพธิ์นิล")</f>
        <v>นายจิระพงษ์ โพธิ์นิล</v>
      </c>
      <c r="L3172" s="1" t="str">
        <f>IFERROR(__xludf.DUMMYFUNCTION("""COMPUTED_VALUE"""),"นายจิระพงษ์ โพธิ์นิล")</f>
        <v>นายจิระพงษ์ โพธิ์นิล</v>
      </c>
      <c r="M3172" s="1" t="str">
        <f>IFERROR(__xludf.DUMMYFUNCTION("""COMPUTED_VALUE"""),"0933290754")</f>
        <v>0933290754</v>
      </c>
      <c r="N3172" s="3">
        <f>IFERROR(__xludf.DUMMYFUNCTION("""COMPUTED_VALUE"""),84240.0)</f>
        <v>84240</v>
      </c>
      <c r="O3172" s="3" t="str">
        <f>IFERROR(__xludf.DUMMYFUNCTION("""COMPUTED_VALUE"""),"ร้านรื่นพาณิชย์")</f>
        <v>ร้านรื่นพาณิชย์</v>
      </c>
      <c r="P3172" s="4">
        <f>IFERROR(__xludf.DUMMYFUNCTION("""COMPUTED_VALUE"""),45241.0)</f>
        <v>45241</v>
      </c>
      <c r="Q3172" s="3" t="str">
        <f>IFERROR(__xludf.DUMMYFUNCTION("""COMPUTED_VALUE"""),"A")</f>
        <v>A</v>
      </c>
      <c r="R3172" s="3" t="str">
        <f>IFERROR(__xludf.DUMMYFUNCTION("""COMPUTED_VALUE"""),"Small Format")</f>
        <v>Small Format</v>
      </c>
      <c r="S3172" s="3" t="str">
        <f>IFERROR(__xludf.DUMMYFUNCTION("""COMPUTED_VALUE"""),"Donjai")</f>
        <v>Donjai</v>
      </c>
      <c r="T3172" s="3" t="str">
        <f>IFERROR(__xludf.DUMMYFUNCTION("""COMPUTED_VALUE"""),"03 K.Peerapong K.")</f>
        <v>03 K.Peerapong K.</v>
      </c>
      <c r="U3172" s="3" t="str">
        <f>IFERROR(__xludf.DUMMYFUNCTION("""COMPUTED_VALUE"""),"03 K.Peerapong K.")</f>
        <v>03 K.Peerapong K.</v>
      </c>
      <c r="V3172" s="3" t="str">
        <f>IFERROR(__xludf.DUMMYFUNCTION("""COMPUTED_VALUE"""),"N")</f>
        <v>N</v>
      </c>
      <c r="W3172" s="3"/>
      <c r="X3172" s="3" t="str">
        <f>IFERROR(__xludf.DUMMYFUNCTION("""COMPUTED_VALUE"""),"87 หมู่ 13 วัดหลวง โพนพิสัย หนองคาย")</f>
        <v>87 หมู่ 13 วัดหลวง โพนพิสัย หนองคาย</v>
      </c>
      <c r="Y3172" s="3"/>
      <c r="Z3172" s="3"/>
      <c r="AA3172" s="3"/>
      <c r="AB3172" s="3"/>
      <c r="AC3172" s="3"/>
      <c r="AD3172" s="3"/>
      <c r="AE3172" s="3"/>
      <c r="AF3172" s="3" t="str">
        <f>IFERROR(__xludf.DUMMYFUNCTION("""COMPUTED_VALUE"""),"ร้านรื่นพาณิชย์-84240")</f>
        <v>ร้านรื่นพาณิชย์-84240</v>
      </c>
      <c r="AG3172" s="3">
        <f>IFERROR(__xludf.DUMMYFUNCTION("""COMPUTED_VALUE"""),0.0)</f>
        <v>0</v>
      </c>
      <c r="AH3172" s="3" t="str">
        <f>IFERROR(__xludf.DUMMYFUNCTION("""COMPUTED_VALUE"""),"#N/A")</f>
        <v>#N/A</v>
      </c>
      <c r="AI3172" s="3" t="str">
        <f>IFERROR(__xludf.DUMMYFUNCTION("""COMPUTED_VALUE"""),"Out of warranty")</f>
        <v>Out of warranty</v>
      </c>
      <c r="AJ3172" s="3">
        <f>IFERROR(__xludf.DUMMYFUNCTION("""COMPUTED_VALUE"""),27.0)</f>
        <v>27</v>
      </c>
      <c r="AK3172" s="3"/>
      <c r="AL3172" s="3"/>
    </row>
    <row r="3173" ht="15.75" customHeight="1">
      <c r="A3173" s="1" t="str">
        <f>IFERROR(__xludf.DUMMYFUNCTION("""COMPUTED_VALUE"""),"84242")</f>
        <v>84242</v>
      </c>
      <c r="B3173" s="2">
        <f>IFERROR(__xludf.DUMMYFUNCTION("""COMPUTED_VALUE"""),84242.0)</f>
        <v>84242</v>
      </c>
      <c r="C3173" s="3" t="str">
        <f>IFERROR(__xludf.DUMMYFUNCTION("""COMPUTED_VALUE"""),"ร้านเบสท์")</f>
        <v>ร้านเบสท์</v>
      </c>
      <c r="D3173" s="3" t="str">
        <f>IFERROR(__xludf.DUMMYFUNCTION("""COMPUTED_VALUE"""),"ร้านเบสท์")</f>
        <v>ร้านเบสท์</v>
      </c>
      <c r="E3173" s="1" t="str">
        <f>IFERROR(__xludf.DUMMYFUNCTION("""COMPUTED_VALUE"""),"Donjai")</f>
        <v>Donjai</v>
      </c>
      <c r="F3173" s="1" t="str">
        <f>IFERROR(__xludf.DUMMYFUNCTION("""COMPUTED_VALUE"""),"046214")</f>
        <v>046214</v>
      </c>
      <c r="G3173" s="1" t="str">
        <f>IFERROR(__xludf.DUMMYFUNCTION("""COMPUTED_VALUE"""),"นายศักดิ์ชัย เด็ดดอกฟ้า")</f>
        <v>นายศักดิ์ชัย เด็ดดอกฟ้า</v>
      </c>
      <c r="H3173" s="1" t="str">
        <f>IFERROR(__xludf.DUMMYFUNCTION("""COMPUTED_VALUE"""),"046214")</f>
        <v>046214</v>
      </c>
      <c r="I3173" s="1" t="str">
        <f>IFERROR(__xludf.DUMMYFUNCTION("""COMPUTED_VALUE"""),"นายศักดิ์ชัย เด็ดดอกฟ้า")</f>
        <v>นายศักดิ์ชัย เด็ดดอกฟ้า</v>
      </c>
      <c r="J3173" s="3">
        <f>IFERROR(__xludf.DUMMYFUNCTION("""COMPUTED_VALUE"""),295886.0)</f>
        <v>295886</v>
      </c>
      <c r="K3173" s="3" t="str">
        <f>IFERROR(__xludf.DUMMYFUNCTION("""COMPUTED_VALUE"""),"นายจิระพงษ์ โพธิ์นิล")</f>
        <v>นายจิระพงษ์ โพธิ์นิล</v>
      </c>
      <c r="L3173" s="1" t="str">
        <f>IFERROR(__xludf.DUMMYFUNCTION("""COMPUTED_VALUE"""),"นายจิระพงษ์ โพธิ์นิล")</f>
        <v>นายจิระพงษ์ โพธิ์นิล</v>
      </c>
      <c r="M3173" s="1" t="str">
        <f>IFERROR(__xludf.DUMMYFUNCTION("""COMPUTED_VALUE"""),"0933290754")</f>
        <v>0933290754</v>
      </c>
      <c r="N3173" s="3">
        <f>IFERROR(__xludf.DUMMYFUNCTION("""COMPUTED_VALUE"""),84242.0)</f>
        <v>84242</v>
      </c>
      <c r="O3173" s="3" t="str">
        <f>IFERROR(__xludf.DUMMYFUNCTION("""COMPUTED_VALUE"""),"ร้านเบสท์")</f>
        <v>ร้านเบสท์</v>
      </c>
      <c r="P3173" s="4">
        <f>IFERROR(__xludf.DUMMYFUNCTION("""COMPUTED_VALUE"""),45234.0)</f>
        <v>45234</v>
      </c>
      <c r="Q3173" s="3" t="str">
        <f>IFERROR(__xludf.DUMMYFUNCTION("""COMPUTED_VALUE"""),"A")</f>
        <v>A</v>
      </c>
      <c r="R3173" s="3" t="str">
        <f>IFERROR(__xludf.DUMMYFUNCTION("""COMPUTED_VALUE"""),"Small Format")</f>
        <v>Small Format</v>
      </c>
      <c r="S3173" s="3" t="str">
        <f>IFERROR(__xludf.DUMMYFUNCTION("""COMPUTED_VALUE"""),"Donjai")</f>
        <v>Donjai</v>
      </c>
      <c r="T3173" s="3" t="str">
        <f>IFERROR(__xludf.DUMMYFUNCTION("""COMPUTED_VALUE"""),"02 K.Sakchai D")</f>
        <v>02 K.Sakchai D</v>
      </c>
      <c r="U3173" s="3" t="str">
        <f>IFERROR(__xludf.DUMMYFUNCTION("""COMPUTED_VALUE"""),"02 K.Sakchai D")</f>
        <v>02 K.Sakchai D</v>
      </c>
      <c r="V3173" s="3" t="str">
        <f>IFERROR(__xludf.DUMMYFUNCTION("""COMPUTED_VALUE"""),"N")</f>
        <v>N</v>
      </c>
      <c r="W3173" s="3"/>
      <c r="X3173" s="3" t="str">
        <f>IFERROR(__xludf.DUMMYFUNCTION("""COMPUTED_VALUE"""),"195 ม.3 ต.มิตรภาพ อ.มวกเหล็ก จ.สระบุรี")</f>
        <v>195 ม.3 ต.มิตรภาพ อ.มวกเหล็ก จ.สระบุรี</v>
      </c>
      <c r="Y3173" s="3"/>
      <c r="Z3173" s="3"/>
      <c r="AA3173" s="3"/>
      <c r="AB3173" s="3"/>
      <c r="AC3173" s="3"/>
      <c r="AD3173" s="3"/>
      <c r="AE3173" s="3"/>
      <c r="AF3173" s="3" t="str">
        <f>IFERROR(__xludf.DUMMYFUNCTION("""COMPUTED_VALUE"""),"ร้านเบสท์-84242")</f>
        <v>ร้านเบสท์-84242</v>
      </c>
      <c r="AG3173" s="3">
        <f>IFERROR(__xludf.DUMMYFUNCTION("""COMPUTED_VALUE"""),0.0)</f>
        <v>0</v>
      </c>
      <c r="AH3173" s="3" t="str">
        <f>IFERROR(__xludf.DUMMYFUNCTION("""COMPUTED_VALUE"""),"#N/A")</f>
        <v>#N/A</v>
      </c>
      <c r="AI3173" s="3" t="str">
        <f>IFERROR(__xludf.DUMMYFUNCTION("""COMPUTED_VALUE"""),"Out of warranty")</f>
        <v>Out of warranty</v>
      </c>
      <c r="AJ3173" s="3">
        <f>IFERROR(__xludf.DUMMYFUNCTION("""COMPUTED_VALUE"""),27.0)</f>
        <v>27</v>
      </c>
      <c r="AK3173" s="3"/>
      <c r="AL3173" s="3"/>
    </row>
    <row r="3174" ht="15.75" customHeight="1">
      <c r="A3174" s="1" t="str">
        <f>IFERROR(__xludf.DUMMYFUNCTION("""COMPUTED_VALUE"""),"84243")</f>
        <v>84243</v>
      </c>
      <c r="B3174" s="2">
        <f>IFERROR(__xludf.DUMMYFUNCTION("""COMPUTED_VALUE"""),84243.0)</f>
        <v>84243</v>
      </c>
      <c r="C3174" s="3" t="str">
        <f>IFERROR(__xludf.DUMMYFUNCTION("""COMPUTED_VALUE"""),"ร้าน เอ พี มินิมาร์ท")</f>
        <v>ร้าน เอ พี มินิมาร์ท</v>
      </c>
      <c r="D3174" s="3" t="str">
        <f>IFERROR(__xludf.DUMMYFUNCTION("""COMPUTED_VALUE"""),"ร้าน เอ พี มินิมาร์ท")</f>
        <v>ร้าน เอ พี มินิมาร์ท</v>
      </c>
      <c r="E3174" s="1" t="str">
        <f>IFERROR(__xludf.DUMMYFUNCTION("""COMPUTED_VALUE"""),"Donjai")</f>
        <v>Donjai</v>
      </c>
      <c r="F3174" s="1" t="str">
        <f>IFERROR(__xludf.DUMMYFUNCTION("""COMPUTED_VALUE"""),"2454781")</f>
        <v>2454781</v>
      </c>
      <c r="G3174" s="1" t="str">
        <f>IFERROR(__xludf.DUMMYFUNCTION("""COMPUTED_VALUE"""),"นายฌานกฤช นันทะโคต")</f>
        <v>นายฌานกฤช นันทะโคต</v>
      </c>
      <c r="H3174" s="1" t="str">
        <f>IFERROR(__xludf.DUMMYFUNCTION("""COMPUTED_VALUE"""),"2454781")</f>
        <v>2454781</v>
      </c>
      <c r="I3174" s="1" t="str">
        <f>IFERROR(__xludf.DUMMYFUNCTION("""COMPUTED_VALUE"""),"นายฌานกฤช นันทะโคต")</f>
        <v>นายฌานกฤช นันทะโคต</v>
      </c>
      <c r="J3174" s="3">
        <f>IFERROR(__xludf.DUMMYFUNCTION("""COMPUTED_VALUE"""),295886.0)</f>
        <v>295886</v>
      </c>
      <c r="K3174" s="3" t="str">
        <f>IFERROR(__xludf.DUMMYFUNCTION("""COMPUTED_VALUE"""),"นายจิระพงษ์ โพธิ์นิล")</f>
        <v>นายจิระพงษ์ โพธิ์นิล</v>
      </c>
      <c r="L3174" s="1" t="str">
        <f>IFERROR(__xludf.DUMMYFUNCTION("""COMPUTED_VALUE"""),"นายจิระพงษ์ โพธิ์นิล")</f>
        <v>นายจิระพงษ์ โพธิ์นิล</v>
      </c>
      <c r="M3174" s="1" t="str">
        <f>IFERROR(__xludf.DUMMYFUNCTION("""COMPUTED_VALUE"""),"0933290754")</f>
        <v>0933290754</v>
      </c>
      <c r="N3174" s="3">
        <f>IFERROR(__xludf.DUMMYFUNCTION("""COMPUTED_VALUE"""),84243.0)</f>
        <v>84243</v>
      </c>
      <c r="O3174" s="3" t="str">
        <f>IFERROR(__xludf.DUMMYFUNCTION("""COMPUTED_VALUE"""),"ร้าน เอ พี มินิมาร์ท")</f>
        <v>ร้าน เอ พี มินิมาร์ท</v>
      </c>
      <c r="P3174" s="4">
        <f>IFERROR(__xludf.DUMMYFUNCTION("""COMPUTED_VALUE"""),45219.0)</f>
        <v>45219</v>
      </c>
      <c r="Q3174" s="3" t="str">
        <f>IFERROR(__xludf.DUMMYFUNCTION("""COMPUTED_VALUE"""),"A")</f>
        <v>A</v>
      </c>
      <c r="R3174" s="3" t="str">
        <f>IFERROR(__xludf.DUMMYFUNCTION("""COMPUTED_VALUE"""),"Small Format")</f>
        <v>Small Format</v>
      </c>
      <c r="S3174" s="3" t="str">
        <f>IFERROR(__xludf.DUMMYFUNCTION("""COMPUTED_VALUE"""),"Donjai")</f>
        <v>Donjai</v>
      </c>
      <c r="T3174" s="3" t="str">
        <f>IFERROR(__xludf.DUMMYFUNCTION("""COMPUTED_VALUE"""),"05 K.Chanakrit N.")</f>
        <v>05 K.Chanakrit N.</v>
      </c>
      <c r="U3174" s="3" t="str">
        <f>IFERROR(__xludf.DUMMYFUNCTION("""COMPUTED_VALUE"""),"05 K.Chanakrit N.")</f>
        <v>05 K.Chanakrit N.</v>
      </c>
      <c r="V3174" s="3" t="str">
        <f>IFERROR(__xludf.DUMMYFUNCTION("""COMPUTED_VALUE"""),"N")</f>
        <v>N</v>
      </c>
      <c r="W3174" s="3"/>
      <c r="X3174" s="3" t="str">
        <f>IFERROR(__xludf.DUMMYFUNCTION("""COMPUTED_VALUE"""),"58 ม่วงใหญ่ โพธิ์ไทร อุบลราชธานี")</f>
        <v>58 ม่วงใหญ่ โพธิ์ไทร อุบลราชธานี</v>
      </c>
      <c r="Y3174" s="3"/>
      <c r="Z3174" s="3" t="str">
        <f>IFERROR(__xludf.DUMMYFUNCTION("""COMPUTED_VALUE"""),"ม่วงใหญ่")</f>
        <v>ม่วงใหญ่</v>
      </c>
      <c r="AA3174" s="3" t="str">
        <f>IFERROR(__xludf.DUMMYFUNCTION("""COMPUTED_VALUE"""),"โพธิ์ไทร")</f>
        <v>โพธิ์ไทร</v>
      </c>
      <c r="AB3174" s="3" t="str">
        <f>IFERROR(__xludf.DUMMYFUNCTION("""COMPUTED_VALUE"""),"อุบลราชธานี")</f>
        <v>อุบลราชธานี</v>
      </c>
      <c r="AC3174" s="3"/>
      <c r="AD3174" s="3"/>
      <c r="AE3174" s="3"/>
      <c r="AF3174" s="3" t="str">
        <f>IFERROR(__xludf.DUMMYFUNCTION("""COMPUTED_VALUE"""),"ร้าน เอ พี มินิมาร์ท-84243")</f>
        <v>ร้าน เอ พี มินิมาร์ท-84243</v>
      </c>
      <c r="AG3174" s="3" t="str">
        <f>IFERROR(__xludf.DUMMYFUNCTION("""COMPUTED_VALUE"""),"ตะวันออกเฉียงเหนือ")</f>
        <v>ตะวันออกเฉียงเหนือ</v>
      </c>
      <c r="AH3174" s="3" t="str">
        <f>IFERROR(__xludf.DUMMYFUNCTION("""COMPUTED_VALUE"""),"#N/A")</f>
        <v>#N/A</v>
      </c>
      <c r="AI3174" s="3" t="str">
        <f>IFERROR(__xludf.DUMMYFUNCTION("""COMPUTED_VALUE"""),"Out of warranty")</f>
        <v>Out of warranty</v>
      </c>
      <c r="AJ3174" s="3">
        <f>IFERROR(__xludf.DUMMYFUNCTION("""COMPUTED_VALUE"""),28.0)</f>
        <v>28</v>
      </c>
      <c r="AK3174" s="3"/>
      <c r="AL3174" s="3"/>
    </row>
    <row r="3175" ht="15.75" customHeight="1">
      <c r="A3175" s="1" t="str">
        <f>IFERROR(__xludf.DUMMYFUNCTION("""COMPUTED_VALUE"""),"84252")</f>
        <v>84252</v>
      </c>
      <c r="B3175" s="2">
        <f>IFERROR(__xludf.DUMMYFUNCTION("""COMPUTED_VALUE"""),84252.0)</f>
        <v>84252</v>
      </c>
      <c r="C3175" s="3" t="str">
        <f>IFERROR(__xludf.DUMMYFUNCTION("""COMPUTED_VALUE"""),"ร้าน Ü smile minimart")</f>
        <v>ร้าน Ü smile minimart</v>
      </c>
      <c r="D3175" s="3" t="str">
        <f>IFERROR(__xludf.DUMMYFUNCTION("""COMPUTED_VALUE"""),"ร้าน Ü smile minimart")</f>
        <v>ร้าน Ü smile minimart</v>
      </c>
      <c r="E3175" s="1" t="str">
        <f>IFERROR(__xludf.DUMMYFUNCTION("""COMPUTED_VALUE"""),"Donjai")</f>
        <v>Donjai</v>
      </c>
      <c r="F3175" s="1" t="str">
        <f>IFERROR(__xludf.DUMMYFUNCTION("""COMPUTED_VALUE"""),"025324")</f>
        <v>025324</v>
      </c>
      <c r="G3175" s="1" t="str">
        <f>IFERROR(__xludf.DUMMYFUNCTION("""COMPUTED_VALUE"""),"นายวิเชฎฐ์ ติรัตนะประคม")</f>
        <v>นายวิเชฎฐ์ ติรัตนะประคม</v>
      </c>
      <c r="H3175" s="1" t="str">
        <f>IFERROR(__xludf.DUMMYFUNCTION("""COMPUTED_VALUE"""),"025324")</f>
        <v>025324</v>
      </c>
      <c r="I3175" s="1" t="str">
        <f>IFERROR(__xludf.DUMMYFUNCTION("""COMPUTED_VALUE"""),"นายวิเชฎฐ์ ติรัตนะประคม")</f>
        <v>นายวิเชฎฐ์ ติรัตนะประคม</v>
      </c>
      <c r="J3175" s="3">
        <f>IFERROR(__xludf.DUMMYFUNCTION("""COMPUTED_VALUE"""),295541.0)</f>
        <v>295541</v>
      </c>
      <c r="K3175" s="3" t="str">
        <f>IFERROR(__xludf.DUMMYFUNCTION("""COMPUTED_VALUE"""),"นายรพิพล ศรีมาตย์")</f>
        <v>นายรพิพล ศรีมาตย์</v>
      </c>
      <c r="L3175" s="1" t="str">
        <f>IFERROR(__xludf.DUMMYFUNCTION("""COMPUTED_VALUE"""),"นายรพิพล ศรีมาตย์")</f>
        <v>นายรพิพล ศรีมาตย์</v>
      </c>
      <c r="M3175" s="1" t="str">
        <f>IFERROR(__xludf.DUMMYFUNCTION("""COMPUTED_VALUE"""),"0613966115")</f>
        <v>0613966115</v>
      </c>
      <c r="N3175" s="3">
        <f>IFERROR(__xludf.DUMMYFUNCTION("""COMPUTED_VALUE"""),84252.0)</f>
        <v>84252</v>
      </c>
      <c r="O3175" s="3" t="str">
        <f>IFERROR(__xludf.DUMMYFUNCTION("""COMPUTED_VALUE"""),"ร้าน Ü smile minimart")</f>
        <v>ร้าน Ü smile minimart</v>
      </c>
      <c r="P3175" s="4">
        <f>IFERROR(__xludf.DUMMYFUNCTION("""COMPUTED_VALUE"""),45282.0)</f>
        <v>45282</v>
      </c>
      <c r="Q3175" s="3" t="str">
        <f>IFERROR(__xludf.DUMMYFUNCTION("""COMPUTED_VALUE"""),"A")</f>
        <v>A</v>
      </c>
      <c r="R3175" s="3" t="str">
        <f>IFERROR(__xludf.DUMMYFUNCTION("""COMPUTED_VALUE"""),"Small Format")</f>
        <v>Small Format</v>
      </c>
      <c r="S3175" s="3" t="str">
        <f>IFERROR(__xludf.DUMMYFUNCTION("""COMPUTED_VALUE"""),"Donjai")</f>
        <v>Donjai</v>
      </c>
      <c r="T3175" s="3" t="str">
        <f>IFERROR(__xludf.DUMMYFUNCTION("""COMPUTED_VALUE"""),"14 K.Wichet T.")</f>
        <v>14 K.Wichet T.</v>
      </c>
      <c r="U3175" s="3" t="str">
        <f>IFERROR(__xludf.DUMMYFUNCTION("""COMPUTED_VALUE"""),"14 K.Wichet T.")</f>
        <v>14 K.Wichet T.</v>
      </c>
      <c r="V3175" s="3" t="str">
        <f>IFERROR(__xludf.DUMMYFUNCTION("""COMPUTED_VALUE"""),"N")</f>
        <v>N</v>
      </c>
      <c r="W3175" s="3"/>
      <c r="X3175" s="3" t="str">
        <f>IFERROR(__xludf.DUMMYFUNCTION("""COMPUTED_VALUE"""),"162/122หมู่ 2 หมู่บ้านบ้านเฉวงน้อย บ่อผุด เกาะสมุย สุราษฏร์ธานี")</f>
        <v>162/122หมู่ 2 หมู่บ้านบ้านเฉวงน้อย บ่อผุด เกาะสมุย สุราษฏร์ธานี</v>
      </c>
      <c r="Y3175" s="3"/>
      <c r="Z3175" s="3"/>
      <c r="AA3175" s="3"/>
      <c r="AB3175" s="3"/>
      <c r="AC3175" s="3"/>
      <c r="AD3175" s="3"/>
      <c r="AE3175" s="3"/>
      <c r="AF3175" s="3" t="str">
        <f>IFERROR(__xludf.DUMMYFUNCTION("""COMPUTED_VALUE"""),"ร้าน Ü smile minimart-84252")</f>
        <v>ร้าน Ü smile minimart-84252</v>
      </c>
      <c r="AG3175" s="3">
        <f>IFERROR(__xludf.DUMMYFUNCTION("""COMPUTED_VALUE"""),0.0)</f>
        <v>0</v>
      </c>
      <c r="AH3175" s="3" t="str">
        <f>IFERROR(__xludf.DUMMYFUNCTION("""COMPUTED_VALUE"""),"#N/A")</f>
        <v>#N/A</v>
      </c>
      <c r="AI3175" s="3" t="str">
        <f>IFERROR(__xludf.DUMMYFUNCTION("""COMPUTED_VALUE"""),"Out of warranty")</f>
        <v>Out of warranty</v>
      </c>
      <c r="AJ3175" s="3">
        <f>IFERROR(__xludf.DUMMYFUNCTION("""COMPUTED_VALUE"""),25.0)</f>
        <v>25</v>
      </c>
      <c r="AK3175" s="3"/>
      <c r="AL3175" s="3"/>
    </row>
    <row r="3176" ht="15.75" customHeight="1">
      <c r="A3176" s="1" t="str">
        <f>IFERROR(__xludf.DUMMYFUNCTION("""COMPUTED_VALUE"""),"84253")</f>
        <v>84253</v>
      </c>
      <c r="B3176" s="2">
        <f>IFERROR(__xludf.DUMMYFUNCTION("""COMPUTED_VALUE"""),84253.0)</f>
        <v>84253</v>
      </c>
      <c r="C3176" s="3" t="str">
        <f>IFERROR(__xludf.DUMMYFUNCTION("""COMPUTED_VALUE"""),"ร้านกุ๊กไก่ มินิมาร์ท")</f>
        <v>ร้านกุ๊กไก่ มินิมาร์ท</v>
      </c>
      <c r="D3176" s="3" t="str">
        <f>IFERROR(__xludf.DUMMYFUNCTION("""COMPUTED_VALUE"""),"ร้านกุ๊กไก่ มินิมาร์ท")</f>
        <v>ร้านกุ๊กไก่ มินิมาร์ท</v>
      </c>
      <c r="E3176" s="1" t="str">
        <f>IFERROR(__xludf.DUMMYFUNCTION("""COMPUTED_VALUE"""),"Donjai")</f>
        <v>Donjai</v>
      </c>
      <c r="F3176" s="1" t="str">
        <f>IFERROR(__xludf.DUMMYFUNCTION("""COMPUTED_VALUE"""),"296868")</f>
        <v>296868</v>
      </c>
      <c r="G3176" s="1" t="str">
        <f>IFERROR(__xludf.DUMMYFUNCTION("""COMPUTED_VALUE"""),"นายพีระพงษ์ แก้วดวงดี")</f>
        <v>นายพีระพงษ์ แก้วดวงดี</v>
      </c>
      <c r="H3176" s="1" t="str">
        <f>IFERROR(__xludf.DUMMYFUNCTION("""COMPUTED_VALUE"""),"296868")</f>
        <v>296868</v>
      </c>
      <c r="I3176" s="1" t="str">
        <f>IFERROR(__xludf.DUMMYFUNCTION("""COMPUTED_VALUE"""),"นายพีระพงษ์ แก้วดวงดี")</f>
        <v>นายพีระพงษ์ แก้วดวงดี</v>
      </c>
      <c r="J3176" s="3">
        <f>IFERROR(__xludf.DUMMYFUNCTION("""COMPUTED_VALUE"""),295886.0)</f>
        <v>295886</v>
      </c>
      <c r="K3176" s="3" t="str">
        <f>IFERROR(__xludf.DUMMYFUNCTION("""COMPUTED_VALUE"""),"นายจิระพงษ์ โพธิ์นิล")</f>
        <v>นายจิระพงษ์ โพธิ์นิล</v>
      </c>
      <c r="L3176" s="1" t="str">
        <f>IFERROR(__xludf.DUMMYFUNCTION("""COMPUTED_VALUE"""),"นายจิระพงษ์ โพธิ์นิล")</f>
        <v>นายจิระพงษ์ โพธิ์นิล</v>
      </c>
      <c r="M3176" s="1" t="str">
        <f>IFERROR(__xludf.DUMMYFUNCTION("""COMPUTED_VALUE"""),"0933290754")</f>
        <v>0933290754</v>
      </c>
      <c r="N3176" s="3">
        <f>IFERROR(__xludf.DUMMYFUNCTION("""COMPUTED_VALUE"""),84253.0)</f>
        <v>84253</v>
      </c>
      <c r="O3176" s="3" t="str">
        <f>IFERROR(__xludf.DUMMYFUNCTION("""COMPUTED_VALUE"""),"ร้านกุ๊กไก่ มินิมาร์ท")</f>
        <v>ร้านกุ๊กไก่ มินิมาร์ท</v>
      </c>
      <c r="P3176" s="4">
        <f>IFERROR(__xludf.DUMMYFUNCTION("""COMPUTED_VALUE"""),45275.0)</f>
        <v>45275</v>
      </c>
      <c r="Q3176" s="3" t="str">
        <f>IFERROR(__xludf.DUMMYFUNCTION("""COMPUTED_VALUE"""),"A")</f>
        <v>A</v>
      </c>
      <c r="R3176" s="3" t="str">
        <f>IFERROR(__xludf.DUMMYFUNCTION("""COMPUTED_VALUE"""),"Small Format")</f>
        <v>Small Format</v>
      </c>
      <c r="S3176" s="3" t="str">
        <f>IFERROR(__xludf.DUMMYFUNCTION("""COMPUTED_VALUE"""),"Donjai")</f>
        <v>Donjai</v>
      </c>
      <c r="T3176" s="3" t="str">
        <f>IFERROR(__xludf.DUMMYFUNCTION("""COMPUTED_VALUE"""),"03 K.Peerapong K.")</f>
        <v>03 K.Peerapong K.</v>
      </c>
      <c r="U3176" s="3" t="str">
        <f>IFERROR(__xludf.DUMMYFUNCTION("""COMPUTED_VALUE"""),"03 K.Peerapong K.")</f>
        <v>03 K.Peerapong K.</v>
      </c>
      <c r="V3176" s="3" t="str">
        <f>IFERROR(__xludf.DUMMYFUNCTION("""COMPUTED_VALUE"""),"N")</f>
        <v>N</v>
      </c>
      <c r="W3176" s="3"/>
      <c r="X3176" s="3" t="str">
        <f>IFERROR(__xludf.DUMMYFUNCTION("""COMPUTED_VALUE"""),"8 หมู่ที่ 12 นาเดื่อ ศรีสงคราม นครพนม")</f>
        <v>8 หมู่ที่ 12 นาเดื่อ ศรีสงคราม นครพนม</v>
      </c>
      <c r="Y3176" s="3"/>
      <c r="Z3176" s="3"/>
      <c r="AA3176" s="3"/>
      <c r="AB3176" s="3"/>
      <c r="AC3176" s="3"/>
      <c r="AD3176" s="3"/>
      <c r="AE3176" s="3"/>
      <c r="AF3176" s="3" t="str">
        <f>IFERROR(__xludf.DUMMYFUNCTION("""COMPUTED_VALUE"""),"ร้านกุ๊กไก่ มินิมาร์ท-84253")</f>
        <v>ร้านกุ๊กไก่ มินิมาร์ท-84253</v>
      </c>
      <c r="AG3176" s="3">
        <f>IFERROR(__xludf.DUMMYFUNCTION("""COMPUTED_VALUE"""),0.0)</f>
        <v>0</v>
      </c>
      <c r="AH3176" s="3" t="str">
        <f>IFERROR(__xludf.DUMMYFUNCTION("""COMPUTED_VALUE"""),"#N/A")</f>
        <v>#N/A</v>
      </c>
      <c r="AI3176" s="3" t="str">
        <f>IFERROR(__xludf.DUMMYFUNCTION("""COMPUTED_VALUE"""),"Out of warranty")</f>
        <v>Out of warranty</v>
      </c>
      <c r="AJ3176" s="3">
        <f>IFERROR(__xludf.DUMMYFUNCTION("""COMPUTED_VALUE"""),26.0)</f>
        <v>26</v>
      </c>
      <c r="AK3176" s="3"/>
      <c r="AL3176" s="3"/>
    </row>
    <row r="3177" ht="15.75" customHeight="1">
      <c r="A3177" s="1" t="str">
        <f>IFERROR(__xludf.DUMMYFUNCTION("""COMPUTED_VALUE"""),"84254")</f>
        <v>84254</v>
      </c>
      <c r="B3177" s="2">
        <f>IFERROR(__xludf.DUMMYFUNCTION("""COMPUTED_VALUE"""),84254.0)</f>
        <v>84254</v>
      </c>
      <c r="C3177" s="3" t="str">
        <f>IFERROR(__xludf.DUMMYFUNCTION("""COMPUTED_VALUE"""),"ร้านครูสุกิจ (คุณปอย)")</f>
        <v>ร้านครูสุกิจ (คุณปอย)</v>
      </c>
      <c r="D3177" s="3" t="str">
        <f>IFERROR(__xludf.DUMMYFUNCTION("""COMPUTED_VALUE"""),"ร้านครูสุกิจ (คุณปอย)")</f>
        <v>ร้านครูสุกิจ (คุณปอย)</v>
      </c>
      <c r="E3177" s="1" t="str">
        <f>IFERROR(__xludf.DUMMYFUNCTION("""COMPUTED_VALUE"""),"Donjai")</f>
        <v>Donjai</v>
      </c>
      <c r="F3177" s="1" t="str">
        <f>IFERROR(__xludf.DUMMYFUNCTION("""COMPUTED_VALUE"""),"046214")</f>
        <v>046214</v>
      </c>
      <c r="G3177" s="1" t="str">
        <f>IFERROR(__xludf.DUMMYFUNCTION("""COMPUTED_VALUE"""),"นายศักดิ์ชัย เด็ดดอกฟ้า")</f>
        <v>นายศักดิ์ชัย เด็ดดอกฟ้า</v>
      </c>
      <c r="H3177" s="1" t="str">
        <f>IFERROR(__xludf.DUMMYFUNCTION("""COMPUTED_VALUE"""),"046214")</f>
        <v>046214</v>
      </c>
      <c r="I3177" s="1" t="str">
        <f>IFERROR(__xludf.DUMMYFUNCTION("""COMPUTED_VALUE"""),"นายศักดิ์ชัย เด็ดดอกฟ้า")</f>
        <v>นายศักดิ์ชัย เด็ดดอกฟ้า</v>
      </c>
      <c r="J3177" s="3">
        <f>IFERROR(__xludf.DUMMYFUNCTION("""COMPUTED_VALUE"""),295886.0)</f>
        <v>295886</v>
      </c>
      <c r="K3177" s="3" t="str">
        <f>IFERROR(__xludf.DUMMYFUNCTION("""COMPUTED_VALUE"""),"นายจิระพงษ์ โพธิ์นิล")</f>
        <v>นายจิระพงษ์ โพธิ์นิล</v>
      </c>
      <c r="L3177" s="1" t="str">
        <f>IFERROR(__xludf.DUMMYFUNCTION("""COMPUTED_VALUE"""),"นายจิระพงษ์ โพธิ์นิล")</f>
        <v>นายจิระพงษ์ โพธิ์นิล</v>
      </c>
      <c r="M3177" s="1" t="str">
        <f>IFERROR(__xludf.DUMMYFUNCTION("""COMPUTED_VALUE"""),"0933290754")</f>
        <v>0933290754</v>
      </c>
      <c r="N3177" s="3">
        <f>IFERROR(__xludf.DUMMYFUNCTION("""COMPUTED_VALUE"""),84254.0)</f>
        <v>84254</v>
      </c>
      <c r="O3177" s="3" t="str">
        <f>IFERROR(__xludf.DUMMYFUNCTION("""COMPUTED_VALUE"""),"ร้านครูสุกิจ (คุณปอย)")</f>
        <v>ร้านครูสุกิจ (คุณปอย)</v>
      </c>
      <c r="P3177" s="4">
        <f>IFERROR(__xludf.DUMMYFUNCTION("""COMPUTED_VALUE"""),45283.0)</f>
        <v>45283</v>
      </c>
      <c r="Q3177" s="3" t="str">
        <f>IFERROR(__xludf.DUMMYFUNCTION("""COMPUTED_VALUE"""),"A")</f>
        <v>A</v>
      </c>
      <c r="R3177" s="3" t="str">
        <f>IFERROR(__xludf.DUMMYFUNCTION("""COMPUTED_VALUE"""),"Small Format")</f>
        <v>Small Format</v>
      </c>
      <c r="S3177" s="3" t="str">
        <f>IFERROR(__xludf.DUMMYFUNCTION("""COMPUTED_VALUE"""),"Donjai")</f>
        <v>Donjai</v>
      </c>
      <c r="T3177" s="3" t="str">
        <f>IFERROR(__xludf.DUMMYFUNCTION("""COMPUTED_VALUE"""),"02 K.Sakchai D")</f>
        <v>02 K.Sakchai D</v>
      </c>
      <c r="U3177" s="3" t="str">
        <f>IFERROR(__xludf.DUMMYFUNCTION("""COMPUTED_VALUE"""),"02 K.Sakchai D")</f>
        <v>02 K.Sakchai D</v>
      </c>
      <c r="V3177" s="3" t="str">
        <f>IFERROR(__xludf.DUMMYFUNCTION("""COMPUTED_VALUE"""),"N")</f>
        <v>N</v>
      </c>
      <c r="W3177" s="3"/>
      <c r="X3177" s="3" t="str">
        <f>IFERROR(__xludf.DUMMYFUNCTION("""COMPUTED_VALUE"""),"56/2 ม.12 บ้านยาว สวรรคโลก สุโขทัย")</f>
        <v>56/2 ม.12 บ้านยาว สวรรคโลก สุโขทัย</v>
      </c>
      <c r="Y3177" s="3"/>
      <c r="Z3177" s="3"/>
      <c r="AA3177" s="3"/>
      <c r="AB3177" s="3"/>
      <c r="AC3177" s="3"/>
      <c r="AD3177" s="3"/>
      <c r="AE3177" s="3"/>
      <c r="AF3177" s="3" t="str">
        <f>IFERROR(__xludf.DUMMYFUNCTION("""COMPUTED_VALUE"""),"ร้านครูสุกิจ (คุณปอย)-84254")</f>
        <v>ร้านครูสุกิจ (คุณปอย)-84254</v>
      </c>
      <c r="AG3177" s="3">
        <f>IFERROR(__xludf.DUMMYFUNCTION("""COMPUTED_VALUE"""),0.0)</f>
        <v>0</v>
      </c>
      <c r="AH3177" s="3" t="str">
        <f>IFERROR(__xludf.DUMMYFUNCTION("""COMPUTED_VALUE"""),"#N/A")</f>
        <v>#N/A</v>
      </c>
      <c r="AI3177" s="3" t="str">
        <f>IFERROR(__xludf.DUMMYFUNCTION("""COMPUTED_VALUE"""),"Out of warranty")</f>
        <v>Out of warranty</v>
      </c>
      <c r="AJ3177" s="3">
        <f>IFERROR(__xludf.DUMMYFUNCTION("""COMPUTED_VALUE"""),25.0)</f>
        <v>25</v>
      </c>
      <c r="AK3177" s="3"/>
      <c r="AL3177" s="3"/>
    </row>
    <row r="3178" ht="15.75" customHeight="1">
      <c r="A3178" s="1" t="str">
        <f>IFERROR(__xludf.DUMMYFUNCTION("""COMPUTED_VALUE"""),"84256")</f>
        <v>84256</v>
      </c>
      <c r="B3178" s="2">
        <f>IFERROR(__xludf.DUMMYFUNCTION("""COMPUTED_VALUE"""),84256.0)</f>
        <v>84256</v>
      </c>
      <c r="C3178" s="3" t="str">
        <f>IFERROR(__xludf.DUMMYFUNCTION("""COMPUTED_VALUE"""),"ร้านภูศรีเจริญพาณิชย์")</f>
        <v>ร้านภูศรีเจริญพาณิชย์</v>
      </c>
      <c r="D3178" s="3" t="str">
        <f>IFERROR(__xludf.DUMMYFUNCTION("""COMPUTED_VALUE"""),"ร้านภูศรีเจริญพาณิชย์")</f>
        <v>ร้านภูศรีเจริญพาณิชย์</v>
      </c>
      <c r="E3178" s="1" t="str">
        <f>IFERROR(__xludf.DUMMYFUNCTION("""COMPUTED_VALUE"""),"Donjai")</f>
        <v>Donjai</v>
      </c>
      <c r="F3178" s="1" t="str">
        <f>IFERROR(__xludf.DUMMYFUNCTION("""COMPUTED_VALUE"""),"2454781")</f>
        <v>2454781</v>
      </c>
      <c r="G3178" s="1" t="str">
        <f>IFERROR(__xludf.DUMMYFUNCTION("""COMPUTED_VALUE"""),"นายฌานกฤช นันทะโคต")</f>
        <v>นายฌานกฤช นันทะโคต</v>
      </c>
      <c r="H3178" s="1" t="str">
        <f>IFERROR(__xludf.DUMMYFUNCTION("""COMPUTED_VALUE"""),"2454781")</f>
        <v>2454781</v>
      </c>
      <c r="I3178" s="1" t="str">
        <f>IFERROR(__xludf.DUMMYFUNCTION("""COMPUTED_VALUE"""),"นายฌานกฤช นันทะโคต")</f>
        <v>นายฌานกฤช นันทะโคต</v>
      </c>
      <c r="J3178" s="3">
        <f>IFERROR(__xludf.DUMMYFUNCTION("""COMPUTED_VALUE"""),295886.0)</f>
        <v>295886</v>
      </c>
      <c r="K3178" s="3" t="str">
        <f>IFERROR(__xludf.DUMMYFUNCTION("""COMPUTED_VALUE"""),"นายจิระพงษ์ โพธิ์นิล")</f>
        <v>นายจิระพงษ์ โพธิ์นิล</v>
      </c>
      <c r="L3178" s="1" t="str">
        <f>IFERROR(__xludf.DUMMYFUNCTION("""COMPUTED_VALUE"""),"นายจิระพงษ์ โพธิ์นิล")</f>
        <v>นายจิระพงษ์ โพธิ์นิล</v>
      </c>
      <c r="M3178" s="1" t="str">
        <f>IFERROR(__xludf.DUMMYFUNCTION("""COMPUTED_VALUE"""),"0933290754")</f>
        <v>0933290754</v>
      </c>
      <c r="N3178" s="3">
        <f>IFERROR(__xludf.DUMMYFUNCTION("""COMPUTED_VALUE"""),84256.0)</f>
        <v>84256</v>
      </c>
      <c r="O3178" s="3" t="str">
        <f>IFERROR(__xludf.DUMMYFUNCTION("""COMPUTED_VALUE"""),"ร้านภูศรีเจริญพาณิชย์")</f>
        <v>ร้านภูศรีเจริญพาณิชย์</v>
      </c>
      <c r="P3178" s="4">
        <f>IFERROR(__xludf.DUMMYFUNCTION("""COMPUTED_VALUE"""),45280.0)</f>
        <v>45280</v>
      </c>
      <c r="Q3178" s="3" t="str">
        <f>IFERROR(__xludf.DUMMYFUNCTION("""COMPUTED_VALUE"""),"A")</f>
        <v>A</v>
      </c>
      <c r="R3178" s="3" t="str">
        <f>IFERROR(__xludf.DUMMYFUNCTION("""COMPUTED_VALUE"""),"Small Format")</f>
        <v>Small Format</v>
      </c>
      <c r="S3178" s="3" t="str">
        <f>IFERROR(__xludf.DUMMYFUNCTION("""COMPUTED_VALUE"""),"Donjai")</f>
        <v>Donjai</v>
      </c>
      <c r="T3178" s="3" t="str">
        <f>IFERROR(__xludf.DUMMYFUNCTION("""COMPUTED_VALUE"""),"05 K.Chanakrit N.")</f>
        <v>05 K.Chanakrit N.</v>
      </c>
      <c r="U3178" s="3" t="str">
        <f>IFERROR(__xludf.DUMMYFUNCTION("""COMPUTED_VALUE"""),"05 K.Chanakrit N.")</f>
        <v>05 K.Chanakrit N.</v>
      </c>
      <c r="V3178" s="3" t="str">
        <f>IFERROR(__xludf.DUMMYFUNCTION("""COMPUTED_VALUE"""),"N")</f>
        <v>N</v>
      </c>
      <c r="W3178" s="3"/>
      <c r="X3178" s="3" t="str">
        <f>IFERROR(__xludf.DUMMYFUNCTION("""COMPUTED_VALUE"""),"2หมู่10 ตำบลดินจี่ อำเภอคำม่วง จังหวัดกาฬสินธุ์ 46180")</f>
        <v>2หมู่10 ตำบลดินจี่ อำเภอคำม่วง จังหวัดกาฬสินธุ์ 46180</v>
      </c>
      <c r="Y3178" s="3"/>
      <c r="Z3178" s="3"/>
      <c r="AA3178" s="3"/>
      <c r="AB3178" s="3"/>
      <c r="AC3178" s="3"/>
      <c r="AD3178" s="3"/>
      <c r="AE3178" s="3"/>
      <c r="AF3178" s="3" t="str">
        <f>IFERROR(__xludf.DUMMYFUNCTION("""COMPUTED_VALUE"""),"ร้านภูศรีเจริญพาณิชย์-84256")</f>
        <v>ร้านภูศรีเจริญพาณิชย์-84256</v>
      </c>
      <c r="AG3178" s="3">
        <f>IFERROR(__xludf.DUMMYFUNCTION("""COMPUTED_VALUE"""),0.0)</f>
        <v>0</v>
      </c>
      <c r="AH3178" s="3" t="str">
        <f>IFERROR(__xludf.DUMMYFUNCTION("""COMPUTED_VALUE"""),"#N/A")</f>
        <v>#N/A</v>
      </c>
      <c r="AI3178" s="3" t="str">
        <f>IFERROR(__xludf.DUMMYFUNCTION("""COMPUTED_VALUE"""),"Out of warranty")</f>
        <v>Out of warranty</v>
      </c>
      <c r="AJ3178" s="3">
        <f>IFERROR(__xludf.DUMMYFUNCTION("""COMPUTED_VALUE"""),26.0)</f>
        <v>26</v>
      </c>
      <c r="AK3178" s="3"/>
      <c r="AL3178" s="3"/>
    </row>
    <row r="3179" ht="15.75" customHeight="1">
      <c r="A3179" s="1" t="str">
        <f>IFERROR(__xludf.DUMMYFUNCTION("""COMPUTED_VALUE"""),"84258")</f>
        <v>84258</v>
      </c>
      <c r="B3179" s="2">
        <f>IFERROR(__xludf.DUMMYFUNCTION("""COMPUTED_VALUE"""),84258.0)</f>
        <v>84258</v>
      </c>
      <c r="C3179" s="3" t="str">
        <f>IFERROR(__xludf.DUMMYFUNCTION("""COMPUTED_VALUE"""),"ร้านริตา (ริศา สาขา 2)")</f>
        <v>ร้านริตา (ริศา สาขา 2)</v>
      </c>
      <c r="D3179" s="3" t="str">
        <f>IFERROR(__xludf.DUMMYFUNCTION("""COMPUTED_VALUE"""),"ร้านริตา (ริศา สาขา 2)")</f>
        <v>ร้านริตา (ริศา สาขา 2)</v>
      </c>
      <c r="E3179" s="1" t="str">
        <f>IFERROR(__xludf.DUMMYFUNCTION("""COMPUTED_VALUE"""),"Donjai")</f>
        <v>Donjai</v>
      </c>
      <c r="F3179" s="1" t="str">
        <f>IFERROR(__xludf.DUMMYFUNCTION("""COMPUTED_VALUE"""),"296945")</f>
        <v>296945</v>
      </c>
      <c r="G3179" s="1" t="str">
        <f>IFERROR(__xludf.DUMMYFUNCTION("""COMPUTED_VALUE"""),"นายรักพงศ์ พงศ์พันธ์งาม")</f>
        <v>นายรักพงศ์ พงศ์พันธ์งาม</v>
      </c>
      <c r="H3179" s="1" t="str">
        <f>IFERROR(__xludf.DUMMYFUNCTION("""COMPUTED_VALUE"""),"296945")</f>
        <v>296945</v>
      </c>
      <c r="I3179" s="1" t="str">
        <f>IFERROR(__xludf.DUMMYFUNCTION("""COMPUTED_VALUE"""),"นายรักพงศ์ พงศ์พันธ์งาม")</f>
        <v>นายรักพงศ์ พงศ์พันธ์งาม</v>
      </c>
      <c r="J3179" s="3">
        <f>IFERROR(__xludf.DUMMYFUNCTION("""COMPUTED_VALUE"""),228031.0)</f>
        <v>228031</v>
      </c>
      <c r="K3179" s="3" t="str">
        <f>IFERROR(__xludf.DUMMYFUNCTION("""COMPUTED_VALUE"""),"นายธนพงษ์ วันหมัด")</f>
        <v>นายธนพงษ์ วันหมัด</v>
      </c>
      <c r="L3179" s="1" t="str">
        <f>IFERROR(__xludf.DUMMYFUNCTION("""COMPUTED_VALUE"""),"นายธนพงษ์ วันหมัด")</f>
        <v>นายธนพงษ์ วันหมัด</v>
      </c>
      <c r="M3179" s="1" t="str">
        <f>IFERROR(__xludf.DUMMYFUNCTION("""COMPUTED_VALUE"""),"0813716913")</f>
        <v>0813716913</v>
      </c>
      <c r="N3179" s="3">
        <f>IFERROR(__xludf.DUMMYFUNCTION("""COMPUTED_VALUE"""),84258.0)</f>
        <v>84258</v>
      </c>
      <c r="O3179" s="3" t="str">
        <f>IFERROR(__xludf.DUMMYFUNCTION("""COMPUTED_VALUE"""),"ร้านริตา (ริศา สาขา 2)")</f>
        <v>ร้านริตา (ริศา สาขา 2)</v>
      </c>
      <c r="P3179" s="4">
        <f>IFERROR(__xludf.DUMMYFUNCTION("""COMPUTED_VALUE"""),45360.0)</f>
        <v>45360</v>
      </c>
      <c r="Q3179" s="3" t="str">
        <f>IFERROR(__xludf.DUMMYFUNCTION("""COMPUTED_VALUE"""),"I")</f>
        <v>I</v>
      </c>
      <c r="R3179" s="3" t="str">
        <f>IFERROR(__xludf.DUMMYFUNCTION("""COMPUTED_VALUE"""),"Small Format")</f>
        <v>Small Format</v>
      </c>
      <c r="S3179" s="3" t="str">
        <f>IFERROR(__xludf.DUMMYFUNCTION("""COMPUTED_VALUE"""),"Donjai")</f>
        <v>Donjai</v>
      </c>
      <c r="T3179" s="3">
        <f>IFERROR(__xludf.DUMMYFUNCTION("""COMPUTED_VALUE"""),0.0)</f>
        <v>0</v>
      </c>
      <c r="U3179" s="3">
        <f>IFERROR(__xludf.DUMMYFUNCTION("""COMPUTED_VALUE"""),0.0)</f>
        <v>0</v>
      </c>
      <c r="V3179" s="3" t="str">
        <f>IFERROR(__xludf.DUMMYFUNCTION("""COMPUTED_VALUE"""),"N")</f>
        <v>N</v>
      </c>
      <c r="W3179" s="3"/>
      <c r="X3179" s="3" t="str">
        <f>IFERROR(__xludf.DUMMYFUNCTION("""COMPUTED_VALUE"""),"799 หมู่2 แพรกษา เมือง สมุทรปราการ")</f>
        <v>799 หมู่2 แพรกษา เมือง สมุทรปราการ</v>
      </c>
      <c r="Y3179" s="3"/>
      <c r="Z3179" s="3"/>
      <c r="AA3179" s="3"/>
      <c r="AB3179" s="3"/>
      <c r="AC3179" s="3"/>
      <c r="AD3179" s="3"/>
      <c r="AE3179" s="3"/>
      <c r="AF3179" s="3" t="str">
        <f>IFERROR(__xludf.DUMMYFUNCTION("""COMPUTED_VALUE"""),"ร้านริตา (ริศา สาขา 2)-84258")</f>
        <v>ร้านริตา (ริศา สาขา 2)-84258</v>
      </c>
      <c r="AG3179" s="3">
        <f>IFERROR(__xludf.DUMMYFUNCTION("""COMPUTED_VALUE"""),0.0)</f>
        <v>0</v>
      </c>
      <c r="AH3179" s="3" t="str">
        <f>IFERROR(__xludf.DUMMYFUNCTION("""COMPUTED_VALUE"""),"#N/A")</f>
        <v>#N/A</v>
      </c>
      <c r="AI3179" s="3" t="str">
        <f>IFERROR(__xludf.DUMMYFUNCTION("""COMPUTED_VALUE"""),"Out of warranty")</f>
        <v>Out of warranty</v>
      </c>
      <c r="AJ3179" s="3">
        <f>IFERROR(__xludf.DUMMYFUNCTION("""COMPUTED_VALUE"""),23.0)</f>
        <v>23</v>
      </c>
      <c r="AK3179" s="3"/>
      <c r="AL3179" s="3"/>
    </row>
    <row r="3180" ht="15.75" customHeight="1">
      <c r="A3180" s="1" t="str">
        <f>IFERROR(__xludf.DUMMYFUNCTION("""COMPUTED_VALUE"""),"84259")</f>
        <v>84259</v>
      </c>
      <c r="B3180" s="2">
        <f>IFERROR(__xludf.DUMMYFUNCTION("""COMPUTED_VALUE"""),84259.0)</f>
        <v>84259</v>
      </c>
      <c r="C3180" s="3" t="str">
        <f>IFERROR(__xludf.DUMMYFUNCTION("""COMPUTED_VALUE"""),"ร้านเพชรงาม")</f>
        <v>ร้านเพชรงาม</v>
      </c>
      <c r="D3180" s="3" t="str">
        <f>IFERROR(__xludf.DUMMYFUNCTION("""COMPUTED_VALUE"""),"ร้านเพชรงาม")</f>
        <v>ร้านเพชรงาม</v>
      </c>
      <c r="E3180" s="1" t="str">
        <f>IFERROR(__xludf.DUMMYFUNCTION("""COMPUTED_VALUE"""),"Donjai")</f>
        <v>Donjai</v>
      </c>
      <c r="F3180" s="1" t="str">
        <f>IFERROR(__xludf.DUMMYFUNCTION("""COMPUTED_VALUE"""),"2451655")</f>
        <v>2451655</v>
      </c>
      <c r="G3180" s="1" t="str">
        <f>IFERROR(__xludf.DUMMYFUNCTION("""COMPUTED_VALUE"""),"นายวิษณุพงษ์ ชินบุตร")</f>
        <v>นายวิษณุพงษ์ ชินบุตร</v>
      </c>
      <c r="H3180" s="1" t="str">
        <f>IFERROR(__xludf.DUMMYFUNCTION("""COMPUTED_VALUE"""),"2451655")</f>
        <v>2451655</v>
      </c>
      <c r="I3180" s="1" t="str">
        <f>IFERROR(__xludf.DUMMYFUNCTION("""COMPUTED_VALUE"""),"นายวิษณุพงษ์ ชินบุตร")</f>
        <v>นายวิษณุพงษ์ ชินบุตร</v>
      </c>
      <c r="J3180" s="3">
        <f>IFERROR(__xludf.DUMMYFUNCTION("""COMPUTED_VALUE"""),228031.0)</f>
        <v>228031</v>
      </c>
      <c r="K3180" s="3" t="str">
        <f>IFERROR(__xludf.DUMMYFUNCTION("""COMPUTED_VALUE"""),"นายธนพงษ์ วันหมัด")</f>
        <v>นายธนพงษ์ วันหมัด</v>
      </c>
      <c r="L3180" s="1" t="str">
        <f>IFERROR(__xludf.DUMMYFUNCTION("""COMPUTED_VALUE"""),"นายธนพงษ์ วันหมัด")</f>
        <v>นายธนพงษ์ วันหมัด</v>
      </c>
      <c r="M3180" s="1" t="str">
        <f>IFERROR(__xludf.DUMMYFUNCTION("""COMPUTED_VALUE"""),"0813716913")</f>
        <v>0813716913</v>
      </c>
      <c r="N3180" s="3">
        <f>IFERROR(__xludf.DUMMYFUNCTION("""COMPUTED_VALUE"""),84259.0)</f>
        <v>84259</v>
      </c>
      <c r="O3180" s="3" t="str">
        <f>IFERROR(__xludf.DUMMYFUNCTION("""COMPUTED_VALUE"""),"ร้านเพชรงาม")</f>
        <v>ร้านเพชรงาม</v>
      </c>
      <c r="P3180" s="4">
        <f>IFERROR(__xludf.DUMMYFUNCTION("""COMPUTED_VALUE"""),45285.0)</f>
        <v>45285</v>
      </c>
      <c r="Q3180" s="3" t="str">
        <f>IFERROR(__xludf.DUMMYFUNCTION("""COMPUTED_VALUE"""),"A")</f>
        <v>A</v>
      </c>
      <c r="R3180" s="3" t="str">
        <f>IFERROR(__xludf.DUMMYFUNCTION("""COMPUTED_VALUE"""),"Small Format")</f>
        <v>Small Format</v>
      </c>
      <c r="S3180" s="3" t="str">
        <f>IFERROR(__xludf.DUMMYFUNCTION("""COMPUTED_VALUE"""),"Donjai")</f>
        <v>Donjai</v>
      </c>
      <c r="T3180" s="3" t="str">
        <f>IFERROR(__xludf.DUMMYFUNCTION("""COMPUTED_VALUE"""),"13 K.Wisanupong Ch")</f>
        <v>13 K.Wisanupong Ch</v>
      </c>
      <c r="U3180" s="3" t="str">
        <f>IFERROR(__xludf.DUMMYFUNCTION("""COMPUTED_VALUE"""),"13 K.Wisanupong Ch")</f>
        <v>13 K.Wisanupong Ch</v>
      </c>
      <c r="V3180" s="3" t="str">
        <f>IFERROR(__xludf.DUMMYFUNCTION("""COMPUTED_VALUE"""),"N")</f>
        <v>N</v>
      </c>
      <c r="W3180" s="3"/>
      <c r="X3180" s="3" t="str">
        <f>IFERROR(__xludf.DUMMYFUNCTION("""COMPUTED_VALUE"""),"27 หมู่5 แพรกษาใหม่ เมืองสมุทรปราการ สมุทรปราการ")</f>
        <v>27 หมู่5 แพรกษาใหม่ เมืองสมุทรปราการ สมุทรปราการ</v>
      </c>
      <c r="Y3180" s="3"/>
      <c r="Z3180" s="3"/>
      <c r="AA3180" s="3"/>
      <c r="AB3180" s="3"/>
      <c r="AC3180" s="3"/>
      <c r="AD3180" s="3"/>
      <c r="AE3180" s="3"/>
      <c r="AF3180" s="3" t="str">
        <f>IFERROR(__xludf.DUMMYFUNCTION("""COMPUTED_VALUE"""),"ร้านเพชรงาม-84259")</f>
        <v>ร้านเพชรงาม-84259</v>
      </c>
      <c r="AG3180" s="3">
        <f>IFERROR(__xludf.DUMMYFUNCTION("""COMPUTED_VALUE"""),0.0)</f>
        <v>0</v>
      </c>
      <c r="AH3180" s="3" t="str">
        <f>IFERROR(__xludf.DUMMYFUNCTION("""COMPUTED_VALUE"""),"#N/A")</f>
        <v>#N/A</v>
      </c>
      <c r="AI3180" s="3" t="str">
        <f>IFERROR(__xludf.DUMMYFUNCTION("""COMPUTED_VALUE"""),"Out of warranty")</f>
        <v>Out of warranty</v>
      </c>
      <c r="AJ3180" s="3">
        <f>IFERROR(__xludf.DUMMYFUNCTION("""COMPUTED_VALUE"""),25.0)</f>
        <v>25</v>
      </c>
      <c r="AK3180" s="3"/>
      <c r="AL3180" s="3"/>
    </row>
    <row r="3181" ht="15.75" customHeight="1">
      <c r="A3181" s="1" t="str">
        <f>IFERROR(__xludf.DUMMYFUNCTION("""COMPUTED_VALUE"""),"84263")</f>
        <v>84263</v>
      </c>
      <c r="B3181" s="2">
        <f>IFERROR(__xludf.DUMMYFUNCTION("""COMPUTED_VALUE"""),84263.0)</f>
        <v>84263</v>
      </c>
      <c r="C3181" s="3" t="str">
        <f>IFERROR(__xludf.DUMMYFUNCTION("""COMPUTED_VALUE"""),"ร้านบ้านใบไม้มาร์เกต")</f>
        <v>ร้านบ้านใบไม้มาร์เกต</v>
      </c>
      <c r="D3181" s="3" t="str">
        <f>IFERROR(__xludf.DUMMYFUNCTION("""COMPUTED_VALUE"""),"ร้านบ้านใบไม้มาร์เกต")</f>
        <v>ร้านบ้านใบไม้มาร์เกต</v>
      </c>
      <c r="E3181" s="1" t="str">
        <f>IFERROR(__xludf.DUMMYFUNCTION("""COMPUTED_VALUE"""),"Donjai")</f>
        <v>Donjai</v>
      </c>
      <c r="F3181" s="1" t="str">
        <f>IFERROR(__xludf.DUMMYFUNCTION("""COMPUTED_VALUE"""),"2010016")</f>
        <v>2010016</v>
      </c>
      <c r="G3181" s="1" t="str">
        <f>IFERROR(__xludf.DUMMYFUNCTION("""COMPUTED_VALUE"""),"นายตวงธรรม ใหม่ยศ")</f>
        <v>นายตวงธรรม ใหม่ยศ</v>
      </c>
      <c r="H3181" s="1" t="str">
        <f>IFERROR(__xludf.DUMMYFUNCTION("""COMPUTED_VALUE"""),"2010016")</f>
        <v>2010016</v>
      </c>
      <c r="I3181" s="1" t="str">
        <f>IFERROR(__xludf.DUMMYFUNCTION("""COMPUTED_VALUE"""),"นายตวงธรรม ใหม่ยศ")</f>
        <v>นายตวงธรรม ใหม่ยศ</v>
      </c>
      <c r="J3181" s="3">
        <f>IFERROR(__xludf.DUMMYFUNCTION("""COMPUTED_VALUE"""),295886.0)</f>
        <v>295886</v>
      </c>
      <c r="K3181" s="3" t="str">
        <f>IFERROR(__xludf.DUMMYFUNCTION("""COMPUTED_VALUE"""),"นายจิระพงษ์ โพธิ์นิล")</f>
        <v>นายจิระพงษ์ โพธิ์นิล</v>
      </c>
      <c r="L3181" s="1" t="str">
        <f>IFERROR(__xludf.DUMMYFUNCTION("""COMPUTED_VALUE"""),"นายจิระพงษ์ โพธิ์นิล")</f>
        <v>นายจิระพงษ์ โพธิ์นิล</v>
      </c>
      <c r="M3181" s="1" t="str">
        <f>IFERROR(__xludf.DUMMYFUNCTION("""COMPUTED_VALUE"""),"0933290754")</f>
        <v>0933290754</v>
      </c>
      <c r="N3181" s="3">
        <f>IFERROR(__xludf.DUMMYFUNCTION("""COMPUTED_VALUE"""),84263.0)</f>
        <v>84263</v>
      </c>
      <c r="O3181" s="3" t="str">
        <f>IFERROR(__xludf.DUMMYFUNCTION("""COMPUTED_VALUE"""),"ร้านบ้านใบไม้มาร์เกต")</f>
        <v>ร้านบ้านใบไม้มาร์เกต</v>
      </c>
      <c r="P3181" s="4">
        <f>IFERROR(__xludf.DUMMYFUNCTION("""COMPUTED_VALUE"""),45323.0)</f>
        <v>45323</v>
      </c>
      <c r="Q3181" s="3" t="str">
        <f>IFERROR(__xludf.DUMMYFUNCTION("""COMPUTED_VALUE"""),"I")</f>
        <v>I</v>
      </c>
      <c r="R3181" s="3" t="str">
        <f>IFERROR(__xludf.DUMMYFUNCTION("""COMPUTED_VALUE"""),"Small Format")</f>
        <v>Small Format</v>
      </c>
      <c r="S3181" s="3" t="str">
        <f>IFERROR(__xludf.DUMMYFUNCTION("""COMPUTED_VALUE"""),"Donjai")</f>
        <v>Donjai</v>
      </c>
      <c r="T3181" s="3" t="str">
        <f>IFERROR(__xludf.DUMMYFUNCTION("""COMPUTED_VALUE"""),"01 K.Tuangtham M.")</f>
        <v>01 K.Tuangtham M.</v>
      </c>
      <c r="U3181" s="3" t="str">
        <f>IFERROR(__xludf.DUMMYFUNCTION("""COMPUTED_VALUE"""),"01 K.Tuangtham M.")</f>
        <v>01 K.Tuangtham M.</v>
      </c>
      <c r="V3181" s="3" t="str">
        <f>IFERROR(__xludf.DUMMYFUNCTION("""COMPUTED_VALUE"""),"N")</f>
        <v>N</v>
      </c>
      <c r="W3181" s="3"/>
      <c r="X3181" s="3" t="str">
        <f>IFERROR(__xludf.DUMMYFUNCTION("""COMPUTED_VALUE"""),"41 ม.6 ถ. สายคันคลอง โพธิ์เก้าต้น เมือง ลพบุรี")</f>
        <v>41 ม.6 ถ. สายคันคลอง โพธิ์เก้าต้น เมือง ลพบุรี</v>
      </c>
      <c r="Y3181" s="3"/>
      <c r="Z3181" s="3"/>
      <c r="AA3181" s="3"/>
      <c r="AB3181" s="3"/>
      <c r="AC3181" s="3"/>
      <c r="AD3181" s="3"/>
      <c r="AE3181" s="3"/>
      <c r="AF3181" s="3" t="str">
        <f>IFERROR(__xludf.DUMMYFUNCTION("""COMPUTED_VALUE"""),"ร้านบ้านใบไม้มาร์เกต-84263")</f>
        <v>ร้านบ้านใบไม้มาร์เกต-84263</v>
      </c>
      <c r="AG3181" s="3">
        <f>IFERROR(__xludf.DUMMYFUNCTION("""COMPUTED_VALUE"""),0.0)</f>
        <v>0</v>
      </c>
      <c r="AH3181" s="3" t="str">
        <f>IFERROR(__xludf.DUMMYFUNCTION("""COMPUTED_VALUE"""),"#N/A")</f>
        <v>#N/A</v>
      </c>
      <c r="AI3181" s="3" t="str">
        <f>IFERROR(__xludf.DUMMYFUNCTION("""COMPUTED_VALUE"""),"Out of warranty")</f>
        <v>Out of warranty</v>
      </c>
      <c r="AJ3181" s="3">
        <f>IFERROR(__xludf.DUMMYFUNCTION("""COMPUTED_VALUE"""),24.0)</f>
        <v>24</v>
      </c>
      <c r="AK3181" s="3"/>
      <c r="AL3181" s="3"/>
    </row>
    <row r="3182" ht="15.75" customHeight="1">
      <c r="A3182" s="1" t="str">
        <f>IFERROR(__xludf.DUMMYFUNCTION("""COMPUTED_VALUE"""),"84266")</f>
        <v>84266</v>
      </c>
      <c r="B3182" s="2">
        <f>IFERROR(__xludf.DUMMYFUNCTION("""COMPUTED_VALUE"""),84266.0)</f>
        <v>84266</v>
      </c>
      <c r="C3182" s="3" t="str">
        <f>IFERROR(__xludf.DUMMYFUNCTION("""COMPUTED_VALUE"""),"ร้านแบม")</f>
        <v>ร้านแบม</v>
      </c>
      <c r="D3182" s="3" t="str">
        <f>IFERROR(__xludf.DUMMYFUNCTION("""COMPUTED_VALUE"""),"ร้านแบม")</f>
        <v>ร้านแบม</v>
      </c>
      <c r="E3182" s="1" t="str">
        <f>IFERROR(__xludf.DUMMYFUNCTION("""COMPUTED_VALUE"""),"Donjai")</f>
        <v>Donjai</v>
      </c>
      <c r="F3182" s="1" t="str">
        <f>IFERROR(__xludf.DUMMYFUNCTION("""COMPUTED_VALUE"""),"2452378")</f>
        <v>2452378</v>
      </c>
      <c r="G3182" s="1" t="str">
        <f>IFERROR(__xludf.DUMMYFUNCTION("""COMPUTED_VALUE"""),"นายศักดิ์ดา พวงประดับ")</f>
        <v>นายศักดิ์ดา พวงประดับ</v>
      </c>
      <c r="H3182" s="1" t="str">
        <f>IFERROR(__xludf.DUMMYFUNCTION("""COMPUTED_VALUE"""),"2452378")</f>
        <v>2452378</v>
      </c>
      <c r="I3182" s="1" t="str">
        <f>IFERROR(__xludf.DUMMYFUNCTION("""COMPUTED_VALUE"""),"นายศักดิ์ดา พวงประดับ")</f>
        <v>นายศักดิ์ดา พวงประดับ</v>
      </c>
      <c r="J3182" s="3">
        <f>IFERROR(__xludf.DUMMYFUNCTION("""COMPUTED_VALUE"""),228031.0)</f>
        <v>228031</v>
      </c>
      <c r="K3182" s="3" t="str">
        <f>IFERROR(__xludf.DUMMYFUNCTION("""COMPUTED_VALUE"""),"นายธนพงษ์ วันหมัด")</f>
        <v>นายธนพงษ์ วันหมัด</v>
      </c>
      <c r="L3182" s="1" t="str">
        <f>IFERROR(__xludf.DUMMYFUNCTION("""COMPUTED_VALUE"""),"นายธนพงษ์ วันหมัด")</f>
        <v>นายธนพงษ์ วันหมัด</v>
      </c>
      <c r="M3182" s="1" t="str">
        <f>IFERROR(__xludf.DUMMYFUNCTION("""COMPUTED_VALUE"""),"0813716913")</f>
        <v>0813716913</v>
      </c>
      <c r="N3182" s="3">
        <f>IFERROR(__xludf.DUMMYFUNCTION("""COMPUTED_VALUE"""),84266.0)</f>
        <v>84266</v>
      </c>
      <c r="O3182" s="3" t="str">
        <f>IFERROR(__xludf.DUMMYFUNCTION("""COMPUTED_VALUE"""),"ร้านแบม")</f>
        <v>ร้านแบม</v>
      </c>
      <c r="P3182" s="4">
        <f>IFERROR(__xludf.DUMMYFUNCTION("""COMPUTED_VALUE"""),45409.0)</f>
        <v>45409</v>
      </c>
      <c r="Q3182" s="3" t="str">
        <f>IFERROR(__xludf.DUMMYFUNCTION("""COMPUTED_VALUE"""),"A")</f>
        <v>A</v>
      </c>
      <c r="R3182" s="3" t="str">
        <f>IFERROR(__xludf.DUMMYFUNCTION("""COMPUTED_VALUE"""),"Small Format")</f>
        <v>Small Format</v>
      </c>
      <c r="S3182" s="3" t="str">
        <f>IFERROR(__xludf.DUMMYFUNCTION("""COMPUTED_VALUE"""),"Donjai")</f>
        <v>Donjai</v>
      </c>
      <c r="T3182" s="3" t="str">
        <f>IFERROR(__xludf.DUMMYFUNCTION("""COMPUTED_VALUE"""),"11 K.Sakda P.")</f>
        <v>11 K.Sakda P.</v>
      </c>
      <c r="U3182" s="3" t="str">
        <f>IFERROR(__xludf.DUMMYFUNCTION("""COMPUTED_VALUE"""),"11 K.Sakda P.")</f>
        <v>11 K.Sakda P.</v>
      </c>
      <c r="V3182" s="3" t="str">
        <f>IFERROR(__xludf.DUMMYFUNCTION("""COMPUTED_VALUE"""),"N")</f>
        <v>N</v>
      </c>
      <c r="W3182" s="3"/>
      <c r="X3182" s="3" t="str">
        <f>IFERROR(__xludf.DUMMYFUNCTION("""COMPUTED_VALUE"""),"1161 หมู่9 บางปูใหม่ บางปูใหม่ สมุทรปราการ")</f>
        <v>1161 หมู่9 บางปูใหม่ บางปูใหม่ สมุทรปราการ</v>
      </c>
      <c r="Y3182" s="3"/>
      <c r="Z3182" s="3" t="str">
        <f>IFERROR(__xludf.DUMMYFUNCTION("""COMPUTED_VALUE"""),"บางปูใหม่")</f>
        <v>บางปูใหม่</v>
      </c>
      <c r="AA3182" s="3" t="str">
        <f>IFERROR(__xludf.DUMMYFUNCTION("""COMPUTED_VALUE"""),"บางปูใหม่")</f>
        <v>บางปูใหม่</v>
      </c>
      <c r="AB3182" s="3" t="str">
        <f>IFERROR(__xludf.DUMMYFUNCTION("""COMPUTED_VALUE"""),"สมุทรปราการ")</f>
        <v>สมุทรปราการ</v>
      </c>
      <c r="AC3182" s="3"/>
      <c r="AD3182" s="3"/>
      <c r="AE3182" s="3"/>
      <c r="AF3182" s="3" t="str">
        <f>IFERROR(__xludf.DUMMYFUNCTION("""COMPUTED_VALUE"""),"ร้านแบม-84266")</f>
        <v>ร้านแบม-84266</v>
      </c>
      <c r="AG3182" s="3" t="str">
        <f>IFERROR(__xludf.DUMMYFUNCTION("""COMPUTED_VALUE"""),"กลาง")</f>
        <v>กลาง</v>
      </c>
      <c r="AH3182" s="3" t="str">
        <f>IFERROR(__xludf.DUMMYFUNCTION("""COMPUTED_VALUE"""),"#N/A")</f>
        <v>#N/A</v>
      </c>
      <c r="AI3182" s="3" t="str">
        <f>IFERROR(__xludf.DUMMYFUNCTION("""COMPUTED_VALUE"""),"Out of warranty")</f>
        <v>Out of warranty</v>
      </c>
      <c r="AJ3182" s="3">
        <f>IFERROR(__xludf.DUMMYFUNCTION("""COMPUTED_VALUE"""),21.0)</f>
        <v>21</v>
      </c>
      <c r="AK3182" s="3"/>
      <c r="AL3182" s="3"/>
    </row>
    <row r="3183" ht="15.75" customHeight="1">
      <c r="A3183" s="1" t="str">
        <f>IFERROR(__xludf.DUMMYFUNCTION("""COMPUTED_VALUE"""),"84268")</f>
        <v>84268</v>
      </c>
      <c r="B3183" s="2">
        <f>IFERROR(__xludf.DUMMYFUNCTION("""COMPUTED_VALUE"""),84268.0)</f>
        <v>84268</v>
      </c>
      <c r="C3183" s="3" t="str">
        <f>IFERROR(__xludf.DUMMYFUNCTION("""COMPUTED_VALUE"""),"ร้านห้วยซ้อ มินิมาร์ท")</f>
        <v>ร้านห้วยซ้อ มินิมาร์ท</v>
      </c>
      <c r="D3183" s="3" t="str">
        <f>IFERROR(__xludf.DUMMYFUNCTION("""COMPUTED_VALUE"""),"ร้านห้วยซ้อ มินิมาร์ท")</f>
        <v>ร้านห้วยซ้อ มินิมาร์ท</v>
      </c>
      <c r="E3183" s="1" t="str">
        <f>IFERROR(__xludf.DUMMYFUNCTION("""COMPUTED_VALUE"""),"Donjai")</f>
        <v>Donjai</v>
      </c>
      <c r="F3183" s="1" t="str">
        <f>IFERROR(__xludf.DUMMYFUNCTION("""COMPUTED_VALUE"""),"2010016")</f>
        <v>2010016</v>
      </c>
      <c r="G3183" s="1" t="str">
        <f>IFERROR(__xludf.DUMMYFUNCTION("""COMPUTED_VALUE"""),"นายตวงธรรม ใหม่ยศ")</f>
        <v>นายตวงธรรม ใหม่ยศ</v>
      </c>
      <c r="H3183" s="1" t="str">
        <f>IFERROR(__xludf.DUMMYFUNCTION("""COMPUTED_VALUE"""),"2010016")</f>
        <v>2010016</v>
      </c>
      <c r="I3183" s="1" t="str">
        <f>IFERROR(__xludf.DUMMYFUNCTION("""COMPUTED_VALUE"""),"นายตวงธรรม ใหม่ยศ")</f>
        <v>นายตวงธรรม ใหม่ยศ</v>
      </c>
      <c r="J3183" s="3">
        <f>IFERROR(__xludf.DUMMYFUNCTION("""COMPUTED_VALUE"""),295886.0)</f>
        <v>295886</v>
      </c>
      <c r="K3183" s="3" t="str">
        <f>IFERROR(__xludf.DUMMYFUNCTION("""COMPUTED_VALUE"""),"นายจิระพงษ์ โพธิ์นิล")</f>
        <v>นายจิระพงษ์ โพธิ์นิล</v>
      </c>
      <c r="L3183" s="1" t="str">
        <f>IFERROR(__xludf.DUMMYFUNCTION("""COMPUTED_VALUE"""),"นายจิระพงษ์ โพธิ์นิล")</f>
        <v>นายจิระพงษ์ โพธิ์นิล</v>
      </c>
      <c r="M3183" s="1" t="str">
        <f>IFERROR(__xludf.DUMMYFUNCTION("""COMPUTED_VALUE"""),"0933290754")</f>
        <v>0933290754</v>
      </c>
      <c r="N3183" s="3">
        <f>IFERROR(__xludf.DUMMYFUNCTION("""COMPUTED_VALUE"""),84268.0)</f>
        <v>84268</v>
      </c>
      <c r="O3183" s="3" t="str">
        <f>IFERROR(__xludf.DUMMYFUNCTION("""COMPUTED_VALUE"""),"ร้านห้วยซ้อ มินิมาร์ท")</f>
        <v>ร้านห้วยซ้อ มินิมาร์ท</v>
      </c>
      <c r="P3183" s="4">
        <f>IFERROR(__xludf.DUMMYFUNCTION("""COMPUTED_VALUE"""),45390.0)</f>
        <v>45390</v>
      </c>
      <c r="Q3183" s="3" t="str">
        <f>IFERROR(__xludf.DUMMYFUNCTION("""COMPUTED_VALUE"""),"A")</f>
        <v>A</v>
      </c>
      <c r="R3183" s="3" t="str">
        <f>IFERROR(__xludf.DUMMYFUNCTION("""COMPUTED_VALUE"""),"Small Format")</f>
        <v>Small Format</v>
      </c>
      <c r="S3183" s="3" t="str">
        <f>IFERROR(__xludf.DUMMYFUNCTION("""COMPUTED_VALUE"""),"Donjai")</f>
        <v>Donjai</v>
      </c>
      <c r="T3183" s="3" t="str">
        <f>IFERROR(__xludf.DUMMYFUNCTION("""COMPUTED_VALUE"""),"01 K.Tuangtham M.")</f>
        <v>01 K.Tuangtham M.</v>
      </c>
      <c r="U3183" s="3" t="str">
        <f>IFERROR(__xludf.DUMMYFUNCTION("""COMPUTED_VALUE"""),"01 K.Tuangtham M.")</f>
        <v>01 K.Tuangtham M.</v>
      </c>
      <c r="V3183" s="3" t="str">
        <f>IFERROR(__xludf.DUMMYFUNCTION("""COMPUTED_VALUE"""),"N")</f>
        <v>N</v>
      </c>
      <c r="W3183" s="3"/>
      <c r="X3183" s="3" t="str">
        <f>IFERROR(__xludf.DUMMYFUNCTION("""COMPUTED_VALUE"""),"เลขที่ 9 หมู่ 1 ห้วยซ้อ เชียงของ เชียงราย")</f>
        <v>เลขที่ 9 หมู่ 1 ห้วยซ้อ เชียงของ เชียงราย</v>
      </c>
      <c r="Y3183" s="3"/>
      <c r="Z3183" s="3" t="str">
        <f>IFERROR(__xludf.DUMMYFUNCTION("""COMPUTED_VALUE"""),"ห้วยซ้อ")</f>
        <v>ห้วยซ้อ</v>
      </c>
      <c r="AA3183" s="3" t="str">
        <f>IFERROR(__xludf.DUMMYFUNCTION("""COMPUTED_VALUE"""),"เชียงของ")</f>
        <v>เชียงของ</v>
      </c>
      <c r="AB3183" s="3" t="str">
        <f>IFERROR(__xludf.DUMMYFUNCTION("""COMPUTED_VALUE"""),"เชียงราย")</f>
        <v>เชียงราย</v>
      </c>
      <c r="AC3183" s="3"/>
      <c r="AD3183" s="3"/>
      <c r="AE3183" s="3"/>
      <c r="AF3183" s="3" t="str">
        <f>IFERROR(__xludf.DUMMYFUNCTION("""COMPUTED_VALUE"""),"ร้านห้วยซ้อ มินิมาร์ท-84268")</f>
        <v>ร้านห้วยซ้อ มินิมาร์ท-84268</v>
      </c>
      <c r="AG3183" s="3" t="str">
        <f>IFERROR(__xludf.DUMMYFUNCTION("""COMPUTED_VALUE"""),"เหนือ")</f>
        <v>เหนือ</v>
      </c>
      <c r="AH3183" s="3" t="str">
        <f>IFERROR(__xludf.DUMMYFUNCTION("""COMPUTED_VALUE"""),"#N/A")</f>
        <v>#N/A</v>
      </c>
      <c r="AI3183" s="3" t="str">
        <f>IFERROR(__xludf.DUMMYFUNCTION("""COMPUTED_VALUE"""),"Out of warranty")</f>
        <v>Out of warranty</v>
      </c>
      <c r="AJ3183" s="3">
        <f>IFERROR(__xludf.DUMMYFUNCTION("""COMPUTED_VALUE"""),22.0)</f>
        <v>22</v>
      </c>
      <c r="AK3183" s="3"/>
      <c r="AL3183" s="3"/>
    </row>
    <row r="3184" ht="15.75" customHeight="1">
      <c r="A3184" s="1" t="str">
        <f>IFERROR(__xludf.DUMMYFUNCTION("""COMPUTED_VALUE"""),"84271")</f>
        <v>84271</v>
      </c>
      <c r="B3184" s="2">
        <f>IFERROR(__xludf.DUMMYFUNCTION("""COMPUTED_VALUE"""),84271.0)</f>
        <v>84271</v>
      </c>
      <c r="C3184" s="3" t="str">
        <f>IFERROR(__xludf.DUMMYFUNCTION("""COMPUTED_VALUE"""),"ร้านบิ๊กเอส บิ๊กเซลล์ สาขา 2")</f>
        <v>ร้านบิ๊กเอส บิ๊กเซลล์ สาขา 2</v>
      </c>
      <c r="D3184" s="3" t="str">
        <f>IFERROR(__xludf.DUMMYFUNCTION("""COMPUTED_VALUE"""),"ร้านบิ๊กเอส บิ๊กเซลล์ สาขา 2")</f>
        <v>ร้านบิ๊กเอส บิ๊กเซลล์ สาขา 2</v>
      </c>
      <c r="E3184" s="1" t="str">
        <f>IFERROR(__xludf.DUMMYFUNCTION("""COMPUTED_VALUE"""),"Donjai")</f>
        <v>Donjai</v>
      </c>
      <c r="F3184" s="1" t="str">
        <f>IFERROR(__xludf.DUMMYFUNCTION("""COMPUTED_VALUE"""),"296868")</f>
        <v>296868</v>
      </c>
      <c r="G3184" s="1" t="str">
        <f>IFERROR(__xludf.DUMMYFUNCTION("""COMPUTED_VALUE"""),"นายพีระพงษ์ แก้วดวงดี")</f>
        <v>นายพีระพงษ์ แก้วดวงดี</v>
      </c>
      <c r="H3184" s="1" t="str">
        <f>IFERROR(__xludf.DUMMYFUNCTION("""COMPUTED_VALUE"""),"296868")</f>
        <v>296868</v>
      </c>
      <c r="I3184" s="1" t="str">
        <f>IFERROR(__xludf.DUMMYFUNCTION("""COMPUTED_VALUE"""),"นายพีระพงษ์ แก้วดวงดี")</f>
        <v>นายพีระพงษ์ แก้วดวงดี</v>
      </c>
      <c r="J3184" s="3">
        <f>IFERROR(__xludf.DUMMYFUNCTION("""COMPUTED_VALUE"""),295886.0)</f>
        <v>295886</v>
      </c>
      <c r="K3184" s="3" t="str">
        <f>IFERROR(__xludf.DUMMYFUNCTION("""COMPUTED_VALUE"""),"นายจิระพงษ์ โพธิ์นิล")</f>
        <v>นายจิระพงษ์ โพธิ์นิล</v>
      </c>
      <c r="L3184" s="1" t="str">
        <f>IFERROR(__xludf.DUMMYFUNCTION("""COMPUTED_VALUE"""),"นายจิระพงษ์ โพธิ์นิล")</f>
        <v>นายจิระพงษ์ โพธิ์นิล</v>
      </c>
      <c r="M3184" s="1" t="str">
        <f>IFERROR(__xludf.DUMMYFUNCTION("""COMPUTED_VALUE"""),"0933290754")</f>
        <v>0933290754</v>
      </c>
      <c r="N3184" s="3">
        <f>IFERROR(__xludf.DUMMYFUNCTION("""COMPUTED_VALUE"""),84271.0)</f>
        <v>84271</v>
      </c>
      <c r="O3184" s="3" t="str">
        <f>IFERROR(__xludf.DUMMYFUNCTION("""COMPUTED_VALUE"""),"ร้านบิ๊กเอส บิ๊กเซลล์ สาขา 2")</f>
        <v>ร้านบิ๊กเอส บิ๊กเซลล์ สาขา 2</v>
      </c>
      <c r="P3184" s="4">
        <f>IFERROR(__xludf.DUMMYFUNCTION("""COMPUTED_VALUE"""),45467.0)</f>
        <v>45467</v>
      </c>
      <c r="Q3184" s="3" t="str">
        <f>IFERROR(__xludf.DUMMYFUNCTION("""COMPUTED_VALUE"""),"A")</f>
        <v>A</v>
      </c>
      <c r="R3184" s="3" t="str">
        <f>IFERROR(__xludf.DUMMYFUNCTION("""COMPUTED_VALUE"""),"Small Format")</f>
        <v>Small Format</v>
      </c>
      <c r="S3184" s="3" t="str">
        <f>IFERROR(__xludf.DUMMYFUNCTION("""COMPUTED_VALUE"""),"Donjai")</f>
        <v>Donjai</v>
      </c>
      <c r="T3184" s="3" t="str">
        <f>IFERROR(__xludf.DUMMYFUNCTION("""COMPUTED_VALUE"""),"03 K.Peerapong K.")</f>
        <v>03 K.Peerapong K.</v>
      </c>
      <c r="U3184" s="3" t="str">
        <f>IFERROR(__xludf.DUMMYFUNCTION("""COMPUTED_VALUE"""),"03 K.Peerapong K.")</f>
        <v>03 K.Peerapong K.</v>
      </c>
      <c r="V3184" s="3" t="str">
        <f>IFERROR(__xludf.DUMMYFUNCTION("""COMPUTED_VALUE"""),"N")</f>
        <v>N</v>
      </c>
      <c r="W3184" s="3"/>
      <c r="X3184" s="3" t="str">
        <f>IFERROR(__xludf.DUMMYFUNCTION("""COMPUTED_VALUE"""),"140/7 บ้านแก้ง นาแก นครพนม")</f>
        <v>140/7 บ้านแก้ง นาแก นครพนม</v>
      </c>
      <c r="Y3184" s="3"/>
      <c r="Z3184" s="3" t="str">
        <f>IFERROR(__xludf.DUMMYFUNCTION("""COMPUTED_VALUE"""),"บ้างแก้ง")</f>
        <v>บ้างแก้ง</v>
      </c>
      <c r="AA3184" s="3" t="str">
        <f>IFERROR(__xludf.DUMMYFUNCTION("""COMPUTED_VALUE"""),"นาแก")</f>
        <v>นาแก</v>
      </c>
      <c r="AB3184" s="3" t="str">
        <f>IFERROR(__xludf.DUMMYFUNCTION("""COMPUTED_VALUE"""),"นครพนม")</f>
        <v>นครพนม</v>
      </c>
      <c r="AC3184" s="3"/>
      <c r="AD3184" s="3"/>
      <c r="AE3184" s="3"/>
      <c r="AF3184" s="3" t="str">
        <f>IFERROR(__xludf.DUMMYFUNCTION("""COMPUTED_VALUE"""),"ร้านบิ๊กเอส บิ๊กเซลล์ สาขา 2-84271")</f>
        <v>ร้านบิ๊กเอส บิ๊กเซลล์ สาขา 2-84271</v>
      </c>
      <c r="AG3184" s="3" t="str">
        <f>IFERROR(__xludf.DUMMYFUNCTION("""COMPUTED_VALUE"""),"ตะวันออกเฉียงเหนือ")</f>
        <v>ตะวันออกเฉียงเหนือ</v>
      </c>
      <c r="AH3184" s="3" t="str">
        <f>IFERROR(__xludf.DUMMYFUNCTION("""COMPUTED_VALUE"""),"#N/A")</f>
        <v>#N/A</v>
      </c>
      <c r="AI3184" s="3" t="str">
        <f>IFERROR(__xludf.DUMMYFUNCTION("""COMPUTED_VALUE"""),"Out of warranty")</f>
        <v>Out of warranty</v>
      </c>
      <c r="AJ3184" s="3">
        <f>IFERROR(__xludf.DUMMYFUNCTION("""COMPUTED_VALUE"""),19.0)</f>
        <v>19</v>
      </c>
      <c r="AK3184" s="3"/>
      <c r="AL3184" s="3"/>
    </row>
    <row r="3185" ht="15.75" customHeight="1">
      <c r="A3185" s="1" t="str">
        <f>IFERROR(__xludf.DUMMYFUNCTION("""COMPUTED_VALUE"""),"84273")</f>
        <v>84273</v>
      </c>
      <c r="B3185" s="2">
        <f>IFERROR(__xludf.DUMMYFUNCTION("""COMPUTED_VALUE"""),84273.0)</f>
        <v>84273</v>
      </c>
      <c r="C3185" s="3" t="str">
        <f>IFERROR(__xludf.DUMMYFUNCTION("""COMPUTED_VALUE"""),"ร้านช.ช้าง")</f>
        <v>ร้านช.ช้าง</v>
      </c>
      <c r="D3185" s="3" t="str">
        <f>IFERROR(__xludf.DUMMYFUNCTION("""COMPUTED_VALUE"""),"ร้านช.ช้าง")</f>
        <v>ร้านช.ช้าง</v>
      </c>
      <c r="E3185" s="1" t="str">
        <f>IFERROR(__xludf.DUMMYFUNCTION("""COMPUTED_VALUE"""),"Donjai")</f>
        <v>Donjai</v>
      </c>
      <c r="F3185" s="1" t="str">
        <f>IFERROR(__xludf.DUMMYFUNCTION("""COMPUTED_VALUE"""),"296608")</f>
        <v>296608</v>
      </c>
      <c r="G3185" s="1" t="str">
        <f>IFERROR(__xludf.DUMMYFUNCTION("""COMPUTED_VALUE"""),"นายภาคภูมิ เพ็ชรนิล")</f>
        <v>นายภาคภูมิ เพ็ชรนิล</v>
      </c>
      <c r="H3185" s="1" t="str">
        <f>IFERROR(__xludf.DUMMYFUNCTION("""COMPUTED_VALUE"""),"296608")</f>
        <v>296608</v>
      </c>
      <c r="I3185" s="1" t="str">
        <f>IFERROR(__xludf.DUMMYFUNCTION("""COMPUTED_VALUE"""),"นายภาคภูมิ เพ็ชรนิล")</f>
        <v>นายภาคภูมิ เพ็ชรนิล</v>
      </c>
      <c r="J3185" s="3">
        <f>IFERROR(__xludf.DUMMYFUNCTION("""COMPUTED_VALUE"""),228031.0)</f>
        <v>228031</v>
      </c>
      <c r="K3185" s="3" t="str">
        <f>IFERROR(__xludf.DUMMYFUNCTION("""COMPUTED_VALUE"""),"นายธนพงษ์ วันหมัด")</f>
        <v>นายธนพงษ์ วันหมัด</v>
      </c>
      <c r="L3185" s="1" t="str">
        <f>IFERROR(__xludf.DUMMYFUNCTION("""COMPUTED_VALUE"""),"นายธนพงษ์ วันหมัด")</f>
        <v>นายธนพงษ์ วันหมัด</v>
      </c>
      <c r="M3185" s="1" t="str">
        <f>IFERROR(__xludf.DUMMYFUNCTION("""COMPUTED_VALUE"""),"0813716913")</f>
        <v>0813716913</v>
      </c>
      <c r="N3185" s="3">
        <f>IFERROR(__xludf.DUMMYFUNCTION("""COMPUTED_VALUE"""),84273.0)</f>
        <v>84273</v>
      </c>
      <c r="O3185" s="3" t="str">
        <f>IFERROR(__xludf.DUMMYFUNCTION("""COMPUTED_VALUE"""),"ร้านช.ช้าง")</f>
        <v>ร้านช.ช้าง</v>
      </c>
      <c r="P3185" s="4">
        <f>IFERROR(__xludf.DUMMYFUNCTION("""COMPUTED_VALUE"""),45526.0)</f>
        <v>45526</v>
      </c>
      <c r="Q3185" s="3" t="str">
        <f>IFERROR(__xludf.DUMMYFUNCTION("""COMPUTED_VALUE"""),"A")</f>
        <v>A</v>
      </c>
      <c r="R3185" s="3" t="str">
        <f>IFERROR(__xludf.DUMMYFUNCTION("""COMPUTED_VALUE"""),"Small Format")</f>
        <v>Small Format</v>
      </c>
      <c r="S3185" s="3" t="str">
        <f>IFERROR(__xludf.DUMMYFUNCTION("""COMPUTED_VALUE"""),"Donjai")</f>
        <v>Donjai</v>
      </c>
      <c r="T3185" s="3" t="str">
        <f>IFERROR(__xludf.DUMMYFUNCTION("""COMPUTED_VALUE"""),"10 K.Phakphoom P.")</f>
        <v>10 K.Phakphoom P.</v>
      </c>
      <c r="U3185" s="3" t="str">
        <f>IFERROR(__xludf.DUMMYFUNCTION("""COMPUTED_VALUE"""),"10 K.Phakphoom P.")</f>
        <v>10 K.Phakphoom P.</v>
      </c>
      <c r="V3185" s="3" t="str">
        <f>IFERROR(__xludf.DUMMYFUNCTION("""COMPUTED_VALUE"""),"N")</f>
        <v>N</v>
      </c>
      <c r="W3185" s="3"/>
      <c r="X3185" s="3" t="str">
        <f>IFERROR(__xludf.DUMMYFUNCTION("""COMPUTED_VALUE"""),"ซ.บางกระดี่24 แสมดำ บางขุนเทียน กทม.")</f>
        <v>ซ.บางกระดี่24 แสมดำ บางขุนเทียน กทม.</v>
      </c>
      <c r="Y3185" s="3"/>
      <c r="Z3185" s="3" t="str">
        <f>IFERROR(__xludf.DUMMYFUNCTION("""COMPUTED_VALUE"""),"แสมดำ")</f>
        <v>แสมดำ</v>
      </c>
      <c r="AA3185" s="3" t="str">
        <f>IFERROR(__xludf.DUMMYFUNCTION("""COMPUTED_VALUE"""),"บางขุนเทียน")</f>
        <v>บางขุนเทียน</v>
      </c>
      <c r="AB3185" s="3" t="str">
        <f>IFERROR(__xludf.DUMMYFUNCTION("""COMPUTED_VALUE"""),"กรุงเทพมหานคร")</f>
        <v>กรุงเทพมหานคร</v>
      </c>
      <c r="AC3185" s="3"/>
      <c r="AD3185" s="3"/>
      <c r="AE3185" s="3"/>
      <c r="AF3185" s="3" t="str">
        <f>IFERROR(__xludf.DUMMYFUNCTION("""COMPUTED_VALUE"""),"ร้านช.ช้าง-84273")</f>
        <v>ร้านช.ช้าง-84273</v>
      </c>
      <c r="AG3185" s="3" t="str">
        <f>IFERROR(__xludf.DUMMYFUNCTION("""COMPUTED_VALUE"""),"กลาง")</f>
        <v>กลาง</v>
      </c>
      <c r="AH3185" s="3" t="str">
        <f>IFERROR(__xludf.DUMMYFUNCTION("""COMPUTED_VALUE"""),"#N/A")</f>
        <v>#N/A</v>
      </c>
      <c r="AI3185" s="3" t="str">
        <f>IFERROR(__xludf.DUMMYFUNCTION("""COMPUTED_VALUE"""),"Out of warranty")</f>
        <v>Out of warranty</v>
      </c>
      <c r="AJ3185" s="3">
        <f>IFERROR(__xludf.DUMMYFUNCTION("""COMPUTED_VALUE"""),17.0)</f>
        <v>17</v>
      </c>
      <c r="AK3185" s="3"/>
      <c r="AL3185" s="3"/>
    </row>
    <row r="3186" ht="15.75" customHeight="1">
      <c r="A3186" s="1" t="str">
        <f>IFERROR(__xludf.DUMMYFUNCTION("""COMPUTED_VALUE"""),"84274")</f>
        <v>84274</v>
      </c>
      <c r="B3186" s="2">
        <f>IFERROR(__xludf.DUMMYFUNCTION("""COMPUTED_VALUE"""),84274.0)</f>
        <v>84274</v>
      </c>
      <c r="C3186" s="3" t="str">
        <f>IFERROR(__xludf.DUMMYFUNCTION("""COMPUTED_VALUE"""),"ร้านพี เค เอ็กซ์เพรส")</f>
        <v>ร้านพี เค เอ็กซ์เพรส</v>
      </c>
      <c r="D3186" s="3" t="str">
        <f>IFERROR(__xludf.DUMMYFUNCTION("""COMPUTED_VALUE"""),"ร้านพี เค เอ็กซ์เพรส")</f>
        <v>ร้านพี เค เอ็กซ์เพรส</v>
      </c>
      <c r="E3186" s="1" t="str">
        <f>IFERROR(__xludf.DUMMYFUNCTION("""COMPUTED_VALUE"""),"Donjai")</f>
        <v>Donjai</v>
      </c>
      <c r="F3186" s="1" t="str">
        <f>IFERROR(__xludf.DUMMYFUNCTION("""COMPUTED_VALUE"""),"046214")</f>
        <v>046214</v>
      </c>
      <c r="G3186" s="1" t="str">
        <f>IFERROR(__xludf.DUMMYFUNCTION("""COMPUTED_VALUE"""),"นายศักดิ์ชัย เด็ดดอกฟ้า")</f>
        <v>นายศักดิ์ชัย เด็ดดอกฟ้า</v>
      </c>
      <c r="H3186" s="1" t="str">
        <f>IFERROR(__xludf.DUMMYFUNCTION("""COMPUTED_VALUE"""),"046214")</f>
        <v>046214</v>
      </c>
      <c r="I3186" s="1" t="str">
        <f>IFERROR(__xludf.DUMMYFUNCTION("""COMPUTED_VALUE"""),"นายศักดิ์ชัย เด็ดดอกฟ้า")</f>
        <v>นายศักดิ์ชัย เด็ดดอกฟ้า</v>
      </c>
      <c r="J3186" s="3">
        <f>IFERROR(__xludf.DUMMYFUNCTION("""COMPUTED_VALUE"""),295886.0)</f>
        <v>295886</v>
      </c>
      <c r="K3186" s="3" t="str">
        <f>IFERROR(__xludf.DUMMYFUNCTION("""COMPUTED_VALUE"""),"นายจิระพงษ์ โพธิ์นิล")</f>
        <v>นายจิระพงษ์ โพธิ์นิล</v>
      </c>
      <c r="L3186" s="1" t="str">
        <f>IFERROR(__xludf.DUMMYFUNCTION("""COMPUTED_VALUE"""),"นายจิระพงษ์ โพธิ์นิล")</f>
        <v>นายจิระพงษ์ โพธิ์นิล</v>
      </c>
      <c r="M3186" s="1" t="str">
        <f>IFERROR(__xludf.DUMMYFUNCTION("""COMPUTED_VALUE"""),"0933290754")</f>
        <v>0933290754</v>
      </c>
      <c r="N3186" s="3">
        <f>IFERROR(__xludf.DUMMYFUNCTION("""COMPUTED_VALUE"""),84274.0)</f>
        <v>84274</v>
      </c>
      <c r="O3186" s="3" t="str">
        <f>IFERROR(__xludf.DUMMYFUNCTION("""COMPUTED_VALUE"""),"ร้านพี เค เอ็กซ์เพรส")</f>
        <v>ร้านพี เค เอ็กซ์เพรส</v>
      </c>
      <c r="P3186" s="4">
        <f>IFERROR(__xludf.DUMMYFUNCTION("""COMPUTED_VALUE"""),45493.0)</f>
        <v>45493</v>
      </c>
      <c r="Q3186" s="3" t="str">
        <f>IFERROR(__xludf.DUMMYFUNCTION("""COMPUTED_VALUE"""),"A")</f>
        <v>A</v>
      </c>
      <c r="R3186" s="3" t="str">
        <f>IFERROR(__xludf.DUMMYFUNCTION("""COMPUTED_VALUE"""),"Small Format")</f>
        <v>Small Format</v>
      </c>
      <c r="S3186" s="3" t="str">
        <f>IFERROR(__xludf.DUMMYFUNCTION("""COMPUTED_VALUE"""),"Donjai")</f>
        <v>Donjai</v>
      </c>
      <c r="T3186" s="3" t="str">
        <f>IFERROR(__xludf.DUMMYFUNCTION("""COMPUTED_VALUE"""),"02 K.Sakchai D")</f>
        <v>02 K.Sakchai D</v>
      </c>
      <c r="U3186" s="3" t="str">
        <f>IFERROR(__xludf.DUMMYFUNCTION("""COMPUTED_VALUE"""),"02 K.Sakchai D")</f>
        <v>02 K.Sakchai D</v>
      </c>
      <c r="V3186" s="3" t="str">
        <f>IFERROR(__xludf.DUMMYFUNCTION("""COMPUTED_VALUE"""),"N")</f>
        <v>N</v>
      </c>
      <c r="W3186" s="3"/>
      <c r="X3186" s="3" t="str">
        <f>IFERROR(__xludf.DUMMYFUNCTION("""COMPUTED_VALUE"""),"1/1 ม.4 หนองมะค่าโมง ด่านช้าง สุพรรณบุรี")</f>
        <v>1/1 ม.4 หนองมะค่าโมง ด่านช้าง สุพรรณบุรี</v>
      </c>
      <c r="Y3186" s="3"/>
      <c r="Z3186" s="3" t="str">
        <f>IFERROR(__xludf.DUMMYFUNCTION("""COMPUTED_VALUE"""),"หนองมะค่าโมง")</f>
        <v>หนองมะค่าโมง</v>
      </c>
      <c r="AA3186" s="3" t="str">
        <f>IFERROR(__xludf.DUMMYFUNCTION("""COMPUTED_VALUE"""),"ด่านช้าง")</f>
        <v>ด่านช้าง</v>
      </c>
      <c r="AB3186" s="3" t="str">
        <f>IFERROR(__xludf.DUMMYFUNCTION("""COMPUTED_VALUE"""),"สุพรรณบุรี")</f>
        <v>สุพรรณบุรี</v>
      </c>
      <c r="AC3186" s="3"/>
      <c r="AD3186" s="3"/>
      <c r="AE3186" s="3"/>
      <c r="AF3186" s="3" t="str">
        <f>IFERROR(__xludf.DUMMYFUNCTION("""COMPUTED_VALUE"""),"ร้านพี เค เอ็กซ์เพรส-84274")</f>
        <v>ร้านพี เค เอ็กซ์เพรส-84274</v>
      </c>
      <c r="AG3186" s="3" t="str">
        <f>IFERROR(__xludf.DUMMYFUNCTION("""COMPUTED_VALUE"""),"กลาง")</f>
        <v>กลาง</v>
      </c>
      <c r="AH3186" s="3" t="str">
        <f>IFERROR(__xludf.DUMMYFUNCTION("""COMPUTED_VALUE"""),"#N/A")</f>
        <v>#N/A</v>
      </c>
      <c r="AI3186" s="3" t="str">
        <f>IFERROR(__xludf.DUMMYFUNCTION("""COMPUTED_VALUE"""),"Out of warranty")</f>
        <v>Out of warranty</v>
      </c>
      <c r="AJ3186" s="3">
        <f>IFERROR(__xludf.DUMMYFUNCTION("""COMPUTED_VALUE"""),19.0)</f>
        <v>19</v>
      </c>
      <c r="AK3186" s="3"/>
      <c r="AL3186" s="3"/>
    </row>
    <row r="3187" ht="15.75" customHeight="1">
      <c r="A3187" s="1" t="str">
        <f>IFERROR(__xludf.DUMMYFUNCTION("""COMPUTED_VALUE"""),"91201")</f>
        <v>91201</v>
      </c>
      <c r="B3187" s="2">
        <f>IFERROR(__xludf.DUMMYFUNCTION("""COMPUTED_VALUE"""),91201.0)</f>
        <v>91201</v>
      </c>
      <c r="C3187" s="3">
        <f>IFERROR(__xludf.DUMMYFUNCTION("""COMPUTED_VALUE"""),0.0)</f>
        <v>0</v>
      </c>
      <c r="D3187" s="3">
        <f>IFERROR(__xludf.DUMMYFUNCTION("""COMPUTED_VALUE"""),0.0)</f>
        <v>0</v>
      </c>
      <c r="E3187" s="1" t="str">
        <f>IFERROR(__xludf.DUMMYFUNCTION("""COMPUTED_VALUE"""),"0")</f>
        <v>0</v>
      </c>
      <c r="F3187" s="1" t="str">
        <f>IFERROR(__xludf.DUMMYFUNCTION("""COMPUTED_VALUE"""),"0")</f>
        <v>0</v>
      </c>
      <c r="G3187" s="1" t="str">
        <f>IFERROR(__xludf.DUMMYFUNCTION("""COMPUTED_VALUE"""),"0")</f>
        <v>0</v>
      </c>
      <c r="H3187" s="1" t="str">
        <f>IFERROR(__xludf.DUMMYFUNCTION("""COMPUTED_VALUE"""),"0")</f>
        <v>0</v>
      </c>
      <c r="I3187" s="1" t="str">
        <f>IFERROR(__xludf.DUMMYFUNCTION("""COMPUTED_VALUE"""),"0")</f>
        <v>0</v>
      </c>
      <c r="J3187" s="3">
        <f>IFERROR(__xludf.DUMMYFUNCTION("""COMPUTED_VALUE"""),0.0)</f>
        <v>0</v>
      </c>
      <c r="K3187" s="3">
        <f>IFERROR(__xludf.DUMMYFUNCTION("""COMPUTED_VALUE"""),0.0)</f>
        <v>0</v>
      </c>
      <c r="L3187" s="1" t="str">
        <f>IFERROR(__xludf.DUMMYFUNCTION("""COMPUTED_VALUE"""),"0")</f>
        <v>0</v>
      </c>
      <c r="M3187" s="1" t="str">
        <f>IFERROR(__xludf.DUMMYFUNCTION("""COMPUTED_VALUE"""),"0")</f>
        <v>0</v>
      </c>
      <c r="N3187" s="3">
        <f>IFERROR(__xludf.DUMMYFUNCTION("""COMPUTED_VALUE"""),0.0)</f>
        <v>0</v>
      </c>
      <c r="O3187" s="3">
        <f>IFERROR(__xludf.DUMMYFUNCTION("""COMPUTED_VALUE"""),0.0)</f>
        <v>0</v>
      </c>
      <c r="P3187" s="3">
        <f>IFERROR(__xludf.DUMMYFUNCTION("""COMPUTED_VALUE"""),0.0)</f>
        <v>0</v>
      </c>
      <c r="Q3187" s="3">
        <f>IFERROR(__xludf.DUMMYFUNCTION("""COMPUTED_VALUE"""),0.0)</f>
        <v>0</v>
      </c>
      <c r="R3187" s="3" t="str">
        <f>IFERROR(__xludf.DUMMYFUNCTION("""COMPUTED_VALUE"""),"Small Format")</f>
        <v>Small Format</v>
      </c>
      <c r="S3187" s="3"/>
      <c r="T3187" s="3" t="str">
        <f>IFERROR(__xludf.DUMMYFUNCTION("""COMPUTED_VALUE"""),"#N/A")</f>
        <v>#N/A</v>
      </c>
      <c r="U3187" s="3" t="str">
        <f>IFERROR(__xludf.DUMMYFUNCTION("""COMPUTED_VALUE"""),"#N/A")</f>
        <v>#N/A</v>
      </c>
      <c r="V3187" s="3" t="str">
        <f>IFERROR(__xludf.DUMMYFUNCTION("""COMPUTED_VALUE"""),"#N/A")</f>
        <v>#N/A</v>
      </c>
      <c r="W3187" s="3">
        <f>IFERROR(__xludf.DUMMYFUNCTION("""COMPUTED_VALUE"""),911018.0)</f>
        <v>911018</v>
      </c>
      <c r="X3187" s="3">
        <f>IFERROR(__xludf.DUMMYFUNCTION("""COMPUTED_VALUE"""),0.0)</f>
        <v>0</v>
      </c>
      <c r="Y3187" s="3"/>
      <c r="Z3187" s="3"/>
      <c r="AA3187" s="3"/>
      <c r="AB3187" s="3"/>
      <c r="AC3187" s="3"/>
      <c r="AD3187" s="3"/>
      <c r="AE3187" s="3"/>
      <c r="AF3187" s="3" t="str">
        <f>IFERROR(__xludf.DUMMYFUNCTION("""COMPUTED_VALUE"""),"0-91201")</f>
        <v>0-91201</v>
      </c>
      <c r="AG3187" s="3">
        <f>IFERROR(__xludf.DUMMYFUNCTION("""COMPUTED_VALUE"""),0.0)</f>
        <v>0</v>
      </c>
      <c r="AH3187" s="3" t="str">
        <f>IFERROR(__xludf.DUMMYFUNCTION("""COMPUTED_VALUE"""),"#N/A")</f>
        <v>#N/A</v>
      </c>
      <c r="AI3187" s="3" t="str">
        <f>IFERROR(__xludf.DUMMYFUNCTION("""COMPUTED_VALUE"""),"Out of warranty")</f>
        <v>Out of warranty</v>
      </c>
      <c r="AJ3187" s="3">
        <f>IFERROR(__xludf.DUMMYFUNCTION("""COMPUTED_VALUE"""),1513.0)</f>
        <v>1513</v>
      </c>
      <c r="AK3187" s="3"/>
      <c r="AL3187" s="3"/>
    </row>
    <row r="3188" ht="15.75" customHeight="1">
      <c r="A3188" s="1" t="str">
        <f>IFERROR(__xludf.DUMMYFUNCTION("""COMPUTED_VALUE"""),"91915")</f>
        <v>91915</v>
      </c>
      <c r="B3188" s="2">
        <f>IFERROR(__xludf.DUMMYFUNCTION("""COMPUTED_VALUE"""),91915.0)</f>
        <v>91915</v>
      </c>
      <c r="C3188" s="3" t="str">
        <f>IFERROR(__xludf.DUMMYFUNCTION("""COMPUTED_VALUE"""),"TBDC (Mini BigC)")</f>
        <v>TBDC (Mini BigC)</v>
      </c>
      <c r="D3188" s="3" t="str">
        <f>IFERROR(__xludf.DUMMYFUNCTION("""COMPUTED_VALUE"""),"TBDC (Mini BigC)")</f>
        <v>TBDC (Mini BigC)</v>
      </c>
      <c r="E3188" s="1" t="str">
        <f>IFERROR(__xludf.DUMMYFUNCTION("""COMPUTED_VALUE"""),"DC")</f>
        <v>DC</v>
      </c>
      <c r="F3188" s="1" t="str">
        <f>IFERROR(__xludf.DUMMYFUNCTION("""COMPUTED_VALUE"""),"1019553")</f>
        <v>1019553</v>
      </c>
      <c r="G3188" s="1" t="str">
        <f>IFERROR(__xludf.DUMMYFUNCTION("""COMPUTED_VALUE"""),"นายบำรุง กังสันเทียะ")</f>
        <v>นายบำรุง กังสันเทียะ</v>
      </c>
      <c r="H3188" s="1" t="str">
        <f>IFERROR(__xludf.DUMMYFUNCTION("""COMPUTED_VALUE"""),"1019550")</f>
        <v>1019550</v>
      </c>
      <c r="I3188" s="1" t="str">
        <f>IFERROR(__xludf.DUMMYFUNCTION("""COMPUTED_VALUE"""),"นายกิตติเดช อินทะชัย")</f>
        <v>นายกิตติเดช อินทะชัย</v>
      </c>
      <c r="J3188" s="3">
        <f>IFERROR(__xludf.DUMMYFUNCTION("""COMPUTED_VALUE"""),1019473.0)</f>
        <v>1019473</v>
      </c>
      <c r="K3188" s="3" t="str">
        <f>IFERROR(__xludf.DUMMYFUNCTION("""COMPUTED_VALUE"""),"นายสันติ อรรคสิริสถาวร")</f>
        <v>นายสันติ อรรคสิริสถาวร</v>
      </c>
      <c r="L3188" s="1" t="str">
        <f>IFERROR(__xludf.DUMMYFUNCTION("""COMPUTED_VALUE"""),"0")</f>
        <v>0</v>
      </c>
      <c r="M3188" s="1" t="str">
        <f>IFERROR(__xludf.DUMMYFUNCTION("""COMPUTED_VALUE"""),"0")</f>
        <v>0</v>
      </c>
      <c r="N3188" s="3">
        <f>IFERROR(__xludf.DUMMYFUNCTION("""COMPUTED_VALUE"""),91915.0)</f>
        <v>91915</v>
      </c>
      <c r="O3188" s="3" t="str">
        <f>IFERROR(__xludf.DUMMYFUNCTION("""COMPUTED_VALUE"""),"TBDC (Mini BigC)")</f>
        <v>TBDC (Mini BigC)</v>
      </c>
      <c r="P3188" s="4">
        <f>IFERROR(__xludf.DUMMYFUNCTION("""COMPUTED_VALUE"""),43167.0)</f>
        <v>43167</v>
      </c>
      <c r="Q3188" s="3" t="str">
        <f>IFERROR(__xludf.DUMMYFUNCTION("""COMPUTED_VALUE"""),"A")</f>
        <v>A</v>
      </c>
      <c r="R3188" s="3" t="str">
        <f>IFERROR(__xludf.DUMMYFUNCTION("""COMPUTED_VALUE"""),"Small Format")</f>
        <v>Small Format</v>
      </c>
      <c r="S3188" s="3" t="str">
        <f>IFERROR(__xludf.DUMMYFUNCTION("""COMPUTED_VALUE"""),"DC")</f>
        <v>DC</v>
      </c>
      <c r="T3188" s="3" t="str">
        <f>IFERROR(__xludf.DUMMYFUNCTION("""COMPUTED_VALUE"""),"#N/A")</f>
        <v>#N/A</v>
      </c>
      <c r="U3188" s="3" t="str">
        <f>IFERROR(__xludf.DUMMYFUNCTION("""COMPUTED_VALUE"""),"#N/A")</f>
        <v>#N/A</v>
      </c>
      <c r="V3188" s="3" t="str">
        <f>IFERROR(__xludf.DUMMYFUNCTION("""COMPUTED_VALUE"""),"N")</f>
        <v>N</v>
      </c>
      <c r="W3188" s="3">
        <f>IFERROR(__xludf.DUMMYFUNCTION("""COMPUTED_VALUE"""),0.0)</f>
        <v>0</v>
      </c>
      <c r="X3188" s="3" t="str">
        <f>IFERROR(__xludf.DUMMYFUNCTION("""COMPUTED_VALUE"""),"28 ม.3 ต.คลองหก อ.คลองคลวง จ.ปทุมธานี 12150")</f>
        <v>28 ม.3 ต.คลองหก อ.คลองคลวง จ.ปทุมธานี 12150</v>
      </c>
      <c r="Y3188" s="3"/>
      <c r="Z3188" s="3" t="str">
        <f>IFERROR(__xludf.DUMMYFUNCTION("""COMPUTED_VALUE"""),"คลองหก")</f>
        <v>คลองหก</v>
      </c>
      <c r="AA3188" s="3" t="str">
        <f>IFERROR(__xludf.DUMMYFUNCTION("""COMPUTED_VALUE"""),"คลองหลวง")</f>
        <v>คลองหลวง</v>
      </c>
      <c r="AB3188" s="3" t="str">
        <f>IFERROR(__xludf.DUMMYFUNCTION("""COMPUTED_VALUE"""),"ปทุมธานี")</f>
        <v>ปทุมธานี</v>
      </c>
      <c r="AC3188" s="3">
        <f>IFERROR(__xludf.DUMMYFUNCTION("""COMPUTED_VALUE"""),12150.0)</f>
        <v>12150</v>
      </c>
      <c r="AD3188" s="3"/>
      <c r="AE3188" s="3"/>
      <c r="AF3188" s="3" t="str">
        <f>IFERROR(__xludf.DUMMYFUNCTION("""COMPUTED_VALUE"""),"TBDC (Mini BigC)-91915")</f>
        <v>TBDC (Mini BigC)-91915</v>
      </c>
      <c r="AG3188" s="3" t="str">
        <f>IFERROR(__xludf.DUMMYFUNCTION("""COMPUTED_VALUE"""),"กลาง")</f>
        <v>กลาง</v>
      </c>
      <c r="AH3188" s="3" t="str">
        <f>IFERROR(__xludf.DUMMYFUNCTION("""COMPUTED_VALUE"""),"#N/A")</f>
        <v>#N/A</v>
      </c>
      <c r="AI3188" s="3" t="str">
        <f>IFERROR(__xludf.DUMMYFUNCTION("""COMPUTED_VALUE"""),"Out of warranty")</f>
        <v>Out of warranty</v>
      </c>
      <c r="AJ3188" s="3">
        <f>IFERROR(__xludf.DUMMYFUNCTION("""COMPUTED_VALUE"""),95.0)</f>
        <v>95</v>
      </c>
      <c r="AK3188" s="3"/>
      <c r="AL3188" s="3"/>
    </row>
    <row r="3189" ht="15.75" customHeight="1">
      <c r="A3189" s="1" t="str">
        <f>IFERROR(__xludf.DUMMYFUNCTION("""COMPUTED_VALUE"""),"91918")</f>
        <v>91918</v>
      </c>
      <c r="B3189" s="2">
        <f>IFERROR(__xludf.DUMMYFUNCTION("""COMPUTED_VALUE"""),91918.0)</f>
        <v>91918</v>
      </c>
      <c r="C3189" s="3" t="str">
        <f>IFERROR(__xludf.DUMMYFUNCTION("""COMPUTED_VALUE"""),"TBDC (X-DOCK)")</f>
        <v>TBDC (X-DOCK)</v>
      </c>
      <c r="D3189" s="3" t="str">
        <f>IFERROR(__xludf.DUMMYFUNCTION("""COMPUTED_VALUE"""),"TBDC (X-DOCK)")</f>
        <v>TBDC (X-DOCK)</v>
      </c>
      <c r="E3189" s="1" t="str">
        <f>IFERROR(__xludf.DUMMYFUNCTION("""COMPUTED_VALUE"""),"DC")</f>
        <v>DC</v>
      </c>
      <c r="F3189" s="1" t="str">
        <f>IFERROR(__xludf.DUMMYFUNCTION("""COMPUTED_VALUE"""),"1019553")</f>
        <v>1019553</v>
      </c>
      <c r="G3189" s="1" t="str">
        <f>IFERROR(__xludf.DUMMYFUNCTION("""COMPUTED_VALUE"""),"นายบำรุง กังสันเทียะ")</f>
        <v>นายบำรุง กังสันเทียะ</v>
      </c>
      <c r="H3189" s="1" t="str">
        <f>IFERROR(__xludf.DUMMYFUNCTION("""COMPUTED_VALUE"""),"1019550")</f>
        <v>1019550</v>
      </c>
      <c r="I3189" s="1" t="str">
        <f>IFERROR(__xludf.DUMMYFUNCTION("""COMPUTED_VALUE"""),"นายกิตติเดช อินทะชัย")</f>
        <v>นายกิตติเดช อินทะชัย</v>
      </c>
      <c r="J3189" s="3">
        <f>IFERROR(__xludf.DUMMYFUNCTION("""COMPUTED_VALUE"""),1019473.0)</f>
        <v>1019473</v>
      </c>
      <c r="K3189" s="3" t="str">
        <f>IFERROR(__xludf.DUMMYFUNCTION("""COMPUTED_VALUE"""),"นายสันติ อรรคสิริสถาวร")</f>
        <v>นายสันติ อรรคสิริสถาวร</v>
      </c>
      <c r="L3189" s="1" t="str">
        <f>IFERROR(__xludf.DUMMYFUNCTION("""COMPUTED_VALUE"""),"0")</f>
        <v>0</v>
      </c>
      <c r="M3189" s="1" t="str">
        <f>IFERROR(__xludf.DUMMYFUNCTION("""COMPUTED_VALUE"""),"0")</f>
        <v>0</v>
      </c>
      <c r="N3189" s="3">
        <f>IFERROR(__xludf.DUMMYFUNCTION("""COMPUTED_VALUE"""),91918.0)</f>
        <v>91918</v>
      </c>
      <c r="O3189" s="3" t="str">
        <f>IFERROR(__xludf.DUMMYFUNCTION("""COMPUTED_VALUE"""),"TBDC (X-DOCK)")</f>
        <v>TBDC (X-DOCK)</v>
      </c>
      <c r="P3189" s="4">
        <f>IFERROR(__xludf.DUMMYFUNCTION("""COMPUTED_VALUE"""),41791.0)</f>
        <v>41791</v>
      </c>
      <c r="Q3189" s="3" t="str">
        <f>IFERROR(__xludf.DUMMYFUNCTION("""COMPUTED_VALUE"""),"A")</f>
        <v>A</v>
      </c>
      <c r="R3189" s="3" t="str">
        <f>IFERROR(__xludf.DUMMYFUNCTION("""COMPUTED_VALUE"""),"Small Format")</f>
        <v>Small Format</v>
      </c>
      <c r="S3189" s="3" t="str">
        <f>IFERROR(__xludf.DUMMYFUNCTION("""COMPUTED_VALUE"""),"DC")</f>
        <v>DC</v>
      </c>
      <c r="T3189" s="3" t="str">
        <f>IFERROR(__xludf.DUMMYFUNCTION("""COMPUTED_VALUE"""),"#N/A")</f>
        <v>#N/A</v>
      </c>
      <c r="U3189" s="3" t="str">
        <f>IFERROR(__xludf.DUMMYFUNCTION("""COMPUTED_VALUE"""),"#N/A")</f>
        <v>#N/A</v>
      </c>
      <c r="V3189" s="3" t="str">
        <f>IFERROR(__xludf.DUMMYFUNCTION("""COMPUTED_VALUE"""),"N")</f>
        <v>N</v>
      </c>
      <c r="W3189" s="3">
        <f>IFERROR(__xludf.DUMMYFUNCTION("""COMPUTED_VALUE"""),0.0)</f>
        <v>0</v>
      </c>
      <c r="X3189" s="3" t="str">
        <f>IFERROR(__xludf.DUMMYFUNCTION("""COMPUTED_VALUE"""),"28 ม.3 ต.คลองหก อ.คลองคลวง จ.ปทุมธานี 12150")</f>
        <v>28 ม.3 ต.คลองหก อ.คลองคลวง จ.ปทุมธานี 12150</v>
      </c>
      <c r="Y3189" s="3"/>
      <c r="Z3189" s="3" t="str">
        <f>IFERROR(__xludf.DUMMYFUNCTION("""COMPUTED_VALUE"""),"คลองหก")</f>
        <v>คลองหก</v>
      </c>
      <c r="AA3189" s="3" t="str">
        <f>IFERROR(__xludf.DUMMYFUNCTION("""COMPUTED_VALUE"""),"คลองหลวง")</f>
        <v>คลองหลวง</v>
      </c>
      <c r="AB3189" s="3" t="str">
        <f>IFERROR(__xludf.DUMMYFUNCTION("""COMPUTED_VALUE"""),"ปทุมธานี")</f>
        <v>ปทุมธานี</v>
      </c>
      <c r="AC3189" s="3">
        <f>IFERROR(__xludf.DUMMYFUNCTION("""COMPUTED_VALUE"""),12150.0)</f>
        <v>12150</v>
      </c>
      <c r="AD3189" s="3"/>
      <c r="AE3189" s="3"/>
      <c r="AF3189" s="3" t="str">
        <f>IFERROR(__xludf.DUMMYFUNCTION("""COMPUTED_VALUE"""),"TBDC (X-DOCK)-91918")</f>
        <v>TBDC (X-DOCK)-91918</v>
      </c>
      <c r="AG3189" s="3" t="str">
        <f>IFERROR(__xludf.DUMMYFUNCTION("""COMPUTED_VALUE"""),"กลาง")</f>
        <v>กลาง</v>
      </c>
      <c r="AH3189" s="3" t="str">
        <f>IFERROR(__xludf.DUMMYFUNCTION("""COMPUTED_VALUE"""),"#N/A")</f>
        <v>#N/A</v>
      </c>
      <c r="AI3189" s="3" t="str">
        <f>IFERROR(__xludf.DUMMYFUNCTION("""COMPUTED_VALUE"""),"Out of warranty")</f>
        <v>Out of warranty</v>
      </c>
      <c r="AJ3189" s="3">
        <f>IFERROR(__xludf.DUMMYFUNCTION("""COMPUTED_VALUE"""),140.0)</f>
        <v>140</v>
      </c>
      <c r="AK3189" s="3"/>
      <c r="AL3189" s="3"/>
    </row>
    <row r="3190" ht="15.75" customHeight="1">
      <c r="A3190" s="1" t="str">
        <f>IFERROR(__xludf.DUMMYFUNCTION("""COMPUTED_VALUE"""),"92924")</f>
        <v>92924</v>
      </c>
      <c r="B3190" s="2">
        <f>IFERROR(__xludf.DUMMYFUNCTION("""COMPUTED_VALUE"""),92924.0)</f>
        <v>92924</v>
      </c>
      <c r="C3190" s="3" t="str">
        <f>IFERROR(__xludf.DUMMYFUNCTION("""COMPUTED_VALUE"""),"Chachoeng-Sao Distribution Center -CDC")</f>
        <v>Chachoeng-Sao Distribution Center -CDC</v>
      </c>
      <c r="D3190" s="3" t="str">
        <f>IFERROR(__xludf.DUMMYFUNCTION("""COMPUTED_VALUE"""),"Chachoeng-Sao Distribution Center -CDC")</f>
        <v>Chachoeng-Sao Distribution Center -CDC</v>
      </c>
      <c r="E3190" s="1" t="str">
        <f>IFERROR(__xludf.DUMMYFUNCTION("""COMPUTED_VALUE"""),"DC")</f>
        <v>DC</v>
      </c>
      <c r="F3190" s="1" t="str">
        <f>IFERROR(__xludf.DUMMYFUNCTION("""COMPUTED_VALUE"""),"2030010")</f>
        <v>2030010</v>
      </c>
      <c r="G3190" s="1" t="str">
        <f>IFERROR(__xludf.DUMMYFUNCTION("""COMPUTED_VALUE"""),"นายวิษณุ มีศรเอี่ยม")</f>
        <v>นายวิษณุ มีศรเอี่ยม</v>
      </c>
      <c r="H3190" s="1" t="str">
        <f>IFERROR(__xludf.DUMMYFUNCTION("""COMPUTED_VALUE"""),"2030010")</f>
        <v>2030010</v>
      </c>
      <c r="I3190" s="1" t="str">
        <f>IFERROR(__xludf.DUMMYFUNCTION("""COMPUTED_VALUE"""),"นายวิษณุ มีศรเอี่ยม")</f>
        <v>นายวิษณุ มีศรเอี่ยม</v>
      </c>
      <c r="J3190" s="3">
        <f>IFERROR(__xludf.DUMMYFUNCTION("""COMPUTED_VALUE"""),2030010.0)</f>
        <v>2030010</v>
      </c>
      <c r="K3190" s="3" t="str">
        <f>IFERROR(__xludf.DUMMYFUNCTION("""COMPUTED_VALUE"""),"นายวิษณุ มีศรเอี่ยม")</f>
        <v>นายวิษณุ มีศรเอี่ยม</v>
      </c>
      <c r="L3190" s="1" t="str">
        <f>IFERROR(__xludf.DUMMYFUNCTION("""COMPUTED_VALUE"""),"0")</f>
        <v>0</v>
      </c>
      <c r="M3190" s="1" t="str">
        <f>IFERROR(__xludf.DUMMYFUNCTION("""COMPUTED_VALUE"""),"0")</f>
        <v>0</v>
      </c>
      <c r="N3190" s="3">
        <f>IFERROR(__xludf.DUMMYFUNCTION("""COMPUTED_VALUE"""),92924.0)</f>
        <v>92924</v>
      </c>
      <c r="O3190" s="3" t="str">
        <f>IFERROR(__xludf.DUMMYFUNCTION("""COMPUTED_VALUE"""),"Chachoeng-Sao Distribution Center -CDC")</f>
        <v>Chachoeng-Sao Distribution Center -CDC</v>
      </c>
      <c r="P3190" s="4">
        <f>IFERROR(__xludf.DUMMYFUNCTION("""COMPUTED_VALUE"""),43101.0)</f>
        <v>43101</v>
      </c>
      <c r="Q3190" s="3" t="str">
        <f>IFERROR(__xludf.DUMMYFUNCTION("""COMPUTED_VALUE"""),"A")</f>
        <v>A</v>
      </c>
      <c r="R3190" s="3" t="str">
        <f>IFERROR(__xludf.DUMMYFUNCTION("""COMPUTED_VALUE"""),"Small Format")</f>
        <v>Small Format</v>
      </c>
      <c r="S3190" s="3" t="str">
        <f>IFERROR(__xludf.DUMMYFUNCTION("""COMPUTED_VALUE"""),"DC")</f>
        <v>DC</v>
      </c>
      <c r="T3190" s="3" t="str">
        <f>IFERROR(__xludf.DUMMYFUNCTION("""COMPUTED_VALUE"""),"#N/A")</f>
        <v>#N/A</v>
      </c>
      <c r="U3190" s="3" t="str">
        <f>IFERROR(__xludf.DUMMYFUNCTION("""COMPUTED_VALUE"""),"#N/A")</f>
        <v>#N/A</v>
      </c>
      <c r="V3190" s="3" t="str">
        <f>IFERROR(__xludf.DUMMYFUNCTION("""COMPUTED_VALUE"""),"N")</f>
        <v>N</v>
      </c>
      <c r="W3190" s="3">
        <f>IFERROR(__xludf.DUMMYFUNCTION("""COMPUTED_VALUE"""),0.0)</f>
        <v>0</v>
      </c>
      <c r="X3190" s="3" t="str">
        <f>IFERROR(__xludf.DUMMYFUNCTION("""COMPUTED_VALUE"""),"เลขที่ 99/7 ม.1 ต.คลองเปรง อ.เมืองฉะเชิงเทรา จ.ฉะเชิงเทรา 2400")</f>
        <v>เลขที่ 99/7 ม.1 ต.คลองเปรง อ.เมืองฉะเชิงเทรา จ.ฉะเชิงเทรา 2400</v>
      </c>
      <c r="Y3190" s="3"/>
      <c r="Z3190" s="3" t="str">
        <f>IFERROR(__xludf.DUMMYFUNCTION("""COMPUTED_VALUE"""),"คลองเปรง")</f>
        <v>คลองเปรง</v>
      </c>
      <c r="AA3190" s="3" t="str">
        <f>IFERROR(__xludf.DUMMYFUNCTION("""COMPUTED_VALUE"""),"เมือง")</f>
        <v>เมือง</v>
      </c>
      <c r="AB3190" s="3" t="str">
        <f>IFERROR(__xludf.DUMMYFUNCTION("""COMPUTED_VALUE"""),"ฉะเชิงเทรา")</f>
        <v>ฉะเชิงเทรา</v>
      </c>
      <c r="AC3190" s="3">
        <f>IFERROR(__xludf.DUMMYFUNCTION("""COMPUTED_VALUE"""),24000.0)</f>
        <v>24000</v>
      </c>
      <c r="AD3190" s="3"/>
      <c r="AE3190" s="3"/>
      <c r="AF3190" s="3" t="str">
        <f>IFERROR(__xludf.DUMMYFUNCTION("""COMPUTED_VALUE"""),"Chachoeng-Sao Distribution Center -CDC-92924")</f>
        <v>Chachoeng-Sao Distribution Center -CDC-92924</v>
      </c>
      <c r="AG3190" s="3" t="str">
        <f>IFERROR(__xludf.DUMMYFUNCTION("""COMPUTED_VALUE"""),"ตะวันออก")</f>
        <v>ตะวันออก</v>
      </c>
      <c r="AH3190" s="3" t="str">
        <f>IFERROR(__xludf.DUMMYFUNCTION("""COMPUTED_VALUE"""),"#N/A")</f>
        <v>#N/A</v>
      </c>
      <c r="AI3190" s="3" t="str">
        <f>IFERROR(__xludf.DUMMYFUNCTION("""COMPUTED_VALUE"""),"Out of warranty")</f>
        <v>Out of warranty</v>
      </c>
      <c r="AJ3190" s="3">
        <f>IFERROR(__xludf.DUMMYFUNCTION("""COMPUTED_VALUE"""),97.0)</f>
        <v>97</v>
      </c>
      <c r="AK3190" s="3"/>
      <c r="AL3190" s="3"/>
    </row>
    <row r="3191" ht="15.75" customHeight="1">
      <c r="A3191" s="1" t="str">
        <f>IFERROR(__xludf.DUMMYFUNCTION("""COMPUTED_VALUE"""),"94101")</f>
        <v>94101</v>
      </c>
      <c r="B3191" s="2">
        <f>IFERROR(__xludf.DUMMYFUNCTION("""COMPUTED_VALUE"""),94101.0)</f>
        <v>94101</v>
      </c>
      <c r="C3191" s="3">
        <f>IFERROR(__xludf.DUMMYFUNCTION("""COMPUTED_VALUE"""),0.0)</f>
        <v>0</v>
      </c>
      <c r="D3191" s="3">
        <f>IFERROR(__xludf.DUMMYFUNCTION("""COMPUTED_VALUE"""),0.0)</f>
        <v>0</v>
      </c>
      <c r="E3191" s="1" t="str">
        <f>IFERROR(__xludf.DUMMYFUNCTION("""COMPUTED_VALUE"""),"0")</f>
        <v>0</v>
      </c>
      <c r="F3191" s="1" t="str">
        <f>IFERROR(__xludf.DUMMYFUNCTION("""COMPUTED_VALUE"""),"0")</f>
        <v>0</v>
      </c>
      <c r="G3191" s="1" t="str">
        <f>IFERROR(__xludf.DUMMYFUNCTION("""COMPUTED_VALUE"""),"0")</f>
        <v>0</v>
      </c>
      <c r="H3191" s="1" t="str">
        <f>IFERROR(__xludf.DUMMYFUNCTION("""COMPUTED_VALUE"""),"0")</f>
        <v>0</v>
      </c>
      <c r="I3191" s="1" t="str">
        <f>IFERROR(__xludf.DUMMYFUNCTION("""COMPUTED_VALUE"""),"0")</f>
        <v>0</v>
      </c>
      <c r="J3191" s="3">
        <f>IFERROR(__xludf.DUMMYFUNCTION("""COMPUTED_VALUE"""),0.0)</f>
        <v>0</v>
      </c>
      <c r="K3191" s="3">
        <f>IFERROR(__xludf.DUMMYFUNCTION("""COMPUTED_VALUE"""),0.0)</f>
        <v>0</v>
      </c>
      <c r="L3191" s="1" t="str">
        <f>IFERROR(__xludf.DUMMYFUNCTION("""COMPUTED_VALUE"""),"0")</f>
        <v>0</v>
      </c>
      <c r="M3191" s="1" t="str">
        <f>IFERROR(__xludf.DUMMYFUNCTION("""COMPUTED_VALUE"""),"0")</f>
        <v>0</v>
      </c>
      <c r="N3191" s="3">
        <f>IFERROR(__xludf.DUMMYFUNCTION("""COMPUTED_VALUE"""),0.0)</f>
        <v>0</v>
      </c>
      <c r="O3191" s="3">
        <f>IFERROR(__xludf.DUMMYFUNCTION("""COMPUTED_VALUE"""),0.0)</f>
        <v>0</v>
      </c>
      <c r="P3191" s="3">
        <f>IFERROR(__xludf.DUMMYFUNCTION("""COMPUTED_VALUE"""),0.0)</f>
        <v>0</v>
      </c>
      <c r="Q3191" s="3">
        <f>IFERROR(__xludf.DUMMYFUNCTION("""COMPUTED_VALUE"""),0.0)</f>
        <v>0</v>
      </c>
      <c r="R3191" s="3" t="str">
        <f>IFERROR(__xludf.DUMMYFUNCTION("""COMPUTED_VALUE"""),"Small Format")</f>
        <v>Small Format</v>
      </c>
      <c r="S3191" s="3"/>
      <c r="T3191" s="3" t="str">
        <f>IFERROR(__xludf.DUMMYFUNCTION("""COMPUTED_VALUE"""),"#N/A")</f>
        <v>#N/A</v>
      </c>
      <c r="U3191" s="3" t="str">
        <f>IFERROR(__xludf.DUMMYFUNCTION("""COMPUTED_VALUE"""),"#N/A")</f>
        <v>#N/A</v>
      </c>
      <c r="V3191" s="3" t="str">
        <f>IFERROR(__xludf.DUMMYFUNCTION("""COMPUTED_VALUE"""),"#N/A")</f>
        <v>#N/A</v>
      </c>
      <c r="W3191" s="3">
        <f>IFERROR(__xludf.DUMMYFUNCTION("""COMPUTED_VALUE"""),0.0)</f>
        <v>0</v>
      </c>
      <c r="X3191" s="3">
        <f>IFERROR(__xludf.DUMMYFUNCTION("""COMPUTED_VALUE"""),0.0)</f>
        <v>0</v>
      </c>
      <c r="Y3191" s="3"/>
      <c r="Z3191" s="3"/>
      <c r="AA3191" s="3"/>
      <c r="AB3191" s="3"/>
      <c r="AC3191" s="3"/>
      <c r="AD3191" s="3"/>
      <c r="AE3191" s="3"/>
      <c r="AF3191" s="3" t="str">
        <f>IFERROR(__xludf.DUMMYFUNCTION("""COMPUTED_VALUE"""),"0-94101")</f>
        <v>0-94101</v>
      </c>
      <c r="AG3191" s="3">
        <f>IFERROR(__xludf.DUMMYFUNCTION("""COMPUTED_VALUE"""),0.0)</f>
        <v>0</v>
      </c>
      <c r="AH3191" s="3" t="str">
        <f>IFERROR(__xludf.DUMMYFUNCTION("""COMPUTED_VALUE"""),"#N/A")</f>
        <v>#N/A</v>
      </c>
      <c r="AI3191" s="3" t="str">
        <f>IFERROR(__xludf.DUMMYFUNCTION("""COMPUTED_VALUE"""),"Out of warranty")</f>
        <v>Out of warranty</v>
      </c>
      <c r="AJ3191" s="3">
        <f>IFERROR(__xludf.DUMMYFUNCTION("""COMPUTED_VALUE"""),1513.0)</f>
        <v>1513</v>
      </c>
      <c r="AK3191" s="3"/>
      <c r="AL3191" s="3"/>
    </row>
    <row r="3192" ht="15.75" customHeight="1">
      <c r="A3192" s="1" t="str">
        <f>IFERROR(__xludf.DUMMYFUNCTION("""COMPUTED_VALUE"""),"94102")</f>
        <v>94102</v>
      </c>
      <c r="B3192" s="2">
        <f>IFERROR(__xludf.DUMMYFUNCTION("""COMPUTED_VALUE"""),94102.0)</f>
        <v>94102</v>
      </c>
      <c r="C3192" s="3">
        <f>IFERROR(__xludf.DUMMYFUNCTION("""COMPUTED_VALUE"""),0.0)</f>
        <v>0</v>
      </c>
      <c r="D3192" s="3">
        <f>IFERROR(__xludf.DUMMYFUNCTION("""COMPUTED_VALUE"""),0.0)</f>
        <v>0</v>
      </c>
      <c r="E3192" s="1" t="str">
        <f>IFERROR(__xludf.DUMMYFUNCTION("""COMPUTED_VALUE"""),"0")</f>
        <v>0</v>
      </c>
      <c r="F3192" s="1" t="str">
        <f>IFERROR(__xludf.DUMMYFUNCTION("""COMPUTED_VALUE"""),"0")</f>
        <v>0</v>
      </c>
      <c r="G3192" s="1" t="str">
        <f>IFERROR(__xludf.DUMMYFUNCTION("""COMPUTED_VALUE"""),"0")</f>
        <v>0</v>
      </c>
      <c r="H3192" s="1" t="str">
        <f>IFERROR(__xludf.DUMMYFUNCTION("""COMPUTED_VALUE"""),"0")</f>
        <v>0</v>
      </c>
      <c r="I3192" s="1" t="str">
        <f>IFERROR(__xludf.DUMMYFUNCTION("""COMPUTED_VALUE"""),"0")</f>
        <v>0</v>
      </c>
      <c r="J3192" s="3">
        <f>IFERROR(__xludf.DUMMYFUNCTION("""COMPUTED_VALUE"""),0.0)</f>
        <v>0</v>
      </c>
      <c r="K3192" s="3">
        <f>IFERROR(__xludf.DUMMYFUNCTION("""COMPUTED_VALUE"""),0.0)</f>
        <v>0</v>
      </c>
      <c r="L3192" s="1" t="str">
        <f>IFERROR(__xludf.DUMMYFUNCTION("""COMPUTED_VALUE"""),"0")</f>
        <v>0</v>
      </c>
      <c r="M3192" s="1" t="str">
        <f>IFERROR(__xludf.DUMMYFUNCTION("""COMPUTED_VALUE"""),"0")</f>
        <v>0</v>
      </c>
      <c r="N3192" s="3">
        <f>IFERROR(__xludf.DUMMYFUNCTION("""COMPUTED_VALUE"""),0.0)</f>
        <v>0</v>
      </c>
      <c r="O3192" s="3">
        <f>IFERROR(__xludf.DUMMYFUNCTION("""COMPUTED_VALUE"""),0.0)</f>
        <v>0</v>
      </c>
      <c r="P3192" s="3">
        <f>IFERROR(__xludf.DUMMYFUNCTION("""COMPUTED_VALUE"""),0.0)</f>
        <v>0</v>
      </c>
      <c r="Q3192" s="3">
        <f>IFERROR(__xludf.DUMMYFUNCTION("""COMPUTED_VALUE"""),0.0)</f>
        <v>0</v>
      </c>
      <c r="R3192" s="3" t="str">
        <f>IFERROR(__xludf.DUMMYFUNCTION("""COMPUTED_VALUE"""),"Small Format")</f>
        <v>Small Format</v>
      </c>
      <c r="S3192" s="3"/>
      <c r="T3192" s="3" t="str">
        <f>IFERROR(__xludf.DUMMYFUNCTION("""COMPUTED_VALUE"""),"#N/A")</f>
        <v>#N/A</v>
      </c>
      <c r="U3192" s="3" t="str">
        <f>IFERROR(__xludf.DUMMYFUNCTION("""COMPUTED_VALUE"""),"#N/A")</f>
        <v>#N/A</v>
      </c>
      <c r="V3192" s="3" t="str">
        <f>IFERROR(__xludf.DUMMYFUNCTION("""COMPUTED_VALUE"""),"#N/A")</f>
        <v>#N/A</v>
      </c>
      <c r="W3192" s="3">
        <f>IFERROR(__xludf.DUMMYFUNCTION("""COMPUTED_VALUE"""),0.0)</f>
        <v>0</v>
      </c>
      <c r="X3192" s="3">
        <f>IFERROR(__xludf.DUMMYFUNCTION("""COMPUTED_VALUE"""),0.0)</f>
        <v>0</v>
      </c>
      <c r="Y3192" s="3"/>
      <c r="Z3192" s="3"/>
      <c r="AA3192" s="3"/>
      <c r="AB3192" s="3"/>
      <c r="AC3192" s="3"/>
      <c r="AD3192" s="3"/>
      <c r="AE3192" s="3"/>
      <c r="AF3192" s="3" t="str">
        <f>IFERROR(__xludf.DUMMYFUNCTION("""COMPUTED_VALUE"""),"0-94102")</f>
        <v>0-94102</v>
      </c>
      <c r="AG3192" s="3">
        <f>IFERROR(__xludf.DUMMYFUNCTION("""COMPUTED_VALUE"""),0.0)</f>
        <v>0</v>
      </c>
      <c r="AH3192" s="3" t="str">
        <f>IFERROR(__xludf.DUMMYFUNCTION("""COMPUTED_VALUE"""),"#N/A")</f>
        <v>#N/A</v>
      </c>
      <c r="AI3192" s="3" t="str">
        <f>IFERROR(__xludf.DUMMYFUNCTION("""COMPUTED_VALUE"""),"Out of warranty")</f>
        <v>Out of warranty</v>
      </c>
      <c r="AJ3192" s="3">
        <f>IFERROR(__xludf.DUMMYFUNCTION("""COMPUTED_VALUE"""),1513.0)</f>
        <v>1513</v>
      </c>
      <c r="AK3192" s="3"/>
      <c r="AL3192" s="3"/>
    </row>
    <row r="3193" ht="15.75" customHeight="1">
      <c r="A3193" s="1" t="str">
        <f>IFERROR(__xludf.DUMMYFUNCTION("""COMPUTED_VALUE"""),"94201")</f>
        <v>94201</v>
      </c>
      <c r="B3193" s="2">
        <f>IFERROR(__xludf.DUMMYFUNCTION("""COMPUTED_VALUE"""),94201.0)</f>
        <v>94201</v>
      </c>
      <c r="C3193" s="3">
        <f>IFERROR(__xludf.DUMMYFUNCTION("""COMPUTED_VALUE"""),0.0)</f>
        <v>0</v>
      </c>
      <c r="D3193" s="3">
        <f>IFERROR(__xludf.DUMMYFUNCTION("""COMPUTED_VALUE"""),0.0)</f>
        <v>0</v>
      </c>
      <c r="E3193" s="1" t="str">
        <f>IFERROR(__xludf.DUMMYFUNCTION("""COMPUTED_VALUE"""),"0")</f>
        <v>0</v>
      </c>
      <c r="F3193" s="1" t="str">
        <f>IFERROR(__xludf.DUMMYFUNCTION("""COMPUTED_VALUE"""),"0")</f>
        <v>0</v>
      </c>
      <c r="G3193" s="1" t="str">
        <f>IFERROR(__xludf.DUMMYFUNCTION("""COMPUTED_VALUE"""),"0")</f>
        <v>0</v>
      </c>
      <c r="H3193" s="1" t="str">
        <f>IFERROR(__xludf.DUMMYFUNCTION("""COMPUTED_VALUE"""),"0")</f>
        <v>0</v>
      </c>
      <c r="I3193" s="1" t="str">
        <f>IFERROR(__xludf.DUMMYFUNCTION("""COMPUTED_VALUE"""),"0")</f>
        <v>0</v>
      </c>
      <c r="J3193" s="3">
        <f>IFERROR(__xludf.DUMMYFUNCTION("""COMPUTED_VALUE"""),0.0)</f>
        <v>0</v>
      </c>
      <c r="K3193" s="3">
        <f>IFERROR(__xludf.DUMMYFUNCTION("""COMPUTED_VALUE"""),0.0)</f>
        <v>0</v>
      </c>
      <c r="L3193" s="1" t="str">
        <f>IFERROR(__xludf.DUMMYFUNCTION("""COMPUTED_VALUE"""),"0")</f>
        <v>0</v>
      </c>
      <c r="M3193" s="1" t="str">
        <f>IFERROR(__xludf.DUMMYFUNCTION("""COMPUTED_VALUE"""),"0")</f>
        <v>0</v>
      </c>
      <c r="N3193" s="3">
        <f>IFERROR(__xludf.DUMMYFUNCTION("""COMPUTED_VALUE"""),0.0)</f>
        <v>0</v>
      </c>
      <c r="O3193" s="3">
        <f>IFERROR(__xludf.DUMMYFUNCTION("""COMPUTED_VALUE"""),0.0)</f>
        <v>0</v>
      </c>
      <c r="P3193" s="3">
        <f>IFERROR(__xludf.DUMMYFUNCTION("""COMPUTED_VALUE"""),0.0)</f>
        <v>0</v>
      </c>
      <c r="Q3193" s="3">
        <f>IFERROR(__xludf.DUMMYFUNCTION("""COMPUTED_VALUE"""),0.0)</f>
        <v>0</v>
      </c>
      <c r="R3193" s="3" t="str">
        <f>IFERROR(__xludf.DUMMYFUNCTION("""COMPUTED_VALUE"""),"Small Format")</f>
        <v>Small Format</v>
      </c>
      <c r="S3193" s="3"/>
      <c r="T3193" s="3" t="str">
        <f>IFERROR(__xludf.DUMMYFUNCTION("""COMPUTED_VALUE"""),"#N/A")</f>
        <v>#N/A</v>
      </c>
      <c r="U3193" s="3" t="str">
        <f>IFERROR(__xludf.DUMMYFUNCTION("""COMPUTED_VALUE"""),"#N/A")</f>
        <v>#N/A</v>
      </c>
      <c r="V3193" s="3" t="str">
        <f>IFERROR(__xludf.DUMMYFUNCTION("""COMPUTED_VALUE"""),"#N/A")</f>
        <v>#N/A</v>
      </c>
      <c r="W3193" s="3">
        <f>IFERROR(__xludf.DUMMYFUNCTION("""COMPUTED_VALUE"""),0.0)</f>
        <v>0</v>
      </c>
      <c r="X3193" s="3">
        <f>IFERROR(__xludf.DUMMYFUNCTION("""COMPUTED_VALUE"""),0.0)</f>
        <v>0</v>
      </c>
      <c r="Y3193" s="3"/>
      <c r="Z3193" s="3"/>
      <c r="AA3193" s="3"/>
      <c r="AB3193" s="3"/>
      <c r="AC3193" s="3"/>
      <c r="AD3193" s="3"/>
      <c r="AE3193" s="3"/>
      <c r="AF3193" s="3" t="str">
        <f>IFERROR(__xludf.DUMMYFUNCTION("""COMPUTED_VALUE"""),"0-94201")</f>
        <v>0-94201</v>
      </c>
      <c r="AG3193" s="3">
        <f>IFERROR(__xludf.DUMMYFUNCTION("""COMPUTED_VALUE"""),0.0)</f>
        <v>0</v>
      </c>
      <c r="AH3193" s="3" t="str">
        <f>IFERROR(__xludf.DUMMYFUNCTION("""COMPUTED_VALUE"""),"#N/A")</f>
        <v>#N/A</v>
      </c>
      <c r="AI3193" s="3" t="str">
        <f>IFERROR(__xludf.DUMMYFUNCTION("""COMPUTED_VALUE"""),"Out of warranty")</f>
        <v>Out of warranty</v>
      </c>
      <c r="AJ3193" s="3">
        <f>IFERROR(__xludf.DUMMYFUNCTION("""COMPUTED_VALUE"""),1513.0)</f>
        <v>1513</v>
      </c>
      <c r="AK3193" s="3"/>
      <c r="AL3193" s="3"/>
    </row>
    <row r="3194" ht="15.75" customHeight="1">
      <c r="A3194" s="1" t="str">
        <f>IFERROR(__xludf.DUMMYFUNCTION("""COMPUTED_VALUE"""),"DJ11304")</f>
        <v>DJ11304</v>
      </c>
      <c r="B3194" s="2" t="str">
        <f>IFERROR(__xludf.DUMMYFUNCTION("""COMPUTED_VALUE"""),"DJ11304")</f>
        <v>DJ11304</v>
      </c>
      <c r="C3194" s="3" t="str">
        <f>IFERROR(__xludf.DUMMYFUNCTION("""COMPUTED_VALUE"""),"ลุงเปีย")</f>
        <v>ลุงเปีย</v>
      </c>
      <c r="D3194" s="3" t="str">
        <f>IFERROR(__xludf.DUMMYFUNCTION("""COMPUTED_VALUE"""),"ลุงเปีย")</f>
        <v>ลุงเปีย</v>
      </c>
      <c r="E3194" s="1" t="str">
        <f>IFERROR(__xludf.DUMMYFUNCTION("""COMPUTED_VALUE"""),"Donjai")</f>
        <v>Donjai</v>
      </c>
      <c r="F3194" s="1" t="str">
        <f>IFERROR(__xludf.DUMMYFUNCTION("""COMPUTED_VALUE"""),"00510143")</f>
        <v>00510143</v>
      </c>
      <c r="G3194" s="1" t="str">
        <f>IFERROR(__xludf.DUMMYFUNCTION("""COMPUTED_VALUE"""),"นายธีระวัฒน์ บุญสิทธิ์")</f>
        <v>นายธีระวัฒน์ บุญสิทธิ์</v>
      </c>
      <c r="H3194" s="1" t="str">
        <f>IFERROR(__xludf.DUMMYFUNCTION("""COMPUTED_VALUE"""),"00510143")</f>
        <v>00510143</v>
      </c>
      <c r="I3194" s="1" t="str">
        <f>IFERROR(__xludf.DUMMYFUNCTION("""COMPUTED_VALUE"""),"นายธีระวัฒน์ บุญสิทธิ์")</f>
        <v>นายธีระวัฒน์ บุญสิทธิ์</v>
      </c>
      <c r="J3194" s="3">
        <f>IFERROR(__xludf.DUMMYFUNCTION("""COMPUTED_VALUE"""),228031.0)</f>
        <v>228031</v>
      </c>
      <c r="K3194" s="3" t="str">
        <f>IFERROR(__xludf.DUMMYFUNCTION("""COMPUTED_VALUE"""),"นายธนพงษ์ วันหมัด")</f>
        <v>นายธนพงษ์ วันหมัด</v>
      </c>
      <c r="L3194" s="1" t="str">
        <f>IFERROR(__xludf.DUMMYFUNCTION("""COMPUTED_VALUE"""),"นายธนพงษ์ วันหมัด")</f>
        <v>นายธนพงษ์ วันหมัด</v>
      </c>
      <c r="M3194" s="1" t="str">
        <f>IFERROR(__xludf.DUMMYFUNCTION("""COMPUTED_VALUE"""),"0813716913")</f>
        <v>0813716913</v>
      </c>
      <c r="N3194" s="3" t="str">
        <f>IFERROR(__xludf.DUMMYFUNCTION("""COMPUTED_VALUE"""),"DJ11304")</f>
        <v>DJ11304</v>
      </c>
      <c r="O3194" s="3" t="str">
        <f>IFERROR(__xludf.DUMMYFUNCTION("""COMPUTED_VALUE"""),"ลุงเปีย")</f>
        <v>ลุงเปีย</v>
      </c>
      <c r="P3194" s="4">
        <f>IFERROR(__xludf.DUMMYFUNCTION("""COMPUTED_VALUE"""),45429.0)</f>
        <v>45429</v>
      </c>
      <c r="Q3194" s="3" t="str">
        <f>IFERROR(__xludf.DUMMYFUNCTION("""COMPUTED_VALUE"""),"A")</f>
        <v>A</v>
      </c>
      <c r="R3194" s="3" t="str">
        <f>IFERROR(__xludf.DUMMYFUNCTION("""COMPUTED_VALUE"""),"Small Format")</f>
        <v>Small Format</v>
      </c>
      <c r="S3194" s="3" t="str">
        <f>IFERROR(__xludf.DUMMYFUNCTION("""COMPUTED_VALUE"""),"Donjai")</f>
        <v>Donjai</v>
      </c>
      <c r="T3194" s="3" t="str">
        <f>IFERROR(__xludf.DUMMYFUNCTION("""COMPUTED_VALUE"""),"12 K.Theerawat B.")</f>
        <v>12 K.Theerawat B.</v>
      </c>
      <c r="U3194" s="3" t="str">
        <f>IFERROR(__xludf.DUMMYFUNCTION("""COMPUTED_VALUE"""),"12 K.Theerawat B.")</f>
        <v>12 K.Theerawat B.</v>
      </c>
      <c r="V3194" s="3" t="str">
        <f>IFERROR(__xludf.DUMMYFUNCTION("""COMPUTED_VALUE"""),"N")</f>
        <v>N</v>
      </c>
      <c r="W3194" s="3"/>
      <c r="X3194" s="3" t="str">
        <f>IFERROR(__xludf.DUMMYFUNCTION("""COMPUTED_VALUE"""),"94 หมู่ที่10 ต.ท่าตูม อ.ศรีมหาโพธิ จ.ปราจีนบุรี")</f>
        <v>94 หมู่ที่10 ต.ท่าตูม อ.ศรีมหาโพธิ จ.ปราจีนบุรี</v>
      </c>
      <c r="Y3194" s="3"/>
      <c r="Z3194" s="3"/>
      <c r="AA3194" s="3"/>
      <c r="AB3194" s="3"/>
      <c r="AC3194" s="3"/>
      <c r="AD3194" s="3"/>
      <c r="AE3194" s="3"/>
      <c r="AF3194" s="3" t="str">
        <f>IFERROR(__xludf.DUMMYFUNCTION("""COMPUTED_VALUE"""),"ลุงเปีย-DJ11304")</f>
        <v>ลุงเปีย-DJ11304</v>
      </c>
      <c r="AG3194" s="3">
        <f>IFERROR(__xludf.DUMMYFUNCTION("""COMPUTED_VALUE"""),0.0)</f>
        <v>0</v>
      </c>
      <c r="AH3194" s="3" t="str">
        <f>IFERROR(__xludf.DUMMYFUNCTION("""COMPUTED_VALUE"""),"#N/A")</f>
        <v>#N/A</v>
      </c>
      <c r="AI3194" s="3" t="str">
        <f>IFERROR(__xludf.DUMMYFUNCTION("""COMPUTED_VALUE"""),"Out of warranty")</f>
        <v>Out of warranty</v>
      </c>
      <c r="AJ3194" s="3">
        <f>IFERROR(__xludf.DUMMYFUNCTION("""COMPUTED_VALUE"""),21.0)</f>
        <v>21</v>
      </c>
      <c r="AK3194" s="3"/>
      <c r="AL3194" s="3"/>
    </row>
    <row r="3195" ht="15.75" customHeight="1">
      <c r="A3195" s="1" t="str">
        <f>IFERROR(__xludf.DUMMYFUNCTION("""COMPUTED_VALUE"""),"DJ13667")</f>
        <v>DJ13667</v>
      </c>
      <c r="B3195" s="2" t="str">
        <f>IFERROR(__xludf.DUMMYFUNCTION("""COMPUTED_VALUE"""),"DJ13667")</f>
        <v>DJ13667</v>
      </c>
      <c r="C3195" s="3" t="str">
        <f>IFERROR(__xludf.DUMMYFUNCTION("""COMPUTED_VALUE"""),"กนกวรรณ")</f>
        <v>กนกวรรณ</v>
      </c>
      <c r="D3195" s="3" t="str">
        <f>IFERROR(__xludf.DUMMYFUNCTION("""COMPUTED_VALUE"""),"กนกวรรณ")</f>
        <v>กนกวรรณ</v>
      </c>
      <c r="E3195" s="1" t="str">
        <f>IFERROR(__xludf.DUMMYFUNCTION("""COMPUTED_VALUE"""),"Donjai")</f>
        <v>Donjai</v>
      </c>
      <c r="F3195" s="1" t="str">
        <f>IFERROR(__xludf.DUMMYFUNCTION("""COMPUTED_VALUE"""),"2454781")</f>
        <v>2454781</v>
      </c>
      <c r="G3195" s="1" t="str">
        <f>IFERROR(__xludf.DUMMYFUNCTION("""COMPUTED_VALUE"""),"นายฌานกฤช นันทะโคต")</f>
        <v>นายฌานกฤช นันทะโคต</v>
      </c>
      <c r="H3195" s="1" t="str">
        <f>IFERROR(__xludf.DUMMYFUNCTION("""COMPUTED_VALUE"""),"2454781")</f>
        <v>2454781</v>
      </c>
      <c r="I3195" s="1" t="str">
        <f>IFERROR(__xludf.DUMMYFUNCTION("""COMPUTED_VALUE"""),"นายฌานกฤช นันทะโคต")</f>
        <v>นายฌานกฤช นันทะโคต</v>
      </c>
      <c r="J3195" s="3">
        <f>IFERROR(__xludf.DUMMYFUNCTION("""COMPUTED_VALUE"""),295886.0)</f>
        <v>295886</v>
      </c>
      <c r="K3195" s="3" t="str">
        <f>IFERROR(__xludf.DUMMYFUNCTION("""COMPUTED_VALUE"""),"นายจิระพงษ์ โพธิ์นิล")</f>
        <v>นายจิระพงษ์ โพธิ์นิล</v>
      </c>
      <c r="L3195" s="1" t="str">
        <f>IFERROR(__xludf.DUMMYFUNCTION("""COMPUTED_VALUE"""),"นายจิระพงษ์ โพธิ์นิล")</f>
        <v>นายจิระพงษ์ โพธิ์นิล</v>
      </c>
      <c r="M3195" s="1" t="str">
        <f>IFERROR(__xludf.DUMMYFUNCTION("""COMPUTED_VALUE"""),"0933290754")</f>
        <v>0933290754</v>
      </c>
      <c r="N3195" s="3" t="str">
        <f>IFERROR(__xludf.DUMMYFUNCTION("""COMPUTED_VALUE"""),"DJ13667")</f>
        <v>DJ13667</v>
      </c>
      <c r="O3195" s="3" t="str">
        <f>IFERROR(__xludf.DUMMYFUNCTION("""COMPUTED_VALUE"""),"กนกวรรณ")</f>
        <v>กนกวรรณ</v>
      </c>
      <c r="P3195" s="4">
        <f>IFERROR(__xludf.DUMMYFUNCTION("""COMPUTED_VALUE"""),45385.0)</f>
        <v>45385</v>
      </c>
      <c r="Q3195" s="3" t="str">
        <f>IFERROR(__xludf.DUMMYFUNCTION("""COMPUTED_VALUE"""),"A")</f>
        <v>A</v>
      </c>
      <c r="R3195" s="3" t="str">
        <f>IFERROR(__xludf.DUMMYFUNCTION("""COMPUTED_VALUE"""),"Small Format")</f>
        <v>Small Format</v>
      </c>
      <c r="S3195" s="3" t="str">
        <f>IFERROR(__xludf.DUMMYFUNCTION("""COMPUTED_VALUE"""),"Donjai")</f>
        <v>Donjai</v>
      </c>
      <c r="T3195" s="3" t="str">
        <f>IFERROR(__xludf.DUMMYFUNCTION("""COMPUTED_VALUE"""),"05 K.Chanakrit N.")</f>
        <v>05 K.Chanakrit N.</v>
      </c>
      <c r="U3195" s="3" t="str">
        <f>IFERROR(__xludf.DUMMYFUNCTION("""COMPUTED_VALUE"""),"05 K.Chanakrit N.")</f>
        <v>05 K.Chanakrit N.</v>
      </c>
      <c r="V3195" s="3" t="str">
        <f>IFERROR(__xludf.DUMMYFUNCTION("""COMPUTED_VALUE"""),"N")</f>
        <v>N</v>
      </c>
      <c r="W3195" s="3"/>
      <c r="X3195" s="3" t="str">
        <f>IFERROR(__xludf.DUMMYFUNCTION("""COMPUTED_VALUE"""),"69 ม.2 ลมศักดิ์ ขุขันธ์ ศรีสะเกษ 33140")</f>
        <v>69 ม.2 ลมศักดิ์ ขุขันธ์ ศรีสะเกษ 33140</v>
      </c>
      <c r="Y3195" s="3"/>
      <c r="Z3195" s="3"/>
      <c r="AA3195" s="3"/>
      <c r="AB3195" s="3"/>
      <c r="AC3195" s="3"/>
      <c r="AD3195" s="3"/>
      <c r="AE3195" s="3"/>
      <c r="AF3195" s="3" t="str">
        <f>IFERROR(__xludf.DUMMYFUNCTION("""COMPUTED_VALUE"""),"กนกวรรณ-DJ13667")</f>
        <v>กนกวรรณ-DJ13667</v>
      </c>
      <c r="AG3195" s="3">
        <f>IFERROR(__xludf.DUMMYFUNCTION("""COMPUTED_VALUE"""),0.0)</f>
        <v>0</v>
      </c>
      <c r="AH3195" s="3" t="str">
        <f>IFERROR(__xludf.DUMMYFUNCTION("""COMPUTED_VALUE"""),"#N/A")</f>
        <v>#N/A</v>
      </c>
      <c r="AI3195" s="3" t="str">
        <f>IFERROR(__xludf.DUMMYFUNCTION("""COMPUTED_VALUE"""),"Out of warranty")</f>
        <v>Out of warranty</v>
      </c>
      <c r="AJ3195" s="3">
        <f>IFERROR(__xludf.DUMMYFUNCTION("""COMPUTED_VALUE"""),22.0)</f>
        <v>22</v>
      </c>
      <c r="AK3195" s="3"/>
      <c r="AL3195" s="3"/>
    </row>
    <row r="3196" ht="15.75" customHeight="1">
      <c r="A3196" s="1" t="str">
        <f>IFERROR(__xludf.DUMMYFUNCTION("""COMPUTED_VALUE"""),"DJ14566")</f>
        <v>DJ14566</v>
      </c>
      <c r="B3196" s="2" t="str">
        <f>IFERROR(__xludf.DUMMYFUNCTION("""COMPUTED_VALUE"""),"DJ14566")</f>
        <v>DJ14566</v>
      </c>
      <c r="C3196" s="3" t="str">
        <f>IFERROR(__xludf.DUMMYFUNCTION("""COMPUTED_VALUE"""),"ร้านนิชานันท์")</f>
        <v>ร้านนิชานันท์</v>
      </c>
      <c r="D3196" s="3" t="str">
        <f>IFERROR(__xludf.DUMMYFUNCTION("""COMPUTED_VALUE"""),"ร้านนิชานันท์")</f>
        <v>ร้านนิชานันท์</v>
      </c>
      <c r="E3196" s="1" t="str">
        <f>IFERROR(__xludf.DUMMYFUNCTION("""COMPUTED_VALUE"""),"Donjai")</f>
        <v>Donjai</v>
      </c>
      <c r="F3196" s="1" t="str">
        <f>IFERROR(__xludf.DUMMYFUNCTION("""COMPUTED_VALUE"""),"296868")</f>
        <v>296868</v>
      </c>
      <c r="G3196" s="1" t="str">
        <f>IFERROR(__xludf.DUMMYFUNCTION("""COMPUTED_VALUE"""),"นายพีระพงษ์ แก้วดวงดี")</f>
        <v>นายพีระพงษ์ แก้วดวงดี</v>
      </c>
      <c r="H3196" s="1" t="str">
        <f>IFERROR(__xludf.DUMMYFUNCTION("""COMPUTED_VALUE"""),"296868")</f>
        <v>296868</v>
      </c>
      <c r="I3196" s="1" t="str">
        <f>IFERROR(__xludf.DUMMYFUNCTION("""COMPUTED_VALUE"""),"นายพีระพงษ์ แก้วดวงดี")</f>
        <v>นายพีระพงษ์ แก้วดวงดี</v>
      </c>
      <c r="J3196" s="3">
        <f>IFERROR(__xludf.DUMMYFUNCTION("""COMPUTED_VALUE"""),295886.0)</f>
        <v>295886</v>
      </c>
      <c r="K3196" s="3" t="str">
        <f>IFERROR(__xludf.DUMMYFUNCTION("""COMPUTED_VALUE"""),"นายจิระพงษ์ โพธิ์นิล")</f>
        <v>นายจิระพงษ์ โพธิ์นิล</v>
      </c>
      <c r="L3196" s="1" t="str">
        <f>IFERROR(__xludf.DUMMYFUNCTION("""COMPUTED_VALUE"""),"นายจิระพงษ์ โพธิ์นิล")</f>
        <v>นายจิระพงษ์ โพธิ์นิล</v>
      </c>
      <c r="M3196" s="1" t="str">
        <f>IFERROR(__xludf.DUMMYFUNCTION("""COMPUTED_VALUE"""),"0933290754")</f>
        <v>0933290754</v>
      </c>
      <c r="N3196" s="3" t="str">
        <f>IFERROR(__xludf.DUMMYFUNCTION("""COMPUTED_VALUE"""),"DJ14566")</f>
        <v>DJ14566</v>
      </c>
      <c r="O3196" s="3" t="str">
        <f>IFERROR(__xludf.DUMMYFUNCTION("""COMPUTED_VALUE"""),"ร้านนิชานันท์")</f>
        <v>ร้านนิชานันท์</v>
      </c>
      <c r="P3196" s="4">
        <f>IFERROR(__xludf.DUMMYFUNCTION("""COMPUTED_VALUE"""),45524.0)</f>
        <v>45524</v>
      </c>
      <c r="Q3196" s="3" t="str">
        <f>IFERROR(__xludf.DUMMYFUNCTION("""COMPUTED_VALUE"""),"A")</f>
        <v>A</v>
      </c>
      <c r="R3196" s="3" t="str">
        <f>IFERROR(__xludf.DUMMYFUNCTION("""COMPUTED_VALUE"""),"Small Format")</f>
        <v>Small Format</v>
      </c>
      <c r="S3196" s="3" t="str">
        <f>IFERROR(__xludf.DUMMYFUNCTION("""COMPUTED_VALUE"""),"Donjai")</f>
        <v>Donjai</v>
      </c>
      <c r="T3196" s="3" t="str">
        <f>IFERROR(__xludf.DUMMYFUNCTION("""COMPUTED_VALUE"""),"03 K.Peerapong K.")</f>
        <v>03 K.Peerapong K.</v>
      </c>
      <c r="U3196" s="3" t="str">
        <f>IFERROR(__xludf.DUMMYFUNCTION("""COMPUTED_VALUE"""),"03 K.Peerapong K.")</f>
        <v>03 K.Peerapong K.</v>
      </c>
      <c r="V3196" s="3" t="str">
        <f>IFERROR(__xludf.DUMMYFUNCTION("""COMPUTED_VALUE"""),"N")</f>
        <v>N</v>
      </c>
      <c r="W3196" s="3"/>
      <c r="X3196" s="3" t="str">
        <f>IFERROR(__xludf.DUMMYFUNCTION("""COMPUTED_VALUE"""),"54 หมู่ 8 ทุ่งโป่ง อุบลรัตน์ ขอนแก่น")</f>
        <v>54 หมู่ 8 ทุ่งโป่ง อุบลรัตน์ ขอนแก่น</v>
      </c>
      <c r="Y3196" s="3"/>
      <c r="Z3196" s="3"/>
      <c r="AA3196" s="3"/>
      <c r="AB3196" s="3"/>
      <c r="AC3196" s="3"/>
      <c r="AD3196" s="3"/>
      <c r="AE3196" s="3"/>
      <c r="AF3196" s="3" t="str">
        <f>IFERROR(__xludf.DUMMYFUNCTION("""COMPUTED_VALUE"""),"ร้านนิชานันท์-DJ14566")</f>
        <v>ร้านนิชานันท์-DJ14566</v>
      </c>
      <c r="AG3196" s="3">
        <f>IFERROR(__xludf.DUMMYFUNCTION("""COMPUTED_VALUE"""),0.0)</f>
        <v>0</v>
      </c>
      <c r="AH3196" s="3" t="str">
        <f>IFERROR(__xludf.DUMMYFUNCTION("""COMPUTED_VALUE"""),"#N/A")</f>
        <v>#N/A</v>
      </c>
      <c r="AI3196" s="3" t="str">
        <f>IFERROR(__xludf.DUMMYFUNCTION("""COMPUTED_VALUE"""),"Out of warranty")</f>
        <v>Out of warranty</v>
      </c>
      <c r="AJ3196" s="3">
        <f>IFERROR(__xludf.DUMMYFUNCTION("""COMPUTED_VALUE"""),18.0)</f>
        <v>18</v>
      </c>
      <c r="AK3196" s="3"/>
      <c r="AL3196" s="3"/>
    </row>
    <row r="3197" ht="15.75" customHeight="1">
      <c r="A3197" s="1" t="str">
        <f>IFERROR(__xludf.DUMMYFUNCTION("""COMPUTED_VALUE"""),"DJ14707")</f>
        <v>DJ14707</v>
      </c>
      <c r="B3197" s="2" t="str">
        <f>IFERROR(__xludf.DUMMYFUNCTION("""COMPUTED_VALUE"""),"DJ14707")</f>
        <v>DJ14707</v>
      </c>
      <c r="C3197" s="3" t="str">
        <f>IFERROR(__xludf.DUMMYFUNCTION("""COMPUTED_VALUE"""),"ปนัดดา")</f>
        <v>ปนัดดา</v>
      </c>
      <c r="D3197" s="3" t="str">
        <f>IFERROR(__xludf.DUMMYFUNCTION("""COMPUTED_VALUE"""),"ปนัดดา")</f>
        <v>ปนัดดา</v>
      </c>
      <c r="E3197" s="1" t="str">
        <f>IFERROR(__xludf.DUMMYFUNCTION("""COMPUTED_VALUE"""),"Donjai")</f>
        <v>Donjai</v>
      </c>
      <c r="F3197" s="1" t="str">
        <f>IFERROR(__xludf.DUMMYFUNCTION("""COMPUTED_VALUE"""),"00510143")</f>
        <v>00510143</v>
      </c>
      <c r="G3197" s="1" t="str">
        <f>IFERROR(__xludf.DUMMYFUNCTION("""COMPUTED_VALUE"""),"นายธีระวัฒน์ บุญสิทธิ์")</f>
        <v>นายธีระวัฒน์ บุญสิทธิ์</v>
      </c>
      <c r="H3197" s="1" t="str">
        <f>IFERROR(__xludf.DUMMYFUNCTION("""COMPUTED_VALUE"""),"00510143")</f>
        <v>00510143</v>
      </c>
      <c r="I3197" s="1" t="str">
        <f>IFERROR(__xludf.DUMMYFUNCTION("""COMPUTED_VALUE"""),"นายธีระวัฒน์ บุญสิทธิ์")</f>
        <v>นายธีระวัฒน์ บุญสิทธิ์</v>
      </c>
      <c r="J3197" s="3">
        <f>IFERROR(__xludf.DUMMYFUNCTION("""COMPUTED_VALUE"""),228031.0)</f>
        <v>228031</v>
      </c>
      <c r="K3197" s="3" t="str">
        <f>IFERROR(__xludf.DUMMYFUNCTION("""COMPUTED_VALUE"""),"นายธนพงษ์ วันหมัด")</f>
        <v>นายธนพงษ์ วันหมัด</v>
      </c>
      <c r="L3197" s="1" t="str">
        <f>IFERROR(__xludf.DUMMYFUNCTION("""COMPUTED_VALUE"""),"นายธนพงษ์ วันหมัด")</f>
        <v>นายธนพงษ์ วันหมัด</v>
      </c>
      <c r="M3197" s="1" t="str">
        <f>IFERROR(__xludf.DUMMYFUNCTION("""COMPUTED_VALUE"""),"0813716913")</f>
        <v>0813716913</v>
      </c>
      <c r="N3197" s="3" t="str">
        <f>IFERROR(__xludf.DUMMYFUNCTION("""COMPUTED_VALUE"""),"DJ14707")</f>
        <v>DJ14707</v>
      </c>
      <c r="O3197" s="3" t="str">
        <f>IFERROR(__xludf.DUMMYFUNCTION("""COMPUTED_VALUE"""),"ปนัดดา")</f>
        <v>ปนัดดา</v>
      </c>
      <c r="P3197" s="4">
        <f>IFERROR(__xludf.DUMMYFUNCTION("""COMPUTED_VALUE"""),45429.0)</f>
        <v>45429</v>
      </c>
      <c r="Q3197" s="3" t="str">
        <f>IFERROR(__xludf.DUMMYFUNCTION("""COMPUTED_VALUE"""),"A")</f>
        <v>A</v>
      </c>
      <c r="R3197" s="3" t="str">
        <f>IFERROR(__xludf.DUMMYFUNCTION("""COMPUTED_VALUE"""),"Small Format")</f>
        <v>Small Format</v>
      </c>
      <c r="S3197" s="3" t="str">
        <f>IFERROR(__xludf.DUMMYFUNCTION("""COMPUTED_VALUE"""),"Donjai")</f>
        <v>Donjai</v>
      </c>
      <c r="T3197" s="3" t="str">
        <f>IFERROR(__xludf.DUMMYFUNCTION("""COMPUTED_VALUE"""),"12 K.Theerawat B.")</f>
        <v>12 K.Theerawat B.</v>
      </c>
      <c r="U3197" s="3" t="str">
        <f>IFERROR(__xludf.DUMMYFUNCTION("""COMPUTED_VALUE"""),"12 K.Theerawat B.")</f>
        <v>12 K.Theerawat B.</v>
      </c>
      <c r="V3197" s="3" t="str">
        <f>IFERROR(__xludf.DUMMYFUNCTION("""COMPUTED_VALUE"""),"N")</f>
        <v>N</v>
      </c>
      <c r="W3197" s="3"/>
      <c r="X3197" s="3" t="str">
        <f>IFERROR(__xludf.DUMMYFUNCTION("""COMPUTED_VALUE"""),"239/1 หมู่ที่ 5 ต.โคกไทย อ.ศรีมโหสถ จ.ปราจีนบุรี")</f>
        <v>239/1 หมู่ที่ 5 ต.โคกไทย อ.ศรีมโหสถ จ.ปราจีนบุรี</v>
      </c>
      <c r="Y3197" s="3"/>
      <c r="Z3197" s="3"/>
      <c r="AA3197" s="3"/>
      <c r="AB3197" s="3"/>
      <c r="AC3197" s="3"/>
      <c r="AD3197" s="3"/>
      <c r="AE3197" s="3"/>
      <c r="AF3197" s="3" t="str">
        <f>IFERROR(__xludf.DUMMYFUNCTION("""COMPUTED_VALUE"""),"ปนัดดา-DJ14707")</f>
        <v>ปนัดดา-DJ14707</v>
      </c>
      <c r="AG3197" s="3">
        <f>IFERROR(__xludf.DUMMYFUNCTION("""COMPUTED_VALUE"""),0.0)</f>
        <v>0</v>
      </c>
      <c r="AH3197" s="3" t="str">
        <f>IFERROR(__xludf.DUMMYFUNCTION("""COMPUTED_VALUE"""),"#N/A")</f>
        <v>#N/A</v>
      </c>
      <c r="AI3197" s="3" t="str">
        <f>IFERROR(__xludf.DUMMYFUNCTION("""COMPUTED_VALUE"""),"Out of warranty")</f>
        <v>Out of warranty</v>
      </c>
      <c r="AJ3197" s="3">
        <f>IFERROR(__xludf.DUMMYFUNCTION("""COMPUTED_VALUE"""),21.0)</f>
        <v>21</v>
      </c>
      <c r="AK3197" s="3"/>
      <c r="AL3197" s="3"/>
    </row>
    <row r="3198" ht="15.75" customHeight="1">
      <c r="A3198" s="1" t="str">
        <f>IFERROR(__xludf.DUMMYFUNCTION("""COMPUTED_VALUE"""),"DJ14847")</f>
        <v>DJ14847</v>
      </c>
      <c r="B3198" s="2" t="str">
        <f>IFERROR(__xludf.DUMMYFUNCTION("""COMPUTED_VALUE"""),"DJ14847")</f>
        <v>DJ14847</v>
      </c>
      <c r="C3198" s="3" t="str">
        <f>IFERROR(__xludf.DUMMYFUNCTION("""COMPUTED_VALUE"""),"ร้านพีเคเจริญทรัพย์")</f>
        <v>ร้านพีเคเจริญทรัพย์</v>
      </c>
      <c r="D3198" s="3" t="str">
        <f>IFERROR(__xludf.DUMMYFUNCTION("""COMPUTED_VALUE"""),"ร้านพีเคเจริญทรัพย์")</f>
        <v>ร้านพีเคเจริญทรัพย์</v>
      </c>
      <c r="E3198" s="1" t="str">
        <f>IFERROR(__xludf.DUMMYFUNCTION("""COMPUTED_VALUE"""),"Donjai")</f>
        <v>Donjai</v>
      </c>
      <c r="F3198" s="1" t="str">
        <f>IFERROR(__xludf.DUMMYFUNCTION("""COMPUTED_VALUE"""),"296868")</f>
        <v>296868</v>
      </c>
      <c r="G3198" s="1" t="str">
        <f>IFERROR(__xludf.DUMMYFUNCTION("""COMPUTED_VALUE"""),"นายพีระพงษ์ แก้วดวงดี")</f>
        <v>นายพีระพงษ์ แก้วดวงดี</v>
      </c>
      <c r="H3198" s="1" t="str">
        <f>IFERROR(__xludf.DUMMYFUNCTION("""COMPUTED_VALUE"""),"296868")</f>
        <v>296868</v>
      </c>
      <c r="I3198" s="1" t="str">
        <f>IFERROR(__xludf.DUMMYFUNCTION("""COMPUTED_VALUE"""),"นายพีระพงษ์ แก้วดวงดี")</f>
        <v>นายพีระพงษ์ แก้วดวงดี</v>
      </c>
      <c r="J3198" s="3">
        <f>IFERROR(__xludf.DUMMYFUNCTION("""COMPUTED_VALUE"""),295886.0)</f>
        <v>295886</v>
      </c>
      <c r="K3198" s="3" t="str">
        <f>IFERROR(__xludf.DUMMYFUNCTION("""COMPUTED_VALUE"""),"นายจิระพงษ์ โพธิ์นิล")</f>
        <v>นายจิระพงษ์ โพธิ์นิล</v>
      </c>
      <c r="L3198" s="1" t="str">
        <f>IFERROR(__xludf.DUMMYFUNCTION("""COMPUTED_VALUE"""),"นายจิระพงษ์ โพธิ์นิล")</f>
        <v>นายจิระพงษ์ โพธิ์นิล</v>
      </c>
      <c r="M3198" s="1" t="str">
        <f>IFERROR(__xludf.DUMMYFUNCTION("""COMPUTED_VALUE"""),"0933290754")</f>
        <v>0933290754</v>
      </c>
      <c r="N3198" s="3" t="str">
        <f>IFERROR(__xludf.DUMMYFUNCTION("""COMPUTED_VALUE"""),"DJ14847")</f>
        <v>DJ14847</v>
      </c>
      <c r="O3198" s="3" t="str">
        <f>IFERROR(__xludf.DUMMYFUNCTION("""COMPUTED_VALUE"""),"ร้านพีเคเจริญทรัพย์")</f>
        <v>ร้านพีเคเจริญทรัพย์</v>
      </c>
      <c r="P3198" s="4">
        <f>IFERROR(__xludf.DUMMYFUNCTION("""COMPUTED_VALUE"""),45536.0)</f>
        <v>45536</v>
      </c>
      <c r="Q3198" s="3" t="str">
        <f>IFERROR(__xludf.DUMMYFUNCTION("""COMPUTED_VALUE"""),"A")</f>
        <v>A</v>
      </c>
      <c r="R3198" s="3" t="str">
        <f>IFERROR(__xludf.DUMMYFUNCTION("""COMPUTED_VALUE"""),"Small Format")</f>
        <v>Small Format</v>
      </c>
      <c r="S3198" s="3" t="str">
        <f>IFERROR(__xludf.DUMMYFUNCTION("""COMPUTED_VALUE"""),"Donjai")</f>
        <v>Donjai</v>
      </c>
      <c r="T3198" s="3" t="str">
        <f>IFERROR(__xludf.DUMMYFUNCTION("""COMPUTED_VALUE"""),"03 K.Peerapong K.")</f>
        <v>03 K.Peerapong K.</v>
      </c>
      <c r="U3198" s="3" t="str">
        <f>IFERROR(__xludf.DUMMYFUNCTION("""COMPUTED_VALUE"""),"03 K.Peerapong K.")</f>
        <v>03 K.Peerapong K.</v>
      </c>
      <c r="V3198" s="3" t="str">
        <f>IFERROR(__xludf.DUMMYFUNCTION("""COMPUTED_VALUE"""),"N")</f>
        <v>N</v>
      </c>
      <c r="W3198" s="3"/>
      <c r="X3198" s="3" t="str">
        <f>IFERROR(__xludf.DUMMYFUNCTION("""COMPUTED_VALUE"""),"เลขที่125/21 หมู่ที่3 ต.หนองบัว อ.เมืองอุดรธานี จ.อุดรธานี 41000 หนองบัว เมือง อุดรธานี 41000")</f>
        <v>เลขที่125/21 หมู่ที่3 ต.หนองบัว อ.เมืองอุดรธานี จ.อุดรธานี 41000 หนองบัว เมือง อุดรธานี 41000</v>
      </c>
      <c r="Y3198" s="3"/>
      <c r="Z3198" s="3"/>
      <c r="AA3198" s="3"/>
      <c r="AB3198" s="3"/>
      <c r="AC3198" s="3"/>
      <c r="AD3198" s="3"/>
      <c r="AE3198" s="3"/>
      <c r="AF3198" s="3" t="str">
        <f>IFERROR(__xludf.DUMMYFUNCTION("""COMPUTED_VALUE"""),"ร้านพีเคเจริญทรัพย์-DJ14847")</f>
        <v>ร้านพีเคเจริญทรัพย์-DJ14847</v>
      </c>
      <c r="AG3198" s="3">
        <f>IFERROR(__xludf.DUMMYFUNCTION("""COMPUTED_VALUE"""),0.0)</f>
        <v>0</v>
      </c>
      <c r="AH3198" s="3" t="str">
        <f>IFERROR(__xludf.DUMMYFUNCTION("""COMPUTED_VALUE"""),"#N/A")</f>
        <v>#N/A</v>
      </c>
      <c r="AI3198" s="3" t="str">
        <f>IFERROR(__xludf.DUMMYFUNCTION("""COMPUTED_VALUE"""),"Out of warranty")</f>
        <v>Out of warranty</v>
      </c>
      <c r="AJ3198" s="3">
        <f>IFERROR(__xludf.DUMMYFUNCTION("""COMPUTED_VALUE"""),17.0)</f>
        <v>17</v>
      </c>
      <c r="AK3198" s="3"/>
      <c r="AL3198" s="3"/>
    </row>
    <row r="3199" ht="15.75" customHeight="1">
      <c r="A3199" s="1" t="str">
        <f>IFERROR(__xludf.DUMMYFUNCTION("""COMPUTED_VALUE"""),"DJ14999")</f>
        <v>DJ14999</v>
      </c>
      <c r="B3199" s="2" t="str">
        <f>IFERROR(__xludf.DUMMYFUNCTION("""COMPUTED_VALUE"""),"DJ14999")</f>
        <v>DJ14999</v>
      </c>
      <c r="C3199" s="3" t="str">
        <f>IFERROR(__xludf.DUMMYFUNCTION("""COMPUTED_VALUE"""),"ร้านสอนธนามินิมาร์ท")</f>
        <v>ร้านสอนธนามินิมาร์ท</v>
      </c>
      <c r="D3199" s="3" t="str">
        <f>IFERROR(__xludf.DUMMYFUNCTION("""COMPUTED_VALUE"""),"ร้านสอนธนามินิมาร์ท")</f>
        <v>ร้านสอนธนามินิมาร์ท</v>
      </c>
      <c r="E3199" s="1" t="str">
        <f>IFERROR(__xludf.DUMMYFUNCTION("""COMPUTED_VALUE"""),"Donjai")</f>
        <v>Donjai</v>
      </c>
      <c r="F3199" s="1" t="str">
        <f>IFERROR(__xludf.DUMMYFUNCTION("""COMPUTED_VALUE"""),"2454781")</f>
        <v>2454781</v>
      </c>
      <c r="G3199" s="1" t="str">
        <f>IFERROR(__xludf.DUMMYFUNCTION("""COMPUTED_VALUE"""),"นายฌานกฤช นันทะโคต")</f>
        <v>นายฌานกฤช นันทะโคต</v>
      </c>
      <c r="H3199" s="1" t="str">
        <f>IFERROR(__xludf.DUMMYFUNCTION("""COMPUTED_VALUE"""),"2454781")</f>
        <v>2454781</v>
      </c>
      <c r="I3199" s="1" t="str">
        <f>IFERROR(__xludf.DUMMYFUNCTION("""COMPUTED_VALUE"""),"นายฌานกฤช นันทะโคต")</f>
        <v>นายฌานกฤช นันทะโคต</v>
      </c>
      <c r="J3199" s="3">
        <f>IFERROR(__xludf.DUMMYFUNCTION("""COMPUTED_VALUE"""),295886.0)</f>
        <v>295886</v>
      </c>
      <c r="K3199" s="3" t="str">
        <f>IFERROR(__xludf.DUMMYFUNCTION("""COMPUTED_VALUE"""),"นายจิระพงษ์ โพธิ์นิล")</f>
        <v>นายจิระพงษ์ โพธิ์นิล</v>
      </c>
      <c r="L3199" s="1" t="str">
        <f>IFERROR(__xludf.DUMMYFUNCTION("""COMPUTED_VALUE"""),"นายจิระพงษ์ โพธิ์นิล")</f>
        <v>นายจิระพงษ์ โพธิ์นิล</v>
      </c>
      <c r="M3199" s="1" t="str">
        <f>IFERROR(__xludf.DUMMYFUNCTION("""COMPUTED_VALUE"""),"0933290754")</f>
        <v>0933290754</v>
      </c>
      <c r="N3199" s="3" t="str">
        <f>IFERROR(__xludf.DUMMYFUNCTION("""COMPUTED_VALUE"""),"DJ14999")</f>
        <v>DJ14999</v>
      </c>
      <c r="O3199" s="3" t="str">
        <f>IFERROR(__xludf.DUMMYFUNCTION("""COMPUTED_VALUE"""),"ร้านสอนธนามินิมาร์ท")</f>
        <v>ร้านสอนธนามินิมาร์ท</v>
      </c>
      <c r="P3199" s="4">
        <f>IFERROR(__xludf.DUMMYFUNCTION("""COMPUTED_VALUE"""),45399.0)</f>
        <v>45399</v>
      </c>
      <c r="Q3199" s="3" t="str">
        <f>IFERROR(__xludf.DUMMYFUNCTION("""COMPUTED_VALUE"""),"A")</f>
        <v>A</v>
      </c>
      <c r="R3199" s="3" t="str">
        <f>IFERROR(__xludf.DUMMYFUNCTION("""COMPUTED_VALUE"""),"Small Format")</f>
        <v>Small Format</v>
      </c>
      <c r="S3199" s="3" t="str">
        <f>IFERROR(__xludf.DUMMYFUNCTION("""COMPUTED_VALUE"""),"Donjai")</f>
        <v>Donjai</v>
      </c>
      <c r="T3199" s="3" t="str">
        <f>IFERROR(__xludf.DUMMYFUNCTION("""COMPUTED_VALUE"""),"05 K.Chanakrit N.")</f>
        <v>05 K.Chanakrit N.</v>
      </c>
      <c r="U3199" s="3" t="str">
        <f>IFERROR(__xludf.DUMMYFUNCTION("""COMPUTED_VALUE"""),"05 K.Chanakrit N.")</f>
        <v>05 K.Chanakrit N.</v>
      </c>
      <c r="V3199" s="3" t="str">
        <f>IFERROR(__xludf.DUMMYFUNCTION("""COMPUTED_VALUE"""),"N")</f>
        <v>N</v>
      </c>
      <c r="W3199" s="3"/>
      <c r="X3199" s="3" t="str">
        <f>IFERROR(__xludf.DUMMYFUNCTION("""COMPUTED_VALUE"""),"77/4 ดูน กันทรารมณ์ ศรีสะเกษ")</f>
        <v>77/4 ดูน กันทรารมณ์ ศรีสะเกษ</v>
      </c>
      <c r="Y3199" s="3"/>
      <c r="Z3199" s="3"/>
      <c r="AA3199" s="3"/>
      <c r="AB3199" s="3"/>
      <c r="AC3199" s="3"/>
      <c r="AD3199" s="3"/>
      <c r="AE3199" s="3"/>
      <c r="AF3199" s="3" t="str">
        <f>IFERROR(__xludf.DUMMYFUNCTION("""COMPUTED_VALUE"""),"ร้านสอนธนามินิมาร์ท-DJ14999")</f>
        <v>ร้านสอนธนามินิมาร์ท-DJ14999</v>
      </c>
      <c r="AG3199" s="3">
        <f>IFERROR(__xludf.DUMMYFUNCTION("""COMPUTED_VALUE"""),0.0)</f>
        <v>0</v>
      </c>
      <c r="AH3199" s="3" t="str">
        <f>IFERROR(__xludf.DUMMYFUNCTION("""COMPUTED_VALUE"""),"#N/A")</f>
        <v>#N/A</v>
      </c>
      <c r="AI3199" s="3" t="str">
        <f>IFERROR(__xludf.DUMMYFUNCTION("""COMPUTED_VALUE"""),"Out of warranty")</f>
        <v>Out of warranty</v>
      </c>
      <c r="AJ3199" s="3">
        <f>IFERROR(__xludf.DUMMYFUNCTION("""COMPUTED_VALUE"""),22.0)</f>
        <v>22</v>
      </c>
      <c r="AK3199" s="3"/>
      <c r="AL3199" s="3"/>
    </row>
    <row r="3200" ht="15.75" customHeight="1">
      <c r="A3200" s="1" t="str">
        <f>IFERROR(__xludf.DUMMYFUNCTION("""COMPUTED_VALUE"""),"DJ15445")</f>
        <v>DJ15445</v>
      </c>
      <c r="B3200" s="2" t="str">
        <f>IFERROR(__xludf.DUMMYFUNCTION("""COMPUTED_VALUE"""),"DJ15445")</f>
        <v>DJ15445</v>
      </c>
      <c r="C3200" s="3" t="str">
        <f>IFERROR(__xludf.DUMMYFUNCTION("""COMPUTED_VALUE"""),"เวลโกรวิกล๊าส อินดัสทรี")</f>
        <v>เวลโกรวิกล๊าส อินดัสทรี</v>
      </c>
      <c r="D3200" s="3" t="str">
        <f>IFERROR(__xludf.DUMMYFUNCTION("""COMPUTED_VALUE"""),"เวลโกรวิกล๊าส อินดัสทรี")</f>
        <v>เวลโกรวิกล๊าส อินดัสทรี</v>
      </c>
      <c r="E3200" s="1" t="str">
        <f>IFERROR(__xludf.DUMMYFUNCTION("""COMPUTED_VALUE"""),"Donjai")</f>
        <v>Donjai</v>
      </c>
      <c r="F3200" s="1" t="str">
        <f>IFERROR(__xludf.DUMMYFUNCTION("""COMPUTED_VALUE"""),"2452378")</f>
        <v>2452378</v>
      </c>
      <c r="G3200" s="1" t="str">
        <f>IFERROR(__xludf.DUMMYFUNCTION("""COMPUTED_VALUE"""),"นายศักดิ์ดา พวงประดับ")</f>
        <v>นายศักดิ์ดา พวงประดับ</v>
      </c>
      <c r="H3200" s="1" t="str">
        <f>IFERROR(__xludf.DUMMYFUNCTION("""COMPUTED_VALUE"""),"2452378")</f>
        <v>2452378</v>
      </c>
      <c r="I3200" s="1" t="str">
        <f>IFERROR(__xludf.DUMMYFUNCTION("""COMPUTED_VALUE"""),"นายศักดิ์ดา พวงประดับ")</f>
        <v>นายศักดิ์ดา พวงประดับ</v>
      </c>
      <c r="J3200" s="3">
        <f>IFERROR(__xludf.DUMMYFUNCTION("""COMPUTED_VALUE"""),228031.0)</f>
        <v>228031</v>
      </c>
      <c r="K3200" s="3" t="str">
        <f>IFERROR(__xludf.DUMMYFUNCTION("""COMPUTED_VALUE"""),"นายธนพงษ์ วันหมัด")</f>
        <v>นายธนพงษ์ วันหมัด</v>
      </c>
      <c r="L3200" s="1" t="str">
        <f>IFERROR(__xludf.DUMMYFUNCTION("""COMPUTED_VALUE"""),"นายธนพงษ์ วันหมัด")</f>
        <v>นายธนพงษ์ วันหมัด</v>
      </c>
      <c r="M3200" s="1" t="str">
        <f>IFERROR(__xludf.DUMMYFUNCTION("""COMPUTED_VALUE"""),"0813716913")</f>
        <v>0813716913</v>
      </c>
      <c r="N3200" s="3" t="str">
        <f>IFERROR(__xludf.DUMMYFUNCTION("""COMPUTED_VALUE"""),"DJ15445")</f>
        <v>DJ15445</v>
      </c>
      <c r="O3200" s="3" t="str">
        <f>IFERROR(__xludf.DUMMYFUNCTION("""COMPUTED_VALUE"""),"เวลโกรวิกล๊าส อินดัสทรี")</f>
        <v>เวลโกรวิกล๊าส อินดัสทรี</v>
      </c>
      <c r="P3200" s="4">
        <f>IFERROR(__xludf.DUMMYFUNCTION("""COMPUTED_VALUE"""),45464.0)</f>
        <v>45464</v>
      </c>
      <c r="Q3200" s="3" t="str">
        <f>IFERROR(__xludf.DUMMYFUNCTION("""COMPUTED_VALUE"""),"A")</f>
        <v>A</v>
      </c>
      <c r="R3200" s="3" t="str">
        <f>IFERROR(__xludf.DUMMYFUNCTION("""COMPUTED_VALUE"""),"Small Format")</f>
        <v>Small Format</v>
      </c>
      <c r="S3200" s="3" t="str">
        <f>IFERROR(__xludf.DUMMYFUNCTION("""COMPUTED_VALUE"""),"Donjai")</f>
        <v>Donjai</v>
      </c>
      <c r="T3200" s="3" t="str">
        <f>IFERROR(__xludf.DUMMYFUNCTION("""COMPUTED_VALUE"""),"11 K.Sakda P.")</f>
        <v>11 K.Sakda P.</v>
      </c>
      <c r="U3200" s="3" t="str">
        <f>IFERROR(__xludf.DUMMYFUNCTION("""COMPUTED_VALUE"""),"11 K.Sakda P.")</f>
        <v>11 K.Sakda P.</v>
      </c>
      <c r="V3200" s="3" t="str">
        <f>IFERROR(__xludf.DUMMYFUNCTION("""COMPUTED_VALUE"""),"N")</f>
        <v>N</v>
      </c>
      <c r="W3200" s="3"/>
      <c r="X3200" s="3" t="str">
        <f>IFERROR(__xludf.DUMMYFUNCTION("""COMPUTED_VALUE"""),"เวลโกร์วกล๊าส อินดัสทรีจำกัด 36 ม.2 ต.พิมพา อ.บางปะกง จ.ฉะเชิงเทรา 24180")</f>
        <v>เวลโกร์วกล๊าส อินดัสทรีจำกัด 36 ม.2 ต.พิมพา อ.บางปะกง จ.ฉะเชิงเทรา 24180</v>
      </c>
      <c r="Y3200" s="3"/>
      <c r="Z3200" s="3"/>
      <c r="AA3200" s="3"/>
      <c r="AB3200" s="3"/>
      <c r="AC3200" s="3"/>
      <c r="AD3200" s="3"/>
      <c r="AE3200" s="3"/>
      <c r="AF3200" s="3" t="str">
        <f>IFERROR(__xludf.DUMMYFUNCTION("""COMPUTED_VALUE"""),"เวลโกรวิกล๊าส อินดัสทรี-DJ15445")</f>
        <v>เวลโกรวิกล๊าส อินดัสทรี-DJ15445</v>
      </c>
      <c r="AG3200" s="3">
        <f>IFERROR(__xludf.DUMMYFUNCTION("""COMPUTED_VALUE"""),0.0)</f>
        <v>0</v>
      </c>
      <c r="AH3200" s="3" t="str">
        <f>IFERROR(__xludf.DUMMYFUNCTION("""COMPUTED_VALUE"""),"#N/A")</f>
        <v>#N/A</v>
      </c>
      <c r="AI3200" s="3" t="str">
        <f>IFERROR(__xludf.DUMMYFUNCTION("""COMPUTED_VALUE"""),"Out of warranty")</f>
        <v>Out of warranty</v>
      </c>
      <c r="AJ3200" s="3">
        <f>IFERROR(__xludf.DUMMYFUNCTION("""COMPUTED_VALUE"""),19.0)</f>
        <v>19</v>
      </c>
      <c r="AK3200" s="3"/>
      <c r="AL3200" s="3"/>
    </row>
    <row r="3201" ht="15.75" customHeight="1">
      <c r="A3201" s="1" t="str">
        <f>IFERROR(__xludf.DUMMYFUNCTION("""COMPUTED_VALUE"""),"DJ15485")</f>
        <v>DJ15485</v>
      </c>
      <c r="B3201" s="2" t="str">
        <f>IFERROR(__xludf.DUMMYFUNCTION("""COMPUTED_VALUE"""),"DJ15485")</f>
        <v>DJ15485</v>
      </c>
      <c r="C3201" s="3" t="str">
        <f>IFERROR(__xludf.DUMMYFUNCTION("""COMPUTED_VALUE"""),"ร้านพรวิจิตร ทุกอย่าง 20 บาท")</f>
        <v>ร้านพรวิจิตร ทุกอย่าง 20 บาท</v>
      </c>
      <c r="D3201" s="3" t="str">
        <f>IFERROR(__xludf.DUMMYFUNCTION("""COMPUTED_VALUE"""),"ร้านพรวิจิตร ทุกอย่าง 20 บาท")</f>
        <v>ร้านพรวิจิตร ทุกอย่าง 20 บาท</v>
      </c>
      <c r="E3201" s="1" t="str">
        <f>IFERROR(__xludf.DUMMYFUNCTION("""COMPUTED_VALUE"""),"Donjai")</f>
        <v>Donjai</v>
      </c>
      <c r="F3201" s="1" t="str">
        <f>IFERROR(__xludf.DUMMYFUNCTION("""COMPUTED_VALUE"""),"015361")</f>
        <v>015361</v>
      </c>
      <c r="G3201" s="1" t="str">
        <f>IFERROR(__xludf.DUMMYFUNCTION("""COMPUTED_VALUE"""),"นายสมบูรณ์ พรหมในเมือง")</f>
        <v>นายสมบูรณ์ พรหมในเมือง</v>
      </c>
      <c r="H3201" s="1" t="str">
        <f>IFERROR(__xludf.DUMMYFUNCTION("""COMPUTED_VALUE"""),"015361")</f>
        <v>015361</v>
      </c>
      <c r="I3201" s="1" t="str">
        <f>IFERROR(__xludf.DUMMYFUNCTION("""COMPUTED_VALUE"""),"นายสมบูรณ์ พรหมในเมือง")</f>
        <v>นายสมบูรณ์ พรหมในเมือง</v>
      </c>
      <c r="J3201" s="3">
        <f>IFERROR(__xludf.DUMMYFUNCTION("""COMPUTED_VALUE"""),295886.0)</f>
        <v>295886</v>
      </c>
      <c r="K3201" s="3" t="str">
        <f>IFERROR(__xludf.DUMMYFUNCTION("""COMPUTED_VALUE"""),"นายจิระพงษ์ โพธิ์นิล")</f>
        <v>นายจิระพงษ์ โพธิ์นิล</v>
      </c>
      <c r="L3201" s="1" t="str">
        <f>IFERROR(__xludf.DUMMYFUNCTION("""COMPUTED_VALUE"""),"นายจิระพงษ์ โพธิ์นิล")</f>
        <v>นายจิระพงษ์ โพธิ์นิล</v>
      </c>
      <c r="M3201" s="1" t="str">
        <f>IFERROR(__xludf.DUMMYFUNCTION("""COMPUTED_VALUE"""),"0933290754")</f>
        <v>0933290754</v>
      </c>
      <c r="N3201" s="3" t="str">
        <f>IFERROR(__xludf.DUMMYFUNCTION("""COMPUTED_VALUE"""),"DJ15485")</f>
        <v>DJ15485</v>
      </c>
      <c r="O3201" s="3" t="str">
        <f>IFERROR(__xludf.DUMMYFUNCTION("""COMPUTED_VALUE"""),"ร้านพรวิจิตร ทุกอย่าง 20 บาท")</f>
        <v>ร้านพรวิจิตร ทุกอย่าง 20 บาท</v>
      </c>
      <c r="P3201" s="4">
        <f>IFERROR(__xludf.DUMMYFUNCTION("""COMPUTED_VALUE"""),45460.0)</f>
        <v>45460</v>
      </c>
      <c r="Q3201" s="3" t="str">
        <f>IFERROR(__xludf.DUMMYFUNCTION("""COMPUTED_VALUE"""),"A")</f>
        <v>A</v>
      </c>
      <c r="R3201" s="3" t="str">
        <f>IFERROR(__xludf.DUMMYFUNCTION("""COMPUTED_VALUE"""),"Small Format")</f>
        <v>Small Format</v>
      </c>
      <c r="S3201" s="3" t="str">
        <f>IFERROR(__xludf.DUMMYFUNCTION("""COMPUTED_VALUE"""),"Donjai")</f>
        <v>Donjai</v>
      </c>
      <c r="T3201" s="3" t="str">
        <f>IFERROR(__xludf.DUMMYFUNCTION("""COMPUTED_VALUE"""),"04 K.Somboon P.")</f>
        <v>04 K.Somboon P.</v>
      </c>
      <c r="U3201" s="3" t="str">
        <f>IFERROR(__xludf.DUMMYFUNCTION("""COMPUTED_VALUE"""),"04 K.Somboon P.")</f>
        <v>04 K.Somboon P.</v>
      </c>
      <c r="V3201" s="3" t="str">
        <f>IFERROR(__xludf.DUMMYFUNCTION("""COMPUTED_VALUE"""),"N")</f>
        <v>N</v>
      </c>
      <c r="W3201" s="3"/>
      <c r="X3201" s="3" t="str">
        <f>IFERROR(__xludf.DUMMYFUNCTION("""COMPUTED_VALUE"""),"83 หมู่ 7 อุดมทรัพย์ วังน้ำเขียว นครราชสี 30370")</f>
        <v>83 หมู่ 7 อุดมทรัพย์ วังน้ำเขียว นครราชสี 30370</v>
      </c>
      <c r="Y3201" s="3"/>
      <c r="Z3201" s="3"/>
      <c r="AA3201" s="3"/>
      <c r="AB3201" s="3"/>
      <c r="AC3201" s="3"/>
      <c r="AD3201" s="3"/>
      <c r="AE3201" s="3"/>
      <c r="AF3201" s="3" t="str">
        <f>IFERROR(__xludf.DUMMYFUNCTION("""COMPUTED_VALUE"""),"ร้านพรวิจิตร ทุกอย่าง 20 บาท-DJ15485")</f>
        <v>ร้านพรวิจิตร ทุกอย่าง 20 บาท-DJ15485</v>
      </c>
      <c r="AG3201" s="3">
        <f>IFERROR(__xludf.DUMMYFUNCTION("""COMPUTED_VALUE"""),0.0)</f>
        <v>0</v>
      </c>
      <c r="AH3201" s="3" t="str">
        <f>IFERROR(__xludf.DUMMYFUNCTION("""COMPUTED_VALUE"""),"#N/A")</f>
        <v>#N/A</v>
      </c>
      <c r="AI3201" s="3" t="str">
        <f>IFERROR(__xludf.DUMMYFUNCTION("""COMPUTED_VALUE"""),"Out of warranty")</f>
        <v>Out of warranty</v>
      </c>
      <c r="AJ3201" s="3">
        <f>IFERROR(__xludf.DUMMYFUNCTION("""COMPUTED_VALUE"""),20.0)</f>
        <v>20</v>
      </c>
      <c r="AK3201" s="3"/>
      <c r="AL3201" s="3"/>
    </row>
    <row r="3202" ht="15.75" customHeight="1">
      <c r="A3202" s="1" t="str">
        <f>IFERROR(__xludf.DUMMYFUNCTION("""COMPUTED_VALUE"""),"DJ15498")</f>
        <v>DJ15498</v>
      </c>
      <c r="B3202" s="2" t="str">
        <f>IFERROR(__xludf.DUMMYFUNCTION("""COMPUTED_VALUE"""),"DJ15498")</f>
        <v>DJ15498</v>
      </c>
      <c r="C3202" s="3" t="str">
        <f>IFERROR(__xludf.DUMMYFUNCTION("""COMPUTED_VALUE"""),"ร้าน ส.นำโชค2")</f>
        <v>ร้าน ส.นำโชค2</v>
      </c>
      <c r="D3202" s="3" t="str">
        <f>IFERROR(__xludf.DUMMYFUNCTION("""COMPUTED_VALUE"""),"ร้าน ส.นำโชค2")</f>
        <v>ร้าน ส.นำโชค2</v>
      </c>
      <c r="E3202" s="1" t="str">
        <f>IFERROR(__xludf.DUMMYFUNCTION("""COMPUTED_VALUE"""),"Donjai")</f>
        <v>Donjai</v>
      </c>
      <c r="F3202" s="1" t="str">
        <f>IFERROR(__xludf.DUMMYFUNCTION("""COMPUTED_VALUE"""),"2454781")</f>
        <v>2454781</v>
      </c>
      <c r="G3202" s="1" t="str">
        <f>IFERROR(__xludf.DUMMYFUNCTION("""COMPUTED_VALUE"""),"นายฌานกฤช นันทะโคต")</f>
        <v>นายฌานกฤช นันทะโคต</v>
      </c>
      <c r="H3202" s="1" t="str">
        <f>IFERROR(__xludf.DUMMYFUNCTION("""COMPUTED_VALUE"""),"2454781")</f>
        <v>2454781</v>
      </c>
      <c r="I3202" s="1" t="str">
        <f>IFERROR(__xludf.DUMMYFUNCTION("""COMPUTED_VALUE"""),"นายฌานกฤช นันทะโคต")</f>
        <v>นายฌานกฤช นันทะโคต</v>
      </c>
      <c r="J3202" s="3">
        <f>IFERROR(__xludf.DUMMYFUNCTION("""COMPUTED_VALUE"""),295886.0)</f>
        <v>295886</v>
      </c>
      <c r="K3202" s="3" t="str">
        <f>IFERROR(__xludf.DUMMYFUNCTION("""COMPUTED_VALUE"""),"นายจิระพงษ์ โพธิ์นิล")</f>
        <v>นายจิระพงษ์ โพธิ์นิล</v>
      </c>
      <c r="L3202" s="1" t="str">
        <f>IFERROR(__xludf.DUMMYFUNCTION("""COMPUTED_VALUE"""),"นายจิระพงษ์ โพธิ์นิล")</f>
        <v>นายจิระพงษ์ โพธิ์นิล</v>
      </c>
      <c r="M3202" s="1" t="str">
        <f>IFERROR(__xludf.DUMMYFUNCTION("""COMPUTED_VALUE"""),"0933290754")</f>
        <v>0933290754</v>
      </c>
      <c r="N3202" s="3" t="str">
        <f>IFERROR(__xludf.DUMMYFUNCTION("""COMPUTED_VALUE"""),"DJ15498")</f>
        <v>DJ15498</v>
      </c>
      <c r="O3202" s="3" t="str">
        <f>IFERROR(__xludf.DUMMYFUNCTION("""COMPUTED_VALUE"""),"ร้าน ส.นำโชค2")</f>
        <v>ร้าน ส.นำโชค2</v>
      </c>
      <c r="P3202" s="4">
        <f>IFERROR(__xludf.DUMMYFUNCTION("""COMPUTED_VALUE"""),45536.0)</f>
        <v>45536</v>
      </c>
      <c r="Q3202" s="3" t="str">
        <f>IFERROR(__xludf.DUMMYFUNCTION("""COMPUTED_VALUE"""),"A")</f>
        <v>A</v>
      </c>
      <c r="R3202" s="3" t="str">
        <f>IFERROR(__xludf.DUMMYFUNCTION("""COMPUTED_VALUE"""),"Small Format")</f>
        <v>Small Format</v>
      </c>
      <c r="S3202" s="3" t="str">
        <f>IFERROR(__xludf.DUMMYFUNCTION("""COMPUTED_VALUE"""),"Donjai")</f>
        <v>Donjai</v>
      </c>
      <c r="T3202" s="3" t="str">
        <f>IFERROR(__xludf.DUMMYFUNCTION("""COMPUTED_VALUE"""),"05 K.Chanakrit N.")</f>
        <v>05 K.Chanakrit N.</v>
      </c>
      <c r="U3202" s="3" t="str">
        <f>IFERROR(__xludf.DUMMYFUNCTION("""COMPUTED_VALUE"""),"05 K.Chanakrit N.")</f>
        <v>05 K.Chanakrit N.</v>
      </c>
      <c r="V3202" s="3" t="str">
        <f>IFERROR(__xludf.DUMMYFUNCTION("""COMPUTED_VALUE"""),"N")</f>
        <v>N</v>
      </c>
      <c r="W3202" s="3"/>
      <c r="X3202" s="3" t="str">
        <f>IFERROR(__xludf.DUMMYFUNCTION("""COMPUTED_VALUE"""),"109 ม.13 ค้อน้อย สำโรง อุบลราชธานี")</f>
        <v>109 ม.13 ค้อน้อย สำโรง อุบลราชธานี</v>
      </c>
      <c r="Y3202" s="3"/>
      <c r="Z3202" s="3"/>
      <c r="AA3202" s="3"/>
      <c r="AB3202" s="3"/>
      <c r="AC3202" s="3"/>
      <c r="AD3202" s="3"/>
      <c r="AE3202" s="3"/>
      <c r="AF3202" s="3" t="str">
        <f>IFERROR(__xludf.DUMMYFUNCTION("""COMPUTED_VALUE"""),"ร้าน ส.นำโชค2-DJ15498")</f>
        <v>ร้าน ส.นำโชค2-DJ15498</v>
      </c>
      <c r="AG3202" s="3">
        <f>IFERROR(__xludf.DUMMYFUNCTION("""COMPUTED_VALUE"""),0.0)</f>
        <v>0</v>
      </c>
      <c r="AH3202" s="3" t="str">
        <f>IFERROR(__xludf.DUMMYFUNCTION("""COMPUTED_VALUE"""),"#N/A")</f>
        <v>#N/A</v>
      </c>
      <c r="AI3202" s="3" t="str">
        <f>IFERROR(__xludf.DUMMYFUNCTION("""COMPUTED_VALUE"""),"Out of warranty")</f>
        <v>Out of warranty</v>
      </c>
      <c r="AJ3202" s="3">
        <f>IFERROR(__xludf.DUMMYFUNCTION("""COMPUTED_VALUE"""),17.0)</f>
        <v>17</v>
      </c>
      <c r="AK3202" s="3"/>
      <c r="AL3202" s="3"/>
    </row>
    <row r="3203" ht="15.75" customHeight="1">
      <c r="A3203" s="1" t="str">
        <f>IFERROR(__xludf.DUMMYFUNCTION("""COMPUTED_VALUE"""),"DJ15499")</f>
        <v>DJ15499</v>
      </c>
      <c r="B3203" s="2" t="str">
        <f>IFERROR(__xludf.DUMMYFUNCTION("""COMPUTED_VALUE"""),"DJ15499")</f>
        <v>DJ15499</v>
      </c>
      <c r="C3203" s="3" t="str">
        <f>IFERROR(__xludf.DUMMYFUNCTION("""COMPUTED_VALUE"""),"ร้านสมจิตรพาณิชย์")</f>
        <v>ร้านสมจิตรพาณิชย์</v>
      </c>
      <c r="D3203" s="3" t="str">
        <f>IFERROR(__xludf.DUMMYFUNCTION("""COMPUTED_VALUE"""),"ร้านสมจิตรพาณิชย์")</f>
        <v>ร้านสมจิตรพาณิชย์</v>
      </c>
      <c r="E3203" s="1" t="str">
        <f>IFERROR(__xludf.DUMMYFUNCTION("""COMPUTED_VALUE"""),"Donjai")</f>
        <v>Donjai</v>
      </c>
      <c r="F3203" s="1" t="str">
        <f>IFERROR(__xludf.DUMMYFUNCTION("""COMPUTED_VALUE"""),"2454781")</f>
        <v>2454781</v>
      </c>
      <c r="G3203" s="1" t="str">
        <f>IFERROR(__xludf.DUMMYFUNCTION("""COMPUTED_VALUE"""),"นายฌานกฤช นันทะโคต")</f>
        <v>นายฌานกฤช นันทะโคต</v>
      </c>
      <c r="H3203" s="1" t="str">
        <f>IFERROR(__xludf.DUMMYFUNCTION("""COMPUTED_VALUE"""),"2454781")</f>
        <v>2454781</v>
      </c>
      <c r="I3203" s="1" t="str">
        <f>IFERROR(__xludf.DUMMYFUNCTION("""COMPUTED_VALUE"""),"นายฌานกฤช นันทะโคต")</f>
        <v>นายฌานกฤช นันทะโคต</v>
      </c>
      <c r="J3203" s="3">
        <f>IFERROR(__xludf.DUMMYFUNCTION("""COMPUTED_VALUE"""),295886.0)</f>
        <v>295886</v>
      </c>
      <c r="K3203" s="3" t="str">
        <f>IFERROR(__xludf.DUMMYFUNCTION("""COMPUTED_VALUE"""),"นายจิระพงษ์ โพธิ์นิล")</f>
        <v>นายจิระพงษ์ โพธิ์นิล</v>
      </c>
      <c r="L3203" s="1" t="str">
        <f>IFERROR(__xludf.DUMMYFUNCTION("""COMPUTED_VALUE"""),"นายจิระพงษ์ โพธิ์นิล")</f>
        <v>นายจิระพงษ์ โพธิ์นิล</v>
      </c>
      <c r="M3203" s="1" t="str">
        <f>IFERROR(__xludf.DUMMYFUNCTION("""COMPUTED_VALUE"""),"0933290754")</f>
        <v>0933290754</v>
      </c>
      <c r="N3203" s="3" t="str">
        <f>IFERROR(__xludf.DUMMYFUNCTION("""COMPUTED_VALUE"""),"DJ15499")</f>
        <v>DJ15499</v>
      </c>
      <c r="O3203" s="3" t="str">
        <f>IFERROR(__xludf.DUMMYFUNCTION("""COMPUTED_VALUE"""),"ร้านสมจิตรพาณิชย์")</f>
        <v>ร้านสมจิตรพาณิชย์</v>
      </c>
      <c r="P3203" s="4">
        <f>IFERROR(__xludf.DUMMYFUNCTION("""COMPUTED_VALUE"""),45536.0)</f>
        <v>45536</v>
      </c>
      <c r="Q3203" s="3" t="str">
        <f>IFERROR(__xludf.DUMMYFUNCTION("""COMPUTED_VALUE"""),"A")</f>
        <v>A</v>
      </c>
      <c r="R3203" s="3" t="str">
        <f>IFERROR(__xludf.DUMMYFUNCTION("""COMPUTED_VALUE"""),"Small Format")</f>
        <v>Small Format</v>
      </c>
      <c r="S3203" s="3" t="str">
        <f>IFERROR(__xludf.DUMMYFUNCTION("""COMPUTED_VALUE"""),"Donjai")</f>
        <v>Donjai</v>
      </c>
      <c r="T3203" s="3" t="str">
        <f>IFERROR(__xludf.DUMMYFUNCTION("""COMPUTED_VALUE"""),"05 K.Chanakrit N.")</f>
        <v>05 K.Chanakrit N.</v>
      </c>
      <c r="U3203" s="3" t="str">
        <f>IFERROR(__xludf.DUMMYFUNCTION("""COMPUTED_VALUE"""),"05 K.Chanakrit N.")</f>
        <v>05 K.Chanakrit N.</v>
      </c>
      <c r="V3203" s="3" t="str">
        <f>IFERROR(__xludf.DUMMYFUNCTION("""COMPUTED_VALUE"""),"N")</f>
        <v>N</v>
      </c>
      <c r="W3203" s="3"/>
      <c r="X3203" s="3" t="str">
        <f>IFERROR(__xludf.DUMMYFUNCTION("""COMPUTED_VALUE"""),"133 ศรีสุข ศรีณรงค์ สุรินทร์")</f>
        <v>133 ศรีสุข ศรีณรงค์ สุรินทร์</v>
      </c>
      <c r="Y3203" s="3"/>
      <c r="Z3203" s="3"/>
      <c r="AA3203" s="3"/>
      <c r="AB3203" s="3"/>
      <c r="AC3203" s="3"/>
      <c r="AD3203" s="3"/>
      <c r="AE3203" s="3"/>
      <c r="AF3203" s="3" t="str">
        <f>IFERROR(__xludf.DUMMYFUNCTION("""COMPUTED_VALUE"""),"ร้านสมจิตรพาณิชย์-DJ15499")</f>
        <v>ร้านสมจิตรพาณิชย์-DJ15499</v>
      </c>
      <c r="AG3203" s="3">
        <f>IFERROR(__xludf.DUMMYFUNCTION("""COMPUTED_VALUE"""),0.0)</f>
        <v>0</v>
      </c>
      <c r="AH3203" s="3" t="str">
        <f>IFERROR(__xludf.DUMMYFUNCTION("""COMPUTED_VALUE"""),"#N/A")</f>
        <v>#N/A</v>
      </c>
      <c r="AI3203" s="3" t="str">
        <f>IFERROR(__xludf.DUMMYFUNCTION("""COMPUTED_VALUE"""),"Out of warranty")</f>
        <v>Out of warranty</v>
      </c>
      <c r="AJ3203" s="3">
        <f>IFERROR(__xludf.DUMMYFUNCTION("""COMPUTED_VALUE"""),17.0)</f>
        <v>17</v>
      </c>
      <c r="AK3203" s="3"/>
      <c r="AL3203" s="3"/>
    </row>
    <row r="3204" ht="15.75" customHeight="1">
      <c r="A3204" s="1" t="str">
        <f>IFERROR(__xludf.DUMMYFUNCTION("""COMPUTED_VALUE"""),"DJ15686")</f>
        <v>DJ15686</v>
      </c>
      <c r="B3204" s="2" t="str">
        <f>IFERROR(__xludf.DUMMYFUNCTION("""COMPUTED_VALUE"""),"DJ15686")</f>
        <v>DJ15686</v>
      </c>
      <c r="C3204" s="3" t="str">
        <f>IFERROR(__xludf.DUMMYFUNCTION("""COMPUTED_VALUE"""),"ร้านสมจิตร")</f>
        <v>ร้านสมจิตร</v>
      </c>
      <c r="D3204" s="3" t="str">
        <f>IFERROR(__xludf.DUMMYFUNCTION("""COMPUTED_VALUE"""),"ร้านสมจิตร")</f>
        <v>ร้านสมจิตร</v>
      </c>
      <c r="E3204" s="1" t="str">
        <f>IFERROR(__xludf.DUMMYFUNCTION("""COMPUTED_VALUE"""),"Donjai")</f>
        <v>Donjai</v>
      </c>
      <c r="F3204" s="1" t="str">
        <f>IFERROR(__xludf.DUMMYFUNCTION("""COMPUTED_VALUE"""),"00510143")</f>
        <v>00510143</v>
      </c>
      <c r="G3204" s="1" t="str">
        <f>IFERROR(__xludf.DUMMYFUNCTION("""COMPUTED_VALUE"""),"นายธีระวัฒน์ บุญสิทธิ์")</f>
        <v>นายธีระวัฒน์ บุญสิทธิ์</v>
      </c>
      <c r="H3204" s="1" t="str">
        <f>IFERROR(__xludf.DUMMYFUNCTION("""COMPUTED_VALUE"""),"00510143")</f>
        <v>00510143</v>
      </c>
      <c r="I3204" s="1" t="str">
        <f>IFERROR(__xludf.DUMMYFUNCTION("""COMPUTED_VALUE"""),"นายธีระวัฒน์ บุญสิทธิ์")</f>
        <v>นายธีระวัฒน์ บุญสิทธิ์</v>
      </c>
      <c r="J3204" s="3">
        <f>IFERROR(__xludf.DUMMYFUNCTION("""COMPUTED_VALUE"""),228031.0)</f>
        <v>228031</v>
      </c>
      <c r="K3204" s="3" t="str">
        <f>IFERROR(__xludf.DUMMYFUNCTION("""COMPUTED_VALUE"""),"นายธนพงษ์ วันหมัด")</f>
        <v>นายธนพงษ์ วันหมัด</v>
      </c>
      <c r="L3204" s="1" t="str">
        <f>IFERROR(__xludf.DUMMYFUNCTION("""COMPUTED_VALUE"""),"นายธนพงษ์ วันหมัด")</f>
        <v>นายธนพงษ์ วันหมัด</v>
      </c>
      <c r="M3204" s="1" t="str">
        <f>IFERROR(__xludf.DUMMYFUNCTION("""COMPUTED_VALUE"""),"0813716913")</f>
        <v>0813716913</v>
      </c>
      <c r="N3204" s="3" t="str">
        <f>IFERROR(__xludf.DUMMYFUNCTION("""COMPUTED_VALUE"""),"DJ15686")</f>
        <v>DJ15686</v>
      </c>
      <c r="O3204" s="3" t="str">
        <f>IFERROR(__xludf.DUMMYFUNCTION("""COMPUTED_VALUE"""),"ร้านสมจิตร")</f>
        <v>ร้านสมจิตร</v>
      </c>
      <c r="P3204" s="4">
        <f>IFERROR(__xludf.DUMMYFUNCTION("""COMPUTED_VALUE"""),45464.0)</f>
        <v>45464</v>
      </c>
      <c r="Q3204" s="3" t="str">
        <f>IFERROR(__xludf.DUMMYFUNCTION("""COMPUTED_VALUE"""),"A")</f>
        <v>A</v>
      </c>
      <c r="R3204" s="3" t="str">
        <f>IFERROR(__xludf.DUMMYFUNCTION("""COMPUTED_VALUE"""),"Small Format")</f>
        <v>Small Format</v>
      </c>
      <c r="S3204" s="3" t="str">
        <f>IFERROR(__xludf.DUMMYFUNCTION("""COMPUTED_VALUE"""),"Donjai")</f>
        <v>Donjai</v>
      </c>
      <c r="T3204" s="3" t="str">
        <f>IFERROR(__xludf.DUMMYFUNCTION("""COMPUTED_VALUE"""),"12 K.Theerawat B.")</f>
        <v>12 K.Theerawat B.</v>
      </c>
      <c r="U3204" s="3" t="str">
        <f>IFERROR(__xludf.DUMMYFUNCTION("""COMPUTED_VALUE"""),"12 K.Theerawat B.")</f>
        <v>12 K.Theerawat B.</v>
      </c>
      <c r="V3204" s="3" t="str">
        <f>IFERROR(__xludf.DUMMYFUNCTION("""COMPUTED_VALUE"""),"N")</f>
        <v>N</v>
      </c>
      <c r="W3204" s="3"/>
      <c r="X3204" s="3" t="str">
        <f>IFERROR(__xludf.DUMMYFUNCTION("""COMPUTED_VALUE"""),"เวลโกร์วกล๊าส อินดัสทรีจำกัด 36 ม.2 ต.พิมพา อ.บางปะกง จ.ฉะเชิงเทรา 24180")</f>
        <v>เวลโกร์วกล๊าส อินดัสทรีจำกัด 36 ม.2 ต.พิมพา อ.บางปะกง จ.ฉะเชิงเทรา 24180</v>
      </c>
      <c r="Y3204" s="3"/>
      <c r="Z3204" s="3"/>
      <c r="AA3204" s="3"/>
      <c r="AB3204" s="3"/>
      <c r="AC3204" s="3"/>
      <c r="AD3204" s="3"/>
      <c r="AE3204" s="3"/>
      <c r="AF3204" s="3" t="str">
        <f>IFERROR(__xludf.DUMMYFUNCTION("""COMPUTED_VALUE"""),"ร้านสมจิตร-DJ15686")</f>
        <v>ร้านสมจิตร-DJ15686</v>
      </c>
      <c r="AG3204" s="3">
        <f>IFERROR(__xludf.DUMMYFUNCTION("""COMPUTED_VALUE"""),0.0)</f>
        <v>0</v>
      </c>
      <c r="AH3204" s="3" t="str">
        <f>IFERROR(__xludf.DUMMYFUNCTION("""COMPUTED_VALUE"""),"#N/A")</f>
        <v>#N/A</v>
      </c>
      <c r="AI3204" s="3" t="str">
        <f>IFERROR(__xludf.DUMMYFUNCTION("""COMPUTED_VALUE"""),"Out of warranty")</f>
        <v>Out of warranty</v>
      </c>
      <c r="AJ3204" s="3">
        <f>IFERROR(__xludf.DUMMYFUNCTION("""COMPUTED_VALUE"""),19.0)</f>
        <v>19</v>
      </c>
      <c r="AK3204" s="3"/>
      <c r="AL3204" s="3"/>
    </row>
    <row r="3205" ht="15.75" customHeight="1">
      <c r="A3205" s="1" t="str">
        <f>IFERROR(__xludf.DUMMYFUNCTION("""COMPUTED_VALUE"""),"DJ15703")</f>
        <v>DJ15703</v>
      </c>
      <c r="B3205" s="2" t="str">
        <f>IFERROR(__xludf.DUMMYFUNCTION("""COMPUTED_VALUE"""),"DJ15703")</f>
        <v>DJ15703</v>
      </c>
      <c r="C3205" s="3" t="str">
        <f>IFERROR(__xludf.DUMMYFUNCTION("""COMPUTED_VALUE"""),"ร้านคำแพงพาณิชย์​")</f>
        <v>ร้านคำแพงพาณิชย์​</v>
      </c>
      <c r="D3205" s="3" t="str">
        <f>IFERROR(__xludf.DUMMYFUNCTION("""COMPUTED_VALUE"""),"ร้านคำแพงพาณิชย์​")</f>
        <v>ร้านคำแพงพาณิชย์​</v>
      </c>
      <c r="E3205" s="1" t="str">
        <f>IFERROR(__xludf.DUMMYFUNCTION("""COMPUTED_VALUE"""),"Donjai")</f>
        <v>Donjai</v>
      </c>
      <c r="F3205" s="1" t="str">
        <f>IFERROR(__xludf.DUMMYFUNCTION("""COMPUTED_VALUE"""),"2454781")</f>
        <v>2454781</v>
      </c>
      <c r="G3205" s="1" t="str">
        <f>IFERROR(__xludf.DUMMYFUNCTION("""COMPUTED_VALUE"""),"นายฌานกฤช นันทะโคต")</f>
        <v>นายฌานกฤช นันทะโคต</v>
      </c>
      <c r="H3205" s="1" t="str">
        <f>IFERROR(__xludf.DUMMYFUNCTION("""COMPUTED_VALUE"""),"2454781")</f>
        <v>2454781</v>
      </c>
      <c r="I3205" s="1" t="str">
        <f>IFERROR(__xludf.DUMMYFUNCTION("""COMPUTED_VALUE"""),"นายฌานกฤช นันทะโคต")</f>
        <v>นายฌานกฤช นันทะโคต</v>
      </c>
      <c r="J3205" s="3">
        <f>IFERROR(__xludf.DUMMYFUNCTION("""COMPUTED_VALUE"""),295886.0)</f>
        <v>295886</v>
      </c>
      <c r="K3205" s="3" t="str">
        <f>IFERROR(__xludf.DUMMYFUNCTION("""COMPUTED_VALUE"""),"นายจิระพงษ์ โพธิ์นิล")</f>
        <v>นายจิระพงษ์ โพธิ์นิล</v>
      </c>
      <c r="L3205" s="1" t="str">
        <f>IFERROR(__xludf.DUMMYFUNCTION("""COMPUTED_VALUE"""),"นายจิระพงษ์ โพธิ์นิล")</f>
        <v>นายจิระพงษ์ โพธิ์นิล</v>
      </c>
      <c r="M3205" s="1" t="str">
        <f>IFERROR(__xludf.DUMMYFUNCTION("""COMPUTED_VALUE"""),"0933290754")</f>
        <v>0933290754</v>
      </c>
      <c r="N3205" s="3" t="str">
        <f>IFERROR(__xludf.DUMMYFUNCTION("""COMPUTED_VALUE"""),"DJ15703")</f>
        <v>DJ15703</v>
      </c>
      <c r="O3205" s="3" t="str">
        <f>IFERROR(__xludf.DUMMYFUNCTION("""COMPUTED_VALUE"""),"ร้านคำแพงพาณิชย์​")</f>
        <v>ร้านคำแพงพาณิชย์​</v>
      </c>
      <c r="P3205" s="4">
        <f>IFERROR(__xludf.DUMMYFUNCTION("""COMPUTED_VALUE"""),45536.0)</f>
        <v>45536</v>
      </c>
      <c r="Q3205" s="3" t="str">
        <f>IFERROR(__xludf.DUMMYFUNCTION("""COMPUTED_VALUE"""),"A")</f>
        <v>A</v>
      </c>
      <c r="R3205" s="3" t="str">
        <f>IFERROR(__xludf.DUMMYFUNCTION("""COMPUTED_VALUE"""),"Small Format")</f>
        <v>Small Format</v>
      </c>
      <c r="S3205" s="3" t="str">
        <f>IFERROR(__xludf.DUMMYFUNCTION("""COMPUTED_VALUE"""),"Donjai")</f>
        <v>Donjai</v>
      </c>
      <c r="T3205" s="3" t="str">
        <f>IFERROR(__xludf.DUMMYFUNCTION("""COMPUTED_VALUE"""),"05 K.Chanakrit N.")</f>
        <v>05 K.Chanakrit N.</v>
      </c>
      <c r="U3205" s="3" t="str">
        <f>IFERROR(__xludf.DUMMYFUNCTION("""COMPUTED_VALUE"""),"05 K.Chanakrit N.")</f>
        <v>05 K.Chanakrit N.</v>
      </c>
      <c r="V3205" s="3" t="str">
        <f>IFERROR(__xludf.DUMMYFUNCTION("""COMPUTED_VALUE"""),"N")</f>
        <v>N</v>
      </c>
      <c r="W3205" s="3"/>
      <c r="X3205" s="3" t="str">
        <f>IFERROR(__xludf.DUMMYFUNCTION("""COMPUTED_VALUE"""),"201 หมู่ 11 ท่าศิลา ส่องดาว สกลนคร")</f>
        <v>201 หมู่ 11 ท่าศิลา ส่องดาว สกลนคร</v>
      </c>
      <c r="Y3205" s="3"/>
      <c r="Z3205" s="3"/>
      <c r="AA3205" s="3"/>
      <c r="AB3205" s="3"/>
      <c r="AC3205" s="3"/>
      <c r="AD3205" s="3"/>
      <c r="AE3205" s="3"/>
      <c r="AF3205" s="3" t="str">
        <f>IFERROR(__xludf.DUMMYFUNCTION("""COMPUTED_VALUE"""),"ร้านคำแพงพาณิชย์​-DJ15703")</f>
        <v>ร้านคำแพงพาณิชย์​-DJ15703</v>
      </c>
      <c r="AG3205" s="3">
        <f>IFERROR(__xludf.DUMMYFUNCTION("""COMPUTED_VALUE"""),0.0)</f>
        <v>0</v>
      </c>
      <c r="AH3205" s="3" t="str">
        <f>IFERROR(__xludf.DUMMYFUNCTION("""COMPUTED_VALUE"""),"#N/A")</f>
        <v>#N/A</v>
      </c>
      <c r="AI3205" s="3" t="str">
        <f>IFERROR(__xludf.DUMMYFUNCTION("""COMPUTED_VALUE"""),"Out of warranty")</f>
        <v>Out of warranty</v>
      </c>
      <c r="AJ3205" s="3">
        <f>IFERROR(__xludf.DUMMYFUNCTION("""COMPUTED_VALUE"""),17.0)</f>
        <v>17</v>
      </c>
      <c r="AK3205" s="3"/>
      <c r="AL3205" s="3"/>
    </row>
    <row r="3206" ht="15.75" customHeight="1">
      <c r="A3206" s="1" t="str">
        <f>IFERROR(__xludf.DUMMYFUNCTION("""COMPUTED_VALUE"""),"DJ16526")</f>
        <v>DJ16526</v>
      </c>
      <c r="B3206" s="2" t="str">
        <f>IFERROR(__xludf.DUMMYFUNCTION("""COMPUTED_VALUE"""),"DJ16526")</f>
        <v>DJ16526</v>
      </c>
      <c r="C3206" s="3" t="str">
        <f>IFERROR(__xludf.DUMMYFUNCTION("""COMPUTED_VALUE"""),"ร้านครูมะลิพาณิชย์")</f>
        <v>ร้านครูมะลิพาณิชย์</v>
      </c>
      <c r="D3206" s="3" t="str">
        <f>IFERROR(__xludf.DUMMYFUNCTION("""COMPUTED_VALUE"""),"ร้านครูมะลิพาณิชย์")</f>
        <v>ร้านครูมะลิพาณิชย์</v>
      </c>
      <c r="E3206" s="1" t="str">
        <f>IFERROR(__xludf.DUMMYFUNCTION("""COMPUTED_VALUE"""),"Donjai")</f>
        <v>Donjai</v>
      </c>
      <c r="F3206" s="1" t="str">
        <f>IFERROR(__xludf.DUMMYFUNCTION("""COMPUTED_VALUE"""),"015361")</f>
        <v>015361</v>
      </c>
      <c r="G3206" s="1" t="str">
        <f>IFERROR(__xludf.DUMMYFUNCTION("""COMPUTED_VALUE"""),"นายสมบูรณ์ พรหมในเมือง")</f>
        <v>นายสมบูรณ์ พรหมในเมือง</v>
      </c>
      <c r="H3206" s="1" t="str">
        <f>IFERROR(__xludf.DUMMYFUNCTION("""COMPUTED_VALUE"""),"015361")</f>
        <v>015361</v>
      </c>
      <c r="I3206" s="1" t="str">
        <f>IFERROR(__xludf.DUMMYFUNCTION("""COMPUTED_VALUE"""),"นายสมบูรณ์ พรหมในเมือง")</f>
        <v>นายสมบูรณ์ พรหมในเมือง</v>
      </c>
      <c r="J3206" s="3">
        <f>IFERROR(__xludf.DUMMYFUNCTION("""COMPUTED_VALUE"""),295886.0)</f>
        <v>295886</v>
      </c>
      <c r="K3206" s="3" t="str">
        <f>IFERROR(__xludf.DUMMYFUNCTION("""COMPUTED_VALUE"""),"นายจิระพงษ์ โพธิ์นิล")</f>
        <v>นายจิระพงษ์ โพธิ์นิล</v>
      </c>
      <c r="L3206" s="1" t="str">
        <f>IFERROR(__xludf.DUMMYFUNCTION("""COMPUTED_VALUE"""),"นายจิระพงษ์ โพธิ์นิล")</f>
        <v>นายจิระพงษ์ โพธิ์นิล</v>
      </c>
      <c r="M3206" s="1" t="str">
        <f>IFERROR(__xludf.DUMMYFUNCTION("""COMPUTED_VALUE"""),"0933290754")</f>
        <v>0933290754</v>
      </c>
      <c r="N3206" s="3" t="str">
        <f>IFERROR(__xludf.DUMMYFUNCTION("""COMPUTED_VALUE"""),"DJ16526")</f>
        <v>DJ16526</v>
      </c>
      <c r="O3206" s="3" t="str">
        <f>IFERROR(__xludf.DUMMYFUNCTION("""COMPUTED_VALUE"""),"ร้านครูมะลิพาณิชย์")</f>
        <v>ร้านครูมะลิพาณิชย์</v>
      </c>
      <c r="P3206" s="4">
        <f>IFERROR(__xludf.DUMMYFUNCTION("""COMPUTED_VALUE"""),45536.0)</f>
        <v>45536</v>
      </c>
      <c r="Q3206" s="3" t="str">
        <f>IFERROR(__xludf.DUMMYFUNCTION("""COMPUTED_VALUE"""),"A")</f>
        <v>A</v>
      </c>
      <c r="R3206" s="3" t="str">
        <f>IFERROR(__xludf.DUMMYFUNCTION("""COMPUTED_VALUE"""),"Small Format")</f>
        <v>Small Format</v>
      </c>
      <c r="S3206" s="3" t="str">
        <f>IFERROR(__xludf.DUMMYFUNCTION("""COMPUTED_VALUE"""),"Donjai")</f>
        <v>Donjai</v>
      </c>
      <c r="T3206" s="3" t="str">
        <f>IFERROR(__xludf.DUMMYFUNCTION("""COMPUTED_VALUE"""),"04 K.Somboon P.")</f>
        <v>04 K.Somboon P.</v>
      </c>
      <c r="U3206" s="3" t="str">
        <f>IFERROR(__xludf.DUMMYFUNCTION("""COMPUTED_VALUE"""),"04 K.Somboon P.")</f>
        <v>04 K.Somboon P.</v>
      </c>
      <c r="V3206" s="3" t="str">
        <f>IFERROR(__xludf.DUMMYFUNCTION("""COMPUTED_VALUE"""),"N")</f>
        <v>N</v>
      </c>
      <c r="W3206" s="3"/>
      <c r="X3206" s="3" t="str">
        <f>IFERROR(__xludf.DUMMYFUNCTION("""COMPUTED_VALUE"""),"4/9 ม.1 ต.หนองน้ำใส อ.สีคิ้ว จ.นครราชสีมา 30140")</f>
        <v>4/9 ม.1 ต.หนองน้ำใส อ.สีคิ้ว จ.นครราชสีมา 30140</v>
      </c>
      <c r="Y3206" s="3"/>
      <c r="Z3206" s="3"/>
      <c r="AA3206" s="3"/>
      <c r="AB3206" s="3"/>
      <c r="AC3206" s="3"/>
      <c r="AD3206" s="3"/>
      <c r="AE3206" s="3"/>
      <c r="AF3206" s="3" t="str">
        <f>IFERROR(__xludf.DUMMYFUNCTION("""COMPUTED_VALUE"""),"ร้านครูมะลิพาณิชย์-DJ16526")</f>
        <v>ร้านครูมะลิพาณิชย์-DJ16526</v>
      </c>
      <c r="AG3206" s="3">
        <f>IFERROR(__xludf.DUMMYFUNCTION("""COMPUTED_VALUE"""),0.0)</f>
        <v>0</v>
      </c>
      <c r="AH3206" s="3" t="str">
        <f>IFERROR(__xludf.DUMMYFUNCTION("""COMPUTED_VALUE"""),"#N/A")</f>
        <v>#N/A</v>
      </c>
      <c r="AI3206" s="3" t="str">
        <f>IFERROR(__xludf.DUMMYFUNCTION("""COMPUTED_VALUE"""),"Out of warranty")</f>
        <v>Out of warranty</v>
      </c>
      <c r="AJ3206" s="3">
        <f>IFERROR(__xludf.DUMMYFUNCTION("""COMPUTED_VALUE"""),17.0)</f>
        <v>17</v>
      </c>
      <c r="AK3206" s="3"/>
      <c r="AL3206" s="3"/>
    </row>
    <row r="3207" ht="15.75" customHeight="1">
      <c r="A3207" s="1" t="str">
        <f>IFERROR(__xludf.DUMMYFUNCTION("""COMPUTED_VALUE"""),"DJ16527")</f>
        <v>DJ16527</v>
      </c>
      <c r="B3207" s="2" t="str">
        <f>IFERROR(__xludf.DUMMYFUNCTION("""COMPUTED_VALUE"""),"DJ16527")</f>
        <v>DJ16527</v>
      </c>
      <c r="C3207" s="3" t="str">
        <f>IFERROR(__xludf.DUMMYFUNCTION("""COMPUTED_VALUE"""),"ร้านเฉลิมรัตน์พาณิชย์")</f>
        <v>ร้านเฉลิมรัตน์พาณิชย์</v>
      </c>
      <c r="D3207" s="3" t="str">
        <f>IFERROR(__xludf.DUMMYFUNCTION("""COMPUTED_VALUE"""),"ร้านเฉลิมรัตน์พาณิชย์")</f>
        <v>ร้านเฉลิมรัตน์พาณิชย์</v>
      </c>
      <c r="E3207" s="1" t="str">
        <f>IFERROR(__xludf.DUMMYFUNCTION("""COMPUTED_VALUE"""),"Donjai")</f>
        <v>Donjai</v>
      </c>
      <c r="F3207" s="1" t="str">
        <f>IFERROR(__xludf.DUMMYFUNCTION("""COMPUTED_VALUE"""),"2454781")</f>
        <v>2454781</v>
      </c>
      <c r="G3207" s="1" t="str">
        <f>IFERROR(__xludf.DUMMYFUNCTION("""COMPUTED_VALUE"""),"นายฌานกฤช นันทะโคต")</f>
        <v>นายฌานกฤช นันทะโคต</v>
      </c>
      <c r="H3207" s="1" t="str">
        <f>IFERROR(__xludf.DUMMYFUNCTION("""COMPUTED_VALUE"""),"2454781")</f>
        <v>2454781</v>
      </c>
      <c r="I3207" s="1" t="str">
        <f>IFERROR(__xludf.DUMMYFUNCTION("""COMPUTED_VALUE"""),"นายฌานกฤช นันทะโคต")</f>
        <v>นายฌานกฤช นันทะโคต</v>
      </c>
      <c r="J3207" s="3">
        <f>IFERROR(__xludf.DUMMYFUNCTION("""COMPUTED_VALUE"""),295886.0)</f>
        <v>295886</v>
      </c>
      <c r="K3207" s="3" t="str">
        <f>IFERROR(__xludf.DUMMYFUNCTION("""COMPUTED_VALUE"""),"นายจิระพงษ์ โพธิ์นิล")</f>
        <v>นายจิระพงษ์ โพธิ์นิล</v>
      </c>
      <c r="L3207" s="1" t="str">
        <f>IFERROR(__xludf.DUMMYFUNCTION("""COMPUTED_VALUE"""),"นายจิระพงษ์ โพธิ์นิล")</f>
        <v>นายจิระพงษ์ โพธิ์นิล</v>
      </c>
      <c r="M3207" s="1" t="str">
        <f>IFERROR(__xludf.DUMMYFUNCTION("""COMPUTED_VALUE"""),"0933290754")</f>
        <v>0933290754</v>
      </c>
      <c r="N3207" s="3" t="str">
        <f>IFERROR(__xludf.DUMMYFUNCTION("""COMPUTED_VALUE"""),"DJ16527")</f>
        <v>DJ16527</v>
      </c>
      <c r="O3207" s="3" t="str">
        <f>IFERROR(__xludf.DUMMYFUNCTION("""COMPUTED_VALUE"""),"ร้านเฉลิมรัตน์พาณิชย์")</f>
        <v>ร้านเฉลิมรัตน์พาณิชย์</v>
      </c>
      <c r="P3207" s="4">
        <f>IFERROR(__xludf.DUMMYFUNCTION("""COMPUTED_VALUE"""),45536.0)</f>
        <v>45536</v>
      </c>
      <c r="Q3207" s="3" t="str">
        <f>IFERROR(__xludf.DUMMYFUNCTION("""COMPUTED_VALUE"""),"A")</f>
        <v>A</v>
      </c>
      <c r="R3207" s="3" t="str">
        <f>IFERROR(__xludf.DUMMYFUNCTION("""COMPUTED_VALUE"""),"Small Format")</f>
        <v>Small Format</v>
      </c>
      <c r="S3207" s="3" t="str">
        <f>IFERROR(__xludf.DUMMYFUNCTION("""COMPUTED_VALUE"""),"Donjai")</f>
        <v>Donjai</v>
      </c>
      <c r="T3207" s="3" t="str">
        <f>IFERROR(__xludf.DUMMYFUNCTION("""COMPUTED_VALUE"""),"05 K.Chanakrit N.")</f>
        <v>05 K.Chanakrit N.</v>
      </c>
      <c r="U3207" s="3" t="str">
        <f>IFERROR(__xludf.DUMMYFUNCTION("""COMPUTED_VALUE"""),"05 K.Chanakrit N.")</f>
        <v>05 K.Chanakrit N.</v>
      </c>
      <c r="V3207" s="3" t="str">
        <f>IFERROR(__xludf.DUMMYFUNCTION("""COMPUTED_VALUE"""),"N")</f>
        <v>N</v>
      </c>
      <c r="W3207" s="3"/>
      <c r="X3207" s="3" t="str">
        <f>IFERROR(__xludf.DUMMYFUNCTION("""COMPUTED_VALUE"""),"6 ม.10 เมือง กันทรลักษ์ ศรีสะเกษ")</f>
        <v>6 ม.10 เมือง กันทรลักษ์ ศรีสะเกษ</v>
      </c>
      <c r="Y3207" s="3"/>
      <c r="Z3207" s="3"/>
      <c r="AA3207" s="3"/>
      <c r="AB3207" s="3"/>
      <c r="AC3207" s="3"/>
      <c r="AD3207" s="3"/>
      <c r="AE3207" s="3"/>
      <c r="AF3207" s="3" t="str">
        <f>IFERROR(__xludf.DUMMYFUNCTION("""COMPUTED_VALUE"""),"ร้านเฉลิมรัตน์พาณิชย์-DJ16527")</f>
        <v>ร้านเฉลิมรัตน์พาณิชย์-DJ16527</v>
      </c>
      <c r="AG3207" s="3">
        <f>IFERROR(__xludf.DUMMYFUNCTION("""COMPUTED_VALUE"""),0.0)</f>
        <v>0</v>
      </c>
      <c r="AH3207" s="3" t="str">
        <f>IFERROR(__xludf.DUMMYFUNCTION("""COMPUTED_VALUE"""),"#N/A")</f>
        <v>#N/A</v>
      </c>
      <c r="AI3207" s="3" t="str">
        <f>IFERROR(__xludf.DUMMYFUNCTION("""COMPUTED_VALUE"""),"Out of warranty")</f>
        <v>Out of warranty</v>
      </c>
      <c r="AJ3207" s="3">
        <f>IFERROR(__xludf.DUMMYFUNCTION("""COMPUTED_VALUE"""),17.0)</f>
        <v>17</v>
      </c>
      <c r="AK3207" s="3"/>
      <c r="AL3207" s="3"/>
    </row>
    <row r="3208" ht="15.75" customHeight="1">
      <c r="A3208" s="1" t="str">
        <f>IFERROR(__xludf.DUMMYFUNCTION("""COMPUTED_VALUE"""),"DJ16915")</f>
        <v>DJ16915</v>
      </c>
      <c r="B3208" s="2" t="str">
        <f>IFERROR(__xludf.DUMMYFUNCTION("""COMPUTED_VALUE"""),"DJ16915")</f>
        <v>DJ16915</v>
      </c>
      <c r="C3208" s="3" t="str">
        <f>IFERROR(__xludf.DUMMYFUNCTION("""COMPUTED_VALUE"""),"ร้านกาญจนภรการค้า สาขา2")</f>
        <v>ร้านกาญจนภรการค้า สาขา2</v>
      </c>
      <c r="D3208" s="3" t="str">
        <f>IFERROR(__xludf.DUMMYFUNCTION("""COMPUTED_VALUE"""),"ร้านกาญจนภรการค้า สาขา2")</f>
        <v>ร้านกาญจนภรการค้า สาขา2</v>
      </c>
      <c r="E3208" s="1" t="str">
        <f>IFERROR(__xludf.DUMMYFUNCTION("""COMPUTED_VALUE"""),"Donjai")</f>
        <v>Donjai</v>
      </c>
      <c r="F3208" s="1" t="str">
        <f>IFERROR(__xludf.DUMMYFUNCTION("""COMPUTED_VALUE"""),"00510143")</f>
        <v>00510143</v>
      </c>
      <c r="G3208" s="1" t="str">
        <f>IFERROR(__xludf.DUMMYFUNCTION("""COMPUTED_VALUE"""),"นายธีระวัฒน์ บุญสิทธิ์")</f>
        <v>นายธีระวัฒน์ บุญสิทธิ์</v>
      </c>
      <c r="H3208" s="1" t="str">
        <f>IFERROR(__xludf.DUMMYFUNCTION("""COMPUTED_VALUE"""),"00510143")</f>
        <v>00510143</v>
      </c>
      <c r="I3208" s="1" t="str">
        <f>IFERROR(__xludf.DUMMYFUNCTION("""COMPUTED_VALUE"""),"นายธีระวัฒน์ บุญสิทธิ์")</f>
        <v>นายธีระวัฒน์ บุญสิทธิ์</v>
      </c>
      <c r="J3208" s="3">
        <f>IFERROR(__xludf.DUMMYFUNCTION("""COMPUTED_VALUE"""),228031.0)</f>
        <v>228031</v>
      </c>
      <c r="K3208" s="3" t="str">
        <f>IFERROR(__xludf.DUMMYFUNCTION("""COMPUTED_VALUE"""),"นายธนพงษ์ วันหมัด")</f>
        <v>นายธนพงษ์ วันหมัด</v>
      </c>
      <c r="L3208" s="1" t="str">
        <f>IFERROR(__xludf.DUMMYFUNCTION("""COMPUTED_VALUE"""),"นายธนพงษ์ วันหมัด")</f>
        <v>นายธนพงษ์ วันหมัด</v>
      </c>
      <c r="M3208" s="1" t="str">
        <f>IFERROR(__xludf.DUMMYFUNCTION("""COMPUTED_VALUE"""),"0813716913")</f>
        <v>0813716913</v>
      </c>
      <c r="N3208" s="3" t="str">
        <f>IFERROR(__xludf.DUMMYFUNCTION("""COMPUTED_VALUE"""),"DJ16915")</f>
        <v>DJ16915</v>
      </c>
      <c r="O3208" s="3" t="str">
        <f>IFERROR(__xludf.DUMMYFUNCTION("""COMPUTED_VALUE"""),"ร้านกาญจนภรการค้า สาขา2")</f>
        <v>ร้านกาญจนภรการค้า สาขา2</v>
      </c>
      <c r="P3208" s="4">
        <f>IFERROR(__xludf.DUMMYFUNCTION("""COMPUTED_VALUE"""),45468.0)</f>
        <v>45468</v>
      </c>
      <c r="Q3208" s="3" t="str">
        <f>IFERROR(__xludf.DUMMYFUNCTION("""COMPUTED_VALUE"""),"A")</f>
        <v>A</v>
      </c>
      <c r="R3208" s="3" t="str">
        <f>IFERROR(__xludf.DUMMYFUNCTION("""COMPUTED_VALUE"""),"Small Format")</f>
        <v>Small Format</v>
      </c>
      <c r="S3208" s="3" t="str">
        <f>IFERROR(__xludf.DUMMYFUNCTION("""COMPUTED_VALUE"""),"Donjai")</f>
        <v>Donjai</v>
      </c>
      <c r="T3208" s="3" t="str">
        <f>IFERROR(__xludf.DUMMYFUNCTION("""COMPUTED_VALUE"""),"12 K.Theerawat B.")</f>
        <v>12 K.Theerawat B.</v>
      </c>
      <c r="U3208" s="3" t="str">
        <f>IFERROR(__xludf.DUMMYFUNCTION("""COMPUTED_VALUE"""),"12 K.Theerawat B.")</f>
        <v>12 K.Theerawat B.</v>
      </c>
      <c r="V3208" s="3" t="str">
        <f>IFERROR(__xludf.DUMMYFUNCTION("""COMPUTED_VALUE"""),"N")</f>
        <v>N</v>
      </c>
      <c r="W3208" s="3"/>
      <c r="X3208" s="3" t="str">
        <f>IFERROR(__xludf.DUMMYFUNCTION("""COMPUTED_VALUE"""),"6/2 ม.5 วัดโบสถ์ เมืองปราจีนบุรี ปราจีนบุรี")</f>
        <v>6/2 ม.5 วัดโบสถ์ เมืองปราจีนบุรี ปราจีนบุรี</v>
      </c>
      <c r="Y3208" s="3"/>
      <c r="Z3208" s="3"/>
      <c r="AA3208" s="3"/>
      <c r="AB3208" s="3"/>
      <c r="AC3208" s="3"/>
      <c r="AD3208" s="3"/>
      <c r="AE3208" s="3"/>
      <c r="AF3208" s="3" t="str">
        <f>IFERROR(__xludf.DUMMYFUNCTION("""COMPUTED_VALUE"""),"ร้านกาญจนภรการค้า สาขา2-DJ16915")</f>
        <v>ร้านกาญจนภรการค้า สาขา2-DJ16915</v>
      </c>
      <c r="AG3208" s="3">
        <f>IFERROR(__xludf.DUMMYFUNCTION("""COMPUTED_VALUE"""),0.0)</f>
        <v>0</v>
      </c>
      <c r="AH3208" s="3" t="str">
        <f>IFERROR(__xludf.DUMMYFUNCTION("""COMPUTED_VALUE"""),"#N/A")</f>
        <v>#N/A</v>
      </c>
      <c r="AI3208" s="3" t="str">
        <f>IFERROR(__xludf.DUMMYFUNCTION("""COMPUTED_VALUE"""),"Out of warranty")</f>
        <v>Out of warranty</v>
      </c>
      <c r="AJ3208" s="3">
        <f>IFERROR(__xludf.DUMMYFUNCTION("""COMPUTED_VALUE"""),19.0)</f>
        <v>19</v>
      </c>
      <c r="AK3208" s="3"/>
      <c r="AL3208" s="3"/>
    </row>
    <row r="3209" ht="15.75" customHeight="1">
      <c r="A3209" s="1" t="str">
        <f>IFERROR(__xludf.DUMMYFUNCTION("""COMPUTED_VALUE"""),"DJ17928")</f>
        <v>DJ17928</v>
      </c>
      <c r="B3209" s="2" t="str">
        <f>IFERROR(__xludf.DUMMYFUNCTION("""COMPUTED_VALUE"""),"DJ17928")</f>
        <v>DJ17928</v>
      </c>
      <c r="C3209" s="3" t="str">
        <f>IFERROR(__xludf.DUMMYFUNCTION("""COMPUTED_VALUE"""),"ร้าน ORMART")</f>
        <v>ร้าน ORMART</v>
      </c>
      <c r="D3209" s="3" t="str">
        <f>IFERROR(__xludf.DUMMYFUNCTION("""COMPUTED_VALUE"""),"ร้าน ORMART")</f>
        <v>ร้าน ORMART</v>
      </c>
      <c r="E3209" s="1" t="str">
        <f>IFERROR(__xludf.DUMMYFUNCTION("""COMPUTED_VALUE"""),"Donjai")</f>
        <v>Donjai</v>
      </c>
      <c r="F3209" s="1" t="str">
        <f>IFERROR(__xludf.DUMMYFUNCTION("""COMPUTED_VALUE"""),"296868")</f>
        <v>296868</v>
      </c>
      <c r="G3209" s="1" t="str">
        <f>IFERROR(__xludf.DUMMYFUNCTION("""COMPUTED_VALUE"""),"นายพีระพงษ์ แก้วดวงดี")</f>
        <v>นายพีระพงษ์ แก้วดวงดี</v>
      </c>
      <c r="H3209" s="1" t="str">
        <f>IFERROR(__xludf.DUMMYFUNCTION("""COMPUTED_VALUE"""),"296868")</f>
        <v>296868</v>
      </c>
      <c r="I3209" s="1" t="str">
        <f>IFERROR(__xludf.DUMMYFUNCTION("""COMPUTED_VALUE"""),"นายพีระพงษ์ แก้วดวงดี")</f>
        <v>นายพีระพงษ์ แก้วดวงดี</v>
      </c>
      <c r="J3209" s="3">
        <f>IFERROR(__xludf.DUMMYFUNCTION("""COMPUTED_VALUE"""),295886.0)</f>
        <v>295886</v>
      </c>
      <c r="K3209" s="3" t="str">
        <f>IFERROR(__xludf.DUMMYFUNCTION("""COMPUTED_VALUE"""),"นายจิระพงษ์ โพธิ์นิล")</f>
        <v>นายจิระพงษ์ โพธิ์นิล</v>
      </c>
      <c r="L3209" s="1" t="str">
        <f>IFERROR(__xludf.DUMMYFUNCTION("""COMPUTED_VALUE"""),"นายจิระพงษ์ โพธิ์นิล")</f>
        <v>นายจิระพงษ์ โพธิ์นิล</v>
      </c>
      <c r="M3209" s="1" t="str">
        <f>IFERROR(__xludf.DUMMYFUNCTION("""COMPUTED_VALUE"""),"0933290754")</f>
        <v>0933290754</v>
      </c>
      <c r="N3209" s="3" t="str">
        <f>IFERROR(__xludf.DUMMYFUNCTION("""COMPUTED_VALUE"""),"DJ17928")</f>
        <v>DJ17928</v>
      </c>
      <c r="O3209" s="3" t="str">
        <f>IFERROR(__xludf.DUMMYFUNCTION("""COMPUTED_VALUE"""),"ร้าน ORMART")</f>
        <v>ร้าน ORMART</v>
      </c>
      <c r="P3209" s="4">
        <f>IFERROR(__xludf.DUMMYFUNCTION("""COMPUTED_VALUE"""),45585.0)</f>
        <v>45585</v>
      </c>
      <c r="Q3209" s="3" t="str">
        <f>IFERROR(__xludf.DUMMYFUNCTION("""COMPUTED_VALUE"""),"A")</f>
        <v>A</v>
      </c>
      <c r="R3209" s="3" t="str">
        <f>IFERROR(__xludf.DUMMYFUNCTION("""COMPUTED_VALUE"""),"Small Format")</f>
        <v>Small Format</v>
      </c>
      <c r="S3209" s="3" t="str">
        <f>IFERROR(__xludf.DUMMYFUNCTION("""COMPUTED_VALUE"""),"Donjai")</f>
        <v>Donjai</v>
      </c>
      <c r="T3209" s="3" t="str">
        <f>IFERROR(__xludf.DUMMYFUNCTION("""COMPUTED_VALUE"""),"03 K.Peerapong K.")</f>
        <v>03 K.Peerapong K.</v>
      </c>
      <c r="U3209" s="3" t="str">
        <f>IFERROR(__xludf.DUMMYFUNCTION("""COMPUTED_VALUE"""),"03 K.Peerapong K.")</f>
        <v>03 K.Peerapong K.</v>
      </c>
      <c r="V3209" s="3" t="str">
        <f>IFERROR(__xludf.DUMMYFUNCTION("""COMPUTED_VALUE"""),"N")</f>
        <v>N</v>
      </c>
      <c r="W3209" s="3"/>
      <c r="X3209" s="3" t="str">
        <f>IFERROR(__xludf.DUMMYFUNCTION("""COMPUTED_VALUE"""),"11/9 ม.7 หนองขอนกว้าง เมืองอุดรธานี อุดรธานี")</f>
        <v>11/9 ม.7 หนองขอนกว้าง เมืองอุดรธานี อุดรธานี</v>
      </c>
      <c r="Y3209" s="3"/>
      <c r="Z3209" s="3"/>
      <c r="AA3209" s="3"/>
      <c r="AB3209" s="3"/>
      <c r="AC3209" s="3"/>
      <c r="AD3209" s="3"/>
      <c r="AE3209" s="3"/>
      <c r="AF3209" s="3" t="str">
        <f>IFERROR(__xludf.DUMMYFUNCTION("""COMPUTED_VALUE"""),"ร้าน ORMART-DJ17928")</f>
        <v>ร้าน ORMART-DJ17928</v>
      </c>
      <c r="AG3209" s="3">
        <f>IFERROR(__xludf.DUMMYFUNCTION("""COMPUTED_VALUE"""),0.0)</f>
        <v>0</v>
      </c>
      <c r="AH3209" s="3" t="str">
        <f>IFERROR(__xludf.DUMMYFUNCTION("""COMPUTED_VALUE"""),"#N/A")</f>
        <v>#N/A</v>
      </c>
      <c r="AI3209" s="3" t="str">
        <f>IFERROR(__xludf.DUMMYFUNCTION("""COMPUTED_VALUE"""),"Out of warranty")</f>
        <v>Out of warranty</v>
      </c>
      <c r="AJ3209" s="3">
        <f>IFERROR(__xludf.DUMMYFUNCTION("""COMPUTED_VALUE"""),16.0)</f>
        <v>16</v>
      </c>
      <c r="AK3209" s="3"/>
      <c r="AL3209" s="3"/>
    </row>
    <row r="3210" ht="15.75" customHeight="1">
      <c r="A3210" s="1" t="str">
        <f>IFERROR(__xludf.DUMMYFUNCTION("""COMPUTED_VALUE"""),"DJ18417")</f>
        <v>DJ18417</v>
      </c>
      <c r="B3210" s="2" t="str">
        <f>IFERROR(__xludf.DUMMYFUNCTION("""COMPUTED_VALUE"""),"DJ18417")</f>
        <v>DJ18417</v>
      </c>
      <c r="C3210" s="3" t="str">
        <f>IFERROR(__xludf.DUMMYFUNCTION("""COMPUTED_VALUE"""),"ร้านแม่ ซุปเปอร์มาร์ท")</f>
        <v>ร้านแม่ ซุปเปอร์มาร์ท</v>
      </c>
      <c r="D3210" s="3" t="str">
        <f>IFERROR(__xludf.DUMMYFUNCTION("""COMPUTED_VALUE"""),"ร้านแม่ ซุปเปอร์มาร์ท")</f>
        <v>ร้านแม่ ซุปเปอร์มาร์ท</v>
      </c>
      <c r="E3210" s="1" t="str">
        <f>IFERROR(__xludf.DUMMYFUNCTION("""COMPUTED_VALUE"""),"Donjai")</f>
        <v>Donjai</v>
      </c>
      <c r="F3210" s="1" t="str">
        <f>IFERROR(__xludf.DUMMYFUNCTION("""COMPUTED_VALUE"""),"2010016")</f>
        <v>2010016</v>
      </c>
      <c r="G3210" s="1" t="str">
        <f>IFERROR(__xludf.DUMMYFUNCTION("""COMPUTED_VALUE"""),"นายตวงธรรม ใหม่ยศ")</f>
        <v>นายตวงธรรม ใหม่ยศ</v>
      </c>
      <c r="H3210" s="1" t="str">
        <f>IFERROR(__xludf.DUMMYFUNCTION("""COMPUTED_VALUE"""),"2010016")</f>
        <v>2010016</v>
      </c>
      <c r="I3210" s="1" t="str">
        <f>IFERROR(__xludf.DUMMYFUNCTION("""COMPUTED_VALUE"""),"นายตวงธรรม ใหม่ยศ")</f>
        <v>นายตวงธรรม ใหม่ยศ</v>
      </c>
      <c r="J3210" s="3">
        <f>IFERROR(__xludf.DUMMYFUNCTION("""COMPUTED_VALUE"""),295886.0)</f>
        <v>295886</v>
      </c>
      <c r="K3210" s="3" t="str">
        <f>IFERROR(__xludf.DUMMYFUNCTION("""COMPUTED_VALUE"""),"นายจิระพงษ์ โพธิ์นิล")</f>
        <v>นายจิระพงษ์ โพธิ์นิล</v>
      </c>
      <c r="L3210" s="1" t="str">
        <f>IFERROR(__xludf.DUMMYFUNCTION("""COMPUTED_VALUE"""),"นายจิระพงษ์ โพธิ์นิล")</f>
        <v>นายจิระพงษ์ โพธิ์นิล</v>
      </c>
      <c r="M3210" s="1" t="str">
        <f>IFERROR(__xludf.DUMMYFUNCTION("""COMPUTED_VALUE"""),"0933290754")</f>
        <v>0933290754</v>
      </c>
      <c r="N3210" s="3" t="str">
        <f>IFERROR(__xludf.DUMMYFUNCTION("""COMPUTED_VALUE"""),"DJ18417")</f>
        <v>DJ18417</v>
      </c>
      <c r="O3210" s="3" t="str">
        <f>IFERROR(__xludf.DUMMYFUNCTION("""COMPUTED_VALUE"""),"ร้านแม่ ซุปเปอร์มาร์ท")</f>
        <v>ร้านแม่ ซุปเปอร์มาร์ท</v>
      </c>
      <c r="P3210" s="4">
        <f>IFERROR(__xludf.DUMMYFUNCTION("""COMPUTED_VALUE"""),45516.0)</f>
        <v>45516</v>
      </c>
      <c r="Q3210" s="3" t="str">
        <f>IFERROR(__xludf.DUMMYFUNCTION("""COMPUTED_VALUE"""),"A")</f>
        <v>A</v>
      </c>
      <c r="R3210" s="3" t="str">
        <f>IFERROR(__xludf.DUMMYFUNCTION("""COMPUTED_VALUE"""),"Small Format")</f>
        <v>Small Format</v>
      </c>
      <c r="S3210" s="3" t="str">
        <f>IFERROR(__xludf.DUMMYFUNCTION("""COMPUTED_VALUE"""),"Donjai")</f>
        <v>Donjai</v>
      </c>
      <c r="T3210" s="3" t="str">
        <f>IFERROR(__xludf.DUMMYFUNCTION("""COMPUTED_VALUE"""),"01 K.Tuangtham M.")</f>
        <v>01 K.Tuangtham M.</v>
      </c>
      <c r="U3210" s="3" t="str">
        <f>IFERROR(__xludf.DUMMYFUNCTION("""COMPUTED_VALUE"""),"01 K.Tuangtham M.")</f>
        <v>01 K.Tuangtham M.</v>
      </c>
      <c r="V3210" s="3" t="str">
        <f>IFERROR(__xludf.DUMMYFUNCTION("""COMPUTED_VALUE"""),"N")</f>
        <v>N</v>
      </c>
      <c r="W3210" s="3"/>
      <c r="X3210" s="3" t="str">
        <f>IFERROR(__xludf.DUMMYFUNCTION("""COMPUTED_VALUE"""),"289 หมู่6 ศรีเมืองชุม แม่สาย เชียงราย")</f>
        <v>289 หมู่6 ศรีเมืองชุม แม่สาย เชียงราย</v>
      </c>
      <c r="Y3210" s="3"/>
      <c r="Z3210" s="3"/>
      <c r="AA3210" s="3"/>
      <c r="AB3210" s="3"/>
      <c r="AC3210" s="3"/>
      <c r="AD3210" s="3"/>
      <c r="AE3210" s="3"/>
      <c r="AF3210" s="3" t="str">
        <f>IFERROR(__xludf.DUMMYFUNCTION("""COMPUTED_VALUE"""),"ร้านแม่ ซุปเปอร์มาร์ท-DJ18417")</f>
        <v>ร้านแม่ ซุปเปอร์มาร์ท-DJ18417</v>
      </c>
      <c r="AG3210" s="3">
        <f>IFERROR(__xludf.DUMMYFUNCTION("""COMPUTED_VALUE"""),0.0)</f>
        <v>0</v>
      </c>
      <c r="AH3210" s="3" t="str">
        <f>IFERROR(__xludf.DUMMYFUNCTION("""COMPUTED_VALUE"""),"#N/A")</f>
        <v>#N/A</v>
      </c>
      <c r="AI3210" s="3" t="str">
        <f>IFERROR(__xludf.DUMMYFUNCTION("""COMPUTED_VALUE"""),"Out of warranty")</f>
        <v>Out of warranty</v>
      </c>
      <c r="AJ3210" s="3">
        <f>IFERROR(__xludf.DUMMYFUNCTION("""COMPUTED_VALUE"""),18.0)</f>
        <v>18</v>
      </c>
      <c r="AK3210" s="3"/>
      <c r="AL3210" s="3"/>
    </row>
    <row r="3211" ht="15.75" customHeight="1">
      <c r="A3211" s="1" t="str">
        <f>IFERROR(__xludf.DUMMYFUNCTION("""COMPUTED_VALUE"""),"DJ18480")</f>
        <v>DJ18480</v>
      </c>
      <c r="B3211" s="2" t="str">
        <f>IFERROR(__xludf.DUMMYFUNCTION("""COMPUTED_VALUE"""),"DJ18480")</f>
        <v>DJ18480</v>
      </c>
      <c r="C3211" s="3" t="str">
        <f>IFERROR(__xludf.DUMMYFUNCTION("""COMPUTED_VALUE"""),"ร้านโชติพงศ์มินิมาร์ท")</f>
        <v>ร้านโชติพงศ์มินิมาร์ท</v>
      </c>
      <c r="D3211" s="3" t="str">
        <f>IFERROR(__xludf.DUMMYFUNCTION("""COMPUTED_VALUE"""),"ร้านโชติพงศ์มินิมาร์ท")</f>
        <v>ร้านโชติพงศ์มินิมาร์ท</v>
      </c>
      <c r="E3211" s="1" t="str">
        <f>IFERROR(__xludf.DUMMYFUNCTION("""COMPUTED_VALUE"""),"Donjai")</f>
        <v>Donjai</v>
      </c>
      <c r="F3211" s="1" t="str">
        <f>IFERROR(__xludf.DUMMYFUNCTION("""COMPUTED_VALUE"""),"2454781")</f>
        <v>2454781</v>
      </c>
      <c r="G3211" s="1" t="str">
        <f>IFERROR(__xludf.DUMMYFUNCTION("""COMPUTED_VALUE"""),"นายฌานกฤช นันทะโคต")</f>
        <v>นายฌานกฤช นันทะโคต</v>
      </c>
      <c r="H3211" s="1" t="str">
        <f>IFERROR(__xludf.DUMMYFUNCTION("""COMPUTED_VALUE"""),"2454781")</f>
        <v>2454781</v>
      </c>
      <c r="I3211" s="1" t="str">
        <f>IFERROR(__xludf.DUMMYFUNCTION("""COMPUTED_VALUE"""),"นายฌานกฤช นันทะโคต")</f>
        <v>นายฌานกฤช นันทะโคต</v>
      </c>
      <c r="J3211" s="3">
        <f>IFERROR(__xludf.DUMMYFUNCTION("""COMPUTED_VALUE"""),295886.0)</f>
        <v>295886</v>
      </c>
      <c r="K3211" s="3" t="str">
        <f>IFERROR(__xludf.DUMMYFUNCTION("""COMPUTED_VALUE"""),"นายจิระพงษ์ โพธิ์นิล")</f>
        <v>นายจิระพงษ์ โพธิ์นิล</v>
      </c>
      <c r="L3211" s="1" t="str">
        <f>IFERROR(__xludf.DUMMYFUNCTION("""COMPUTED_VALUE"""),"นายจิระพงษ์ โพธิ์นิล")</f>
        <v>นายจิระพงษ์ โพธิ์นิล</v>
      </c>
      <c r="M3211" s="1" t="str">
        <f>IFERROR(__xludf.DUMMYFUNCTION("""COMPUTED_VALUE"""),"0933290754")</f>
        <v>0933290754</v>
      </c>
      <c r="N3211" s="3" t="str">
        <f>IFERROR(__xludf.DUMMYFUNCTION("""COMPUTED_VALUE"""),"DJ18480")</f>
        <v>DJ18480</v>
      </c>
      <c r="O3211" s="3" t="str">
        <f>IFERROR(__xludf.DUMMYFUNCTION("""COMPUTED_VALUE"""),"ร้านโชติพงศ์มินิมาร์ท")</f>
        <v>ร้านโชติพงศ์มินิมาร์ท</v>
      </c>
      <c r="P3211" s="4">
        <f>IFERROR(__xludf.DUMMYFUNCTION("""COMPUTED_VALUE"""),45551.0)</f>
        <v>45551</v>
      </c>
      <c r="Q3211" s="3" t="str">
        <f>IFERROR(__xludf.DUMMYFUNCTION("""COMPUTED_VALUE"""),"A")</f>
        <v>A</v>
      </c>
      <c r="R3211" s="3" t="str">
        <f>IFERROR(__xludf.DUMMYFUNCTION("""COMPUTED_VALUE"""),"Small Format")</f>
        <v>Small Format</v>
      </c>
      <c r="S3211" s="3" t="str">
        <f>IFERROR(__xludf.DUMMYFUNCTION("""COMPUTED_VALUE"""),"Donjai")</f>
        <v>Donjai</v>
      </c>
      <c r="T3211" s="3" t="str">
        <f>IFERROR(__xludf.DUMMYFUNCTION("""COMPUTED_VALUE"""),"05 K.Chanakrit N.")</f>
        <v>05 K.Chanakrit N.</v>
      </c>
      <c r="U3211" s="3" t="str">
        <f>IFERROR(__xludf.DUMMYFUNCTION("""COMPUTED_VALUE"""),"05 K.Chanakrit N.")</f>
        <v>05 K.Chanakrit N.</v>
      </c>
      <c r="V3211" s="3" t="str">
        <f>IFERROR(__xludf.DUMMYFUNCTION("""COMPUTED_VALUE"""),"N")</f>
        <v>N</v>
      </c>
      <c r="W3211" s="3"/>
      <c r="X3211" s="3" t="str">
        <f>IFERROR(__xludf.DUMMYFUNCTION("""COMPUTED_VALUE"""),"152 นาขาม กุฉินารายณ์ กาฬสินธุ์")</f>
        <v>152 นาขาม กุฉินารายณ์ กาฬสินธุ์</v>
      </c>
      <c r="Y3211" s="3"/>
      <c r="Z3211" s="3"/>
      <c r="AA3211" s="3"/>
      <c r="AB3211" s="3"/>
      <c r="AC3211" s="3"/>
      <c r="AD3211" s="3"/>
      <c r="AE3211" s="3"/>
      <c r="AF3211" s="3" t="str">
        <f>IFERROR(__xludf.DUMMYFUNCTION("""COMPUTED_VALUE"""),"ร้านโชติพงศ์มินิมาร์ท-DJ18480")</f>
        <v>ร้านโชติพงศ์มินิมาร์ท-DJ18480</v>
      </c>
      <c r="AG3211" s="3">
        <f>IFERROR(__xludf.DUMMYFUNCTION("""COMPUTED_VALUE"""),0.0)</f>
        <v>0</v>
      </c>
      <c r="AH3211" s="3" t="str">
        <f>IFERROR(__xludf.DUMMYFUNCTION("""COMPUTED_VALUE"""),"#N/A")</f>
        <v>#N/A</v>
      </c>
      <c r="AI3211" s="3" t="str">
        <f>IFERROR(__xludf.DUMMYFUNCTION("""COMPUTED_VALUE"""),"Out of warranty")</f>
        <v>Out of warranty</v>
      </c>
      <c r="AJ3211" s="3">
        <f>IFERROR(__xludf.DUMMYFUNCTION("""COMPUTED_VALUE"""),17.0)</f>
        <v>17</v>
      </c>
      <c r="AK3211" s="3"/>
      <c r="AL3211" s="3"/>
    </row>
    <row r="3212" ht="15.75" customHeight="1">
      <c r="A3212" s="1" t="str">
        <f>IFERROR(__xludf.DUMMYFUNCTION("""COMPUTED_VALUE"""),"DJ18498")</f>
        <v>DJ18498</v>
      </c>
      <c r="B3212" s="2" t="str">
        <f>IFERROR(__xludf.DUMMYFUNCTION("""COMPUTED_VALUE"""),"DJ18498")</f>
        <v>DJ18498</v>
      </c>
      <c r="C3212" s="3" t="str">
        <f>IFERROR(__xludf.DUMMYFUNCTION("""COMPUTED_VALUE"""),"ร้านสุธินีชาลิสา มินิมาร์ท")</f>
        <v>ร้านสุธินีชาลิสา มินิมาร์ท</v>
      </c>
      <c r="D3212" s="3" t="str">
        <f>IFERROR(__xludf.DUMMYFUNCTION("""COMPUTED_VALUE"""),"ร้านสุธินีชาลิสา มินิมาร์ท")</f>
        <v>ร้านสุธินีชาลิสา มินิมาร์ท</v>
      </c>
      <c r="E3212" s="1" t="str">
        <f>IFERROR(__xludf.DUMMYFUNCTION("""COMPUTED_VALUE"""),"Donjai")</f>
        <v>Donjai</v>
      </c>
      <c r="F3212" s="1" t="str">
        <f>IFERROR(__xludf.DUMMYFUNCTION("""COMPUTED_VALUE"""),"2454781")</f>
        <v>2454781</v>
      </c>
      <c r="G3212" s="1" t="str">
        <f>IFERROR(__xludf.DUMMYFUNCTION("""COMPUTED_VALUE"""),"นายฌานกฤช นันทะโคต")</f>
        <v>นายฌานกฤช นันทะโคต</v>
      </c>
      <c r="H3212" s="1" t="str">
        <f>IFERROR(__xludf.DUMMYFUNCTION("""COMPUTED_VALUE"""),"2454781")</f>
        <v>2454781</v>
      </c>
      <c r="I3212" s="1" t="str">
        <f>IFERROR(__xludf.DUMMYFUNCTION("""COMPUTED_VALUE"""),"นายฌานกฤช นันทะโคต")</f>
        <v>นายฌานกฤช นันทะโคต</v>
      </c>
      <c r="J3212" s="3">
        <f>IFERROR(__xludf.DUMMYFUNCTION("""COMPUTED_VALUE"""),295886.0)</f>
        <v>295886</v>
      </c>
      <c r="K3212" s="3" t="str">
        <f>IFERROR(__xludf.DUMMYFUNCTION("""COMPUTED_VALUE"""),"นายจิระพงษ์ โพธิ์นิล")</f>
        <v>นายจิระพงษ์ โพธิ์นิล</v>
      </c>
      <c r="L3212" s="1" t="str">
        <f>IFERROR(__xludf.DUMMYFUNCTION("""COMPUTED_VALUE"""),"นายจิระพงษ์ โพธิ์นิล")</f>
        <v>นายจิระพงษ์ โพธิ์นิล</v>
      </c>
      <c r="M3212" s="1" t="str">
        <f>IFERROR(__xludf.DUMMYFUNCTION("""COMPUTED_VALUE"""),"0933290754")</f>
        <v>0933290754</v>
      </c>
      <c r="N3212" s="3" t="str">
        <f>IFERROR(__xludf.DUMMYFUNCTION("""COMPUTED_VALUE"""),"DJ18498")</f>
        <v>DJ18498</v>
      </c>
      <c r="O3212" s="3" t="str">
        <f>IFERROR(__xludf.DUMMYFUNCTION("""COMPUTED_VALUE"""),"ร้านสุธินีชาลิสา มินิมาร์ท")</f>
        <v>ร้านสุธินีชาลิสา มินิมาร์ท</v>
      </c>
      <c r="P3212" s="4">
        <f>IFERROR(__xludf.DUMMYFUNCTION("""COMPUTED_VALUE"""),45519.0)</f>
        <v>45519</v>
      </c>
      <c r="Q3212" s="3" t="str">
        <f>IFERROR(__xludf.DUMMYFUNCTION("""COMPUTED_VALUE"""),"A")</f>
        <v>A</v>
      </c>
      <c r="R3212" s="3" t="str">
        <f>IFERROR(__xludf.DUMMYFUNCTION("""COMPUTED_VALUE"""),"Small Format")</f>
        <v>Small Format</v>
      </c>
      <c r="S3212" s="3" t="str">
        <f>IFERROR(__xludf.DUMMYFUNCTION("""COMPUTED_VALUE"""),"Donjai")</f>
        <v>Donjai</v>
      </c>
      <c r="T3212" s="3" t="str">
        <f>IFERROR(__xludf.DUMMYFUNCTION("""COMPUTED_VALUE"""),"05 K.Chanakrit N.")</f>
        <v>05 K.Chanakrit N.</v>
      </c>
      <c r="U3212" s="3" t="str">
        <f>IFERROR(__xludf.DUMMYFUNCTION("""COMPUTED_VALUE"""),"05 K.Chanakrit N.")</f>
        <v>05 K.Chanakrit N.</v>
      </c>
      <c r="V3212" s="3" t="str">
        <f>IFERROR(__xludf.DUMMYFUNCTION("""COMPUTED_VALUE"""),"N")</f>
        <v>N</v>
      </c>
      <c r="W3212" s="3"/>
      <c r="X3212" s="3" t="str">
        <f>IFERROR(__xludf.DUMMYFUNCTION("""COMPUTED_VALUE"""),"99 ม.7 หมากเขียบ เมืองศรีสะเกษ ศรีสะเกษ")</f>
        <v>99 ม.7 หมากเขียบ เมืองศรีสะเกษ ศรีสะเกษ</v>
      </c>
      <c r="Y3212" s="3"/>
      <c r="Z3212" s="3"/>
      <c r="AA3212" s="3"/>
      <c r="AB3212" s="3"/>
      <c r="AC3212" s="3"/>
      <c r="AD3212" s="3"/>
      <c r="AE3212" s="3"/>
      <c r="AF3212" s="3" t="str">
        <f>IFERROR(__xludf.DUMMYFUNCTION("""COMPUTED_VALUE"""),"ร้านสุธินีชาลิสา มินิมาร์ท-DJ18498")</f>
        <v>ร้านสุธินีชาลิสา มินิมาร์ท-DJ18498</v>
      </c>
      <c r="AG3212" s="3">
        <f>IFERROR(__xludf.DUMMYFUNCTION("""COMPUTED_VALUE"""),0.0)</f>
        <v>0</v>
      </c>
      <c r="AH3212" s="3" t="str">
        <f>IFERROR(__xludf.DUMMYFUNCTION("""COMPUTED_VALUE"""),"#N/A")</f>
        <v>#N/A</v>
      </c>
      <c r="AI3212" s="3" t="str">
        <f>IFERROR(__xludf.DUMMYFUNCTION("""COMPUTED_VALUE"""),"Out of warranty")</f>
        <v>Out of warranty</v>
      </c>
      <c r="AJ3212" s="3">
        <f>IFERROR(__xludf.DUMMYFUNCTION("""COMPUTED_VALUE"""),18.0)</f>
        <v>18</v>
      </c>
      <c r="AK3212" s="3"/>
      <c r="AL3212" s="3"/>
    </row>
    <row r="3213" ht="15.75" customHeight="1">
      <c r="A3213" s="1" t="str">
        <f>IFERROR(__xludf.DUMMYFUNCTION("""COMPUTED_VALUE"""),"DJ18896")</f>
        <v>DJ18896</v>
      </c>
      <c r="B3213" s="2" t="str">
        <f>IFERROR(__xludf.DUMMYFUNCTION("""COMPUTED_VALUE"""),"DJ18896")</f>
        <v>DJ18896</v>
      </c>
      <c r="C3213" s="3" t="str">
        <f>IFERROR(__xludf.DUMMYFUNCTION("""COMPUTED_VALUE"""),"ร้าน ส.นำโชค 3")</f>
        <v>ร้าน ส.นำโชค 3</v>
      </c>
      <c r="D3213" s="3" t="str">
        <f>IFERROR(__xludf.DUMMYFUNCTION("""COMPUTED_VALUE"""),"ร้าน ส.นำโชค 3")</f>
        <v>ร้าน ส.นำโชค 3</v>
      </c>
      <c r="E3213" s="1" t="str">
        <f>IFERROR(__xludf.DUMMYFUNCTION("""COMPUTED_VALUE"""),"Donjai")</f>
        <v>Donjai</v>
      </c>
      <c r="F3213" s="1" t="str">
        <f>IFERROR(__xludf.DUMMYFUNCTION("""COMPUTED_VALUE"""),"2454781")</f>
        <v>2454781</v>
      </c>
      <c r="G3213" s="1" t="str">
        <f>IFERROR(__xludf.DUMMYFUNCTION("""COMPUTED_VALUE"""),"นายฌานกฤช นันทะโคต")</f>
        <v>นายฌานกฤช นันทะโคต</v>
      </c>
      <c r="H3213" s="1" t="str">
        <f>IFERROR(__xludf.DUMMYFUNCTION("""COMPUTED_VALUE"""),"2454781")</f>
        <v>2454781</v>
      </c>
      <c r="I3213" s="1" t="str">
        <f>IFERROR(__xludf.DUMMYFUNCTION("""COMPUTED_VALUE"""),"นายฌานกฤช นันทะโคต")</f>
        <v>นายฌานกฤช นันทะโคต</v>
      </c>
      <c r="J3213" s="3">
        <f>IFERROR(__xludf.DUMMYFUNCTION("""COMPUTED_VALUE"""),295886.0)</f>
        <v>295886</v>
      </c>
      <c r="K3213" s="3" t="str">
        <f>IFERROR(__xludf.DUMMYFUNCTION("""COMPUTED_VALUE"""),"นายจิระพงษ์ โพธิ์นิล")</f>
        <v>นายจิระพงษ์ โพธิ์นิล</v>
      </c>
      <c r="L3213" s="1" t="str">
        <f>IFERROR(__xludf.DUMMYFUNCTION("""COMPUTED_VALUE"""),"นายจิระพงษ์ โพธิ์นิล")</f>
        <v>นายจิระพงษ์ โพธิ์นิล</v>
      </c>
      <c r="M3213" s="1" t="str">
        <f>IFERROR(__xludf.DUMMYFUNCTION("""COMPUTED_VALUE"""),"0933290754")</f>
        <v>0933290754</v>
      </c>
      <c r="N3213" s="3" t="str">
        <f>IFERROR(__xludf.DUMMYFUNCTION("""COMPUTED_VALUE"""),"DJ18896")</f>
        <v>DJ18896</v>
      </c>
      <c r="O3213" s="3" t="str">
        <f>IFERROR(__xludf.DUMMYFUNCTION("""COMPUTED_VALUE"""),"ร้าน ส.นำโชค 3")</f>
        <v>ร้าน ส.นำโชค 3</v>
      </c>
      <c r="P3213" s="4">
        <f>IFERROR(__xludf.DUMMYFUNCTION("""COMPUTED_VALUE"""),45536.0)</f>
        <v>45536</v>
      </c>
      <c r="Q3213" s="3" t="str">
        <f>IFERROR(__xludf.DUMMYFUNCTION("""COMPUTED_VALUE"""),"A")</f>
        <v>A</v>
      </c>
      <c r="R3213" s="3" t="str">
        <f>IFERROR(__xludf.DUMMYFUNCTION("""COMPUTED_VALUE"""),"Small Format")</f>
        <v>Small Format</v>
      </c>
      <c r="S3213" s="3" t="str">
        <f>IFERROR(__xludf.DUMMYFUNCTION("""COMPUTED_VALUE"""),"Donjai")</f>
        <v>Donjai</v>
      </c>
      <c r="T3213" s="3" t="str">
        <f>IFERROR(__xludf.DUMMYFUNCTION("""COMPUTED_VALUE"""),"05 K.Chanakrit N.")</f>
        <v>05 K.Chanakrit N.</v>
      </c>
      <c r="U3213" s="3" t="str">
        <f>IFERROR(__xludf.DUMMYFUNCTION("""COMPUTED_VALUE"""),"05 K.Chanakrit N.")</f>
        <v>05 K.Chanakrit N.</v>
      </c>
      <c r="V3213" s="3" t="str">
        <f>IFERROR(__xludf.DUMMYFUNCTION("""COMPUTED_VALUE"""),"N")</f>
        <v>N</v>
      </c>
      <c r="W3213" s="3"/>
      <c r="X3213" s="3" t="str">
        <f>IFERROR(__xludf.DUMMYFUNCTION("""COMPUTED_VALUE"""),"148 ม.10 ท่าลาด วารินชำราบ อุบลราชธานี")</f>
        <v>148 ม.10 ท่าลาด วารินชำราบ อุบลราชธานี</v>
      </c>
      <c r="Y3213" s="3"/>
      <c r="Z3213" s="3"/>
      <c r="AA3213" s="3"/>
      <c r="AB3213" s="3"/>
      <c r="AC3213" s="3"/>
      <c r="AD3213" s="3"/>
      <c r="AE3213" s="3"/>
      <c r="AF3213" s="3" t="str">
        <f>IFERROR(__xludf.DUMMYFUNCTION("""COMPUTED_VALUE"""),"ร้าน ส.นำโชค 3-DJ18896")</f>
        <v>ร้าน ส.นำโชค 3-DJ18896</v>
      </c>
      <c r="AG3213" s="3">
        <f>IFERROR(__xludf.DUMMYFUNCTION("""COMPUTED_VALUE"""),0.0)</f>
        <v>0</v>
      </c>
      <c r="AH3213" s="3" t="str">
        <f>IFERROR(__xludf.DUMMYFUNCTION("""COMPUTED_VALUE"""),"#N/A")</f>
        <v>#N/A</v>
      </c>
      <c r="AI3213" s="3" t="str">
        <f>IFERROR(__xludf.DUMMYFUNCTION("""COMPUTED_VALUE"""),"Out of warranty")</f>
        <v>Out of warranty</v>
      </c>
      <c r="AJ3213" s="3">
        <f>IFERROR(__xludf.DUMMYFUNCTION("""COMPUTED_VALUE"""),17.0)</f>
        <v>17</v>
      </c>
      <c r="AK3213" s="3"/>
      <c r="AL3213" s="3"/>
    </row>
    <row r="3214" ht="15.75" customHeight="1">
      <c r="A3214" s="1" t="str">
        <f>IFERROR(__xludf.DUMMYFUNCTION("""COMPUTED_VALUE"""),"DJ18897")</f>
        <v>DJ18897</v>
      </c>
      <c r="B3214" s="2" t="str">
        <f>IFERROR(__xludf.DUMMYFUNCTION("""COMPUTED_VALUE"""),"DJ18897")</f>
        <v>DJ18897</v>
      </c>
      <c r="C3214" s="3" t="str">
        <f>IFERROR(__xludf.DUMMYFUNCTION("""COMPUTED_VALUE"""),"ร้าน All season")</f>
        <v>ร้าน All season</v>
      </c>
      <c r="D3214" s="3" t="str">
        <f>IFERROR(__xludf.DUMMYFUNCTION("""COMPUTED_VALUE"""),"ร้าน All season")</f>
        <v>ร้าน All season</v>
      </c>
      <c r="E3214" s="1" t="str">
        <f>IFERROR(__xludf.DUMMYFUNCTION("""COMPUTED_VALUE"""),"Donjai")</f>
        <v>Donjai</v>
      </c>
      <c r="F3214" s="1" t="str">
        <f>IFERROR(__xludf.DUMMYFUNCTION("""COMPUTED_VALUE"""),"296868")</f>
        <v>296868</v>
      </c>
      <c r="G3214" s="1" t="str">
        <f>IFERROR(__xludf.DUMMYFUNCTION("""COMPUTED_VALUE"""),"นายพีระพงษ์ แก้วดวงดี")</f>
        <v>นายพีระพงษ์ แก้วดวงดี</v>
      </c>
      <c r="H3214" s="1" t="str">
        <f>IFERROR(__xludf.DUMMYFUNCTION("""COMPUTED_VALUE"""),"296868")</f>
        <v>296868</v>
      </c>
      <c r="I3214" s="1" t="str">
        <f>IFERROR(__xludf.DUMMYFUNCTION("""COMPUTED_VALUE"""),"นายพีระพงษ์ แก้วดวงดี")</f>
        <v>นายพีระพงษ์ แก้วดวงดี</v>
      </c>
      <c r="J3214" s="3">
        <f>IFERROR(__xludf.DUMMYFUNCTION("""COMPUTED_VALUE"""),295886.0)</f>
        <v>295886</v>
      </c>
      <c r="K3214" s="3" t="str">
        <f>IFERROR(__xludf.DUMMYFUNCTION("""COMPUTED_VALUE"""),"นายจิระพงษ์ โพธิ์นิล")</f>
        <v>นายจิระพงษ์ โพธิ์นิล</v>
      </c>
      <c r="L3214" s="1" t="str">
        <f>IFERROR(__xludf.DUMMYFUNCTION("""COMPUTED_VALUE"""),"นายจิระพงษ์ โพธิ์นิล")</f>
        <v>นายจิระพงษ์ โพธิ์นิล</v>
      </c>
      <c r="M3214" s="1" t="str">
        <f>IFERROR(__xludf.DUMMYFUNCTION("""COMPUTED_VALUE"""),"0933290754")</f>
        <v>0933290754</v>
      </c>
      <c r="N3214" s="3" t="str">
        <f>IFERROR(__xludf.DUMMYFUNCTION("""COMPUTED_VALUE"""),"DJ18897")</f>
        <v>DJ18897</v>
      </c>
      <c r="O3214" s="3" t="str">
        <f>IFERROR(__xludf.DUMMYFUNCTION("""COMPUTED_VALUE"""),"ร้าน All season")</f>
        <v>ร้าน All season</v>
      </c>
      <c r="P3214" s="4">
        <f>IFERROR(__xludf.DUMMYFUNCTION("""COMPUTED_VALUE"""),45566.0)</f>
        <v>45566</v>
      </c>
      <c r="Q3214" s="3" t="str">
        <f>IFERROR(__xludf.DUMMYFUNCTION("""COMPUTED_VALUE"""),"A")</f>
        <v>A</v>
      </c>
      <c r="R3214" s="3" t="str">
        <f>IFERROR(__xludf.DUMMYFUNCTION("""COMPUTED_VALUE"""),"Small Format")</f>
        <v>Small Format</v>
      </c>
      <c r="S3214" s="3" t="str">
        <f>IFERROR(__xludf.DUMMYFUNCTION("""COMPUTED_VALUE"""),"Donjai")</f>
        <v>Donjai</v>
      </c>
      <c r="T3214" s="3" t="str">
        <f>IFERROR(__xludf.DUMMYFUNCTION("""COMPUTED_VALUE"""),"03 K.Peerapong K.")</f>
        <v>03 K.Peerapong K.</v>
      </c>
      <c r="U3214" s="3" t="str">
        <f>IFERROR(__xludf.DUMMYFUNCTION("""COMPUTED_VALUE"""),"03 K.Peerapong K.")</f>
        <v>03 K.Peerapong K.</v>
      </c>
      <c r="V3214" s="3" t="str">
        <f>IFERROR(__xludf.DUMMYFUNCTION("""COMPUTED_VALUE"""),"N")</f>
        <v>N</v>
      </c>
      <c r="W3214" s="3"/>
      <c r="X3214" s="3" t="str">
        <f>IFERROR(__xludf.DUMMYFUNCTION("""COMPUTED_VALUE"""),"190/1 หมู่14 เชียงเคลือ เมืองสกลนคร สกลนคร")</f>
        <v>190/1 หมู่14 เชียงเคลือ เมืองสกลนคร สกลนคร</v>
      </c>
      <c r="Y3214" s="3"/>
      <c r="Z3214" s="3"/>
      <c r="AA3214" s="3"/>
      <c r="AB3214" s="3"/>
      <c r="AC3214" s="3"/>
      <c r="AD3214" s="3"/>
      <c r="AE3214" s="3"/>
      <c r="AF3214" s="3" t="str">
        <f>IFERROR(__xludf.DUMMYFUNCTION("""COMPUTED_VALUE"""),"ร้าน All season-DJ18897")</f>
        <v>ร้าน All season-DJ18897</v>
      </c>
      <c r="AG3214" s="3">
        <f>IFERROR(__xludf.DUMMYFUNCTION("""COMPUTED_VALUE"""),0.0)</f>
        <v>0</v>
      </c>
      <c r="AH3214" s="3" t="str">
        <f>IFERROR(__xludf.DUMMYFUNCTION("""COMPUTED_VALUE"""),"#N/A")</f>
        <v>#N/A</v>
      </c>
      <c r="AI3214" s="3" t="str">
        <f>IFERROR(__xludf.DUMMYFUNCTION("""COMPUTED_VALUE"""),"Out of warranty")</f>
        <v>Out of warranty</v>
      </c>
      <c r="AJ3214" s="3">
        <f>IFERROR(__xludf.DUMMYFUNCTION("""COMPUTED_VALUE"""),16.0)</f>
        <v>16</v>
      </c>
      <c r="AK3214" s="3"/>
      <c r="AL3214" s="3"/>
    </row>
    <row r="3215" ht="15.75" customHeight="1">
      <c r="A3215" s="1" t="str">
        <f>IFERROR(__xludf.DUMMYFUNCTION("""COMPUTED_VALUE"""),"DJ19290")</f>
        <v>DJ19290</v>
      </c>
      <c r="B3215" s="2" t="str">
        <f>IFERROR(__xludf.DUMMYFUNCTION("""COMPUTED_VALUE"""),"DJ19290")</f>
        <v>DJ19290</v>
      </c>
      <c r="C3215" s="3" t="str">
        <f>IFERROR(__xludf.DUMMYFUNCTION("""COMPUTED_VALUE"""),"ร้าน JP Shop จิตรประเสริฐ")</f>
        <v>ร้าน JP Shop จิตรประเสริฐ</v>
      </c>
      <c r="D3215" s="3" t="str">
        <f>IFERROR(__xludf.DUMMYFUNCTION("""COMPUTED_VALUE"""),"ร้าน JP Shop จิตรประเสริฐ")</f>
        <v>ร้าน JP Shop จิตรประเสริฐ</v>
      </c>
      <c r="E3215" s="1" t="str">
        <f>IFERROR(__xludf.DUMMYFUNCTION("""COMPUTED_VALUE"""),"Donjai")</f>
        <v>Donjai</v>
      </c>
      <c r="F3215" s="1" t="str">
        <f>IFERROR(__xludf.DUMMYFUNCTION("""COMPUTED_VALUE"""),"296868")</f>
        <v>296868</v>
      </c>
      <c r="G3215" s="1" t="str">
        <f>IFERROR(__xludf.DUMMYFUNCTION("""COMPUTED_VALUE"""),"นายพีระพงษ์ แก้วดวงดี")</f>
        <v>นายพีระพงษ์ แก้วดวงดี</v>
      </c>
      <c r="H3215" s="1" t="str">
        <f>IFERROR(__xludf.DUMMYFUNCTION("""COMPUTED_VALUE"""),"296868")</f>
        <v>296868</v>
      </c>
      <c r="I3215" s="1" t="str">
        <f>IFERROR(__xludf.DUMMYFUNCTION("""COMPUTED_VALUE"""),"นายพีระพงษ์ แก้วดวงดี")</f>
        <v>นายพีระพงษ์ แก้วดวงดี</v>
      </c>
      <c r="J3215" s="3">
        <f>IFERROR(__xludf.DUMMYFUNCTION("""COMPUTED_VALUE"""),295886.0)</f>
        <v>295886</v>
      </c>
      <c r="K3215" s="3" t="str">
        <f>IFERROR(__xludf.DUMMYFUNCTION("""COMPUTED_VALUE"""),"นายจิระพงษ์ โพธิ์นิล")</f>
        <v>นายจิระพงษ์ โพธิ์นิล</v>
      </c>
      <c r="L3215" s="1" t="str">
        <f>IFERROR(__xludf.DUMMYFUNCTION("""COMPUTED_VALUE"""),"นายจิระพงษ์ โพธิ์นิล")</f>
        <v>นายจิระพงษ์ โพธิ์นิล</v>
      </c>
      <c r="M3215" s="1" t="str">
        <f>IFERROR(__xludf.DUMMYFUNCTION("""COMPUTED_VALUE"""),"0933290754")</f>
        <v>0933290754</v>
      </c>
      <c r="N3215" s="3" t="str">
        <f>IFERROR(__xludf.DUMMYFUNCTION("""COMPUTED_VALUE"""),"DJ19290")</f>
        <v>DJ19290</v>
      </c>
      <c r="O3215" s="3" t="str">
        <f>IFERROR(__xludf.DUMMYFUNCTION("""COMPUTED_VALUE"""),"ร้าน JP Shop จิตรประเสริฐ")</f>
        <v>ร้าน JP Shop จิตรประเสริฐ</v>
      </c>
      <c r="P3215" s="4">
        <f>IFERROR(__xludf.DUMMYFUNCTION("""COMPUTED_VALUE"""),45548.0)</f>
        <v>45548</v>
      </c>
      <c r="Q3215" s="3" t="str">
        <f>IFERROR(__xludf.DUMMYFUNCTION("""COMPUTED_VALUE"""),"A")</f>
        <v>A</v>
      </c>
      <c r="R3215" s="3" t="str">
        <f>IFERROR(__xludf.DUMMYFUNCTION("""COMPUTED_VALUE"""),"Small Format")</f>
        <v>Small Format</v>
      </c>
      <c r="S3215" s="3" t="str">
        <f>IFERROR(__xludf.DUMMYFUNCTION("""COMPUTED_VALUE"""),"Donjai")</f>
        <v>Donjai</v>
      </c>
      <c r="T3215" s="3" t="str">
        <f>IFERROR(__xludf.DUMMYFUNCTION("""COMPUTED_VALUE"""),"03 K.Peerapong K.")</f>
        <v>03 K.Peerapong K.</v>
      </c>
      <c r="U3215" s="3" t="str">
        <f>IFERROR(__xludf.DUMMYFUNCTION("""COMPUTED_VALUE"""),"03 K.Peerapong K.")</f>
        <v>03 K.Peerapong K.</v>
      </c>
      <c r="V3215" s="3" t="str">
        <f>IFERROR(__xludf.DUMMYFUNCTION("""COMPUTED_VALUE"""),"N")</f>
        <v>N</v>
      </c>
      <c r="W3215" s="3"/>
      <c r="X3215" s="3" t="str">
        <f>IFERROR(__xludf.DUMMYFUNCTION("""COMPUTED_VALUE"""),"146 ม.6 หนองกุงแก้ว ศรีบุญเรือง หนองบัวลำภู")</f>
        <v>146 ม.6 หนองกุงแก้ว ศรีบุญเรือง หนองบัวลำภู</v>
      </c>
      <c r="Y3215" s="3"/>
      <c r="Z3215" s="3"/>
      <c r="AA3215" s="3"/>
      <c r="AB3215" s="3"/>
      <c r="AC3215" s="3"/>
      <c r="AD3215" s="3"/>
      <c r="AE3215" s="3"/>
      <c r="AF3215" s="3" t="str">
        <f>IFERROR(__xludf.DUMMYFUNCTION("""COMPUTED_VALUE"""),"ร้าน JP Shop จิตรประเสริฐ-DJ19290")</f>
        <v>ร้าน JP Shop จิตรประเสริฐ-DJ19290</v>
      </c>
      <c r="AG3215" s="3">
        <f>IFERROR(__xludf.DUMMYFUNCTION("""COMPUTED_VALUE"""),0.0)</f>
        <v>0</v>
      </c>
      <c r="AH3215" s="3" t="str">
        <f>IFERROR(__xludf.DUMMYFUNCTION("""COMPUTED_VALUE"""),"#N/A")</f>
        <v>#N/A</v>
      </c>
      <c r="AI3215" s="3" t="str">
        <f>IFERROR(__xludf.DUMMYFUNCTION("""COMPUTED_VALUE"""),"Out of warranty")</f>
        <v>Out of warranty</v>
      </c>
      <c r="AJ3215" s="3">
        <f>IFERROR(__xludf.DUMMYFUNCTION("""COMPUTED_VALUE"""),17.0)</f>
        <v>17</v>
      </c>
      <c r="AK3215" s="3"/>
      <c r="AL3215" s="3"/>
    </row>
    <row r="3216" ht="15.75" customHeight="1">
      <c r="A3216" s="1" t="str">
        <f>IFERROR(__xludf.DUMMYFUNCTION("""COMPUTED_VALUE"""),"DJ19291")</f>
        <v>DJ19291</v>
      </c>
      <c r="B3216" s="2" t="str">
        <f>IFERROR(__xludf.DUMMYFUNCTION("""COMPUTED_VALUE"""),"DJ19291")</f>
        <v>DJ19291</v>
      </c>
      <c r="C3216" s="3" t="str">
        <f>IFERROR(__xludf.DUMMYFUNCTION("""COMPUTED_VALUE"""),"ร้านหิวอะดิ โดนใจ")</f>
        <v>ร้านหิวอะดิ โดนใจ</v>
      </c>
      <c r="D3216" s="3" t="str">
        <f>IFERROR(__xludf.DUMMYFUNCTION("""COMPUTED_VALUE"""),"ร้านหิวอะดิ โดนใจ")</f>
        <v>ร้านหิวอะดิ โดนใจ</v>
      </c>
      <c r="E3216" s="1" t="str">
        <f>IFERROR(__xludf.DUMMYFUNCTION("""COMPUTED_VALUE"""),"Donjai")</f>
        <v>Donjai</v>
      </c>
      <c r="F3216" s="1" t="str">
        <f>IFERROR(__xludf.DUMMYFUNCTION("""COMPUTED_VALUE"""),"296608")</f>
        <v>296608</v>
      </c>
      <c r="G3216" s="1" t="str">
        <f>IFERROR(__xludf.DUMMYFUNCTION("""COMPUTED_VALUE"""),"นายภาคภูมิ เพ็ชรนิล")</f>
        <v>นายภาคภูมิ เพ็ชรนิล</v>
      </c>
      <c r="H3216" s="1" t="str">
        <f>IFERROR(__xludf.DUMMYFUNCTION("""COMPUTED_VALUE"""),"296608")</f>
        <v>296608</v>
      </c>
      <c r="I3216" s="1" t="str">
        <f>IFERROR(__xludf.DUMMYFUNCTION("""COMPUTED_VALUE"""),"นายภาคภูมิ เพ็ชรนิล")</f>
        <v>นายภาคภูมิ เพ็ชรนิล</v>
      </c>
      <c r="J3216" s="3">
        <f>IFERROR(__xludf.DUMMYFUNCTION("""COMPUTED_VALUE"""),228031.0)</f>
        <v>228031</v>
      </c>
      <c r="K3216" s="3" t="str">
        <f>IFERROR(__xludf.DUMMYFUNCTION("""COMPUTED_VALUE"""),"นายธนพงษ์ วันหมัด")</f>
        <v>นายธนพงษ์ วันหมัด</v>
      </c>
      <c r="L3216" s="1" t="str">
        <f>IFERROR(__xludf.DUMMYFUNCTION("""COMPUTED_VALUE"""),"นายธนพงษ์ วันหมัด")</f>
        <v>นายธนพงษ์ วันหมัด</v>
      </c>
      <c r="M3216" s="1" t="str">
        <f>IFERROR(__xludf.DUMMYFUNCTION("""COMPUTED_VALUE"""),"0813716913")</f>
        <v>0813716913</v>
      </c>
      <c r="N3216" s="3" t="str">
        <f>IFERROR(__xludf.DUMMYFUNCTION("""COMPUTED_VALUE"""),"DJ19291")</f>
        <v>DJ19291</v>
      </c>
      <c r="O3216" s="3" t="str">
        <f>IFERROR(__xludf.DUMMYFUNCTION("""COMPUTED_VALUE"""),"ร้านหิวอะดิ โดนใจ")</f>
        <v>ร้านหิวอะดิ โดนใจ</v>
      </c>
      <c r="P3216" s="4">
        <f>IFERROR(__xludf.DUMMYFUNCTION("""COMPUTED_VALUE"""),45562.0)</f>
        <v>45562</v>
      </c>
      <c r="Q3216" s="3" t="str">
        <f>IFERROR(__xludf.DUMMYFUNCTION("""COMPUTED_VALUE"""),"A")</f>
        <v>A</v>
      </c>
      <c r="R3216" s="3" t="str">
        <f>IFERROR(__xludf.DUMMYFUNCTION("""COMPUTED_VALUE"""),"Small Format")</f>
        <v>Small Format</v>
      </c>
      <c r="S3216" s="3" t="str">
        <f>IFERROR(__xludf.DUMMYFUNCTION("""COMPUTED_VALUE"""),"Donjai")</f>
        <v>Donjai</v>
      </c>
      <c r="T3216" s="3" t="str">
        <f>IFERROR(__xludf.DUMMYFUNCTION("""COMPUTED_VALUE"""),"10 K.Phakphoom P.")</f>
        <v>10 K.Phakphoom P.</v>
      </c>
      <c r="U3216" s="3" t="str">
        <f>IFERROR(__xludf.DUMMYFUNCTION("""COMPUTED_VALUE"""),"10 K.Phakphoom P.")</f>
        <v>10 K.Phakphoom P.</v>
      </c>
      <c r="V3216" s="3" t="str">
        <f>IFERROR(__xludf.DUMMYFUNCTION("""COMPUTED_VALUE"""),"N")</f>
        <v>N</v>
      </c>
      <c r="W3216" s="3"/>
      <c r="X3216" s="3" t="str">
        <f>IFERROR(__xludf.DUMMYFUNCTION("""COMPUTED_VALUE"""),"555/113 ทับใต้ หัวหิน ประจวบคิรีขันธ์")</f>
        <v>555/113 ทับใต้ หัวหิน ประจวบคิรีขันธ์</v>
      </c>
      <c r="Y3216" s="3"/>
      <c r="Z3216" s="3"/>
      <c r="AA3216" s="3"/>
      <c r="AB3216" s="3"/>
      <c r="AC3216" s="3"/>
      <c r="AD3216" s="3"/>
      <c r="AE3216" s="3"/>
      <c r="AF3216" s="3" t="str">
        <f>IFERROR(__xludf.DUMMYFUNCTION("""COMPUTED_VALUE"""),"ร้านหิวอะดิ โดนใจ-DJ19291")</f>
        <v>ร้านหิวอะดิ โดนใจ-DJ19291</v>
      </c>
      <c r="AG3216" s="3">
        <f>IFERROR(__xludf.DUMMYFUNCTION("""COMPUTED_VALUE"""),0.0)</f>
        <v>0</v>
      </c>
      <c r="AH3216" s="3" t="str">
        <f>IFERROR(__xludf.DUMMYFUNCTION("""COMPUTED_VALUE"""),"#N/A")</f>
        <v>#N/A</v>
      </c>
      <c r="AI3216" s="3" t="str">
        <f>IFERROR(__xludf.DUMMYFUNCTION("""COMPUTED_VALUE"""),"Out of warranty")</f>
        <v>Out of warranty</v>
      </c>
      <c r="AJ3216" s="3">
        <f>IFERROR(__xludf.DUMMYFUNCTION("""COMPUTED_VALUE"""),16.0)</f>
        <v>16</v>
      </c>
      <c r="AK3216" s="3"/>
      <c r="AL3216" s="3"/>
    </row>
    <row r="3217" ht="15.75" customHeight="1">
      <c r="A3217" s="1" t="str">
        <f>IFERROR(__xludf.DUMMYFUNCTION("""COMPUTED_VALUE"""),"DJ19475")</f>
        <v>DJ19475</v>
      </c>
      <c r="B3217" s="2" t="str">
        <f>IFERROR(__xludf.DUMMYFUNCTION("""COMPUTED_VALUE"""),"DJ19475")</f>
        <v>DJ19475</v>
      </c>
      <c r="C3217" s="3" t="str">
        <f>IFERROR(__xludf.DUMMYFUNCTION("""COMPUTED_VALUE"""),"ร้านโคกศรี พิมพ์มาดา")</f>
        <v>ร้านโคกศรี พิมพ์มาดา</v>
      </c>
      <c r="D3217" s="3" t="str">
        <f>IFERROR(__xludf.DUMMYFUNCTION("""COMPUTED_VALUE"""),"ร้านโคกศรี พิมพ์มาดา")</f>
        <v>ร้านโคกศรี พิมพ์มาดา</v>
      </c>
      <c r="E3217" s="1" t="str">
        <f>IFERROR(__xludf.DUMMYFUNCTION("""COMPUTED_VALUE"""),"Donjai")</f>
        <v>Donjai</v>
      </c>
      <c r="F3217" s="1" t="str">
        <f>IFERROR(__xludf.DUMMYFUNCTION("""COMPUTED_VALUE"""),"296868")</f>
        <v>296868</v>
      </c>
      <c r="G3217" s="1" t="str">
        <f>IFERROR(__xludf.DUMMYFUNCTION("""COMPUTED_VALUE"""),"นายพีระพงษ์ แก้วดวงดี")</f>
        <v>นายพีระพงษ์ แก้วดวงดี</v>
      </c>
      <c r="H3217" s="1" t="str">
        <f>IFERROR(__xludf.DUMMYFUNCTION("""COMPUTED_VALUE"""),"296868")</f>
        <v>296868</v>
      </c>
      <c r="I3217" s="1" t="str">
        <f>IFERROR(__xludf.DUMMYFUNCTION("""COMPUTED_VALUE"""),"นายพีระพงษ์ แก้วดวงดี")</f>
        <v>นายพีระพงษ์ แก้วดวงดี</v>
      </c>
      <c r="J3217" s="3">
        <f>IFERROR(__xludf.DUMMYFUNCTION("""COMPUTED_VALUE"""),295886.0)</f>
        <v>295886</v>
      </c>
      <c r="K3217" s="3" t="str">
        <f>IFERROR(__xludf.DUMMYFUNCTION("""COMPUTED_VALUE"""),"นายจิระพงษ์ โพธิ์นิล")</f>
        <v>นายจิระพงษ์ โพธิ์นิล</v>
      </c>
      <c r="L3217" s="1" t="str">
        <f>IFERROR(__xludf.DUMMYFUNCTION("""COMPUTED_VALUE"""),"นายจิระพงษ์ โพธิ์นิล")</f>
        <v>นายจิระพงษ์ โพธิ์นิล</v>
      </c>
      <c r="M3217" s="1" t="str">
        <f>IFERROR(__xludf.DUMMYFUNCTION("""COMPUTED_VALUE"""),"0933290754")</f>
        <v>0933290754</v>
      </c>
      <c r="N3217" s="3" t="str">
        <f>IFERROR(__xludf.DUMMYFUNCTION("""COMPUTED_VALUE"""),"DJ19475")</f>
        <v>DJ19475</v>
      </c>
      <c r="O3217" s="3" t="str">
        <f>IFERROR(__xludf.DUMMYFUNCTION("""COMPUTED_VALUE"""),"ร้านโคกศรี พิมพ์มาดา")</f>
        <v>ร้านโคกศรี พิมพ์มาดา</v>
      </c>
      <c r="P3217" s="4">
        <f>IFERROR(__xludf.DUMMYFUNCTION("""COMPUTED_VALUE"""),45590.0)</f>
        <v>45590</v>
      </c>
      <c r="Q3217" s="3" t="str">
        <f>IFERROR(__xludf.DUMMYFUNCTION("""COMPUTED_VALUE"""),"A")</f>
        <v>A</v>
      </c>
      <c r="R3217" s="3" t="str">
        <f>IFERROR(__xludf.DUMMYFUNCTION("""COMPUTED_VALUE"""),"Small Format")</f>
        <v>Small Format</v>
      </c>
      <c r="S3217" s="3" t="str">
        <f>IFERROR(__xludf.DUMMYFUNCTION("""COMPUTED_VALUE"""),"Donjai")</f>
        <v>Donjai</v>
      </c>
      <c r="T3217" s="3" t="str">
        <f>IFERROR(__xludf.DUMMYFUNCTION("""COMPUTED_VALUE"""),"03 K.Peerapong K.")</f>
        <v>03 K.Peerapong K.</v>
      </c>
      <c r="U3217" s="3" t="str">
        <f>IFERROR(__xludf.DUMMYFUNCTION("""COMPUTED_VALUE"""),"03 K.Peerapong K.")</f>
        <v>03 K.Peerapong K.</v>
      </c>
      <c r="V3217" s="3" t="str">
        <f>IFERROR(__xludf.DUMMYFUNCTION("""COMPUTED_VALUE"""),"N")</f>
        <v>N</v>
      </c>
      <c r="W3217" s="3"/>
      <c r="X3217" s="3" t="str">
        <f>IFERROR(__xludf.DUMMYFUNCTION("""COMPUTED_VALUE"""),"77 หมู่3 ตำบลโคกศรี อำเภอสว่างแดนดิน จังหวัดสกลนคร 47110")</f>
        <v>77 หมู่3 ตำบลโคกศรี อำเภอสว่างแดนดิน จังหวัดสกลนคร 47110</v>
      </c>
      <c r="Y3217" s="3"/>
      <c r="Z3217" s="3"/>
      <c r="AA3217" s="3"/>
      <c r="AB3217" s="3"/>
      <c r="AC3217" s="3"/>
      <c r="AD3217" s="3"/>
      <c r="AE3217" s="3"/>
      <c r="AF3217" s="3" t="str">
        <f>IFERROR(__xludf.DUMMYFUNCTION("""COMPUTED_VALUE"""),"ร้านโคกศรี พิมพ์มาดา-DJ19475")</f>
        <v>ร้านโคกศรี พิมพ์มาดา-DJ19475</v>
      </c>
      <c r="AG3217" s="3">
        <f>IFERROR(__xludf.DUMMYFUNCTION("""COMPUTED_VALUE"""),0.0)</f>
        <v>0</v>
      </c>
      <c r="AH3217" s="3" t="str">
        <f>IFERROR(__xludf.DUMMYFUNCTION("""COMPUTED_VALUE"""),"#N/A")</f>
        <v>#N/A</v>
      </c>
      <c r="AI3217" s="3" t="str">
        <f>IFERROR(__xludf.DUMMYFUNCTION("""COMPUTED_VALUE"""),"Out of warranty")</f>
        <v>Out of warranty</v>
      </c>
      <c r="AJ3217" s="3">
        <f>IFERROR(__xludf.DUMMYFUNCTION("""COMPUTED_VALUE"""),15.0)</f>
        <v>15</v>
      </c>
      <c r="AK3217" s="3"/>
      <c r="AL3217" s="3"/>
    </row>
    <row r="3218" ht="15.75" customHeight="1">
      <c r="A3218" s="1" t="str">
        <f>IFERROR(__xludf.DUMMYFUNCTION("""COMPUTED_VALUE"""),"DJ19502")</f>
        <v>DJ19502</v>
      </c>
      <c r="B3218" s="2" t="str">
        <f>IFERROR(__xludf.DUMMYFUNCTION("""COMPUTED_VALUE"""),"DJ19502")</f>
        <v>DJ19502</v>
      </c>
      <c r="C3218" s="3" t="str">
        <f>IFERROR(__xludf.DUMMYFUNCTION("""COMPUTED_VALUE"""),"ร้าน C-MART")</f>
        <v>ร้าน C-MART</v>
      </c>
      <c r="D3218" s="3" t="str">
        <f>IFERROR(__xludf.DUMMYFUNCTION("""COMPUTED_VALUE"""),"ร้าน C-MART")</f>
        <v>ร้าน C-MART</v>
      </c>
      <c r="E3218" s="1" t="str">
        <f>IFERROR(__xludf.DUMMYFUNCTION("""COMPUTED_VALUE"""),"Donjai")</f>
        <v>Donjai</v>
      </c>
      <c r="F3218" s="1" t="str">
        <f>IFERROR(__xludf.DUMMYFUNCTION("""COMPUTED_VALUE"""),"00510143")</f>
        <v>00510143</v>
      </c>
      <c r="G3218" s="1" t="str">
        <f>IFERROR(__xludf.DUMMYFUNCTION("""COMPUTED_VALUE"""),"นายธีระวัฒน์ บุญสิทธิ์")</f>
        <v>นายธีระวัฒน์ บุญสิทธิ์</v>
      </c>
      <c r="H3218" s="1" t="str">
        <f>IFERROR(__xludf.DUMMYFUNCTION("""COMPUTED_VALUE"""),"00510143")</f>
        <v>00510143</v>
      </c>
      <c r="I3218" s="1" t="str">
        <f>IFERROR(__xludf.DUMMYFUNCTION("""COMPUTED_VALUE"""),"นายธีระวัฒน์ บุญสิทธิ์")</f>
        <v>นายธีระวัฒน์ บุญสิทธิ์</v>
      </c>
      <c r="J3218" s="3">
        <f>IFERROR(__xludf.DUMMYFUNCTION("""COMPUTED_VALUE"""),228031.0)</f>
        <v>228031</v>
      </c>
      <c r="K3218" s="3" t="str">
        <f>IFERROR(__xludf.DUMMYFUNCTION("""COMPUTED_VALUE"""),"นายธนพงษ์ วันหมัด")</f>
        <v>นายธนพงษ์ วันหมัด</v>
      </c>
      <c r="L3218" s="1" t="str">
        <f>IFERROR(__xludf.DUMMYFUNCTION("""COMPUTED_VALUE"""),"นายธนพงษ์ วันหมัด")</f>
        <v>นายธนพงษ์ วันหมัด</v>
      </c>
      <c r="M3218" s="1" t="str">
        <f>IFERROR(__xludf.DUMMYFUNCTION("""COMPUTED_VALUE"""),"0813716913")</f>
        <v>0813716913</v>
      </c>
      <c r="N3218" s="3" t="str">
        <f>IFERROR(__xludf.DUMMYFUNCTION("""COMPUTED_VALUE"""),"DJ19502")</f>
        <v>DJ19502</v>
      </c>
      <c r="O3218" s="3" t="str">
        <f>IFERROR(__xludf.DUMMYFUNCTION("""COMPUTED_VALUE"""),"ร้าน C-MART")</f>
        <v>ร้าน C-MART</v>
      </c>
      <c r="P3218" s="4">
        <f>IFERROR(__xludf.DUMMYFUNCTION("""COMPUTED_VALUE"""),45560.0)</f>
        <v>45560</v>
      </c>
      <c r="Q3218" s="3" t="str">
        <f>IFERROR(__xludf.DUMMYFUNCTION("""COMPUTED_VALUE"""),"A")</f>
        <v>A</v>
      </c>
      <c r="R3218" s="3" t="str">
        <f>IFERROR(__xludf.DUMMYFUNCTION("""COMPUTED_VALUE"""),"Small Format")</f>
        <v>Small Format</v>
      </c>
      <c r="S3218" s="3" t="str">
        <f>IFERROR(__xludf.DUMMYFUNCTION("""COMPUTED_VALUE"""),"Donjai")</f>
        <v>Donjai</v>
      </c>
      <c r="T3218" s="3" t="str">
        <f>IFERROR(__xludf.DUMMYFUNCTION("""COMPUTED_VALUE"""),"12 K.Theerawat B.")</f>
        <v>12 K.Theerawat B.</v>
      </c>
      <c r="U3218" s="3" t="str">
        <f>IFERROR(__xludf.DUMMYFUNCTION("""COMPUTED_VALUE"""),"12 K.Theerawat B.")</f>
        <v>12 K.Theerawat B.</v>
      </c>
      <c r="V3218" s="3" t="str">
        <f>IFERROR(__xludf.DUMMYFUNCTION("""COMPUTED_VALUE"""),"N")</f>
        <v>N</v>
      </c>
      <c r="W3218" s="3"/>
      <c r="X3218" s="3" t="str">
        <f>IFERROR(__xludf.DUMMYFUNCTION("""COMPUTED_VALUE"""),"40/2 หมู่3 บางขะแยง เมืองปทุมธานี ปทุมธานี")</f>
        <v>40/2 หมู่3 บางขะแยง เมืองปทุมธานี ปทุมธานี</v>
      </c>
      <c r="Y3218" s="3"/>
      <c r="Z3218" s="3"/>
      <c r="AA3218" s="3"/>
      <c r="AB3218" s="3"/>
      <c r="AC3218" s="3"/>
      <c r="AD3218" s="3"/>
      <c r="AE3218" s="3"/>
      <c r="AF3218" s="3" t="str">
        <f>IFERROR(__xludf.DUMMYFUNCTION("""COMPUTED_VALUE"""),"ร้าน C-MART-DJ19502")</f>
        <v>ร้าน C-MART-DJ19502</v>
      </c>
      <c r="AG3218" s="3">
        <f>IFERROR(__xludf.DUMMYFUNCTION("""COMPUTED_VALUE"""),0.0)</f>
        <v>0</v>
      </c>
      <c r="AH3218" s="3" t="str">
        <f>IFERROR(__xludf.DUMMYFUNCTION("""COMPUTED_VALUE"""),"#N/A")</f>
        <v>#N/A</v>
      </c>
      <c r="AI3218" s="3" t="str">
        <f>IFERROR(__xludf.DUMMYFUNCTION("""COMPUTED_VALUE"""),"Out of warranty")</f>
        <v>Out of warranty</v>
      </c>
      <c r="AJ3218" s="3">
        <f>IFERROR(__xludf.DUMMYFUNCTION("""COMPUTED_VALUE"""),16.0)</f>
        <v>16</v>
      </c>
      <c r="AK3218" s="3"/>
      <c r="AL3218" s="3"/>
    </row>
    <row r="3219" ht="15.75" customHeight="1">
      <c r="A3219" s="1" t="str">
        <f>IFERROR(__xludf.DUMMYFUNCTION("""COMPUTED_VALUE"""),"DJ19503")</f>
        <v>DJ19503</v>
      </c>
      <c r="B3219" s="2" t="str">
        <f>IFERROR(__xludf.DUMMYFUNCTION("""COMPUTED_VALUE"""),"DJ19503")</f>
        <v>DJ19503</v>
      </c>
      <c r="C3219" s="3" t="str">
        <f>IFERROR(__xludf.DUMMYFUNCTION("""COMPUTED_VALUE"""),"ร้านโดนใจงาม46")</f>
        <v>ร้านโดนใจงาม46</v>
      </c>
      <c r="D3219" s="3" t="str">
        <f>IFERROR(__xludf.DUMMYFUNCTION("""COMPUTED_VALUE"""),"ร้านโดนใจงาม46")</f>
        <v>ร้านโดนใจงาม46</v>
      </c>
      <c r="E3219" s="1" t="str">
        <f>IFERROR(__xludf.DUMMYFUNCTION("""COMPUTED_VALUE"""),"Donjai")</f>
        <v>Donjai</v>
      </c>
      <c r="F3219" s="1" t="str">
        <f>IFERROR(__xludf.DUMMYFUNCTION("""COMPUTED_VALUE"""),"2452378")</f>
        <v>2452378</v>
      </c>
      <c r="G3219" s="1" t="str">
        <f>IFERROR(__xludf.DUMMYFUNCTION("""COMPUTED_VALUE"""),"นายศักดิ์ดา พวงประดับ")</f>
        <v>นายศักดิ์ดา พวงประดับ</v>
      </c>
      <c r="H3219" s="1" t="str">
        <f>IFERROR(__xludf.DUMMYFUNCTION("""COMPUTED_VALUE"""),"2452378")</f>
        <v>2452378</v>
      </c>
      <c r="I3219" s="1" t="str">
        <f>IFERROR(__xludf.DUMMYFUNCTION("""COMPUTED_VALUE"""),"นายศักดิ์ดา พวงประดับ")</f>
        <v>นายศักดิ์ดา พวงประดับ</v>
      </c>
      <c r="J3219" s="3">
        <f>IFERROR(__xludf.DUMMYFUNCTION("""COMPUTED_VALUE"""),228031.0)</f>
        <v>228031</v>
      </c>
      <c r="K3219" s="3" t="str">
        <f>IFERROR(__xludf.DUMMYFUNCTION("""COMPUTED_VALUE"""),"นายธนพงษ์ วันหมัด")</f>
        <v>นายธนพงษ์ วันหมัด</v>
      </c>
      <c r="L3219" s="1" t="str">
        <f>IFERROR(__xludf.DUMMYFUNCTION("""COMPUTED_VALUE"""),"นายธนพงษ์ วันหมัด")</f>
        <v>นายธนพงษ์ วันหมัด</v>
      </c>
      <c r="M3219" s="1" t="str">
        <f>IFERROR(__xludf.DUMMYFUNCTION("""COMPUTED_VALUE"""),"0813716913")</f>
        <v>0813716913</v>
      </c>
      <c r="N3219" s="3" t="str">
        <f>IFERROR(__xludf.DUMMYFUNCTION("""COMPUTED_VALUE"""),"DJ19503")</f>
        <v>DJ19503</v>
      </c>
      <c r="O3219" s="3" t="str">
        <f>IFERROR(__xludf.DUMMYFUNCTION("""COMPUTED_VALUE"""),"ร้านโดนใจงาม46")</f>
        <v>ร้านโดนใจงาม46</v>
      </c>
      <c r="P3219" s="4">
        <f>IFERROR(__xludf.DUMMYFUNCTION("""COMPUTED_VALUE"""),45597.0)</f>
        <v>45597</v>
      </c>
      <c r="Q3219" s="3" t="str">
        <f>IFERROR(__xludf.DUMMYFUNCTION("""COMPUTED_VALUE"""),"I")</f>
        <v>I</v>
      </c>
      <c r="R3219" s="3" t="str">
        <f>IFERROR(__xludf.DUMMYFUNCTION("""COMPUTED_VALUE"""),"Small Format")</f>
        <v>Small Format</v>
      </c>
      <c r="S3219" s="3" t="str">
        <f>IFERROR(__xludf.DUMMYFUNCTION("""COMPUTED_VALUE"""),"Donjai")</f>
        <v>Donjai</v>
      </c>
      <c r="T3219" s="3" t="str">
        <f>IFERROR(__xludf.DUMMYFUNCTION("""COMPUTED_VALUE"""),"11 K.Sakda P.")</f>
        <v>11 K.Sakda P.</v>
      </c>
      <c r="U3219" s="3" t="str">
        <f>IFERROR(__xludf.DUMMYFUNCTION("""COMPUTED_VALUE"""),"11 K.Sakda P.")</f>
        <v>11 K.Sakda P.</v>
      </c>
      <c r="V3219" s="3" t="str">
        <f>IFERROR(__xludf.DUMMYFUNCTION("""COMPUTED_VALUE"""),"N")</f>
        <v>N</v>
      </c>
      <c r="W3219" s="3"/>
      <c r="X3219" s="3" t="str">
        <f>IFERROR(__xludf.DUMMYFUNCTION("""COMPUTED_VALUE"""),"86/27 ถ.งามวงศ์วาน46 ลาดยาว จตุจักร กทม")</f>
        <v>86/27 ถ.งามวงศ์วาน46 ลาดยาว จตุจักร กทม</v>
      </c>
      <c r="Y3219" s="3"/>
      <c r="Z3219" s="3"/>
      <c r="AA3219" s="3"/>
      <c r="AB3219" s="3"/>
      <c r="AC3219" s="3"/>
      <c r="AD3219" s="3"/>
      <c r="AE3219" s="3"/>
      <c r="AF3219" s="3" t="str">
        <f>IFERROR(__xludf.DUMMYFUNCTION("""COMPUTED_VALUE"""),"ร้านโดนใจงาม46-DJ19503")</f>
        <v>ร้านโดนใจงาม46-DJ19503</v>
      </c>
      <c r="AG3219" s="3">
        <f>IFERROR(__xludf.DUMMYFUNCTION("""COMPUTED_VALUE"""),0.0)</f>
        <v>0</v>
      </c>
      <c r="AH3219" s="3" t="str">
        <f>IFERROR(__xludf.DUMMYFUNCTION("""COMPUTED_VALUE"""),"#N/A")</f>
        <v>#N/A</v>
      </c>
      <c r="AI3219" s="3" t="str">
        <f>IFERROR(__xludf.DUMMYFUNCTION("""COMPUTED_VALUE"""),"Out of warranty")</f>
        <v>Out of warranty</v>
      </c>
      <c r="AJ3219" s="3">
        <f>IFERROR(__xludf.DUMMYFUNCTION("""COMPUTED_VALUE"""),15.0)</f>
        <v>15</v>
      </c>
      <c r="AK3219" s="3"/>
      <c r="AL3219" s="3"/>
    </row>
    <row r="3220" ht="15.75" customHeight="1">
      <c r="A3220" s="1" t="str">
        <f>IFERROR(__xludf.DUMMYFUNCTION("""COMPUTED_VALUE"""),"DJ19504")</f>
        <v>DJ19504</v>
      </c>
      <c r="B3220" s="2" t="str">
        <f>IFERROR(__xludf.DUMMYFUNCTION("""COMPUTED_VALUE"""),"DJ19504")</f>
        <v>DJ19504</v>
      </c>
      <c r="C3220" s="3" t="str">
        <f>IFERROR(__xludf.DUMMYFUNCTION("""COMPUTED_VALUE"""),"ร้านณาณา มินิมาร์ท")</f>
        <v>ร้านณาณา มินิมาร์ท</v>
      </c>
      <c r="D3220" s="3" t="str">
        <f>IFERROR(__xludf.DUMMYFUNCTION("""COMPUTED_VALUE"""),"ร้านณาณา มินิมาร์ท")</f>
        <v>ร้านณาณา มินิมาร์ท</v>
      </c>
      <c r="E3220" s="1" t="str">
        <f>IFERROR(__xludf.DUMMYFUNCTION("""COMPUTED_VALUE"""),"Donjai")</f>
        <v>Donjai</v>
      </c>
      <c r="F3220" s="1" t="str">
        <f>IFERROR(__xludf.DUMMYFUNCTION("""COMPUTED_VALUE"""),"2010016")</f>
        <v>2010016</v>
      </c>
      <c r="G3220" s="1" t="str">
        <f>IFERROR(__xludf.DUMMYFUNCTION("""COMPUTED_VALUE"""),"นายตวงธรรม ใหม่ยศ")</f>
        <v>นายตวงธรรม ใหม่ยศ</v>
      </c>
      <c r="H3220" s="1" t="str">
        <f>IFERROR(__xludf.DUMMYFUNCTION("""COMPUTED_VALUE"""),"2010016")</f>
        <v>2010016</v>
      </c>
      <c r="I3220" s="1" t="str">
        <f>IFERROR(__xludf.DUMMYFUNCTION("""COMPUTED_VALUE"""),"นายตวงธรรม ใหม่ยศ")</f>
        <v>นายตวงธรรม ใหม่ยศ</v>
      </c>
      <c r="J3220" s="3">
        <f>IFERROR(__xludf.DUMMYFUNCTION("""COMPUTED_VALUE"""),295886.0)</f>
        <v>295886</v>
      </c>
      <c r="K3220" s="3" t="str">
        <f>IFERROR(__xludf.DUMMYFUNCTION("""COMPUTED_VALUE"""),"นายจิระพงษ์ โพธิ์นิล")</f>
        <v>นายจิระพงษ์ โพธิ์นิล</v>
      </c>
      <c r="L3220" s="1" t="str">
        <f>IFERROR(__xludf.DUMMYFUNCTION("""COMPUTED_VALUE"""),"นายจิระพงษ์ โพธิ์นิล")</f>
        <v>นายจิระพงษ์ โพธิ์นิล</v>
      </c>
      <c r="M3220" s="1" t="str">
        <f>IFERROR(__xludf.DUMMYFUNCTION("""COMPUTED_VALUE"""),"0933290754")</f>
        <v>0933290754</v>
      </c>
      <c r="N3220" s="3" t="str">
        <f>IFERROR(__xludf.DUMMYFUNCTION("""COMPUTED_VALUE"""),"DJ19504")</f>
        <v>DJ19504</v>
      </c>
      <c r="O3220" s="3" t="str">
        <f>IFERROR(__xludf.DUMMYFUNCTION("""COMPUTED_VALUE"""),"ร้านณาณา มินิมาร์ท")</f>
        <v>ร้านณาณา มินิมาร์ท</v>
      </c>
      <c r="P3220" s="4">
        <f>IFERROR(__xludf.DUMMYFUNCTION("""COMPUTED_VALUE"""),45555.0)</f>
        <v>45555</v>
      </c>
      <c r="Q3220" s="3" t="str">
        <f>IFERROR(__xludf.DUMMYFUNCTION("""COMPUTED_VALUE"""),"A")</f>
        <v>A</v>
      </c>
      <c r="R3220" s="3" t="str">
        <f>IFERROR(__xludf.DUMMYFUNCTION("""COMPUTED_VALUE"""),"Small Format")</f>
        <v>Small Format</v>
      </c>
      <c r="S3220" s="3" t="str">
        <f>IFERROR(__xludf.DUMMYFUNCTION("""COMPUTED_VALUE"""),"Donjai")</f>
        <v>Donjai</v>
      </c>
      <c r="T3220" s="3" t="str">
        <f>IFERROR(__xludf.DUMMYFUNCTION("""COMPUTED_VALUE"""),"01 K.Tuangtham M.")</f>
        <v>01 K.Tuangtham M.</v>
      </c>
      <c r="U3220" s="3" t="str">
        <f>IFERROR(__xludf.DUMMYFUNCTION("""COMPUTED_VALUE"""),"01 K.Tuangtham M.")</f>
        <v>01 K.Tuangtham M.</v>
      </c>
      <c r="V3220" s="3" t="str">
        <f>IFERROR(__xludf.DUMMYFUNCTION("""COMPUTED_VALUE"""),"N")</f>
        <v>N</v>
      </c>
      <c r="W3220" s="3"/>
      <c r="X3220" s="3" t="str">
        <f>IFERROR(__xludf.DUMMYFUNCTION("""COMPUTED_VALUE"""),"257/5 หมู่ 5 ยางเนิ้ง สารภี เชียงใหม่")</f>
        <v>257/5 หมู่ 5 ยางเนิ้ง สารภี เชียงใหม่</v>
      </c>
      <c r="Y3220" s="3"/>
      <c r="Z3220" s="3"/>
      <c r="AA3220" s="3"/>
      <c r="AB3220" s="3"/>
      <c r="AC3220" s="3"/>
      <c r="AD3220" s="3"/>
      <c r="AE3220" s="3"/>
      <c r="AF3220" s="3" t="str">
        <f>IFERROR(__xludf.DUMMYFUNCTION("""COMPUTED_VALUE"""),"ร้านณาณา มินิมาร์ท-DJ19504")</f>
        <v>ร้านณาณา มินิมาร์ท-DJ19504</v>
      </c>
      <c r="AG3220" s="3">
        <f>IFERROR(__xludf.DUMMYFUNCTION("""COMPUTED_VALUE"""),0.0)</f>
        <v>0</v>
      </c>
      <c r="AH3220" s="3" t="str">
        <f>IFERROR(__xludf.DUMMYFUNCTION("""COMPUTED_VALUE"""),"#N/A")</f>
        <v>#N/A</v>
      </c>
      <c r="AI3220" s="3" t="str">
        <f>IFERROR(__xludf.DUMMYFUNCTION("""COMPUTED_VALUE"""),"Out of warranty")</f>
        <v>Out of warranty</v>
      </c>
      <c r="AJ3220" s="3">
        <f>IFERROR(__xludf.DUMMYFUNCTION("""COMPUTED_VALUE"""),17.0)</f>
        <v>17</v>
      </c>
      <c r="AK3220" s="3"/>
      <c r="AL3220" s="3"/>
    </row>
    <row r="3221" ht="15.75" customHeight="1">
      <c r="A3221" s="1" t="str">
        <f>IFERROR(__xludf.DUMMYFUNCTION("""COMPUTED_VALUE"""),"DJ19606")</f>
        <v>DJ19606</v>
      </c>
      <c r="B3221" s="2" t="str">
        <f>IFERROR(__xludf.DUMMYFUNCTION("""COMPUTED_VALUE"""),"DJ19606")</f>
        <v>DJ19606</v>
      </c>
      <c r="C3221" s="3" t="str">
        <f>IFERROR(__xludf.DUMMYFUNCTION("""COMPUTED_VALUE"""),"ร้านเจ๊นาง")</f>
        <v>ร้านเจ๊นาง</v>
      </c>
      <c r="D3221" s="3" t="str">
        <f>IFERROR(__xludf.DUMMYFUNCTION("""COMPUTED_VALUE"""),"ร้านเจ๊นาง")</f>
        <v>ร้านเจ๊นาง</v>
      </c>
      <c r="E3221" s="1" t="str">
        <f>IFERROR(__xludf.DUMMYFUNCTION("""COMPUTED_VALUE"""),"Donjai")</f>
        <v>Donjai</v>
      </c>
      <c r="F3221" s="1" t="str">
        <f>IFERROR(__xludf.DUMMYFUNCTION("""COMPUTED_VALUE"""),"2454781")</f>
        <v>2454781</v>
      </c>
      <c r="G3221" s="1" t="str">
        <f>IFERROR(__xludf.DUMMYFUNCTION("""COMPUTED_VALUE"""),"นายฌานกฤช นันทะโคต")</f>
        <v>นายฌานกฤช นันทะโคต</v>
      </c>
      <c r="H3221" s="1" t="str">
        <f>IFERROR(__xludf.DUMMYFUNCTION("""COMPUTED_VALUE"""),"2454781")</f>
        <v>2454781</v>
      </c>
      <c r="I3221" s="1" t="str">
        <f>IFERROR(__xludf.DUMMYFUNCTION("""COMPUTED_VALUE"""),"นายฌานกฤช นันทะโคต")</f>
        <v>นายฌานกฤช นันทะโคต</v>
      </c>
      <c r="J3221" s="3">
        <f>IFERROR(__xludf.DUMMYFUNCTION("""COMPUTED_VALUE"""),295886.0)</f>
        <v>295886</v>
      </c>
      <c r="K3221" s="3" t="str">
        <f>IFERROR(__xludf.DUMMYFUNCTION("""COMPUTED_VALUE"""),"นายจิระพงษ์ โพธิ์นิล")</f>
        <v>นายจิระพงษ์ โพธิ์นิล</v>
      </c>
      <c r="L3221" s="1" t="str">
        <f>IFERROR(__xludf.DUMMYFUNCTION("""COMPUTED_VALUE"""),"นายจิระพงษ์ โพธิ์นิล")</f>
        <v>นายจิระพงษ์ โพธิ์นิล</v>
      </c>
      <c r="M3221" s="1" t="str">
        <f>IFERROR(__xludf.DUMMYFUNCTION("""COMPUTED_VALUE"""),"0933290754")</f>
        <v>0933290754</v>
      </c>
      <c r="N3221" s="3" t="str">
        <f>IFERROR(__xludf.DUMMYFUNCTION("""COMPUTED_VALUE"""),"DJ19606")</f>
        <v>DJ19606</v>
      </c>
      <c r="O3221" s="3" t="str">
        <f>IFERROR(__xludf.DUMMYFUNCTION("""COMPUTED_VALUE"""),"ร้านเจ๊นาง")</f>
        <v>ร้านเจ๊นาง</v>
      </c>
      <c r="P3221" s="4">
        <f>IFERROR(__xludf.DUMMYFUNCTION("""COMPUTED_VALUE"""),45562.0)</f>
        <v>45562</v>
      </c>
      <c r="Q3221" s="3" t="str">
        <f>IFERROR(__xludf.DUMMYFUNCTION("""COMPUTED_VALUE"""),"A")</f>
        <v>A</v>
      </c>
      <c r="R3221" s="3" t="str">
        <f>IFERROR(__xludf.DUMMYFUNCTION("""COMPUTED_VALUE"""),"Small Format")</f>
        <v>Small Format</v>
      </c>
      <c r="S3221" s="3" t="str">
        <f>IFERROR(__xludf.DUMMYFUNCTION("""COMPUTED_VALUE"""),"Donjai")</f>
        <v>Donjai</v>
      </c>
      <c r="T3221" s="3" t="str">
        <f>IFERROR(__xludf.DUMMYFUNCTION("""COMPUTED_VALUE"""),"05 K.Chanakrit N.")</f>
        <v>05 K.Chanakrit N.</v>
      </c>
      <c r="U3221" s="3" t="str">
        <f>IFERROR(__xludf.DUMMYFUNCTION("""COMPUTED_VALUE"""),"05 K.Chanakrit N.")</f>
        <v>05 K.Chanakrit N.</v>
      </c>
      <c r="V3221" s="3" t="str">
        <f>IFERROR(__xludf.DUMMYFUNCTION("""COMPUTED_VALUE"""),"N")</f>
        <v>N</v>
      </c>
      <c r="W3221" s="3"/>
      <c r="X3221" s="3" t="str">
        <f>IFERROR(__xludf.DUMMYFUNCTION("""COMPUTED_VALUE"""),"168 หมู่ 1 มะค่า กันทรวิชัย มหาสารคาม")</f>
        <v>168 หมู่ 1 มะค่า กันทรวิชัย มหาสารคาม</v>
      </c>
      <c r="Y3221" s="3"/>
      <c r="Z3221" s="3"/>
      <c r="AA3221" s="3"/>
      <c r="AB3221" s="3"/>
      <c r="AC3221" s="3"/>
      <c r="AD3221" s="3"/>
      <c r="AE3221" s="3"/>
      <c r="AF3221" s="3" t="str">
        <f>IFERROR(__xludf.DUMMYFUNCTION("""COMPUTED_VALUE"""),"ร้านเจ๊นาง-DJ19606")</f>
        <v>ร้านเจ๊นาง-DJ19606</v>
      </c>
      <c r="AG3221" s="3">
        <f>IFERROR(__xludf.DUMMYFUNCTION("""COMPUTED_VALUE"""),0.0)</f>
        <v>0</v>
      </c>
      <c r="AH3221" s="3" t="str">
        <f>IFERROR(__xludf.DUMMYFUNCTION("""COMPUTED_VALUE"""),"#N/A")</f>
        <v>#N/A</v>
      </c>
      <c r="AI3221" s="3" t="str">
        <f>IFERROR(__xludf.DUMMYFUNCTION("""COMPUTED_VALUE"""),"Out of warranty")</f>
        <v>Out of warranty</v>
      </c>
      <c r="AJ3221" s="3">
        <f>IFERROR(__xludf.DUMMYFUNCTION("""COMPUTED_VALUE"""),16.0)</f>
        <v>16</v>
      </c>
      <c r="AK3221" s="3"/>
      <c r="AL3221" s="3"/>
    </row>
    <row r="3222" ht="15.75" customHeight="1">
      <c r="A3222" s="1" t="str">
        <f>IFERROR(__xludf.DUMMYFUNCTION("""COMPUTED_VALUE"""),"DJ19901")</f>
        <v>DJ19901</v>
      </c>
      <c r="B3222" s="2" t="str">
        <f>IFERROR(__xludf.DUMMYFUNCTION("""COMPUTED_VALUE"""),"DJ19901")</f>
        <v>DJ19901</v>
      </c>
      <c r="C3222" s="3" t="str">
        <f>IFERROR(__xludf.DUMMYFUNCTION("""COMPUTED_VALUE"""),"ร้านกรรณิการ์ มาทร์เทอร์")</f>
        <v>ร้านกรรณิการ์ มาทร์เทอร์</v>
      </c>
      <c r="D3222" s="3" t="str">
        <f>IFERROR(__xludf.DUMMYFUNCTION("""COMPUTED_VALUE"""),"ร้านกรรณิการ์ มาทร์เทอร์")</f>
        <v>ร้านกรรณิการ์ มาทร์เทอร์</v>
      </c>
      <c r="E3222" s="1" t="str">
        <f>IFERROR(__xludf.DUMMYFUNCTION("""COMPUTED_VALUE"""),"Donjai")</f>
        <v>Donjai</v>
      </c>
      <c r="F3222" s="1" t="str">
        <f>IFERROR(__xludf.DUMMYFUNCTION("""COMPUTED_VALUE"""),"015361")</f>
        <v>015361</v>
      </c>
      <c r="G3222" s="1" t="str">
        <f>IFERROR(__xludf.DUMMYFUNCTION("""COMPUTED_VALUE"""),"นายสมบูรณ์ พรหมในเมือง")</f>
        <v>นายสมบูรณ์ พรหมในเมือง</v>
      </c>
      <c r="H3222" s="1" t="str">
        <f>IFERROR(__xludf.DUMMYFUNCTION("""COMPUTED_VALUE"""),"015361")</f>
        <v>015361</v>
      </c>
      <c r="I3222" s="1" t="str">
        <f>IFERROR(__xludf.DUMMYFUNCTION("""COMPUTED_VALUE"""),"นายสมบูรณ์ พรหมในเมือง")</f>
        <v>นายสมบูรณ์ พรหมในเมือง</v>
      </c>
      <c r="J3222" s="3">
        <f>IFERROR(__xludf.DUMMYFUNCTION("""COMPUTED_VALUE"""),295886.0)</f>
        <v>295886</v>
      </c>
      <c r="K3222" s="3" t="str">
        <f>IFERROR(__xludf.DUMMYFUNCTION("""COMPUTED_VALUE"""),"นายจิระพงษ์ โพธิ์นิล")</f>
        <v>นายจิระพงษ์ โพธิ์นิล</v>
      </c>
      <c r="L3222" s="1" t="str">
        <f>IFERROR(__xludf.DUMMYFUNCTION("""COMPUTED_VALUE"""),"นายจิระพงษ์ โพธิ์นิล")</f>
        <v>นายจิระพงษ์ โพธิ์นิล</v>
      </c>
      <c r="M3222" s="1" t="str">
        <f>IFERROR(__xludf.DUMMYFUNCTION("""COMPUTED_VALUE"""),"0933290754")</f>
        <v>0933290754</v>
      </c>
      <c r="N3222" s="3" t="str">
        <f>IFERROR(__xludf.DUMMYFUNCTION("""COMPUTED_VALUE"""),"DJ19901")</f>
        <v>DJ19901</v>
      </c>
      <c r="O3222" s="3" t="str">
        <f>IFERROR(__xludf.DUMMYFUNCTION("""COMPUTED_VALUE"""),"ร้านกรรณิการ์ มาทร์เทอร์")</f>
        <v>ร้านกรรณิการ์ มาทร์เทอร์</v>
      </c>
      <c r="P3222" s="4">
        <f>IFERROR(__xludf.DUMMYFUNCTION("""COMPUTED_VALUE"""),45536.0)</f>
        <v>45536</v>
      </c>
      <c r="Q3222" s="3" t="str">
        <f>IFERROR(__xludf.DUMMYFUNCTION("""COMPUTED_VALUE"""),"A")</f>
        <v>A</v>
      </c>
      <c r="R3222" s="3" t="str">
        <f>IFERROR(__xludf.DUMMYFUNCTION("""COMPUTED_VALUE"""),"Small Format")</f>
        <v>Small Format</v>
      </c>
      <c r="S3222" s="3" t="str">
        <f>IFERROR(__xludf.DUMMYFUNCTION("""COMPUTED_VALUE"""),"Donjai")</f>
        <v>Donjai</v>
      </c>
      <c r="T3222" s="3" t="str">
        <f>IFERROR(__xludf.DUMMYFUNCTION("""COMPUTED_VALUE"""),"04 K.Somboon P.")</f>
        <v>04 K.Somboon P.</v>
      </c>
      <c r="U3222" s="3" t="str">
        <f>IFERROR(__xludf.DUMMYFUNCTION("""COMPUTED_VALUE"""),"04 K.Somboon P.")</f>
        <v>04 K.Somboon P.</v>
      </c>
      <c r="V3222" s="3" t="str">
        <f>IFERROR(__xludf.DUMMYFUNCTION("""COMPUTED_VALUE"""),"N")</f>
        <v>N</v>
      </c>
      <c r="W3222" s="3"/>
      <c r="X3222" s="3" t="str">
        <f>IFERROR(__xludf.DUMMYFUNCTION("""COMPUTED_VALUE"""),"127 เมืองพล พล ขอนแก่น")</f>
        <v>127 เมืองพล พล ขอนแก่น</v>
      </c>
      <c r="Y3222" s="3"/>
      <c r="Z3222" s="3"/>
      <c r="AA3222" s="3"/>
      <c r="AB3222" s="3"/>
      <c r="AC3222" s="3"/>
      <c r="AD3222" s="3"/>
      <c r="AE3222" s="3"/>
      <c r="AF3222" s="3" t="str">
        <f>IFERROR(__xludf.DUMMYFUNCTION("""COMPUTED_VALUE"""),"ร้านกรรณิการ์ มาทร์เทอร์-DJ19901")</f>
        <v>ร้านกรรณิการ์ มาทร์เทอร์-DJ19901</v>
      </c>
      <c r="AG3222" s="3">
        <f>IFERROR(__xludf.DUMMYFUNCTION("""COMPUTED_VALUE"""),0.0)</f>
        <v>0</v>
      </c>
      <c r="AH3222" s="3" t="str">
        <f>IFERROR(__xludf.DUMMYFUNCTION("""COMPUTED_VALUE"""),"#N/A")</f>
        <v>#N/A</v>
      </c>
      <c r="AI3222" s="3" t="str">
        <f>IFERROR(__xludf.DUMMYFUNCTION("""COMPUTED_VALUE"""),"Out of warranty")</f>
        <v>Out of warranty</v>
      </c>
      <c r="AJ3222" s="3">
        <f>IFERROR(__xludf.DUMMYFUNCTION("""COMPUTED_VALUE"""),17.0)</f>
        <v>17</v>
      </c>
      <c r="AK3222" s="3"/>
      <c r="AL3222" s="3"/>
    </row>
    <row r="3223" ht="15.75" customHeight="1">
      <c r="A3223" s="1" t="str">
        <f>IFERROR(__xludf.DUMMYFUNCTION("""COMPUTED_VALUE"""),"DJ19998")</f>
        <v>DJ19998</v>
      </c>
      <c r="B3223" s="2" t="str">
        <f>IFERROR(__xludf.DUMMYFUNCTION("""COMPUTED_VALUE"""),"DJ19998")</f>
        <v>DJ19998</v>
      </c>
      <c r="C3223" s="3" t="str">
        <f>IFERROR(__xludf.DUMMYFUNCTION("""COMPUTED_VALUE"""),"ร้านภูทองพันธ์")</f>
        <v>ร้านภูทองพันธ์</v>
      </c>
      <c r="D3223" s="3" t="str">
        <f>IFERROR(__xludf.DUMMYFUNCTION("""COMPUTED_VALUE"""),"ร้านภูทองพันธ์")</f>
        <v>ร้านภูทองพันธ์</v>
      </c>
      <c r="E3223" s="1" t="str">
        <f>IFERROR(__xludf.DUMMYFUNCTION("""COMPUTED_VALUE"""),"Donjai")</f>
        <v>Donjai</v>
      </c>
      <c r="F3223" s="1" t="str">
        <f>IFERROR(__xludf.DUMMYFUNCTION("""COMPUTED_VALUE"""),"046214")</f>
        <v>046214</v>
      </c>
      <c r="G3223" s="1" t="str">
        <f>IFERROR(__xludf.DUMMYFUNCTION("""COMPUTED_VALUE"""),"นายศักดิ์ชัย เด็ดดอกฟ้า")</f>
        <v>นายศักดิ์ชัย เด็ดดอกฟ้า</v>
      </c>
      <c r="H3223" s="1" t="str">
        <f>IFERROR(__xludf.DUMMYFUNCTION("""COMPUTED_VALUE"""),"046214")</f>
        <v>046214</v>
      </c>
      <c r="I3223" s="1" t="str">
        <f>IFERROR(__xludf.DUMMYFUNCTION("""COMPUTED_VALUE"""),"นายศักดิ์ชัย เด็ดดอกฟ้า")</f>
        <v>นายศักดิ์ชัย เด็ดดอกฟ้า</v>
      </c>
      <c r="J3223" s="3">
        <f>IFERROR(__xludf.DUMMYFUNCTION("""COMPUTED_VALUE"""),295886.0)</f>
        <v>295886</v>
      </c>
      <c r="K3223" s="3" t="str">
        <f>IFERROR(__xludf.DUMMYFUNCTION("""COMPUTED_VALUE"""),"นายจิระพงษ์ โพธิ์นิล")</f>
        <v>นายจิระพงษ์ โพธิ์นิล</v>
      </c>
      <c r="L3223" s="1" t="str">
        <f>IFERROR(__xludf.DUMMYFUNCTION("""COMPUTED_VALUE"""),"นายจิระพงษ์ โพธิ์นิล")</f>
        <v>นายจิระพงษ์ โพธิ์นิล</v>
      </c>
      <c r="M3223" s="1" t="str">
        <f>IFERROR(__xludf.DUMMYFUNCTION("""COMPUTED_VALUE"""),"0933290754")</f>
        <v>0933290754</v>
      </c>
      <c r="N3223" s="3" t="str">
        <f>IFERROR(__xludf.DUMMYFUNCTION("""COMPUTED_VALUE"""),"DJ19998")</f>
        <v>DJ19998</v>
      </c>
      <c r="O3223" s="3" t="str">
        <f>IFERROR(__xludf.DUMMYFUNCTION("""COMPUTED_VALUE"""),"ร้านภูทองพันธ์")</f>
        <v>ร้านภูทองพันธ์</v>
      </c>
      <c r="P3223" s="4">
        <f>IFERROR(__xludf.DUMMYFUNCTION("""COMPUTED_VALUE"""),45570.0)</f>
        <v>45570</v>
      </c>
      <c r="Q3223" s="3" t="str">
        <f>IFERROR(__xludf.DUMMYFUNCTION("""COMPUTED_VALUE"""),"A")</f>
        <v>A</v>
      </c>
      <c r="R3223" s="3" t="str">
        <f>IFERROR(__xludf.DUMMYFUNCTION("""COMPUTED_VALUE"""),"Small Format")</f>
        <v>Small Format</v>
      </c>
      <c r="S3223" s="3" t="str">
        <f>IFERROR(__xludf.DUMMYFUNCTION("""COMPUTED_VALUE"""),"Donjai")</f>
        <v>Donjai</v>
      </c>
      <c r="T3223" s="3" t="str">
        <f>IFERROR(__xludf.DUMMYFUNCTION("""COMPUTED_VALUE"""),"02 K.Sakchai D")</f>
        <v>02 K.Sakchai D</v>
      </c>
      <c r="U3223" s="3" t="str">
        <f>IFERROR(__xludf.DUMMYFUNCTION("""COMPUTED_VALUE"""),"02 K.Sakchai D")</f>
        <v>02 K.Sakchai D</v>
      </c>
      <c r="V3223" s="3" t="str">
        <f>IFERROR(__xludf.DUMMYFUNCTION("""COMPUTED_VALUE"""),"N")</f>
        <v>N</v>
      </c>
      <c r="W3223" s="3"/>
      <c r="X3223" s="3" t="str">
        <f>IFERROR(__xludf.DUMMYFUNCTION("""COMPUTED_VALUE"""),"55/1 หมู่ที่5 ต.บัวชุม อ.ชัยบาดาล จ.ลพบุรี")</f>
        <v>55/1 หมู่ที่5 ต.บัวชุม อ.ชัยบาดาล จ.ลพบุรี</v>
      </c>
      <c r="Y3223" s="3"/>
      <c r="Z3223" s="3"/>
      <c r="AA3223" s="3"/>
      <c r="AB3223" s="3"/>
      <c r="AC3223" s="3"/>
      <c r="AD3223" s="3"/>
      <c r="AE3223" s="3"/>
      <c r="AF3223" s="3" t="str">
        <f>IFERROR(__xludf.DUMMYFUNCTION("""COMPUTED_VALUE"""),"ร้านภูทองพันธ์-DJ19998")</f>
        <v>ร้านภูทองพันธ์-DJ19998</v>
      </c>
      <c r="AG3223" s="3">
        <f>IFERROR(__xludf.DUMMYFUNCTION("""COMPUTED_VALUE"""),0.0)</f>
        <v>0</v>
      </c>
      <c r="AH3223" s="3" t="str">
        <f>IFERROR(__xludf.DUMMYFUNCTION("""COMPUTED_VALUE"""),"#N/A")</f>
        <v>#N/A</v>
      </c>
      <c r="AI3223" s="3" t="str">
        <f>IFERROR(__xludf.DUMMYFUNCTION("""COMPUTED_VALUE"""),"Out of warranty")</f>
        <v>Out of warranty</v>
      </c>
      <c r="AJ3223" s="3">
        <f>IFERROR(__xludf.DUMMYFUNCTION("""COMPUTED_VALUE"""),16.0)</f>
        <v>16</v>
      </c>
      <c r="AK3223" s="3"/>
      <c r="AL3223" s="3"/>
    </row>
    <row r="3224" ht="15.75" customHeight="1">
      <c r="A3224" s="1" t="str">
        <f>IFERROR(__xludf.DUMMYFUNCTION("""COMPUTED_VALUE"""),"DJ20079")</f>
        <v>DJ20079</v>
      </c>
      <c r="B3224" s="2" t="str">
        <f>IFERROR(__xludf.DUMMYFUNCTION("""COMPUTED_VALUE"""),"DJ20079")</f>
        <v>DJ20079</v>
      </c>
      <c r="C3224" s="3" t="str">
        <f>IFERROR(__xludf.DUMMYFUNCTION("""COMPUTED_VALUE"""),"ร้านโคกหนองนา มาร์เก็ต")</f>
        <v>ร้านโคกหนองนา มาร์เก็ต</v>
      </c>
      <c r="D3224" s="3" t="str">
        <f>IFERROR(__xludf.DUMMYFUNCTION("""COMPUTED_VALUE"""),"ร้านโคกหนองนา มาร์เก็ต")</f>
        <v>ร้านโคกหนองนา มาร์เก็ต</v>
      </c>
      <c r="E3224" s="1" t="str">
        <f>IFERROR(__xludf.DUMMYFUNCTION("""COMPUTED_VALUE"""),"Donjai")</f>
        <v>Donjai</v>
      </c>
      <c r="F3224" s="1" t="str">
        <f>IFERROR(__xludf.DUMMYFUNCTION("""COMPUTED_VALUE"""),"296868")</f>
        <v>296868</v>
      </c>
      <c r="G3224" s="1" t="str">
        <f>IFERROR(__xludf.DUMMYFUNCTION("""COMPUTED_VALUE"""),"นายพีระพงษ์ แก้วดวงดี")</f>
        <v>นายพีระพงษ์ แก้วดวงดี</v>
      </c>
      <c r="H3224" s="1" t="str">
        <f>IFERROR(__xludf.DUMMYFUNCTION("""COMPUTED_VALUE"""),"296868")</f>
        <v>296868</v>
      </c>
      <c r="I3224" s="1" t="str">
        <f>IFERROR(__xludf.DUMMYFUNCTION("""COMPUTED_VALUE"""),"นายพีระพงษ์ แก้วดวงดี")</f>
        <v>นายพีระพงษ์ แก้วดวงดี</v>
      </c>
      <c r="J3224" s="3">
        <f>IFERROR(__xludf.DUMMYFUNCTION("""COMPUTED_VALUE"""),295886.0)</f>
        <v>295886</v>
      </c>
      <c r="K3224" s="3" t="str">
        <f>IFERROR(__xludf.DUMMYFUNCTION("""COMPUTED_VALUE"""),"นายจิระพงษ์ โพธิ์นิล")</f>
        <v>นายจิระพงษ์ โพธิ์นิล</v>
      </c>
      <c r="L3224" s="1" t="str">
        <f>IFERROR(__xludf.DUMMYFUNCTION("""COMPUTED_VALUE"""),"นายจิระพงษ์ โพธิ์นิล")</f>
        <v>นายจิระพงษ์ โพธิ์นิล</v>
      </c>
      <c r="M3224" s="1" t="str">
        <f>IFERROR(__xludf.DUMMYFUNCTION("""COMPUTED_VALUE"""),"0933290754")</f>
        <v>0933290754</v>
      </c>
      <c r="N3224" s="3" t="str">
        <f>IFERROR(__xludf.DUMMYFUNCTION("""COMPUTED_VALUE"""),"DJ20079")</f>
        <v>DJ20079</v>
      </c>
      <c r="O3224" s="3" t="str">
        <f>IFERROR(__xludf.DUMMYFUNCTION("""COMPUTED_VALUE"""),"ร้านโคกหนองนา มาร์เก็ต")</f>
        <v>ร้านโคกหนองนา มาร์เก็ต</v>
      </c>
      <c r="P3224" s="4">
        <f>IFERROR(__xludf.DUMMYFUNCTION("""COMPUTED_VALUE"""),45595.0)</f>
        <v>45595</v>
      </c>
      <c r="Q3224" s="3" t="str">
        <f>IFERROR(__xludf.DUMMYFUNCTION("""COMPUTED_VALUE"""),"A")</f>
        <v>A</v>
      </c>
      <c r="R3224" s="3" t="str">
        <f>IFERROR(__xludf.DUMMYFUNCTION("""COMPUTED_VALUE"""),"Small Format")</f>
        <v>Small Format</v>
      </c>
      <c r="S3224" s="3" t="str">
        <f>IFERROR(__xludf.DUMMYFUNCTION("""COMPUTED_VALUE"""),"Donjai")</f>
        <v>Donjai</v>
      </c>
      <c r="T3224" s="3" t="str">
        <f>IFERROR(__xludf.DUMMYFUNCTION("""COMPUTED_VALUE"""),"03 K.Peerapong K.")</f>
        <v>03 K.Peerapong K.</v>
      </c>
      <c r="U3224" s="3" t="str">
        <f>IFERROR(__xludf.DUMMYFUNCTION("""COMPUTED_VALUE"""),"03 K.Peerapong K.")</f>
        <v>03 K.Peerapong K.</v>
      </c>
      <c r="V3224" s="3" t="str">
        <f>IFERROR(__xludf.DUMMYFUNCTION("""COMPUTED_VALUE"""),"N")</f>
        <v>N</v>
      </c>
      <c r="W3224" s="3"/>
      <c r="X3224" s="3" t="str">
        <f>IFERROR(__xludf.DUMMYFUNCTION("""COMPUTED_VALUE"""),"221 หมู่ 8 กกดู่ เมือง เลย")</f>
        <v>221 หมู่ 8 กกดู่ เมือง เลย</v>
      </c>
      <c r="Y3224" s="3"/>
      <c r="Z3224" s="3"/>
      <c r="AA3224" s="3"/>
      <c r="AB3224" s="3"/>
      <c r="AC3224" s="3"/>
      <c r="AD3224" s="3"/>
      <c r="AE3224" s="3"/>
      <c r="AF3224" s="3" t="str">
        <f>IFERROR(__xludf.DUMMYFUNCTION("""COMPUTED_VALUE"""),"ร้านโคกหนองนา มาร์เก็ต-DJ20079")</f>
        <v>ร้านโคกหนองนา มาร์เก็ต-DJ20079</v>
      </c>
      <c r="AG3224" s="3">
        <f>IFERROR(__xludf.DUMMYFUNCTION("""COMPUTED_VALUE"""),0.0)</f>
        <v>0</v>
      </c>
      <c r="AH3224" s="3" t="str">
        <f>IFERROR(__xludf.DUMMYFUNCTION("""COMPUTED_VALUE"""),"#N/A")</f>
        <v>#N/A</v>
      </c>
      <c r="AI3224" s="3" t="str">
        <f>IFERROR(__xludf.DUMMYFUNCTION("""COMPUTED_VALUE"""),"Out of warranty")</f>
        <v>Out of warranty</v>
      </c>
      <c r="AJ3224" s="3">
        <f>IFERROR(__xludf.DUMMYFUNCTION("""COMPUTED_VALUE"""),15.0)</f>
        <v>15</v>
      </c>
      <c r="AK3224" s="3"/>
      <c r="AL3224" s="3"/>
    </row>
    <row r="3225" ht="15.75" customHeight="1">
      <c r="A3225" s="1" t="str">
        <f>IFERROR(__xludf.DUMMYFUNCTION("""COMPUTED_VALUE"""),"DJ20193")</f>
        <v>DJ20193</v>
      </c>
      <c r="B3225" s="2" t="str">
        <f>IFERROR(__xludf.DUMMYFUNCTION("""COMPUTED_VALUE"""),"DJ20193")</f>
        <v>DJ20193</v>
      </c>
      <c r="C3225" s="3" t="str">
        <f>IFERROR(__xludf.DUMMYFUNCTION("""COMPUTED_VALUE"""),"ร้าน P&amp;N มินิมาร์ท")</f>
        <v>ร้าน P&amp;N มินิมาร์ท</v>
      </c>
      <c r="D3225" s="3" t="str">
        <f>IFERROR(__xludf.DUMMYFUNCTION("""COMPUTED_VALUE"""),"ร้าน P&amp;N มินิมาร์ท")</f>
        <v>ร้าน P&amp;N มินิมาร์ท</v>
      </c>
      <c r="E3225" s="1" t="str">
        <f>IFERROR(__xludf.DUMMYFUNCTION("""COMPUTED_VALUE"""),"Donjai")</f>
        <v>Donjai</v>
      </c>
      <c r="F3225" s="1" t="str">
        <f>IFERROR(__xludf.DUMMYFUNCTION("""COMPUTED_VALUE"""),"015361")</f>
        <v>015361</v>
      </c>
      <c r="G3225" s="1" t="str">
        <f>IFERROR(__xludf.DUMMYFUNCTION("""COMPUTED_VALUE"""),"นายสมบูรณ์ พรหมในเมือง")</f>
        <v>นายสมบูรณ์ พรหมในเมือง</v>
      </c>
      <c r="H3225" s="1" t="str">
        <f>IFERROR(__xludf.DUMMYFUNCTION("""COMPUTED_VALUE"""),"015361")</f>
        <v>015361</v>
      </c>
      <c r="I3225" s="1" t="str">
        <f>IFERROR(__xludf.DUMMYFUNCTION("""COMPUTED_VALUE"""),"นายสมบูรณ์ พรหมในเมือง")</f>
        <v>นายสมบูรณ์ พรหมในเมือง</v>
      </c>
      <c r="J3225" s="3">
        <f>IFERROR(__xludf.DUMMYFUNCTION("""COMPUTED_VALUE"""),295886.0)</f>
        <v>295886</v>
      </c>
      <c r="K3225" s="3" t="str">
        <f>IFERROR(__xludf.DUMMYFUNCTION("""COMPUTED_VALUE"""),"นายจิระพงษ์ โพธิ์นิล")</f>
        <v>นายจิระพงษ์ โพธิ์นิล</v>
      </c>
      <c r="L3225" s="1" t="str">
        <f>IFERROR(__xludf.DUMMYFUNCTION("""COMPUTED_VALUE"""),"นายจิระพงษ์ โพธิ์นิล")</f>
        <v>นายจิระพงษ์ โพธิ์นิล</v>
      </c>
      <c r="M3225" s="1" t="str">
        <f>IFERROR(__xludf.DUMMYFUNCTION("""COMPUTED_VALUE"""),"0933290754")</f>
        <v>0933290754</v>
      </c>
      <c r="N3225" s="3" t="str">
        <f>IFERROR(__xludf.DUMMYFUNCTION("""COMPUTED_VALUE"""),"DJ20193")</f>
        <v>DJ20193</v>
      </c>
      <c r="O3225" s="3" t="str">
        <f>IFERROR(__xludf.DUMMYFUNCTION("""COMPUTED_VALUE"""),"ร้าน P&amp;N มินิมาร์ท")</f>
        <v>ร้าน P&amp;N มินิมาร์ท</v>
      </c>
      <c r="P3225" s="4">
        <f>IFERROR(__xludf.DUMMYFUNCTION("""COMPUTED_VALUE"""),45536.0)</f>
        <v>45536</v>
      </c>
      <c r="Q3225" s="3" t="str">
        <f>IFERROR(__xludf.DUMMYFUNCTION("""COMPUTED_VALUE"""),"A")</f>
        <v>A</v>
      </c>
      <c r="R3225" s="3" t="str">
        <f>IFERROR(__xludf.DUMMYFUNCTION("""COMPUTED_VALUE"""),"Small Format")</f>
        <v>Small Format</v>
      </c>
      <c r="S3225" s="3" t="str">
        <f>IFERROR(__xludf.DUMMYFUNCTION("""COMPUTED_VALUE"""),"Donjai")</f>
        <v>Donjai</v>
      </c>
      <c r="T3225" s="3" t="str">
        <f>IFERROR(__xludf.DUMMYFUNCTION("""COMPUTED_VALUE"""),"04 K.Somboon P.")</f>
        <v>04 K.Somboon P.</v>
      </c>
      <c r="U3225" s="3" t="str">
        <f>IFERROR(__xludf.DUMMYFUNCTION("""COMPUTED_VALUE"""),"04 K.Somboon P.")</f>
        <v>04 K.Somboon P.</v>
      </c>
      <c r="V3225" s="3" t="str">
        <f>IFERROR(__xludf.DUMMYFUNCTION("""COMPUTED_VALUE"""),"N")</f>
        <v>N</v>
      </c>
      <c r="W3225" s="3"/>
      <c r="X3225" s="3" t="str">
        <f>IFERROR(__xludf.DUMMYFUNCTION("""COMPUTED_VALUE"""),"11 หมู่ 5 ต.หนองบัวตะเกียด อ.ด่านขุนทด จ.นครราชสีมา 30210")</f>
        <v>11 หมู่ 5 ต.หนองบัวตะเกียด อ.ด่านขุนทด จ.นครราชสีมา 30210</v>
      </c>
      <c r="Y3225" s="3"/>
      <c r="Z3225" s="3"/>
      <c r="AA3225" s="3"/>
      <c r="AB3225" s="3"/>
      <c r="AC3225" s="3"/>
      <c r="AD3225" s="3"/>
      <c r="AE3225" s="3"/>
      <c r="AF3225" s="3" t="str">
        <f>IFERROR(__xludf.DUMMYFUNCTION("""COMPUTED_VALUE"""),"ร้าน P&amp;N มินิมาร์ท-DJ20193")</f>
        <v>ร้าน P&amp;N มินิมาร์ท-DJ20193</v>
      </c>
      <c r="AG3225" s="3">
        <f>IFERROR(__xludf.DUMMYFUNCTION("""COMPUTED_VALUE"""),0.0)</f>
        <v>0</v>
      </c>
      <c r="AH3225" s="3" t="str">
        <f>IFERROR(__xludf.DUMMYFUNCTION("""COMPUTED_VALUE"""),"#N/A")</f>
        <v>#N/A</v>
      </c>
      <c r="AI3225" s="3" t="str">
        <f>IFERROR(__xludf.DUMMYFUNCTION("""COMPUTED_VALUE"""),"Out of warranty")</f>
        <v>Out of warranty</v>
      </c>
      <c r="AJ3225" s="3">
        <f>IFERROR(__xludf.DUMMYFUNCTION("""COMPUTED_VALUE"""),17.0)</f>
        <v>17</v>
      </c>
      <c r="AK3225" s="3"/>
      <c r="AL3225" s="3"/>
    </row>
    <row r="3226" ht="15.75" customHeight="1">
      <c r="A3226" s="1" t="str">
        <f>IFERROR(__xludf.DUMMYFUNCTION("""COMPUTED_VALUE"""),"DJ20435")</f>
        <v>DJ20435</v>
      </c>
      <c r="B3226" s="2" t="str">
        <f>IFERROR(__xludf.DUMMYFUNCTION("""COMPUTED_VALUE"""),"DJ20435")</f>
        <v>DJ20435</v>
      </c>
      <c r="C3226" s="3" t="str">
        <f>IFERROR(__xludf.DUMMYFUNCTION("""COMPUTED_VALUE"""),"ร้าน BEE แบริ่ง43")</f>
        <v>ร้าน BEE แบริ่ง43</v>
      </c>
      <c r="D3226" s="3" t="str">
        <f>IFERROR(__xludf.DUMMYFUNCTION("""COMPUTED_VALUE"""),"กรุงเทพมหานคร")</f>
        <v>กรุงเทพมหานคร</v>
      </c>
      <c r="E3226" s="1" t="str">
        <f>IFERROR(__xludf.DUMMYFUNCTION("""COMPUTED_VALUE"""),"Donjai")</f>
        <v>Donjai</v>
      </c>
      <c r="F3226" s="1" t="str">
        <f>IFERROR(__xludf.DUMMYFUNCTION("""COMPUTED_VALUE"""),"2452378")</f>
        <v>2452378</v>
      </c>
      <c r="G3226" s="1" t="str">
        <f>IFERROR(__xludf.DUMMYFUNCTION("""COMPUTED_VALUE"""),"นายศักดิ์ดา พวงประดับ")</f>
        <v>นายศักดิ์ดา พวงประดับ</v>
      </c>
      <c r="H3226" s="1" t="str">
        <f>IFERROR(__xludf.DUMMYFUNCTION("""COMPUTED_VALUE"""),"2452378")</f>
        <v>2452378</v>
      </c>
      <c r="I3226" s="1" t="str">
        <f>IFERROR(__xludf.DUMMYFUNCTION("""COMPUTED_VALUE"""),"นายศักดิ์ดา พวงประดับ")</f>
        <v>นายศักดิ์ดา พวงประดับ</v>
      </c>
      <c r="J3226" s="3">
        <f>IFERROR(__xludf.DUMMYFUNCTION("""COMPUTED_VALUE"""),228031.0)</f>
        <v>228031</v>
      </c>
      <c r="K3226" s="3" t="str">
        <f>IFERROR(__xludf.DUMMYFUNCTION("""COMPUTED_VALUE"""),"นายธนพงษ์ วันหมัด")</f>
        <v>นายธนพงษ์ วันหมัด</v>
      </c>
      <c r="L3226" s="1" t="str">
        <f>IFERROR(__xludf.DUMMYFUNCTION("""COMPUTED_VALUE"""),"นายธนพงษ์ วันหมัด")</f>
        <v>นายธนพงษ์ วันหมัด</v>
      </c>
      <c r="M3226" s="1" t="str">
        <f>IFERROR(__xludf.DUMMYFUNCTION("""COMPUTED_VALUE"""),"0813716913")</f>
        <v>0813716913</v>
      </c>
      <c r="N3226" s="3" t="str">
        <f>IFERROR(__xludf.DUMMYFUNCTION("""COMPUTED_VALUE"""),"DJ20435")</f>
        <v>DJ20435</v>
      </c>
      <c r="O3226" s="3" t="str">
        <f>IFERROR(__xludf.DUMMYFUNCTION("""COMPUTED_VALUE"""),"ร้าน BEE แบริ่ง43")</f>
        <v>ร้าน BEE แบริ่ง43</v>
      </c>
      <c r="P3226" s="4">
        <f>IFERROR(__xludf.DUMMYFUNCTION("""COMPUTED_VALUE"""),45599.0)</f>
        <v>45599</v>
      </c>
      <c r="Q3226" s="3" t="str">
        <f>IFERROR(__xludf.DUMMYFUNCTION("""COMPUTED_VALUE"""),"A")</f>
        <v>A</v>
      </c>
      <c r="R3226" s="3" t="str">
        <f>IFERROR(__xludf.DUMMYFUNCTION("""COMPUTED_VALUE"""),"Small Format")</f>
        <v>Small Format</v>
      </c>
      <c r="S3226" s="3" t="str">
        <f>IFERROR(__xludf.DUMMYFUNCTION("""COMPUTED_VALUE"""),"Donjai")</f>
        <v>Donjai</v>
      </c>
      <c r="T3226" s="3" t="str">
        <f>IFERROR(__xludf.DUMMYFUNCTION("""COMPUTED_VALUE"""),"11 K.Sakda P.")</f>
        <v>11 K.Sakda P.</v>
      </c>
      <c r="U3226" s="3" t="str">
        <f>IFERROR(__xludf.DUMMYFUNCTION("""COMPUTED_VALUE"""),"11 K.Sakda P.")</f>
        <v>11 K.Sakda P.</v>
      </c>
      <c r="V3226" s="3" t="str">
        <f>IFERROR(__xludf.DUMMYFUNCTION("""COMPUTED_VALUE"""),"N")</f>
        <v>N</v>
      </c>
      <c r="W3226" s="3"/>
      <c r="X3226" s="3" t="str">
        <f>IFERROR(__xludf.DUMMYFUNCTION("""COMPUTED_VALUE"""),"378 อ่อนนุช สวนหลวง กรุงเทพ")</f>
        <v>378 อ่อนนุช สวนหลวง กรุงเทพ</v>
      </c>
      <c r="Y3226" s="3"/>
      <c r="Z3226" s="3"/>
      <c r="AA3226" s="3"/>
      <c r="AB3226" s="3"/>
      <c r="AC3226" s="3"/>
      <c r="AD3226" s="3"/>
      <c r="AE3226" s="3"/>
      <c r="AF3226" s="3" t="str">
        <f>IFERROR(__xludf.DUMMYFUNCTION("""COMPUTED_VALUE"""),"ร้าน BEE แบริ่ง43-DJ20435")</f>
        <v>ร้าน BEE แบริ่ง43-DJ20435</v>
      </c>
      <c r="AG3226" s="3">
        <f>IFERROR(__xludf.DUMMYFUNCTION("""COMPUTED_VALUE"""),0.0)</f>
        <v>0</v>
      </c>
      <c r="AH3226" s="3" t="str">
        <f>IFERROR(__xludf.DUMMYFUNCTION("""COMPUTED_VALUE"""),"#N/A")</f>
        <v>#N/A</v>
      </c>
      <c r="AI3226" s="3" t="str">
        <f>IFERROR(__xludf.DUMMYFUNCTION("""COMPUTED_VALUE"""),"Out of warranty")</f>
        <v>Out of warranty</v>
      </c>
      <c r="AJ3226" s="3">
        <f>IFERROR(__xludf.DUMMYFUNCTION("""COMPUTED_VALUE"""),15.0)</f>
        <v>15</v>
      </c>
      <c r="AK3226" s="3"/>
      <c r="AL3226" s="3"/>
    </row>
    <row r="3227" ht="15.75" customHeight="1">
      <c r="A3227" s="1" t="str">
        <f>IFERROR(__xludf.DUMMYFUNCTION("""COMPUTED_VALUE"""),"DJ20674")</f>
        <v>DJ20674</v>
      </c>
      <c r="B3227" s="2" t="str">
        <f>IFERROR(__xludf.DUMMYFUNCTION("""COMPUTED_VALUE"""),"DJ20674")</f>
        <v>DJ20674</v>
      </c>
      <c r="C3227" s="3" t="str">
        <f>IFERROR(__xludf.DUMMYFUNCTION("""COMPUTED_VALUE"""),"ร้านมิกกี้คมสัน")</f>
        <v>ร้านมิกกี้คมสัน</v>
      </c>
      <c r="D3227" s="3" t="str">
        <f>IFERROR(__xludf.DUMMYFUNCTION("""COMPUTED_VALUE"""),"สุรินทร์")</f>
        <v>สุรินทร์</v>
      </c>
      <c r="E3227" s="1" t="str">
        <f>IFERROR(__xludf.DUMMYFUNCTION("""COMPUTED_VALUE"""),"Donjai")</f>
        <v>Donjai</v>
      </c>
      <c r="F3227" s="1" t="str">
        <f>IFERROR(__xludf.DUMMYFUNCTION("""COMPUTED_VALUE"""),"015361")</f>
        <v>015361</v>
      </c>
      <c r="G3227" s="1" t="str">
        <f>IFERROR(__xludf.DUMMYFUNCTION("""COMPUTED_VALUE"""),"นายสมบูรณ์ พรหมในเมือง")</f>
        <v>นายสมบูรณ์ พรหมในเมือง</v>
      </c>
      <c r="H3227" s="1" t="str">
        <f>IFERROR(__xludf.DUMMYFUNCTION("""COMPUTED_VALUE"""),"015361")</f>
        <v>015361</v>
      </c>
      <c r="I3227" s="1" t="str">
        <f>IFERROR(__xludf.DUMMYFUNCTION("""COMPUTED_VALUE"""),"นายสมบูรณ์ พรหมในเมือง")</f>
        <v>นายสมบูรณ์ พรหมในเมือง</v>
      </c>
      <c r="J3227" s="3">
        <f>IFERROR(__xludf.DUMMYFUNCTION("""COMPUTED_VALUE"""),295886.0)</f>
        <v>295886</v>
      </c>
      <c r="K3227" s="3" t="str">
        <f>IFERROR(__xludf.DUMMYFUNCTION("""COMPUTED_VALUE"""),"นายจิระพงษ์ โพธิ์นิล")</f>
        <v>นายจิระพงษ์ โพธิ์นิล</v>
      </c>
      <c r="L3227" s="1" t="str">
        <f>IFERROR(__xludf.DUMMYFUNCTION("""COMPUTED_VALUE"""),"นายจิระพงษ์ โพธิ์นิล")</f>
        <v>นายจิระพงษ์ โพธิ์นิล</v>
      </c>
      <c r="M3227" s="1" t="str">
        <f>IFERROR(__xludf.DUMMYFUNCTION("""COMPUTED_VALUE"""),"0933290754")</f>
        <v>0933290754</v>
      </c>
      <c r="N3227" s="3" t="str">
        <f>IFERROR(__xludf.DUMMYFUNCTION("""COMPUTED_VALUE"""),"DJ20674")</f>
        <v>DJ20674</v>
      </c>
      <c r="O3227" s="3" t="str">
        <f>IFERROR(__xludf.DUMMYFUNCTION("""COMPUTED_VALUE"""),"ร้านมิกกี้คมสัน")</f>
        <v>ร้านมิกกี้คมสัน</v>
      </c>
      <c r="P3227" s="4">
        <f>IFERROR(__xludf.DUMMYFUNCTION("""COMPUTED_VALUE"""),45610.0)</f>
        <v>45610</v>
      </c>
      <c r="Q3227" s="3" t="str">
        <f>IFERROR(__xludf.DUMMYFUNCTION("""COMPUTED_VALUE"""),"I")</f>
        <v>I</v>
      </c>
      <c r="R3227" s="3" t="str">
        <f>IFERROR(__xludf.DUMMYFUNCTION("""COMPUTED_VALUE"""),"Small Format")</f>
        <v>Small Format</v>
      </c>
      <c r="S3227" s="3" t="str">
        <f>IFERROR(__xludf.DUMMYFUNCTION("""COMPUTED_VALUE"""),"Donjai")</f>
        <v>Donjai</v>
      </c>
      <c r="T3227" s="3" t="str">
        <f>IFERROR(__xludf.DUMMYFUNCTION("""COMPUTED_VALUE"""),"04 K.Somboon P.")</f>
        <v>04 K.Somboon P.</v>
      </c>
      <c r="U3227" s="3" t="str">
        <f>IFERROR(__xludf.DUMMYFUNCTION("""COMPUTED_VALUE"""),"04 K.Somboon P.")</f>
        <v>04 K.Somboon P.</v>
      </c>
      <c r="V3227" s="3" t="str">
        <f>IFERROR(__xludf.DUMMYFUNCTION("""COMPUTED_VALUE"""),"N")</f>
        <v>N</v>
      </c>
      <c r="W3227" s="3"/>
      <c r="X3227" s="3" t="str">
        <f>IFERROR(__xludf.DUMMYFUNCTION("""COMPUTED_VALUE"""),"78 หมู่1 ดม สังขะ สุรินทร์")</f>
        <v>78 หมู่1 ดม สังขะ สุรินทร์</v>
      </c>
      <c r="Y3227" s="3"/>
      <c r="Z3227" s="3"/>
      <c r="AA3227" s="3"/>
      <c r="AB3227" s="3"/>
      <c r="AC3227" s="3"/>
      <c r="AD3227" s="3"/>
      <c r="AE3227" s="3"/>
      <c r="AF3227" s="3" t="str">
        <f>IFERROR(__xludf.DUMMYFUNCTION("""COMPUTED_VALUE"""),"ร้านมิกกี้คมสัน-DJ20674")</f>
        <v>ร้านมิกกี้คมสัน-DJ20674</v>
      </c>
      <c r="AG3227" s="3">
        <f>IFERROR(__xludf.DUMMYFUNCTION("""COMPUTED_VALUE"""),0.0)</f>
        <v>0</v>
      </c>
      <c r="AH3227" s="3" t="str">
        <f>IFERROR(__xludf.DUMMYFUNCTION("""COMPUTED_VALUE"""),"#N/A")</f>
        <v>#N/A</v>
      </c>
      <c r="AI3227" s="3" t="str">
        <f>IFERROR(__xludf.DUMMYFUNCTION("""COMPUTED_VALUE"""),"Out of warranty")</f>
        <v>Out of warranty</v>
      </c>
      <c r="AJ3227" s="3">
        <f>IFERROR(__xludf.DUMMYFUNCTION("""COMPUTED_VALUE"""),15.0)</f>
        <v>15</v>
      </c>
      <c r="AK3227" s="3"/>
      <c r="AL3227" s="3"/>
    </row>
    <row r="3228" ht="15.75" customHeight="1">
      <c r="A3228" s="1" t="str">
        <f>IFERROR(__xludf.DUMMYFUNCTION("""COMPUTED_VALUE"""),"DJ7042")</f>
        <v>DJ7042</v>
      </c>
      <c r="B3228" s="2" t="str">
        <f>IFERROR(__xludf.DUMMYFUNCTION("""COMPUTED_VALUE"""),"DJ7042")</f>
        <v>DJ7042</v>
      </c>
      <c r="C3228" s="3" t="str">
        <f>IFERROR(__xludf.DUMMYFUNCTION("""COMPUTED_VALUE"""),"ร้านตำนาน")</f>
        <v>ร้านตำนาน</v>
      </c>
      <c r="D3228" s="3" t="str">
        <f>IFERROR(__xludf.DUMMYFUNCTION("""COMPUTED_VALUE"""),"ร้านตำนาน")</f>
        <v>ร้านตำนาน</v>
      </c>
      <c r="E3228" s="1" t="str">
        <f>IFERROR(__xludf.DUMMYFUNCTION("""COMPUTED_VALUE"""),"Donjai")</f>
        <v>Donjai</v>
      </c>
      <c r="F3228" s="1" t="str">
        <f>IFERROR(__xludf.DUMMYFUNCTION("""COMPUTED_VALUE"""),"2454781")</f>
        <v>2454781</v>
      </c>
      <c r="G3228" s="1" t="str">
        <f>IFERROR(__xludf.DUMMYFUNCTION("""COMPUTED_VALUE"""),"นายฌานกฤช นันทะโคต")</f>
        <v>นายฌานกฤช นันทะโคต</v>
      </c>
      <c r="H3228" s="1" t="str">
        <f>IFERROR(__xludf.DUMMYFUNCTION("""COMPUTED_VALUE"""),"2454781")</f>
        <v>2454781</v>
      </c>
      <c r="I3228" s="1" t="str">
        <f>IFERROR(__xludf.DUMMYFUNCTION("""COMPUTED_VALUE"""),"นายฌานกฤช นันทะโคต")</f>
        <v>นายฌานกฤช นันทะโคต</v>
      </c>
      <c r="J3228" s="3">
        <f>IFERROR(__xludf.DUMMYFUNCTION("""COMPUTED_VALUE"""),295886.0)</f>
        <v>295886</v>
      </c>
      <c r="K3228" s="3" t="str">
        <f>IFERROR(__xludf.DUMMYFUNCTION("""COMPUTED_VALUE"""),"นายจิระพงษ์ โพธิ์นิล")</f>
        <v>นายจิระพงษ์ โพธิ์นิล</v>
      </c>
      <c r="L3228" s="1" t="str">
        <f>IFERROR(__xludf.DUMMYFUNCTION("""COMPUTED_VALUE"""),"นายจิระพงษ์ โพธิ์นิล")</f>
        <v>นายจิระพงษ์ โพธิ์นิล</v>
      </c>
      <c r="M3228" s="1" t="str">
        <f>IFERROR(__xludf.DUMMYFUNCTION("""COMPUTED_VALUE"""),"0933290754")</f>
        <v>0933290754</v>
      </c>
      <c r="N3228" s="3" t="str">
        <f>IFERROR(__xludf.DUMMYFUNCTION("""COMPUTED_VALUE"""),"DJ7042")</f>
        <v>DJ7042</v>
      </c>
      <c r="O3228" s="3" t="str">
        <f>IFERROR(__xludf.DUMMYFUNCTION("""COMPUTED_VALUE"""),"ร้านตำนาน")</f>
        <v>ร้านตำนาน</v>
      </c>
      <c r="P3228" s="4">
        <f>IFERROR(__xludf.DUMMYFUNCTION("""COMPUTED_VALUE"""),45529.0)</f>
        <v>45529</v>
      </c>
      <c r="Q3228" s="3" t="str">
        <f>IFERROR(__xludf.DUMMYFUNCTION("""COMPUTED_VALUE"""),"A")</f>
        <v>A</v>
      </c>
      <c r="R3228" s="3" t="str">
        <f>IFERROR(__xludf.DUMMYFUNCTION("""COMPUTED_VALUE"""),"Small Format")</f>
        <v>Small Format</v>
      </c>
      <c r="S3228" s="3" t="str">
        <f>IFERROR(__xludf.DUMMYFUNCTION("""COMPUTED_VALUE"""),"Donjai")</f>
        <v>Donjai</v>
      </c>
      <c r="T3228" s="3" t="str">
        <f>IFERROR(__xludf.DUMMYFUNCTION("""COMPUTED_VALUE"""),"05 K.Chanakrit N.")</f>
        <v>05 K.Chanakrit N.</v>
      </c>
      <c r="U3228" s="3" t="str">
        <f>IFERROR(__xludf.DUMMYFUNCTION("""COMPUTED_VALUE"""),"05 K.Chanakrit N.")</f>
        <v>05 K.Chanakrit N.</v>
      </c>
      <c r="V3228" s="3" t="str">
        <f>IFERROR(__xludf.DUMMYFUNCTION("""COMPUTED_VALUE"""),"N")</f>
        <v>N</v>
      </c>
      <c r="W3228" s="3"/>
      <c r="X3228" s="3" t="str">
        <f>IFERROR(__xludf.DUMMYFUNCTION("""COMPUTED_VALUE"""),"29 ลำคลอง เมืองกาฬสินธุ์ กาฬสินธุ์ 46900")</f>
        <v>29 ลำคลอง เมืองกาฬสินธุ์ กาฬสินธุ์ 46900</v>
      </c>
      <c r="Y3228" s="3"/>
      <c r="Z3228" s="3"/>
      <c r="AA3228" s="3"/>
      <c r="AB3228" s="3"/>
      <c r="AC3228" s="3"/>
      <c r="AD3228" s="3"/>
      <c r="AE3228" s="3"/>
      <c r="AF3228" s="3" t="str">
        <f>IFERROR(__xludf.DUMMYFUNCTION("""COMPUTED_VALUE"""),"ร้านตำนาน-DJ7042")</f>
        <v>ร้านตำนาน-DJ7042</v>
      </c>
      <c r="AG3228" s="3">
        <f>IFERROR(__xludf.DUMMYFUNCTION("""COMPUTED_VALUE"""),0.0)</f>
        <v>0</v>
      </c>
      <c r="AH3228" s="3" t="str">
        <f>IFERROR(__xludf.DUMMYFUNCTION("""COMPUTED_VALUE"""),"#N/A")</f>
        <v>#N/A</v>
      </c>
      <c r="AI3228" s="3" t="str">
        <f>IFERROR(__xludf.DUMMYFUNCTION("""COMPUTED_VALUE"""),"Out of warranty")</f>
        <v>Out of warranty</v>
      </c>
      <c r="AJ3228" s="3">
        <f>IFERROR(__xludf.DUMMYFUNCTION("""COMPUTED_VALUE"""),17.0)</f>
        <v>17</v>
      </c>
      <c r="AK3228" s="3"/>
      <c r="AL3228" s="3"/>
    </row>
    <row r="3229" ht="15.75" customHeight="1">
      <c r="A3229" s="1" t="str">
        <f>IFERROR(__xludf.DUMMYFUNCTION("""COMPUTED_VALUE"""),"21RB110")</f>
        <v>21RB110</v>
      </c>
      <c r="B3229" s="2" t="str">
        <f>IFERROR(__xludf.DUMMYFUNCTION("""COMPUTED_VALUE"""),"21RB110")</f>
        <v>21RB110</v>
      </c>
      <c r="C3229" s="3" t="str">
        <f>IFERROR(__xludf.DUMMYFUNCTION("""COMPUTED_VALUE"""),"AB:HAVEN SAMUI")</f>
        <v>AB:HAVEN SAMUI</v>
      </c>
      <c r="D3229" s="3" t="str">
        <f>IFERROR(__xludf.DUMMYFUNCTION("""COMPUTED_VALUE"""),"AB:HAVEN SAMUI")</f>
        <v>AB:HAVEN SAMUI</v>
      </c>
      <c r="E3229" s="1" t="str">
        <f>IFERROR(__xludf.DUMMYFUNCTION("""COMPUTED_VALUE"""),"AsiaBooks")</f>
        <v>AsiaBooks</v>
      </c>
      <c r="F3229" s="1" t="str">
        <f>IFERROR(__xludf.DUMMYFUNCTION("""COMPUTED_VALUE"""),"1016938")</f>
        <v>1016938</v>
      </c>
      <c r="G3229" s="1" t="str">
        <f>IFERROR(__xludf.DUMMYFUNCTION("""COMPUTED_VALUE"""),"น.ส.ณัฏฐนันท์ ปัญญาสิทธิ์")</f>
        <v>น.ส.ณัฏฐนันท์ ปัญญาสิทธิ์</v>
      </c>
      <c r="H3229" s="1" t="str">
        <f>IFERROR(__xludf.DUMMYFUNCTION("""COMPUTED_VALUE"""),"2002076")</f>
        <v>2002076</v>
      </c>
      <c r="I3229" s="1" t="str">
        <f>IFERROR(__xludf.DUMMYFUNCTION("""COMPUTED_VALUE"""),"นายโชคชัย รมมุลตรี")</f>
        <v>นายโชคชัย รมมุลตรี</v>
      </c>
      <c r="J3229" s="3">
        <f>IFERROR(__xludf.DUMMYFUNCTION("""COMPUTED_VALUE"""),1016938.0)</f>
        <v>1016938</v>
      </c>
      <c r="K3229" s="3" t="str">
        <f>IFERROR(__xludf.DUMMYFUNCTION("""COMPUTED_VALUE"""),"น.ส.ณัฏฐนันท์ ปัญญาสิทธิ์")</f>
        <v>น.ส.ณัฏฐนันท์ ปัญญาสิทธิ์</v>
      </c>
      <c r="L3229" s="1" t="str">
        <f>IFERROR(__xludf.DUMMYFUNCTION("""COMPUTED_VALUE"""),"Asia Books")</f>
        <v>Asia Books</v>
      </c>
      <c r="M3229" s="1" t="str">
        <f>IFERROR(__xludf.DUMMYFUNCTION("""COMPUTED_VALUE"""),"0993463946")</f>
        <v>0993463946</v>
      </c>
      <c r="N3229" s="3" t="str">
        <f>IFERROR(__xludf.DUMMYFUNCTION("""COMPUTED_VALUE"""),"21RB110")</f>
        <v>21RB110</v>
      </c>
      <c r="O3229" s="3" t="str">
        <f>IFERROR(__xludf.DUMMYFUNCTION("""COMPUTED_VALUE"""),"AB:HAVEN SAMUI")</f>
        <v>AB:HAVEN SAMUI</v>
      </c>
      <c r="P3229" s="4">
        <f>IFERROR(__xludf.DUMMYFUNCTION("""COMPUTED_VALUE"""),45680.0)</f>
        <v>45680</v>
      </c>
      <c r="Q3229" s="3" t="str">
        <f>IFERROR(__xludf.DUMMYFUNCTION("""COMPUTED_VALUE"""),"A")</f>
        <v>A</v>
      </c>
      <c r="R3229" s="3" t="str">
        <f>IFERROR(__xludf.DUMMYFUNCTION("""COMPUTED_VALUE"""),"Small Format")</f>
        <v>Small Format</v>
      </c>
      <c r="S3229" s="3" t="str">
        <f>IFERROR(__xludf.DUMMYFUNCTION("""COMPUTED_VALUE"""),"AsiaBooks")</f>
        <v>AsiaBooks</v>
      </c>
      <c r="T3229" s="3" t="str">
        <f>IFERROR(__xludf.DUMMYFUNCTION("""COMPUTED_VALUE"""),"Asia Books")</f>
        <v>Asia Books</v>
      </c>
      <c r="U3229" s="3" t="str">
        <f>IFERROR(__xludf.DUMMYFUNCTION("""COMPUTED_VALUE"""),"#N/A")</f>
        <v>#N/A</v>
      </c>
      <c r="V3229" s="3" t="str">
        <f>IFERROR(__xludf.DUMMYFUNCTION("""COMPUTED_VALUE"""),"N")</f>
        <v>N</v>
      </c>
      <c r="W3229" s="3"/>
      <c r="X3229" s="3" t="str">
        <f>IFERROR(__xludf.DUMMYFUNCTION("""COMPUTED_VALUE"""),"อาคารศูนย์การค้าเฮฟเว่น สมุย 888 หมู่ที่ 2 ตำบลบ่อผุด อำเภอเกาะสมุย สุราษฎร์ธานี 84320")</f>
        <v>อาคารศูนย์การค้าเฮฟเว่น สมุย 888 หมู่ที่ 2 ตำบลบ่อผุด อำเภอเกาะสมุย สุราษฎร์ธานี 84320</v>
      </c>
      <c r="Y3229" s="3"/>
      <c r="Z3229" s="3" t="str">
        <f>IFERROR(__xludf.DUMMYFUNCTION("""COMPUTED_VALUE"""),"บ่อผุด")</f>
        <v>บ่อผุด</v>
      </c>
      <c r="AA3229" s="3" t="str">
        <f>IFERROR(__xludf.DUMMYFUNCTION("""COMPUTED_VALUE"""),"เกาะสมุย")</f>
        <v>เกาะสมุย</v>
      </c>
      <c r="AB3229" s="3" t="str">
        <f>IFERROR(__xludf.DUMMYFUNCTION("""COMPUTED_VALUE"""),"สุราษฎร์ธานี")</f>
        <v>สุราษฎร์ธานี</v>
      </c>
      <c r="AC3229" s="3">
        <f>IFERROR(__xludf.DUMMYFUNCTION("""COMPUTED_VALUE"""),84320.0)</f>
        <v>84320</v>
      </c>
      <c r="AD3229" s="3"/>
      <c r="AE3229" s="3"/>
      <c r="AF3229" s="3" t="str">
        <f>IFERROR(__xludf.DUMMYFUNCTION("""COMPUTED_VALUE"""),"AB:HAVEN SAMUI-21RB110")</f>
        <v>AB:HAVEN SAMUI-21RB110</v>
      </c>
      <c r="AG3229" s="3" t="str">
        <f>IFERROR(__xludf.DUMMYFUNCTION("""COMPUTED_VALUE"""),"ใต้")</f>
        <v>ใต้</v>
      </c>
      <c r="AH3229" s="3" t="str">
        <f>IFERROR(__xludf.DUMMYFUNCTION("""COMPUTED_VALUE"""),"#N/A")</f>
        <v>#N/A</v>
      </c>
      <c r="AI3229" s="3" t="str">
        <f>IFERROR(__xludf.DUMMYFUNCTION("""COMPUTED_VALUE"""),"In warranty")</f>
        <v>In warranty</v>
      </c>
      <c r="AJ3229" s="3">
        <f>IFERROR(__xludf.DUMMYFUNCTION("""COMPUTED_VALUE"""),12.0)</f>
        <v>12</v>
      </c>
      <c r="AK3229" s="3"/>
      <c r="AL3229" s="3"/>
    </row>
    <row r="3230" ht="15.75" customHeight="1">
      <c r="A3230" s="1" t="str">
        <f>IFERROR(__xludf.DUMMYFUNCTION("""COMPUTED_VALUE"""),"22701")</f>
        <v>22701</v>
      </c>
      <c r="B3230" s="2">
        <f>IFERROR(__xludf.DUMMYFUNCTION("""COMPUTED_VALUE"""),22701.0)</f>
        <v>22701</v>
      </c>
      <c r="C3230" s="3" t="str">
        <f>IFERROR(__xludf.DUMMYFUNCTION("""COMPUTED_VALUE"""),"BCM สามกอ พระนครศรีอยุธยา")</f>
        <v>BCM สามกอ พระนครศรีอยุธยา</v>
      </c>
      <c r="D3230" s="3" t="str">
        <f>IFERROR(__xludf.DUMMYFUNCTION("""COMPUTED_VALUE"""),"BCM SAMKO PHRANAKHONSI")</f>
        <v>BCM SAMKO PHRANAKHONSI</v>
      </c>
      <c r="E3230" s="1" t="str">
        <f>IFERROR(__xludf.DUMMYFUNCTION("""COMPUTED_VALUE"""),"บิ๊กซี MINI")</f>
        <v>บิ๊กซี MINI</v>
      </c>
      <c r="F3230" s="1" t="str">
        <f>IFERROR(__xludf.DUMMYFUNCTION("""COMPUTED_VALUE"""),"296229")</f>
        <v>296229</v>
      </c>
      <c r="G3230" s="1" t="str">
        <f>IFERROR(__xludf.DUMMYFUNCTION("""COMPUTED_VALUE"""),"นายทนงศักดิ์ บุญมา")</f>
        <v>นายทนงศักดิ์ บุญมา</v>
      </c>
      <c r="H3230" s="1" t="str">
        <f>IFERROR(__xludf.DUMMYFUNCTION("""COMPUTED_VALUE"""),"211363")</f>
        <v>211363</v>
      </c>
      <c r="I3230" s="1" t="str">
        <f>IFERROR(__xludf.DUMMYFUNCTION("""COMPUTED_VALUE"""),"นายสามารถ บุญลับ")</f>
        <v>นายสามารถ บุญลับ</v>
      </c>
      <c r="J3230" s="3">
        <f>IFERROR(__xludf.DUMMYFUNCTION("""COMPUTED_VALUE"""),46214.0)</f>
        <v>46214</v>
      </c>
      <c r="K3230" s="3" t="str">
        <f>IFERROR(__xludf.DUMMYFUNCTION("""COMPUTED_VALUE"""),"นายศักดิ์ชัย เด็ดดอกฟ้า")</f>
        <v>นายศักดิ์ชัย เด็ดดอกฟ้า</v>
      </c>
      <c r="L3230" s="1" t="str">
        <f>IFERROR(__xludf.DUMMYFUNCTION("""COMPUTED_VALUE"""),"02 K.Sakchai D")</f>
        <v>02 K.Sakchai D</v>
      </c>
      <c r="M3230" s="1" t="str">
        <f>IFERROR(__xludf.DUMMYFUNCTION("""COMPUTED_VALUE"""),"065-510-7376")</f>
        <v>065-510-7376</v>
      </c>
      <c r="N3230" s="3">
        <f>IFERROR(__xludf.DUMMYFUNCTION("""COMPUTED_VALUE"""),21714.0)</f>
        <v>21714</v>
      </c>
      <c r="O3230" s="3" t="str">
        <f>IFERROR(__xludf.DUMMYFUNCTION("""COMPUTED_VALUE"""),"MBC เอสโซ่ วัดโบสถ์")</f>
        <v>MBC เอสโซ่ วัดโบสถ์</v>
      </c>
      <c r="P3230" s="4">
        <f>IFERROR(__xludf.DUMMYFUNCTION("""COMPUTED_VALUE"""),45687.0)</f>
        <v>45687</v>
      </c>
      <c r="Q3230" s="3" t="str">
        <f>IFERROR(__xludf.DUMMYFUNCTION("""COMPUTED_VALUE"""),"A")</f>
        <v>A</v>
      </c>
      <c r="R3230" s="3" t="str">
        <f>IFERROR(__xludf.DUMMYFUNCTION("""COMPUTED_VALUE"""),"Small Format")</f>
        <v>Small Format</v>
      </c>
      <c r="S3230" s="3" t="str">
        <f>IFERROR(__xludf.DUMMYFUNCTION("""COMPUTED_VALUE"""),"BCM")</f>
        <v>BCM</v>
      </c>
      <c r="T3230" s="3" t="str">
        <f>IFERROR(__xludf.DUMMYFUNCTION("""COMPUTED_VALUE"""),"#N/A")</f>
        <v>#N/A</v>
      </c>
      <c r="U3230" s="3" t="str">
        <f>IFERROR(__xludf.DUMMYFUNCTION("""COMPUTED_VALUE"""),"#N/A")</f>
        <v>#N/A</v>
      </c>
      <c r="V3230" s="3" t="str">
        <f>IFERROR(__xludf.DUMMYFUNCTION("""COMPUTED_VALUE"""),"N")</f>
        <v>N</v>
      </c>
      <c r="W3230" s="3">
        <f>IFERROR(__xludf.DUMMYFUNCTION("""COMPUTED_VALUE"""),210805.0)</f>
        <v>210805</v>
      </c>
      <c r="X3230" s="3" t="str">
        <f>IFERROR(__xludf.DUMMYFUNCTION("""COMPUTED_VALUE"""),"45/59 หมู่ 8 ตำบลสามกอ อำเภอเสนา จังหวัดพระนครศรีอยุธยา 13110")</f>
        <v>45/59 หมู่ 8 ตำบลสามกอ อำเภอเสนา จังหวัดพระนครศรีอยุธยา 13110</v>
      </c>
      <c r="Y3230" s="3"/>
      <c r="Z3230" s="3" t="str">
        <f>IFERROR(__xludf.DUMMYFUNCTION("""COMPUTED_VALUE"""),"สามกอ")</f>
        <v>สามกอ</v>
      </c>
      <c r="AA3230" s="3" t="str">
        <f>IFERROR(__xludf.DUMMYFUNCTION("""COMPUTED_VALUE"""),"เสนา")</f>
        <v>เสนา</v>
      </c>
      <c r="AB3230" s="3" t="str">
        <f>IFERROR(__xludf.DUMMYFUNCTION("""COMPUTED_VALUE"""),"พระนครศรีอยุธยา")</f>
        <v>พระนครศรีอยุธยา</v>
      </c>
      <c r="AC3230" s="3">
        <f>IFERROR(__xludf.DUMMYFUNCTION("""COMPUTED_VALUE"""),13110.0)</f>
        <v>13110</v>
      </c>
      <c r="AD3230" s="3">
        <f>IFERROR(__xludf.DUMMYFUNCTION("""COMPUTED_VALUE"""),14.322153)</f>
        <v>14.322153</v>
      </c>
      <c r="AE3230" s="3">
        <f>IFERROR(__xludf.DUMMYFUNCTION("""COMPUTED_VALUE"""),100.39446)</f>
        <v>100.39446</v>
      </c>
      <c r="AF3230" s="3" t="str">
        <f>IFERROR(__xludf.DUMMYFUNCTION("""COMPUTED_VALUE"""),"BCM สามกอ พระนครศรีอยุธยา-22701")</f>
        <v>BCM สามกอ พระนครศรีอยุธยา-22701</v>
      </c>
      <c r="AG3230" s="3" t="str">
        <f>IFERROR(__xludf.DUMMYFUNCTION("""COMPUTED_VALUE"""),"กลาง")</f>
        <v>กลาง</v>
      </c>
      <c r="AH3230" s="3" t="str">
        <f>IFERROR(__xludf.DUMMYFUNCTION("""COMPUTED_VALUE"""),"#N/A")</f>
        <v>#N/A</v>
      </c>
      <c r="AI3230" s="3" t="str">
        <f>IFERROR(__xludf.DUMMYFUNCTION("""COMPUTED_VALUE"""),"In warranty")</f>
        <v>In warranty</v>
      </c>
      <c r="AJ3230" s="3">
        <f>IFERROR(__xludf.DUMMYFUNCTION("""COMPUTED_VALUE"""),12.0)</f>
        <v>12</v>
      </c>
      <c r="AK3230" s="3"/>
      <c r="AL3230" s="3"/>
    </row>
    <row r="3231" ht="15.75" customHeight="1">
      <c r="A3231" s="1" t="str">
        <f>IFERROR(__xludf.DUMMYFUNCTION("""COMPUTED_VALUE"""),"22702")</f>
        <v>22702</v>
      </c>
      <c r="B3231" s="2">
        <f>IFERROR(__xludf.DUMMYFUNCTION("""COMPUTED_VALUE"""),22702.0)</f>
        <v>22702</v>
      </c>
      <c r="C3231" s="3" t="str">
        <f>IFERROR(__xludf.DUMMYFUNCTION("""COMPUTED_VALUE"""),"BCM ชุมชนโนนทัน 3 ขอนแก่น")</f>
        <v>BCM ชุมชนโนนทัน 3 ขอนแก่น</v>
      </c>
      <c r="D3231" s="3" t="str">
        <f>IFERROR(__xludf.DUMMYFUNCTION("""COMPUTED_VALUE"""),"BCM CHUMCHONNONTHAN 3 KHONKAEN")</f>
        <v>BCM CHUMCHONNONTHAN 3 KHONKAEN</v>
      </c>
      <c r="E3231" s="1" t="str">
        <f>IFERROR(__xludf.DUMMYFUNCTION("""COMPUTED_VALUE"""),"บิ๊กซี MINI")</f>
        <v>บิ๊กซี MINI</v>
      </c>
      <c r="F3231" s="1" t="str">
        <f>IFERROR(__xludf.DUMMYFUNCTION("""COMPUTED_VALUE"""),"291105")</f>
        <v>291105</v>
      </c>
      <c r="G3231" s="1" t="str">
        <f>IFERROR(__xludf.DUMMYFUNCTION("""COMPUTED_VALUE"""),"นายสราวุฒิ พณิชยกุล")</f>
        <v>นายสราวุฒิ พณิชยกุล</v>
      </c>
      <c r="H3231" s="1" t="str">
        <f>IFERROR(__xludf.DUMMYFUNCTION("""COMPUTED_VALUE"""),"305119")</f>
        <v>305119</v>
      </c>
      <c r="I3231" s="1" t="str">
        <f>IFERROR(__xludf.DUMMYFUNCTION("""COMPUTED_VALUE"""),"นายไชยกร ลีพิบูลย์สวัสดิ์")</f>
        <v>นายไชยกร ลีพิบูลย์สวัสดิ์</v>
      </c>
      <c r="J3231" s="3">
        <f>IFERROR(__xludf.DUMMYFUNCTION("""COMPUTED_VALUE"""),296868.0)</f>
        <v>296868</v>
      </c>
      <c r="K3231" s="3" t="str">
        <f>IFERROR(__xludf.DUMMYFUNCTION("""COMPUTED_VALUE"""),"นายพีระพงษ์ แก้วดวงดี")</f>
        <v>นายพีระพงษ์ แก้วดวงดี</v>
      </c>
      <c r="L3231" s="1" t="str">
        <f>IFERROR(__xludf.DUMMYFUNCTION("""COMPUTED_VALUE"""),"03 K.Peerapong K.")</f>
        <v>03 K.Peerapong K.</v>
      </c>
      <c r="M3231" s="1" t="str">
        <f>IFERROR(__xludf.DUMMYFUNCTION("""COMPUTED_VALUE"""),"089-002-6599")</f>
        <v>089-002-6599</v>
      </c>
      <c r="N3231" s="3">
        <f>IFERROR(__xludf.DUMMYFUNCTION("""COMPUTED_VALUE"""),21946.0)</f>
        <v>21946</v>
      </c>
      <c r="O3231" s="3" t="str">
        <f>IFERROR(__xludf.DUMMYFUNCTION("""COMPUTED_VALUE"""),"MBC เซกา บึงกาฬ")</f>
        <v>MBC เซกา บึงกาฬ</v>
      </c>
      <c r="P3231" s="4">
        <f>IFERROR(__xludf.DUMMYFUNCTION("""COMPUTED_VALUE"""),45687.0)</f>
        <v>45687</v>
      </c>
      <c r="Q3231" s="3" t="str">
        <f>IFERROR(__xludf.DUMMYFUNCTION("""COMPUTED_VALUE"""),"A")</f>
        <v>A</v>
      </c>
      <c r="R3231" s="3" t="str">
        <f>IFERROR(__xludf.DUMMYFUNCTION("""COMPUTED_VALUE"""),"Small Format")</f>
        <v>Small Format</v>
      </c>
      <c r="S3231" s="3" t="str">
        <f>IFERROR(__xludf.DUMMYFUNCTION("""COMPUTED_VALUE"""),"BCM")</f>
        <v>BCM</v>
      </c>
      <c r="T3231" s="3" t="str">
        <f>IFERROR(__xludf.DUMMYFUNCTION("""COMPUTED_VALUE"""),"#N/A")</f>
        <v>#N/A</v>
      </c>
      <c r="U3231" s="3" t="str">
        <f>IFERROR(__xludf.DUMMYFUNCTION("""COMPUTED_VALUE"""),"#N/A")</f>
        <v>#N/A</v>
      </c>
      <c r="V3231" s="3" t="str">
        <f>IFERROR(__xludf.DUMMYFUNCTION("""COMPUTED_VALUE"""),"N")</f>
        <v>N</v>
      </c>
      <c r="W3231" s="3">
        <f>IFERROR(__xludf.DUMMYFUNCTION("""COMPUTED_VALUE"""),210807.0)</f>
        <v>210807</v>
      </c>
      <c r="X3231" s="3" t="str">
        <f>IFERROR(__xludf.DUMMYFUNCTION("""COMPUTED_VALUE"""),"159/85 หมู่ 2 ตำบลในเมือง อำเภอเมืองขอนแก่น จังหวัดขอนแก่น 40000")</f>
        <v>159/85 หมู่ 2 ตำบลในเมือง อำเภอเมืองขอนแก่น จังหวัดขอนแก่น 40000</v>
      </c>
      <c r="Y3231" s="3"/>
      <c r="Z3231" s="3" t="str">
        <f>IFERROR(__xludf.DUMMYFUNCTION("""COMPUTED_VALUE"""),"ในเมือง")</f>
        <v>ในเมือง</v>
      </c>
      <c r="AA3231" s="3" t="str">
        <f>IFERROR(__xludf.DUMMYFUNCTION("""COMPUTED_VALUE"""),"เมืองขอนแก่น")</f>
        <v>เมืองขอนแก่น</v>
      </c>
      <c r="AB3231" s="3" t="str">
        <f>IFERROR(__xludf.DUMMYFUNCTION("""COMPUTED_VALUE"""),"ขอนแก่น")</f>
        <v>ขอนแก่น</v>
      </c>
      <c r="AC3231" s="3">
        <f>IFERROR(__xludf.DUMMYFUNCTION("""COMPUTED_VALUE"""),40000.0)</f>
        <v>40000</v>
      </c>
      <c r="AD3231" s="3">
        <f>IFERROR(__xludf.DUMMYFUNCTION("""COMPUTED_VALUE"""),16.42065)</f>
        <v>16.42065</v>
      </c>
      <c r="AE3231" s="3">
        <f>IFERROR(__xludf.DUMMYFUNCTION("""COMPUTED_VALUE"""),102.85213)</f>
        <v>102.85213</v>
      </c>
      <c r="AF3231" s="3" t="str">
        <f>IFERROR(__xludf.DUMMYFUNCTION("""COMPUTED_VALUE"""),"BCM ชุมชนโนนทัน 3 ขอนแก่น-22702")</f>
        <v>BCM ชุมชนโนนทัน 3 ขอนแก่น-22702</v>
      </c>
      <c r="AG3231" s="3" t="str">
        <f>IFERROR(__xludf.DUMMYFUNCTION("""COMPUTED_VALUE"""),"ตะวันออกเฉียงเหนือ")</f>
        <v>ตะวันออกเฉียงเหนือ</v>
      </c>
      <c r="AH3231" s="3" t="str">
        <f>IFERROR(__xludf.DUMMYFUNCTION("""COMPUTED_VALUE"""),"#N/A")</f>
        <v>#N/A</v>
      </c>
      <c r="AI3231" s="3" t="str">
        <f>IFERROR(__xludf.DUMMYFUNCTION("""COMPUTED_VALUE"""),"In warranty")</f>
        <v>In warranty</v>
      </c>
      <c r="AJ3231" s="3">
        <f>IFERROR(__xludf.DUMMYFUNCTION("""COMPUTED_VALUE"""),12.0)</f>
        <v>12</v>
      </c>
      <c r="AK3231" s="3"/>
      <c r="AL3231" s="3"/>
    </row>
    <row r="3232" ht="15.75" customHeight="1">
      <c r="A3232" s="1" t="str">
        <f>IFERROR(__xludf.DUMMYFUNCTION("""COMPUTED_VALUE"""),"22704")</f>
        <v>22704</v>
      </c>
      <c r="B3232" s="2">
        <f>IFERROR(__xludf.DUMMYFUNCTION("""COMPUTED_VALUE"""),22704.0)</f>
        <v>22704</v>
      </c>
      <c r="C3232" s="3" t="str">
        <f>IFERROR(__xludf.DUMMYFUNCTION("""COMPUTED_VALUE"""),"BCM ภูเวียง 2 ขอนแก่น")</f>
        <v>BCM ภูเวียง 2 ขอนแก่น</v>
      </c>
      <c r="D3232" s="3" t="str">
        <f>IFERROR(__xludf.DUMMYFUNCTION("""COMPUTED_VALUE"""),"BCM PHUWIANG 2 KHONKAEN")</f>
        <v>BCM PHUWIANG 2 KHONKAEN</v>
      </c>
      <c r="E3232" s="1" t="str">
        <f>IFERROR(__xludf.DUMMYFUNCTION("""COMPUTED_VALUE"""),"บิ๊กซี MINI")</f>
        <v>บิ๊กซี MINI</v>
      </c>
      <c r="F3232" s="1" t="str">
        <f>IFERROR(__xludf.DUMMYFUNCTION("""COMPUTED_VALUE"""),"291105")</f>
        <v>291105</v>
      </c>
      <c r="G3232" s="1" t="str">
        <f>IFERROR(__xludf.DUMMYFUNCTION("""COMPUTED_VALUE"""),"นายสราวุฒิ พณิชยกุล")</f>
        <v>นายสราวุฒิ พณิชยกุล</v>
      </c>
      <c r="H3232" s="1" t="str">
        <f>IFERROR(__xludf.DUMMYFUNCTION("""COMPUTED_VALUE"""),"371396")</f>
        <v>371396</v>
      </c>
      <c r="I3232" s="1" t="str">
        <f>IFERROR(__xludf.DUMMYFUNCTION("""COMPUTED_VALUE"""),"น.ส.สุภาวดี วิลัยพร")</f>
        <v>น.ส.สุภาวดี วิลัยพร</v>
      </c>
      <c r="J3232" s="3">
        <f>IFERROR(__xludf.DUMMYFUNCTION("""COMPUTED_VALUE"""),15361.0)</f>
        <v>15361</v>
      </c>
      <c r="K3232" s="3" t="str">
        <f>IFERROR(__xludf.DUMMYFUNCTION("""COMPUTED_VALUE"""),"นายสมบูรณ์ พรหมในเมือง")</f>
        <v>นายสมบูรณ์ พรหมในเมือง</v>
      </c>
      <c r="L3232" s="1" t="str">
        <f>IFERROR(__xludf.DUMMYFUNCTION("""COMPUTED_VALUE"""),"04 K.Somboon P.")</f>
        <v>04 K.Somboon P.</v>
      </c>
      <c r="M3232" s="1" t="str">
        <f>IFERROR(__xludf.DUMMYFUNCTION("""COMPUTED_VALUE"""),"087-965-3051")</f>
        <v>087-965-3051</v>
      </c>
      <c r="N3232" s="3">
        <f>IFERROR(__xludf.DUMMYFUNCTION("""COMPUTED_VALUE"""),21869.0)</f>
        <v>21869</v>
      </c>
      <c r="O3232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3232" s="4">
        <f>IFERROR(__xludf.DUMMYFUNCTION("""COMPUTED_VALUE"""),45688.0)</f>
        <v>45688</v>
      </c>
      <c r="Q3232" s="3" t="str">
        <f>IFERROR(__xludf.DUMMYFUNCTION("""COMPUTED_VALUE"""),"A")</f>
        <v>A</v>
      </c>
      <c r="R3232" s="3" t="str">
        <f>IFERROR(__xludf.DUMMYFUNCTION("""COMPUTED_VALUE"""),"Small Format")</f>
        <v>Small Format</v>
      </c>
      <c r="S3232" s="3" t="str">
        <f>IFERROR(__xludf.DUMMYFUNCTION("""COMPUTED_VALUE"""),"BCM")</f>
        <v>BCM</v>
      </c>
      <c r="T3232" s="3" t="str">
        <f>IFERROR(__xludf.DUMMYFUNCTION("""COMPUTED_VALUE"""),"#N/A")</f>
        <v>#N/A</v>
      </c>
      <c r="U3232" s="3" t="str">
        <f>IFERROR(__xludf.DUMMYFUNCTION("""COMPUTED_VALUE"""),"#N/A")</f>
        <v>#N/A</v>
      </c>
      <c r="V3232" s="3" t="str">
        <f>IFERROR(__xludf.DUMMYFUNCTION("""COMPUTED_VALUE"""),"N")</f>
        <v>N</v>
      </c>
      <c r="W3232" s="3">
        <f>IFERROR(__xludf.DUMMYFUNCTION("""COMPUTED_VALUE"""),210804.0)</f>
        <v>210804</v>
      </c>
      <c r="X3232" s="3" t="str">
        <f>IFERROR(__xludf.DUMMYFUNCTION("""COMPUTED_VALUE"""),"63 หมู่ 1 ถนนโพธิ์ชัย ตำบลภูเวียง อำเภอภูเวียง จังหวัดขอนแก่น 40150")</f>
        <v>63 หมู่ 1 ถนนโพธิ์ชัย ตำบลภูเวียง อำเภอภูเวียง จังหวัดขอนแก่น 40150</v>
      </c>
      <c r="Y3232" s="3" t="str">
        <f>IFERROR(__xludf.DUMMYFUNCTION("""COMPUTED_VALUE"""),"โพธิ์ชัย")</f>
        <v>โพธิ์ชัย</v>
      </c>
      <c r="Z3232" s="3" t="str">
        <f>IFERROR(__xludf.DUMMYFUNCTION("""COMPUTED_VALUE"""),"ภูเวียง")</f>
        <v>ภูเวียง</v>
      </c>
      <c r="AA3232" s="3" t="str">
        <f>IFERROR(__xludf.DUMMYFUNCTION("""COMPUTED_VALUE"""),"ภูเวียง")</f>
        <v>ภูเวียง</v>
      </c>
      <c r="AB3232" s="3" t="str">
        <f>IFERROR(__xludf.DUMMYFUNCTION("""COMPUTED_VALUE"""),"ขอนแก่น")</f>
        <v>ขอนแก่น</v>
      </c>
      <c r="AC3232" s="3">
        <f>IFERROR(__xludf.DUMMYFUNCTION("""COMPUTED_VALUE"""),40150.0)</f>
        <v>40150</v>
      </c>
      <c r="AD3232" s="3">
        <f>IFERROR(__xludf.DUMMYFUNCTION("""COMPUTED_VALUE"""),16.650066)</f>
        <v>16.650066</v>
      </c>
      <c r="AE3232" s="3">
        <f>IFERROR(__xludf.DUMMYFUNCTION("""COMPUTED_VALUE"""),102.378082)</f>
        <v>102.378082</v>
      </c>
      <c r="AF3232" s="3" t="str">
        <f>IFERROR(__xludf.DUMMYFUNCTION("""COMPUTED_VALUE"""),"BCM ภูเวียง 2 ขอนแก่น-22704")</f>
        <v>BCM ภูเวียง 2 ขอนแก่น-22704</v>
      </c>
      <c r="AG3232" s="3" t="str">
        <f>IFERROR(__xludf.DUMMYFUNCTION("""COMPUTED_VALUE"""),"ตะวันออกเฉียงเหนือ")</f>
        <v>ตะวันออกเฉียงเหนือ</v>
      </c>
      <c r="AH3232" s="3" t="str">
        <f>IFERROR(__xludf.DUMMYFUNCTION("""COMPUTED_VALUE"""),"#N/A")</f>
        <v>#N/A</v>
      </c>
      <c r="AI3232" s="3" t="str">
        <f>IFERROR(__xludf.DUMMYFUNCTION("""COMPUTED_VALUE"""),"In warranty")</f>
        <v>In warranty</v>
      </c>
      <c r="AJ3232" s="3">
        <f>IFERROR(__xludf.DUMMYFUNCTION("""COMPUTED_VALUE"""),12.0)</f>
        <v>12</v>
      </c>
      <c r="AK3232" s="3"/>
      <c r="AL3232" s="3"/>
    </row>
    <row r="3233" ht="15.75" customHeight="1">
      <c r="A3233" s="1" t="str">
        <f>IFERROR(__xludf.DUMMYFUNCTION("""COMPUTED_VALUE"""),"91101")</f>
        <v>91101</v>
      </c>
      <c r="B3233" s="2">
        <f>IFERROR(__xludf.DUMMYFUNCTION("""COMPUTED_VALUE"""),91101.0)</f>
        <v>91101</v>
      </c>
      <c r="C3233" s="3" t="str">
        <f>IFERROR(__xludf.DUMMYFUNCTION("""COMPUTED_VALUE"""),"TBDC (Bang Pa-in Distribution Center)")</f>
        <v>TBDC (Bang Pa-in Distribution Center)</v>
      </c>
      <c r="D3233" s="3" t="str">
        <f>IFERROR(__xludf.DUMMYFUNCTION("""COMPUTED_VALUE"""),"Bang Pa-in Distribution Center")</f>
        <v>Bang Pa-in Distribution Center</v>
      </c>
      <c r="E3233" s="1" t="str">
        <f>IFERROR(__xludf.DUMMYFUNCTION("""COMPUTED_VALUE"""),"DC")</f>
        <v>DC</v>
      </c>
      <c r="F3233" s="1" t="str">
        <f>IFERROR(__xludf.DUMMYFUNCTION("""COMPUTED_VALUE"""),"1019553")</f>
        <v>1019553</v>
      </c>
      <c r="G3233" s="1" t="str">
        <f>IFERROR(__xludf.DUMMYFUNCTION("""COMPUTED_VALUE"""),"นายบำรุง กังสันเทียะ")</f>
        <v>นายบำรุง กังสันเทียะ</v>
      </c>
      <c r="H3233" s="1" t="str">
        <f>IFERROR(__xludf.DUMMYFUNCTION("""COMPUTED_VALUE"""),"1019550")</f>
        <v>1019550</v>
      </c>
      <c r="I3233" s="1" t="str">
        <f>IFERROR(__xludf.DUMMYFUNCTION("""COMPUTED_VALUE"""),"นายกิตติเดช อินทะชัย")</f>
        <v>นายกิตติเดช อินทะชัย</v>
      </c>
      <c r="J3233" s="3">
        <f>IFERROR(__xludf.DUMMYFUNCTION("""COMPUTED_VALUE"""),1019473.0)</f>
        <v>1019473</v>
      </c>
      <c r="K3233" s="3" t="str">
        <f>IFERROR(__xludf.DUMMYFUNCTION("""COMPUTED_VALUE"""),"นายสันติ อรรคสิริสถาวร")</f>
        <v>นายสันติ อรรคสิริสถาวร</v>
      </c>
      <c r="L3233" s="1" t="str">
        <f>IFERROR(__xludf.DUMMYFUNCTION("""COMPUTED_VALUE"""),"0")</f>
        <v>0</v>
      </c>
      <c r="M3233" s="1" t="str">
        <f>IFERROR(__xludf.DUMMYFUNCTION("""COMPUTED_VALUE"""),"0")</f>
        <v>0</v>
      </c>
      <c r="N3233" s="3">
        <f>IFERROR(__xludf.DUMMYFUNCTION("""COMPUTED_VALUE"""),91101.0)</f>
        <v>91101</v>
      </c>
      <c r="O3233" s="3" t="str">
        <f>IFERROR(__xludf.DUMMYFUNCTION("""COMPUTED_VALUE"""),"TBDC (Bang Pa-in Distribution Center)")</f>
        <v>TBDC (Bang Pa-in Distribution Center)</v>
      </c>
      <c r="P3233" s="4">
        <f>IFERROR(__xludf.DUMMYFUNCTION("""COMPUTED_VALUE"""),45853.0)</f>
        <v>45853</v>
      </c>
      <c r="Q3233" s="3" t="str">
        <f>IFERROR(__xludf.DUMMYFUNCTION("""COMPUTED_VALUE"""),"A")</f>
        <v>A</v>
      </c>
      <c r="R3233" s="3" t="str">
        <f>IFERROR(__xludf.DUMMYFUNCTION("""COMPUTED_VALUE"""),"Small Format")</f>
        <v>Small Format</v>
      </c>
      <c r="S3233" s="3" t="str">
        <f>IFERROR(__xludf.DUMMYFUNCTION("""COMPUTED_VALUE"""),"DC")</f>
        <v>DC</v>
      </c>
      <c r="T3233" s="3" t="str">
        <f>IFERROR(__xludf.DUMMYFUNCTION("""COMPUTED_VALUE"""),"#N/A")</f>
        <v>#N/A</v>
      </c>
      <c r="U3233" s="3" t="str">
        <f>IFERROR(__xludf.DUMMYFUNCTION("""COMPUTED_VALUE"""),"#N/A")</f>
        <v>#N/A</v>
      </c>
      <c r="V3233" s="3" t="str">
        <f>IFERROR(__xludf.DUMMYFUNCTION("""COMPUTED_VALUE"""),"N")</f>
        <v>N</v>
      </c>
      <c r="W3233" s="3">
        <f>IFERROR(__xludf.DUMMYFUNCTION("""COMPUTED_VALUE"""),911019.0)</f>
        <v>911019</v>
      </c>
      <c r="X3233" s="3" t="str">
        <f>IFERROR(__xludf.DUMMYFUNCTION("""COMPUTED_VALUE"""),"เลขที่ 2565 หมู่ที่ 2 ต. คลองจิก อ. บางปะอิน จ. พระนครศรีอยุธยา 13160")</f>
        <v>เลขที่ 2565 หมู่ที่ 2 ต. คลองจิก อ. บางปะอิน จ. พระนครศรีอยุธยา 13160</v>
      </c>
      <c r="Y3233" s="3"/>
      <c r="Z3233" s="3" t="str">
        <f>IFERROR(__xludf.DUMMYFUNCTION("""COMPUTED_VALUE"""),"คลองจิก")</f>
        <v>คลองจิก</v>
      </c>
      <c r="AA3233" s="3" t="str">
        <f>IFERROR(__xludf.DUMMYFUNCTION("""COMPUTED_VALUE"""),"บางปะอิน")</f>
        <v>บางปะอิน</v>
      </c>
      <c r="AB3233" s="3" t="str">
        <f>IFERROR(__xludf.DUMMYFUNCTION("""COMPUTED_VALUE"""),"พระนครศรีอยุธยา")</f>
        <v>พระนครศรีอยุธยา</v>
      </c>
      <c r="AC3233" s="3">
        <f>IFERROR(__xludf.DUMMYFUNCTION("""COMPUTED_VALUE"""),13160.0)</f>
        <v>13160</v>
      </c>
      <c r="AD3233" s="3"/>
      <c r="AE3233" s="3"/>
      <c r="AF3233" s="3" t="str">
        <f>IFERROR(__xludf.DUMMYFUNCTION("""COMPUTED_VALUE"""),"TBDC (Bang Pa-in Distribution Center)-91101")</f>
        <v>TBDC (Bang Pa-in Distribution Center)-91101</v>
      </c>
      <c r="AG3233" s="3" t="str">
        <f>IFERROR(__xludf.DUMMYFUNCTION("""COMPUTED_VALUE"""),"กลาง")</f>
        <v>กลาง</v>
      </c>
      <c r="AH3233" s="3" t="str">
        <f>IFERROR(__xludf.DUMMYFUNCTION("""COMPUTED_VALUE"""),"#N/A")</f>
        <v>#N/A</v>
      </c>
      <c r="AI3233" s="3" t="str">
        <f>IFERROR(__xludf.DUMMYFUNCTION("""COMPUTED_VALUE"""),"In warranty")</f>
        <v>In warranty</v>
      </c>
      <c r="AJ3233" s="3">
        <f>IFERROR(__xludf.DUMMYFUNCTION("""COMPUTED_VALUE"""),7.0)</f>
        <v>7</v>
      </c>
      <c r="AK3233" s="3"/>
      <c r="AL3233" s="3"/>
    </row>
    <row r="3234" ht="15.75" customHeight="1">
      <c r="A3234" s="1" t="str">
        <f>IFERROR(__xludf.DUMMYFUNCTION("""COMPUTED_VALUE"""),"22706")</f>
        <v>22706</v>
      </c>
      <c r="B3234" s="2">
        <f>IFERROR(__xludf.DUMMYFUNCTION("""COMPUTED_VALUE"""),22706.0)</f>
        <v>22706</v>
      </c>
      <c r="C3234" s="3" t="str">
        <f>IFERROR(__xludf.DUMMYFUNCTION("""COMPUTED_VALUE"""),"BCM ชุมชนศรีไค อุบลราชธานี")</f>
        <v>BCM ชุมชนศรีไค อุบลราชธานี</v>
      </c>
      <c r="D3234" s="3" t="str">
        <f>IFERROR(__xludf.DUMMYFUNCTION("""COMPUTED_VALUE"""),"BCM CHUMCHON SRIKHAI UBON")</f>
        <v>BCM CHUMCHON SRIKHAI UBON</v>
      </c>
      <c r="E3234" s="1" t="str">
        <f>IFERROR(__xludf.DUMMYFUNCTION("""COMPUTED_VALUE"""),"บิ๊กซี MINI")</f>
        <v>บิ๊กซี MINI</v>
      </c>
      <c r="F3234" s="1" t="str">
        <f>IFERROR(__xludf.DUMMYFUNCTION("""COMPUTED_VALUE"""),"291105")</f>
        <v>291105</v>
      </c>
      <c r="G3234" s="1" t="str">
        <f>IFERROR(__xludf.DUMMYFUNCTION("""COMPUTED_VALUE"""),"นายสราวุฒิ พณิชยกุล")</f>
        <v>นายสราวุฒิ พณิชยกุล</v>
      </c>
      <c r="H3234" s="1" t="str">
        <f>IFERROR(__xludf.DUMMYFUNCTION("""COMPUTED_VALUE"""),"250772")</f>
        <v>250772</v>
      </c>
      <c r="I3234" s="1" t="str">
        <f>IFERROR(__xludf.DUMMYFUNCTION("""COMPUTED_VALUE"""),"น.ส.วรุณยุพา จรูญไธสง")</f>
        <v>น.ส.วรุณยุพา จรูญไธสง</v>
      </c>
      <c r="J3234" s="3">
        <f>IFERROR(__xludf.DUMMYFUNCTION("""COMPUTED_VALUE"""),2454781.0)</f>
        <v>2454781</v>
      </c>
      <c r="K3234" s="3" t="str">
        <f>IFERROR(__xludf.DUMMYFUNCTION("""COMPUTED_VALUE"""),"นายฌานกฤช นันทะโคต")</f>
        <v>นายฌานกฤช นันทะโคต</v>
      </c>
      <c r="L3234" s="1" t="str">
        <f>IFERROR(__xludf.DUMMYFUNCTION("""COMPUTED_VALUE"""),"05 K.Chanakrit N.")</f>
        <v>05 K.Chanakrit N.</v>
      </c>
      <c r="M3234" s="1" t="str">
        <f>IFERROR(__xludf.DUMMYFUNCTION("""COMPUTED_VALUE"""),"090-978-9785 ,065-929-1320")</f>
        <v>090-978-9785 ,065-929-1320</v>
      </c>
      <c r="N3234" s="3">
        <f>IFERROR(__xludf.DUMMYFUNCTION("""COMPUTED_VALUE"""),22195.0)</f>
        <v>22195</v>
      </c>
      <c r="O3234" s="3" t="str">
        <f>IFERROR(__xludf.DUMMYFUNCTION("""COMPUTED_VALUE"""),"MBC กันทรลักษ์ ศรีสะเกษ")</f>
        <v>MBC กันทรลักษ์ ศรีสะเกษ</v>
      </c>
      <c r="P3234" s="4">
        <f>IFERROR(__xludf.DUMMYFUNCTION("""COMPUTED_VALUE"""),45713.0)</f>
        <v>45713</v>
      </c>
      <c r="Q3234" s="3" t="str">
        <f>IFERROR(__xludf.DUMMYFUNCTION("""COMPUTED_VALUE"""),"A")</f>
        <v>A</v>
      </c>
      <c r="R3234" s="3" t="str">
        <f>IFERROR(__xludf.DUMMYFUNCTION("""COMPUTED_VALUE"""),"Small Format")</f>
        <v>Small Format</v>
      </c>
      <c r="S3234" s="3" t="str">
        <f>IFERROR(__xludf.DUMMYFUNCTION("""COMPUTED_VALUE"""),"BCM")</f>
        <v>BCM</v>
      </c>
      <c r="T3234" s="3" t="str">
        <f>IFERROR(__xludf.DUMMYFUNCTION("""COMPUTED_VALUE"""),"#N/A")</f>
        <v>#N/A</v>
      </c>
      <c r="U3234" s="3" t="str">
        <f>IFERROR(__xludf.DUMMYFUNCTION("""COMPUTED_VALUE"""),"#N/A")</f>
        <v>#N/A</v>
      </c>
      <c r="V3234" s="3" t="str">
        <f>IFERROR(__xludf.DUMMYFUNCTION("""COMPUTED_VALUE"""),"N")</f>
        <v>N</v>
      </c>
      <c r="W3234" s="3">
        <f>IFERROR(__xludf.DUMMYFUNCTION("""COMPUTED_VALUE"""),210616.0)</f>
        <v>210616</v>
      </c>
      <c r="X3234" s="3" t="str">
        <f>IFERROR(__xludf.DUMMYFUNCTION("""COMPUTED_VALUE"""),"323 หมู่ 4 ตำบลเมืองศรีไค อำเภอวารินชำราบ จังหวัดอุบลราชธานี 34190")</f>
        <v>323 หมู่ 4 ตำบลเมืองศรีไค อำเภอวารินชำราบ จังหวัดอุบลราชธานี 34190</v>
      </c>
      <c r="Y3234" s="3"/>
      <c r="Z3234" s="3" t="str">
        <f>IFERROR(__xludf.DUMMYFUNCTION("""COMPUTED_VALUE"""),"เมืองศรีไค")</f>
        <v>เมืองศรีไค</v>
      </c>
      <c r="AA3234" s="3" t="str">
        <f>IFERROR(__xludf.DUMMYFUNCTION("""COMPUTED_VALUE"""),"วารินชำราบ")</f>
        <v>วารินชำราบ</v>
      </c>
      <c r="AB3234" s="3" t="str">
        <f>IFERROR(__xludf.DUMMYFUNCTION("""COMPUTED_VALUE"""),"อุบลราชธานี")</f>
        <v>อุบลราชธานี</v>
      </c>
      <c r="AC3234" s="3">
        <f>IFERROR(__xludf.DUMMYFUNCTION("""COMPUTED_VALUE"""),34190.0)</f>
        <v>34190</v>
      </c>
      <c r="AD3234" s="3">
        <f>IFERROR(__xludf.DUMMYFUNCTION("""COMPUTED_VALUE"""),15.1087)</f>
        <v>15.1087</v>
      </c>
      <c r="AE3234" s="3">
        <f>IFERROR(__xludf.DUMMYFUNCTION("""COMPUTED_VALUE"""),104.904215)</f>
        <v>104.904215</v>
      </c>
      <c r="AF3234" s="3" t="str">
        <f>IFERROR(__xludf.DUMMYFUNCTION("""COMPUTED_VALUE"""),"BCM ชุมชนศรีไค อุบลราชธานี-22706")</f>
        <v>BCM ชุมชนศรีไค อุบลราชธานี-22706</v>
      </c>
      <c r="AG3234" s="3" t="str">
        <f>IFERROR(__xludf.DUMMYFUNCTION("""COMPUTED_VALUE"""),"ตะวันออกเฉียงเหนือ")</f>
        <v>ตะวันออกเฉียงเหนือ</v>
      </c>
      <c r="AH3234" s="3" t="str">
        <f>IFERROR(__xludf.DUMMYFUNCTION("""COMPUTED_VALUE"""),"#N/A")</f>
        <v>#N/A</v>
      </c>
      <c r="AI3234" s="3" t="str">
        <f>IFERROR(__xludf.DUMMYFUNCTION("""COMPUTED_VALUE"""),"In warranty")</f>
        <v>In warranty</v>
      </c>
      <c r="AJ3234" s="3">
        <f>IFERROR(__xludf.DUMMYFUNCTION("""COMPUTED_VALUE"""),11.0)</f>
        <v>11</v>
      </c>
      <c r="AK3234" s="3"/>
      <c r="AL3234" s="3"/>
    </row>
    <row r="3235" ht="15.75" customHeight="1">
      <c r="A3235" s="1" t="str">
        <f>IFERROR(__xludf.DUMMYFUNCTION("""COMPUTED_VALUE"""),"22708")</f>
        <v>22708</v>
      </c>
      <c r="B3235" s="2">
        <f>IFERROR(__xludf.DUMMYFUNCTION("""COMPUTED_VALUE"""),22708.0)</f>
        <v>22708</v>
      </c>
      <c r="C3235" s="3" t="str">
        <f>IFERROR(__xludf.DUMMYFUNCTION("""COMPUTED_VALUE"""),"BCM ภูเก็ตแอร์พอร์ต ภูเก็ต")</f>
        <v>BCM ภูเก็ตแอร์พอร์ต ภูเก็ต</v>
      </c>
      <c r="D3235" s="3" t="str">
        <f>IFERROR(__xludf.DUMMYFUNCTION("""COMPUTED_VALUE"""),"BCM PHUKET AIRPORT PHUKET")</f>
        <v>BCM PHUKET AIRPORT PHUKET</v>
      </c>
      <c r="E3235" s="1" t="str">
        <f>IFERROR(__xludf.DUMMYFUNCTION("""COMPUTED_VALUE"""),"บิ๊กซี MINI")</f>
        <v>บิ๊กซี MINI</v>
      </c>
      <c r="F3235" s="1" t="str">
        <f>IFERROR(__xludf.DUMMYFUNCTION("""COMPUTED_VALUE"""),"250760")</f>
        <v>250760</v>
      </c>
      <c r="G3235" s="1" t="str">
        <f>IFERROR(__xludf.DUMMYFUNCTION("""COMPUTED_VALUE"""),"นายประทวน สาราบรรณ์")</f>
        <v>นายประทวน สาราบรรณ์</v>
      </c>
      <c r="H3235" s="1" t="str">
        <f>IFERROR(__xludf.DUMMYFUNCTION("""COMPUTED_VALUE"""),"357284")</f>
        <v>357284</v>
      </c>
      <c r="I3235" s="1" t="str">
        <f>IFERROR(__xludf.DUMMYFUNCTION("""COMPUTED_VALUE"""),"น.ส.เบญจวรรณ ปัณฑโมรา")</f>
        <v>น.ส.เบญจวรรณ ปัณฑโมรา</v>
      </c>
      <c r="J3235" s="3">
        <f>IFERROR(__xludf.DUMMYFUNCTION("""COMPUTED_VALUE"""),25324.0)</f>
        <v>25324</v>
      </c>
      <c r="K3235" s="3" t="str">
        <f>IFERROR(__xludf.DUMMYFUNCTION("""COMPUTED_VALUE"""),"นายวิเชฎฐ์ ติรัตนะประคม")</f>
        <v>นายวิเชฎฐ์ ติรัตนะประคม</v>
      </c>
      <c r="L3235" s="1" t="str">
        <f>IFERROR(__xludf.DUMMYFUNCTION("""COMPUTED_VALUE"""),"14 K.Wichet T.")</f>
        <v>14 K.Wichet T.</v>
      </c>
      <c r="M3235" s="1" t="str">
        <f>IFERROR(__xludf.DUMMYFUNCTION("""COMPUTED_VALUE"""),"061-417-6569 / 086-445-5636")</f>
        <v>061-417-6569 / 086-445-5636</v>
      </c>
      <c r="N3235" s="3">
        <f>IFERROR(__xludf.DUMMYFUNCTION("""COMPUTED_VALUE"""),22658.0)</f>
        <v>22658</v>
      </c>
      <c r="O3235" s="3" t="str">
        <f>IFERROR(__xludf.DUMMYFUNCTION("""COMPUTED_VALUE"""),"BCM ถ.วิรัชหงษ์หยก ภูเก็ต")</f>
        <v>BCM ถ.วิรัชหงษ์หยก ภูเก็ต</v>
      </c>
      <c r="P3235" s="4">
        <f>IFERROR(__xludf.DUMMYFUNCTION("""COMPUTED_VALUE"""),45713.0)</f>
        <v>45713</v>
      </c>
      <c r="Q3235" s="3" t="str">
        <f>IFERROR(__xludf.DUMMYFUNCTION("""COMPUTED_VALUE"""),"A")</f>
        <v>A</v>
      </c>
      <c r="R3235" s="3" t="str">
        <f>IFERROR(__xludf.DUMMYFUNCTION("""COMPUTED_VALUE"""),"Small Format")</f>
        <v>Small Format</v>
      </c>
      <c r="S3235" s="3" t="str">
        <f>IFERROR(__xludf.DUMMYFUNCTION("""COMPUTED_VALUE"""),"BCM")</f>
        <v>BCM</v>
      </c>
      <c r="T3235" s="3" t="str">
        <f>IFERROR(__xludf.DUMMYFUNCTION("""COMPUTED_VALUE"""),"#N/A")</f>
        <v>#N/A</v>
      </c>
      <c r="U3235" s="3" t="str">
        <f>IFERROR(__xludf.DUMMYFUNCTION("""COMPUTED_VALUE"""),"#N/A")</f>
        <v>#N/A</v>
      </c>
      <c r="V3235" s="3" t="str">
        <f>IFERROR(__xludf.DUMMYFUNCTION("""COMPUTED_VALUE"""),"N")</f>
        <v>N</v>
      </c>
      <c r="W3235" s="3">
        <f>IFERROR(__xludf.DUMMYFUNCTION("""COMPUTED_VALUE"""),210611.0)</f>
        <v>210611</v>
      </c>
      <c r="X3235" s="3" t="str">
        <f>IFERROR(__xludf.DUMMYFUNCTION("""COMPUTED_VALUE"""),"14/19 หมู่ 1 ตำบลสาคู อำเภอถลาง จังหวัดภูเก็ต 83110")</f>
        <v>14/19 หมู่ 1 ตำบลสาคู อำเภอถลาง จังหวัดภูเก็ต 83110</v>
      </c>
      <c r="Y3235" s="3"/>
      <c r="Z3235" s="3" t="str">
        <f>IFERROR(__xludf.DUMMYFUNCTION("""COMPUTED_VALUE"""),"สาคู")</f>
        <v>สาคู</v>
      </c>
      <c r="AA3235" s="3" t="str">
        <f>IFERROR(__xludf.DUMMYFUNCTION("""COMPUTED_VALUE"""),"ถลาง")</f>
        <v>ถลาง</v>
      </c>
      <c r="AB3235" s="3" t="str">
        <f>IFERROR(__xludf.DUMMYFUNCTION("""COMPUTED_VALUE"""),"ภูเก็ต")</f>
        <v>ภูเก็ต</v>
      </c>
      <c r="AC3235" s="3">
        <f>IFERROR(__xludf.DUMMYFUNCTION("""COMPUTED_VALUE"""),83110.0)</f>
        <v>83110</v>
      </c>
      <c r="AD3235" s="3">
        <f>IFERROR(__xludf.DUMMYFUNCTION("""COMPUTED_VALUE"""),8.097636)</f>
        <v>8.097636</v>
      </c>
      <c r="AE3235" s="3">
        <f>IFERROR(__xludf.DUMMYFUNCTION("""COMPUTED_VALUE"""),98.3067)</f>
        <v>98.3067</v>
      </c>
      <c r="AF3235" s="3" t="str">
        <f>IFERROR(__xludf.DUMMYFUNCTION("""COMPUTED_VALUE"""),"BCM ภูเก็ตแอร์พอร์ต ภูเก็ต-22708")</f>
        <v>BCM ภูเก็ตแอร์พอร์ต ภูเก็ต-22708</v>
      </c>
      <c r="AG3235" s="3" t="str">
        <f>IFERROR(__xludf.DUMMYFUNCTION("""COMPUTED_VALUE"""),"ใต้")</f>
        <v>ใต้</v>
      </c>
      <c r="AH3235" s="3" t="str">
        <f>IFERROR(__xludf.DUMMYFUNCTION("""COMPUTED_VALUE"""),"#N/A")</f>
        <v>#N/A</v>
      </c>
      <c r="AI3235" s="3" t="str">
        <f>IFERROR(__xludf.DUMMYFUNCTION("""COMPUTED_VALUE"""),"In warranty")</f>
        <v>In warranty</v>
      </c>
      <c r="AJ3235" s="3">
        <f>IFERROR(__xludf.DUMMYFUNCTION("""COMPUTED_VALUE"""),11.0)</f>
        <v>11</v>
      </c>
      <c r="AK3235" s="3"/>
      <c r="AL3235" s="3"/>
    </row>
    <row r="3236" ht="15.75" customHeight="1">
      <c r="A3236" s="1" t="str">
        <f>IFERROR(__xludf.DUMMYFUNCTION("""COMPUTED_VALUE"""),"91102")</f>
        <v>91102</v>
      </c>
      <c r="B3236" s="2">
        <f>IFERROR(__xludf.DUMMYFUNCTION("""COMPUTED_VALUE"""),91102.0)</f>
        <v>91102</v>
      </c>
      <c r="C3236" s="3">
        <f>IFERROR(__xludf.DUMMYFUNCTION("""COMPUTED_VALUE"""),0.0)</f>
        <v>0</v>
      </c>
      <c r="D3236" s="3">
        <f>IFERROR(__xludf.DUMMYFUNCTION("""COMPUTED_VALUE"""),0.0)</f>
        <v>0</v>
      </c>
      <c r="E3236" s="1" t="str">
        <f>IFERROR(__xludf.DUMMYFUNCTION("""COMPUTED_VALUE"""),"0")</f>
        <v>0</v>
      </c>
      <c r="F3236" s="1" t="str">
        <f>IFERROR(__xludf.DUMMYFUNCTION("""COMPUTED_VALUE"""),"0")</f>
        <v>0</v>
      </c>
      <c r="G3236" s="1" t="str">
        <f>IFERROR(__xludf.DUMMYFUNCTION("""COMPUTED_VALUE"""),"0")</f>
        <v>0</v>
      </c>
      <c r="H3236" s="1" t="str">
        <f>IFERROR(__xludf.DUMMYFUNCTION("""COMPUTED_VALUE"""),"0")</f>
        <v>0</v>
      </c>
      <c r="I3236" s="1" t="str">
        <f>IFERROR(__xludf.DUMMYFUNCTION("""COMPUTED_VALUE"""),"0")</f>
        <v>0</v>
      </c>
      <c r="J3236" s="3">
        <f>IFERROR(__xludf.DUMMYFUNCTION("""COMPUTED_VALUE"""),0.0)</f>
        <v>0</v>
      </c>
      <c r="K3236" s="3">
        <f>IFERROR(__xludf.DUMMYFUNCTION("""COMPUTED_VALUE"""),0.0)</f>
        <v>0</v>
      </c>
      <c r="L3236" s="1" t="str">
        <f>IFERROR(__xludf.DUMMYFUNCTION("""COMPUTED_VALUE"""),"0")</f>
        <v>0</v>
      </c>
      <c r="M3236" s="1" t="str">
        <f>IFERROR(__xludf.DUMMYFUNCTION("""COMPUTED_VALUE"""),"0")</f>
        <v>0</v>
      </c>
      <c r="N3236" s="3">
        <f>IFERROR(__xludf.DUMMYFUNCTION("""COMPUTED_VALUE"""),0.0)</f>
        <v>0</v>
      </c>
      <c r="O3236" s="3">
        <f>IFERROR(__xludf.DUMMYFUNCTION("""COMPUTED_VALUE"""),0.0)</f>
        <v>0</v>
      </c>
      <c r="P3236" s="3">
        <f>IFERROR(__xludf.DUMMYFUNCTION("""COMPUTED_VALUE"""),0.0)</f>
        <v>0</v>
      </c>
      <c r="Q3236" s="3">
        <f>IFERROR(__xludf.DUMMYFUNCTION("""COMPUTED_VALUE"""),0.0)</f>
        <v>0</v>
      </c>
      <c r="R3236" s="3" t="str">
        <f>IFERROR(__xludf.DUMMYFUNCTION("""COMPUTED_VALUE"""),"Small Format")</f>
        <v>Small Format</v>
      </c>
      <c r="S3236" s="3"/>
      <c r="T3236" s="3" t="str">
        <f>IFERROR(__xludf.DUMMYFUNCTION("""COMPUTED_VALUE"""),"#N/A")</f>
        <v>#N/A</v>
      </c>
      <c r="U3236" s="3" t="str">
        <f>IFERROR(__xludf.DUMMYFUNCTION("""COMPUTED_VALUE"""),"#N/A")</f>
        <v>#N/A</v>
      </c>
      <c r="V3236" s="3" t="str">
        <f>IFERROR(__xludf.DUMMYFUNCTION("""COMPUTED_VALUE"""),"#N/A")</f>
        <v>#N/A</v>
      </c>
      <c r="W3236" s="3">
        <f>IFERROR(__xludf.DUMMYFUNCTION("""COMPUTED_VALUE"""),911020.0)</f>
        <v>911020</v>
      </c>
      <c r="X3236" s="3">
        <f>IFERROR(__xludf.DUMMYFUNCTION("""COMPUTED_VALUE"""),0.0)</f>
        <v>0</v>
      </c>
      <c r="Y3236" s="3"/>
      <c r="Z3236" s="3"/>
      <c r="AA3236" s="3"/>
      <c r="AB3236" s="3"/>
      <c r="AC3236" s="3"/>
      <c r="AD3236" s="3"/>
      <c r="AE3236" s="3"/>
      <c r="AF3236" s="3" t="str">
        <f>IFERROR(__xludf.DUMMYFUNCTION("""COMPUTED_VALUE"""),"0-91102")</f>
        <v>0-91102</v>
      </c>
      <c r="AG3236" s="3">
        <f>IFERROR(__xludf.DUMMYFUNCTION("""COMPUTED_VALUE"""),0.0)</f>
        <v>0</v>
      </c>
      <c r="AH3236" s="3" t="str">
        <f>IFERROR(__xludf.DUMMYFUNCTION("""COMPUTED_VALUE"""),"#N/A")</f>
        <v>#N/A</v>
      </c>
      <c r="AI3236" s="3" t="str">
        <f>IFERROR(__xludf.DUMMYFUNCTION("""COMPUTED_VALUE"""),"Out of warranty")</f>
        <v>Out of warranty</v>
      </c>
      <c r="AJ3236" s="3">
        <f>IFERROR(__xludf.DUMMYFUNCTION("""COMPUTED_VALUE"""),1513.0)</f>
        <v>1513</v>
      </c>
      <c r="AK3236" s="3"/>
      <c r="AL3236" s="3"/>
    </row>
    <row r="3237" ht="15.75" customHeight="1">
      <c r="A3237" s="1" t="str">
        <f>IFERROR(__xludf.DUMMYFUNCTION("""COMPUTED_VALUE"""),"22703")</f>
        <v>22703</v>
      </c>
      <c r="B3237" s="2">
        <f>IFERROR(__xludf.DUMMYFUNCTION("""COMPUTED_VALUE"""),22703.0)</f>
        <v>22703</v>
      </c>
      <c r="C3237" s="3" t="str">
        <f>IFERROR(__xludf.DUMMYFUNCTION("""COMPUTED_VALUE"""),"BCM บ้านเกาะ พระนครศรีอยุธยา")</f>
        <v>BCM บ้านเกาะ พระนครศรีอยุธยา</v>
      </c>
      <c r="D3237" s="3" t="str">
        <f>IFERROR(__xludf.DUMMYFUNCTION("""COMPUTED_VALUE"""),"BCM BANKOH PHRANAKHONSI")</f>
        <v>BCM BANKOH PHRANAKHONSI</v>
      </c>
      <c r="E3237" s="1" t="str">
        <f>IFERROR(__xludf.DUMMYFUNCTION("""COMPUTED_VALUE"""),"บิ๊กซี MINI")</f>
        <v>บิ๊กซี MINI</v>
      </c>
      <c r="F3237" s="1" t="str">
        <f>IFERROR(__xludf.DUMMYFUNCTION("""COMPUTED_VALUE"""),"296229")</f>
        <v>296229</v>
      </c>
      <c r="G3237" s="1" t="str">
        <f>IFERROR(__xludf.DUMMYFUNCTION("""COMPUTED_VALUE"""),"นายทนงศักดิ์ บุญมา")</f>
        <v>นายทนงศักดิ์ บุญมา</v>
      </c>
      <c r="H3237" s="1" t="str">
        <f>IFERROR(__xludf.DUMMYFUNCTION("""COMPUTED_VALUE"""),"318233")</f>
        <v>318233</v>
      </c>
      <c r="I3237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3237" s="3">
        <f>IFERROR(__xludf.DUMMYFUNCTION("""COMPUTED_VALUE"""),46214.0)</f>
        <v>46214</v>
      </c>
      <c r="K3237" s="3" t="str">
        <f>IFERROR(__xludf.DUMMYFUNCTION("""COMPUTED_VALUE"""),"นายศักดิ์ชัย เด็ดดอกฟ้า")</f>
        <v>นายศักดิ์ชัย เด็ดดอกฟ้า</v>
      </c>
      <c r="L3237" s="1" t="str">
        <f>IFERROR(__xludf.DUMMYFUNCTION("""COMPUTED_VALUE"""),"02 K.Sakchai D")</f>
        <v>02 K.Sakchai D</v>
      </c>
      <c r="M3237" s="1" t="str">
        <f>IFERROR(__xludf.DUMMYFUNCTION("""COMPUTED_VALUE"""),"065-510-7376")</f>
        <v>065-510-7376</v>
      </c>
      <c r="N3237" s="3">
        <f>IFERROR(__xludf.DUMMYFUNCTION("""COMPUTED_VALUE"""),21714.0)</f>
        <v>21714</v>
      </c>
      <c r="O3237" s="3" t="str">
        <f>IFERROR(__xludf.DUMMYFUNCTION("""COMPUTED_VALUE"""),"MBC เอสโซ่ วัดโบสถ์")</f>
        <v>MBC เอสโซ่ วัดโบสถ์</v>
      </c>
      <c r="P3237" s="4">
        <f>IFERROR(__xludf.DUMMYFUNCTION("""COMPUTED_VALUE"""),45687.0)</f>
        <v>45687</v>
      </c>
      <c r="Q3237" s="3" t="str">
        <f>IFERROR(__xludf.DUMMYFUNCTION("""COMPUTED_VALUE"""),"A")</f>
        <v>A</v>
      </c>
      <c r="R3237" s="3" t="str">
        <f>IFERROR(__xludf.DUMMYFUNCTION("""COMPUTED_VALUE"""),"Small Format")</f>
        <v>Small Format</v>
      </c>
      <c r="S3237" s="3" t="str">
        <f>IFERROR(__xludf.DUMMYFUNCTION("""COMPUTED_VALUE"""),"BCM")</f>
        <v>BCM</v>
      </c>
      <c r="T3237" s="3" t="str">
        <f>IFERROR(__xludf.DUMMYFUNCTION("""COMPUTED_VALUE"""),"#N/A")</f>
        <v>#N/A</v>
      </c>
      <c r="U3237" s="3" t="str">
        <f>IFERROR(__xludf.DUMMYFUNCTION("""COMPUTED_VALUE"""),"#N/A")</f>
        <v>#N/A</v>
      </c>
      <c r="V3237" s="3" t="str">
        <f>IFERROR(__xludf.DUMMYFUNCTION("""COMPUTED_VALUE"""),"N")</f>
        <v>N</v>
      </c>
      <c r="W3237" s="3">
        <f>IFERROR(__xludf.DUMMYFUNCTION("""COMPUTED_VALUE"""),210598.0)</f>
        <v>210598</v>
      </c>
      <c r="X3237" s="3" t="str">
        <f>IFERROR(__xludf.DUMMYFUNCTION("""COMPUTED_VALUE"""),"59/29 หมู่ 1 ตำบลบ้านเกาะ อำเภอพระนครศรีอยุธยา จังหวัดพระนครศรีอยุธยา 13000")</f>
        <v>59/29 หมู่ 1 ตำบลบ้านเกาะ อำเภอพระนครศรีอยุธยา จังหวัดพระนครศรีอยุธยา 13000</v>
      </c>
      <c r="Y3237" s="3"/>
      <c r="Z3237" s="3" t="str">
        <f>IFERROR(__xludf.DUMMYFUNCTION("""COMPUTED_VALUE"""),"บ้านเกาะ")</f>
        <v>บ้านเกาะ</v>
      </c>
      <c r="AA3237" s="3" t="str">
        <f>IFERROR(__xludf.DUMMYFUNCTION("""COMPUTED_VALUE"""),"เมืองพระนครศรีอยุธยา")</f>
        <v>เมืองพระนครศรีอยุธยา</v>
      </c>
      <c r="AB3237" s="3" t="str">
        <f>IFERROR(__xludf.DUMMYFUNCTION("""COMPUTED_VALUE"""),"พระนครศรีอยุธยา")</f>
        <v>พระนครศรีอยุธยา</v>
      </c>
      <c r="AC3237" s="3">
        <f>IFERROR(__xludf.DUMMYFUNCTION("""COMPUTED_VALUE"""),13000.0)</f>
        <v>13000</v>
      </c>
      <c r="AD3237" s="3">
        <f>IFERROR(__xludf.DUMMYFUNCTION("""COMPUTED_VALUE"""),14.376339)</f>
        <v>14.376339</v>
      </c>
      <c r="AE3237" s="3">
        <f>IFERROR(__xludf.DUMMYFUNCTION("""COMPUTED_VALUE"""),100.585681)</f>
        <v>100.585681</v>
      </c>
      <c r="AF3237" s="3" t="str">
        <f>IFERROR(__xludf.DUMMYFUNCTION("""COMPUTED_VALUE"""),"BCM บ้านเกาะ พระนครศรีอยุธยา-22703")</f>
        <v>BCM บ้านเกาะ พระนครศรีอยุธยา-22703</v>
      </c>
      <c r="AG3237" s="3" t="str">
        <f>IFERROR(__xludf.DUMMYFUNCTION("""COMPUTED_VALUE"""),"กลาง")</f>
        <v>กลาง</v>
      </c>
      <c r="AH3237" s="3" t="str">
        <f>IFERROR(__xludf.DUMMYFUNCTION("""COMPUTED_VALUE"""),"#N/A")</f>
        <v>#N/A</v>
      </c>
      <c r="AI3237" s="3" t="str">
        <f>IFERROR(__xludf.DUMMYFUNCTION("""COMPUTED_VALUE"""),"In warranty")</f>
        <v>In warranty</v>
      </c>
      <c r="AJ3237" s="3">
        <f>IFERROR(__xludf.DUMMYFUNCTION("""COMPUTED_VALUE"""),12.0)</f>
        <v>12</v>
      </c>
      <c r="AK3237" s="3"/>
      <c r="AL3237" s="3"/>
    </row>
    <row r="3238" ht="15.75" customHeight="1">
      <c r="A3238" s="1" t="str">
        <f>IFERROR(__xludf.DUMMYFUNCTION("""COMPUTED_VALUE"""),"22705")</f>
        <v>22705</v>
      </c>
      <c r="B3238" s="2">
        <f>IFERROR(__xludf.DUMMYFUNCTION("""COMPUTED_VALUE"""),22705.0)</f>
        <v>22705</v>
      </c>
      <c r="C3238" s="3" t="str">
        <f>IFERROR(__xludf.DUMMYFUNCTION("""COMPUTED_VALUE"""),"BCM ถ.เกาะหลัก ประจวบคีรีขันธ์")</f>
        <v>BCM ถ.เกาะหลัก ประจวบคีรีขันธ์</v>
      </c>
      <c r="D3238" s="3" t="str">
        <f>IFERROR(__xludf.DUMMYFUNCTION("""COMPUTED_VALUE"""),"BCM THANON KOLAK PRACHUAPKHIRI")</f>
        <v>BCM THANON KOLAK PRACHUAPKHIRI</v>
      </c>
      <c r="E3238" s="1" t="str">
        <f>IFERROR(__xludf.DUMMYFUNCTION("""COMPUTED_VALUE"""),"บิ๊กซี MINI")</f>
        <v>บิ๊กซี MINI</v>
      </c>
      <c r="F3238" s="1" t="str">
        <f>IFERROR(__xludf.DUMMYFUNCTION("""COMPUTED_VALUE"""),"250760")</f>
        <v>250760</v>
      </c>
      <c r="G3238" s="1" t="str">
        <f>IFERROR(__xludf.DUMMYFUNCTION("""COMPUTED_VALUE"""),"นายประทวน สาราบรรณ์")</f>
        <v>นายประทวน สาราบรรณ์</v>
      </c>
      <c r="H3238" s="1" t="str">
        <f>IFERROR(__xludf.DUMMYFUNCTION("""COMPUTED_VALUE"""),"311437")</f>
        <v>311437</v>
      </c>
      <c r="I3238" s="1" t="str">
        <f>IFERROR(__xludf.DUMMYFUNCTION("""COMPUTED_VALUE"""),"นายฉัตรทพร รักวิเชียร")</f>
        <v>นายฉัตรทพร รักวิเชียร</v>
      </c>
      <c r="J3238" s="3">
        <f>IFERROR(__xludf.DUMMYFUNCTION("""COMPUTED_VALUE"""),25324.0)</f>
        <v>25324</v>
      </c>
      <c r="K3238" s="3" t="str">
        <f>IFERROR(__xludf.DUMMYFUNCTION("""COMPUTED_VALUE"""),"นายวิเชฎฐ์ ติรัตนะประคม")</f>
        <v>นายวิเชฎฐ์ ติรัตนะประคม</v>
      </c>
      <c r="L3238" s="1" t="str">
        <f>IFERROR(__xludf.DUMMYFUNCTION("""COMPUTED_VALUE"""),"14 K.Wichet T.")</f>
        <v>14 K.Wichet T.</v>
      </c>
      <c r="M3238" s="1" t="str">
        <f>IFERROR(__xludf.DUMMYFUNCTION("""COMPUTED_VALUE"""),"061-417-6569 / 086-445-5636")</f>
        <v>061-417-6569 / 086-445-5636</v>
      </c>
      <c r="N3238" s="3">
        <f>IFERROR(__xludf.DUMMYFUNCTION("""COMPUTED_VALUE"""),22658.0)</f>
        <v>22658</v>
      </c>
      <c r="O3238" s="3" t="str">
        <f>IFERROR(__xludf.DUMMYFUNCTION("""COMPUTED_VALUE"""),"BCM ถ.วิรัชหงษ์หยก ภูเก็ต")</f>
        <v>BCM ถ.วิรัชหงษ์หยก ภูเก็ต</v>
      </c>
      <c r="P3238" s="4">
        <f>IFERROR(__xludf.DUMMYFUNCTION("""COMPUTED_VALUE"""),45713.0)</f>
        <v>45713</v>
      </c>
      <c r="Q3238" s="3" t="str">
        <f>IFERROR(__xludf.DUMMYFUNCTION("""COMPUTED_VALUE"""),"A")</f>
        <v>A</v>
      </c>
      <c r="R3238" s="3" t="str">
        <f>IFERROR(__xludf.DUMMYFUNCTION("""COMPUTED_VALUE"""),"Small Format")</f>
        <v>Small Format</v>
      </c>
      <c r="S3238" s="3" t="str">
        <f>IFERROR(__xludf.DUMMYFUNCTION("""COMPUTED_VALUE"""),"BCM")</f>
        <v>BCM</v>
      </c>
      <c r="T3238" s="3" t="str">
        <f>IFERROR(__xludf.DUMMYFUNCTION("""COMPUTED_VALUE"""),"#N/A")</f>
        <v>#N/A</v>
      </c>
      <c r="U3238" s="3" t="str">
        <f>IFERROR(__xludf.DUMMYFUNCTION("""COMPUTED_VALUE"""),"#N/A")</f>
        <v>#N/A</v>
      </c>
      <c r="V3238" s="3" t="str">
        <f>IFERROR(__xludf.DUMMYFUNCTION("""COMPUTED_VALUE"""),"N")</f>
        <v>N</v>
      </c>
      <c r="W3238" s="3">
        <f>IFERROR(__xludf.DUMMYFUNCTION("""COMPUTED_VALUE"""),210809.0)</f>
        <v>210809</v>
      </c>
      <c r="X3238" s="3" t="str">
        <f>IFERROR(__xludf.DUMMYFUNCTION("""COMPUTED_VALUE"""),"189/1 ถนนเกาะหลัก ตำบลประจวบคีรีขันธ์ อำเภอเมืองประจวบคีรีขันธ์ จังหวัดประจวบคีรีขันธ์ 77000")</f>
        <v>189/1 ถนนเกาะหลัก ตำบลประจวบคีรีขันธ์ อำเภอเมืองประจวบคีรีขันธ์ จังหวัดประจวบคีรีขันธ์ 77000</v>
      </c>
      <c r="Y3238" s="3" t="str">
        <f>IFERROR(__xludf.DUMMYFUNCTION("""COMPUTED_VALUE"""),"เกาะหลัก")</f>
        <v>เกาะหลัก</v>
      </c>
      <c r="Z3238" s="3" t="str">
        <f>IFERROR(__xludf.DUMMYFUNCTION("""COMPUTED_VALUE"""),"ประจวบคีรีขันธ์")</f>
        <v>ประจวบคีรีขันธ์</v>
      </c>
      <c r="AA3238" s="3" t="str">
        <f>IFERROR(__xludf.DUMMYFUNCTION("""COMPUTED_VALUE"""),"เมืองประจวบคีรีขันธ์")</f>
        <v>เมืองประจวบคีรีขันธ์</v>
      </c>
      <c r="AB3238" s="3" t="str">
        <f>IFERROR(__xludf.DUMMYFUNCTION("""COMPUTED_VALUE"""),"ประจวบคีรีขันธ์")</f>
        <v>ประจวบคีรีขันธ์</v>
      </c>
      <c r="AC3238" s="3">
        <f>IFERROR(__xludf.DUMMYFUNCTION("""COMPUTED_VALUE"""),77000.0)</f>
        <v>77000</v>
      </c>
      <c r="AD3238" s="3">
        <f>IFERROR(__xludf.DUMMYFUNCTION("""COMPUTED_VALUE"""),11.795607)</f>
        <v>11.795607</v>
      </c>
      <c r="AE3238" s="3">
        <f>IFERROR(__xludf.DUMMYFUNCTION("""COMPUTED_VALUE"""),99.783662)</f>
        <v>99.783662</v>
      </c>
      <c r="AF3238" s="3" t="str">
        <f>IFERROR(__xludf.DUMMYFUNCTION("""COMPUTED_VALUE"""),"BCM ถ.เกาะหลัก ประจวบคีรีขันธ์-22705")</f>
        <v>BCM ถ.เกาะหลัก ประจวบคีรีขันธ์-22705</v>
      </c>
      <c r="AG3238" s="3" t="str">
        <f>IFERROR(__xludf.DUMMYFUNCTION("""COMPUTED_VALUE"""),"ตะวันตก")</f>
        <v>ตะวันตก</v>
      </c>
      <c r="AH3238" s="3" t="str">
        <f>IFERROR(__xludf.DUMMYFUNCTION("""COMPUTED_VALUE"""),"#N/A")</f>
        <v>#N/A</v>
      </c>
      <c r="AI3238" s="3" t="str">
        <f>IFERROR(__xludf.DUMMYFUNCTION("""COMPUTED_VALUE"""),"In warranty")</f>
        <v>In warranty</v>
      </c>
      <c r="AJ3238" s="3">
        <f>IFERROR(__xludf.DUMMYFUNCTION("""COMPUTED_VALUE"""),11.0)</f>
        <v>11</v>
      </c>
      <c r="AK3238" s="3"/>
      <c r="AL3238" s="3"/>
    </row>
    <row r="3239" ht="15.75" customHeight="1">
      <c r="A3239" s="1" t="str">
        <f>IFERROR(__xludf.DUMMYFUNCTION("""COMPUTED_VALUE"""),"31116")</f>
        <v>31116</v>
      </c>
      <c r="B3239" s="2">
        <f>IFERROR(__xludf.DUMMYFUNCTION("""COMPUTED_VALUE"""),31116.0)</f>
        <v>31116</v>
      </c>
      <c r="C3239" s="3" t="str">
        <f>IFERROR(__xludf.DUMMYFUNCTION("""COMPUTED_VALUE"""),"BCM FC เดอะวันพลัสแปลงยาว ฉะเชิงเทรา")</f>
        <v>BCM FC เดอะวันพลัสแปลงยาว ฉะเชิงเทรา</v>
      </c>
      <c r="D3239" s="3" t="str">
        <f>IFERROR(__xludf.DUMMYFUNCTION("""COMPUTED_VALUE"""),"BCM FC THE ONE PLUS PLANG YAO")</f>
        <v>BCM FC THE ONE PLUS PLANG YAO</v>
      </c>
      <c r="E3239" s="1" t="str">
        <f>IFERROR(__xludf.DUMMYFUNCTION("""COMPUTED_VALUE"""),"บิ๊กซี MINI")</f>
        <v>บิ๊กซี MINI</v>
      </c>
      <c r="F3239" s="1" t="str">
        <f>IFERROR(__xludf.DUMMYFUNCTION("""COMPUTED_VALUE"""),"2083447")</f>
        <v>2083447</v>
      </c>
      <c r="G3239" s="1" t="str">
        <f>IFERROR(__xludf.DUMMYFUNCTION("""COMPUTED_VALUE"""),"นายอนุกูล ศรีลัดดา")</f>
        <v>นายอนุกูล ศรีลัดดา</v>
      </c>
      <c r="H3239" s="1" t="str">
        <f>IFERROR(__xludf.DUMMYFUNCTION("""COMPUTED_VALUE"""),"254957")</f>
        <v>254957</v>
      </c>
      <c r="I3239" s="1" t="str">
        <f>IFERROR(__xludf.DUMMYFUNCTION("""COMPUTED_VALUE"""),"น.ส.ศิริพร รุ่งธัญญา")</f>
        <v>น.ส.ศิริพร รุ่งธัญญา</v>
      </c>
      <c r="J3239" s="3">
        <f>IFERROR(__xludf.DUMMYFUNCTION("""COMPUTED_VALUE"""),510143.0)</f>
        <v>510143</v>
      </c>
      <c r="K3239" s="3" t="str">
        <f>IFERROR(__xludf.DUMMYFUNCTION("""COMPUTED_VALUE"""),"นายธีระวัฒน์ บุญสิทธิ์")</f>
        <v>นายธีระวัฒน์ บุญสิทธิ์</v>
      </c>
      <c r="L3239" s="1" t="str">
        <f>IFERROR(__xludf.DUMMYFUNCTION("""COMPUTED_VALUE"""),"12 K.Theerawat B.")</f>
        <v>12 K.Theerawat B.</v>
      </c>
      <c r="M3239" s="1" t="str">
        <f>IFERROR(__xludf.DUMMYFUNCTION("""COMPUTED_VALUE"""),"0655107379")</f>
        <v>0655107379</v>
      </c>
      <c r="N3239" s="3">
        <f>IFERROR(__xludf.DUMMYFUNCTION("""COMPUTED_VALUE"""),21062.0)</f>
        <v>21062</v>
      </c>
      <c r="O3239" s="3" t="str">
        <f>IFERROR(__xludf.DUMMYFUNCTION("""COMPUTED_VALUE"""),"MBC นิคมนวนคร")</f>
        <v>MBC นิคมนวนคร</v>
      </c>
      <c r="P3239" s="4">
        <f>IFERROR(__xludf.DUMMYFUNCTION("""COMPUTED_VALUE"""),45708.0)</f>
        <v>45708</v>
      </c>
      <c r="Q3239" s="3" t="str">
        <f>IFERROR(__xludf.DUMMYFUNCTION("""COMPUTED_VALUE"""),"A")</f>
        <v>A</v>
      </c>
      <c r="R3239" s="3" t="str">
        <f>IFERROR(__xludf.DUMMYFUNCTION("""COMPUTED_VALUE"""),"Small Format")</f>
        <v>Small Format</v>
      </c>
      <c r="S3239" s="3" t="str">
        <f>IFERROR(__xludf.DUMMYFUNCTION("""COMPUTED_VALUE"""),"BCM(FC)")</f>
        <v>BCM(FC)</v>
      </c>
      <c r="T3239" s="3" t="str">
        <f>IFERROR(__xludf.DUMMYFUNCTION("""COMPUTED_VALUE"""),"#N/A")</f>
        <v>#N/A</v>
      </c>
      <c r="U3239" s="3" t="str">
        <f>IFERROR(__xludf.DUMMYFUNCTION("""COMPUTED_VALUE"""),"#N/A")</f>
        <v>#N/A</v>
      </c>
      <c r="V3239" s="3" t="str">
        <f>IFERROR(__xludf.DUMMYFUNCTION("""COMPUTED_VALUE"""),"Y")</f>
        <v>Y</v>
      </c>
      <c r="W3239" s="3">
        <f>IFERROR(__xludf.DUMMYFUNCTION("""COMPUTED_VALUE"""),812321.0)</f>
        <v>812321</v>
      </c>
      <c r="X3239" s="3" t="str">
        <f>IFERROR(__xludf.DUMMYFUNCTION("""COMPUTED_VALUE"""),"125 หมู่ที่ 7 ตำบลแปลงยาว อำเภอแปลงยาว จังหวัดฉะเชิงเทรา 24190")</f>
        <v>125 หมู่ที่ 7 ตำบลแปลงยาว อำเภอแปลงยาว จังหวัดฉะเชิงเทรา 24190</v>
      </c>
      <c r="Y3239" s="3"/>
      <c r="Z3239" s="3" t="str">
        <f>IFERROR(__xludf.DUMMYFUNCTION("""COMPUTED_VALUE"""),"แปลงยาว")</f>
        <v>แปลงยาว</v>
      </c>
      <c r="AA3239" s="3" t="str">
        <f>IFERROR(__xludf.DUMMYFUNCTION("""COMPUTED_VALUE"""),"แปลงยาว")</f>
        <v>แปลงยาว</v>
      </c>
      <c r="AB3239" s="3" t="str">
        <f>IFERROR(__xludf.DUMMYFUNCTION("""COMPUTED_VALUE"""),"ฉะเชิงเทรา")</f>
        <v>ฉะเชิงเทรา</v>
      </c>
      <c r="AC3239" s="3">
        <f>IFERROR(__xludf.DUMMYFUNCTION("""COMPUTED_VALUE"""),24190.0)</f>
        <v>24190</v>
      </c>
      <c r="AD3239" s="3">
        <f>IFERROR(__xludf.DUMMYFUNCTION("""COMPUTED_VALUE"""),13.61915455)</f>
        <v>13.61915455</v>
      </c>
      <c r="AE3239" s="3">
        <f>IFERROR(__xludf.DUMMYFUNCTION("""COMPUTED_VALUE"""),101.24163)</f>
        <v>101.24163</v>
      </c>
      <c r="AF3239" s="3" t="str">
        <f>IFERROR(__xludf.DUMMYFUNCTION("""COMPUTED_VALUE"""),"BCM FC เดอะวันพลัสแปลงยาว ฉะเชิงเทรา-31116")</f>
        <v>BCM FC เดอะวันพลัสแปลงยาว ฉะเชิงเทรา-31116</v>
      </c>
      <c r="AG3239" s="3" t="str">
        <f>IFERROR(__xludf.DUMMYFUNCTION("""COMPUTED_VALUE"""),"ตะวันออก")</f>
        <v>ตะวันออก</v>
      </c>
      <c r="AH3239" s="3" t="str">
        <f>IFERROR(__xludf.DUMMYFUNCTION("""COMPUTED_VALUE"""),"#N/A")</f>
        <v>#N/A</v>
      </c>
      <c r="AI3239" s="3" t="str">
        <f>IFERROR(__xludf.DUMMYFUNCTION("""COMPUTED_VALUE"""),"In warranty")</f>
        <v>In warranty</v>
      </c>
      <c r="AJ3239" s="3">
        <f>IFERROR(__xludf.DUMMYFUNCTION("""COMPUTED_VALUE"""),12.0)</f>
        <v>12</v>
      </c>
      <c r="AK3239" s="3"/>
      <c r="AL3239" s="3"/>
    </row>
    <row r="3240" ht="15.75" customHeight="1">
      <c r="A3240" s="1" t="str">
        <f>IFERROR(__xludf.DUMMYFUNCTION("""COMPUTED_VALUE"""),"22707")</f>
        <v>22707</v>
      </c>
      <c r="B3240" s="2">
        <f>IFERROR(__xludf.DUMMYFUNCTION("""COMPUTED_VALUE"""),22707.0)</f>
        <v>22707</v>
      </c>
      <c r="C3240" s="3" t="str">
        <f>IFERROR(__xludf.DUMMYFUNCTION("""COMPUTED_VALUE"""),"BCM ถ.พัฒนา ภูเก็ต")</f>
        <v>BCM ถ.พัฒนา ภูเก็ต</v>
      </c>
      <c r="D3240" s="3" t="str">
        <f>IFERROR(__xludf.DUMMYFUNCTION("""COMPUTED_VALUE"""),"BCM THANON PATTANA PHUKET")</f>
        <v>BCM THANON PATTANA PHUKET</v>
      </c>
      <c r="E3240" s="1" t="str">
        <f>IFERROR(__xludf.DUMMYFUNCTION("""COMPUTED_VALUE"""),"บิ๊กซี MINI")</f>
        <v>บิ๊กซี MINI</v>
      </c>
      <c r="F3240" s="1" t="str">
        <f>IFERROR(__xludf.DUMMYFUNCTION("""COMPUTED_VALUE"""),"250760")</f>
        <v>250760</v>
      </c>
      <c r="G3240" s="1" t="str">
        <f>IFERROR(__xludf.DUMMYFUNCTION("""COMPUTED_VALUE"""),"นายประทวน สาราบรรณ์")</f>
        <v>นายประทวน สาราบรรณ์</v>
      </c>
      <c r="H3240" s="1" t="str">
        <f>IFERROR(__xludf.DUMMYFUNCTION("""COMPUTED_VALUE"""),"357284")</f>
        <v>357284</v>
      </c>
      <c r="I3240" s="1" t="str">
        <f>IFERROR(__xludf.DUMMYFUNCTION("""COMPUTED_VALUE"""),"น.ส.เบญจวรรณ ปัณฑโมรา")</f>
        <v>น.ส.เบญจวรรณ ปัณฑโมรา</v>
      </c>
      <c r="J3240" s="3">
        <f>IFERROR(__xludf.DUMMYFUNCTION("""COMPUTED_VALUE"""),25324.0)</f>
        <v>25324</v>
      </c>
      <c r="K3240" s="3" t="str">
        <f>IFERROR(__xludf.DUMMYFUNCTION("""COMPUTED_VALUE"""),"นายวิเชฎฐ์ ติรัตนะประคม")</f>
        <v>นายวิเชฎฐ์ ติรัตนะประคม</v>
      </c>
      <c r="L3240" s="1" t="str">
        <f>IFERROR(__xludf.DUMMYFUNCTION("""COMPUTED_VALUE"""),"14 K.Wichet T.")</f>
        <v>14 K.Wichet T.</v>
      </c>
      <c r="M3240" s="1" t="str">
        <f>IFERROR(__xludf.DUMMYFUNCTION("""COMPUTED_VALUE"""),"061-417-6569 / 086-445-5636")</f>
        <v>061-417-6569 / 086-445-5636</v>
      </c>
      <c r="N3240" s="3">
        <f>IFERROR(__xludf.DUMMYFUNCTION("""COMPUTED_VALUE"""),22658.0)</f>
        <v>22658</v>
      </c>
      <c r="O3240" s="3" t="str">
        <f>IFERROR(__xludf.DUMMYFUNCTION("""COMPUTED_VALUE"""),"BCM ถ.วิรัชหงษ์หยก ภูเก็ต")</f>
        <v>BCM ถ.วิรัชหงษ์หยก ภูเก็ต</v>
      </c>
      <c r="P3240" s="4">
        <f>IFERROR(__xludf.DUMMYFUNCTION("""COMPUTED_VALUE"""),45713.0)</f>
        <v>45713</v>
      </c>
      <c r="Q3240" s="3" t="str">
        <f>IFERROR(__xludf.DUMMYFUNCTION("""COMPUTED_VALUE"""),"A")</f>
        <v>A</v>
      </c>
      <c r="R3240" s="3" t="str">
        <f>IFERROR(__xludf.DUMMYFUNCTION("""COMPUTED_VALUE"""),"Small Format")</f>
        <v>Small Format</v>
      </c>
      <c r="S3240" s="3" t="str">
        <f>IFERROR(__xludf.DUMMYFUNCTION("""COMPUTED_VALUE"""),"BCM")</f>
        <v>BCM</v>
      </c>
      <c r="T3240" s="3" t="str">
        <f>IFERROR(__xludf.DUMMYFUNCTION("""COMPUTED_VALUE"""),"#N/A")</f>
        <v>#N/A</v>
      </c>
      <c r="U3240" s="3" t="str">
        <f>IFERROR(__xludf.DUMMYFUNCTION("""COMPUTED_VALUE"""),"#N/A")</f>
        <v>#N/A</v>
      </c>
      <c r="V3240" s="3" t="str">
        <f>IFERROR(__xludf.DUMMYFUNCTION("""COMPUTED_VALUE"""),"N")</f>
        <v>N</v>
      </c>
      <c r="W3240" s="3">
        <f>IFERROR(__xludf.DUMMYFUNCTION("""COMPUTED_VALUE"""),210803.0)</f>
        <v>210803</v>
      </c>
      <c r="X3240" s="3" t="str">
        <f>IFERROR(__xludf.DUMMYFUNCTION("""COMPUTED_VALUE"""),"- - -")</f>
        <v>- - -</v>
      </c>
      <c r="Y3240" s="3"/>
      <c r="Z3240" s="3"/>
      <c r="AA3240" s="3"/>
      <c r="AB3240" s="3"/>
      <c r="AC3240" s="3"/>
      <c r="AD3240" s="3">
        <f>IFERROR(__xludf.DUMMYFUNCTION("""COMPUTED_VALUE"""),8.81779)</f>
        <v>8.81779</v>
      </c>
      <c r="AE3240" s="3">
        <f>IFERROR(__xludf.DUMMYFUNCTION("""COMPUTED_VALUE"""),98.380167)</f>
        <v>98.380167</v>
      </c>
      <c r="AF3240" s="3" t="str">
        <f>IFERROR(__xludf.DUMMYFUNCTION("""COMPUTED_VALUE"""),"BCM ถ.พัฒนา ภูเก็ต-22707")</f>
        <v>BCM ถ.พัฒนา ภูเก็ต-22707</v>
      </c>
      <c r="AG3240" s="3">
        <f>IFERROR(__xludf.DUMMYFUNCTION("""COMPUTED_VALUE"""),0.0)</f>
        <v>0</v>
      </c>
      <c r="AH3240" s="3" t="str">
        <f>IFERROR(__xludf.DUMMYFUNCTION("""COMPUTED_VALUE"""),"#N/A")</f>
        <v>#N/A</v>
      </c>
      <c r="AI3240" s="3" t="str">
        <f>IFERROR(__xludf.DUMMYFUNCTION("""COMPUTED_VALUE"""),"In warranty")</f>
        <v>In warranty</v>
      </c>
      <c r="AJ3240" s="3">
        <f>IFERROR(__xludf.DUMMYFUNCTION("""COMPUTED_VALUE"""),11.0)</f>
        <v>11</v>
      </c>
      <c r="AK3240" s="3"/>
      <c r="AL3240" s="3"/>
    </row>
    <row r="3241" ht="15.75" customHeight="1">
      <c r="A3241" s="1" t="str">
        <f>IFERROR(__xludf.DUMMYFUNCTION("""COMPUTED_VALUE"""),"22709")</f>
        <v>22709</v>
      </c>
      <c r="B3241" s="2">
        <f>IFERROR(__xludf.DUMMYFUNCTION("""COMPUTED_VALUE"""),22709.0)</f>
        <v>22709</v>
      </c>
      <c r="C3241" s="3" t="str">
        <f>IFERROR(__xludf.DUMMYFUNCTION("""COMPUTED_VALUE"""),"BCM นิคมฯโรจนะ พระนครศรีอยุธยา")</f>
        <v>BCM นิคมฯโรจนะ พระนครศรีอยุธยา</v>
      </c>
      <c r="D3241" s="3" t="str">
        <f>IFERROR(__xludf.DUMMYFUNCTION("""COMPUTED_VALUE"""),"BCM ROJANA INDUSTRIAL ESTATE")</f>
        <v>BCM ROJANA INDUSTRIAL ESTATE</v>
      </c>
      <c r="E3241" s="1" t="str">
        <f>IFERROR(__xludf.DUMMYFUNCTION("""COMPUTED_VALUE"""),"บิ๊กซี MINI")</f>
        <v>บิ๊กซี MINI</v>
      </c>
      <c r="F3241" s="1" t="str">
        <f>IFERROR(__xludf.DUMMYFUNCTION("""COMPUTED_VALUE"""),"296229")</f>
        <v>296229</v>
      </c>
      <c r="G3241" s="1" t="str">
        <f>IFERROR(__xludf.DUMMYFUNCTION("""COMPUTED_VALUE"""),"นายทนงศักดิ์ บุญมา")</f>
        <v>นายทนงศักดิ์ บุญมา</v>
      </c>
      <c r="H3241" s="1" t="str">
        <f>IFERROR(__xludf.DUMMYFUNCTION("""COMPUTED_VALUE"""),"211363")</f>
        <v>211363</v>
      </c>
      <c r="I3241" s="1" t="str">
        <f>IFERROR(__xludf.DUMMYFUNCTION("""COMPUTED_VALUE"""),"นายสามารถ บุญลับ")</f>
        <v>นายสามารถ บุญลับ</v>
      </c>
      <c r="J3241" s="3">
        <f>IFERROR(__xludf.DUMMYFUNCTION("""COMPUTED_VALUE"""),46214.0)</f>
        <v>46214</v>
      </c>
      <c r="K3241" s="3" t="str">
        <f>IFERROR(__xludf.DUMMYFUNCTION("""COMPUTED_VALUE"""),"นายศักดิ์ชัย เด็ดดอกฟ้า")</f>
        <v>นายศักดิ์ชัย เด็ดดอกฟ้า</v>
      </c>
      <c r="L3241" s="1" t="str">
        <f>IFERROR(__xludf.DUMMYFUNCTION("""COMPUTED_VALUE"""),"02 K.Sakchai D")</f>
        <v>02 K.Sakchai D</v>
      </c>
      <c r="M3241" s="1" t="str">
        <f>IFERROR(__xludf.DUMMYFUNCTION("""COMPUTED_VALUE"""),"065-510-7376")</f>
        <v>065-510-7376</v>
      </c>
      <c r="N3241" s="3">
        <f>IFERROR(__xludf.DUMMYFUNCTION("""COMPUTED_VALUE"""),21714.0)</f>
        <v>21714</v>
      </c>
      <c r="O3241" s="3" t="str">
        <f>IFERROR(__xludf.DUMMYFUNCTION("""COMPUTED_VALUE"""),"MBC เอสโซ่ วัดโบสถ์")</f>
        <v>MBC เอสโซ่ วัดโบสถ์</v>
      </c>
      <c r="P3241" s="4">
        <f>IFERROR(__xludf.DUMMYFUNCTION("""COMPUTED_VALUE"""),45729.0)</f>
        <v>45729</v>
      </c>
      <c r="Q3241" s="3" t="str">
        <f>IFERROR(__xludf.DUMMYFUNCTION("""COMPUTED_VALUE"""),"A")</f>
        <v>A</v>
      </c>
      <c r="R3241" s="3" t="str">
        <f>IFERROR(__xludf.DUMMYFUNCTION("""COMPUTED_VALUE"""),"Small Format")</f>
        <v>Small Format</v>
      </c>
      <c r="S3241" s="3" t="str">
        <f>IFERROR(__xludf.DUMMYFUNCTION("""COMPUTED_VALUE"""),"BCM")</f>
        <v>BCM</v>
      </c>
      <c r="T3241" s="3" t="str">
        <f>IFERROR(__xludf.DUMMYFUNCTION("""COMPUTED_VALUE"""),"#N/A")</f>
        <v>#N/A</v>
      </c>
      <c r="U3241" s="3" t="str">
        <f>IFERROR(__xludf.DUMMYFUNCTION("""COMPUTED_VALUE"""),"#N/A")</f>
        <v>#N/A</v>
      </c>
      <c r="V3241" s="3" t="str">
        <f>IFERROR(__xludf.DUMMYFUNCTION("""COMPUTED_VALUE"""),"N")</f>
        <v>N</v>
      </c>
      <c r="W3241" s="3">
        <f>IFERROR(__xludf.DUMMYFUNCTION("""COMPUTED_VALUE"""),210806.0)</f>
        <v>210806</v>
      </c>
      <c r="X3241" s="3" t="str">
        <f>IFERROR(__xludf.DUMMYFUNCTION("""COMPUTED_VALUE"""),"21/25 หมู่ 9 ตําบลคานหาม อําเภออุทัย จังหวัดพระนครศรีอยุธยา 13210")</f>
        <v>21/25 หมู่ 9 ตําบลคานหาม อําเภออุทัย จังหวัดพระนครศรีอยุธยา 13210</v>
      </c>
      <c r="Y3241" s="3"/>
      <c r="Z3241" s="3" t="str">
        <f>IFERROR(__xludf.DUMMYFUNCTION("""COMPUTED_VALUE"""),"คานหาม")</f>
        <v>คานหาม</v>
      </c>
      <c r="AA3241" s="3" t="str">
        <f>IFERROR(__xludf.DUMMYFUNCTION("""COMPUTED_VALUE"""),"อุทัย")</f>
        <v>อุทัย</v>
      </c>
      <c r="AB3241" s="3" t="str">
        <f>IFERROR(__xludf.DUMMYFUNCTION("""COMPUTED_VALUE"""),"พระนครศรีอยุธยา")</f>
        <v>พระนครศรีอยุธยา</v>
      </c>
      <c r="AC3241" s="3">
        <f>IFERROR(__xludf.DUMMYFUNCTION("""COMPUTED_VALUE"""),13210.0)</f>
        <v>13210</v>
      </c>
      <c r="AD3241" s="3">
        <f>IFERROR(__xludf.DUMMYFUNCTION("""COMPUTED_VALUE"""),14.328314)</f>
        <v>14.328314</v>
      </c>
      <c r="AE3241" s="3">
        <f>IFERROR(__xludf.DUMMYFUNCTION("""COMPUTED_VALUE"""),100.653334)</f>
        <v>100.653334</v>
      </c>
      <c r="AF3241" s="3" t="str">
        <f>IFERROR(__xludf.DUMMYFUNCTION("""COMPUTED_VALUE"""),"BCM นิคมฯโรจนะ พระนครศรีอยุธยา-22709")</f>
        <v>BCM นิคมฯโรจนะ พระนครศรีอยุธยา-22709</v>
      </c>
      <c r="AG3241" s="3" t="str">
        <f>IFERROR(__xludf.DUMMYFUNCTION("""COMPUTED_VALUE"""),"กลาง")</f>
        <v>กลาง</v>
      </c>
      <c r="AH3241" s="3" t="str">
        <f>IFERROR(__xludf.DUMMYFUNCTION("""COMPUTED_VALUE"""),"#N/A")</f>
        <v>#N/A</v>
      </c>
      <c r="AI3241" s="3" t="str">
        <f>IFERROR(__xludf.DUMMYFUNCTION("""COMPUTED_VALUE"""),"In warranty")</f>
        <v>In warranty</v>
      </c>
      <c r="AJ3241" s="3">
        <f>IFERROR(__xludf.DUMMYFUNCTION("""COMPUTED_VALUE"""),11.0)</f>
        <v>11</v>
      </c>
      <c r="AK3241" s="3"/>
      <c r="AL3241" s="3"/>
    </row>
    <row r="3242" ht="15.75" customHeight="1">
      <c r="A3242" s="1" t="str">
        <f>IFERROR(__xludf.DUMMYFUNCTION("""COMPUTED_VALUE"""),"11260")</f>
        <v>11260</v>
      </c>
      <c r="B3242" s="2">
        <f>IFERROR(__xludf.DUMMYFUNCTION("""COMPUTED_VALUE"""),11260.0)</f>
        <v>11260</v>
      </c>
      <c r="C3242" s="3" t="str">
        <f>IFERROR(__xludf.DUMMYFUNCTION("""COMPUTED_VALUE"""),"หัวหิน มาร์เช่")</f>
        <v>หัวหิน มาร์เช่</v>
      </c>
      <c r="D3242" s="3" t="str">
        <f>IFERROR(__xludf.DUMMYFUNCTION("""COMPUTED_VALUE"""),"BIGC HUAHIN MARCHE (BLUPORT)")</f>
        <v>BIGC HUAHIN MARCHE (BLUPORT)</v>
      </c>
      <c r="E3242" s="1" t="str">
        <f>IFERROR(__xludf.DUMMYFUNCTION("""COMPUTED_VALUE"""),"บิ๊กซี HyperMarket")</f>
        <v>บิ๊กซี HyperMarket</v>
      </c>
      <c r="F3242" s="1" t="str">
        <f>IFERROR(__xludf.DUMMYFUNCTION("""COMPUTED_VALUE"""),"2455179")</f>
        <v>2455179</v>
      </c>
      <c r="G3242" s="1" t="str">
        <f>IFERROR(__xludf.DUMMYFUNCTION("""COMPUTED_VALUE"""),"นายณัฐวัฒน์ ภาสประเสริฐทรง")</f>
        <v>นายณัฐวัฒน์ ภาสประเสริฐทรง</v>
      </c>
      <c r="H3242" s="1" t="str">
        <f>IFERROR(__xludf.DUMMYFUNCTION("""COMPUTED_VALUE"""),"2455179")</f>
        <v>2455179</v>
      </c>
      <c r="I3242" s="1" t="str">
        <f>IFERROR(__xludf.DUMMYFUNCTION("""COMPUTED_VALUE"""),"นายณัฐวัฒน์ ภาสประเสริฐทรง")</f>
        <v>นายณัฐวัฒน์ ภาสประเสริฐทรง</v>
      </c>
      <c r="J3242" s="3">
        <f>IFERROR(__xludf.DUMMYFUNCTION("""COMPUTED_VALUE"""),2455179.0)</f>
        <v>2455179</v>
      </c>
      <c r="K3242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3242" s="1" t="str">
        <f>IFERROR(__xludf.DUMMYFUNCTION("""COMPUTED_VALUE"""),"Hub06-C&amp;W")</f>
        <v>Hub06-C&amp;W</v>
      </c>
      <c r="M3242" s="1" t="str">
        <f>IFERROR(__xludf.DUMMYFUNCTION("""COMPUTED_VALUE"""),"090-993-6896")</f>
        <v>090-993-6896</v>
      </c>
      <c r="N3242" s="3">
        <f>IFERROR(__xludf.DUMMYFUNCTION("""COMPUTED_VALUE"""),11260.0)</f>
        <v>11260</v>
      </c>
      <c r="O3242" s="3" t="str">
        <f>IFERROR(__xludf.DUMMYFUNCTION("""COMPUTED_VALUE"""),"หัวหิน มาร์เช่")</f>
        <v>หัวหิน มาร์เช่</v>
      </c>
      <c r="P3242" s="4">
        <f>IFERROR(__xludf.DUMMYFUNCTION("""COMPUTED_VALUE"""),45808.0)</f>
        <v>45808</v>
      </c>
      <c r="Q3242" s="3" t="str">
        <f>IFERROR(__xludf.DUMMYFUNCTION("""COMPUTED_VALUE"""),"A")</f>
        <v>A</v>
      </c>
      <c r="R3242" s="3" t="str">
        <f>IFERROR(__xludf.DUMMYFUNCTION("""COMPUTED_VALUE"""),"Big Format")</f>
        <v>Big Format</v>
      </c>
      <c r="S3242" s="3" t="str">
        <f>IFERROR(__xludf.DUMMYFUNCTION("""COMPUTED_VALUE"""),"Hyper")</f>
        <v>Hyper</v>
      </c>
      <c r="T3242" s="3" t="str">
        <f>IFERROR(__xludf.DUMMYFUNCTION("""COMPUTED_VALUE"""),"Hub06-C&amp;W")</f>
        <v>Hub06-C&amp;W</v>
      </c>
      <c r="U3242" s="3" t="str">
        <f>IFERROR(__xludf.DUMMYFUNCTION("""COMPUTED_VALUE"""),"Hub06-C&amp;W")</f>
        <v>Hub06-C&amp;W</v>
      </c>
      <c r="V3242" s="3" t="str">
        <f>IFERROR(__xludf.DUMMYFUNCTION("""COMPUTED_VALUE"""),"N")</f>
        <v>N</v>
      </c>
      <c r="W3242" s="3">
        <f>IFERROR(__xludf.DUMMYFUNCTION("""COMPUTED_VALUE"""),111277.0)</f>
        <v>111277</v>
      </c>
      <c r="X3242" s="3" t="str">
        <f>IFERROR(__xludf.DUMMYFUNCTION("""COMPUTED_VALUE"""),"ห้องเลขที่ G 28 ชั้นที่ G เลขที่ 8/89 ซอย หมูบ้านหนองแก ตำบลหนองแก อำเภอหัวหิน จังหวัดประจวบคีรีขันธ์ 77110")</f>
        <v>ห้องเลขที่ G 28 ชั้นที่ G เลขที่ 8/89 ซอย หมูบ้านหนองแก ตำบลหนองแก อำเภอหัวหิน จังหวัดประจวบคีรีขันธ์ 77110</v>
      </c>
      <c r="Y3242" s="3" t="str">
        <f>IFERROR(__xludf.DUMMYFUNCTION("""COMPUTED_VALUE"""),"หมู่บ้านหนองแก")</f>
        <v>หมู่บ้านหนองแก</v>
      </c>
      <c r="Z3242" s="3" t="str">
        <f>IFERROR(__xludf.DUMMYFUNCTION("""COMPUTED_VALUE"""),"หนองแก")</f>
        <v>หนองแก</v>
      </c>
      <c r="AA3242" s="3" t="str">
        <f>IFERROR(__xludf.DUMMYFUNCTION("""COMPUTED_VALUE"""),"หัวหิน")</f>
        <v>หัวหิน</v>
      </c>
      <c r="AB3242" s="3" t="str">
        <f>IFERROR(__xludf.DUMMYFUNCTION("""COMPUTED_VALUE"""),"ประจวบคีรีขันธ์")</f>
        <v>ประจวบคีรีขันธ์</v>
      </c>
      <c r="AC3242" s="3">
        <f>IFERROR(__xludf.DUMMYFUNCTION("""COMPUTED_VALUE"""),77110.0)</f>
        <v>77110</v>
      </c>
      <c r="AD3242" s="3">
        <f>IFERROR(__xludf.DUMMYFUNCTION("""COMPUTED_VALUE"""),12.54789605)</f>
        <v>12.54789605</v>
      </c>
      <c r="AE3242" s="3">
        <f>IFERROR(__xludf.DUMMYFUNCTION("""COMPUTED_VALUE"""),99.96158446)</f>
        <v>99.96158446</v>
      </c>
      <c r="AF3242" s="3" t="str">
        <f>IFERROR(__xludf.DUMMYFUNCTION("""COMPUTED_VALUE"""),"หัวหิน มาร์เช่-11260")</f>
        <v>หัวหิน มาร์เช่-11260</v>
      </c>
      <c r="AG3242" s="3" t="str">
        <f>IFERROR(__xludf.DUMMYFUNCTION("""COMPUTED_VALUE"""),"ตะวันตก")</f>
        <v>ตะวันตก</v>
      </c>
      <c r="AH3242" s="3" t="str">
        <f>IFERROR(__xludf.DUMMYFUNCTION("""COMPUTED_VALUE"""),"Wichian Nasungnoen")</f>
        <v>Wichian Nasungnoen</v>
      </c>
      <c r="AI3242" s="3" t="str">
        <f>IFERROR(__xludf.DUMMYFUNCTION("""COMPUTED_VALUE"""),"In warranty")</f>
        <v>In warranty</v>
      </c>
      <c r="AJ3242" s="3">
        <f>IFERROR(__xludf.DUMMYFUNCTION("""COMPUTED_VALUE"""),8.0)</f>
        <v>8</v>
      </c>
      <c r="AK3242" s="3"/>
      <c r="AL3242" s="3"/>
    </row>
    <row r="3243" ht="15.75" customHeight="1">
      <c r="A3243" s="1" t="str">
        <f>IFERROR(__xludf.DUMMYFUNCTION("""COMPUTED_VALUE"""),"22710")</f>
        <v>22710</v>
      </c>
      <c r="B3243" s="2">
        <f>IFERROR(__xludf.DUMMYFUNCTION("""COMPUTED_VALUE"""),22710.0)</f>
        <v>22710</v>
      </c>
      <c r="C3243" s="3" t="str">
        <f>IFERROR(__xludf.DUMMYFUNCTION("""COMPUTED_VALUE"""),"BCM ถ.ศรีเวียง เชียงราย")</f>
        <v>BCM ถ.ศรีเวียง เชียงราย</v>
      </c>
      <c r="D3243" s="3" t="str">
        <f>IFERROR(__xludf.DUMMYFUNCTION("""COMPUTED_VALUE"""),"BCM THANON SRIVHIANG CHIANGRAI")</f>
        <v>BCM THANON SRIVHIANG CHIANGRAI</v>
      </c>
      <c r="E3243" s="1" t="str">
        <f>IFERROR(__xludf.DUMMYFUNCTION("""COMPUTED_VALUE"""),"บิ๊กซี MINI")</f>
        <v>บิ๊กซี MINI</v>
      </c>
      <c r="F3243" s="1" t="str">
        <f>IFERROR(__xludf.DUMMYFUNCTION("""COMPUTED_VALUE"""),"296229")</f>
        <v>296229</v>
      </c>
      <c r="G3243" s="1" t="str">
        <f>IFERROR(__xludf.DUMMYFUNCTION("""COMPUTED_VALUE"""),"นายทนงศักดิ์ บุญมา")</f>
        <v>นายทนงศักดิ์ บุญมา</v>
      </c>
      <c r="H3243" s="1" t="str">
        <f>IFERROR(__xludf.DUMMYFUNCTION("""COMPUTED_VALUE"""),"392585")</f>
        <v>392585</v>
      </c>
      <c r="I3243" s="1" t="str">
        <f>IFERROR(__xludf.DUMMYFUNCTION("""COMPUTED_VALUE"""),"นายไชยัณต์ ผิวขัวเรียง")</f>
        <v>นายไชยัณต์ ผิวขัวเรียง</v>
      </c>
      <c r="J3243" s="3">
        <f>IFERROR(__xludf.DUMMYFUNCTION("""COMPUTED_VALUE"""),2010016.0)</f>
        <v>2010016</v>
      </c>
      <c r="K3243" s="3" t="str">
        <f>IFERROR(__xludf.DUMMYFUNCTION("""COMPUTED_VALUE"""),"นายตวงธรรม ใหม่ยศ")</f>
        <v>นายตวงธรรม ใหม่ยศ</v>
      </c>
      <c r="L3243" s="1" t="str">
        <f>IFERROR(__xludf.DUMMYFUNCTION("""COMPUTED_VALUE"""),"01 K.Tuangtham M.")</f>
        <v>01 K.Tuangtham M.</v>
      </c>
      <c r="M3243" s="1" t="str">
        <f>IFERROR(__xludf.DUMMYFUNCTION("""COMPUTED_VALUE"""),"063-976-595")</f>
        <v>063-976-595</v>
      </c>
      <c r="N3243" s="3">
        <f>IFERROR(__xludf.DUMMYFUNCTION("""COMPUTED_VALUE"""),22574.0)</f>
        <v>22574</v>
      </c>
      <c r="O3243" s="3" t="str">
        <f>IFERROR(__xludf.DUMMYFUNCTION("""COMPUTED_VALUE"""),"BCM ชุมชนศรีชุม ลำปาง")</f>
        <v>BCM ชุมชนศรีชุม ลำปาง</v>
      </c>
      <c r="P3243" s="4">
        <f>IFERROR(__xludf.DUMMYFUNCTION("""COMPUTED_VALUE"""),45733.0)</f>
        <v>45733</v>
      </c>
      <c r="Q3243" s="3" t="str">
        <f>IFERROR(__xludf.DUMMYFUNCTION("""COMPUTED_VALUE"""),"A")</f>
        <v>A</v>
      </c>
      <c r="R3243" s="3" t="str">
        <f>IFERROR(__xludf.DUMMYFUNCTION("""COMPUTED_VALUE"""),"Small Format")</f>
        <v>Small Format</v>
      </c>
      <c r="S3243" s="3" t="str">
        <f>IFERROR(__xludf.DUMMYFUNCTION("""COMPUTED_VALUE"""),"BCM")</f>
        <v>BCM</v>
      </c>
      <c r="T3243" s="3" t="str">
        <f>IFERROR(__xludf.DUMMYFUNCTION("""COMPUTED_VALUE"""),"#N/A")</f>
        <v>#N/A</v>
      </c>
      <c r="U3243" s="3" t="str">
        <f>IFERROR(__xludf.DUMMYFUNCTION("""COMPUTED_VALUE"""),"#N/A")</f>
        <v>#N/A</v>
      </c>
      <c r="V3243" s="3" t="str">
        <f>IFERROR(__xludf.DUMMYFUNCTION("""COMPUTED_VALUE"""),"N")</f>
        <v>N</v>
      </c>
      <c r="W3243" s="3">
        <f>IFERROR(__xludf.DUMMYFUNCTION("""COMPUTED_VALUE"""),210802.0)</f>
        <v>210802</v>
      </c>
      <c r="X3243" s="3" t="str">
        <f>IFERROR(__xludf.DUMMYFUNCTION("""COMPUTED_VALUE"""),"232/110 หมู่ 8 ตําบลรอบเวียง อําเภอเมืองเชียงราย จังหวัดเชียงราย 57000")</f>
        <v>232/110 หมู่ 8 ตําบลรอบเวียง อําเภอเมืองเชียงราย จังหวัดเชียงราย 57000</v>
      </c>
      <c r="Y3243" s="3"/>
      <c r="Z3243" s="3" t="str">
        <f>IFERROR(__xludf.DUMMYFUNCTION("""COMPUTED_VALUE"""),"รอบเวียง")</f>
        <v>รอบเวียง</v>
      </c>
      <c r="AA3243" s="3" t="str">
        <f>IFERROR(__xludf.DUMMYFUNCTION("""COMPUTED_VALUE"""),"เมืองเชียงราย")</f>
        <v>เมืองเชียงราย</v>
      </c>
      <c r="AB3243" s="3" t="str">
        <f>IFERROR(__xludf.DUMMYFUNCTION("""COMPUTED_VALUE"""),"เชียงราย")</f>
        <v>เชียงราย</v>
      </c>
      <c r="AC3243" s="3">
        <f>IFERROR(__xludf.DUMMYFUNCTION("""COMPUTED_VALUE"""),57000.0)</f>
        <v>57000</v>
      </c>
      <c r="AD3243" s="3">
        <f>IFERROR(__xludf.DUMMYFUNCTION("""COMPUTED_VALUE"""),19.891914)</f>
        <v>19.891914</v>
      </c>
      <c r="AE3243" s="3">
        <f>IFERROR(__xludf.DUMMYFUNCTION("""COMPUTED_VALUE"""),99.868349)</f>
        <v>99.868349</v>
      </c>
      <c r="AF3243" s="3" t="str">
        <f>IFERROR(__xludf.DUMMYFUNCTION("""COMPUTED_VALUE"""),"BCM ถ.ศรีเวียง เชียงราย-22710")</f>
        <v>BCM ถ.ศรีเวียง เชียงราย-22710</v>
      </c>
      <c r="AG3243" s="3" t="str">
        <f>IFERROR(__xludf.DUMMYFUNCTION("""COMPUTED_VALUE"""),"เหนือ")</f>
        <v>เหนือ</v>
      </c>
      <c r="AH3243" s="3" t="str">
        <f>IFERROR(__xludf.DUMMYFUNCTION("""COMPUTED_VALUE"""),"#N/A")</f>
        <v>#N/A</v>
      </c>
      <c r="AI3243" s="3" t="str">
        <f>IFERROR(__xludf.DUMMYFUNCTION("""COMPUTED_VALUE"""),"In warranty")</f>
        <v>In warranty</v>
      </c>
      <c r="AJ3243" s="3">
        <f>IFERROR(__xludf.DUMMYFUNCTION("""COMPUTED_VALUE"""),11.0)</f>
        <v>11</v>
      </c>
      <c r="AK3243" s="3"/>
      <c r="AL3243" s="3"/>
    </row>
    <row r="3244" ht="15.75" customHeight="1">
      <c r="A3244" s="1" t="str">
        <f>IFERROR(__xludf.DUMMYFUNCTION("""COMPUTED_VALUE"""),"22711")</f>
        <v>22711</v>
      </c>
      <c r="B3244" s="2">
        <f>IFERROR(__xludf.DUMMYFUNCTION("""COMPUTED_VALUE"""),22711.0)</f>
        <v>22711</v>
      </c>
      <c r="C3244" s="3" t="str">
        <f>IFERROR(__xludf.DUMMYFUNCTION("""COMPUTED_VALUE"""),"BCM ประชาอุทิศ 76 กรุงเทพฯ")</f>
        <v>BCM ประชาอุทิศ 76 กรุงเทพฯ</v>
      </c>
      <c r="D3244" s="3" t="str">
        <f>IFERROR(__xludf.DUMMYFUNCTION("""COMPUTED_VALUE"""),"BCM PRACHA UTHIT 76 BANGKOK")</f>
        <v>BCM PRACHA UTHIT 76 BANGKOK</v>
      </c>
      <c r="E3244" s="1" t="str">
        <f>IFERROR(__xludf.DUMMYFUNCTION("""COMPUTED_VALUE"""),"บิ๊กซี MINI")</f>
        <v>บิ๊กซี MINI</v>
      </c>
      <c r="F3244" s="1" t="str">
        <f>IFERROR(__xludf.DUMMYFUNCTION("""COMPUTED_VALUE"""),"291008")</f>
        <v>291008</v>
      </c>
      <c r="G3244" s="1" t="str">
        <f>IFERROR(__xludf.DUMMYFUNCTION("""COMPUTED_VALUE"""),"น.ส.รัชดาพร อีศรัตน์")</f>
        <v>น.ส.รัชดาพร อีศรัตน์</v>
      </c>
      <c r="H3244" s="1" t="str">
        <f>IFERROR(__xludf.DUMMYFUNCTION("""COMPUTED_VALUE"""),"254800")</f>
        <v>254800</v>
      </c>
      <c r="I3244" s="1" t="str">
        <f>IFERROR(__xludf.DUMMYFUNCTION("""COMPUTED_VALUE"""),"น.ส.นัชมล กางกรณ์")</f>
        <v>น.ส.นัชมล กางกรณ์</v>
      </c>
      <c r="J3244" s="3">
        <f>IFERROR(__xludf.DUMMYFUNCTION("""COMPUTED_VALUE"""),296608.0)</f>
        <v>296608</v>
      </c>
      <c r="K3244" s="3" t="str">
        <f>IFERROR(__xludf.DUMMYFUNCTION("""COMPUTED_VALUE"""),"นายภาคภูมิ เพ็ชรนิล")</f>
        <v>นายภาคภูมิ เพ็ชรนิล</v>
      </c>
      <c r="L3244" s="1" t="str">
        <f>IFERROR(__xludf.DUMMYFUNCTION("""COMPUTED_VALUE"""),"10 K.Phakphoom P.")</f>
        <v>10 K.Phakphoom P.</v>
      </c>
      <c r="M3244" s="1" t="str">
        <f>IFERROR(__xludf.DUMMYFUNCTION("""COMPUTED_VALUE"""),"063-8955329")</f>
        <v>063-8955329</v>
      </c>
      <c r="N3244" s="3">
        <f>IFERROR(__xludf.DUMMYFUNCTION("""COMPUTED_VALUE"""),22584.0)</f>
        <v>22584</v>
      </c>
      <c r="O3244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3244" s="4">
        <f>IFERROR(__xludf.DUMMYFUNCTION("""COMPUTED_VALUE"""),45739.0)</f>
        <v>45739</v>
      </c>
      <c r="Q3244" s="3" t="str">
        <f>IFERROR(__xludf.DUMMYFUNCTION("""COMPUTED_VALUE"""),"A")</f>
        <v>A</v>
      </c>
      <c r="R3244" s="3" t="str">
        <f>IFERROR(__xludf.DUMMYFUNCTION("""COMPUTED_VALUE"""),"Small Format")</f>
        <v>Small Format</v>
      </c>
      <c r="S3244" s="3" t="str">
        <f>IFERROR(__xludf.DUMMYFUNCTION("""COMPUTED_VALUE"""),"BCM")</f>
        <v>BCM</v>
      </c>
      <c r="T3244" s="3" t="str">
        <f>IFERROR(__xludf.DUMMYFUNCTION("""COMPUTED_VALUE"""),"#N/A")</f>
        <v>#N/A</v>
      </c>
      <c r="U3244" s="3" t="str">
        <f>IFERROR(__xludf.DUMMYFUNCTION("""COMPUTED_VALUE"""),"#N/A")</f>
        <v>#N/A</v>
      </c>
      <c r="V3244" s="3" t="str">
        <f>IFERROR(__xludf.DUMMYFUNCTION("""COMPUTED_VALUE"""),"N")</f>
        <v>N</v>
      </c>
      <c r="W3244" s="3">
        <f>IFERROR(__xludf.DUMMYFUNCTION("""COMPUTED_VALUE"""),210613.0)</f>
        <v>210613</v>
      </c>
      <c r="X3244" s="3" t="str">
        <f>IFERROR(__xludf.DUMMYFUNCTION("""COMPUTED_VALUE"""),"19/2 ซอยประชาอุทิศ 76 แยก 4/2 ตําบลทุ่งครุ อําเภอทุ่งครุ กรุงเทพมหานคร 10140")</f>
        <v>19/2 ซอยประชาอุทิศ 76 แยก 4/2 ตําบลทุ่งครุ อําเภอทุ่งครุ กรุงเทพมหานคร 10140</v>
      </c>
      <c r="Y3244" s="3"/>
      <c r="Z3244" s="3" t="str">
        <f>IFERROR(__xludf.DUMMYFUNCTION("""COMPUTED_VALUE"""),"ทุ่งครุ")</f>
        <v>ทุ่งครุ</v>
      </c>
      <c r="AA3244" s="3" t="str">
        <f>IFERROR(__xludf.DUMMYFUNCTION("""COMPUTED_VALUE"""),"ทุ่งครุ")</f>
        <v>ทุ่งครุ</v>
      </c>
      <c r="AB3244" s="3" t="str">
        <f>IFERROR(__xludf.DUMMYFUNCTION("""COMPUTED_VALUE"""),"กรุงเทพมหานคร")</f>
        <v>กรุงเทพมหานคร</v>
      </c>
      <c r="AC3244" s="3">
        <f>IFERROR(__xludf.DUMMYFUNCTION("""COMPUTED_VALUE"""),10140.0)</f>
        <v>10140</v>
      </c>
      <c r="AD3244" s="3">
        <f>IFERROR(__xludf.DUMMYFUNCTION("""COMPUTED_VALUE"""),13.622725)</f>
        <v>13.622725</v>
      </c>
      <c r="AE3244" s="3">
        <f>IFERROR(__xludf.DUMMYFUNCTION("""COMPUTED_VALUE"""),100.499162)</f>
        <v>100.499162</v>
      </c>
      <c r="AF3244" s="3" t="str">
        <f>IFERROR(__xludf.DUMMYFUNCTION("""COMPUTED_VALUE"""),"BCM ประชาอุทิศ 76 กรุงเทพฯ-22711")</f>
        <v>BCM ประชาอุทิศ 76 กรุงเทพฯ-22711</v>
      </c>
      <c r="AG3244" s="3" t="str">
        <f>IFERROR(__xludf.DUMMYFUNCTION("""COMPUTED_VALUE"""),"กลาง")</f>
        <v>กลาง</v>
      </c>
      <c r="AH3244" s="3" t="str">
        <f>IFERROR(__xludf.DUMMYFUNCTION("""COMPUTED_VALUE"""),"#N/A")</f>
        <v>#N/A</v>
      </c>
      <c r="AI3244" s="3" t="str">
        <f>IFERROR(__xludf.DUMMYFUNCTION("""COMPUTED_VALUE"""),"In warranty")</f>
        <v>In warranty</v>
      </c>
      <c r="AJ3244" s="3">
        <f>IFERROR(__xludf.DUMMYFUNCTION("""COMPUTED_VALUE"""),10.0)</f>
        <v>10</v>
      </c>
      <c r="AK3244" s="3"/>
      <c r="AL3244" s="3"/>
    </row>
    <row r="3245" ht="15.75" customHeight="1">
      <c r="A3245" s="1" t="str">
        <f>IFERROR(__xludf.DUMMYFUNCTION("""COMPUTED_VALUE"""),"31117")</f>
        <v>31117</v>
      </c>
      <c r="B3245" s="2">
        <f>IFERROR(__xludf.DUMMYFUNCTION("""COMPUTED_VALUE"""),31117.0)</f>
        <v>31117</v>
      </c>
      <c r="C3245" s="3" t="str">
        <f>IFERROR(__xludf.DUMMYFUNCTION("""COMPUTED_VALUE"""),"BCM FC BCP ถ.สระบุรี-หล่มสัก ลพบุรี")</f>
        <v>BCM FC BCP ถ.สระบุรี-หล่มสัก ลพบุรี</v>
      </c>
      <c r="D3245" s="3" t="str">
        <f>IFERROR(__xludf.DUMMYFUNCTION("""COMPUTED_VALUE"""),"BCM FC BCP THANON SARABURI")</f>
        <v>BCM FC BCP THANON SARABURI</v>
      </c>
      <c r="E3245" s="1" t="str">
        <f>IFERROR(__xludf.DUMMYFUNCTION("""COMPUTED_VALUE"""),"บิ๊กซี MINI")</f>
        <v>บิ๊กซี MINI</v>
      </c>
      <c r="F3245" s="1" t="str">
        <f>IFERROR(__xludf.DUMMYFUNCTION("""COMPUTED_VALUE"""),"296229")</f>
        <v>296229</v>
      </c>
      <c r="G3245" s="1" t="str">
        <f>IFERROR(__xludf.DUMMYFUNCTION("""COMPUTED_VALUE"""),"นายทนงศักดิ์ บุญมา")</f>
        <v>นายทนงศักดิ์ บุญมา</v>
      </c>
      <c r="H3245" s="1" t="str">
        <f>IFERROR(__xludf.DUMMYFUNCTION("""COMPUTED_VALUE"""),"291082")</f>
        <v>291082</v>
      </c>
      <c r="I3245" s="1" t="str">
        <f>IFERROR(__xludf.DUMMYFUNCTION("""COMPUTED_VALUE"""),"น.ส.วจี กันเกตุ")</f>
        <v>น.ส.วจี กันเกตุ</v>
      </c>
      <c r="J3245" s="3">
        <f>IFERROR(__xludf.DUMMYFUNCTION("""COMPUTED_VALUE"""),46214.0)</f>
        <v>46214</v>
      </c>
      <c r="K3245" s="3" t="str">
        <f>IFERROR(__xludf.DUMMYFUNCTION("""COMPUTED_VALUE"""),"นายศักดิ์ชัย เด็ดดอกฟ้า")</f>
        <v>นายศักดิ์ชัย เด็ดดอกฟ้า</v>
      </c>
      <c r="L3245" s="1" t="str">
        <f>IFERROR(__xludf.DUMMYFUNCTION("""COMPUTED_VALUE"""),"02 K.Sakchai D")</f>
        <v>02 K.Sakchai D</v>
      </c>
      <c r="M3245" s="1" t="str">
        <f>IFERROR(__xludf.DUMMYFUNCTION("""COMPUTED_VALUE"""),"065-510-7376")</f>
        <v>065-510-7376</v>
      </c>
      <c r="N3245" s="3">
        <f>IFERROR(__xludf.DUMMYFUNCTION("""COMPUTED_VALUE"""),21714.0)</f>
        <v>21714</v>
      </c>
      <c r="O3245" s="3" t="str">
        <f>IFERROR(__xludf.DUMMYFUNCTION("""COMPUTED_VALUE"""),"MBC เอสโซ่ วัดโบสถ์")</f>
        <v>MBC เอสโซ่ วัดโบสถ์</v>
      </c>
      <c r="P3245" s="4">
        <f>IFERROR(__xludf.DUMMYFUNCTION("""COMPUTED_VALUE"""),45658.0)</f>
        <v>45658</v>
      </c>
      <c r="Q3245" s="3" t="str">
        <f>IFERROR(__xludf.DUMMYFUNCTION("""COMPUTED_VALUE"""),"A")</f>
        <v>A</v>
      </c>
      <c r="R3245" s="3" t="str">
        <f>IFERROR(__xludf.DUMMYFUNCTION("""COMPUTED_VALUE"""),"Small Format")</f>
        <v>Small Format</v>
      </c>
      <c r="S3245" s="3" t="str">
        <f>IFERROR(__xludf.DUMMYFUNCTION("""COMPUTED_VALUE"""),"BCM(FC)")</f>
        <v>BCM(FC)</v>
      </c>
      <c r="T3245" s="3" t="str">
        <f>IFERROR(__xludf.DUMMYFUNCTION("""COMPUTED_VALUE"""),"#N/A")</f>
        <v>#N/A</v>
      </c>
      <c r="U3245" s="3" t="str">
        <f>IFERROR(__xludf.DUMMYFUNCTION("""COMPUTED_VALUE"""),"#N/A")</f>
        <v>#N/A</v>
      </c>
      <c r="V3245" s="3" t="str">
        <f>IFERROR(__xludf.DUMMYFUNCTION("""COMPUTED_VALUE"""),"Y")</f>
        <v>Y</v>
      </c>
      <c r="W3245" s="3">
        <f>IFERROR(__xludf.DUMMYFUNCTION("""COMPUTED_VALUE"""),812382.0)</f>
        <v>812382</v>
      </c>
      <c r="X3245" s="3" t="str">
        <f>IFERROR(__xludf.DUMMYFUNCTION("""COMPUTED_VALUE"""),"333/3 หมู่ที่ 9 ตําบลโคกสลุง อําเภอพัฒนานิคม จังหวัดลพบุรี 15140")</f>
        <v>333/3 หมู่ที่ 9 ตําบลโคกสลุง อําเภอพัฒนานิคม จังหวัดลพบุรี 15140</v>
      </c>
      <c r="Y3245" s="3"/>
      <c r="Z3245" s="3" t="str">
        <f>IFERROR(__xludf.DUMMYFUNCTION("""COMPUTED_VALUE"""),"โคกสลุง")</f>
        <v>โคกสลุง</v>
      </c>
      <c r="AA3245" s="3" t="str">
        <f>IFERROR(__xludf.DUMMYFUNCTION("""COMPUTED_VALUE"""),"พัฒนานิคม")</f>
        <v>พัฒนานิคม</v>
      </c>
      <c r="AB3245" s="3" t="str">
        <f>IFERROR(__xludf.DUMMYFUNCTION("""COMPUTED_VALUE"""),"ลพบุรี")</f>
        <v>ลพบุรี</v>
      </c>
      <c r="AC3245" s="3">
        <f>IFERROR(__xludf.DUMMYFUNCTION("""COMPUTED_VALUE"""),15140.0)</f>
        <v>15140</v>
      </c>
      <c r="AD3245" s="3">
        <f>IFERROR(__xludf.DUMMYFUNCTION("""COMPUTED_VALUE"""),15.035516)</f>
        <v>15.035516</v>
      </c>
      <c r="AE3245" s="3">
        <f>IFERROR(__xludf.DUMMYFUNCTION("""COMPUTED_VALUE"""),100.953355)</f>
        <v>100.953355</v>
      </c>
      <c r="AF3245" s="3" t="str">
        <f>IFERROR(__xludf.DUMMYFUNCTION("""COMPUTED_VALUE"""),"BCM FC BCP ถ.สระบุรี-หล่มสัก ลพบุรี-31117")</f>
        <v>BCM FC BCP ถ.สระบุรี-หล่มสัก ลพบุรี-31117</v>
      </c>
      <c r="AG3245" s="3" t="str">
        <f>IFERROR(__xludf.DUMMYFUNCTION("""COMPUTED_VALUE"""),"กลาง")</f>
        <v>กลาง</v>
      </c>
      <c r="AH3245" s="3" t="str">
        <f>IFERROR(__xludf.DUMMYFUNCTION("""COMPUTED_VALUE"""),"#N/A")</f>
        <v>#N/A</v>
      </c>
      <c r="AI3245" s="3" t="str">
        <f>IFERROR(__xludf.DUMMYFUNCTION("""COMPUTED_VALUE"""),"Out of warranty")</f>
        <v>Out of warranty</v>
      </c>
      <c r="AJ3245" s="3">
        <f>IFERROR(__xludf.DUMMYFUNCTION("""COMPUTED_VALUE"""),13.0)</f>
        <v>13</v>
      </c>
      <c r="AK3245" s="3"/>
      <c r="AL3245" s="3"/>
    </row>
    <row r="3246" ht="15.75" customHeight="1">
      <c r="A3246" s="1" t="str">
        <f>IFERROR(__xludf.DUMMYFUNCTION("""COMPUTED_VALUE"""),"22713")</f>
        <v>22713</v>
      </c>
      <c r="B3246" s="2">
        <f>IFERROR(__xludf.DUMMYFUNCTION("""COMPUTED_VALUE"""),22713.0)</f>
        <v>22713</v>
      </c>
      <c r="C3246" s="3" t="str">
        <f>IFERROR(__xludf.DUMMYFUNCTION("""COMPUTED_VALUE"""),"BCM บางแวก 120 กรุงเทพฯ")</f>
        <v>BCM บางแวก 120 กรุงเทพฯ</v>
      </c>
      <c r="D3246" s="3" t="str">
        <f>IFERROR(__xludf.DUMMYFUNCTION("""COMPUTED_VALUE"""),"BCM BANG WAEK 120 BANGKOK")</f>
        <v>BCM BANG WAEK 120 BANGKOK</v>
      </c>
      <c r="E3246" s="1" t="str">
        <f>IFERROR(__xludf.DUMMYFUNCTION("""COMPUTED_VALUE"""),"บิ๊กซี MINI")</f>
        <v>บิ๊กซี MINI</v>
      </c>
      <c r="F3246" s="1" t="str">
        <f>IFERROR(__xludf.DUMMYFUNCTION("""COMPUTED_VALUE"""),"291008")</f>
        <v>291008</v>
      </c>
      <c r="G3246" s="1" t="str">
        <f>IFERROR(__xludf.DUMMYFUNCTION("""COMPUTED_VALUE"""),"น.ส.รัชดาพร อีศรัตน์")</f>
        <v>น.ส.รัชดาพร อีศรัตน์</v>
      </c>
      <c r="H3246" s="1" t="str">
        <f>IFERROR(__xludf.DUMMYFUNCTION("""COMPUTED_VALUE"""),"291101")</f>
        <v>291101</v>
      </c>
      <c r="I3246" s="1" t="str">
        <f>IFERROR(__xludf.DUMMYFUNCTION("""COMPUTED_VALUE"""),"นายจักรพงศ์ โพธิ์ศรี")</f>
        <v>นายจักรพงศ์ โพธิ์ศรี</v>
      </c>
      <c r="J3246" s="3">
        <f>IFERROR(__xludf.DUMMYFUNCTION("""COMPUTED_VALUE"""),296608.0)</f>
        <v>296608</v>
      </c>
      <c r="K3246" s="3" t="str">
        <f>IFERROR(__xludf.DUMMYFUNCTION("""COMPUTED_VALUE"""),"นายภาคภูมิ เพ็ชรนิล")</f>
        <v>นายภาคภูมิ เพ็ชรนิล</v>
      </c>
      <c r="L3246" s="1" t="str">
        <f>IFERROR(__xludf.DUMMYFUNCTION("""COMPUTED_VALUE"""),"10 K.Phakphoom P.")</f>
        <v>10 K.Phakphoom P.</v>
      </c>
      <c r="M3246" s="1" t="str">
        <f>IFERROR(__xludf.DUMMYFUNCTION("""COMPUTED_VALUE"""),"063-8955329")</f>
        <v>063-8955329</v>
      </c>
      <c r="N3246" s="3">
        <f>IFERROR(__xludf.DUMMYFUNCTION("""COMPUTED_VALUE"""),22584.0)</f>
        <v>22584</v>
      </c>
      <c r="O3246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3246" s="4">
        <f>IFERROR(__xludf.DUMMYFUNCTION("""COMPUTED_VALUE"""),45747.0)</f>
        <v>45747</v>
      </c>
      <c r="Q3246" s="3" t="str">
        <f>IFERROR(__xludf.DUMMYFUNCTION("""COMPUTED_VALUE"""),"A")</f>
        <v>A</v>
      </c>
      <c r="R3246" s="3" t="str">
        <f>IFERROR(__xludf.DUMMYFUNCTION("""COMPUTED_VALUE"""),"Small Format")</f>
        <v>Small Format</v>
      </c>
      <c r="S3246" s="3" t="str">
        <f>IFERROR(__xludf.DUMMYFUNCTION("""COMPUTED_VALUE"""),"BCM")</f>
        <v>BCM</v>
      </c>
      <c r="T3246" s="3" t="str">
        <f>IFERROR(__xludf.DUMMYFUNCTION("""COMPUTED_VALUE"""),"#N/A")</f>
        <v>#N/A</v>
      </c>
      <c r="U3246" s="3" t="str">
        <f>IFERROR(__xludf.DUMMYFUNCTION("""COMPUTED_VALUE"""),"#N/A")</f>
        <v>#N/A</v>
      </c>
      <c r="V3246" s="3" t="str">
        <f>IFERROR(__xludf.DUMMYFUNCTION("""COMPUTED_VALUE"""),"N")</f>
        <v>N</v>
      </c>
      <c r="W3246" s="3">
        <f>IFERROR(__xludf.DUMMYFUNCTION("""COMPUTED_VALUE"""),210307.0)</f>
        <v>210307</v>
      </c>
      <c r="X3246" s="3" t="str">
        <f>IFERROR(__xludf.DUMMYFUNCTION("""COMPUTED_VALUE"""),"125 ถนนบางแวก แขวงบางไผ่ เขตบางแค กรุงเทพมหานคร 10160")</f>
        <v>125 ถนนบางแวก แขวงบางไผ่ เขตบางแค กรุงเทพมหานคร 10160</v>
      </c>
      <c r="Y3246" s="3" t="str">
        <f>IFERROR(__xludf.DUMMYFUNCTION("""COMPUTED_VALUE"""),"บางแวก")</f>
        <v>บางแวก</v>
      </c>
      <c r="Z3246" s="3" t="str">
        <f>IFERROR(__xludf.DUMMYFUNCTION("""COMPUTED_VALUE"""),"บางไผ่")</f>
        <v>บางไผ่</v>
      </c>
      <c r="AA3246" s="3" t="str">
        <f>IFERROR(__xludf.DUMMYFUNCTION("""COMPUTED_VALUE"""),"บางแค")</f>
        <v>บางแค</v>
      </c>
      <c r="AB3246" s="3" t="str">
        <f>IFERROR(__xludf.DUMMYFUNCTION("""COMPUTED_VALUE"""),"กรุงเทพมหานคร")</f>
        <v>กรุงเทพมหานคร</v>
      </c>
      <c r="AC3246" s="3">
        <f>IFERROR(__xludf.DUMMYFUNCTION("""COMPUTED_VALUE"""),10160.0)</f>
        <v>10160</v>
      </c>
      <c r="AD3246" s="3">
        <f>IFERROR(__xludf.DUMMYFUNCTION("""COMPUTED_VALUE"""),13.743694)</f>
        <v>13.743694</v>
      </c>
      <c r="AE3246" s="3">
        <f>IFERROR(__xludf.DUMMYFUNCTION("""COMPUTED_VALUE"""),100.409775)</f>
        <v>100.409775</v>
      </c>
      <c r="AF3246" s="3" t="str">
        <f>IFERROR(__xludf.DUMMYFUNCTION("""COMPUTED_VALUE"""),"BCM บางแวก 120 กรุงเทพฯ-22713")</f>
        <v>BCM บางแวก 120 กรุงเทพฯ-22713</v>
      </c>
      <c r="AG3246" s="3" t="str">
        <f>IFERROR(__xludf.DUMMYFUNCTION("""COMPUTED_VALUE"""),"กลาง")</f>
        <v>กลาง</v>
      </c>
      <c r="AH3246" s="3" t="str">
        <f>IFERROR(__xludf.DUMMYFUNCTION("""COMPUTED_VALUE"""),"#N/A")</f>
        <v>#N/A</v>
      </c>
      <c r="AI3246" s="3" t="str">
        <f>IFERROR(__xludf.DUMMYFUNCTION("""COMPUTED_VALUE"""),"In warranty")</f>
        <v>In warranty</v>
      </c>
      <c r="AJ3246" s="3">
        <f>IFERROR(__xludf.DUMMYFUNCTION("""COMPUTED_VALUE"""),10.0)</f>
        <v>10</v>
      </c>
      <c r="AK3246" s="3"/>
      <c r="AL3246" s="3"/>
    </row>
    <row r="3247" ht="15.75" customHeight="1">
      <c r="A3247" s="1" t="str">
        <f>IFERROR(__xludf.DUMMYFUNCTION("""COMPUTED_VALUE"""),"22714")</f>
        <v>22714</v>
      </c>
      <c r="B3247" s="2">
        <f>IFERROR(__xludf.DUMMYFUNCTION("""COMPUTED_VALUE"""),22714.0)</f>
        <v>22714</v>
      </c>
      <c r="C3247" s="3" t="str">
        <f>IFERROR(__xludf.DUMMYFUNCTION("""COMPUTED_VALUE"""),"BCM โคกเคียน นราธิวาส")</f>
        <v>BCM โคกเคียน นราธิวาส</v>
      </c>
      <c r="D3247" s="3" t="str">
        <f>IFERROR(__xludf.DUMMYFUNCTION("""COMPUTED_VALUE"""),"BCM KHOK KHIAN NARATHIWAT")</f>
        <v>BCM KHOK KHIAN NARATHIWAT</v>
      </c>
      <c r="E3247" s="1" t="str">
        <f>IFERROR(__xludf.DUMMYFUNCTION("""COMPUTED_VALUE"""),"บิ๊กซี MINI")</f>
        <v>บิ๊กซี MINI</v>
      </c>
      <c r="F3247" s="1" t="str">
        <f>IFERROR(__xludf.DUMMYFUNCTION("""COMPUTED_VALUE"""),"250760")</f>
        <v>250760</v>
      </c>
      <c r="G3247" s="1" t="str">
        <f>IFERROR(__xludf.DUMMYFUNCTION("""COMPUTED_VALUE"""),"นายประทวน สาราบรรณ์")</f>
        <v>นายประทวน สาราบรรณ์</v>
      </c>
      <c r="H3247" s="1" t="str">
        <f>IFERROR(__xludf.DUMMYFUNCTION("""COMPUTED_VALUE"""),"006583")</f>
        <v>006583</v>
      </c>
      <c r="I3247" s="1" t="str">
        <f>IFERROR(__xludf.DUMMYFUNCTION("""COMPUTED_VALUE"""),"นายเด่น ยะอิง")</f>
        <v>นายเด่น ยะอิง</v>
      </c>
      <c r="J3247" s="3">
        <f>IFERROR(__xludf.DUMMYFUNCTION("""COMPUTED_VALUE"""),2.0470331E7)</f>
        <v>20470331</v>
      </c>
      <c r="K3247" s="3" t="str">
        <f>IFERROR(__xludf.DUMMYFUNCTION("""COMPUTED_VALUE"""),"นายสมชาย ลักษณะสุวรรณ")</f>
        <v>นายสมชาย ลักษณะสุวรรณ</v>
      </c>
      <c r="L3247" s="1" t="str">
        <f>IFERROR(__xludf.DUMMYFUNCTION("""COMPUTED_VALUE"""),"15 K.Somchai L")</f>
        <v>15 K.Somchai L</v>
      </c>
      <c r="M3247" s="1" t="str">
        <f>IFERROR(__xludf.DUMMYFUNCTION("""COMPUTED_VALUE"""),"0655107372")</f>
        <v>0655107372</v>
      </c>
      <c r="N3247" s="3">
        <f>IFERROR(__xludf.DUMMYFUNCTION("""COMPUTED_VALUE"""),21723.0)</f>
        <v>21723</v>
      </c>
      <c r="O3247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3247" s="4">
        <f>IFERROR(__xludf.DUMMYFUNCTION("""COMPUTED_VALUE"""),45747.0)</f>
        <v>45747</v>
      </c>
      <c r="Q3247" s="3" t="str">
        <f>IFERROR(__xludf.DUMMYFUNCTION("""COMPUTED_VALUE"""),"A")</f>
        <v>A</v>
      </c>
      <c r="R3247" s="3" t="str">
        <f>IFERROR(__xludf.DUMMYFUNCTION("""COMPUTED_VALUE"""),"Small Format")</f>
        <v>Small Format</v>
      </c>
      <c r="S3247" s="3" t="str">
        <f>IFERROR(__xludf.DUMMYFUNCTION("""COMPUTED_VALUE"""),"BCM")</f>
        <v>BCM</v>
      </c>
      <c r="T3247" s="3" t="str">
        <f>IFERROR(__xludf.DUMMYFUNCTION("""COMPUTED_VALUE"""),"#N/A")</f>
        <v>#N/A</v>
      </c>
      <c r="U3247" s="3" t="str">
        <f>IFERROR(__xludf.DUMMYFUNCTION("""COMPUTED_VALUE"""),"#N/A")</f>
        <v>#N/A</v>
      </c>
      <c r="V3247" s="3" t="str">
        <f>IFERROR(__xludf.DUMMYFUNCTION("""COMPUTED_VALUE"""),"N")</f>
        <v>N</v>
      </c>
      <c r="W3247" s="3">
        <f>IFERROR(__xludf.DUMMYFUNCTION("""COMPUTED_VALUE"""),210614.0)</f>
        <v>210614</v>
      </c>
      <c r="X3247" s="3" t="str">
        <f>IFERROR(__xludf.DUMMYFUNCTION("""COMPUTED_VALUE"""),"16/89 หมู่ 7 ตำบลโคกเคียน อำเภอเมืองนราธิวาส จังหวัดนราธิวาส 96000")</f>
        <v>16/89 หมู่ 7 ตำบลโคกเคียน อำเภอเมืองนราธิวาส จังหวัดนราธิวาส 96000</v>
      </c>
      <c r="Y3247" s="3"/>
      <c r="Z3247" s="3" t="str">
        <f>IFERROR(__xludf.DUMMYFUNCTION("""COMPUTED_VALUE"""),"โคกเคียน")</f>
        <v>โคกเคียน</v>
      </c>
      <c r="AA3247" s="3" t="str">
        <f>IFERROR(__xludf.DUMMYFUNCTION("""COMPUTED_VALUE"""),"เมืองนราธิวาส")</f>
        <v>เมืองนราธิวาส</v>
      </c>
      <c r="AB3247" s="3" t="str">
        <f>IFERROR(__xludf.DUMMYFUNCTION("""COMPUTED_VALUE"""),"นราธิวาส")</f>
        <v>นราธิวาส</v>
      </c>
      <c r="AC3247" s="3">
        <f>IFERROR(__xludf.DUMMYFUNCTION("""COMPUTED_VALUE"""),96000.0)</f>
        <v>96000</v>
      </c>
      <c r="AD3247" s="3">
        <f>IFERROR(__xludf.DUMMYFUNCTION("""COMPUTED_VALUE"""),6.445152)</f>
        <v>6.445152</v>
      </c>
      <c r="AE3247" s="3">
        <f>IFERROR(__xludf.DUMMYFUNCTION("""COMPUTED_VALUE"""),101.812634)</f>
        <v>101.812634</v>
      </c>
      <c r="AF3247" s="3" t="str">
        <f>IFERROR(__xludf.DUMMYFUNCTION("""COMPUTED_VALUE"""),"BCM โคกเคียน นราธิวาส-22714")</f>
        <v>BCM โคกเคียน นราธิวาส-22714</v>
      </c>
      <c r="AG3247" s="3" t="str">
        <f>IFERROR(__xludf.DUMMYFUNCTION("""COMPUTED_VALUE"""),"ใต้")</f>
        <v>ใต้</v>
      </c>
      <c r="AH3247" s="3" t="str">
        <f>IFERROR(__xludf.DUMMYFUNCTION("""COMPUTED_VALUE"""),"#N/A")</f>
        <v>#N/A</v>
      </c>
      <c r="AI3247" s="3" t="str">
        <f>IFERROR(__xludf.DUMMYFUNCTION("""COMPUTED_VALUE"""),"In warranty")</f>
        <v>In warranty</v>
      </c>
      <c r="AJ3247" s="3">
        <f>IFERROR(__xludf.DUMMYFUNCTION("""COMPUTED_VALUE"""),10.0)</f>
        <v>10</v>
      </c>
      <c r="AK3247" s="3"/>
      <c r="AL3247" s="3"/>
    </row>
    <row r="3248" ht="15.75" customHeight="1">
      <c r="A3248" s="1" t="str">
        <f>IFERROR(__xludf.DUMMYFUNCTION("""COMPUTED_VALUE"""),"31118")</f>
        <v>31118</v>
      </c>
      <c r="B3248" s="2">
        <f>IFERROR(__xludf.DUMMYFUNCTION("""COMPUTED_VALUE"""),31118.0)</f>
        <v>31118</v>
      </c>
      <c r="C3248" s="3" t="str">
        <f>IFERROR(__xludf.DUMMYFUNCTION("""COMPUTED_VALUE"""),"BCM FC BCP นิคมพัฒนา ระยอง")</f>
        <v>BCM FC BCP นิคมพัฒนา ระยอง</v>
      </c>
      <c r="D3248" s="3" t="str">
        <f>IFERROR(__xludf.DUMMYFUNCTION("""COMPUTED_VALUE"""),"BCM FC BCP NIKHOM PHATTANA")</f>
        <v>BCM FC BCP NIKHOM PHATTANA</v>
      </c>
      <c r="E3248" s="1" t="str">
        <f>IFERROR(__xludf.DUMMYFUNCTION("""COMPUTED_VALUE"""),"บิ๊กซี MINI")</f>
        <v>บิ๊กซี MINI</v>
      </c>
      <c r="F3248" s="1" t="str">
        <f>IFERROR(__xludf.DUMMYFUNCTION("""COMPUTED_VALUE"""),"221716")</f>
        <v>221716</v>
      </c>
      <c r="G3248" s="1" t="str">
        <f>IFERROR(__xludf.DUMMYFUNCTION("""COMPUTED_VALUE"""),"น.ส.เบญจพร โพธิสาร")</f>
        <v>น.ส.เบญจพร โพธิสาร</v>
      </c>
      <c r="H3248" s="1" t="str">
        <f>IFERROR(__xludf.DUMMYFUNCTION("""COMPUTED_VALUE"""),"359233")</f>
        <v>359233</v>
      </c>
      <c r="I3248" s="1" t="str">
        <f>IFERROR(__xludf.DUMMYFUNCTION("""COMPUTED_VALUE"""),"น.ส.ปยุดา คำมีอ่อน")</f>
        <v>น.ส.ปยุดา คำมีอ่อน</v>
      </c>
      <c r="J3248" s="3">
        <f>IFERROR(__xludf.DUMMYFUNCTION("""COMPUTED_VALUE"""),2452376.0)</f>
        <v>2452376</v>
      </c>
      <c r="K3248" s="3" t="str">
        <f>IFERROR(__xludf.DUMMYFUNCTION("""COMPUTED_VALUE"""),"นายภาคภูมิ ทวีกุล")</f>
        <v>นายภาคภูมิ ทวีกุล</v>
      </c>
      <c r="L3248" s="1" t="str">
        <f>IFERROR(__xludf.DUMMYFUNCTION("""COMPUTED_VALUE"""),"08 K.Parkphum T.")</f>
        <v>08 K.Parkphum T.</v>
      </c>
      <c r="M3248" s="1" t="str">
        <f>IFERROR(__xludf.DUMMYFUNCTION("""COMPUTED_VALUE"""),"097-919-5476")</f>
        <v>097-919-5476</v>
      </c>
      <c r="N3248" s="3">
        <f>IFERROR(__xludf.DUMMYFUNCTION("""COMPUTED_VALUE"""),22028.0)</f>
        <v>22028</v>
      </c>
      <c r="O3248" s="3" t="str">
        <f>IFERROR(__xludf.DUMMYFUNCTION("""COMPUTED_VALUE"""),"MBC ทํบมา ระยอง")</f>
        <v>MBC ทํบมา ระยอง</v>
      </c>
      <c r="P3248" s="4">
        <f>IFERROR(__xludf.DUMMYFUNCTION("""COMPUTED_VALUE"""),45757.0)</f>
        <v>45757</v>
      </c>
      <c r="Q3248" s="3" t="str">
        <f>IFERROR(__xludf.DUMMYFUNCTION("""COMPUTED_VALUE"""),"A")</f>
        <v>A</v>
      </c>
      <c r="R3248" s="3" t="str">
        <f>IFERROR(__xludf.DUMMYFUNCTION("""COMPUTED_VALUE"""),"Small Format")</f>
        <v>Small Format</v>
      </c>
      <c r="S3248" s="3" t="str">
        <f>IFERROR(__xludf.DUMMYFUNCTION("""COMPUTED_VALUE"""),"BCM(FC)")</f>
        <v>BCM(FC)</v>
      </c>
      <c r="T3248" s="3" t="str">
        <f>IFERROR(__xludf.DUMMYFUNCTION("""COMPUTED_VALUE"""),"#N/A")</f>
        <v>#N/A</v>
      </c>
      <c r="U3248" s="3" t="str">
        <f>IFERROR(__xludf.DUMMYFUNCTION("""COMPUTED_VALUE"""),"#N/A")</f>
        <v>#N/A</v>
      </c>
      <c r="V3248" s="3" t="str">
        <f>IFERROR(__xludf.DUMMYFUNCTION("""COMPUTED_VALUE"""),"Y")</f>
        <v>Y</v>
      </c>
      <c r="W3248" s="3">
        <f>IFERROR(__xludf.DUMMYFUNCTION("""COMPUTED_VALUE"""),812342.0)</f>
        <v>812342</v>
      </c>
      <c r="X3248" s="3" t="str">
        <f>IFERROR(__xludf.DUMMYFUNCTION("""COMPUTED_VALUE"""),"415/1 หมู่ที่ 4 ตําบลมะขามคู่ อำเภอนิคมพัฒนา จังหวัดระยอง 21180")</f>
        <v>415/1 หมู่ที่ 4 ตําบลมะขามคู่ อำเภอนิคมพัฒนา จังหวัดระยอง 21180</v>
      </c>
      <c r="Y3248" s="3"/>
      <c r="Z3248" s="3" t="str">
        <f>IFERROR(__xludf.DUMMYFUNCTION("""COMPUTED_VALUE"""),"มะขามคู่")</f>
        <v>มะขามคู่</v>
      </c>
      <c r="AA3248" s="3" t="str">
        <f>IFERROR(__xludf.DUMMYFUNCTION("""COMPUTED_VALUE"""),"นิคมพัฒนา")</f>
        <v>นิคมพัฒนา</v>
      </c>
      <c r="AB3248" s="3" t="str">
        <f>IFERROR(__xludf.DUMMYFUNCTION("""COMPUTED_VALUE"""),"ระยอง")</f>
        <v>ระยอง</v>
      </c>
      <c r="AC3248" s="3">
        <f>IFERROR(__xludf.DUMMYFUNCTION("""COMPUTED_VALUE"""),21180.0)</f>
        <v>21180</v>
      </c>
      <c r="AD3248" s="3">
        <f>IFERROR(__xludf.DUMMYFUNCTION("""COMPUTED_VALUE"""),12.8267023)</f>
        <v>12.8267023</v>
      </c>
      <c r="AE3248" s="3">
        <f>IFERROR(__xludf.DUMMYFUNCTION("""COMPUTED_VALUE"""),101.0634214)</f>
        <v>101.0634214</v>
      </c>
      <c r="AF3248" s="3" t="str">
        <f>IFERROR(__xludf.DUMMYFUNCTION("""COMPUTED_VALUE"""),"BCM FC BCP นิคมพัฒนา ระยอง-31118")</f>
        <v>BCM FC BCP นิคมพัฒนา ระยอง-31118</v>
      </c>
      <c r="AG3248" s="3" t="str">
        <f>IFERROR(__xludf.DUMMYFUNCTION("""COMPUTED_VALUE"""),"ตะวันออก")</f>
        <v>ตะวันออก</v>
      </c>
      <c r="AH3248" s="3" t="str">
        <f>IFERROR(__xludf.DUMMYFUNCTION("""COMPUTED_VALUE"""),"#N/A")</f>
        <v>#N/A</v>
      </c>
      <c r="AI3248" s="3" t="str">
        <f>IFERROR(__xludf.DUMMYFUNCTION("""COMPUTED_VALUE"""),"In warranty")</f>
        <v>In warranty</v>
      </c>
      <c r="AJ3248" s="3">
        <f>IFERROR(__xludf.DUMMYFUNCTION("""COMPUTED_VALUE"""),10.0)</f>
        <v>10</v>
      </c>
      <c r="AK3248" s="3"/>
      <c r="AL3248" s="3"/>
    </row>
    <row r="3249" ht="15.75" customHeight="1">
      <c r="A3249" s="1" t="str">
        <f>IFERROR(__xludf.DUMMYFUNCTION("""COMPUTED_VALUE"""),"22716")</f>
        <v>22716</v>
      </c>
      <c r="B3249" s="2">
        <f>IFERROR(__xludf.DUMMYFUNCTION("""COMPUTED_VALUE"""),22716.0)</f>
        <v>22716</v>
      </c>
      <c r="C3249" s="3" t="str">
        <f>IFERROR(__xludf.DUMMYFUNCTION("""COMPUTED_VALUE"""),"BCM TCC ถ.กรุงเกษม(ระวีกัลยา) กรุงเทพฯ")</f>
        <v>BCM TCC ถ.กรุงเกษม(ระวีกัลยา) กรุงเทพฯ</v>
      </c>
      <c r="D3249" s="3" t="str">
        <f>IFERROR(__xludf.DUMMYFUNCTION("""COMPUTED_VALUE"""),"BCM TCC THANON KRUNGKASEM")</f>
        <v>BCM TCC THANON KRUNGKASEM</v>
      </c>
      <c r="E3249" s="1" t="str">
        <f>IFERROR(__xludf.DUMMYFUNCTION("""COMPUTED_VALUE"""),"บิ๊กซี MINI")</f>
        <v>บิ๊กซี MINI</v>
      </c>
      <c r="F3249" s="1" t="str">
        <f>IFERROR(__xludf.DUMMYFUNCTION("""COMPUTED_VALUE"""),"291008")</f>
        <v>291008</v>
      </c>
      <c r="G3249" s="1" t="str">
        <f>IFERROR(__xludf.DUMMYFUNCTION("""COMPUTED_VALUE"""),"น.ส.รัชดาพร อีศรัตน์")</f>
        <v>น.ส.รัชดาพร อีศรัตน์</v>
      </c>
      <c r="H3249" s="1" t="str">
        <f>IFERROR(__xludf.DUMMYFUNCTION("""COMPUTED_VALUE"""),"359002")</f>
        <v>359002</v>
      </c>
      <c r="I3249" s="1" t="str">
        <f>IFERROR(__xludf.DUMMYFUNCTION("""COMPUTED_VALUE"""),"น.ส.นิตยา สมจิตร")</f>
        <v>น.ส.นิตยา สมจิตร</v>
      </c>
      <c r="J3249" s="3">
        <f>IFERROR(__xludf.DUMMYFUNCTION("""COMPUTED_VALUE"""),3510104.0)</f>
        <v>3510104</v>
      </c>
      <c r="K3249" s="3" t="str">
        <f>IFERROR(__xludf.DUMMYFUNCTION("""COMPUTED_VALUE"""),"นายวิโรจน์ อับดุลสมัด")</f>
        <v>นายวิโรจน์ อับดุลสมัด</v>
      </c>
      <c r="L3249" s="1" t="str">
        <f>IFERROR(__xludf.DUMMYFUNCTION("""COMPUTED_VALUE"""),"09 K.Wirode A")</f>
        <v>09 K.Wirode A</v>
      </c>
      <c r="M3249" s="1" t="str">
        <f>IFERROR(__xludf.DUMMYFUNCTION("""COMPUTED_VALUE"""),"080-235-4465")</f>
        <v>080-235-4465</v>
      </c>
      <c r="N3249" s="3">
        <f>IFERROR(__xludf.DUMMYFUNCTION("""COMPUTED_VALUE"""),21324.0)</f>
        <v>21324</v>
      </c>
      <c r="O3249" s="3" t="str">
        <f>IFERROR(__xludf.DUMMYFUNCTION("""COMPUTED_VALUE"""),"MBC BCP สุวินทวงศ์")</f>
        <v>MBC BCP สุวินทวงศ์</v>
      </c>
      <c r="P3249" s="4">
        <f>IFERROR(__xludf.DUMMYFUNCTION("""COMPUTED_VALUE"""),45813.0)</f>
        <v>45813</v>
      </c>
      <c r="Q3249" s="3" t="str">
        <f>IFERROR(__xludf.DUMMYFUNCTION("""COMPUTED_VALUE"""),"A")</f>
        <v>A</v>
      </c>
      <c r="R3249" s="3" t="str">
        <f>IFERROR(__xludf.DUMMYFUNCTION("""COMPUTED_VALUE"""),"Small Format")</f>
        <v>Small Format</v>
      </c>
      <c r="S3249" s="3" t="str">
        <f>IFERROR(__xludf.DUMMYFUNCTION("""COMPUTED_VALUE"""),"BCM")</f>
        <v>BCM</v>
      </c>
      <c r="T3249" s="3" t="str">
        <f>IFERROR(__xludf.DUMMYFUNCTION("""COMPUTED_VALUE"""),"#N/A")</f>
        <v>#N/A</v>
      </c>
      <c r="U3249" s="3" t="str">
        <f>IFERROR(__xludf.DUMMYFUNCTION("""COMPUTED_VALUE"""),"#N/A")</f>
        <v>#N/A</v>
      </c>
      <c r="V3249" s="3" t="str">
        <f>IFERROR(__xludf.DUMMYFUNCTION("""COMPUTED_VALUE"""),"N")</f>
        <v>N</v>
      </c>
      <c r="W3249" s="3">
        <f>IFERROR(__xludf.DUMMYFUNCTION("""COMPUTED_VALUE"""),210610.0)</f>
        <v>210610</v>
      </c>
      <c r="X3249" s="3" t="str">
        <f>IFERROR(__xludf.DUMMYFUNCTION("""COMPUTED_VALUE"""),"164-172 ถนนกรุงเกษม แขวงบางขุนพรหม เขตพระนคร กรุงเทพมหานคร 10200")</f>
        <v>164-172 ถนนกรุงเกษม แขวงบางขุนพรหม เขตพระนคร กรุงเทพมหานคร 10200</v>
      </c>
      <c r="Y3249" s="3" t="str">
        <f>IFERROR(__xludf.DUMMYFUNCTION("""COMPUTED_VALUE"""),"กรุงเกษม")</f>
        <v>กรุงเกษม</v>
      </c>
      <c r="Z3249" s="3" t="str">
        <f>IFERROR(__xludf.DUMMYFUNCTION("""COMPUTED_VALUE"""),"บางขุนพรหม")</f>
        <v>บางขุนพรหม</v>
      </c>
      <c r="AA3249" s="3" t="str">
        <f>IFERROR(__xludf.DUMMYFUNCTION("""COMPUTED_VALUE"""),"พระนคร")</f>
        <v>พระนคร</v>
      </c>
      <c r="AB3249" s="3" t="str">
        <f>IFERROR(__xludf.DUMMYFUNCTION("""COMPUTED_VALUE"""),"กรุงเทพมหานคร")</f>
        <v>กรุงเทพมหานคร</v>
      </c>
      <c r="AC3249" s="3">
        <f>IFERROR(__xludf.DUMMYFUNCTION("""COMPUTED_VALUE"""),10200.0)</f>
        <v>10200</v>
      </c>
      <c r="AD3249" s="3">
        <f>IFERROR(__xludf.DUMMYFUNCTION("""COMPUTED_VALUE"""),13.7679423)</f>
        <v>13.7679423</v>
      </c>
      <c r="AE3249" s="3">
        <f>IFERROR(__xludf.DUMMYFUNCTION("""COMPUTED_VALUE"""),100.5051725)</f>
        <v>100.5051725</v>
      </c>
      <c r="AF3249" s="3" t="str">
        <f>IFERROR(__xludf.DUMMYFUNCTION("""COMPUTED_VALUE"""),"BCM TCC ถ.กรุงเกษม(ระวีกัลยา) กรุงเทพฯ-22716")</f>
        <v>BCM TCC ถ.กรุงเกษม(ระวีกัลยา) กรุงเทพฯ-22716</v>
      </c>
      <c r="AG3249" s="3" t="str">
        <f>IFERROR(__xludf.DUMMYFUNCTION("""COMPUTED_VALUE"""),"กลาง")</f>
        <v>กลาง</v>
      </c>
      <c r="AH3249" s="3" t="str">
        <f>IFERROR(__xludf.DUMMYFUNCTION("""COMPUTED_VALUE"""),"#N/A")</f>
        <v>#N/A</v>
      </c>
      <c r="AI3249" s="3" t="str">
        <f>IFERROR(__xludf.DUMMYFUNCTION("""COMPUTED_VALUE"""),"In warranty")</f>
        <v>In warranty</v>
      </c>
      <c r="AJ3249" s="3">
        <f>IFERROR(__xludf.DUMMYFUNCTION("""COMPUTED_VALUE"""),8.0)</f>
        <v>8</v>
      </c>
      <c r="AK3249" s="3"/>
      <c r="AL3249" s="3"/>
    </row>
    <row r="3250" ht="15.75" customHeight="1">
      <c r="A3250" s="1" t="str">
        <f>IFERROR(__xludf.DUMMYFUNCTION("""COMPUTED_VALUE"""),"22717")</f>
        <v>22717</v>
      </c>
      <c r="B3250" s="2">
        <f>IFERROR(__xludf.DUMMYFUNCTION("""COMPUTED_VALUE"""),22717.0)</f>
        <v>22717</v>
      </c>
      <c r="C3250" s="3" t="str">
        <f>IFERROR(__xludf.DUMMYFUNCTION("""COMPUTED_VALUE"""),"BCM ถ.ศุภสารรังสรรค์(หาดใหญ่) สงขลา")</f>
        <v>BCM ถ.ศุภสารรังสรรค์(หาดใหญ่) สงขลา</v>
      </c>
      <c r="D3250" s="3" t="str">
        <f>IFERROR(__xludf.DUMMYFUNCTION("""COMPUTED_VALUE"""),"BCM THANON SUPASARN RANGSAN")</f>
        <v>BCM THANON SUPASARN RANGSAN</v>
      </c>
      <c r="E3250" s="1" t="str">
        <f>IFERROR(__xludf.DUMMYFUNCTION("""COMPUTED_VALUE"""),"บิ๊กซี MINI")</f>
        <v>บิ๊กซี MINI</v>
      </c>
      <c r="F3250" s="1" t="str">
        <f>IFERROR(__xludf.DUMMYFUNCTION("""COMPUTED_VALUE"""),"250760")</f>
        <v>250760</v>
      </c>
      <c r="G3250" s="1" t="str">
        <f>IFERROR(__xludf.DUMMYFUNCTION("""COMPUTED_VALUE"""),"นายประทวน สาราบรรณ์")</f>
        <v>นายประทวน สาราบรรณ์</v>
      </c>
      <c r="H3250" s="1" t="str">
        <f>IFERROR(__xludf.DUMMYFUNCTION("""COMPUTED_VALUE"""),"394100")</f>
        <v>394100</v>
      </c>
      <c r="I3250" s="1" t="str">
        <f>IFERROR(__xludf.DUMMYFUNCTION("""COMPUTED_VALUE"""),"นายไพโรจน์ ถิระผะลิกะ")</f>
        <v>นายไพโรจน์ ถิระผะลิกะ</v>
      </c>
      <c r="J3250" s="3">
        <f>IFERROR(__xludf.DUMMYFUNCTION("""COMPUTED_VALUE"""),2.0470331E7)</f>
        <v>20470331</v>
      </c>
      <c r="K3250" s="3" t="str">
        <f>IFERROR(__xludf.DUMMYFUNCTION("""COMPUTED_VALUE"""),"นายสมชาย ลักษณะสุวรรณ")</f>
        <v>นายสมชาย ลักษณะสุวรรณ</v>
      </c>
      <c r="L3250" s="1" t="str">
        <f>IFERROR(__xludf.DUMMYFUNCTION("""COMPUTED_VALUE"""),"15 K.Somchai L")</f>
        <v>15 K.Somchai L</v>
      </c>
      <c r="M3250" s="1" t="str">
        <f>IFERROR(__xludf.DUMMYFUNCTION("""COMPUTED_VALUE"""),"0655107372")</f>
        <v>0655107372</v>
      </c>
      <c r="N3250" s="3">
        <f>IFERROR(__xludf.DUMMYFUNCTION("""COMPUTED_VALUE"""),21723.0)</f>
        <v>21723</v>
      </c>
      <c r="O3250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3250" s="4">
        <f>IFERROR(__xludf.DUMMYFUNCTION("""COMPUTED_VALUE"""),45838.0)</f>
        <v>45838</v>
      </c>
      <c r="Q3250" s="3" t="str">
        <f>IFERROR(__xludf.DUMMYFUNCTION("""COMPUTED_VALUE"""),"I")</f>
        <v>I</v>
      </c>
      <c r="R3250" s="3" t="str">
        <f>IFERROR(__xludf.DUMMYFUNCTION("""COMPUTED_VALUE"""),"Small Format")</f>
        <v>Small Format</v>
      </c>
      <c r="S3250" s="3" t="str">
        <f>IFERROR(__xludf.DUMMYFUNCTION("""COMPUTED_VALUE"""),"BCM")</f>
        <v>BCM</v>
      </c>
      <c r="T3250" s="3" t="str">
        <f>IFERROR(__xludf.DUMMYFUNCTION("""COMPUTED_VALUE"""),"#N/A")</f>
        <v>#N/A</v>
      </c>
      <c r="U3250" s="3" t="str">
        <f>IFERROR(__xludf.DUMMYFUNCTION("""COMPUTED_VALUE"""),"#N/A")</f>
        <v>#N/A</v>
      </c>
      <c r="V3250" s="3" t="str">
        <f>IFERROR(__xludf.DUMMYFUNCTION("""COMPUTED_VALUE"""),"N")</f>
        <v>N</v>
      </c>
      <c r="W3250" s="3">
        <f>IFERROR(__xludf.DUMMYFUNCTION("""COMPUTED_VALUE"""),210825.0)</f>
        <v>210825</v>
      </c>
      <c r="X3250" s="3" t="str">
        <f>IFERROR(__xludf.DUMMYFUNCTION("""COMPUTED_VALUE"""),"164/1 ถนนศุภสารรังสรรค์ ตำบลหาดใหญ่ อำเภอหาดใหญ่ จังหวัดสงขลา 90110")</f>
        <v>164/1 ถนนศุภสารรังสรรค์ ตำบลหาดใหญ่ อำเภอหาดใหญ่ จังหวัดสงขลา 90110</v>
      </c>
      <c r="Y3250" s="3" t="str">
        <f>IFERROR(__xludf.DUMMYFUNCTION("""COMPUTED_VALUE"""),"ศุภสารรังสรรค์")</f>
        <v>ศุภสารรังสรรค์</v>
      </c>
      <c r="Z3250" s="3" t="str">
        <f>IFERROR(__xludf.DUMMYFUNCTION("""COMPUTED_VALUE"""),"หาดใหญ่")</f>
        <v>หาดใหญ่</v>
      </c>
      <c r="AA3250" s="3" t="str">
        <f>IFERROR(__xludf.DUMMYFUNCTION("""COMPUTED_VALUE"""),"หาดใหญ่")</f>
        <v>หาดใหญ่</v>
      </c>
      <c r="AB3250" s="3" t="str">
        <f>IFERROR(__xludf.DUMMYFUNCTION("""COMPUTED_VALUE"""),"สงขลา")</f>
        <v>สงขลา</v>
      </c>
      <c r="AC3250" s="3">
        <f>IFERROR(__xludf.DUMMYFUNCTION("""COMPUTED_VALUE"""),90110.0)</f>
        <v>90110</v>
      </c>
      <c r="AD3250" s="3">
        <f>IFERROR(__xludf.DUMMYFUNCTION("""COMPUTED_VALUE"""),7.00878)</f>
        <v>7.00878</v>
      </c>
      <c r="AE3250" s="3">
        <f>IFERROR(__xludf.DUMMYFUNCTION("""COMPUTED_VALUE"""),100.473195)</f>
        <v>100.473195</v>
      </c>
      <c r="AF3250" s="3" t="str">
        <f>IFERROR(__xludf.DUMMYFUNCTION("""COMPUTED_VALUE"""),"BCM ถ.ศุภสารรังสรรค์(หาดใหญ่) สงขลา-22717")</f>
        <v>BCM ถ.ศุภสารรังสรรค์(หาดใหญ่) สงขลา-22717</v>
      </c>
      <c r="AG3250" s="3" t="str">
        <f>IFERROR(__xludf.DUMMYFUNCTION("""COMPUTED_VALUE"""),"ใต้")</f>
        <v>ใต้</v>
      </c>
      <c r="AH3250" s="3" t="str">
        <f>IFERROR(__xludf.DUMMYFUNCTION("""COMPUTED_VALUE"""),"#N/A")</f>
        <v>#N/A</v>
      </c>
      <c r="AI3250" s="3" t="str">
        <f>IFERROR(__xludf.DUMMYFUNCTION("""COMPUTED_VALUE"""),"In warranty")</f>
        <v>In warranty</v>
      </c>
      <c r="AJ3250" s="3">
        <f>IFERROR(__xludf.DUMMYFUNCTION("""COMPUTED_VALUE"""),7.0)</f>
        <v>7</v>
      </c>
      <c r="AK3250" s="3"/>
      <c r="AL3250" s="3"/>
    </row>
    <row r="3251" ht="15.75" customHeight="1">
      <c r="A3251" s="1" t="str">
        <f>IFERROR(__xludf.DUMMYFUNCTION("""COMPUTED_VALUE"""),"22718")</f>
        <v>22718</v>
      </c>
      <c r="B3251" s="2">
        <f>IFERROR(__xludf.DUMMYFUNCTION("""COMPUTED_VALUE"""),22718.0)</f>
        <v>22718</v>
      </c>
      <c r="C3251" s="3" t="str">
        <f>IFERROR(__xludf.DUMMYFUNCTION("""COMPUTED_VALUE"""),"BCM อ.หัวไทร นครศรีธรรมราช")</f>
        <v>BCM อ.หัวไทร นครศรีธรรมราช</v>
      </c>
      <c r="D3251" s="3" t="str">
        <f>IFERROR(__xludf.DUMMYFUNCTION("""COMPUTED_VALUE"""),"BCM AMPHUR HUA SAI")</f>
        <v>BCM AMPHUR HUA SAI</v>
      </c>
      <c r="E3251" s="1" t="str">
        <f>IFERROR(__xludf.DUMMYFUNCTION("""COMPUTED_VALUE"""),"บิ๊กซี MINI")</f>
        <v>บิ๊กซี MINI</v>
      </c>
      <c r="F3251" s="1" t="str">
        <f>IFERROR(__xludf.DUMMYFUNCTION("""COMPUTED_VALUE"""),"250760")</f>
        <v>250760</v>
      </c>
      <c r="G3251" s="1" t="str">
        <f>IFERROR(__xludf.DUMMYFUNCTION("""COMPUTED_VALUE"""),"นายประทวน สาราบรรณ์")</f>
        <v>นายประทวน สาราบรรณ์</v>
      </c>
      <c r="H3251" s="1" t="str">
        <f>IFERROR(__xludf.DUMMYFUNCTION("""COMPUTED_VALUE"""),"394143")</f>
        <v>394143</v>
      </c>
      <c r="I3251" s="1" t="str">
        <f>IFERROR(__xludf.DUMMYFUNCTION("""COMPUTED_VALUE"""),"นายวิษณุ เพชรหัตถ์")</f>
        <v>นายวิษณุ เพชรหัตถ์</v>
      </c>
      <c r="J3251" s="3">
        <f>IFERROR(__xludf.DUMMYFUNCTION("""COMPUTED_VALUE"""),2.0470331E7)</f>
        <v>20470331</v>
      </c>
      <c r="K3251" s="3" t="str">
        <f>IFERROR(__xludf.DUMMYFUNCTION("""COMPUTED_VALUE"""),"นายสมชาย ลักษณะสุวรรณ")</f>
        <v>นายสมชาย ลักษณะสุวรรณ</v>
      </c>
      <c r="L3251" s="1" t="str">
        <f>IFERROR(__xludf.DUMMYFUNCTION("""COMPUTED_VALUE"""),"15 K.Somchai L")</f>
        <v>15 K.Somchai L</v>
      </c>
      <c r="M3251" s="1" t="str">
        <f>IFERROR(__xludf.DUMMYFUNCTION("""COMPUTED_VALUE"""),"0655107372")</f>
        <v>0655107372</v>
      </c>
      <c r="N3251" s="3">
        <f>IFERROR(__xludf.DUMMYFUNCTION("""COMPUTED_VALUE"""),21723.0)</f>
        <v>21723</v>
      </c>
      <c r="O325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3251" s="4">
        <f>IFERROR(__xludf.DUMMYFUNCTION("""COMPUTED_VALUE"""),45831.0)</f>
        <v>45831</v>
      </c>
      <c r="Q3251" s="3" t="str">
        <f>IFERROR(__xludf.DUMMYFUNCTION("""COMPUTED_VALUE"""),"A")</f>
        <v>A</v>
      </c>
      <c r="R3251" s="3" t="str">
        <f>IFERROR(__xludf.DUMMYFUNCTION("""COMPUTED_VALUE"""),"Small Format")</f>
        <v>Small Format</v>
      </c>
      <c r="S3251" s="3" t="str">
        <f>IFERROR(__xludf.DUMMYFUNCTION("""COMPUTED_VALUE"""),"BCM")</f>
        <v>BCM</v>
      </c>
      <c r="T3251" s="3" t="str">
        <f>IFERROR(__xludf.DUMMYFUNCTION("""COMPUTED_VALUE"""),"#N/A")</f>
        <v>#N/A</v>
      </c>
      <c r="U3251" s="3" t="str">
        <f>IFERROR(__xludf.DUMMYFUNCTION("""COMPUTED_VALUE"""),"#N/A")</f>
        <v>#N/A</v>
      </c>
      <c r="V3251" s="3" t="str">
        <f>IFERROR(__xludf.DUMMYFUNCTION("""COMPUTED_VALUE"""),"N")</f>
        <v>N</v>
      </c>
      <c r="W3251" s="3">
        <f>IFERROR(__xludf.DUMMYFUNCTION("""COMPUTED_VALUE"""),210606.0)</f>
        <v>210606</v>
      </c>
      <c r="X3251" s="3" t="str">
        <f>IFERROR(__xludf.DUMMYFUNCTION("""COMPUTED_VALUE"""),"94/3,96/1 หมู่ 8 ตำบลหัวไทร อำเภอหัวไทร จังหวัดนครศรีธรรมราช 80170")</f>
        <v>94/3,96/1 หมู่ 8 ตำบลหัวไทร อำเภอหัวไทร จังหวัดนครศรีธรรมราช 80170</v>
      </c>
      <c r="Y3251" s="3"/>
      <c r="Z3251" s="3" t="str">
        <f>IFERROR(__xludf.DUMMYFUNCTION("""COMPUTED_VALUE"""),"หัวไทร")</f>
        <v>หัวไทร</v>
      </c>
      <c r="AA3251" s="3" t="str">
        <f>IFERROR(__xludf.DUMMYFUNCTION("""COMPUTED_VALUE"""),"หัวไทร")</f>
        <v>หัวไทร</v>
      </c>
      <c r="AB3251" s="3" t="str">
        <f>IFERROR(__xludf.DUMMYFUNCTION("""COMPUTED_VALUE"""),"นครศรีธรรมราช")</f>
        <v>นครศรีธรรมราช</v>
      </c>
      <c r="AC3251" s="3">
        <f>IFERROR(__xludf.DUMMYFUNCTION("""COMPUTED_VALUE"""),80170.0)</f>
        <v>80170</v>
      </c>
      <c r="AD3251" s="3">
        <f>IFERROR(__xludf.DUMMYFUNCTION("""COMPUTED_VALUE"""),8.043425)</f>
        <v>8.043425</v>
      </c>
      <c r="AE3251" s="3">
        <f>IFERROR(__xludf.DUMMYFUNCTION("""COMPUTED_VALUE"""),100.302427)</f>
        <v>100.302427</v>
      </c>
      <c r="AF3251" s="3" t="str">
        <f>IFERROR(__xludf.DUMMYFUNCTION("""COMPUTED_VALUE"""),"BCM อ.หัวไทร นครศรีธรรมราช-22718")</f>
        <v>BCM อ.หัวไทร นครศรีธรรมราช-22718</v>
      </c>
      <c r="AG3251" s="3" t="str">
        <f>IFERROR(__xludf.DUMMYFUNCTION("""COMPUTED_VALUE"""),"ใต้")</f>
        <v>ใต้</v>
      </c>
      <c r="AH3251" s="3" t="str">
        <f>IFERROR(__xludf.DUMMYFUNCTION("""COMPUTED_VALUE"""),"#N/A")</f>
        <v>#N/A</v>
      </c>
      <c r="AI3251" s="3" t="str">
        <f>IFERROR(__xludf.DUMMYFUNCTION("""COMPUTED_VALUE"""),"In warranty")</f>
        <v>In warranty</v>
      </c>
      <c r="AJ3251" s="3">
        <f>IFERROR(__xludf.DUMMYFUNCTION("""COMPUTED_VALUE"""),7.0)</f>
        <v>7</v>
      </c>
      <c r="AK3251" s="3"/>
      <c r="AL3251" s="3"/>
    </row>
    <row r="3252" ht="15.75" customHeight="1">
      <c r="A3252" s="1" t="str">
        <f>IFERROR(__xludf.DUMMYFUNCTION("""COMPUTED_VALUE"""),"11261")</f>
        <v>11261</v>
      </c>
      <c r="B3252" s="2">
        <f>IFERROR(__xludf.DUMMYFUNCTION("""COMPUTED_VALUE"""),11261.0)</f>
        <v>11261</v>
      </c>
      <c r="C3252" s="3" t="str">
        <f>IFERROR(__xludf.DUMMYFUNCTION("""COMPUTED_VALUE"""),"ฟีนิกซ์")</f>
        <v>ฟีนิกซ์</v>
      </c>
      <c r="D3252" s="3" t="str">
        <f>IFERROR(__xludf.DUMMYFUNCTION("""COMPUTED_VALUE"""),"BIGC PHENIX")</f>
        <v>BIGC PHENIX</v>
      </c>
      <c r="E3252" s="1" t="str">
        <f>IFERROR(__xludf.DUMMYFUNCTION("""COMPUTED_VALUE"""),"บิ๊กซี HyperMarket")</f>
        <v>บิ๊กซี HyperMarket</v>
      </c>
      <c r="F3252" s="1" t="str">
        <f>IFERROR(__xludf.DUMMYFUNCTION("""COMPUTED_VALUE"""),"02408546")</f>
        <v>02408546</v>
      </c>
      <c r="G3252" s="1" t="str">
        <f>IFERROR(__xludf.DUMMYFUNCTION("""COMPUTED_VALUE"""),"นายเกษมศิษฐ์ ฮดบุญเรือง")</f>
        <v>นายเกษมศิษฐ์ ฮดบุญเรือง</v>
      </c>
      <c r="H3252" s="1" t="str">
        <f>IFERROR(__xludf.DUMMYFUNCTION("""COMPUTED_VALUE"""),"02408546")</f>
        <v>02408546</v>
      </c>
      <c r="I3252" s="1" t="str">
        <f>IFERROR(__xludf.DUMMYFUNCTION("""COMPUTED_VALUE"""),"นายเกษมศิษฐ์ ฮดบุญเรือง")</f>
        <v>นายเกษมศิษฐ์ ฮดบุญเรือง</v>
      </c>
      <c r="J3252" s="3">
        <f>IFERROR(__xludf.DUMMYFUNCTION("""COMPUTED_VALUE"""),2408546.0)</f>
        <v>2408546</v>
      </c>
      <c r="K3252" s="3" t="str">
        <f>IFERROR(__xludf.DUMMYFUNCTION("""COMPUTED_VALUE"""),"นายเกษมศิษฐ์ ฮดบุญเรือง")</f>
        <v>นายเกษมศิษฐ์ ฮดบุญเรือง</v>
      </c>
      <c r="L3252" s="1" t="str">
        <f>IFERROR(__xludf.DUMMYFUNCTION("""COMPUTED_VALUE"""),"Hub02-BKK 2")</f>
        <v>Hub02-BKK 2</v>
      </c>
      <c r="M3252" s="1" t="str">
        <f>IFERROR(__xludf.DUMMYFUNCTION("""COMPUTED_VALUE"""),"0988580755")</f>
        <v>0988580755</v>
      </c>
      <c r="N3252" s="3">
        <f>IFERROR(__xludf.DUMMYFUNCTION("""COMPUTED_VALUE"""),11261.0)</f>
        <v>11261</v>
      </c>
      <c r="O3252" s="3" t="str">
        <f>IFERROR(__xludf.DUMMYFUNCTION("""COMPUTED_VALUE"""),"ฟีนิกซ์")</f>
        <v>ฟีนิกซ์</v>
      </c>
      <c r="P3252" s="4">
        <f>IFERROR(__xludf.DUMMYFUNCTION("""COMPUTED_VALUE"""),45831.0)</f>
        <v>45831</v>
      </c>
      <c r="Q3252" s="3" t="str">
        <f>IFERROR(__xludf.DUMMYFUNCTION("""COMPUTED_VALUE"""),"A")</f>
        <v>A</v>
      </c>
      <c r="R3252" s="3" t="str">
        <f>IFERROR(__xludf.DUMMYFUNCTION("""COMPUTED_VALUE"""),"Big Format")</f>
        <v>Big Format</v>
      </c>
      <c r="S3252" s="3" t="str">
        <f>IFERROR(__xludf.DUMMYFUNCTION("""COMPUTED_VALUE"""),"Hyper")</f>
        <v>Hyper</v>
      </c>
      <c r="T3252" s="3" t="str">
        <f>IFERROR(__xludf.DUMMYFUNCTION("""COMPUTED_VALUE"""),"Hub02-BKK 2")</f>
        <v>Hub02-BKK 2</v>
      </c>
      <c r="U3252" s="3" t="str">
        <f>IFERROR(__xludf.DUMMYFUNCTION("""COMPUTED_VALUE"""),"Hub02-BKK 2")</f>
        <v>Hub02-BKK 2</v>
      </c>
      <c r="V3252" s="3" t="str">
        <f>IFERROR(__xludf.DUMMYFUNCTION("""COMPUTED_VALUE"""),"N")</f>
        <v>N</v>
      </c>
      <c r="W3252" s="3">
        <f>IFERROR(__xludf.DUMMYFUNCTION("""COMPUTED_VALUE"""),111276.0)</f>
        <v>111276</v>
      </c>
      <c r="X3252" s="3" t="str">
        <f>IFERROR(__xludf.DUMMYFUNCTION("""COMPUTED_VALUE"""),"ห้องเลขที่ BigC-01 ชั้นที่ G/Plaza เลขที่ 604/3 ถนนเพชรบุรี แขวงถนนเพชรบุรี เขตราชเทวี กรุงเทพมหานคร 10400")</f>
        <v>ห้องเลขที่ BigC-01 ชั้นที่ G/Plaza เลขที่ 604/3 ถนนเพชรบุรี แขวงถนนเพชรบุรี เขตราชเทวี กรุงเทพมหานคร 10400</v>
      </c>
      <c r="Y3252" s="3" t="str">
        <f>IFERROR(__xludf.DUMMYFUNCTION("""COMPUTED_VALUE"""),"เพชรบุรี")</f>
        <v>เพชรบุรี</v>
      </c>
      <c r="Z3252" s="3" t="str">
        <f>IFERROR(__xludf.DUMMYFUNCTION("""COMPUTED_VALUE"""),"ถนนเพชรบุรี")</f>
        <v>ถนนเพชรบุรี</v>
      </c>
      <c r="AA3252" s="3" t="str">
        <f>IFERROR(__xludf.DUMMYFUNCTION("""COMPUTED_VALUE"""),"ราชเทวี")</f>
        <v>ราชเทวี</v>
      </c>
      <c r="AB3252" s="3" t="str">
        <f>IFERROR(__xludf.DUMMYFUNCTION("""COMPUTED_VALUE"""),"กรุงเทพมหานคร")</f>
        <v>กรุงเทพมหานคร</v>
      </c>
      <c r="AC3252" s="3">
        <f>IFERROR(__xludf.DUMMYFUNCTION("""COMPUTED_VALUE"""),10400.0)</f>
        <v>10400</v>
      </c>
      <c r="AD3252" s="3">
        <f>IFERROR(__xludf.DUMMYFUNCTION("""COMPUTED_VALUE"""),13.75087063)</f>
        <v>13.75087063</v>
      </c>
      <c r="AE3252" s="3">
        <f>IFERROR(__xludf.DUMMYFUNCTION("""COMPUTED_VALUE"""),100.5373264)</f>
        <v>100.5373264</v>
      </c>
      <c r="AF3252" s="3" t="str">
        <f>IFERROR(__xludf.DUMMYFUNCTION("""COMPUTED_VALUE"""),"ฟีนิกซ์-11261")</f>
        <v>ฟีนิกซ์-11261</v>
      </c>
      <c r="AG3252" s="3" t="str">
        <f>IFERROR(__xludf.DUMMYFUNCTION("""COMPUTED_VALUE"""),"กลาง")</f>
        <v>กลาง</v>
      </c>
      <c r="AH3252" s="3" t="str">
        <f>IFERROR(__xludf.DUMMYFUNCTION("""COMPUTED_VALUE"""),"Vassana Teratam")</f>
        <v>Vassana Teratam</v>
      </c>
      <c r="AI3252" s="3" t="str">
        <f>IFERROR(__xludf.DUMMYFUNCTION("""COMPUTED_VALUE"""),"In warranty")</f>
        <v>In warranty</v>
      </c>
      <c r="AJ3252" s="3">
        <f>IFERROR(__xludf.DUMMYFUNCTION("""COMPUTED_VALUE"""),7.0)</f>
        <v>7</v>
      </c>
      <c r="AK3252" s="3"/>
      <c r="AL3252" s="3"/>
    </row>
    <row r="3253" ht="15.75" customHeight="1">
      <c r="A3253" s="1" t="str">
        <f>IFERROR(__xludf.DUMMYFUNCTION("""COMPUTED_VALUE"""),"22715")</f>
        <v>22715</v>
      </c>
      <c r="B3253" s="2">
        <f>IFERROR(__xludf.DUMMYFUNCTION("""COMPUTED_VALUE"""),22715.0)</f>
        <v>22715</v>
      </c>
      <c r="C3253" s="3" t="str">
        <f>IFERROR(__xludf.DUMMYFUNCTION("""COMPUTED_VALUE"""),"BCM เคหะดอนเมือง กรุงเทพฯ")</f>
        <v>BCM เคหะดอนเมือง กรุงเทพฯ</v>
      </c>
      <c r="D3253" s="3" t="str">
        <f>IFERROR(__xludf.DUMMYFUNCTION("""COMPUTED_VALUE"""),"BCM KEHA DON MUEANG BANGKOK")</f>
        <v>BCM KEHA DON MUEANG BANGKOK</v>
      </c>
      <c r="E3253" s="1" t="str">
        <f>IFERROR(__xludf.DUMMYFUNCTION("""COMPUTED_VALUE"""),"บิ๊กซี MINI")</f>
        <v>บิ๊กซี MINI</v>
      </c>
      <c r="F3253" s="1" t="str">
        <f>IFERROR(__xludf.DUMMYFUNCTION("""COMPUTED_VALUE"""),"291008")</f>
        <v>291008</v>
      </c>
      <c r="G3253" s="1" t="str">
        <f>IFERROR(__xludf.DUMMYFUNCTION("""COMPUTED_VALUE"""),"น.ส.รัชดาพร อีศรัตน์")</f>
        <v>น.ส.รัชดาพร อีศรัตน์</v>
      </c>
      <c r="H3253" s="1" t="str">
        <f>IFERROR(__xludf.DUMMYFUNCTION("""COMPUTED_VALUE"""),"373540")</f>
        <v>373540</v>
      </c>
      <c r="I3253" s="1" t="str">
        <f>IFERROR(__xludf.DUMMYFUNCTION("""COMPUTED_VALUE"""),"นายทศพร พึ่งพบ")</f>
        <v>นายทศพร พึ่งพบ</v>
      </c>
      <c r="J3253" s="3">
        <f>IFERROR(__xludf.DUMMYFUNCTION("""COMPUTED_VALUE"""),2452378.0)</f>
        <v>2452378</v>
      </c>
      <c r="K3253" s="3" t="str">
        <f>IFERROR(__xludf.DUMMYFUNCTION("""COMPUTED_VALUE"""),"นายศักดิ์ดา พวงประดับ")</f>
        <v>นายศักดิ์ดา พวงประดับ</v>
      </c>
      <c r="L3253" s="1" t="str">
        <f>IFERROR(__xludf.DUMMYFUNCTION("""COMPUTED_VALUE"""),"11 K.Sakda P.")</f>
        <v>11 K.Sakda P.</v>
      </c>
      <c r="M3253" s="1" t="str">
        <f>IFERROR(__xludf.DUMMYFUNCTION("""COMPUTED_VALUE"""),"065-929-1279")</f>
        <v>065-929-1279</v>
      </c>
      <c r="N3253" s="3">
        <f>IFERROR(__xludf.DUMMYFUNCTION("""COMPUTED_VALUE"""),21002.0)</f>
        <v>21002</v>
      </c>
      <c r="O3253" s="3" t="str">
        <f>IFERROR(__xludf.DUMMYFUNCTION("""COMPUTED_VALUE"""),"MBC อุดมสุข")</f>
        <v>MBC อุดมสุข</v>
      </c>
      <c r="P3253" s="4">
        <f>IFERROR(__xludf.DUMMYFUNCTION("""COMPUTED_VALUE"""),45788.0)</f>
        <v>45788</v>
      </c>
      <c r="Q3253" s="3" t="str">
        <f>IFERROR(__xludf.DUMMYFUNCTION("""COMPUTED_VALUE"""),"A")</f>
        <v>A</v>
      </c>
      <c r="R3253" s="3" t="str">
        <f>IFERROR(__xludf.DUMMYFUNCTION("""COMPUTED_VALUE"""),"Small Format")</f>
        <v>Small Format</v>
      </c>
      <c r="S3253" s="3" t="str">
        <f>IFERROR(__xludf.DUMMYFUNCTION("""COMPUTED_VALUE"""),"BCM")</f>
        <v>BCM</v>
      </c>
      <c r="T3253" s="3" t="str">
        <f>IFERROR(__xludf.DUMMYFUNCTION("""COMPUTED_VALUE"""),"#N/A")</f>
        <v>#N/A</v>
      </c>
      <c r="U3253" s="3" t="str">
        <f>IFERROR(__xludf.DUMMYFUNCTION("""COMPUTED_VALUE"""),"#N/A")</f>
        <v>#N/A</v>
      </c>
      <c r="V3253" s="3" t="str">
        <f>IFERROR(__xludf.DUMMYFUNCTION("""COMPUTED_VALUE"""),"N")</f>
        <v>N</v>
      </c>
      <c r="W3253" s="3">
        <f>IFERROR(__xludf.DUMMYFUNCTION("""COMPUTED_VALUE"""),210597.0)</f>
        <v>210597</v>
      </c>
      <c r="X3253" s="3" t="str">
        <f>IFERROR(__xludf.DUMMYFUNCTION("""COMPUTED_VALUE"""),"524 ถนนช่างอากาศอุทิศ แขวงดอนเมือง เขตดอนเมือง กรุงเทพมหานคร 10210")</f>
        <v>524 ถนนช่างอากาศอุทิศ แขวงดอนเมือง เขตดอนเมือง กรุงเทพมหานคร 10210</v>
      </c>
      <c r="Y3253" s="3" t="str">
        <f>IFERROR(__xludf.DUMMYFUNCTION("""COMPUTED_VALUE"""),"ช่างอากาศอุทิศ")</f>
        <v>ช่างอากาศอุทิศ</v>
      </c>
      <c r="Z3253" s="3" t="str">
        <f>IFERROR(__xludf.DUMMYFUNCTION("""COMPUTED_VALUE"""),"ดอนเมือง")</f>
        <v>ดอนเมือง</v>
      </c>
      <c r="AA3253" s="3" t="str">
        <f>IFERROR(__xludf.DUMMYFUNCTION("""COMPUTED_VALUE"""),"ดอนเมือง")</f>
        <v>ดอนเมือง</v>
      </c>
      <c r="AB3253" s="3" t="str">
        <f>IFERROR(__xludf.DUMMYFUNCTION("""COMPUTED_VALUE"""),"กรุงเทพมหานคร")</f>
        <v>กรุงเทพมหานคร</v>
      </c>
      <c r="AC3253" s="3">
        <f>IFERROR(__xludf.DUMMYFUNCTION("""COMPUTED_VALUE"""),10210.0)</f>
        <v>10210</v>
      </c>
      <c r="AD3253" s="3">
        <f>IFERROR(__xludf.DUMMYFUNCTION("""COMPUTED_VALUE"""),13.918605)</f>
        <v>13.918605</v>
      </c>
      <c r="AE3253" s="3">
        <f>IFERROR(__xludf.DUMMYFUNCTION("""COMPUTED_VALUE"""),100.578323)</f>
        <v>100.578323</v>
      </c>
      <c r="AF3253" s="3" t="str">
        <f>IFERROR(__xludf.DUMMYFUNCTION("""COMPUTED_VALUE"""),"BCM เคหะดอนเมือง กรุงเทพฯ-22715")</f>
        <v>BCM เคหะดอนเมือง กรุงเทพฯ-22715</v>
      </c>
      <c r="AG3253" s="3" t="str">
        <f>IFERROR(__xludf.DUMMYFUNCTION("""COMPUTED_VALUE"""),"กลาง")</f>
        <v>กลาง</v>
      </c>
      <c r="AH3253" s="3" t="str">
        <f>IFERROR(__xludf.DUMMYFUNCTION("""COMPUTED_VALUE"""),"#N/A")</f>
        <v>#N/A</v>
      </c>
      <c r="AI3253" s="3" t="str">
        <f>IFERROR(__xludf.DUMMYFUNCTION("""COMPUTED_VALUE"""),"In warranty")</f>
        <v>In warranty</v>
      </c>
      <c r="AJ3253" s="3">
        <f>IFERROR(__xludf.DUMMYFUNCTION("""COMPUTED_VALUE"""),9.0)</f>
        <v>9</v>
      </c>
      <c r="AK3253" s="3"/>
      <c r="AL3253" s="3"/>
    </row>
    <row r="3254" ht="15.75" customHeight="1">
      <c r="A3254" s="1" t="str">
        <f>IFERROR(__xludf.DUMMYFUNCTION("""COMPUTED_VALUE"""),"31119")</f>
        <v>31119</v>
      </c>
      <c r="B3254" s="2">
        <f>IFERROR(__xludf.DUMMYFUNCTION("""COMPUTED_VALUE"""),31119.0)</f>
        <v>31119</v>
      </c>
      <c r="C3254" s="3" t="str">
        <f>IFERROR(__xludf.DUMMYFUNCTION("""COMPUTED_VALUE"""),"BCM FC แก้งคร้อ ชัยภูมิ")</f>
        <v>BCM FC แก้งคร้อ ชัยภูมิ</v>
      </c>
      <c r="D3254" s="3" t="str">
        <f>IFERROR(__xludf.DUMMYFUNCTION("""COMPUTED_VALUE"""),"BCM FC KAENG KHRO CHAIYAPHUM")</f>
        <v>BCM FC KAENG KHRO CHAIYAPHUM</v>
      </c>
      <c r="E3254" s="1" t="str">
        <f>IFERROR(__xludf.DUMMYFUNCTION("""COMPUTED_VALUE"""),"บิ๊กซี MINI")</f>
        <v>บิ๊กซี MINI</v>
      </c>
      <c r="F3254" s="1" t="str">
        <f>IFERROR(__xludf.DUMMYFUNCTION("""COMPUTED_VALUE"""),"291105")</f>
        <v>291105</v>
      </c>
      <c r="G3254" s="1" t="str">
        <f>IFERROR(__xludf.DUMMYFUNCTION("""COMPUTED_VALUE"""),"นายสราวุฒิ พณิชยกุล")</f>
        <v>นายสราวุฒิ พณิชยกุล</v>
      </c>
      <c r="H3254" s="1" t="str">
        <f>IFERROR(__xludf.DUMMYFUNCTION("""COMPUTED_VALUE"""),"371396")</f>
        <v>371396</v>
      </c>
      <c r="I3254" s="1" t="str">
        <f>IFERROR(__xludf.DUMMYFUNCTION("""COMPUTED_VALUE"""),"น.ส.สุภาวดี วิลัยพร")</f>
        <v>น.ส.สุภาวดี วิลัยพร</v>
      </c>
      <c r="J3254" s="3">
        <f>IFERROR(__xludf.DUMMYFUNCTION("""COMPUTED_VALUE"""),15361.0)</f>
        <v>15361</v>
      </c>
      <c r="K3254" s="3" t="str">
        <f>IFERROR(__xludf.DUMMYFUNCTION("""COMPUTED_VALUE"""),"นายสมบูรณ์ พรหมในเมือง")</f>
        <v>นายสมบูรณ์ พรหมในเมือง</v>
      </c>
      <c r="L3254" s="1" t="str">
        <f>IFERROR(__xludf.DUMMYFUNCTION("""COMPUTED_VALUE"""),"04 K.Somboon P.")</f>
        <v>04 K.Somboon P.</v>
      </c>
      <c r="M3254" s="1" t="str">
        <f>IFERROR(__xludf.DUMMYFUNCTION("""COMPUTED_VALUE"""),"087-965-3051")</f>
        <v>087-965-3051</v>
      </c>
      <c r="N3254" s="3">
        <f>IFERROR(__xludf.DUMMYFUNCTION("""COMPUTED_VALUE"""),21869.0)</f>
        <v>21869</v>
      </c>
      <c r="O3254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3254" s="4">
        <f>IFERROR(__xludf.DUMMYFUNCTION("""COMPUTED_VALUE"""),45797.0)</f>
        <v>45797</v>
      </c>
      <c r="Q3254" s="3" t="str">
        <f>IFERROR(__xludf.DUMMYFUNCTION("""COMPUTED_VALUE"""),"A")</f>
        <v>A</v>
      </c>
      <c r="R3254" s="3" t="str">
        <f>IFERROR(__xludf.DUMMYFUNCTION("""COMPUTED_VALUE"""),"Small Format")</f>
        <v>Small Format</v>
      </c>
      <c r="S3254" s="3" t="str">
        <f>IFERROR(__xludf.DUMMYFUNCTION("""COMPUTED_VALUE"""),"BCM(FC)")</f>
        <v>BCM(FC)</v>
      </c>
      <c r="T3254" s="3" t="str">
        <f>IFERROR(__xludf.DUMMYFUNCTION("""COMPUTED_VALUE"""),"#N/A")</f>
        <v>#N/A</v>
      </c>
      <c r="U3254" s="3" t="str">
        <f>IFERROR(__xludf.DUMMYFUNCTION("""COMPUTED_VALUE"""),"#N/A")</f>
        <v>#N/A</v>
      </c>
      <c r="V3254" s="3" t="str">
        <f>IFERROR(__xludf.DUMMYFUNCTION("""COMPUTED_VALUE"""),"Y")</f>
        <v>Y</v>
      </c>
      <c r="W3254" s="3">
        <f>IFERROR(__xludf.DUMMYFUNCTION("""COMPUTED_VALUE"""),812325.0)</f>
        <v>812325</v>
      </c>
      <c r="X3254" s="3" t="str">
        <f>IFERROR(__xludf.DUMMYFUNCTION("""COMPUTED_VALUE"""),"323 หมู่ที่ 6 ตำบลหน่องไผ่ อำเภอแก้งคร้อ จังหวัดชัยภูมิ 36150")</f>
        <v>323 หมู่ที่ 6 ตำบลหน่องไผ่ อำเภอแก้งคร้อ จังหวัดชัยภูมิ 36150</v>
      </c>
      <c r="Y3254" s="3"/>
      <c r="Z3254" s="3" t="str">
        <f>IFERROR(__xludf.DUMMYFUNCTION("""COMPUTED_VALUE"""),"หน่องไผ่")</f>
        <v>หน่องไผ่</v>
      </c>
      <c r="AA3254" s="3" t="str">
        <f>IFERROR(__xludf.DUMMYFUNCTION("""COMPUTED_VALUE"""),"แก้งคร้อ")</f>
        <v>แก้งคร้อ</v>
      </c>
      <c r="AB3254" s="3" t="str">
        <f>IFERROR(__xludf.DUMMYFUNCTION("""COMPUTED_VALUE"""),"ชัยภูมิ")</f>
        <v>ชัยภูมิ</v>
      </c>
      <c r="AC3254" s="3">
        <f>IFERROR(__xludf.DUMMYFUNCTION("""COMPUTED_VALUE"""),36150.0)</f>
        <v>36150</v>
      </c>
      <c r="AD3254" s="3">
        <f>IFERROR(__xludf.DUMMYFUNCTION("""COMPUTED_VALUE"""),16.1106923)</f>
        <v>16.1106923</v>
      </c>
      <c r="AE3254" s="3">
        <f>IFERROR(__xludf.DUMMYFUNCTION("""COMPUTED_VALUE"""),102.2586261)</f>
        <v>102.2586261</v>
      </c>
      <c r="AF3254" s="3" t="str">
        <f>IFERROR(__xludf.DUMMYFUNCTION("""COMPUTED_VALUE"""),"BCM FC แก้งคร้อ ชัยภูมิ-31119")</f>
        <v>BCM FC แก้งคร้อ ชัยภูมิ-31119</v>
      </c>
      <c r="AG3254" s="3" t="str">
        <f>IFERROR(__xludf.DUMMYFUNCTION("""COMPUTED_VALUE"""),"ตะวันออกเฉียงเหนือ")</f>
        <v>ตะวันออกเฉียงเหนือ</v>
      </c>
      <c r="AH3254" s="3" t="str">
        <f>IFERROR(__xludf.DUMMYFUNCTION("""COMPUTED_VALUE"""),"#N/A")</f>
        <v>#N/A</v>
      </c>
      <c r="AI3254" s="3" t="str">
        <f>IFERROR(__xludf.DUMMYFUNCTION("""COMPUTED_VALUE"""),"In warranty")</f>
        <v>In warranty</v>
      </c>
      <c r="AJ3254" s="3">
        <f>IFERROR(__xludf.DUMMYFUNCTION("""COMPUTED_VALUE"""),9.0)</f>
        <v>9</v>
      </c>
      <c r="AK3254" s="3"/>
      <c r="AL3254" s="3"/>
    </row>
    <row r="3255" ht="15.75" customHeight="1">
      <c r="A3255" s="1" t="str">
        <f>IFERROR(__xludf.DUMMYFUNCTION("""COMPUTED_VALUE"""),"41201")</f>
        <v>41201</v>
      </c>
      <c r="B3255" s="2">
        <f>IFERROR(__xludf.DUMMYFUNCTION("""COMPUTED_VALUE"""),41201.0)</f>
        <v>41201</v>
      </c>
      <c r="C3255" s="3" t="str">
        <f>IFERROR(__xludf.DUMMYFUNCTION("""COMPUTED_VALUE"""),"PURE หัวหิน มาร์เช่")</f>
        <v>PURE หัวหิน มาร์เช่</v>
      </c>
      <c r="D3255" s="3" t="str">
        <f>IFERROR(__xludf.DUMMYFUNCTION("""COMPUTED_VALUE"""),"BIGC HAUHIN MARCHE PURE")</f>
        <v>BIGC HAUHIN MARCHE PURE</v>
      </c>
      <c r="E3255" s="1" t="str">
        <f>IFERROR(__xludf.DUMMYFUNCTION("""COMPUTED_VALUE"""),"PURE")</f>
        <v>PURE</v>
      </c>
      <c r="F3255" s="1" t="str">
        <f>IFERROR(__xludf.DUMMYFUNCTION("""COMPUTED_VALUE"""),"00510143")</f>
        <v>00510143</v>
      </c>
      <c r="G3255" s="1" t="str">
        <f>IFERROR(__xludf.DUMMYFUNCTION("""COMPUTED_VALUE"""),"นายธีระวัฒน์ บุญสิทธิ์")</f>
        <v>นายธีระวัฒน์ บุญสิทธิ์</v>
      </c>
      <c r="H3255" s="1" t="str">
        <f>IFERROR(__xludf.DUMMYFUNCTION("""COMPUTED_VALUE"""),"00510143")</f>
        <v>00510143</v>
      </c>
      <c r="I3255" s="1" t="str">
        <f>IFERROR(__xludf.DUMMYFUNCTION("""COMPUTED_VALUE"""),"นายธีระวัฒน์ บุญสิทธิ์")</f>
        <v>นายธีระวัฒน์ บุญสิทธิ์</v>
      </c>
      <c r="J3255" s="3">
        <f>IFERROR(__xludf.DUMMYFUNCTION("""COMPUTED_VALUE"""),2455179.0)</f>
        <v>2455179</v>
      </c>
      <c r="K3255" s="3" t="str">
        <f>IFERROR(__xludf.DUMMYFUNCTION("""COMPUTED_VALUE"""),"นายณัฐวัฒน์ ภาสประเสริฐทรง")</f>
        <v>นายณัฐวัฒน์ ภาสประเสริฐทรง</v>
      </c>
      <c r="L3255" s="1" t="str">
        <f>IFERROR(__xludf.DUMMYFUNCTION("""COMPUTED_VALUE"""),"Hub06-C&amp;W")</f>
        <v>Hub06-C&amp;W</v>
      </c>
      <c r="M3255" s="1" t="str">
        <f>IFERROR(__xludf.DUMMYFUNCTION("""COMPUTED_VALUE"""),"090-993-6896")</f>
        <v>090-993-6896</v>
      </c>
      <c r="N3255" s="3">
        <f>IFERROR(__xludf.DUMMYFUNCTION("""COMPUTED_VALUE"""),11260.0)</f>
        <v>11260</v>
      </c>
      <c r="O3255" s="3" t="str">
        <f>IFERROR(__xludf.DUMMYFUNCTION("""COMPUTED_VALUE"""),"หัวหิน มาร์เช่")</f>
        <v>หัวหิน มาร์เช่</v>
      </c>
      <c r="P3255" s="4">
        <f>IFERROR(__xludf.DUMMYFUNCTION("""COMPUTED_VALUE"""),45808.0)</f>
        <v>45808</v>
      </c>
      <c r="Q3255" s="3" t="str">
        <f>IFERROR(__xludf.DUMMYFUNCTION("""COMPUTED_VALUE"""),"A")</f>
        <v>A</v>
      </c>
      <c r="R3255" s="3" t="str">
        <f>IFERROR(__xludf.DUMMYFUNCTION("""COMPUTED_VALUE"""),"Big Format")</f>
        <v>Big Format</v>
      </c>
      <c r="S3255" s="3" t="str">
        <f>IFERROR(__xludf.DUMMYFUNCTION("""COMPUTED_VALUE"""),"PURE")</f>
        <v>PURE</v>
      </c>
      <c r="T3255" s="3" t="str">
        <f>IFERROR(__xludf.DUMMYFUNCTION("""COMPUTED_VALUE"""),"12 K.Theerawat B.")</f>
        <v>12 K.Theerawat B.</v>
      </c>
      <c r="U3255" s="3" t="str">
        <f>IFERROR(__xludf.DUMMYFUNCTION("""COMPUTED_VALUE"""),"12 K.Theerawat B.")</f>
        <v>12 K.Theerawat B.</v>
      </c>
      <c r="V3255" s="3" t="str">
        <f>IFERROR(__xludf.DUMMYFUNCTION("""COMPUTED_VALUE"""),"N")</f>
        <v>N</v>
      </c>
      <c r="W3255" s="3">
        <f>IFERROR(__xludf.DUMMYFUNCTION("""COMPUTED_VALUE"""),411224.0)</f>
        <v>411224</v>
      </c>
      <c r="X3255" s="3" t="str">
        <f>IFERROR(__xludf.DUMMYFUNCTION("""COMPUTED_VALUE"""),"ห้องเลขที่ G 28 ชั้นที่ G เลขที่ 8/89 ซอย หมูบ้านหนองแก ตำบลหนองแก อำเภอหัวหิน จังหวัดประจวบคีรีขันธ์ 77110")</f>
        <v>ห้องเลขที่ G 28 ชั้นที่ G เลขที่ 8/89 ซอย หมูบ้านหนองแก ตำบลหนองแก อำเภอหัวหิน จังหวัดประจวบคีรีขันธ์ 77110</v>
      </c>
      <c r="Y3255" s="3"/>
      <c r="Z3255" s="3" t="str">
        <f>IFERROR(__xludf.DUMMYFUNCTION("""COMPUTED_VALUE"""),"หนองแก")</f>
        <v>หนองแก</v>
      </c>
      <c r="AA3255" s="3" t="str">
        <f>IFERROR(__xludf.DUMMYFUNCTION("""COMPUTED_VALUE"""),"หัวหิน")</f>
        <v>หัวหิน</v>
      </c>
      <c r="AB3255" s="3" t="str">
        <f>IFERROR(__xludf.DUMMYFUNCTION("""COMPUTED_VALUE"""),"ประจวบคีรีขันธ์")</f>
        <v>ประจวบคีรีขันธ์</v>
      </c>
      <c r="AC3255" s="3">
        <f>IFERROR(__xludf.DUMMYFUNCTION("""COMPUTED_VALUE"""),77110.0)</f>
        <v>77110</v>
      </c>
      <c r="AD3255" s="3">
        <f>IFERROR(__xludf.DUMMYFUNCTION("""COMPUTED_VALUE"""),12.54789605)</f>
        <v>12.54789605</v>
      </c>
      <c r="AE3255" s="3">
        <f>IFERROR(__xludf.DUMMYFUNCTION("""COMPUTED_VALUE"""),99.96158446)</f>
        <v>99.96158446</v>
      </c>
      <c r="AF3255" s="3" t="str">
        <f>IFERROR(__xludf.DUMMYFUNCTION("""COMPUTED_VALUE"""),"PURE หัวหิน มาร์เช่-41201")</f>
        <v>PURE หัวหิน มาร์เช่-41201</v>
      </c>
      <c r="AG3255" s="3" t="str">
        <f>IFERROR(__xludf.DUMMYFUNCTION("""COMPUTED_VALUE"""),"ตะวันตก")</f>
        <v>ตะวันตก</v>
      </c>
      <c r="AH3255" s="3" t="str">
        <f>IFERROR(__xludf.DUMMYFUNCTION("""COMPUTED_VALUE"""),"#N/A")</f>
        <v>#N/A</v>
      </c>
      <c r="AI3255" s="3" t="str">
        <f>IFERROR(__xludf.DUMMYFUNCTION("""COMPUTED_VALUE"""),"In warranty")</f>
        <v>In warranty</v>
      </c>
      <c r="AJ3255" s="3">
        <f>IFERROR(__xludf.DUMMYFUNCTION("""COMPUTED_VALUE"""),8.0)</f>
        <v>8</v>
      </c>
      <c r="AK3255" s="3"/>
      <c r="AL3255" s="3"/>
    </row>
    <row r="3256" ht="15.75" customHeight="1">
      <c r="A3256" s="1" t="str">
        <f>IFERROR(__xludf.DUMMYFUNCTION("""COMPUTED_VALUE"""),"22712")</f>
        <v>22712</v>
      </c>
      <c r="B3256" s="2">
        <f>IFERROR(__xludf.DUMMYFUNCTION("""COMPUTED_VALUE"""),22712.0)</f>
        <v>22712</v>
      </c>
      <c r="C3256" s="3" t="str">
        <f>IFERROR(__xludf.DUMMYFUNCTION("""COMPUTED_VALUE"""),"BCM เจริญนคร 14 กรุงเทพฯ")</f>
        <v>BCM เจริญนคร 14 กรุงเทพฯ</v>
      </c>
      <c r="D3256" s="3" t="str">
        <f>IFERROR(__xludf.DUMMYFUNCTION("""COMPUTED_VALUE"""),"BCM CHAROENNAKORN 14")</f>
        <v>BCM CHAROENNAKORN 14</v>
      </c>
      <c r="E3256" s="1" t="str">
        <f>IFERROR(__xludf.DUMMYFUNCTION("""COMPUTED_VALUE"""),"บิ๊กซี MINI")</f>
        <v>บิ๊กซี MINI</v>
      </c>
      <c r="F3256" s="1" t="str">
        <f>IFERROR(__xludf.DUMMYFUNCTION("""COMPUTED_VALUE"""),"291008")</f>
        <v>291008</v>
      </c>
      <c r="G3256" s="1" t="str">
        <f>IFERROR(__xludf.DUMMYFUNCTION("""COMPUTED_VALUE"""),"น.ส.รัชดาพร อีศรัตน์")</f>
        <v>น.ส.รัชดาพร อีศรัตน์</v>
      </c>
      <c r="H3256" s="1" t="str">
        <f>IFERROR(__xludf.DUMMYFUNCTION("""COMPUTED_VALUE"""),"250921")</f>
        <v>250921</v>
      </c>
      <c r="I3256" s="1" t="str">
        <f>IFERROR(__xludf.DUMMYFUNCTION("""COMPUTED_VALUE"""),"นายปรัชญาวัต ถิระสังวร")</f>
        <v>นายปรัชญาวัต ถิระสังวร</v>
      </c>
      <c r="J3256" s="3">
        <f>IFERROR(__xludf.DUMMYFUNCTION("""COMPUTED_VALUE"""),2452378.0)</f>
        <v>2452378</v>
      </c>
      <c r="K3256" s="3" t="str">
        <f>IFERROR(__xludf.DUMMYFUNCTION("""COMPUTED_VALUE"""),"นายศักดิ์ดา พวงประดับ")</f>
        <v>นายศักดิ์ดา พวงประดับ</v>
      </c>
      <c r="L3256" s="1" t="str">
        <f>IFERROR(__xludf.DUMMYFUNCTION("""COMPUTED_VALUE"""),"11 K.Sakda P.")</f>
        <v>11 K.Sakda P.</v>
      </c>
      <c r="M3256" s="1" t="str">
        <f>IFERROR(__xludf.DUMMYFUNCTION("""COMPUTED_VALUE"""),"065-929-1279")</f>
        <v>065-929-1279</v>
      </c>
      <c r="N3256" s="3">
        <f>IFERROR(__xludf.DUMMYFUNCTION("""COMPUTED_VALUE"""),21002.0)</f>
        <v>21002</v>
      </c>
      <c r="O3256" s="3" t="str">
        <f>IFERROR(__xludf.DUMMYFUNCTION("""COMPUTED_VALUE"""),"MBC อุดมสุข")</f>
        <v>MBC อุดมสุข</v>
      </c>
      <c r="P3256" s="4">
        <f>IFERROR(__xludf.DUMMYFUNCTION("""COMPUTED_VALUE"""),45742.0)</f>
        <v>45742</v>
      </c>
      <c r="Q3256" s="3" t="str">
        <f>IFERROR(__xludf.DUMMYFUNCTION("""COMPUTED_VALUE"""),"A")</f>
        <v>A</v>
      </c>
      <c r="R3256" s="3" t="str">
        <f>IFERROR(__xludf.DUMMYFUNCTION("""COMPUTED_VALUE"""),"Small Format")</f>
        <v>Small Format</v>
      </c>
      <c r="S3256" s="3" t="str">
        <f>IFERROR(__xludf.DUMMYFUNCTION("""COMPUTED_VALUE"""),"BCM")</f>
        <v>BCM</v>
      </c>
      <c r="T3256" s="3" t="str">
        <f>IFERROR(__xludf.DUMMYFUNCTION("""COMPUTED_VALUE"""),"#N/A")</f>
        <v>#N/A</v>
      </c>
      <c r="U3256" s="3" t="str">
        <f>IFERROR(__xludf.DUMMYFUNCTION("""COMPUTED_VALUE"""),"#N/A")</f>
        <v>#N/A</v>
      </c>
      <c r="V3256" s="3" t="str">
        <f>IFERROR(__xludf.DUMMYFUNCTION("""COMPUTED_VALUE"""),"N")</f>
        <v>N</v>
      </c>
      <c r="W3256" s="3">
        <f>IFERROR(__xludf.DUMMYFUNCTION("""COMPUTED_VALUE"""),210810.0)</f>
        <v>210810</v>
      </c>
      <c r="X3256" s="3" t="str">
        <f>IFERROR(__xludf.DUMMYFUNCTION("""COMPUTED_VALUE"""),"702 ซอยเจริญนคร 14 ถนนเจริญนคร แขวงคลองต้นไทร เขตคลองสาน กรุงเทพมหานคร 10600")</f>
        <v>702 ซอยเจริญนคร 14 ถนนเจริญนคร แขวงคลองต้นไทร เขตคลองสาน กรุงเทพมหานคร 10600</v>
      </c>
      <c r="Y3256" s="3" t="str">
        <f>IFERROR(__xludf.DUMMYFUNCTION("""COMPUTED_VALUE"""),"เจริญนคร")</f>
        <v>เจริญนคร</v>
      </c>
      <c r="Z3256" s="3" t="str">
        <f>IFERROR(__xludf.DUMMYFUNCTION("""COMPUTED_VALUE"""),"คลองต้นไทร")</f>
        <v>คลองต้นไทร</v>
      </c>
      <c r="AA3256" s="3" t="str">
        <f>IFERROR(__xludf.DUMMYFUNCTION("""COMPUTED_VALUE"""),"คลองสาน")</f>
        <v>คลองสาน</v>
      </c>
      <c r="AB3256" s="3" t="str">
        <f>IFERROR(__xludf.DUMMYFUNCTION("""COMPUTED_VALUE"""),"กรุงเทพมหานคร")</f>
        <v>กรุงเทพมหานคร</v>
      </c>
      <c r="AC3256" s="3">
        <f>IFERROR(__xludf.DUMMYFUNCTION("""COMPUTED_VALUE"""),10600.0)</f>
        <v>10600</v>
      </c>
      <c r="AD3256" s="3">
        <f>IFERROR(__xludf.DUMMYFUNCTION("""COMPUTED_VALUE"""),13.722953)</f>
        <v>13.722953</v>
      </c>
      <c r="AE3256" s="3">
        <f>IFERROR(__xludf.DUMMYFUNCTION("""COMPUTED_VALUE"""),100.50184)</f>
        <v>100.50184</v>
      </c>
      <c r="AF3256" s="3" t="str">
        <f>IFERROR(__xludf.DUMMYFUNCTION("""COMPUTED_VALUE"""),"BCM เจริญนคร 14 กรุงเทพฯ-22712")</f>
        <v>BCM เจริญนคร 14 กรุงเทพฯ-22712</v>
      </c>
      <c r="AG3256" s="3" t="str">
        <f>IFERROR(__xludf.DUMMYFUNCTION("""COMPUTED_VALUE"""),"กลาง")</f>
        <v>กลาง</v>
      </c>
      <c r="AH3256" s="3" t="str">
        <f>IFERROR(__xludf.DUMMYFUNCTION("""COMPUTED_VALUE"""),"#N/A")</f>
        <v>#N/A</v>
      </c>
      <c r="AI3256" s="3" t="str">
        <f>IFERROR(__xludf.DUMMYFUNCTION("""COMPUTED_VALUE"""),"In warranty")</f>
        <v>In warranty</v>
      </c>
      <c r="AJ3256" s="3">
        <f>IFERROR(__xludf.DUMMYFUNCTION("""COMPUTED_VALUE"""),10.0)</f>
        <v>10</v>
      </c>
      <c r="AK3256" s="3"/>
      <c r="AL3256" s="3"/>
    </row>
    <row r="3257" ht="15.75" customHeight="1">
      <c r="A3257" s="1" t="str">
        <f>IFERROR(__xludf.DUMMYFUNCTION("""COMPUTED_VALUE"""),"15072")</f>
        <v>15072</v>
      </c>
      <c r="B3257" s="2">
        <f>IFERROR(__xludf.DUMMYFUNCTION("""COMPUTED_VALUE"""),15072.0)</f>
        <v>15072</v>
      </c>
      <c r="C3257" s="3" t="str">
        <f>IFERROR(__xludf.DUMMYFUNCTION("""COMPUTED_VALUE"""),"สวนนงนุช")</f>
        <v>สวนนงนุช</v>
      </c>
      <c r="D3257" s="3" t="str">
        <f>IFERROR(__xludf.DUMMYFUNCTION("""COMPUTED_VALUE"""),"BIGC MARKET SUAN NONGNUCH")</f>
        <v>BIGC MARKET SUAN NONGNUCH</v>
      </c>
      <c r="E3257" s="1" t="str">
        <f>IFERROR(__xludf.DUMMYFUNCTION("""COMPUTED_VALUE"""),"บิ๊กซี Market")</f>
        <v>บิ๊กซี Market</v>
      </c>
      <c r="F3257" s="1" t="str">
        <f>IFERROR(__xludf.DUMMYFUNCTION("""COMPUTED_VALUE"""),"2455164")</f>
        <v>2455164</v>
      </c>
      <c r="G3257" s="1" t="str">
        <f>IFERROR(__xludf.DUMMYFUNCTION("""COMPUTED_VALUE"""),"นายกรวิทย์ เจริญพร")</f>
        <v>นายกรวิทย์ เจริญพร</v>
      </c>
      <c r="H3257" s="1" t="str">
        <f>IFERROR(__xludf.DUMMYFUNCTION("""COMPUTED_VALUE"""),"2455164")</f>
        <v>2455164</v>
      </c>
      <c r="I3257" s="1" t="str">
        <f>IFERROR(__xludf.DUMMYFUNCTION("""COMPUTED_VALUE"""),"นายกรวิทย์ เจริญพร")</f>
        <v>นายกรวิทย์ เจริญพร</v>
      </c>
      <c r="J3257" s="3">
        <f>IFERROR(__xludf.DUMMYFUNCTION("""COMPUTED_VALUE"""),2455164.0)</f>
        <v>2455164</v>
      </c>
      <c r="K3257" s="3" t="str">
        <f>IFERROR(__xludf.DUMMYFUNCTION("""COMPUTED_VALUE"""),"นายกรวิทย์ เจริญพร")</f>
        <v>นายกรวิทย์ เจริญพร</v>
      </c>
      <c r="L3257" s="1" t="str">
        <f>IFERROR(__xludf.DUMMYFUNCTION("""COMPUTED_VALUE"""),"Hub08-East")</f>
        <v>Hub08-East</v>
      </c>
      <c r="M3257" s="1" t="str">
        <f>IFERROR(__xludf.DUMMYFUNCTION("""COMPUTED_VALUE"""),"092-605-9922")</f>
        <v>092-605-9922</v>
      </c>
      <c r="N3257" s="3">
        <f>IFERROR(__xludf.DUMMYFUNCTION("""COMPUTED_VALUE"""),15072.0)</f>
        <v>15072</v>
      </c>
      <c r="O3257" s="3" t="str">
        <f>IFERROR(__xludf.DUMMYFUNCTION("""COMPUTED_VALUE"""),"สวนนงนุช")</f>
        <v>สวนนงนุช</v>
      </c>
      <c r="P3257" s="4">
        <f>IFERROR(__xludf.DUMMYFUNCTION("""COMPUTED_VALUE"""),45831.0)</f>
        <v>45831</v>
      </c>
      <c r="Q3257" s="3" t="str">
        <f>IFERROR(__xludf.DUMMYFUNCTION("""COMPUTED_VALUE"""),"A")</f>
        <v>A</v>
      </c>
      <c r="R3257" s="3" t="str">
        <f>IFERROR(__xludf.DUMMYFUNCTION("""COMPUTED_VALUE"""),"Big Format")</f>
        <v>Big Format</v>
      </c>
      <c r="S3257" s="3" t="str">
        <f>IFERROR(__xludf.DUMMYFUNCTION("""COMPUTED_VALUE"""),"BMK")</f>
        <v>BMK</v>
      </c>
      <c r="T3257" s="3" t="str">
        <f>IFERROR(__xludf.DUMMYFUNCTION("""COMPUTED_VALUE"""),"Hub08-East")</f>
        <v>Hub08-East</v>
      </c>
      <c r="U3257" s="3" t="str">
        <f>IFERROR(__xludf.DUMMYFUNCTION("""COMPUTED_VALUE"""),"Hub08-East")</f>
        <v>Hub08-East</v>
      </c>
      <c r="V3257" s="3" t="str">
        <f>IFERROR(__xludf.DUMMYFUNCTION("""COMPUTED_VALUE"""),"N")</f>
        <v>N</v>
      </c>
      <c r="W3257" s="3">
        <f>IFERROR(__xludf.DUMMYFUNCTION("""COMPUTED_VALUE"""),151091.0)</f>
        <v>151091</v>
      </c>
      <c r="X3257" s="3" t="str">
        <f>IFERROR(__xludf.DUMMYFUNCTION("""COMPUTED_VALUE"""),"เลขที่ 34/13 หมู่ 7 ตำบลนาจอมเทียน อำเภอสัตหีบ จังหวัดชลบุรี 20250")</f>
        <v>เลขที่ 34/13 หมู่ 7 ตำบลนาจอมเทียน อำเภอสัตหีบ จังหวัดชลบุรี 20250</v>
      </c>
      <c r="Y3257" s="3"/>
      <c r="Z3257" s="3" t="str">
        <f>IFERROR(__xludf.DUMMYFUNCTION("""COMPUTED_VALUE"""),"นาจอมเทียน")</f>
        <v>นาจอมเทียน</v>
      </c>
      <c r="AA3257" s="3" t="str">
        <f>IFERROR(__xludf.DUMMYFUNCTION("""COMPUTED_VALUE"""),"สัตหีบ")</f>
        <v>สัตหีบ</v>
      </c>
      <c r="AB3257" s="3" t="str">
        <f>IFERROR(__xludf.DUMMYFUNCTION("""COMPUTED_VALUE"""),"ชลบุรี")</f>
        <v>ชลบุรี</v>
      </c>
      <c r="AC3257" s="3">
        <f>IFERROR(__xludf.DUMMYFUNCTION("""COMPUTED_VALUE"""),20250.0)</f>
        <v>20250</v>
      </c>
      <c r="AD3257" s="3">
        <f>IFERROR(__xludf.DUMMYFUNCTION("""COMPUTED_VALUE"""),12.76559639)</f>
        <v>12.76559639</v>
      </c>
      <c r="AE3257" s="3">
        <f>IFERROR(__xludf.DUMMYFUNCTION("""COMPUTED_VALUE"""),100.9351207)</f>
        <v>100.9351207</v>
      </c>
      <c r="AF3257" s="3" t="str">
        <f>IFERROR(__xludf.DUMMYFUNCTION("""COMPUTED_VALUE"""),"สวนนงนุช-15072")</f>
        <v>สวนนงนุช-15072</v>
      </c>
      <c r="AG3257" s="3" t="str">
        <f>IFERROR(__xludf.DUMMYFUNCTION("""COMPUTED_VALUE"""),"ตะวันออก")</f>
        <v>ตะวันออก</v>
      </c>
      <c r="AH3257" s="3" t="str">
        <f>IFERROR(__xludf.DUMMYFUNCTION("""COMPUTED_VALUE"""),"Walaiporn Sutyod")</f>
        <v>Walaiporn Sutyod</v>
      </c>
      <c r="AI3257" s="3" t="str">
        <f>IFERROR(__xludf.DUMMYFUNCTION("""COMPUTED_VALUE"""),"In warranty")</f>
        <v>In warranty</v>
      </c>
      <c r="AJ3257" s="3">
        <f>IFERROR(__xludf.DUMMYFUNCTION("""COMPUTED_VALUE"""),7.0)</f>
        <v>7</v>
      </c>
      <c r="AK3257" s="3"/>
      <c r="AL3257" s="3"/>
    </row>
    <row r="3258" ht="15.75" customHeight="1">
      <c r="A3258" s="1" t="str">
        <f>IFERROR(__xludf.DUMMYFUNCTION("""COMPUTED_VALUE"""),"22721")</f>
        <v>22721</v>
      </c>
      <c r="B3258" s="2">
        <f>IFERROR(__xludf.DUMMYFUNCTION("""COMPUTED_VALUE"""),22721.0)</f>
        <v>22721</v>
      </c>
      <c r="C3258" s="3" t="str">
        <f>IFERROR(__xludf.DUMMYFUNCTION("""COMPUTED_VALUE"""),"BCM แม่น้ำคู้ ซ.1 ระยอง")</f>
        <v>BCM แม่น้ำคู้ ซ.1 ระยอง</v>
      </c>
      <c r="D3258" s="3" t="str">
        <f>IFERROR(__xludf.DUMMYFUNCTION("""COMPUTED_VALUE"""),"BCM MAENAM KHU SOI 1 RAYONG")</f>
        <v>BCM MAENAM KHU SOI 1 RAYONG</v>
      </c>
      <c r="E3258" s="1" t="str">
        <f>IFERROR(__xludf.DUMMYFUNCTION("""COMPUTED_VALUE"""),"บิ๊กซี MINI")</f>
        <v>บิ๊กซี MINI</v>
      </c>
      <c r="F3258" s="1" t="str">
        <f>IFERROR(__xludf.DUMMYFUNCTION("""COMPUTED_VALUE"""),"221716")</f>
        <v>221716</v>
      </c>
      <c r="G3258" s="1" t="str">
        <f>IFERROR(__xludf.DUMMYFUNCTION("""COMPUTED_VALUE"""),"น.ส.เบญจพร โพธิสาร")</f>
        <v>น.ส.เบญจพร โพธิสาร</v>
      </c>
      <c r="H3258" s="1" t="str">
        <f>IFERROR(__xludf.DUMMYFUNCTION("""COMPUTED_VALUE"""),"371384")</f>
        <v>371384</v>
      </c>
      <c r="I3258" s="1" t="str">
        <f>IFERROR(__xludf.DUMMYFUNCTION("""COMPUTED_VALUE"""),"น.ส.นิลเนตร สิงห์ทอง")</f>
        <v>น.ส.นิลเนตร สิงห์ทอง</v>
      </c>
      <c r="J3258" s="3">
        <f>IFERROR(__xludf.DUMMYFUNCTION("""COMPUTED_VALUE"""),2452376.0)</f>
        <v>2452376</v>
      </c>
      <c r="K3258" s="3" t="str">
        <f>IFERROR(__xludf.DUMMYFUNCTION("""COMPUTED_VALUE"""),"นายภาคภูมิ ทวีกุล")</f>
        <v>นายภาคภูมิ ทวีกุล</v>
      </c>
      <c r="L3258" s="1" t="str">
        <f>IFERROR(__xludf.DUMMYFUNCTION("""COMPUTED_VALUE"""),"08 K.Parkphum T.")</f>
        <v>08 K.Parkphum T.</v>
      </c>
      <c r="M3258" s="1" t="str">
        <f>IFERROR(__xludf.DUMMYFUNCTION("""COMPUTED_VALUE"""),"097-919-5476")</f>
        <v>097-919-5476</v>
      </c>
      <c r="N3258" s="3">
        <f>IFERROR(__xludf.DUMMYFUNCTION("""COMPUTED_VALUE"""),22028.0)</f>
        <v>22028</v>
      </c>
      <c r="O3258" s="3" t="str">
        <f>IFERROR(__xludf.DUMMYFUNCTION("""COMPUTED_VALUE"""),"MBC ทํบมา ระยอง")</f>
        <v>MBC ทํบมา ระยอง</v>
      </c>
      <c r="P3258" s="4">
        <f>IFERROR(__xludf.DUMMYFUNCTION("""COMPUTED_VALUE"""),45831.0)</f>
        <v>45831</v>
      </c>
      <c r="Q3258" s="3" t="str">
        <f>IFERROR(__xludf.DUMMYFUNCTION("""COMPUTED_VALUE"""),"A")</f>
        <v>A</v>
      </c>
      <c r="R3258" s="3" t="str">
        <f>IFERROR(__xludf.DUMMYFUNCTION("""COMPUTED_VALUE"""),"Small Format")</f>
        <v>Small Format</v>
      </c>
      <c r="S3258" s="3" t="str">
        <f>IFERROR(__xludf.DUMMYFUNCTION("""COMPUTED_VALUE"""),"BCM")</f>
        <v>BCM</v>
      </c>
      <c r="T3258" s="3" t="str">
        <f>IFERROR(__xludf.DUMMYFUNCTION("""COMPUTED_VALUE"""),"#N/A")</f>
        <v>#N/A</v>
      </c>
      <c r="U3258" s="3" t="str">
        <f>IFERROR(__xludf.DUMMYFUNCTION("""COMPUTED_VALUE"""),"#N/A")</f>
        <v>#N/A</v>
      </c>
      <c r="V3258" s="3" t="str">
        <f>IFERROR(__xludf.DUMMYFUNCTION("""COMPUTED_VALUE"""),"N")</f>
        <v>N</v>
      </c>
      <c r="W3258" s="3">
        <f>IFERROR(__xludf.DUMMYFUNCTION("""COMPUTED_VALUE"""),210831.0)</f>
        <v>210831</v>
      </c>
      <c r="X3258" s="3" t="str">
        <f>IFERROR(__xludf.DUMMYFUNCTION("""COMPUTED_VALUE"""),"1061 หมู่ 5 ตำบลแม่น้ำคู้ อำเภอปลวกแดง จังหวัดระยอง 21140")</f>
        <v>1061 หมู่ 5 ตำบลแม่น้ำคู้ อำเภอปลวกแดง จังหวัดระยอง 21140</v>
      </c>
      <c r="Y3258" s="3"/>
      <c r="Z3258" s="3" t="str">
        <f>IFERROR(__xludf.DUMMYFUNCTION("""COMPUTED_VALUE"""),"แม่น้ำคู้")</f>
        <v>แม่น้ำคู้</v>
      </c>
      <c r="AA3258" s="3" t="str">
        <f>IFERROR(__xludf.DUMMYFUNCTION("""COMPUTED_VALUE"""),"ปลวกแดง")</f>
        <v>ปลวกแดง</v>
      </c>
      <c r="AB3258" s="3" t="str">
        <f>IFERROR(__xludf.DUMMYFUNCTION("""COMPUTED_VALUE"""),"ระยอง")</f>
        <v>ระยอง</v>
      </c>
      <c r="AC3258" s="3">
        <f>IFERROR(__xludf.DUMMYFUNCTION("""COMPUTED_VALUE"""),21140.0)</f>
        <v>21140</v>
      </c>
      <c r="AD3258" s="3">
        <f>IFERROR(__xludf.DUMMYFUNCTION("""COMPUTED_VALUE"""),12.924419)</f>
        <v>12.924419</v>
      </c>
      <c r="AE3258" s="3">
        <f>IFERROR(__xludf.DUMMYFUNCTION("""COMPUTED_VALUE"""),101.244563)</f>
        <v>101.244563</v>
      </c>
      <c r="AF3258" s="3" t="str">
        <f>IFERROR(__xludf.DUMMYFUNCTION("""COMPUTED_VALUE"""),"BCM แม่น้ำคู้ ซ.1 ระยอง-22721")</f>
        <v>BCM แม่น้ำคู้ ซ.1 ระยอง-22721</v>
      </c>
      <c r="AG3258" s="3" t="str">
        <f>IFERROR(__xludf.DUMMYFUNCTION("""COMPUTED_VALUE"""),"ตะวันออก")</f>
        <v>ตะวันออก</v>
      </c>
      <c r="AH3258" s="3" t="str">
        <f>IFERROR(__xludf.DUMMYFUNCTION("""COMPUTED_VALUE"""),"#N/A")</f>
        <v>#N/A</v>
      </c>
      <c r="AI3258" s="3" t="str">
        <f>IFERROR(__xludf.DUMMYFUNCTION("""COMPUTED_VALUE"""),"In warranty")</f>
        <v>In warranty</v>
      </c>
      <c r="AJ3258" s="3">
        <f>IFERROR(__xludf.DUMMYFUNCTION("""COMPUTED_VALUE"""),7.0)</f>
        <v>7</v>
      </c>
      <c r="AK3258" s="3"/>
      <c r="AL3258" s="3"/>
    </row>
    <row r="3259" ht="15.75" customHeight="1">
      <c r="A3259" s="1" t="str">
        <f>IFERROR(__xludf.DUMMYFUNCTION("""COMPUTED_VALUE"""),"22720")</f>
        <v>22720</v>
      </c>
      <c r="B3259" s="2">
        <f>IFERROR(__xludf.DUMMYFUNCTION("""COMPUTED_VALUE"""),22720.0)</f>
        <v>22720</v>
      </c>
      <c r="C3259" s="3" t="str">
        <f>IFERROR(__xludf.DUMMYFUNCTION("""COMPUTED_VALUE"""),"BCM ชุมชนหนองหลุบ ขอนแก่น")</f>
        <v>BCM ชุมชนหนองหลุบ ขอนแก่น</v>
      </c>
      <c r="D3259" s="3" t="str">
        <f>IFERROR(__xludf.DUMMYFUNCTION("""COMPUTED_VALUE"""),"BCM CHUMCHON NONG LUP KHONKAEN")</f>
        <v>BCM CHUMCHON NONG LUP KHONKAEN</v>
      </c>
      <c r="E3259" s="1" t="str">
        <f>IFERROR(__xludf.DUMMYFUNCTION("""COMPUTED_VALUE"""),"บิ๊กซี MINI")</f>
        <v>บิ๊กซี MINI</v>
      </c>
      <c r="F3259" s="1" t="str">
        <f>IFERROR(__xludf.DUMMYFUNCTION("""COMPUTED_VALUE"""),"291105")</f>
        <v>291105</v>
      </c>
      <c r="G3259" s="1" t="str">
        <f>IFERROR(__xludf.DUMMYFUNCTION("""COMPUTED_VALUE"""),"นายสราวุฒิ พณิชยกุล")</f>
        <v>นายสราวุฒิ พณิชยกุล</v>
      </c>
      <c r="H3259" s="1" t="str">
        <f>IFERROR(__xludf.DUMMYFUNCTION("""COMPUTED_VALUE"""),"305119")</f>
        <v>305119</v>
      </c>
      <c r="I3259" s="1" t="str">
        <f>IFERROR(__xludf.DUMMYFUNCTION("""COMPUTED_VALUE"""),"นายไชยกร ลีพิบูลย์สวัสดิ์")</f>
        <v>นายไชยกร ลีพิบูลย์สวัสดิ์</v>
      </c>
      <c r="J3259" s="3">
        <f>IFERROR(__xludf.DUMMYFUNCTION("""COMPUTED_VALUE"""),296868.0)</f>
        <v>296868</v>
      </c>
      <c r="K3259" s="3" t="str">
        <f>IFERROR(__xludf.DUMMYFUNCTION("""COMPUTED_VALUE"""),"นายพีระพงษ์ แก้วดวงดี")</f>
        <v>นายพีระพงษ์ แก้วดวงดี</v>
      </c>
      <c r="L3259" s="1" t="str">
        <f>IFERROR(__xludf.DUMMYFUNCTION("""COMPUTED_VALUE"""),"03 K.Peerapong K.")</f>
        <v>03 K.Peerapong K.</v>
      </c>
      <c r="M3259" s="1" t="str">
        <f>IFERROR(__xludf.DUMMYFUNCTION("""COMPUTED_VALUE"""),"089-002-6599")</f>
        <v>089-002-6599</v>
      </c>
      <c r="N3259" s="3">
        <f>IFERROR(__xludf.DUMMYFUNCTION("""COMPUTED_VALUE"""),21946.0)</f>
        <v>21946</v>
      </c>
      <c r="O3259" s="3" t="str">
        <f>IFERROR(__xludf.DUMMYFUNCTION("""COMPUTED_VALUE"""),"MBC เซกา บึงกาฬ")</f>
        <v>MBC เซกา บึงกาฬ</v>
      </c>
      <c r="P3259" s="4">
        <f>IFERROR(__xludf.DUMMYFUNCTION("""COMPUTED_VALUE"""),45831.0)</f>
        <v>45831</v>
      </c>
      <c r="Q3259" s="3" t="str">
        <f>IFERROR(__xludf.DUMMYFUNCTION("""COMPUTED_VALUE"""),"A")</f>
        <v>A</v>
      </c>
      <c r="R3259" s="3" t="str">
        <f>IFERROR(__xludf.DUMMYFUNCTION("""COMPUTED_VALUE"""),"Small Format")</f>
        <v>Small Format</v>
      </c>
      <c r="S3259" s="3" t="str">
        <f>IFERROR(__xludf.DUMMYFUNCTION("""COMPUTED_VALUE"""),"BCM")</f>
        <v>BCM</v>
      </c>
      <c r="T3259" s="3" t="str">
        <f>IFERROR(__xludf.DUMMYFUNCTION("""COMPUTED_VALUE"""),"#N/A")</f>
        <v>#N/A</v>
      </c>
      <c r="U3259" s="3" t="str">
        <f>IFERROR(__xludf.DUMMYFUNCTION("""COMPUTED_VALUE"""),"#N/A")</f>
        <v>#N/A</v>
      </c>
      <c r="V3259" s="3" t="str">
        <f>IFERROR(__xludf.DUMMYFUNCTION("""COMPUTED_VALUE"""),"N")</f>
        <v>N</v>
      </c>
      <c r="W3259" s="3">
        <f>IFERROR(__xludf.DUMMYFUNCTION("""COMPUTED_VALUE"""),210599.0)</f>
        <v>210599</v>
      </c>
      <c r="X3259" s="3" t="str">
        <f>IFERROR(__xludf.DUMMYFUNCTION("""COMPUTED_VALUE"""),"357 หมู่ 8 ตำบลแดงใหญ่ อำเภอเมืองขอนแก่น จังหวัดขอนแก่น 40000")</f>
        <v>357 หมู่ 8 ตำบลแดงใหญ่ อำเภอเมืองขอนแก่น จังหวัดขอนแก่น 40000</v>
      </c>
      <c r="Y3259" s="3"/>
      <c r="Z3259" s="3" t="str">
        <f>IFERROR(__xludf.DUMMYFUNCTION("""COMPUTED_VALUE"""),"แดงใหญ่")</f>
        <v>แดงใหญ่</v>
      </c>
      <c r="AA3259" s="3" t="str">
        <f>IFERROR(__xludf.DUMMYFUNCTION("""COMPUTED_VALUE"""),"เมืองขอนแก่น")</f>
        <v>เมืองขอนแก่น</v>
      </c>
      <c r="AB3259" s="3" t="str">
        <f>IFERROR(__xludf.DUMMYFUNCTION("""COMPUTED_VALUE"""),"ขอนแก่น")</f>
        <v>ขอนแก่น</v>
      </c>
      <c r="AC3259" s="3">
        <f>IFERROR(__xludf.DUMMYFUNCTION("""COMPUTED_VALUE"""),40000.0)</f>
        <v>40000</v>
      </c>
      <c r="AD3259" s="3">
        <f>IFERROR(__xludf.DUMMYFUNCTION("""COMPUTED_VALUE"""),16.464353)</f>
        <v>16.464353</v>
      </c>
      <c r="AE3259" s="3">
        <f>IFERROR(__xludf.DUMMYFUNCTION("""COMPUTED_VALUE"""),102.75437)</f>
        <v>102.75437</v>
      </c>
      <c r="AF3259" s="3" t="str">
        <f>IFERROR(__xludf.DUMMYFUNCTION("""COMPUTED_VALUE"""),"BCM ชุมชนหนองหลุบ ขอนแก่น-22720")</f>
        <v>BCM ชุมชนหนองหลุบ ขอนแก่น-22720</v>
      </c>
      <c r="AG3259" s="3" t="str">
        <f>IFERROR(__xludf.DUMMYFUNCTION("""COMPUTED_VALUE"""),"ตะวันออกเฉียงเหนือ")</f>
        <v>ตะวันออกเฉียงเหนือ</v>
      </c>
      <c r="AH3259" s="3" t="str">
        <f>IFERROR(__xludf.DUMMYFUNCTION("""COMPUTED_VALUE"""),"#N/A")</f>
        <v>#N/A</v>
      </c>
      <c r="AI3259" s="3" t="str">
        <f>IFERROR(__xludf.DUMMYFUNCTION("""COMPUTED_VALUE"""),"In warranty")</f>
        <v>In warranty</v>
      </c>
      <c r="AJ3259" s="3">
        <f>IFERROR(__xludf.DUMMYFUNCTION("""COMPUTED_VALUE"""),7.0)</f>
        <v>7</v>
      </c>
      <c r="AK3259" s="3"/>
      <c r="AL3259" s="3"/>
    </row>
    <row r="3260" ht="15.75" customHeight="1">
      <c r="A3260" s="1" t="str">
        <f>IFERROR(__xludf.DUMMYFUNCTION("""COMPUTED_VALUE"""),"22723")</f>
        <v>22723</v>
      </c>
      <c r="B3260" s="2">
        <f>IFERROR(__xludf.DUMMYFUNCTION("""COMPUTED_VALUE"""),22723.0)</f>
        <v>22723</v>
      </c>
      <c r="C3260" s="3" t="str">
        <f>IFERROR(__xludf.DUMMYFUNCTION("""COMPUTED_VALUE"""),"BCM ถ.บ่อวิน ยางเอน ชลบุรี")</f>
        <v>BCM ถ.บ่อวิน ยางเอน ชลบุรี</v>
      </c>
      <c r="D3260" s="3" t="str">
        <f>IFERROR(__xludf.DUMMYFUNCTION("""COMPUTED_VALUE"""),"BCM THANON BOWIN YANG EN")</f>
        <v>BCM THANON BOWIN YANG EN</v>
      </c>
      <c r="E3260" s="1" t="str">
        <f>IFERROR(__xludf.DUMMYFUNCTION("""COMPUTED_VALUE"""),"บิ๊กซี MINI")</f>
        <v>บิ๊กซี MINI</v>
      </c>
      <c r="F3260" s="1" t="str">
        <f>IFERROR(__xludf.DUMMYFUNCTION("""COMPUTED_VALUE"""),"221716")</f>
        <v>221716</v>
      </c>
      <c r="G3260" s="1" t="str">
        <f>IFERROR(__xludf.DUMMYFUNCTION("""COMPUTED_VALUE"""),"น.ส.เบญจพร โพธิสาร")</f>
        <v>น.ส.เบญจพร โพธิสาร</v>
      </c>
      <c r="H3260" s="1" t="str">
        <f>IFERROR(__xludf.DUMMYFUNCTION("""COMPUTED_VALUE"""),"376139")</f>
        <v>376139</v>
      </c>
      <c r="I3260" s="1" t="str">
        <f>IFERROR(__xludf.DUMMYFUNCTION("""COMPUTED_VALUE"""),"นายอนุชา อำไพ")</f>
        <v>นายอนุชา อำไพ</v>
      </c>
      <c r="J3260" s="3">
        <f>IFERROR(__xludf.DUMMYFUNCTION("""COMPUTED_VALUE"""),296942.0)</f>
        <v>296942</v>
      </c>
      <c r="K3260" s="3" t="str">
        <f>IFERROR(__xludf.DUMMYFUNCTION("""COMPUTED_VALUE"""),"นายปิยะ รักษากิจ")</f>
        <v>นายปิยะ รักษากิจ</v>
      </c>
      <c r="L3260" s="1" t="str">
        <f>IFERROR(__xludf.DUMMYFUNCTION("""COMPUTED_VALUE"""),"07 K.Piya R.")</f>
        <v>07 K.Piya R.</v>
      </c>
      <c r="M3260" s="1" t="str">
        <f>IFERROR(__xludf.DUMMYFUNCTION("""COMPUTED_VALUE"""),"097-919-5476")</f>
        <v>097-919-5476</v>
      </c>
      <c r="N3260" s="3">
        <f>IFERROR(__xludf.DUMMYFUNCTION("""COMPUTED_VALUE"""),21332.0)</f>
        <v>21332</v>
      </c>
      <c r="O3260" s="3" t="str">
        <f>IFERROR(__xludf.DUMMYFUNCTION("""COMPUTED_VALUE"""),"MBC BCP อ่อนนุช 17/1")</f>
        <v>MBC BCP อ่อนนุช 17/1</v>
      </c>
      <c r="P3260" s="4">
        <f>IFERROR(__xludf.DUMMYFUNCTION("""COMPUTED_VALUE"""),45831.0)</f>
        <v>45831</v>
      </c>
      <c r="Q3260" s="3" t="str">
        <f>IFERROR(__xludf.DUMMYFUNCTION("""COMPUTED_VALUE"""),"A")</f>
        <v>A</v>
      </c>
      <c r="R3260" s="3" t="str">
        <f>IFERROR(__xludf.DUMMYFUNCTION("""COMPUTED_VALUE"""),"Small Format")</f>
        <v>Small Format</v>
      </c>
      <c r="S3260" s="3" t="str">
        <f>IFERROR(__xludf.DUMMYFUNCTION("""COMPUTED_VALUE"""),"BCM")</f>
        <v>BCM</v>
      </c>
      <c r="T3260" s="3" t="str">
        <f>IFERROR(__xludf.DUMMYFUNCTION("""COMPUTED_VALUE"""),"#N/A")</f>
        <v>#N/A</v>
      </c>
      <c r="U3260" s="3" t="str">
        <f>IFERROR(__xludf.DUMMYFUNCTION("""COMPUTED_VALUE"""),"#N/A")</f>
        <v>#N/A</v>
      </c>
      <c r="V3260" s="3" t="str">
        <f>IFERROR(__xludf.DUMMYFUNCTION("""COMPUTED_VALUE"""),"N")</f>
        <v>N</v>
      </c>
      <c r="W3260" s="3">
        <f>IFERROR(__xludf.DUMMYFUNCTION("""COMPUTED_VALUE"""),210605.0)</f>
        <v>210605</v>
      </c>
      <c r="X3260" s="3" t="str">
        <f>IFERROR(__xludf.DUMMYFUNCTION("""COMPUTED_VALUE"""),"96/284 หมู่ 2 ตําบลบ่อวิน อําเภอศรีราชา จังหวัดชลบุรี 20230")</f>
        <v>96/284 หมู่ 2 ตําบลบ่อวิน อําเภอศรีราชา จังหวัดชลบุรี 20230</v>
      </c>
      <c r="Y3260" s="3"/>
      <c r="Z3260" s="3" t="str">
        <f>IFERROR(__xludf.DUMMYFUNCTION("""COMPUTED_VALUE"""),"บ่อวิน")</f>
        <v>บ่อวิน</v>
      </c>
      <c r="AA3260" s="3" t="str">
        <f>IFERROR(__xludf.DUMMYFUNCTION("""COMPUTED_VALUE"""),"ศรีราชา")</f>
        <v>ศรีราชา</v>
      </c>
      <c r="AB3260" s="3" t="str">
        <f>IFERROR(__xludf.DUMMYFUNCTION("""COMPUTED_VALUE"""),"ชลบุรี")</f>
        <v>ชลบุรี</v>
      </c>
      <c r="AC3260" s="3">
        <f>IFERROR(__xludf.DUMMYFUNCTION("""COMPUTED_VALUE"""),20230.0)</f>
        <v>20230</v>
      </c>
      <c r="AD3260" s="3">
        <f>IFERROR(__xludf.DUMMYFUNCTION("""COMPUTED_VALUE"""),13.064726)</f>
        <v>13.064726</v>
      </c>
      <c r="AE3260" s="3">
        <f>IFERROR(__xludf.DUMMYFUNCTION("""COMPUTED_VALUE"""),101.065966)</f>
        <v>101.065966</v>
      </c>
      <c r="AF3260" s="3" t="str">
        <f>IFERROR(__xludf.DUMMYFUNCTION("""COMPUTED_VALUE"""),"BCM ถ.บ่อวิน ยางเอน ชลบุรี-22723")</f>
        <v>BCM ถ.บ่อวิน ยางเอน ชลบุรี-22723</v>
      </c>
      <c r="AG3260" s="3" t="str">
        <f>IFERROR(__xludf.DUMMYFUNCTION("""COMPUTED_VALUE"""),"ตะวันออก")</f>
        <v>ตะวันออก</v>
      </c>
      <c r="AH3260" s="3" t="str">
        <f>IFERROR(__xludf.DUMMYFUNCTION("""COMPUTED_VALUE"""),"#N/A")</f>
        <v>#N/A</v>
      </c>
      <c r="AI3260" s="3" t="str">
        <f>IFERROR(__xludf.DUMMYFUNCTION("""COMPUTED_VALUE"""),"In warranty")</f>
        <v>In warranty</v>
      </c>
      <c r="AJ3260" s="3">
        <f>IFERROR(__xludf.DUMMYFUNCTION("""COMPUTED_VALUE"""),7.0)</f>
        <v>7</v>
      </c>
      <c r="AK3260" s="3"/>
      <c r="AL3260" s="3"/>
    </row>
    <row r="3261" ht="15.75" customHeight="1">
      <c r="A3261" s="1" t="str">
        <f>IFERROR(__xludf.DUMMYFUNCTION("""COMPUTED_VALUE"""),"22719")</f>
        <v>22719</v>
      </c>
      <c r="B3261" s="2">
        <f>IFERROR(__xludf.DUMMYFUNCTION("""COMPUTED_VALUE"""),22719.0)</f>
        <v>22719</v>
      </c>
      <c r="C3261" s="3" t="str">
        <f>IFERROR(__xludf.DUMMYFUNCTION("""COMPUTED_VALUE"""),"BCM TCC ฝังตรงข้าม ม.เกษตรฯ กรุงเทพฯ")</f>
        <v>BCM TCC ฝังตรงข้าม ม.เกษตรฯ กรุงเทพฯ</v>
      </c>
      <c r="D3261" s="3" t="str">
        <f>IFERROR(__xludf.DUMMYFUNCTION("""COMPUTED_VALUE"""),"BCM TCC OPPOSITE KASETSART")</f>
        <v>BCM TCC OPPOSITE KASETSART</v>
      </c>
      <c r="E3261" s="1" t="str">
        <f>IFERROR(__xludf.DUMMYFUNCTION("""COMPUTED_VALUE"""),"บิ๊กซี MINI")</f>
        <v>บิ๊กซี MINI</v>
      </c>
      <c r="F3261" s="1" t="str">
        <f>IFERROR(__xludf.DUMMYFUNCTION("""COMPUTED_VALUE"""),"291008")</f>
        <v>291008</v>
      </c>
      <c r="G3261" s="1" t="str">
        <f>IFERROR(__xludf.DUMMYFUNCTION("""COMPUTED_VALUE"""),"น.ส.รัชดาพร อีศรัตน์")</f>
        <v>น.ส.รัชดาพร อีศรัตน์</v>
      </c>
      <c r="H3261" s="1" t="str">
        <f>IFERROR(__xludf.DUMMYFUNCTION("""COMPUTED_VALUE"""),"373540")</f>
        <v>373540</v>
      </c>
      <c r="I3261" s="1" t="str">
        <f>IFERROR(__xludf.DUMMYFUNCTION("""COMPUTED_VALUE"""),"นายทศพร พึ่งพบ")</f>
        <v>นายทศพร พึ่งพบ</v>
      </c>
      <c r="J3261" s="3">
        <f>IFERROR(__xludf.DUMMYFUNCTION("""COMPUTED_VALUE"""),2452378.0)</f>
        <v>2452378</v>
      </c>
      <c r="K3261" s="3" t="str">
        <f>IFERROR(__xludf.DUMMYFUNCTION("""COMPUTED_VALUE"""),"นายศักดิ์ดา พวงประดับ")</f>
        <v>นายศักดิ์ดา พวงประดับ</v>
      </c>
      <c r="L3261" s="1" t="str">
        <f>IFERROR(__xludf.DUMMYFUNCTION("""COMPUTED_VALUE"""),"11 K.Sakda P.")</f>
        <v>11 K.Sakda P.</v>
      </c>
      <c r="M3261" s="1" t="str">
        <f>IFERROR(__xludf.DUMMYFUNCTION("""COMPUTED_VALUE"""),"065-929-1279")</f>
        <v>065-929-1279</v>
      </c>
      <c r="N3261" s="3">
        <f>IFERROR(__xludf.DUMMYFUNCTION("""COMPUTED_VALUE"""),21002.0)</f>
        <v>21002</v>
      </c>
      <c r="O3261" s="3" t="str">
        <f>IFERROR(__xludf.DUMMYFUNCTION("""COMPUTED_VALUE"""),"MBC อุดมสุข")</f>
        <v>MBC อุดมสุข</v>
      </c>
      <c r="P3261" s="4">
        <f>IFERROR(__xludf.DUMMYFUNCTION("""COMPUTED_VALUE"""),45837.0)</f>
        <v>45837</v>
      </c>
      <c r="Q3261" s="3" t="str">
        <f>IFERROR(__xludf.DUMMYFUNCTION("""COMPUTED_VALUE"""),"A")</f>
        <v>A</v>
      </c>
      <c r="R3261" s="3" t="str">
        <f>IFERROR(__xludf.DUMMYFUNCTION("""COMPUTED_VALUE"""),"Small Format")</f>
        <v>Small Format</v>
      </c>
      <c r="S3261" s="3" t="str">
        <f>IFERROR(__xludf.DUMMYFUNCTION("""COMPUTED_VALUE"""),"BCM")</f>
        <v>BCM</v>
      </c>
      <c r="T3261" s="3" t="str">
        <f>IFERROR(__xludf.DUMMYFUNCTION("""COMPUTED_VALUE"""),"#N/A")</f>
        <v>#N/A</v>
      </c>
      <c r="U3261" s="3" t="str">
        <f>IFERROR(__xludf.DUMMYFUNCTION("""COMPUTED_VALUE"""),"#N/A")</f>
        <v>#N/A</v>
      </c>
      <c r="V3261" s="3" t="str">
        <f>IFERROR(__xludf.DUMMYFUNCTION("""COMPUTED_VALUE"""),"N")</f>
        <v>N</v>
      </c>
      <c r="W3261" s="3">
        <f>IFERROR(__xludf.DUMMYFUNCTION("""COMPUTED_VALUE"""),210819.0)</f>
        <v>210819</v>
      </c>
      <c r="X3261" s="3" t="str">
        <f>IFERROR(__xludf.DUMMYFUNCTION("""COMPUTED_VALUE"""),"2308/15-16 ถนนพหลโยธิน แขวงเสนานิคม เขตจตุจักร กรุงเทพมหานคร 10900")</f>
        <v>2308/15-16 ถนนพหลโยธิน แขวงเสนานิคม เขตจตุจักร กรุงเทพมหานคร 10900</v>
      </c>
      <c r="Y3261" s="3" t="str">
        <f>IFERROR(__xludf.DUMMYFUNCTION("""COMPUTED_VALUE"""),"พหลโยธิน")</f>
        <v>พหลโยธิน</v>
      </c>
      <c r="Z3261" s="3" t="str">
        <f>IFERROR(__xludf.DUMMYFUNCTION("""COMPUTED_VALUE"""),"เสนานิคม")</f>
        <v>เสนานิคม</v>
      </c>
      <c r="AA3261" s="3" t="str">
        <f>IFERROR(__xludf.DUMMYFUNCTION("""COMPUTED_VALUE"""),"จตุจักร")</f>
        <v>จตุจักร</v>
      </c>
      <c r="AB3261" s="3" t="str">
        <f>IFERROR(__xludf.DUMMYFUNCTION("""COMPUTED_VALUE"""),"กรุงเทพมหานคร")</f>
        <v>กรุงเทพมหานคร</v>
      </c>
      <c r="AC3261" s="3">
        <f>IFERROR(__xludf.DUMMYFUNCTION("""COMPUTED_VALUE"""),10900.0)</f>
        <v>10900</v>
      </c>
      <c r="AD3261" s="3">
        <f>IFERROR(__xludf.DUMMYFUNCTION("""COMPUTED_VALUE"""),13.841473)</f>
        <v>13.841473</v>
      </c>
      <c r="AE3261" s="3">
        <f>IFERROR(__xludf.DUMMYFUNCTION("""COMPUTED_VALUE"""),100.576881)</f>
        <v>100.576881</v>
      </c>
      <c r="AF3261" s="3" t="str">
        <f>IFERROR(__xludf.DUMMYFUNCTION("""COMPUTED_VALUE"""),"BCM TCC ฝังตรงข้าม ม.เกษตรฯ กรุงเทพฯ-22719")</f>
        <v>BCM TCC ฝังตรงข้าม ม.เกษตรฯ กรุงเทพฯ-22719</v>
      </c>
      <c r="AG3261" s="3" t="str">
        <f>IFERROR(__xludf.DUMMYFUNCTION("""COMPUTED_VALUE"""),"กลาง")</f>
        <v>กลาง</v>
      </c>
      <c r="AH3261" s="3" t="str">
        <f>IFERROR(__xludf.DUMMYFUNCTION("""COMPUTED_VALUE"""),"#N/A")</f>
        <v>#N/A</v>
      </c>
      <c r="AI3261" s="3" t="str">
        <f>IFERROR(__xludf.DUMMYFUNCTION("""COMPUTED_VALUE"""),"In warranty")</f>
        <v>In warranty</v>
      </c>
      <c r="AJ3261" s="3">
        <f>IFERROR(__xludf.DUMMYFUNCTION("""COMPUTED_VALUE"""),7.0)</f>
        <v>7</v>
      </c>
      <c r="AK3261" s="3"/>
      <c r="AL3261" s="3"/>
    </row>
    <row r="3262" ht="15.75" customHeight="1">
      <c r="A3262" s="1" t="str">
        <f>IFERROR(__xludf.DUMMYFUNCTION("""COMPUTED_VALUE"""),"22722")</f>
        <v>22722</v>
      </c>
      <c r="B3262" s="2">
        <f>IFERROR(__xludf.DUMMYFUNCTION("""COMPUTED_VALUE"""),22722.0)</f>
        <v>22722</v>
      </c>
      <c r="C3262" s="3" t="str">
        <f>IFERROR(__xludf.DUMMYFUNCTION("""COMPUTED_VALUE"""),"BCM อ่าวอุดม ชลบุรี")</f>
        <v>BCM อ่าวอุดม ชลบุรี</v>
      </c>
      <c r="D3262" s="3" t="str">
        <f>IFERROR(__xludf.DUMMYFUNCTION("""COMPUTED_VALUE"""),"BCM AOW UDOM CHONBURI")</f>
        <v>BCM AOW UDOM CHONBURI</v>
      </c>
      <c r="E3262" s="1" t="str">
        <f>IFERROR(__xludf.DUMMYFUNCTION("""COMPUTED_VALUE"""),"บิ๊กซี MINI")</f>
        <v>บิ๊กซี MINI</v>
      </c>
      <c r="F3262" s="1" t="str">
        <f>IFERROR(__xludf.DUMMYFUNCTION("""COMPUTED_VALUE"""),"221716")</f>
        <v>221716</v>
      </c>
      <c r="G3262" s="1" t="str">
        <f>IFERROR(__xludf.DUMMYFUNCTION("""COMPUTED_VALUE"""),"น.ส.เบญจพร โพธิสาร")</f>
        <v>น.ส.เบญจพร โพธิสาร</v>
      </c>
      <c r="H3262" s="1" t="str">
        <f>IFERROR(__xludf.DUMMYFUNCTION("""COMPUTED_VALUE"""),"291061")</f>
        <v>291061</v>
      </c>
      <c r="I3262" s="1" t="str">
        <f>IFERROR(__xludf.DUMMYFUNCTION("""COMPUTED_VALUE"""),"นายสมศักดิ์ เสียงก้อง")</f>
        <v>นายสมศักดิ์ เสียงก้อง</v>
      </c>
      <c r="J3262" s="3">
        <f>IFERROR(__xludf.DUMMYFUNCTION("""COMPUTED_VALUE"""),296942.0)</f>
        <v>296942</v>
      </c>
      <c r="K3262" s="3" t="str">
        <f>IFERROR(__xludf.DUMMYFUNCTION("""COMPUTED_VALUE"""),"นายปิยะ รักษากิจ")</f>
        <v>นายปิยะ รักษากิจ</v>
      </c>
      <c r="L3262" s="1" t="str">
        <f>IFERROR(__xludf.DUMMYFUNCTION("""COMPUTED_VALUE"""),"07 K.Piya R.")</f>
        <v>07 K.Piya R.</v>
      </c>
      <c r="M3262" s="1" t="str">
        <f>IFERROR(__xludf.DUMMYFUNCTION("""COMPUTED_VALUE"""),"097-919-5476")</f>
        <v>097-919-5476</v>
      </c>
      <c r="N3262" s="3">
        <f>IFERROR(__xludf.DUMMYFUNCTION("""COMPUTED_VALUE"""),21332.0)</f>
        <v>21332</v>
      </c>
      <c r="O3262" s="3" t="str">
        <f>IFERROR(__xludf.DUMMYFUNCTION("""COMPUTED_VALUE"""),"MBC BCP อ่อนนุช 17/1")</f>
        <v>MBC BCP อ่อนนุช 17/1</v>
      </c>
      <c r="P3262" s="4">
        <f>IFERROR(__xludf.DUMMYFUNCTION("""COMPUTED_VALUE"""),45831.0)</f>
        <v>45831</v>
      </c>
      <c r="Q3262" s="3" t="str">
        <f>IFERROR(__xludf.DUMMYFUNCTION("""COMPUTED_VALUE"""),"A")</f>
        <v>A</v>
      </c>
      <c r="R3262" s="3" t="str">
        <f>IFERROR(__xludf.DUMMYFUNCTION("""COMPUTED_VALUE"""),"Small Format")</f>
        <v>Small Format</v>
      </c>
      <c r="S3262" s="3" t="str">
        <f>IFERROR(__xludf.DUMMYFUNCTION("""COMPUTED_VALUE"""),"BCM")</f>
        <v>BCM</v>
      </c>
      <c r="T3262" s="3" t="str">
        <f>IFERROR(__xludf.DUMMYFUNCTION("""COMPUTED_VALUE"""),"#N/A")</f>
        <v>#N/A</v>
      </c>
      <c r="U3262" s="3" t="str">
        <f>IFERROR(__xludf.DUMMYFUNCTION("""COMPUTED_VALUE"""),"#N/A")</f>
        <v>#N/A</v>
      </c>
      <c r="V3262" s="3" t="str">
        <f>IFERROR(__xludf.DUMMYFUNCTION("""COMPUTED_VALUE"""),"N")</f>
        <v>N</v>
      </c>
      <c r="W3262" s="3">
        <f>IFERROR(__xludf.DUMMYFUNCTION("""COMPUTED_VALUE"""),210604.0)</f>
        <v>210604</v>
      </c>
      <c r="X3262" s="3" t="str">
        <f>IFERROR(__xludf.DUMMYFUNCTION("""COMPUTED_VALUE"""),"120/32 หมู่ 1 ตําบลทุ่งสุขลา อําเภอศรีราชา จังหวัดชลบุรี 20230")</f>
        <v>120/32 หมู่ 1 ตําบลทุ่งสุขลา อําเภอศรีราชา จังหวัดชลบุรี 20230</v>
      </c>
      <c r="Y3262" s="3"/>
      <c r="Z3262" s="3" t="str">
        <f>IFERROR(__xludf.DUMMYFUNCTION("""COMPUTED_VALUE"""),"ทุ่งสุขลา")</f>
        <v>ทุ่งสุขลา</v>
      </c>
      <c r="AA3262" s="3" t="str">
        <f>IFERROR(__xludf.DUMMYFUNCTION("""COMPUTED_VALUE"""),"ศรีราชา")</f>
        <v>ศรีราชา</v>
      </c>
      <c r="AB3262" s="3" t="str">
        <f>IFERROR(__xludf.DUMMYFUNCTION("""COMPUTED_VALUE"""),"ชลบุรี")</f>
        <v>ชลบุรี</v>
      </c>
      <c r="AC3262" s="3">
        <f>IFERROR(__xludf.DUMMYFUNCTION("""COMPUTED_VALUE"""),20230.0)</f>
        <v>20230</v>
      </c>
      <c r="AD3262" s="3">
        <f>IFERROR(__xludf.DUMMYFUNCTION("""COMPUTED_VALUE"""),13.122612)</f>
        <v>13.122612</v>
      </c>
      <c r="AE3262" s="3">
        <f>IFERROR(__xludf.DUMMYFUNCTION("""COMPUTED_VALUE"""),100.899846)</f>
        <v>100.899846</v>
      </c>
      <c r="AF3262" s="3" t="str">
        <f>IFERROR(__xludf.DUMMYFUNCTION("""COMPUTED_VALUE"""),"BCM อ่าวอุดม ชลบุรี-22722")</f>
        <v>BCM อ่าวอุดม ชลบุรี-22722</v>
      </c>
      <c r="AG3262" s="3" t="str">
        <f>IFERROR(__xludf.DUMMYFUNCTION("""COMPUTED_VALUE"""),"ตะวันออก")</f>
        <v>ตะวันออก</v>
      </c>
      <c r="AH3262" s="3" t="str">
        <f>IFERROR(__xludf.DUMMYFUNCTION("""COMPUTED_VALUE"""),"#N/A")</f>
        <v>#N/A</v>
      </c>
      <c r="AI3262" s="3" t="str">
        <f>IFERROR(__xludf.DUMMYFUNCTION("""COMPUTED_VALUE"""),"In warranty")</f>
        <v>In warranty</v>
      </c>
      <c r="AJ3262" s="3">
        <f>IFERROR(__xludf.DUMMYFUNCTION("""COMPUTED_VALUE"""),7.0)</f>
        <v>7</v>
      </c>
      <c r="AK3262" s="3"/>
      <c r="AL3262" s="3"/>
    </row>
    <row r="3263" ht="15.75" customHeight="1">
      <c r="A3263" s="1" t="str">
        <f>IFERROR(__xludf.DUMMYFUNCTION("""COMPUTED_VALUE"""),"22729")</f>
        <v>22729</v>
      </c>
      <c r="B3263" s="2">
        <f>IFERROR(__xludf.DUMMYFUNCTION("""COMPUTED_VALUE"""),22729.0)</f>
        <v>22729</v>
      </c>
      <c r="C3263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D3263" s="3" t="str">
        <f>IFERROR(__xludf.DUMMYFUNCTION("""COMPUTED_VALUE"""),"BCM CHUMCHON KOH RIAN")</f>
        <v>BCM CHUMCHON KOH RIAN</v>
      </c>
      <c r="E3263" s="1" t="str">
        <f>IFERROR(__xludf.DUMMYFUNCTION("""COMPUTED_VALUE"""),"บิ๊กซี MINI")</f>
        <v>บิ๊กซี MINI</v>
      </c>
      <c r="F3263" s="1" t="str">
        <f>IFERROR(__xludf.DUMMYFUNCTION("""COMPUTED_VALUE"""),"296229")</f>
        <v>296229</v>
      </c>
      <c r="G3263" s="1" t="str">
        <f>IFERROR(__xludf.DUMMYFUNCTION("""COMPUTED_VALUE"""),"นายทนงศักดิ์ บุญมา")</f>
        <v>นายทนงศักดิ์ บุญมา</v>
      </c>
      <c r="H3263" s="1" t="str">
        <f>IFERROR(__xludf.DUMMYFUNCTION("""COMPUTED_VALUE"""),"318233")</f>
        <v>318233</v>
      </c>
      <c r="I3263" s="1" t="str">
        <f>IFERROR(__xludf.DUMMYFUNCTION("""COMPUTED_VALUE"""),"น.ส.ชุติญาทิพพ์ วงษ์ขันธ์ทอง")</f>
        <v>น.ส.ชุติญาทิพพ์ วงษ์ขันธ์ทอง</v>
      </c>
      <c r="J3263" s="3">
        <f>IFERROR(__xludf.DUMMYFUNCTION("""COMPUTED_VALUE"""),46214.0)</f>
        <v>46214</v>
      </c>
      <c r="K3263" s="3" t="str">
        <f>IFERROR(__xludf.DUMMYFUNCTION("""COMPUTED_VALUE"""),"นายศักดิ์ชัย เด็ดดอกฟ้า")</f>
        <v>นายศักดิ์ชัย เด็ดดอกฟ้า</v>
      </c>
      <c r="L3263" s="1" t="str">
        <f>IFERROR(__xludf.DUMMYFUNCTION("""COMPUTED_VALUE"""),"02 K.Sakchai D")</f>
        <v>02 K.Sakchai D</v>
      </c>
      <c r="M3263" s="1" t="str">
        <f>IFERROR(__xludf.DUMMYFUNCTION("""COMPUTED_VALUE"""),"065-510-7376")</f>
        <v>065-510-7376</v>
      </c>
      <c r="N3263" s="3">
        <f>IFERROR(__xludf.DUMMYFUNCTION("""COMPUTED_VALUE"""),21714.0)</f>
        <v>21714</v>
      </c>
      <c r="O3263" s="3" t="str">
        <f>IFERROR(__xludf.DUMMYFUNCTION("""COMPUTED_VALUE"""),"MBC เอสโซ่ วัดโบสถ์")</f>
        <v>MBC เอสโซ่ วัดโบสถ์</v>
      </c>
      <c r="P3263" s="4">
        <f>IFERROR(__xludf.DUMMYFUNCTION("""COMPUTED_VALUE"""),45857.0)</f>
        <v>45857</v>
      </c>
      <c r="Q3263" s="3" t="str">
        <f>IFERROR(__xludf.DUMMYFUNCTION("""COMPUTED_VALUE"""),"A")</f>
        <v>A</v>
      </c>
      <c r="R3263" s="3" t="str">
        <f>IFERROR(__xludf.DUMMYFUNCTION("""COMPUTED_VALUE"""),"Small Format")</f>
        <v>Small Format</v>
      </c>
      <c r="S3263" s="3" t="str">
        <f>IFERROR(__xludf.DUMMYFUNCTION("""COMPUTED_VALUE"""),"BCM")</f>
        <v>BCM</v>
      </c>
      <c r="T3263" s="3" t="str">
        <f>IFERROR(__xludf.DUMMYFUNCTION("""COMPUTED_VALUE"""),"#N/A")</f>
        <v>#N/A</v>
      </c>
      <c r="U3263" s="3" t="str">
        <f>IFERROR(__xludf.DUMMYFUNCTION("""COMPUTED_VALUE"""),"#N/A")</f>
        <v>#N/A</v>
      </c>
      <c r="V3263" s="3" t="str">
        <f>IFERROR(__xludf.DUMMYFUNCTION("""COMPUTED_VALUE"""),"N")</f>
        <v>N</v>
      </c>
      <c r="W3263" s="3">
        <f>IFERROR(__xludf.DUMMYFUNCTION("""COMPUTED_VALUE"""),210816.0)</f>
        <v>210816</v>
      </c>
      <c r="X3263" s="3" t="str">
        <f>IFERROR(__xludf.DUMMYFUNCTION("""COMPUTED_VALUE"""),"105 หมู่ 6 ตำบลเกาะเรียน อำเภอพระนครศรีอยุธยา จังหวัดพระนครศรีอยุธยา 13000")</f>
        <v>105 หมู่ 6 ตำบลเกาะเรียน อำเภอพระนครศรีอยุธยา จังหวัดพระนครศรีอยุธยา 13000</v>
      </c>
      <c r="Y3263" s="3"/>
      <c r="Z3263" s="3" t="str">
        <f>IFERROR(__xludf.DUMMYFUNCTION("""COMPUTED_VALUE"""),"เกาะเรียน")</f>
        <v>เกาะเรียน</v>
      </c>
      <c r="AA3263" s="3" t="str">
        <f>IFERROR(__xludf.DUMMYFUNCTION("""COMPUTED_VALUE"""),"พระนครศรีอยุธยา")</f>
        <v>พระนครศรีอยุธยา</v>
      </c>
      <c r="AB3263" s="3" t="str">
        <f>IFERROR(__xludf.DUMMYFUNCTION("""COMPUTED_VALUE"""),"พระนครศรีอยุธยา")</f>
        <v>พระนครศรีอยุธยา</v>
      </c>
      <c r="AC3263" s="3">
        <f>IFERROR(__xludf.DUMMYFUNCTION("""COMPUTED_VALUE"""),13000.0)</f>
        <v>13000</v>
      </c>
      <c r="AD3263" s="3">
        <f>IFERROR(__xludf.DUMMYFUNCTION("""COMPUTED_VALUE"""),14.32138)</f>
        <v>14.32138</v>
      </c>
      <c r="AE3263" s="3">
        <f>IFERROR(__xludf.DUMMYFUNCTION("""COMPUTED_VALUE"""),100.574879)</f>
        <v>100.574879</v>
      </c>
      <c r="AF3263" s="3" t="str">
        <f>IFERROR(__xludf.DUMMYFUNCTION("""COMPUTED_VALUE"""),"BCM ชุมชนเกาะเรียน พระนครศรีอยุธยา-22729")</f>
        <v>BCM ชุมชนเกาะเรียน พระนครศรีอยุธยา-22729</v>
      </c>
      <c r="AG3263" s="3" t="str">
        <f>IFERROR(__xludf.DUMMYFUNCTION("""COMPUTED_VALUE"""),"กลาง")</f>
        <v>กลาง</v>
      </c>
      <c r="AH3263" s="3" t="str">
        <f>IFERROR(__xludf.DUMMYFUNCTION("""COMPUTED_VALUE"""),"#N/A")</f>
        <v>#N/A</v>
      </c>
      <c r="AI3263" s="3" t="str">
        <f>IFERROR(__xludf.DUMMYFUNCTION("""COMPUTED_VALUE"""),"In warranty")</f>
        <v>In warranty</v>
      </c>
      <c r="AJ3263" s="3">
        <f>IFERROR(__xludf.DUMMYFUNCTION("""COMPUTED_VALUE"""),7.0)</f>
        <v>7</v>
      </c>
      <c r="AK3263" s="3"/>
      <c r="AL3263" s="3"/>
    </row>
    <row r="3264" ht="15.75" customHeight="1">
      <c r="A3264" s="1" t="str">
        <f>IFERROR(__xludf.DUMMYFUNCTION("""COMPUTED_VALUE"""),"22731")</f>
        <v>22731</v>
      </c>
      <c r="B3264" s="2">
        <f>IFERROR(__xludf.DUMMYFUNCTION("""COMPUTED_VALUE"""),22731.0)</f>
        <v>22731</v>
      </c>
      <c r="C3264" s="3" t="str">
        <f>IFERROR(__xludf.DUMMYFUNCTION("""COMPUTED_VALUE"""),"BCM เอื้ออาทรอ้อยเตี้ย นครปฐม")</f>
        <v>BCM เอื้ออาทรอ้อยเตี้ย นครปฐม</v>
      </c>
      <c r="D3264" s="3" t="str">
        <f>IFERROR(__xludf.DUMMYFUNCTION("""COMPUTED_VALUE"""),"BCM UA ATHON AOY TIA")</f>
        <v>BCM UA ATHON AOY TIA</v>
      </c>
      <c r="E3264" s="1" t="str">
        <f>IFERROR(__xludf.DUMMYFUNCTION("""COMPUTED_VALUE"""),"บิ๊กซี MINI")</f>
        <v>บิ๊กซี MINI</v>
      </c>
      <c r="F3264" s="1" t="str">
        <f>IFERROR(__xludf.DUMMYFUNCTION("""COMPUTED_VALUE"""),"296229")</f>
        <v>296229</v>
      </c>
      <c r="G3264" s="1" t="str">
        <f>IFERROR(__xludf.DUMMYFUNCTION("""COMPUTED_VALUE"""),"นายทนงศักดิ์ บุญมา")</f>
        <v>นายทนงศักดิ์ บุญมา</v>
      </c>
      <c r="H3264" s="1" t="str">
        <f>IFERROR(__xludf.DUMMYFUNCTION("""COMPUTED_VALUE"""),"295245")</f>
        <v>295245</v>
      </c>
      <c r="I3264" s="1" t="str">
        <f>IFERROR(__xludf.DUMMYFUNCTION("""COMPUTED_VALUE"""),"นายมานะ วงศ์สุโชโต")</f>
        <v>นายมานะ วงศ์สุโชโต</v>
      </c>
      <c r="J3264" s="3">
        <f>IFERROR(__xludf.DUMMYFUNCTION("""COMPUTED_VALUE"""),46214.0)</f>
        <v>46214</v>
      </c>
      <c r="K3264" s="3" t="str">
        <f>IFERROR(__xludf.DUMMYFUNCTION("""COMPUTED_VALUE"""),"นายศักดิ์ชัย เด็ดดอกฟ้า")</f>
        <v>นายศักดิ์ชัย เด็ดดอกฟ้า</v>
      </c>
      <c r="L3264" s="1" t="str">
        <f>IFERROR(__xludf.DUMMYFUNCTION("""COMPUTED_VALUE"""),"02 K.Sakchai D")</f>
        <v>02 K.Sakchai D</v>
      </c>
      <c r="M3264" s="1" t="str">
        <f>IFERROR(__xludf.DUMMYFUNCTION("""COMPUTED_VALUE"""),"065-510-7376")</f>
        <v>065-510-7376</v>
      </c>
      <c r="N3264" s="3">
        <f>IFERROR(__xludf.DUMMYFUNCTION("""COMPUTED_VALUE"""),21714.0)</f>
        <v>21714</v>
      </c>
      <c r="O3264" s="3" t="str">
        <f>IFERROR(__xludf.DUMMYFUNCTION("""COMPUTED_VALUE"""),"MBC เอสโซ่ วัดโบสถ์")</f>
        <v>MBC เอสโซ่ วัดโบสถ์</v>
      </c>
      <c r="P3264" s="4">
        <f>IFERROR(__xludf.DUMMYFUNCTION("""COMPUTED_VALUE"""),45863.0)</f>
        <v>45863</v>
      </c>
      <c r="Q3264" s="3" t="str">
        <f>IFERROR(__xludf.DUMMYFUNCTION("""COMPUTED_VALUE"""),"A")</f>
        <v>A</v>
      </c>
      <c r="R3264" s="3" t="str">
        <f>IFERROR(__xludf.DUMMYFUNCTION("""COMPUTED_VALUE"""),"Small Format")</f>
        <v>Small Format</v>
      </c>
      <c r="S3264" s="3" t="str">
        <f>IFERROR(__xludf.DUMMYFUNCTION("""COMPUTED_VALUE"""),"BCM")</f>
        <v>BCM</v>
      </c>
      <c r="T3264" s="3" t="str">
        <f>IFERROR(__xludf.DUMMYFUNCTION("""COMPUTED_VALUE"""),"#N/A")</f>
        <v>#N/A</v>
      </c>
      <c r="U3264" s="3" t="str">
        <f>IFERROR(__xludf.DUMMYFUNCTION("""COMPUTED_VALUE"""),"#N/A")</f>
        <v>#N/A</v>
      </c>
      <c r="V3264" s="3" t="str">
        <f>IFERROR(__xludf.DUMMYFUNCTION("""COMPUTED_VALUE"""),"N")</f>
        <v>N</v>
      </c>
      <c r="W3264" s="3">
        <f>IFERROR(__xludf.DUMMYFUNCTION("""COMPUTED_VALUE"""),210827.0)</f>
        <v>210827</v>
      </c>
      <c r="X3264" s="3" t="str">
        <f>IFERROR(__xludf.DUMMYFUNCTION("""COMPUTED_VALUE"""),"118 หมู่ 8 ตำบลบ่อพลับ อำเภอเมืองนครปฐม จังหวัดนครปฐม 73000")</f>
        <v>118 หมู่ 8 ตำบลบ่อพลับ อำเภอเมืองนครปฐม จังหวัดนครปฐม 73000</v>
      </c>
      <c r="Y3264" s="3"/>
      <c r="Z3264" s="3" t="str">
        <f>IFERROR(__xludf.DUMMYFUNCTION("""COMPUTED_VALUE"""),"บ่อพลับ")</f>
        <v>บ่อพลับ</v>
      </c>
      <c r="AA3264" s="3" t="str">
        <f>IFERROR(__xludf.DUMMYFUNCTION("""COMPUTED_VALUE"""),"เมืองนครปฐม")</f>
        <v>เมืองนครปฐม</v>
      </c>
      <c r="AB3264" s="3" t="str">
        <f>IFERROR(__xludf.DUMMYFUNCTION("""COMPUTED_VALUE"""),"นครปฐม")</f>
        <v>นครปฐม</v>
      </c>
      <c r="AC3264" s="3">
        <f>IFERROR(__xludf.DUMMYFUNCTION("""COMPUTED_VALUE"""),73000.0)</f>
        <v>73000</v>
      </c>
      <c r="AD3264" s="3">
        <f>IFERROR(__xludf.DUMMYFUNCTION("""COMPUTED_VALUE"""),13.837725)</f>
        <v>13.837725</v>
      </c>
      <c r="AE3264" s="3">
        <f>IFERROR(__xludf.DUMMYFUNCTION("""COMPUTED_VALUE"""),100.061678)</f>
        <v>100.061678</v>
      </c>
      <c r="AF3264" s="3" t="str">
        <f>IFERROR(__xludf.DUMMYFUNCTION("""COMPUTED_VALUE"""),"BCM เอื้ออาทรอ้อยเตี้ย นครปฐม-22731")</f>
        <v>BCM เอื้ออาทรอ้อยเตี้ย นครปฐม-22731</v>
      </c>
      <c r="AG3264" s="3" t="str">
        <f>IFERROR(__xludf.DUMMYFUNCTION("""COMPUTED_VALUE"""),"กลาง")</f>
        <v>กลาง</v>
      </c>
      <c r="AH3264" s="3" t="str">
        <f>IFERROR(__xludf.DUMMYFUNCTION("""COMPUTED_VALUE"""),"#N/A")</f>
        <v>#N/A</v>
      </c>
      <c r="AI3264" s="3" t="str">
        <f>IFERROR(__xludf.DUMMYFUNCTION("""COMPUTED_VALUE"""),"In warranty")</f>
        <v>In warranty</v>
      </c>
      <c r="AJ3264" s="3">
        <f>IFERROR(__xludf.DUMMYFUNCTION("""COMPUTED_VALUE"""),6.0)</f>
        <v>6</v>
      </c>
      <c r="AK3264" s="3"/>
      <c r="AL3264" s="3"/>
    </row>
    <row r="3265" ht="15.75" customHeight="1">
      <c r="A3265" s="1" t="str">
        <f>IFERROR(__xludf.DUMMYFUNCTION("""COMPUTED_VALUE"""),"22725")</f>
        <v>22725</v>
      </c>
      <c r="B3265" s="2">
        <f>IFERROR(__xludf.DUMMYFUNCTION("""COMPUTED_VALUE"""),22725.0)</f>
        <v>22725</v>
      </c>
      <c r="C3265" s="3" t="str">
        <f>IFERROR(__xludf.DUMMYFUNCTION("""COMPUTED_VALUE"""),"BCM วงเวียนรัถการ(หาดใหญ่) สงขลา")</f>
        <v>BCM วงเวียนรัถการ(หาดใหญ่) สงขลา</v>
      </c>
      <c r="D3265" s="3" t="str">
        <f>IFERROR(__xludf.DUMMYFUNCTION("""COMPUTED_VALUE"""),"BCM WONGWIAN RATTHAKARN")</f>
        <v>BCM WONGWIAN RATTHAKARN</v>
      </c>
      <c r="E3265" s="1" t="str">
        <f>IFERROR(__xludf.DUMMYFUNCTION("""COMPUTED_VALUE"""),"บิ๊กซี MINI")</f>
        <v>บิ๊กซี MINI</v>
      </c>
      <c r="F3265" s="1" t="str">
        <f>IFERROR(__xludf.DUMMYFUNCTION("""COMPUTED_VALUE"""),"250760")</f>
        <v>250760</v>
      </c>
      <c r="G3265" s="1" t="str">
        <f>IFERROR(__xludf.DUMMYFUNCTION("""COMPUTED_VALUE"""),"นายประทวน สาราบรรณ์")</f>
        <v>นายประทวน สาราบรรณ์</v>
      </c>
      <c r="H3265" s="1" t="str">
        <f>IFERROR(__xludf.DUMMYFUNCTION("""COMPUTED_VALUE"""),"394100")</f>
        <v>394100</v>
      </c>
      <c r="I3265" s="1" t="str">
        <f>IFERROR(__xludf.DUMMYFUNCTION("""COMPUTED_VALUE"""),"นายไพโรจน์ ถิระผะลิกะ")</f>
        <v>นายไพโรจน์ ถิระผะลิกะ</v>
      </c>
      <c r="J3265" s="3">
        <f>IFERROR(__xludf.DUMMYFUNCTION("""COMPUTED_VALUE"""),2.0470331E7)</f>
        <v>20470331</v>
      </c>
      <c r="K3265" s="3" t="str">
        <f>IFERROR(__xludf.DUMMYFUNCTION("""COMPUTED_VALUE"""),"นายสมชาย ลักษณะสุวรรณ")</f>
        <v>นายสมชาย ลักษณะสุวรรณ</v>
      </c>
      <c r="L3265" s="1" t="str">
        <f>IFERROR(__xludf.DUMMYFUNCTION("""COMPUTED_VALUE"""),"15 K.Somchai L")</f>
        <v>15 K.Somchai L</v>
      </c>
      <c r="M3265" s="1" t="str">
        <f>IFERROR(__xludf.DUMMYFUNCTION("""COMPUTED_VALUE"""),"0655107372")</f>
        <v>0655107372</v>
      </c>
      <c r="N3265" s="3">
        <f>IFERROR(__xludf.DUMMYFUNCTION("""COMPUTED_VALUE"""),21723.0)</f>
        <v>21723</v>
      </c>
      <c r="O3265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3265" s="4">
        <f>IFERROR(__xludf.DUMMYFUNCTION("""COMPUTED_VALUE"""),46053.0)</f>
        <v>46053</v>
      </c>
      <c r="Q3265" s="3" t="str">
        <f>IFERROR(__xludf.DUMMYFUNCTION("""COMPUTED_VALUE"""),"A")</f>
        <v>A</v>
      </c>
      <c r="R3265" s="3" t="str">
        <f>IFERROR(__xludf.DUMMYFUNCTION("""COMPUTED_VALUE"""),"Small Format")</f>
        <v>Small Format</v>
      </c>
      <c r="S3265" s="3" t="str">
        <f>IFERROR(__xludf.DUMMYFUNCTION("""COMPUTED_VALUE"""),"BCM")</f>
        <v>BCM</v>
      </c>
      <c r="T3265" s="3" t="str">
        <f>IFERROR(__xludf.DUMMYFUNCTION("""COMPUTED_VALUE"""),"#N/A")</f>
        <v>#N/A</v>
      </c>
      <c r="U3265" s="3" t="str">
        <f>IFERROR(__xludf.DUMMYFUNCTION("""COMPUTED_VALUE"""),"#N/A")</f>
        <v>#N/A</v>
      </c>
      <c r="V3265" s="3" t="str">
        <f>IFERROR(__xludf.DUMMYFUNCTION("""COMPUTED_VALUE"""),"N")</f>
        <v>N</v>
      </c>
      <c r="W3265" s="3">
        <f>IFERROR(__xludf.DUMMYFUNCTION("""COMPUTED_VALUE"""),210607.0)</f>
        <v>210607</v>
      </c>
      <c r="X3265" s="3" t="str">
        <f>IFERROR(__xludf.DUMMYFUNCTION("""COMPUTED_VALUE"""),"302/10 ถนน รัถการ ตำบล หาดใหญ่ อำเภอ หาดใหญ่ จังหวัด สงขลา 90110")</f>
        <v>302/10 ถนน รัถการ ตำบล หาดใหญ่ อำเภอ หาดใหญ่ จังหวัด สงขลา 90110</v>
      </c>
      <c r="Y3265" s="3" t="str">
        <f>IFERROR(__xludf.DUMMYFUNCTION("""COMPUTED_VALUE"""),"รัถการ")</f>
        <v>รัถการ</v>
      </c>
      <c r="Z3265" s="3" t="str">
        <f>IFERROR(__xludf.DUMMYFUNCTION("""COMPUTED_VALUE"""),"หาดใหญ่")</f>
        <v>หาดใหญ่</v>
      </c>
      <c r="AA3265" s="3" t="str">
        <f>IFERROR(__xludf.DUMMYFUNCTION("""COMPUTED_VALUE"""),"หาดใหญ่")</f>
        <v>หาดใหญ่</v>
      </c>
      <c r="AB3265" s="3" t="str">
        <f>IFERROR(__xludf.DUMMYFUNCTION("""COMPUTED_VALUE"""),"สงขลา")</f>
        <v>สงขลา</v>
      </c>
      <c r="AC3265" s="3">
        <f>IFERROR(__xludf.DUMMYFUNCTION("""COMPUTED_VALUE"""),90110.0)</f>
        <v>90110</v>
      </c>
      <c r="AD3265" s="3">
        <f>IFERROR(__xludf.DUMMYFUNCTION("""COMPUTED_VALUE"""),7.025082)</f>
        <v>7.025082</v>
      </c>
      <c r="AE3265" s="3">
        <f>IFERROR(__xludf.DUMMYFUNCTION("""COMPUTED_VALUE"""),100.465528)</f>
        <v>100.465528</v>
      </c>
      <c r="AF3265" s="3" t="str">
        <f>IFERROR(__xludf.DUMMYFUNCTION("""COMPUTED_VALUE"""),"BCM วงเวียนรัถการ(หาดใหญ่) สงขลา-22725")</f>
        <v>BCM วงเวียนรัถการ(หาดใหญ่) สงขลา-22725</v>
      </c>
      <c r="AG3265" s="3" t="str">
        <f>IFERROR(__xludf.DUMMYFUNCTION("""COMPUTED_VALUE"""),"ใต้")</f>
        <v>ใต้</v>
      </c>
      <c r="AH3265" s="3" t="str">
        <f>IFERROR(__xludf.DUMMYFUNCTION("""COMPUTED_VALUE"""),"#N/A")</f>
        <v>#N/A</v>
      </c>
      <c r="AI3265" s="3" t="str">
        <f>IFERROR(__xludf.DUMMYFUNCTION("""COMPUTED_VALUE"""),"In warranty")</f>
        <v>In warranty</v>
      </c>
      <c r="AJ3265" s="3">
        <f>IFERROR(__xludf.DUMMYFUNCTION("""COMPUTED_VALUE"""),0.0)</f>
        <v>0</v>
      </c>
      <c r="AK3265" s="3"/>
      <c r="AL3265" s="3"/>
    </row>
    <row r="3266" ht="15.75" customHeight="1">
      <c r="A3266" s="1" t="str">
        <f>IFERROR(__xludf.DUMMYFUNCTION("""COMPUTED_VALUE"""),"22733")</f>
        <v>22733</v>
      </c>
      <c r="B3266" s="2">
        <f>IFERROR(__xludf.DUMMYFUNCTION("""COMPUTED_VALUE"""),22733.0)</f>
        <v>22733</v>
      </c>
      <c r="C3266" s="3" t="str">
        <f>IFERROR(__xludf.DUMMYFUNCTION("""COMPUTED_VALUE"""),"BCM บ้านบางโจ ภูเก็ต")</f>
        <v>BCM บ้านบางโจ ภูเก็ต</v>
      </c>
      <c r="D3266" s="3" t="str">
        <f>IFERROR(__xludf.DUMMYFUNCTION("""COMPUTED_VALUE"""),"BCM BAN BANG JOE PHUKET")</f>
        <v>BCM BAN BANG JOE PHUKET</v>
      </c>
      <c r="E3266" s="1" t="str">
        <f>IFERROR(__xludf.DUMMYFUNCTION("""COMPUTED_VALUE"""),"บิ๊กซี MINI")</f>
        <v>บิ๊กซี MINI</v>
      </c>
      <c r="F3266" s="1" t="str">
        <f>IFERROR(__xludf.DUMMYFUNCTION("""COMPUTED_VALUE"""),"250760")</f>
        <v>250760</v>
      </c>
      <c r="G3266" s="1" t="str">
        <f>IFERROR(__xludf.DUMMYFUNCTION("""COMPUTED_VALUE"""),"นายประทวน สาราบรรณ์")</f>
        <v>นายประทวน สาราบรรณ์</v>
      </c>
      <c r="H3266" s="1" t="str">
        <f>IFERROR(__xludf.DUMMYFUNCTION("""COMPUTED_VALUE"""),"357284")</f>
        <v>357284</v>
      </c>
      <c r="I3266" s="1" t="str">
        <f>IFERROR(__xludf.DUMMYFUNCTION("""COMPUTED_VALUE"""),"น.ส.เบญจวรรณ ปัณฑโมรา")</f>
        <v>น.ส.เบญจวรรณ ปัณฑโมรา</v>
      </c>
      <c r="J3266" s="3">
        <f>IFERROR(__xludf.DUMMYFUNCTION("""COMPUTED_VALUE"""),25324.0)</f>
        <v>25324</v>
      </c>
      <c r="K3266" s="3" t="str">
        <f>IFERROR(__xludf.DUMMYFUNCTION("""COMPUTED_VALUE"""),"นายวิเชฎฐ์ ติรัตนะประคม")</f>
        <v>นายวิเชฎฐ์ ติรัตนะประคม</v>
      </c>
      <c r="L3266" s="1" t="str">
        <f>IFERROR(__xludf.DUMMYFUNCTION("""COMPUTED_VALUE"""),"14 K.Wichet T.")</f>
        <v>14 K.Wichet T.</v>
      </c>
      <c r="M3266" s="1" t="str">
        <f>IFERROR(__xludf.DUMMYFUNCTION("""COMPUTED_VALUE"""),"061-417-6569 / 086-445-5636")</f>
        <v>061-417-6569 / 086-445-5636</v>
      </c>
      <c r="N3266" s="3">
        <f>IFERROR(__xludf.DUMMYFUNCTION("""COMPUTED_VALUE"""),22658.0)</f>
        <v>22658</v>
      </c>
      <c r="O3266" s="3" t="str">
        <f>IFERROR(__xludf.DUMMYFUNCTION("""COMPUTED_VALUE"""),"BCM ถ.วิรัชหงษ์หยก ภูเก็ต")</f>
        <v>BCM ถ.วิรัชหงษ์หยก ภูเก็ต</v>
      </c>
      <c r="P3266" s="4">
        <f>IFERROR(__xludf.DUMMYFUNCTION("""COMPUTED_VALUE"""),45867.0)</f>
        <v>45867</v>
      </c>
      <c r="Q3266" s="3" t="str">
        <f>IFERROR(__xludf.DUMMYFUNCTION("""COMPUTED_VALUE"""),"A")</f>
        <v>A</v>
      </c>
      <c r="R3266" s="3" t="str">
        <f>IFERROR(__xludf.DUMMYFUNCTION("""COMPUTED_VALUE"""),"Small Format")</f>
        <v>Small Format</v>
      </c>
      <c r="S3266" s="3" t="str">
        <f>IFERROR(__xludf.DUMMYFUNCTION("""COMPUTED_VALUE"""),"BCM")</f>
        <v>BCM</v>
      </c>
      <c r="T3266" s="3" t="str">
        <f>IFERROR(__xludf.DUMMYFUNCTION("""COMPUTED_VALUE"""),"#N/A")</f>
        <v>#N/A</v>
      </c>
      <c r="U3266" s="3" t="str">
        <f>IFERROR(__xludf.DUMMYFUNCTION("""COMPUTED_VALUE"""),"#N/A")</f>
        <v>#N/A</v>
      </c>
      <c r="V3266" s="3" t="str">
        <f>IFERROR(__xludf.DUMMYFUNCTION("""COMPUTED_VALUE"""),"N")</f>
        <v>N</v>
      </c>
      <c r="W3266" s="3">
        <f>IFERROR(__xludf.DUMMYFUNCTION("""COMPUTED_VALUE"""),210829.0)</f>
        <v>210829</v>
      </c>
      <c r="X3266" s="3" t="str">
        <f>IFERROR(__xludf.DUMMYFUNCTION("""COMPUTED_VALUE"""),"178/22 หมู่ที่ 4 ตำบล ศรีสุนทร อำเภอ ถลาง จังหวัด ภูเก็ต 83110")</f>
        <v>178/22 หมู่ที่ 4 ตำบล ศรีสุนทร อำเภอ ถลาง จังหวัด ภูเก็ต 83110</v>
      </c>
      <c r="Y3266" s="3"/>
      <c r="Z3266" s="3" t="str">
        <f>IFERROR(__xludf.DUMMYFUNCTION("""COMPUTED_VALUE"""),"ศรีสุนทร")</f>
        <v>ศรีสุนทร</v>
      </c>
      <c r="AA3266" s="3" t="str">
        <f>IFERROR(__xludf.DUMMYFUNCTION("""COMPUTED_VALUE"""),"ถลาง")</f>
        <v>ถลาง</v>
      </c>
      <c r="AB3266" s="3" t="str">
        <f>IFERROR(__xludf.DUMMYFUNCTION("""COMPUTED_VALUE"""),"ภูเก็ต")</f>
        <v>ภูเก็ต</v>
      </c>
      <c r="AC3266" s="3">
        <f>IFERROR(__xludf.DUMMYFUNCTION("""COMPUTED_VALUE"""),83110.0)</f>
        <v>83110</v>
      </c>
      <c r="AD3266" s="3">
        <f>IFERROR(__xludf.DUMMYFUNCTION("""COMPUTED_VALUE"""),7.9875129)</f>
        <v>7.9875129</v>
      </c>
      <c r="AE3266" s="3">
        <f>IFERROR(__xludf.DUMMYFUNCTION("""COMPUTED_VALUE"""),98.3233267)</f>
        <v>98.3233267</v>
      </c>
      <c r="AF3266" s="3" t="str">
        <f>IFERROR(__xludf.DUMMYFUNCTION("""COMPUTED_VALUE"""),"BCM บ้านบางโจ ภูเก็ต-22733")</f>
        <v>BCM บ้านบางโจ ภูเก็ต-22733</v>
      </c>
      <c r="AG3266" s="3" t="str">
        <f>IFERROR(__xludf.DUMMYFUNCTION("""COMPUTED_VALUE"""),"ใต้")</f>
        <v>ใต้</v>
      </c>
      <c r="AH3266" s="3" t="str">
        <f>IFERROR(__xludf.DUMMYFUNCTION("""COMPUTED_VALUE"""),"#N/A")</f>
        <v>#N/A</v>
      </c>
      <c r="AI3266" s="3" t="str">
        <f>IFERROR(__xludf.DUMMYFUNCTION("""COMPUTED_VALUE"""),"In warranty")</f>
        <v>In warranty</v>
      </c>
      <c r="AJ3266" s="3">
        <f>IFERROR(__xludf.DUMMYFUNCTION("""COMPUTED_VALUE"""),6.0)</f>
        <v>6</v>
      </c>
      <c r="AK3266" s="3"/>
      <c r="AL3266" s="3"/>
    </row>
    <row r="3267" ht="15.75" customHeight="1">
      <c r="A3267" s="1" t="str">
        <f>IFERROR(__xludf.DUMMYFUNCTION("""COMPUTED_VALUE"""),"22724")</f>
        <v>22724</v>
      </c>
      <c r="B3267" s="2">
        <f>IFERROR(__xludf.DUMMYFUNCTION("""COMPUTED_VALUE"""),22724.0)</f>
        <v>22724</v>
      </c>
      <c r="C3267" s="3" t="str">
        <f>IFERROR(__xludf.DUMMYFUNCTION("""COMPUTED_VALUE"""),"BCM เขามะกอก ชลบุรี")</f>
        <v>BCM เขามะกอก ชลบุรี</v>
      </c>
      <c r="D3267" s="3" t="str">
        <f>IFERROR(__xludf.DUMMYFUNCTION("""COMPUTED_VALUE"""),"BCM KHAO MAKOK CHONBURI")</f>
        <v>BCM KHAO MAKOK CHONBURI</v>
      </c>
      <c r="E3267" s="1" t="str">
        <f>IFERROR(__xludf.DUMMYFUNCTION("""COMPUTED_VALUE"""),"บิ๊กซี MINI")</f>
        <v>บิ๊กซี MINI</v>
      </c>
      <c r="F3267" s="1" t="str">
        <f>IFERROR(__xludf.DUMMYFUNCTION("""COMPUTED_VALUE"""),"221716")</f>
        <v>221716</v>
      </c>
      <c r="G3267" s="1" t="str">
        <f>IFERROR(__xludf.DUMMYFUNCTION("""COMPUTED_VALUE"""),"น.ส.เบญจพร โพธิสาร")</f>
        <v>น.ส.เบญจพร โพธิสาร</v>
      </c>
      <c r="H3267" s="1" t="str">
        <f>IFERROR(__xludf.DUMMYFUNCTION("""COMPUTED_VALUE"""),"313065")</f>
        <v>313065</v>
      </c>
      <c r="I3267" s="1" t="str">
        <f>IFERROR(__xludf.DUMMYFUNCTION("""COMPUTED_VALUE"""),"นายจิรายุทธ กันทา")</f>
        <v>นายจิรายุทธ กันทา</v>
      </c>
      <c r="J3267" s="3">
        <f>IFERROR(__xludf.DUMMYFUNCTION("""COMPUTED_VALUE"""),1.3461215E7)</f>
        <v>13461215</v>
      </c>
      <c r="K3267" s="3" t="str">
        <f>IFERROR(__xludf.DUMMYFUNCTION("""COMPUTED_VALUE"""),"นายธีรภัทร สังข์เงิน")</f>
        <v>นายธีรภัทร สังข์เงิน</v>
      </c>
      <c r="L3267" s="1" t="str">
        <f>IFERROR(__xludf.DUMMYFUNCTION("""COMPUTED_VALUE"""),"06 K.Teerapat")</f>
        <v>06 K.Teerapat</v>
      </c>
      <c r="M3267" s="1" t="str">
        <f>IFERROR(__xludf.DUMMYFUNCTION("""COMPUTED_VALUE"""),"063-601-6803")</f>
        <v>063-601-6803</v>
      </c>
      <c r="N3267" s="3">
        <f>IFERROR(__xludf.DUMMYFUNCTION("""COMPUTED_VALUE"""),22115.0)</f>
        <v>22115</v>
      </c>
      <c r="O3267" s="3" t="str">
        <f>IFERROR(__xludf.DUMMYFUNCTION("""COMPUTED_VALUE"""),"MBC เลี่ยงหนองมน ชลบุรี")</f>
        <v>MBC เลี่ยงหนองมน ชลบุรี</v>
      </c>
      <c r="P3267" s="4">
        <f>IFERROR(__xludf.DUMMYFUNCTION("""COMPUTED_VALUE"""),45849.0)</f>
        <v>45849</v>
      </c>
      <c r="Q3267" s="3" t="str">
        <f>IFERROR(__xludf.DUMMYFUNCTION("""COMPUTED_VALUE"""),"A")</f>
        <v>A</v>
      </c>
      <c r="R3267" s="3" t="str">
        <f>IFERROR(__xludf.DUMMYFUNCTION("""COMPUTED_VALUE"""),"Small Format")</f>
        <v>Small Format</v>
      </c>
      <c r="S3267" s="3" t="str">
        <f>IFERROR(__xludf.DUMMYFUNCTION("""COMPUTED_VALUE"""),"BCM")</f>
        <v>BCM</v>
      </c>
      <c r="T3267" s="3" t="str">
        <f>IFERROR(__xludf.DUMMYFUNCTION("""COMPUTED_VALUE"""),"#N/A")</f>
        <v>#N/A</v>
      </c>
      <c r="U3267" s="3" t="str">
        <f>IFERROR(__xludf.DUMMYFUNCTION("""COMPUTED_VALUE"""),"#N/A")</f>
        <v>#N/A</v>
      </c>
      <c r="V3267" s="3" t="str">
        <f>IFERROR(__xludf.DUMMYFUNCTION("""COMPUTED_VALUE"""),"N")</f>
        <v>N</v>
      </c>
      <c r="W3267" s="3">
        <f>IFERROR(__xludf.DUMMYFUNCTION("""COMPUTED_VALUE"""),210828.0)</f>
        <v>210828</v>
      </c>
      <c r="X3267" s="3" t="str">
        <f>IFERROR(__xludf.DUMMYFUNCTION("""COMPUTED_VALUE"""),"35/149 หมู่ 4 ตำบลห้วยใหญ่ อำเภอบางละมุง จังหวัดชลบุรี 20150")</f>
        <v>35/149 หมู่ 4 ตำบลห้วยใหญ่ อำเภอบางละมุง จังหวัดชลบุรี 20150</v>
      </c>
      <c r="Y3267" s="3"/>
      <c r="Z3267" s="3" t="str">
        <f>IFERROR(__xludf.DUMMYFUNCTION("""COMPUTED_VALUE"""),"ห้วยใหญ่")</f>
        <v>ห้วยใหญ่</v>
      </c>
      <c r="AA3267" s="3" t="str">
        <f>IFERROR(__xludf.DUMMYFUNCTION("""COMPUTED_VALUE"""),"บางละมุง")</f>
        <v>บางละมุง</v>
      </c>
      <c r="AB3267" s="3" t="str">
        <f>IFERROR(__xludf.DUMMYFUNCTION("""COMPUTED_VALUE"""),"ชลบุรี")</f>
        <v>ชลบุรี</v>
      </c>
      <c r="AC3267" s="3">
        <f>IFERROR(__xludf.DUMMYFUNCTION("""COMPUTED_VALUE"""),20150.0)</f>
        <v>20150</v>
      </c>
      <c r="AD3267" s="3">
        <f>IFERROR(__xludf.DUMMYFUNCTION("""COMPUTED_VALUE"""),12.878308)</f>
        <v>12.878308</v>
      </c>
      <c r="AE3267" s="3">
        <f>IFERROR(__xludf.DUMMYFUNCTION("""COMPUTED_VALUE"""),100.916412)</f>
        <v>100.916412</v>
      </c>
      <c r="AF3267" s="3" t="str">
        <f>IFERROR(__xludf.DUMMYFUNCTION("""COMPUTED_VALUE"""),"BCM เขามะกอก ชลบุรี-22724")</f>
        <v>BCM เขามะกอก ชลบุรี-22724</v>
      </c>
      <c r="AG3267" s="3" t="str">
        <f>IFERROR(__xludf.DUMMYFUNCTION("""COMPUTED_VALUE"""),"ตะวันออก")</f>
        <v>ตะวันออก</v>
      </c>
      <c r="AH3267" s="3" t="str">
        <f>IFERROR(__xludf.DUMMYFUNCTION("""COMPUTED_VALUE"""),"#N/A")</f>
        <v>#N/A</v>
      </c>
      <c r="AI3267" s="3" t="str">
        <f>IFERROR(__xludf.DUMMYFUNCTION("""COMPUTED_VALUE"""),"In warranty")</f>
        <v>In warranty</v>
      </c>
      <c r="AJ3267" s="3">
        <f>IFERROR(__xludf.DUMMYFUNCTION("""COMPUTED_VALUE"""),7.0)</f>
        <v>7</v>
      </c>
      <c r="AK3267" s="3"/>
      <c r="AL3267" s="3"/>
    </row>
    <row r="3268" ht="15.75" customHeight="1">
      <c r="A3268" s="1" t="str">
        <f>IFERROR(__xludf.DUMMYFUNCTION("""COMPUTED_VALUE"""),"22728")</f>
        <v>22728</v>
      </c>
      <c r="B3268" s="2">
        <f>IFERROR(__xludf.DUMMYFUNCTION("""COMPUTED_VALUE"""),22728.0)</f>
        <v>22728</v>
      </c>
      <c r="C3268" s="3" t="str">
        <f>IFERROR(__xludf.DUMMYFUNCTION("""COMPUTED_VALUE"""),"BCM บางกะดี่ 33 กรุงเทพฯ")</f>
        <v>BCM บางกะดี่ 33 กรุงเทพฯ</v>
      </c>
      <c r="D3268" s="3" t="str">
        <f>IFERROR(__xludf.DUMMYFUNCTION("""COMPUTED_VALUE"""),"BCM BANG KADI 33 BANGKOK")</f>
        <v>BCM BANG KADI 33 BANGKOK</v>
      </c>
      <c r="E3268" s="1" t="str">
        <f>IFERROR(__xludf.DUMMYFUNCTION("""COMPUTED_VALUE"""),"บิ๊กซี MINI")</f>
        <v>บิ๊กซี MINI</v>
      </c>
      <c r="F3268" s="1" t="str">
        <f>IFERROR(__xludf.DUMMYFUNCTION("""COMPUTED_VALUE"""),"291008")</f>
        <v>291008</v>
      </c>
      <c r="G3268" s="1" t="str">
        <f>IFERROR(__xludf.DUMMYFUNCTION("""COMPUTED_VALUE"""),"น.ส.รัชดาพร อีศรัตน์")</f>
        <v>น.ส.รัชดาพร อีศรัตน์</v>
      </c>
      <c r="H3268" s="1" t="str">
        <f>IFERROR(__xludf.DUMMYFUNCTION("""COMPUTED_VALUE"""),"254800")</f>
        <v>254800</v>
      </c>
      <c r="I3268" s="1" t="str">
        <f>IFERROR(__xludf.DUMMYFUNCTION("""COMPUTED_VALUE"""),"น.ส.นัชมล กางกรณ์")</f>
        <v>น.ส.นัชมล กางกรณ์</v>
      </c>
      <c r="J3268" s="3">
        <f>IFERROR(__xludf.DUMMYFUNCTION("""COMPUTED_VALUE"""),296608.0)</f>
        <v>296608</v>
      </c>
      <c r="K3268" s="3" t="str">
        <f>IFERROR(__xludf.DUMMYFUNCTION("""COMPUTED_VALUE"""),"นายภาคภูมิ เพ็ชรนิล")</f>
        <v>นายภาคภูมิ เพ็ชรนิล</v>
      </c>
      <c r="L3268" s="1" t="str">
        <f>IFERROR(__xludf.DUMMYFUNCTION("""COMPUTED_VALUE"""),"10 K.Phakphoom P.")</f>
        <v>10 K.Phakphoom P.</v>
      </c>
      <c r="M3268" s="1" t="str">
        <f>IFERROR(__xludf.DUMMYFUNCTION("""COMPUTED_VALUE"""),"063-8955329")</f>
        <v>063-8955329</v>
      </c>
      <c r="N3268" s="3">
        <f>IFERROR(__xludf.DUMMYFUNCTION("""COMPUTED_VALUE"""),22584.0)</f>
        <v>22584</v>
      </c>
      <c r="O3268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3268" s="4">
        <f>IFERROR(__xludf.DUMMYFUNCTION("""COMPUTED_VALUE"""),45856.0)</f>
        <v>45856</v>
      </c>
      <c r="Q3268" s="3" t="str">
        <f>IFERROR(__xludf.DUMMYFUNCTION("""COMPUTED_VALUE"""),"A")</f>
        <v>A</v>
      </c>
      <c r="R3268" s="3" t="str">
        <f>IFERROR(__xludf.DUMMYFUNCTION("""COMPUTED_VALUE"""),"Small Format")</f>
        <v>Small Format</v>
      </c>
      <c r="S3268" s="3" t="str">
        <f>IFERROR(__xludf.DUMMYFUNCTION("""COMPUTED_VALUE"""),"BCM")</f>
        <v>BCM</v>
      </c>
      <c r="T3268" s="3" t="str">
        <f>IFERROR(__xludf.DUMMYFUNCTION("""COMPUTED_VALUE"""),"#N/A")</f>
        <v>#N/A</v>
      </c>
      <c r="U3268" s="3" t="str">
        <f>IFERROR(__xludf.DUMMYFUNCTION("""COMPUTED_VALUE"""),"#N/A")</f>
        <v>#N/A</v>
      </c>
      <c r="V3268" s="3" t="str">
        <f>IFERROR(__xludf.DUMMYFUNCTION("""COMPUTED_VALUE"""),"N")</f>
        <v>N</v>
      </c>
      <c r="W3268" s="3">
        <f>IFERROR(__xludf.DUMMYFUNCTION("""COMPUTED_VALUE"""),210615.0)</f>
        <v>210615</v>
      </c>
      <c r="X3268" s="3" t="str">
        <f>IFERROR(__xludf.DUMMYFUNCTION("""COMPUTED_VALUE"""),"187/2 ถนนบางกระดี่ แขวงแสมดำ เขตบางขุนเทียน กรุงเทพมหานคร 10150")</f>
        <v>187/2 ถนนบางกระดี่ แขวงแสมดำ เขตบางขุนเทียน กรุงเทพมหานคร 10150</v>
      </c>
      <c r="Y3268" s="3" t="str">
        <f>IFERROR(__xludf.DUMMYFUNCTION("""COMPUTED_VALUE"""),"บางกระดี่")</f>
        <v>บางกระดี่</v>
      </c>
      <c r="Z3268" s="3" t="str">
        <f>IFERROR(__xludf.DUMMYFUNCTION("""COMPUTED_VALUE"""),"แสมดำ")</f>
        <v>แสมดำ</v>
      </c>
      <c r="AA3268" s="3" t="str">
        <f>IFERROR(__xludf.DUMMYFUNCTION("""COMPUTED_VALUE"""),"บางขุนเทียน")</f>
        <v>บางขุนเทียน</v>
      </c>
      <c r="AB3268" s="3" t="str">
        <f>IFERROR(__xludf.DUMMYFUNCTION("""COMPUTED_VALUE"""),"กรุงเทพมหานคร")</f>
        <v>กรุงเทพมหานคร</v>
      </c>
      <c r="AC3268" s="3">
        <f>IFERROR(__xludf.DUMMYFUNCTION("""COMPUTED_VALUE"""),10150.0)</f>
        <v>10150</v>
      </c>
      <c r="AD3268" s="3">
        <f>IFERROR(__xludf.DUMMYFUNCTION("""COMPUTED_VALUE"""),13.614188)</f>
        <v>13.614188</v>
      </c>
      <c r="AE3268" s="3">
        <f>IFERROR(__xludf.DUMMYFUNCTION("""COMPUTED_VALUE"""),100.402936)</f>
        <v>100.402936</v>
      </c>
      <c r="AF3268" s="3" t="str">
        <f>IFERROR(__xludf.DUMMYFUNCTION("""COMPUTED_VALUE"""),"BCM บางกะดี่ 33 กรุงเทพฯ-22728")</f>
        <v>BCM บางกะดี่ 33 กรุงเทพฯ-22728</v>
      </c>
      <c r="AG3268" s="3" t="str">
        <f>IFERROR(__xludf.DUMMYFUNCTION("""COMPUTED_VALUE"""),"กลาง")</f>
        <v>กลาง</v>
      </c>
      <c r="AH3268" s="3" t="str">
        <f>IFERROR(__xludf.DUMMYFUNCTION("""COMPUTED_VALUE"""),"#N/A")</f>
        <v>#N/A</v>
      </c>
      <c r="AI3268" s="3" t="str">
        <f>IFERROR(__xludf.DUMMYFUNCTION("""COMPUTED_VALUE"""),"In warranty")</f>
        <v>In warranty</v>
      </c>
      <c r="AJ3268" s="3">
        <f>IFERROR(__xludf.DUMMYFUNCTION("""COMPUTED_VALUE"""),7.0)</f>
        <v>7</v>
      </c>
      <c r="AK3268" s="3"/>
      <c r="AL3268" s="3"/>
    </row>
    <row r="3269" ht="15.75" customHeight="1">
      <c r="A3269" s="1" t="str">
        <f>IFERROR(__xludf.DUMMYFUNCTION("""COMPUTED_VALUE"""),"22730")</f>
        <v>22730</v>
      </c>
      <c r="B3269" s="2">
        <f>IFERROR(__xludf.DUMMYFUNCTION("""COMPUTED_VALUE"""),22730.0)</f>
        <v>22730</v>
      </c>
      <c r="C3269" s="3" t="str">
        <f>IFERROR(__xludf.DUMMYFUNCTION("""COMPUTED_VALUE"""),"BCM แม่น้ำคู้ ซ.2 ระยอง")</f>
        <v>BCM แม่น้ำคู้ ซ.2 ระยอง</v>
      </c>
      <c r="D3269" s="3" t="str">
        <f>IFERROR(__xludf.DUMMYFUNCTION("""COMPUTED_VALUE"""),"BCM MAENAM KHU SOI 2 RAYONG")</f>
        <v>BCM MAENAM KHU SOI 2 RAYONG</v>
      </c>
      <c r="E3269" s="1" t="str">
        <f>IFERROR(__xludf.DUMMYFUNCTION("""COMPUTED_VALUE"""),"บิ๊กซี MINI")</f>
        <v>บิ๊กซี MINI</v>
      </c>
      <c r="F3269" s="1" t="str">
        <f>IFERROR(__xludf.DUMMYFUNCTION("""COMPUTED_VALUE"""),"221716")</f>
        <v>221716</v>
      </c>
      <c r="G3269" s="1" t="str">
        <f>IFERROR(__xludf.DUMMYFUNCTION("""COMPUTED_VALUE"""),"น.ส.เบญจพร โพธิสาร")</f>
        <v>น.ส.เบญจพร โพธิสาร</v>
      </c>
      <c r="H3269" s="1" t="str">
        <f>IFERROR(__xludf.DUMMYFUNCTION("""COMPUTED_VALUE"""),"371384")</f>
        <v>371384</v>
      </c>
      <c r="I3269" s="1" t="str">
        <f>IFERROR(__xludf.DUMMYFUNCTION("""COMPUTED_VALUE"""),"น.ส.นิลเนตร สิงห์ทอง")</f>
        <v>น.ส.นิลเนตร สิงห์ทอง</v>
      </c>
      <c r="J3269" s="3">
        <f>IFERROR(__xludf.DUMMYFUNCTION("""COMPUTED_VALUE"""),2452376.0)</f>
        <v>2452376</v>
      </c>
      <c r="K3269" s="3" t="str">
        <f>IFERROR(__xludf.DUMMYFUNCTION("""COMPUTED_VALUE"""),"นายภาคภูมิ ทวีกุล")</f>
        <v>นายภาคภูมิ ทวีกุล</v>
      </c>
      <c r="L3269" s="1" t="str">
        <f>IFERROR(__xludf.DUMMYFUNCTION("""COMPUTED_VALUE"""),"08 K.Parkphum T.")</f>
        <v>08 K.Parkphum T.</v>
      </c>
      <c r="M3269" s="1" t="str">
        <f>IFERROR(__xludf.DUMMYFUNCTION("""COMPUTED_VALUE"""),"097-919-5476")</f>
        <v>097-919-5476</v>
      </c>
      <c r="N3269" s="3">
        <f>IFERROR(__xludf.DUMMYFUNCTION("""COMPUTED_VALUE"""),22028.0)</f>
        <v>22028</v>
      </c>
      <c r="O3269" s="3" t="str">
        <f>IFERROR(__xludf.DUMMYFUNCTION("""COMPUTED_VALUE"""),"MBC ทํบมา ระยอง")</f>
        <v>MBC ทํบมา ระยอง</v>
      </c>
      <c r="P3269" s="4">
        <f>IFERROR(__xludf.DUMMYFUNCTION("""COMPUTED_VALUE"""),45857.0)</f>
        <v>45857</v>
      </c>
      <c r="Q3269" s="3" t="str">
        <f>IFERROR(__xludf.DUMMYFUNCTION("""COMPUTED_VALUE"""),"A")</f>
        <v>A</v>
      </c>
      <c r="R3269" s="3" t="str">
        <f>IFERROR(__xludf.DUMMYFUNCTION("""COMPUTED_VALUE"""),"Small Format")</f>
        <v>Small Format</v>
      </c>
      <c r="S3269" s="3" t="str">
        <f>IFERROR(__xludf.DUMMYFUNCTION("""COMPUTED_VALUE"""),"BCM")</f>
        <v>BCM</v>
      </c>
      <c r="T3269" s="3" t="str">
        <f>IFERROR(__xludf.DUMMYFUNCTION("""COMPUTED_VALUE"""),"#N/A")</f>
        <v>#N/A</v>
      </c>
      <c r="U3269" s="3" t="str">
        <f>IFERROR(__xludf.DUMMYFUNCTION("""COMPUTED_VALUE"""),"#N/A")</f>
        <v>#N/A</v>
      </c>
      <c r="V3269" s="3" t="str">
        <f>IFERROR(__xludf.DUMMYFUNCTION("""COMPUTED_VALUE"""),"N")</f>
        <v>N</v>
      </c>
      <c r="W3269" s="3">
        <f>IFERROR(__xludf.DUMMYFUNCTION("""COMPUTED_VALUE"""),210832.0)</f>
        <v>210832</v>
      </c>
      <c r="X3269" s="3" t="str">
        <f>IFERROR(__xludf.DUMMYFUNCTION("""COMPUTED_VALUE"""),"697 หมู่ 3 ตำบลแม่น้ำคู้ อำเภอปลวกแดง จังหวัดระยอง 21140")</f>
        <v>697 หมู่ 3 ตำบลแม่น้ำคู้ อำเภอปลวกแดง จังหวัดระยอง 21140</v>
      </c>
      <c r="Y3269" s="3"/>
      <c r="Z3269" s="3" t="str">
        <f>IFERROR(__xludf.DUMMYFUNCTION("""COMPUTED_VALUE"""),"แม่น้ำคู้")</f>
        <v>แม่น้ำคู้</v>
      </c>
      <c r="AA3269" s="3" t="str">
        <f>IFERROR(__xludf.DUMMYFUNCTION("""COMPUTED_VALUE"""),"ปลวกแดง")</f>
        <v>ปลวกแดง</v>
      </c>
      <c r="AB3269" s="3" t="str">
        <f>IFERROR(__xludf.DUMMYFUNCTION("""COMPUTED_VALUE"""),"ระยอง")</f>
        <v>ระยอง</v>
      </c>
      <c r="AC3269" s="3">
        <f>IFERROR(__xludf.DUMMYFUNCTION("""COMPUTED_VALUE"""),21140.0)</f>
        <v>21140</v>
      </c>
      <c r="AD3269" s="3">
        <f>IFERROR(__xludf.DUMMYFUNCTION("""COMPUTED_VALUE"""),12.932811)</f>
        <v>12.932811</v>
      </c>
      <c r="AE3269" s="3">
        <f>IFERROR(__xludf.DUMMYFUNCTION("""COMPUTED_VALUE"""),101.238009)</f>
        <v>101.238009</v>
      </c>
      <c r="AF3269" s="3" t="str">
        <f>IFERROR(__xludf.DUMMYFUNCTION("""COMPUTED_VALUE"""),"BCM แม่น้ำคู้ ซ.2 ระยอง-22730")</f>
        <v>BCM แม่น้ำคู้ ซ.2 ระยอง-22730</v>
      </c>
      <c r="AG3269" s="3" t="str">
        <f>IFERROR(__xludf.DUMMYFUNCTION("""COMPUTED_VALUE"""),"ตะวันออก")</f>
        <v>ตะวันออก</v>
      </c>
      <c r="AH3269" s="3" t="str">
        <f>IFERROR(__xludf.DUMMYFUNCTION("""COMPUTED_VALUE"""),"#N/A")</f>
        <v>#N/A</v>
      </c>
      <c r="AI3269" s="3" t="str">
        <f>IFERROR(__xludf.DUMMYFUNCTION("""COMPUTED_VALUE"""),"In warranty")</f>
        <v>In warranty</v>
      </c>
      <c r="AJ3269" s="3">
        <f>IFERROR(__xludf.DUMMYFUNCTION("""COMPUTED_VALUE"""),7.0)</f>
        <v>7</v>
      </c>
      <c r="AK3269" s="3"/>
      <c r="AL3269" s="3"/>
    </row>
    <row r="3270" ht="15.75" customHeight="1">
      <c r="A3270" s="1" t="str">
        <f>IFERROR(__xludf.DUMMYFUNCTION("""COMPUTED_VALUE"""),"22732")</f>
        <v>22732</v>
      </c>
      <c r="B3270" s="2">
        <f>IFERROR(__xludf.DUMMYFUNCTION("""COMPUTED_VALUE"""),22732.0)</f>
        <v>22732</v>
      </c>
      <c r="C3270" s="3" t="str">
        <f>IFERROR(__xludf.DUMMYFUNCTION("""COMPUTED_VALUE"""),"BCM อยู่วิทยา 12 กรุงเทพฯ")</f>
        <v>BCM อยู่วิทยา 12 กรุงเทพฯ</v>
      </c>
      <c r="D3270" s="3" t="str">
        <f>IFERROR(__xludf.DUMMYFUNCTION("""COMPUTED_VALUE"""),"BCM YU WITTHAYA 12 BANGKOK")</f>
        <v>BCM YU WITTHAYA 12 BANGKOK</v>
      </c>
      <c r="E3270" s="1" t="str">
        <f>IFERROR(__xludf.DUMMYFUNCTION("""COMPUTED_VALUE"""),"บิ๊กซี MINI")</f>
        <v>บิ๊กซี MINI</v>
      </c>
      <c r="F3270" s="1" t="str">
        <f>IFERROR(__xludf.DUMMYFUNCTION("""COMPUTED_VALUE"""),"291008")</f>
        <v>291008</v>
      </c>
      <c r="G3270" s="1" t="str">
        <f>IFERROR(__xludf.DUMMYFUNCTION("""COMPUTED_VALUE"""),"น.ส.รัชดาพร อีศรัตน์")</f>
        <v>น.ส.รัชดาพร อีศรัตน์</v>
      </c>
      <c r="H3270" s="1" t="str">
        <f>IFERROR(__xludf.DUMMYFUNCTION("""COMPUTED_VALUE"""),"228242")</f>
        <v>228242</v>
      </c>
      <c r="I3270" s="1" t="str">
        <f>IFERROR(__xludf.DUMMYFUNCTION("""COMPUTED_VALUE"""),"นายสมชาย เยมรัมย์")</f>
        <v>นายสมชาย เยมรัมย์</v>
      </c>
      <c r="J3270" s="3">
        <f>IFERROR(__xludf.DUMMYFUNCTION("""COMPUTED_VALUE"""),3510104.0)</f>
        <v>3510104</v>
      </c>
      <c r="K3270" s="3" t="str">
        <f>IFERROR(__xludf.DUMMYFUNCTION("""COMPUTED_VALUE"""),"นายวิโรจน์ อับดุลสมัด")</f>
        <v>นายวิโรจน์ อับดุลสมัด</v>
      </c>
      <c r="L3270" s="1" t="str">
        <f>IFERROR(__xludf.DUMMYFUNCTION("""COMPUTED_VALUE"""),"09 K.Wirode A")</f>
        <v>09 K.Wirode A</v>
      </c>
      <c r="M3270" s="1" t="str">
        <f>IFERROR(__xludf.DUMMYFUNCTION("""COMPUTED_VALUE"""),"080-235-4465")</f>
        <v>080-235-4465</v>
      </c>
      <c r="N3270" s="3">
        <f>IFERROR(__xludf.DUMMYFUNCTION("""COMPUTED_VALUE"""),21324.0)</f>
        <v>21324</v>
      </c>
      <c r="O3270" s="3" t="str">
        <f>IFERROR(__xludf.DUMMYFUNCTION("""COMPUTED_VALUE"""),"MBC BCP สุวินทวงศ์")</f>
        <v>MBC BCP สุวินทวงศ์</v>
      </c>
      <c r="P3270" s="4">
        <f>IFERROR(__xludf.DUMMYFUNCTION("""COMPUTED_VALUE"""),45865.0)</f>
        <v>45865</v>
      </c>
      <c r="Q3270" s="3" t="str">
        <f>IFERROR(__xludf.DUMMYFUNCTION("""COMPUTED_VALUE"""),"A")</f>
        <v>A</v>
      </c>
      <c r="R3270" s="3" t="str">
        <f>IFERROR(__xludf.DUMMYFUNCTION("""COMPUTED_VALUE"""),"Small Format")</f>
        <v>Small Format</v>
      </c>
      <c r="S3270" s="3" t="str">
        <f>IFERROR(__xludf.DUMMYFUNCTION("""COMPUTED_VALUE"""),"BCM")</f>
        <v>BCM</v>
      </c>
      <c r="T3270" s="3" t="str">
        <f>IFERROR(__xludf.DUMMYFUNCTION("""COMPUTED_VALUE"""),"#N/A")</f>
        <v>#N/A</v>
      </c>
      <c r="U3270" s="3" t="str">
        <f>IFERROR(__xludf.DUMMYFUNCTION("""COMPUTED_VALUE"""),"#N/A")</f>
        <v>#N/A</v>
      </c>
      <c r="V3270" s="3" t="str">
        <f>IFERROR(__xludf.DUMMYFUNCTION("""COMPUTED_VALUE"""),"N")</f>
        <v>N</v>
      </c>
      <c r="W3270" s="3">
        <f>IFERROR(__xludf.DUMMYFUNCTION("""COMPUTED_VALUE"""),210818.0)</f>
        <v>210818</v>
      </c>
      <c r="X3270" s="3" t="str">
        <f>IFERROR(__xludf.DUMMYFUNCTION("""COMPUTED_VALUE"""),"55/7 ซอยอยู่วิทยา 12 แขวงกระทุ่มราย เขตหนองจอก กรุงเทพมหานคร 10530")</f>
        <v>55/7 ซอยอยู่วิทยา 12 แขวงกระทุ่มราย เขตหนองจอก กรุงเทพมหานคร 10530</v>
      </c>
      <c r="Y3270" s="3"/>
      <c r="Z3270" s="3" t="str">
        <f>IFERROR(__xludf.DUMMYFUNCTION("""COMPUTED_VALUE"""),"กระทุ่มราย")</f>
        <v>กระทุ่มราย</v>
      </c>
      <c r="AA3270" s="3" t="str">
        <f>IFERROR(__xludf.DUMMYFUNCTION("""COMPUTED_VALUE"""),"หนองจอก")</f>
        <v>หนองจอก</v>
      </c>
      <c r="AB3270" s="3" t="str">
        <f>IFERROR(__xludf.DUMMYFUNCTION("""COMPUTED_VALUE"""),"กรุงเทพมหานคร")</f>
        <v>กรุงเทพมหานคร</v>
      </c>
      <c r="AC3270" s="3">
        <f>IFERROR(__xludf.DUMMYFUNCTION("""COMPUTED_VALUE"""),10530.0)</f>
        <v>10530</v>
      </c>
      <c r="AD3270" s="3">
        <f>IFERROR(__xludf.DUMMYFUNCTION("""COMPUTED_VALUE"""),13.834278)</f>
        <v>13.834278</v>
      </c>
      <c r="AE3270" s="3">
        <f>IFERROR(__xludf.DUMMYFUNCTION("""COMPUTED_VALUE"""),100.864746)</f>
        <v>100.864746</v>
      </c>
      <c r="AF3270" s="3" t="str">
        <f>IFERROR(__xludf.DUMMYFUNCTION("""COMPUTED_VALUE"""),"BCM อยู่วิทยา 12 กรุงเทพฯ-22732")</f>
        <v>BCM อยู่วิทยา 12 กรุงเทพฯ-22732</v>
      </c>
      <c r="AG3270" s="3" t="str">
        <f>IFERROR(__xludf.DUMMYFUNCTION("""COMPUTED_VALUE"""),"กลาง")</f>
        <v>กลาง</v>
      </c>
      <c r="AH3270" s="3" t="str">
        <f>IFERROR(__xludf.DUMMYFUNCTION("""COMPUTED_VALUE"""),"#N/A")</f>
        <v>#N/A</v>
      </c>
      <c r="AI3270" s="3" t="str">
        <f>IFERROR(__xludf.DUMMYFUNCTION("""COMPUTED_VALUE"""),"In warranty")</f>
        <v>In warranty</v>
      </c>
      <c r="AJ3270" s="3">
        <f>IFERROR(__xludf.DUMMYFUNCTION("""COMPUTED_VALUE"""),6.0)</f>
        <v>6</v>
      </c>
      <c r="AK3270" s="3"/>
      <c r="AL3270" s="3"/>
    </row>
    <row r="3271" ht="15.75" customHeight="1">
      <c r="A3271" s="1" t="str">
        <f>IFERROR(__xludf.DUMMYFUNCTION("""COMPUTED_VALUE"""),"22737")</f>
        <v>22737</v>
      </c>
      <c r="B3271" s="2">
        <f>IFERROR(__xludf.DUMMYFUNCTION("""COMPUTED_VALUE"""),22737.0)</f>
        <v>22737</v>
      </c>
      <c r="C3271" s="3" t="str">
        <f>IFERROR(__xludf.DUMMYFUNCTION("""COMPUTED_VALUE"""),"BCM พีที นิคมอุตสาหกรรมลำพูน ลำพูน")</f>
        <v>BCM พีที นิคมอุตสาหกรรมลำพูน ลำพูน</v>
      </c>
      <c r="D3271" s="3" t="str">
        <f>IFERROR(__xludf.DUMMYFUNCTION("""COMPUTED_VALUE"""),"BCM PT INDUSTRIAL ESTATE")</f>
        <v>BCM PT INDUSTRIAL ESTATE</v>
      </c>
      <c r="E3271" s="1" t="str">
        <f>IFERROR(__xludf.DUMMYFUNCTION("""COMPUTED_VALUE"""),"บิ๊กซี MINI")</f>
        <v>บิ๊กซี MINI</v>
      </c>
      <c r="F3271" s="1" t="str">
        <f>IFERROR(__xludf.DUMMYFUNCTION("""COMPUTED_VALUE"""),"296229")</f>
        <v>296229</v>
      </c>
      <c r="G3271" s="1" t="str">
        <f>IFERROR(__xludf.DUMMYFUNCTION("""COMPUTED_VALUE"""),"นายทนงศักดิ์ บุญมา")</f>
        <v>นายทนงศักดิ์ บุญมา</v>
      </c>
      <c r="H3271" s="1" t="str">
        <f>IFERROR(__xludf.DUMMYFUNCTION("""COMPUTED_VALUE"""),"392003")</f>
        <v>392003</v>
      </c>
      <c r="I3271" s="1" t="str">
        <f>IFERROR(__xludf.DUMMYFUNCTION("""COMPUTED_VALUE"""),"นายวรภพ เศษสูงเนิน")</f>
        <v>นายวรภพ เศษสูงเนิน</v>
      </c>
      <c r="J3271" s="3">
        <f>IFERROR(__xludf.DUMMYFUNCTION("""COMPUTED_VALUE"""),2010016.0)</f>
        <v>2010016</v>
      </c>
      <c r="K3271" s="3" t="str">
        <f>IFERROR(__xludf.DUMMYFUNCTION("""COMPUTED_VALUE"""),"นายตวงธรรม ใหม่ยศ")</f>
        <v>นายตวงธรรม ใหม่ยศ</v>
      </c>
      <c r="L3271" s="1" t="str">
        <f>IFERROR(__xludf.DUMMYFUNCTION("""COMPUTED_VALUE"""),"01 K.Tuangtham M.")</f>
        <v>01 K.Tuangtham M.</v>
      </c>
      <c r="M3271" s="1" t="str">
        <f>IFERROR(__xludf.DUMMYFUNCTION("""COMPUTED_VALUE"""),"063-976-595")</f>
        <v>063-976-595</v>
      </c>
      <c r="N3271" s="3">
        <f>IFERROR(__xludf.DUMMYFUNCTION("""COMPUTED_VALUE"""),22574.0)</f>
        <v>22574</v>
      </c>
      <c r="O3271" s="3" t="str">
        <f>IFERROR(__xludf.DUMMYFUNCTION("""COMPUTED_VALUE"""),"BCM ชุมชนศรีชุม ลำปาง")</f>
        <v>BCM ชุมชนศรีชุม ลำปาง</v>
      </c>
      <c r="P3271" s="4">
        <f>IFERROR(__xludf.DUMMYFUNCTION("""COMPUTED_VALUE"""),45895.0)</f>
        <v>45895</v>
      </c>
      <c r="Q3271" s="3" t="str">
        <f>IFERROR(__xludf.DUMMYFUNCTION("""COMPUTED_VALUE"""),"A")</f>
        <v>A</v>
      </c>
      <c r="R3271" s="3" t="str">
        <f>IFERROR(__xludf.DUMMYFUNCTION("""COMPUTED_VALUE"""),"Small Format")</f>
        <v>Small Format</v>
      </c>
      <c r="S3271" s="3" t="str">
        <f>IFERROR(__xludf.DUMMYFUNCTION("""COMPUTED_VALUE"""),"BCM")</f>
        <v>BCM</v>
      </c>
      <c r="T3271" s="3" t="str">
        <f>IFERROR(__xludf.DUMMYFUNCTION("""COMPUTED_VALUE"""),"#N/A")</f>
        <v>#N/A</v>
      </c>
      <c r="U3271" s="3" t="str">
        <f>IFERROR(__xludf.DUMMYFUNCTION("""COMPUTED_VALUE"""),"#N/A")</f>
        <v>#N/A</v>
      </c>
      <c r="V3271" s="3" t="str">
        <f>IFERROR(__xludf.DUMMYFUNCTION("""COMPUTED_VALUE"""),"N")</f>
        <v>N</v>
      </c>
      <c r="W3271" s="3">
        <f>IFERROR(__xludf.DUMMYFUNCTION("""COMPUTED_VALUE"""),210847.0)</f>
        <v>210847</v>
      </c>
      <c r="X3271" s="3" t="str">
        <f>IFERROR(__xludf.DUMMYFUNCTION("""COMPUTED_VALUE"""),"95/3 หมู่ 6 ตำบลบ้านกลาง อำเภอเมืองลำพูน จังหวัดลำพูน 51000")</f>
        <v>95/3 หมู่ 6 ตำบลบ้านกลาง อำเภอเมืองลำพูน จังหวัดลำพูน 51000</v>
      </c>
      <c r="Y3271" s="3"/>
      <c r="Z3271" s="3" t="str">
        <f>IFERROR(__xludf.DUMMYFUNCTION("""COMPUTED_VALUE"""),"บ้านกลาง")</f>
        <v>บ้านกลาง</v>
      </c>
      <c r="AA3271" s="3" t="str">
        <f>IFERROR(__xludf.DUMMYFUNCTION("""COMPUTED_VALUE"""),"เมืองลำพูน")</f>
        <v>เมืองลำพูน</v>
      </c>
      <c r="AB3271" s="3" t="str">
        <f>IFERROR(__xludf.DUMMYFUNCTION("""COMPUTED_VALUE"""),"ลำพูน")</f>
        <v>ลำพูน</v>
      </c>
      <c r="AC3271" s="3">
        <f>IFERROR(__xludf.DUMMYFUNCTION("""COMPUTED_VALUE"""),51000.0)</f>
        <v>51000</v>
      </c>
      <c r="AD3271" s="3">
        <f>IFERROR(__xludf.DUMMYFUNCTION("""COMPUTED_VALUE"""),18.579836)</f>
        <v>18.579836</v>
      </c>
      <c r="AE3271" s="3">
        <f>IFERROR(__xludf.DUMMYFUNCTION("""COMPUTED_VALUE"""),18.579836)</f>
        <v>18.579836</v>
      </c>
      <c r="AF3271" s="3" t="str">
        <f>IFERROR(__xludf.DUMMYFUNCTION("""COMPUTED_VALUE"""),"BCM พีที นิคมอุตสาหกรรมลำพูน ลำพูน-22737")</f>
        <v>BCM พีที นิคมอุตสาหกรรมลำพูน ลำพูน-22737</v>
      </c>
      <c r="AG3271" s="3" t="str">
        <f>IFERROR(__xludf.DUMMYFUNCTION("""COMPUTED_VALUE"""),"เหนือ")</f>
        <v>เหนือ</v>
      </c>
      <c r="AH3271" s="3" t="str">
        <f>IFERROR(__xludf.DUMMYFUNCTION("""COMPUTED_VALUE"""),"#N/A")</f>
        <v>#N/A</v>
      </c>
      <c r="AI3271" s="3" t="str">
        <f>IFERROR(__xludf.DUMMYFUNCTION("""COMPUTED_VALUE"""),"In warranty")</f>
        <v>In warranty</v>
      </c>
      <c r="AJ3271" s="3">
        <f>IFERROR(__xludf.DUMMYFUNCTION("""COMPUTED_VALUE"""),5.0)</f>
        <v>5</v>
      </c>
      <c r="AK3271" s="3"/>
      <c r="AL3271" s="3"/>
    </row>
    <row r="3272" ht="15.75" customHeight="1">
      <c r="A3272" s="1" t="str">
        <f>IFERROR(__xludf.DUMMYFUNCTION("""COMPUTED_VALUE"""),"22738")</f>
        <v>22738</v>
      </c>
      <c r="B3272" s="2">
        <f>IFERROR(__xludf.DUMMYFUNCTION("""COMPUTED_VALUE"""),22738.0)</f>
        <v>22738</v>
      </c>
      <c r="C3272" s="3" t="str">
        <f>IFERROR(__xludf.DUMMYFUNCTION("""COMPUTED_VALUE"""),"BCM ถ.ทวีราษฏร์ภักดี บ.ใต้-สมุย สุราษฏร์ธานี")</f>
        <v>BCM ถ.ทวีราษฏร์ภักดี บ.ใต้-สมุย สุราษฏร์ธานี</v>
      </c>
      <c r="D3272" s="3" t="str">
        <f>IFERROR(__xludf.DUMMYFUNCTION("""COMPUTED_VALUE"""),"BCM THANON THAWEERATPAKDEE")</f>
        <v>BCM THANON THAWEERATPAKDEE</v>
      </c>
      <c r="E3272" s="1" t="str">
        <f>IFERROR(__xludf.DUMMYFUNCTION("""COMPUTED_VALUE"""),"บิ๊กซี MINI")</f>
        <v>บิ๊กซี MINI</v>
      </c>
      <c r="F3272" s="1" t="str">
        <f>IFERROR(__xludf.DUMMYFUNCTION("""COMPUTED_VALUE"""),"250760")</f>
        <v>250760</v>
      </c>
      <c r="G3272" s="1" t="str">
        <f>IFERROR(__xludf.DUMMYFUNCTION("""COMPUTED_VALUE"""),"นายประทวน สาราบรรณ์")</f>
        <v>นายประทวน สาราบรรณ์</v>
      </c>
      <c r="H3272" s="1" t="str">
        <f>IFERROR(__xludf.DUMMYFUNCTION("""COMPUTED_VALUE"""),"356760")</f>
        <v>356760</v>
      </c>
      <c r="I3272" s="1" t="str">
        <f>IFERROR(__xludf.DUMMYFUNCTION("""COMPUTED_VALUE"""),"นายภูมิภัทร แก้วพรรณราย")</f>
        <v>นายภูมิภัทร แก้วพรรณราย</v>
      </c>
      <c r="J3272" s="3">
        <f>IFERROR(__xludf.DUMMYFUNCTION("""COMPUTED_VALUE"""),25324.0)</f>
        <v>25324</v>
      </c>
      <c r="K3272" s="3" t="str">
        <f>IFERROR(__xludf.DUMMYFUNCTION("""COMPUTED_VALUE"""),"นายวิเชฎฐ์ ติรัตนะประคม")</f>
        <v>นายวิเชฎฐ์ ติรัตนะประคม</v>
      </c>
      <c r="L3272" s="1" t="str">
        <f>IFERROR(__xludf.DUMMYFUNCTION("""COMPUTED_VALUE"""),"14 K.Wichet T.")</f>
        <v>14 K.Wichet T.</v>
      </c>
      <c r="M3272" s="1" t="str">
        <f>IFERROR(__xludf.DUMMYFUNCTION("""COMPUTED_VALUE"""),"061-417-6569 / 086-445-5636")</f>
        <v>061-417-6569 / 086-445-5636</v>
      </c>
      <c r="N3272" s="3">
        <f>IFERROR(__xludf.DUMMYFUNCTION("""COMPUTED_VALUE"""),22658.0)</f>
        <v>22658</v>
      </c>
      <c r="O3272" s="3" t="str">
        <f>IFERROR(__xludf.DUMMYFUNCTION("""COMPUTED_VALUE"""),"BCM ถ.วิรัชหงษ์หยก ภูเก็ต")</f>
        <v>BCM ถ.วิรัชหงษ์หยก ภูเก็ต</v>
      </c>
      <c r="P3272" s="4">
        <f>IFERROR(__xludf.DUMMYFUNCTION("""COMPUTED_VALUE"""),45893.0)</f>
        <v>45893</v>
      </c>
      <c r="Q3272" s="3" t="str">
        <f>IFERROR(__xludf.DUMMYFUNCTION("""COMPUTED_VALUE"""),"A")</f>
        <v>A</v>
      </c>
      <c r="R3272" s="3" t="str">
        <f>IFERROR(__xludf.DUMMYFUNCTION("""COMPUTED_VALUE"""),"Small Format")</f>
        <v>Small Format</v>
      </c>
      <c r="S3272" s="3" t="str">
        <f>IFERROR(__xludf.DUMMYFUNCTION("""COMPUTED_VALUE"""),"BCM")</f>
        <v>BCM</v>
      </c>
      <c r="T3272" s="3" t="str">
        <f>IFERROR(__xludf.DUMMYFUNCTION("""COMPUTED_VALUE"""),"#N/A")</f>
        <v>#N/A</v>
      </c>
      <c r="U3272" s="3" t="str">
        <f>IFERROR(__xludf.DUMMYFUNCTION("""COMPUTED_VALUE"""),"#N/A")</f>
        <v>#N/A</v>
      </c>
      <c r="V3272" s="3" t="str">
        <f>IFERROR(__xludf.DUMMYFUNCTION("""COMPUTED_VALUE"""),"N")</f>
        <v>N</v>
      </c>
      <c r="W3272" s="3">
        <f>IFERROR(__xludf.DUMMYFUNCTION("""COMPUTED_VALUE"""),210608.0)</f>
        <v>210608</v>
      </c>
      <c r="X3272" s="3" t="str">
        <f>IFERROR(__xludf.DUMMYFUNCTION("""COMPUTED_VALUE"""),"43/7 หมู่ 5 ตำบลแม่น้ำ อำเภอเกาะสมุย จังหวัดสุราษฎร์ธานี 84330")</f>
        <v>43/7 หมู่ 5 ตำบลแม่น้ำ อำเภอเกาะสมุย จังหวัดสุราษฎร์ธานี 84330</v>
      </c>
      <c r="Y3272" s="3"/>
      <c r="Z3272" s="3" t="str">
        <f>IFERROR(__xludf.DUMMYFUNCTION("""COMPUTED_VALUE"""),"แม่น้ำ")</f>
        <v>แม่น้ำ</v>
      </c>
      <c r="AA3272" s="3" t="str">
        <f>IFERROR(__xludf.DUMMYFUNCTION("""COMPUTED_VALUE"""),"เกาะสมุย")</f>
        <v>เกาะสมุย</v>
      </c>
      <c r="AB3272" s="3" t="str">
        <f>IFERROR(__xludf.DUMMYFUNCTION("""COMPUTED_VALUE"""),"สุราษฎร์ธานี")</f>
        <v>สุราษฎร์ธานี</v>
      </c>
      <c r="AC3272" s="3">
        <f>IFERROR(__xludf.DUMMYFUNCTION("""COMPUTED_VALUE"""),84330.0)</f>
        <v>84330</v>
      </c>
      <c r="AD3272" s="3">
        <f>IFERROR(__xludf.DUMMYFUNCTION("""COMPUTED_VALUE"""),9.577505)</f>
        <v>9.577505</v>
      </c>
      <c r="AE3272" s="3">
        <f>IFERROR(__xludf.DUMMYFUNCTION("""COMPUTED_VALUE"""),9.577505)</f>
        <v>9.577505</v>
      </c>
      <c r="AF3272" s="3" t="str">
        <f>IFERROR(__xludf.DUMMYFUNCTION("""COMPUTED_VALUE"""),"BCM ถ.ทวีราษฏร์ภักดี บ.ใต้-สมุย สุราษฏร์ธานี-22738")</f>
        <v>BCM ถ.ทวีราษฏร์ภักดี บ.ใต้-สมุย สุราษฏร์ธานี-22738</v>
      </c>
      <c r="AG3272" s="3" t="str">
        <f>IFERROR(__xludf.DUMMYFUNCTION("""COMPUTED_VALUE"""),"ใต้")</f>
        <v>ใต้</v>
      </c>
      <c r="AH3272" s="3" t="str">
        <f>IFERROR(__xludf.DUMMYFUNCTION("""COMPUTED_VALUE"""),"#N/A")</f>
        <v>#N/A</v>
      </c>
      <c r="AI3272" s="3" t="str">
        <f>IFERROR(__xludf.DUMMYFUNCTION("""COMPUTED_VALUE"""),"In warranty")</f>
        <v>In warranty</v>
      </c>
      <c r="AJ3272" s="3">
        <f>IFERROR(__xludf.DUMMYFUNCTION("""COMPUTED_VALUE"""),5.0)</f>
        <v>5</v>
      </c>
      <c r="AK3272" s="3"/>
      <c r="AL3272" s="3"/>
    </row>
    <row r="3273" ht="15.75" customHeight="1">
      <c r="A3273" s="1" t="str">
        <f>IFERROR(__xludf.DUMMYFUNCTION("""COMPUTED_VALUE"""),"22736")</f>
        <v>22736</v>
      </c>
      <c r="B3273" s="2">
        <f>IFERROR(__xludf.DUMMYFUNCTION("""COMPUTED_VALUE"""),22736.0)</f>
        <v>22736</v>
      </c>
      <c r="C3273" s="3" t="str">
        <f>IFERROR(__xludf.DUMMYFUNCTION("""COMPUTED_VALUE"""),"BCM TCC ลาดพร้าว 132 กรุงเทพฯ")</f>
        <v>BCM TCC ลาดพร้าว 132 กรุงเทพฯ</v>
      </c>
      <c r="D3273" s="3" t="str">
        <f>IFERROR(__xludf.DUMMYFUNCTION("""COMPUTED_VALUE"""),"BCM TCC LADPRAO 132 BANGKOK")</f>
        <v>BCM TCC LADPRAO 132 BANGKOK</v>
      </c>
      <c r="E3273" s="1" t="str">
        <f>IFERROR(__xludf.DUMMYFUNCTION("""COMPUTED_VALUE"""),"บิ๊กซี MINI")</f>
        <v>บิ๊กซี MINI</v>
      </c>
      <c r="F3273" s="1" t="str">
        <f>IFERROR(__xludf.DUMMYFUNCTION("""COMPUTED_VALUE"""),"291008")</f>
        <v>291008</v>
      </c>
      <c r="G3273" s="1" t="str">
        <f>IFERROR(__xludf.DUMMYFUNCTION("""COMPUTED_VALUE"""),"น.ส.รัชดาพร อีศรัตน์")</f>
        <v>น.ส.รัชดาพร อีศรัตน์</v>
      </c>
      <c r="H3273" s="1" t="str">
        <f>IFERROR(__xludf.DUMMYFUNCTION("""COMPUTED_VALUE"""),"228242")</f>
        <v>228242</v>
      </c>
      <c r="I3273" s="1" t="str">
        <f>IFERROR(__xludf.DUMMYFUNCTION("""COMPUTED_VALUE"""),"นายสมชาย เยมรัมย์")</f>
        <v>นายสมชาย เยมรัมย์</v>
      </c>
      <c r="J3273" s="3">
        <f>IFERROR(__xludf.DUMMYFUNCTION("""COMPUTED_VALUE"""),3510104.0)</f>
        <v>3510104</v>
      </c>
      <c r="K3273" s="3" t="str">
        <f>IFERROR(__xludf.DUMMYFUNCTION("""COMPUTED_VALUE"""),"นายวิโรจน์ อับดุลสมัด")</f>
        <v>นายวิโรจน์ อับดุลสมัด</v>
      </c>
      <c r="L3273" s="1" t="str">
        <f>IFERROR(__xludf.DUMMYFUNCTION("""COMPUTED_VALUE"""),"09 K.Wirode A")</f>
        <v>09 K.Wirode A</v>
      </c>
      <c r="M3273" s="1" t="str">
        <f>IFERROR(__xludf.DUMMYFUNCTION("""COMPUTED_VALUE"""),"080-235-4465")</f>
        <v>080-235-4465</v>
      </c>
      <c r="N3273" s="3">
        <f>IFERROR(__xludf.DUMMYFUNCTION("""COMPUTED_VALUE"""),21324.0)</f>
        <v>21324</v>
      </c>
      <c r="O3273" s="3" t="str">
        <f>IFERROR(__xludf.DUMMYFUNCTION("""COMPUTED_VALUE"""),"MBC BCP สุวินทวงศ์")</f>
        <v>MBC BCP สุวินทวงศ์</v>
      </c>
      <c r="P3273" s="4">
        <f>IFERROR(__xludf.DUMMYFUNCTION("""COMPUTED_VALUE"""),45885.0)</f>
        <v>45885</v>
      </c>
      <c r="Q3273" s="3" t="str">
        <f>IFERROR(__xludf.DUMMYFUNCTION("""COMPUTED_VALUE"""),"A")</f>
        <v>A</v>
      </c>
      <c r="R3273" s="3" t="str">
        <f>IFERROR(__xludf.DUMMYFUNCTION("""COMPUTED_VALUE"""),"Small Format")</f>
        <v>Small Format</v>
      </c>
      <c r="S3273" s="3" t="str">
        <f>IFERROR(__xludf.DUMMYFUNCTION("""COMPUTED_VALUE"""),"BCM")</f>
        <v>BCM</v>
      </c>
      <c r="T3273" s="3" t="str">
        <f>IFERROR(__xludf.DUMMYFUNCTION("""COMPUTED_VALUE"""),"#N/A")</f>
        <v>#N/A</v>
      </c>
      <c r="U3273" s="3" t="str">
        <f>IFERROR(__xludf.DUMMYFUNCTION("""COMPUTED_VALUE"""),"#N/A")</f>
        <v>#N/A</v>
      </c>
      <c r="V3273" s="3" t="str">
        <f>IFERROR(__xludf.DUMMYFUNCTION("""COMPUTED_VALUE"""),"N")</f>
        <v>N</v>
      </c>
      <c r="W3273" s="3">
        <f>IFERROR(__xludf.DUMMYFUNCTION("""COMPUTED_VALUE"""),210812.0)</f>
        <v>210812</v>
      </c>
      <c r="X3273" s="3" t="str">
        <f>IFERROR(__xludf.DUMMYFUNCTION("""COMPUTED_VALUE"""),"2/2 ซอยลาดพร้าว 132(วัดกลาง) แขวงคลองจั่น เขตบางกะปิ กรุงเทพมหานคร 10240")</f>
        <v>2/2 ซอยลาดพร้าว 132(วัดกลาง) แขวงคลองจั่น เขตบางกะปิ กรุงเทพมหานคร 10240</v>
      </c>
      <c r="Y3273" s="3"/>
      <c r="Z3273" s="3" t="str">
        <f>IFERROR(__xludf.DUMMYFUNCTION("""COMPUTED_VALUE"""),"คลองจั่น")</f>
        <v>คลองจั่น</v>
      </c>
      <c r="AA3273" s="3" t="str">
        <f>IFERROR(__xludf.DUMMYFUNCTION("""COMPUTED_VALUE"""),"บางกะปิ")</f>
        <v>บางกะปิ</v>
      </c>
      <c r="AB3273" s="3" t="str">
        <f>IFERROR(__xludf.DUMMYFUNCTION("""COMPUTED_VALUE"""),"กรุงเทพมหานคร")</f>
        <v>กรุงเทพมหานคร</v>
      </c>
      <c r="AC3273" s="3">
        <f>IFERROR(__xludf.DUMMYFUNCTION("""COMPUTED_VALUE"""),10240.0)</f>
        <v>10240</v>
      </c>
      <c r="AD3273" s="3">
        <f>IFERROR(__xludf.DUMMYFUNCTION("""COMPUTED_VALUE"""),13.77158)</f>
        <v>13.77158</v>
      </c>
      <c r="AE3273" s="3">
        <f>IFERROR(__xludf.DUMMYFUNCTION("""COMPUTED_VALUE"""),100.63451)</f>
        <v>100.63451</v>
      </c>
      <c r="AF3273" s="3" t="str">
        <f>IFERROR(__xludf.DUMMYFUNCTION("""COMPUTED_VALUE"""),"BCM TCC ลาดพร้าว 132 กรุงเทพฯ-22736")</f>
        <v>BCM TCC ลาดพร้าว 132 กรุงเทพฯ-22736</v>
      </c>
      <c r="AG3273" s="3" t="str">
        <f>IFERROR(__xludf.DUMMYFUNCTION("""COMPUTED_VALUE"""),"กลาง")</f>
        <v>กลาง</v>
      </c>
      <c r="AH3273" s="3" t="str">
        <f>IFERROR(__xludf.DUMMYFUNCTION("""COMPUTED_VALUE"""),"#N/A")</f>
        <v>#N/A</v>
      </c>
      <c r="AI3273" s="3" t="str">
        <f>IFERROR(__xludf.DUMMYFUNCTION("""COMPUTED_VALUE"""),"In warranty")</f>
        <v>In warranty</v>
      </c>
      <c r="AJ3273" s="3">
        <f>IFERROR(__xludf.DUMMYFUNCTION("""COMPUTED_VALUE"""),6.0)</f>
        <v>6</v>
      </c>
      <c r="AK3273" s="3"/>
      <c r="AL3273" s="3"/>
    </row>
    <row r="3274" ht="15.75" customHeight="1">
      <c r="A3274" s="1" t="str">
        <f>IFERROR(__xludf.DUMMYFUNCTION("""COMPUTED_VALUE"""),"22734")</f>
        <v>22734</v>
      </c>
      <c r="B3274" s="2">
        <f>IFERROR(__xludf.DUMMYFUNCTION("""COMPUTED_VALUE"""),22734.0)</f>
        <v>22734</v>
      </c>
      <c r="C3274" s="3" t="str">
        <f>IFERROR(__xludf.DUMMYFUNCTION("""COMPUTED_VALUE"""),"BCM เทพประสิทธิ์ 6 (ซ.กอไผ่) ชลบุรี")</f>
        <v>BCM เทพประสิทธิ์ 6 (ซ.กอไผ่) ชลบุรี</v>
      </c>
      <c r="D3274" s="3" t="str">
        <f>IFERROR(__xludf.DUMMYFUNCTION("""COMPUTED_VALUE"""),"BCM THEPPRASIT 6 (SOI KORPHAI)")</f>
        <v>BCM THEPPRASIT 6 (SOI KORPHAI)</v>
      </c>
      <c r="E3274" s="1" t="str">
        <f>IFERROR(__xludf.DUMMYFUNCTION("""COMPUTED_VALUE"""),"บิ๊กซี MINI")</f>
        <v>บิ๊กซี MINI</v>
      </c>
      <c r="F3274" s="1" t="str">
        <f>IFERROR(__xludf.DUMMYFUNCTION("""COMPUTED_VALUE"""),"221716")</f>
        <v>221716</v>
      </c>
      <c r="G3274" s="1" t="str">
        <f>IFERROR(__xludf.DUMMYFUNCTION("""COMPUTED_VALUE"""),"น.ส.เบญจพร โพธิสาร")</f>
        <v>น.ส.เบญจพร โพธิสาร</v>
      </c>
      <c r="H3274" s="1" t="str">
        <f>IFERROR(__xludf.DUMMYFUNCTION("""COMPUTED_VALUE"""),"313065")</f>
        <v>313065</v>
      </c>
      <c r="I3274" s="1" t="str">
        <f>IFERROR(__xludf.DUMMYFUNCTION("""COMPUTED_VALUE"""),"นายจิรายุทธ กันทา")</f>
        <v>นายจิรายุทธ กันทา</v>
      </c>
      <c r="J3274" s="3">
        <f>IFERROR(__xludf.DUMMYFUNCTION("""COMPUTED_VALUE"""),1.3461215E7)</f>
        <v>13461215</v>
      </c>
      <c r="K3274" s="3" t="str">
        <f>IFERROR(__xludf.DUMMYFUNCTION("""COMPUTED_VALUE"""),"นายธีรภัทร สังข์เงิน")</f>
        <v>นายธีรภัทร สังข์เงิน</v>
      </c>
      <c r="L3274" s="1" t="str">
        <f>IFERROR(__xludf.DUMMYFUNCTION("""COMPUTED_VALUE"""),"06 K.Teerapat")</f>
        <v>06 K.Teerapat</v>
      </c>
      <c r="M3274" s="1" t="str">
        <f>IFERROR(__xludf.DUMMYFUNCTION("""COMPUTED_VALUE"""),"063-601-6803")</f>
        <v>063-601-6803</v>
      </c>
      <c r="N3274" s="3">
        <f>IFERROR(__xludf.DUMMYFUNCTION("""COMPUTED_VALUE"""),22115.0)</f>
        <v>22115</v>
      </c>
      <c r="O3274" s="3" t="str">
        <f>IFERROR(__xludf.DUMMYFUNCTION("""COMPUTED_VALUE"""),"MBC เลี่ยงหนองมน ชลบุรี")</f>
        <v>MBC เลี่ยงหนองมน ชลบุรี</v>
      </c>
      <c r="P3274" s="4">
        <f>IFERROR(__xludf.DUMMYFUNCTION("""COMPUTED_VALUE"""),45879.0)</f>
        <v>45879</v>
      </c>
      <c r="Q3274" s="3" t="str">
        <f>IFERROR(__xludf.DUMMYFUNCTION("""COMPUTED_VALUE"""),"A")</f>
        <v>A</v>
      </c>
      <c r="R3274" s="3" t="str">
        <f>IFERROR(__xludf.DUMMYFUNCTION("""COMPUTED_VALUE"""),"Small Format")</f>
        <v>Small Format</v>
      </c>
      <c r="S3274" s="3" t="str">
        <f>IFERROR(__xludf.DUMMYFUNCTION("""COMPUTED_VALUE"""),"BCM")</f>
        <v>BCM</v>
      </c>
      <c r="T3274" s="3" t="str">
        <f>IFERROR(__xludf.DUMMYFUNCTION("""COMPUTED_VALUE"""),"#N/A")</f>
        <v>#N/A</v>
      </c>
      <c r="U3274" s="3" t="str">
        <f>IFERROR(__xludf.DUMMYFUNCTION("""COMPUTED_VALUE"""),"#N/A")</f>
        <v>#N/A</v>
      </c>
      <c r="V3274" s="3" t="str">
        <f>IFERROR(__xludf.DUMMYFUNCTION("""COMPUTED_VALUE"""),"N")</f>
        <v>N</v>
      </c>
      <c r="W3274" s="3">
        <f>IFERROR(__xludf.DUMMYFUNCTION("""COMPUTED_VALUE"""),210822.0)</f>
        <v>210822</v>
      </c>
      <c r="X3274" s="3" t="str">
        <f>IFERROR(__xludf.DUMMYFUNCTION("""COMPUTED_VALUE"""),"34/3 หมู่ 12 ตำบลหนองปรือ อำเภอบางละมุง จังหวัดชลบุรี 20150")</f>
        <v>34/3 หมู่ 12 ตำบลหนองปรือ อำเภอบางละมุง จังหวัดชลบุรี 20150</v>
      </c>
      <c r="Y3274" s="3"/>
      <c r="Z3274" s="3" t="str">
        <f>IFERROR(__xludf.DUMMYFUNCTION("""COMPUTED_VALUE"""),"หนองปรือ")</f>
        <v>หนองปรือ</v>
      </c>
      <c r="AA3274" s="3" t="str">
        <f>IFERROR(__xludf.DUMMYFUNCTION("""COMPUTED_VALUE"""),"บางละมุง")</f>
        <v>บางละมุง</v>
      </c>
      <c r="AB3274" s="3" t="str">
        <f>IFERROR(__xludf.DUMMYFUNCTION("""COMPUTED_VALUE"""),"ชลบุรี")</f>
        <v>ชลบุรี</v>
      </c>
      <c r="AC3274" s="3">
        <f>IFERROR(__xludf.DUMMYFUNCTION("""COMPUTED_VALUE"""),20150.0)</f>
        <v>20150</v>
      </c>
      <c r="AD3274" s="3">
        <f>IFERROR(__xludf.DUMMYFUNCTION("""COMPUTED_VALUE"""),12.910344)</f>
        <v>12.910344</v>
      </c>
      <c r="AE3274" s="3">
        <f>IFERROR(__xludf.DUMMYFUNCTION("""COMPUTED_VALUE"""),100.885289)</f>
        <v>100.885289</v>
      </c>
      <c r="AF3274" s="3" t="str">
        <f>IFERROR(__xludf.DUMMYFUNCTION("""COMPUTED_VALUE"""),"BCM เทพประสิทธิ์ 6 (ซ.กอไผ่) ชลบุรี-22734")</f>
        <v>BCM เทพประสิทธิ์ 6 (ซ.กอไผ่) ชลบุรี-22734</v>
      </c>
      <c r="AG3274" s="3" t="str">
        <f>IFERROR(__xludf.DUMMYFUNCTION("""COMPUTED_VALUE"""),"ตะวันออก")</f>
        <v>ตะวันออก</v>
      </c>
      <c r="AH3274" s="3" t="str">
        <f>IFERROR(__xludf.DUMMYFUNCTION("""COMPUTED_VALUE"""),"#N/A")</f>
        <v>#N/A</v>
      </c>
      <c r="AI3274" s="3" t="str">
        <f>IFERROR(__xludf.DUMMYFUNCTION("""COMPUTED_VALUE"""),"In warranty")</f>
        <v>In warranty</v>
      </c>
      <c r="AJ3274" s="3">
        <f>IFERROR(__xludf.DUMMYFUNCTION("""COMPUTED_VALUE"""),6.0)</f>
        <v>6</v>
      </c>
      <c r="AK3274" s="3"/>
      <c r="AL3274" s="3"/>
    </row>
    <row r="3275" ht="15.75" customHeight="1">
      <c r="A3275" s="1" t="str">
        <f>IFERROR(__xludf.DUMMYFUNCTION("""COMPUTED_VALUE"""),"31121")</f>
        <v>31121</v>
      </c>
      <c r="B3275" s="2">
        <f>IFERROR(__xludf.DUMMYFUNCTION("""COMPUTED_VALUE"""),31121.0)</f>
        <v>31121</v>
      </c>
      <c r="C3275" s="3" t="str">
        <f>IFERROR(__xludf.DUMMYFUNCTION("""COMPUTED_VALUE"""),"BCM FC BCP หนองหอย เชียงใหม่")</f>
        <v>BCM FC BCP หนองหอย เชียงใหม่</v>
      </c>
      <c r="D3275" s="3" t="str">
        <f>IFERROR(__xludf.DUMMYFUNCTION("""COMPUTED_VALUE"""),"BCM FC BCP NONG HOI CHIANG MAI")</f>
        <v>BCM FC BCP NONG HOI CHIANG MAI</v>
      </c>
      <c r="E3275" s="1" t="str">
        <f>IFERROR(__xludf.DUMMYFUNCTION("""COMPUTED_VALUE"""),"บิ๊กซี MINI")</f>
        <v>บิ๊กซี MINI</v>
      </c>
      <c r="F3275" s="1" t="str">
        <f>IFERROR(__xludf.DUMMYFUNCTION("""COMPUTED_VALUE"""),"296229")</f>
        <v>296229</v>
      </c>
      <c r="G3275" s="1" t="str">
        <f>IFERROR(__xludf.DUMMYFUNCTION("""COMPUTED_VALUE"""),"นายทนงศักดิ์ บุญมา")</f>
        <v>นายทนงศักดิ์ บุญมา</v>
      </c>
      <c r="H3275" s="1" t="str">
        <f>IFERROR(__xludf.DUMMYFUNCTION("""COMPUTED_VALUE"""),"392003")</f>
        <v>392003</v>
      </c>
      <c r="I3275" s="1" t="str">
        <f>IFERROR(__xludf.DUMMYFUNCTION("""COMPUTED_VALUE"""),"นายวรภพ เศษสูงเนิน")</f>
        <v>นายวรภพ เศษสูงเนิน</v>
      </c>
      <c r="J3275" s="3">
        <f>IFERROR(__xludf.DUMMYFUNCTION("""COMPUTED_VALUE"""),2010016.0)</f>
        <v>2010016</v>
      </c>
      <c r="K3275" s="3" t="str">
        <f>IFERROR(__xludf.DUMMYFUNCTION("""COMPUTED_VALUE"""),"นายตวงธรรม ใหม่ยศ")</f>
        <v>นายตวงธรรม ใหม่ยศ</v>
      </c>
      <c r="L3275" s="1" t="str">
        <f>IFERROR(__xludf.DUMMYFUNCTION("""COMPUTED_VALUE"""),"01 K.Tuangtham M.")</f>
        <v>01 K.Tuangtham M.</v>
      </c>
      <c r="M3275" s="1" t="str">
        <f>IFERROR(__xludf.DUMMYFUNCTION("""COMPUTED_VALUE"""),"063-976-595")</f>
        <v>063-976-595</v>
      </c>
      <c r="N3275" s="3">
        <f>IFERROR(__xludf.DUMMYFUNCTION("""COMPUTED_VALUE"""),22574.0)</f>
        <v>22574</v>
      </c>
      <c r="O3275" s="3" t="str">
        <f>IFERROR(__xludf.DUMMYFUNCTION("""COMPUTED_VALUE"""),"BCM ชุมชนศรีชุม ลำปาง")</f>
        <v>BCM ชุมชนศรีชุม ลำปาง</v>
      </c>
      <c r="P3275" s="4">
        <f>IFERROR(__xludf.DUMMYFUNCTION("""COMPUTED_VALUE"""),45898.0)</f>
        <v>45898</v>
      </c>
      <c r="Q3275" s="3" t="str">
        <f>IFERROR(__xludf.DUMMYFUNCTION("""COMPUTED_VALUE"""),"A")</f>
        <v>A</v>
      </c>
      <c r="R3275" s="3" t="str">
        <f>IFERROR(__xludf.DUMMYFUNCTION("""COMPUTED_VALUE"""),"Small Format")</f>
        <v>Small Format</v>
      </c>
      <c r="S3275" s="3" t="str">
        <f>IFERROR(__xludf.DUMMYFUNCTION("""COMPUTED_VALUE"""),"BCM(FC)")</f>
        <v>BCM(FC)</v>
      </c>
      <c r="T3275" s="3" t="str">
        <f>IFERROR(__xludf.DUMMYFUNCTION("""COMPUTED_VALUE"""),"#N/A")</f>
        <v>#N/A</v>
      </c>
      <c r="U3275" s="3" t="str">
        <f>IFERROR(__xludf.DUMMYFUNCTION("""COMPUTED_VALUE"""),"#N/A")</f>
        <v>#N/A</v>
      </c>
      <c r="V3275" s="3" t="str">
        <f>IFERROR(__xludf.DUMMYFUNCTION("""COMPUTED_VALUE"""),"Y")</f>
        <v>Y</v>
      </c>
      <c r="W3275" s="3">
        <f>IFERROR(__xludf.DUMMYFUNCTION("""COMPUTED_VALUE"""),812332.0)</f>
        <v>812332</v>
      </c>
      <c r="X3275" s="3" t="str">
        <f>IFERROR(__xludf.DUMMYFUNCTION("""COMPUTED_VALUE"""),"10/5 หมู่ที่ 4 ตําบลหนองหอย อำเภอเมืองเชียงใหม่ จังหวัดเชียงใหม่ 50000")</f>
        <v>10/5 หมู่ที่ 4 ตําบลหนองหอย อำเภอเมืองเชียงใหม่ จังหวัดเชียงใหม่ 50000</v>
      </c>
      <c r="Y3275" s="3"/>
      <c r="Z3275" s="3" t="str">
        <f>IFERROR(__xludf.DUMMYFUNCTION("""COMPUTED_VALUE"""),"หนองหอย")</f>
        <v>หนองหอย</v>
      </c>
      <c r="AA3275" s="3" t="str">
        <f>IFERROR(__xludf.DUMMYFUNCTION("""COMPUTED_VALUE"""),"เมืองเชียงใหม่")</f>
        <v>เมืองเชียงใหม่</v>
      </c>
      <c r="AB3275" s="3" t="str">
        <f>IFERROR(__xludf.DUMMYFUNCTION("""COMPUTED_VALUE"""),"เชียงใหม่")</f>
        <v>เชียงใหม่</v>
      </c>
      <c r="AC3275" s="3">
        <f>IFERROR(__xludf.DUMMYFUNCTION("""COMPUTED_VALUE"""),50000.0)</f>
        <v>50000</v>
      </c>
      <c r="AD3275" s="3">
        <f>IFERROR(__xludf.DUMMYFUNCTION("""COMPUTED_VALUE"""),18.748204)</f>
        <v>18.748204</v>
      </c>
      <c r="AE3275" s="3">
        <f>IFERROR(__xludf.DUMMYFUNCTION("""COMPUTED_VALUE"""),99.018845)</f>
        <v>99.018845</v>
      </c>
      <c r="AF3275" s="3" t="str">
        <f>IFERROR(__xludf.DUMMYFUNCTION("""COMPUTED_VALUE"""),"BCM FC BCP หนองหอย เชียงใหม่-31121")</f>
        <v>BCM FC BCP หนองหอย เชียงใหม่-31121</v>
      </c>
      <c r="AG3275" s="3" t="str">
        <f>IFERROR(__xludf.DUMMYFUNCTION("""COMPUTED_VALUE"""),"เหนือ")</f>
        <v>เหนือ</v>
      </c>
      <c r="AH3275" s="3" t="str">
        <f>IFERROR(__xludf.DUMMYFUNCTION("""COMPUTED_VALUE"""),"#N/A")</f>
        <v>#N/A</v>
      </c>
      <c r="AI3275" s="3" t="str">
        <f>IFERROR(__xludf.DUMMYFUNCTION("""COMPUTED_VALUE"""),"In warranty")</f>
        <v>In warranty</v>
      </c>
      <c r="AJ3275" s="3">
        <f>IFERROR(__xludf.DUMMYFUNCTION("""COMPUTED_VALUE"""),5.0)</f>
        <v>5</v>
      </c>
      <c r="AK3275" s="3"/>
      <c r="AL3275" s="3"/>
    </row>
    <row r="3276" ht="15.75" customHeight="1">
      <c r="A3276" s="1" t="str">
        <f>IFERROR(__xludf.DUMMYFUNCTION("""COMPUTED_VALUE"""),"15073")</f>
        <v>15073</v>
      </c>
      <c r="B3276" s="2">
        <f>IFERROR(__xludf.DUMMYFUNCTION("""COMPUTED_VALUE"""),15073.0)</f>
        <v>15073</v>
      </c>
      <c r="C3276" s="3" t="str">
        <f>IFERROR(__xludf.DUMMYFUNCTION("""COMPUTED_VALUE"""),"ปาร์ค บางนา")</f>
        <v>ปาร์ค บางนา</v>
      </c>
      <c r="D3276" s="3" t="str">
        <f>IFERROR(__xludf.DUMMYFUNCTION("""COMPUTED_VALUE"""),"BIGC MARKET PARC BANGNA")</f>
        <v>BIGC MARKET PARC BANGNA</v>
      </c>
      <c r="E3276" s="1" t="str">
        <f>IFERROR(__xludf.DUMMYFUNCTION("""COMPUTED_VALUE"""),"บิ๊กซี Market")</f>
        <v>บิ๊กซี Market</v>
      </c>
      <c r="F3276" s="1" t="str">
        <f>IFERROR(__xludf.DUMMYFUNCTION("""COMPUTED_VALUE"""),"02408546")</f>
        <v>02408546</v>
      </c>
      <c r="G3276" s="1" t="str">
        <f>IFERROR(__xludf.DUMMYFUNCTION("""COMPUTED_VALUE"""),"นายเกษมศิษฐ์ ฮดบุญเรือง")</f>
        <v>นายเกษมศิษฐ์ ฮดบุญเรือง</v>
      </c>
      <c r="H3276" s="1" t="str">
        <f>IFERROR(__xludf.DUMMYFUNCTION("""COMPUTED_VALUE"""),"02408546")</f>
        <v>02408546</v>
      </c>
      <c r="I3276" s="1" t="str">
        <f>IFERROR(__xludf.DUMMYFUNCTION("""COMPUTED_VALUE"""),"นายเกษมศิษฐ์ ฮดบุญเรือง")</f>
        <v>นายเกษมศิษฐ์ ฮดบุญเรือง</v>
      </c>
      <c r="J3276" s="3">
        <f>IFERROR(__xludf.DUMMYFUNCTION("""COMPUTED_VALUE"""),2408546.0)</f>
        <v>2408546</v>
      </c>
      <c r="K3276" s="3" t="str">
        <f>IFERROR(__xludf.DUMMYFUNCTION("""COMPUTED_VALUE"""),"นายเกษมศิษฐ์ ฮดบุญเรือง")</f>
        <v>นายเกษมศิษฐ์ ฮดบุญเรือง</v>
      </c>
      <c r="L3276" s="1" t="str">
        <f>IFERROR(__xludf.DUMMYFUNCTION("""COMPUTED_VALUE"""),"Hub02-BKK 2")</f>
        <v>Hub02-BKK 2</v>
      </c>
      <c r="M3276" s="1" t="str">
        <f>IFERROR(__xludf.DUMMYFUNCTION("""COMPUTED_VALUE"""),"0988580755")</f>
        <v>0988580755</v>
      </c>
      <c r="N3276" s="3">
        <f>IFERROR(__xludf.DUMMYFUNCTION("""COMPUTED_VALUE"""),15073.0)</f>
        <v>15073</v>
      </c>
      <c r="O3276" s="3" t="str">
        <f>IFERROR(__xludf.DUMMYFUNCTION("""COMPUTED_VALUE"""),"ปาร์ค บางนา")</f>
        <v>ปาร์ค บางนา</v>
      </c>
      <c r="P3276" s="4">
        <f>IFERROR(__xludf.DUMMYFUNCTION("""COMPUTED_VALUE"""),45961.0)</f>
        <v>45961</v>
      </c>
      <c r="Q3276" s="3" t="str">
        <f>IFERROR(__xludf.DUMMYFUNCTION("""COMPUTED_VALUE"""),"A")</f>
        <v>A</v>
      </c>
      <c r="R3276" s="3" t="str">
        <f>IFERROR(__xludf.DUMMYFUNCTION("""COMPUTED_VALUE"""),"Big Format")</f>
        <v>Big Format</v>
      </c>
      <c r="S3276" s="3" t="str">
        <f>IFERROR(__xludf.DUMMYFUNCTION("""COMPUTED_VALUE"""),"BMK")</f>
        <v>BMK</v>
      </c>
      <c r="T3276" s="3" t="str">
        <f>IFERROR(__xludf.DUMMYFUNCTION("""COMPUTED_VALUE"""),"Hub02-BKK 2")</f>
        <v>Hub02-BKK 2</v>
      </c>
      <c r="U3276" s="3" t="str">
        <f>IFERROR(__xludf.DUMMYFUNCTION("""COMPUTED_VALUE"""),"Hub02-BKK 2")</f>
        <v>Hub02-BKK 2</v>
      </c>
      <c r="V3276" s="3" t="str">
        <f>IFERROR(__xludf.DUMMYFUNCTION("""COMPUTED_VALUE"""),"N")</f>
        <v>N</v>
      </c>
      <c r="W3276" s="3">
        <f>IFERROR(__xludf.DUMMYFUNCTION("""COMPUTED_VALUE"""),151104.0)</f>
        <v>151104</v>
      </c>
      <c r="X3276" s="3" t="str">
        <f>IFERROR(__xludf.DUMMYFUNCTION("""COMPUTED_VALUE"""),"ห้องเลขที่ C 100 ชั่นที่ 1 เลขที่ 951/3 ถนนเทพรัตน แขวงบางนาเหนือ เขตบางนา กรุงเทพมหานคร 10260")</f>
        <v>ห้องเลขที่ C 100 ชั่นที่ 1 เลขที่ 951/3 ถนนเทพรัตน แขวงบางนาเหนือ เขตบางนา กรุงเทพมหานคร 10260</v>
      </c>
      <c r="Y3276" s="3" t="str">
        <f>IFERROR(__xludf.DUMMYFUNCTION("""COMPUTED_VALUE"""),"เทพรัตน")</f>
        <v>เทพรัตน</v>
      </c>
      <c r="Z3276" s="3" t="str">
        <f>IFERROR(__xludf.DUMMYFUNCTION("""COMPUTED_VALUE"""),"บางนาเหนือ")</f>
        <v>บางนาเหนือ</v>
      </c>
      <c r="AA3276" s="3" t="str">
        <f>IFERROR(__xludf.DUMMYFUNCTION("""COMPUTED_VALUE"""),"บางนา")</f>
        <v>บางนา</v>
      </c>
      <c r="AB3276" s="3" t="str">
        <f>IFERROR(__xludf.DUMMYFUNCTION("""COMPUTED_VALUE"""),"กรุงเทพมหานคร")</f>
        <v>กรุงเทพมหานคร</v>
      </c>
      <c r="AC3276" s="3">
        <f>IFERROR(__xludf.DUMMYFUNCTION("""COMPUTED_VALUE"""),10260.0)</f>
        <v>10260</v>
      </c>
      <c r="AD3276" s="3">
        <f>IFERROR(__xludf.DUMMYFUNCTION("""COMPUTED_VALUE"""),13.66722039)</f>
        <v>13.66722039</v>
      </c>
      <c r="AE3276" s="3">
        <f>IFERROR(__xludf.DUMMYFUNCTION("""COMPUTED_VALUE"""),100.6477797)</f>
        <v>100.6477797</v>
      </c>
      <c r="AF3276" s="3" t="str">
        <f>IFERROR(__xludf.DUMMYFUNCTION("""COMPUTED_VALUE"""),"ปาร์ค บางนา-15073")</f>
        <v>ปาร์ค บางนา-15073</v>
      </c>
      <c r="AG3276" s="3" t="str">
        <f>IFERROR(__xludf.DUMMYFUNCTION("""COMPUTED_VALUE"""),"กลาง")</f>
        <v>กลาง</v>
      </c>
      <c r="AH3276" s="3" t="str">
        <f>IFERROR(__xludf.DUMMYFUNCTION("""COMPUTED_VALUE"""),"#N/A")</f>
        <v>#N/A</v>
      </c>
      <c r="AI3276" s="3" t="str">
        <f>IFERROR(__xludf.DUMMYFUNCTION("""COMPUTED_VALUE"""),"In warranty")</f>
        <v>In warranty</v>
      </c>
      <c r="AJ3276" s="3">
        <f>IFERROR(__xludf.DUMMYFUNCTION("""COMPUTED_VALUE"""),3.0)</f>
        <v>3</v>
      </c>
      <c r="AK3276" s="3"/>
      <c r="AL3276" s="3"/>
    </row>
    <row r="3277" ht="15.75" customHeight="1">
      <c r="A3277" s="1" t="str">
        <f>IFERROR(__xludf.DUMMYFUNCTION("""COMPUTED_VALUE"""),"22739")</f>
        <v>22739</v>
      </c>
      <c r="B3277" s="2">
        <f>IFERROR(__xludf.DUMMYFUNCTION("""COMPUTED_VALUE"""),22739.0)</f>
        <v>22739</v>
      </c>
      <c r="C3277" s="3" t="str">
        <f>IFERROR(__xludf.DUMMYFUNCTION("""COMPUTED_VALUE"""),"BCM บางแสน ซ.14 ชลบุรี")</f>
        <v>BCM บางแสน ซ.14 ชลบุรี</v>
      </c>
      <c r="D3277" s="3" t="str">
        <f>IFERROR(__xludf.DUMMYFUNCTION("""COMPUTED_VALUE"""),"BCM BANGSAEN SOI 14 CHONBURI")</f>
        <v>BCM BANGSAEN SOI 14 CHONBURI</v>
      </c>
      <c r="E3277" s="1" t="str">
        <f>IFERROR(__xludf.DUMMYFUNCTION("""COMPUTED_VALUE"""),"บิ๊กซี MINI")</f>
        <v>บิ๊กซี MINI</v>
      </c>
      <c r="F3277" s="1" t="str">
        <f>IFERROR(__xludf.DUMMYFUNCTION("""COMPUTED_VALUE"""),"221716")</f>
        <v>221716</v>
      </c>
      <c r="G3277" s="1" t="str">
        <f>IFERROR(__xludf.DUMMYFUNCTION("""COMPUTED_VALUE"""),"น.ส.เบญจพร โพธิสาร")</f>
        <v>น.ส.เบญจพร โพธิสาร</v>
      </c>
      <c r="H3277" s="1" t="str">
        <f>IFERROR(__xludf.DUMMYFUNCTION("""COMPUTED_VALUE"""),"476018")</f>
        <v>476018</v>
      </c>
      <c r="I3277" s="1" t="str">
        <f>IFERROR(__xludf.DUMMYFUNCTION("""COMPUTED_VALUE"""),"นายศราวุฒิ ชูพันดุง")</f>
        <v>นายศราวุฒิ ชูพันดุง</v>
      </c>
      <c r="J3277" s="3">
        <f>IFERROR(__xludf.DUMMYFUNCTION("""COMPUTED_VALUE"""),1.3461215E7)</f>
        <v>13461215</v>
      </c>
      <c r="K3277" s="3" t="str">
        <f>IFERROR(__xludf.DUMMYFUNCTION("""COMPUTED_VALUE"""),"นายธีรภัทร สังข์เงิน")</f>
        <v>นายธีรภัทร สังข์เงิน</v>
      </c>
      <c r="L3277" s="1" t="str">
        <f>IFERROR(__xludf.DUMMYFUNCTION("""COMPUTED_VALUE"""),"06 K.Teerapat")</f>
        <v>06 K.Teerapat</v>
      </c>
      <c r="M3277" s="1" t="str">
        <f>IFERROR(__xludf.DUMMYFUNCTION("""COMPUTED_VALUE"""),"063-601-6803")</f>
        <v>063-601-6803</v>
      </c>
      <c r="N3277" s="3">
        <f>IFERROR(__xludf.DUMMYFUNCTION("""COMPUTED_VALUE"""),22115.0)</f>
        <v>22115</v>
      </c>
      <c r="O3277" s="3" t="str">
        <f>IFERROR(__xludf.DUMMYFUNCTION("""COMPUTED_VALUE"""),"MBC เลี่ยงหนองมน ชลบุรี")</f>
        <v>MBC เลี่ยงหนองมน ชลบุรี</v>
      </c>
      <c r="P3277" s="4">
        <f>IFERROR(__xludf.DUMMYFUNCTION("""COMPUTED_VALUE"""),45913.0)</f>
        <v>45913</v>
      </c>
      <c r="Q3277" s="3" t="str">
        <f>IFERROR(__xludf.DUMMYFUNCTION("""COMPUTED_VALUE"""),"A")</f>
        <v>A</v>
      </c>
      <c r="R3277" s="3" t="str">
        <f>IFERROR(__xludf.DUMMYFUNCTION("""COMPUTED_VALUE"""),"Small Format")</f>
        <v>Small Format</v>
      </c>
      <c r="S3277" s="3" t="str">
        <f>IFERROR(__xludf.DUMMYFUNCTION("""COMPUTED_VALUE"""),"BCM")</f>
        <v>BCM</v>
      </c>
      <c r="T3277" s="3" t="str">
        <f>IFERROR(__xludf.DUMMYFUNCTION("""COMPUTED_VALUE"""),"#N/A")</f>
        <v>#N/A</v>
      </c>
      <c r="U3277" s="3" t="str">
        <f>IFERROR(__xludf.DUMMYFUNCTION("""COMPUTED_VALUE"""),"#N/A")</f>
        <v>#N/A</v>
      </c>
      <c r="V3277" s="3" t="str">
        <f>IFERROR(__xludf.DUMMYFUNCTION("""COMPUTED_VALUE"""),"N")</f>
        <v>N</v>
      </c>
      <c r="W3277" s="3">
        <f>IFERROR(__xludf.DUMMYFUNCTION("""COMPUTED_VALUE"""),210842.0)</f>
        <v>210842</v>
      </c>
      <c r="X3277" s="3" t="str">
        <f>IFERROR(__xludf.DUMMYFUNCTION("""COMPUTED_VALUE"""),"370/6 ถนนลงหาดบางแสน ตำบลแสนสุข อำเภอเมืองชลบุรี จังหวัดชลบุรี 20130")</f>
        <v>370/6 ถนนลงหาดบางแสน ตำบลแสนสุข อำเภอเมืองชลบุรี จังหวัดชลบุรี 20130</v>
      </c>
      <c r="Y3277" s="3" t="str">
        <f>IFERROR(__xludf.DUMMYFUNCTION("""COMPUTED_VALUE"""),"ลงหาดบางแสน")</f>
        <v>ลงหาดบางแสน</v>
      </c>
      <c r="Z3277" s="3" t="str">
        <f>IFERROR(__xludf.DUMMYFUNCTION("""COMPUTED_VALUE"""),"แสนสุข")</f>
        <v>แสนสุข</v>
      </c>
      <c r="AA3277" s="3" t="str">
        <f>IFERROR(__xludf.DUMMYFUNCTION("""COMPUTED_VALUE"""),"เมืองชลบุรี")</f>
        <v>เมืองชลบุรี</v>
      </c>
      <c r="AB3277" s="3" t="str">
        <f>IFERROR(__xludf.DUMMYFUNCTION("""COMPUTED_VALUE"""),"ชลบุรี")</f>
        <v>ชลบุรี</v>
      </c>
      <c r="AC3277" s="3">
        <f>IFERROR(__xludf.DUMMYFUNCTION("""COMPUTED_VALUE"""),20130.0)</f>
        <v>20130</v>
      </c>
      <c r="AD3277" s="3">
        <f>IFERROR(__xludf.DUMMYFUNCTION("""COMPUTED_VALUE"""),13.287244)</f>
        <v>13.287244</v>
      </c>
      <c r="AE3277" s="3">
        <f>IFERROR(__xludf.DUMMYFUNCTION("""COMPUTED_VALUE"""),100.923086)</f>
        <v>100.923086</v>
      </c>
      <c r="AF3277" s="3" t="str">
        <f>IFERROR(__xludf.DUMMYFUNCTION("""COMPUTED_VALUE"""),"BCM บางแสน ซ.14 ชลบุรี-22739")</f>
        <v>BCM บางแสน ซ.14 ชลบุรี-22739</v>
      </c>
      <c r="AG3277" s="3" t="str">
        <f>IFERROR(__xludf.DUMMYFUNCTION("""COMPUTED_VALUE"""),"ตะวันออก")</f>
        <v>ตะวันออก</v>
      </c>
      <c r="AH3277" s="3" t="str">
        <f>IFERROR(__xludf.DUMMYFUNCTION("""COMPUTED_VALUE"""),"#N/A")</f>
        <v>#N/A</v>
      </c>
      <c r="AI3277" s="3" t="str">
        <f>IFERROR(__xludf.DUMMYFUNCTION("""COMPUTED_VALUE"""),"In warranty")</f>
        <v>In warranty</v>
      </c>
      <c r="AJ3277" s="3">
        <f>IFERROR(__xludf.DUMMYFUNCTION("""COMPUTED_VALUE"""),5.0)</f>
        <v>5</v>
      </c>
      <c r="AK3277" s="3"/>
      <c r="AL3277" s="3"/>
    </row>
    <row r="3278" ht="15.75" customHeight="1">
      <c r="A3278" s="1" t="str">
        <f>IFERROR(__xludf.DUMMYFUNCTION("""COMPUTED_VALUE"""),"22740")</f>
        <v>22740</v>
      </c>
      <c r="B3278" s="2">
        <f>IFERROR(__xludf.DUMMYFUNCTION("""COMPUTED_VALUE"""),22740.0)</f>
        <v>22740</v>
      </c>
      <c r="C3278" s="3" t="str">
        <f>IFERROR(__xludf.DUMMYFUNCTION("""COMPUTED_VALUE"""),"BCM มิตรสัมพันธ์ ซ.3 ชลบุรี")</f>
        <v>BCM มิตรสัมพันธ์ ซ.3 ชลบุรี</v>
      </c>
      <c r="D3278" s="3" t="str">
        <f>IFERROR(__xludf.DUMMYFUNCTION("""COMPUTED_VALUE"""),"BCM MIT SAMPHAN SOI 3 CHONBURI")</f>
        <v>BCM MIT SAMPHAN SOI 3 CHONBURI</v>
      </c>
      <c r="E3278" s="1" t="str">
        <f>IFERROR(__xludf.DUMMYFUNCTION("""COMPUTED_VALUE"""),"บิ๊กซี MINI")</f>
        <v>บิ๊กซี MINI</v>
      </c>
      <c r="F3278" s="1" t="str">
        <f>IFERROR(__xludf.DUMMYFUNCTION("""COMPUTED_VALUE"""),"221716")</f>
        <v>221716</v>
      </c>
      <c r="G3278" s="1" t="str">
        <f>IFERROR(__xludf.DUMMYFUNCTION("""COMPUTED_VALUE"""),"น.ส.เบญจพร โพธิสาร")</f>
        <v>น.ส.เบญจพร โพธิสาร</v>
      </c>
      <c r="H3278" s="1" t="str">
        <f>IFERROR(__xludf.DUMMYFUNCTION("""COMPUTED_VALUE"""),"476018")</f>
        <v>476018</v>
      </c>
      <c r="I3278" s="1" t="str">
        <f>IFERROR(__xludf.DUMMYFUNCTION("""COMPUTED_VALUE"""),"นายศราวุฒิ ชูพันดุง")</f>
        <v>นายศราวุฒิ ชูพันดุง</v>
      </c>
      <c r="J3278" s="3">
        <f>IFERROR(__xludf.DUMMYFUNCTION("""COMPUTED_VALUE"""),1.3461215E7)</f>
        <v>13461215</v>
      </c>
      <c r="K3278" s="3" t="str">
        <f>IFERROR(__xludf.DUMMYFUNCTION("""COMPUTED_VALUE"""),"นายธีรภัทร สังข์เงิน")</f>
        <v>นายธีรภัทร สังข์เงิน</v>
      </c>
      <c r="L3278" s="1" t="str">
        <f>IFERROR(__xludf.DUMMYFUNCTION("""COMPUTED_VALUE"""),"06 K.Teerapat")</f>
        <v>06 K.Teerapat</v>
      </c>
      <c r="M3278" s="1" t="str">
        <f>IFERROR(__xludf.DUMMYFUNCTION("""COMPUTED_VALUE"""),"063-601-6803")</f>
        <v>063-601-6803</v>
      </c>
      <c r="N3278" s="3">
        <f>IFERROR(__xludf.DUMMYFUNCTION("""COMPUTED_VALUE"""),22115.0)</f>
        <v>22115</v>
      </c>
      <c r="O3278" s="3" t="str">
        <f>IFERROR(__xludf.DUMMYFUNCTION("""COMPUTED_VALUE"""),"MBC เลี่ยงหนองมน ชลบุรี")</f>
        <v>MBC เลี่ยงหนองมน ชลบุรี</v>
      </c>
      <c r="P3278" s="4">
        <f>IFERROR(__xludf.DUMMYFUNCTION("""COMPUTED_VALUE"""),45913.0)</f>
        <v>45913</v>
      </c>
      <c r="Q3278" s="3" t="str">
        <f>IFERROR(__xludf.DUMMYFUNCTION("""COMPUTED_VALUE"""),"A")</f>
        <v>A</v>
      </c>
      <c r="R3278" s="3" t="str">
        <f>IFERROR(__xludf.DUMMYFUNCTION("""COMPUTED_VALUE"""),"Small Format")</f>
        <v>Small Format</v>
      </c>
      <c r="S3278" s="3" t="str">
        <f>IFERROR(__xludf.DUMMYFUNCTION("""COMPUTED_VALUE"""),"BCM")</f>
        <v>BCM</v>
      </c>
      <c r="T3278" s="3" t="str">
        <f>IFERROR(__xludf.DUMMYFUNCTION("""COMPUTED_VALUE"""),"#N/A")</f>
        <v>#N/A</v>
      </c>
      <c r="U3278" s="3" t="str">
        <f>IFERROR(__xludf.DUMMYFUNCTION("""COMPUTED_VALUE"""),"#N/A")</f>
        <v>#N/A</v>
      </c>
      <c r="V3278" s="3" t="str">
        <f>IFERROR(__xludf.DUMMYFUNCTION("""COMPUTED_VALUE"""),"N")</f>
        <v>N</v>
      </c>
      <c r="W3278" s="3">
        <f>IFERROR(__xludf.DUMMYFUNCTION("""COMPUTED_VALUE"""),210843.0)</f>
        <v>210843</v>
      </c>
      <c r="X3278" s="3" t="str">
        <f>IFERROR(__xludf.DUMMYFUNCTION("""COMPUTED_VALUE"""),"3/31 ซอย 12 ถนนลงหาดบางแสน ตำบลแสนสุข อำเภอเมืองชลบุรี จังหวัดชลบุรี 20130")</f>
        <v>3/31 ซอย 12 ถนนลงหาดบางแสน ตำบลแสนสุข อำเภอเมืองชลบุรี จังหวัดชลบุรี 20130</v>
      </c>
      <c r="Y3278" s="3" t="str">
        <f>IFERROR(__xludf.DUMMYFUNCTION("""COMPUTED_VALUE"""),"ลงหาดบางแสน")</f>
        <v>ลงหาดบางแสน</v>
      </c>
      <c r="Z3278" s="3" t="str">
        <f>IFERROR(__xludf.DUMMYFUNCTION("""COMPUTED_VALUE"""),"แสนสุข")</f>
        <v>แสนสุข</v>
      </c>
      <c r="AA3278" s="3" t="str">
        <f>IFERROR(__xludf.DUMMYFUNCTION("""COMPUTED_VALUE"""),"เมืองชลบุรี")</f>
        <v>เมืองชลบุรี</v>
      </c>
      <c r="AB3278" s="3" t="str">
        <f>IFERROR(__xludf.DUMMYFUNCTION("""COMPUTED_VALUE"""),"ชลบุรี")</f>
        <v>ชลบุรี</v>
      </c>
      <c r="AC3278" s="3">
        <f>IFERROR(__xludf.DUMMYFUNCTION("""COMPUTED_VALUE"""),20130.0)</f>
        <v>20130</v>
      </c>
      <c r="AD3278" s="3">
        <f>IFERROR(__xludf.DUMMYFUNCTION("""COMPUTED_VALUE"""),13.28929)</f>
        <v>13.28929</v>
      </c>
      <c r="AE3278" s="3">
        <f>IFERROR(__xludf.DUMMYFUNCTION("""COMPUTED_VALUE"""),100.929154)</f>
        <v>100.929154</v>
      </c>
      <c r="AF3278" s="3" t="str">
        <f>IFERROR(__xludf.DUMMYFUNCTION("""COMPUTED_VALUE"""),"BCM มิตรสัมพันธ์ ซ.3 ชลบุรี-22740")</f>
        <v>BCM มิตรสัมพันธ์ ซ.3 ชลบุรี-22740</v>
      </c>
      <c r="AG3278" s="3" t="str">
        <f>IFERROR(__xludf.DUMMYFUNCTION("""COMPUTED_VALUE"""),"ตะวันออก")</f>
        <v>ตะวันออก</v>
      </c>
      <c r="AH3278" s="3" t="str">
        <f>IFERROR(__xludf.DUMMYFUNCTION("""COMPUTED_VALUE"""),"#N/A")</f>
        <v>#N/A</v>
      </c>
      <c r="AI3278" s="3" t="str">
        <f>IFERROR(__xludf.DUMMYFUNCTION("""COMPUTED_VALUE"""),"In warranty")</f>
        <v>In warranty</v>
      </c>
      <c r="AJ3278" s="3">
        <f>IFERROR(__xludf.DUMMYFUNCTION("""COMPUTED_VALUE"""),5.0)</f>
        <v>5</v>
      </c>
      <c r="AK3278" s="3"/>
      <c r="AL3278" s="3"/>
    </row>
    <row r="3279" ht="15.75" customHeight="1">
      <c r="A3279" s="1" t="str">
        <f>IFERROR(__xludf.DUMMYFUNCTION("""COMPUTED_VALUE"""),"22741")</f>
        <v>22741</v>
      </c>
      <c r="B3279" s="2">
        <f>IFERROR(__xludf.DUMMYFUNCTION("""COMPUTED_VALUE"""),22741.0)</f>
        <v>22741</v>
      </c>
      <c r="C3279" s="3" t="str">
        <f>IFERROR(__xludf.DUMMYFUNCTION("""COMPUTED_VALUE"""),"BCM หาดละไม 2 (สมุย) สุราษฎร์ธานี")</f>
        <v>BCM หาดละไม 2 (สมุย) สุราษฎร์ธานี</v>
      </c>
      <c r="D3279" s="3" t="str">
        <f>IFERROR(__xludf.DUMMYFUNCTION("""COMPUTED_VALUE"""),"BCM HAT LAMAI 2 (SAMUI)")</f>
        <v>BCM HAT LAMAI 2 (SAMUI)</v>
      </c>
      <c r="E3279" s="1" t="str">
        <f>IFERROR(__xludf.DUMMYFUNCTION("""COMPUTED_VALUE"""),"บิ๊กซี MINI")</f>
        <v>บิ๊กซี MINI</v>
      </c>
      <c r="F3279" s="1" t="str">
        <f>IFERROR(__xludf.DUMMYFUNCTION("""COMPUTED_VALUE"""),"250760")</f>
        <v>250760</v>
      </c>
      <c r="G3279" s="1" t="str">
        <f>IFERROR(__xludf.DUMMYFUNCTION("""COMPUTED_VALUE"""),"นายประทวน สาราบรรณ์")</f>
        <v>นายประทวน สาราบรรณ์</v>
      </c>
      <c r="H3279" s="1" t="str">
        <f>IFERROR(__xludf.DUMMYFUNCTION("""COMPUTED_VALUE"""),"356760")</f>
        <v>356760</v>
      </c>
      <c r="I3279" s="1" t="str">
        <f>IFERROR(__xludf.DUMMYFUNCTION("""COMPUTED_VALUE"""),"นายภูมิภัทร แก้วพรรณราย")</f>
        <v>นายภูมิภัทร แก้วพรรณราย</v>
      </c>
      <c r="J3279" s="3">
        <f>IFERROR(__xludf.DUMMYFUNCTION("""COMPUTED_VALUE"""),25324.0)</f>
        <v>25324</v>
      </c>
      <c r="K3279" s="3" t="str">
        <f>IFERROR(__xludf.DUMMYFUNCTION("""COMPUTED_VALUE"""),"นายวิเชฎฐ์ ติรัตนะประคม")</f>
        <v>นายวิเชฎฐ์ ติรัตนะประคม</v>
      </c>
      <c r="L3279" s="1" t="str">
        <f>IFERROR(__xludf.DUMMYFUNCTION("""COMPUTED_VALUE"""),"14 K.Wichet T.")</f>
        <v>14 K.Wichet T.</v>
      </c>
      <c r="M3279" s="1" t="str">
        <f>IFERROR(__xludf.DUMMYFUNCTION("""COMPUTED_VALUE"""),"061-417-6569 / 086-445-5636")</f>
        <v>061-417-6569 / 086-445-5636</v>
      </c>
      <c r="N3279" s="3">
        <f>IFERROR(__xludf.DUMMYFUNCTION("""COMPUTED_VALUE"""),22658.0)</f>
        <v>22658</v>
      </c>
      <c r="O3279" s="3" t="str">
        <f>IFERROR(__xludf.DUMMYFUNCTION("""COMPUTED_VALUE"""),"BCM ถ.วิรัชหงษ์หยก ภูเก็ต")</f>
        <v>BCM ถ.วิรัชหงษ์หยก ภูเก็ต</v>
      </c>
      <c r="P3279" s="4">
        <f>IFERROR(__xludf.DUMMYFUNCTION("""COMPUTED_VALUE"""),45922.0)</f>
        <v>45922</v>
      </c>
      <c r="Q3279" s="3" t="str">
        <f>IFERROR(__xludf.DUMMYFUNCTION("""COMPUTED_VALUE"""),"A")</f>
        <v>A</v>
      </c>
      <c r="R3279" s="3" t="str">
        <f>IFERROR(__xludf.DUMMYFUNCTION("""COMPUTED_VALUE"""),"Small Format")</f>
        <v>Small Format</v>
      </c>
      <c r="S3279" s="3" t="str">
        <f>IFERROR(__xludf.DUMMYFUNCTION("""COMPUTED_VALUE"""),"BCM")</f>
        <v>BCM</v>
      </c>
      <c r="T3279" s="3" t="str">
        <f>IFERROR(__xludf.DUMMYFUNCTION("""COMPUTED_VALUE"""),"#N/A")</f>
        <v>#N/A</v>
      </c>
      <c r="U3279" s="3" t="str">
        <f>IFERROR(__xludf.DUMMYFUNCTION("""COMPUTED_VALUE"""),"#N/A")</f>
        <v>#N/A</v>
      </c>
      <c r="V3279" s="3" t="str">
        <f>IFERROR(__xludf.DUMMYFUNCTION("""COMPUTED_VALUE"""),"N")</f>
        <v>N</v>
      </c>
      <c r="W3279" s="3">
        <f>IFERROR(__xludf.DUMMYFUNCTION("""COMPUTED_VALUE"""),210835.0)</f>
        <v>210835</v>
      </c>
      <c r="X3279" s="3" t="str">
        <f>IFERROR(__xludf.DUMMYFUNCTION("""COMPUTED_VALUE"""),"124/10 หมู่ที่ 4 ตำบลมะเร็ด อำเภอเกาะสมุย จังหวัดสุราษฎร์ธานี 84310")</f>
        <v>124/10 หมู่ที่ 4 ตำบลมะเร็ด อำเภอเกาะสมุย จังหวัดสุราษฎร์ธานี 84310</v>
      </c>
      <c r="Y3279" s="3"/>
      <c r="Z3279" s="3" t="str">
        <f>IFERROR(__xludf.DUMMYFUNCTION("""COMPUTED_VALUE"""),"มะเร็ด")</f>
        <v>มะเร็ด</v>
      </c>
      <c r="AA3279" s="3" t="str">
        <f>IFERROR(__xludf.DUMMYFUNCTION("""COMPUTED_VALUE"""),"เกาะสมุย")</f>
        <v>เกาะสมุย</v>
      </c>
      <c r="AB3279" s="3" t="str">
        <f>IFERROR(__xludf.DUMMYFUNCTION("""COMPUTED_VALUE"""),"สุราษฎร์ธานี")</f>
        <v>สุราษฎร์ธานี</v>
      </c>
      <c r="AC3279" s="3">
        <f>IFERROR(__xludf.DUMMYFUNCTION("""COMPUTED_VALUE"""),84310.0)</f>
        <v>84310</v>
      </c>
      <c r="AD3279" s="3">
        <f>IFERROR(__xludf.DUMMYFUNCTION("""COMPUTED_VALUE"""),9.460456)</f>
        <v>9.460456</v>
      </c>
      <c r="AE3279" s="3">
        <f>IFERROR(__xludf.DUMMYFUNCTION("""COMPUTED_VALUE"""),100.042021)</f>
        <v>100.042021</v>
      </c>
      <c r="AF3279" s="3" t="str">
        <f>IFERROR(__xludf.DUMMYFUNCTION("""COMPUTED_VALUE"""),"BCM หาดละไม 2 (สมุย) สุราษฎร์ธานี-22741")</f>
        <v>BCM หาดละไม 2 (สมุย) สุราษฎร์ธานี-22741</v>
      </c>
      <c r="AG3279" s="3" t="str">
        <f>IFERROR(__xludf.DUMMYFUNCTION("""COMPUTED_VALUE"""),"ใต้")</f>
        <v>ใต้</v>
      </c>
      <c r="AH3279" s="3" t="str">
        <f>IFERROR(__xludf.DUMMYFUNCTION("""COMPUTED_VALUE"""),"#N/A")</f>
        <v>#N/A</v>
      </c>
      <c r="AI3279" s="3" t="str">
        <f>IFERROR(__xludf.DUMMYFUNCTION("""COMPUTED_VALUE"""),"In warranty")</f>
        <v>In warranty</v>
      </c>
      <c r="AJ3279" s="3">
        <f>IFERROR(__xludf.DUMMYFUNCTION("""COMPUTED_VALUE"""),4.0)</f>
        <v>4</v>
      </c>
      <c r="AK3279" s="3"/>
      <c r="AL3279" s="3"/>
    </row>
    <row r="3280" ht="15.75" customHeight="1">
      <c r="A3280" s="1" t="str">
        <f>IFERROR(__xludf.DUMMYFUNCTION("""COMPUTED_VALUE"""),"22743")</f>
        <v>22743</v>
      </c>
      <c r="B3280" s="2">
        <f>IFERROR(__xludf.DUMMYFUNCTION("""COMPUTED_VALUE"""),22743.0)</f>
        <v>22743</v>
      </c>
      <c r="C3280" s="3" t="str">
        <f>IFERROR(__xludf.DUMMYFUNCTION("""COMPUTED_VALUE"""),"BCM ตลาดทิพย์นิมิตร (บางพลี) สมุทรปราการ")</f>
        <v>BCM ตลาดทิพย์นิมิตร (บางพลี) สมุทรปราการ</v>
      </c>
      <c r="D3280" s="3" t="str">
        <f>IFERROR(__xludf.DUMMYFUNCTION("""COMPUTED_VALUE"""),"BCM TALAD TIPNIMIT (BANG PHLI)")</f>
        <v>BCM TALAD TIPNIMIT (BANG PHLI)</v>
      </c>
      <c r="E3280" s="1" t="str">
        <f>IFERROR(__xludf.DUMMYFUNCTION("""COMPUTED_VALUE"""),"บิ๊กซี MINI")</f>
        <v>บิ๊กซี MINI</v>
      </c>
      <c r="F3280" s="1" t="str">
        <f>IFERROR(__xludf.DUMMYFUNCTION("""COMPUTED_VALUE"""),"2083447")</f>
        <v>2083447</v>
      </c>
      <c r="G3280" s="1" t="str">
        <f>IFERROR(__xludf.DUMMYFUNCTION("""COMPUTED_VALUE"""),"นายอนุกูล ศรีลัดดา")</f>
        <v>นายอนุกูล ศรีลัดดา</v>
      </c>
      <c r="H3280" s="1" t="str">
        <f>IFERROR(__xludf.DUMMYFUNCTION("""COMPUTED_VALUE"""),"284752")</f>
        <v>284752</v>
      </c>
      <c r="I3280" s="1" t="str">
        <f>IFERROR(__xludf.DUMMYFUNCTION("""COMPUTED_VALUE"""),"น.ส.วีรนันท์ แสงใส")</f>
        <v>น.ส.วีรนันท์ แสงใส</v>
      </c>
      <c r="J3280" s="3">
        <f>IFERROR(__xludf.DUMMYFUNCTION("""COMPUTED_VALUE"""),2451655.0)</f>
        <v>2451655</v>
      </c>
      <c r="K3280" s="3" t="str">
        <f>IFERROR(__xludf.DUMMYFUNCTION("""COMPUTED_VALUE"""),"นายวิษณุพงษ์ ชินบุตร")</f>
        <v>นายวิษณุพงษ์ ชินบุตร</v>
      </c>
      <c r="L3280" s="1" t="str">
        <f>IFERROR(__xludf.DUMMYFUNCTION("""COMPUTED_VALUE"""),"13 K.Wisanupong Ch")</f>
        <v>13 K.Wisanupong Ch</v>
      </c>
      <c r="M3280" s="1" t="str">
        <f>IFERROR(__xludf.DUMMYFUNCTION("""COMPUTED_VALUE"""),"0843374693")</f>
        <v>0843374693</v>
      </c>
      <c r="N3280" s="3">
        <f>IFERROR(__xludf.DUMMYFUNCTION("""COMPUTED_VALUE"""),22729.0)</f>
        <v>22729</v>
      </c>
      <c r="O3280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3280" s="4">
        <f>IFERROR(__xludf.DUMMYFUNCTION("""COMPUTED_VALUE"""),45930.0)</f>
        <v>45930</v>
      </c>
      <c r="Q3280" s="3" t="str">
        <f>IFERROR(__xludf.DUMMYFUNCTION("""COMPUTED_VALUE"""),"A")</f>
        <v>A</v>
      </c>
      <c r="R3280" s="3" t="str">
        <f>IFERROR(__xludf.DUMMYFUNCTION("""COMPUTED_VALUE"""),"Small Format")</f>
        <v>Small Format</v>
      </c>
      <c r="S3280" s="3" t="str">
        <f>IFERROR(__xludf.DUMMYFUNCTION("""COMPUTED_VALUE"""),"BCM")</f>
        <v>BCM</v>
      </c>
      <c r="T3280" s="3" t="str">
        <f>IFERROR(__xludf.DUMMYFUNCTION("""COMPUTED_VALUE"""),"#N/A")</f>
        <v>#N/A</v>
      </c>
      <c r="U3280" s="3" t="str">
        <f>IFERROR(__xludf.DUMMYFUNCTION("""COMPUTED_VALUE"""),"#N/A")</f>
        <v>#N/A</v>
      </c>
      <c r="V3280" s="3" t="str">
        <f>IFERROR(__xludf.DUMMYFUNCTION("""COMPUTED_VALUE"""),"N")</f>
        <v>N</v>
      </c>
      <c r="W3280" s="3">
        <f>IFERROR(__xludf.DUMMYFUNCTION("""COMPUTED_VALUE"""),210820.0)</f>
        <v>210820</v>
      </c>
      <c r="X3280" s="3" t="str">
        <f>IFERROR(__xludf.DUMMYFUNCTION("""COMPUTED_VALUE"""),"46 หมู่ที่ 9 ตำบล บางพลีใหญ่ อำเภอบางพลี สมุทรปราการ 10540")</f>
        <v>46 หมู่ที่ 9 ตำบล บางพลีใหญ่ อำเภอบางพลี สมุทรปราการ 10540</v>
      </c>
      <c r="Y3280" s="3"/>
      <c r="Z3280" s="3" t="str">
        <f>IFERROR(__xludf.DUMMYFUNCTION("""COMPUTED_VALUE"""),"บางพลีใหญ่")</f>
        <v>บางพลีใหญ่</v>
      </c>
      <c r="AA3280" s="3" t="str">
        <f>IFERROR(__xludf.DUMMYFUNCTION("""COMPUTED_VALUE"""),"บางพลี")</f>
        <v>บางพลี</v>
      </c>
      <c r="AB3280" s="3" t="str">
        <f>IFERROR(__xludf.DUMMYFUNCTION("""COMPUTED_VALUE"""),"สมุทรปราการ")</f>
        <v>สมุทรปราการ</v>
      </c>
      <c r="AC3280" s="3">
        <f>IFERROR(__xludf.DUMMYFUNCTION("""COMPUTED_VALUE"""),10540.0)</f>
        <v>10540</v>
      </c>
      <c r="AD3280" s="3">
        <f>IFERROR(__xludf.DUMMYFUNCTION("""COMPUTED_VALUE"""),13.60208)</f>
        <v>13.60208</v>
      </c>
      <c r="AE3280" s="3">
        <f>IFERROR(__xludf.DUMMYFUNCTION("""COMPUTED_VALUE"""),100.705971)</f>
        <v>100.705971</v>
      </c>
      <c r="AF3280" s="3" t="str">
        <f>IFERROR(__xludf.DUMMYFUNCTION("""COMPUTED_VALUE"""),"BCM ตลาดทิพย์นิมิตร (บางพลี) สมุทรปราการ-22743")</f>
        <v>BCM ตลาดทิพย์นิมิตร (บางพลี) สมุทรปราการ-22743</v>
      </c>
      <c r="AG3280" s="3" t="str">
        <f>IFERROR(__xludf.DUMMYFUNCTION("""COMPUTED_VALUE"""),"กลาง")</f>
        <v>กลาง</v>
      </c>
      <c r="AH3280" s="3" t="str">
        <f>IFERROR(__xludf.DUMMYFUNCTION("""COMPUTED_VALUE"""),"#N/A")</f>
        <v>#N/A</v>
      </c>
      <c r="AI3280" s="3" t="str">
        <f>IFERROR(__xludf.DUMMYFUNCTION("""COMPUTED_VALUE"""),"In warranty")</f>
        <v>In warranty</v>
      </c>
      <c r="AJ3280" s="3">
        <f>IFERROR(__xludf.DUMMYFUNCTION("""COMPUTED_VALUE"""),4.0)</f>
        <v>4</v>
      </c>
      <c r="AK3280" s="3"/>
      <c r="AL3280" s="3"/>
    </row>
    <row r="3281" ht="15.75" customHeight="1">
      <c r="A3281" s="1" t="str">
        <f>IFERROR(__xludf.DUMMYFUNCTION("""COMPUTED_VALUE"""),"31123")</f>
        <v>31123</v>
      </c>
      <c r="B3281" s="2">
        <f>IFERROR(__xludf.DUMMYFUNCTION("""COMPUTED_VALUE"""),31123.0)</f>
        <v>31123</v>
      </c>
      <c r="C3281" s="3" t="str">
        <f>IFERROR(__xludf.DUMMYFUNCTION("""COMPUTED_VALUE"""),"BCM FC BCP หน้าสนามกีฬาเทศบาล นราธิวาส")</f>
        <v>BCM FC BCP หน้าสนามกีฬาเทศบาล นราธิวาส</v>
      </c>
      <c r="D3281" s="3" t="str">
        <f>IFERROR(__xludf.DUMMYFUNCTION("""COMPUTED_VALUE"""),"BCM FC NA SNAMKILA NARATHIWAT")</f>
        <v>BCM FC NA SNAMKILA NARATHIWAT</v>
      </c>
      <c r="E3281" s="1" t="str">
        <f>IFERROR(__xludf.DUMMYFUNCTION("""COMPUTED_VALUE"""),"บิ๊กซี MINI")</f>
        <v>บิ๊กซี MINI</v>
      </c>
      <c r="F3281" s="1" t="str">
        <f>IFERROR(__xludf.DUMMYFUNCTION("""COMPUTED_VALUE"""),"250760")</f>
        <v>250760</v>
      </c>
      <c r="G3281" s="1" t="str">
        <f>IFERROR(__xludf.DUMMYFUNCTION("""COMPUTED_VALUE"""),"นายประทวน สาราบรรณ์")</f>
        <v>นายประทวน สาราบรรณ์</v>
      </c>
      <c r="H3281" s="1" t="str">
        <f>IFERROR(__xludf.DUMMYFUNCTION("""COMPUTED_VALUE"""),"006583")</f>
        <v>006583</v>
      </c>
      <c r="I3281" s="1" t="str">
        <f>IFERROR(__xludf.DUMMYFUNCTION("""COMPUTED_VALUE"""),"นายเด่น ยะอิง")</f>
        <v>นายเด่น ยะอิง</v>
      </c>
      <c r="J3281" s="3">
        <f>IFERROR(__xludf.DUMMYFUNCTION("""COMPUTED_VALUE"""),2.0470331E7)</f>
        <v>20470331</v>
      </c>
      <c r="K3281" s="3" t="str">
        <f>IFERROR(__xludf.DUMMYFUNCTION("""COMPUTED_VALUE"""),"นายสมชาย ลักษณะสุวรรณ")</f>
        <v>นายสมชาย ลักษณะสุวรรณ</v>
      </c>
      <c r="L3281" s="1" t="str">
        <f>IFERROR(__xludf.DUMMYFUNCTION("""COMPUTED_VALUE"""),"15 K.Somchai L")</f>
        <v>15 K.Somchai L</v>
      </c>
      <c r="M3281" s="1" t="str">
        <f>IFERROR(__xludf.DUMMYFUNCTION("""COMPUTED_VALUE"""),"0655107372")</f>
        <v>0655107372</v>
      </c>
      <c r="N3281" s="3">
        <f>IFERROR(__xludf.DUMMYFUNCTION("""COMPUTED_VALUE"""),21723.0)</f>
        <v>21723</v>
      </c>
      <c r="O3281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3281" s="4">
        <f>IFERROR(__xludf.DUMMYFUNCTION("""COMPUTED_VALUE"""),45947.0)</f>
        <v>45947</v>
      </c>
      <c r="Q3281" s="3" t="str">
        <f>IFERROR(__xludf.DUMMYFUNCTION("""COMPUTED_VALUE"""),"A")</f>
        <v>A</v>
      </c>
      <c r="R3281" s="3" t="str">
        <f>IFERROR(__xludf.DUMMYFUNCTION("""COMPUTED_VALUE"""),"Small Format")</f>
        <v>Small Format</v>
      </c>
      <c r="S3281" s="3" t="str">
        <f>IFERROR(__xludf.DUMMYFUNCTION("""COMPUTED_VALUE"""),"BCM(FC)")</f>
        <v>BCM(FC)</v>
      </c>
      <c r="T3281" s="3" t="str">
        <f>IFERROR(__xludf.DUMMYFUNCTION("""COMPUTED_VALUE"""),"#N/A")</f>
        <v>#N/A</v>
      </c>
      <c r="U3281" s="3" t="str">
        <f>IFERROR(__xludf.DUMMYFUNCTION("""COMPUTED_VALUE"""),"#N/A")</f>
        <v>#N/A</v>
      </c>
      <c r="V3281" s="3" t="str">
        <f>IFERROR(__xludf.DUMMYFUNCTION("""COMPUTED_VALUE"""),"Y")</f>
        <v>Y</v>
      </c>
      <c r="W3281" s="3">
        <f>IFERROR(__xludf.DUMMYFUNCTION("""COMPUTED_VALUE"""),812346.0)</f>
        <v>812346</v>
      </c>
      <c r="X3281" s="3" t="str">
        <f>IFERROR(__xludf.DUMMYFUNCTION("""COMPUTED_VALUE"""),"47/7 ถนนสุริยะประดิษฐ์ ตำบลบางนาค อำเภอเมืองนราธิวาส จังหวัดนราธิวาส 96000")</f>
        <v>47/7 ถนนสุริยะประดิษฐ์ ตำบลบางนาค อำเภอเมืองนราธิวาส จังหวัดนราธิวาส 96000</v>
      </c>
      <c r="Y3281" s="3" t="str">
        <f>IFERROR(__xludf.DUMMYFUNCTION("""COMPUTED_VALUE"""),"สุริยะประดิษฐ์")</f>
        <v>สุริยะประดิษฐ์</v>
      </c>
      <c r="Z3281" s="3" t="str">
        <f>IFERROR(__xludf.DUMMYFUNCTION("""COMPUTED_VALUE"""),"บางนาค")</f>
        <v>บางนาค</v>
      </c>
      <c r="AA3281" s="3" t="str">
        <f>IFERROR(__xludf.DUMMYFUNCTION("""COMPUTED_VALUE"""),"เมืองนราธิวาส")</f>
        <v>เมืองนราธิวาส</v>
      </c>
      <c r="AB3281" s="3" t="str">
        <f>IFERROR(__xludf.DUMMYFUNCTION("""COMPUTED_VALUE"""),"นราธิวาส")</f>
        <v>นราธิวาส</v>
      </c>
      <c r="AC3281" s="3">
        <f>IFERROR(__xludf.DUMMYFUNCTION("""COMPUTED_VALUE"""),96000.0)</f>
        <v>96000</v>
      </c>
      <c r="AD3281" s="3">
        <f>IFERROR(__xludf.DUMMYFUNCTION("""COMPUTED_VALUE"""),6.421862)</f>
        <v>6.421862</v>
      </c>
      <c r="AE3281" s="3">
        <f>IFERROR(__xludf.DUMMYFUNCTION("""COMPUTED_VALUE"""),101.8208)</f>
        <v>101.8208</v>
      </c>
      <c r="AF3281" s="3" t="str">
        <f>IFERROR(__xludf.DUMMYFUNCTION("""COMPUTED_VALUE"""),"BCM FC BCP หน้าสนามกีฬาเทศบาล นราธิวาส-31123")</f>
        <v>BCM FC BCP หน้าสนามกีฬาเทศบาล นราธิวาส-31123</v>
      </c>
      <c r="AG3281" s="3" t="str">
        <f>IFERROR(__xludf.DUMMYFUNCTION("""COMPUTED_VALUE"""),"ใต้")</f>
        <v>ใต้</v>
      </c>
      <c r="AH3281" s="3" t="str">
        <f>IFERROR(__xludf.DUMMYFUNCTION("""COMPUTED_VALUE"""),"#N/A")</f>
        <v>#N/A</v>
      </c>
      <c r="AI3281" s="3" t="str">
        <f>IFERROR(__xludf.DUMMYFUNCTION("""COMPUTED_VALUE"""),"In warranty")</f>
        <v>In warranty</v>
      </c>
      <c r="AJ3281" s="3">
        <f>IFERROR(__xludf.DUMMYFUNCTION("""COMPUTED_VALUE"""),4.0)</f>
        <v>4</v>
      </c>
      <c r="AK3281" s="3"/>
      <c r="AL3281" s="3"/>
    </row>
    <row r="3282" ht="15.75" customHeight="1">
      <c r="A3282" s="1" t="str">
        <f>IFERROR(__xludf.DUMMYFUNCTION("""COMPUTED_VALUE"""),"41202")</f>
        <v>41202</v>
      </c>
      <c r="B3282" s="2">
        <f>IFERROR(__xludf.DUMMYFUNCTION("""COMPUTED_VALUE"""),41202.0)</f>
        <v>41202</v>
      </c>
      <c r="C3282" s="3" t="str">
        <f>IFERROR(__xludf.DUMMYFUNCTION("""COMPUTED_VALUE"""),"PURE ปาร์ค บางนา")</f>
        <v>PURE ปาร์ค บางนา</v>
      </c>
      <c r="D3282" s="3" t="str">
        <f>IFERROR(__xludf.DUMMYFUNCTION("""COMPUTED_VALUE"""),"PURE PARC BANGNA")</f>
        <v>PURE PARC BANGNA</v>
      </c>
      <c r="E3282" s="1" t="str">
        <f>IFERROR(__xludf.DUMMYFUNCTION("""COMPUTED_VALUE"""),"PURE")</f>
        <v>PURE</v>
      </c>
      <c r="F3282" s="1" t="str">
        <f>IFERROR(__xludf.DUMMYFUNCTION("""COMPUTED_VALUE"""),"02408546")</f>
        <v>02408546</v>
      </c>
      <c r="G3282" s="1" t="str">
        <f>IFERROR(__xludf.DUMMYFUNCTION("""COMPUTED_VALUE"""),"นายเกษมศิษฐ์ ฮดบุญเรือง")</f>
        <v>นายเกษมศิษฐ์ ฮดบุญเรือง</v>
      </c>
      <c r="H3282" s="1" t="str">
        <f>IFERROR(__xludf.DUMMYFUNCTION("""COMPUTED_VALUE"""),"02408546")</f>
        <v>02408546</v>
      </c>
      <c r="I3282" s="1" t="str">
        <f>IFERROR(__xludf.DUMMYFUNCTION("""COMPUTED_VALUE"""),"นายเกษมศิษฐ์ ฮดบุญเรือง")</f>
        <v>นายเกษมศิษฐ์ ฮดบุญเรือง</v>
      </c>
      <c r="J3282" s="3">
        <f>IFERROR(__xludf.DUMMYFUNCTION("""COMPUTED_VALUE"""),2408546.0)</f>
        <v>2408546</v>
      </c>
      <c r="K3282" s="3" t="str">
        <f>IFERROR(__xludf.DUMMYFUNCTION("""COMPUTED_VALUE"""),"นายเกษมศิษฐ์ ฮดบุญเรือง")</f>
        <v>นายเกษมศิษฐ์ ฮดบุญเรือง</v>
      </c>
      <c r="L3282" s="1" t="str">
        <f>IFERROR(__xludf.DUMMYFUNCTION("""COMPUTED_VALUE"""),"Hub02-BKK 2")</f>
        <v>Hub02-BKK 2</v>
      </c>
      <c r="M3282" s="1" t="str">
        <f>IFERROR(__xludf.DUMMYFUNCTION("""COMPUTED_VALUE"""),"0988580755")</f>
        <v>0988580755</v>
      </c>
      <c r="N3282" s="3">
        <f>IFERROR(__xludf.DUMMYFUNCTION("""COMPUTED_VALUE"""),15073.0)</f>
        <v>15073</v>
      </c>
      <c r="O3282" s="3" t="str">
        <f>IFERROR(__xludf.DUMMYFUNCTION("""COMPUTED_VALUE"""),"ปาร์ค บางนา")</f>
        <v>ปาร์ค บางนา</v>
      </c>
      <c r="P3282" s="4">
        <f>IFERROR(__xludf.DUMMYFUNCTION("""COMPUTED_VALUE"""),45961.0)</f>
        <v>45961</v>
      </c>
      <c r="Q3282" s="3" t="str">
        <f>IFERROR(__xludf.DUMMYFUNCTION("""COMPUTED_VALUE"""),"A")</f>
        <v>A</v>
      </c>
      <c r="R3282" s="3" t="str">
        <f>IFERROR(__xludf.DUMMYFUNCTION("""COMPUTED_VALUE"""),"Big Format")</f>
        <v>Big Format</v>
      </c>
      <c r="S3282" s="3" t="str">
        <f>IFERROR(__xludf.DUMMYFUNCTION("""COMPUTED_VALUE"""),"PURE")</f>
        <v>PURE</v>
      </c>
      <c r="T3282" s="3" t="str">
        <f>IFERROR(__xludf.DUMMYFUNCTION("""COMPUTED_VALUE"""),"Hub02-BKK 2")</f>
        <v>Hub02-BKK 2</v>
      </c>
      <c r="U3282" s="3" t="str">
        <f>IFERROR(__xludf.DUMMYFUNCTION("""COMPUTED_VALUE"""),"Hub02-BKK 2")</f>
        <v>Hub02-BKK 2</v>
      </c>
      <c r="V3282" s="3" t="str">
        <f>IFERROR(__xludf.DUMMYFUNCTION("""COMPUTED_VALUE"""),"N")</f>
        <v>N</v>
      </c>
      <c r="W3282" s="3">
        <f>IFERROR(__xludf.DUMMYFUNCTION("""COMPUTED_VALUE"""),411231.0)</f>
        <v>411231</v>
      </c>
      <c r="X3282" s="3" t="str">
        <f>IFERROR(__xludf.DUMMYFUNCTION("""COMPUTED_VALUE"""),"ห้องเลขที่ C 100 ชั้นที่ 1 เลขที่ 951/3 ถนนเทพรัตน แขวงบางนาเหนือ เขตบางนา กรุงเทพมหานคร 10260")</f>
        <v>ห้องเลขที่ C 100 ชั้นที่ 1 เลขที่ 951/3 ถนนเทพรัตน แขวงบางนาเหนือ เขตบางนา กรุงเทพมหานคร 10260</v>
      </c>
      <c r="Y3282" s="3" t="str">
        <f>IFERROR(__xludf.DUMMYFUNCTION("""COMPUTED_VALUE"""),"เทพรัตน")</f>
        <v>เทพรัตน</v>
      </c>
      <c r="Z3282" s="3" t="str">
        <f>IFERROR(__xludf.DUMMYFUNCTION("""COMPUTED_VALUE"""),"บางนาเหนือ")</f>
        <v>บางนาเหนือ</v>
      </c>
      <c r="AA3282" s="3" t="str">
        <f>IFERROR(__xludf.DUMMYFUNCTION("""COMPUTED_VALUE"""),"บางนา")</f>
        <v>บางนา</v>
      </c>
      <c r="AB3282" s="3" t="str">
        <f>IFERROR(__xludf.DUMMYFUNCTION("""COMPUTED_VALUE"""),"กรุงเทพมหานคร")</f>
        <v>กรุงเทพมหานคร</v>
      </c>
      <c r="AC3282" s="3">
        <f>IFERROR(__xludf.DUMMYFUNCTION("""COMPUTED_VALUE"""),10260.0)</f>
        <v>10260</v>
      </c>
      <c r="AD3282" s="3">
        <f>IFERROR(__xludf.DUMMYFUNCTION("""COMPUTED_VALUE"""),13.66722039)</f>
        <v>13.66722039</v>
      </c>
      <c r="AE3282" s="3">
        <f>IFERROR(__xludf.DUMMYFUNCTION("""COMPUTED_VALUE"""),100.6477797)</f>
        <v>100.6477797</v>
      </c>
      <c r="AF3282" s="3" t="str">
        <f>IFERROR(__xludf.DUMMYFUNCTION("""COMPUTED_VALUE"""),"PURE ปาร์ค บางนา-41202")</f>
        <v>PURE ปาร์ค บางนา-41202</v>
      </c>
      <c r="AG3282" s="3" t="str">
        <f>IFERROR(__xludf.DUMMYFUNCTION("""COMPUTED_VALUE"""),"กลาง")</f>
        <v>กลาง</v>
      </c>
      <c r="AH3282" s="3" t="str">
        <f>IFERROR(__xludf.DUMMYFUNCTION("""COMPUTED_VALUE"""),"#N/A")</f>
        <v>#N/A</v>
      </c>
      <c r="AI3282" s="3" t="str">
        <f>IFERROR(__xludf.DUMMYFUNCTION("""COMPUTED_VALUE"""),"In warranty")</f>
        <v>In warranty</v>
      </c>
      <c r="AJ3282" s="3">
        <f>IFERROR(__xludf.DUMMYFUNCTION("""COMPUTED_VALUE"""),3.0)</f>
        <v>3</v>
      </c>
      <c r="AK3282" s="3"/>
      <c r="AL3282" s="3"/>
    </row>
    <row r="3283" ht="15.75" customHeight="1">
      <c r="A3283" s="1" t="str">
        <f>IFERROR(__xludf.DUMMYFUNCTION("""COMPUTED_VALUE"""),"31122")</f>
        <v>31122</v>
      </c>
      <c r="B3283" s="2">
        <f>IFERROR(__xludf.DUMMYFUNCTION("""COMPUTED_VALUE"""),31122.0)</f>
        <v>31122</v>
      </c>
      <c r="C3283" s="3" t="str">
        <f>IFERROR(__xludf.DUMMYFUNCTION("""COMPUTED_VALUE"""),"BCM FC BCP บางบ่อ สมุทรปราการ")</f>
        <v>BCM FC BCP บางบ่อ สมุทรปราการ</v>
      </c>
      <c r="D3283" s="3" t="str">
        <f>IFERROR(__xludf.DUMMYFUNCTION("""COMPUTED_VALUE"""),"BCM FC BANG BO SAMUT PRAKARN")</f>
        <v>BCM FC BANG BO SAMUT PRAKARN</v>
      </c>
      <c r="E3283" s="1" t="str">
        <f>IFERROR(__xludf.DUMMYFUNCTION("""COMPUTED_VALUE"""),"บิ๊กซี MINI")</f>
        <v>บิ๊กซี MINI</v>
      </c>
      <c r="F3283" s="1" t="str">
        <f>IFERROR(__xludf.DUMMYFUNCTION("""COMPUTED_VALUE"""),"2083447")</f>
        <v>2083447</v>
      </c>
      <c r="G3283" s="1" t="str">
        <f>IFERROR(__xludf.DUMMYFUNCTION("""COMPUTED_VALUE"""),"นายอนุกูล ศรีลัดดา")</f>
        <v>นายอนุกูล ศรีลัดดา</v>
      </c>
      <c r="H3283" s="1" t="str">
        <f>IFERROR(__xludf.DUMMYFUNCTION("""COMPUTED_VALUE"""),"284752")</f>
        <v>284752</v>
      </c>
      <c r="I3283" s="1" t="str">
        <f>IFERROR(__xludf.DUMMYFUNCTION("""COMPUTED_VALUE"""),"น.ส.วีรนันท์ แสงใส")</f>
        <v>น.ส.วีรนันท์ แสงใส</v>
      </c>
      <c r="J3283" s="3">
        <f>IFERROR(__xludf.DUMMYFUNCTION("""COMPUTED_VALUE"""),2451655.0)</f>
        <v>2451655</v>
      </c>
      <c r="K3283" s="3" t="str">
        <f>IFERROR(__xludf.DUMMYFUNCTION("""COMPUTED_VALUE"""),"นายวิษณุพงษ์ ชินบุตร")</f>
        <v>นายวิษณุพงษ์ ชินบุตร</v>
      </c>
      <c r="L3283" s="1" t="str">
        <f>IFERROR(__xludf.DUMMYFUNCTION("""COMPUTED_VALUE"""),"13 K.Wisanupong Ch")</f>
        <v>13 K.Wisanupong Ch</v>
      </c>
      <c r="M3283" s="1" t="str">
        <f>IFERROR(__xludf.DUMMYFUNCTION("""COMPUTED_VALUE"""),"0843374693")</f>
        <v>0843374693</v>
      </c>
      <c r="N3283" s="3">
        <f>IFERROR(__xludf.DUMMYFUNCTION("""COMPUTED_VALUE"""),22729.0)</f>
        <v>22729</v>
      </c>
      <c r="O3283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3283" s="4">
        <f>IFERROR(__xludf.DUMMYFUNCTION("""COMPUTED_VALUE"""),45931.0)</f>
        <v>45931</v>
      </c>
      <c r="Q3283" s="3" t="str">
        <f>IFERROR(__xludf.DUMMYFUNCTION("""COMPUTED_VALUE"""),"A")</f>
        <v>A</v>
      </c>
      <c r="R3283" s="3" t="str">
        <f>IFERROR(__xludf.DUMMYFUNCTION("""COMPUTED_VALUE"""),"Small Format")</f>
        <v>Small Format</v>
      </c>
      <c r="S3283" s="3" t="str">
        <f>IFERROR(__xludf.DUMMYFUNCTION("""COMPUTED_VALUE"""),"BCM(FC)")</f>
        <v>BCM(FC)</v>
      </c>
      <c r="T3283" s="3" t="str">
        <f>IFERROR(__xludf.DUMMYFUNCTION("""COMPUTED_VALUE"""),"#N/A")</f>
        <v>#N/A</v>
      </c>
      <c r="U3283" s="3" t="str">
        <f>IFERROR(__xludf.DUMMYFUNCTION("""COMPUTED_VALUE"""),"#N/A")</f>
        <v>#N/A</v>
      </c>
      <c r="V3283" s="3" t="str">
        <f>IFERROR(__xludf.DUMMYFUNCTION("""COMPUTED_VALUE"""),"Y")</f>
        <v>Y</v>
      </c>
      <c r="W3283" s="3">
        <f>IFERROR(__xludf.DUMMYFUNCTION("""COMPUTED_VALUE"""),812350.0)</f>
        <v>812350</v>
      </c>
      <c r="X3283" s="3" t="str">
        <f>IFERROR(__xludf.DUMMYFUNCTION("""COMPUTED_VALUE"""),"888/1 หมู่ 12 ตำบลคลองด่าน อำเภอบางบ่อ จังหวัดสมุทรปราการ 10550")</f>
        <v>888/1 หมู่ 12 ตำบลคลองด่าน อำเภอบางบ่อ จังหวัดสมุทรปราการ 10550</v>
      </c>
      <c r="Y3283" s="3"/>
      <c r="Z3283" s="3" t="str">
        <f>IFERROR(__xludf.DUMMYFUNCTION("""COMPUTED_VALUE"""),"คลองด่าน")</f>
        <v>คลองด่าน</v>
      </c>
      <c r="AA3283" s="3" t="str">
        <f>IFERROR(__xludf.DUMMYFUNCTION("""COMPUTED_VALUE"""),"บางบ่อ")</f>
        <v>บางบ่อ</v>
      </c>
      <c r="AB3283" s="3" t="str">
        <f>IFERROR(__xludf.DUMMYFUNCTION("""COMPUTED_VALUE"""),"สมุทรปราการ")</f>
        <v>สมุทรปราการ</v>
      </c>
      <c r="AC3283" s="3">
        <f>IFERROR(__xludf.DUMMYFUNCTION("""COMPUTED_VALUE"""),10550.0)</f>
        <v>10550</v>
      </c>
      <c r="AD3283" s="3">
        <f>IFERROR(__xludf.DUMMYFUNCTION("""COMPUTED_VALUE"""),13.492653)</f>
        <v>13.492653</v>
      </c>
      <c r="AE3283" s="3">
        <f>IFERROR(__xludf.DUMMYFUNCTION("""COMPUTED_VALUE"""),100.8585)</f>
        <v>100.8585</v>
      </c>
      <c r="AF3283" s="3" t="str">
        <f>IFERROR(__xludf.DUMMYFUNCTION("""COMPUTED_VALUE"""),"BCM FC BCP บางบ่อ สมุทรปราการ-31122")</f>
        <v>BCM FC BCP บางบ่อ สมุทรปราการ-31122</v>
      </c>
      <c r="AG3283" s="3" t="str">
        <f>IFERROR(__xludf.DUMMYFUNCTION("""COMPUTED_VALUE"""),"กลาง")</f>
        <v>กลาง</v>
      </c>
      <c r="AH3283" s="3" t="str">
        <f>IFERROR(__xludf.DUMMYFUNCTION("""COMPUTED_VALUE"""),"#N/A")</f>
        <v>#N/A</v>
      </c>
      <c r="AI3283" s="3" t="str">
        <f>IFERROR(__xludf.DUMMYFUNCTION("""COMPUTED_VALUE"""),"In warranty")</f>
        <v>In warranty</v>
      </c>
      <c r="AJ3283" s="3">
        <f>IFERROR(__xludf.DUMMYFUNCTION("""COMPUTED_VALUE"""),4.0)</f>
        <v>4</v>
      </c>
      <c r="AK3283" s="3"/>
      <c r="AL3283" s="3"/>
    </row>
    <row r="3284" ht="15.75" customHeight="1">
      <c r="A3284" s="1" t="str">
        <f>IFERROR(__xludf.DUMMYFUNCTION("""COMPUTED_VALUE"""),"22742")</f>
        <v>22742</v>
      </c>
      <c r="B3284" s="2">
        <f>IFERROR(__xludf.DUMMYFUNCTION("""COMPUTED_VALUE"""),22742.0)</f>
        <v>22742</v>
      </c>
      <c r="C3284" s="3" t="str">
        <f>IFERROR(__xludf.DUMMYFUNCTION("""COMPUTED_VALUE"""),"BCM หน้า รพ.นราธิวาสราชฯ นราธิวาส")</f>
        <v>BCM หน้า รพ.นราธิวาสราชฯ นราธิวาส</v>
      </c>
      <c r="D3284" s="3" t="str">
        <f>IFERROR(__xludf.DUMMYFUNCTION("""COMPUTED_VALUE"""),"BCM NARATHIWAT RATCHANAKARIN")</f>
        <v>BCM NARATHIWAT RATCHANAKARIN</v>
      </c>
      <c r="E3284" s="1" t="str">
        <f>IFERROR(__xludf.DUMMYFUNCTION("""COMPUTED_VALUE"""),"บิ๊กซี MINI")</f>
        <v>บิ๊กซี MINI</v>
      </c>
      <c r="F3284" s="1" t="str">
        <f>IFERROR(__xludf.DUMMYFUNCTION("""COMPUTED_VALUE"""),"250760")</f>
        <v>250760</v>
      </c>
      <c r="G3284" s="1" t="str">
        <f>IFERROR(__xludf.DUMMYFUNCTION("""COMPUTED_VALUE"""),"นายประทวน สาราบรรณ์")</f>
        <v>นายประทวน สาราบรรณ์</v>
      </c>
      <c r="H3284" s="1" t="str">
        <f>IFERROR(__xludf.DUMMYFUNCTION("""COMPUTED_VALUE"""),"006583")</f>
        <v>006583</v>
      </c>
      <c r="I3284" s="1" t="str">
        <f>IFERROR(__xludf.DUMMYFUNCTION("""COMPUTED_VALUE"""),"นายเด่น ยะอิง")</f>
        <v>นายเด่น ยะอิง</v>
      </c>
      <c r="J3284" s="3">
        <f>IFERROR(__xludf.DUMMYFUNCTION("""COMPUTED_VALUE"""),2.0470331E7)</f>
        <v>20470331</v>
      </c>
      <c r="K3284" s="3" t="str">
        <f>IFERROR(__xludf.DUMMYFUNCTION("""COMPUTED_VALUE"""),"นายสมชาย ลักษณะสุวรรณ")</f>
        <v>นายสมชาย ลักษณะสุวรรณ</v>
      </c>
      <c r="L3284" s="1" t="str">
        <f>IFERROR(__xludf.DUMMYFUNCTION("""COMPUTED_VALUE"""),"15 K.Somchai L")</f>
        <v>15 K.Somchai L</v>
      </c>
      <c r="M3284" s="1" t="str">
        <f>IFERROR(__xludf.DUMMYFUNCTION("""COMPUTED_VALUE"""),"0655107372")</f>
        <v>0655107372</v>
      </c>
      <c r="N3284" s="3">
        <f>IFERROR(__xludf.DUMMYFUNCTION("""COMPUTED_VALUE"""),21723.0)</f>
        <v>21723</v>
      </c>
      <c r="O3284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3284" s="4">
        <f>IFERROR(__xludf.DUMMYFUNCTION("""COMPUTED_VALUE"""),45930.0)</f>
        <v>45930</v>
      </c>
      <c r="Q3284" s="3" t="str">
        <f>IFERROR(__xludf.DUMMYFUNCTION("""COMPUTED_VALUE"""),"A")</f>
        <v>A</v>
      </c>
      <c r="R3284" s="3" t="str">
        <f>IFERROR(__xludf.DUMMYFUNCTION("""COMPUTED_VALUE"""),"Small Format")</f>
        <v>Small Format</v>
      </c>
      <c r="S3284" s="3" t="str">
        <f>IFERROR(__xludf.DUMMYFUNCTION("""COMPUTED_VALUE"""),"BCM")</f>
        <v>BCM</v>
      </c>
      <c r="T3284" s="3" t="str">
        <f>IFERROR(__xludf.DUMMYFUNCTION("""COMPUTED_VALUE"""),"#N/A")</f>
        <v>#N/A</v>
      </c>
      <c r="U3284" s="3" t="str">
        <f>IFERROR(__xludf.DUMMYFUNCTION("""COMPUTED_VALUE"""),"#N/A")</f>
        <v>#N/A</v>
      </c>
      <c r="V3284" s="3" t="str">
        <f>IFERROR(__xludf.DUMMYFUNCTION("""COMPUTED_VALUE"""),"N")</f>
        <v>N</v>
      </c>
      <c r="W3284" s="3">
        <f>IFERROR(__xludf.DUMMYFUNCTION("""COMPUTED_VALUE"""),210824.0)</f>
        <v>210824</v>
      </c>
      <c r="X3284" s="3" t="str">
        <f>IFERROR(__xludf.DUMMYFUNCTION("""COMPUTED_VALUE"""),"303 ถนนระแงะมรรคา ตำบลบางนาค อำเภอเมืองนราธิวาส จังหวัดนราธิวาส 96000")</f>
        <v>303 ถนนระแงะมรรคา ตำบลบางนาค อำเภอเมืองนราธิวาส จังหวัดนราธิวาส 96000</v>
      </c>
      <c r="Y3284" s="3" t="str">
        <f>IFERROR(__xludf.DUMMYFUNCTION("""COMPUTED_VALUE"""),"ระแงะมรรคา")</f>
        <v>ระแงะมรรคา</v>
      </c>
      <c r="Z3284" s="3" t="str">
        <f>IFERROR(__xludf.DUMMYFUNCTION("""COMPUTED_VALUE"""),"บางนาค")</f>
        <v>บางนาค</v>
      </c>
      <c r="AA3284" s="3" t="str">
        <f>IFERROR(__xludf.DUMMYFUNCTION("""COMPUTED_VALUE"""),"เมืองนราธิวาส")</f>
        <v>เมืองนราธิวาส</v>
      </c>
      <c r="AB3284" s="3" t="str">
        <f>IFERROR(__xludf.DUMMYFUNCTION("""COMPUTED_VALUE"""),"นราธิวาส")</f>
        <v>นราธิวาส</v>
      </c>
      <c r="AC3284" s="3">
        <f>IFERROR(__xludf.DUMMYFUNCTION("""COMPUTED_VALUE"""),96000.0)</f>
        <v>96000</v>
      </c>
      <c r="AD3284" s="3">
        <f>IFERROR(__xludf.DUMMYFUNCTION("""COMPUTED_VALUE"""),6.414805)</f>
        <v>6.414805</v>
      </c>
      <c r="AE3284" s="3">
        <f>IFERROR(__xludf.DUMMYFUNCTION("""COMPUTED_VALUE"""),101.824405)</f>
        <v>101.824405</v>
      </c>
      <c r="AF3284" s="3" t="str">
        <f>IFERROR(__xludf.DUMMYFUNCTION("""COMPUTED_VALUE"""),"BCM หน้า รพ.นราธิวาสราชฯ นราธิวาส-22742")</f>
        <v>BCM หน้า รพ.นราธิวาสราชฯ นราธิวาส-22742</v>
      </c>
      <c r="AG3284" s="3" t="str">
        <f>IFERROR(__xludf.DUMMYFUNCTION("""COMPUTED_VALUE"""),"ใต้")</f>
        <v>ใต้</v>
      </c>
      <c r="AH3284" s="3" t="str">
        <f>IFERROR(__xludf.DUMMYFUNCTION("""COMPUTED_VALUE"""),"#N/A")</f>
        <v>#N/A</v>
      </c>
      <c r="AI3284" s="3" t="str">
        <f>IFERROR(__xludf.DUMMYFUNCTION("""COMPUTED_VALUE"""),"In warranty")</f>
        <v>In warranty</v>
      </c>
      <c r="AJ3284" s="3">
        <f>IFERROR(__xludf.DUMMYFUNCTION("""COMPUTED_VALUE"""),4.0)</f>
        <v>4</v>
      </c>
      <c r="AK3284" s="3"/>
      <c r="AL3284" s="3"/>
    </row>
    <row r="3285" ht="15.75" customHeight="1">
      <c r="A3285" s="1" t="str">
        <f>IFERROR(__xludf.DUMMYFUNCTION("""COMPUTED_VALUE"""),"22727")</f>
        <v>22727</v>
      </c>
      <c r="B3285" s="2">
        <f>IFERROR(__xludf.DUMMYFUNCTION("""COMPUTED_VALUE"""),22727.0)</f>
        <v>22727</v>
      </c>
      <c r="C3285" s="3" t="str">
        <f>IFERROR(__xludf.DUMMYFUNCTION("""COMPUTED_VALUE"""),"BCM TCC ลาดพร้าว 48 แยก 20 กรุงเทพฯ")</f>
        <v>BCM TCC ลาดพร้าว 48 แยก 20 กรุงเทพฯ</v>
      </c>
      <c r="D3285" s="3" t="str">
        <f>IFERROR(__xludf.DUMMYFUNCTION("""COMPUTED_VALUE"""),"BCM TCC LAT PHRAO 48 YAEK 20")</f>
        <v>BCM TCC LAT PHRAO 48 YAEK 20</v>
      </c>
      <c r="E3285" s="1" t="str">
        <f>IFERROR(__xludf.DUMMYFUNCTION("""COMPUTED_VALUE"""),"บิ๊กซี MINI")</f>
        <v>บิ๊กซี MINI</v>
      </c>
      <c r="F3285" s="1" t="str">
        <f>IFERROR(__xludf.DUMMYFUNCTION("""COMPUTED_VALUE"""),"291008")</f>
        <v>291008</v>
      </c>
      <c r="G3285" s="1" t="str">
        <f>IFERROR(__xludf.DUMMYFUNCTION("""COMPUTED_VALUE"""),"น.ส.รัชดาพร อีศรัตน์")</f>
        <v>น.ส.รัชดาพร อีศรัตน์</v>
      </c>
      <c r="H3285" s="1" t="str">
        <f>IFERROR(__xludf.DUMMYFUNCTION("""COMPUTED_VALUE"""),"359002")</f>
        <v>359002</v>
      </c>
      <c r="I3285" s="1" t="str">
        <f>IFERROR(__xludf.DUMMYFUNCTION("""COMPUTED_VALUE"""),"น.ส.นิตยา สมจิตร")</f>
        <v>น.ส.นิตยา สมจิตร</v>
      </c>
      <c r="J3285" s="3">
        <f>IFERROR(__xludf.DUMMYFUNCTION("""COMPUTED_VALUE"""),3510104.0)</f>
        <v>3510104</v>
      </c>
      <c r="K3285" s="3" t="str">
        <f>IFERROR(__xludf.DUMMYFUNCTION("""COMPUTED_VALUE"""),"นายวิโรจน์ อับดุลสมัด")</f>
        <v>นายวิโรจน์ อับดุลสมัด</v>
      </c>
      <c r="L3285" s="1" t="str">
        <f>IFERROR(__xludf.DUMMYFUNCTION("""COMPUTED_VALUE"""),"09 K.Wirode A")</f>
        <v>09 K.Wirode A</v>
      </c>
      <c r="M3285" s="1" t="str">
        <f>IFERROR(__xludf.DUMMYFUNCTION("""COMPUTED_VALUE"""),"080-235-4465")</f>
        <v>080-235-4465</v>
      </c>
      <c r="N3285" s="3">
        <f>IFERROR(__xludf.DUMMYFUNCTION("""COMPUTED_VALUE"""),21324.0)</f>
        <v>21324</v>
      </c>
      <c r="O3285" s="3" t="str">
        <f>IFERROR(__xludf.DUMMYFUNCTION("""COMPUTED_VALUE"""),"MBC BCP สุวินทวงศ์")</f>
        <v>MBC BCP สุวินทวงศ์</v>
      </c>
      <c r="P3285" s="4">
        <f>IFERROR(__xludf.DUMMYFUNCTION("""COMPUTED_VALUE"""),45939.0)</f>
        <v>45939</v>
      </c>
      <c r="Q3285" s="3" t="str">
        <f>IFERROR(__xludf.DUMMYFUNCTION("""COMPUTED_VALUE"""),"A")</f>
        <v>A</v>
      </c>
      <c r="R3285" s="3" t="str">
        <f>IFERROR(__xludf.DUMMYFUNCTION("""COMPUTED_VALUE"""),"Small Format")</f>
        <v>Small Format</v>
      </c>
      <c r="S3285" s="3" t="str">
        <f>IFERROR(__xludf.DUMMYFUNCTION("""COMPUTED_VALUE"""),"BCM")</f>
        <v>BCM</v>
      </c>
      <c r="T3285" s="3" t="str">
        <f>IFERROR(__xludf.DUMMYFUNCTION("""COMPUTED_VALUE"""),"#N/A")</f>
        <v>#N/A</v>
      </c>
      <c r="U3285" s="3" t="str">
        <f>IFERROR(__xludf.DUMMYFUNCTION("""COMPUTED_VALUE"""),"#N/A")</f>
        <v>#N/A</v>
      </c>
      <c r="V3285" s="3" t="str">
        <f>IFERROR(__xludf.DUMMYFUNCTION("""COMPUTED_VALUE"""),"N")</f>
        <v>N</v>
      </c>
      <c r="W3285" s="3">
        <f>IFERROR(__xludf.DUMMYFUNCTION("""COMPUTED_VALUE"""),210811.0)</f>
        <v>210811</v>
      </c>
      <c r="X3285" s="3" t="str">
        <f>IFERROR(__xludf.DUMMYFUNCTION("""COMPUTED_VALUE"""),"955/3 ซอยพิบูลอุปถัมภ์ แขวงสามเสนนอก เขตห้วยขวาง กรุงเทพมหานคร 10310")</f>
        <v>955/3 ซอยพิบูลอุปถัมภ์ แขวงสามเสนนอก เขตห้วยขวาง กรุงเทพมหานคร 10310</v>
      </c>
      <c r="Y3285" s="3"/>
      <c r="Z3285" s="3" t="str">
        <f>IFERROR(__xludf.DUMMYFUNCTION("""COMPUTED_VALUE"""),"สามเสนนอก")</f>
        <v>สามเสนนอก</v>
      </c>
      <c r="AA3285" s="3" t="str">
        <f>IFERROR(__xludf.DUMMYFUNCTION("""COMPUTED_VALUE"""),"ห้วยขวาง")</f>
        <v>ห้วยขวาง</v>
      </c>
      <c r="AB3285" s="3" t="str">
        <f>IFERROR(__xludf.DUMMYFUNCTION("""COMPUTED_VALUE"""),"กรุงเทพมหานคร")</f>
        <v>กรุงเทพมหานคร</v>
      </c>
      <c r="AC3285" s="3">
        <f>IFERROR(__xludf.DUMMYFUNCTION("""COMPUTED_VALUE"""),10310.0)</f>
        <v>10310</v>
      </c>
      <c r="AD3285" s="3">
        <f>IFERROR(__xludf.DUMMYFUNCTION("""COMPUTED_VALUE"""),13.792504)</f>
        <v>13.792504</v>
      </c>
      <c r="AE3285" s="3">
        <f>IFERROR(__xludf.DUMMYFUNCTION("""COMPUTED_VALUE"""),100.584108)</f>
        <v>100.584108</v>
      </c>
      <c r="AF3285" s="3" t="str">
        <f>IFERROR(__xludf.DUMMYFUNCTION("""COMPUTED_VALUE"""),"BCM TCC ลาดพร้าว 48 แยก 20 กรุงเทพฯ-22727")</f>
        <v>BCM TCC ลาดพร้าว 48 แยก 20 กรุงเทพฯ-22727</v>
      </c>
      <c r="AG3285" s="3" t="str">
        <f>IFERROR(__xludf.DUMMYFUNCTION("""COMPUTED_VALUE"""),"กลาง")</f>
        <v>กลาง</v>
      </c>
      <c r="AH3285" s="3" t="str">
        <f>IFERROR(__xludf.DUMMYFUNCTION("""COMPUTED_VALUE"""),"#N/A")</f>
        <v>#N/A</v>
      </c>
      <c r="AI3285" s="3" t="str">
        <f>IFERROR(__xludf.DUMMYFUNCTION("""COMPUTED_VALUE"""),"In warranty")</f>
        <v>In warranty</v>
      </c>
      <c r="AJ3285" s="3">
        <f>IFERROR(__xludf.DUMMYFUNCTION("""COMPUTED_VALUE"""),4.0)</f>
        <v>4</v>
      </c>
      <c r="AK3285" s="3"/>
      <c r="AL3285" s="3"/>
    </row>
    <row r="3286" ht="15.75" customHeight="1">
      <c r="A3286" s="1" t="str">
        <f>IFERROR(__xludf.DUMMYFUNCTION("""COMPUTED_VALUE"""),"31124")</f>
        <v>31124</v>
      </c>
      <c r="B3286" s="2">
        <f>IFERROR(__xludf.DUMMYFUNCTION("""COMPUTED_VALUE"""),31124.0)</f>
        <v>31124</v>
      </c>
      <c r="C3286" s="3" t="str">
        <f>IFERROR(__xludf.DUMMYFUNCTION("""COMPUTED_VALUE"""),"BCM FC BCP คลองสวนพลู อยุธยา")</f>
        <v>BCM FC BCP คลองสวนพลู อยุธยา</v>
      </c>
      <c r="D3286" s="3" t="str">
        <f>IFERROR(__xludf.DUMMYFUNCTION("""COMPUTED_VALUE"""),"BCM FC BCP KLONG SUAN PHU")</f>
        <v>BCM FC BCP KLONG SUAN PHU</v>
      </c>
      <c r="E3286" s="1" t="str">
        <f>IFERROR(__xludf.DUMMYFUNCTION("""COMPUTED_VALUE"""),"บิ๊กซี MINI")</f>
        <v>บิ๊กซี MINI</v>
      </c>
      <c r="F3286" s="1" t="str">
        <f>IFERROR(__xludf.DUMMYFUNCTION("""COMPUTED_VALUE"""),"296229")</f>
        <v>296229</v>
      </c>
      <c r="G3286" s="1" t="str">
        <f>IFERROR(__xludf.DUMMYFUNCTION("""COMPUTED_VALUE"""),"นายทนงศักดิ์ บุญมา")</f>
        <v>นายทนงศักดิ์ บุญมา</v>
      </c>
      <c r="H3286" s="1" t="str">
        <f>IFERROR(__xludf.DUMMYFUNCTION("""COMPUTED_VALUE"""),"211363")</f>
        <v>211363</v>
      </c>
      <c r="I3286" s="1" t="str">
        <f>IFERROR(__xludf.DUMMYFUNCTION("""COMPUTED_VALUE"""),"นายสามารถ บุญลับ")</f>
        <v>นายสามารถ บุญลับ</v>
      </c>
      <c r="J3286" s="3">
        <f>IFERROR(__xludf.DUMMYFUNCTION("""COMPUTED_VALUE"""),46214.0)</f>
        <v>46214</v>
      </c>
      <c r="K3286" s="3" t="str">
        <f>IFERROR(__xludf.DUMMYFUNCTION("""COMPUTED_VALUE"""),"นายศักดิ์ชัย เด็ดดอกฟ้า")</f>
        <v>นายศักดิ์ชัย เด็ดดอกฟ้า</v>
      </c>
      <c r="L3286" s="1" t="str">
        <f>IFERROR(__xludf.DUMMYFUNCTION("""COMPUTED_VALUE"""),"02 K.Sakchai D")</f>
        <v>02 K.Sakchai D</v>
      </c>
      <c r="M3286" s="1" t="str">
        <f>IFERROR(__xludf.DUMMYFUNCTION("""COMPUTED_VALUE"""),"065-510-7376")</f>
        <v>065-510-7376</v>
      </c>
      <c r="N3286" s="3">
        <f>IFERROR(__xludf.DUMMYFUNCTION("""COMPUTED_VALUE"""),21714.0)</f>
        <v>21714</v>
      </c>
      <c r="O3286" s="3" t="str">
        <f>IFERROR(__xludf.DUMMYFUNCTION("""COMPUTED_VALUE"""),"MBC เอสโซ่ วัดโบสถ์")</f>
        <v>MBC เอสโซ่ วัดโบสถ์</v>
      </c>
      <c r="P3286" s="4">
        <f>IFERROR(__xludf.DUMMYFUNCTION("""COMPUTED_VALUE"""),45946.0)</f>
        <v>45946</v>
      </c>
      <c r="Q3286" s="3" t="str">
        <f>IFERROR(__xludf.DUMMYFUNCTION("""COMPUTED_VALUE"""),"A")</f>
        <v>A</v>
      </c>
      <c r="R3286" s="3" t="str">
        <f>IFERROR(__xludf.DUMMYFUNCTION("""COMPUTED_VALUE"""),"Small Format")</f>
        <v>Small Format</v>
      </c>
      <c r="S3286" s="3" t="str">
        <f>IFERROR(__xludf.DUMMYFUNCTION("""COMPUTED_VALUE"""),"BCM(FC)")</f>
        <v>BCM(FC)</v>
      </c>
      <c r="T3286" s="3" t="str">
        <f>IFERROR(__xludf.DUMMYFUNCTION("""COMPUTED_VALUE"""),"#N/A")</f>
        <v>#N/A</v>
      </c>
      <c r="U3286" s="3" t="str">
        <f>IFERROR(__xludf.DUMMYFUNCTION("""COMPUTED_VALUE"""),"#N/A")</f>
        <v>#N/A</v>
      </c>
      <c r="V3286" s="3" t="str">
        <f>IFERROR(__xludf.DUMMYFUNCTION("""COMPUTED_VALUE"""),"Y")</f>
        <v>Y</v>
      </c>
      <c r="W3286" s="3">
        <f>IFERROR(__xludf.DUMMYFUNCTION("""COMPUTED_VALUE"""),812355.0)</f>
        <v>812355</v>
      </c>
      <c r="X3286" s="3" t="str">
        <f>IFERROR(__xludf.DUMMYFUNCTION("""COMPUTED_VALUE"""),"19/6 หมู่ที่ 10 ตำบลปากกราน อำเภอพระนครศรีอยุธยา พระนครศรีอยุธยา 13000")</f>
        <v>19/6 หมู่ที่ 10 ตำบลปากกราน อำเภอพระนครศรีอยุธยา พระนครศรีอยุธยา 13000</v>
      </c>
      <c r="Y3286" s="3"/>
      <c r="Z3286" s="3" t="str">
        <f>IFERROR(__xludf.DUMMYFUNCTION("""COMPUTED_VALUE"""),"ปากกราน")</f>
        <v>ปากกราน</v>
      </c>
      <c r="AA3286" s="3" t="str">
        <f>IFERROR(__xludf.DUMMYFUNCTION("""COMPUTED_VALUE"""),"พระนครศรีอยุธยา")</f>
        <v>พระนครศรีอยุธยา</v>
      </c>
      <c r="AB3286" s="3" t="str">
        <f>IFERROR(__xludf.DUMMYFUNCTION("""COMPUTED_VALUE"""),"พระนครศรีอยุธยา")</f>
        <v>พระนครศรีอยุธยา</v>
      </c>
      <c r="AC3286" s="3">
        <f>IFERROR(__xludf.DUMMYFUNCTION("""COMPUTED_VALUE"""),13000.0)</f>
        <v>13000</v>
      </c>
      <c r="AD3286" s="3">
        <f>IFERROR(__xludf.DUMMYFUNCTION("""COMPUTED_VALUE"""),14.32510634)</f>
        <v>14.32510634</v>
      </c>
      <c r="AE3286" s="3">
        <f>IFERROR(__xludf.DUMMYFUNCTION("""COMPUTED_VALUE"""),100.5271769)</f>
        <v>100.5271769</v>
      </c>
      <c r="AF3286" s="3" t="str">
        <f>IFERROR(__xludf.DUMMYFUNCTION("""COMPUTED_VALUE"""),"BCM FC BCP คลองสวนพลู อยุธยา-31124")</f>
        <v>BCM FC BCP คลองสวนพลู อยุธยา-31124</v>
      </c>
      <c r="AG3286" s="3" t="str">
        <f>IFERROR(__xludf.DUMMYFUNCTION("""COMPUTED_VALUE"""),"กลาง")</f>
        <v>กลาง</v>
      </c>
      <c r="AH3286" s="3" t="str">
        <f>IFERROR(__xludf.DUMMYFUNCTION("""COMPUTED_VALUE"""),"#N/A")</f>
        <v>#N/A</v>
      </c>
      <c r="AI3286" s="3" t="str">
        <f>IFERROR(__xludf.DUMMYFUNCTION("""COMPUTED_VALUE"""),"In warranty")</f>
        <v>In warranty</v>
      </c>
      <c r="AJ3286" s="3">
        <f>IFERROR(__xludf.DUMMYFUNCTION("""COMPUTED_VALUE"""),4.0)</f>
        <v>4</v>
      </c>
      <c r="AK3286" s="3"/>
      <c r="AL3286" s="3"/>
    </row>
    <row r="3287" ht="15.75" customHeight="1">
      <c r="A3287" s="1" t="str">
        <f>IFERROR(__xludf.DUMMYFUNCTION("""COMPUTED_VALUE"""),"31125")</f>
        <v>31125</v>
      </c>
      <c r="B3287" s="2">
        <f>IFERROR(__xludf.DUMMYFUNCTION("""COMPUTED_VALUE"""),31125.0)</f>
        <v>31125</v>
      </c>
      <c r="C3287" s="3" t="str">
        <f>IFERROR(__xludf.DUMMYFUNCTION("""COMPUTED_VALUE"""),"BCM FC BCP เปลี่ยน สิชล")</f>
        <v>BCM FC BCP เปลี่ยน สิชล</v>
      </c>
      <c r="D3287" s="3" t="str">
        <f>IFERROR(__xludf.DUMMYFUNCTION("""COMPUTED_VALUE"""),"BCM FC BCP PLIAN-SICHON")</f>
        <v>BCM FC BCP PLIAN-SICHON</v>
      </c>
      <c r="E3287" s="1" t="str">
        <f>IFERROR(__xludf.DUMMYFUNCTION("""COMPUTED_VALUE"""),"บิ๊กซี MINI")</f>
        <v>บิ๊กซี MINI</v>
      </c>
      <c r="F3287" s="1" t="str">
        <f>IFERROR(__xludf.DUMMYFUNCTION("""COMPUTED_VALUE"""),"250760")</f>
        <v>250760</v>
      </c>
      <c r="G3287" s="1" t="str">
        <f>IFERROR(__xludf.DUMMYFUNCTION("""COMPUTED_VALUE"""),"นายประทวน สาราบรรณ์")</f>
        <v>นายประทวน สาราบรรณ์</v>
      </c>
      <c r="H3287" s="1" t="str">
        <f>IFERROR(__xludf.DUMMYFUNCTION("""COMPUTED_VALUE"""),"356760")</f>
        <v>356760</v>
      </c>
      <c r="I3287" s="1" t="str">
        <f>IFERROR(__xludf.DUMMYFUNCTION("""COMPUTED_VALUE"""),"นายภูมิภัทร แก้วพรรณราย")</f>
        <v>นายภูมิภัทร แก้วพรรณราย</v>
      </c>
      <c r="J3287" s="3">
        <f>IFERROR(__xludf.DUMMYFUNCTION("""COMPUTED_VALUE"""),25324.0)</f>
        <v>25324</v>
      </c>
      <c r="K3287" s="3" t="str">
        <f>IFERROR(__xludf.DUMMYFUNCTION("""COMPUTED_VALUE"""),"นายวิเชฎฐ์ ติรัตนะประคม")</f>
        <v>นายวิเชฎฐ์ ติรัตนะประคม</v>
      </c>
      <c r="L3287" s="1" t="str">
        <f>IFERROR(__xludf.DUMMYFUNCTION("""COMPUTED_VALUE"""),"14 K.Wichet T.")</f>
        <v>14 K.Wichet T.</v>
      </c>
      <c r="M3287" s="1" t="str">
        <f>IFERROR(__xludf.DUMMYFUNCTION("""COMPUTED_VALUE"""),"061-417-6569 / 086-445-5636")</f>
        <v>061-417-6569 / 086-445-5636</v>
      </c>
      <c r="N3287" s="3">
        <f>IFERROR(__xludf.DUMMYFUNCTION("""COMPUTED_VALUE"""),22658.0)</f>
        <v>22658</v>
      </c>
      <c r="O3287" s="3" t="str">
        <f>IFERROR(__xludf.DUMMYFUNCTION("""COMPUTED_VALUE"""),"BCM ถ.วิรัชหงษ์หยก ภูเก็ต")</f>
        <v>BCM ถ.วิรัชหงษ์หยก ภูเก็ต</v>
      </c>
      <c r="P3287" s="4">
        <f>IFERROR(__xludf.DUMMYFUNCTION("""COMPUTED_VALUE"""),45931.0)</f>
        <v>45931</v>
      </c>
      <c r="Q3287" s="3" t="str">
        <f>IFERROR(__xludf.DUMMYFUNCTION("""COMPUTED_VALUE"""),"A")</f>
        <v>A</v>
      </c>
      <c r="R3287" s="3" t="str">
        <f>IFERROR(__xludf.DUMMYFUNCTION("""COMPUTED_VALUE"""),"Small Format")</f>
        <v>Small Format</v>
      </c>
      <c r="S3287" s="3" t="str">
        <f>IFERROR(__xludf.DUMMYFUNCTION("""COMPUTED_VALUE"""),"BCM(FC)")</f>
        <v>BCM(FC)</v>
      </c>
      <c r="T3287" s="3" t="str">
        <f>IFERROR(__xludf.DUMMYFUNCTION("""COMPUTED_VALUE"""),"#N/A")</f>
        <v>#N/A</v>
      </c>
      <c r="U3287" s="3" t="str">
        <f>IFERROR(__xludf.DUMMYFUNCTION("""COMPUTED_VALUE"""),"#N/A")</f>
        <v>#N/A</v>
      </c>
      <c r="V3287" s="3" t="str">
        <f>IFERROR(__xludf.DUMMYFUNCTION("""COMPUTED_VALUE"""),"Y")</f>
        <v>Y</v>
      </c>
      <c r="W3287" s="3">
        <f>IFERROR(__xludf.DUMMYFUNCTION("""COMPUTED_VALUE"""),812358.0)</f>
        <v>812358</v>
      </c>
      <c r="X3287" s="3" t="str">
        <f>IFERROR(__xludf.DUMMYFUNCTION("""COMPUTED_VALUE"""),"3/4 หมู่ที่ 10 ตำบลเปลี่ยน อำเภอสิชล นครศรีธรรมราช 80120")</f>
        <v>3/4 หมู่ที่ 10 ตำบลเปลี่ยน อำเภอสิชล นครศรีธรรมราช 80120</v>
      </c>
      <c r="Y3287" s="3"/>
      <c r="Z3287" s="3" t="str">
        <f>IFERROR(__xludf.DUMMYFUNCTION("""COMPUTED_VALUE"""),"เปลี่ยน")</f>
        <v>เปลี่ยน</v>
      </c>
      <c r="AA3287" s="3" t="str">
        <f>IFERROR(__xludf.DUMMYFUNCTION("""COMPUTED_VALUE"""),"สิชล")</f>
        <v>สิชล</v>
      </c>
      <c r="AB3287" s="3" t="str">
        <f>IFERROR(__xludf.DUMMYFUNCTION("""COMPUTED_VALUE"""),"นครศรีธรรมราช")</f>
        <v>นครศรีธรรมราช</v>
      </c>
      <c r="AC3287" s="3">
        <f>IFERROR(__xludf.DUMMYFUNCTION("""COMPUTED_VALUE"""),80120.0)</f>
        <v>80120</v>
      </c>
      <c r="AD3287" s="3">
        <f>IFERROR(__xludf.DUMMYFUNCTION("""COMPUTED_VALUE"""),8.846675)</f>
        <v>8.846675</v>
      </c>
      <c r="AE3287" s="3">
        <f>IFERROR(__xludf.DUMMYFUNCTION("""COMPUTED_VALUE"""),99.900884)</f>
        <v>99.900884</v>
      </c>
      <c r="AF3287" s="3" t="str">
        <f>IFERROR(__xludf.DUMMYFUNCTION("""COMPUTED_VALUE"""),"BCM FC BCP เปลี่ยน สิชล-31125")</f>
        <v>BCM FC BCP เปลี่ยน สิชล-31125</v>
      </c>
      <c r="AG3287" s="3" t="str">
        <f>IFERROR(__xludf.DUMMYFUNCTION("""COMPUTED_VALUE"""),"ใต้")</f>
        <v>ใต้</v>
      </c>
      <c r="AH3287" s="3" t="str">
        <f>IFERROR(__xludf.DUMMYFUNCTION("""COMPUTED_VALUE"""),"#N/A")</f>
        <v>#N/A</v>
      </c>
      <c r="AI3287" s="3" t="str">
        <f>IFERROR(__xludf.DUMMYFUNCTION("""COMPUTED_VALUE"""),"In warranty")</f>
        <v>In warranty</v>
      </c>
      <c r="AJ3287" s="3">
        <f>IFERROR(__xludf.DUMMYFUNCTION("""COMPUTED_VALUE"""),4.0)</f>
        <v>4</v>
      </c>
      <c r="AK3287" s="3"/>
      <c r="AL3287" s="3"/>
    </row>
    <row r="3288" ht="15.75" customHeight="1">
      <c r="A3288" s="1" t="str">
        <f>IFERROR(__xludf.DUMMYFUNCTION("""COMPUTED_VALUE"""),"22744")</f>
        <v>22744</v>
      </c>
      <c r="B3288" s="2">
        <f>IFERROR(__xludf.DUMMYFUNCTION("""COMPUTED_VALUE"""),22744.0)</f>
        <v>22744</v>
      </c>
      <c r="C3288" s="3" t="str">
        <f>IFERROR(__xludf.DUMMYFUNCTION("""COMPUTED_VALUE"""),"BCM อ.เกาะสีชัง ชลบุรี")</f>
        <v>BCM อ.เกาะสีชัง ชลบุรี</v>
      </c>
      <c r="D3288" s="3" t="str">
        <f>IFERROR(__xludf.DUMMYFUNCTION("""COMPUTED_VALUE"""),"BCM KOH SICHANG CHONBURI")</f>
        <v>BCM KOH SICHANG CHONBURI</v>
      </c>
      <c r="E3288" s="1" t="str">
        <f>IFERROR(__xludf.DUMMYFUNCTION("""COMPUTED_VALUE"""),"บิ๊กซี MINI")</f>
        <v>บิ๊กซี MINI</v>
      </c>
      <c r="F3288" s="1" t="str">
        <f>IFERROR(__xludf.DUMMYFUNCTION("""COMPUTED_VALUE"""),"221716")</f>
        <v>221716</v>
      </c>
      <c r="G3288" s="1" t="str">
        <f>IFERROR(__xludf.DUMMYFUNCTION("""COMPUTED_VALUE"""),"น.ส.เบญจพร โพธิสาร")</f>
        <v>น.ส.เบญจพร โพธิสาร</v>
      </c>
      <c r="H3288" s="1" t="str">
        <f>IFERROR(__xludf.DUMMYFUNCTION("""COMPUTED_VALUE"""),"291061")</f>
        <v>291061</v>
      </c>
      <c r="I3288" s="1" t="str">
        <f>IFERROR(__xludf.DUMMYFUNCTION("""COMPUTED_VALUE"""),"นายสมศักดิ์ เสียงก้อง")</f>
        <v>นายสมศักดิ์ เสียงก้อง</v>
      </c>
      <c r="J3288" s="3">
        <f>IFERROR(__xludf.DUMMYFUNCTION("""COMPUTED_VALUE"""),296942.0)</f>
        <v>296942</v>
      </c>
      <c r="K3288" s="3" t="str">
        <f>IFERROR(__xludf.DUMMYFUNCTION("""COMPUTED_VALUE"""),"นายปิยะ รักษากิจ")</f>
        <v>นายปิยะ รักษากิจ</v>
      </c>
      <c r="L3288" s="1" t="str">
        <f>IFERROR(__xludf.DUMMYFUNCTION("""COMPUTED_VALUE"""),"07 K.Piya R.")</f>
        <v>07 K.Piya R.</v>
      </c>
      <c r="M3288" s="1" t="str">
        <f>IFERROR(__xludf.DUMMYFUNCTION("""COMPUTED_VALUE"""),"097-919-5476")</f>
        <v>097-919-5476</v>
      </c>
      <c r="N3288" s="3">
        <f>IFERROR(__xludf.DUMMYFUNCTION("""COMPUTED_VALUE"""),21332.0)</f>
        <v>21332</v>
      </c>
      <c r="O3288" s="3" t="str">
        <f>IFERROR(__xludf.DUMMYFUNCTION("""COMPUTED_VALUE"""),"MBC BCP อ่อนนุช 17/1")</f>
        <v>MBC BCP อ่อนนุช 17/1</v>
      </c>
      <c r="P3288" s="4">
        <f>IFERROR(__xludf.DUMMYFUNCTION("""COMPUTED_VALUE"""),45980.0)</f>
        <v>45980</v>
      </c>
      <c r="Q3288" s="3" t="str">
        <f>IFERROR(__xludf.DUMMYFUNCTION("""COMPUTED_VALUE"""),"A")</f>
        <v>A</v>
      </c>
      <c r="R3288" s="3" t="str">
        <f>IFERROR(__xludf.DUMMYFUNCTION("""COMPUTED_VALUE"""),"Small Format")</f>
        <v>Small Format</v>
      </c>
      <c r="S3288" s="3" t="str">
        <f>IFERROR(__xludf.DUMMYFUNCTION("""COMPUTED_VALUE"""),"BCM")</f>
        <v>BCM</v>
      </c>
      <c r="T3288" s="3" t="str">
        <f>IFERROR(__xludf.DUMMYFUNCTION("""COMPUTED_VALUE"""),"#N/A")</f>
        <v>#N/A</v>
      </c>
      <c r="U3288" s="3" t="str">
        <f>IFERROR(__xludf.DUMMYFUNCTION("""COMPUTED_VALUE"""),"#N/A")</f>
        <v>#N/A</v>
      </c>
      <c r="V3288" s="3" t="str">
        <f>IFERROR(__xludf.DUMMYFUNCTION("""COMPUTED_VALUE"""),"N")</f>
        <v>N</v>
      </c>
      <c r="W3288" s="3">
        <f>IFERROR(__xludf.DUMMYFUNCTION("""COMPUTED_VALUE"""),210846.0)</f>
        <v>210846</v>
      </c>
      <c r="X3288" s="3" t="str">
        <f>IFERROR(__xludf.DUMMYFUNCTION("""COMPUTED_VALUE"""),"13 หมู่ที่ 1 ตำบลท่าเทววงษ์ อำเภอเกาะสีชัง จังหวัดชลบุรี 20120")</f>
        <v>13 หมู่ที่ 1 ตำบลท่าเทววงษ์ อำเภอเกาะสีชัง จังหวัดชลบุรี 20120</v>
      </c>
      <c r="Y3288" s="3"/>
      <c r="Z3288" s="3" t="str">
        <f>IFERROR(__xludf.DUMMYFUNCTION("""COMPUTED_VALUE"""),"ท่าเทววงษ์")</f>
        <v>ท่าเทววงษ์</v>
      </c>
      <c r="AA3288" s="3" t="str">
        <f>IFERROR(__xludf.DUMMYFUNCTION("""COMPUTED_VALUE"""),"เกาะสีชัง")</f>
        <v>เกาะสีชัง</v>
      </c>
      <c r="AB3288" s="3" t="str">
        <f>IFERROR(__xludf.DUMMYFUNCTION("""COMPUTED_VALUE"""),"ชลบุรี")</f>
        <v>ชลบุรี</v>
      </c>
      <c r="AC3288" s="3">
        <f>IFERROR(__xludf.DUMMYFUNCTION("""COMPUTED_VALUE"""),20120.0)</f>
        <v>20120</v>
      </c>
      <c r="AD3288" s="3">
        <f>IFERROR(__xludf.DUMMYFUNCTION("""COMPUTED_VALUE"""),13.16042)</f>
        <v>13.16042</v>
      </c>
      <c r="AE3288" s="3">
        <f>IFERROR(__xludf.DUMMYFUNCTION("""COMPUTED_VALUE"""),100.809071)</f>
        <v>100.809071</v>
      </c>
      <c r="AF3288" s="3" t="str">
        <f>IFERROR(__xludf.DUMMYFUNCTION("""COMPUTED_VALUE"""),"BCM อ.เกาะสีชัง ชลบุรี-22744")</f>
        <v>BCM อ.เกาะสีชัง ชลบุรี-22744</v>
      </c>
      <c r="AG3288" s="3" t="str">
        <f>IFERROR(__xludf.DUMMYFUNCTION("""COMPUTED_VALUE"""),"ตะวันออก")</f>
        <v>ตะวันออก</v>
      </c>
      <c r="AH3288" s="3" t="str">
        <f>IFERROR(__xludf.DUMMYFUNCTION("""COMPUTED_VALUE"""),"#N/A")</f>
        <v>#N/A</v>
      </c>
      <c r="AI3288" s="3" t="str">
        <f>IFERROR(__xludf.DUMMYFUNCTION("""COMPUTED_VALUE"""),"In warranty")</f>
        <v>In warranty</v>
      </c>
      <c r="AJ3288" s="3">
        <f>IFERROR(__xludf.DUMMYFUNCTION("""COMPUTED_VALUE"""),3.0)</f>
        <v>3</v>
      </c>
      <c r="AK3288" s="3"/>
      <c r="AL3288" s="3"/>
    </row>
    <row r="3289" ht="15.75" customHeight="1">
      <c r="A3289" s="1" t="str">
        <f>IFERROR(__xludf.DUMMYFUNCTION("""COMPUTED_VALUE"""),"31126")</f>
        <v>31126</v>
      </c>
      <c r="B3289" s="2">
        <f>IFERROR(__xludf.DUMMYFUNCTION("""COMPUTED_VALUE"""),31126.0)</f>
        <v>31126</v>
      </c>
      <c r="C3289" s="3" t="str">
        <f>IFERROR(__xludf.DUMMYFUNCTION("""COMPUTED_VALUE"""),"BCM FC BCP วังมะนาว เพชรบุรี")</f>
        <v>BCM FC BCP วังมะนาว เพชรบุรี</v>
      </c>
      <c r="D3289" s="3" t="str">
        <f>IFERROR(__xludf.DUMMYFUNCTION("""COMPUTED_VALUE"""),"BCM FC BCP WANG MANAO")</f>
        <v>BCM FC BCP WANG MANAO</v>
      </c>
      <c r="E3289" s="1" t="str">
        <f>IFERROR(__xludf.DUMMYFUNCTION("""COMPUTED_VALUE"""),"บิ๊กซี MINI")</f>
        <v>บิ๊กซี MINI</v>
      </c>
      <c r="F3289" s="1" t="str">
        <f>IFERROR(__xludf.DUMMYFUNCTION("""COMPUTED_VALUE"""),"250760")</f>
        <v>250760</v>
      </c>
      <c r="G3289" s="1" t="str">
        <f>IFERROR(__xludf.DUMMYFUNCTION("""COMPUTED_VALUE"""),"นายประทวน สาราบรรณ์")</f>
        <v>นายประทวน สาราบรรณ์</v>
      </c>
      <c r="H3289" s="1" t="str">
        <f>IFERROR(__xludf.DUMMYFUNCTION("""COMPUTED_VALUE"""),"311437")</f>
        <v>311437</v>
      </c>
      <c r="I3289" s="1" t="str">
        <f>IFERROR(__xludf.DUMMYFUNCTION("""COMPUTED_VALUE"""),"นายฉัตรทพร รักวิเชียร")</f>
        <v>นายฉัตรทพร รักวิเชียร</v>
      </c>
      <c r="J3289" s="3">
        <f>IFERROR(__xludf.DUMMYFUNCTION("""COMPUTED_VALUE"""),25324.0)</f>
        <v>25324</v>
      </c>
      <c r="K3289" s="3" t="str">
        <f>IFERROR(__xludf.DUMMYFUNCTION("""COMPUTED_VALUE"""),"นายวิเชฎฐ์ ติรัตนะประคม")</f>
        <v>นายวิเชฎฐ์ ติรัตนะประคม</v>
      </c>
      <c r="L3289" s="1" t="str">
        <f>IFERROR(__xludf.DUMMYFUNCTION("""COMPUTED_VALUE"""),"14 K.Wichet T.")</f>
        <v>14 K.Wichet T.</v>
      </c>
      <c r="M3289" s="1" t="str">
        <f>IFERROR(__xludf.DUMMYFUNCTION("""COMPUTED_VALUE"""),"061-417-6569 / 086-445-5636")</f>
        <v>061-417-6569 / 086-445-5636</v>
      </c>
      <c r="N3289" s="3">
        <f>IFERROR(__xludf.DUMMYFUNCTION("""COMPUTED_VALUE"""),22658.0)</f>
        <v>22658</v>
      </c>
      <c r="O3289" s="3" t="str">
        <f>IFERROR(__xludf.DUMMYFUNCTION("""COMPUTED_VALUE"""),"BCM ถ.วิรัชหงษ์หยก ภูเก็ต")</f>
        <v>BCM ถ.วิรัชหงษ์หยก ภูเก็ต</v>
      </c>
      <c r="P3289" s="4">
        <f>IFERROR(__xludf.DUMMYFUNCTION("""COMPUTED_VALUE"""),45931.0)</f>
        <v>45931</v>
      </c>
      <c r="Q3289" s="3" t="str">
        <f>IFERROR(__xludf.DUMMYFUNCTION("""COMPUTED_VALUE"""),"A")</f>
        <v>A</v>
      </c>
      <c r="R3289" s="3" t="str">
        <f>IFERROR(__xludf.DUMMYFUNCTION("""COMPUTED_VALUE"""),"Small Format")</f>
        <v>Small Format</v>
      </c>
      <c r="S3289" s="3" t="str">
        <f>IFERROR(__xludf.DUMMYFUNCTION("""COMPUTED_VALUE"""),"BCM(FC)")</f>
        <v>BCM(FC)</v>
      </c>
      <c r="T3289" s="3" t="str">
        <f>IFERROR(__xludf.DUMMYFUNCTION("""COMPUTED_VALUE"""),"#N/A")</f>
        <v>#N/A</v>
      </c>
      <c r="U3289" s="3" t="str">
        <f>IFERROR(__xludf.DUMMYFUNCTION("""COMPUTED_VALUE"""),"#N/A")</f>
        <v>#N/A</v>
      </c>
      <c r="V3289" s="3" t="str">
        <f>IFERROR(__xludf.DUMMYFUNCTION("""COMPUTED_VALUE"""),"Y")</f>
        <v>Y</v>
      </c>
      <c r="W3289" s="3">
        <f>IFERROR(__xludf.DUMMYFUNCTION("""COMPUTED_VALUE"""),812359.0)</f>
        <v>812359</v>
      </c>
      <c r="X3289" s="3" t="str">
        <f>IFERROR(__xludf.DUMMYFUNCTION("""COMPUTED_VALUE"""),"57/1 หมู่ที่ 2 ตำบลหนองชุมพล อำเภอเขาย้อย จังหวัดเพชรบุรี 76140")</f>
        <v>57/1 หมู่ที่ 2 ตำบลหนองชุมพล อำเภอเขาย้อย จังหวัดเพชรบุรี 76140</v>
      </c>
      <c r="Y3289" s="3"/>
      <c r="Z3289" s="3" t="str">
        <f>IFERROR(__xludf.DUMMYFUNCTION("""COMPUTED_VALUE"""),"หนองชุมพล")</f>
        <v>หนองชุมพล</v>
      </c>
      <c r="AA3289" s="3" t="str">
        <f>IFERROR(__xludf.DUMMYFUNCTION("""COMPUTED_VALUE"""),"เขาย้อย")</f>
        <v>เขาย้อย</v>
      </c>
      <c r="AB3289" s="3" t="str">
        <f>IFERROR(__xludf.DUMMYFUNCTION("""COMPUTED_VALUE"""),"เพชรบุรี")</f>
        <v>เพชรบุรี</v>
      </c>
      <c r="AC3289" s="3">
        <f>IFERROR(__xludf.DUMMYFUNCTION("""COMPUTED_VALUE"""),76140.0)</f>
        <v>76140</v>
      </c>
      <c r="AD3289" s="3">
        <f>IFERROR(__xludf.DUMMYFUNCTION("""COMPUTED_VALUE"""),13.295245)</f>
        <v>13.295245</v>
      </c>
      <c r="AE3289" s="3">
        <f>IFERROR(__xludf.DUMMYFUNCTION("""COMPUTED_VALUE"""),99.822487)</f>
        <v>99.822487</v>
      </c>
      <c r="AF3289" s="3" t="str">
        <f>IFERROR(__xludf.DUMMYFUNCTION("""COMPUTED_VALUE"""),"BCM FC BCP วังมะนาว เพชรบุรี-31126")</f>
        <v>BCM FC BCP วังมะนาว เพชรบุรี-31126</v>
      </c>
      <c r="AG3289" s="3" t="str">
        <f>IFERROR(__xludf.DUMMYFUNCTION("""COMPUTED_VALUE"""),"ตะวันตก")</f>
        <v>ตะวันตก</v>
      </c>
      <c r="AH3289" s="3" t="str">
        <f>IFERROR(__xludf.DUMMYFUNCTION("""COMPUTED_VALUE"""),"#N/A")</f>
        <v>#N/A</v>
      </c>
      <c r="AI3289" s="3" t="str">
        <f>IFERROR(__xludf.DUMMYFUNCTION("""COMPUTED_VALUE"""),"In warranty")</f>
        <v>In warranty</v>
      </c>
      <c r="AJ3289" s="3">
        <f>IFERROR(__xludf.DUMMYFUNCTION("""COMPUTED_VALUE"""),4.0)</f>
        <v>4</v>
      </c>
      <c r="AK3289" s="3"/>
      <c r="AL3289" s="3"/>
    </row>
    <row r="3290" ht="15.75" customHeight="1">
      <c r="A3290" s="1" t="str">
        <f>IFERROR(__xludf.DUMMYFUNCTION("""COMPUTED_VALUE"""),"91301")</f>
        <v>91301</v>
      </c>
      <c r="B3290" s="2">
        <f>IFERROR(__xludf.DUMMYFUNCTION("""COMPUTED_VALUE"""),91301.0)</f>
        <v>91301</v>
      </c>
      <c r="C3290" s="3" t="str">
        <f>IFERROR(__xludf.DUMMYFUNCTION("""COMPUTED_VALUE"""),"HLHUB สาขาอุดรธานี 2")</f>
        <v>HLHUB สาขาอุดรธานี 2</v>
      </c>
      <c r="D3290" s="3" t="str">
        <f>IFERROR(__xludf.DUMMYFUNCTION("""COMPUTED_VALUE"""),"HLHUB สาขาอุดรธานี 2")</f>
        <v>HLHUB สาขาอุดรธานี 2</v>
      </c>
      <c r="E3290" s="1" t="str">
        <f>IFERROR(__xludf.DUMMYFUNCTION("""COMPUTED_VALUE"""),"DC")</f>
        <v>DC</v>
      </c>
      <c r="F3290" s="1" t="str">
        <f>IFERROR(__xludf.DUMMYFUNCTION("""COMPUTED_VALUE"""),"025691")</f>
        <v>025691</v>
      </c>
      <c r="G3290" s="1" t="str">
        <f>IFERROR(__xludf.DUMMYFUNCTION("""COMPUTED_VALUE"""),"นายประพันธ์ มุสิกพันธ์")</f>
        <v>นายประพันธ์ มุสิกพันธ์</v>
      </c>
      <c r="H3290" s="1" t="str">
        <f>IFERROR(__xludf.DUMMYFUNCTION("""COMPUTED_VALUE"""),"025691")</f>
        <v>025691</v>
      </c>
      <c r="I3290" s="1" t="str">
        <f>IFERROR(__xludf.DUMMYFUNCTION("""COMPUTED_VALUE"""),"นายประพันธ์ มุสิกพันธ์")</f>
        <v>นายประพันธ์ มุสิกพันธ์</v>
      </c>
      <c r="J3290" s="3">
        <f>IFERROR(__xludf.DUMMYFUNCTION("""COMPUTED_VALUE"""),25691.0)</f>
        <v>25691</v>
      </c>
      <c r="K3290" s="3" t="str">
        <f>IFERROR(__xludf.DUMMYFUNCTION("""COMPUTED_VALUE"""),"นายประพันธ์ มุสิกพันธ์")</f>
        <v>นายประพันธ์ มุสิกพันธ์</v>
      </c>
      <c r="L3290" s="1" t="str">
        <f>IFERROR(__xludf.DUMMYFUNCTION("""COMPUTED_VALUE"""),"0")</f>
        <v>0</v>
      </c>
      <c r="M3290" s="1" t="str">
        <f>IFERROR(__xludf.DUMMYFUNCTION("""COMPUTED_VALUE"""),"0")</f>
        <v>0</v>
      </c>
      <c r="N3290" s="3">
        <f>IFERROR(__xludf.DUMMYFUNCTION("""COMPUTED_VALUE"""),91301.0)</f>
        <v>91301</v>
      </c>
      <c r="O3290" s="3" t="str">
        <f>IFERROR(__xludf.DUMMYFUNCTION("""COMPUTED_VALUE"""),"HLHUB สาขาอุดรธานี 2")</f>
        <v>HLHUB สาขาอุดรธานี 2</v>
      </c>
      <c r="P3290" s="4">
        <f>IFERROR(__xludf.DUMMYFUNCTION("""COMPUTED_VALUE"""),46022.0)</f>
        <v>46022</v>
      </c>
      <c r="Q3290" s="3" t="str">
        <f>IFERROR(__xludf.DUMMYFUNCTION("""COMPUTED_VALUE"""),"I")</f>
        <v>I</v>
      </c>
      <c r="R3290" s="3" t="str">
        <f>IFERROR(__xludf.DUMMYFUNCTION("""COMPUTED_VALUE"""),"Small Format")</f>
        <v>Small Format</v>
      </c>
      <c r="S3290" s="3" t="str">
        <f>IFERROR(__xludf.DUMMYFUNCTION("""COMPUTED_VALUE"""),"DC")</f>
        <v>DC</v>
      </c>
      <c r="T3290" s="3" t="str">
        <f>IFERROR(__xludf.DUMMYFUNCTION("""COMPUTED_VALUE"""),"#N/A")</f>
        <v>#N/A</v>
      </c>
      <c r="U3290" s="3" t="str">
        <f>IFERROR(__xludf.DUMMYFUNCTION("""COMPUTED_VALUE"""),"#N/A")</f>
        <v>#N/A</v>
      </c>
      <c r="V3290" s="3" t="str">
        <f>IFERROR(__xludf.DUMMYFUNCTION("""COMPUTED_VALUE"""),"N")</f>
        <v>N</v>
      </c>
      <c r="W3290" s="3">
        <f>IFERROR(__xludf.DUMMYFUNCTION("""COMPUTED_VALUE"""),913001.0)</f>
        <v>913001</v>
      </c>
      <c r="X3290" s="3" t="str">
        <f>IFERROR(__xludf.DUMMYFUNCTION("""COMPUTED_VALUE"""),"204 หมู่ที่ 2 ตำบล นาดี อำเภอ เมืองอุดรธานี
 จังหวัด อุดรธานี 41000")</f>
        <v>204 หมู่ที่ 2 ตำบล นาดี อำเภอ เมืองอุดรธานี
 จังหวัด อุดรธานี 41000</v>
      </c>
      <c r="Y3290" s="3"/>
      <c r="Z3290" s="3" t="str">
        <f>IFERROR(__xludf.DUMMYFUNCTION("""COMPUTED_VALUE"""),"นาดี")</f>
        <v>นาดี</v>
      </c>
      <c r="AA3290" s="3" t="str">
        <f>IFERROR(__xludf.DUMMYFUNCTION("""COMPUTED_VALUE"""),"เมืองอุดรธานี")</f>
        <v>เมืองอุดรธานี</v>
      </c>
      <c r="AB3290" s="3" t="str">
        <f>IFERROR(__xludf.DUMMYFUNCTION("""COMPUTED_VALUE"""),"อุดรธานี")</f>
        <v>อุดรธานี</v>
      </c>
      <c r="AC3290" s="3">
        <f>IFERROR(__xludf.DUMMYFUNCTION("""COMPUTED_VALUE"""),41000.0)</f>
        <v>41000</v>
      </c>
      <c r="AD3290" s="3"/>
      <c r="AE3290" s="3"/>
      <c r="AF3290" s="3" t="str">
        <f>IFERROR(__xludf.DUMMYFUNCTION("""COMPUTED_VALUE"""),"HLHUB สาขาอุดรธานี 2-91301")</f>
        <v>HLHUB สาขาอุดรธานี 2-91301</v>
      </c>
      <c r="AG3290" s="3" t="str">
        <f>IFERROR(__xludf.DUMMYFUNCTION("""COMPUTED_VALUE"""),"ตะวันออกเฉียงเหนือ")</f>
        <v>ตะวันออกเฉียงเหนือ</v>
      </c>
      <c r="AH3290" s="3" t="str">
        <f>IFERROR(__xludf.DUMMYFUNCTION("""COMPUTED_VALUE"""),"#N/A")</f>
        <v>#N/A</v>
      </c>
      <c r="AI3290" s="3" t="str">
        <f>IFERROR(__xludf.DUMMYFUNCTION("""COMPUTED_VALUE"""),"In warranty")</f>
        <v>In warranty</v>
      </c>
      <c r="AJ3290" s="3">
        <f>IFERROR(__xludf.DUMMYFUNCTION("""COMPUTED_VALUE"""),1.0)</f>
        <v>1</v>
      </c>
      <c r="AK3290" s="3"/>
      <c r="AL3290" s="3"/>
    </row>
    <row r="3291" ht="15.75" customHeight="1">
      <c r="A3291" s="1" t="str">
        <f>IFERROR(__xludf.DUMMYFUNCTION("""COMPUTED_VALUE"""),"91302")</f>
        <v>91302</v>
      </c>
      <c r="B3291" s="2">
        <f>IFERROR(__xludf.DUMMYFUNCTION("""COMPUTED_VALUE"""),91302.0)</f>
        <v>91302</v>
      </c>
      <c r="C3291" s="3" t="str">
        <f>IFERROR(__xludf.DUMMYFUNCTION("""COMPUTED_VALUE"""),"คลัง จ.สุราษฎร์ธานี")</f>
        <v>คลัง จ.สุราษฎร์ธานี</v>
      </c>
      <c r="D3291" s="3" t="str">
        <f>IFERROR(__xludf.DUMMYFUNCTION("""COMPUTED_VALUE"""),"คลัง จ.สุราษฎร์ธานี")</f>
        <v>คลัง จ.สุราษฎร์ธานี</v>
      </c>
      <c r="E3291" s="1" t="str">
        <f>IFERROR(__xludf.DUMMYFUNCTION("""COMPUTED_VALUE"""),"DC")</f>
        <v>DC</v>
      </c>
      <c r="F3291" s="1" t="str">
        <f>IFERROR(__xludf.DUMMYFUNCTION("""COMPUTED_VALUE"""),"025691")</f>
        <v>025691</v>
      </c>
      <c r="G3291" s="1" t="str">
        <f>IFERROR(__xludf.DUMMYFUNCTION("""COMPUTED_VALUE"""),"นายประพันธ์ มุสิกพันธ์")</f>
        <v>นายประพันธ์ มุสิกพันธ์</v>
      </c>
      <c r="H3291" s="1" t="str">
        <f>IFERROR(__xludf.DUMMYFUNCTION("""COMPUTED_VALUE"""),"025691")</f>
        <v>025691</v>
      </c>
      <c r="I3291" s="1" t="str">
        <f>IFERROR(__xludf.DUMMYFUNCTION("""COMPUTED_VALUE"""),"นายประพันธ์ มุสิกพันธ์")</f>
        <v>นายประพันธ์ มุสิกพันธ์</v>
      </c>
      <c r="J3291" s="3">
        <f>IFERROR(__xludf.DUMMYFUNCTION("""COMPUTED_VALUE"""),25691.0)</f>
        <v>25691</v>
      </c>
      <c r="K3291" s="3" t="str">
        <f>IFERROR(__xludf.DUMMYFUNCTION("""COMPUTED_VALUE"""),"นายประพันธ์ มุสิกพันธ์")</f>
        <v>นายประพันธ์ มุสิกพันธ์</v>
      </c>
      <c r="L3291" s="1" t="str">
        <f>IFERROR(__xludf.DUMMYFUNCTION("""COMPUTED_VALUE"""),"0")</f>
        <v>0</v>
      </c>
      <c r="M3291" s="1" t="str">
        <f>IFERROR(__xludf.DUMMYFUNCTION("""COMPUTED_VALUE"""),"0")</f>
        <v>0</v>
      </c>
      <c r="N3291" s="3">
        <f>IFERROR(__xludf.DUMMYFUNCTION("""COMPUTED_VALUE"""),91302.0)</f>
        <v>91302</v>
      </c>
      <c r="O3291" s="3" t="str">
        <f>IFERROR(__xludf.DUMMYFUNCTION("""COMPUTED_VALUE"""),"คลัง จ.สุราษฎร์ธานี")</f>
        <v>คลัง จ.สุราษฎร์ธานี</v>
      </c>
      <c r="P3291" s="4">
        <f>IFERROR(__xludf.DUMMYFUNCTION("""COMPUTED_VALUE"""),46022.0)</f>
        <v>46022</v>
      </c>
      <c r="Q3291" s="3" t="str">
        <f>IFERROR(__xludf.DUMMYFUNCTION("""COMPUTED_VALUE"""),"I")</f>
        <v>I</v>
      </c>
      <c r="R3291" s="3" t="str">
        <f>IFERROR(__xludf.DUMMYFUNCTION("""COMPUTED_VALUE"""),"Small Format")</f>
        <v>Small Format</v>
      </c>
      <c r="S3291" s="3" t="str">
        <f>IFERROR(__xludf.DUMMYFUNCTION("""COMPUTED_VALUE"""),"DC")</f>
        <v>DC</v>
      </c>
      <c r="T3291" s="3" t="str">
        <f>IFERROR(__xludf.DUMMYFUNCTION("""COMPUTED_VALUE"""),"#N/A")</f>
        <v>#N/A</v>
      </c>
      <c r="U3291" s="3" t="str">
        <f>IFERROR(__xludf.DUMMYFUNCTION("""COMPUTED_VALUE"""),"#N/A")</f>
        <v>#N/A</v>
      </c>
      <c r="V3291" s="3" t="str">
        <f>IFERROR(__xludf.DUMMYFUNCTION("""COMPUTED_VALUE"""),"N")</f>
        <v>N</v>
      </c>
      <c r="W3291" s="3">
        <f>IFERROR(__xludf.DUMMYFUNCTION("""COMPUTED_VALUE"""),913002.0)</f>
        <v>913002</v>
      </c>
      <c r="X3291" s="3" t="str">
        <f>IFERROR(__xludf.DUMMYFUNCTION("""COMPUTED_VALUE"""),"219/1 หมู่ที่ 5 ตำบลท่าโรงช้าง อำเภอ พุนพิน จังหวัด สุราษฎร์ธานี 84130")</f>
        <v>219/1 หมู่ที่ 5 ตำบลท่าโรงช้าง อำเภอ พุนพิน จังหวัด สุราษฎร์ธานี 84130</v>
      </c>
      <c r="Y3291" s="3"/>
      <c r="Z3291" s="3" t="str">
        <f>IFERROR(__xludf.DUMMYFUNCTION("""COMPUTED_VALUE"""),"ท่าโรงช้าง")</f>
        <v>ท่าโรงช้าง</v>
      </c>
      <c r="AA3291" s="3" t="str">
        <f>IFERROR(__xludf.DUMMYFUNCTION("""COMPUTED_VALUE"""),"พุนพิน")</f>
        <v>พุนพิน</v>
      </c>
      <c r="AB3291" s="3" t="str">
        <f>IFERROR(__xludf.DUMMYFUNCTION("""COMPUTED_VALUE"""),"สุราษฎร์ธานี")</f>
        <v>สุราษฎร์ธานี</v>
      </c>
      <c r="AC3291" s="3">
        <f>IFERROR(__xludf.DUMMYFUNCTION("""COMPUTED_VALUE"""),84130.0)</f>
        <v>84130</v>
      </c>
      <c r="AD3291" s="3"/>
      <c r="AE3291" s="3"/>
      <c r="AF3291" s="3" t="str">
        <f>IFERROR(__xludf.DUMMYFUNCTION("""COMPUTED_VALUE"""),"คลัง จ.สุราษฎร์ธานี-91302")</f>
        <v>คลัง จ.สุราษฎร์ธานี-91302</v>
      </c>
      <c r="AG3291" s="3" t="str">
        <f>IFERROR(__xludf.DUMMYFUNCTION("""COMPUTED_VALUE"""),"ใต้")</f>
        <v>ใต้</v>
      </c>
      <c r="AH3291" s="3" t="str">
        <f>IFERROR(__xludf.DUMMYFUNCTION("""COMPUTED_VALUE"""),"#N/A")</f>
        <v>#N/A</v>
      </c>
      <c r="AI3291" s="3" t="str">
        <f>IFERROR(__xludf.DUMMYFUNCTION("""COMPUTED_VALUE"""),"In warranty")</f>
        <v>In warranty</v>
      </c>
      <c r="AJ3291" s="3">
        <f>IFERROR(__xludf.DUMMYFUNCTION("""COMPUTED_VALUE"""),1.0)</f>
        <v>1</v>
      </c>
      <c r="AK3291" s="3"/>
      <c r="AL3291" s="3"/>
    </row>
    <row r="3292" ht="15.75" customHeight="1">
      <c r="A3292" s="1" t="str">
        <f>IFERROR(__xludf.DUMMYFUNCTION("""COMPUTED_VALUE"""),"91303")</f>
        <v>91303</v>
      </c>
      <c r="B3292" s="2">
        <f>IFERROR(__xludf.DUMMYFUNCTION("""COMPUTED_VALUE"""),91303.0)</f>
        <v>91303</v>
      </c>
      <c r="C3292" s="3">
        <f>IFERROR(__xludf.DUMMYFUNCTION("""COMPUTED_VALUE"""),0.0)</f>
        <v>0</v>
      </c>
      <c r="D3292" s="3">
        <f>IFERROR(__xludf.DUMMYFUNCTION("""COMPUTED_VALUE"""),0.0)</f>
        <v>0</v>
      </c>
      <c r="E3292" s="1" t="str">
        <f>IFERROR(__xludf.DUMMYFUNCTION("""COMPUTED_VALUE"""),"0")</f>
        <v>0</v>
      </c>
      <c r="F3292" s="1" t="str">
        <f>IFERROR(__xludf.DUMMYFUNCTION("""COMPUTED_VALUE"""),"0")</f>
        <v>0</v>
      </c>
      <c r="G3292" s="1" t="str">
        <f>IFERROR(__xludf.DUMMYFUNCTION("""COMPUTED_VALUE"""),"0")</f>
        <v>0</v>
      </c>
      <c r="H3292" s="1" t="str">
        <f>IFERROR(__xludf.DUMMYFUNCTION("""COMPUTED_VALUE"""),"0")</f>
        <v>0</v>
      </c>
      <c r="I3292" s="1" t="str">
        <f>IFERROR(__xludf.DUMMYFUNCTION("""COMPUTED_VALUE"""),"0")</f>
        <v>0</v>
      </c>
      <c r="J3292" s="3">
        <f>IFERROR(__xludf.DUMMYFUNCTION("""COMPUTED_VALUE"""),0.0)</f>
        <v>0</v>
      </c>
      <c r="K3292" s="3">
        <f>IFERROR(__xludf.DUMMYFUNCTION("""COMPUTED_VALUE"""),0.0)</f>
        <v>0</v>
      </c>
      <c r="L3292" s="1" t="str">
        <f>IFERROR(__xludf.DUMMYFUNCTION("""COMPUTED_VALUE"""),"0")</f>
        <v>0</v>
      </c>
      <c r="M3292" s="1" t="str">
        <f>IFERROR(__xludf.DUMMYFUNCTION("""COMPUTED_VALUE"""),"0")</f>
        <v>0</v>
      </c>
      <c r="N3292" s="3">
        <f>IFERROR(__xludf.DUMMYFUNCTION("""COMPUTED_VALUE"""),0.0)</f>
        <v>0</v>
      </c>
      <c r="O3292" s="3">
        <f>IFERROR(__xludf.DUMMYFUNCTION("""COMPUTED_VALUE"""),0.0)</f>
        <v>0</v>
      </c>
      <c r="P3292" s="3">
        <f>IFERROR(__xludf.DUMMYFUNCTION("""COMPUTED_VALUE"""),0.0)</f>
        <v>0</v>
      </c>
      <c r="Q3292" s="3">
        <f>IFERROR(__xludf.DUMMYFUNCTION("""COMPUTED_VALUE"""),0.0)</f>
        <v>0</v>
      </c>
      <c r="R3292" s="3" t="str">
        <f>IFERROR(__xludf.DUMMYFUNCTION("""COMPUTED_VALUE"""),"Small Format")</f>
        <v>Small Format</v>
      </c>
      <c r="S3292" s="3"/>
      <c r="T3292" s="3" t="str">
        <f>IFERROR(__xludf.DUMMYFUNCTION("""COMPUTED_VALUE"""),"#N/A")</f>
        <v>#N/A</v>
      </c>
      <c r="U3292" s="3" t="str">
        <f>IFERROR(__xludf.DUMMYFUNCTION("""COMPUTED_VALUE"""),"#N/A")</f>
        <v>#N/A</v>
      </c>
      <c r="V3292" s="3" t="str">
        <f>IFERROR(__xludf.DUMMYFUNCTION("""COMPUTED_VALUE"""),"#N/A")</f>
        <v>#N/A</v>
      </c>
      <c r="W3292" s="3">
        <f>IFERROR(__xludf.DUMMYFUNCTION("""COMPUTED_VALUE"""),913003.0)</f>
        <v>913003</v>
      </c>
      <c r="X3292" s="3">
        <f>IFERROR(__xludf.DUMMYFUNCTION("""COMPUTED_VALUE"""),0.0)</f>
        <v>0</v>
      </c>
      <c r="Y3292" s="3"/>
      <c r="Z3292" s="3"/>
      <c r="AA3292" s="3"/>
      <c r="AB3292" s="3"/>
      <c r="AC3292" s="3"/>
      <c r="AD3292" s="3"/>
      <c r="AE3292" s="3"/>
      <c r="AF3292" s="3" t="str">
        <f>IFERROR(__xludf.DUMMYFUNCTION("""COMPUTED_VALUE"""),"0-91303")</f>
        <v>0-91303</v>
      </c>
      <c r="AG3292" s="3">
        <f>IFERROR(__xludf.DUMMYFUNCTION("""COMPUTED_VALUE"""),0.0)</f>
        <v>0</v>
      </c>
      <c r="AH3292" s="3" t="str">
        <f>IFERROR(__xludf.DUMMYFUNCTION("""COMPUTED_VALUE"""),"#N/A")</f>
        <v>#N/A</v>
      </c>
      <c r="AI3292" s="3" t="str">
        <f>IFERROR(__xludf.DUMMYFUNCTION("""COMPUTED_VALUE"""),"Out of warranty")</f>
        <v>Out of warranty</v>
      </c>
      <c r="AJ3292" s="3">
        <f>IFERROR(__xludf.DUMMYFUNCTION("""COMPUTED_VALUE"""),1513.0)</f>
        <v>1513</v>
      </c>
      <c r="AK3292" s="3"/>
      <c r="AL3292" s="3"/>
    </row>
    <row r="3293" ht="15.75" customHeight="1">
      <c r="A3293" s="1" t="str">
        <f>IFERROR(__xludf.DUMMYFUNCTION("""COMPUTED_VALUE"""),"22745")</f>
        <v>22745</v>
      </c>
      <c r="B3293" s="2">
        <f>IFERROR(__xludf.DUMMYFUNCTION("""COMPUTED_VALUE"""),22745.0)</f>
        <v>22745</v>
      </c>
      <c r="C3293" s="3" t="str">
        <f>IFERROR(__xludf.DUMMYFUNCTION("""COMPUTED_VALUE"""),"BCM ชะอำบีช เพชรบุรี")</f>
        <v>BCM ชะอำบีช เพชรบุรี</v>
      </c>
      <c r="D3293" s="3" t="str">
        <f>IFERROR(__xludf.DUMMYFUNCTION("""COMPUTED_VALUE"""),"BCM CHA-AM BEACH PHETCHABURI")</f>
        <v>BCM CHA-AM BEACH PHETCHABURI</v>
      </c>
      <c r="E3293" s="1" t="str">
        <f>IFERROR(__xludf.DUMMYFUNCTION("""COMPUTED_VALUE"""),"บิ๊กซี MINI")</f>
        <v>บิ๊กซี MINI</v>
      </c>
      <c r="F3293" s="1" t="str">
        <f>IFERROR(__xludf.DUMMYFUNCTION("""COMPUTED_VALUE"""),"250760")</f>
        <v>250760</v>
      </c>
      <c r="G3293" s="1" t="str">
        <f>IFERROR(__xludf.DUMMYFUNCTION("""COMPUTED_VALUE"""),"นายประทวน สาราบรรณ์")</f>
        <v>นายประทวน สาราบรรณ์</v>
      </c>
      <c r="H3293" s="1" t="str">
        <f>IFERROR(__xludf.DUMMYFUNCTION("""COMPUTED_VALUE"""),"311437")</f>
        <v>311437</v>
      </c>
      <c r="I3293" s="1" t="str">
        <f>IFERROR(__xludf.DUMMYFUNCTION("""COMPUTED_VALUE"""),"นายฉัตรทพร รักวิเชียร")</f>
        <v>นายฉัตรทพร รักวิเชียร</v>
      </c>
      <c r="J3293" s="3">
        <f>IFERROR(__xludf.DUMMYFUNCTION("""COMPUTED_VALUE"""),25324.0)</f>
        <v>25324</v>
      </c>
      <c r="K3293" s="3" t="str">
        <f>IFERROR(__xludf.DUMMYFUNCTION("""COMPUTED_VALUE"""),"นายวิเชฎฐ์ ติรัตนะประคม")</f>
        <v>นายวิเชฎฐ์ ติรัตนะประคม</v>
      </c>
      <c r="L3293" s="1" t="str">
        <f>IFERROR(__xludf.DUMMYFUNCTION("""COMPUTED_VALUE"""),"14 K.Wichet T.")</f>
        <v>14 K.Wichet T.</v>
      </c>
      <c r="M3293" s="1" t="str">
        <f>IFERROR(__xludf.DUMMYFUNCTION("""COMPUTED_VALUE"""),"061-417-6569 / 086-445-5636")</f>
        <v>061-417-6569 / 086-445-5636</v>
      </c>
      <c r="N3293" s="3">
        <f>IFERROR(__xludf.DUMMYFUNCTION("""COMPUTED_VALUE"""),22658.0)</f>
        <v>22658</v>
      </c>
      <c r="O3293" s="3" t="str">
        <f>IFERROR(__xludf.DUMMYFUNCTION("""COMPUTED_VALUE"""),"BCM ถ.วิรัชหงษ์หยก ภูเก็ต")</f>
        <v>BCM ถ.วิรัชหงษ์หยก ภูเก็ต</v>
      </c>
      <c r="P3293" s="4">
        <f>IFERROR(__xludf.DUMMYFUNCTION("""COMPUTED_VALUE"""),45960.0)</f>
        <v>45960</v>
      </c>
      <c r="Q3293" s="3" t="str">
        <f>IFERROR(__xludf.DUMMYFUNCTION("""COMPUTED_VALUE"""),"A")</f>
        <v>A</v>
      </c>
      <c r="R3293" s="3" t="str">
        <f>IFERROR(__xludf.DUMMYFUNCTION("""COMPUTED_VALUE"""),"Small Format")</f>
        <v>Small Format</v>
      </c>
      <c r="S3293" s="3" t="str">
        <f>IFERROR(__xludf.DUMMYFUNCTION("""COMPUTED_VALUE"""),"BCM")</f>
        <v>BCM</v>
      </c>
      <c r="T3293" s="3" t="str">
        <f>IFERROR(__xludf.DUMMYFUNCTION("""COMPUTED_VALUE"""),"#N/A")</f>
        <v>#N/A</v>
      </c>
      <c r="U3293" s="3" t="str">
        <f>IFERROR(__xludf.DUMMYFUNCTION("""COMPUTED_VALUE"""),"#N/A")</f>
        <v>#N/A</v>
      </c>
      <c r="V3293" s="3" t="str">
        <f>IFERROR(__xludf.DUMMYFUNCTION("""COMPUTED_VALUE"""),"N")</f>
        <v>N</v>
      </c>
      <c r="W3293" s="3">
        <f>IFERROR(__xludf.DUMMYFUNCTION("""COMPUTED_VALUE"""),210849.0)</f>
        <v>210849</v>
      </c>
      <c r="X3293" s="3" t="str">
        <f>IFERROR(__xludf.DUMMYFUNCTION("""COMPUTED_VALUE"""),"246/6 ถนนร่วมจิตร ตำบลชะอำ อำเภอชะอำ จังหวัดเพชรบุรี 76120")</f>
        <v>246/6 ถนนร่วมจิตร ตำบลชะอำ อำเภอชะอำ จังหวัดเพชรบุรี 76120</v>
      </c>
      <c r="Y3293" s="3" t="str">
        <f>IFERROR(__xludf.DUMMYFUNCTION("""COMPUTED_VALUE"""),"ร่วมจิตร")</f>
        <v>ร่วมจิตร</v>
      </c>
      <c r="Z3293" s="3" t="str">
        <f>IFERROR(__xludf.DUMMYFUNCTION("""COMPUTED_VALUE"""),"ชะอำ")</f>
        <v>ชะอำ</v>
      </c>
      <c r="AA3293" s="3" t="str">
        <f>IFERROR(__xludf.DUMMYFUNCTION("""COMPUTED_VALUE"""),"ชะอำ")</f>
        <v>ชะอำ</v>
      </c>
      <c r="AB3293" s="3" t="str">
        <f>IFERROR(__xludf.DUMMYFUNCTION("""COMPUTED_VALUE"""),"เพชรบุรี")</f>
        <v>เพชรบุรี</v>
      </c>
      <c r="AC3293" s="3">
        <f>IFERROR(__xludf.DUMMYFUNCTION("""COMPUTED_VALUE"""),76120.0)</f>
        <v>76120</v>
      </c>
      <c r="AD3293" s="3">
        <f>IFERROR(__xludf.DUMMYFUNCTION("""COMPUTED_VALUE"""),12.7811583)</f>
        <v>12.7811583</v>
      </c>
      <c r="AE3293" s="3">
        <f>IFERROR(__xludf.DUMMYFUNCTION("""COMPUTED_VALUE"""),99.978604)</f>
        <v>99.978604</v>
      </c>
      <c r="AF3293" s="3" t="str">
        <f>IFERROR(__xludf.DUMMYFUNCTION("""COMPUTED_VALUE"""),"BCM ชะอำบีช เพชรบุรี-22745")</f>
        <v>BCM ชะอำบีช เพชรบุรี-22745</v>
      </c>
      <c r="AG3293" s="3" t="str">
        <f>IFERROR(__xludf.DUMMYFUNCTION("""COMPUTED_VALUE"""),"ตะวันตก")</f>
        <v>ตะวันตก</v>
      </c>
      <c r="AH3293" s="3" t="str">
        <f>IFERROR(__xludf.DUMMYFUNCTION("""COMPUTED_VALUE"""),"#N/A")</f>
        <v>#N/A</v>
      </c>
      <c r="AI3293" s="3" t="str">
        <f>IFERROR(__xludf.DUMMYFUNCTION("""COMPUTED_VALUE"""),"In warranty")</f>
        <v>In warranty</v>
      </c>
      <c r="AJ3293" s="3">
        <f>IFERROR(__xludf.DUMMYFUNCTION("""COMPUTED_VALUE"""),3.0)</f>
        <v>3</v>
      </c>
      <c r="AK3293" s="3"/>
      <c r="AL3293" s="3"/>
    </row>
    <row r="3294" ht="15.75" customHeight="1">
      <c r="A3294" s="1" t="str">
        <f>IFERROR(__xludf.DUMMYFUNCTION("""COMPUTED_VALUE"""),"22747")</f>
        <v>22747</v>
      </c>
      <c r="B3294" s="2">
        <f>IFERROR(__xludf.DUMMYFUNCTION("""COMPUTED_VALUE"""),22747.0)</f>
        <v>22747</v>
      </c>
      <c r="C3294" s="3" t="str">
        <f>IFERROR(__xludf.DUMMYFUNCTION("""COMPUTED_VALUE"""),"BCM แจ้งวัฒนะ 6 กรุงเทพฯ")</f>
        <v>BCM แจ้งวัฒนะ 6 กรุงเทพฯ</v>
      </c>
      <c r="D3294" s="3" t="str">
        <f>IFERROR(__xludf.DUMMYFUNCTION("""COMPUTED_VALUE"""),"BCM CHAENG WATTANA 6 BANGKOK")</f>
        <v>BCM CHAENG WATTANA 6 BANGKOK</v>
      </c>
      <c r="E3294" s="1" t="str">
        <f>IFERROR(__xludf.DUMMYFUNCTION("""COMPUTED_VALUE"""),"บิ๊กซี MINI")</f>
        <v>บิ๊กซี MINI</v>
      </c>
      <c r="F3294" s="1" t="str">
        <f>IFERROR(__xludf.DUMMYFUNCTION("""COMPUTED_VALUE"""),"291008")</f>
        <v>291008</v>
      </c>
      <c r="G3294" s="1" t="str">
        <f>IFERROR(__xludf.DUMMYFUNCTION("""COMPUTED_VALUE"""),"น.ส.รัชดาพร อีศรัตน์")</f>
        <v>น.ส.รัชดาพร อีศรัตน์</v>
      </c>
      <c r="H3294" s="1" t="str">
        <f>IFERROR(__xludf.DUMMYFUNCTION("""COMPUTED_VALUE"""),"373540")</f>
        <v>373540</v>
      </c>
      <c r="I3294" s="1" t="str">
        <f>IFERROR(__xludf.DUMMYFUNCTION("""COMPUTED_VALUE"""),"นายทศพร พึ่งพบ")</f>
        <v>นายทศพร พึ่งพบ</v>
      </c>
      <c r="J3294" s="3">
        <f>IFERROR(__xludf.DUMMYFUNCTION("""COMPUTED_VALUE"""),2452378.0)</f>
        <v>2452378</v>
      </c>
      <c r="K3294" s="3" t="str">
        <f>IFERROR(__xludf.DUMMYFUNCTION("""COMPUTED_VALUE"""),"นายศักดิ์ดา พวงประดับ")</f>
        <v>นายศักดิ์ดา พวงประดับ</v>
      </c>
      <c r="L3294" s="1" t="str">
        <f>IFERROR(__xludf.DUMMYFUNCTION("""COMPUTED_VALUE"""),"11 K.Sakda P.")</f>
        <v>11 K.Sakda P.</v>
      </c>
      <c r="M3294" s="1" t="str">
        <f>IFERROR(__xludf.DUMMYFUNCTION("""COMPUTED_VALUE"""),"065-929-1279")</f>
        <v>065-929-1279</v>
      </c>
      <c r="N3294" s="3">
        <f>IFERROR(__xludf.DUMMYFUNCTION("""COMPUTED_VALUE"""),21002.0)</f>
        <v>21002</v>
      </c>
      <c r="O3294" s="3" t="str">
        <f>IFERROR(__xludf.DUMMYFUNCTION("""COMPUTED_VALUE"""),"MBC อุดมสุข")</f>
        <v>MBC อุดมสุข</v>
      </c>
      <c r="P3294" s="4">
        <f>IFERROR(__xludf.DUMMYFUNCTION("""COMPUTED_VALUE"""),45961.0)</f>
        <v>45961</v>
      </c>
      <c r="Q3294" s="3" t="str">
        <f>IFERROR(__xludf.DUMMYFUNCTION("""COMPUTED_VALUE"""),"A")</f>
        <v>A</v>
      </c>
      <c r="R3294" s="3" t="str">
        <f>IFERROR(__xludf.DUMMYFUNCTION("""COMPUTED_VALUE"""),"Small Format")</f>
        <v>Small Format</v>
      </c>
      <c r="S3294" s="3" t="str">
        <f>IFERROR(__xludf.DUMMYFUNCTION("""COMPUTED_VALUE"""),"BCM")</f>
        <v>BCM</v>
      </c>
      <c r="T3294" s="3" t="str">
        <f>IFERROR(__xludf.DUMMYFUNCTION("""COMPUTED_VALUE"""),"#N/A")</f>
        <v>#N/A</v>
      </c>
      <c r="U3294" s="3" t="str">
        <f>IFERROR(__xludf.DUMMYFUNCTION("""COMPUTED_VALUE"""),"#N/A")</f>
        <v>#N/A</v>
      </c>
      <c r="V3294" s="3" t="str">
        <f>IFERROR(__xludf.DUMMYFUNCTION("""COMPUTED_VALUE"""),"N")</f>
        <v>N</v>
      </c>
      <c r="W3294" s="3">
        <f>IFERROR(__xludf.DUMMYFUNCTION("""COMPUTED_VALUE"""),210833.0)</f>
        <v>210833</v>
      </c>
      <c r="X3294" s="3" t="str">
        <f>IFERROR(__xludf.DUMMYFUNCTION("""COMPUTED_VALUE"""),"231/38 ซอยแจ้งวัฒนะ 6 แยก 1 แขวงตลาดบางเขน เขตหลักสี่ กรุงเทพมหานคร 10210")</f>
        <v>231/38 ซอยแจ้งวัฒนะ 6 แยก 1 แขวงตลาดบางเขน เขตหลักสี่ กรุงเทพมหานคร 10210</v>
      </c>
      <c r="Y3294" s="3"/>
      <c r="Z3294" s="3" t="str">
        <f>IFERROR(__xludf.DUMMYFUNCTION("""COMPUTED_VALUE"""),"ตลาดบางเขน")</f>
        <v>ตลาดบางเขน</v>
      </c>
      <c r="AA3294" s="3" t="str">
        <f>IFERROR(__xludf.DUMMYFUNCTION("""COMPUTED_VALUE"""),"หลักสี่")</f>
        <v>หลักสี่</v>
      </c>
      <c r="AB3294" s="3" t="str">
        <f>IFERROR(__xludf.DUMMYFUNCTION("""COMPUTED_VALUE"""),"กรุงเทพมหานคร")</f>
        <v>กรุงเทพมหานคร</v>
      </c>
      <c r="AC3294" s="3">
        <f>IFERROR(__xludf.DUMMYFUNCTION("""COMPUTED_VALUE"""),10210.0)</f>
        <v>10210</v>
      </c>
      <c r="AD3294" s="3">
        <f>IFERROR(__xludf.DUMMYFUNCTION("""COMPUTED_VALUE"""),13.885315)</f>
        <v>13.885315</v>
      </c>
      <c r="AE3294" s="3">
        <f>IFERROR(__xludf.DUMMYFUNCTION("""COMPUTED_VALUE"""),13.885315)</f>
        <v>13.885315</v>
      </c>
      <c r="AF3294" s="3" t="str">
        <f>IFERROR(__xludf.DUMMYFUNCTION("""COMPUTED_VALUE"""),"BCM แจ้งวัฒนะ 6 กรุงเทพฯ-22747")</f>
        <v>BCM แจ้งวัฒนะ 6 กรุงเทพฯ-22747</v>
      </c>
      <c r="AG3294" s="3" t="str">
        <f>IFERROR(__xludf.DUMMYFUNCTION("""COMPUTED_VALUE"""),"กลาง")</f>
        <v>กลาง</v>
      </c>
      <c r="AH3294" s="3" t="str">
        <f>IFERROR(__xludf.DUMMYFUNCTION("""COMPUTED_VALUE"""),"#N/A")</f>
        <v>#N/A</v>
      </c>
      <c r="AI3294" s="3" t="str">
        <f>IFERROR(__xludf.DUMMYFUNCTION("""COMPUTED_VALUE"""),"In warranty")</f>
        <v>In warranty</v>
      </c>
      <c r="AJ3294" s="3">
        <f>IFERROR(__xludf.DUMMYFUNCTION("""COMPUTED_VALUE"""),3.0)</f>
        <v>3</v>
      </c>
      <c r="AK3294" s="3"/>
      <c r="AL3294" s="3"/>
    </row>
    <row r="3295" ht="15.75" customHeight="1">
      <c r="A3295" s="1" t="str">
        <f>IFERROR(__xludf.DUMMYFUNCTION("""COMPUTED_VALUE"""),"22746")</f>
        <v>22746</v>
      </c>
      <c r="B3295" s="2">
        <f>IFERROR(__xludf.DUMMYFUNCTION("""COMPUTED_VALUE"""),22746.0)</f>
        <v>22746</v>
      </c>
      <c r="C3295" s="3" t="str">
        <f>IFERROR(__xludf.DUMMYFUNCTION("""COMPUTED_VALUE"""),"BCM บ้านบางแฟบ สงขลา")</f>
        <v>BCM บ้านบางแฟบ สงขลา</v>
      </c>
      <c r="D3295" s="3" t="str">
        <f>IFERROR(__xludf.DUMMYFUNCTION("""COMPUTED_VALUE"""),"BCM BAN BANG FAEP SONGKHLA")</f>
        <v>BCM BAN BANG FAEP SONGKHLA</v>
      </c>
      <c r="E3295" s="1" t="str">
        <f>IFERROR(__xludf.DUMMYFUNCTION("""COMPUTED_VALUE"""),"บิ๊กซี MINI")</f>
        <v>บิ๊กซี MINI</v>
      </c>
      <c r="F3295" s="1" t="str">
        <f>IFERROR(__xludf.DUMMYFUNCTION("""COMPUTED_VALUE"""),"250760")</f>
        <v>250760</v>
      </c>
      <c r="G3295" s="1" t="str">
        <f>IFERROR(__xludf.DUMMYFUNCTION("""COMPUTED_VALUE"""),"นายประทวน สาราบรรณ์")</f>
        <v>นายประทวน สาราบรรณ์</v>
      </c>
      <c r="H3295" s="1" t="str">
        <f>IFERROR(__xludf.DUMMYFUNCTION("""COMPUTED_VALUE"""),"394100")</f>
        <v>394100</v>
      </c>
      <c r="I3295" s="1" t="str">
        <f>IFERROR(__xludf.DUMMYFUNCTION("""COMPUTED_VALUE"""),"นายไพโรจน์ ถิระผะลิกะ")</f>
        <v>นายไพโรจน์ ถิระผะลิกะ</v>
      </c>
      <c r="J3295" s="3">
        <f>IFERROR(__xludf.DUMMYFUNCTION("""COMPUTED_VALUE"""),2.0470331E7)</f>
        <v>20470331</v>
      </c>
      <c r="K3295" s="3" t="str">
        <f>IFERROR(__xludf.DUMMYFUNCTION("""COMPUTED_VALUE"""),"นายสมชาย ลักษณะสุวรรณ")</f>
        <v>นายสมชาย ลักษณะสุวรรณ</v>
      </c>
      <c r="L3295" s="1" t="str">
        <f>IFERROR(__xludf.DUMMYFUNCTION("""COMPUTED_VALUE"""),"15 K.Somchai L")</f>
        <v>15 K.Somchai L</v>
      </c>
      <c r="M3295" s="1" t="str">
        <f>IFERROR(__xludf.DUMMYFUNCTION("""COMPUTED_VALUE"""),"0655107372")</f>
        <v>0655107372</v>
      </c>
      <c r="N3295" s="3">
        <f>IFERROR(__xludf.DUMMYFUNCTION("""COMPUTED_VALUE"""),21723.0)</f>
        <v>21723</v>
      </c>
      <c r="O3295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3295" s="4">
        <f>IFERROR(__xludf.DUMMYFUNCTION("""COMPUTED_VALUE"""),46053.0)</f>
        <v>46053</v>
      </c>
      <c r="Q3295" s="3" t="str">
        <f>IFERROR(__xludf.DUMMYFUNCTION("""COMPUTED_VALUE"""),"A")</f>
        <v>A</v>
      </c>
      <c r="R3295" s="3" t="str">
        <f>IFERROR(__xludf.DUMMYFUNCTION("""COMPUTED_VALUE"""),"Small Format")</f>
        <v>Small Format</v>
      </c>
      <c r="S3295" s="3" t="str">
        <f>IFERROR(__xludf.DUMMYFUNCTION("""COMPUTED_VALUE"""),"BCM")</f>
        <v>BCM</v>
      </c>
      <c r="T3295" s="3" t="str">
        <f>IFERROR(__xludf.DUMMYFUNCTION("""COMPUTED_VALUE"""),"#N/A")</f>
        <v>#N/A</v>
      </c>
      <c r="U3295" s="3" t="str">
        <f>IFERROR(__xludf.DUMMYFUNCTION("""COMPUTED_VALUE"""),"#N/A")</f>
        <v>#N/A</v>
      </c>
      <c r="V3295" s="3" t="str">
        <f>IFERROR(__xludf.DUMMYFUNCTION("""COMPUTED_VALUE"""),"N")</f>
        <v>N</v>
      </c>
      <c r="W3295" s="3">
        <f>IFERROR(__xludf.DUMMYFUNCTION("""COMPUTED_VALUE"""),210844.0)</f>
        <v>210844</v>
      </c>
      <c r="X3295" s="3" t="str">
        <f>IFERROR(__xludf.DUMMYFUNCTION("""COMPUTED_VALUE"""),"2 หมู่ที่ 2 ถนนบางแฟบพัฒนา ตำบลควนลัง อำเภอหาดใหญ่ จังหวัดสงขลา 90110")</f>
        <v>2 หมู่ที่ 2 ถนนบางแฟบพัฒนา ตำบลควนลัง อำเภอหาดใหญ่ จังหวัดสงขลา 90110</v>
      </c>
      <c r="Y3295" s="3" t="str">
        <f>IFERROR(__xludf.DUMMYFUNCTION("""COMPUTED_VALUE"""),"บางแฟบพัฒนา")</f>
        <v>บางแฟบพัฒนา</v>
      </c>
      <c r="Z3295" s="3" t="str">
        <f>IFERROR(__xludf.DUMMYFUNCTION("""COMPUTED_VALUE"""),"ควนลัง")</f>
        <v>ควนลัง</v>
      </c>
      <c r="AA3295" s="3" t="str">
        <f>IFERROR(__xludf.DUMMYFUNCTION("""COMPUTED_VALUE"""),"หาดใหญ่")</f>
        <v>หาดใหญ่</v>
      </c>
      <c r="AB3295" s="3" t="str">
        <f>IFERROR(__xludf.DUMMYFUNCTION("""COMPUTED_VALUE"""),"สงขลา")</f>
        <v>สงขลา</v>
      </c>
      <c r="AC3295" s="3">
        <f>IFERROR(__xludf.DUMMYFUNCTION("""COMPUTED_VALUE"""),90110.0)</f>
        <v>90110</v>
      </c>
      <c r="AD3295" s="3">
        <f>IFERROR(__xludf.DUMMYFUNCTION("""COMPUTED_VALUE"""),7.014389)</f>
        <v>7.014389</v>
      </c>
      <c r="AE3295" s="3">
        <f>IFERROR(__xludf.DUMMYFUNCTION("""COMPUTED_VALUE"""),7.014389)</f>
        <v>7.014389</v>
      </c>
      <c r="AF3295" s="3" t="str">
        <f>IFERROR(__xludf.DUMMYFUNCTION("""COMPUTED_VALUE"""),"BCM บ้านบางแฟบ สงขลา-22746")</f>
        <v>BCM บ้านบางแฟบ สงขลา-22746</v>
      </c>
      <c r="AG3295" s="3" t="str">
        <f>IFERROR(__xludf.DUMMYFUNCTION("""COMPUTED_VALUE"""),"ใต้")</f>
        <v>ใต้</v>
      </c>
      <c r="AH3295" s="3" t="str">
        <f>IFERROR(__xludf.DUMMYFUNCTION("""COMPUTED_VALUE"""),"#N/A")</f>
        <v>#N/A</v>
      </c>
      <c r="AI3295" s="3" t="str">
        <f>IFERROR(__xludf.DUMMYFUNCTION("""COMPUTED_VALUE"""),"In warranty")</f>
        <v>In warranty</v>
      </c>
      <c r="AJ3295" s="3">
        <f>IFERROR(__xludf.DUMMYFUNCTION("""COMPUTED_VALUE"""),0.0)</f>
        <v>0</v>
      </c>
      <c r="AK3295" s="3"/>
      <c r="AL3295" s="3"/>
    </row>
    <row r="3296" ht="15.75" customHeight="1">
      <c r="A3296" s="1" t="str">
        <f>IFERROR(__xludf.DUMMYFUNCTION("""COMPUTED_VALUE"""),"22748")</f>
        <v>22748</v>
      </c>
      <c r="B3296" s="2">
        <f>IFERROR(__xludf.DUMMYFUNCTION("""COMPUTED_VALUE"""),22748.0)</f>
        <v>22748</v>
      </c>
      <c r="C3296" s="3" t="str">
        <f>IFERROR(__xludf.DUMMYFUNCTION("""COMPUTED_VALUE"""),"BCM ตลาดนัดเกาะแก้ว ภูเก็ต")</f>
        <v>BCM ตลาดนัดเกาะแก้ว ภูเก็ต</v>
      </c>
      <c r="D3296" s="3" t="str">
        <f>IFERROR(__xludf.DUMMYFUNCTION("""COMPUTED_VALUE"""),"BCM TALAD NAD KOH KEAW PHUKET")</f>
        <v>BCM TALAD NAD KOH KEAW PHUKET</v>
      </c>
      <c r="E3296" s="1" t="str">
        <f>IFERROR(__xludf.DUMMYFUNCTION("""COMPUTED_VALUE"""),"บิ๊กซี MINI")</f>
        <v>บิ๊กซี MINI</v>
      </c>
      <c r="F3296" s="1" t="str">
        <f>IFERROR(__xludf.DUMMYFUNCTION("""COMPUTED_VALUE"""),"250760")</f>
        <v>250760</v>
      </c>
      <c r="G3296" s="1" t="str">
        <f>IFERROR(__xludf.DUMMYFUNCTION("""COMPUTED_VALUE"""),"นายประทวน สาราบรรณ์")</f>
        <v>นายประทวน สาราบรรณ์</v>
      </c>
      <c r="H3296" s="1" t="str">
        <f>IFERROR(__xludf.DUMMYFUNCTION("""COMPUTED_VALUE"""),"357284")</f>
        <v>357284</v>
      </c>
      <c r="I3296" s="1" t="str">
        <f>IFERROR(__xludf.DUMMYFUNCTION("""COMPUTED_VALUE"""),"น.ส.เบญจวรรณ ปัณฑโมรา")</f>
        <v>น.ส.เบญจวรรณ ปัณฑโมรา</v>
      </c>
      <c r="J3296" s="3">
        <f>IFERROR(__xludf.DUMMYFUNCTION("""COMPUTED_VALUE"""),25324.0)</f>
        <v>25324</v>
      </c>
      <c r="K3296" s="3" t="str">
        <f>IFERROR(__xludf.DUMMYFUNCTION("""COMPUTED_VALUE"""),"นายวิเชฎฐ์ ติรัตนะประคม")</f>
        <v>นายวิเชฎฐ์ ติรัตนะประคม</v>
      </c>
      <c r="L3296" s="1" t="str">
        <f>IFERROR(__xludf.DUMMYFUNCTION("""COMPUTED_VALUE"""),"14 K.Wichet T.")</f>
        <v>14 K.Wichet T.</v>
      </c>
      <c r="M3296" s="1" t="str">
        <f>IFERROR(__xludf.DUMMYFUNCTION("""COMPUTED_VALUE"""),"061-417-6569 / 086-445-5636")</f>
        <v>061-417-6569 / 086-445-5636</v>
      </c>
      <c r="N3296" s="3">
        <f>IFERROR(__xludf.DUMMYFUNCTION("""COMPUTED_VALUE"""),22658.0)</f>
        <v>22658</v>
      </c>
      <c r="O3296" s="3" t="str">
        <f>IFERROR(__xludf.DUMMYFUNCTION("""COMPUTED_VALUE"""),"BCM ถ.วิรัชหงษ์หยก ภูเก็ต")</f>
        <v>BCM ถ.วิรัชหงษ์หยก ภูเก็ต</v>
      </c>
      <c r="P3296" s="4">
        <f>IFERROR(__xludf.DUMMYFUNCTION("""COMPUTED_VALUE"""),45961.0)</f>
        <v>45961</v>
      </c>
      <c r="Q3296" s="3" t="str">
        <f>IFERROR(__xludf.DUMMYFUNCTION("""COMPUTED_VALUE"""),"A")</f>
        <v>A</v>
      </c>
      <c r="R3296" s="3" t="str">
        <f>IFERROR(__xludf.DUMMYFUNCTION("""COMPUTED_VALUE"""),"Small Format")</f>
        <v>Small Format</v>
      </c>
      <c r="S3296" s="3" t="str">
        <f>IFERROR(__xludf.DUMMYFUNCTION("""COMPUTED_VALUE"""),"BCM")</f>
        <v>BCM</v>
      </c>
      <c r="T3296" s="3" t="str">
        <f>IFERROR(__xludf.DUMMYFUNCTION("""COMPUTED_VALUE"""),"#N/A")</f>
        <v>#N/A</v>
      </c>
      <c r="U3296" s="3" t="str">
        <f>IFERROR(__xludf.DUMMYFUNCTION("""COMPUTED_VALUE"""),"#N/A")</f>
        <v>#N/A</v>
      </c>
      <c r="V3296" s="3" t="str">
        <f>IFERROR(__xludf.DUMMYFUNCTION("""COMPUTED_VALUE"""),"N")</f>
        <v>N</v>
      </c>
      <c r="W3296" s="3">
        <f>IFERROR(__xludf.DUMMYFUNCTION("""COMPUTED_VALUE"""),210834.0)</f>
        <v>210834</v>
      </c>
      <c r="X3296" s="3" t="str">
        <f>IFERROR(__xludf.DUMMYFUNCTION("""COMPUTED_VALUE"""),"84/5 หมู่ที่ 4 ตำบลเกาะแก้ว อำเภอเมืองภูเก็ต จังหวัดภูเก็ต 83000")</f>
        <v>84/5 หมู่ที่ 4 ตำบลเกาะแก้ว อำเภอเมืองภูเก็ต จังหวัดภูเก็ต 83000</v>
      </c>
      <c r="Y3296" s="3"/>
      <c r="Z3296" s="3" t="str">
        <f>IFERROR(__xludf.DUMMYFUNCTION("""COMPUTED_VALUE"""),"เกาะแก้ว")</f>
        <v>เกาะแก้ว</v>
      </c>
      <c r="AA3296" s="3" t="str">
        <f>IFERROR(__xludf.DUMMYFUNCTION("""COMPUTED_VALUE"""),"เมืองภูเก็ต")</f>
        <v>เมืองภูเก็ต</v>
      </c>
      <c r="AB3296" s="3" t="str">
        <f>IFERROR(__xludf.DUMMYFUNCTION("""COMPUTED_VALUE"""),"ภูเก็ต")</f>
        <v>ภูเก็ต</v>
      </c>
      <c r="AC3296" s="3">
        <f>IFERROR(__xludf.DUMMYFUNCTION("""COMPUTED_VALUE"""),83000.0)</f>
        <v>83000</v>
      </c>
      <c r="AD3296" s="3">
        <f>IFERROR(__xludf.DUMMYFUNCTION("""COMPUTED_VALUE"""),7.957441)</f>
        <v>7.957441</v>
      </c>
      <c r="AE3296" s="3">
        <f>IFERROR(__xludf.DUMMYFUNCTION("""COMPUTED_VALUE"""),7.957441)</f>
        <v>7.957441</v>
      </c>
      <c r="AF3296" s="3" t="str">
        <f>IFERROR(__xludf.DUMMYFUNCTION("""COMPUTED_VALUE"""),"BCM ตลาดนัดเกาะแก้ว ภูเก็ต-22748")</f>
        <v>BCM ตลาดนัดเกาะแก้ว ภูเก็ต-22748</v>
      </c>
      <c r="AG3296" s="3" t="str">
        <f>IFERROR(__xludf.DUMMYFUNCTION("""COMPUTED_VALUE"""),"ใต้")</f>
        <v>ใต้</v>
      </c>
      <c r="AH3296" s="3" t="str">
        <f>IFERROR(__xludf.DUMMYFUNCTION("""COMPUTED_VALUE"""),"#N/A")</f>
        <v>#N/A</v>
      </c>
      <c r="AI3296" s="3" t="str">
        <f>IFERROR(__xludf.DUMMYFUNCTION("""COMPUTED_VALUE"""),"In warranty")</f>
        <v>In warranty</v>
      </c>
      <c r="AJ3296" s="3">
        <f>IFERROR(__xludf.DUMMYFUNCTION("""COMPUTED_VALUE"""),3.0)</f>
        <v>3</v>
      </c>
      <c r="AK3296" s="3"/>
      <c r="AL3296" s="3"/>
    </row>
    <row r="3297" ht="15.75" customHeight="1">
      <c r="A3297" s="1" t="str">
        <f>IFERROR(__xludf.DUMMYFUNCTION("""COMPUTED_VALUE"""),"22749")</f>
        <v>22749</v>
      </c>
      <c r="B3297" s="2">
        <f>IFERROR(__xludf.DUMMYFUNCTION("""COMPUTED_VALUE"""),22749.0)</f>
        <v>22749</v>
      </c>
      <c r="C3297" s="3" t="str">
        <f>IFERROR(__xludf.DUMMYFUNCTION("""COMPUTED_VALUE"""),"BCM โรงพยาบาลสมเด็จพระปิ่นเกล้า กรุงเทพมหานคร")</f>
        <v>BCM โรงพยาบาลสมเด็จพระปิ่นเกล้า กรุงเทพมหานคร</v>
      </c>
      <c r="D3297" s="3" t="str">
        <f>IFERROR(__xludf.DUMMYFUNCTION("""COMPUTED_VALUE"""),"BCM SOMDECH PHRA PINKLAO")</f>
        <v>BCM SOMDECH PHRA PINKLAO</v>
      </c>
      <c r="E3297" s="1" t="str">
        <f>IFERROR(__xludf.DUMMYFUNCTION("""COMPUTED_VALUE"""),"บิ๊กซี MINI")</f>
        <v>บิ๊กซี MINI</v>
      </c>
      <c r="F3297" s="1" t="str">
        <f>IFERROR(__xludf.DUMMYFUNCTION("""COMPUTED_VALUE"""),"291008")</f>
        <v>291008</v>
      </c>
      <c r="G3297" s="1" t="str">
        <f>IFERROR(__xludf.DUMMYFUNCTION("""COMPUTED_VALUE"""),"น.ส.รัชดาพร อีศรัตน์")</f>
        <v>น.ส.รัชดาพร อีศรัตน์</v>
      </c>
      <c r="H3297" s="1" t="str">
        <f>IFERROR(__xludf.DUMMYFUNCTION("""COMPUTED_VALUE"""),"254800")</f>
        <v>254800</v>
      </c>
      <c r="I3297" s="1" t="str">
        <f>IFERROR(__xludf.DUMMYFUNCTION("""COMPUTED_VALUE"""),"น.ส.นัชมล กางกรณ์")</f>
        <v>น.ส.นัชมล กางกรณ์</v>
      </c>
      <c r="J3297" s="3">
        <f>IFERROR(__xludf.DUMMYFUNCTION("""COMPUTED_VALUE"""),296608.0)</f>
        <v>296608</v>
      </c>
      <c r="K3297" s="3" t="str">
        <f>IFERROR(__xludf.DUMMYFUNCTION("""COMPUTED_VALUE"""),"นายภาคภูมิ เพ็ชรนิล")</f>
        <v>นายภาคภูมิ เพ็ชรนิล</v>
      </c>
      <c r="L3297" s="1" t="str">
        <f>IFERROR(__xludf.DUMMYFUNCTION("""COMPUTED_VALUE"""),"10 K.Phakphoom P.")</f>
        <v>10 K.Phakphoom P.</v>
      </c>
      <c r="M3297" s="1" t="str">
        <f>IFERROR(__xludf.DUMMYFUNCTION("""COMPUTED_VALUE"""),"063-8955329")</f>
        <v>063-8955329</v>
      </c>
      <c r="N3297" s="3">
        <f>IFERROR(__xludf.DUMMYFUNCTION("""COMPUTED_VALUE"""),22584.0)</f>
        <v>22584</v>
      </c>
      <c r="O3297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3297" s="4">
        <f>IFERROR(__xludf.DUMMYFUNCTION("""COMPUTED_VALUE"""),45955.0)</f>
        <v>45955</v>
      </c>
      <c r="Q3297" s="3" t="str">
        <f>IFERROR(__xludf.DUMMYFUNCTION("""COMPUTED_VALUE"""),"A")</f>
        <v>A</v>
      </c>
      <c r="R3297" s="3" t="str">
        <f>IFERROR(__xludf.DUMMYFUNCTION("""COMPUTED_VALUE"""),"Small Format")</f>
        <v>Small Format</v>
      </c>
      <c r="S3297" s="3" t="str">
        <f>IFERROR(__xludf.DUMMYFUNCTION("""COMPUTED_VALUE"""),"BCM")</f>
        <v>BCM</v>
      </c>
      <c r="T3297" s="3" t="str">
        <f>IFERROR(__xludf.DUMMYFUNCTION("""COMPUTED_VALUE"""),"#N/A")</f>
        <v>#N/A</v>
      </c>
      <c r="U3297" s="3" t="str">
        <f>IFERROR(__xludf.DUMMYFUNCTION("""COMPUTED_VALUE"""),"#N/A")</f>
        <v>#N/A</v>
      </c>
      <c r="V3297" s="3" t="str">
        <f>IFERROR(__xludf.DUMMYFUNCTION("""COMPUTED_VALUE"""),"N")</f>
        <v>N</v>
      </c>
      <c r="W3297" s="3">
        <f>IFERROR(__xludf.DUMMYFUNCTION("""COMPUTED_VALUE"""),210860.0)</f>
        <v>210860</v>
      </c>
      <c r="X3297" s="3"/>
      <c r="Y3297" s="3"/>
      <c r="Z3297" s="3"/>
      <c r="AA3297" s="3"/>
      <c r="AB3297" s="3"/>
      <c r="AC3297" s="3"/>
      <c r="AD3297" s="3">
        <f>IFERROR(__xludf.DUMMYFUNCTION("""COMPUTED_VALUE"""),13.710686)</f>
        <v>13.710686</v>
      </c>
      <c r="AE3297" s="3">
        <f>IFERROR(__xludf.DUMMYFUNCTION("""COMPUTED_VALUE"""),100.485431)</f>
        <v>100.485431</v>
      </c>
      <c r="AF3297" s="3" t="str">
        <f>IFERROR(__xludf.DUMMYFUNCTION("""COMPUTED_VALUE"""),"BCM โรงพยาบาลสมเด็จพระปิ่นเกล้า กรุงเทพมหานคร-22749")</f>
        <v>BCM โรงพยาบาลสมเด็จพระปิ่นเกล้า กรุงเทพมหานคร-22749</v>
      </c>
      <c r="AG3297" s="3">
        <f>IFERROR(__xludf.DUMMYFUNCTION("""COMPUTED_VALUE"""),0.0)</f>
        <v>0</v>
      </c>
      <c r="AH3297" s="3" t="str">
        <f>IFERROR(__xludf.DUMMYFUNCTION("""COMPUTED_VALUE"""),"#N/A")</f>
        <v>#N/A</v>
      </c>
      <c r="AI3297" s="3" t="str">
        <f>IFERROR(__xludf.DUMMYFUNCTION("""COMPUTED_VALUE"""),"In warranty")</f>
        <v>In warranty</v>
      </c>
      <c r="AJ3297" s="3">
        <f>IFERROR(__xludf.DUMMYFUNCTION("""COMPUTED_VALUE"""),3.0)</f>
        <v>3</v>
      </c>
      <c r="AK3297" s="3"/>
      <c r="AL3297" s="3"/>
    </row>
    <row r="3298" ht="15.75" customHeight="1">
      <c r="A3298" s="1" t="str">
        <f>IFERROR(__xludf.DUMMYFUNCTION("""COMPUTED_VALUE"""),"22751")</f>
        <v>22751</v>
      </c>
      <c r="B3298" s="2">
        <f>IFERROR(__xludf.DUMMYFUNCTION("""COMPUTED_VALUE"""),22751.0)</f>
        <v>22751</v>
      </c>
      <c r="C3298" s="3" t="str">
        <f>IFERROR(__xludf.DUMMYFUNCTION("""COMPUTED_VALUE"""),"BCM วันบัดเจทป่ายาง เชียงราย")</f>
        <v>BCM วันบัดเจทป่ายาง เชียงราย</v>
      </c>
      <c r="D3298" s="3" t="str">
        <f>IFERROR(__xludf.DUMMYFUNCTION("""COMPUTED_VALUE"""),"BCM ONEBUDGET PAYANG CHIANGRAI")</f>
        <v>BCM ONEBUDGET PAYANG CHIANGRAI</v>
      </c>
      <c r="E3298" s="1" t="str">
        <f>IFERROR(__xludf.DUMMYFUNCTION("""COMPUTED_VALUE"""),"บิ๊กซี MINI")</f>
        <v>บิ๊กซี MINI</v>
      </c>
      <c r="F3298" s="1" t="str">
        <f>IFERROR(__xludf.DUMMYFUNCTION("""COMPUTED_VALUE"""),"296229")</f>
        <v>296229</v>
      </c>
      <c r="G3298" s="1" t="str">
        <f>IFERROR(__xludf.DUMMYFUNCTION("""COMPUTED_VALUE"""),"นายทนงศักดิ์ บุญมา")</f>
        <v>นายทนงศักดิ์ บุญมา</v>
      </c>
      <c r="H3298" s="1" t="str">
        <f>IFERROR(__xludf.DUMMYFUNCTION("""COMPUTED_VALUE"""),"392585")</f>
        <v>392585</v>
      </c>
      <c r="I3298" s="1" t="str">
        <f>IFERROR(__xludf.DUMMYFUNCTION("""COMPUTED_VALUE"""),"นายไชยัณต์ ผิวขัวเรียง")</f>
        <v>นายไชยัณต์ ผิวขัวเรียง</v>
      </c>
      <c r="J3298" s="3">
        <f>IFERROR(__xludf.DUMMYFUNCTION("""COMPUTED_VALUE"""),2010016.0)</f>
        <v>2010016</v>
      </c>
      <c r="K3298" s="3" t="str">
        <f>IFERROR(__xludf.DUMMYFUNCTION("""COMPUTED_VALUE"""),"นายตวงธรรม ใหม่ยศ")</f>
        <v>นายตวงธรรม ใหม่ยศ</v>
      </c>
      <c r="L3298" s="1" t="str">
        <f>IFERROR(__xludf.DUMMYFUNCTION("""COMPUTED_VALUE"""),"01 K.Tuangtham M.")</f>
        <v>01 K.Tuangtham M.</v>
      </c>
      <c r="M3298" s="1" t="str">
        <f>IFERROR(__xludf.DUMMYFUNCTION("""COMPUTED_VALUE"""),"063-976-595")</f>
        <v>063-976-595</v>
      </c>
      <c r="N3298" s="3">
        <f>IFERROR(__xludf.DUMMYFUNCTION("""COMPUTED_VALUE"""),22574.0)</f>
        <v>22574</v>
      </c>
      <c r="O3298" s="3" t="str">
        <f>IFERROR(__xludf.DUMMYFUNCTION("""COMPUTED_VALUE"""),"BCM ชุมชนศรีชุม ลำปาง")</f>
        <v>BCM ชุมชนศรีชุม ลำปาง</v>
      </c>
      <c r="P3298" s="4">
        <f>IFERROR(__xludf.DUMMYFUNCTION("""COMPUTED_VALUE"""),45991.0)</f>
        <v>45991</v>
      </c>
      <c r="Q3298" s="3" t="str">
        <f>IFERROR(__xludf.DUMMYFUNCTION("""COMPUTED_VALUE"""),"A")</f>
        <v>A</v>
      </c>
      <c r="R3298" s="3" t="str">
        <f>IFERROR(__xludf.DUMMYFUNCTION("""COMPUTED_VALUE"""),"Small Format")</f>
        <v>Small Format</v>
      </c>
      <c r="S3298" s="3" t="str">
        <f>IFERROR(__xludf.DUMMYFUNCTION("""COMPUTED_VALUE"""),"BCM")</f>
        <v>BCM</v>
      </c>
      <c r="T3298" s="3" t="str">
        <f>IFERROR(__xludf.DUMMYFUNCTION("""COMPUTED_VALUE"""),"#N/A")</f>
        <v>#N/A</v>
      </c>
      <c r="U3298" s="3" t="str">
        <f>IFERROR(__xludf.DUMMYFUNCTION("""COMPUTED_VALUE"""),"#N/A")</f>
        <v>#N/A</v>
      </c>
      <c r="V3298" s="3" t="str">
        <f>IFERROR(__xludf.DUMMYFUNCTION("""COMPUTED_VALUE"""),"N")</f>
        <v>N</v>
      </c>
      <c r="W3298" s="3">
        <f>IFERROR(__xludf.DUMMYFUNCTION("""COMPUTED_VALUE"""),210855.0)</f>
        <v>210855</v>
      </c>
      <c r="X3298" s="3" t="str">
        <f>IFERROR(__xludf.DUMMYFUNCTION("""COMPUTED_VALUE"""),"711/1 หมู่ที่ 6 ตำบลแม่สาย อำเภอแม่สาย จังหวัดเชียงราย 57130")</f>
        <v>711/1 หมู่ที่ 6 ตำบลแม่สาย อำเภอแม่สาย จังหวัดเชียงราย 57130</v>
      </c>
      <c r="Y3298" s="3"/>
      <c r="Z3298" s="3" t="str">
        <f>IFERROR(__xludf.DUMMYFUNCTION("""COMPUTED_VALUE"""),"แม่สาย")</f>
        <v>แม่สาย</v>
      </c>
      <c r="AA3298" s="3" t="str">
        <f>IFERROR(__xludf.DUMMYFUNCTION("""COMPUTED_VALUE"""),"แม่สาย")</f>
        <v>แม่สาย</v>
      </c>
      <c r="AB3298" s="3" t="str">
        <f>IFERROR(__xludf.DUMMYFUNCTION("""COMPUTED_VALUE"""),"เชียงราย")</f>
        <v>เชียงราย</v>
      </c>
      <c r="AC3298" s="3">
        <f>IFERROR(__xludf.DUMMYFUNCTION("""COMPUTED_VALUE"""),57130.0)</f>
        <v>57130</v>
      </c>
      <c r="AD3298" s="3">
        <f>IFERROR(__xludf.DUMMYFUNCTION("""COMPUTED_VALUE"""),20.423365)</f>
        <v>20.423365</v>
      </c>
      <c r="AE3298" s="3">
        <f>IFERROR(__xludf.DUMMYFUNCTION("""COMPUTED_VALUE"""),99.894162)</f>
        <v>99.894162</v>
      </c>
      <c r="AF3298" s="3" t="str">
        <f>IFERROR(__xludf.DUMMYFUNCTION("""COMPUTED_VALUE"""),"BCM วันบัดเจทป่ายาง เชียงราย-22751")</f>
        <v>BCM วันบัดเจทป่ายาง เชียงราย-22751</v>
      </c>
      <c r="AG3298" s="3" t="str">
        <f>IFERROR(__xludf.DUMMYFUNCTION("""COMPUTED_VALUE"""),"เหนือ")</f>
        <v>เหนือ</v>
      </c>
      <c r="AH3298" s="3" t="str">
        <f>IFERROR(__xludf.DUMMYFUNCTION("""COMPUTED_VALUE"""),"#N/A")</f>
        <v>#N/A</v>
      </c>
      <c r="AI3298" s="3" t="str">
        <f>IFERROR(__xludf.DUMMYFUNCTION("""COMPUTED_VALUE"""),"In warranty")</f>
        <v>In warranty</v>
      </c>
      <c r="AJ3298" s="3">
        <f>IFERROR(__xludf.DUMMYFUNCTION("""COMPUTED_VALUE"""),2.0)</f>
        <v>2</v>
      </c>
      <c r="AK3298" s="3"/>
      <c r="AL3298" s="3"/>
    </row>
    <row r="3299" ht="15.75" customHeight="1">
      <c r="A3299" s="1" t="str">
        <f>IFERROR(__xludf.DUMMYFUNCTION("""COMPUTED_VALUE"""),"22752")</f>
        <v>22752</v>
      </c>
      <c r="B3299" s="2">
        <f>IFERROR(__xludf.DUMMYFUNCTION("""COMPUTED_VALUE"""),22752.0)</f>
        <v>22752</v>
      </c>
      <c r="C3299" s="3" t="str">
        <f>IFERROR(__xludf.DUMMYFUNCTION("""COMPUTED_VALUE"""),"BCM เดินเพลินวิลเลจ อุดรธานี")</f>
        <v>BCM เดินเพลินวิลเลจ อุดรธานี</v>
      </c>
      <c r="D3299" s="3" t="str">
        <f>IFERROR(__xludf.DUMMYFUNCTION("""COMPUTED_VALUE"""),"BCM DERN PLOEN VILLAGE UDON")</f>
        <v>BCM DERN PLOEN VILLAGE UDON</v>
      </c>
      <c r="E3299" s="1" t="str">
        <f>IFERROR(__xludf.DUMMYFUNCTION("""COMPUTED_VALUE"""),"บิ๊กซี MINI")</f>
        <v>บิ๊กซี MINI</v>
      </c>
      <c r="F3299" s="1" t="str">
        <f>IFERROR(__xludf.DUMMYFUNCTION("""COMPUTED_VALUE"""),"291105")</f>
        <v>291105</v>
      </c>
      <c r="G3299" s="1" t="str">
        <f>IFERROR(__xludf.DUMMYFUNCTION("""COMPUTED_VALUE"""),"นายสราวุฒิ พณิชยกุล")</f>
        <v>นายสราวุฒิ พณิชยกุล</v>
      </c>
      <c r="H3299" s="1" t="str">
        <f>IFERROR(__xludf.DUMMYFUNCTION("""COMPUTED_VALUE"""),"392885")</f>
        <v>392885</v>
      </c>
      <c r="I3299" s="1" t="str">
        <f>IFERROR(__xludf.DUMMYFUNCTION("""COMPUTED_VALUE"""),"น.ส.วราพร จันปลิว")</f>
        <v>น.ส.วราพร จันปลิว</v>
      </c>
      <c r="J3299" s="3">
        <f>IFERROR(__xludf.DUMMYFUNCTION("""COMPUTED_VALUE"""),296868.0)</f>
        <v>296868</v>
      </c>
      <c r="K3299" s="3" t="str">
        <f>IFERROR(__xludf.DUMMYFUNCTION("""COMPUTED_VALUE"""),"นายพีระพงษ์ แก้วดวงดี")</f>
        <v>นายพีระพงษ์ แก้วดวงดี</v>
      </c>
      <c r="L3299" s="1" t="str">
        <f>IFERROR(__xludf.DUMMYFUNCTION("""COMPUTED_VALUE"""),"03 K.Peerapong K.")</f>
        <v>03 K.Peerapong K.</v>
      </c>
      <c r="M3299" s="1" t="str">
        <f>IFERROR(__xludf.DUMMYFUNCTION("""COMPUTED_VALUE"""),"089-002-6599")</f>
        <v>089-002-6599</v>
      </c>
      <c r="N3299" s="3">
        <f>IFERROR(__xludf.DUMMYFUNCTION("""COMPUTED_VALUE"""),21946.0)</f>
        <v>21946</v>
      </c>
      <c r="O3299" s="3" t="str">
        <f>IFERROR(__xludf.DUMMYFUNCTION("""COMPUTED_VALUE"""),"MBC เซกา บึงกาฬ")</f>
        <v>MBC เซกา บึงกาฬ</v>
      </c>
      <c r="P3299" s="4">
        <f>IFERROR(__xludf.DUMMYFUNCTION("""COMPUTED_VALUE"""),45977.0)</f>
        <v>45977</v>
      </c>
      <c r="Q3299" s="3" t="str">
        <f>IFERROR(__xludf.DUMMYFUNCTION("""COMPUTED_VALUE"""),"A")</f>
        <v>A</v>
      </c>
      <c r="R3299" s="3" t="str">
        <f>IFERROR(__xludf.DUMMYFUNCTION("""COMPUTED_VALUE"""),"Small Format")</f>
        <v>Small Format</v>
      </c>
      <c r="S3299" s="3" t="str">
        <f>IFERROR(__xludf.DUMMYFUNCTION("""COMPUTED_VALUE"""),"BCM")</f>
        <v>BCM</v>
      </c>
      <c r="T3299" s="3" t="str">
        <f>IFERROR(__xludf.DUMMYFUNCTION("""COMPUTED_VALUE"""),"#N/A")</f>
        <v>#N/A</v>
      </c>
      <c r="U3299" s="3" t="str">
        <f>IFERROR(__xludf.DUMMYFUNCTION("""COMPUTED_VALUE"""),"#N/A")</f>
        <v>#N/A</v>
      </c>
      <c r="V3299" s="3" t="str">
        <f>IFERROR(__xludf.DUMMYFUNCTION("""COMPUTED_VALUE"""),"N")</f>
        <v>N</v>
      </c>
      <c r="W3299" s="3">
        <f>IFERROR(__xludf.DUMMYFUNCTION("""COMPUTED_VALUE"""),210854.0)</f>
        <v>210854</v>
      </c>
      <c r="X3299" s="3" t="str">
        <f>IFERROR(__xludf.DUMMYFUNCTION("""COMPUTED_VALUE"""),"888/32 หมู่ที่ 4 ตำบลหนองขอนกว้าง อำเภอเมืองอุดรธานี จังหวัดอุดรธานี 41000")</f>
        <v>888/32 หมู่ที่ 4 ตำบลหนองขอนกว้าง อำเภอเมืองอุดรธานี จังหวัดอุดรธานี 41000</v>
      </c>
      <c r="Y3299" s="3"/>
      <c r="Z3299" s="3" t="str">
        <f>IFERROR(__xludf.DUMMYFUNCTION("""COMPUTED_VALUE"""),"หนองขอนกว้าง")</f>
        <v>หนองขอนกว้าง</v>
      </c>
      <c r="AA3299" s="3" t="str">
        <f>IFERROR(__xludf.DUMMYFUNCTION("""COMPUTED_VALUE"""),"เมืองอุดรธานี")</f>
        <v>เมืองอุดรธานี</v>
      </c>
      <c r="AB3299" s="3" t="str">
        <f>IFERROR(__xludf.DUMMYFUNCTION("""COMPUTED_VALUE"""),"อุดรธานี")</f>
        <v>อุดรธานี</v>
      </c>
      <c r="AC3299" s="3">
        <f>IFERROR(__xludf.DUMMYFUNCTION("""COMPUTED_VALUE"""),41000.0)</f>
        <v>41000</v>
      </c>
      <c r="AD3299" s="3">
        <f>IFERROR(__xludf.DUMMYFUNCTION("""COMPUTED_VALUE"""),17.381295)</f>
        <v>17.381295</v>
      </c>
      <c r="AE3299" s="3">
        <f>IFERROR(__xludf.DUMMYFUNCTION("""COMPUTED_VALUE"""),102.834301)</f>
        <v>102.834301</v>
      </c>
      <c r="AF3299" s="3" t="str">
        <f>IFERROR(__xludf.DUMMYFUNCTION("""COMPUTED_VALUE"""),"BCM เดินเพลินวิลเลจ อุดรธานี-22752")</f>
        <v>BCM เดินเพลินวิลเลจ อุดรธานี-22752</v>
      </c>
      <c r="AG3299" s="3" t="str">
        <f>IFERROR(__xludf.DUMMYFUNCTION("""COMPUTED_VALUE"""),"ตะวันออกเฉียงเหนือ")</f>
        <v>ตะวันออกเฉียงเหนือ</v>
      </c>
      <c r="AH3299" s="3" t="str">
        <f>IFERROR(__xludf.DUMMYFUNCTION("""COMPUTED_VALUE"""),"#N/A")</f>
        <v>#N/A</v>
      </c>
      <c r="AI3299" s="3" t="str">
        <f>IFERROR(__xludf.DUMMYFUNCTION("""COMPUTED_VALUE"""),"In warranty")</f>
        <v>In warranty</v>
      </c>
      <c r="AJ3299" s="3">
        <f>IFERROR(__xludf.DUMMYFUNCTION("""COMPUTED_VALUE"""),3.0)</f>
        <v>3</v>
      </c>
      <c r="AK3299" s="3"/>
      <c r="AL3299" s="3"/>
    </row>
    <row r="3300" ht="15.75" customHeight="1">
      <c r="A3300" s="1" t="str">
        <f>IFERROR(__xludf.DUMMYFUNCTION("""COMPUTED_VALUE"""),"22756")</f>
        <v>22756</v>
      </c>
      <c r="B3300" s="2">
        <f>IFERROR(__xludf.DUMMYFUNCTION("""COMPUTED_VALUE"""),22756.0)</f>
        <v>22756</v>
      </c>
      <c r="C3300" s="3" t="str">
        <f>IFERROR(__xludf.DUMMYFUNCTION("""COMPUTED_VALUE"""),"BCM ตลาดบ้านกอก ขอนแก่น")</f>
        <v>BCM ตลาดบ้านกอก ขอนแก่น</v>
      </c>
      <c r="D3300" s="3" t="str">
        <f>IFERROR(__xludf.DUMMYFUNCTION("""COMPUTED_VALUE"""),"BCM TALAD BAN KOK KHONKAEN")</f>
        <v>BCM TALAD BAN KOK KHONKAEN</v>
      </c>
      <c r="E3300" s="1" t="str">
        <f>IFERROR(__xludf.DUMMYFUNCTION("""COMPUTED_VALUE"""),"บิ๊กซี MINI")</f>
        <v>บิ๊กซี MINI</v>
      </c>
      <c r="F3300" s="1" t="str">
        <f>IFERROR(__xludf.DUMMYFUNCTION("""COMPUTED_VALUE"""),"291105")</f>
        <v>291105</v>
      </c>
      <c r="G3300" s="1" t="str">
        <f>IFERROR(__xludf.DUMMYFUNCTION("""COMPUTED_VALUE"""),"นายสราวุฒิ พณิชยกุล")</f>
        <v>นายสราวุฒิ พณิชยกุล</v>
      </c>
      <c r="H3300" s="1" t="str">
        <f>IFERROR(__xludf.DUMMYFUNCTION("""COMPUTED_VALUE"""),"371396")</f>
        <v>371396</v>
      </c>
      <c r="I3300" s="1" t="str">
        <f>IFERROR(__xludf.DUMMYFUNCTION("""COMPUTED_VALUE"""),"น.ส.สุภาวดี วิลัยพร")</f>
        <v>น.ส.สุภาวดี วิลัยพร</v>
      </c>
      <c r="J3300" s="3">
        <f>IFERROR(__xludf.DUMMYFUNCTION("""COMPUTED_VALUE"""),15361.0)</f>
        <v>15361</v>
      </c>
      <c r="K3300" s="3" t="str">
        <f>IFERROR(__xludf.DUMMYFUNCTION("""COMPUTED_VALUE"""),"นายสมบูรณ์ พรหมในเมือง")</f>
        <v>นายสมบูรณ์ พรหมในเมือง</v>
      </c>
      <c r="L3300" s="1" t="str">
        <f>IFERROR(__xludf.DUMMYFUNCTION("""COMPUTED_VALUE"""),"04 K.Somboon P.")</f>
        <v>04 K.Somboon P.</v>
      </c>
      <c r="M3300" s="1" t="str">
        <f>IFERROR(__xludf.DUMMYFUNCTION("""COMPUTED_VALUE"""),"087-965-3051")</f>
        <v>087-965-3051</v>
      </c>
      <c r="N3300" s="3">
        <f>IFERROR(__xludf.DUMMYFUNCTION("""COMPUTED_VALUE"""),21869.0)</f>
        <v>21869</v>
      </c>
      <c r="O3300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3300" s="4">
        <f>IFERROR(__xludf.DUMMYFUNCTION("""COMPUTED_VALUE"""),45987.0)</f>
        <v>45987</v>
      </c>
      <c r="Q3300" s="3" t="str">
        <f>IFERROR(__xludf.DUMMYFUNCTION("""COMPUTED_VALUE"""),"A")</f>
        <v>A</v>
      </c>
      <c r="R3300" s="3" t="str">
        <f>IFERROR(__xludf.DUMMYFUNCTION("""COMPUTED_VALUE"""),"Small Format")</f>
        <v>Small Format</v>
      </c>
      <c r="S3300" s="3" t="str">
        <f>IFERROR(__xludf.DUMMYFUNCTION("""COMPUTED_VALUE"""),"BCM")</f>
        <v>BCM</v>
      </c>
      <c r="T3300" s="3" t="str">
        <f>IFERROR(__xludf.DUMMYFUNCTION("""COMPUTED_VALUE"""),"#N/A")</f>
        <v>#N/A</v>
      </c>
      <c r="U3300" s="3" t="str">
        <f>IFERROR(__xludf.DUMMYFUNCTION("""COMPUTED_VALUE"""),"#N/A")</f>
        <v>#N/A</v>
      </c>
      <c r="V3300" s="3" t="str">
        <f>IFERROR(__xludf.DUMMYFUNCTION("""COMPUTED_VALUE"""),"N")</f>
        <v>N</v>
      </c>
      <c r="W3300" s="3">
        <f>IFERROR(__xludf.DUMMYFUNCTION("""COMPUTED_VALUE"""),210841.0)</f>
        <v>210841</v>
      </c>
      <c r="X3300" s="3" t="str">
        <f>IFERROR(__xludf.DUMMYFUNCTION("""COMPUTED_VALUE"""),"335 หมู่ที่ 7 ตำบลบ้านเป็ด อำเภอเมืองขอนแก่น จังหวัดขอนแก่น 40000")</f>
        <v>335 หมู่ที่ 7 ตำบลบ้านเป็ด อำเภอเมืองขอนแก่น จังหวัดขอนแก่น 40000</v>
      </c>
      <c r="Y3300" s="3"/>
      <c r="Z3300" s="3" t="str">
        <f>IFERROR(__xludf.DUMMYFUNCTION("""COMPUTED_VALUE"""),"บ้านเป็ด")</f>
        <v>บ้านเป็ด</v>
      </c>
      <c r="AA3300" s="3" t="str">
        <f>IFERROR(__xludf.DUMMYFUNCTION("""COMPUTED_VALUE"""),"เมืองขอนแก่น")</f>
        <v>เมืองขอนแก่น</v>
      </c>
      <c r="AB3300" s="3" t="str">
        <f>IFERROR(__xludf.DUMMYFUNCTION("""COMPUTED_VALUE"""),"ขอนแก่น")</f>
        <v>ขอนแก่น</v>
      </c>
      <c r="AC3300" s="3">
        <f>IFERROR(__xludf.DUMMYFUNCTION("""COMPUTED_VALUE"""),40000.0)</f>
        <v>40000</v>
      </c>
      <c r="AD3300" s="3">
        <f>IFERROR(__xludf.DUMMYFUNCTION("""COMPUTED_VALUE"""),16.422231)</f>
        <v>16.422231</v>
      </c>
      <c r="AE3300" s="3">
        <f>IFERROR(__xludf.DUMMYFUNCTION("""COMPUTED_VALUE"""),102.805355)</f>
        <v>102.805355</v>
      </c>
      <c r="AF3300" s="3" t="str">
        <f>IFERROR(__xludf.DUMMYFUNCTION("""COMPUTED_VALUE"""),"BCM ตลาดบ้านกอก ขอนแก่น-22756")</f>
        <v>BCM ตลาดบ้านกอก ขอนแก่น-22756</v>
      </c>
      <c r="AG3300" s="3" t="str">
        <f>IFERROR(__xludf.DUMMYFUNCTION("""COMPUTED_VALUE"""),"ตะวันออกเฉียงเหนือ")</f>
        <v>ตะวันออกเฉียงเหนือ</v>
      </c>
      <c r="AH3300" s="3" t="str">
        <f>IFERROR(__xludf.DUMMYFUNCTION("""COMPUTED_VALUE"""),"#N/A")</f>
        <v>#N/A</v>
      </c>
      <c r="AI3300" s="3" t="str">
        <f>IFERROR(__xludf.DUMMYFUNCTION("""COMPUTED_VALUE"""),"In warranty")</f>
        <v>In warranty</v>
      </c>
      <c r="AJ3300" s="3">
        <f>IFERROR(__xludf.DUMMYFUNCTION("""COMPUTED_VALUE"""),2.0)</f>
        <v>2</v>
      </c>
      <c r="AK3300" s="3"/>
      <c r="AL3300" s="3"/>
    </row>
    <row r="3301" ht="15.75" customHeight="1">
      <c r="A3301" s="1" t="str">
        <f>IFERROR(__xludf.DUMMYFUNCTION("""COMPUTED_VALUE"""),"22759")</f>
        <v>22759</v>
      </c>
      <c r="B3301" s="2">
        <f>IFERROR(__xludf.DUMMYFUNCTION("""COMPUTED_VALUE"""),22759.0)</f>
        <v>22759</v>
      </c>
      <c r="C3301" s="3" t="str">
        <f>IFERROR(__xludf.DUMMYFUNCTION("""COMPUTED_VALUE"""),"BCM ชุมชนหนองใส อุดรธานี")</f>
        <v>BCM ชุมชนหนองใส อุดรธานี</v>
      </c>
      <c r="D3301" s="3" t="str">
        <f>IFERROR(__xludf.DUMMYFUNCTION("""COMPUTED_VALUE"""),"BCM CHUMCHON NONG SAI UDON")</f>
        <v>BCM CHUMCHON NONG SAI UDON</v>
      </c>
      <c r="E3301" s="1" t="str">
        <f>IFERROR(__xludf.DUMMYFUNCTION("""COMPUTED_VALUE"""),"บิ๊กซี MINI")</f>
        <v>บิ๊กซี MINI</v>
      </c>
      <c r="F3301" s="1" t="str">
        <f>IFERROR(__xludf.DUMMYFUNCTION("""COMPUTED_VALUE"""),"291105")</f>
        <v>291105</v>
      </c>
      <c r="G3301" s="1" t="str">
        <f>IFERROR(__xludf.DUMMYFUNCTION("""COMPUTED_VALUE"""),"นายสราวุฒิ พณิชยกุล")</f>
        <v>นายสราวุฒิ พณิชยกุล</v>
      </c>
      <c r="H3301" s="1" t="str">
        <f>IFERROR(__xludf.DUMMYFUNCTION("""COMPUTED_VALUE"""),"392005")</f>
        <v>392005</v>
      </c>
      <c r="I3301" s="1" t="str">
        <f>IFERROR(__xludf.DUMMYFUNCTION("""COMPUTED_VALUE"""),"นายรัฐพล หาญลำยวง")</f>
        <v>นายรัฐพล หาญลำยวง</v>
      </c>
      <c r="J3301" s="3">
        <f>IFERROR(__xludf.DUMMYFUNCTION("""COMPUTED_VALUE"""),296868.0)</f>
        <v>296868</v>
      </c>
      <c r="K3301" s="3" t="str">
        <f>IFERROR(__xludf.DUMMYFUNCTION("""COMPUTED_VALUE"""),"นายพีระพงษ์ แก้วดวงดี")</f>
        <v>นายพีระพงษ์ แก้วดวงดี</v>
      </c>
      <c r="L3301" s="1" t="str">
        <f>IFERROR(__xludf.DUMMYFUNCTION("""COMPUTED_VALUE"""),"03 K.Peerapong K.")</f>
        <v>03 K.Peerapong K.</v>
      </c>
      <c r="M3301" s="1" t="str">
        <f>IFERROR(__xludf.DUMMYFUNCTION("""COMPUTED_VALUE"""),"089-002-6599")</f>
        <v>089-002-6599</v>
      </c>
      <c r="N3301" s="3">
        <f>IFERROR(__xludf.DUMMYFUNCTION("""COMPUTED_VALUE"""),21946.0)</f>
        <v>21946</v>
      </c>
      <c r="O3301" s="3" t="str">
        <f>IFERROR(__xludf.DUMMYFUNCTION("""COMPUTED_VALUE"""),"MBC เซกา บึงกาฬ")</f>
        <v>MBC เซกา บึงกาฬ</v>
      </c>
      <c r="P3301" s="4">
        <f>IFERROR(__xludf.DUMMYFUNCTION("""COMPUTED_VALUE"""),46004.0)</f>
        <v>46004</v>
      </c>
      <c r="Q3301" s="3" t="str">
        <f>IFERROR(__xludf.DUMMYFUNCTION("""COMPUTED_VALUE"""),"A")</f>
        <v>A</v>
      </c>
      <c r="R3301" s="3" t="str">
        <f>IFERROR(__xludf.DUMMYFUNCTION("""COMPUTED_VALUE"""),"Small Format")</f>
        <v>Small Format</v>
      </c>
      <c r="S3301" s="3" t="str">
        <f>IFERROR(__xludf.DUMMYFUNCTION("""COMPUTED_VALUE"""),"BCM")</f>
        <v>BCM</v>
      </c>
      <c r="T3301" s="3" t="str">
        <f>IFERROR(__xludf.DUMMYFUNCTION("""COMPUTED_VALUE"""),"#N/A")</f>
        <v>#N/A</v>
      </c>
      <c r="U3301" s="3" t="str">
        <f>IFERROR(__xludf.DUMMYFUNCTION("""COMPUTED_VALUE"""),"#N/A")</f>
        <v>#N/A</v>
      </c>
      <c r="V3301" s="3" t="str">
        <f>IFERROR(__xludf.DUMMYFUNCTION("""COMPUTED_VALUE"""),"N")</f>
        <v>N</v>
      </c>
      <c r="W3301" s="3">
        <f>IFERROR(__xludf.DUMMYFUNCTION("""COMPUTED_VALUE"""),210861.0)</f>
        <v>210861</v>
      </c>
      <c r="X3301" s="3" t="str">
        <f>IFERROR(__xludf.DUMMYFUNCTION("""COMPUTED_VALUE"""),"896 หมู่ที่ 3 ตำบลหนองนาคำ อำเภอเมืองอุดรธานี จังหวัดอุดรธานี 41000")</f>
        <v>896 หมู่ที่ 3 ตำบลหนองนาคำ อำเภอเมืองอุดรธานี จังหวัดอุดรธานี 41000</v>
      </c>
      <c r="Y3301" s="3"/>
      <c r="Z3301" s="3" t="str">
        <f>IFERROR(__xludf.DUMMYFUNCTION("""COMPUTED_VALUE"""),"หนองนาคำ")</f>
        <v>หนองนาคำ</v>
      </c>
      <c r="AA3301" s="3" t="str">
        <f>IFERROR(__xludf.DUMMYFUNCTION("""COMPUTED_VALUE"""),"เมืองอุดรธานี")</f>
        <v>เมืองอุดรธานี</v>
      </c>
      <c r="AB3301" s="3" t="str">
        <f>IFERROR(__xludf.DUMMYFUNCTION("""COMPUTED_VALUE"""),"อุดรธานี")</f>
        <v>อุดรธานี</v>
      </c>
      <c r="AC3301" s="3">
        <f>IFERROR(__xludf.DUMMYFUNCTION("""COMPUTED_VALUE"""),41000.0)</f>
        <v>41000</v>
      </c>
      <c r="AD3301" s="3">
        <f>IFERROR(__xludf.DUMMYFUNCTION("""COMPUTED_VALUE"""),17.411335)</f>
        <v>17.411335</v>
      </c>
      <c r="AE3301" s="3">
        <f>IFERROR(__xludf.DUMMYFUNCTION("""COMPUTED_VALUE"""),102.84953)</f>
        <v>102.84953</v>
      </c>
      <c r="AF3301" s="3" t="str">
        <f>IFERROR(__xludf.DUMMYFUNCTION("""COMPUTED_VALUE"""),"BCM ชุมชนหนองใส อุดรธานี-22759")</f>
        <v>BCM ชุมชนหนองใส อุดรธานี-22759</v>
      </c>
      <c r="AG3301" s="3" t="str">
        <f>IFERROR(__xludf.DUMMYFUNCTION("""COMPUTED_VALUE"""),"ตะวันออกเฉียงเหนือ")</f>
        <v>ตะวันออกเฉียงเหนือ</v>
      </c>
      <c r="AH3301" s="3" t="str">
        <f>IFERROR(__xludf.DUMMYFUNCTION("""COMPUTED_VALUE"""),"#N/A")</f>
        <v>#N/A</v>
      </c>
      <c r="AI3301" s="3" t="str">
        <f>IFERROR(__xludf.DUMMYFUNCTION("""COMPUTED_VALUE"""),"In warranty")</f>
        <v>In warranty</v>
      </c>
      <c r="AJ3301" s="3">
        <f>IFERROR(__xludf.DUMMYFUNCTION("""COMPUTED_VALUE"""),2.0)</f>
        <v>2</v>
      </c>
      <c r="AK3301" s="3"/>
      <c r="AL3301" s="3"/>
    </row>
    <row r="3302" ht="15.75" customHeight="1">
      <c r="A3302" s="1" t="str">
        <f>IFERROR(__xludf.DUMMYFUNCTION("""COMPUTED_VALUE"""),"22761")</f>
        <v>22761</v>
      </c>
      <c r="B3302" s="2">
        <f>IFERROR(__xludf.DUMMYFUNCTION("""COMPUTED_VALUE"""),22761.0)</f>
        <v>22761</v>
      </c>
      <c r="C3302" s="3" t="str">
        <f>IFERROR(__xludf.DUMMYFUNCTION("""COMPUTED_VALUE"""),"BCM ชุมชนหนองไผ่ ขอนแก่น")</f>
        <v>BCM ชุมชนหนองไผ่ ขอนแก่น</v>
      </c>
      <c r="D3302" s="3" t="str">
        <f>IFERROR(__xludf.DUMMYFUNCTION("""COMPUTED_VALUE"""),"BCM CHUMCHON NONG PHAI KHONKAE")</f>
        <v>BCM CHUMCHON NONG PHAI KHONKAE</v>
      </c>
      <c r="E3302" s="1" t="str">
        <f>IFERROR(__xludf.DUMMYFUNCTION("""COMPUTED_VALUE"""),"บิ๊กซี MINI")</f>
        <v>บิ๊กซี MINI</v>
      </c>
      <c r="F3302" s="1" t="str">
        <f>IFERROR(__xludf.DUMMYFUNCTION("""COMPUTED_VALUE"""),"291105")</f>
        <v>291105</v>
      </c>
      <c r="G3302" s="1" t="str">
        <f>IFERROR(__xludf.DUMMYFUNCTION("""COMPUTED_VALUE"""),"นายสราวุฒิ พณิชยกุล")</f>
        <v>นายสราวุฒิ พณิชยกุล</v>
      </c>
      <c r="H3302" s="1" t="str">
        <f>IFERROR(__xludf.DUMMYFUNCTION("""COMPUTED_VALUE"""),"305119")</f>
        <v>305119</v>
      </c>
      <c r="I3302" s="1" t="str">
        <f>IFERROR(__xludf.DUMMYFUNCTION("""COMPUTED_VALUE"""),"นายไชยกร ลีพิบูลย์สวัสดิ์")</f>
        <v>นายไชยกร ลีพิบูลย์สวัสดิ์</v>
      </c>
      <c r="J3302" s="3">
        <f>IFERROR(__xludf.DUMMYFUNCTION("""COMPUTED_VALUE"""),296868.0)</f>
        <v>296868</v>
      </c>
      <c r="K3302" s="3" t="str">
        <f>IFERROR(__xludf.DUMMYFUNCTION("""COMPUTED_VALUE"""),"นายพีระพงษ์ แก้วดวงดี")</f>
        <v>นายพีระพงษ์ แก้วดวงดี</v>
      </c>
      <c r="L3302" s="1" t="str">
        <f>IFERROR(__xludf.DUMMYFUNCTION("""COMPUTED_VALUE"""),"03 K.Peerapong K.")</f>
        <v>03 K.Peerapong K.</v>
      </c>
      <c r="M3302" s="1" t="str">
        <f>IFERROR(__xludf.DUMMYFUNCTION("""COMPUTED_VALUE"""),"089-002-6599")</f>
        <v>089-002-6599</v>
      </c>
      <c r="N3302" s="3">
        <f>IFERROR(__xludf.DUMMYFUNCTION("""COMPUTED_VALUE"""),21946.0)</f>
        <v>21946</v>
      </c>
      <c r="O3302" s="3" t="str">
        <f>IFERROR(__xludf.DUMMYFUNCTION("""COMPUTED_VALUE"""),"MBC เซกา บึงกาฬ")</f>
        <v>MBC เซกา บึงกาฬ</v>
      </c>
      <c r="P3302" s="4">
        <f>IFERROR(__xludf.DUMMYFUNCTION("""COMPUTED_VALUE"""),46010.0)</f>
        <v>46010</v>
      </c>
      <c r="Q3302" s="3" t="str">
        <f>IFERROR(__xludf.DUMMYFUNCTION("""COMPUTED_VALUE"""),"A")</f>
        <v>A</v>
      </c>
      <c r="R3302" s="3" t="str">
        <f>IFERROR(__xludf.DUMMYFUNCTION("""COMPUTED_VALUE"""),"Small Format")</f>
        <v>Small Format</v>
      </c>
      <c r="S3302" s="3" t="str">
        <f>IFERROR(__xludf.DUMMYFUNCTION("""COMPUTED_VALUE"""),"BCM")</f>
        <v>BCM</v>
      </c>
      <c r="T3302" s="3" t="str">
        <f>IFERROR(__xludf.DUMMYFUNCTION("""COMPUTED_VALUE"""),"#N/A")</f>
        <v>#N/A</v>
      </c>
      <c r="U3302" s="3" t="str">
        <f>IFERROR(__xludf.DUMMYFUNCTION("""COMPUTED_VALUE"""),"#N/A")</f>
        <v>#N/A</v>
      </c>
      <c r="V3302" s="3" t="str">
        <f>IFERROR(__xludf.DUMMYFUNCTION("""COMPUTED_VALUE"""),"N")</f>
        <v>N</v>
      </c>
      <c r="W3302" s="3">
        <f>IFERROR(__xludf.DUMMYFUNCTION("""COMPUTED_VALUE"""),210858.0)</f>
        <v>210858</v>
      </c>
      <c r="X3302" s="3" t="str">
        <f>IFERROR(__xludf.DUMMYFUNCTION("""COMPUTED_VALUE"""),"255 หมู่ที่ 14 ตำบลศิลา อำเภอเมืองขอนแก่น จังหวัดขอนแก่น 40000")</f>
        <v>255 หมู่ที่ 14 ตำบลศิลา อำเภอเมืองขอนแก่น จังหวัดขอนแก่น 40000</v>
      </c>
      <c r="Y3302" s="3"/>
      <c r="Z3302" s="3" t="str">
        <f>IFERROR(__xludf.DUMMYFUNCTION("""COMPUTED_VALUE"""),"ศิลา")</f>
        <v>ศิลา</v>
      </c>
      <c r="AA3302" s="3" t="str">
        <f>IFERROR(__xludf.DUMMYFUNCTION("""COMPUTED_VALUE"""),"เมืองขอนแก่น")</f>
        <v>เมืองขอนแก่น</v>
      </c>
      <c r="AB3302" s="3" t="str">
        <f>IFERROR(__xludf.DUMMYFUNCTION("""COMPUTED_VALUE"""),"ขอนแก่น")</f>
        <v>ขอนแก่น</v>
      </c>
      <c r="AC3302" s="3">
        <f>IFERROR(__xludf.DUMMYFUNCTION("""COMPUTED_VALUE"""),40000.0)</f>
        <v>40000</v>
      </c>
      <c r="AD3302" s="3">
        <f>IFERROR(__xludf.DUMMYFUNCTION("""COMPUTED_VALUE"""),16.486236)</f>
        <v>16.486236</v>
      </c>
      <c r="AE3302" s="3">
        <f>IFERROR(__xludf.DUMMYFUNCTION("""COMPUTED_VALUE"""),102.841464)</f>
        <v>102.841464</v>
      </c>
      <c r="AF3302" s="3" t="str">
        <f>IFERROR(__xludf.DUMMYFUNCTION("""COMPUTED_VALUE"""),"BCM ชุมชนหนองไผ่ ขอนแก่น-22761")</f>
        <v>BCM ชุมชนหนองไผ่ ขอนแก่น-22761</v>
      </c>
      <c r="AG3302" s="3" t="str">
        <f>IFERROR(__xludf.DUMMYFUNCTION("""COMPUTED_VALUE"""),"ตะวันออกเฉียงเหนือ")</f>
        <v>ตะวันออกเฉียงเหนือ</v>
      </c>
      <c r="AH3302" s="3" t="str">
        <f>IFERROR(__xludf.DUMMYFUNCTION("""COMPUTED_VALUE"""),"#N/A")</f>
        <v>#N/A</v>
      </c>
      <c r="AI3302" s="3" t="str">
        <f>IFERROR(__xludf.DUMMYFUNCTION("""COMPUTED_VALUE"""),"In warranty")</f>
        <v>In warranty</v>
      </c>
      <c r="AJ3302" s="3">
        <f>IFERROR(__xludf.DUMMYFUNCTION("""COMPUTED_VALUE"""),2.0)</f>
        <v>2</v>
      </c>
      <c r="AK3302" s="3"/>
      <c r="AL3302" s="3"/>
    </row>
    <row r="3303" ht="15.75" customHeight="1">
      <c r="A3303" s="1" t="str">
        <f>IFERROR(__xludf.DUMMYFUNCTION("""COMPUTED_VALUE"""),"31131")</f>
        <v>31131</v>
      </c>
      <c r="B3303" s="2">
        <f>IFERROR(__xludf.DUMMYFUNCTION("""COMPUTED_VALUE"""),31131.0)</f>
        <v>31131</v>
      </c>
      <c r="C3303" s="3" t="str">
        <f>IFERROR(__xludf.DUMMYFUNCTION("""COMPUTED_VALUE"""),"BCM FC BCP บางปู ยะหริ่ง ปัตตานี")</f>
        <v>BCM FC BCP บางปู ยะหริ่ง ปัตตานี</v>
      </c>
      <c r="D3303" s="3" t="str">
        <f>IFERROR(__xludf.DUMMYFUNCTION("""COMPUTED_VALUE"""),"BCM FC BCP BANG PU YARING")</f>
        <v>BCM FC BCP BANG PU YARING</v>
      </c>
      <c r="E3303" s="1" t="str">
        <f>IFERROR(__xludf.DUMMYFUNCTION("""COMPUTED_VALUE"""),"บิ๊กซี MINI")</f>
        <v>บิ๊กซี MINI</v>
      </c>
      <c r="F3303" s="1" t="str">
        <f>IFERROR(__xludf.DUMMYFUNCTION("""COMPUTED_VALUE"""),"250760")</f>
        <v>250760</v>
      </c>
      <c r="G3303" s="1" t="str">
        <f>IFERROR(__xludf.DUMMYFUNCTION("""COMPUTED_VALUE"""),"นายประทวน สาราบรรณ์")</f>
        <v>นายประทวน สาราบรรณ์</v>
      </c>
      <c r="H3303" s="1" t="str">
        <f>IFERROR(__xludf.DUMMYFUNCTION("""COMPUTED_VALUE"""),"006583")</f>
        <v>006583</v>
      </c>
      <c r="I3303" s="1" t="str">
        <f>IFERROR(__xludf.DUMMYFUNCTION("""COMPUTED_VALUE"""),"นายเด่น ยะอิง")</f>
        <v>นายเด่น ยะอิง</v>
      </c>
      <c r="J3303" s="3">
        <f>IFERROR(__xludf.DUMMYFUNCTION("""COMPUTED_VALUE"""),2.0470331E7)</f>
        <v>20470331</v>
      </c>
      <c r="K3303" s="3" t="str">
        <f>IFERROR(__xludf.DUMMYFUNCTION("""COMPUTED_VALUE"""),"นายสมชาย ลักษณะสุวรรณ")</f>
        <v>นายสมชาย ลักษณะสุวรรณ</v>
      </c>
      <c r="L3303" s="1" t="str">
        <f>IFERROR(__xludf.DUMMYFUNCTION("""COMPUTED_VALUE"""),"15 K.Somchai L")</f>
        <v>15 K.Somchai L</v>
      </c>
      <c r="M3303" s="1" t="str">
        <f>IFERROR(__xludf.DUMMYFUNCTION("""COMPUTED_VALUE"""),"0655107372")</f>
        <v>0655107372</v>
      </c>
      <c r="N3303" s="3">
        <f>IFERROR(__xludf.DUMMYFUNCTION("""COMPUTED_VALUE"""),21723.0)</f>
        <v>21723</v>
      </c>
      <c r="O3303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3303" s="4">
        <f>IFERROR(__xludf.DUMMYFUNCTION("""COMPUTED_VALUE"""),46011.0)</f>
        <v>46011</v>
      </c>
      <c r="Q3303" s="3" t="str">
        <f>IFERROR(__xludf.DUMMYFUNCTION("""COMPUTED_VALUE"""),"A")</f>
        <v>A</v>
      </c>
      <c r="R3303" s="3" t="str">
        <f>IFERROR(__xludf.DUMMYFUNCTION("""COMPUTED_VALUE"""),"Small Format")</f>
        <v>Small Format</v>
      </c>
      <c r="S3303" s="3" t="str">
        <f>IFERROR(__xludf.DUMMYFUNCTION("""COMPUTED_VALUE"""),"BCM(FC)")</f>
        <v>BCM(FC)</v>
      </c>
      <c r="T3303" s="3" t="str">
        <f>IFERROR(__xludf.DUMMYFUNCTION("""COMPUTED_VALUE"""),"#N/A")</f>
        <v>#N/A</v>
      </c>
      <c r="U3303" s="3" t="str">
        <f>IFERROR(__xludf.DUMMYFUNCTION("""COMPUTED_VALUE"""),"#N/A")</f>
        <v>#N/A</v>
      </c>
      <c r="V3303" s="3" t="str">
        <f>IFERROR(__xludf.DUMMYFUNCTION("""COMPUTED_VALUE"""),"Y")</f>
        <v>Y</v>
      </c>
      <c r="W3303" s="3">
        <f>IFERROR(__xludf.DUMMYFUNCTION("""COMPUTED_VALUE"""),812349.0)</f>
        <v>812349</v>
      </c>
      <c r="X3303" s="3" t="str">
        <f>IFERROR(__xludf.DUMMYFUNCTION("""COMPUTED_VALUE"""),"341/19 หมู่ที่ 3 ตำบลบางปู อำเภอยะหริ่ง จังหวัดปัตตานี 94150")</f>
        <v>341/19 หมู่ที่ 3 ตำบลบางปู อำเภอยะหริ่ง จังหวัดปัตตานี 94150</v>
      </c>
      <c r="Y3303" s="3"/>
      <c r="Z3303" s="3" t="str">
        <f>IFERROR(__xludf.DUMMYFUNCTION("""COMPUTED_VALUE"""),"บางป")</f>
        <v>บางป</v>
      </c>
      <c r="AA3303" s="3" t="str">
        <f>IFERROR(__xludf.DUMMYFUNCTION("""COMPUTED_VALUE"""),"ยะหริ่ง")</f>
        <v>ยะหริ่ง</v>
      </c>
      <c r="AB3303" s="3" t="str">
        <f>IFERROR(__xludf.DUMMYFUNCTION("""COMPUTED_VALUE"""),"ปัตตานี")</f>
        <v>ปัตตานี</v>
      </c>
      <c r="AC3303" s="3">
        <f>IFERROR(__xludf.DUMMYFUNCTION("""COMPUTED_VALUE"""),94150.0)</f>
        <v>94150</v>
      </c>
      <c r="AD3303" s="3">
        <f>IFERROR(__xludf.DUMMYFUNCTION("""COMPUTED_VALUE"""),6.868018898)</f>
        <v>6.868018898</v>
      </c>
      <c r="AE3303" s="3">
        <f>IFERROR(__xludf.DUMMYFUNCTION("""COMPUTED_VALUE"""),101.3566878)</f>
        <v>101.3566878</v>
      </c>
      <c r="AF3303" s="3" t="str">
        <f>IFERROR(__xludf.DUMMYFUNCTION("""COMPUTED_VALUE"""),"BCM FC BCP บางปู ยะหริ่ง ปัตตานี-31131")</f>
        <v>BCM FC BCP บางปู ยะหริ่ง ปัตตานี-31131</v>
      </c>
      <c r="AG3303" s="3" t="str">
        <f>IFERROR(__xludf.DUMMYFUNCTION("""COMPUTED_VALUE"""),"ใต้")</f>
        <v>ใต้</v>
      </c>
      <c r="AH3303" s="3" t="str">
        <f>IFERROR(__xludf.DUMMYFUNCTION("""COMPUTED_VALUE"""),"#N/A")</f>
        <v>#N/A</v>
      </c>
      <c r="AI3303" s="3" t="str">
        <f>IFERROR(__xludf.DUMMYFUNCTION("""COMPUTED_VALUE"""),"In warranty")</f>
        <v>In warranty</v>
      </c>
      <c r="AJ3303" s="3">
        <f>IFERROR(__xludf.DUMMYFUNCTION("""COMPUTED_VALUE"""),2.0)</f>
        <v>2</v>
      </c>
      <c r="AK3303" s="3"/>
      <c r="AL3303" s="3"/>
    </row>
    <row r="3304" ht="15.75" customHeight="1">
      <c r="A3304" s="1" t="str">
        <f>IFERROR(__xludf.DUMMYFUNCTION("""COMPUTED_VALUE"""),"22758")</f>
        <v>22758</v>
      </c>
      <c r="B3304" s="2">
        <f>IFERROR(__xludf.DUMMYFUNCTION("""COMPUTED_VALUE"""),22758.0)</f>
        <v>22758</v>
      </c>
      <c r="C3304" s="3" t="str">
        <f>IFERROR(__xludf.DUMMYFUNCTION("""COMPUTED_VALUE"""),"BCM สุขใจ 8 ประจวบคีรีขันธ์")</f>
        <v>BCM สุขใจ 8 ประจวบคีรีขันธ์</v>
      </c>
      <c r="D3304" s="3" t="str">
        <f>IFERROR(__xludf.DUMMYFUNCTION("""COMPUTED_VALUE"""),"BCM SUKJAI 8 PRACHUAP KHIRI")</f>
        <v>BCM SUKJAI 8 PRACHUAP KHIRI</v>
      </c>
      <c r="E3304" s="1" t="str">
        <f>IFERROR(__xludf.DUMMYFUNCTION("""COMPUTED_VALUE"""),"บิ๊กซี MINI")</f>
        <v>บิ๊กซี MINI</v>
      </c>
      <c r="F3304" s="1" t="str">
        <f>IFERROR(__xludf.DUMMYFUNCTION("""COMPUTED_VALUE"""),"250760")</f>
        <v>250760</v>
      </c>
      <c r="G3304" s="1" t="str">
        <f>IFERROR(__xludf.DUMMYFUNCTION("""COMPUTED_VALUE"""),"นายประทวน สาราบรรณ์")</f>
        <v>นายประทวน สาราบรรณ์</v>
      </c>
      <c r="H3304" s="1" t="str">
        <f>IFERROR(__xludf.DUMMYFUNCTION("""COMPUTED_VALUE"""),"311437")</f>
        <v>311437</v>
      </c>
      <c r="I3304" s="1" t="str">
        <f>IFERROR(__xludf.DUMMYFUNCTION("""COMPUTED_VALUE"""),"นายฉัตรทพร รักวิเชียร")</f>
        <v>นายฉัตรทพร รักวิเชียร</v>
      </c>
      <c r="J3304" s="3">
        <f>IFERROR(__xludf.DUMMYFUNCTION("""COMPUTED_VALUE"""),25324.0)</f>
        <v>25324</v>
      </c>
      <c r="K3304" s="3" t="str">
        <f>IFERROR(__xludf.DUMMYFUNCTION("""COMPUTED_VALUE"""),"นายวิเชฎฐ์ ติรัตนะประคม")</f>
        <v>นายวิเชฎฐ์ ติรัตนะประคม</v>
      </c>
      <c r="L3304" s="1" t="str">
        <f>IFERROR(__xludf.DUMMYFUNCTION("""COMPUTED_VALUE"""),"14 K.Wichet T.")</f>
        <v>14 K.Wichet T.</v>
      </c>
      <c r="M3304" s="1" t="str">
        <f>IFERROR(__xludf.DUMMYFUNCTION("""COMPUTED_VALUE"""),"061-417-6569 / 086-445-5636")</f>
        <v>061-417-6569 / 086-445-5636</v>
      </c>
      <c r="N3304" s="3">
        <f>IFERROR(__xludf.DUMMYFUNCTION("""COMPUTED_VALUE"""),22658.0)</f>
        <v>22658</v>
      </c>
      <c r="O3304" s="3" t="str">
        <f>IFERROR(__xludf.DUMMYFUNCTION("""COMPUTED_VALUE"""),"BCM ถ.วิรัชหงษ์หยก ภูเก็ต")</f>
        <v>BCM ถ.วิรัชหงษ์หยก ภูเก็ต</v>
      </c>
      <c r="P3304" s="4">
        <f>IFERROR(__xludf.DUMMYFUNCTION("""COMPUTED_VALUE"""),45991.0)</f>
        <v>45991</v>
      </c>
      <c r="Q3304" s="3" t="str">
        <f>IFERROR(__xludf.DUMMYFUNCTION("""COMPUTED_VALUE"""),"A")</f>
        <v>A</v>
      </c>
      <c r="R3304" s="3" t="str">
        <f>IFERROR(__xludf.DUMMYFUNCTION("""COMPUTED_VALUE"""),"Small Format")</f>
        <v>Small Format</v>
      </c>
      <c r="S3304" s="3" t="str">
        <f>IFERROR(__xludf.DUMMYFUNCTION("""COMPUTED_VALUE"""),"BCM")</f>
        <v>BCM</v>
      </c>
      <c r="T3304" s="3" t="str">
        <f>IFERROR(__xludf.DUMMYFUNCTION("""COMPUTED_VALUE"""),"#N/A")</f>
        <v>#N/A</v>
      </c>
      <c r="U3304" s="3" t="str">
        <f>IFERROR(__xludf.DUMMYFUNCTION("""COMPUTED_VALUE"""),"#N/A")</f>
        <v>#N/A</v>
      </c>
      <c r="V3304" s="3" t="str">
        <f>IFERROR(__xludf.DUMMYFUNCTION("""COMPUTED_VALUE"""),"N")</f>
        <v>N</v>
      </c>
      <c r="W3304" s="3">
        <f>IFERROR(__xludf.DUMMYFUNCTION("""COMPUTED_VALUE"""),210857.0)</f>
        <v>210857</v>
      </c>
      <c r="X3304" s="3" t="str">
        <f>IFERROR(__xludf.DUMMYFUNCTION("""COMPUTED_VALUE"""),"98/6 ถนนสุขใจ ตำบลประจวบคีรีขันธ์ อำเภอเมืองประจวบคีรีขันธ์ จังหวัดประจวบคีรีขันธ์ 77000")</f>
        <v>98/6 ถนนสุขใจ ตำบลประจวบคีรีขันธ์ อำเภอเมืองประจวบคีรีขันธ์ จังหวัดประจวบคีรีขันธ์ 77000</v>
      </c>
      <c r="Y3304" s="3" t="str">
        <f>IFERROR(__xludf.DUMMYFUNCTION("""COMPUTED_VALUE"""),"สุขใจ")</f>
        <v>สุขใจ</v>
      </c>
      <c r="Z3304" s="3" t="str">
        <f>IFERROR(__xludf.DUMMYFUNCTION("""COMPUTED_VALUE"""),"ประจวบคีรีขันธ์")</f>
        <v>ประจวบคีรีขันธ์</v>
      </c>
      <c r="AA3304" s="3" t="str">
        <f>IFERROR(__xludf.DUMMYFUNCTION("""COMPUTED_VALUE"""),"เมืองประจวบคีรีขันธ์")</f>
        <v>เมืองประจวบคีรีขันธ์</v>
      </c>
      <c r="AB3304" s="3" t="str">
        <f>IFERROR(__xludf.DUMMYFUNCTION("""COMPUTED_VALUE"""),"ประจวบคีรีขันธ์")</f>
        <v>ประจวบคีรีขันธ์</v>
      </c>
      <c r="AC3304" s="3">
        <f>IFERROR(__xludf.DUMMYFUNCTION("""COMPUTED_VALUE"""),77000.0)</f>
        <v>77000</v>
      </c>
      <c r="AD3304" s="3">
        <f>IFERROR(__xludf.DUMMYFUNCTION("""COMPUTED_VALUE"""),11.80494)</f>
        <v>11.80494</v>
      </c>
      <c r="AE3304" s="3">
        <f>IFERROR(__xludf.DUMMYFUNCTION("""COMPUTED_VALUE"""),99.79132)</f>
        <v>99.79132</v>
      </c>
      <c r="AF3304" s="3" t="str">
        <f>IFERROR(__xludf.DUMMYFUNCTION("""COMPUTED_VALUE"""),"BCM สุขใจ 8 ประจวบคีรีขันธ์-22758")</f>
        <v>BCM สุขใจ 8 ประจวบคีรีขันธ์-22758</v>
      </c>
      <c r="AG3304" s="3" t="str">
        <f>IFERROR(__xludf.DUMMYFUNCTION("""COMPUTED_VALUE"""),"ตะวันตก")</f>
        <v>ตะวันตก</v>
      </c>
      <c r="AH3304" s="3" t="str">
        <f>IFERROR(__xludf.DUMMYFUNCTION("""COMPUTED_VALUE"""),"#N/A")</f>
        <v>#N/A</v>
      </c>
      <c r="AI3304" s="3" t="str">
        <f>IFERROR(__xludf.DUMMYFUNCTION("""COMPUTED_VALUE"""),"In warranty")</f>
        <v>In warranty</v>
      </c>
      <c r="AJ3304" s="3">
        <f>IFERROR(__xludf.DUMMYFUNCTION("""COMPUTED_VALUE"""),2.0)</f>
        <v>2</v>
      </c>
      <c r="AK3304" s="3"/>
      <c r="AL3304" s="3"/>
    </row>
    <row r="3305" ht="15.75" customHeight="1">
      <c r="A3305" s="1" t="str">
        <f>IFERROR(__xludf.DUMMYFUNCTION("""COMPUTED_VALUE"""),"22753")</f>
        <v>22753</v>
      </c>
      <c r="B3305" s="2">
        <f>IFERROR(__xludf.DUMMYFUNCTION("""COMPUTED_VALUE"""),22753.0)</f>
        <v>22753</v>
      </c>
      <c r="C3305" s="3" t="str">
        <f>IFERROR(__xludf.DUMMYFUNCTION("""COMPUTED_VALUE"""),"BCM ศุภาลัยนาเมือง อุบลราชธานี")</f>
        <v>BCM ศุภาลัยนาเมือง อุบลราชธานี</v>
      </c>
      <c r="D3305" s="3" t="str">
        <f>IFERROR(__xludf.DUMMYFUNCTION("""COMPUTED_VALUE"""),"BCM SUPALAI NA MUEANG UBON")</f>
        <v>BCM SUPALAI NA MUEANG UBON</v>
      </c>
      <c r="E3305" s="1" t="str">
        <f>IFERROR(__xludf.DUMMYFUNCTION("""COMPUTED_VALUE"""),"บิ๊กซี MINI")</f>
        <v>บิ๊กซี MINI</v>
      </c>
      <c r="F3305" s="1" t="str">
        <f>IFERROR(__xludf.DUMMYFUNCTION("""COMPUTED_VALUE"""),"291105")</f>
        <v>291105</v>
      </c>
      <c r="G3305" s="1" t="str">
        <f>IFERROR(__xludf.DUMMYFUNCTION("""COMPUTED_VALUE"""),"นายสราวุฒิ พณิชยกุล")</f>
        <v>นายสราวุฒิ พณิชยกุล</v>
      </c>
      <c r="H3305" s="1" t="str">
        <f>IFERROR(__xludf.DUMMYFUNCTION("""COMPUTED_VALUE"""),"250772")</f>
        <v>250772</v>
      </c>
      <c r="I3305" s="1" t="str">
        <f>IFERROR(__xludf.DUMMYFUNCTION("""COMPUTED_VALUE"""),"น.ส.วรุณยุพา จรูญไธสง")</f>
        <v>น.ส.วรุณยุพา จรูญไธสง</v>
      </c>
      <c r="J3305" s="3">
        <f>IFERROR(__xludf.DUMMYFUNCTION("""COMPUTED_VALUE"""),2454781.0)</f>
        <v>2454781</v>
      </c>
      <c r="K3305" s="3" t="str">
        <f>IFERROR(__xludf.DUMMYFUNCTION("""COMPUTED_VALUE"""),"นายฌานกฤช นันทะโคต")</f>
        <v>นายฌานกฤช นันทะโคต</v>
      </c>
      <c r="L3305" s="1" t="str">
        <f>IFERROR(__xludf.DUMMYFUNCTION("""COMPUTED_VALUE"""),"05 K.Chanakrit N.")</f>
        <v>05 K.Chanakrit N.</v>
      </c>
      <c r="M3305" s="1" t="str">
        <f>IFERROR(__xludf.DUMMYFUNCTION("""COMPUTED_VALUE"""),"090-978-9785 ,065-929-1320")</f>
        <v>090-978-9785 ,065-929-1320</v>
      </c>
      <c r="N3305" s="3">
        <f>IFERROR(__xludf.DUMMYFUNCTION("""COMPUTED_VALUE"""),22195.0)</f>
        <v>22195</v>
      </c>
      <c r="O3305" s="3" t="str">
        <f>IFERROR(__xludf.DUMMYFUNCTION("""COMPUTED_VALUE"""),"MBC กันทรลักษ์ ศรีสะเกษ")</f>
        <v>MBC กันทรลักษ์ ศรีสะเกษ</v>
      </c>
      <c r="P3305" s="4">
        <f>IFERROR(__xludf.DUMMYFUNCTION("""COMPUTED_VALUE"""),45983.0)</f>
        <v>45983</v>
      </c>
      <c r="Q3305" s="3" t="str">
        <f>IFERROR(__xludf.DUMMYFUNCTION("""COMPUTED_VALUE"""),"A")</f>
        <v>A</v>
      </c>
      <c r="R3305" s="3" t="str">
        <f>IFERROR(__xludf.DUMMYFUNCTION("""COMPUTED_VALUE"""),"Small Format")</f>
        <v>Small Format</v>
      </c>
      <c r="S3305" s="3" t="str">
        <f>IFERROR(__xludf.DUMMYFUNCTION("""COMPUTED_VALUE"""),"BCM")</f>
        <v>BCM</v>
      </c>
      <c r="T3305" s="3" t="str">
        <f>IFERROR(__xludf.DUMMYFUNCTION("""COMPUTED_VALUE"""),"#N/A")</f>
        <v>#N/A</v>
      </c>
      <c r="U3305" s="3" t="str">
        <f>IFERROR(__xludf.DUMMYFUNCTION("""COMPUTED_VALUE"""),"#N/A")</f>
        <v>#N/A</v>
      </c>
      <c r="V3305" s="3" t="str">
        <f>IFERROR(__xludf.DUMMYFUNCTION("""COMPUTED_VALUE"""),"N")</f>
        <v>N</v>
      </c>
      <c r="W3305" s="3">
        <f>IFERROR(__xludf.DUMMYFUNCTION("""COMPUTED_VALUE"""),210852.0)</f>
        <v>210852</v>
      </c>
      <c r="X3305" s="3" t="str">
        <f>IFERROR(__xludf.DUMMYFUNCTION("""COMPUTED_VALUE"""),"391 หมู่ที่ 1 ตำบลไร่น้อย อำเภอเมืองอุบลราชธานี จังหวัดอุบลราชธานี 34000")</f>
        <v>391 หมู่ที่ 1 ตำบลไร่น้อย อำเภอเมืองอุบลราชธานี จังหวัดอุบลราชธานี 34000</v>
      </c>
      <c r="Y3305" s="3"/>
      <c r="Z3305" s="3" t="str">
        <f>IFERROR(__xludf.DUMMYFUNCTION("""COMPUTED_VALUE"""),"ไร่น้อย")</f>
        <v>ไร่น้อย</v>
      </c>
      <c r="AA3305" s="3" t="str">
        <f>IFERROR(__xludf.DUMMYFUNCTION("""COMPUTED_VALUE"""),"เมืองอุบลราชธานี")</f>
        <v>เมืองอุบลราชธานี</v>
      </c>
      <c r="AB3305" s="3" t="str">
        <f>IFERROR(__xludf.DUMMYFUNCTION("""COMPUTED_VALUE"""),"อุบลราชธานี")</f>
        <v>อุบลราชธานี</v>
      </c>
      <c r="AC3305" s="3">
        <f>IFERROR(__xludf.DUMMYFUNCTION("""COMPUTED_VALUE"""),34000.0)</f>
        <v>34000</v>
      </c>
      <c r="AD3305" s="3">
        <f>IFERROR(__xludf.DUMMYFUNCTION("""COMPUTED_VALUE"""),15.266729)</f>
        <v>15.266729</v>
      </c>
      <c r="AE3305" s="3">
        <f>IFERROR(__xludf.DUMMYFUNCTION("""COMPUTED_VALUE"""),104.868422)</f>
        <v>104.868422</v>
      </c>
      <c r="AF3305" s="3" t="str">
        <f>IFERROR(__xludf.DUMMYFUNCTION("""COMPUTED_VALUE"""),"BCM ศุภาลัยนาเมือง อุบลราชธานี-22753")</f>
        <v>BCM ศุภาลัยนาเมือง อุบลราชธานี-22753</v>
      </c>
      <c r="AG3305" s="3" t="str">
        <f>IFERROR(__xludf.DUMMYFUNCTION("""COMPUTED_VALUE"""),"ตะวันออกเฉียงเหนือ")</f>
        <v>ตะวันออกเฉียงเหนือ</v>
      </c>
      <c r="AH3305" s="3" t="str">
        <f>IFERROR(__xludf.DUMMYFUNCTION("""COMPUTED_VALUE"""),"#N/A")</f>
        <v>#N/A</v>
      </c>
      <c r="AI3305" s="3" t="str">
        <f>IFERROR(__xludf.DUMMYFUNCTION("""COMPUTED_VALUE"""),"In warranty")</f>
        <v>In warranty</v>
      </c>
      <c r="AJ3305" s="3">
        <f>IFERROR(__xludf.DUMMYFUNCTION("""COMPUTED_VALUE"""),2.0)</f>
        <v>2</v>
      </c>
      <c r="AK3305" s="3"/>
      <c r="AL3305" s="3"/>
    </row>
    <row r="3306" ht="15.75" customHeight="1">
      <c r="A3306" s="1" t="str">
        <f>IFERROR(__xludf.DUMMYFUNCTION("""COMPUTED_VALUE"""),"22755")</f>
        <v>22755</v>
      </c>
      <c r="B3306" s="2">
        <f>IFERROR(__xludf.DUMMYFUNCTION("""COMPUTED_VALUE"""),22755.0)</f>
        <v>22755</v>
      </c>
      <c r="C3306" s="3" t="str">
        <f>IFERROR(__xludf.DUMMYFUNCTION("""COMPUTED_VALUE"""),"BCM ซ.เพนียดช้าง(พัทยา) ชลบุรี")</f>
        <v>BCM ซ.เพนียดช้าง(พัทยา) ชลบุรี</v>
      </c>
      <c r="D3306" s="3" t="str">
        <f>IFERROR(__xludf.DUMMYFUNCTION("""COMPUTED_VALUE"""),"BCM SOI PENIAT CHANG (PATTAYA)")</f>
        <v>BCM SOI PENIAT CHANG (PATTAYA)</v>
      </c>
      <c r="E3306" s="1" t="str">
        <f>IFERROR(__xludf.DUMMYFUNCTION("""COMPUTED_VALUE"""),"บิ๊กซี MINI")</f>
        <v>บิ๊กซี MINI</v>
      </c>
      <c r="F3306" s="1" t="str">
        <f>IFERROR(__xludf.DUMMYFUNCTION("""COMPUTED_VALUE"""),"221716")</f>
        <v>221716</v>
      </c>
      <c r="G3306" s="1" t="str">
        <f>IFERROR(__xludf.DUMMYFUNCTION("""COMPUTED_VALUE"""),"น.ส.เบญจพร โพธิสาร")</f>
        <v>น.ส.เบญจพร โพธิสาร</v>
      </c>
      <c r="H3306" s="1" t="str">
        <f>IFERROR(__xludf.DUMMYFUNCTION("""COMPUTED_VALUE"""),"313065")</f>
        <v>313065</v>
      </c>
      <c r="I3306" s="1" t="str">
        <f>IFERROR(__xludf.DUMMYFUNCTION("""COMPUTED_VALUE"""),"นายจิรายุทธ กันทา")</f>
        <v>นายจิรายุทธ กันทา</v>
      </c>
      <c r="J3306" s="3">
        <f>IFERROR(__xludf.DUMMYFUNCTION("""COMPUTED_VALUE"""),1.3461215E7)</f>
        <v>13461215</v>
      </c>
      <c r="K3306" s="3" t="str">
        <f>IFERROR(__xludf.DUMMYFUNCTION("""COMPUTED_VALUE"""),"นายธีรภัทร สังข์เงิน")</f>
        <v>นายธีรภัทร สังข์เงิน</v>
      </c>
      <c r="L3306" s="1" t="str">
        <f>IFERROR(__xludf.DUMMYFUNCTION("""COMPUTED_VALUE"""),"06 K.Teerapat")</f>
        <v>06 K.Teerapat</v>
      </c>
      <c r="M3306" s="1" t="str">
        <f>IFERROR(__xludf.DUMMYFUNCTION("""COMPUTED_VALUE"""),"063-601-6803")</f>
        <v>063-601-6803</v>
      </c>
      <c r="N3306" s="3">
        <f>IFERROR(__xludf.DUMMYFUNCTION("""COMPUTED_VALUE"""),22115.0)</f>
        <v>22115</v>
      </c>
      <c r="O3306" s="3" t="str">
        <f>IFERROR(__xludf.DUMMYFUNCTION("""COMPUTED_VALUE"""),"MBC เลี่ยงหนองมน ชลบุรี")</f>
        <v>MBC เลี่ยงหนองมน ชลบุรี</v>
      </c>
      <c r="P3306" s="4">
        <f>IFERROR(__xludf.DUMMYFUNCTION("""COMPUTED_VALUE"""),46008.0)</f>
        <v>46008</v>
      </c>
      <c r="Q3306" s="3" t="str">
        <f>IFERROR(__xludf.DUMMYFUNCTION("""COMPUTED_VALUE"""),"A")</f>
        <v>A</v>
      </c>
      <c r="R3306" s="3" t="str">
        <f>IFERROR(__xludf.DUMMYFUNCTION("""COMPUTED_VALUE"""),"Small Format")</f>
        <v>Small Format</v>
      </c>
      <c r="S3306" s="3" t="str">
        <f>IFERROR(__xludf.DUMMYFUNCTION("""COMPUTED_VALUE"""),"BCM")</f>
        <v>BCM</v>
      </c>
      <c r="T3306" s="3" t="str">
        <f>IFERROR(__xludf.DUMMYFUNCTION("""COMPUTED_VALUE"""),"#N/A")</f>
        <v>#N/A</v>
      </c>
      <c r="U3306" s="3" t="str">
        <f>IFERROR(__xludf.DUMMYFUNCTION("""COMPUTED_VALUE"""),"#N/A")</f>
        <v>#N/A</v>
      </c>
      <c r="V3306" s="3" t="str">
        <f>IFERROR(__xludf.DUMMYFUNCTION("""COMPUTED_VALUE"""),"N")</f>
        <v>N</v>
      </c>
      <c r="W3306" s="3">
        <f>IFERROR(__xludf.DUMMYFUNCTION("""COMPUTED_VALUE"""),210859.0)</f>
        <v>210859</v>
      </c>
      <c r="X3306" s="3" t="str">
        <f>IFERROR(__xludf.DUMMYFUNCTION("""COMPUTED_VALUE"""),"209/124-126 หมู่ที่ 6 ตำบลนาเกลือ อำเภอบางละมุง จังหวัดชลบุรี 20150")</f>
        <v>209/124-126 หมู่ที่ 6 ตำบลนาเกลือ อำเภอบางละมุง จังหวัดชลบุรี 20150</v>
      </c>
      <c r="Y3306" s="3"/>
      <c r="Z3306" s="3" t="str">
        <f>IFERROR(__xludf.DUMMYFUNCTION("""COMPUTED_VALUE"""),"นาเกลือ")</f>
        <v>นาเกลือ</v>
      </c>
      <c r="AA3306" s="3" t="str">
        <f>IFERROR(__xludf.DUMMYFUNCTION("""COMPUTED_VALUE"""),"บางละมุง")</f>
        <v>บางละมุง</v>
      </c>
      <c r="AB3306" s="3" t="str">
        <f>IFERROR(__xludf.DUMMYFUNCTION("""COMPUTED_VALUE"""),"ชลบุรี")</f>
        <v>ชลบุรี</v>
      </c>
      <c r="AC3306" s="3">
        <f>IFERROR(__xludf.DUMMYFUNCTION("""COMPUTED_VALUE"""),20150.0)</f>
        <v>20150</v>
      </c>
      <c r="AD3306" s="3">
        <f>IFERROR(__xludf.DUMMYFUNCTION("""COMPUTED_VALUE"""),12.945625)</f>
        <v>12.945625</v>
      </c>
      <c r="AE3306" s="3">
        <f>IFERROR(__xludf.DUMMYFUNCTION("""COMPUTED_VALUE"""),100.901752)</f>
        <v>100.901752</v>
      </c>
      <c r="AF3306" s="3" t="str">
        <f>IFERROR(__xludf.DUMMYFUNCTION("""COMPUTED_VALUE"""),"BCM ซ.เพนียดช้าง(พัทยา) ชลบุรี-22755")</f>
        <v>BCM ซ.เพนียดช้าง(พัทยา) ชลบุรี-22755</v>
      </c>
      <c r="AG3306" s="3" t="str">
        <f>IFERROR(__xludf.DUMMYFUNCTION("""COMPUTED_VALUE"""),"ตะวันออก")</f>
        <v>ตะวันออก</v>
      </c>
      <c r="AH3306" s="3" t="str">
        <f>IFERROR(__xludf.DUMMYFUNCTION("""COMPUTED_VALUE"""),"#N/A")</f>
        <v>#N/A</v>
      </c>
      <c r="AI3306" s="3" t="str">
        <f>IFERROR(__xludf.DUMMYFUNCTION("""COMPUTED_VALUE"""),"In warranty")</f>
        <v>In warranty</v>
      </c>
      <c r="AJ3306" s="3">
        <f>IFERROR(__xludf.DUMMYFUNCTION("""COMPUTED_VALUE"""),2.0)</f>
        <v>2</v>
      </c>
      <c r="AK3306" s="3"/>
      <c r="AL3306" s="3"/>
    </row>
    <row r="3307" ht="15.75" customHeight="1">
      <c r="A3307" s="1" t="str">
        <f>IFERROR(__xludf.DUMMYFUNCTION("""COMPUTED_VALUE"""),"22757")</f>
        <v>22757</v>
      </c>
      <c r="B3307" s="2">
        <f>IFERROR(__xludf.DUMMYFUNCTION("""COMPUTED_VALUE"""),22757.0)</f>
        <v>22757</v>
      </c>
      <c r="C3307" s="3" t="str">
        <f>IFERROR(__xludf.DUMMYFUNCTION("""COMPUTED_VALUE"""),"BCM วันบัทเจ็ด บายพาสตะวันตก เชียงราย")</f>
        <v>BCM วันบัทเจ็ด บายพาสตะวันตก เชียงราย</v>
      </c>
      <c r="D3307" s="3" t="str">
        <f>IFERROR(__xludf.DUMMYFUNCTION("""COMPUTED_VALUE"""),"BCM ONEBUDGET BYPASS CHIANGRAI")</f>
        <v>BCM ONEBUDGET BYPASS CHIANGRAI</v>
      </c>
      <c r="E3307" s="1" t="str">
        <f>IFERROR(__xludf.DUMMYFUNCTION("""COMPUTED_VALUE"""),"บิ๊กซี MINI")</f>
        <v>บิ๊กซี MINI</v>
      </c>
      <c r="F3307" s="1" t="str">
        <f>IFERROR(__xludf.DUMMYFUNCTION("""COMPUTED_VALUE"""),"296229")</f>
        <v>296229</v>
      </c>
      <c r="G3307" s="1" t="str">
        <f>IFERROR(__xludf.DUMMYFUNCTION("""COMPUTED_VALUE"""),"นายทนงศักดิ์ บุญมา")</f>
        <v>นายทนงศักดิ์ บุญมา</v>
      </c>
      <c r="H3307" s="1" t="str">
        <f>IFERROR(__xludf.DUMMYFUNCTION("""COMPUTED_VALUE"""),"392585")</f>
        <v>392585</v>
      </c>
      <c r="I3307" s="1" t="str">
        <f>IFERROR(__xludf.DUMMYFUNCTION("""COMPUTED_VALUE"""),"นายไชยัณต์ ผิวขัวเรียง")</f>
        <v>นายไชยัณต์ ผิวขัวเรียง</v>
      </c>
      <c r="J3307" s="3">
        <f>IFERROR(__xludf.DUMMYFUNCTION("""COMPUTED_VALUE"""),2010016.0)</f>
        <v>2010016</v>
      </c>
      <c r="K3307" s="3" t="str">
        <f>IFERROR(__xludf.DUMMYFUNCTION("""COMPUTED_VALUE"""),"นายตวงธรรม ใหม่ยศ")</f>
        <v>นายตวงธรรม ใหม่ยศ</v>
      </c>
      <c r="L3307" s="1" t="str">
        <f>IFERROR(__xludf.DUMMYFUNCTION("""COMPUTED_VALUE"""),"01 K.Tuangtham M.")</f>
        <v>01 K.Tuangtham M.</v>
      </c>
      <c r="M3307" s="1" t="str">
        <f>IFERROR(__xludf.DUMMYFUNCTION("""COMPUTED_VALUE"""),"063-976-595")</f>
        <v>063-976-595</v>
      </c>
      <c r="N3307" s="3">
        <f>IFERROR(__xludf.DUMMYFUNCTION("""COMPUTED_VALUE"""),22574.0)</f>
        <v>22574</v>
      </c>
      <c r="O3307" s="3" t="str">
        <f>IFERROR(__xludf.DUMMYFUNCTION("""COMPUTED_VALUE"""),"BCM ชุมชนศรีชุม ลำปาง")</f>
        <v>BCM ชุมชนศรีชุม ลำปาง</v>
      </c>
      <c r="P3307" s="4">
        <f>IFERROR(__xludf.DUMMYFUNCTION("""COMPUTED_VALUE"""),46009.0)</f>
        <v>46009</v>
      </c>
      <c r="Q3307" s="3" t="str">
        <f>IFERROR(__xludf.DUMMYFUNCTION("""COMPUTED_VALUE"""),"A")</f>
        <v>A</v>
      </c>
      <c r="R3307" s="3" t="str">
        <f>IFERROR(__xludf.DUMMYFUNCTION("""COMPUTED_VALUE"""),"Small Format")</f>
        <v>Small Format</v>
      </c>
      <c r="S3307" s="3" t="str">
        <f>IFERROR(__xludf.DUMMYFUNCTION("""COMPUTED_VALUE"""),"BCM")</f>
        <v>BCM</v>
      </c>
      <c r="T3307" s="3" t="str">
        <f>IFERROR(__xludf.DUMMYFUNCTION("""COMPUTED_VALUE"""),"#N/A")</f>
        <v>#N/A</v>
      </c>
      <c r="U3307" s="3" t="str">
        <f>IFERROR(__xludf.DUMMYFUNCTION("""COMPUTED_VALUE"""),"#N/A")</f>
        <v>#N/A</v>
      </c>
      <c r="V3307" s="3" t="str">
        <f>IFERROR(__xludf.DUMMYFUNCTION("""COMPUTED_VALUE"""),"N")</f>
        <v>N</v>
      </c>
      <c r="W3307" s="3">
        <f>IFERROR(__xludf.DUMMYFUNCTION("""COMPUTED_VALUE"""),210856.0)</f>
        <v>210856</v>
      </c>
      <c r="X3307" s="3" t="str">
        <f>IFERROR(__xludf.DUMMYFUNCTION("""COMPUTED_VALUE"""),"988/1 หมู่ที่ 1 ตำบลรอบเวียง อำเภอเมืองเชียงราย จังหวัดเชียงราย 57000")</f>
        <v>988/1 หมู่ที่ 1 ตำบลรอบเวียง อำเภอเมืองเชียงราย จังหวัดเชียงราย 57000</v>
      </c>
      <c r="Y3307" s="3"/>
      <c r="Z3307" s="3" t="str">
        <f>IFERROR(__xludf.DUMMYFUNCTION("""COMPUTED_VALUE"""),"รอบเวียง")</f>
        <v>รอบเวียง</v>
      </c>
      <c r="AA3307" s="3" t="str">
        <f>IFERROR(__xludf.DUMMYFUNCTION("""COMPUTED_VALUE"""),"เมืองเชียงราย")</f>
        <v>เมืองเชียงราย</v>
      </c>
      <c r="AB3307" s="3" t="str">
        <f>IFERROR(__xludf.DUMMYFUNCTION("""COMPUTED_VALUE"""),"เชียงราย")</f>
        <v>เชียงราย</v>
      </c>
      <c r="AC3307" s="3">
        <f>IFERROR(__xludf.DUMMYFUNCTION("""COMPUTED_VALUE"""),57000.0)</f>
        <v>57000</v>
      </c>
      <c r="AD3307" s="3">
        <f>IFERROR(__xludf.DUMMYFUNCTION("""COMPUTED_VALUE"""),19.882083)</f>
        <v>19.882083</v>
      </c>
      <c r="AE3307" s="3">
        <f>IFERROR(__xludf.DUMMYFUNCTION("""COMPUTED_VALUE"""),99.784777)</f>
        <v>99.784777</v>
      </c>
      <c r="AF3307" s="3" t="str">
        <f>IFERROR(__xludf.DUMMYFUNCTION("""COMPUTED_VALUE"""),"BCM วันบัทเจ็ด บายพาสตะวันตก เชียงราย-22757")</f>
        <v>BCM วันบัทเจ็ด บายพาสตะวันตก เชียงราย-22757</v>
      </c>
      <c r="AG3307" s="3" t="str">
        <f>IFERROR(__xludf.DUMMYFUNCTION("""COMPUTED_VALUE"""),"เหนือ")</f>
        <v>เหนือ</v>
      </c>
      <c r="AH3307" s="3" t="str">
        <f>IFERROR(__xludf.DUMMYFUNCTION("""COMPUTED_VALUE"""),"#N/A")</f>
        <v>#N/A</v>
      </c>
      <c r="AI3307" s="3" t="str">
        <f>IFERROR(__xludf.DUMMYFUNCTION("""COMPUTED_VALUE"""),"In warranty")</f>
        <v>In warranty</v>
      </c>
      <c r="AJ3307" s="3">
        <f>IFERROR(__xludf.DUMMYFUNCTION("""COMPUTED_VALUE"""),2.0)</f>
        <v>2</v>
      </c>
      <c r="AK3307" s="3"/>
      <c r="AL3307" s="3"/>
    </row>
    <row r="3308" ht="15.75" customHeight="1">
      <c r="A3308" s="1" t="str">
        <f>IFERROR(__xludf.DUMMYFUNCTION("""COMPUTED_VALUE"""),"31120")</f>
        <v>31120</v>
      </c>
      <c r="B3308" s="2">
        <f>IFERROR(__xludf.DUMMYFUNCTION("""COMPUTED_VALUE"""),31129.0)</f>
        <v>31129</v>
      </c>
      <c r="C3308" s="3" t="str">
        <f>IFERROR(__xludf.DUMMYFUNCTION("""COMPUTED_VALUE"""),"BCM FC เลอชาโมนิกช์ เชียงใหม่")</f>
        <v>BCM FC เลอชาโมนิกช์ เชียงใหม่</v>
      </c>
      <c r="D3308" s="3" t="str">
        <f>IFERROR(__xludf.DUMMYFUNCTION("""COMPUTED_VALUE"""),"BCM FC LE CHAMONIX CHIANG MAI")</f>
        <v>BCM FC LE CHAMONIX CHIANG MAI</v>
      </c>
      <c r="E3308" s="1" t="str">
        <f>IFERROR(__xludf.DUMMYFUNCTION("""COMPUTED_VALUE"""),"บิ๊กซี MINI")</f>
        <v>บิ๊กซี MINI</v>
      </c>
      <c r="F3308" s="1" t="str">
        <f>IFERROR(__xludf.DUMMYFUNCTION("""COMPUTED_VALUE"""),"296229")</f>
        <v>296229</v>
      </c>
      <c r="G3308" s="1" t="str">
        <f>IFERROR(__xludf.DUMMYFUNCTION("""COMPUTED_VALUE"""),"นายทนงศักดิ์ บุญมา")</f>
        <v>นายทนงศักดิ์ บุญมา</v>
      </c>
      <c r="H3308" s="1" t="str">
        <f>IFERROR(__xludf.DUMMYFUNCTION("""COMPUTED_VALUE"""),"392003")</f>
        <v>392003</v>
      </c>
      <c r="I3308" s="1" t="str">
        <f>IFERROR(__xludf.DUMMYFUNCTION("""COMPUTED_VALUE"""),"นายวรภพ เศษสูงเนิน")</f>
        <v>นายวรภพ เศษสูงเนิน</v>
      </c>
      <c r="J3308" s="3">
        <f>IFERROR(__xludf.DUMMYFUNCTION("""COMPUTED_VALUE"""),2010016.0)</f>
        <v>2010016</v>
      </c>
      <c r="K3308" s="3" t="str">
        <f>IFERROR(__xludf.DUMMYFUNCTION("""COMPUTED_VALUE"""),"นายตวงธรรม ใหม่ยศ")</f>
        <v>นายตวงธรรม ใหม่ยศ</v>
      </c>
      <c r="L3308" s="1" t="str">
        <f>IFERROR(__xludf.DUMMYFUNCTION("""COMPUTED_VALUE"""),"01 K.Tuangtham M.")</f>
        <v>01 K.Tuangtham M.</v>
      </c>
      <c r="M3308" s="1" t="str">
        <f>IFERROR(__xludf.DUMMYFUNCTION("""COMPUTED_VALUE"""),"063-976-595")</f>
        <v>063-976-595</v>
      </c>
      <c r="N3308" s="3">
        <f>IFERROR(__xludf.DUMMYFUNCTION("""COMPUTED_VALUE"""),22574.0)</f>
        <v>22574</v>
      </c>
      <c r="O3308" s="3" t="str">
        <f>IFERROR(__xludf.DUMMYFUNCTION("""COMPUTED_VALUE"""),"BCM ชุมชนศรีชุม ลำปาง")</f>
        <v>BCM ชุมชนศรีชุม ลำปาง</v>
      </c>
      <c r="P3308" s="4">
        <f>IFERROR(__xludf.DUMMYFUNCTION("""COMPUTED_VALUE"""),45877.0)</f>
        <v>45877</v>
      </c>
      <c r="Q3308" s="3" t="str">
        <f>IFERROR(__xludf.DUMMYFUNCTION("""COMPUTED_VALUE"""),"A")</f>
        <v>A</v>
      </c>
      <c r="R3308" s="3" t="str">
        <f>IFERROR(__xludf.DUMMYFUNCTION("""COMPUTED_VALUE"""),"Small Format")</f>
        <v>Small Format</v>
      </c>
      <c r="S3308" s="3" t="str">
        <f>IFERROR(__xludf.DUMMYFUNCTION("""COMPUTED_VALUE"""),"BCM(FC)")</f>
        <v>BCM(FC)</v>
      </c>
      <c r="T3308" s="3" t="str">
        <f>IFERROR(__xludf.DUMMYFUNCTION("""COMPUTED_VALUE"""),"#N/A")</f>
        <v>#N/A</v>
      </c>
      <c r="U3308" s="3" t="str">
        <f>IFERROR(__xludf.DUMMYFUNCTION("""COMPUTED_VALUE"""),"#N/A")</f>
        <v>#N/A</v>
      </c>
      <c r="V3308" s="3" t="str">
        <f>IFERROR(__xludf.DUMMYFUNCTION("""COMPUTED_VALUE"""),"Y")</f>
        <v>Y</v>
      </c>
      <c r="W3308" s="3">
        <f>IFERROR(__xludf.DUMMYFUNCTION("""COMPUTED_VALUE"""),812333.0)</f>
        <v>812333</v>
      </c>
      <c r="X3308" s="3" t="str">
        <f>IFERROR(__xludf.DUMMYFUNCTION("""COMPUTED_VALUE"""),"อาคาร B1 เลขที่ 191/34-35 หมู่ที่ 13 ตำบลป่าแดด อำเภอเมืองเชียงใหม่ จังหวัดเชียงใหม่ 50100")</f>
        <v>อาคาร B1 เลขที่ 191/34-35 หมู่ที่ 13 ตำบลป่าแดด อำเภอเมืองเชียงใหม่ จังหวัดเชียงใหม่ 50100</v>
      </c>
      <c r="Y3308" s="3"/>
      <c r="Z3308" s="3" t="str">
        <f>IFERROR(__xludf.DUMMYFUNCTION("""COMPUTED_VALUE"""),"ป่าแดด")</f>
        <v>ป่าแดด</v>
      </c>
      <c r="AA3308" s="3" t="str">
        <f>IFERROR(__xludf.DUMMYFUNCTION("""COMPUTED_VALUE"""),"เมืองเชียงใหม่")</f>
        <v>เมืองเชียงใหม่</v>
      </c>
      <c r="AB3308" s="3" t="str">
        <f>IFERROR(__xludf.DUMMYFUNCTION("""COMPUTED_VALUE"""),"เชียงใหม่")</f>
        <v>เชียงใหม่</v>
      </c>
      <c r="AC3308" s="3">
        <f>IFERROR(__xludf.DUMMYFUNCTION("""COMPUTED_VALUE"""),50100.0)</f>
        <v>50100</v>
      </c>
      <c r="AD3308" s="3">
        <f>IFERROR(__xludf.DUMMYFUNCTION("""COMPUTED_VALUE"""),13.97010001)</f>
        <v>13.97010001</v>
      </c>
      <c r="AE3308" s="3">
        <f>IFERROR(__xludf.DUMMYFUNCTION("""COMPUTED_VALUE"""),100.6384896)</f>
        <v>100.6384896</v>
      </c>
      <c r="AF3308" s="3" t="str">
        <f>IFERROR(__xludf.DUMMYFUNCTION("""COMPUTED_VALUE"""),"BCM FC เลอชาโมนิกช์ เชียงใหม่-31129")</f>
        <v>BCM FC เลอชาโมนิกช์ เชียงใหม่-31129</v>
      </c>
      <c r="AG3308" s="3" t="str">
        <f>IFERROR(__xludf.DUMMYFUNCTION("""COMPUTED_VALUE"""),"เหนือ")</f>
        <v>เหนือ</v>
      </c>
      <c r="AH3308" s="3" t="str">
        <f>IFERROR(__xludf.DUMMYFUNCTION("""COMPUTED_VALUE"""),"#N/A")</f>
        <v>#N/A</v>
      </c>
      <c r="AI3308" s="3" t="str">
        <f>IFERROR(__xludf.DUMMYFUNCTION("""COMPUTED_VALUE"""),"In warranty")</f>
        <v>In warranty</v>
      </c>
      <c r="AJ3308" s="3">
        <f>IFERROR(__xludf.DUMMYFUNCTION("""COMPUTED_VALUE"""),6.0)</f>
        <v>6</v>
      </c>
      <c r="AK3308" s="3"/>
      <c r="AL3308" s="3"/>
    </row>
    <row r="3309" ht="15.75" customHeight="1">
      <c r="A3309" s="1" t="str">
        <f>IFERROR(__xludf.DUMMYFUNCTION("""COMPUTED_VALUE"""),"31130")</f>
        <v>31130</v>
      </c>
      <c r="B3309" s="2">
        <f>IFERROR(__xludf.DUMMYFUNCTION("""COMPUTED_VALUE"""),31130.0)</f>
        <v>31130</v>
      </c>
      <c r="C3309" s="3" t="str">
        <f>IFERROR(__xludf.DUMMYFUNCTION("""COMPUTED_VALUE"""),"BCM FC BCP อ่อนนุช ขาเข้า กรุงเทพฯ")</f>
        <v>BCM FC BCP อ่อนนุช ขาเข้า กรุงเทพฯ</v>
      </c>
      <c r="D3309" s="3" t="str">
        <f>IFERROR(__xludf.DUMMYFUNCTION("""COMPUTED_VALUE"""),"BCM FC BCP ON NUT RD IB BANGKO")</f>
        <v>BCM FC BCP ON NUT RD IB BANGKO</v>
      </c>
      <c r="E3309" s="1" t="str">
        <f>IFERROR(__xludf.DUMMYFUNCTION("""COMPUTED_VALUE"""),"บิ๊กซี MINI")</f>
        <v>บิ๊กซี MINI</v>
      </c>
      <c r="F3309" s="1" t="str">
        <f>IFERROR(__xludf.DUMMYFUNCTION("""COMPUTED_VALUE"""),"291008")</f>
        <v>291008</v>
      </c>
      <c r="G3309" s="1" t="str">
        <f>IFERROR(__xludf.DUMMYFUNCTION("""COMPUTED_VALUE"""),"น.ส.รัชดาพร อีศรัตน์")</f>
        <v>น.ส.รัชดาพร อีศรัตน์</v>
      </c>
      <c r="H3309" s="1" t="str">
        <f>IFERROR(__xludf.DUMMYFUNCTION("""COMPUTED_VALUE"""),"359054")</f>
        <v>359054</v>
      </c>
      <c r="I3309" s="1" t="str">
        <f>IFERROR(__xludf.DUMMYFUNCTION("""COMPUTED_VALUE"""),"น.ส.กรรณิการ์ พุทธวงค์")</f>
        <v>น.ส.กรรณิการ์ พุทธวงค์</v>
      </c>
      <c r="J3309" s="3">
        <f>IFERROR(__xludf.DUMMYFUNCTION("""COMPUTED_VALUE"""),2452378.0)</f>
        <v>2452378</v>
      </c>
      <c r="K3309" s="3" t="str">
        <f>IFERROR(__xludf.DUMMYFUNCTION("""COMPUTED_VALUE"""),"นายศักดิ์ดา พวงประดับ")</f>
        <v>นายศักดิ์ดา พวงประดับ</v>
      </c>
      <c r="L3309" s="1" t="str">
        <f>IFERROR(__xludf.DUMMYFUNCTION("""COMPUTED_VALUE"""),"11 K.Sakda P.")</f>
        <v>11 K.Sakda P.</v>
      </c>
      <c r="M3309" s="1" t="str">
        <f>IFERROR(__xludf.DUMMYFUNCTION("""COMPUTED_VALUE"""),"065-929-1279")</f>
        <v>065-929-1279</v>
      </c>
      <c r="N3309" s="3">
        <f>IFERROR(__xludf.DUMMYFUNCTION("""COMPUTED_VALUE"""),21002.0)</f>
        <v>21002</v>
      </c>
      <c r="O3309" s="3" t="str">
        <f>IFERROR(__xludf.DUMMYFUNCTION("""COMPUTED_VALUE"""),"MBC อุดมสุข")</f>
        <v>MBC อุดมสุข</v>
      </c>
      <c r="P3309" s="4">
        <f>IFERROR(__xludf.DUMMYFUNCTION("""COMPUTED_VALUE"""),46002.0)</f>
        <v>46002</v>
      </c>
      <c r="Q3309" s="3" t="str">
        <f>IFERROR(__xludf.DUMMYFUNCTION("""COMPUTED_VALUE"""),"A")</f>
        <v>A</v>
      </c>
      <c r="R3309" s="3" t="str">
        <f>IFERROR(__xludf.DUMMYFUNCTION("""COMPUTED_VALUE"""),"Small Format")</f>
        <v>Small Format</v>
      </c>
      <c r="S3309" s="3" t="str">
        <f>IFERROR(__xludf.DUMMYFUNCTION("""COMPUTED_VALUE"""),"BCM(FC)")</f>
        <v>BCM(FC)</v>
      </c>
      <c r="T3309" s="3" t="str">
        <f>IFERROR(__xludf.DUMMYFUNCTION("""COMPUTED_VALUE"""),"#N/A")</f>
        <v>#N/A</v>
      </c>
      <c r="U3309" s="3" t="str">
        <f>IFERROR(__xludf.DUMMYFUNCTION("""COMPUTED_VALUE"""),"#N/A")</f>
        <v>#N/A</v>
      </c>
      <c r="V3309" s="3" t="str">
        <f>IFERROR(__xludf.DUMMYFUNCTION("""COMPUTED_VALUE"""),"Y")</f>
        <v>Y</v>
      </c>
      <c r="W3309" s="3">
        <f>IFERROR(__xludf.DUMMYFUNCTION("""COMPUTED_VALUE"""),812356.0)</f>
        <v>812356</v>
      </c>
      <c r="X3309" s="3" t="str">
        <f>IFERROR(__xludf.DUMMYFUNCTION("""COMPUTED_VALUE"""),"188 ถนนอ่อนนุช แขวงประเวศ เขตประเวศ กรุงเทพมหานคร 10250")</f>
        <v>188 ถนนอ่อนนุช แขวงประเวศ เขตประเวศ กรุงเทพมหานคร 10250</v>
      </c>
      <c r="Y3309" s="3" t="str">
        <f>IFERROR(__xludf.DUMMYFUNCTION("""COMPUTED_VALUE"""),"อ่อนนุช")</f>
        <v>อ่อนนุช</v>
      </c>
      <c r="Z3309" s="3" t="str">
        <f>IFERROR(__xludf.DUMMYFUNCTION("""COMPUTED_VALUE"""),"ประเวศ")</f>
        <v>ประเวศ</v>
      </c>
      <c r="AA3309" s="3" t="str">
        <f>IFERROR(__xludf.DUMMYFUNCTION("""COMPUTED_VALUE"""),"ประเวศ")</f>
        <v>ประเวศ</v>
      </c>
      <c r="AB3309" s="3" t="str">
        <f>IFERROR(__xludf.DUMMYFUNCTION("""COMPUTED_VALUE"""),"กรุงเทพมหานคร")</f>
        <v>กรุงเทพมหานคร</v>
      </c>
      <c r="AC3309" s="3">
        <f>IFERROR(__xludf.DUMMYFUNCTION("""COMPUTED_VALUE"""),10250.0)</f>
        <v>10250</v>
      </c>
      <c r="AD3309" s="3">
        <f>IFERROR(__xludf.DUMMYFUNCTION("""COMPUTED_VALUE"""),13.71953129)</f>
        <v>13.71953129</v>
      </c>
      <c r="AE3309" s="3">
        <f>IFERROR(__xludf.DUMMYFUNCTION("""COMPUTED_VALUE"""),100.6747536)</f>
        <v>100.6747536</v>
      </c>
      <c r="AF3309" s="3" t="str">
        <f>IFERROR(__xludf.DUMMYFUNCTION("""COMPUTED_VALUE"""),"BCM FC BCP อ่อนนุช ขาเข้า กรุงเทพฯ-31130")</f>
        <v>BCM FC BCP อ่อนนุช ขาเข้า กรุงเทพฯ-31130</v>
      </c>
      <c r="AG3309" s="3" t="str">
        <f>IFERROR(__xludf.DUMMYFUNCTION("""COMPUTED_VALUE"""),"กลาง")</f>
        <v>กลาง</v>
      </c>
      <c r="AH3309" s="3" t="str">
        <f>IFERROR(__xludf.DUMMYFUNCTION("""COMPUTED_VALUE"""),"#N/A")</f>
        <v>#N/A</v>
      </c>
      <c r="AI3309" s="3" t="str">
        <f>IFERROR(__xludf.DUMMYFUNCTION("""COMPUTED_VALUE"""),"In warranty")</f>
        <v>In warranty</v>
      </c>
      <c r="AJ3309" s="3">
        <f>IFERROR(__xludf.DUMMYFUNCTION("""COMPUTED_VALUE"""),2.0)</f>
        <v>2</v>
      </c>
      <c r="AK3309" s="3"/>
      <c r="AL3309" s="3"/>
    </row>
    <row r="3310" ht="15.75" customHeight="1">
      <c r="A3310" s="1" t="str">
        <f>IFERROR(__xludf.DUMMYFUNCTION("""COMPUTED_VALUE"""),"14015")</f>
        <v>14015</v>
      </c>
      <c r="B3310" s="2">
        <f>IFERROR(__xludf.DUMMYFUNCTION("""COMPUTED_VALUE"""),14015.0)</f>
        <v>14015</v>
      </c>
      <c r="C3310" s="3" t="str">
        <f>IFERROR(__xludf.DUMMYFUNCTION("""COMPUTED_VALUE"""),"DEPOT ปาล์ม ไอส์แลนด์")</f>
        <v>DEPOT ปาล์ม ไอส์แลนด์</v>
      </c>
      <c r="D3310" s="3" t="str">
        <f>IFERROR(__xludf.DUMMYFUNCTION("""COMPUTED_VALUE"""),"BIGC DEPOT PALM ISLAND")</f>
        <v>BIGC DEPOT PALM ISLAND</v>
      </c>
      <c r="E3310" s="1" t="str">
        <f>IFERROR(__xludf.DUMMYFUNCTION("""COMPUTED_VALUE"""),"บิ๊กซี Depot")</f>
        <v>บิ๊กซี Depot</v>
      </c>
      <c r="F3310" s="1" t="str">
        <f>IFERROR(__xludf.DUMMYFUNCTION("""COMPUTED_VALUE"""),"2454716")</f>
        <v>2454716</v>
      </c>
      <c r="G3310" s="1" t="str">
        <f>IFERROR(__xludf.DUMMYFUNCTION("""COMPUTED_VALUE"""),"นายโฆษิต วงค์กะโซ่")</f>
        <v>นายโฆษิต วงค์กะโซ่</v>
      </c>
      <c r="H3310" s="1" t="str">
        <f>IFERROR(__xludf.DUMMYFUNCTION("""COMPUTED_VALUE"""),"2454716")</f>
        <v>2454716</v>
      </c>
      <c r="I3310" s="1" t="str">
        <f>IFERROR(__xludf.DUMMYFUNCTION("""COMPUTED_VALUE"""),"นายโฆษิต วงค์กะโซ่")</f>
        <v>นายโฆษิต วงค์กะโซ่</v>
      </c>
      <c r="J3310" s="3">
        <f>IFERROR(__xludf.DUMMYFUNCTION("""COMPUTED_VALUE"""),2454716.0)</f>
        <v>2454716</v>
      </c>
      <c r="K3310" s="3" t="str">
        <f>IFERROR(__xludf.DUMMYFUNCTION("""COMPUTED_VALUE"""),"นายโฆษิต วงค์กะโซ่")</f>
        <v>นายโฆษิต วงค์กะโซ่</v>
      </c>
      <c r="L3310" s="1" t="str">
        <f>IFERROR(__xludf.DUMMYFUNCTION("""COMPUTED_VALUE"""),"Hub03-BKK 3")</f>
        <v>Hub03-BKK 3</v>
      </c>
      <c r="M3310" s="1" t="str">
        <f>IFERROR(__xludf.DUMMYFUNCTION("""COMPUTED_VALUE"""),"062-434-5030")</f>
        <v>062-434-5030</v>
      </c>
      <c r="N3310" s="3">
        <f>IFERROR(__xludf.DUMMYFUNCTION("""COMPUTED_VALUE"""),14015.0)</f>
        <v>14015</v>
      </c>
      <c r="O3310" s="3" t="str">
        <f>IFERROR(__xludf.DUMMYFUNCTION("""COMPUTED_VALUE"""),"DEPOT ปาล์ม ไอส์แลนด์")</f>
        <v>DEPOT ปาล์ม ไอส์แลนด์</v>
      </c>
      <c r="P3310" s="4">
        <f>IFERROR(__xludf.DUMMYFUNCTION("""COMPUTED_VALUE"""),45993.0)</f>
        <v>45993</v>
      </c>
      <c r="Q3310" s="3" t="str">
        <f>IFERROR(__xludf.DUMMYFUNCTION("""COMPUTED_VALUE"""),"A")</f>
        <v>A</v>
      </c>
      <c r="R3310" s="3" t="str">
        <f>IFERROR(__xludf.DUMMYFUNCTION("""COMPUTED_VALUE"""),"Big Format")</f>
        <v>Big Format</v>
      </c>
      <c r="S3310" s="3" t="str">
        <f>IFERROR(__xludf.DUMMYFUNCTION("""COMPUTED_VALUE"""),"Depot")</f>
        <v>Depot</v>
      </c>
      <c r="T3310" s="3" t="str">
        <f>IFERROR(__xludf.DUMMYFUNCTION("""COMPUTED_VALUE"""),"Hub03-BKK 3")</f>
        <v>Hub03-BKK 3</v>
      </c>
      <c r="U3310" s="3" t="str">
        <f>IFERROR(__xludf.DUMMYFUNCTION("""COMPUTED_VALUE"""),"Hub03-BKK 3")</f>
        <v>Hub03-BKK 3</v>
      </c>
      <c r="V3310" s="3" t="str">
        <f>IFERROR(__xludf.DUMMYFUNCTION("""COMPUTED_VALUE"""),"N")</f>
        <v>N</v>
      </c>
      <c r="W3310" s="3">
        <f>IFERROR(__xludf.DUMMYFUNCTION("""COMPUTED_VALUE"""),151108.0)</f>
        <v>151108</v>
      </c>
      <c r="X3310" s="3" t="str">
        <f>IFERROR(__xludf.DUMMYFUNCTION("""COMPUTED_VALUE"""),"1010/51 หมู่ที่ 3 ตำบลเทพารักษ์ อำเภอเมืองสมุทรปราการ จังหวัดสมุทรปราการ 10270")</f>
        <v>1010/51 หมู่ที่ 3 ตำบลเทพารักษ์ อำเภอเมืองสมุทรปราการ จังหวัดสมุทรปราการ 10270</v>
      </c>
      <c r="Y3310" s="3"/>
      <c r="Z3310" s="3" t="str">
        <f>IFERROR(__xludf.DUMMYFUNCTION("""COMPUTED_VALUE"""),"เทพารักษ์")</f>
        <v>เทพารักษ์</v>
      </c>
      <c r="AA3310" s="3" t="str">
        <f>IFERROR(__xludf.DUMMYFUNCTION("""COMPUTED_VALUE"""),"เมืองสมุทรปราการ")</f>
        <v>เมืองสมุทรปราการ</v>
      </c>
      <c r="AB3310" s="3" t="str">
        <f>IFERROR(__xludf.DUMMYFUNCTION("""COMPUTED_VALUE"""),"สมุทรปราการ")</f>
        <v>สมุทรปราการ</v>
      </c>
      <c r="AC3310" s="3">
        <f>IFERROR(__xludf.DUMMYFUNCTION("""COMPUTED_VALUE"""),10270.0)</f>
        <v>10270</v>
      </c>
      <c r="AD3310" s="3">
        <f>IFERROR(__xludf.DUMMYFUNCTION("""COMPUTED_VALUE"""),13.6434121)</f>
        <v>13.6434121</v>
      </c>
      <c r="AE3310" s="3">
        <f>IFERROR(__xludf.DUMMYFUNCTION("""COMPUTED_VALUE"""),100.5948199)</f>
        <v>100.5948199</v>
      </c>
      <c r="AF3310" s="3" t="str">
        <f>IFERROR(__xludf.DUMMYFUNCTION("""COMPUTED_VALUE"""),"DEPOT ปาล์ม ไอส์แลนด์-14015")</f>
        <v>DEPOT ปาล์ม ไอส์แลนด์-14015</v>
      </c>
      <c r="AG3310" s="3" t="str">
        <f>IFERROR(__xludf.DUMMYFUNCTION("""COMPUTED_VALUE"""),"กลาง")</f>
        <v>กลาง</v>
      </c>
      <c r="AH3310" s="3" t="str">
        <f>IFERROR(__xludf.DUMMYFUNCTION("""COMPUTED_VALUE"""),"#N/A")</f>
        <v>#N/A</v>
      </c>
      <c r="AI3310" s="3" t="str">
        <f>IFERROR(__xludf.DUMMYFUNCTION("""COMPUTED_VALUE"""),"In warranty")</f>
        <v>In warranty</v>
      </c>
      <c r="AJ3310" s="3">
        <f>IFERROR(__xludf.DUMMYFUNCTION("""COMPUTED_VALUE"""),2.0)</f>
        <v>2</v>
      </c>
      <c r="AK3310" s="3"/>
      <c r="AL3310" s="3"/>
    </row>
    <row r="3311" ht="15.75" customHeight="1">
      <c r="A3311" s="1" t="str">
        <f>IFERROR(__xludf.DUMMYFUNCTION("""COMPUTED_VALUE"""),"15074")</f>
        <v>15074</v>
      </c>
      <c r="B3311" s="2">
        <f>IFERROR(__xludf.DUMMYFUNCTION("""COMPUTED_VALUE"""),15074.0)</f>
        <v>15074</v>
      </c>
      <c r="C3311" s="3" t="str">
        <f>IFERROR(__xludf.DUMMYFUNCTION("""COMPUTED_VALUE"""),"ตลาดบุญเจริญ")</f>
        <v>ตลาดบุญเจริญ</v>
      </c>
      <c r="D3311" s="3" t="str">
        <f>IFERROR(__xludf.DUMMYFUNCTION("""COMPUTED_VALUE"""),"BIGC MARKET BOONCHAROEN")</f>
        <v>BIGC MARKET BOONCHAROEN</v>
      </c>
      <c r="E3311" s="1" t="str">
        <f>IFERROR(__xludf.DUMMYFUNCTION("""COMPUTED_VALUE"""),"บิ๊กซี Market")</f>
        <v>บิ๊กซี Market</v>
      </c>
      <c r="F3311" s="1" t="str">
        <f>IFERROR(__xludf.DUMMYFUNCTION("""COMPUTED_VALUE"""),"2454701")</f>
        <v>2454701</v>
      </c>
      <c r="G3311" s="1" t="str">
        <f>IFERROR(__xludf.DUMMYFUNCTION("""COMPUTED_VALUE"""),"นายกานต์ ไชยแสงศรี")</f>
        <v>นายกานต์ ไชยแสงศรี</v>
      </c>
      <c r="H3311" s="1" t="str">
        <f>IFERROR(__xludf.DUMMYFUNCTION("""COMPUTED_VALUE"""),"2454701")</f>
        <v>2454701</v>
      </c>
      <c r="I3311" s="1" t="str">
        <f>IFERROR(__xludf.DUMMYFUNCTION("""COMPUTED_VALUE"""),"นายกานต์ ไชยแสงศรี")</f>
        <v>นายกานต์ ไชยแสงศรี</v>
      </c>
      <c r="J3311" s="3">
        <f>IFERROR(__xludf.DUMMYFUNCTION("""COMPUTED_VALUE"""),2454701.0)</f>
        <v>2454701</v>
      </c>
      <c r="K3311" s="3" t="str">
        <f>IFERROR(__xludf.DUMMYFUNCTION("""COMPUTED_VALUE"""),"นายกานต์ ไชยแสงศรี")</f>
        <v>นายกานต์ ไชยแสงศรี</v>
      </c>
      <c r="L3311" s="1" t="str">
        <f>IFERROR(__xludf.DUMMYFUNCTION("""COMPUTED_VALUE"""),"Hub01-BKK 1")</f>
        <v>Hub01-BKK 1</v>
      </c>
      <c r="M3311" s="1" t="str">
        <f>IFERROR(__xludf.DUMMYFUNCTION("""COMPUTED_VALUE"""),"0909090652")</f>
        <v>0909090652</v>
      </c>
      <c r="N3311" s="3">
        <f>IFERROR(__xludf.DUMMYFUNCTION("""COMPUTED_VALUE"""),15074.0)</f>
        <v>15074</v>
      </c>
      <c r="O3311" s="3" t="str">
        <f>IFERROR(__xludf.DUMMYFUNCTION("""COMPUTED_VALUE"""),"ตลาดบุญเจริญ")</f>
        <v>ตลาดบุญเจริญ</v>
      </c>
      <c r="P3311" s="4">
        <f>IFERROR(__xludf.DUMMYFUNCTION("""COMPUTED_VALUE"""),45995.0)</f>
        <v>45995</v>
      </c>
      <c r="Q3311" s="3" t="str">
        <f>IFERROR(__xludf.DUMMYFUNCTION("""COMPUTED_VALUE"""),"A")</f>
        <v>A</v>
      </c>
      <c r="R3311" s="3" t="str">
        <f>IFERROR(__xludf.DUMMYFUNCTION("""COMPUTED_VALUE"""),"Big Format")</f>
        <v>Big Format</v>
      </c>
      <c r="S3311" s="3" t="str">
        <f>IFERROR(__xludf.DUMMYFUNCTION("""COMPUTED_VALUE"""),"BMK")</f>
        <v>BMK</v>
      </c>
      <c r="T3311" s="3" t="str">
        <f>IFERROR(__xludf.DUMMYFUNCTION("""COMPUTED_VALUE"""),"Hub01-BKK 1")</f>
        <v>Hub01-BKK 1</v>
      </c>
      <c r="U3311" s="3" t="str">
        <f>IFERROR(__xludf.DUMMYFUNCTION("""COMPUTED_VALUE"""),"Hub01-BKK 1")</f>
        <v>Hub01-BKK 1</v>
      </c>
      <c r="V3311" s="3" t="str">
        <f>IFERROR(__xludf.DUMMYFUNCTION("""COMPUTED_VALUE"""),"N")</f>
        <v>N</v>
      </c>
      <c r="W3311" s="3">
        <f>IFERROR(__xludf.DUMMYFUNCTION("""COMPUTED_VALUE"""),151109.0)</f>
        <v>151109</v>
      </c>
      <c r="X3311" s="3" t="str">
        <f>IFERROR(__xludf.DUMMYFUNCTION("""COMPUTED_VALUE"""),"168 หมู่ที่ 5 ตำบลบ้านใหม่ อำเภอปากเกร็ด จังหวัดนนทบุรี 11120")</f>
        <v>168 หมู่ที่ 5 ตำบลบ้านใหม่ อำเภอปากเกร็ด จังหวัดนนทบุรี 11120</v>
      </c>
      <c r="Y3311" s="3"/>
      <c r="Z3311" s="3" t="str">
        <f>IFERROR(__xludf.DUMMYFUNCTION("""COMPUTED_VALUE"""),"บ้านใหม่")</f>
        <v>บ้านใหม่</v>
      </c>
      <c r="AA3311" s="3" t="str">
        <f>IFERROR(__xludf.DUMMYFUNCTION("""COMPUTED_VALUE"""),"ปากเกร็ด")</f>
        <v>ปากเกร็ด</v>
      </c>
      <c r="AB3311" s="3" t="str">
        <f>IFERROR(__xludf.DUMMYFUNCTION("""COMPUTED_VALUE"""),"นนทบุรี")</f>
        <v>นนทบุรี</v>
      </c>
      <c r="AC3311" s="3">
        <f>IFERROR(__xludf.DUMMYFUNCTION("""COMPUTED_VALUE"""),11120.0)</f>
        <v>11120</v>
      </c>
      <c r="AD3311" s="3">
        <f>IFERROR(__xludf.DUMMYFUNCTION("""COMPUTED_VALUE"""),13.93188526)</f>
        <v>13.93188526</v>
      </c>
      <c r="AE3311" s="3">
        <f>IFERROR(__xludf.DUMMYFUNCTION("""COMPUTED_VALUE"""),100.5393132)</f>
        <v>100.5393132</v>
      </c>
      <c r="AF3311" s="3" t="str">
        <f>IFERROR(__xludf.DUMMYFUNCTION("""COMPUTED_VALUE"""),"ตลาดบุญเจริญ-15074")</f>
        <v>ตลาดบุญเจริญ-15074</v>
      </c>
      <c r="AG3311" s="3" t="str">
        <f>IFERROR(__xludf.DUMMYFUNCTION("""COMPUTED_VALUE"""),"กลาง")</f>
        <v>กลาง</v>
      </c>
      <c r="AH3311" s="3" t="str">
        <f>IFERROR(__xludf.DUMMYFUNCTION("""COMPUTED_VALUE"""),"#N/A")</f>
        <v>#N/A</v>
      </c>
      <c r="AI3311" s="3" t="str">
        <f>IFERROR(__xludf.DUMMYFUNCTION("""COMPUTED_VALUE"""),"In warranty")</f>
        <v>In warranty</v>
      </c>
      <c r="AJ3311" s="3">
        <f>IFERROR(__xludf.DUMMYFUNCTION("""COMPUTED_VALUE"""),2.0)</f>
        <v>2</v>
      </c>
      <c r="AK3311" s="3"/>
      <c r="AL3311" s="3"/>
    </row>
    <row r="3312" ht="15.75" customHeight="1">
      <c r="A3312" s="1" t="str">
        <f>IFERROR(__xludf.DUMMYFUNCTION("""COMPUTED_VALUE"""),"22750")</f>
        <v>22750</v>
      </c>
      <c r="B3312" s="2">
        <f>IFERROR(__xludf.DUMMYFUNCTION("""COMPUTED_VALUE"""),22750.0)</f>
        <v>22750</v>
      </c>
      <c r="C3312" s="3" t="str">
        <f>IFERROR(__xludf.DUMMYFUNCTION("""COMPUTED_VALUE"""),"BCM คลองหกตะวันออก12 ปทุมธานี")</f>
        <v>BCM คลองหกตะวันออก12 ปทุมธานี</v>
      </c>
      <c r="D3312" s="3" t="str">
        <f>IFERROR(__xludf.DUMMYFUNCTION("""COMPUTED_VALUE"""),"BCM KHLONG 6 TAWAN OK12 PATHUM")</f>
        <v>BCM KHLONG 6 TAWAN OK12 PATHUM</v>
      </c>
      <c r="E3312" s="1" t="str">
        <f>IFERROR(__xludf.DUMMYFUNCTION("""COMPUTED_VALUE"""),"บิ๊กซี MINI")</f>
        <v>บิ๊กซี MINI</v>
      </c>
      <c r="F3312" s="1" t="str">
        <f>IFERROR(__xludf.DUMMYFUNCTION("""COMPUTED_VALUE"""),"2083447")</f>
        <v>2083447</v>
      </c>
      <c r="G3312" s="1" t="str">
        <f>IFERROR(__xludf.DUMMYFUNCTION("""COMPUTED_VALUE"""),"นายอนุกูล ศรีลัดดา")</f>
        <v>นายอนุกูล ศรีลัดดา</v>
      </c>
      <c r="H3312" s="1" t="str">
        <f>IFERROR(__xludf.DUMMYFUNCTION("""COMPUTED_VALUE"""),"373849")</f>
        <v>373849</v>
      </c>
      <c r="I3312" s="1" t="str">
        <f>IFERROR(__xludf.DUMMYFUNCTION("""COMPUTED_VALUE"""),"น.ส.อรอุมา นิ่มวิศิษย์")</f>
        <v>น.ส.อรอุมา นิ่มวิศิษย์</v>
      </c>
      <c r="J3312" s="3">
        <f>IFERROR(__xludf.DUMMYFUNCTION("""COMPUTED_VALUE"""),510143.0)</f>
        <v>510143</v>
      </c>
      <c r="K3312" s="3" t="str">
        <f>IFERROR(__xludf.DUMMYFUNCTION("""COMPUTED_VALUE"""),"นายธีระวัฒน์ บุญสิทธิ์")</f>
        <v>นายธีระวัฒน์ บุญสิทธิ์</v>
      </c>
      <c r="L3312" s="1" t="str">
        <f>IFERROR(__xludf.DUMMYFUNCTION("""COMPUTED_VALUE"""),"12 K.Theerawat B.")</f>
        <v>12 K.Theerawat B.</v>
      </c>
      <c r="M3312" s="1" t="str">
        <f>IFERROR(__xludf.DUMMYFUNCTION("""COMPUTED_VALUE"""),"0655107379")</f>
        <v>0655107379</v>
      </c>
      <c r="N3312" s="3">
        <f>IFERROR(__xludf.DUMMYFUNCTION("""COMPUTED_VALUE"""),21062.0)</f>
        <v>21062</v>
      </c>
      <c r="O3312" s="3" t="str">
        <f>IFERROR(__xludf.DUMMYFUNCTION("""COMPUTED_VALUE"""),"MBC นิคมนวนคร")</f>
        <v>MBC นิคมนวนคร</v>
      </c>
      <c r="P3312" s="4">
        <f>IFERROR(__xludf.DUMMYFUNCTION("""COMPUTED_VALUE"""),45980.0)</f>
        <v>45980</v>
      </c>
      <c r="Q3312" s="3" t="str">
        <f>IFERROR(__xludf.DUMMYFUNCTION("""COMPUTED_VALUE"""),"A")</f>
        <v>A</v>
      </c>
      <c r="R3312" s="3" t="str">
        <f>IFERROR(__xludf.DUMMYFUNCTION("""COMPUTED_VALUE"""),"Small Format")</f>
        <v>Small Format</v>
      </c>
      <c r="S3312" s="3" t="str">
        <f>IFERROR(__xludf.DUMMYFUNCTION("""COMPUTED_VALUE"""),"BCM")</f>
        <v>BCM</v>
      </c>
      <c r="T3312" s="3" t="str">
        <f>IFERROR(__xludf.DUMMYFUNCTION("""COMPUTED_VALUE"""),"#N/A")</f>
        <v>#N/A</v>
      </c>
      <c r="U3312" s="3" t="str">
        <f>IFERROR(__xludf.DUMMYFUNCTION("""COMPUTED_VALUE"""),"#N/A")</f>
        <v>#N/A</v>
      </c>
      <c r="V3312" s="3" t="str">
        <f>IFERROR(__xludf.DUMMYFUNCTION("""COMPUTED_VALUE"""),"N")</f>
        <v>N</v>
      </c>
      <c r="W3312" s="3">
        <f>IFERROR(__xludf.DUMMYFUNCTION("""COMPUTED_VALUE"""),210850.0)</f>
        <v>210850</v>
      </c>
      <c r="X3312" s="3" t="str">
        <f>IFERROR(__xludf.DUMMYFUNCTION("""COMPUTED_VALUE"""),"29/463 หมู่ที่ 1 ตำบลคลองหก อำเภอคลองหลวง จังหวัดปทุมธานี 12120")</f>
        <v>29/463 หมู่ที่ 1 ตำบลคลองหก อำเภอคลองหลวง จังหวัดปทุมธานี 12120</v>
      </c>
      <c r="Y3312" s="3"/>
      <c r="Z3312" s="3" t="str">
        <f>IFERROR(__xludf.DUMMYFUNCTION("""COMPUTED_VALUE"""),"คลองหก")</f>
        <v>คลองหก</v>
      </c>
      <c r="AA3312" s="3" t="str">
        <f>IFERROR(__xludf.DUMMYFUNCTION("""COMPUTED_VALUE"""),"คลองหลวง")</f>
        <v>คลองหลวง</v>
      </c>
      <c r="AB3312" s="3" t="str">
        <f>IFERROR(__xludf.DUMMYFUNCTION("""COMPUTED_VALUE"""),"ปทุมธานี")</f>
        <v>ปทุมธานี</v>
      </c>
      <c r="AC3312" s="3">
        <f>IFERROR(__xludf.DUMMYFUNCTION("""COMPUTED_VALUE"""),12120.0)</f>
        <v>12120</v>
      </c>
      <c r="AD3312" s="3">
        <f>IFERROR(__xludf.DUMMYFUNCTION("""COMPUTED_VALUE"""),14.042239)</f>
        <v>14.042239</v>
      </c>
      <c r="AE3312" s="3">
        <f>IFERROR(__xludf.DUMMYFUNCTION("""COMPUTED_VALUE"""),100.733419)</f>
        <v>100.733419</v>
      </c>
      <c r="AF3312" s="3" t="str">
        <f>IFERROR(__xludf.DUMMYFUNCTION("""COMPUTED_VALUE"""),"BCM คลองหกตะวันออก12 ปทุมธานี-22750")</f>
        <v>BCM คลองหกตะวันออก12 ปทุมธานี-22750</v>
      </c>
      <c r="AG3312" s="3" t="str">
        <f>IFERROR(__xludf.DUMMYFUNCTION("""COMPUTED_VALUE"""),"กลาง")</f>
        <v>กลาง</v>
      </c>
      <c r="AH3312" s="3" t="str">
        <f>IFERROR(__xludf.DUMMYFUNCTION("""COMPUTED_VALUE"""),"#N/A")</f>
        <v>#N/A</v>
      </c>
      <c r="AI3312" s="3" t="str">
        <f>IFERROR(__xludf.DUMMYFUNCTION("""COMPUTED_VALUE"""),"In warranty")</f>
        <v>In warranty</v>
      </c>
      <c r="AJ3312" s="3">
        <f>IFERROR(__xludf.DUMMYFUNCTION("""COMPUTED_VALUE"""),3.0)</f>
        <v>3</v>
      </c>
      <c r="AK3312" s="3"/>
      <c r="AL3312" s="3"/>
    </row>
    <row r="3313" ht="15.75" customHeight="1">
      <c r="A3313" s="1" t="str">
        <f>IFERROR(__xludf.DUMMYFUNCTION("""COMPUTED_VALUE"""),"31127")</f>
        <v>31127</v>
      </c>
      <c r="B3313" s="2">
        <f>IFERROR(__xludf.DUMMYFUNCTION("""COMPUTED_VALUE"""),31127.0)</f>
        <v>31127</v>
      </c>
      <c r="C3313" s="3" t="str">
        <f>IFERROR(__xludf.DUMMYFUNCTION("""COMPUTED_VALUE"""),"BCM FC BCP โตนด-โนนสูง นครราชสีมา")</f>
        <v>BCM FC BCP โตนด-โนนสูง นครราชสีมา</v>
      </c>
      <c r="D3313" s="3" t="str">
        <f>IFERROR(__xludf.DUMMYFUNCTION("""COMPUTED_VALUE"""),"BCM FC BCP TANOT - NON SUNG")</f>
        <v>BCM FC BCP TANOT - NON SUNG</v>
      </c>
      <c r="E3313" s="1" t="str">
        <f>IFERROR(__xludf.DUMMYFUNCTION("""COMPUTED_VALUE"""),"บิ๊กซี MINI")</f>
        <v>บิ๊กซี MINI</v>
      </c>
      <c r="F3313" s="1" t="str">
        <f>IFERROR(__xludf.DUMMYFUNCTION("""COMPUTED_VALUE"""),"291105")</f>
        <v>291105</v>
      </c>
      <c r="G3313" s="1" t="str">
        <f>IFERROR(__xludf.DUMMYFUNCTION("""COMPUTED_VALUE"""),"นายสราวุฒิ พณิชยกุล")</f>
        <v>นายสราวุฒิ พณิชยกุล</v>
      </c>
      <c r="H3313" s="1" t="str">
        <f>IFERROR(__xludf.DUMMYFUNCTION("""COMPUTED_VALUE"""),"281315")</f>
        <v>281315</v>
      </c>
      <c r="I3313" s="1" t="str">
        <f>IFERROR(__xludf.DUMMYFUNCTION("""COMPUTED_VALUE"""),"นายกิตติพงษ์ มั่นคง")</f>
        <v>นายกิตติพงษ์ มั่นคง</v>
      </c>
      <c r="J3313" s="3">
        <f>IFERROR(__xludf.DUMMYFUNCTION("""COMPUTED_VALUE"""),15361.0)</f>
        <v>15361</v>
      </c>
      <c r="K3313" s="3" t="str">
        <f>IFERROR(__xludf.DUMMYFUNCTION("""COMPUTED_VALUE"""),"นายสมบูรณ์ พรหมในเมือง")</f>
        <v>นายสมบูรณ์ พรหมในเมือง</v>
      </c>
      <c r="L3313" s="1" t="str">
        <f>IFERROR(__xludf.DUMMYFUNCTION("""COMPUTED_VALUE"""),"04 K.Somboon P.")</f>
        <v>04 K.Somboon P.</v>
      </c>
      <c r="M3313" s="1" t="str">
        <f>IFERROR(__xludf.DUMMYFUNCTION("""COMPUTED_VALUE"""),"087-965-3051")</f>
        <v>087-965-3051</v>
      </c>
      <c r="N3313" s="3">
        <f>IFERROR(__xludf.DUMMYFUNCTION("""COMPUTED_VALUE"""),21869.0)</f>
        <v>21869</v>
      </c>
      <c r="O3313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3313" s="4">
        <f>IFERROR(__xludf.DUMMYFUNCTION("""COMPUTED_VALUE"""),45992.0)</f>
        <v>45992</v>
      </c>
      <c r="Q3313" s="3" t="str">
        <f>IFERROR(__xludf.DUMMYFUNCTION("""COMPUTED_VALUE"""),"A")</f>
        <v>A</v>
      </c>
      <c r="R3313" s="3" t="str">
        <f>IFERROR(__xludf.DUMMYFUNCTION("""COMPUTED_VALUE"""),"Small Format")</f>
        <v>Small Format</v>
      </c>
      <c r="S3313" s="3" t="str">
        <f>IFERROR(__xludf.DUMMYFUNCTION("""COMPUTED_VALUE"""),"BCM(FC)")</f>
        <v>BCM(FC)</v>
      </c>
      <c r="T3313" s="3" t="str">
        <f>IFERROR(__xludf.DUMMYFUNCTION("""COMPUTED_VALUE"""),"#N/A")</f>
        <v>#N/A</v>
      </c>
      <c r="U3313" s="3" t="str">
        <f>IFERROR(__xludf.DUMMYFUNCTION("""COMPUTED_VALUE"""),"#N/A")</f>
        <v>#N/A</v>
      </c>
      <c r="V3313" s="3" t="str">
        <f>IFERROR(__xludf.DUMMYFUNCTION("""COMPUTED_VALUE"""),"Y")</f>
        <v>Y</v>
      </c>
      <c r="W3313" s="3">
        <f>IFERROR(__xludf.DUMMYFUNCTION("""COMPUTED_VALUE"""),812360.0)</f>
        <v>812360</v>
      </c>
      <c r="X3313" s="3" t="str">
        <f>IFERROR(__xludf.DUMMYFUNCTION("""COMPUTED_VALUE"""),"110/2 หมู่ที่ 10 ตำบลโตนด อำเภอโนนสูง จังหวัดนครราชสีมา 30160")</f>
        <v>110/2 หมู่ที่ 10 ตำบลโตนด อำเภอโนนสูง จังหวัดนครราชสีมา 30160</v>
      </c>
      <c r="Y3313" s="3"/>
      <c r="Z3313" s="3" t="str">
        <f>IFERROR(__xludf.DUMMYFUNCTION("""COMPUTED_VALUE"""),"โตนด")</f>
        <v>โตนด</v>
      </c>
      <c r="AA3313" s="3" t="str">
        <f>IFERROR(__xludf.DUMMYFUNCTION("""COMPUTED_VALUE"""),"โนนสูง")</f>
        <v>โนนสูง</v>
      </c>
      <c r="AB3313" s="3" t="str">
        <f>IFERROR(__xludf.DUMMYFUNCTION("""COMPUTED_VALUE"""),"นครราชสีมา")</f>
        <v>นครราชสีมา</v>
      </c>
      <c r="AC3313" s="3">
        <f>IFERROR(__xludf.DUMMYFUNCTION("""COMPUTED_VALUE"""),30160.0)</f>
        <v>30160</v>
      </c>
      <c r="AD3313" s="3">
        <f>IFERROR(__xludf.DUMMYFUNCTION("""COMPUTED_VALUE"""),13.586508)</f>
        <v>13.586508</v>
      </c>
      <c r="AE3313" s="3">
        <f>IFERROR(__xludf.DUMMYFUNCTION("""COMPUTED_VALUE"""),100.840526)</f>
        <v>100.840526</v>
      </c>
      <c r="AF3313" s="3" t="str">
        <f>IFERROR(__xludf.DUMMYFUNCTION("""COMPUTED_VALUE"""),"BCM FC BCP โตนด-โนนสูง นครราชสีมา-31127")</f>
        <v>BCM FC BCP โตนด-โนนสูง นครราชสีมา-31127</v>
      </c>
      <c r="AG3313" s="3" t="str">
        <f>IFERROR(__xludf.DUMMYFUNCTION("""COMPUTED_VALUE"""),"ตะวันออกเฉียงเหนือ")</f>
        <v>ตะวันออกเฉียงเหนือ</v>
      </c>
      <c r="AH3313" s="3" t="str">
        <f>IFERROR(__xludf.DUMMYFUNCTION("""COMPUTED_VALUE"""),"#N/A")</f>
        <v>#N/A</v>
      </c>
      <c r="AI3313" s="3" t="str">
        <f>IFERROR(__xludf.DUMMYFUNCTION("""COMPUTED_VALUE"""),"In warranty")</f>
        <v>In warranty</v>
      </c>
      <c r="AJ3313" s="3">
        <f>IFERROR(__xludf.DUMMYFUNCTION("""COMPUTED_VALUE"""),2.0)</f>
        <v>2</v>
      </c>
      <c r="AK3313" s="3"/>
      <c r="AL3313" s="3"/>
    </row>
    <row r="3314" ht="15.75" customHeight="1">
      <c r="A3314" s="1" t="str">
        <f>IFERROR(__xludf.DUMMYFUNCTION("""COMPUTED_VALUE"""),"31128")</f>
        <v>31128</v>
      </c>
      <c r="B3314" s="2">
        <f>IFERROR(__xludf.DUMMYFUNCTION("""COMPUTED_VALUE"""),31128.0)</f>
        <v>31128</v>
      </c>
      <c r="C3314" s="3" t="str">
        <f>IFERROR(__xludf.DUMMYFUNCTION("""COMPUTED_VALUE"""),"BCM FC BCP บางนา กม.27 (ขาเข้า)สมุทรปราการ")</f>
        <v>BCM FC BCP บางนา กม.27 (ขาเข้า)สมุทรปราการ</v>
      </c>
      <c r="D3314" s="3" t="str">
        <f>IFERROR(__xludf.DUMMYFUNCTION("""COMPUTED_VALUE"""),"BCM FC BCP BANGNA KM.27")</f>
        <v>BCM FC BCP BANGNA KM.27</v>
      </c>
      <c r="E3314" s="1" t="str">
        <f>IFERROR(__xludf.DUMMYFUNCTION("""COMPUTED_VALUE"""),"บิ๊กซี MINI")</f>
        <v>บิ๊กซี MINI</v>
      </c>
      <c r="F3314" s="1" t="str">
        <f>IFERROR(__xludf.DUMMYFUNCTION("""COMPUTED_VALUE"""),"2083447")</f>
        <v>2083447</v>
      </c>
      <c r="G3314" s="1" t="str">
        <f>IFERROR(__xludf.DUMMYFUNCTION("""COMPUTED_VALUE"""),"นายอนุกูล ศรีลัดดา")</f>
        <v>นายอนุกูล ศรีลัดดา</v>
      </c>
      <c r="H3314" s="1" t="str">
        <f>IFERROR(__xludf.DUMMYFUNCTION("""COMPUTED_VALUE"""),"284752")</f>
        <v>284752</v>
      </c>
      <c r="I3314" s="1" t="str">
        <f>IFERROR(__xludf.DUMMYFUNCTION("""COMPUTED_VALUE"""),"น.ส.วีรนันท์ แสงใส")</f>
        <v>น.ส.วีรนันท์ แสงใส</v>
      </c>
      <c r="J3314" s="3">
        <f>IFERROR(__xludf.DUMMYFUNCTION("""COMPUTED_VALUE"""),2451655.0)</f>
        <v>2451655</v>
      </c>
      <c r="K3314" s="3" t="str">
        <f>IFERROR(__xludf.DUMMYFUNCTION("""COMPUTED_VALUE"""),"นายวิษณุพงษ์ ชินบุตร")</f>
        <v>นายวิษณุพงษ์ ชินบุตร</v>
      </c>
      <c r="L3314" s="1" t="str">
        <f>IFERROR(__xludf.DUMMYFUNCTION("""COMPUTED_VALUE"""),"13 K.Wisanupong Ch")</f>
        <v>13 K.Wisanupong Ch</v>
      </c>
      <c r="M3314" s="1" t="str">
        <f>IFERROR(__xludf.DUMMYFUNCTION("""COMPUTED_VALUE"""),"0843374693")</f>
        <v>0843374693</v>
      </c>
      <c r="N3314" s="3">
        <f>IFERROR(__xludf.DUMMYFUNCTION("""COMPUTED_VALUE"""),22729.0)</f>
        <v>22729</v>
      </c>
      <c r="O3314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3314" s="4">
        <f>IFERROR(__xludf.DUMMYFUNCTION("""COMPUTED_VALUE"""),45992.0)</f>
        <v>45992</v>
      </c>
      <c r="Q3314" s="3" t="str">
        <f>IFERROR(__xludf.DUMMYFUNCTION("""COMPUTED_VALUE"""),"A")</f>
        <v>A</v>
      </c>
      <c r="R3314" s="3" t="str">
        <f>IFERROR(__xludf.DUMMYFUNCTION("""COMPUTED_VALUE"""),"Small Format")</f>
        <v>Small Format</v>
      </c>
      <c r="S3314" s="3" t="str">
        <f>IFERROR(__xludf.DUMMYFUNCTION("""COMPUTED_VALUE"""),"BCM(FC)")</f>
        <v>BCM(FC)</v>
      </c>
      <c r="T3314" s="3" t="str">
        <f>IFERROR(__xludf.DUMMYFUNCTION("""COMPUTED_VALUE"""),"#N/A")</f>
        <v>#N/A</v>
      </c>
      <c r="U3314" s="3" t="str">
        <f>IFERROR(__xludf.DUMMYFUNCTION("""COMPUTED_VALUE"""),"#N/A")</f>
        <v>#N/A</v>
      </c>
      <c r="V3314" s="3" t="str">
        <f>IFERROR(__xludf.DUMMYFUNCTION("""COMPUTED_VALUE"""),"Y")</f>
        <v>Y</v>
      </c>
      <c r="W3314" s="3">
        <f>IFERROR(__xludf.DUMMYFUNCTION("""COMPUTED_VALUE"""),812361.0)</f>
        <v>812361</v>
      </c>
      <c r="X3314" s="3" t="str">
        <f>IFERROR(__xludf.DUMMYFUNCTION("""COMPUTED_VALUE"""),"557/1 หมู่ที่ 1 ตำบลบางบ่อ อำเภอบางบ่อ จังหวัดสมุทรปราการ 10560")</f>
        <v>557/1 หมู่ที่ 1 ตำบลบางบ่อ อำเภอบางบ่อ จังหวัดสมุทรปราการ 10560</v>
      </c>
      <c r="Y3314" s="3"/>
      <c r="Z3314" s="3" t="str">
        <f>IFERROR(__xludf.DUMMYFUNCTION("""COMPUTED_VALUE"""),"บางบ่อ")</f>
        <v>บางบ่อ</v>
      </c>
      <c r="AA3314" s="3" t="str">
        <f>IFERROR(__xludf.DUMMYFUNCTION("""COMPUTED_VALUE"""),"บางบ่อ")</f>
        <v>บางบ่อ</v>
      </c>
      <c r="AB3314" s="3" t="str">
        <f>IFERROR(__xludf.DUMMYFUNCTION("""COMPUTED_VALUE"""),"สมุทรปราการ")</f>
        <v>สมุทรปราการ</v>
      </c>
      <c r="AC3314" s="3">
        <f>IFERROR(__xludf.DUMMYFUNCTION("""COMPUTED_VALUE"""),10560.0)</f>
        <v>10560</v>
      </c>
      <c r="AD3314" s="3">
        <f>IFERROR(__xludf.DUMMYFUNCTION("""COMPUTED_VALUE"""),15.093211)</f>
        <v>15.093211</v>
      </c>
      <c r="AE3314" s="3">
        <f>IFERROR(__xludf.DUMMYFUNCTION("""COMPUTED_VALUE"""),102.250572)</f>
        <v>102.250572</v>
      </c>
      <c r="AF3314" s="3" t="str">
        <f>IFERROR(__xludf.DUMMYFUNCTION("""COMPUTED_VALUE"""),"BCM FC BCP บางนา กม.27 (ขาเข้า)สมุทรปราการ-31128")</f>
        <v>BCM FC BCP บางนา กม.27 (ขาเข้า)สมุทรปราการ-31128</v>
      </c>
      <c r="AG3314" s="3" t="str">
        <f>IFERROR(__xludf.DUMMYFUNCTION("""COMPUTED_VALUE"""),"กลาง")</f>
        <v>กลาง</v>
      </c>
      <c r="AH3314" s="3" t="str">
        <f>IFERROR(__xludf.DUMMYFUNCTION("""COMPUTED_VALUE"""),"#N/A")</f>
        <v>#N/A</v>
      </c>
      <c r="AI3314" s="3" t="str">
        <f>IFERROR(__xludf.DUMMYFUNCTION("""COMPUTED_VALUE"""),"In warranty")</f>
        <v>In warranty</v>
      </c>
      <c r="AJ3314" s="3">
        <f>IFERROR(__xludf.DUMMYFUNCTION("""COMPUTED_VALUE"""),2.0)</f>
        <v>2</v>
      </c>
      <c r="AK3314" s="3"/>
      <c r="AL3314" s="3"/>
    </row>
    <row r="3315" ht="15.75" customHeight="1">
      <c r="A3315" s="1" t="str">
        <f>IFERROR(__xludf.DUMMYFUNCTION("""COMPUTED_VALUE"""),"22768")</f>
        <v>22768</v>
      </c>
      <c r="B3315" s="2">
        <f>IFERROR(__xludf.DUMMYFUNCTION("""COMPUTED_VALUE"""),22768.0)</f>
        <v>22768</v>
      </c>
      <c r="C3315" s="3" t="str">
        <f>IFERROR(__xludf.DUMMYFUNCTION("""COMPUTED_VALUE"""),"BCM TCC ถ.เจริญประเทศ เชียงใหม่")</f>
        <v>BCM TCC ถ.เจริญประเทศ เชียงใหม่</v>
      </c>
      <c r="D3315" s="3" t="str">
        <f>IFERROR(__xludf.DUMMYFUNCTION("""COMPUTED_VALUE"""),"BCM TCC THANON CHAROEN PRATHET")</f>
        <v>BCM TCC THANON CHAROEN PRATHET</v>
      </c>
      <c r="E3315" s="1" t="str">
        <f>IFERROR(__xludf.DUMMYFUNCTION("""COMPUTED_VALUE"""),"บิ๊กซี MINI")</f>
        <v>บิ๊กซี MINI</v>
      </c>
      <c r="F3315" s="1" t="str">
        <f>IFERROR(__xludf.DUMMYFUNCTION("""COMPUTED_VALUE"""),"296229")</f>
        <v>296229</v>
      </c>
      <c r="G3315" s="1" t="str">
        <f>IFERROR(__xludf.DUMMYFUNCTION("""COMPUTED_VALUE"""),"นายทนงศักดิ์ บุญมา")</f>
        <v>นายทนงศักดิ์ บุญมา</v>
      </c>
      <c r="H3315" s="1" t="str">
        <f>IFERROR(__xludf.DUMMYFUNCTION("""COMPUTED_VALUE"""),"393402")</f>
        <v>393402</v>
      </c>
      <c r="I3315" s="1" t="str">
        <f>IFERROR(__xludf.DUMMYFUNCTION("""COMPUTED_VALUE"""),"น.ส.ปารมิตา ใจตรง")</f>
        <v>น.ส.ปารมิตา ใจตรง</v>
      </c>
      <c r="J3315" s="3">
        <f>IFERROR(__xludf.DUMMYFUNCTION("""COMPUTED_VALUE"""),2010016.0)</f>
        <v>2010016</v>
      </c>
      <c r="K3315" s="3" t="str">
        <f>IFERROR(__xludf.DUMMYFUNCTION("""COMPUTED_VALUE"""),"นายตวงธรรม ใหม่ยศ")</f>
        <v>นายตวงธรรม ใหม่ยศ</v>
      </c>
      <c r="L3315" s="1" t="str">
        <f>IFERROR(__xludf.DUMMYFUNCTION("""COMPUTED_VALUE"""),"01 K.Tuangtham M.")</f>
        <v>01 K.Tuangtham M.</v>
      </c>
      <c r="M3315" s="1" t="str">
        <f>IFERROR(__xludf.DUMMYFUNCTION("""COMPUTED_VALUE"""),"063-976-595")</f>
        <v>063-976-595</v>
      </c>
      <c r="N3315" s="3">
        <f>IFERROR(__xludf.DUMMYFUNCTION("""COMPUTED_VALUE"""),22574.0)</f>
        <v>22574</v>
      </c>
      <c r="O3315" s="3" t="str">
        <f>IFERROR(__xludf.DUMMYFUNCTION("""COMPUTED_VALUE"""),"BCM ชุมชนศรีชุม ลำปาง")</f>
        <v>BCM ชุมชนศรีชุม ลำปาง</v>
      </c>
      <c r="P3315" s="4">
        <f>IFERROR(__xludf.DUMMYFUNCTION("""COMPUTED_VALUE"""),46111.0)</f>
        <v>46111</v>
      </c>
      <c r="Q3315" s="3" t="str">
        <f>IFERROR(__xludf.DUMMYFUNCTION("""COMPUTED_VALUE"""),"A")</f>
        <v>A</v>
      </c>
      <c r="R3315" s="3" t="str">
        <f>IFERROR(__xludf.DUMMYFUNCTION("""COMPUTED_VALUE"""),"Small Format")</f>
        <v>Small Format</v>
      </c>
      <c r="S3315" s="3" t="str">
        <f>IFERROR(__xludf.DUMMYFUNCTION("""COMPUTED_VALUE"""),"BCM")</f>
        <v>BCM</v>
      </c>
      <c r="T3315" s="3" t="str">
        <f>IFERROR(__xludf.DUMMYFUNCTION("""COMPUTED_VALUE"""),"#N/A")</f>
        <v>#N/A</v>
      </c>
      <c r="U3315" s="3" t="str">
        <f>IFERROR(__xludf.DUMMYFUNCTION("""COMPUTED_VALUE"""),"#N/A")</f>
        <v>#N/A</v>
      </c>
      <c r="V3315" s="3" t="str">
        <f>IFERROR(__xludf.DUMMYFUNCTION("""COMPUTED_VALUE"""),"N")</f>
        <v>N</v>
      </c>
      <c r="W3315" s="3">
        <f>IFERROR(__xludf.DUMMYFUNCTION("""COMPUTED_VALUE"""),210870.0)</f>
        <v>210870</v>
      </c>
      <c r="X3315" s="3" t="str">
        <f>IFERROR(__xludf.DUMMYFUNCTION("""COMPUTED_VALUE"""),"46/3 ถนนเจริญประเทศ ตำบลช้างคลาน อำเภอเมืองเชียงใหม่ จังหวัด เชียงใหม่ 50100")</f>
        <v>46/3 ถนนเจริญประเทศ ตำบลช้างคลาน อำเภอเมืองเชียงใหม่ จังหวัด เชียงใหม่ 50100</v>
      </c>
      <c r="Y3315" s="3" t="str">
        <f>IFERROR(__xludf.DUMMYFUNCTION("""COMPUTED_VALUE"""),"เจริญประเทศ")</f>
        <v>เจริญประเทศ</v>
      </c>
      <c r="Z3315" s="3" t="str">
        <f>IFERROR(__xludf.DUMMYFUNCTION("""COMPUTED_VALUE"""),"ช้างคลาน")</f>
        <v>ช้างคลาน</v>
      </c>
      <c r="AA3315" s="3" t="str">
        <f>IFERROR(__xludf.DUMMYFUNCTION("""COMPUTED_VALUE"""),"เมืองเชียงใหม่")</f>
        <v>เมืองเชียงใหม่</v>
      </c>
      <c r="AB3315" s="3" t="str">
        <f>IFERROR(__xludf.DUMMYFUNCTION("""COMPUTED_VALUE"""),"เชียงใหม่")</f>
        <v>เชียงใหม่</v>
      </c>
      <c r="AC3315" s="3">
        <f>IFERROR(__xludf.DUMMYFUNCTION("""COMPUTED_VALUE"""),50100.0)</f>
        <v>50100</v>
      </c>
      <c r="AD3315" s="3">
        <f>IFERROR(__xludf.DUMMYFUNCTION("""COMPUTED_VALUE"""),18.785279)</f>
        <v>18.785279</v>
      </c>
      <c r="AE3315" s="3">
        <f>IFERROR(__xludf.DUMMYFUNCTION("""COMPUTED_VALUE"""),99.002884)</f>
        <v>99.002884</v>
      </c>
      <c r="AF3315" s="3" t="str">
        <f>IFERROR(__xludf.DUMMYFUNCTION("""COMPUTED_VALUE"""),"BCM TCC ถ.เจริญประเทศ เชียงใหม่-22768")</f>
        <v>BCM TCC ถ.เจริญประเทศ เชียงใหม่-22768</v>
      </c>
      <c r="AG3315" s="3" t="str">
        <f>IFERROR(__xludf.DUMMYFUNCTION("""COMPUTED_VALUE"""),"เหนือ")</f>
        <v>เหนือ</v>
      </c>
      <c r="AH3315" s="3" t="str">
        <f>IFERROR(__xludf.DUMMYFUNCTION("""COMPUTED_VALUE"""),"#N/A")</f>
        <v>#N/A</v>
      </c>
      <c r="AI3315" s="3" t="str">
        <f>IFERROR(__xludf.DUMMYFUNCTION("""COMPUTED_VALUE"""),"#NUM!")</f>
        <v>#NUM!</v>
      </c>
      <c r="AJ3315" s="3" t="str">
        <f>IFERROR(__xludf.DUMMYFUNCTION("""COMPUTED_VALUE"""),"#NUM!")</f>
        <v>#NUM!</v>
      </c>
      <c r="AK3315" s="3"/>
      <c r="AL3315" s="3"/>
    </row>
    <row r="3316" ht="15.75" customHeight="1">
      <c r="A3316" s="1" t="str">
        <f>IFERROR(__xludf.DUMMYFUNCTION("""COMPUTED_VALUE"""),"22769")</f>
        <v>22769</v>
      </c>
      <c r="B3316" s="2">
        <f>IFERROR(__xludf.DUMMYFUNCTION("""COMPUTED_VALUE"""),22769.0)</f>
        <v>22769</v>
      </c>
      <c r="C3316" s="3" t="str">
        <f>IFERROR(__xludf.DUMMYFUNCTION("""COMPUTED_VALUE"""),"BCM TCC พัทยาสาย 2 ชลบุรี")</f>
        <v>BCM TCC พัทยาสาย 2 ชลบุรี</v>
      </c>
      <c r="D3316" s="3" t="str">
        <f>IFERROR(__xludf.DUMMYFUNCTION("""COMPUTED_VALUE"""),"BCM TCC PATTAYA SAI 2 CHONBURI")</f>
        <v>BCM TCC PATTAYA SAI 2 CHONBURI</v>
      </c>
      <c r="E3316" s="1" t="str">
        <f>IFERROR(__xludf.DUMMYFUNCTION("""COMPUTED_VALUE"""),"บิ๊กซี MINI")</f>
        <v>บิ๊กซี MINI</v>
      </c>
      <c r="F3316" s="1" t="str">
        <f>IFERROR(__xludf.DUMMYFUNCTION("""COMPUTED_VALUE"""),"221716")</f>
        <v>221716</v>
      </c>
      <c r="G3316" s="1" t="str">
        <f>IFERROR(__xludf.DUMMYFUNCTION("""COMPUTED_VALUE"""),"น.ส.เบญจพร โพธิสาร")</f>
        <v>น.ส.เบญจพร โพธิสาร</v>
      </c>
      <c r="H3316" s="1" t="str">
        <f>IFERROR(__xludf.DUMMYFUNCTION("""COMPUTED_VALUE"""),"313065")</f>
        <v>313065</v>
      </c>
      <c r="I3316" s="1" t="str">
        <f>IFERROR(__xludf.DUMMYFUNCTION("""COMPUTED_VALUE"""),"นายจิรายุทธ กันทา")</f>
        <v>นายจิรายุทธ กันทา</v>
      </c>
      <c r="J3316" s="3">
        <f>IFERROR(__xludf.DUMMYFUNCTION("""COMPUTED_VALUE"""),1.3461215E7)</f>
        <v>13461215</v>
      </c>
      <c r="K3316" s="3" t="str">
        <f>IFERROR(__xludf.DUMMYFUNCTION("""COMPUTED_VALUE"""),"นายธีรภัทร สังข์เงิน")</f>
        <v>นายธีรภัทร สังข์เงิน</v>
      </c>
      <c r="L3316" s="1" t="str">
        <f>IFERROR(__xludf.DUMMYFUNCTION("""COMPUTED_VALUE"""),"06 K.Teerapat")</f>
        <v>06 K.Teerapat</v>
      </c>
      <c r="M3316" s="1" t="str">
        <f>IFERROR(__xludf.DUMMYFUNCTION("""COMPUTED_VALUE"""),"063-601-6803")</f>
        <v>063-601-6803</v>
      </c>
      <c r="N3316" s="3">
        <f>IFERROR(__xludf.DUMMYFUNCTION("""COMPUTED_VALUE"""),22115.0)</f>
        <v>22115</v>
      </c>
      <c r="O3316" s="3" t="str">
        <f>IFERROR(__xludf.DUMMYFUNCTION("""COMPUTED_VALUE"""),"MBC เลี่ยงหนองมน ชลบุรี")</f>
        <v>MBC เลี่ยงหนองมน ชลบุรี</v>
      </c>
      <c r="P3316" s="4">
        <f>IFERROR(__xludf.DUMMYFUNCTION("""COMPUTED_VALUE"""),46111.0)</f>
        <v>46111</v>
      </c>
      <c r="Q3316" s="3" t="str">
        <f>IFERROR(__xludf.DUMMYFUNCTION("""COMPUTED_VALUE"""),"A")</f>
        <v>A</v>
      </c>
      <c r="R3316" s="3" t="str">
        <f>IFERROR(__xludf.DUMMYFUNCTION("""COMPUTED_VALUE"""),"Small Format")</f>
        <v>Small Format</v>
      </c>
      <c r="S3316" s="3" t="str">
        <f>IFERROR(__xludf.DUMMYFUNCTION("""COMPUTED_VALUE"""),"BCM")</f>
        <v>BCM</v>
      </c>
      <c r="T3316" s="3" t="str">
        <f>IFERROR(__xludf.DUMMYFUNCTION("""COMPUTED_VALUE"""),"#N/A")</f>
        <v>#N/A</v>
      </c>
      <c r="U3316" s="3" t="str">
        <f>IFERROR(__xludf.DUMMYFUNCTION("""COMPUTED_VALUE"""),"#N/A")</f>
        <v>#N/A</v>
      </c>
      <c r="V3316" s="3" t="str">
        <f>IFERROR(__xludf.DUMMYFUNCTION("""COMPUTED_VALUE"""),"N")</f>
        <v>N</v>
      </c>
      <c r="W3316" s="3">
        <f>IFERROR(__xludf.DUMMYFUNCTION("""COMPUTED_VALUE"""),210896.0)</f>
        <v>210896</v>
      </c>
      <c r="X3316" s="3" t="str">
        <f>IFERROR(__xludf.DUMMYFUNCTION("""COMPUTED_VALUE"""),"370/20-22 หมู่ที่ 9 ตำบลหนองปรือ อำเภอบางละมุง จังหวัดชลบุรี 20150")</f>
        <v>370/20-22 หมู่ที่ 9 ตำบลหนองปรือ อำเภอบางละมุง จังหวัดชลบุรี 20150</v>
      </c>
      <c r="Y3316" s="3"/>
      <c r="Z3316" s="3" t="str">
        <f>IFERROR(__xludf.DUMMYFUNCTION("""COMPUTED_VALUE"""),"หนองปรือ")</f>
        <v>หนองปรือ</v>
      </c>
      <c r="AA3316" s="3" t="str">
        <f>IFERROR(__xludf.DUMMYFUNCTION("""COMPUTED_VALUE"""),"บางละมุง")</f>
        <v>บางละมุง</v>
      </c>
      <c r="AB3316" s="3" t="str">
        <f>IFERROR(__xludf.DUMMYFUNCTION("""COMPUTED_VALUE"""),"ชลบุรี")</f>
        <v>ชลบุรี</v>
      </c>
      <c r="AC3316" s="3">
        <f>IFERROR(__xludf.DUMMYFUNCTION("""COMPUTED_VALUE"""),20150.0)</f>
        <v>20150</v>
      </c>
      <c r="AD3316" s="3">
        <f>IFERROR(__xludf.DUMMYFUNCTION("""COMPUTED_VALUE"""),12.941176)</f>
        <v>12.941176</v>
      </c>
      <c r="AE3316" s="3">
        <f>IFERROR(__xludf.DUMMYFUNCTION("""COMPUTED_VALUE"""),100.887886)</f>
        <v>100.887886</v>
      </c>
      <c r="AF3316" s="3" t="str">
        <f>IFERROR(__xludf.DUMMYFUNCTION("""COMPUTED_VALUE"""),"BCM TCC พัทยาสาย 2 ชลบุรี-22769")</f>
        <v>BCM TCC พัทยาสาย 2 ชลบุรี-22769</v>
      </c>
      <c r="AG3316" s="3" t="str">
        <f>IFERROR(__xludf.DUMMYFUNCTION("""COMPUTED_VALUE"""),"ตะวันออก")</f>
        <v>ตะวันออก</v>
      </c>
      <c r="AH3316" s="3" t="str">
        <f>IFERROR(__xludf.DUMMYFUNCTION("""COMPUTED_VALUE"""),"#N/A")</f>
        <v>#N/A</v>
      </c>
      <c r="AI3316" s="3" t="str">
        <f>IFERROR(__xludf.DUMMYFUNCTION("""COMPUTED_VALUE"""),"#NUM!")</f>
        <v>#NUM!</v>
      </c>
      <c r="AJ3316" s="3" t="str">
        <f>IFERROR(__xludf.DUMMYFUNCTION("""COMPUTED_VALUE"""),"#NUM!")</f>
        <v>#NUM!</v>
      </c>
      <c r="AK3316" s="3"/>
      <c r="AL3316" s="3"/>
    </row>
    <row r="3317" ht="15.75" customHeight="1">
      <c r="A3317" s="1" t="str">
        <f>IFERROR(__xludf.DUMMYFUNCTION("""COMPUTED_VALUE"""),"31133")</f>
        <v>31133</v>
      </c>
      <c r="B3317" s="2">
        <f>IFERROR(__xludf.DUMMYFUNCTION("""COMPUTED_VALUE"""),31133.0)</f>
        <v>31133</v>
      </c>
      <c r="C3317" s="3" t="str">
        <f>IFERROR(__xludf.DUMMYFUNCTION("""COMPUTED_VALUE"""),"BCM FC BCP บายพาสปราณบุรี (ขาออก) เพชรบุรี")</f>
        <v>BCM FC BCP บายพาสปราณบุรี (ขาออก) เพชรบุรี</v>
      </c>
      <c r="D3317" s="3" t="str">
        <f>IFERROR(__xludf.DUMMYFUNCTION("""COMPUTED_VALUE"""),"BCM FC BCP BYPASS PRANBURI")</f>
        <v>BCM FC BCP BYPASS PRANBURI</v>
      </c>
      <c r="E3317" s="1" t="str">
        <f>IFERROR(__xludf.DUMMYFUNCTION("""COMPUTED_VALUE"""),"บิ๊กซี MINI")</f>
        <v>บิ๊กซี MINI</v>
      </c>
      <c r="F3317" s="1" t="str">
        <f>IFERROR(__xludf.DUMMYFUNCTION("""COMPUTED_VALUE"""),"250760")</f>
        <v>250760</v>
      </c>
      <c r="G3317" s="1" t="str">
        <f>IFERROR(__xludf.DUMMYFUNCTION("""COMPUTED_VALUE"""),"นายประทวน สาราบรรณ์")</f>
        <v>นายประทวน สาราบรรณ์</v>
      </c>
      <c r="H3317" s="1" t="str">
        <f>IFERROR(__xludf.DUMMYFUNCTION("""COMPUTED_VALUE"""),"311437")</f>
        <v>311437</v>
      </c>
      <c r="I3317" s="1" t="str">
        <f>IFERROR(__xludf.DUMMYFUNCTION("""COMPUTED_VALUE"""),"นายฉัตรทพร รักวิเชียร")</f>
        <v>นายฉัตรทพร รักวิเชียร</v>
      </c>
      <c r="J3317" s="3">
        <f>IFERROR(__xludf.DUMMYFUNCTION("""COMPUTED_VALUE"""),25324.0)</f>
        <v>25324</v>
      </c>
      <c r="K3317" s="3" t="str">
        <f>IFERROR(__xludf.DUMMYFUNCTION("""COMPUTED_VALUE"""),"นายวิเชฎฐ์ ติรัตนะประคม")</f>
        <v>นายวิเชฎฐ์ ติรัตนะประคม</v>
      </c>
      <c r="L3317" s="1" t="str">
        <f>IFERROR(__xludf.DUMMYFUNCTION("""COMPUTED_VALUE"""),"14 K.Wichet T.")</f>
        <v>14 K.Wichet T.</v>
      </c>
      <c r="M3317" s="1" t="str">
        <f>IFERROR(__xludf.DUMMYFUNCTION("""COMPUTED_VALUE"""),"061-417-6569 / 086-445-5636")</f>
        <v>061-417-6569 / 086-445-5636</v>
      </c>
      <c r="N3317" s="3">
        <f>IFERROR(__xludf.DUMMYFUNCTION("""COMPUTED_VALUE"""),22658.0)</f>
        <v>22658</v>
      </c>
      <c r="O3317" s="3" t="str">
        <f>IFERROR(__xludf.DUMMYFUNCTION("""COMPUTED_VALUE"""),"BCM ถ.วิรัชหงษ์หยก ภูเก็ต")</f>
        <v>BCM ถ.วิรัชหงษ์หยก ภูเก็ต</v>
      </c>
      <c r="P3317" s="4">
        <f>IFERROR(__xludf.DUMMYFUNCTION("""COMPUTED_VALUE"""),46014.0)</f>
        <v>46014</v>
      </c>
      <c r="Q3317" s="3" t="str">
        <f>IFERROR(__xludf.DUMMYFUNCTION("""COMPUTED_VALUE"""),"A")</f>
        <v>A</v>
      </c>
      <c r="R3317" s="3" t="str">
        <f>IFERROR(__xludf.DUMMYFUNCTION("""COMPUTED_VALUE"""),"Small Format")</f>
        <v>Small Format</v>
      </c>
      <c r="S3317" s="3" t="str">
        <f>IFERROR(__xludf.DUMMYFUNCTION("""COMPUTED_VALUE"""),"BCM(FC)")</f>
        <v>BCM(FC)</v>
      </c>
      <c r="T3317" s="3" t="str">
        <f>IFERROR(__xludf.DUMMYFUNCTION("""COMPUTED_VALUE"""),"#N/A")</f>
        <v>#N/A</v>
      </c>
      <c r="U3317" s="3" t="str">
        <f>IFERROR(__xludf.DUMMYFUNCTION("""COMPUTED_VALUE"""),"#N/A")</f>
        <v>#N/A</v>
      </c>
      <c r="V3317" s="3" t="str">
        <f>IFERROR(__xludf.DUMMYFUNCTION("""COMPUTED_VALUE"""),"Y")</f>
        <v>Y</v>
      </c>
      <c r="W3317" s="3">
        <f>IFERROR(__xludf.DUMMYFUNCTION("""COMPUTED_VALUE"""),812363.0)</f>
        <v>812363</v>
      </c>
      <c r="X3317" s="3" t="str">
        <f>IFERROR(__xludf.DUMMYFUNCTION("""COMPUTED_VALUE"""),"888 หมู่ที่ 3 ตำบลสามพระยา อำเภอชะอำ จังหวัด เพชรบุรี 76120")</f>
        <v>888 หมู่ที่ 3 ตำบลสามพระยา อำเภอชะอำ จังหวัด เพชรบุรี 76120</v>
      </c>
      <c r="Y3317" s="3"/>
      <c r="Z3317" s="3" t="str">
        <f>IFERROR(__xludf.DUMMYFUNCTION("""COMPUTED_VALUE"""),"สามพระยา")</f>
        <v>สามพระยา</v>
      </c>
      <c r="AA3317" s="3" t="str">
        <f>IFERROR(__xludf.DUMMYFUNCTION("""COMPUTED_VALUE"""),"ชะอำ")</f>
        <v>ชะอำ</v>
      </c>
      <c r="AB3317" s="3" t="str">
        <f>IFERROR(__xludf.DUMMYFUNCTION("""COMPUTED_VALUE"""),"เพชรบุรี")</f>
        <v>เพชรบุรี</v>
      </c>
      <c r="AC3317" s="3">
        <f>IFERROR(__xludf.DUMMYFUNCTION("""COMPUTED_VALUE"""),76120.0)</f>
        <v>76120</v>
      </c>
      <c r="AD3317" s="3">
        <f>IFERROR(__xludf.DUMMYFUNCTION("""COMPUTED_VALUE"""),12.65641036)</f>
        <v>12.65641036</v>
      </c>
      <c r="AE3317" s="3">
        <f>IFERROR(__xludf.DUMMYFUNCTION("""COMPUTED_VALUE"""),99.87448861)</f>
        <v>99.87448861</v>
      </c>
      <c r="AF3317" s="3" t="str">
        <f>IFERROR(__xludf.DUMMYFUNCTION("""COMPUTED_VALUE"""),"BCM FC BCP บายพาสปราณบุรี (ขาออก) เพชรบุรี-31133")</f>
        <v>BCM FC BCP บายพาสปราณบุรี (ขาออก) เพชรบุรี-31133</v>
      </c>
      <c r="AG3317" s="3" t="str">
        <f>IFERROR(__xludf.DUMMYFUNCTION("""COMPUTED_VALUE"""),"ตะวันตก")</f>
        <v>ตะวันตก</v>
      </c>
      <c r="AH3317" s="3" t="str">
        <f>IFERROR(__xludf.DUMMYFUNCTION("""COMPUTED_VALUE"""),"#N/A")</f>
        <v>#N/A</v>
      </c>
      <c r="AI3317" s="3" t="str">
        <f>IFERROR(__xludf.DUMMYFUNCTION("""COMPUTED_VALUE"""),"In warranty")</f>
        <v>In warranty</v>
      </c>
      <c r="AJ3317" s="3">
        <f>IFERROR(__xludf.DUMMYFUNCTION("""COMPUTED_VALUE"""),1.0)</f>
        <v>1</v>
      </c>
      <c r="AK3317" s="3"/>
      <c r="AL3317" s="3"/>
    </row>
    <row r="3318" ht="15.75" customHeight="1">
      <c r="A3318" s="1" t="str">
        <f>IFERROR(__xludf.DUMMYFUNCTION("""COMPUTED_VALUE"""),"31134")</f>
        <v>31134</v>
      </c>
      <c r="B3318" s="2">
        <f>IFERROR(__xludf.DUMMYFUNCTION("""COMPUTED_VALUE"""),31134.0)</f>
        <v>31134</v>
      </c>
      <c r="C3318" s="3" t="str">
        <f>IFERROR(__xludf.DUMMYFUNCTION("""COMPUTED_VALUE"""),"BCM FC หลังตลาดสดชุมพร ชุมพร")</f>
        <v>BCM FC หลังตลาดสดชุมพร ชุมพร</v>
      </c>
      <c r="D3318" s="3" t="str">
        <f>IFERROR(__xludf.DUMMYFUNCTION("""COMPUTED_VALUE"""),"BCM FC LUNG TALADSOD CHUMPHON")</f>
        <v>BCM FC LUNG TALADSOD CHUMPHON</v>
      </c>
      <c r="E3318" s="1" t="str">
        <f>IFERROR(__xludf.DUMMYFUNCTION("""COMPUTED_VALUE"""),"บิ๊กซี MINI")</f>
        <v>บิ๊กซี MINI</v>
      </c>
      <c r="F3318" s="1" t="str">
        <f>IFERROR(__xludf.DUMMYFUNCTION("""COMPUTED_VALUE"""),"250760")</f>
        <v>250760</v>
      </c>
      <c r="G3318" s="1" t="str">
        <f>IFERROR(__xludf.DUMMYFUNCTION("""COMPUTED_VALUE"""),"นายประทวน สาราบรรณ์")</f>
        <v>นายประทวน สาราบรรณ์</v>
      </c>
      <c r="H3318" s="1" t="str">
        <f>IFERROR(__xludf.DUMMYFUNCTION("""COMPUTED_VALUE"""),"311437")</f>
        <v>311437</v>
      </c>
      <c r="I3318" s="1" t="str">
        <f>IFERROR(__xludf.DUMMYFUNCTION("""COMPUTED_VALUE"""),"นายฉัตรทพร รักวิเชียร")</f>
        <v>นายฉัตรทพร รักวิเชียร</v>
      </c>
      <c r="J3318" s="3">
        <f>IFERROR(__xludf.DUMMYFUNCTION("""COMPUTED_VALUE"""),25324.0)</f>
        <v>25324</v>
      </c>
      <c r="K3318" s="3" t="str">
        <f>IFERROR(__xludf.DUMMYFUNCTION("""COMPUTED_VALUE"""),"นายวิเชฎฐ์ ติรัตนะประคม")</f>
        <v>นายวิเชฎฐ์ ติรัตนะประคม</v>
      </c>
      <c r="L3318" s="1" t="str">
        <f>IFERROR(__xludf.DUMMYFUNCTION("""COMPUTED_VALUE"""),"14 K.Wichet T.")</f>
        <v>14 K.Wichet T.</v>
      </c>
      <c r="M3318" s="1" t="str">
        <f>IFERROR(__xludf.DUMMYFUNCTION("""COMPUTED_VALUE"""),"061-417-6569 / 086-445-5636")</f>
        <v>061-417-6569 / 086-445-5636</v>
      </c>
      <c r="N3318" s="3">
        <f>IFERROR(__xludf.DUMMYFUNCTION("""COMPUTED_VALUE"""),22658.0)</f>
        <v>22658</v>
      </c>
      <c r="O3318" s="3" t="str">
        <f>IFERROR(__xludf.DUMMYFUNCTION("""COMPUTED_VALUE"""),"BCM ถ.วิรัชหงษ์หยก ภูเก็ต")</f>
        <v>BCM ถ.วิรัชหงษ์หยก ภูเก็ต</v>
      </c>
      <c r="P3318" s="4">
        <f>IFERROR(__xludf.DUMMYFUNCTION("""COMPUTED_VALUE"""),46016.0)</f>
        <v>46016</v>
      </c>
      <c r="Q3318" s="3" t="str">
        <f>IFERROR(__xludf.DUMMYFUNCTION("""COMPUTED_VALUE"""),"A")</f>
        <v>A</v>
      </c>
      <c r="R3318" s="3" t="str">
        <f>IFERROR(__xludf.DUMMYFUNCTION("""COMPUTED_VALUE"""),"Small Format")</f>
        <v>Small Format</v>
      </c>
      <c r="S3318" s="3" t="str">
        <f>IFERROR(__xludf.DUMMYFUNCTION("""COMPUTED_VALUE"""),"BCM(FC)")</f>
        <v>BCM(FC)</v>
      </c>
      <c r="T3318" s="3" t="str">
        <f>IFERROR(__xludf.DUMMYFUNCTION("""COMPUTED_VALUE"""),"#N/A")</f>
        <v>#N/A</v>
      </c>
      <c r="U3318" s="3" t="str">
        <f>IFERROR(__xludf.DUMMYFUNCTION("""COMPUTED_VALUE"""),"#N/A")</f>
        <v>#N/A</v>
      </c>
      <c r="V3318" s="3" t="str">
        <f>IFERROR(__xludf.DUMMYFUNCTION("""COMPUTED_VALUE"""),"Y")</f>
        <v>Y</v>
      </c>
      <c r="W3318" s="3">
        <f>IFERROR(__xludf.DUMMYFUNCTION("""COMPUTED_VALUE"""),812357.0)</f>
        <v>812357</v>
      </c>
      <c r="X3318" s="3" t="str">
        <f>IFERROR(__xludf.DUMMYFUNCTION("""COMPUTED_VALUE"""),"213/11 ถนนประชาอุทิศ ตำบลท่าตะเภา อำเภอเมืองชุมพร จังหวัดชุมพร 80600")</f>
        <v>213/11 ถนนประชาอุทิศ ตำบลท่าตะเภา อำเภอเมืองชุมพร จังหวัดชุมพร 80600</v>
      </c>
      <c r="Y3318" s="3" t="str">
        <f>IFERROR(__xludf.DUMMYFUNCTION("""COMPUTED_VALUE"""),"ประชาอุทิศ")</f>
        <v>ประชาอุทิศ</v>
      </c>
      <c r="Z3318" s="3" t="str">
        <f>IFERROR(__xludf.DUMMYFUNCTION("""COMPUTED_VALUE"""),"ท่าตะเภา")</f>
        <v>ท่าตะเภา</v>
      </c>
      <c r="AA3318" s="3" t="str">
        <f>IFERROR(__xludf.DUMMYFUNCTION("""COMPUTED_VALUE"""),"เมืองชุมพร")</f>
        <v>เมืองชุมพร</v>
      </c>
      <c r="AB3318" s="3" t="str">
        <f>IFERROR(__xludf.DUMMYFUNCTION("""COMPUTED_VALUE"""),"ชุมพร")</f>
        <v>ชุมพร</v>
      </c>
      <c r="AC3318" s="3">
        <f>IFERROR(__xludf.DUMMYFUNCTION("""COMPUTED_VALUE"""),80600.0)</f>
        <v>80600</v>
      </c>
      <c r="AD3318" s="3">
        <f>IFERROR(__xludf.DUMMYFUNCTION("""COMPUTED_VALUE"""),10.49560572)</f>
        <v>10.49560572</v>
      </c>
      <c r="AE3318" s="3">
        <f>IFERROR(__xludf.DUMMYFUNCTION("""COMPUTED_VALUE"""),99.17836938)</f>
        <v>99.17836938</v>
      </c>
      <c r="AF3318" s="3" t="str">
        <f>IFERROR(__xludf.DUMMYFUNCTION("""COMPUTED_VALUE"""),"BCM FC หลังตลาดสดชุมพร ชุมพร-31134")</f>
        <v>BCM FC หลังตลาดสดชุมพร ชุมพร-31134</v>
      </c>
      <c r="AG3318" s="3" t="str">
        <f>IFERROR(__xludf.DUMMYFUNCTION("""COMPUTED_VALUE"""),"ใต้")</f>
        <v>ใต้</v>
      </c>
      <c r="AH3318" s="3" t="str">
        <f>IFERROR(__xludf.DUMMYFUNCTION("""COMPUTED_VALUE"""),"#N/A")</f>
        <v>#N/A</v>
      </c>
      <c r="AI3318" s="3" t="str">
        <f>IFERROR(__xludf.DUMMYFUNCTION("""COMPUTED_VALUE"""),"In warranty")</f>
        <v>In warranty</v>
      </c>
      <c r="AJ3318" s="3">
        <f>IFERROR(__xludf.DUMMYFUNCTION("""COMPUTED_VALUE"""),1.0)</f>
        <v>1</v>
      </c>
      <c r="AK3318" s="3"/>
      <c r="AL3318" s="3"/>
    </row>
    <row r="3319" ht="15.75" customHeight="1">
      <c r="A3319" s="1" t="str">
        <f>IFERROR(__xludf.DUMMYFUNCTION("""COMPUTED_VALUE"""),"22754")</f>
        <v>22754</v>
      </c>
      <c r="B3319" s="2">
        <f>IFERROR(__xludf.DUMMYFUNCTION("""COMPUTED_VALUE"""),22754.0)</f>
        <v>22754</v>
      </c>
      <c r="C3319" s="3" t="str">
        <f>IFERROR(__xludf.DUMMYFUNCTION("""COMPUTED_VALUE"""),"BCM TCC ถ.ช้างคลาน เชียงใหม่")</f>
        <v>BCM TCC ถ.ช้างคลาน เชียงใหม่</v>
      </c>
      <c r="D3319" s="3" t="str">
        <f>IFERROR(__xludf.DUMMYFUNCTION("""COMPUTED_VALUE"""),"BCM TCC THANON CHANGKLAN")</f>
        <v>BCM TCC THANON CHANGKLAN</v>
      </c>
      <c r="E3319" s="1" t="str">
        <f>IFERROR(__xludf.DUMMYFUNCTION("""COMPUTED_VALUE"""),"บิ๊กซี MINI")</f>
        <v>บิ๊กซี MINI</v>
      </c>
      <c r="F3319" s="1" t="str">
        <f>IFERROR(__xludf.DUMMYFUNCTION("""COMPUTED_VALUE"""),"296229")</f>
        <v>296229</v>
      </c>
      <c r="G3319" s="1" t="str">
        <f>IFERROR(__xludf.DUMMYFUNCTION("""COMPUTED_VALUE"""),"นายทนงศักดิ์ บุญมา")</f>
        <v>นายทนงศักดิ์ บุญมา</v>
      </c>
      <c r="H3319" s="1" t="str">
        <f>IFERROR(__xludf.DUMMYFUNCTION("""COMPUTED_VALUE"""),"393402")</f>
        <v>393402</v>
      </c>
      <c r="I3319" s="1" t="str">
        <f>IFERROR(__xludf.DUMMYFUNCTION("""COMPUTED_VALUE"""),"น.ส.ปารมิตา ใจตรง")</f>
        <v>น.ส.ปารมิตา ใจตรง</v>
      </c>
      <c r="J3319" s="3">
        <f>IFERROR(__xludf.DUMMYFUNCTION("""COMPUTED_VALUE"""),2010016.0)</f>
        <v>2010016</v>
      </c>
      <c r="K3319" s="3" t="str">
        <f>IFERROR(__xludf.DUMMYFUNCTION("""COMPUTED_VALUE"""),"นายตวงธรรม ใหม่ยศ")</f>
        <v>นายตวงธรรม ใหม่ยศ</v>
      </c>
      <c r="L3319" s="1" t="str">
        <f>IFERROR(__xludf.DUMMYFUNCTION("""COMPUTED_VALUE"""),"01 K.Tuangtham M.")</f>
        <v>01 K.Tuangtham M.</v>
      </c>
      <c r="M3319" s="1" t="str">
        <f>IFERROR(__xludf.DUMMYFUNCTION("""COMPUTED_VALUE"""),"063-976-595")</f>
        <v>063-976-595</v>
      </c>
      <c r="N3319" s="3">
        <f>IFERROR(__xludf.DUMMYFUNCTION("""COMPUTED_VALUE"""),22574.0)</f>
        <v>22574</v>
      </c>
      <c r="O3319" s="3" t="str">
        <f>IFERROR(__xludf.DUMMYFUNCTION("""COMPUTED_VALUE"""),"BCM ชุมชนศรีชุม ลำปาง")</f>
        <v>BCM ชุมชนศรีชุม ลำปาง</v>
      </c>
      <c r="P3319" s="4">
        <f>IFERROR(__xludf.DUMMYFUNCTION("""COMPUTED_VALUE"""),46045.0)</f>
        <v>46045</v>
      </c>
      <c r="Q3319" s="3" t="str">
        <f>IFERROR(__xludf.DUMMYFUNCTION("""COMPUTED_VALUE"""),"A")</f>
        <v>A</v>
      </c>
      <c r="R3319" s="3" t="str">
        <f>IFERROR(__xludf.DUMMYFUNCTION("""COMPUTED_VALUE"""),"Small Format")</f>
        <v>Small Format</v>
      </c>
      <c r="S3319" s="3" t="str">
        <f>IFERROR(__xludf.DUMMYFUNCTION("""COMPUTED_VALUE"""),"BCM")</f>
        <v>BCM</v>
      </c>
      <c r="T3319" s="3" t="str">
        <f>IFERROR(__xludf.DUMMYFUNCTION("""COMPUTED_VALUE"""),"#N/A")</f>
        <v>#N/A</v>
      </c>
      <c r="U3319" s="3" t="str">
        <f>IFERROR(__xludf.DUMMYFUNCTION("""COMPUTED_VALUE"""),"#N/A")</f>
        <v>#N/A</v>
      </c>
      <c r="V3319" s="3" t="str">
        <f>IFERROR(__xludf.DUMMYFUNCTION("""COMPUTED_VALUE"""),"N")</f>
        <v>N</v>
      </c>
      <c r="W3319" s="3">
        <f>IFERROR(__xludf.DUMMYFUNCTION("""COMPUTED_VALUE"""),210609.0)</f>
        <v>210609</v>
      </c>
      <c r="X3319" s="3" t="str">
        <f>IFERROR(__xludf.DUMMYFUNCTION("""COMPUTED_VALUE"""),"119 ถนน ช้างคลาน ตำบลช้างคลาน อำเภอเมืองเชียงใหม่ จังหวัดเชียงใหม่ 50100")</f>
        <v>119 ถนน ช้างคลาน ตำบลช้างคลาน อำเภอเมืองเชียงใหม่ จังหวัดเชียงใหม่ 50100</v>
      </c>
      <c r="Y3319" s="3" t="str">
        <f>IFERROR(__xludf.DUMMYFUNCTION("""COMPUTED_VALUE"""),"ช้างคลาน")</f>
        <v>ช้างคลาน</v>
      </c>
      <c r="Z3319" s="3" t="str">
        <f>IFERROR(__xludf.DUMMYFUNCTION("""COMPUTED_VALUE"""),"ช้างคลาน")</f>
        <v>ช้างคลาน</v>
      </c>
      <c r="AA3319" s="3" t="str">
        <f>IFERROR(__xludf.DUMMYFUNCTION("""COMPUTED_VALUE"""),"เมืองเชียงใหม่")</f>
        <v>เมืองเชียงใหม่</v>
      </c>
      <c r="AB3319" s="3" t="str">
        <f>IFERROR(__xludf.DUMMYFUNCTION("""COMPUTED_VALUE"""),"เชียงใหม่")</f>
        <v>เชียงใหม่</v>
      </c>
      <c r="AC3319" s="3">
        <f>IFERROR(__xludf.DUMMYFUNCTION("""COMPUTED_VALUE"""),50100.0)</f>
        <v>50100</v>
      </c>
      <c r="AD3319" s="3">
        <f>IFERROR(__xludf.DUMMYFUNCTION("""COMPUTED_VALUE"""),18.784696)</f>
        <v>18.784696</v>
      </c>
      <c r="AE3319" s="3">
        <f>IFERROR(__xludf.DUMMYFUNCTION("""COMPUTED_VALUE"""),99.000637)</f>
        <v>99.000637</v>
      </c>
      <c r="AF3319" s="3" t="str">
        <f>IFERROR(__xludf.DUMMYFUNCTION("""COMPUTED_VALUE"""),"BCM TCC ถ.ช้างคลาน เชียงใหม่-22754")</f>
        <v>BCM TCC ถ.ช้างคลาน เชียงใหม่-22754</v>
      </c>
      <c r="AG3319" s="3" t="str">
        <f>IFERROR(__xludf.DUMMYFUNCTION("""COMPUTED_VALUE"""),"เหนือ")</f>
        <v>เหนือ</v>
      </c>
      <c r="AH3319" s="3" t="str">
        <f>IFERROR(__xludf.DUMMYFUNCTION("""COMPUTED_VALUE"""),"#N/A")</f>
        <v>#N/A</v>
      </c>
      <c r="AI3319" s="3" t="str">
        <f>IFERROR(__xludf.DUMMYFUNCTION("""COMPUTED_VALUE"""),"In warranty")</f>
        <v>In warranty</v>
      </c>
      <c r="AJ3319" s="3">
        <f>IFERROR(__xludf.DUMMYFUNCTION("""COMPUTED_VALUE"""),0.0)</f>
        <v>0</v>
      </c>
      <c r="AK3319" s="3"/>
      <c r="AL3319" s="3"/>
    </row>
    <row r="3320" ht="15.75" customHeight="1">
      <c r="A3320" s="1" t="str">
        <f>IFERROR(__xludf.DUMMYFUNCTION("""COMPUTED_VALUE"""),"22766")</f>
        <v>22766</v>
      </c>
      <c r="B3320" s="2">
        <f>IFERROR(__xludf.DUMMYFUNCTION("""COMPUTED_VALUE"""),22766.0)</f>
        <v>22766</v>
      </c>
      <c r="C3320" s="3" t="str">
        <f>IFERROR(__xludf.DUMMYFUNCTION("""COMPUTED_VALUE"""),"BCM นามะเฟือง หนองบัวลำภู")</f>
        <v>BCM นามะเฟือง หนองบัวลำภู</v>
      </c>
      <c r="D3320" s="3" t="str">
        <f>IFERROR(__xludf.DUMMYFUNCTION("""COMPUTED_VALUE"""),"BCM NA MAFUEANG NONG BUA")</f>
        <v>BCM NA MAFUEANG NONG BUA</v>
      </c>
      <c r="E3320" s="1" t="str">
        <f>IFERROR(__xludf.DUMMYFUNCTION("""COMPUTED_VALUE"""),"บิ๊กซี MINI")</f>
        <v>บิ๊กซี MINI</v>
      </c>
      <c r="F3320" s="1" t="str">
        <f>IFERROR(__xludf.DUMMYFUNCTION("""COMPUTED_VALUE"""),"291105")</f>
        <v>291105</v>
      </c>
      <c r="G3320" s="1" t="str">
        <f>IFERROR(__xludf.DUMMYFUNCTION("""COMPUTED_VALUE"""),"นายสราวุฒิ พณิชยกุล")</f>
        <v>นายสราวุฒิ พณิชยกุล</v>
      </c>
      <c r="H3320" s="1" t="str">
        <f>IFERROR(__xludf.DUMMYFUNCTION("""COMPUTED_VALUE"""),"305119")</f>
        <v>305119</v>
      </c>
      <c r="I3320" s="1" t="str">
        <f>IFERROR(__xludf.DUMMYFUNCTION("""COMPUTED_VALUE"""),"นายไชยกร ลีพิบูลย์สวัสดิ์")</f>
        <v>นายไชยกร ลีพิบูลย์สวัสดิ์</v>
      </c>
      <c r="J3320" s="3">
        <f>IFERROR(__xludf.DUMMYFUNCTION("""COMPUTED_VALUE"""),296868.0)</f>
        <v>296868</v>
      </c>
      <c r="K3320" s="3" t="str">
        <f>IFERROR(__xludf.DUMMYFUNCTION("""COMPUTED_VALUE"""),"นายพีระพงษ์ แก้วดวงดี")</f>
        <v>นายพีระพงษ์ แก้วดวงดี</v>
      </c>
      <c r="L3320" s="1" t="str">
        <f>IFERROR(__xludf.DUMMYFUNCTION("""COMPUTED_VALUE"""),"03 K.Peerapong K.")</f>
        <v>03 K.Peerapong K.</v>
      </c>
      <c r="M3320" s="1" t="str">
        <f>IFERROR(__xludf.DUMMYFUNCTION("""COMPUTED_VALUE"""),"089-002-6599")</f>
        <v>089-002-6599</v>
      </c>
      <c r="N3320" s="3">
        <f>IFERROR(__xludf.DUMMYFUNCTION("""COMPUTED_VALUE"""),21946.0)</f>
        <v>21946</v>
      </c>
      <c r="O3320" s="3" t="str">
        <f>IFERROR(__xludf.DUMMYFUNCTION("""COMPUTED_VALUE"""),"MBC เซกา บึงกาฬ")</f>
        <v>MBC เซกา บึงกาฬ</v>
      </c>
      <c r="P3320" s="4">
        <f>IFERROR(__xludf.DUMMYFUNCTION("""COMPUTED_VALUE"""),46021.0)</f>
        <v>46021</v>
      </c>
      <c r="Q3320" s="3" t="str">
        <f>IFERROR(__xludf.DUMMYFUNCTION("""COMPUTED_VALUE"""),"A")</f>
        <v>A</v>
      </c>
      <c r="R3320" s="3" t="str">
        <f>IFERROR(__xludf.DUMMYFUNCTION("""COMPUTED_VALUE"""),"Small Format")</f>
        <v>Small Format</v>
      </c>
      <c r="S3320" s="3" t="str">
        <f>IFERROR(__xludf.DUMMYFUNCTION("""COMPUTED_VALUE"""),"BCM")</f>
        <v>BCM</v>
      </c>
      <c r="T3320" s="3" t="str">
        <f>IFERROR(__xludf.DUMMYFUNCTION("""COMPUTED_VALUE"""),"#N/A")</f>
        <v>#N/A</v>
      </c>
      <c r="U3320" s="3" t="str">
        <f>IFERROR(__xludf.DUMMYFUNCTION("""COMPUTED_VALUE"""),"#N/A")</f>
        <v>#N/A</v>
      </c>
      <c r="V3320" s="3" t="str">
        <f>IFERROR(__xludf.DUMMYFUNCTION("""COMPUTED_VALUE"""),"N")</f>
        <v>N</v>
      </c>
      <c r="W3320" s="3">
        <f>IFERROR(__xludf.DUMMYFUNCTION("""COMPUTED_VALUE"""),210872.0)</f>
        <v>210872</v>
      </c>
      <c r="X3320" s="3" t="str">
        <f>IFERROR(__xludf.DUMMYFUNCTION("""COMPUTED_VALUE"""),"258 หมู่ที่ 1 ตำบลนามะเฟือง อำเภอเมืองหนองบัวลำภู จังหวัดหนองบัวลำภู 39000")</f>
        <v>258 หมู่ที่ 1 ตำบลนามะเฟือง อำเภอเมืองหนองบัวลำภู จังหวัดหนองบัวลำภู 39000</v>
      </c>
      <c r="Y3320" s="3"/>
      <c r="Z3320" s="3" t="str">
        <f>IFERROR(__xludf.DUMMYFUNCTION("""COMPUTED_VALUE"""),"นามะเฟือง")</f>
        <v>นามะเฟือง</v>
      </c>
      <c r="AA3320" s="3" t="str">
        <f>IFERROR(__xludf.DUMMYFUNCTION("""COMPUTED_VALUE"""),"เมืองหนองบัวลำภู")</f>
        <v>เมืองหนองบัวลำภู</v>
      </c>
      <c r="AB3320" s="3" t="str">
        <f>IFERROR(__xludf.DUMMYFUNCTION("""COMPUTED_VALUE"""),"หนองบัวลำภู")</f>
        <v>หนองบัวลำภู</v>
      </c>
      <c r="AC3320" s="3">
        <f>IFERROR(__xludf.DUMMYFUNCTION("""COMPUTED_VALUE"""),39000.0)</f>
        <v>39000</v>
      </c>
      <c r="AD3320" s="3">
        <f>IFERROR(__xludf.DUMMYFUNCTION("""COMPUTED_VALUE"""),17.068335)</f>
        <v>17.068335</v>
      </c>
      <c r="AE3320" s="3">
        <f>IFERROR(__xludf.DUMMYFUNCTION("""COMPUTED_VALUE"""),102.48409)</f>
        <v>102.48409</v>
      </c>
      <c r="AF3320" s="3" t="str">
        <f>IFERROR(__xludf.DUMMYFUNCTION("""COMPUTED_VALUE"""),"BCM นามะเฟือง หนองบัวลำภู-22766")</f>
        <v>BCM นามะเฟือง หนองบัวลำภู-22766</v>
      </c>
      <c r="AG3320" s="3" t="str">
        <f>IFERROR(__xludf.DUMMYFUNCTION("""COMPUTED_VALUE"""),"ตะวันออกเฉียงเหนือ")</f>
        <v>ตะวันออกเฉียงเหนือ</v>
      </c>
      <c r="AH3320" s="3" t="str">
        <f>IFERROR(__xludf.DUMMYFUNCTION("""COMPUTED_VALUE"""),"#N/A")</f>
        <v>#N/A</v>
      </c>
      <c r="AI3320" s="3" t="str">
        <f>IFERROR(__xludf.DUMMYFUNCTION("""COMPUTED_VALUE"""),"In warranty")</f>
        <v>In warranty</v>
      </c>
      <c r="AJ3320" s="3">
        <f>IFERROR(__xludf.DUMMYFUNCTION("""COMPUTED_VALUE"""),1.0)</f>
        <v>1</v>
      </c>
      <c r="AK3320" s="3"/>
      <c r="AL3320" s="3"/>
    </row>
    <row r="3321" ht="15.75" customHeight="1">
      <c r="A3321" s="1" t="str">
        <f>IFERROR(__xludf.DUMMYFUNCTION("""COMPUTED_VALUE"""),"22764")</f>
        <v>22764</v>
      </c>
      <c r="B3321" s="2">
        <f>IFERROR(__xludf.DUMMYFUNCTION("""COMPUTED_VALUE"""),22764.0)</f>
        <v>22764</v>
      </c>
      <c r="C3321" s="3" t="str">
        <f>IFERROR(__xludf.DUMMYFUNCTION("""COMPUTED_VALUE"""),"BCM สันติธรรม เชียงใหม่")</f>
        <v>BCM สันติธรรม เชียงใหม่</v>
      </c>
      <c r="D3321" s="3" t="str">
        <f>IFERROR(__xludf.DUMMYFUNCTION("""COMPUTED_VALUE"""),"BCM SANTITHAM CHIANGMAI")</f>
        <v>BCM SANTITHAM CHIANGMAI</v>
      </c>
      <c r="E3321" s="1" t="str">
        <f>IFERROR(__xludf.DUMMYFUNCTION("""COMPUTED_VALUE"""),"บิ๊กซี MINI")</f>
        <v>บิ๊กซี MINI</v>
      </c>
      <c r="F3321" s="1" t="str">
        <f>IFERROR(__xludf.DUMMYFUNCTION("""COMPUTED_VALUE"""),"296229")</f>
        <v>296229</v>
      </c>
      <c r="G3321" s="1" t="str">
        <f>IFERROR(__xludf.DUMMYFUNCTION("""COMPUTED_VALUE"""),"นายทนงศักดิ์ บุญมา")</f>
        <v>นายทนงศักดิ์ บุญมา</v>
      </c>
      <c r="H3321" s="1" t="str">
        <f>IFERROR(__xludf.DUMMYFUNCTION("""COMPUTED_VALUE"""),"392003")</f>
        <v>392003</v>
      </c>
      <c r="I3321" s="1" t="str">
        <f>IFERROR(__xludf.DUMMYFUNCTION("""COMPUTED_VALUE"""),"นายวรภพ เศษสูงเนิน")</f>
        <v>นายวรภพ เศษสูงเนิน</v>
      </c>
      <c r="J3321" s="3">
        <f>IFERROR(__xludf.DUMMYFUNCTION("""COMPUTED_VALUE"""),2010016.0)</f>
        <v>2010016</v>
      </c>
      <c r="K3321" s="3" t="str">
        <f>IFERROR(__xludf.DUMMYFUNCTION("""COMPUTED_VALUE"""),"นายตวงธรรม ใหม่ยศ")</f>
        <v>นายตวงธรรม ใหม่ยศ</v>
      </c>
      <c r="L3321" s="1" t="str">
        <f>IFERROR(__xludf.DUMMYFUNCTION("""COMPUTED_VALUE"""),"01 K.Tuangtham M.")</f>
        <v>01 K.Tuangtham M.</v>
      </c>
      <c r="M3321" s="1" t="str">
        <f>IFERROR(__xludf.DUMMYFUNCTION("""COMPUTED_VALUE"""),"063-976-595")</f>
        <v>063-976-595</v>
      </c>
      <c r="N3321" s="3">
        <f>IFERROR(__xludf.DUMMYFUNCTION("""COMPUTED_VALUE"""),22574.0)</f>
        <v>22574</v>
      </c>
      <c r="O3321" s="3" t="str">
        <f>IFERROR(__xludf.DUMMYFUNCTION("""COMPUTED_VALUE"""),"BCM ชุมชนศรีชุม ลำปาง")</f>
        <v>BCM ชุมชนศรีชุม ลำปาง</v>
      </c>
      <c r="P3321" s="4">
        <f>IFERROR(__xludf.DUMMYFUNCTION("""COMPUTED_VALUE"""),46017.0)</f>
        <v>46017</v>
      </c>
      <c r="Q3321" s="3" t="str">
        <f>IFERROR(__xludf.DUMMYFUNCTION("""COMPUTED_VALUE"""),"A")</f>
        <v>A</v>
      </c>
      <c r="R3321" s="3" t="str">
        <f>IFERROR(__xludf.DUMMYFUNCTION("""COMPUTED_VALUE"""),"Small Format")</f>
        <v>Small Format</v>
      </c>
      <c r="S3321" s="3" t="str">
        <f>IFERROR(__xludf.DUMMYFUNCTION("""COMPUTED_VALUE"""),"BCM")</f>
        <v>BCM</v>
      </c>
      <c r="T3321" s="3" t="str">
        <f>IFERROR(__xludf.DUMMYFUNCTION("""COMPUTED_VALUE"""),"#N/A")</f>
        <v>#N/A</v>
      </c>
      <c r="U3321" s="3" t="str">
        <f>IFERROR(__xludf.DUMMYFUNCTION("""COMPUTED_VALUE"""),"#N/A")</f>
        <v>#N/A</v>
      </c>
      <c r="V3321" s="3" t="str">
        <f>IFERROR(__xludf.DUMMYFUNCTION("""COMPUTED_VALUE"""),"N")</f>
        <v>N</v>
      </c>
      <c r="W3321" s="3">
        <f>IFERROR(__xludf.DUMMYFUNCTION("""COMPUTED_VALUE"""),210863.0)</f>
        <v>210863</v>
      </c>
      <c r="X3321" s="3" t="str">
        <f>IFERROR(__xludf.DUMMYFUNCTION("""COMPUTED_VALUE"""),"45 ถนนราชพฤกษ์ ตำบลช้างเผือก อำเภอเมืองเชียงใหม่ จังหวัดเชียงใหม่ 50300")</f>
        <v>45 ถนนราชพฤกษ์ ตำบลช้างเผือก อำเภอเมืองเชียงใหม่ จังหวัดเชียงใหม่ 50300</v>
      </c>
      <c r="Y3321" s="3" t="str">
        <f>IFERROR(__xludf.DUMMYFUNCTION("""COMPUTED_VALUE"""),"ราชพฤกษ์")</f>
        <v>ราชพฤกษ์</v>
      </c>
      <c r="Z3321" s="3" t="str">
        <f>IFERROR(__xludf.DUMMYFUNCTION("""COMPUTED_VALUE"""),"ช้างเผือก")</f>
        <v>ช้างเผือก</v>
      </c>
      <c r="AA3321" s="3" t="str">
        <f>IFERROR(__xludf.DUMMYFUNCTION("""COMPUTED_VALUE"""),"เมืองเชียงใหม่")</f>
        <v>เมืองเชียงใหม่</v>
      </c>
      <c r="AB3321" s="3" t="str">
        <f>IFERROR(__xludf.DUMMYFUNCTION("""COMPUTED_VALUE"""),"เชียงใหม่")</f>
        <v>เชียงใหม่</v>
      </c>
      <c r="AC3321" s="3">
        <f>IFERROR(__xludf.DUMMYFUNCTION("""COMPUTED_VALUE"""),50300.0)</f>
        <v>50300</v>
      </c>
      <c r="AD3321" s="3">
        <f>IFERROR(__xludf.DUMMYFUNCTION("""COMPUTED_VALUE"""),18.800997)</f>
        <v>18.800997</v>
      </c>
      <c r="AE3321" s="3">
        <f>IFERROR(__xludf.DUMMYFUNCTION("""COMPUTED_VALUE"""),98.975607)</f>
        <v>98.975607</v>
      </c>
      <c r="AF3321" s="3" t="str">
        <f>IFERROR(__xludf.DUMMYFUNCTION("""COMPUTED_VALUE"""),"BCM สันติธรรม เชียงใหม่-22764")</f>
        <v>BCM สันติธรรม เชียงใหม่-22764</v>
      </c>
      <c r="AG3321" s="3" t="str">
        <f>IFERROR(__xludf.DUMMYFUNCTION("""COMPUTED_VALUE"""),"เหนือ")</f>
        <v>เหนือ</v>
      </c>
      <c r="AH3321" s="3" t="str">
        <f>IFERROR(__xludf.DUMMYFUNCTION("""COMPUTED_VALUE"""),"#N/A")</f>
        <v>#N/A</v>
      </c>
      <c r="AI3321" s="3" t="str">
        <f>IFERROR(__xludf.DUMMYFUNCTION("""COMPUTED_VALUE"""),"In warranty")</f>
        <v>In warranty</v>
      </c>
      <c r="AJ3321" s="3">
        <f>IFERROR(__xludf.DUMMYFUNCTION("""COMPUTED_VALUE"""),1.0)</f>
        <v>1</v>
      </c>
      <c r="AK3321" s="3"/>
      <c r="AL3321" s="3"/>
    </row>
    <row r="3322" ht="15.75" customHeight="1">
      <c r="A3322" s="1" t="str">
        <f>IFERROR(__xludf.DUMMYFUNCTION("""COMPUTED_VALUE"""),"31132")</f>
        <v>31132</v>
      </c>
      <c r="B3322" s="2">
        <f>IFERROR(__xludf.DUMMYFUNCTION("""COMPUTED_VALUE"""),31132.0)</f>
        <v>31132</v>
      </c>
      <c r="C3322" s="3" t="str">
        <f>IFERROR(__xludf.DUMMYFUNCTION("""COMPUTED_VALUE"""),"BCM FC BCP ยะหา ยะลา")</f>
        <v>BCM FC BCP ยะหา ยะลา</v>
      </c>
      <c r="D3322" s="3" t="str">
        <f>IFERROR(__xludf.DUMMYFUNCTION("""COMPUTED_VALUE"""),"BCM FC BCP YAHA YALA")</f>
        <v>BCM FC BCP YAHA YALA</v>
      </c>
      <c r="E3322" s="1" t="str">
        <f>IFERROR(__xludf.DUMMYFUNCTION("""COMPUTED_VALUE"""),"บิ๊กซี MINI")</f>
        <v>บิ๊กซี MINI</v>
      </c>
      <c r="F3322" s="1" t="str">
        <f>IFERROR(__xludf.DUMMYFUNCTION("""COMPUTED_VALUE"""),"250760")</f>
        <v>250760</v>
      </c>
      <c r="G3322" s="1" t="str">
        <f>IFERROR(__xludf.DUMMYFUNCTION("""COMPUTED_VALUE"""),"นายประทวน สาราบรรณ์")</f>
        <v>นายประทวน สาราบรรณ์</v>
      </c>
      <c r="H3322" s="1" t="str">
        <f>IFERROR(__xludf.DUMMYFUNCTION("""COMPUTED_VALUE"""),"485279")</f>
        <v>485279</v>
      </c>
      <c r="I3322" s="1" t="str">
        <f>IFERROR(__xludf.DUMMYFUNCTION("""COMPUTED_VALUE"""),"นายสิริพงศ์ ชูชื่น")</f>
        <v>นายสิริพงศ์ ชูชื่น</v>
      </c>
      <c r="J3322" s="3">
        <f>IFERROR(__xludf.DUMMYFUNCTION("""COMPUTED_VALUE"""),2.0470331E7)</f>
        <v>20470331</v>
      </c>
      <c r="K3322" s="3" t="str">
        <f>IFERROR(__xludf.DUMMYFUNCTION("""COMPUTED_VALUE"""),"นายสมชาย ลักษณะสุวรรณ")</f>
        <v>นายสมชาย ลักษณะสุวรรณ</v>
      </c>
      <c r="L3322" s="1" t="str">
        <f>IFERROR(__xludf.DUMMYFUNCTION("""COMPUTED_VALUE"""),"15 K.Somchai L")</f>
        <v>15 K.Somchai L</v>
      </c>
      <c r="M3322" s="1" t="str">
        <f>IFERROR(__xludf.DUMMYFUNCTION("""COMPUTED_VALUE"""),"0655107372")</f>
        <v>0655107372</v>
      </c>
      <c r="N3322" s="3">
        <f>IFERROR(__xludf.DUMMYFUNCTION("""COMPUTED_VALUE"""),21723.0)</f>
        <v>21723</v>
      </c>
      <c r="O3322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3322" s="4">
        <f>IFERROR(__xludf.DUMMYFUNCTION("""COMPUTED_VALUE"""),46009.0)</f>
        <v>46009</v>
      </c>
      <c r="Q3322" s="3" t="str">
        <f>IFERROR(__xludf.DUMMYFUNCTION("""COMPUTED_VALUE"""),"A")</f>
        <v>A</v>
      </c>
      <c r="R3322" s="3" t="str">
        <f>IFERROR(__xludf.DUMMYFUNCTION("""COMPUTED_VALUE"""),"Small Format")</f>
        <v>Small Format</v>
      </c>
      <c r="S3322" s="3" t="str">
        <f>IFERROR(__xludf.DUMMYFUNCTION("""COMPUTED_VALUE"""),"BCM(FC)")</f>
        <v>BCM(FC)</v>
      </c>
      <c r="T3322" s="3" t="str">
        <f>IFERROR(__xludf.DUMMYFUNCTION("""COMPUTED_VALUE"""),"#N/A")</f>
        <v>#N/A</v>
      </c>
      <c r="U3322" s="3" t="str">
        <f>IFERROR(__xludf.DUMMYFUNCTION("""COMPUTED_VALUE"""),"#N/A")</f>
        <v>#N/A</v>
      </c>
      <c r="V3322" s="3" t="str">
        <f>IFERROR(__xludf.DUMMYFUNCTION("""COMPUTED_VALUE"""),"Y")</f>
        <v>Y</v>
      </c>
      <c r="W3322" s="3">
        <f>IFERROR(__xludf.DUMMYFUNCTION("""COMPUTED_VALUE"""),812365.0)</f>
        <v>812365</v>
      </c>
      <c r="X3322" s="3" t="str">
        <f>IFERROR(__xludf.DUMMYFUNCTION("""COMPUTED_VALUE"""),"24/124 หมู่ที่ 3 ตำบลยะหา อำเภอยะหา จังหวัดยะลา 95120")</f>
        <v>24/124 หมู่ที่ 3 ตำบลยะหา อำเภอยะหา จังหวัดยะลา 95120</v>
      </c>
      <c r="Y3322" s="3"/>
      <c r="Z3322" s="3" t="str">
        <f>IFERROR(__xludf.DUMMYFUNCTION("""COMPUTED_VALUE"""),"ยะหา")</f>
        <v>ยะหา</v>
      </c>
      <c r="AA3322" s="3" t="str">
        <f>IFERROR(__xludf.DUMMYFUNCTION("""COMPUTED_VALUE"""),"ยะหา")</f>
        <v>ยะหา</v>
      </c>
      <c r="AB3322" s="3" t="str">
        <f>IFERROR(__xludf.DUMMYFUNCTION("""COMPUTED_VALUE"""),"ยะลา")</f>
        <v>ยะลา</v>
      </c>
      <c r="AC3322" s="3">
        <f>IFERROR(__xludf.DUMMYFUNCTION("""COMPUTED_VALUE"""),95120.0)</f>
        <v>95120</v>
      </c>
      <c r="AD3322" s="3">
        <f>IFERROR(__xludf.DUMMYFUNCTION("""COMPUTED_VALUE"""),6.488173799)</f>
        <v>6.488173799</v>
      </c>
      <c r="AE3322" s="3">
        <f>IFERROR(__xludf.DUMMYFUNCTION("""COMPUTED_VALUE"""),101.1315351)</f>
        <v>101.1315351</v>
      </c>
      <c r="AF3322" s="3" t="str">
        <f>IFERROR(__xludf.DUMMYFUNCTION("""COMPUTED_VALUE"""),"BCM FC BCP ยะหา ยะลา-31132")</f>
        <v>BCM FC BCP ยะหา ยะลา-31132</v>
      </c>
      <c r="AG3322" s="3" t="str">
        <f>IFERROR(__xludf.DUMMYFUNCTION("""COMPUTED_VALUE"""),"ใต้")</f>
        <v>ใต้</v>
      </c>
      <c r="AH3322" s="3" t="str">
        <f>IFERROR(__xludf.DUMMYFUNCTION("""COMPUTED_VALUE"""),"#N/A")</f>
        <v>#N/A</v>
      </c>
      <c r="AI3322" s="3" t="str">
        <f>IFERROR(__xludf.DUMMYFUNCTION("""COMPUTED_VALUE"""),"In warranty")</f>
        <v>In warranty</v>
      </c>
      <c r="AJ3322" s="3">
        <f>IFERROR(__xludf.DUMMYFUNCTION("""COMPUTED_VALUE"""),2.0)</f>
        <v>2</v>
      </c>
      <c r="AK3322" s="3"/>
      <c r="AL3322" s="3"/>
    </row>
    <row r="3323" ht="15.75" customHeight="1">
      <c r="A3323" s="1" t="str">
        <f>IFERROR(__xludf.DUMMYFUNCTION("""COMPUTED_VALUE"""),"41203")</f>
        <v>41203</v>
      </c>
      <c r="B3323" s="2">
        <f>IFERROR(__xludf.DUMMYFUNCTION("""COMPUTED_VALUE"""),41203.0)</f>
        <v>41203</v>
      </c>
      <c r="C3323" s="3" t="str">
        <f>IFERROR(__xludf.DUMMYFUNCTION("""COMPUTED_VALUE"""),"PURE ดิ โอลด์ สยาม")</f>
        <v>PURE ดิ โอลด์ สยาม</v>
      </c>
      <c r="D3323" s="3" t="str">
        <f>IFERROR(__xludf.DUMMYFUNCTION("""COMPUTED_VALUE"""),"PURE THE OLD SIAM")</f>
        <v>PURE THE OLD SIAM</v>
      </c>
      <c r="E3323" s="1" t="str">
        <f>IFERROR(__xludf.DUMMYFUNCTION("""COMPUTED_VALUE"""),"PURE")</f>
        <v>PURE</v>
      </c>
      <c r="F3323" s="3"/>
      <c r="G3323" s="3"/>
      <c r="H3323" s="3"/>
      <c r="I3323" s="3"/>
      <c r="J3323" s="3"/>
      <c r="K3323" s="3"/>
      <c r="L3323" s="1" t="str">
        <f>IFERROR(__xludf.DUMMYFUNCTION("""COMPUTED_VALUE"""),"0")</f>
        <v>0</v>
      </c>
      <c r="M3323" s="1" t="str">
        <f>IFERROR(__xludf.DUMMYFUNCTION("""COMPUTED_VALUE"""),"0")</f>
        <v>0</v>
      </c>
      <c r="N3323" s="3"/>
      <c r="O3323" s="3"/>
      <c r="P3323" s="3" t="str">
        <f>IFERROR(__xludf.DUMMYFUNCTION("""COMPUTED_VALUE"""),"0/1/1900")</f>
        <v>0/1/1900</v>
      </c>
      <c r="Q3323" s="3" t="str">
        <f>IFERROR(__xludf.DUMMYFUNCTION("""COMPUTED_VALUE"""),"I")</f>
        <v>I</v>
      </c>
      <c r="R3323" s="3" t="str">
        <f>IFERROR(__xludf.DUMMYFUNCTION("""COMPUTED_VALUE"""),"Big Format")</f>
        <v>Big Format</v>
      </c>
      <c r="S3323" s="3" t="str">
        <f>IFERROR(__xludf.DUMMYFUNCTION("""COMPUTED_VALUE"""),"PURE")</f>
        <v>PURE</v>
      </c>
      <c r="T3323" s="3" t="str">
        <f>IFERROR(__xludf.DUMMYFUNCTION("""COMPUTED_VALUE"""),"#N/A")</f>
        <v>#N/A</v>
      </c>
      <c r="U3323" s="3" t="str">
        <f>IFERROR(__xludf.DUMMYFUNCTION("""COMPUTED_VALUE"""),"#N/A")</f>
        <v>#N/A</v>
      </c>
      <c r="V3323" s="3" t="str">
        <f>IFERROR(__xludf.DUMMYFUNCTION("""COMPUTED_VALUE"""),"N")</f>
        <v>N</v>
      </c>
      <c r="W3323" s="3">
        <f>IFERROR(__xludf.DUMMYFUNCTION("""COMPUTED_VALUE"""),411234.0)</f>
        <v>411234</v>
      </c>
      <c r="X3323" s="3" t="str">
        <f>IFERROR(__xludf.DUMMYFUNCTION("""COMPUTED_VALUE"""),"10 ถนนบูรพา แขวงวังบูรพาภิรมย์ เขตพระนคร กรุงเทพมหานคร 10200")</f>
        <v>10 ถนนบูรพา แขวงวังบูรพาภิรมย์ เขตพระนคร กรุงเทพมหานคร 10200</v>
      </c>
      <c r="Y3323" s="3" t="str">
        <f>IFERROR(__xludf.DUMMYFUNCTION("""COMPUTED_VALUE"""),"บูรพา")</f>
        <v>บูรพา</v>
      </c>
      <c r="Z3323" s="3" t="str">
        <f>IFERROR(__xludf.DUMMYFUNCTION("""COMPUTED_VALUE"""),"วังบูรพาภิรมย์")</f>
        <v>วังบูรพาภิรมย์</v>
      </c>
      <c r="AA3323" s="3" t="str">
        <f>IFERROR(__xludf.DUMMYFUNCTION("""COMPUTED_VALUE"""),"บางแค")</f>
        <v>บางแค</v>
      </c>
      <c r="AB3323" s="3" t="str">
        <f>IFERROR(__xludf.DUMMYFUNCTION("""COMPUTED_VALUE"""),"กรุงเทพมหานคร")</f>
        <v>กรุงเทพมหานคร</v>
      </c>
      <c r="AC3323" s="3">
        <f>IFERROR(__xludf.DUMMYFUNCTION("""COMPUTED_VALUE"""),10200.0)</f>
        <v>10200</v>
      </c>
      <c r="AD3323" s="3">
        <f>IFERROR(__xludf.DUMMYFUNCTION("""COMPUTED_VALUE"""),13.7462855)</f>
        <v>13.7462855</v>
      </c>
      <c r="AE3323" s="3">
        <f>IFERROR(__xludf.DUMMYFUNCTION("""COMPUTED_VALUE"""),100.5007003)</f>
        <v>100.5007003</v>
      </c>
      <c r="AF3323" s="3" t="str">
        <f>IFERROR(__xludf.DUMMYFUNCTION("""COMPUTED_VALUE"""),"PURE ดิ โอลด์ สยาม-41203")</f>
        <v>PURE ดิ โอลด์ สยาม-41203</v>
      </c>
      <c r="AG3323" s="3" t="str">
        <f>IFERROR(__xludf.DUMMYFUNCTION("""COMPUTED_VALUE"""),"กลาง")</f>
        <v>กลาง</v>
      </c>
      <c r="AH3323" s="3" t="str">
        <f>IFERROR(__xludf.DUMMYFUNCTION("""COMPUTED_VALUE"""),"#N/A")</f>
        <v>#N/A</v>
      </c>
      <c r="AI3323" s="3" t="str">
        <f>IFERROR(__xludf.DUMMYFUNCTION("""COMPUTED_VALUE"""),"Out of warranty")</f>
        <v>Out of warranty</v>
      </c>
      <c r="AJ3323" s="3">
        <f>IFERROR(__xludf.DUMMYFUNCTION("""COMPUTED_VALUE"""),1513.0)</f>
        <v>1513</v>
      </c>
      <c r="AK3323" s="3"/>
      <c r="AL3323" s="3"/>
    </row>
    <row r="3324" ht="15.75" customHeight="1">
      <c r="A3324" s="1" t="str">
        <f>IFERROR(__xludf.DUMMYFUNCTION("""COMPUTED_VALUE"""),"22760")</f>
        <v>22760</v>
      </c>
      <c r="B3324" s="2">
        <f>IFERROR(__xludf.DUMMYFUNCTION("""COMPUTED_VALUE"""),22760.0)</f>
        <v>22760</v>
      </c>
      <c r="C3324" s="3" t="str">
        <f>IFERROR(__xludf.DUMMYFUNCTION("""COMPUTED_VALUE"""),"BCM ทศกัณฑ์-บางแวก กรุงเทพฯ")</f>
        <v>BCM ทศกัณฑ์-บางแวก กรุงเทพฯ</v>
      </c>
      <c r="D3324" s="3" t="str">
        <f>IFERROR(__xludf.DUMMYFUNCTION("""COMPUTED_VALUE"""),"BCM THOTSAKAN-BANG WAEK BANGKO")</f>
        <v>BCM THOTSAKAN-BANG WAEK BANGKO</v>
      </c>
      <c r="E3324" s="1" t="str">
        <f>IFERROR(__xludf.DUMMYFUNCTION("""COMPUTED_VALUE"""),"บิ๊กซี MINI")</f>
        <v>บิ๊กซี MINI</v>
      </c>
      <c r="F3324" s="1" t="str">
        <f>IFERROR(__xludf.DUMMYFUNCTION("""COMPUTED_VALUE"""),"291008")</f>
        <v>291008</v>
      </c>
      <c r="G3324" s="1" t="str">
        <f>IFERROR(__xludf.DUMMYFUNCTION("""COMPUTED_VALUE"""),"น.ส.รัชดาพร อีศรัตน์")</f>
        <v>น.ส.รัชดาพร อีศรัตน์</v>
      </c>
      <c r="H3324" s="1" t="str">
        <f>IFERROR(__xludf.DUMMYFUNCTION("""COMPUTED_VALUE"""),"291101")</f>
        <v>291101</v>
      </c>
      <c r="I3324" s="1" t="str">
        <f>IFERROR(__xludf.DUMMYFUNCTION("""COMPUTED_VALUE"""),"นายจักรพงศ์ โพธิ์ศรี")</f>
        <v>นายจักรพงศ์ โพธิ์ศรี</v>
      </c>
      <c r="J3324" s="3">
        <f>IFERROR(__xludf.DUMMYFUNCTION("""COMPUTED_VALUE"""),296608.0)</f>
        <v>296608</v>
      </c>
      <c r="K3324" s="3" t="str">
        <f>IFERROR(__xludf.DUMMYFUNCTION("""COMPUTED_VALUE"""),"นายภาคภูมิ เพ็ชรนิล")</f>
        <v>นายภาคภูมิ เพ็ชรนิล</v>
      </c>
      <c r="L3324" s="1" t="str">
        <f>IFERROR(__xludf.DUMMYFUNCTION("""COMPUTED_VALUE"""),"10 K.Phakphoom P.")</f>
        <v>10 K.Phakphoom P.</v>
      </c>
      <c r="M3324" s="1" t="str">
        <f>IFERROR(__xludf.DUMMYFUNCTION("""COMPUTED_VALUE"""),"063-8955329")</f>
        <v>063-8955329</v>
      </c>
      <c r="N3324" s="3">
        <f>IFERROR(__xludf.DUMMYFUNCTION("""COMPUTED_VALUE"""),22584.0)</f>
        <v>22584</v>
      </c>
      <c r="O3324" s="3" t="str">
        <f>IFERROR(__xludf.DUMMYFUNCTION("""COMPUTED_VALUE"""),"BCM พุทธมณฑลสาย 3 กรุงเทพมหานคร")</f>
        <v>BCM พุทธมณฑลสาย 3 กรุงเทพมหานคร</v>
      </c>
      <c r="P3324" s="4">
        <f>IFERROR(__xludf.DUMMYFUNCTION("""COMPUTED_VALUE"""),46008.0)</f>
        <v>46008</v>
      </c>
      <c r="Q3324" s="3" t="str">
        <f>IFERROR(__xludf.DUMMYFUNCTION("""COMPUTED_VALUE"""),"A")</f>
        <v>A</v>
      </c>
      <c r="R3324" s="3" t="str">
        <f>IFERROR(__xludf.DUMMYFUNCTION("""COMPUTED_VALUE"""),"Small Format")</f>
        <v>Small Format</v>
      </c>
      <c r="S3324" s="3" t="str">
        <f>IFERROR(__xludf.DUMMYFUNCTION("""COMPUTED_VALUE"""),"BCM")</f>
        <v>BCM</v>
      </c>
      <c r="T3324" s="3" t="str">
        <f>IFERROR(__xludf.DUMMYFUNCTION("""COMPUTED_VALUE"""),"#N/A")</f>
        <v>#N/A</v>
      </c>
      <c r="U3324" s="3" t="str">
        <f>IFERROR(__xludf.DUMMYFUNCTION("""COMPUTED_VALUE"""),"#N/A")</f>
        <v>#N/A</v>
      </c>
      <c r="V3324" s="3" t="str">
        <f>IFERROR(__xludf.DUMMYFUNCTION("""COMPUTED_VALUE"""),"N")</f>
        <v>N</v>
      </c>
      <c r="W3324" s="3">
        <f>IFERROR(__xludf.DUMMYFUNCTION("""COMPUTED_VALUE"""),210853.0)</f>
        <v>210853</v>
      </c>
      <c r="X3324" s="3" t="str">
        <f>IFERROR(__xludf.DUMMYFUNCTION("""COMPUTED_VALUE"""),"236/1 ถนนบางแวก แขวงบางไผ่ เขตบางแค กรุงเทพมหานคร 10160")</f>
        <v>236/1 ถนนบางแวก แขวงบางไผ่ เขตบางแค กรุงเทพมหานคร 10160</v>
      </c>
      <c r="Y3324" s="3" t="str">
        <f>IFERROR(__xludf.DUMMYFUNCTION("""COMPUTED_VALUE"""),"บางแวก")</f>
        <v>บางแวก</v>
      </c>
      <c r="Z3324" s="3" t="str">
        <f>IFERROR(__xludf.DUMMYFUNCTION("""COMPUTED_VALUE"""),"บางไผ่")</f>
        <v>บางไผ่</v>
      </c>
      <c r="AA3324" s="3" t="str">
        <f>IFERROR(__xludf.DUMMYFUNCTION("""COMPUTED_VALUE"""),"บางแค")</f>
        <v>บางแค</v>
      </c>
      <c r="AB3324" s="3" t="str">
        <f>IFERROR(__xludf.DUMMYFUNCTION("""COMPUTED_VALUE"""),"กรุงเทพมหานคร")</f>
        <v>กรุงเทพมหานคร</v>
      </c>
      <c r="AC3324" s="3">
        <f>IFERROR(__xludf.DUMMYFUNCTION("""COMPUTED_VALUE"""),10160.0)</f>
        <v>10160</v>
      </c>
      <c r="AD3324" s="3">
        <f>IFERROR(__xludf.DUMMYFUNCTION("""COMPUTED_VALUE"""),13.744809)</f>
        <v>13.744809</v>
      </c>
      <c r="AE3324" s="3">
        <f>IFERROR(__xludf.DUMMYFUNCTION("""COMPUTED_VALUE"""),100.396808)</f>
        <v>100.396808</v>
      </c>
      <c r="AF3324" s="3" t="str">
        <f>IFERROR(__xludf.DUMMYFUNCTION("""COMPUTED_VALUE"""),"BCM ทศกัณฑ์-บางแวก กรุงเทพฯ-22760")</f>
        <v>BCM ทศกัณฑ์-บางแวก กรุงเทพฯ-22760</v>
      </c>
      <c r="AG3324" s="3" t="str">
        <f>IFERROR(__xludf.DUMMYFUNCTION("""COMPUTED_VALUE"""),"กลาง")</f>
        <v>กลาง</v>
      </c>
      <c r="AH3324" s="3" t="str">
        <f>IFERROR(__xludf.DUMMYFUNCTION("""COMPUTED_VALUE"""),"#N/A")</f>
        <v>#N/A</v>
      </c>
      <c r="AI3324" s="3" t="str">
        <f>IFERROR(__xludf.DUMMYFUNCTION("""COMPUTED_VALUE"""),"In warranty")</f>
        <v>In warranty</v>
      </c>
      <c r="AJ3324" s="3">
        <f>IFERROR(__xludf.DUMMYFUNCTION("""COMPUTED_VALUE"""),2.0)</f>
        <v>2</v>
      </c>
      <c r="AK3324" s="3"/>
      <c r="AL3324" s="3"/>
    </row>
    <row r="3325" ht="15.75" customHeight="1">
      <c r="A3325" s="1" t="str">
        <f>IFERROR(__xludf.DUMMYFUNCTION("""COMPUTED_VALUE"""),"31135")</f>
        <v>31135</v>
      </c>
      <c r="B3325" s="2">
        <f>IFERROR(__xludf.DUMMYFUNCTION("""COMPUTED_VALUE"""),31135.0)</f>
        <v>31135</v>
      </c>
      <c r="C3325" s="3" t="str">
        <f>IFERROR(__xludf.DUMMYFUNCTION("""COMPUTED_VALUE"""),"BCM FC โรงพยาบาลนางรองบุรีรัมย์")</f>
        <v>BCM FC โรงพยาบาลนางรองบุรีรัมย์</v>
      </c>
      <c r="D3325" s="3" t="str">
        <f>IFERROR(__xludf.DUMMYFUNCTION("""COMPUTED_VALUE"""),"BCM FC NANGRONG HOSPITAL")</f>
        <v>BCM FC NANGRONG HOSPITAL</v>
      </c>
      <c r="E3325" s="1" t="str">
        <f>IFERROR(__xludf.DUMMYFUNCTION("""COMPUTED_VALUE"""),"บิ๊กซี MINI")</f>
        <v>บิ๊กซี MINI</v>
      </c>
      <c r="F3325" s="1" t="str">
        <f>IFERROR(__xludf.DUMMYFUNCTION("""COMPUTED_VALUE"""),"291105")</f>
        <v>291105</v>
      </c>
      <c r="G3325" s="1" t="str">
        <f>IFERROR(__xludf.DUMMYFUNCTION("""COMPUTED_VALUE"""),"นายสราวุฒิ พณิชยกุล")</f>
        <v>นายสราวุฒิ พณิชยกุล</v>
      </c>
      <c r="H3325" s="1" t="str">
        <f>IFERROR(__xludf.DUMMYFUNCTION("""COMPUTED_VALUE"""),"398136")</f>
        <v>398136</v>
      </c>
      <c r="I3325" s="1" t="str">
        <f>IFERROR(__xludf.DUMMYFUNCTION("""COMPUTED_VALUE"""),"นายประยูร ธาดาวงษา")</f>
        <v>นายประยูร ธาดาวงษา</v>
      </c>
      <c r="J3325" s="3">
        <f>IFERROR(__xludf.DUMMYFUNCTION("""COMPUTED_VALUE"""),15361.0)</f>
        <v>15361</v>
      </c>
      <c r="K3325" s="3" t="str">
        <f>IFERROR(__xludf.DUMMYFUNCTION("""COMPUTED_VALUE"""),"นายสมบูรณ์ พรหมในเมือง")</f>
        <v>นายสมบูรณ์ พรหมในเมือง</v>
      </c>
      <c r="L3325" s="1" t="str">
        <f>IFERROR(__xludf.DUMMYFUNCTION("""COMPUTED_VALUE"""),"04 K.Somboon P.")</f>
        <v>04 K.Somboon P.</v>
      </c>
      <c r="M3325" s="1" t="str">
        <f>IFERROR(__xludf.DUMMYFUNCTION("""COMPUTED_VALUE"""),"087-965-3051")</f>
        <v>087-965-3051</v>
      </c>
      <c r="N3325" s="3">
        <f>IFERROR(__xludf.DUMMYFUNCTION("""COMPUTED_VALUE"""),21869.0)</f>
        <v>21869</v>
      </c>
      <c r="O3325" s="3" t="str">
        <f>IFERROR(__xludf.DUMMYFUNCTION("""COMPUTED_VALUE"""),"MBC โรงพยาบาลค่ายสุรนารี นครราชสีมา")</f>
        <v>MBC โรงพยาบาลค่ายสุรนารี นครราชสีมา</v>
      </c>
      <c r="P3325" s="4">
        <f>IFERROR(__xludf.DUMMYFUNCTION("""COMPUTED_VALUE"""),46036.0)</f>
        <v>46036</v>
      </c>
      <c r="Q3325" s="3" t="str">
        <f>IFERROR(__xludf.DUMMYFUNCTION("""COMPUTED_VALUE"""),"A")</f>
        <v>A</v>
      </c>
      <c r="R3325" s="3" t="str">
        <f>IFERROR(__xludf.DUMMYFUNCTION("""COMPUTED_VALUE"""),"Small Format")</f>
        <v>Small Format</v>
      </c>
      <c r="S3325" s="3" t="str">
        <f>IFERROR(__xludf.DUMMYFUNCTION("""COMPUTED_VALUE"""),"BCM(FC)")</f>
        <v>BCM(FC)</v>
      </c>
      <c r="T3325" s="3" t="str">
        <f>IFERROR(__xludf.DUMMYFUNCTION("""COMPUTED_VALUE"""),"#N/A")</f>
        <v>#N/A</v>
      </c>
      <c r="U3325" s="3" t="str">
        <f>IFERROR(__xludf.DUMMYFUNCTION("""COMPUTED_VALUE"""),"#N/A")</f>
        <v>#N/A</v>
      </c>
      <c r="V3325" s="3" t="str">
        <f>IFERROR(__xludf.DUMMYFUNCTION("""COMPUTED_VALUE"""),"N")</f>
        <v>N</v>
      </c>
      <c r="W3325" s="3">
        <f>IFERROR(__xludf.DUMMYFUNCTION("""COMPUTED_VALUE"""),812353.0)</f>
        <v>812353</v>
      </c>
      <c r="X3325" s="3" t="str">
        <f>IFERROR(__xludf.DUMMYFUNCTION("""COMPUTED_VALUE"""),"692 ถนน โชคชัย-เดชอุดม ตำบลนางรอง อำเภอนางรอง จังหวัดบุรีรัมย์ 31110")</f>
        <v>692 ถนน โชคชัย-เดชอุดม ตำบลนางรอง อำเภอนางรอง จังหวัดบุรีรัมย์ 31110</v>
      </c>
      <c r="Y3325" s="3" t="str">
        <f>IFERROR(__xludf.DUMMYFUNCTION("""COMPUTED_VALUE"""),"โชคชัย-เดชอุดม")</f>
        <v>โชคชัย-เดชอุดม</v>
      </c>
      <c r="Z3325" s="3" t="str">
        <f>IFERROR(__xludf.DUMMYFUNCTION("""COMPUTED_VALUE"""),"นางรอง")</f>
        <v>นางรอง</v>
      </c>
      <c r="AA3325" s="3" t="str">
        <f>IFERROR(__xludf.DUMMYFUNCTION("""COMPUTED_VALUE"""),"นางรอง")</f>
        <v>นางรอง</v>
      </c>
      <c r="AB3325" s="3" t="str">
        <f>IFERROR(__xludf.DUMMYFUNCTION("""COMPUTED_VALUE"""),"บุรีรัมย์")</f>
        <v>บุรีรัมย์</v>
      </c>
      <c r="AC3325" s="3">
        <f>IFERROR(__xludf.DUMMYFUNCTION("""COMPUTED_VALUE"""),31110.0)</f>
        <v>31110</v>
      </c>
      <c r="AD3325" s="3">
        <f>IFERROR(__xludf.DUMMYFUNCTION("""COMPUTED_VALUE"""),14.63460911)</f>
        <v>14.63460911</v>
      </c>
      <c r="AE3325" s="3">
        <f>IFERROR(__xludf.DUMMYFUNCTION("""COMPUTED_VALUE"""),102.787616)</f>
        <v>102.787616</v>
      </c>
      <c r="AF3325" s="3" t="str">
        <f>IFERROR(__xludf.DUMMYFUNCTION("""COMPUTED_VALUE"""),"BCM FC โรงพยาบาลนางรองบุรีรัมย์-31135")</f>
        <v>BCM FC โรงพยาบาลนางรองบุรีรัมย์-31135</v>
      </c>
      <c r="AG3325" s="3" t="str">
        <f>IFERROR(__xludf.DUMMYFUNCTION("""COMPUTED_VALUE"""),"ตะวันออกเฉียงเหนือ")</f>
        <v>ตะวันออกเฉียงเหนือ</v>
      </c>
      <c r="AH3325" s="3" t="str">
        <f>IFERROR(__xludf.DUMMYFUNCTION("""COMPUTED_VALUE"""),"#N/A")</f>
        <v>#N/A</v>
      </c>
      <c r="AI3325" s="3" t="str">
        <f>IFERROR(__xludf.DUMMYFUNCTION("""COMPUTED_VALUE"""),"In warranty")</f>
        <v>In warranty</v>
      </c>
      <c r="AJ3325" s="3">
        <f>IFERROR(__xludf.DUMMYFUNCTION("""COMPUTED_VALUE"""),1.0)</f>
        <v>1</v>
      </c>
      <c r="AK3325" s="3"/>
      <c r="AL3325" s="3"/>
    </row>
    <row r="3326" ht="15.75" customHeight="1">
      <c r="A3326" s="1" t="str">
        <f>IFERROR(__xludf.DUMMYFUNCTION("""COMPUTED_VALUE"""),"22770")</f>
        <v>22770</v>
      </c>
      <c r="B3326" s="2">
        <f>IFERROR(__xludf.DUMMYFUNCTION("""COMPUTED_VALUE"""),22770.0)</f>
        <v>22770</v>
      </c>
      <c r="C3326" s="3" t="str">
        <f>IFERROR(__xludf.DUMMYFUNCTION("""COMPUTED_VALUE"""),"BCM สาขา ถ.เจริญประดิษฐ์ ซ.8 ปัตตานี")</f>
        <v>BCM สาขา ถ.เจริญประดิษฐ์ ซ.8 ปัตตานี</v>
      </c>
      <c r="D3326" s="3" t="str">
        <f>IFERROR(__xludf.DUMMYFUNCTION("""COMPUTED_VALUE"""),"BCM THANON CHAROEN PRADIT SOI8")</f>
        <v>BCM THANON CHAROEN PRADIT SOI8</v>
      </c>
      <c r="E3326" s="1" t="str">
        <f>IFERROR(__xludf.DUMMYFUNCTION("""COMPUTED_VALUE"""),"บิ๊กซี MINI")</f>
        <v>บิ๊กซี MINI</v>
      </c>
      <c r="F3326" s="1" t="str">
        <f>IFERROR(__xludf.DUMMYFUNCTION("""COMPUTED_VALUE"""),"250760")</f>
        <v>250760</v>
      </c>
      <c r="G3326" s="1" t="str">
        <f>IFERROR(__xludf.DUMMYFUNCTION("""COMPUTED_VALUE"""),"นายประทวน สาราบรรณ์")</f>
        <v>นายประทวน สาราบรรณ์</v>
      </c>
      <c r="H3326" s="1" t="str">
        <f>IFERROR(__xludf.DUMMYFUNCTION("""COMPUTED_VALUE"""),"006583")</f>
        <v>006583</v>
      </c>
      <c r="I3326" s="1" t="str">
        <f>IFERROR(__xludf.DUMMYFUNCTION("""COMPUTED_VALUE"""),"นายเด่น ยะอิง")</f>
        <v>นายเด่น ยะอิง</v>
      </c>
      <c r="J3326" s="3">
        <f>IFERROR(__xludf.DUMMYFUNCTION("""COMPUTED_VALUE"""),2.0470331E7)</f>
        <v>20470331</v>
      </c>
      <c r="K3326" s="3" t="str">
        <f>IFERROR(__xludf.DUMMYFUNCTION("""COMPUTED_VALUE"""),"นายสมชาย ลักษณะสุวรรณ")</f>
        <v>นายสมชาย ลักษณะสุวรรณ</v>
      </c>
      <c r="L3326" s="1" t="str">
        <f>IFERROR(__xludf.DUMMYFUNCTION("""COMPUTED_VALUE"""),"15 K.Somchai L")</f>
        <v>15 K.Somchai L</v>
      </c>
      <c r="M3326" s="1" t="str">
        <f>IFERROR(__xludf.DUMMYFUNCTION("""COMPUTED_VALUE"""),"0655107372")</f>
        <v>0655107372</v>
      </c>
      <c r="N3326" s="3">
        <f>IFERROR(__xludf.DUMMYFUNCTION("""COMPUTED_VALUE"""),21723.0)</f>
        <v>21723</v>
      </c>
      <c r="O3326" s="3" t="str">
        <f>IFERROR(__xludf.DUMMYFUNCTION("""COMPUTED_VALUE"""),"MBC หน้าค่ายเสนาณรงค์ หาดใหญ่")</f>
        <v>MBC หน้าค่ายเสนาณรงค์ หาดใหญ่</v>
      </c>
      <c r="P3326" s="4">
        <f>IFERROR(__xludf.DUMMYFUNCTION("""COMPUTED_VALUE"""),46093.0)</f>
        <v>46093</v>
      </c>
      <c r="Q3326" s="3" t="str">
        <f>IFERROR(__xludf.DUMMYFUNCTION("""COMPUTED_VALUE"""),"A")</f>
        <v>A</v>
      </c>
      <c r="R3326" s="3" t="str">
        <f>IFERROR(__xludf.DUMMYFUNCTION("""COMPUTED_VALUE"""),"Small Format")</f>
        <v>Small Format</v>
      </c>
      <c r="S3326" s="3" t="str">
        <f>IFERROR(__xludf.DUMMYFUNCTION("""COMPUTED_VALUE"""),"BCM")</f>
        <v>BCM</v>
      </c>
      <c r="T3326" s="3" t="str">
        <f>IFERROR(__xludf.DUMMYFUNCTION("""COMPUTED_VALUE"""),"#N/A")</f>
        <v>#N/A</v>
      </c>
      <c r="U3326" s="3" t="str">
        <f>IFERROR(__xludf.DUMMYFUNCTION("""COMPUTED_VALUE"""),"#N/A")</f>
        <v>#N/A</v>
      </c>
      <c r="V3326" s="3" t="str">
        <f>IFERROR(__xludf.DUMMYFUNCTION("""COMPUTED_VALUE"""),"N")</f>
        <v>N</v>
      </c>
      <c r="W3326" s="3">
        <f>IFERROR(__xludf.DUMMYFUNCTION("""COMPUTED_VALUE"""),210879.0)</f>
        <v>210879</v>
      </c>
      <c r="X3326" s="3" t="str">
        <f>IFERROR(__xludf.DUMMYFUNCTION("""COMPUTED_VALUE"""),"17/82 หมู่ที่ 6 ตำบลรูสะมิแล อำเภอเมืองปัตตานี จังหวัดปัตตานี 94000")</f>
        <v>17/82 หมู่ที่ 6 ตำบลรูสะมิแล อำเภอเมืองปัตตานี จังหวัดปัตตานี 94000</v>
      </c>
      <c r="Y3326" s="3"/>
      <c r="Z3326" s="3" t="str">
        <f>IFERROR(__xludf.DUMMYFUNCTION("""COMPUTED_VALUE"""),"รูสะมิแล")</f>
        <v>รูสะมิแล</v>
      </c>
      <c r="AA3326" s="3" t="str">
        <f>IFERROR(__xludf.DUMMYFUNCTION("""COMPUTED_VALUE"""),"เมืองปัตตานี")</f>
        <v>เมืองปัตตานี</v>
      </c>
      <c r="AB3326" s="3" t="str">
        <f>IFERROR(__xludf.DUMMYFUNCTION("""COMPUTED_VALUE"""),"ปัตตานี")</f>
        <v>ปัตตานี</v>
      </c>
      <c r="AC3326" s="3">
        <f>IFERROR(__xludf.DUMMYFUNCTION("""COMPUTED_VALUE"""),94000.0)</f>
        <v>94000</v>
      </c>
      <c r="AD3326" s="3">
        <f>IFERROR(__xludf.DUMMYFUNCTION("""COMPUTED_VALUE"""),6.871333)</f>
        <v>6.871333</v>
      </c>
      <c r="AE3326" s="3">
        <f>IFERROR(__xludf.DUMMYFUNCTION("""COMPUTED_VALUE"""),101.237616)</f>
        <v>101.237616</v>
      </c>
      <c r="AF3326" s="3" t="str">
        <f>IFERROR(__xludf.DUMMYFUNCTION("""COMPUTED_VALUE"""),"BCM สาขา ถ.เจริญประดิษฐ์ ซ.8 ปัตตานี-22770")</f>
        <v>BCM สาขา ถ.เจริญประดิษฐ์ ซ.8 ปัตตานี-22770</v>
      </c>
      <c r="AG3326" s="3" t="str">
        <f>IFERROR(__xludf.DUMMYFUNCTION("""COMPUTED_VALUE"""),"ใต้")</f>
        <v>ใต้</v>
      </c>
      <c r="AH3326" s="3" t="str">
        <f>IFERROR(__xludf.DUMMYFUNCTION("""COMPUTED_VALUE"""),"#N/A")</f>
        <v>#N/A</v>
      </c>
      <c r="AI3326" s="3" t="str">
        <f>IFERROR(__xludf.DUMMYFUNCTION("""COMPUTED_VALUE"""),"#NUM!")</f>
        <v>#NUM!</v>
      </c>
      <c r="AJ3326" s="3" t="str">
        <f>IFERROR(__xludf.DUMMYFUNCTION("""COMPUTED_VALUE"""),"#NUM!")</f>
        <v>#NUM!</v>
      </c>
      <c r="AK3326" s="3"/>
      <c r="AL3326" s="3"/>
    </row>
    <row r="3327" ht="15.75" customHeight="1">
      <c r="A3327" s="1" t="str">
        <f>IFERROR(__xludf.DUMMYFUNCTION("""COMPUTED_VALUE"""),"22735")</f>
        <v>22735</v>
      </c>
      <c r="B3327" s="2">
        <f>IFERROR(__xludf.DUMMYFUNCTION("""COMPUTED_VALUE"""),22735.0)</f>
        <v>22735</v>
      </c>
      <c r="C3327" s="3" t="str">
        <f>IFERROR(__xludf.DUMMYFUNCTION("""COMPUTED_VALUE"""),"BCM กานดาไอลิฟ สมุทรสาคร")</f>
        <v>BCM กานดาไอลิฟ สมุทรสาคร</v>
      </c>
      <c r="D3327" s="3" t="str">
        <f>IFERROR(__xludf.DUMMYFUNCTION("""COMPUTED_VALUE"""),"BCM KANDA I LEAF SAMUT SAKHON")</f>
        <v>BCM KANDA I LEAF SAMUT SAKHON</v>
      </c>
      <c r="E3327" s="1" t="str">
        <f>IFERROR(__xludf.DUMMYFUNCTION("""COMPUTED_VALUE"""),"บิ๊กซี MINI")</f>
        <v>บิ๊กซี MINI</v>
      </c>
      <c r="F3327" s="1" t="str">
        <f>IFERROR(__xludf.DUMMYFUNCTION("""COMPUTED_VALUE"""),"2083447")</f>
        <v>2083447</v>
      </c>
      <c r="G3327" s="1" t="str">
        <f>IFERROR(__xludf.DUMMYFUNCTION("""COMPUTED_VALUE"""),"นายอนุกูล ศรีลัดดา")</f>
        <v>นายอนุกูล ศรีลัดดา</v>
      </c>
      <c r="H3327" s="1" t="str">
        <f>IFERROR(__xludf.DUMMYFUNCTION("""COMPUTED_VALUE"""),"2455053")</f>
        <v>2455053</v>
      </c>
      <c r="I3327" s="1" t="str">
        <f>IFERROR(__xludf.DUMMYFUNCTION("""COMPUTED_VALUE"""),"นายพันธมิตร โพธิ")</f>
        <v>นายพันธมิตร โพธิ</v>
      </c>
      <c r="J3327" s="3">
        <f>IFERROR(__xludf.DUMMYFUNCTION("""COMPUTED_VALUE"""),2451655.0)</f>
        <v>2451655</v>
      </c>
      <c r="K3327" s="3" t="str">
        <f>IFERROR(__xludf.DUMMYFUNCTION("""COMPUTED_VALUE"""),"นายวิษณุพงษ์ ชินบุตร")</f>
        <v>นายวิษณุพงษ์ ชินบุตร</v>
      </c>
      <c r="L3327" s="1" t="str">
        <f>IFERROR(__xludf.DUMMYFUNCTION("""COMPUTED_VALUE"""),"13 K.Wisanupong Ch")</f>
        <v>13 K.Wisanupong Ch</v>
      </c>
      <c r="M3327" s="1" t="str">
        <f>IFERROR(__xludf.DUMMYFUNCTION("""COMPUTED_VALUE"""),"0843374693")</f>
        <v>0843374693</v>
      </c>
      <c r="N3327" s="3">
        <f>IFERROR(__xludf.DUMMYFUNCTION("""COMPUTED_VALUE"""),22729.0)</f>
        <v>22729</v>
      </c>
      <c r="O3327" s="3" t="str">
        <f>IFERROR(__xludf.DUMMYFUNCTION("""COMPUTED_VALUE"""),"BCM ชุมชนเกาะเรียน พระนครศรีอยุธยา")</f>
        <v>BCM ชุมชนเกาะเรียน พระนครศรีอยุธยา</v>
      </c>
      <c r="P3327" s="4">
        <f>IFERROR(__xludf.DUMMYFUNCTION("""COMPUTED_VALUE"""),46062.0)</f>
        <v>46062</v>
      </c>
      <c r="Q3327" s="3" t="str">
        <f>IFERROR(__xludf.DUMMYFUNCTION("""COMPUTED_VALUE"""),"A")</f>
        <v>A</v>
      </c>
      <c r="R3327" s="3" t="str">
        <f>IFERROR(__xludf.DUMMYFUNCTION("""COMPUTED_VALUE"""),"Small Format")</f>
        <v>Small Format</v>
      </c>
      <c r="S3327" s="3" t="str">
        <f>IFERROR(__xludf.DUMMYFUNCTION("""COMPUTED_VALUE"""),"BCM")</f>
        <v>BCM</v>
      </c>
      <c r="T3327" s="3" t="str">
        <f>IFERROR(__xludf.DUMMYFUNCTION("""COMPUTED_VALUE"""),"#N/A")</f>
        <v>#N/A</v>
      </c>
      <c r="U3327" s="3" t="str">
        <f>IFERROR(__xludf.DUMMYFUNCTION("""COMPUTED_VALUE"""),"#N/A")</f>
        <v>#N/A</v>
      </c>
      <c r="V3327" s="3" t="str">
        <f>IFERROR(__xludf.DUMMYFUNCTION("""COMPUTED_VALUE"""),"N")</f>
        <v>N</v>
      </c>
      <c r="W3327" s="3">
        <f>IFERROR(__xludf.DUMMYFUNCTION("""COMPUTED_VALUE"""),210837.0)</f>
        <v>210837</v>
      </c>
      <c r="X3327" s="3" t="str">
        <f>IFERROR(__xludf.DUMMYFUNCTION("""COMPUTED_VALUE"""),"131/8 หมู่ที่ 5 ตำบลพันท้ายนรสิงท์ อำเภอเมืองสมุทรสาคร จังหวัดสมุทรสาคร 74000")</f>
        <v>131/8 หมู่ที่ 5 ตำบลพันท้ายนรสิงท์ อำเภอเมืองสมุทรสาคร จังหวัดสมุทรสาคร 74000</v>
      </c>
      <c r="Y3327" s="3"/>
      <c r="Z3327" s="3" t="str">
        <f>IFERROR(__xludf.DUMMYFUNCTION("""COMPUTED_VALUE"""),"พันท้ายนรสิงห์")</f>
        <v>พันท้ายนรสิงห์</v>
      </c>
      <c r="AA3327" s="3" t="str">
        <f>IFERROR(__xludf.DUMMYFUNCTION("""COMPUTED_VALUE"""),"เมืองสมุทรสาคร")</f>
        <v>เมืองสมุทรสาคร</v>
      </c>
      <c r="AB3327" s="3" t="str">
        <f>IFERROR(__xludf.DUMMYFUNCTION("""COMPUTED_VALUE"""),"สมุทรสาคร")</f>
        <v>สมุทรสาคร</v>
      </c>
      <c r="AC3327" s="3">
        <f>IFERROR(__xludf.DUMMYFUNCTION("""COMPUTED_VALUE"""),74000.0)</f>
        <v>74000</v>
      </c>
      <c r="AD3327" s="3">
        <f>IFERROR(__xludf.DUMMYFUNCTION("""COMPUTED_VALUE"""),13.57531)</f>
        <v>13.57531</v>
      </c>
      <c r="AE3327" s="3">
        <f>IFERROR(__xludf.DUMMYFUNCTION("""COMPUTED_VALUE"""),100.375472)</f>
        <v>100.375472</v>
      </c>
      <c r="AF3327" s="3" t="str">
        <f>IFERROR(__xludf.DUMMYFUNCTION("""COMPUTED_VALUE"""),"BCM กานดาไอลิฟ สมุทรสาคร-22735")</f>
        <v>BCM กานดาไอลิฟ สมุทรสาคร-22735</v>
      </c>
      <c r="AG3327" s="3" t="str">
        <f>IFERROR(__xludf.DUMMYFUNCTION("""COMPUTED_VALUE"""),"กลาง")</f>
        <v>กลาง</v>
      </c>
      <c r="AH3327" s="3" t="str">
        <f>IFERROR(__xludf.DUMMYFUNCTION("""COMPUTED_VALUE"""),"#N/A")</f>
        <v>#N/A</v>
      </c>
      <c r="AI3327" s="3" t="str">
        <f>IFERROR(__xludf.DUMMYFUNCTION("""COMPUTED_VALUE"""),"In warranty")</f>
        <v>In warranty</v>
      </c>
      <c r="AJ3327" s="3">
        <f>IFERROR(__xludf.DUMMYFUNCTION("""COMPUTED_VALUE"""),0.0)</f>
        <v>0</v>
      </c>
      <c r="AK3327" s="3"/>
      <c r="AL3327" s="3"/>
    </row>
    <row r="3328" ht="15.75" customHeight="1">
      <c r="A3328" s="1" t="str">
        <f>IFERROR(__xludf.DUMMYFUNCTION("""COMPUTED_VALUE"""),"22774")</f>
        <v>22774</v>
      </c>
      <c r="B3328" s="2">
        <f>IFERROR(__xludf.DUMMYFUNCTION("""COMPUTED_VALUE"""),22774.0)</f>
        <v>22774</v>
      </c>
      <c r="C3328" s="3" t="str">
        <f>IFERROR(__xludf.DUMMYFUNCTION("""COMPUTED_VALUE"""),"BCM บงกช 57 ปทุมธานิ")</f>
        <v>BCM บงกช 57 ปทุมธานิ</v>
      </c>
      <c r="D3328" s="3" t="str">
        <f>IFERROR(__xludf.DUMMYFUNCTION("""COMPUTED_VALUE"""),"BCM BONG KOACH 57 PATHUM THANI")</f>
        <v>BCM BONG KOACH 57 PATHUM THANI</v>
      </c>
      <c r="E3328" s="1" t="str">
        <f>IFERROR(__xludf.DUMMYFUNCTION("""COMPUTED_VALUE"""),"บิ๊กซี MINI")</f>
        <v>บิ๊กซี MINI</v>
      </c>
      <c r="F3328" s="1" t="str">
        <f>IFERROR(__xludf.DUMMYFUNCTION("""COMPUTED_VALUE"""),"2083447")</f>
        <v>2083447</v>
      </c>
      <c r="G3328" s="1" t="str">
        <f>IFERROR(__xludf.DUMMYFUNCTION("""COMPUTED_VALUE"""),"นายอนุกูล ศรีลัดดา")</f>
        <v>นายอนุกูล ศรีลัดดา</v>
      </c>
      <c r="H3328" s="1" t="str">
        <f>IFERROR(__xludf.DUMMYFUNCTION("""COMPUTED_VALUE"""),"373849")</f>
        <v>373849</v>
      </c>
      <c r="I3328" s="1" t="str">
        <f>IFERROR(__xludf.DUMMYFUNCTION("""COMPUTED_VALUE"""),"น.ส.อรอุมา นิ่มวิศิษย์")</f>
        <v>น.ส.อรอุมา นิ่มวิศิษย์</v>
      </c>
      <c r="J3328" s="3">
        <f>IFERROR(__xludf.DUMMYFUNCTION("""COMPUTED_VALUE"""),510143.0)</f>
        <v>510143</v>
      </c>
      <c r="K3328" s="3" t="str">
        <f>IFERROR(__xludf.DUMMYFUNCTION("""COMPUTED_VALUE"""),"นายธีระวัฒน์ บุญสิทธิ์")</f>
        <v>นายธีระวัฒน์ บุญสิทธิ์</v>
      </c>
      <c r="L3328" s="1" t="str">
        <f>IFERROR(__xludf.DUMMYFUNCTION("""COMPUTED_VALUE"""),"12 K.Theerawat B.")</f>
        <v>12 K.Theerawat B.</v>
      </c>
      <c r="M3328" s="1" t="str">
        <f>IFERROR(__xludf.DUMMYFUNCTION("""COMPUTED_VALUE"""),"0655107379")</f>
        <v>0655107379</v>
      </c>
      <c r="N3328" s="3">
        <f>IFERROR(__xludf.DUMMYFUNCTION("""COMPUTED_VALUE"""),21062.0)</f>
        <v>21062</v>
      </c>
      <c r="O3328" s="3" t="str">
        <f>IFERROR(__xludf.DUMMYFUNCTION("""COMPUTED_VALUE"""),"MBC นิคมนวนคร")</f>
        <v>MBC นิคมนวนคร</v>
      </c>
      <c r="P3328" s="4">
        <f>IFERROR(__xludf.DUMMYFUNCTION("""COMPUTED_VALUE"""),46081.0)</f>
        <v>46081</v>
      </c>
      <c r="Q3328" s="3" t="str">
        <f>IFERROR(__xludf.DUMMYFUNCTION("""COMPUTED_VALUE"""),"A")</f>
        <v>A</v>
      </c>
      <c r="R3328" s="3" t="str">
        <f>IFERROR(__xludf.DUMMYFUNCTION("""COMPUTED_VALUE"""),"Small Format")</f>
        <v>Small Format</v>
      </c>
      <c r="S3328" s="3" t="str">
        <f>IFERROR(__xludf.DUMMYFUNCTION("""COMPUTED_VALUE"""),"BCM")</f>
        <v>BCM</v>
      </c>
      <c r="T3328" s="3" t="str">
        <f>IFERROR(__xludf.DUMMYFUNCTION("""COMPUTED_VALUE"""),"#N/A")</f>
        <v>#N/A</v>
      </c>
      <c r="U3328" s="3" t="str">
        <f>IFERROR(__xludf.DUMMYFUNCTION("""COMPUTED_VALUE"""),"#N/A")</f>
        <v>#N/A</v>
      </c>
      <c r="V3328" s="3" t="str">
        <f>IFERROR(__xludf.DUMMYFUNCTION("""COMPUTED_VALUE"""),"N")</f>
        <v>N</v>
      </c>
      <c r="W3328" s="3">
        <f>IFERROR(__xludf.DUMMYFUNCTION("""COMPUTED_VALUE"""),210875.0)</f>
        <v>210875</v>
      </c>
      <c r="X3328" s="3" t="str">
        <f>IFERROR(__xludf.DUMMYFUNCTION("""COMPUTED_VALUE"""),"9/40 หมู่ที่ 3 ตำบลคลองสอง อำเภอคลองหลวง จังหวัดปทุมธานี 12120")</f>
        <v>9/40 หมู่ที่ 3 ตำบลคลองสอง อำเภอคลองหลวง จังหวัดปทุมธานี 12120</v>
      </c>
      <c r="Y3328" s="3"/>
      <c r="Z3328" s="3" t="str">
        <f>IFERROR(__xludf.DUMMYFUNCTION("""COMPUTED_VALUE"""),"คลองสอง")</f>
        <v>คลองสอง</v>
      </c>
      <c r="AA3328" s="3" t="str">
        <f>IFERROR(__xludf.DUMMYFUNCTION("""COMPUTED_VALUE"""),"คลองหลวง")</f>
        <v>คลองหลวง</v>
      </c>
      <c r="AB3328" s="3" t="str">
        <f>IFERROR(__xludf.DUMMYFUNCTION("""COMPUTED_VALUE"""),"ปทุมธานี")</f>
        <v>ปทุมธานี</v>
      </c>
      <c r="AC3328" s="3">
        <f>IFERROR(__xludf.DUMMYFUNCTION("""COMPUTED_VALUE"""),12120.0)</f>
        <v>12120</v>
      </c>
      <c r="AD3328" s="3">
        <f>IFERROR(__xludf.DUMMYFUNCTION("""COMPUTED_VALUE"""),14.027035)</f>
        <v>14.027035</v>
      </c>
      <c r="AE3328" s="3">
        <f>IFERROR(__xludf.DUMMYFUNCTION("""COMPUTED_VALUE"""),100.642484)</f>
        <v>100.642484</v>
      </c>
      <c r="AF3328" s="3" t="str">
        <f>IFERROR(__xludf.DUMMYFUNCTION("""COMPUTED_VALUE"""),"BCM บงกช 57 ปทุมธานิ-22774")</f>
        <v>BCM บงกช 57 ปทุมธานิ-22774</v>
      </c>
      <c r="AG3328" s="3" t="str">
        <f>IFERROR(__xludf.DUMMYFUNCTION("""COMPUTED_VALUE"""),"กลาง")</f>
        <v>กลาง</v>
      </c>
      <c r="AH3328" s="3" t="str">
        <f>IFERROR(__xludf.DUMMYFUNCTION("""COMPUTED_VALUE"""),"#N/A")</f>
        <v>#N/A</v>
      </c>
      <c r="AI3328" s="3" t="str">
        <f>IFERROR(__xludf.DUMMYFUNCTION("""COMPUTED_VALUE"""),"#NUM!")</f>
        <v>#NUM!</v>
      </c>
      <c r="AJ3328" s="3" t="str">
        <f>IFERROR(__xludf.DUMMYFUNCTION("""COMPUTED_VALUE"""),"#NUM!")</f>
        <v>#NUM!</v>
      </c>
      <c r="AK3328" s="3"/>
      <c r="AL3328" s="3"/>
    </row>
    <row r="3329" ht="15.75" customHeight="1">
      <c r="A3329" s="1" t="str">
        <f>IFERROR(__xludf.DUMMYFUNCTION("""COMPUTED_VALUE"""),"31136")</f>
        <v>31136</v>
      </c>
      <c r="B3329" s="2">
        <f>IFERROR(__xludf.DUMMYFUNCTION("""COMPUTED_VALUE"""),31136.0)</f>
        <v>31136</v>
      </c>
      <c r="C3329" s="3" t="str">
        <f>IFERROR(__xludf.DUMMYFUNCTION("""COMPUTED_VALUE"""),"BCM FC ท่าตะโก นครสวรรค์")</f>
        <v>BCM FC ท่าตะโก นครสวรรค์</v>
      </c>
      <c r="D3329" s="3" t="str">
        <f>IFERROR(__xludf.DUMMYFUNCTION("""COMPUTED_VALUE"""),"BCM FC THA TAKHO NAKHON SAWAN")</f>
        <v>BCM FC THA TAKHO NAKHON SAWAN</v>
      </c>
      <c r="E3329" s="1" t="str">
        <f>IFERROR(__xludf.DUMMYFUNCTION("""COMPUTED_VALUE"""),"บิ๊กซี MINI")</f>
        <v>บิ๊กซี MINI</v>
      </c>
      <c r="F3329" s="1" t="str">
        <f>IFERROR(__xludf.DUMMYFUNCTION("""COMPUTED_VALUE"""),"296229")</f>
        <v>296229</v>
      </c>
      <c r="G3329" s="1" t="str">
        <f>IFERROR(__xludf.DUMMYFUNCTION("""COMPUTED_VALUE"""),"นายทนงศักดิ์ บุญมา")</f>
        <v>นายทนงศักดิ์ บุญมา</v>
      </c>
      <c r="H3329" s="1" t="str">
        <f>IFERROR(__xludf.DUMMYFUNCTION("""COMPUTED_VALUE"""),"318186")</f>
        <v>318186</v>
      </c>
      <c r="I3329" s="1" t="str">
        <f>IFERROR(__xludf.DUMMYFUNCTION("""COMPUTED_VALUE"""),"น.ส.พนมวัลย์ เรืองรัตน์")</f>
        <v>น.ส.พนมวัลย์ เรืองรัตน์</v>
      </c>
      <c r="J3329" s="3">
        <f>IFERROR(__xludf.DUMMYFUNCTION("""COMPUTED_VALUE"""),46214.0)</f>
        <v>46214</v>
      </c>
      <c r="K3329" s="3" t="str">
        <f>IFERROR(__xludf.DUMMYFUNCTION("""COMPUTED_VALUE"""),"นายศักดิ์ชัย เด็ดดอกฟ้า")</f>
        <v>นายศักดิ์ชัย เด็ดดอกฟ้า</v>
      </c>
      <c r="L3329" s="1" t="str">
        <f>IFERROR(__xludf.DUMMYFUNCTION("""COMPUTED_VALUE"""),"02 K.Sakchai D")</f>
        <v>02 K.Sakchai D</v>
      </c>
      <c r="M3329" s="1" t="str">
        <f>IFERROR(__xludf.DUMMYFUNCTION("""COMPUTED_VALUE"""),"065-510-7376")</f>
        <v>065-510-7376</v>
      </c>
      <c r="N3329" s="3">
        <f>IFERROR(__xludf.DUMMYFUNCTION("""COMPUTED_VALUE"""),21714.0)</f>
        <v>21714</v>
      </c>
      <c r="O3329" s="3" t="str">
        <f>IFERROR(__xludf.DUMMYFUNCTION("""COMPUTED_VALUE"""),"MBC เอสโซ่ วัดโบสถ์")</f>
        <v>MBC เอสโซ่ วัดโบสถ์</v>
      </c>
      <c r="P3329" s="4">
        <f>IFERROR(__xludf.DUMMYFUNCTION("""COMPUTED_VALUE"""),46075.0)</f>
        <v>46075</v>
      </c>
      <c r="Q3329" s="3" t="str">
        <f>IFERROR(__xludf.DUMMYFUNCTION("""COMPUTED_VALUE"""),"A")</f>
        <v>A</v>
      </c>
      <c r="R3329" s="3" t="str">
        <f>IFERROR(__xludf.DUMMYFUNCTION("""COMPUTED_VALUE"""),"Small Format")</f>
        <v>Small Format</v>
      </c>
      <c r="S3329" s="3" t="str">
        <f>IFERROR(__xludf.DUMMYFUNCTION("""COMPUTED_VALUE"""),"BCM(FC)")</f>
        <v>BCM(FC)</v>
      </c>
      <c r="T3329" s="3" t="str">
        <f>IFERROR(__xludf.DUMMYFUNCTION("""COMPUTED_VALUE"""),"#N/A")</f>
        <v>#N/A</v>
      </c>
      <c r="U3329" s="3" t="str">
        <f>IFERROR(__xludf.DUMMYFUNCTION("""COMPUTED_VALUE"""),"#N/A")</f>
        <v>#N/A</v>
      </c>
      <c r="V3329" s="3" t="str">
        <f>IFERROR(__xludf.DUMMYFUNCTION("""COMPUTED_VALUE"""),"N")</f>
        <v>N</v>
      </c>
      <c r="W3329" s="3">
        <f>IFERROR(__xludf.DUMMYFUNCTION("""COMPUTED_VALUE"""),812362.0)</f>
        <v>812362</v>
      </c>
      <c r="X3329" s="3" t="str">
        <f>IFERROR(__xludf.DUMMYFUNCTION("""COMPUTED_VALUE"""),"5/1,7 หมู่ที่ 1 ตำบลท่าตะโก อำเภอท่าตะโก จังหวัดนครสวรรค์ 60160")</f>
        <v>5/1,7 หมู่ที่ 1 ตำบลท่าตะโก อำเภอท่าตะโก จังหวัดนครสวรรค์ 60160</v>
      </c>
      <c r="Y3329" s="3"/>
      <c r="Z3329" s="3" t="str">
        <f>IFERROR(__xludf.DUMMYFUNCTION("""COMPUTED_VALUE"""),"ท่าตะโก")</f>
        <v>ท่าตะโก</v>
      </c>
      <c r="AA3329" s="3" t="str">
        <f>IFERROR(__xludf.DUMMYFUNCTION("""COMPUTED_VALUE"""),"ท่าตะโก")</f>
        <v>ท่าตะโก</v>
      </c>
      <c r="AB3329" s="3" t="str">
        <f>IFERROR(__xludf.DUMMYFUNCTION("""COMPUTED_VALUE"""),"นครสวรรค์")</f>
        <v>นครสวรรค์</v>
      </c>
      <c r="AC3329" s="3">
        <f>IFERROR(__xludf.DUMMYFUNCTION("""COMPUTED_VALUE"""),60160.0)</f>
        <v>60160</v>
      </c>
      <c r="AD3329" s="3">
        <f>IFERROR(__xludf.DUMMYFUNCTION("""COMPUTED_VALUE"""),15.640213)</f>
        <v>15.640213</v>
      </c>
      <c r="AE3329" s="3">
        <f>IFERROR(__xludf.DUMMYFUNCTION("""COMPUTED_VALUE"""),100.482294)</f>
        <v>100.482294</v>
      </c>
      <c r="AF3329" s="3" t="str">
        <f>IFERROR(__xludf.DUMMYFUNCTION("""COMPUTED_VALUE"""),"BCM FC ท่าตะโก นครสวรรค์-31136")</f>
        <v>BCM FC ท่าตะโก นครสวรรค์-31136</v>
      </c>
      <c r="AG3329" s="3" t="str">
        <f>IFERROR(__xludf.DUMMYFUNCTION("""COMPUTED_VALUE"""),"กลาง")</f>
        <v>กลาง</v>
      </c>
      <c r="AH3329" s="3" t="str">
        <f>IFERROR(__xludf.DUMMYFUNCTION("""COMPUTED_VALUE"""),"#N/A")</f>
        <v>#N/A</v>
      </c>
      <c r="AI3329" s="3" t="str">
        <f>IFERROR(__xludf.DUMMYFUNCTION("""COMPUTED_VALUE"""),"#NUM!")</f>
        <v>#NUM!</v>
      </c>
      <c r="AJ3329" s="3" t="str">
        <f>IFERROR(__xludf.DUMMYFUNCTION("""COMPUTED_VALUE"""),"#NUM!")</f>
        <v>#NUM!</v>
      </c>
      <c r="AK3329" s="3"/>
      <c r="AL3329" s="3"/>
    </row>
    <row r="3330" ht="15.75" customHeight="1">
      <c r="A3330" s="1" t="str">
        <f>IFERROR(__xludf.DUMMYFUNCTION("""COMPUTED_VALUE"""),"22771")</f>
        <v>22771</v>
      </c>
      <c r="B3330" s="2">
        <f>IFERROR(__xludf.DUMMYFUNCTION("""COMPUTED_VALUE"""),22771.0)</f>
        <v>22771</v>
      </c>
      <c r="C3330" s="3" t="str">
        <f>IFERROR(__xludf.DUMMYFUNCTION("""COMPUTED_VALUE"""),"BCM บางรักษ์บ่อนไก่ สุราษฎร์ธานี")</f>
        <v>BCM บางรักษ์บ่อนไก่ สุราษฎร์ธานี</v>
      </c>
      <c r="D3330" s="3" t="str">
        <f>IFERROR(__xludf.DUMMYFUNCTION("""COMPUTED_VALUE"""),"BCM BANG RAK BON KAI SURAT")</f>
        <v>BCM BANG RAK BON KAI SURAT</v>
      </c>
      <c r="E3330" s="1" t="str">
        <f>IFERROR(__xludf.DUMMYFUNCTION("""COMPUTED_VALUE"""),"บิ๊กซี MINI")</f>
        <v>บิ๊กซี MINI</v>
      </c>
      <c r="F3330" s="1" t="str">
        <f>IFERROR(__xludf.DUMMYFUNCTION("""COMPUTED_VALUE"""),"250760")</f>
        <v>250760</v>
      </c>
      <c r="G3330" s="1" t="str">
        <f>IFERROR(__xludf.DUMMYFUNCTION("""COMPUTED_VALUE"""),"นายประทวน สาราบรรณ์")</f>
        <v>นายประทวน สาราบรรณ์</v>
      </c>
      <c r="H3330" s="1" t="str">
        <f>IFERROR(__xludf.DUMMYFUNCTION("""COMPUTED_VALUE"""),"356760")</f>
        <v>356760</v>
      </c>
      <c r="I3330" s="1" t="str">
        <f>IFERROR(__xludf.DUMMYFUNCTION("""COMPUTED_VALUE"""),"นายภูมิภัทร แก้วพรรณราย")</f>
        <v>นายภูมิภัทร แก้วพรรณราย</v>
      </c>
      <c r="J3330" s="3">
        <f>IFERROR(__xludf.DUMMYFUNCTION("""COMPUTED_VALUE"""),25324.0)</f>
        <v>25324</v>
      </c>
      <c r="K3330" s="3" t="str">
        <f>IFERROR(__xludf.DUMMYFUNCTION("""COMPUTED_VALUE"""),"นายวิเชฎฐ์ ติรัตนะประคม")</f>
        <v>นายวิเชฎฐ์ ติรัตนะประคม</v>
      </c>
      <c r="L3330" s="1" t="str">
        <f>IFERROR(__xludf.DUMMYFUNCTION("""COMPUTED_VALUE"""),"14 K.Wichet T.")</f>
        <v>14 K.Wichet T.</v>
      </c>
      <c r="M3330" s="1" t="str">
        <f>IFERROR(__xludf.DUMMYFUNCTION("""COMPUTED_VALUE"""),"061-417-6569 / 086-445-5636")</f>
        <v>061-417-6569 / 086-445-5636</v>
      </c>
      <c r="N3330" s="3">
        <f>IFERROR(__xludf.DUMMYFUNCTION("""COMPUTED_VALUE"""),22658.0)</f>
        <v>22658</v>
      </c>
      <c r="O3330" s="3" t="str">
        <f>IFERROR(__xludf.DUMMYFUNCTION("""COMPUTED_VALUE"""),"BCM ถ.วิรัชหงษ์หยก ภูเก็ต")</f>
        <v>BCM ถ.วิรัชหงษ์หยก ภูเก็ต</v>
      </c>
      <c r="P3330" s="4">
        <f>IFERROR(__xludf.DUMMYFUNCTION("""COMPUTED_VALUE"""),46081.0)</f>
        <v>46081</v>
      </c>
      <c r="Q3330" s="3" t="str">
        <f>IFERROR(__xludf.DUMMYFUNCTION("""COMPUTED_VALUE"""),"A")</f>
        <v>A</v>
      </c>
      <c r="R3330" s="3" t="str">
        <f>IFERROR(__xludf.DUMMYFUNCTION("""COMPUTED_VALUE"""),"Small Format")</f>
        <v>Small Format</v>
      </c>
      <c r="S3330" s="3" t="str">
        <f>IFERROR(__xludf.DUMMYFUNCTION("""COMPUTED_VALUE"""),"BCM")</f>
        <v>BCM</v>
      </c>
      <c r="T3330" s="3" t="str">
        <f>IFERROR(__xludf.DUMMYFUNCTION("""COMPUTED_VALUE"""),"#N/A")</f>
        <v>#N/A</v>
      </c>
      <c r="U3330" s="3" t="str">
        <f>IFERROR(__xludf.DUMMYFUNCTION("""COMPUTED_VALUE"""),"#N/A")</f>
        <v>#N/A</v>
      </c>
      <c r="V3330" s="3" t="str">
        <f>IFERROR(__xludf.DUMMYFUNCTION("""COMPUTED_VALUE"""),"N")</f>
        <v>N</v>
      </c>
      <c r="W3330" s="3">
        <f>IFERROR(__xludf.DUMMYFUNCTION("""COMPUTED_VALUE"""),210864.0)</f>
        <v>210864</v>
      </c>
      <c r="X3330" s="3" t="str">
        <f>IFERROR(__xludf.DUMMYFUNCTION("""COMPUTED_VALUE"""),"11/138 หมู่ที่ 4 ตำบลบ่อผด อำเภอเกาะสมุย จังหวัดสุราษฎร์ธานี 84320")</f>
        <v>11/138 หมู่ที่ 4 ตำบลบ่อผด อำเภอเกาะสมุย จังหวัดสุราษฎร์ธานี 84320</v>
      </c>
      <c r="Y3330" s="3"/>
      <c r="Z3330" s="3" t="str">
        <f>IFERROR(__xludf.DUMMYFUNCTION("""COMPUTED_VALUE"""),"บ่อผด")</f>
        <v>บ่อผด</v>
      </c>
      <c r="AA3330" s="3" t="str">
        <f>IFERROR(__xludf.DUMMYFUNCTION("""COMPUTED_VALUE"""),"เกาะสมุย")</f>
        <v>เกาะสมุย</v>
      </c>
      <c r="AB3330" s="3" t="str">
        <f>IFERROR(__xludf.DUMMYFUNCTION("""COMPUTED_VALUE"""),"สุราษฎร์ธานี")</f>
        <v>สุราษฎร์ธานี</v>
      </c>
      <c r="AC3330" s="3">
        <f>IFERROR(__xludf.DUMMYFUNCTION("""COMPUTED_VALUE"""),84320.0)</f>
        <v>84320</v>
      </c>
      <c r="AD3330" s="3">
        <f>IFERROR(__xludf.DUMMYFUNCTION("""COMPUTED_VALUE"""),9.55436)</f>
        <v>9.55436</v>
      </c>
      <c r="AE3330" s="3">
        <f>IFERROR(__xludf.DUMMYFUNCTION("""COMPUTED_VALUE"""),100.05264)</f>
        <v>100.05264</v>
      </c>
      <c r="AF3330" s="3" t="str">
        <f>IFERROR(__xludf.DUMMYFUNCTION("""COMPUTED_VALUE"""),"BCM บางรักษ์บ่อนไก่ สุราษฎร์ธานี-22771")</f>
        <v>BCM บางรักษ์บ่อนไก่ สุราษฎร์ธานี-22771</v>
      </c>
      <c r="AG3330" s="3" t="str">
        <f>IFERROR(__xludf.DUMMYFUNCTION("""COMPUTED_VALUE"""),"ใต้")</f>
        <v>ใต้</v>
      </c>
      <c r="AH3330" s="3" t="str">
        <f>IFERROR(__xludf.DUMMYFUNCTION("""COMPUTED_VALUE"""),"#N/A")</f>
        <v>#N/A</v>
      </c>
      <c r="AI3330" s="3" t="str">
        <f>IFERROR(__xludf.DUMMYFUNCTION("""COMPUTED_VALUE"""),"#NUM!")</f>
        <v>#NUM!</v>
      </c>
      <c r="AJ3330" s="3" t="str">
        <f>IFERROR(__xludf.DUMMYFUNCTION("""COMPUTED_VALUE"""),"#NUM!")</f>
        <v>#NUM!</v>
      </c>
      <c r="AK3330" s="3"/>
      <c r="AL3330" s="3"/>
    </row>
    <row r="3331" ht="15.75" customHeight="1">
      <c r="A3331" s="1" t="str">
        <f>IFERROR(__xludf.DUMMYFUNCTION("""COMPUTED_VALUE"""),"22772")</f>
        <v>22772</v>
      </c>
      <c r="B3331" s="2">
        <f>IFERROR(__xludf.DUMMYFUNCTION("""COMPUTED_VALUE"""),22772.0)</f>
        <v>22772</v>
      </c>
      <c r="C3331" s="3" t="str">
        <f>IFERROR(__xludf.DUMMYFUNCTION("""COMPUTED_VALUE"""),"BCM ถนนพรมแดน กรุงเทพฯ")</f>
        <v>BCM ถนนพรมแดน กรุงเทพฯ</v>
      </c>
      <c r="D3331" s="3" t="str">
        <f>IFERROR(__xludf.DUMMYFUNCTION("""COMPUTED_VALUE"""),"BCM THANON PROMDAEN BANGKOK")</f>
        <v>BCM THANON PROMDAEN BANGKOK</v>
      </c>
      <c r="E3331" s="1" t="str">
        <f>IFERROR(__xludf.DUMMYFUNCTION("""COMPUTED_VALUE"""),"บิ๊กซี MINI")</f>
        <v>บิ๊กซี MINI</v>
      </c>
      <c r="F3331" s="1" t="str">
        <f>IFERROR(__xludf.DUMMYFUNCTION("""COMPUTED_VALUE"""),"291008")</f>
        <v>291008</v>
      </c>
      <c r="G3331" s="1" t="str">
        <f>IFERROR(__xludf.DUMMYFUNCTION("""COMPUTED_VALUE"""),"น.ส.รัชดาพร อีศรัตน์")</f>
        <v>น.ส.รัชดาพร อีศรัตน์</v>
      </c>
      <c r="H3331" s="1" t="str">
        <f>IFERROR(__xludf.DUMMYFUNCTION("""COMPUTED_VALUE"""),"250921")</f>
        <v>250921</v>
      </c>
      <c r="I3331" s="1" t="str">
        <f>IFERROR(__xludf.DUMMYFUNCTION("""COMPUTED_VALUE"""),"นายปรัชญาวัต ถิระสังวร")</f>
        <v>นายปรัชญาวัต ถิระสังวร</v>
      </c>
      <c r="J3331" s="3">
        <f>IFERROR(__xludf.DUMMYFUNCTION("""COMPUTED_VALUE"""),2452378.0)</f>
        <v>2452378</v>
      </c>
      <c r="K3331" s="3" t="str">
        <f>IFERROR(__xludf.DUMMYFUNCTION("""COMPUTED_VALUE"""),"นายศักดิ์ดา พวงประดับ")</f>
        <v>นายศักดิ์ดา พวงประดับ</v>
      </c>
      <c r="L3331" s="1" t="str">
        <f>IFERROR(__xludf.DUMMYFUNCTION("""COMPUTED_VALUE"""),"11 K.Sakda P.")</f>
        <v>11 K.Sakda P.</v>
      </c>
      <c r="M3331" s="1" t="str">
        <f>IFERROR(__xludf.DUMMYFUNCTION("""COMPUTED_VALUE"""),"065-929-1279")</f>
        <v>065-929-1279</v>
      </c>
      <c r="N3331" s="3">
        <f>IFERROR(__xludf.DUMMYFUNCTION("""COMPUTED_VALUE"""),21002.0)</f>
        <v>21002</v>
      </c>
      <c r="O3331" s="3" t="str">
        <f>IFERROR(__xludf.DUMMYFUNCTION("""COMPUTED_VALUE"""),"MBC อุดมสุข")</f>
        <v>MBC อุดมสุข</v>
      </c>
      <c r="P3331" s="4">
        <f>IFERROR(__xludf.DUMMYFUNCTION("""COMPUTED_VALUE"""),46077.0)</f>
        <v>46077</v>
      </c>
      <c r="Q3331" s="3" t="str">
        <f>IFERROR(__xludf.DUMMYFUNCTION("""COMPUTED_VALUE"""),"A")</f>
        <v>A</v>
      </c>
      <c r="R3331" s="3" t="str">
        <f>IFERROR(__xludf.DUMMYFUNCTION("""COMPUTED_VALUE"""),"Small Format")</f>
        <v>Small Format</v>
      </c>
      <c r="S3331" s="3" t="str">
        <f>IFERROR(__xludf.DUMMYFUNCTION("""COMPUTED_VALUE"""),"BCM")</f>
        <v>BCM</v>
      </c>
      <c r="T3331" s="3" t="str">
        <f>IFERROR(__xludf.DUMMYFUNCTION("""COMPUTED_VALUE"""),"#N/A")</f>
        <v>#N/A</v>
      </c>
      <c r="U3331" s="3" t="str">
        <f>IFERROR(__xludf.DUMMYFUNCTION("""COMPUTED_VALUE"""),"#N/A")</f>
        <v>#N/A</v>
      </c>
      <c r="V3331" s="3" t="str">
        <f>IFERROR(__xludf.DUMMYFUNCTION("""COMPUTED_VALUE"""),"N")</f>
        <v>N</v>
      </c>
      <c r="W3331" s="3">
        <f>IFERROR(__xludf.DUMMYFUNCTION("""COMPUTED_VALUE"""),210867.0)</f>
        <v>210867</v>
      </c>
      <c r="X3331" s="3" t="str">
        <f>IFERROR(__xludf.DUMMYFUNCTION("""COMPUTED_VALUE"""),"282 ถนนพรมแดน แขวงบางบอนใด้ เขตบางบอน กรุงเทพมหานคร 10150")</f>
        <v>282 ถนนพรมแดน แขวงบางบอนใด้ เขตบางบอน กรุงเทพมหานคร 10150</v>
      </c>
      <c r="Y3331" s="3" t="str">
        <f>IFERROR(__xludf.DUMMYFUNCTION("""COMPUTED_VALUE"""),"พรมแดน")</f>
        <v>พรมแดน</v>
      </c>
      <c r="Z3331" s="3" t="str">
        <f>IFERROR(__xludf.DUMMYFUNCTION("""COMPUTED_VALUE"""),"บางบอนใต้")</f>
        <v>บางบอนใต้</v>
      </c>
      <c r="AA3331" s="3" t="str">
        <f>IFERROR(__xludf.DUMMYFUNCTION("""COMPUTED_VALUE"""),"บางบอน")</f>
        <v>บางบอน</v>
      </c>
      <c r="AB3331" s="3" t="str">
        <f>IFERROR(__xludf.DUMMYFUNCTION("""COMPUTED_VALUE"""),"กรุงเทพมหานคร")</f>
        <v>กรุงเทพมหานคร</v>
      </c>
      <c r="AC3331" s="3">
        <f>IFERROR(__xludf.DUMMYFUNCTION("""COMPUTED_VALUE"""),10150.0)</f>
        <v>10150</v>
      </c>
      <c r="AD3331" s="3">
        <f>IFERROR(__xludf.DUMMYFUNCTION("""COMPUTED_VALUE"""),13.6217197)</f>
        <v>13.6217197</v>
      </c>
      <c r="AE3331" s="3">
        <f>IFERROR(__xludf.DUMMYFUNCTION("""COMPUTED_VALUE"""),100.372179)</f>
        <v>100.372179</v>
      </c>
      <c r="AF3331" s="3" t="str">
        <f>IFERROR(__xludf.DUMMYFUNCTION("""COMPUTED_VALUE"""),"BCM ถนนพรมแดน กรุงเทพฯ-22772")</f>
        <v>BCM ถนนพรมแดน กรุงเทพฯ-22772</v>
      </c>
      <c r="AG3331" s="3" t="str">
        <f>IFERROR(__xludf.DUMMYFUNCTION("""COMPUTED_VALUE"""),"กลาง")</f>
        <v>กลาง</v>
      </c>
      <c r="AH3331" s="3" t="str">
        <f>IFERROR(__xludf.DUMMYFUNCTION("""COMPUTED_VALUE"""),"#N/A")</f>
        <v>#N/A</v>
      </c>
      <c r="AI3331" s="3" t="str">
        <f>IFERROR(__xludf.DUMMYFUNCTION("""COMPUTED_VALUE"""),"#NUM!")</f>
        <v>#NUM!</v>
      </c>
      <c r="AJ3331" s="3" t="str">
        <f>IFERROR(__xludf.DUMMYFUNCTION("""COMPUTED_VALUE"""),"#NUM!")</f>
        <v>#NUM!</v>
      </c>
      <c r="AK3331" s="3"/>
      <c r="AL3331" s="3"/>
    </row>
    <row r="3332" ht="15.75" customHeight="1">
      <c r="A3332" s="1" t="str">
        <f>IFERROR(__xludf.DUMMYFUNCTION("""COMPUTED_VALUE"""),"22775")</f>
        <v>22775</v>
      </c>
      <c r="B3332" s="2">
        <f>IFERROR(__xludf.DUMMYFUNCTION("""COMPUTED_VALUE"""),22775.0)</f>
        <v>22775</v>
      </c>
      <c r="C3332" s="3" t="str">
        <f>IFERROR(__xludf.DUMMYFUNCTION("""COMPUTED_VALUE"""),"BCM เอื้ออาทรรังสิตคลอง10/3 ปทุมธานี")</f>
        <v>BCM เอื้ออาทรรังสิตคลอง10/3 ปทุมธานี</v>
      </c>
      <c r="D3332" s="3" t="str">
        <f>IFERROR(__xludf.DUMMYFUNCTION("""COMPUTED_VALUE"""),"BCM AUE ARTHORN KHLONG 10/3")</f>
        <v>BCM AUE ARTHORN KHLONG 10/3</v>
      </c>
      <c r="E3332" s="1" t="str">
        <f>IFERROR(__xludf.DUMMYFUNCTION("""COMPUTED_VALUE"""),"บิ๊กซี MINI")</f>
        <v>บิ๊กซี MINI</v>
      </c>
      <c r="F3332" s="1" t="str">
        <f>IFERROR(__xludf.DUMMYFUNCTION("""COMPUTED_VALUE"""),"2083447")</f>
        <v>2083447</v>
      </c>
      <c r="G3332" s="1" t="str">
        <f>IFERROR(__xludf.DUMMYFUNCTION("""COMPUTED_VALUE"""),"นายอนุกูล ศรีลัดดา")</f>
        <v>นายอนุกูล ศรีลัดดา</v>
      </c>
      <c r="H3332" s="1" t="str">
        <f>IFERROR(__xludf.DUMMYFUNCTION("""COMPUTED_VALUE"""),"373849")</f>
        <v>373849</v>
      </c>
      <c r="I3332" s="1" t="str">
        <f>IFERROR(__xludf.DUMMYFUNCTION("""COMPUTED_VALUE"""),"น.ส.อรอุมา นิ่มวิศิษย์")</f>
        <v>น.ส.อรอุมา นิ่มวิศิษย์</v>
      </c>
      <c r="J3332" s="3">
        <f>IFERROR(__xludf.DUMMYFUNCTION("""COMPUTED_VALUE"""),510143.0)</f>
        <v>510143</v>
      </c>
      <c r="K3332" s="3" t="str">
        <f>IFERROR(__xludf.DUMMYFUNCTION("""COMPUTED_VALUE"""),"นายธีระวัฒน์ บุญสิทธิ์")</f>
        <v>นายธีระวัฒน์ บุญสิทธิ์</v>
      </c>
      <c r="L3332" s="1" t="str">
        <f>IFERROR(__xludf.DUMMYFUNCTION("""COMPUTED_VALUE"""),"12 K.Theerawat B.")</f>
        <v>12 K.Theerawat B.</v>
      </c>
      <c r="M3332" s="1" t="str">
        <f>IFERROR(__xludf.DUMMYFUNCTION("""COMPUTED_VALUE"""),"0655107379")</f>
        <v>0655107379</v>
      </c>
      <c r="N3332" s="3">
        <f>IFERROR(__xludf.DUMMYFUNCTION("""COMPUTED_VALUE"""),21062.0)</f>
        <v>21062</v>
      </c>
      <c r="O3332" s="3" t="str">
        <f>IFERROR(__xludf.DUMMYFUNCTION("""COMPUTED_VALUE"""),"MBC นิคมนวนคร")</f>
        <v>MBC นิคมนวนคร</v>
      </c>
      <c r="P3332" s="4">
        <f>IFERROR(__xludf.DUMMYFUNCTION("""COMPUTED_VALUE"""),46081.0)</f>
        <v>46081</v>
      </c>
      <c r="Q3332" s="3" t="str">
        <f>IFERROR(__xludf.DUMMYFUNCTION("""COMPUTED_VALUE"""),"A")</f>
        <v>A</v>
      </c>
      <c r="R3332" s="3" t="str">
        <f>IFERROR(__xludf.DUMMYFUNCTION("""COMPUTED_VALUE"""),"Small Format")</f>
        <v>Small Format</v>
      </c>
      <c r="S3332" s="3" t="str">
        <f>IFERROR(__xludf.DUMMYFUNCTION("""COMPUTED_VALUE"""),"BCM")</f>
        <v>BCM</v>
      </c>
      <c r="T3332" s="3" t="str">
        <f>IFERROR(__xludf.DUMMYFUNCTION("""COMPUTED_VALUE"""),"#N/A")</f>
        <v>#N/A</v>
      </c>
      <c r="U3332" s="3" t="str">
        <f>IFERROR(__xludf.DUMMYFUNCTION("""COMPUTED_VALUE"""),"#N/A")</f>
        <v>#N/A</v>
      </c>
      <c r="V3332" s="3" t="str">
        <f>IFERROR(__xludf.DUMMYFUNCTION("""COMPUTED_VALUE"""),"N")</f>
        <v>N</v>
      </c>
      <c r="W3332" s="3">
        <f>IFERROR(__xludf.DUMMYFUNCTION("""COMPUTED_VALUE"""),210874.0)</f>
        <v>210874</v>
      </c>
      <c r="X3332" s="3" t="str">
        <f>IFERROR(__xludf.DUMMYFUNCTION("""COMPUTED_VALUE"""),"ที่ 100 หมู่ที่ 6 ตำบลบึงบา อำเภอหนองเสือ จังหวัดปทุมธานี 12170")</f>
        <v>ที่ 100 หมู่ที่ 6 ตำบลบึงบา อำเภอหนองเสือ จังหวัดปทุมธานี 12170</v>
      </c>
      <c r="Y3332" s="3"/>
      <c r="Z3332" s="3" t="str">
        <f>IFERROR(__xludf.DUMMYFUNCTION("""COMPUTED_VALUE"""),"บึงบา")</f>
        <v>บึงบา</v>
      </c>
      <c r="AA3332" s="3" t="str">
        <f>IFERROR(__xludf.DUMMYFUNCTION("""COMPUTED_VALUE"""),"หนองเสือ")</f>
        <v>หนองเสือ</v>
      </c>
      <c r="AB3332" s="3" t="str">
        <f>IFERROR(__xludf.DUMMYFUNCTION("""COMPUTED_VALUE"""),"ปทุมธานี")</f>
        <v>ปทุมธานี</v>
      </c>
      <c r="AC3332" s="3">
        <f>IFERROR(__xludf.DUMMYFUNCTION("""COMPUTED_VALUE"""),12170.0)</f>
        <v>12170</v>
      </c>
      <c r="AD3332" s="3">
        <f>IFERROR(__xludf.DUMMYFUNCTION("""COMPUTED_VALUE"""),14.142005)</f>
        <v>14.142005</v>
      </c>
      <c r="AE3332" s="3">
        <f>IFERROR(__xludf.DUMMYFUNCTION("""COMPUTED_VALUE"""),100.823295)</f>
        <v>100.823295</v>
      </c>
      <c r="AF3332" s="3" t="str">
        <f>IFERROR(__xludf.DUMMYFUNCTION("""COMPUTED_VALUE"""),"BCM เอื้ออาทรรังสิตคลอง10/3 ปทุมธานี-22775")</f>
        <v>BCM เอื้ออาทรรังสิตคลอง10/3 ปทุมธานี-22775</v>
      </c>
      <c r="AG3332" s="3" t="str">
        <f>IFERROR(__xludf.DUMMYFUNCTION("""COMPUTED_VALUE"""),"กลาง")</f>
        <v>กลาง</v>
      </c>
      <c r="AH3332" s="3" t="str">
        <f>IFERROR(__xludf.DUMMYFUNCTION("""COMPUTED_VALUE"""),"#N/A")</f>
        <v>#N/A</v>
      </c>
      <c r="AI3332" s="3" t="str">
        <f>IFERROR(__xludf.DUMMYFUNCTION("""COMPUTED_VALUE"""),"#NUM!")</f>
        <v>#NUM!</v>
      </c>
      <c r="AJ3332" s="3" t="str">
        <f>IFERROR(__xludf.DUMMYFUNCTION("""COMPUTED_VALUE"""),"#NUM!")</f>
        <v>#NUM!</v>
      </c>
      <c r="AK3332" s="3"/>
      <c r="AL3332" s="3"/>
    </row>
    <row r="3333" ht="15.75" customHeight="1">
      <c r="A3333" s="1" t="str">
        <f>IFERROR(__xludf.DUMMYFUNCTION("""COMPUTED_VALUE"""),"22776")</f>
        <v>22776</v>
      </c>
      <c r="B3333" s="2">
        <f>IFERROR(__xludf.DUMMYFUNCTION("""COMPUTED_VALUE"""),22776.0)</f>
        <v>22776</v>
      </c>
      <c r="C3333" s="3" t="str">
        <f>IFERROR(__xludf.DUMMYFUNCTION("""COMPUTED_VALUE"""),"BCM รร.แอร์บัสแอดภาวนาสเตชั่น กรุงเทพฯ")</f>
        <v>BCM รร.แอร์บัสแอดภาวนาสเตชั่น กรุงเทพฯ</v>
      </c>
      <c r="D3333" s="3" t="str">
        <f>IFERROR(__xludf.DUMMYFUNCTION("""COMPUTED_VALUE"""),"BCM AIRBUS HOTEL AT PHAWANA")</f>
        <v>BCM AIRBUS HOTEL AT PHAWANA</v>
      </c>
      <c r="E3333" s="1" t="str">
        <f>IFERROR(__xludf.DUMMYFUNCTION("""COMPUTED_VALUE"""),"บิ๊กซี MINI")</f>
        <v>บิ๊กซี MINI</v>
      </c>
      <c r="F3333" s="1" t="str">
        <f>IFERROR(__xludf.DUMMYFUNCTION("""COMPUTED_VALUE"""),"291008")</f>
        <v>291008</v>
      </c>
      <c r="G3333" s="1" t="str">
        <f>IFERROR(__xludf.DUMMYFUNCTION("""COMPUTED_VALUE"""),"น.ส.รัชดาพร อีศรัตน์")</f>
        <v>น.ส.รัชดาพร อีศรัตน์</v>
      </c>
      <c r="H3333" s="1" t="str">
        <f>IFERROR(__xludf.DUMMYFUNCTION("""COMPUTED_VALUE"""),"359002")</f>
        <v>359002</v>
      </c>
      <c r="I3333" s="1" t="str">
        <f>IFERROR(__xludf.DUMMYFUNCTION("""COMPUTED_VALUE"""),"น.ส.นิตยา สมจิตร")</f>
        <v>น.ส.นิตยา สมจิตร</v>
      </c>
      <c r="J3333" s="3">
        <f>IFERROR(__xludf.DUMMYFUNCTION("""COMPUTED_VALUE"""),3510104.0)</f>
        <v>3510104</v>
      </c>
      <c r="K3333" s="3" t="str">
        <f>IFERROR(__xludf.DUMMYFUNCTION("""COMPUTED_VALUE"""),"นายวิโรจน์ อับดุลสมัด")</f>
        <v>นายวิโรจน์ อับดุลสมัด</v>
      </c>
      <c r="L3333" s="1" t="str">
        <f>IFERROR(__xludf.DUMMYFUNCTION("""COMPUTED_VALUE"""),"09 K.Wirode A")</f>
        <v>09 K.Wirode A</v>
      </c>
      <c r="M3333" s="1" t="str">
        <f>IFERROR(__xludf.DUMMYFUNCTION("""COMPUTED_VALUE"""),"080-235-4465")</f>
        <v>080-235-4465</v>
      </c>
      <c r="N3333" s="3">
        <f>IFERROR(__xludf.DUMMYFUNCTION("""COMPUTED_VALUE"""),21324.0)</f>
        <v>21324</v>
      </c>
      <c r="O3333" s="3" t="str">
        <f>IFERROR(__xludf.DUMMYFUNCTION("""COMPUTED_VALUE"""),"MBC BCP สุวินทวงศ์")</f>
        <v>MBC BCP สุวินทวงศ์</v>
      </c>
      <c r="P3333" s="4">
        <f>IFERROR(__xludf.DUMMYFUNCTION("""COMPUTED_VALUE"""),46083.0)</f>
        <v>46083</v>
      </c>
      <c r="Q3333" s="3" t="str">
        <f>IFERROR(__xludf.DUMMYFUNCTION("""COMPUTED_VALUE"""),"A")</f>
        <v>A</v>
      </c>
      <c r="R3333" s="3" t="str">
        <f>IFERROR(__xludf.DUMMYFUNCTION("""COMPUTED_VALUE"""),"Small Format")</f>
        <v>Small Format</v>
      </c>
      <c r="S3333" s="3" t="str">
        <f>IFERROR(__xludf.DUMMYFUNCTION("""COMPUTED_VALUE"""),"BCM")</f>
        <v>BCM</v>
      </c>
      <c r="T3333" s="3" t="str">
        <f>IFERROR(__xludf.DUMMYFUNCTION("""COMPUTED_VALUE"""),"#N/A")</f>
        <v>#N/A</v>
      </c>
      <c r="U3333" s="3" t="str">
        <f>IFERROR(__xludf.DUMMYFUNCTION("""COMPUTED_VALUE"""),"#N/A")</f>
        <v>#N/A</v>
      </c>
      <c r="V3333" s="3" t="str">
        <f>IFERROR(__xludf.DUMMYFUNCTION("""COMPUTED_VALUE"""),"N")</f>
        <v>N</v>
      </c>
      <c r="W3333" s="3">
        <f>IFERROR(__xludf.DUMMYFUNCTION("""COMPUTED_VALUE"""),210910.0)</f>
        <v>210910</v>
      </c>
      <c r="X3333" s="3" t="str">
        <f>IFERROR(__xludf.DUMMYFUNCTION("""COMPUTED_VALUE"""),"858 ถนนลาดพร้าว แขวงสามเสนนอก เขตห้วยขวาง กรุงเทพมหานคร 10310")</f>
        <v>858 ถนนลาดพร้าว แขวงสามเสนนอก เขตห้วยขวาง กรุงเทพมหานคร 10310</v>
      </c>
      <c r="Y3333" s="3" t="str">
        <f>IFERROR(__xludf.DUMMYFUNCTION("""COMPUTED_VALUE"""),"ลาดพร้าว")</f>
        <v>ลาดพร้าว</v>
      </c>
      <c r="Z3333" s="3" t="str">
        <f>IFERROR(__xludf.DUMMYFUNCTION("""COMPUTED_VALUE"""),"สามเสนนอก")</f>
        <v>สามเสนนอก</v>
      </c>
      <c r="AA3333" s="3" t="str">
        <f>IFERROR(__xludf.DUMMYFUNCTION("""COMPUTED_VALUE"""),"ห้วยขวาง")</f>
        <v>ห้วยขวาง</v>
      </c>
      <c r="AB3333" s="3" t="str">
        <f>IFERROR(__xludf.DUMMYFUNCTION("""COMPUTED_VALUE"""),"กรุงเทพมหานคร")</f>
        <v>กรุงเทพมหานคร</v>
      </c>
      <c r="AC3333" s="3">
        <f>IFERROR(__xludf.DUMMYFUNCTION("""COMPUTED_VALUE"""),10310.0)</f>
        <v>10310</v>
      </c>
      <c r="AD3333" s="3">
        <f>IFERROR(__xludf.DUMMYFUNCTION("""COMPUTED_VALUE"""),13.799835)</f>
        <v>13.799835</v>
      </c>
      <c r="AE3333" s="3">
        <f>IFERROR(__xludf.DUMMYFUNCTION("""COMPUTED_VALUE"""),100.584418)</f>
        <v>100.584418</v>
      </c>
      <c r="AF3333" s="3" t="str">
        <f>IFERROR(__xludf.DUMMYFUNCTION("""COMPUTED_VALUE"""),"BCM รร.แอร์บัสแอดภาวนาสเตชั่น กรุงเทพฯ-22776")</f>
        <v>BCM รร.แอร์บัสแอดภาวนาสเตชั่น กรุงเทพฯ-22776</v>
      </c>
      <c r="AG3333" s="3" t="str">
        <f>IFERROR(__xludf.DUMMYFUNCTION("""COMPUTED_VALUE"""),"กลาง")</f>
        <v>กลาง</v>
      </c>
      <c r="AH3333" s="3" t="str">
        <f>IFERROR(__xludf.DUMMYFUNCTION("""COMPUTED_VALUE"""),"#N/A")</f>
        <v>#N/A</v>
      </c>
      <c r="AI3333" s="3" t="str">
        <f>IFERROR(__xludf.DUMMYFUNCTION("""COMPUTED_VALUE"""),"#NUM!")</f>
        <v>#NUM!</v>
      </c>
      <c r="AJ3333" s="3" t="str">
        <f>IFERROR(__xludf.DUMMYFUNCTION("""COMPUTED_VALUE"""),"#NUM!")</f>
        <v>#NUM!</v>
      </c>
      <c r="AK3333" s="3"/>
      <c r="AL3333" s="3"/>
    </row>
    <row r="3334" ht="15.75" customHeight="1">
      <c r="A3334" s="1" t="str">
        <f>IFERROR(__xludf.DUMMYFUNCTION("""COMPUTED_VALUE"""),"22779")</f>
        <v>22779</v>
      </c>
      <c r="B3334" s="2">
        <f>IFERROR(__xludf.DUMMYFUNCTION("""COMPUTED_VALUE"""),22779.0)</f>
        <v>22779</v>
      </c>
      <c r="C3334" s="3" t="str">
        <f>IFERROR(__xludf.DUMMYFUNCTION("""COMPUTED_VALUE"""),"BCM ไทยธานี 12 ปทุมธานี")</f>
        <v>BCM ไทยธานี 12 ปทุมธานี</v>
      </c>
      <c r="D3334" s="3" t="str">
        <f>IFERROR(__xludf.DUMMYFUNCTION("""COMPUTED_VALUE"""),"BCM THAI THANI 12 PATHUM THANI")</f>
        <v>BCM THAI THANI 12 PATHUM THANI</v>
      </c>
      <c r="E3334" s="1" t="str">
        <f>IFERROR(__xludf.DUMMYFUNCTION("""COMPUTED_VALUE"""),"บิ๊กซี MINI")</f>
        <v>บิ๊กซี MINI</v>
      </c>
      <c r="F3334" s="1" t="str">
        <f>IFERROR(__xludf.DUMMYFUNCTION("""COMPUTED_VALUE"""),"2083447")</f>
        <v>2083447</v>
      </c>
      <c r="G3334" s="1" t="str">
        <f>IFERROR(__xludf.DUMMYFUNCTION("""COMPUTED_VALUE"""),"นายอนุกูล ศรีลัดดา")</f>
        <v>นายอนุกูล ศรีลัดดา</v>
      </c>
      <c r="H3334" s="1" t="str">
        <f>IFERROR(__xludf.DUMMYFUNCTION("""COMPUTED_VALUE"""),"373849")</f>
        <v>373849</v>
      </c>
      <c r="I3334" s="1" t="str">
        <f>IFERROR(__xludf.DUMMYFUNCTION("""COMPUTED_VALUE"""),"น.ส.อรอุมา นิ่มวิศิษย์")</f>
        <v>น.ส.อรอุมา นิ่มวิศิษย์</v>
      </c>
      <c r="J3334" s="3">
        <f>IFERROR(__xludf.DUMMYFUNCTION("""COMPUTED_VALUE"""),510143.0)</f>
        <v>510143</v>
      </c>
      <c r="K3334" s="3" t="str">
        <f>IFERROR(__xludf.DUMMYFUNCTION("""COMPUTED_VALUE"""),"นายธีระวัฒน์ บุญสิทธิ์")</f>
        <v>นายธีระวัฒน์ บุญสิทธิ์</v>
      </c>
      <c r="L3334" s="1" t="str">
        <f>IFERROR(__xludf.DUMMYFUNCTION("""COMPUTED_VALUE"""),"12 K.Theerawat B.")</f>
        <v>12 K.Theerawat B.</v>
      </c>
      <c r="M3334" s="1" t="str">
        <f>IFERROR(__xludf.DUMMYFUNCTION("""COMPUTED_VALUE"""),"0655107379")</f>
        <v>0655107379</v>
      </c>
      <c r="N3334" s="3">
        <f>IFERROR(__xludf.DUMMYFUNCTION("""COMPUTED_VALUE"""),21062.0)</f>
        <v>21062</v>
      </c>
      <c r="O3334" s="3" t="str">
        <f>IFERROR(__xludf.DUMMYFUNCTION("""COMPUTED_VALUE"""),"MBC นิคมนวนคร")</f>
        <v>MBC นิคมนวนคร</v>
      </c>
      <c r="P3334" s="4">
        <f>IFERROR(__xludf.DUMMYFUNCTION("""COMPUTED_VALUE"""),46111.0)</f>
        <v>46111</v>
      </c>
      <c r="Q3334" s="3" t="str">
        <f>IFERROR(__xludf.DUMMYFUNCTION("""COMPUTED_VALUE"""),"A")</f>
        <v>A</v>
      </c>
      <c r="R3334" s="3" t="str">
        <f>IFERROR(__xludf.DUMMYFUNCTION("""COMPUTED_VALUE"""),"Small Format")</f>
        <v>Small Format</v>
      </c>
      <c r="S3334" s="3" t="str">
        <f>IFERROR(__xludf.DUMMYFUNCTION("""COMPUTED_VALUE"""),"BCM")</f>
        <v>BCM</v>
      </c>
      <c r="T3334" s="3" t="str">
        <f>IFERROR(__xludf.DUMMYFUNCTION("""COMPUTED_VALUE"""),"#N/A")</f>
        <v>#N/A</v>
      </c>
      <c r="U3334" s="3" t="str">
        <f>IFERROR(__xludf.DUMMYFUNCTION("""COMPUTED_VALUE"""),"#N/A")</f>
        <v>#N/A</v>
      </c>
      <c r="V3334" s="3" t="str">
        <f>IFERROR(__xludf.DUMMYFUNCTION("""COMPUTED_VALUE"""),"N")</f>
        <v>N</v>
      </c>
      <c r="W3334" s="3">
        <f>IFERROR(__xludf.DUMMYFUNCTION("""COMPUTED_VALUE"""),210906.0)</f>
        <v>210906</v>
      </c>
      <c r="X3334" s="3" t="str">
        <f>IFERROR(__xludf.DUMMYFUNCTION("""COMPUTED_VALUE"""),"73/40,73/42,73/44 หมู่ที่ 19 ตำบลคลองหนึ่ง อำเภอคลองหลวง จังหวัดปทุมธานี 12120")</f>
        <v>73/40,73/42,73/44 หมู่ที่ 19 ตำบลคลองหนึ่ง อำเภอคลองหลวง จังหวัดปทุมธานี 12120</v>
      </c>
      <c r="Y3334" s="3"/>
      <c r="Z3334" s="3" t="str">
        <f>IFERROR(__xludf.DUMMYFUNCTION("""COMPUTED_VALUE"""),"คลองหนึ่ง")</f>
        <v>คลองหนึ่ง</v>
      </c>
      <c r="AA3334" s="3" t="str">
        <f>IFERROR(__xludf.DUMMYFUNCTION("""COMPUTED_VALUE"""),"คลองหลวง")</f>
        <v>คลองหลวง</v>
      </c>
      <c r="AB3334" s="3" t="str">
        <f>IFERROR(__xludf.DUMMYFUNCTION("""COMPUTED_VALUE"""),"ปทุมธานี")</f>
        <v>ปทุมธานี</v>
      </c>
      <c r="AC3334" s="3">
        <f>IFERROR(__xludf.DUMMYFUNCTION("""COMPUTED_VALUE"""),12120.0)</f>
        <v>12120</v>
      </c>
      <c r="AD3334" s="3">
        <f>IFERROR(__xludf.DUMMYFUNCTION("""COMPUTED_VALUE"""),14.11046)</f>
        <v>14.11046</v>
      </c>
      <c r="AE3334" s="3">
        <f>IFERROR(__xludf.DUMMYFUNCTION("""COMPUTED_VALUE"""),100.59844)</f>
        <v>100.59844</v>
      </c>
      <c r="AF3334" s="3" t="str">
        <f>IFERROR(__xludf.DUMMYFUNCTION("""COMPUTED_VALUE"""),"BCM ไทยธานี 12 ปทุมธานี-22779")</f>
        <v>BCM ไทยธานี 12 ปทุมธานี-22779</v>
      </c>
      <c r="AG3334" s="3" t="str">
        <f>IFERROR(__xludf.DUMMYFUNCTION("""COMPUTED_VALUE"""),"กลาง")</f>
        <v>กลาง</v>
      </c>
      <c r="AH3334" s="3" t="str">
        <f>IFERROR(__xludf.DUMMYFUNCTION("""COMPUTED_VALUE"""),"#N/A")</f>
        <v>#N/A</v>
      </c>
      <c r="AI3334" s="3" t="str">
        <f>IFERROR(__xludf.DUMMYFUNCTION("""COMPUTED_VALUE"""),"#NUM!")</f>
        <v>#NUM!</v>
      </c>
      <c r="AJ3334" s="3" t="str">
        <f>IFERROR(__xludf.DUMMYFUNCTION("""COMPUTED_VALUE"""),"#NUM!")</f>
        <v>#NUM!</v>
      </c>
      <c r="AK3334" s="3"/>
      <c r="AL3334" s="3"/>
    </row>
    <row r="3335" ht="15.75" customHeight="1">
      <c r="A3335" s="1" t="str">
        <f>IFERROR(__xludf.DUMMYFUNCTION("""COMPUTED_VALUE"""),"41204")</f>
        <v>41204</v>
      </c>
      <c r="B3335" s="2">
        <f>IFERROR(__xludf.DUMMYFUNCTION("""COMPUTED_VALUE"""),41204.0)</f>
        <v>41204</v>
      </c>
      <c r="C3335" s="3" t="str">
        <f>IFERROR(__xludf.DUMMYFUNCTION("""COMPUTED_VALUE"""),"PURE วงศ์สว่าง")</f>
        <v>PURE วงศ์สว่าง</v>
      </c>
      <c r="D3335" s="3" t="str">
        <f>IFERROR(__xludf.DUMMYFUNCTION("""COMPUTED_VALUE"""),"PURE WONGSAWANG")</f>
        <v>PURE WONGSAWANG</v>
      </c>
      <c r="E3335" s="1" t="str">
        <f>IFERROR(__xludf.DUMMYFUNCTION("""COMPUTED_VALUE"""),"PURE")</f>
        <v>PURE</v>
      </c>
      <c r="F3335" s="1"/>
      <c r="G3335" s="1"/>
      <c r="H3335" s="1"/>
      <c r="I3335" s="1"/>
      <c r="J3335" s="3"/>
      <c r="K3335" s="3"/>
      <c r="L3335" s="1" t="str">
        <f>IFERROR(__xludf.DUMMYFUNCTION("""COMPUTED_VALUE"""),"0")</f>
        <v>0</v>
      </c>
      <c r="M3335" s="1" t="str">
        <f>IFERROR(__xludf.DUMMYFUNCTION("""COMPUTED_VALUE"""),"0")</f>
        <v>0</v>
      </c>
      <c r="N3335" s="3"/>
      <c r="O3335" s="3"/>
      <c r="P3335" s="3" t="str">
        <f>IFERROR(__xludf.DUMMYFUNCTION("""COMPUTED_VALUE"""),"0/1/1900")</f>
        <v>0/1/1900</v>
      </c>
      <c r="Q3335" s="3" t="str">
        <f>IFERROR(__xludf.DUMMYFUNCTION("""COMPUTED_VALUE"""),"I")</f>
        <v>I</v>
      </c>
      <c r="R3335" s="3" t="str">
        <f>IFERROR(__xludf.DUMMYFUNCTION("""COMPUTED_VALUE"""),"Big Format")</f>
        <v>Big Format</v>
      </c>
      <c r="S3335" s="3" t="str">
        <f>IFERROR(__xludf.DUMMYFUNCTION("""COMPUTED_VALUE"""),"PURE")</f>
        <v>PURE</v>
      </c>
      <c r="T3335" s="3" t="str">
        <f>IFERROR(__xludf.DUMMYFUNCTION("""COMPUTED_VALUE"""),"#N/A")</f>
        <v>#N/A</v>
      </c>
      <c r="U3335" s="3" t="str">
        <f>IFERROR(__xludf.DUMMYFUNCTION("""COMPUTED_VALUE"""),"#N/A")</f>
        <v>#N/A</v>
      </c>
      <c r="V3335" s="3" t="str">
        <f>IFERROR(__xludf.DUMMYFUNCTION("""COMPUTED_VALUE"""),"N")</f>
        <v>N</v>
      </c>
      <c r="W3335" s="3">
        <f>IFERROR(__xludf.DUMMYFUNCTION("""COMPUTED_VALUE"""),411232.0)</f>
        <v>411232</v>
      </c>
      <c r="X3335" s="3" t="str">
        <f>IFERROR(__xludf.DUMMYFUNCTION("""COMPUTED_VALUE"""),"888 ถ.พิบูลสงคราม แขวงบางซื่อ เขตบางซื่อ กรุงเทพมหานคร 10800")</f>
        <v>888 ถ.พิบูลสงคราม แขวงบางซื่อ เขตบางซื่อ กรุงเทพมหานคร 10800</v>
      </c>
      <c r="Y3335" s="3" t="str">
        <f>IFERROR(__xludf.DUMMYFUNCTION("""COMPUTED_VALUE"""),"พิบูลสงคราม")</f>
        <v>พิบูลสงคราม</v>
      </c>
      <c r="Z3335" s="3" t="str">
        <f>IFERROR(__xludf.DUMMYFUNCTION("""COMPUTED_VALUE"""),"บางซื่อ")</f>
        <v>บางซื่อ</v>
      </c>
      <c r="AA3335" s="3" t="str">
        <f>IFERROR(__xludf.DUMMYFUNCTION("""COMPUTED_VALUE"""),"บางซื่อ")</f>
        <v>บางซื่อ</v>
      </c>
      <c r="AB3335" s="3" t="str">
        <f>IFERROR(__xludf.DUMMYFUNCTION("""COMPUTED_VALUE"""),"กรุงเทพมหานคร")</f>
        <v>กรุงเทพมหานคร</v>
      </c>
      <c r="AC3335" s="3">
        <f>IFERROR(__xludf.DUMMYFUNCTION("""COMPUTED_VALUE"""),10800.0)</f>
        <v>10800</v>
      </c>
      <c r="AD3335" s="3">
        <f>IFERROR(__xludf.DUMMYFUNCTION("""COMPUTED_VALUE"""),13.826595)</f>
        <v>13.826595</v>
      </c>
      <c r="AE3335" s="3">
        <f>IFERROR(__xludf.DUMMYFUNCTION("""COMPUTED_VALUE"""),100.528367)</f>
        <v>100.528367</v>
      </c>
      <c r="AF3335" s="3" t="str">
        <f>IFERROR(__xludf.DUMMYFUNCTION("""COMPUTED_VALUE"""),"PURE วงศ์สว่าง-41204")</f>
        <v>PURE วงศ์สว่าง-41204</v>
      </c>
      <c r="AG3335" s="3" t="str">
        <f>IFERROR(__xludf.DUMMYFUNCTION("""COMPUTED_VALUE"""),"กลาง")</f>
        <v>กลาง</v>
      </c>
      <c r="AH3335" s="3" t="str">
        <f>IFERROR(__xludf.DUMMYFUNCTION("""COMPUTED_VALUE"""),"#N/A")</f>
        <v>#N/A</v>
      </c>
      <c r="AI3335" s="3" t="str">
        <f>IFERROR(__xludf.DUMMYFUNCTION("""COMPUTED_VALUE"""),"Out of warranty")</f>
        <v>Out of warranty</v>
      </c>
      <c r="AJ3335" s="3">
        <f>IFERROR(__xludf.DUMMYFUNCTION("""COMPUTED_VALUE"""),1513.0)</f>
        <v>1513</v>
      </c>
      <c r="AK3335" s="3"/>
      <c r="AL3335" s="3"/>
    </row>
    <row r="3336" ht="15.75" customHeight="1">
      <c r="A3336" s="1" t="str">
        <f>IFERROR(__xludf.DUMMYFUNCTION("""COMPUTED_VALUE"""),"22788")</f>
        <v>22788</v>
      </c>
      <c r="B3336" s="2">
        <f>IFERROR(__xludf.DUMMYFUNCTION("""COMPUTED_VALUE"""),22788.0)</f>
        <v>22788</v>
      </c>
      <c r="C3336" s="3" t="str">
        <f>IFERROR(__xludf.DUMMYFUNCTION("""COMPUTED_VALUE"""),"BCM หลังอุดรพิทย์ อุดรธานี")</f>
        <v>BCM หลังอุดรพิทย์ อุดรธานี</v>
      </c>
      <c r="D3336" s="3" t="str">
        <f>IFERROR(__xludf.DUMMYFUNCTION("""COMPUTED_VALUE"""),"BCM LANG UDON PHIT UDONTHANI")</f>
        <v>BCM LANG UDON PHIT UDONTHANI</v>
      </c>
      <c r="E3336" s="1" t="str">
        <f>IFERROR(__xludf.DUMMYFUNCTION("""COMPUTED_VALUE"""),"บิ๊กซี MINI")</f>
        <v>บิ๊กซี MINI</v>
      </c>
      <c r="F3336" s="1" t="str">
        <f>IFERROR(__xludf.DUMMYFUNCTION("""COMPUTED_VALUE"""),"291105")</f>
        <v>291105</v>
      </c>
      <c r="G3336" s="1" t="str">
        <f>IFERROR(__xludf.DUMMYFUNCTION("""COMPUTED_VALUE"""),"นายสราวุฒิ พณิชยกุล")</f>
        <v>นายสราวุฒิ พณิชยกุล</v>
      </c>
      <c r="H3336" s="1" t="str">
        <f>IFERROR(__xludf.DUMMYFUNCTION("""COMPUTED_VALUE"""),"392005")</f>
        <v>392005</v>
      </c>
      <c r="I3336" s="1" t="str">
        <f>IFERROR(__xludf.DUMMYFUNCTION("""COMPUTED_VALUE"""),"นายรัฐพล หาญลำยวง")</f>
        <v>นายรัฐพล หาญลำยวง</v>
      </c>
      <c r="J3336" s="3">
        <f>IFERROR(__xludf.DUMMYFUNCTION("""COMPUTED_VALUE"""),296868.0)</f>
        <v>296868</v>
      </c>
      <c r="K3336" s="3" t="str">
        <f>IFERROR(__xludf.DUMMYFUNCTION("""COMPUTED_VALUE"""),"นายพีระพงษ์ แก้วดวงดี")</f>
        <v>นายพีระพงษ์ แก้วดวงดี</v>
      </c>
      <c r="L3336" s="1" t="str">
        <f>IFERROR(__xludf.DUMMYFUNCTION("""COMPUTED_VALUE"""),"03 K.Peerapong K.")</f>
        <v>03 K.Peerapong K.</v>
      </c>
      <c r="M3336" s="1" t="str">
        <f>IFERROR(__xludf.DUMMYFUNCTION("""COMPUTED_VALUE"""),"089-002-6599")</f>
        <v>089-002-6599</v>
      </c>
      <c r="N3336" s="3">
        <f>IFERROR(__xludf.DUMMYFUNCTION("""COMPUTED_VALUE"""),21946.0)</f>
        <v>21946</v>
      </c>
      <c r="O3336" s="3" t="str">
        <f>IFERROR(__xludf.DUMMYFUNCTION("""COMPUTED_VALUE"""),"MBC เซกา บึงกาฬ")</f>
        <v>MBC เซกา บึงกาฬ</v>
      </c>
      <c r="P3336" s="4">
        <f>IFERROR(__xludf.DUMMYFUNCTION("""COMPUTED_VALUE"""),46092.0)</f>
        <v>46092</v>
      </c>
      <c r="Q3336" s="3" t="str">
        <f>IFERROR(__xludf.DUMMYFUNCTION("""COMPUTED_VALUE"""),"A")</f>
        <v>A</v>
      </c>
      <c r="R3336" s="3" t="str">
        <f>IFERROR(__xludf.DUMMYFUNCTION("""COMPUTED_VALUE"""),"Small Format")</f>
        <v>Small Format</v>
      </c>
      <c r="S3336" s="3" t="str">
        <f>IFERROR(__xludf.DUMMYFUNCTION("""COMPUTED_VALUE"""),"BCM")</f>
        <v>BCM</v>
      </c>
      <c r="T3336" s="3" t="str">
        <f>IFERROR(__xludf.DUMMYFUNCTION("""COMPUTED_VALUE"""),"#N/A")</f>
        <v>#N/A</v>
      </c>
      <c r="U3336" s="3" t="str">
        <f>IFERROR(__xludf.DUMMYFUNCTION("""COMPUTED_VALUE"""),"#N/A")</f>
        <v>#N/A</v>
      </c>
      <c r="V3336" s="3" t="str">
        <f>IFERROR(__xludf.DUMMYFUNCTION("""COMPUTED_VALUE"""),"N")</f>
        <v>N</v>
      </c>
      <c r="W3336" s="3">
        <f>IFERROR(__xludf.DUMMYFUNCTION("""COMPUTED_VALUE"""),210908.0)</f>
        <v>210908</v>
      </c>
      <c r="X3336" s="3" t="str">
        <f>IFERROR(__xludf.DUMMYFUNCTION("""COMPUTED_VALUE"""),"85/3 ถนนศรีชมชื่น ตำบลหมากแข้ง อำเภอเมืองอุดรธานี จังหวัดอุดรธานี 41000")</f>
        <v>85/3 ถนนศรีชมชื่น ตำบลหมากแข้ง อำเภอเมืองอุดรธานี จังหวัดอุดรธานี 41000</v>
      </c>
      <c r="Y3336" s="3" t="str">
        <f>IFERROR(__xludf.DUMMYFUNCTION("""COMPUTED_VALUE"""),"ศรีชมชื่น")</f>
        <v>ศรีชมชื่น</v>
      </c>
      <c r="Z3336" s="3" t="str">
        <f>IFERROR(__xludf.DUMMYFUNCTION("""COMPUTED_VALUE"""),"หมากแข้ง")</f>
        <v>หมากแข้ง</v>
      </c>
      <c r="AA3336" s="3" t="str">
        <f>IFERROR(__xludf.DUMMYFUNCTION("""COMPUTED_VALUE"""),"เมืองอุดรธานี")</f>
        <v>เมืองอุดรธานี</v>
      </c>
      <c r="AB3336" s="3" t="str">
        <f>IFERROR(__xludf.DUMMYFUNCTION("""COMPUTED_VALUE"""),"อุดรธานี")</f>
        <v>อุดรธานี</v>
      </c>
      <c r="AC3336" s="3">
        <f>IFERROR(__xludf.DUMMYFUNCTION("""COMPUTED_VALUE"""),41000.0)</f>
        <v>41000</v>
      </c>
      <c r="AD3336" s="3">
        <f>IFERROR(__xludf.DUMMYFUNCTION("""COMPUTED_VALUE"""),17.404551)</f>
        <v>17.404551</v>
      </c>
      <c r="AE3336" s="3">
        <f>IFERROR(__xludf.DUMMYFUNCTION("""COMPUTED_VALUE"""),102.781911)</f>
        <v>102.781911</v>
      </c>
      <c r="AF3336" s="3" t="str">
        <f>IFERROR(__xludf.DUMMYFUNCTION("""COMPUTED_VALUE"""),"BCM หลังอุดรพิทย์ อุดรธานี-22788")</f>
        <v>BCM หลังอุดรพิทย์ อุดรธานี-22788</v>
      </c>
      <c r="AG3336" s="3" t="str">
        <f>IFERROR(__xludf.DUMMYFUNCTION("""COMPUTED_VALUE"""),"ตะวันออกเฉียงเหนือ")</f>
        <v>ตะวันออกเฉียงเหนือ</v>
      </c>
      <c r="AH3336" s="3" t="str">
        <f>IFERROR(__xludf.DUMMYFUNCTION("""COMPUTED_VALUE"""),"#N/A")</f>
        <v>#N/A</v>
      </c>
      <c r="AI3336" s="3" t="str">
        <f>IFERROR(__xludf.DUMMYFUNCTION("""COMPUTED_VALUE"""),"#NUM!")</f>
        <v>#NUM!</v>
      </c>
      <c r="AJ3336" s="3" t="str">
        <f>IFERROR(__xludf.DUMMYFUNCTION("""COMPUTED_VALUE"""),"#NUM!")</f>
        <v>#NUM!</v>
      </c>
      <c r="AK3336" s="3"/>
      <c r="AL3336" s="3"/>
    </row>
    <row r="3337" ht="15.75" customHeight="1">
      <c r="A3337" s="1"/>
      <c r="B3337" s="2"/>
      <c r="C3337" s="3"/>
      <c r="D3337" s="3"/>
      <c r="E3337" s="1"/>
      <c r="F3337" s="1"/>
      <c r="G3337" s="1"/>
      <c r="H3337" s="1"/>
      <c r="I3337" s="1"/>
      <c r="J3337" s="3"/>
      <c r="K3337" s="3"/>
      <c r="L3337" s="1"/>
      <c r="M3337" s="1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  <c r="AC3337" s="3"/>
      <c r="AD3337" s="3"/>
      <c r="AE3337" s="3"/>
      <c r="AF3337" s="3"/>
      <c r="AG3337" s="3"/>
      <c r="AH3337" s="3"/>
      <c r="AI3337" s="3"/>
      <c r="AJ3337" s="3"/>
      <c r="AK3337" s="3"/>
      <c r="AL3337" s="3"/>
    </row>
    <row r="3338" ht="15.75" customHeight="1">
      <c r="A3338" s="1"/>
      <c r="B3338" s="2"/>
      <c r="C3338" s="3"/>
      <c r="D3338" s="3"/>
      <c r="E3338" s="1"/>
      <c r="F3338" s="1"/>
      <c r="G3338" s="1"/>
      <c r="H3338" s="1"/>
      <c r="I3338" s="1"/>
      <c r="J3338" s="3"/>
      <c r="K3338" s="3"/>
      <c r="L3338" s="1"/>
      <c r="M3338" s="1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3"/>
      <c r="AD3338" s="3"/>
      <c r="AE3338" s="3"/>
      <c r="AF3338" s="3"/>
      <c r="AG3338" s="3"/>
      <c r="AH3338" s="3"/>
      <c r="AI3338" s="3"/>
      <c r="AJ3338" s="3"/>
      <c r="AK3338" s="3"/>
      <c r="AL3338" s="3"/>
    </row>
    <row r="3339" ht="15.75" customHeight="1">
      <c r="A3339" s="1"/>
      <c r="B3339" s="2"/>
      <c r="C3339" s="3"/>
      <c r="D3339" s="3"/>
      <c r="E3339" s="1"/>
      <c r="F3339" s="1"/>
      <c r="G3339" s="1"/>
      <c r="H3339" s="1"/>
      <c r="I3339" s="1"/>
      <c r="J3339" s="3"/>
      <c r="K3339" s="3"/>
      <c r="L3339" s="1"/>
      <c r="M3339" s="1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  <c r="AD3339" s="3"/>
      <c r="AE3339" s="3"/>
      <c r="AF3339" s="3"/>
      <c r="AG3339" s="3"/>
      <c r="AH3339" s="3"/>
      <c r="AI3339" s="3"/>
      <c r="AJ3339" s="3"/>
      <c r="AK3339" s="3"/>
      <c r="AL3339" s="3"/>
    </row>
    <row r="3340" ht="15.75" customHeight="1">
      <c r="A3340" s="1"/>
      <c r="B3340" s="2"/>
      <c r="C3340" s="3"/>
      <c r="D3340" s="3"/>
      <c r="E3340" s="1"/>
      <c r="F3340" s="1"/>
      <c r="G3340" s="1"/>
      <c r="H3340" s="1"/>
      <c r="I3340" s="1"/>
      <c r="J3340" s="3"/>
      <c r="K3340" s="3"/>
      <c r="L3340" s="1"/>
      <c r="M3340" s="1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3"/>
      <c r="AE3340" s="3"/>
      <c r="AF3340" s="3"/>
      <c r="AG3340" s="3"/>
      <c r="AH3340" s="3"/>
      <c r="AI3340" s="3"/>
      <c r="AJ3340" s="3"/>
      <c r="AK3340" s="3"/>
      <c r="AL3340" s="3"/>
    </row>
    <row r="3341" ht="15.75" customHeight="1">
      <c r="A3341" s="1"/>
      <c r="B3341" s="2"/>
      <c r="C3341" s="3"/>
      <c r="D3341" s="3"/>
      <c r="E3341" s="1"/>
      <c r="F3341" s="1"/>
      <c r="G3341" s="1"/>
      <c r="H3341" s="1"/>
      <c r="I3341" s="1"/>
      <c r="J3341" s="3"/>
      <c r="K3341" s="3"/>
      <c r="L3341" s="1"/>
      <c r="M3341" s="1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3"/>
      <c r="AD3341" s="3"/>
      <c r="AE3341" s="3"/>
      <c r="AF3341" s="3"/>
      <c r="AG3341" s="3"/>
      <c r="AH3341" s="3"/>
      <c r="AI3341" s="3"/>
      <c r="AJ3341" s="3"/>
      <c r="AK3341" s="3"/>
      <c r="AL3341" s="3"/>
    </row>
    <row r="3342" ht="15.75" customHeight="1">
      <c r="A3342" s="1"/>
      <c r="B3342" s="2"/>
      <c r="C3342" s="3"/>
      <c r="D3342" s="3"/>
      <c r="E3342" s="1"/>
      <c r="F3342" s="1"/>
      <c r="G3342" s="1"/>
      <c r="H3342" s="1"/>
      <c r="I3342" s="1"/>
      <c r="J3342" s="3"/>
      <c r="K3342" s="3"/>
      <c r="L3342" s="1"/>
      <c r="M3342" s="1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  <c r="AC3342" s="3"/>
      <c r="AD3342" s="3"/>
      <c r="AE3342" s="3"/>
      <c r="AF3342" s="3"/>
      <c r="AG3342" s="3"/>
      <c r="AH3342" s="3"/>
      <c r="AI3342" s="3"/>
      <c r="AJ3342" s="3"/>
      <c r="AK3342" s="3"/>
      <c r="AL3342" s="3"/>
    </row>
    <row r="3343" ht="15.75" customHeight="1">
      <c r="A3343" s="1"/>
      <c r="B3343" s="2"/>
      <c r="C3343" s="3"/>
      <c r="D3343" s="3"/>
      <c r="E3343" s="1"/>
      <c r="F3343" s="1"/>
      <c r="G3343" s="1"/>
      <c r="H3343" s="1"/>
      <c r="I3343" s="1"/>
      <c r="J3343" s="3"/>
      <c r="K3343" s="3"/>
      <c r="L3343" s="1"/>
      <c r="M3343" s="1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3"/>
      <c r="AD3343" s="3"/>
      <c r="AE3343" s="3"/>
      <c r="AF3343" s="3"/>
      <c r="AG3343" s="3"/>
      <c r="AH3343" s="3"/>
      <c r="AI3343" s="3"/>
      <c r="AJ3343" s="3"/>
      <c r="AK3343" s="3"/>
      <c r="AL3343" s="3"/>
    </row>
    <row r="3344" ht="15.75" customHeight="1">
      <c r="A3344" s="1"/>
      <c r="B3344" s="2"/>
      <c r="C3344" s="3"/>
      <c r="D3344" s="3"/>
      <c r="E3344" s="1"/>
      <c r="F3344" s="1"/>
      <c r="G3344" s="1"/>
      <c r="H3344" s="1"/>
      <c r="I3344" s="1"/>
      <c r="J3344" s="3"/>
      <c r="K3344" s="3"/>
      <c r="L3344" s="1"/>
      <c r="M3344" s="1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3"/>
      <c r="AE3344" s="3"/>
      <c r="AF3344" s="3"/>
      <c r="AG3344" s="3"/>
      <c r="AH3344" s="3"/>
      <c r="AI3344" s="3"/>
      <c r="AJ3344" s="3"/>
      <c r="AK3344" s="3"/>
      <c r="AL3344" s="3"/>
    </row>
    <row r="3345" ht="15.75" customHeight="1">
      <c r="A3345" s="1"/>
      <c r="B3345" s="2"/>
      <c r="C3345" s="3"/>
      <c r="D3345" s="3"/>
      <c r="E3345" s="1"/>
      <c r="F3345" s="1"/>
      <c r="G3345" s="1"/>
      <c r="H3345" s="1"/>
      <c r="I3345" s="1"/>
      <c r="J3345" s="3"/>
      <c r="K3345" s="3"/>
      <c r="L3345" s="1"/>
      <c r="M3345" s="1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3"/>
      <c r="AD3345" s="3"/>
      <c r="AE3345" s="3"/>
      <c r="AF3345" s="3"/>
      <c r="AG3345" s="3"/>
      <c r="AH3345" s="3"/>
      <c r="AI3345" s="3"/>
      <c r="AJ3345" s="3"/>
      <c r="AK3345" s="3"/>
      <c r="AL3345" s="3"/>
    </row>
    <row r="3346" ht="15.75" customHeight="1">
      <c r="A3346" s="1"/>
      <c r="B3346" s="2"/>
      <c r="C3346" s="3"/>
      <c r="D3346" s="3"/>
      <c r="E3346" s="1"/>
      <c r="F3346" s="1"/>
      <c r="G3346" s="1"/>
      <c r="H3346" s="1"/>
      <c r="I3346" s="1"/>
      <c r="J3346" s="3"/>
      <c r="K3346" s="3"/>
      <c r="L3346" s="1"/>
      <c r="M3346" s="1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  <c r="AC3346" s="3"/>
      <c r="AD3346" s="3"/>
      <c r="AE3346" s="3"/>
      <c r="AF3346" s="3"/>
      <c r="AG3346" s="3"/>
      <c r="AH3346" s="3"/>
      <c r="AI3346" s="3"/>
      <c r="AJ3346" s="3"/>
      <c r="AK3346" s="3"/>
      <c r="AL3346" s="3"/>
    </row>
    <row r="3347" ht="15.75" customHeight="1">
      <c r="A3347" s="1"/>
      <c r="B3347" s="2"/>
      <c r="C3347" s="3"/>
      <c r="D3347" s="3"/>
      <c r="E3347" s="1"/>
      <c r="F3347" s="1"/>
      <c r="G3347" s="1"/>
      <c r="H3347" s="1"/>
      <c r="I3347" s="1"/>
      <c r="J3347" s="3"/>
      <c r="K3347" s="3"/>
      <c r="L3347" s="1"/>
      <c r="M3347" s="1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  <c r="AC3347" s="3"/>
      <c r="AD3347" s="3"/>
      <c r="AE3347" s="3"/>
      <c r="AF3347" s="3"/>
      <c r="AG3347" s="3"/>
      <c r="AH3347" s="3"/>
      <c r="AI3347" s="3"/>
      <c r="AJ3347" s="3"/>
      <c r="AK3347" s="3"/>
      <c r="AL3347" s="3"/>
    </row>
    <row r="3348" ht="15.75" customHeight="1">
      <c r="A3348" s="1"/>
      <c r="B3348" s="2"/>
      <c r="C3348" s="3"/>
      <c r="D3348" s="3"/>
      <c r="E3348" s="1"/>
      <c r="F3348" s="1"/>
      <c r="G3348" s="1"/>
      <c r="H3348" s="1"/>
      <c r="I3348" s="1"/>
      <c r="J3348" s="3"/>
      <c r="K3348" s="3"/>
      <c r="L3348" s="1"/>
      <c r="M3348" s="1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3"/>
      <c r="AE3348" s="3"/>
      <c r="AF3348" s="3"/>
      <c r="AG3348" s="3"/>
      <c r="AH3348" s="3"/>
      <c r="AI3348" s="3"/>
      <c r="AJ3348" s="3"/>
      <c r="AK3348" s="3"/>
      <c r="AL3348" s="3"/>
    </row>
    <row r="3349" ht="15.75" customHeight="1">
      <c r="A3349" s="1"/>
      <c r="B3349" s="2"/>
      <c r="C3349" s="3"/>
      <c r="D3349" s="3"/>
      <c r="E3349" s="1"/>
      <c r="F3349" s="1"/>
      <c r="G3349" s="1"/>
      <c r="H3349" s="1"/>
      <c r="I3349" s="1"/>
      <c r="J3349" s="3"/>
      <c r="K3349" s="3"/>
      <c r="L3349" s="1"/>
      <c r="M3349" s="1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  <c r="AC3349" s="3"/>
      <c r="AD3349" s="3"/>
      <c r="AE3349" s="3"/>
      <c r="AF3349" s="3"/>
      <c r="AG3349" s="3"/>
      <c r="AH3349" s="3"/>
      <c r="AI3349" s="3"/>
      <c r="AJ3349" s="3"/>
      <c r="AK3349" s="3"/>
      <c r="AL3349" s="3"/>
    </row>
    <row r="3350" ht="15.75" customHeight="1">
      <c r="A3350" s="1"/>
      <c r="B3350" s="2"/>
      <c r="C3350" s="3"/>
      <c r="D3350" s="3"/>
      <c r="E3350" s="1"/>
      <c r="F3350" s="1"/>
      <c r="G3350" s="1"/>
      <c r="H3350" s="1"/>
      <c r="I3350" s="1"/>
      <c r="J3350" s="3"/>
      <c r="K3350" s="3"/>
      <c r="L3350" s="1"/>
      <c r="M3350" s="1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  <c r="AC3350" s="3"/>
      <c r="AD3350" s="3"/>
      <c r="AE3350" s="3"/>
      <c r="AF3350" s="3"/>
      <c r="AG3350" s="3"/>
      <c r="AH3350" s="3"/>
      <c r="AI3350" s="3"/>
      <c r="AJ3350" s="3"/>
      <c r="AK3350" s="3"/>
      <c r="AL3350" s="3"/>
    </row>
    <row r="3351" ht="15.75" customHeight="1">
      <c r="A3351" s="1"/>
      <c r="B3351" s="2"/>
      <c r="C3351" s="3"/>
      <c r="D3351" s="3"/>
      <c r="E3351" s="1"/>
      <c r="F3351" s="1"/>
      <c r="G3351" s="1"/>
      <c r="H3351" s="1"/>
      <c r="I3351" s="1"/>
      <c r="J3351" s="3"/>
      <c r="K3351" s="3"/>
      <c r="L3351" s="1"/>
      <c r="M3351" s="1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3"/>
      <c r="AE3351" s="3"/>
      <c r="AF3351" s="3"/>
      <c r="AG3351" s="3"/>
      <c r="AH3351" s="3"/>
      <c r="AI3351" s="3"/>
      <c r="AJ3351" s="3"/>
      <c r="AK3351" s="3"/>
      <c r="AL3351" s="3"/>
    </row>
    <row r="3352" ht="15.75" customHeight="1">
      <c r="A3352" s="1"/>
      <c r="B3352" s="2"/>
      <c r="C3352" s="3"/>
      <c r="D3352" s="3"/>
      <c r="E3352" s="1"/>
      <c r="F3352" s="1"/>
      <c r="G3352" s="1"/>
      <c r="H3352" s="1"/>
      <c r="I3352" s="1"/>
      <c r="J3352" s="3"/>
      <c r="K3352" s="3"/>
      <c r="L3352" s="1"/>
      <c r="M3352" s="1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  <c r="AC3352" s="3"/>
      <c r="AD3352" s="3"/>
      <c r="AE3352" s="3"/>
      <c r="AF3352" s="3"/>
      <c r="AG3352" s="3"/>
      <c r="AH3352" s="3"/>
      <c r="AI3352" s="3"/>
      <c r="AJ3352" s="3"/>
      <c r="AK3352" s="3"/>
      <c r="AL3352" s="3"/>
    </row>
    <row r="3353" ht="15.75" customHeight="1">
      <c r="A3353" s="1"/>
      <c r="B3353" s="2"/>
      <c r="C3353" s="3"/>
      <c r="D3353" s="3"/>
      <c r="E3353" s="1"/>
      <c r="F3353" s="1"/>
      <c r="G3353" s="1"/>
      <c r="H3353" s="1"/>
      <c r="I3353" s="1"/>
      <c r="J3353" s="3"/>
      <c r="K3353" s="3"/>
      <c r="L3353" s="1"/>
      <c r="M3353" s="1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3"/>
      <c r="AD3353" s="3"/>
      <c r="AE3353" s="3"/>
      <c r="AF3353" s="3"/>
      <c r="AG3353" s="3"/>
      <c r="AH3353" s="3"/>
      <c r="AI3353" s="3"/>
      <c r="AJ3353" s="3"/>
      <c r="AK3353" s="3"/>
      <c r="AL3353" s="3"/>
    </row>
    <row r="3354" ht="15.75" customHeight="1">
      <c r="A3354" s="1"/>
      <c r="B3354" s="2"/>
      <c r="C3354" s="3"/>
      <c r="D3354" s="3"/>
      <c r="E3354" s="1"/>
      <c r="F3354" s="1"/>
      <c r="G3354" s="1"/>
      <c r="H3354" s="1"/>
      <c r="I3354" s="1"/>
      <c r="J3354" s="3"/>
      <c r="K3354" s="3"/>
      <c r="L3354" s="1"/>
      <c r="M3354" s="1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  <c r="AC3354" s="3"/>
      <c r="AD3354" s="3"/>
      <c r="AE3354" s="3"/>
      <c r="AF3354" s="3"/>
      <c r="AG3354" s="3"/>
      <c r="AH3354" s="3"/>
      <c r="AI3354" s="3"/>
      <c r="AJ3354" s="3"/>
      <c r="AK3354" s="3"/>
      <c r="AL3354" s="3"/>
    </row>
    <row r="3355" ht="15.75" customHeight="1">
      <c r="A3355" s="1"/>
      <c r="B3355" s="2"/>
      <c r="C3355" s="3"/>
      <c r="D3355" s="3"/>
      <c r="E3355" s="1"/>
      <c r="F3355" s="1"/>
      <c r="G3355" s="1"/>
      <c r="H3355" s="1"/>
      <c r="I3355" s="1"/>
      <c r="J3355" s="3"/>
      <c r="K3355" s="3"/>
      <c r="L3355" s="1"/>
      <c r="M3355" s="1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  <c r="AC3355" s="3"/>
      <c r="AD3355" s="3"/>
      <c r="AE3355" s="3"/>
      <c r="AF3355" s="3"/>
      <c r="AG3355" s="3"/>
      <c r="AH3355" s="3"/>
      <c r="AI3355" s="3"/>
      <c r="AJ3355" s="3"/>
      <c r="AK3355" s="3"/>
      <c r="AL3355" s="3"/>
    </row>
    <row r="3356" ht="15.75" customHeight="1">
      <c r="A3356" s="1"/>
      <c r="B3356" s="2"/>
      <c r="C3356" s="3"/>
      <c r="D3356" s="3"/>
      <c r="E3356" s="1"/>
      <c r="F3356" s="1"/>
      <c r="G3356" s="1"/>
      <c r="H3356" s="1"/>
      <c r="I3356" s="1"/>
      <c r="J3356" s="3"/>
      <c r="K3356" s="3"/>
      <c r="L3356" s="1"/>
      <c r="M3356" s="1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  <c r="AC3356" s="3"/>
      <c r="AD3356" s="3"/>
      <c r="AE3356" s="3"/>
      <c r="AF3356" s="3"/>
      <c r="AG3356" s="3"/>
      <c r="AH3356" s="3"/>
      <c r="AI3356" s="3"/>
      <c r="AJ3356" s="3"/>
      <c r="AK3356" s="3"/>
      <c r="AL3356" s="3"/>
    </row>
    <row r="3357" ht="15.75" customHeight="1">
      <c r="A3357" s="1"/>
      <c r="B3357" s="2"/>
      <c r="C3357" s="3"/>
      <c r="D3357" s="3"/>
      <c r="E3357" s="1"/>
      <c r="F3357" s="1"/>
      <c r="G3357" s="1"/>
      <c r="H3357" s="1"/>
      <c r="I3357" s="1"/>
      <c r="J3357" s="3"/>
      <c r="K3357" s="3"/>
      <c r="L3357" s="1"/>
      <c r="M3357" s="1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  <c r="AC3357" s="3"/>
      <c r="AD3357" s="3"/>
      <c r="AE3357" s="3"/>
      <c r="AF3357" s="3"/>
      <c r="AG3357" s="3"/>
      <c r="AH3357" s="3"/>
      <c r="AI3357" s="3"/>
      <c r="AJ3357" s="3"/>
      <c r="AK3357" s="3"/>
      <c r="AL3357" s="3"/>
    </row>
    <row r="3358" ht="15.75" customHeight="1">
      <c r="A3358" s="1"/>
      <c r="B3358" s="2"/>
      <c r="C3358" s="3"/>
      <c r="D3358" s="3"/>
      <c r="E3358" s="1"/>
      <c r="F3358" s="1"/>
      <c r="G3358" s="1"/>
      <c r="H3358" s="1"/>
      <c r="I3358" s="1"/>
      <c r="J3358" s="3"/>
      <c r="K3358" s="3"/>
      <c r="L3358" s="1"/>
      <c r="M3358" s="1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  <c r="AC3358" s="3"/>
      <c r="AD3358" s="3"/>
      <c r="AE3358" s="3"/>
      <c r="AF3358" s="3"/>
      <c r="AG3358" s="3"/>
      <c r="AH3358" s="3"/>
      <c r="AI3358" s="3"/>
      <c r="AJ3358" s="3"/>
      <c r="AK3358" s="3"/>
      <c r="AL3358" s="3"/>
    </row>
    <row r="3359" ht="15.75" customHeight="1">
      <c r="A3359" s="1"/>
      <c r="B3359" s="2"/>
      <c r="C3359" s="3"/>
      <c r="D3359" s="3"/>
      <c r="E3359" s="1"/>
      <c r="F3359" s="1"/>
      <c r="G3359" s="1"/>
      <c r="H3359" s="1"/>
      <c r="I3359" s="1"/>
      <c r="J3359" s="3"/>
      <c r="K3359" s="3"/>
      <c r="L3359" s="1"/>
      <c r="M3359" s="1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3"/>
      <c r="AD3359" s="3"/>
      <c r="AE3359" s="3"/>
      <c r="AF3359" s="3"/>
      <c r="AG3359" s="3"/>
      <c r="AH3359" s="3"/>
      <c r="AI3359" s="3"/>
      <c r="AJ3359" s="3"/>
      <c r="AK3359" s="3"/>
      <c r="AL3359" s="3"/>
    </row>
    <row r="3360" ht="15.75" customHeight="1">
      <c r="A3360" s="1"/>
      <c r="B3360" s="2"/>
      <c r="C3360" s="3"/>
      <c r="D3360" s="3"/>
      <c r="E3360" s="1"/>
      <c r="F3360" s="1"/>
      <c r="G3360" s="1"/>
      <c r="H3360" s="1"/>
      <c r="I3360" s="1"/>
      <c r="J3360" s="3"/>
      <c r="K3360" s="3"/>
      <c r="L3360" s="1"/>
      <c r="M3360" s="1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  <c r="AC3360" s="3"/>
      <c r="AD3360" s="3"/>
      <c r="AE3360" s="3"/>
      <c r="AF3360" s="3"/>
      <c r="AG3360" s="3"/>
      <c r="AH3360" s="3"/>
      <c r="AI3360" s="3"/>
      <c r="AJ3360" s="3"/>
      <c r="AK3360" s="3"/>
      <c r="AL3360" s="3"/>
    </row>
    <row r="3361" ht="15.75" customHeight="1">
      <c r="A3361" s="1"/>
      <c r="B3361" s="2"/>
      <c r="C3361" s="3"/>
      <c r="D3361" s="3"/>
      <c r="E3361" s="1"/>
      <c r="F3361" s="1"/>
      <c r="G3361" s="1"/>
      <c r="H3361" s="1"/>
      <c r="I3361" s="1"/>
      <c r="J3361" s="3"/>
      <c r="K3361" s="3"/>
      <c r="L3361" s="1"/>
      <c r="M3361" s="1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  <c r="AC3361" s="3"/>
      <c r="AD3361" s="3"/>
      <c r="AE3361" s="3"/>
      <c r="AF3361" s="3"/>
      <c r="AG3361" s="3"/>
      <c r="AH3361" s="3"/>
      <c r="AI3361" s="3"/>
      <c r="AJ3361" s="3"/>
      <c r="AK3361" s="3"/>
      <c r="AL3361" s="3"/>
    </row>
    <row r="3362" ht="15.75" customHeight="1">
      <c r="A3362" s="1"/>
      <c r="B3362" s="2"/>
      <c r="C3362" s="3"/>
      <c r="D3362" s="3"/>
      <c r="E3362" s="1"/>
      <c r="F3362" s="1"/>
      <c r="G3362" s="1"/>
      <c r="H3362" s="1"/>
      <c r="I3362" s="1"/>
      <c r="J3362" s="3"/>
      <c r="K3362" s="3"/>
      <c r="L3362" s="1"/>
      <c r="M3362" s="1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  <c r="AC3362" s="3"/>
      <c r="AD3362" s="3"/>
      <c r="AE3362" s="3"/>
      <c r="AF3362" s="3"/>
      <c r="AG3362" s="3"/>
      <c r="AH3362" s="3"/>
      <c r="AI3362" s="3"/>
      <c r="AJ3362" s="3"/>
      <c r="AK3362" s="3"/>
      <c r="AL3362" s="3"/>
    </row>
    <row r="3363" ht="15.75" customHeight="1">
      <c r="A3363" s="1"/>
      <c r="B3363" s="2"/>
      <c r="C3363" s="3"/>
      <c r="D3363" s="3"/>
      <c r="E3363" s="1"/>
      <c r="F3363" s="1"/>
      <c r="G3363" s="1"/>
      <c r="H3363" s="1"/>
      <c r="I3363" s="1"/>
      <c r="J3363" s="3"/>
      <c r="K3363" s="3"/>
      <c r="L3363" s="1"/>
      <c r="M3363" s="1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3"/>
      <c r="AD3363" s="3"/>
      <c r="AE3363" s="3"/>
      <c r="AF3363" s="3"/>
      <c r="AG3363" s="3"/>
      <c r="AH3363" s="3"/>
      <c r="AI3363" s="3"/>
      <c r="AJ3363" s="3"/>
      <c r="AK3363" s="3"/>
      <c r="AL3363" s="3"/>
    </row>
    <row r="3364" ht="15.75" customHeight="1">
      <c r="A3364" s="1"/>
      <c r="B3364" s="2"/>
      <c r="C3364" s="3"/>
      <c r="D3364" s="3"/>
      <c r="E3364" s="1"/>
      <c r="F3364" s="1"/>
      <c r="G3364" s="1"/>
      <c r="H3364" s="1"/>
      <c r="I3364" s="1"/>
      <c r="J3364" s="3"/>
      <c r="K3364" s="3"/>
      <c r="L3364" s="1"/>
      <c r="M3364" s="1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3"/>
      <c r="AD3364" s="3"/>
      <c r="AE3364" s="3"/>
      <c r="AF3364" s="3"/>
      <c r="AG3364" s="3"/>
      <c r="AH3364" s="3"/>
      <c r="AI3364" s="3"/>
      <c r="AJ3364" s="3"/>
      <c r="AK3364" s="3"/>
      <c r="AL3364" s="3"/>
    </row>
    <row r="3365" ht="15.75" customHeight="1">
      <c r="A3365" s="1"/>
      <c r="B3365" s="2"/>
      <c r="C3365" s="3"/>
      <c r="D3365" s="3"/>
      <c r="E3365" s="1"/>
      <c r="F3365" s="1"/>
      <c r="G3365" s="1"/>
      <c r="H3365" s="1"/>
      <c r="I3365" s="1"/>
      <c r="J3365" s="3"/>
      <c r="K3365" s="3"/>
      <c r="L3365" s="1"/>
      <c r="M3365" s="1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3"/>
      <c r="AD3365" s="3"/>
      <c r="AE3365" s="3"/>
      <c r="AF3365" s="3"/>
      <c r="AG3365" s="3"/>
      <c r="AH3365" s="3"/>
      <c r="AI3365" s="3"/>
      <c r="AJ3365" s="3"/>
      <c r="AK3365" s="3"/>
      <c r="AL3365" s="3"/>
    </row>
    <row r="3366" ht="15.75" customHeight="1">
      <c r="A3366" s="1"/>
      <c r="B3366" s="2"/>
      <c r="C3366" s="3"/>
      <c r="D3366" s="3"/>
      <c r="E3366" s="1"/>
      <c r="F3366" s="1"/>
      <c r="G3366" s="1"/>
      <c r="H3366" s="1"/>
      <c r="I3366" s="1"/>
      <c r="J3366" s="3"/>
      <c r="K3366" s="3"/>
      <c r="L3366" s="1"/>
      <c r="M3366" s="1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3"/>
      <c r="AD3366" s="3"/>
      <c r="AE3366" s="3"/>
      <c r="AF3366" s="3"/>
      <c r="AG3366" s="3"/>
      <c r="AH3366" s="3"/>
      <c r="AI3366" s="3"/>
      <c r="AJ3366" s="3"/>
      <c r="AK3366" s="3"/>
      <c r="AL3366" s="3"/>
    </row>
    <row r="3367" ht="15.75" customHeight="1">
      <c r="A3367" s="1"/>
      <c r="B3367" s="2"/>
      <c r="C3367" s="3"/>
      <c r="D3367" s="3"/>
      <c r="E3367" s="1"/>
      <c r="F3367" s="1"/>
      <c r="G3367" s="1"/>
      <c r="H3367" s="1"/>
      <c r="I3367" s="1"/>
      <c r="J3367" s="3"/>
      <c r="K3367" s="3"/>
      <c r="L3367" s="1"/>
      <c r="M3367" s="1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  <c r="AC3367" s="3"/>
      <c r="AD3367" s="3"/>
      <c r="AE3367" s="3"/>
      <c r="AF3367" s="3"/>
      <c r="AG3367" s="3"/>
      <c r="AH3367" s="3"/>
      <c r="AI3367" s="3"/>
      <c r="AJ3367" s="3"/>
      <c r="AK3367" s="3"/>
      <c r="AL3367" s="3"/>
    </row>
    <row r="3368" ht="15.75" customHeight="1">
      <c r="A3368" s="1"/>
      <c r="B3368" s="2"/>
      <c r="C3368" s="3"/>
      <c r="D3368" s="3"/>
      <c r="E3368" s="1"/>
      <c r="F3368" s="1"/>
      <c r="G3368" s="1"/>
      <c r="H3368" s="1"/>
      <c r="I3368" s="1"/>
      <c r="J3368" s="3"/>
      <c r="K3368" s="3"/>
      <c r="L3368" s="1"/>
      <c r="M3368" s="1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3"/>
      <c r="AD3368" s="3"/>
      <c r="AE3368" s="3"/>
      <c r="AF3368" s="3"/>
      <c r="AG3368" s="3"/>
      <c r="AH3368" s="3"/>
      <c r="AI3368" s="3"/>
      <c r="AJ3368" s="3"/>
      <c r="AK3368" s="3"/>
      <c r="AL3368" s="3"/>
    </row>
    <row r="3369" ht="15.75" customHeight="1">
      <c r="A3369" s="1"/>
      <c r="B3369" s="2"/>
      <c r="C3369" s="3"/>
      <c r="D3369" s="3"/>
      <c r="E3369" s="1"/>
      <c r="F3369" s="1"/>
      <c r="G3369" s="1"/>
      <c r="H3369" s="1"/>
      <c r="I3369" s="1"/>
      <c r="J3369" s="3"/>
      <c r="K3369" s="3"/>
      <c r="L3369" s="1"/>
      <c r="M3369" s="1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  <c r="AC3369" s="3"/>
      <c r="AD3369" s="3"/>
      <c r="AE3369" s="3"/>
      <c r="AF3369" s="3"/>
      <c r="AG3369" s="3"/>
      <c r="AH3369" s="3"/>
      <c r="AI3369" s="3"/>
      <c r="AJ3369" s="3"/>
      <c r="AK3369" s="3"/>
      <c r="AL3369" s="3"/>
    </row>
    <row r="3370" ht="15.75" customHeight="1">
      <c r="A3370" s="1"/>
      <c r="B3370" s="2"/>
      <c r="C3370" s="3"/>
      <c r="D3370" s="3"/>
      <c r="E3370" s="1"/>
      <c r="F3370" s="1"/>
      <c r="G3370" s="1"/>
      <c r="H3370" s="1"/>
      <c r="I3370" s="1"/>
      <c r="J3370" s="3"/>
      <c r="K3370" s="3"/>
      <c r="L3370" s="1"/>
      <c r="M3370" s="1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3"/>
      <c r="AE3370" s="3"/>
      <c r="AF3370" s="3"/>
      <c r="AG3370" s="3"/>
      <c r="AH3370" s="3"/>
      <c r="AI3370" s="3"/>
      <c r="AJ3370" s="3"/>
      <c r="AK3370" s="3"/>
      <c r="AL3370" s="3"/>
    </row>
    <row r="3371" ht="15.75" customHeight="1">
      <c r="A3371" s="1"/>
      <c r="B3371" s="2"/>
      <c r="C3371" s="3"/>
      <c r="D3371" s="3"/>
      <c r="E3371" s="1"/>
      <c r="F3371" s="1"/>
      <c r="G3371" s="1"/>
      <c r="H3371" s="1"/>
      <c r="I3371" s="1"/>
      <c r="J3371" s="3"/>
      <c r="K3371" s="3"/>
      <c r="L3371" s="1"/>
      <c r="M3371" s="1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3"/>
      <c r="AD3371" s="3"/>
      <c r="AE3371" s="3"/>
      <c r="AF3371" s="3"/>
      <c r="AG3371" s="3"/>
      <c r="AH3371" s="3"/>
      <c r="AI3371" s="3"/>
      <c r="AJ3371" s="3"/>
      <c r="AK3371" s="3"/>
      <c r="AL3371" s="3"/>
    </row>
    <row r="3372" ht="15.75" customHeight="1">
      <c r="A3372" s="1"/>
      <c r="B3372" s="2"/>
      <c r="C3372" s="3"/>
      <c r="D3372" s="3"/>
      <c r="E3372" s="1"/>
      <c r="F3372" s="1"/>
      <c r="G3372" s="1"/>
      <c r="H3372" s="1"/>
      <c r="I3372" s="1"/>
      <c r="J3372" s="3"/>
      <c r="K3372" s="3"/>
      <c r="L3372" s="1"/>
      <c r="M3372" s="1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  <c r="AC3372" s="3"/>
      <c r="AD3372" s="3"/>
      <c r="AE3372" s="3"/>
      <c r="AF3372" s="3"/>
      <c r="AG3372" s="3"/>
      <c r="AH3372" s="3"/>
      <c r="AI3372" s="3"/>
      <c r="AJ3372" s="3"/>
      <c r="AK3372" s="3"/>
      <c r="AL3372" s="3"/>
    </row>
    <row r="3373" ht="15.75" customHeight="1">
      <c r="A3373" s="1"/>
      <c r="B3373" s="2"/>
      <c r="C3373" s="3"/>
      <c r="D3373" s="3"/>
      <c r="E3373" s="1"/>
      <c r="F3373" s="1"/>
      <c r="G3373" s="1"/>
      <c r="H3373" s="1"/>
      <c r="I3373" s="1"/>
      <c r="J3373" s="3"/>
      <c r="K3373" s="3"/>
      <c r="L3373" s="1"/>
      <c r="M3373" s="1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  <c r="AC3373" s="3"/>
      <c r="AD3373" s="3"/>
      <c r="AE3373" s="3"/>
      <c r="AF3373" s="3"/>
      <c r="AG3373" s="3"/>
      <c r="AH3373" s="3"/>
      <c r="AI3373" s="3"/>
      <c r="AJ3373" s="3"/>
      <c r="AK3373" s="3"/>
      <c r="AL3373" s="3"/>
    </row>
    <row r="3374" ht="15.75" customHeight="1">
      <c r="A3374" s="1"/>
      <c r="B3374" s="2"/>
      <c r="C3374" s="3"/>
      <c r="D3374" s="3"/>
      <c r="E3374" s="1"/>
      <c r="F3374" s="1"/>
      <c r="G3374" s="1"/>
      <c r="H3374" s="1"/>
      <c r="I3374" s="1"/>
      <c r="J3374" s="3"/>
      <c r="K3374" s="3"/>
      <c r="L3374" s="1"/>
      <c r="M3374" s="1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3"/>
      <c r="AD3374" s="3"/>
      <c r="AE3374" s="3"/>
      <c r="AF3374" s="3"/>
      <c r="AG3374" s="3"/>
      <c r="AH3374" s="3"/>
      <c r="AI3374" s="3"/>
      <c r="AJ3374" s="3"/>
      <c r="AK3374" s="3"/>
      <c r="AL3374" s="3"/>
    </row>
    <row r="3375" ht="15.75" customHeight="1">
      <c r="A3375" s="1"/>
      <c r="B3375" s="2"/>
      <c r="C3375" s="3"/>
      <c r="D3375" s="3"/>
      <c r="E3375" s="1"/>
      <c r="F3375" s="1"/>
      <c r="G3375" s="1"/>
      <c r="H3375" s="1"/>
      <c r="I3375" s="1"/>
      <c r="J3375" s="3"/>
      <c r="K3375" s="3"/>
      <c r="L3375" s="1"/>
      <c r="M3375" s="1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  <c r="AC3375" s="3"/>
      <c r="AD3375" s="3"/>
      <c r="AE3375" s="3"/>
      <c r="AF3375" s="3"/>
      <c r="AG3375" s="3"/>
      <c r="AH3375" s="3"/>
      <c r="AI3375" s="3"/>
      <c r="AJ3375" s="3"/>
      <c r="AK3375" s="3"/>
      <c r="AL3375" s="3"/>
    </row>
    <row r="3376" ht="15.75" customHeight="1">
      <c r="A3376" s="1"/>
      <c r="B3376" s="2"/>
      <c r="C3376" s="3"/>
      <c r="D3376" s="3"/>
      <c r="E3376" s="1"/>
      <c r="F3376" s="1"/>
      <c r="G3376" s="1"/>
      <c r="H3376" s="1"/>
      <c r="I3376" s="1"/>
      <c r="J3376" s="3"/>
      <c r="K3376" s="3"/>
      <c r="L3376" s="1"/>
      <c r="M3376" s="1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  <c r="AC3376" s="3"/>
      <c r="AD3376" s="3"/>
      <c r="AE3376" s="3"/>
      <c r="AF3376" s="3"/>
      <c r="AG3376" s="3"/>
      <c r="AH3376" s="3"/>
      <c r="AI3376" s="3"/>
      <c r="AJ3376" s="3"/>
      <c r="AK3376" s="3"/>
      <c r="AL3376" s="3"/>
    </row>
    <row r="3377" ht="15.75" customHeight="1">
      <c r="A3377" s="1"/>
      <c r="B3377" s="2"/>
      <c r="C3377" s="3"/>
      <c r="D3377" s="3"/>
      <c r="E3377" s="1"/>
      <c r="F3377" s="1"/>
      <c r="G3377" s="1"/>
      <c r="H3377" s="1"/>
      <c r="I3377" s="1"/>
      <c r="J3377" s="3"/>
      <c r="K3377" s="3"/>
      <c r="L3377" s="1"/>
      <c r="M3377" s="1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  <c r="AC3377" s="3"/>
      <c r="AD3377" s="3"/>
      <c r="AE3377" s="3"/>
      <c r="AF3377" s="3"/>
      <c r="AG3377" s="3"/>
      <c r="AH3377" s="3"/>
      <c r="AI3377" s="3"/>
      <c r="AJ3377" s="3"/>
      <c r="AK3377" s="3"/>
      <c r="AL3377" s="3"/>
    </row>
    <row r="3378" ht="15.75" customHeight="1">
      <c r="A3378" s="1"/>
      <c r="B3378" s="2"/>
      <c r="C3378" s="3"/>
      <c r="D3378" s="3"/>
      <c r="E3378" s="1"/>
      <c r="F3378" s="1"/>
      <c r="G3378" s="1"/>
      <c r="H3378" s="1"/>
      <c r="I3378" s="1"/>
      <c r="J3378" s="3"/>
      <c r="K3378" s="3"/>
      <c r="L3378" s="1"/>
      <c r="M3378" s="1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3"/>
      <c r="AD3378" s="3"/>
      <c r="AE3378" s="3"/>
      <c r="AF3378" s="3"/>
      <c r="AG3378" s="3"/>
      <c r="AH3378" s="3"/>
      <c r="AI3378" s="3"/>
      <c r="AJ3378" s="3"/>
      <c r="AK3378" s="3"/>
      <c r="AL3378" s="3"/>
    </row>
    <row r="3379" ht="15.75" customHeight="1">
      <c r="A3379" s="1"/>
      <c r="B3379" s="2"/>
      <c r="C3379" s="3"/>
      <c r="D3379" s="3"/>
      <c r="E3379" s="1"/>
      <c r="F3379" s="1"/>
      <c r="G3379" s="1"/>
      <c r="H3379" s="1"/>
      <c r="I3379" s="1"/>
      <c r="J3379" s="3"/>
      <c r="K3379" s="3"/>
      <c r="L3379" s="1"/>
      <c r="M3379" s="1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3"/>
      <c r="AE3379" s="3"/>
      <c r="AF3379" s="3"/>
      <c r="AG3379" s="3"/>
      <c r="AH3379" s="3"/>
      <c r="AI3379" s="3"/>
      <c r="AJ3379" s="3"/>
      <c r="AK3379" s="3"/>
      <c r="AL3379" s="3"/>
    </row>
    <row r="3380" ht="15.75" customHeight="1">
      <c r="A3380" s="1"/>
      <c r="B3380" s="2"/>
      <c r="C3380" s="3"/>
      <c r="D3380" s="3"/>
      <c r="E3380" s="1"/>
      <c r="F3380" s="1"/>
      <c r="G3380" s="1"/>
      <c r="H3380" s="1"/>
      <c r="I3380" s="1"/>
      <c r="J3380" s="3"/>
      <c r="K3380" s="3"/>
      <c r="L3380" s="1"/>
      <c r="M3380" s="1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3"/>
      <c r="AD3380" s="3"/>
      <c r="AE3380" s="3"/>
      <c r="AF3380" s="3"/>
      <c r="AG3380" s="3"/>
      <c r="AH3380" s="3"/>
      <c r="AI3380" s="3"/>
      <c r="AJ3380" s="3"/>
      <c r="AK3380" s="3"/>
      <c r="AL3380" s="3"/>
    </row>
    <row r="3381" ht="15.75" customHeight="1">
      <c r="A3381" s="1"/>
      <c r="B3381" s="2"/>
      <c r="C3381" s="3"/>
      <c r="D3381" s="3"/>
      <c r="E3381" s="1"/>
      <c r="F3381" s="1"/>
      <c r="G3381" s="1"/>
      <c r="H3381" s="1"/>
      <c r="I3381" s="1"/>
      <c r="J3381" s="3"/>
      <c r="K3381" s="3"/>
      <c r="L3381" s="1"/>
      <c r="M3381" s="1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  <c r="AC3381" s="3"/>
      <c r="AD3381" s="3"/>
      <c r="AE3381" s="3"/>
      <c r="AF3381" s="3"/>
      <c r="AG3381" s="3"/>
      <c r="AH3381" s="3"/>
      <c r="AI3381" s="3"/>
      <c r="AJ3381" s="3"/>
      <c r="AK3381" s="3"/>
      <c r="AL3381" s="3"/>
    </row>
    <row r="3382" ht="15.75" customHeight="1">
      <c r="A3382" s="1"/>
      <c r="B3382" s="2"/>
      <c r="C3382" s="3"/>
      <c r="D3382" s="3"/>
      <c r="E3382" s="1"/>
      <c r="F3382" s="1"/>
      <c r="G3382" s="1"/>
      <c r="H3382" s="1"/>
      <c r="I3382" s="1"/>
      <c r="J3382" s="3"/>
      <c r="K3382" s="3"/>
      <c r="L3382" s="1"/>
      <c r="M3382" s="1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  <c r="AC3382" s="3"/>
      <c r="AD3382" s="3"/>
      <c r="AE3382" s="3"/>
      <c r="AF3382" s="3"/>
      <c r="AG3382" s="3"/>
      <c r="AH3382" s="3"/>
      <c r="AI3382" s="3"/>
      <c r="AJ3382" s="3"/>
      <c r="AK3382" s="3"/>
      <c r="AL3382" s="3"/>
    </row>
    <row r="3383" ht="15.75" customHeight="1">
      <c r="A3383" s="1"/>
      <c r="B3383" s="2"/>
      <c r="C3383" s="3"/>
      <c r="D3383" s="3"/>
      <c r="E3383" s="1"/>
      <c r="F3383" s="1"/>
      <c r="G3383" s="1"/>
      <c r="H3383" s="1"/>
      <c r="I3383" s="1"/>
      <c r="J3383" s="3"/>
      <c r="K3383" s="3"/>
      <c r="L3383" s="1"/>
      <c r="M3383" s="1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  <c r="AC3383" s="3"/>
      <c r="AD3383" s="3"/>
      <c r="AE3383" s="3"/>
      <c r="AF3383" s="3"/>
      <c r="AG3383" s="3"/>
      <c r="AH3383" s="3"/>
      <c r="AI3383" s="3"/>
      <c r="AJ3383" s="3"/>
      <c r="AK3383" s="3"/>
      <c r="AL3383" s="3"/>
    </row>
    <row r="3384" ht="15.75" customHeight="1">
      <c r="A3384" s="1"/>
      <c r="B3384" s="2"/>
      <c r="C3384" s="3"/>
      <c r="D3384" s="3"/>
      <c r="E3384" s="1"/>
      <c r="F3384" s="1"/>
      <c r="G3384" s="1"/>
      <c r="H3384" s="1"/>
      <c r="I3384" s="1"/>
      <c r="J3384" s="3"/>
      <c r="K3384" s="3"/>
      <c r="L3384" s="1"/>
      <c r="M3384" s="1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  <c r="AC3384" s="3"/>
      <c r="AD3384" s="3"/>
      <c r="AE3384" s="3"/>
      <c r="AF3384" s="3"/>
      <c r="AG3384" s="3"/>
      <c r="AH3384" s="3"/>
      <c r="AI3384" s="3"/>
      <c r="AJ3384" s="3"/>
      <c r="AK3384" s="3"/>
      <c r="AL3384" s="3"/>
    </row>
    <row r="3385" ht="15.75" customHeight="1">
      <c r="A3385" s="1"/>
      <c r="B3385" s="2"/>
      <c r="C3385" s="3"/>
      <c r="D3385" s="3"/>
      <c r="E3385" s="1"/>
      <c r="F3385" s="1"/>
      <c r="G3385" s="1"/>
      <c r="H3385" s="1"/>
      <c r="I3385" s="1"/>
      <c r="J3385" s="3"/>
      <c r="K3385" s="3"/>
      <c r="L3385" s="1"/>
      <c r="M3385" s="1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  <c r="AC3385" s="3"/>
      <c r="AD3385" s="3"/>
      <c r="AE3385" s="3"/>
      <c r="AF3385" s="3"/>
      <c r="AG3385" s="3"/>
      <c r="AH3385" s="3"/>
      <c r="AI3385" s="3"/>
      <c r="AJ3385" s="3"/>
      <c r="AK3385" s="3"/>
      <c r="AL3385" s="3"/>
    </row>
    <row r="3386" ht="15.75" customHeight="1">
      <c r="A3386" s="1"/>
      <c r="B3386" s="2"/>
      <c r="C3386" s="3"/>
      <c r="D3386" s="3"/>
      <c r="E3386" s="1"/>
      <c r="F3386" s="1"/>
      <c r="G3386" s="1"/>
      <c r="H3386" s="1"/>
      <c r="I3386" s="1"/>
      <c r="J3386" s="3"/>
      <c r="K3386" s="3"/>
      <c r="L3386" s="1"/>
      <c r="M3386" s="1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  <c r="AC3386" s="3"/>
      <c r="AD3386" s="3"/>
      <c r="AE3386" s="3"/>
      <c r="AF3386" s="3"/>
      <c r="AG3386" s="3"/>
      <c r="AH3386" s="3"/>
      <c r="AI3386" s="3"/>
      <c r="AJ3386" s="3"/>
      <c r="AK3386" s="3"/>
      <c r="AL3386" s="3"/>
    </row>
    <row r="3387" ht="15.75" customHeight="1">
      <c r="A3387" s="1"/>
      <c r="B3387" s="2"/>
      <c r="C3387" s="3"/>
      <c r="D3387" s="3"/>
      <c r="E3387" s="1"/>
      <c r="F3387" s="1"/>
      <c r="G3387" s="1"/>
      <c r="H3387" s="1"/>
      <c r="I3387" s="1"/>
      <c r="J3387" s="3"/>
      <c r="K3387" s="3"/>
      <c r="L3387" s="1"/>
      <c r="M3387" s="1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  <c r="AC3387" s="3"/>
      <c r="AD3387" s="3"/>
      <c r="AE3387" s="3"/>
      <c r="AF3387" s="3"/>
      <c r="AG3387" s="3"/>
      <c r="AH3387" s="3"/>
      <c r="AI3387" s="3"/>
      <c r="AJ3387" s="3"/>
      <c r="AK3387" s="3"/>
      <c r="AL3387" s="3"/>
    </row>
    <row r="3388" ht="15.75" customHeight="1">
      <c r="A3388" s="1"/>
      <c r="B3388" s="2"/>
      <c r="C3388" s="3"/>
      <c r="D3388" s="3"/>
      <c r="E3388" s="1"/>
      <c r="F3388" s="1"/>
      <c r="G3388" s="1"/>
      <c r="H3388" s="1"/>
      <c r="I3388" s="1"/>
      <c r="J3388" s="3"/>
      <c r="K3388" s="3"/>
      <c r="L3388" s="1"/>
      <c r="M3388" s="1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  <c r="AC3388" s="3"/>
      <c r="AD3388" s="3"/>
      <c r="AE3388" s="3"/>
      <c r="AF3388" s="3"/>
      <c r="AG3388" s="3"/>
      <c r="AH3388" s="3"/>
      <c r="AI3388" s="3"/>
      <c r="AJ3388" s="3"/>
      <c r="AK3388" s="3"/>
      <c r="AL3388" s="3"/>
    </row>
    <row r="3389" ht="15.75" customHeight="1">
      <c r="A3389" s="1"/>
      <c r="B3389" s="2"/>
      <c r="C3389" s="3"/>
      <c r="D3389" s="3"/>
      <c r="E3389" s="1"/>
      <c r="F3389" s="1"/>
      <c r="G3389" s="1"/>
      <c r="H3389" s="1"/>
      <c r="I3389" s="1"/>
      <c r="J3389" s="3"/>
      <c r="K3389" s="3"/>
      <c r="L3389" s="1"/>
      <c r="M3389" s="1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3"/>
      <c r="AE3389" s="3"/>
      <c r="AF3389" s="3"/>
      <c r="AG3389" s="3"/>
      <c r="AH3389" s="3"/>
      <c r="AI3389" s="3"/>
      <c r="AJ3389" s="3"/>
      <c r="AK3389" s="3"/>
      <c r="AL3389" s="3"/>
    </row>
    <row r="3390" ht="15.75" customHeight="1">
      <c r="A3390" s="1"/>
      <c r="B3390" s="2"/>
      <c r="C3390" s="3"/>
      <c r="D3390" s="3"/>
      <c r="E3390" s="1"/>
      <c r="F3390" s="1"/>
      <c r="G3390" s="1"/>
      <c r="H3390" s="1"/>
      <c r="I3390" s="1"/>
      <c r="J3390" s="3"/>
      <c r="K3390" s="3"/>
      <c r="L3390" s="1"/>
      <c r="M3390" s="1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3"/>
      <c r="AD3390" s="3"/>
      <c r="AE3390" s="3"/>
      <c r="AF3390" s="3"/>
      <c r="AG3390" s="3"/>
      <c r="AH3390" s="3"/>
      <c r="AI3390" s="3"/>
      <c r="AJ3390" s="3"/>
      <c r="AK3390" s="3"/>
      <c r="AL3390" s="3"/>
    </row>
    <row r="3391" ht="15.75" customHeight="1">
      <c r="A3391" s="1"/>
      <c r="B3391" s="2"/>
      <c r="C3391" s="3"/>
      <c r="D3391" s="3"/>
      <c r="E3391" s="1"/>
      <c r="F3391" s="1"/>
      <c r="G3391" s="1"/>
      <c r="H3391" s="1"/>
      <c r="I3391" s="1"/>
      <c r="J3391" s="3"/>
      <c r="K3391" s="3"/>
      <c r="L3391" s="1"/>
      <c r="M3391" s="1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  <c r="AC3391" s="3"/>
      <c r="AD3391" s="3"/>
      <c r="AE3391" s="3"/>
      <c r="AF3391" s="3"/>
      <c r="AG3391" s="3"/>
      <c r="AH3391" s="3"/>
      <c r="AI3391" s="3"/>
      <c r="AJ3391" s="3"/>
      <c r="AK3391" s="3"/>
      <c r="AL3391" s="3"/>
    </row>
    <row r="3392" ht="15.75" customHeight="1">
      <c r="A3392" s="1"/>
      <c r="B3392" s="2"/>
      <c r="C3392" s="3"/>
      <c r="D3392" s="3"/>
      <c r="E3392" s="1"/>
      <c r="F3392" s="1"/>
      <c r="G3392" s="1"/>
      <c r="H3392" s="1"/>
      <c r="I3392" s="1"/>
      <c r="J3392" s="3"/>
      <c r="K3392" s="3"/>
      <c r="L3392" s="1"/>
      <c r="M3392" s="1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  <c r="AC3392" s="3"/>
      <c r="AD3392" s="3"/>
      <c r="AE3392" s="3"/>
      <c r="AF3392" s="3"/>
      <c r="AG3392" s="3"/>
      <c r="AH3392" s="3"/>
      <c r="AI3392" s="3"/>
      <c r="AJ3392" s="3"/>
      <c r="AK3392" s="3"/>
      <c r="AL3392" s="3"/>
    </row>
    <row r="3393" ht="15.75" customHeight="1">
      <c r="A3393" s="1"/>
      <c r="B3393" s="2"/>
      <c r="C3393" s="3"/>
      <c r="D3393" s="3"/>
      <c r="E3393" s="1"/>
      <c r="F3393" s="1"/>
      <c r="G3393" s="1"/>
      <c r="H3393" s="1"/>
      <c r="I3393" s="1"/>
      <c r="J3393" s="3"/>
      <c r="K3393" s="3"/>
      <c r="L3393" s="1"/>
      <c r="M3393" s="1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3"/>
      <c r="AD3393" s="3"/>
      <c r="AE3393" s="3"/>
      <c r="AF3393" s="3"/>
      <c r="AG3393" s="3"/>
      <c r="AH3393" s="3"/>
      <c r="AI3393" s="3"/>
      <c r="AJ3393" s="3"/>
      <c r="AK3393" s="3"/>
      <c r="AL3393" s="3"/>
    </row>
    <row r="3394" ht="15.75" customHeight="1">
      <c r="A3394" s="1"/>
      <c r="B3394" s="2"/>
      <c r="C3394" s="3"/>
      <c r="D3394" s="3"/>
      <c r="E3394" s="1"/>
      <c r="F3394" s="1"/>
      <c r="G3394" s="1"/>
      <c r="H3394" s="1"/>
      <c r="I3394" s="1"/>
      <c r="J3394" s="3"/>
      <c r="K3394" s="3"/>
      <c r="L3394" s="1"/>
      <c r="M3394" s="1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  <c r="AC3394" s="3"/>
      <c r="AD3394" s="3"/>
      <c r="AE3394" s="3"/>
      <c r="AF3394" s="3"/>
      <c r="AG3394" s="3"/>
      <c r="AH3394" s="3"/>
      <c r="AI3394" s="3"/>
      <c r="AJ3394" s="3"/>
      <c r="AK3394" s="3"/>
      <c r="AL3394" s="3"/>
    </row>
    <row r="3395" ht="15.75" customHeight="1">
      <c r="A3395" s="1"/>
      <c r="B3395" s="2"/>
      <c r="C3395" s="3"/>
      <c r="D3395" s="3"/>
      <c r="E3395" s="1"/>
      <c r="F3395" s="1"/>
      <c r="G3395" s="1"/>
      <c r="H3395" s="1"/>
      <c r="I3395" s="1"/>
      <c r="J3395" s="3"/>
      <c r="K3395" s="3"/>
      <c r="L3395" s="1"/>
      <c r="M3395" s="1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  <c r="AC3395" s="3"/>
      <c r="AD3395" s="3"/>
      <c r="AE3395" s="3"/>
      <c r="AF3395" s="3"/>
      <c r="AG3395" s="3"/>
      <c r="AH3395" s="3"/>
      <c r="AI3395" s="3"/>
      <c r="AJ3395" s="3"/>
      <c r="AK3395" s="3"/>
      <c r="AL3395" s="3"/>
    </row>
    <row r="3396" ht="15.75" customHeight="1">
      <c r="A3396" s="1"/>
      <c r="B3396" s="2"/>
      <c r="C3396" s="3"/>
      <c r="D3396" s="3"/>
      <c r="E3396" s="1"/>
      <c r="F3396" s="1"/>
      <c r="G3396" s="1"/>
      <c r="H3396" s="1"/>
      <c r="I3396" s="1"/>
      <c r="J3396" s="3"/>
      <c r="K3396" s="3"/>
      <c r="L3396" s="1"/>
      <c r="M3396" s="1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  <c r="AC3396" s="3"/>
      <c r="AD3396" s="3"/>
      <c r="AE3396" s="3"/>
      <c r="AF3396" s="3"/>
      <c r="AG3396" s="3"/>
      <c r="AH3396" s="3"/>
      <c r="AI3396" s="3"/>
      <c r="AJ3396" s="3"/>
      <c r="AK3396" s="3"/>
      <c r="AL3396" s="3"/>
    </row>
    <row r="3397" ht="15.75" customHeight="1">
      <c r="A3397" s="1"/>
      <c r="B3397" s="2"/>
      <c r="C3397" s="3"/>
      <c r="D3397" s="3"/>
      <c r="E3397" s="1"/>
      <c r="F3397" s="1"/>
      <c r="G3397" s="1"/>
      <c r="H3397" s="1"/>
      <c r="I3397" s="1"/>
      <c r="J3397" s="3"/>
      <c r="K3397" s="3"/>
      <c r="L3397" s="1"/>
      <c r="M3397" s="1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  <c r="AC3397" s="3"/>
      <c r="AD3397" s="3"/>
      <c r="AE3397" s="3"/>
      <c r="AF3397" s="3"/>
      <c r="AG3397" s="3"/>
      <c r="AH3397" s="3"/>
      <c r="AI3397" s="3"/>
      <c r="AJ3397" s="3"/>
      <c r="AK3397" s="3"/>
      <c r="AL3397" s="3"/>
    </row>
    <row r="3398" ht="15.75" customHeight="1">
      <c r="A3398" s="1"/>
      <c r="B3398" s="2"/>
      <c r="C3398" s="3"/>
      <c r="D3398" s="3"/>
      <c r="E3398" s="1"/>
      <c r="F3398" s="1"/>
      <c r="G3398" s="1"/>
      <c r="H3398" s="1"/>
      <c r="I3398" s="1"/>
      <c r="J3398" s="3"/>
      <c r="K3398" s="3"/>
      <c r="L3398" s="1"/>
      <c r="M3398" s="1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  <c r="AC3398" s="3"/>
      <c r="AD3398" s="3"/>
      <c r="AE3398" s="3"/>
      <c r="AF3398" s="3"/>
      <c r="AG3398" s="3"/>
      <c r="AH3398" s="3"/>
      <c r="AI3398" s="3"/>
      <c r="AJ3398" s="3"/>
      <c r="AK3398" s="3"/>
      <c r="AL3398" s="3"/>
    </row>
    <row r="3399" ht="15.75" customHeight="1">
      <c r="A3399" s="1"/>
      <c r="B3399" s="2"/>
      <c r="C3399" s="3"/>
      <c r="D3399" s="3"/>
      <c r="E3399" s="1"/>
      <c r="F3399" s="1"/>
      <c r="G3399" s="1"/>
      <c r="H3399" s="1"/>
      <c r="I3399" s="1"/>
      <c r="J3399" s="3"/>
      <c r="K3399" s="3"/>
      <c r="L3399" s="1"/>
      <c r="M3399" s="1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  <c r="AC3399" s="3"/>
      <c r="AD3399" s="3"/>
      <c r="AE3399" s="3"/>
      <c r="AF3399" s="3"/>
      <c r="AG3399" s="3"/>
      <c r="AH3399" s="3"/>
      <c r="AI3399" s="3"/>
      <c r="AJ3399" s="3"/>
      <c r="AK3399" s="3"/>
      <c r="AL3399" s="3"/>
    </row>
    <row r="3400" ht="15.75" customHeight="1">
      <c r="A3400" s="1"/>
      <c r="B3400" s="2"/>
      <c r="C3400" s="3"/>
      <c r="D3400" s="3"/>
      <c r="E3400" s="1"/>
      <c r="F3400" s="1"/>
      <c r="G3400" s="1"/>
      <c r="H3400" s="1"/>
      <c r="I3400" s="1"/>
      <c r="J3400" s="3"/>
      <c r="K3400" s="3"/>
      <c r="L3400" s="1"/>
      <c r="M3400" s="1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  <c r="AC3400" s="3"/>
      <c r="AD3400" s="3"/>
      <c r="AE3400" s="3"/>
      <c r="AF3400" s="3"/>
      <c r="AG3400" s="3"/>
      <c r="AH3400" s="3"/>
      <c r="AI3400" s="3"/>
      <c r="AJ3400" s="3"/>
      <c r="AK3400" s="3"/>
      <c r="AL3400" s="3"/>
    </row>
    <row r="3401" ht="15.75" customHeight="1">
      <c r="A3401" s="1"/>
      <c r="B3401" s="2"/>
      <c r="C3401" s="3"/>
      <c r="D3401" s="3"/>
      <c r="E3401" s="1"/>
      <c r="F3401" s="1"/>
      <c r="G3401" s="1"/>
      <c r="H3401" s="1"/>
      <c r="I3401" s="1"/>
      <c r="J3401" s="3"/>
      <c r="K3401" s="3"/>
      <c r="L3401" s="1"/>
      <c r="M3401" s="1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  <c r="AC3401" s="3"/>
      <c r="AD3401" s="3"/>
      <c r="AE3401" s="3"/>
      <c r="AF3401" s="3"/>
      <c r="AG3401" s="3"/>
      <c r="AH3401" s="3"/>
      <c r="AI3401" s="3"/>
      <c r="AJ3401" s="3"/>
      <c r="AK3401" s="3"/>
      <c r="AL3401" s="3"/>
    </row>
    <row r="3402" ht="15.75" customHeight="1">
      <c r="A3402" s="1"/>
      <c r="B3402" s="2"/>
      <c r="C3402" s="3"/>
      <c r="D3402" s="3"/>
      <c r="E3402" s="1"/>
      <c r="F3402" s="1"/>
      <c r="G3402" s="1"/>
      <c r="H3402" s="1"/>
      <c r="I3402" s="1"/>
      <c r="J3402" s="3"/>
      <c r="K3402" s="3"/>
      <c r="L3402" s="1"/>
      <c r="M3402" s="1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3"/>
      <c r="AD3402" s="3"/>
      <c r="AE3402" s="3"/>
      <c r="AF3402" s="3"/>
      <c r="AG3402" s="3"/>
      <c r="AH3402" s="3"/>
      <c r="AI3402" s="3"/>
      <c r="AJ3402" s="3"/>
      <c r="AK3402" s="3"/>
      <c r="AL3402" s="3"/>
    </row>
    <row r="3403" ht="15.75" customHeight="1">
      <c r="A3403" s="1"/>
      <c r="B3403" s="2"/>
      <c r="C3403" s="3"/>
      <c r="D3403" s="3"/>
      <c r="E3403" s="1"/>
      <c r="F3403" s="1"/>
      <c r="G3403" s="1"/>
      <c r="H3403" s="1"/>
      <c r="I3403" s="1"/>
      <c r="J3403" s="3"/>
      <c r="K3403" s="3"/>
      <c r="L3403" s="1"/>
      <c r="M3403" s="1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  <c r="AC3403" s="3"/>
      <c r="AD3403" s="3"/>
      <c r="AE3403" s="3"/>
      <c r="AF3403" s="3"/>
      <c r="AG3403" s="3"/>
      <c r="AH3403" s="3"/>
      <c r="AI3403" s="3"/>
      <c r="AJ3403" s="3"/>
      <c r="AK3403" s="3"/>
      <c r="AL3403" s="3"/>
    </row>
    <row r="3404" ht="15.75" customHeight="1">
      <c r="A3404" s="1"/>
      <c r="B3404" s="2"/>
      <c r="C3404" s="3"/>
      <c r="D3404" s="3"/>
      <c r="E3404" s="1"/>
      <c r="F3404" s="1"/>
      <c r="G3404" s="1"/>
      <c r="H3404" s="1"/>
      <c r="I3404" s="1"/>
      <c r="J3404" s="3"/>
      <c r="K3404" s="3"/>
      <c r="L3404" s="1"/>
      <c r="M3404" s="1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3"/>
      <c r="AD3404" s="3"/>
      <c r="AE3404" s="3"/>
      <c r="AF3404" s="3"/>
      <c r="AG3404" s="3"/>
      <c r="AH3404" s="3"/>
      <c r="AI3404" s="3"/>
      <c r="AJ3404" s="3"/>
      <c r="AK3404" s="3"/>
      <c r="AL3404" s="3"/>
    </row>
    <row r="3405" ht="15.75" customHeight="1">
      <c r="A3405" s="1"/>
      <c r="B3405" s="2"/>
      <c r="C3405" s="3"/>
      <c r="D3405" s="3"/>
      <c r="E3405" s="1"/>
      <c r="F3405" s="1"/>
      <c r="G3405" s="1"/>
      <c r="H3405" s="1"/>
      <c r="I3405" s="1"/>
      <c r="J3405" s="3"/>
      <c r="K3405" s="3"/>
      <c r="L3405" s="1"/>
      <c r="M3405" s="1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  <c r="AC3405" s="3"/>
      <c r="AD3405" s="3"/>
      <c r="AE3405" s="3"/>
      <c r="AF3405" s="3"/>
      <c r="AG3405" s="3"/>
      <c r="AH3405" s="3"/>
      <c r="AI3405" s="3"/>
      <c r="AJ3405" s="3"/>
      <c r="AK3405" s="3"/>
      <c r="AL3405" s="3"/>
    </row>
    <row r="3406" ht="15.75" customHeight="1">
      <c r="A3406" s="1"/>
      <c r="B3406" s="2"/>
      <c r="C3406" s="3"/>
      <c r="D3406" s="3"/>
      <c r="E3406" s="1"/>
      <c r="F3406" s="1"/>
      <c r="G3406" s="1"/>
      <c r="H3406" s="1"/>
      <c r="I3406" s="1"/>
      <c r="J3406" s="3"/>
      <c r="K3406" s="3"/>
      <c r="L3406" s="1"/>
      <c r="M3406" s="1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3"/>
      <c r="AD3406" s="3"/>
      <c r="AE3406" s="3"/>
      <c r="AF3406" s="3"/>
      <c r="AG3406" s="3"/>
      <c r="AH3406" s="3"/>
      <c r="AI3406" s="3"/>
      <c r="AJ3406" s="3"/>
      <c r="AK3406" s="3"/>
      <c r="AL3406" s="3"/>
    </row>
    <row r="3407" ht="15.75" customHeight="1">
      <c r="A3407" s="1"/>
      <c r="B3407" s="2"/>
      <c r="C3407" s="3"/>
      <c r="D3407" s="3"/>
      <c r="E3407" s="1"/>
      <c r="F3407" s="1"/>
      <c r="G3407" s="1"/>
      <c r="H3407" s="1"/>
      <c r="I3407" s="1"/>
      <c r="J3407" s="3"/>
      <c r="K3407" s="3"/>
      <c r="L3407" s="1"/>
      <c r="M3407" s="1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  <c r="AC3407" s="3"/>
      <c r="AD3407" s="3"/>
      <c r="AE3407" s="3"/>
      <c r="AF3407" s="3"/>
      <c r="AG3407" s="3"/>
      <c r="AH3407" s="3"/>
      <c r="AI3407" s="3"/>
      <c r="AJ3407" s="3"/>
      <c r="AK3407" s="3"/>
      <c r="AL3407" s="3"/>
    </row>
    <row r="3408" ht="15.75" customHeight="1">
      <c r="A3408" s="1"/>
      <c r="B3408" s="2"/>
      <c r="C3408" s="3"/>
      <c r="D3408" s="3"/>
      <c r="E3408" s="1"/>
      <c r="F3408" s="1"/>
      <c r="G3408" s="1"/>
      <c r="H3408" s="1"/>
      <c r="I3408" s="1"/>
      <c r="J3408" s="3"/>
      <c r="K3408" s="3"/>
      <c r="L3408" s="1"/>
      <c r="M3408" s="1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  <c r="AC3408" s="3"/>
      <c r="AD3408" s="3"/>
      <c r="AE3408" s="3"/>
      <c r="AF3408" s="3"/>
      <c r="AG3408" s="3"/>
      <c r="AH3408" s="3"/>
      <c r="AI3408" s="3"/>
      <c r="AJ3408" s="3"/>
      <c r="AK3408" s="3"/>
      <c r="AL3408" s="3"/>
    </row>
    <row r="3409" ht="15.75" customHeight="1">
      <c r="A3409" s="1"/>
      <c r="B3409" s="2"/>
      <c r="C3409" s="3"/>
      <c r="D3409" s="3"/>
      <c r="E3409" s="1"/>
      <c r="F3409" s="1"/>
      <c r="G3409" s="1"/>
      <c r="H3409" s="1"/>
      <c r="I3409" s="1"/>
      <c r="J3409" s="3"/>
      <c r="K3409" s="3"/>
      <c r="L3409" s="1"/>
      <c r="M3409" s="1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  <c r="AC3409" s="3"/>
      <c r="AD3409" s="3"/>
      <c r="AE3409" s="3"/>
      <c r="AF3409" s="3"/>
      <c r="AG3409" s="3"/>
      <c r="AH3409" s="3"/>
      <c r="AI3409" s="3"/>
      <c r="AJ3409" s="3"/>
      <c r="AK3409" s="3"/>
      <c r="AL3409" s="3"/>
    </row>
    <row r="3410" ht="15.75" customHeight="1">
      <c r="A3410" s="1"/>
      <c r="B3410" s="2"/>
      <c r="C3410" s="3"/>
      <c r="D3410" s="3"/>
      <c r="E3410" s="1"/>
      <c r="F3410" s="1"/>
      <c r="G3410" s="1"/>
      <c r="H3410" s="1"/>
      <c r="I3410" s="1"/>
      <c r="J3410" s="3"/>
      <c r="K3410" s="3"/>
      <c r="L3410" s="1"/>
      <c r="M3410" s="1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  <c r="AC3410" s="3"/>
      <c r="AD3410" s="3"/>
      <c r="AE3410" s="3"/>
      <c r="AF3410" s="3"/>
      <c r="AG3410" s="3"/>
      <c r="AH3410" s="3"/>
      <c r="AI3410" s="3"/>
      <c r="AJ3410" s="3"/>
      <c r="AK3410" s="3"/>
      <c r="AL3410" s="3"/>
    </row>
    <row r="3411" ht="15.75" customHeight="1">
      <c r="A3411" s="1"/>
      <c r="B3411" s="2"/>
      <c r="C3411" s="3"/>
      <c r="D3411" s="3"/>
      <c r="E3411" s="1"/>
      <c r="F3411" s="1"/>
      <c r="G3411" s="1"/>
      <c r="H3411" s="1"/>
      <c r="I3411" s="1"/>
      <c r="J3411" s="3"/>
      <c r="K3411" s="3"/>
      <c r="L3411" s="1"/>
      <c r="M3411" s="1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  <c r="AC3411" s="3"/>
      <c r="AD3411" s="3"/>
      <c r="AE3411" s="3"/>
      <c r="AF3411" s="3"/>
      <c r="AG3411" s="3"/>
      <c r="AH3411" s="3"/>
      <c r="AI3411" s="3"/>
      <c r="AJ3411" s="3"/>
      <c r="AK3411" s="3"/>
      <c r="AL3411" s="3"/>
    </row>
    <row r="3412" ht="15.75" customHeight="1">
      <c r="A3412" s="1"/>
      <c r="B3412" s="2"/>
      <c r="C3412" s="3"/>
      <c r="D3412" s="3"/>
      <c r="E3412" s="1"/>
      <c r="F3412" s="1"/>
      <c r="G3412" s="1"/>
      <c r="H3412" s="1"/>
      <c r="I3412" s="1"/>
      <c r="J3412" s="3"/>
      <c r="K3412" s="3"/>
      <c r="L3412" s="1"/>
      <c r="M3412" s="1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  <c r="AC3412" s="3"/>
      <c r="AD3412" s="3"/>
      <c r="AE3412" s="3"/>
      <c r="AF3412" s="3"/>
      <c r="AG3412" s="3"/>
      <c r="AH3412" s="3"/>
      <c r="AI3412" s="3"/>
      <c r="AJ3412" s="3"/>
      <c r="AK3412" s="3"/>
      <c r="AL3412" s="3"/>
    </row>
    <row r="3413" ht="15.75" customHeight="1">
      <c r="A3413" s="1"/>
      <c r="B3413" s="2"/>
      <c r="C3413" s="3"/>
      <c r="D3413" s="3"/>
      <c r="E3413" s="1"/>
      <c r="F3413" s="1"/>
      <c r="G3413" s="1"/>
      <c r="H3413" s="1"/>
      <c r="I3413" s="1"/>
      <c r="J3413" s="3"/>
      <c r="K3413" s="3"/>
      <c r="L3413" s="1"/>
      <c r="M3413" s="1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3"/>
      <c r="AE3413" s="3"/>
      <c r="AF3413" s="3"/>
      <c r="AG3413" s="3"/>
      <c r="AH3413" s="3"/>
      <c r="AI3413" s="3"/>
      <c r="AJ3413" s="3"/>
      <c r="AK3413" s="3"/>
      <c r="AL3413" s="3"/>
    </row>
    <row r="3414" ht="15.75" customHeight="1">
      <c r="A3414" s="1"/>
      <c r="B3414" s="2"/>
      <c r="C3414" s="3"/>
      <c r="D3414" s="3"/>
      <c r="E3414" s="1"/>
      <c r="F3414" s="1"/>
      <c r="G3414" s="1"/>
      <c r="H3414" s="1"/>
      <c r="I3414" s="1"/>
      <c r="J3414" s="3"/>
      <c r="K3414" s="3"/>
      <c r="L3414" s="1"/>
      <c r="M3414" s="1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  <c r="AC3414" s="3"/>
      <c r="AD3414" s="3"/>
      <c r="AE3414" s="3"/>
      <c r="AF3414" s="3"/>
      <c r="AG3414" s="3"/>
      <c r="AH3414" s="3"/>
      <c r="AI3414" s="3"/>
      <c r="AJ3414" s="3"/>
      <c r="AK3414" s="3"/>
      <c r="AL3414" s="3"/>
    </row>
    <row r="3415" ht="15.75" customHeight="1">
      <c r="A3415" s="1"/>
      <c r="B3415" s="2"/>
      <c r="C3415" s="3"/>
      <c r="D3415" s="3"/>
      <c r="E3415" s="1"/>
      <c r="F3415" s="1"/>
      <c r="G3415" s="1"/>
      <c r="H3415" s="1"/>
      <c r="I3415" s="1"/>
      <c r="J3415" s="3"/>
      <c r="K3415" s="3"/>
      <c r="L3415" s="1"/>
      <c r="M3415" s="1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3"/>
      <c r="AD3415" s="3"/>
      <c r="AE3415" s="3"/>
      <c r="AF3415" s="3"/>
      <c r="AG3415" s="3"/>
      <c r="AH3415" s="3"/>
      <c r="AI3415" s="3"/>
      <c r="AJ3415" s="3"/>
      <c r="AK3415" s="3"/>
      <c r="AL3415" s="3"/>
    </row>
    <row r="3416" ht="15.75" customHeight="1">
      <c r="A3416" s="1"/>
      <c r="B3416" s="2"/>
      <c r="C3416" s="3"/>
      <c r="D3416" s="3"/>
      <c r="E3416" s="1"/>
      <c r="F3416" s="1"/>
      <c r="G3416" s="1"/>
      <c r="H3416" s="1"/>
      <c r="I3416" s="1"/>
      <c r="J3416" s="3"/>
      <c r="K3416" s="3"/>
      <c r="L3416" s="1"/>
      <c r="M3416" s="1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3"/>
      <c r="AE3416" s="3"/>
      <c r="AF3416" s="3"/>
      <c r="AG3416" s="3"/>
      <c r="AH3416" s="3"/>
      <c r="AI3416" s="3"/>
      <c r="AJ3416" s="3"/>
      <c r="AK3416" s="3"/>
      <c r="AL3416" s="3"/>
    </row>
    <row r="3417" ht="15.75" customHeight="1">
      <c r="A3417" s="1"/>
      <c r="B3417" s="2"/>
      <c r="C3417" s="3"/>
      <c r="D3417" s="3"/>
      <c r="E3417" s="1"/>
      <c r="F3417" s="1"/>
      <c r="G3417" s="1"/>
      <c r="H3417" s="1"/>
      <c r="I3417" s="1"/>
      <c r="J3417" s="3"/>
      <c r="K3417" s="3"/>
      <c r="L3417" s="1"/>
      <c r="M3417" s="1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3"/>
      <c r="AD3417" s="3"/>
      <c r="AE3417" s="3"/>
      <c r="AF3417" s="3"/>
      <c r="AG3417" s="3"/>
      <c r="AH3417" s="3"/>
      <c r="AI3417" s="3"/>
      <c r="AJ3417" s="3"/>
      <c r="AK3417" s="3"/>
      <c r="AL3417" s="3"/>
    </row>
    <row r="3418" ht="15.75" customHeight="1">
      <c r="A3418" s="1"/>
      <c r="B3418" s="2"/>
      <c r="C3418" s="3"/>
      <c r="D3418" s="3"/>
      <c r="E3418" s="1"/>
      <c r="F3418" s="1"/>
      <c r="G3418" s="1"/>
      <c r="H3418" s="1"/>
      <c r="I3418" s="1"/>
      <c r="J3418" s="3"/>
      <c r="K3418" s="3"/>
      <c r="L3418" s="1"/>
      <c r="M3418" s="1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3"/>
      <c r="AD3418" s="3"/>
      <c r="AE3418" s="3"/>
      <c r="AF3418" s="3"/>
      <c r="AG3418" s="3"/>
      <c r="AH3418" s="3"/>
      <c r="AI3418" s="3"/>
      <c r="AJ3418" s="3"/>
      <c r="AK3418" s="3"/>
      <c r="AL3418" s="3"/>
    </row>
    <row r="3419" ht="15.75" customHeight="1">
      <c r="A3419" s="1"/>
      <c r="B3419" s="2"/>
      <c r="C3419" s="3"/>
      <c r="D3419" s="3"/>
      <c r="E3419" s="1"/>
      <c r="F3419" s="1"/>
      <c r="G3419" s="1"/>
      <c r="H3419" s="1"/>
      <c r="I3419" s="1"/>
      <c r="J3419" s="3"/>
      <c r="K3419" s="3"/>
      <c r="L3419" s="1"/>
      <c r="M3419" s="1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3"/>
      <c r="AD3419" s="3"/>
      <c r="AE3419" s="3"/>
      <c r="AF3419" s="3"/>
      <c r="AG3419" s="3"/>
      <c r="AH3419" s="3"/>
      <c r="AI3419" s="3"/>
      <c r="AJ3419" s="3"/>
      <c r="AK3419" s="3"/>
      <c r="AL3419" s="3"/>
    </row>
    <row r="3420" ht="15.75" customHeight="1">
      <c r="A3420" s="1"/>
      <c r="B3420" s="2"/>
      <c r="C3420" s="3"/>
      <c r="D3420" s="3"/>
      <c r="E3420" s="1"/>
      <c r="F3420" s="1"/>
      <c r="G3420" s="1"/>
      <c r="H3420" s="1"/>
      <c r="I3420" s="1"/>
      <c r="J3420" s="3"/>
      <c r="K3420" s="3"/>
      <c r="L3420" s="1"/>
      <c r="M3420" s="1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  <c r="AC3420" s="3"/>
      <c r="AD3420" s="3"/>
      <c r="AE3420" s="3"/>
      <c r="AF3420" s="3"/>
      <c r="AG3420" s="3"/>
      <c r="AH3420" s="3"/>
      <c r="AI3420" s="3"/>
      <c r="AJ3420" s="3"/>
      <c r="AK3420" s="3"/>
      <c r="AL3420" s="3"/>
    </row>
    <row r="3421" ht="15.75" customHeight="1">
      <c r="A3421" s="1"/>
      <c r="B3421" s="2"/>
      <c r="C3421" s="3"/>
      <c r="D3421" s="3"/>
      <c r="E3421" s="1"/>
      <c r="F3421" s="1"/>
      <c r="G3421" s="1"/>
      <c r="H3421" s="1"/>
      <c r="I3421" s="1"/>
      <c r="J3421" s="3"/>
      <c r="K3421" s="3"/>
      <c r="L3421" s="1"/>
      <c r="M3421" s="1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  <c r="AD3421" s="3"/>
      <c r="AE3421" s="3"/>
      <c r="AF3421" s="3"/>
      <c r="AG3421" s="3"/>
      <c r="AH3421" s="3"/>
      <c r="AI3421" s="3"/>
      <c r="AJ3421" s="3"/>
      <c r="AK3421" s="3"/>
      <c r="AL3421" s="3"/>
    </row>
    <row r="3422" ht="15.75" customHeight="1">
      <c r="A3422" s="1"/>
      <c r="B3422" s="2"/>
      <c r="C3422" s="3"/>
      <c r="D3422" s="3"/>
      <c r="E3422" s="1"/>
      <c r="F3422" s="1"/>
      <c r="G3422" s="1"/>
      <c r="H3422" s="1"/>
      <c r="I3422" s="1"/>
      <c r="J3422" s="3"/>
      <c r="K3422" s="3"/>
      <c r="L3422" s="1"/>
      <c r="M3422" s="1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  <c r="AC3422" s="3"/>
      <c r="AD3422" s="3"/>
      <c r="AE3422" s="3"/>
      <c r="AF3422" s="3"/>
      <c r="AG3422" s="3"/>
      <c r="AH3422" s="3"/>
      <c r="AI3422" s="3"/>
      <c r="AJ3422" s="3"/>
      <c r="AK3422" s="3"/>
      <c r="AL3422" s="3"/>
    </row>
    <row r="3423" ht="15.75" customHeight="1">
      <c r="A3423" s="1"/>
      <c r="B3423" s="2"/>
      <c r="C3423" s="3"/>
      <c r="D3423" s="3"/>
      <c r="E3423" s="1"/>
      <c r="F3423" s="1"/>
      <c r="G3423" s="1"/>
      <c r="H3423" s="1"/>
      <c r="I3423" s="1"/>
      <c r="J3423" s="3"/>
      <c r="K3423" s="3"/>
      <c r="L3423" s="1"/>
      <c r="M3423" s="1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3"/>
      <c r="AD3423" s="3"/>
      <c r="AE3423" s="3"/>
      <c r="AF3423" s="3"/>
      <c r="AG3423" s="3"/>
      <c r="AH3423" s="3"/>
      <c r="AI3423" s="3"/>
      <c r="AJ3423" s="3"/>
      <c r="AK3423" s="3"/>
      <c r="AL3423" s="3"/>
    </row>
    <row r="3424" ht="15.75" customHeight="1">
      <c r="A3424" s="1"/>
      <c r="B3424" s="2"/>
      <c r="C3424" s="3"/>
      <c r="D3424" s="3"/>
      <c r="E3424" s="1"/>
      <c r="F3424" s="1"/>
      <c r="G3424" s="1"/>
      <c r="H3424" s="1"/>
      <c r="I3424" s="1"/>
      <c r="J3424" s="3"/>
      <c r="K3424" s="3"/>
      <c r="L3424" s="1"/>
      <c r="M3424" s="1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  <c r="AC3424" s="3"/>
      <c r="AD3424" s="3"/>
      <c r="AE3424" s="3"/>
      <c r="AF3424" s="3"/>
      <c r="AG3424" s="3"/>
      <c r="AH3424" s="3"/>
      <c r="AI3424" s="3"/>
      <c r="AJ3424" s="3"/>
      <c r="AK3424" s="3"/>
      <c r="AL3424" s="3"/>
    </row>
    <row r="3425" ht="15.75" customHeight="1">
      <c r="A3425" s="1"/>
      <c r="B3425" s="2"/>
      <c r="C3425" s="3"/>
      <c r="D3425" s="3"/>
      <c r="E3425" s="1"/>
      <c r="F3425" s="1"/>
      <c r="G3425" s="1"/>
      <c r="H3425" s="1"/>
      <c r="I3425" s="1"/>
      <c r="J3425" s="3"/>
      <c r="K3425" s="3"/>
      <c r="L3425" s="1"/>
      <c r="M3425" s="1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  <c r="AC3425" s="3"/>
      <c r="AD3425" s="3"/>
      <c r="AE3425" s="3"/>
      <c r="AF3425" s="3"/>
      <c r="AG3425" s="3"/>
      <c r="AH3425" s="3"/>
      <c r="AI3425" s="3"/>
      <c r="AJ3425" s="3"/>
      <c r="AK3425" s="3"/>
      <c r="AL3425" s="3"/>
    </row>
    <row r="3426" ht="15.75" customHeight="1">
      <c r="A3426" s="1"/>
      <c r="B3426" s="2"/>
      <c r="C3426" s="3"/>
      <c r="D3426" s="3"/>
      <c r="E3426" s="1"/>
      <c r="F3426" s="1"/>
      <c r="G3426" s="1"/>
      <c r="H3426" s="1"/>
      <c r="I3426" s="1"/>
      <c r="J3426" s="3"/>
      <c r="K3426" s="3"/>
      <c r="L3426" s="1"/>
      <c r="M3426" s="1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  <c r="AC3426" s="3"/>
      <c r="AD3426" s="3"/>
      <c r="AE3426" s="3"/>
      <c r="AF3426" s="3"/>
      <c r="AG3426" s="3"/>
      <c r="AH3426" s="3"/>
      <c r="AI3426" s="3"/>
      <c r="AJ3426" s="3"/>
      <c r="AK3426" s="3"/>
      <c r="AL3426" s="3"/>
    </row>
    <row r="3427" ht="15.75" customHeight="1">
      <c r="A3427" s="1"/>
      <c r="B3427" s="2"/>
      <c r="C3427" s="3"/>
      <c r="D3427" s="3"/>
      <c r="E3427" s="1"/>
      <c r="F3427" s="1"/>
      <c r="G3427" s="1"/>
      <c r="H3427" s="1"/>
      <c r="I3427" s="1"/>
      <c r="J3427" s="3"/>
      <c r="K3427" s="3"/>
      <c r="L3427" s="1"/>
      <c r="M3427" s="1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3"/>
      <c r="AD3427" s="3"/>
      <c r="AE3427" s="3"/>
      <c r="AF3427" s="3"/>
      <c r="AG3427" s="3"/>
      <c r="AH3427" s="3"/>
      <c r="AI3427" s="3"/>
      <c r="AJ3427" s="3"/>
      <c r="AK3427" s="3"/>
      <c r="AL3427" s="3"/>
    </row>
    <row r="3428" ht="15.75" customHeight="1">
      <c r="A3428" s="1"/>
      <c r="B3428" s="2"/>
      <c r="C3428" s="3"/>
      <c r="D3428" s="3"/>
      <c r="E3428" s="1"/>
      <c r="F3428" s="1"/>
      <c r="G3428" s="1"/>
      <c r="H3428" s="1"/>
      <c r="I3428" s="1"/>
      <c r="J3428" s="3"/>
      <c r="K3428" s="3"/>
      <c r="L3428" s="1"/>
      <c r="M3428" s="1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  <c r="AC3428" s="3"/>
      <c r="AD3428" s="3"/>
      <c r="AE3428" s="3"/>
      <c r="AF3428" s="3"/>
      <c r="AG3428" s="3"/>
      <c r="AH3428" s="3"/>
      <c r="AI3428" s="3"/>
      <c r="AJ3428" s="3"/>
      <c r="AK3428" s="3"/>
      <c r="AL3428" s="3"/>
    </row>
    <row r="3429" ht="15.75" customHeight="1">
      <c r="A3429" s="1"/>
      <c r="B3429" s="2"/>
      <c r="C3429" s="3"/>
      <c r="D3429" s="3"/>
      <c r="E3429" s="1"/>
      <c r="F3429" s="1"/>
      <c r="G3429" s="1"/>
      <c r="H3429" s="1"/>
      <c r="I3429" s="1"/>
      <c r="J3429" s="3"/>
      <c r="K3429" s="3"/>
      <c r="L3429" s="1"/>
      <c r="M3429" s="1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  <c r="AD3429" s="3"/>
      <c r="AE3429" s="3"/>
      <c r="AF3429" s="3"/>
      <c r="AG3429" s="3"/>
      <c r="AH3429" s="3"/>
      <c r="AI3429" s="3"/>
      <c r="AJ3429" s="3"/>
      <c r="AK3429" s="3"/>
      <c r="AL3429" s="3"/>
    </row>
    <row r="3430" ht="15.75" customHeight="1">
      <c r="A3430" s="1"/>
      <c r="B3430" s="2"/>
      <c r="C3430" s="3"/>
      <c r="D3430" s="3"/>
      <c r="E3430" s="1"/>
      <c r="F3430" s="1"/>
      <c r="G3430" s="1"/>
      <c r="H3430" s="1"/>
      <c r="I3430" s="1"/>
      <c r="J3430" s="3"/>
      <c r="K3430" s="3"/>
      <c r="L3430" s="1"/>
      <c r="M3430" s="1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3"/>
      <c r="AD3430" s="3"/>
      <c r="AE3430" s="3"/>
      <c r="AF3430" s="3"/>
      <c r="AG3430" s="3"/>
      <c r="AH3430" s="3"/>
      <c r="AI3430" s="3"/>
      <c r="AJ3430" s="3"/>
      <c r="AK3430" s="3"/>
      <c r="AL3430" s="3"/>
    </row>
    <row r="3431" ht="15.75" customHeight="1">
      <c r="A3431" s="1"/>
      <c r="B3431" s="2"/>
      <c r="C3431" s="3"/>
      <c r="D3431" s="3"/>
      <c r="E3431" s="1"/>
      <c r="F3431" s="1"/>
      <c r="G3431" s="1"/>
      <c r="H3431" s="1"/>
      <c r="I3431" s="1"/>
      <c r="J3431" s="3"/>
      <c r="K3431" s="3"/>
      <c r="L3431" s="1"/>
      <c r="M3431" s="1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  <c r="AD3431" s="3"/>
      <c r="AE3431" s="3"/>
      <c r="AF3431" s="3"/>
      <c r="AG3431" s="3"/>
      <c r="AH3431" s="3"/>
      <c r="AI3431" s="3"/>
      <c r="AJ3431" s="3"/>
      <c r="AK3431" s="3"/>
      <c r="AL3431" s="3"/>
    </row>
    <row r="3432" ht="15.75" customHeight="1">
      <c r="A3432" s="1"/>
      <c r="B3432" s="2"/>
      <c r="C3432" s="3"/>
      <c r="D3432" s="3"/>
      <c r="E3432" s="1"/>
      <c r="F3432" s="1"/>
      <c r="G3432" s="1"/>
      <c r="H3432" s="1"/>
      <c r="I3432" s="1"/>
      <c r="J3432" s="3"/>
      <c r="K3432" s="3"/>
      <c r="L3432" s="1"/>
      <c r="M3432" s="1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  <c r="AD3432" s="3"/>
      <c r="AE3432" s="3"/>
      <c r="AF3432" s="3"/>
      <c r="AG3432" s="3"/>
      <c r="AH3432" s="3"/>
      <c r="AI3432" s="3"/>
      <c r="AJ3432" s="3"/>
      <c r="AK3432" s="3"/>
      <c r="AL3432" s="3"/>
    </row>
    <row r="3433" ht="15.75" customHeight="1">
      <c r="A3433" s="1"/>
      <c r="B3433" s="2"/>
      <c r="C3433" s="3"/>
      <c r="D3433" s="3"/>
      <c r="E3433" s="1"/>
      <c r="F3433" s="1"/>
      <c r="G3433" s="1"/>
      <c r="H3433" s="1"/>
      <c r="I3433" s="1"/>
      <c r="J3433" s="3"/>
      <c r="K3433" s="3"/>
      <c r="L3433" s="1"/>
      <c r="M3433" s="1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3"/>
      <c r="AD3433" s="3"/>
      <c r="AE3433" s="3"/>
      <c r="AF3433" s="3"/>
      <c r="AG3433" s="3"/>
      <c r="AH3433" s="3"/>
      <c r="AI3433" s="3"/>
      <c r="AJ3433" s="3"/>
      <c r="AK3433" s="3"/>
      <c r="AL3433" s="3"/>
    </row>
    <row r="3434" ht="15.75" customHeight="1">
      <c r="A3434" s="1"/>
      <c r="B3434" s="2"/>
      <c r="C3434" s="3"/>
      <c r="D3434" s="3"/>
      <c r="E3434" s="1"/>
      <c r="F3434" s="1"/>
      <c r="G3434" s="1"/>
      <c r="H3434" s="1"/>
      <c r="I3434" s="1"/>
      <c r="J3434" s="3"/>
      <c r="K3434" s="3"/>
      <c r="L3434" s="1"/>
      <c r="M3434" s="1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3"/>
      <c r="AD3434" s="3"/>
      <c r="AE3434" s="3"/>
      <c r="AF3434" s="3"/>
      <c r="AG3434" s="3"/>
      <c r="AH3434" s="3"/>
      <c r="AI3434" s="3"/>
      <c r="AJ3434" s="3"/>
      <c r="AK3434" s="3"/>
      <c r="AL3434" s="3"/>
    </row>
    <row r="3435" ht="15.75" customHeight="1">
      <c r="A3435" s="1"/>
      <c r="B3435" s="2"/>
      <c r="C3435" s="3"/>
      <c r="D3435" s="3"/>
      <c r="E3435" s="1"/>
      <c r="F3435" s="1"/>
      <c r="G3435" s="1"/>
      <c r="H3435" s="1"/>
      <c r="I3435" s="1"/>
      <c r="J3435" s="3"/>
      <c r="K3435" s="3"/>
      <c r="L3435" s="1"/>
      <c r="M3435" s="1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3"/>
      <c r="AD3435" s="3"/>
      <c r="AE3435" s="3"/>
      <c r="AF3435" s="3"/>
      <c r="AG3435" s="3"/>
      <c r="AH3435" s="3"/>
      <c r="AI3435" s="3"/>
      <c r="AJ3435" s="3"/>
      <c r="AK3435" s="3"/>
      <c r="AL3435" s="3"/>
    </row>
    <row r="3436" ht="15.75" customHeight="1">
      <c r="A3436" s="1"/>
      <c r="B3436" s="2"/>
      <c r="C3436" s="3"/>
      <c r="D3436" s="3"/>
      <c r="E3436" s="1"/>
      <c r="F3436" s="1"/>
      <c r="G3436" s="1"/>
      <c r="H3436" s="1"/>
      <c r="I3436" s="1"/>
      <c r="J3436" s="3"/>
      <c r="K3436" s="3"/>
      <c r="L3436" s="1"/>
      <c r="M3436" s="1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  <c r="AC3436" s="3"/>
      <c r="AD3436" s="3"/>
      <c r="AE3436" s="3"/>
      <c r="AF3436" s="3"/>
      <c r="AG3436" s="3"/>
      <c r="AH3436" s="3"/>
      <c r="AI3436" s="3"/>
      <c r="AJ3436" s="3"/>
      <c r="AK3436" s="3"/>
      <c r="AL3436" s="3"/>
    </row>
    <row r="3437" ht="15.75" customHeight="1">
      <c r="A3437" s="1"/>
      <c r="B3437" s="2"/>
      <c r="C3437" s="3"/>
      <c r="D3437" s="3"/>
      <c r="E3437" s="1"/>
      <c r="F3437" s="1"/>
      <c r="G3437" s="1"/>
      <c r="H3437" s="1"/>
      <c r="I3437" s="1"/>
      <c r="J3437" s="3"/>
      <c r="K3437" s="3"/>
      <c r="L3437" s="1"/>
      <c r="M3437" s="1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  <c r="AC3437" s="3"/>
      <c r="AD3437" s="3"/>
      <c r="AE3437" s="3"/>
      <c r="AF3437" s="3"/>
      <c r="AG3437" s="3"/>
      <c r="AH3437" s="3"/>
      <c r="AI3437" s="3"/>
      <c r="AJ3437" s="3"/>
      <c r="AK3437" s="3"/>
      <c r="AL3437" s="3"/>
    </row>
    <row r="3438" ht="15.75" customHeight="1">
      <c r="A3438" s="1"/>
      <c r="B3438" s="2"/>
      <c r="C3438" s="3"/>
      <c r="D3438" s="3"/>
      <c r="E3438" s="1"/>
      <c r="F3438" s="1"/>
      <c r="G3438" s="1"/>
      <c r="H3438" s="1"/>
      <c r="I3438" s="1"/>
      <c r="J3438" s="3"/>
      <c r="K3438" s="3"/>
      <c r="L3438" s="1"/>
      <c r="M3438" s="1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3"/>
      <c r="AD3438" s="3"/>
      <c r="AE3438" s="3"/>
      <c r="AF3438" s="3"/>
      <c r="AG3438" s="3"/>
      <c r="AH3438" s="3"/>
      <c r="AI3438" s="3"/>
      <c r="AJ3438" s="3"/>
      <c r="AK3438" s="3"/>
      <c r="AL3438" s="3"/>
    </row>
    <row r="3439" ht="15.75" customHeight="1">
      <c r="A3439" s="1"/>
      <c r="B3439" s="2"/>
      <c r="C3439" s="3"/>
      <c r="D3439" s="3"/>
      <c r="E3439" s="1"/>
      <c r="F3439" s="1"/>
      <c r="G3439" s="1"/>
      <c r="H3439" s="1"/>
      <c r="I3439" s="1"/>
      <c r="J3439" s="3"/>
      <c r="K3439" s="3"/>
      <c r="L3439" s="1"/>
      <c r="M3439" s="1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  <c r="AC3439" s="3"/>
      <c r="AD3439" s="3"/>
      <c r="AE3439" s="3"/>
      <c r="AF3439" s="3"/>
      <c r="AG3439" s="3"/>
      <c r="AH3439" s="3"/>
      <c r="AI3439" s="3"/>
      <c r="AJ3439" s="3"/>
      <c r="AK3439" s="3"/>
      <c r="AL3439" s="3"/>
    </row>
    <row r="3440" ht="15.75" customHeight="1">
      <c r="A3440" s="1"/>
      <c r="B3440" s="2"/>
      <c r="C3440" s="3"/>
      <c r="D3440" s="3"/>
      <c r="E3440" s="1"/>
      <c r="F3440" s="1"/>
      <c r="G3440" s="1"/>
      <c r="H3440" s="1"/>
      <c r="I3440" s="1"/>
      <c r="J3440" s="3"/>
      <c r="K3440" s="3"/>
      <c r="L3440" s="1"/>
      <c r="M3440" s="1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3"/>
      <c r="AD3440" s="3"/>
      <c r="AE3440" s="3"/>
      <c r="AF3440" s="3"/>
      <c r="AG3440" s="3"/>
      <c r="AH3440" s="3"/>
      <c r="AI3440" s="3"/>
      <c r="AJ3440" s="3"/>
      <c r="AK3440" s="3"/>
      <c r="AL3440" s="3"/>
    </row>
    <row r="3441" ht="15.75" customHeight="1">
      <c r="A3441" s="1"/>
      <c r="B3441" s="2"/>
      <c r="C3441" s="3"/>
      <c r="D3441" s="3"/>
      <c r="E3441" s="1"/>
      <c r="F3441" s="1"/>
      <c r="G3441" s="1"/>
      <c r="H3441" s="1"/>
      <c r="I3441" s="1"/>
      <c r="J3441" s="3"/>
      <c r="K3441" s="3"/>
      <c r="L3441" s="1"/>
      <c r="M3441" s="1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  <c r="AC3441" s="3"/>
      <c r="AD3441" s="3"/>
      <c r="AE3441" s="3"/>
      <c r="AF3441" s="3"/>
      <c r="AG3441" s="3"/>
      <c r="AH3441" s="3"/>
      <c r="AI3441" s="3"/>
      <c r="AJ3441" s="3"/>
      <c r="AK3441" s="3"/>
      <c r="AL3441" s="3"/>
    </row>
    <row r="3442" ht="15.75" customHeight="1">
      <c r="A3442" s="1"/>
      <c r="B3442" s="2"/>
      <c r="C3442" s="3"/>
      <c r="D3442" s="3"/>
      <c r="E3442" s="1"/>
      <c r="F3442" s="1"/>
      <c r="G3442" s="1"/>
      <c r="H3442" s="1"/>
      <c r="I3442" s="1"/>
      <c r="J3442" s="3"/>
      <c r="K3442" s="3"/>
      <c r="L3442" s="1"/>
      <c r="M3442" s="1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3"/>
      <c r="AD3442" s="3"/>
      <c r="AE3442" s="3"/>
      <c r="AF3442" s="3"/>
      <c r="AG3442" s="3"/>
      <c r="AH3442" s="3"/>
      <c r="AI3442" s="3"/>
      <c r="AJ3442" s="3"/>
      <c r="AK3442" s="3"/>
      <c r="AL3442" s="3"/>
    </row>
    <row r="3443" ht="15.75" customHeight="1">
      <c r="A3443" s="1"/>
      <c r="B3443" s="2"/>
      <c r="C3443" s="3"/>
      <c r="D3443" s="3"/>
      <c r="E3443" s="1"/>
      <c r="F3443" s="1"/>
      <c r="G3443" s="1"/>
      <c r="H3443" s="1"/>
      <c r="I3443" s="1"/>
      <c r="J3443" s="3"/>
      <c r="K3443" s="3"/>
      <c r="L3443" s="1"/>
      <c r="M3443" s="1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  <c r="AD3443" s="3"/>
      <c r="AE3443" s="3"/>
      <c r="AF3443" s="3"/>
      <c r="AG3443" s="3"/>
      <c r="AH3443" s="3"/>
      <c r="AI3443" s="3"/>
      <c r="AJ3443" s="3"/>
      <c r="AK3443" s="3"/>
      <c r="AL3443" s="3"/>
    </row>
    <row r="3444" ht="15.75" customHeight="1">
      <c r="A3444" s="1"/>
      <c r="B3444" s="2"/>
      <c r="C3444" s="3"/>
      <c r="D3444" s="3"/>
      <c r="E3444" s="1"/>
      <c r="F3444" s="1"/>
      <c r="G3444" s="1"/>
      <c r="H3444" s="1"/>
      <c r="I3444" s="1"/>
      <c r="J3444" s="3"/>
      <c r="K3444" s="3"/>
      <c r="L3444" s="1"/>
      <c r="M3444" s="1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3"/>
      <c r="AD3444" s="3"/>
      <c r="AE3444" s="3"/>
      <c r="AF3444" s="3"/>
      <c r="AG3444" s="3"/>
      <c r="AH3444" s="3"/>
      <c r="AI3444" s="3"/>
      <c r="AJ3444" s="3"/>
      <c r="AK3444" s="3"/>
      <c r="AL3444" s="3"/>
    </row>
    <row r="3445" ht="15.75" customHeight="1">
      <c r="A3445" s="1"/>
      <c r="B3445" s="2"/>
      <c r="C3445" s="3"/>
      <c r="D3445" s="3"/>
      <c r="E3445" s="1"/>
      <c r="F3445" s="1"/>
      <c r="G3445" s="1"/>
      <c r="H3445" s="1"/>
      <c r="I3445" s="1"/>
      <c r="J3445" s="3"/>
      <c r="K3445" s="3"/>
      <c r="L3445" s="1"/>
      <c r="M3445" s="1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3"/>
      <c r="AD3445" s="3"/>
      <c r="AE3445" s="3"/>
      <c r="AF3445" s="3"/>
      <c r="AG3445" s="3"/>
      <c r="AH3445" s="3"/>
      <c r="AI3445" s="3"/>
      <c r="AJ3445" s="3"/>
      <c r="AK3445" s="3"/>
      <c r="AL3445" s="3"/>
    </row>
    <row r="3446" ht="15.75" customHeight="1">
      <c r="A3446" s="1"/>
      <c r="B3446" s="2"/>
      <c r="C3446" s="3"/>
      <c r="D3446" s="3"/>
      <c r="E3446" s="1"/>
      <c r="F3446" s="1"/>
      <c r="G3446" s="1"/>
      <c r="H3446" s="1"/>
      <c r="I3446" s="1"/>
      <c r="J3446" s="3"/>
      <c r="K3446" s="3"/>
      <c r="L3446" s="1"/>
      <c r="M3446" s="1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  <c r="AC3446" s="3"/>
      <c r="AD3446" s="3"/>
      <c r="AE3446" s="3"/>
      <c r="AF3446" s="3"/>
      <c r="AG3446" s="3"/>
      <c r="AH3446" s="3"/>
      <c r="AI3446" s="3"/>
      <c r="AJ3446" s="3"/>
      <c r="AK3446" s="3"/>
      <c r="AL3446" s="3"/>
    </row>
    <row r="3447" ht="15.75" customHeight="1">
      <c r="A3447" s="1"/>
      <c r="B3447" s="2"/>
      <c r="C3447" s="3"/>
      <c r="D3447" s="3"/>
      <c r="E3447" s="1"/>
      <c r="F3447" s="1"/>
      <c r="G3447" s="1"/>
      <c r="H3447" s="1"/>
      <c r="I3447" s="1"/>
      <c r="J3447" s="3"/>
      <c r="K3447" s="3"/>
      <c r="L3447" s="1"/>
      <c r="M3447" s="1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  <c r="AC3447" s="3"/>
      <c r="AD3447" s="3"/>
      <c r="AE3447" s="3"/>
      <c r="AF3447" s="3"/>
      <c r="AG3447" s="3"/>
      <c r="AH3447" s="3"/>
      <c r="AI3447" s="3"/>
      <c r="AJ3447" s="3"/>
      <c r="AK3447" s="3"/>
      <c r="AL3447" s="3"/>
    </row>
    <row r="3448" ht="15.75" customHeight="1">
      <c r="A3448" s="1"/>
      <c r="B3448" s="2"/>
      <c r="C3448" s="3"/>
      <c r="D3448" s="3"/>
      <c r="E3448" s="1"/>
      <c r="F3448" s="1"/>
      <c r="G3448" s="1"/>
      <c r="H3448" s="1"/>
      <c r="I3448" s="1"/>
      <c r="J3448" s="3"/>
      <c r="K3448" s="3"/>
      <c r="L3448" s="1"/>
      <c r="M3448" s="1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  <c r="AC3448" s="3"/>
      <c r="AD3448" s="3"/>
      <c r="AE3448" s="3"/>
      <c r="AF3448" s="3"/>
      <c r="AG3448" s="3"/>
      <c r="AH3448" s="3"/>
      <c r="AI3448" s="3"/>
      <c r="AJ3448" s="3"/>
      <c r="AK3448" s="3"/>
      <c r="AL3448" s="3"/>
    </row>
    <row r="3449" ht="15.75" customHeight="1">
      <c r="A3449" s="1"/>
      <c r="B3449" s="2"/>
      <c r="C3449" s="3"/>
      <c r="D3449" s="3"/>
      <c r="E3449" s="1"/>
      <c r="F3449" s="1"/>
      <c r="G3449" s="1"/>
      <c r="H3449" s="1"/>
      <c r="I3449" s="1"/>
      <c r="J3449" s="3"/>
      <c r="K3449" s="3"/>
      <c r="L3449" s="1"/>
      <c r="M3449" s="1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  <c r="AC3449" s="3"/>
      <c r="AD3449" s="3"/>
      <c r="AE3449" s="3"/>
      <c r="AF3449" s="3"/>
      <c r="AG3449" s="3"/>
      <c r="AH3449" s="3"/>
      <c r="AI3449" s="3"/>
      <c r="AJ3449" s="3"/>
      <c r="AK3449" s="3"/>
      <c r="AL3449" s="3"/>
    </row>
    <row r="3450" ht="15.75" customHeight="1">
      <c r="A3450" s="1"/>
      <c r="B3450" s="2"/>
      <c r="C3450" s="3"/>
      <c r="D3450" s="3"/>
      <c r="E3450" s="1"/>
      <c r="F3450" s="1"/>
      <c r="G3450" s="1"/>
      <c r="H3450" s="1"/>
      <c r="I3450" s="1"/>
      <c r="J3450" s="3"/>
      <c r="K3450" s="3"/>
      <c r="L3450" s="1"/>
      <c r="M3450" s="1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  <c r="AC3450" s="3"/>
      <c r="AD3450" s="3"/>
      <c r="AE3450" s="3"/>
      <c r="AF3450" s="3"/>
      <c r="AG3450" s="3"/>
      <c r="AH3450" s="3"/>
      <c r="AI3450" s="3"/>
      <c r="AJ3450" s="3"/>
      <c r="AK3450" s="3"/>
      <c r="AL3450" s="3"/>
    </row>
    <row r="3451" ht="15.75" customHeight="1">
      <c r="A3451" s="1"/>
      <c r="B3451" s="2"/>
      <c r="C3451" s="3"/>
      <c r="D3451" s="3"/>
      <c r="E3451" s="1"/>
      <c r="F3451" s="1"/>
      <c r="G3451" s="1"/>
      <c r="H3451" s="1"/>
      <c r="I3451" s="1"/>
      <c r="J3451" s="3"/>
      <c r="K3451" s="3"/>
      <c r="L3451" s="1"/>
      <c r="M3451" s="1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3"/>
      <c r="AD3451" s="3"/>
      <c r="AE3451" s="3"/>
      <c r="AF3451" s="3"/>
      <c r="AG3451" s="3"/>
      <c r="AH3451" s="3"/>
      <c r="AI3451" s="3"/>
      <c r="AJ3451" s="3"/>
      <c r="AK3451" s="3"/>
      <c r="AL3451" s="3"/>
    </row>
    <row r="3452" ht="15.75" customHeight="1">
      <c r="A3452" s="1"/>
      <c r="B3452" s="2"/>
      <c r="C3452" s="3"/>
      <c r="D3452" s="3"/>
      <c r="E3452" s="1"/>
      <c r="F3452" s="1"/>
      <c r="G3452" s="1"/>
      <c r="H3452" s="1"/>
      <c r="I3452" s="1"/>
      <c r="J3452" s="3"/>
      <c r="K3452" s="3"/>
      <c r="L3452" s="1"/>
      <c r="M3452" s="1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  <c r="AC3452" s="3"/>
      <c r="AD3452" s="3"/>
      <c r="AE3452" s="3"/>
      <c r="AF3452" s="3"/>
      <c r="AG3452" s="3"/>
      <c r="AH3452" s="3"/>
      <c r="AI3452" s="3"/>
      <c r="AJ3452" s="3"/>
      <c r="AK3452" s="3"/>
      <c r="AL3452" s="3"/>
    </row>
    <row r="3453" ht="15.75" customHeight="1">
      <c r="A3453" s="1"/>
      <c r="B3453" s="2"/>
      <c r="C3453" s="3"/>
      <c r="D3453" s="3"/>
      <c r="E3453" s="1"/>
      <c r="F3453" s="1"/>
      <c r="G3453" s="1"/>
      <c r="H3453" s="1"/>
      <c r="I3453" s="1"/>
      <c r="J3453" s="3"/>
      <c r="K3453" s="3"/>
      <c r="L3453" s="1"/>
      <c r="M3453" s="1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  <c r="AC3453" s="3"/>
      <c r="AD3453" s="3"/>
      <c r="AE3453" s="3"/>
      <c r="AF3453" s="3"/>
      <c r="AG3453" s="3"/>
      <c r="AH3453" s="3"/>
      <c r="AI3453" s="3"/>
      <c r="AJ3453" s="3"/>
      <c r="AK3453" s="3"/>
      <c r="AL3453" s="3"/>
    </row>
    <row r="3454" ht="15.75" customHeight="1">
      <c r="A3454" s="1"/>
      <c r="B3454" s="2"/>
      <c r="C3454" s="3"/>
      <c r="D3454" s="3"/>
      <c r="E3454" s="1"/>
      <c r="F3454" s="1"/>
      <c r="G3454" s="1"/>
      <c r="H3454" s="1"/>
      <c r="I3454" s="1"/>
      <c r="J3454" s="3"/>
      <c r="K3454" s="3"/>
      <c r="L3454" s="1"/>
      <c r="M3454" s="1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3"/>
      <c r="AE3454" s="3"/>
      <c r="AF3454" s="3"/>
      <c r="AG3454" s="3"/>
      <c r="AH3454" s="3"/>
      <c r="AI3454" s="3"/>
      <c r="AJ3454" s="3"/>
      <c r="AK3454" s="3"/>
      <c r="AL3454" s="3"/>
    </row>
    <row r="3455" ht="15.75" customHeight="1">
      <c r="A3455" s="1"/>
      <c r="B3455" s="2"/>
      <c r="C3455" s="3"/>
      <c r="D3455" s="3"/>
      <c r="E3455" s="1"/>
      <c r="F3455" s="1"/>
      <c r="G3455" s="1"/>
      <c r="H3455" s="1"/>
      <c r="I3455" s="1"/>
      <c r="J3455" s="3"/>
      <c r="K3455" s="3"/>
      <c r="L3455" s="1"/>
      <c r="M3455" s="1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  <c r="AD3455" s="3"/>
      <c r="AE3455" s="3"/>
      <c r="AF3455" s="3"/>
      <c r="AG3455" s="3"/>
      <c r="AH3455" s="3"/>
      <c r="AI3455" s="3"/>
      <c r="AJ3455" s="3"/>
      <c r="AK3455" s="3"/>
      <c r="AL3455" s="3"/>
    </row>
    <row r="3456" ht="15.75" customHeight="1">
      <c r="A3456" s="1"/>
      <c r="B3456" s="2"/>
      <c r="C3456" s="3"/>
      <c r="D3456" s="3"/>
      <c r="E3456" s="1"/>
      <c r="F3456" s="1"/>
      <c r="G3456" s="1"/>
      <c r="H3456" s="1"/>
      <c r="I3456" s="1"/>
      <c r="J3456" s="3"/>
      <c r="K3456" s="3"/>
      <c r="L3456" s="1"/>
      <c r="M3456" s="1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3"/>
      <c r="AD3456" s="3"/>
      <c r="AE3456" s="3"/>
      <c r="AF3456" s="3"/>
      <c r="AG3456" s="3"/>
      <c r="AH3456" s="3"/>
      <c r="AI3456" s="3"/>
      <c r="AJ3456" s="3"/>
      <c r="AK3456" s="3"/>
      <c r="AL3456" s="3"/>
    </row>
    <row r="3457" ht="15.75" customHeight="1">
      <c r="A3457" s="1"/>
      <c r="B3457" s="2"/>
      <c r="C3457" s="3"/>
      <c r="D3457" s="3"/>
      <c r="E3457" s="1"/>
      <c r="F3457" s="1"/>
      <c r="G3457" s="1"/>
      <c r="H3457" s="1"/>
      <c r="I3457" s="1"/>
      <c r="J3457" s="3"/>
      <c r="K3457" s="3"/>
      <c r="L3457" s="1"/>
      <c r="M3457" s="1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3"/>
      <c r="AD3457" s="3"/>
      <c r="AE3457" s="3"/>
      <c r="AF3457" s="3"/>
      <c r="AG3457" s="3"/>
      <c r="AH3457" s="3"/>
      <c r="AI3457" s="3"/>
      <c r="AJ3457" s="3"/>
      <c r="AK3457" s="3"/>
      <c r="AL3457" s="3"/>
    </row>
    <row r="3458" ht="15.75" customHeight="1">
      <c r="A3458" s="1"/>
      <c r="B3458" s="2"/>
      <c r="C3458" s="3"/>
      <c r="D3458" s="3"/>
      <c r="E3458" s="1"/>
      <c r="F3458" s="1"/>
      <c r="G3458" s="1"/>
      <c r="H3458" s="1"/>
      <c r="I3458" s="1"/>
      <c r="J3458" s="3"/>
      <c r="K3458" s="3"/>
      <c r="L3458" s="1"/>
      <c r="M3458" s="1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  <c r="AD3458" s="3"/>
      <c r="AE3458" s="3"/>
      <c r="AF3458" s="3"/>
      <c r="AG3458" s="3"/>
      <c r="AH3458" s="3"/>
      <c r="AI3458" s="3"/>
      <c r="AJ3458" s="3"/>
      <c r="AK3458" s="3"/>
      <c r="AL3458" s="3"/>
    </row>
    <row r="3459" ht="15.75" customHeight="1">
      <c r="A3459" s="1"/>
      <c r="B3459" s="2"/>
      <c r="C3459" s="3"/>
      <c r="D3459" s="3"/>
      <c r="E3459" s="1"/>
      <c r="F3459" s="1"/>
      <c r="G3459" s="1"/>
      <c r="H3459" s="1"/>
      <c r="I3459" s="1"/>
      <c r="J3459" s="3"/>
      <c r="K3459" s="3"/>
      <c r="L3459" s="1"/>
      <c r="M3459" s="1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3"/>
      <c r="AD3459" s="3"/>
      <c r="AE3459" s="3"/>
      <c r="AF3459" s="3"/>
      <c r="AG3459" s="3"/>
      <c r="AH3459" s="3"/>
      <c r="AI3459" s="3"/>
      <c r="AJ3459" s="3"/>
      <c r="AK3459" s="3"/>
      <c r="AL3459" s="3"/>
    </row>
    <row r="3460" ht="15.75" customHeight="1">
      <c r="A3460" s="1"/>
      <c r="B3460" s="2"/>
      <c r="C3460" s="3"/>
      <c r="D3460" s="3"/>
      <c r="E3460" s="1"/>
      <c r="F3460" s="1"/>
      <c r="G3460" s="1"/>
      <c r="H3460" s="1"/>
      <c r="I3460" s="1"/>
      <c r="J3460" s="3"/>
      <c r="K3460" s="3"/>
      <c r="L3460" s="1"/>
      <c r="M3460" s="1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3"/>
      <c r="AD3460" s="3"/>
      <c r="AE3460" s="3"/>
      <c r="AF3460" s="3"/>
      <c r="AG3460" s="3"/>
      <c r="AH3460" s="3"/>
      <c r="AI3460" s="3"/>
      <c r="AJ3460" s="3"/>
      <c r="AK3460" s="3"/>
      <c r="AL3460" s="3"/>
    </row>
    <row r="3461" ht="15.75" customHeight="1">
      <c r="A3461" s="1"/>
      <c r="B3461" s="2"/>
      <c r="C3461" s="3"/>
      <c r="D3461" s="3"/>
      <c r="E3461" s="1"/>
      <c r="F3461" s="1"/>
      <c r="G3461" s="1"/>
      <c r="H3461" s="1"/>
      <c r="I3461" s="1"/>
      <c r="J3461" s="3"/>
      <c r="K3461" s="3"/>
      <c r="L3461" s="1"/>
      <c r="M3461" s="1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3"/>
      <c r="AE3461" s="3"/>
      <c r="AF3461" s="3"/>
      <c r="AG3461" s="3"/>
      <c r="AH3461" s="3"/>
      <c r="AI3461" s="3"/>
      <c r="AJ3461" s="3"/>
      <c r="AK3461" s="3"/>
      <c r="AL3461" s="3"/>
    </row>
    <row r="3462" ht="15.75" customHeight="1">
      <c r="A3462" s="1"/>
      <c r="B3462" s="2"/>
      <c r="C3462" s="3"/>
      <c r="D3462" s="3"/>
      <c r="E3462" s="1"/>
      <c r="F3462" s="1"/>
      <c r="G3462" s="1"/>
      <c r="H3462" s="1"/>
      <c r="I3462" s="1"/>
      <c r="J3462" s="3"/>
      <c r="K3462" s="3"/>
      <c r="L3462" s="1"/>
      <c r="M3462" s="1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  <c r="AD3462" s="3"/>
      <c r="AE3462" s="3"/>
      <c r="AF3462" s="3"/>
      <c r="AG3462" s="3"/>
      <c r="AH3462" s="3"/>
      <c r="AI3462" s="3"/>
      <c r="AJ3462" s="3"/>
      <c r="AK3462" s="3"/>
      <c r="AL3462" s="3"/>
    </row>
    <row r="3463" ht="15.75" customHeight="1">
      <c r="A3463" s="1"/>
      <c r="B3463" s="2"/>
      <c r="C3463" s="3"/>
      <c r="D3463" s="3"/>
      <c r="E3463" s="1"/>
      <c r="F3463" s="1"/>
      <c r="G3463" s="1"/>
      <c r="H3463" s="1"/>
      <c r="I3463" s="1"/>
      <c r="J3463" s="3"/>
      <c r="K3463" s="3"/>
      <c r="L3463" s="1"/>
      <c r="M3463" s="1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3"/>
      <c r="AE3463" s="3"/>
      <c r="AF3463" s="3"/>
      <c r="AG3463" s="3"/>
      <c r="AH3463" s="3"/>
      <c r="AI3463" s="3"/>
      <c r="AJ3463" s="3"/>
      <c r="AK3463" s="3"/>
      <c r="AL3463" s="3"/>
    </row>
    <row r="3464" ht="15.75" customHeight="1">
      <c r="A3464" s="1"/>
      <c r="B3464" s="2"/>
      <c r="C3464" s="3"/>
      <c r="D3464" s="3"/>
      <c r="E3464" s="1"/>
      <c r="F3464" s="1"/>
      <c r="G3464" s="1"/>
      <c r="H3464" s="1"/>
      <c r="I3464" s="1"/>
      <c r="J3464" s="3"/>
      <c r="K3464" s="3"/>
      <c r="L3464" s="1"/>
      <c r="M3464" s="1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  <c r="AD3464" s="3"/>
      <c r="AE3464" s="3"/>
      <c r="AF3464" s="3"/>
      <c r="AG3464" s="3"/>
      <c r="AH3464" s="3"/>
      <c r="AI3464" s="3"/>
      <c r="AJ3464" s="3"/>
      <c r="AK3464" s="3"/>
      <c r="AL3464" s="3"/>
    </row>
    <row r="3465" ht="15.75" customHeight="1">
      <c r="A3465" s="1"/>
      <c r="B3465" s="2"/>
      <c r="C3465" s="3"/>
      <c r="D3465" s="3"/>
      <c r="E3465" s="1"/>
      <c r="F3465" s="1"/>
      <c r="G3465" s="1"/>
      <c r="H3465" s="1"/>
      <c r="I3465" s="1"/>
      <c r="J3465" s="3"/>
      <c r="K3465" s="3"/>
      <c r="L3465" s="1"/>
      <c r="M3465" s="1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  <c r="AC3465" s="3"/>
      <c r="AD3465" s="3"/>
      <c r="AE3465" s="3"/>
      <c r="AF3465" s="3"/>
      <c r="AG3465" s="3"/>
      <c r="AH3465" s="3"/>
      <c r="AI3465" s="3"/>
      <c r="AJ3465" s="3"/>
      <c r="AK3465" s="3"/>
      <c r="AL3465" s="3"/>
    </row>
    <row r="3466" ht="15.75" customHeight="1">
      <c r="A3466" s="1"/>
      <c r="B3466" s="2"/>
      <c r="C3466" s="3"/>
      <c r="D3466" s="3"/>
      <c r="E3466" s="1"/>
      <c r="F3466" s="1"/>
      <c r="G3466" s="1"/>
      <c r="H3466" s="1"/>
      <c r="I3466" s="1"/>
      <c r="J3466" s="3"/>
      <c r="K3466" s="3"/>
      <c r="L3466" s="1"/>
      <c r="M3466" s="1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  <c r="AC3466" s="3"/>
      <c r="AD3466" s="3"/>
      <c r="AE3466" s="3"/>
      <c r="AF3466" s="3"/>
      <c r="AG3466" s="3"/>
      <c r="AH3466" s="3"/>
      <c r="AI3466" s="3"/>
      <c r="AJ3466" s="3"/>
      <c r="AK3466" s="3"/>
      <c r="AL3466" s="3"/>
    </row>
    <row r="3467" ht="15.75" customHeight="1">
      <c r="A3467" s="1"/>
      <c r="B3467" s="2"/>
      <c r="C3467" s="3"/>
      <c r="D3467" s="3"/>
      <c r="E3467" s="1"/>
      <c r="F3467" s="1"/>
      <c r="G3467" s="1"/>
      <c r="H3467" s="1"/>
      <c r="I3467" s="1"/>
      <c r="J3467" s="3"/>
      <c r="K3467" s="3"/>
      <c r="L3467" s="1"/>
      <c r="M3467" s="1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3"/>
      <c r="AE3467" s="3"/>
      <c r="AF3467" s="3"/>
      <c r="AG3467" s="3"/>
      <c r="AH3467" s="3"/>
      <c r="AI3467" s="3"/>
      <c r="AJ3467" s="3"/>
      <c r="AK3467" s="3"/>
      <c r="AL3467" s="3"/>
    </row>
    <row r="3468" ht="15.75" customHeight="1">
      <c r="A3468" s="1"/>
      <c r="B3468" s="2"/>
      <c r="C3468" s="3"/>
      <c r="D3468" s="3"/>
      <c r="E3468" s="1"/>
      <c r="F3468" s="1"/>
      <c r="G3468" s="1"/>
      <c r="H3468" s="1"/>
      <c r="I3468" s="1"/>
      <c r="J3468" s="3"/>
      <c r="K3468" s="3"/>
      <c r="L3468" s="1"/>
      <c r="M3468" s="1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  <c r="AC3468" s="3"/>
      <c r="AD3468" s="3"/>
      <c r="AE3468" s="3"/>
      <c r="AF3468" s="3"/>
      <c r="AG3468" s="3"/>
      <c r="AH3468" s="3"/>
      <c r="AI3468" s="3"/>
      <c r="AJ3468" s="3"/>
      <c r="AK3468" s="3"/>
      <c r="AL3468" s="3"/>
    </row>
    <row r="3469" ht="15.75" customHeight="1">
      <c r="A3469" s="1"/>
      <c r="B3469" s="2"/>
      <c r="C3469" s="3"/>
      <c r="D3469" s="3"/>
      <c r="E3469" s="1"/>
      <c r="F3469" s="1"/>
      <c r="G3469" s="1"/>
      <c r="H3469" s="1"/>
      <c r="I3469" s="1"/>
      <c r="J3469" s="3"/>
      <c r="K3469" s="3"/>
      <c r="L3469" s="1"/>
      <c r="M3469" s="1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  <c r="AD3469" s="3"/>
      <c r="AE3469" s="3"/>
      <c r="AF3469" s="3"/>
      <c r="AG3469" s="3"/>
      <c r="AH3469" s="3"/>
      <c r="AI3469" s="3"/>
      <c r="AJ3469" s="3"/>
      <c r="AK3469" s="3"/>
      <c r="AL3469" s="3"/>
    </row>
    <row r="3470" ht="15.75" customHeight="1">
      <c r="A3470" s="1"/>
      <c r="B3470" s="2"/>
      <c r="C3470" s="3"/>
      <c r="D3470" s="3"/>
      <c r="E3470" s="1"/>
      <c r="F3470" s="1"/>
      <c r="G3470" s="1"/>
      <c r="H3470" s="1"/>
      <c r="I3470" s="1"/>
      <c r="J3470" s="3"/>
      <c r="K3470" s="3"/>
      <c r="L3470" s="1"/>
      <c r="M3470" s="1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  <c r="AC3470" s="3"/>
      <c r="AD3470" s="3"/>
      <c r="AE3470" s="3"/>
      <c r="AF3470" s="3"/>
      <c r="AG3470" s="3"/>
      <c r="AH3470" s="3"/>
      <c r="AI3470" s="3"/>
      <c r="AJ3470" s="3"/>
      <c r="AK3470" s="3"/>
      <c r="AL3470" s="3"/>
    </row>
    <row r="3471" ht="15.75" customHeight="1">
      <c r="A3471" s="1"/>
      <c r="B3471" s="2"/>
      <c r="C3471" s="3"/>
      <c r="D3471" s="3"/>
      <c r="E3471" s="1"/>
      <c r="F3471" s="1"/>
      <c r="G3471" s="1"/>
      <c r="H3471" s="1"/>
      <c r="I3471" s="1"/>
      <c r="J3471" s="3"/>
      <c r="K3471" s="3"/>
      <c r="L3471" s="1"/>
      <c r="M3471" s="1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3"/>
      <c r="AD3471" s="3"/>
      <c r="AE3471" s="3"/>
      <c r="AF3471" s="3"/>
      <c r="AG3471" s="3"/>
      <c r="AH3471" s="3"/>
      <c r="AI3471" s="3"/>
      <c r="AJ3471" s="3"/>
      <c r="AK3471" s="3"/>
      <c r="AL3471" s="3"/>
    </row>
    <row r="3472" ht="15.75" customHeight="1">
      <c r="A3472" s="1"/>
      <c r="B3472" s="2"/>
      <c r="C3472" s="3"/>
      <c r="D3472" s="3"/>
      <c r="E3472" s="1"/>
      <c r="F3472" s="1"/>
      <c r="G3472" s="1"/>
      <c r="H3472" s="1"/>
      <c r="I3472" s="1"/>
      <c r="J3472" s="3"/>
      <c r="K3472" s="3"/>
      <c r="L3472" s="1"/>
      <c r="M3472" s="1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3"/>
      <c r="AD3472" s="3"/>
      <c r="AE3472" s="3"/>
      <c r="AF3472" s="3"/>
      <c r="AG3472" s="3"/>
      <c r="AH3472" s="3"/>
      <c r="AI3472" s="3"/>
      <c r="AJ3472" s="3"/>
      <c r="AK3472" s="3"/>
      <c r="AL3472" s="3"/>
    </row>
    <row r="3473" ht="15.75" customHeight="1">
      <c r="A3473" s="1"/>
      <c r="B3473" s="2"/>
      <c r="C3473" s="3"/>
      <c r="D3473" s="3"/>
      <c r="E3473" s="1"/>
      <c r="F3473" s="1"/>
      <c r="G3473" s="1"/>
      <c r="H3473" s="1"/>
      <c r="I3473" s="1"/>
      <c r="J3473" s="3"/>
      <c r="K3473" s="3"/>
      <c r="L3473" s="1"/>
      <c r="M3473" s="1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  <c r="AC3473" s="3"/>
      <c r="AD3473" s="3"/>
      <c r="AE3473" s="3"/>
      <c r="AF3473" s="3"/>
      <c r="AG3473" s="3"/>
      <c r="AH3473" s="3"/>
      <c r="AI3473" s="3"/>
      <c r="AJ3473" s="3"/>
      <c r="AK3473" s="3"/>
      <c r="AL3473" s="3"/>
    </row>
    <row r="3474" ht="15.75" customHeight="1">
      <c r="A3474" s="1"/>
      <c r="B3474" s="2"/>
      <c r="C3474" s="3"/>
      <c r="D3474" s="3"/>
      <c r="E3474" s="1"/>
      <c r="F3474" s="1"/>
      <c r="G3474" s="1"/>
      <c r="H3474" s="1"/>
      <c r="I3474" s="1"/>
      <c r="J3474" s="3"/>
      <c r="K3474" s="3"/>
      <c r="L3474" s="1"/>
      <c r="M3474" s="1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  <c r="AC3474" s="3"/>
      <c r="AD3474" s="3"/>
      <c r="AE3474" s="3"/>
      <c r="AF3474" s="3"/>
      <c r="AG3474" s="3"/>
      <c r="AH3474" s="3"/>
      <c r="AI3474" s="3"/>
      <c r="AJ3474" s="3"/>
      <c r="AK3474" s="3"/>
      <c r="AL3474" s="3"/>
    </row>
    <row r="3475" ht="15.75" customHeight="1">
      <c r="A3475" s="1"/>
      <c r="B3475" s="2"/>
      <c r="C3475" s="3"/>
      <c r="D3475" s="3"/>
      <c r="E3475" s="1"/>
      <c r="F3475" s="1"/>
      <c r="G3475" s="1"/>
      <c r="H3475" s="1"/>
      <c r="I3475" s="1"/>
      <c r="J3475" s="3"/>
      <c r="K3475" s="3"/>
      <c r="L3475" s="1"/>
      <c r="M3475" s="1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  <c r="AC3475" s="3"/>
      <c r="AD3475" s="3"/>
      <c r="AE3475" s="3"/>
      <c r="AF3475" s="3"/>
      <c r="AG3475" s="3"/>
      <c r="AH3475" s="3"/>
      <c r="AI3475" s="3"/>
      <c r="AJ3475" s="3"/>
      <c r="AK3475" s="3"/>
      <c r="AL3475" s="3"/>
    </row>
    <row r="3476" ht="15.75" customHeight="1">
      <c r="A3476" s="1"/>
      <c r="B3476" s="2"/>
      <c r="C3476" s="3"/>
      <c r="D3476" s="3"/>
      <c r="E3476" s="1"/>
      <c r="F3476" s="1"/>
      <c r="G3476" s="1"/>
      <c r="H3476" s="1"/>
      <c r="I3476" s="1"/>
      <c r="J3476" s="3"/>
      <c r="K3476" s="3"/>
      <c r="L3476" s="1"/>
      <c r="M3476" s="1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  <c r="AC3476" s="3"/>
      <c r="AD3476" s="3"/>
      <c r="AE3476" s="3"/>
      <c r="AF3476" s="3"/>
      <c r="AG3476" s="3"/>
      <c r="AH3476" s="3"/>
      <c r="AI3476" s="3"/>
      <c r="AJ3476" s="3"/>
      <c r="AK3476" s="3"/>
      <c r="AL3476" s="3"/>
    </row>
    <row r="3477" ht="15.75" customHeight="1">
      <c r="A3477" s="1"/>
      <c r="B3477" s="2"/>
      <c r="C3477" s="3"/>
      <c r="D3477" s="3"/>
      <c r="E3477" s="1"/>
      <c r="F3477" s="1"/>
      <c r="G3477" s="1"/>
      <c r="H3477" s="1"/>
      <c r="I3477" s="1"/>
      <c r="J3477" s="3"/>
      <c r="K3477" s="3"/>
      <c r="L3477" s="1"/>
      <c r="M3477" s="1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  <c r="AD3477" s="3"/>
      <c r="AE3477" s="3"/>
      <c r="AF3477" s="3"/>
      <c r="AG3477" s="3"/>
      <c r="AH3477" s="3"/>
      <c r="AI3477" s="3"/>
      <c r="AJ3477" s="3"/>
      <c r="AK3477" s="3"/>
      <c r="AL3477" s="3"/>
    </row>
    <row r="3478" ht="15.75" customHeight="1">
      <c r="A3478" s="1"/>
      <c r="B3478" s="2"/>
      <c r="C3478" s="3"/>
      <c r="D3478" s="3"/>
      <c r="E3478" s="1"/>
      <c r="F3478" s="1"/>
      <c r="G3478" s="1"/>
      <c r="H3478" s="1"/>
      <c r="I3478" s="1"/>
      <c r="J3478" s="3"/>
      <c r="K3478" s="3"/>
      <c r="L3478" s="1"/>
      <c r="M3478" s="1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  <c r="AE3478" s="3"/>
      <c r="AF3478" s="3"/>
      <c r="AG3478" s="3"/>
      <c r="AH3478" s="3"/>
      <c r="AI3478" s="3"/>
      <c r="AJ3478" s="3"/>
      <c r="AK3478" s="3"/>
      <c r="AL3478" s="3"/>
    </row>
    <row r="3479" ht="15.75" customHeight="1">
      <c r="A3479" s="1"/>
      <c r="B3479" s="2"/>
      <c r="C3479" s="3"/>
      <c r="D3479" s="3"/>
      <c r="E3479" s="1"/>
      <c r="F3479" s="1"/>
      <c r="G3479" s="1"/>
      <c r="H3479" s="1"/>
      <c r="I3479" s="1"/>
      <c r="J3479" s="3"/>
      <c r="K3479" s="3"/>
      <c r="L3479" s="1"/>
      <c r="M3479" s="1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3"/>
      <c r="AD3479" s="3"/>
      <c r="AE3479" s="3"/>
      <c r="AF3479" s="3"/>
      <c r="AG3479" s="3"/>
      <c r="AH3479" s="3"/>
      <c r="AI3479" s="3"/>
      <c r="AJ3479" s="3"/>
      <c r="AK3479" s="3"/>
      <c r="AL3479" s="3"/>
    </row>
    <row r="3480" ht="15.75" customHeight="1">
      <c r="A3480" s="1"/>
      <c r="B3480" s="2"/>
      <c r="C3480" s="3"/>
      <c r="D3480" s="3"/>
      <c r="E3480" s="1"/>
      <c r="F3480" s="1"/>
      <c r="G3480" s="1"/>
      <c r="H3480" s="1"/>
      <c r="I3480" s="1"/>
      <c r="J3480" s="3"/>
      <c r="K3480" s="3"/>
      <c r="L3480" s="1"/>
      <c r="M3480" s="1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  <c r="AC3480" s="3"/>
      <c r="AD3480" s="3"/>
      <c r="AE3480" s="3"/>
      <c r="AF3480" s="3"/>
      <c r="AG3480" s="3"/>
      <c r="AH3480" s="3"/>
      <c r="AI3480" s="3"/>
      <c r="AJ3480" s="3"/>
      <c r="AK3480" s="3"/>
      <c r="AL3480" s="3"/>
    </row>
    <row r="3481" ht="15.75" customHeight="1">
      <c r="A3481" s="1"/>
      <c r="B3481" s="2"/>
      <c r="C3481" s="3"/>
      <c r="D3481" s="3"/>
      <c r="E3481" s="1"/>
      <c r="F3481" s="1"/>
      <c r="G3481" s="1"/>
      <c r="H3481" s="1"/>
      <c r="I3481" s="1"/>
      <c r="J3481" s="3"/>
      <c r="K3481" s="3"/>
      <c r="L3481" s="1"/>
      <c r="M3481" s="1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3"/>
      <c r="AD3481" s="3"/>
      <c r="AE3481" s="3"/>
      <c r="AF3481" s="3"/>
      <c r="AG3481" s="3"/>
      <c r="AH3481" s="3"/>
      <c r="AI3481" s="3"/>
      <c r="AJ3481" s="3"/>
      <c r="AK3481" s="3"/>
      <c r="AL3481" s="3"/>
    </row>
    <row r="3482" ht="15.75" customHeight="1">
      <c r="A3482" s="1"/>
      <c r="B3482" s="2"/>
      <c r="C3482" s="3"/>
      <c r="D3482" s="3"/>
      <c r="E3482" s="1"/>
      <c r="F3482" s="1"/>
      <c r="G3482" s="1"/>
      <c r="H3482" s="1"/>
      <c r="I3482" s="1"/>
      <c r="J3482" s="3"/>
      <c r="K3482" s="3"/>
      <c r="L3482" s="1"/>
      <c r="M3482" s="1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3"/>
      <c r="AD3482" s="3"/>
      <c r="AE3482" s="3"/>
      <c r="AF3482" s="3"/>
      <c r="AG3482" s="3"/>
      <c r="AH3482" s="3"/>
      <c r="AI3482" s="3"/>
      <c r="AJ3482" s="3"/>
      <c r="AK3482" s="3"/>
      <c r="AL3482" s="3"/>
    </row>
    <row r="3483" ht="15.75" customHeight="1">
      <c r="A3483" s="1"/>
      <c r="B3483" s="2"/>
      <c r="C3483" s="3"/>
      <c r="D3483" s="3"/>
      <c r="E3483" s="1"/>
      <c r="F3483" s="1"/>
      <c r="G3483" s="1"/>
      <c r="H3483" s="1"/>
      <c r="I3483" s="1"/>
      <c r="J3483" s="3"/>
      <c r="K3483" s="3"/>
      <c r="L3483" s="1"/>
      <c r="M3483" s="1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  <c r="AC3483" s="3"/>
      <c r="AD3483" s="3"/>
      <c r="AE3483" s="3"/>
      <c r="AF3483" s="3"/>
      <c r="AG3483" s="3"/>
      <c r="AH3483" s="3"/>
      <c r="AI3483" s="3"/>
      <c r="AJ3483" s="3"/>
      <c r="AK3483" s="3"/>
      <c r="AL3483" s="3"/>
    </row>
    <row r="3484" ht="15.75" customHeight="1">
      <c r="A3484" s="1"/>
      <c r="B3484" s="2"/>
      <c r="C3484" s="3"/>
      <c r="D3484" s="3"/>
      <c r="E3484" s="1"/>
      <c r="F3484" s="1"/>
      <c r="G3484" s="1"/>
      <c r="H3484" s="1"/>
      <c r="I3484" s="1"/>
      <c r="J3484" s="3"/>
      <c r="K3484" s="3"/>
      <c r="L3484" s="1"/>
      <c r="M3484" s="1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3"/>
      <c r="AD3484" s="3"/>
      <c r="AE3484" s="3"/>
      <c r="AF3484" s="3"/>
      <c r="AG3484" s="3"/>
      <c r="AH3484" s="3"/>
      <c r="AI3484" s="3"/>
      <c r="AJ3484" s="3"/>
      <c r="AK3484" s="3"/>
      <c r="AL3484" s="3"/>
    </row>
    <row r="3485" ht="15.75" customHeight="1">
      <c r="A3485" s="1"/>
      <c r="B3485" s="2"/>
      <c r="C3485" s="3"/>
      <c r="D3485" s="3"/>
      <c r="E3485" s="1"/>
      <c r="F3485" s="1"/>
      <c r="G3485" s="1"/>
      <c r="H3485" s="1"/>
      <c r="I3485" s="1"/>
      <c r="J3485" s="3"/>
      <c r="K3485" s="3"/>
      <c r="L3485" s="1"/>
      <c r="M3485" s="1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  <c r="AC3485" s="3"/>
      <c r="AD3485" s="3"/>
      <c r="AE3485" s="3"/>
      <c r="AF3485" s="3"/>
      <c r="AG3485" s="3"/>
      <c r="AH3485" s="3"/>
      <c r="AI3485" s="3"/>
      <c r="AJ3485" s="3"/>
      <c r="AK3485" s="3"/>
      <c r="AL3485" s="3"/>
    </row>
    <row r="3486" ht="15.75" customHeight="1">
      <c r="A3486" s="1"/>
      <c r="B3486" s="2"/>
      <c r="C3486" s="3"/>
      <c r="D3486" s="3"/>
      <c r="E3486" s="1"/>
      <c r="F3486" s="1"/>
      <c r="G3486" s="1"/>
      <c r="H3486" s="1"/>
      <c r="I3486" s="1"/>
      <c r="J3486" s="3"/>
      <c r="K3486" s="3"/>
      <c r="L3486" s="1"/>
      <c r="M3486" s="1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  <c r="AD3486" s="3"/>
      <c r="AE3486" s="3"/>
      <c r="AF3486" s="3"/>
      <c r="AG3486" s="3"/>
      <c r="AH3486" s="3"/>
      <c r="AI3486" s="3"/>
      <c r="AJ3486" s="3"/>
      <c r="AK3486" s="3"/>
      <c r="AL3486" s="3"/>
    </row>
    <row r="3487" ht="15.75" customHeight="1">
      <c r="A3487" s="1"/>
      <c r="B3487" s="2"/>
      <c r="C3487" s="3"/>
      <c r="D3487" s="3"/>
      <c r="E3487" s="1"/>
      <c r="F3487" s="1"/>
      <c r="G3487" s="1"/>
      <c r="H3487" s="1"/>
      <c r="I3487" s="1"/>
      <c r="J3487" s="3"/>
      <c r="K3487" s="3"/>
      <c r="L3487" s="1"/>
      <c r="M3487" s="1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  <c r="AC3487" s="3"/>
      <c r="AD3487" s="3"/>
      <c r="AE3487" s="3"/>
      <c r="AF3487" s="3"/>
      <c r="AG3487" s="3"/>
      <c r="AH3487" s="3"/>
      <c r="AI3487" s="3"/>
      <c r="AJ3487" s="3"/>
      <c r="AK3487" s="3"/>
      <c r="AL3487" s="3"/>
    </row>
    <row r="3488" ht="15.75" customHeight="1">
      <c r="A3488" s="1"/>
      <c r="B3488" s="2"/>
      <c r="C3488" s="3"/>
      <c r="D3488" s="3"/>
      <c r="E3488" s="1"/>
      <c r="F3488" s="1"/>
      <c r="G3488" s="1"/>
      <c r="H3488" s="1"/>
      <c r="I3488" s="1"/>
      <c r="J3488" s="3"/>
      <c r="K3488" s="3"/>
      <c r="L3488" s="1"/>
      <c r="M3488" s="1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  <c r="AC3488" s="3"/>
      <c r="AD3488" s="3"/>
      <c r="AE3488" s="3"/>
      <c r="AF3488" s="3"/>
      <c r="AG3488" s="3"/>
      <c r="AH3488" s="3"/>
      <c r="AI3488" s="3"/>
      <c r="AJ3488" s="3"/>
      <c r="AK3488" s="3"/>
      <c r="AL3488" s="3"/>
    </row>
    <row r="3489" ht="15.75" customHeight="1">
      <c r="A3489" s="1"/>
      <c r="B3489" s="2"/>
      <c r="C3489" s="3"/>
      <c r="D3489" s="3"/>
      <c r="E3489" s="1"/>
      <c r="F3489" s="1"/>
      <c r="G3489" s="1"/>
      <c r="H3489" s="1"/>
      <c r="I3489" s="1"/>
      <c r="J3489" s="3"/>
      <c r="K3489" s="3"/>
      <c r="L3489" s="1"/>
      <c r="M3489" s="1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  <c r="AC3489" s="3"/>
      <c r="AD3489" s="3"/>
      <c r="AE3489" s="3"/>
      <c r="AF3489" s="3"/>
      <c r="AG3489" s="3"/>
      <c r="AH3489" s="3"/>
      <c r="AI3489" s="3"/>
      <c r="AJ3489" s="3"/>
      <c r="AK3489" s="3"/>
      <c r="AL3489" s="3"/>
    </row>
    <row r="3490" ht="15.75" customHeight="1">
      <c r="A3490" s="1"/>
      <c r="B3490" s="2"/>
      <c r="C3490" s="3"/>
      <c r="D3490" s="3"/>
      <c r="E3490" s="1"/>
      <c r="F3490" s="1"/>
      <c r="G3490" s="1"/>
      <c r="H3490" s="1"/>
      <c r="I3490" s="1"/>
      <c r="J3490" s="3"/>
      <c r="K3490" s="3"/>
      <c r="L3490" s="1"/>
      <c r="M3490" s="1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3"/>
      <c r="AD3490" s="3"/>
      <c r="AE3490" s="3"/>
      <c r="AF3490" s="3"/>
      <c r="AG3490" s="3"/>
      <c r="AH3490" s="3"/>
      <c r="AI3490" s="3"/>
      <c r="AJ3490" s="3"/>
      <c r="AK3490" s="3"/>
      <c r="AL3490" s="3"/>
    </row>
    <row r="3491" ht="15.75" customHeight="1">
      <c r="A3491" s="1"/>
      <c r="B3491" s="2"/>
      <c r="C3491" s="3"/>
      <c r="D3491" s="3"/>
      <c r="E3491" s="1"/>
      <c r="F3491" s="1"/>
      <c r="G3491" s="1"/>
      <c r="H3491" s="1"/>
      <c r="I3491" s="1"/>
      <c r="J3491" s="3"/>
      <c r="K3491" s="3"/>
      <c r="L3491" s="1"/>
      <c r="M3491" s="1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  <c r="AC3491" s="3"/>
      <c r="AD3491" s="3"/>
      <c r="AE3491" s="3"/>
      <c r="AF3491" s="3"/>
      <c r="AG3491" s="3"/>
      <c r="AH3491" s="3"/>
      <c r="AI3491" s="3"/>
      <c r="AJ3491" s="3"/>
      <c r="AK3491" s="3"/>
      <c r="AL3491" s="3"/>
    </row>
    <row r="3492" ht="15.75" customHeight="1">
      <c r="A3492" s="1"/>
      <c r="B3492" s="2"/>
      <c r="C3492" s="3"/>
      <c r="D3492" s="3"/>
      <c r="E3492" s="1"/>
      <c r="F3492" s="1"/>
      <c r="G3492" s="1"/>
      <c r="H3492" s="1"/>
      <c r="I3492" s="1"/>
      <c r="J3492" s="3"/>
      <c r="K3492" s="3"/>
      <c r="L3492" s="1"/>
      <c r="M3492" s="1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3"/>
      <c r="AD3492" s="3"/>
      <c r="AE3492" s="3"/>
      <c r="AF3492" s="3"/>
      <c r="AG3492" s="3"/>
      <c r="AH3492" s="3"/>
      <c r="AI3492" s="3"/>
      <c r="AJ3492" s="3"/>
      <c r="AK3492" s="3"/>
      <c r="AL3492" s="3"/>
    </row>
    <row r="3493" ht="15.75" customHeight="1">
      <c r="A3493" s="1"/>
      <c r="B3493" s="2"/>
      <c r="C3493" s="3"/>
      <c r="D3493" s="3"/>
      <c r="E3493" s="1"/>
      <c r="F3493" s="1"/>
      <c r="G3493" s="1"/>
      <c r="H3493" s="1"/>
      <c r="I3493" s="1"/>
      <c r="J3493" s="3"/>
      <c r="K3493" s="3"/>
      <c r="L3493" s="1"/>
      <c r="M3493" s="1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  <c r="AC3493" s="3"/>
      <c r="AD3493" s="3"/>
      <c r="AE3493" s="3"/>
      <c r="AF3493" s="3"/>
      <c r="AG3493" s="3"/>
      <c r="AH3493" s="3"/>
      <c r="AI3493" s="3"/>
      <c r="AJ3493" s="3"/>
      <c r="AK3493" s="3"/>
      <c r="AL3493" s="3"/>
    </row>
    <row r="3494" ht="15.75" customHeight="1">
      <c r="A3494" s="1"/>
      <c r="B3494" s="2"/>
      <c r="C3494" s="3"/>
      <c r="D3494" s="3"/>
      <c r="E3494" s="1"/>
      <c r="F3494" s="1"/>
      <c r="G3494" s="1"/>
      <c r="H3494" s="1"/>
      <c r="I3494" s="1"/>
      <c r="J3494" s="3"/>
      <c r="K3494" s="3"/>
      <c r="L3494" s="1"/>
      <c r="M3494" s="1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  <c r="AD3494" s="3"/>
      <c r="AE3494" s="3"/>
      <c r="AF3494" s="3"/>
      <c r="AG3494" s="3"/>
      <c r="AH3494" s="3"/>
      <c r="AI3494" s="3"/>
      <c r="AJ3494" s="3"/>
      <c r="AK3494" s="3"/>
      <c r="AL3494" s="3"/>
    </row>
    <row r="3495" ht="15.75" customHeight="1">
      <c r="A3495" s="1"/>
      <c r="B3495" s="2"/>
      <c r="C3495" s="3"/>
      <c r="D3495" s="3"/>
      <c r="E3495" s="1"/>
      <c r="F3495" s="1"/>
      <c r="G3495" s="1"/>
      <c r="H3495" s="1"/>
      <c r="I3495" s="1"/>
      <c r="J3495" s="3"/>
      <c r="K3495" s="3"/>
      <c r="L3495" s="1"/>
      <c r="M3495" s="1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  <c r="AC3495" s="3"/>
      <c r="AD3495" s="3"/>
      <c r="AE3495" s="3"/>
      <c r="AF3495" s="3"/>
      <c r="AG3495" s="3"/>
      <c r="AH3495" s="3"/>
      <c r="AI3495" s="3"/>
      <c r="AJ3495" s="3"/>
      <c r="AK3495" s="3"/>
      <c r="AL3495" s="3"/>
    </row>
    <row r="3496" ht="15.75" customHeight="1">
      <c r="A3496" s="1"/>
      <c r="B3496" s="2"/>
      <c r="C3496" s="3"/>
      <c r="D3496" s="3"/>
      <c r="E3496" s="1"/>
      <c r="F3496" s="1"/>
      <c r="G3496" s="1"/>
      <c r="H3496" s="1"/>
      <c r="I3496" s="1"/>
      <c r="J3496" s="3"/>
      <c r="K3496" s="3"/>
      <c r="L3496" s="1"/>
      <c r="M3496" s="1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  <c r="AD3496" s="3"/>
      <c r="AE3496" s="3"/>
      <c r="AF3496" s="3"/>
      <c r="AG3496" s="3"/>
      <c r="AH3496" s="3"/>
      <c r="AI3496" s="3"/>
      <c r="AJ3496" s="3"/>
      <c r="AK3496" s="3"/>
      <c r="AL3496" s="3"/>
    </row>
    <row r="3497" ht="15.75" customHeight="1">
      <c r="A3497" s="1"/>
      <c r="B3497" s="2"/>
      <c r="C3497" s="3"/>
      <c r="D3497" s="3"/>
      <c r="E3497" s="1"/>
      <c r="F3497" s="1"/>
      <c r="G3497" s="1"/>
      <c r="H3497" s="1"/>
      <c r="I3497" s="1"/>
      <c r="J3497" s="3"/>
      <c r="K3497" s="3"/>
      <c r="L3497" s="1"/>
      <c r="M3497" s="1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3"/>
      <c r="AD3497" s="3"/>
      <c r="AE3497" s="3"/>
      <c r="AF3497" s="3"/>
      <c r="AG3497" s="3"/>
      <c r="AH3497" s="3"/>
      <c r="AI3497" s="3"/>
      <c r="AJ3497" s="3"/>
      <c r="AK3497" s="3"/>
      <c r="AL3497" s="3"/>
    </row>
    <row r="3498" ht="15.75" customHeight="1">
      <c r="A3498" s="1"/>
      <c r="B3498" s="2"/>
      <c r="C3498" s="3"/>
      <c r="D3498" s="3"/>
      <c r="E3498" s="1"/>
      <c r="F3498" s="1"/>
      <c r="G3498" s="1"/>
      <c r="H3498" s="1"/>
      <c r="I3498" s="1"/>
      <c r="J3498" s="3"/>
      <c r="K3498" s="3"/>
      <c r="L3498" s="1"/>
      <c r="M3498" s="1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  <c r="AC3498" s="3"/>
      <c r="AD3498" s="3"/>
      <c r="AE3498" s="3"/>
      <c r="AF3498" s="3"/>
      <c r="AG3498" s="3"/>
      <c r="AH3498" s="3"/>
      <c r="AI3498" s="3"/>
      <c r="AJ3498" s="3"/>
      <c r="AK3498" s="3"/>
      <c r="AL3498" s="3"/>
    </row>
    <row r="3499" ht="15.75" customHeight="1">
      <c r="A3499" s="1"/>
      <c r="B3499" s="2"/>
      <c r="C3499" s="3"/>
      <c r="D3499" s="3"/>
      <c r="E3499" s="1"/>
      <c r="F3499" s="1"/>
      <c r="G3499" s="1"/>
      <c r="H3499" s="1"/>
      <c r="I3499" s="1"/>
      <c r="J3499" s="3"/>
      <c r="K3499" s="3"/>
      <c r="L3499" s="1"/>
      <c r="M3499" s="1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  <c r="AC3499" s="3"/>
      <c r="AD3499" s="3"/>
      <c r="AE3499" s="3"/>
      <c r="AF3499" s="3"/>
      <c r="AG3499" s="3"/>
      <c r="AH3499" s="3"/>
      <c r="AI3499" s="3"/>
      <c r="AJ3499" s="3"/>
      <c r="AK3499" s="3"/>
      <c r="AL3499" s="3"/>
    </row>
    <row r="3500" ht="15.75" customHeight="1">
      <c r="A3500" s="1"/>
      <c r="B3500" s="2"/>
      <c r="C3500" s="3"/>
      <c r="D3500" s="3"/>
      <c r="E3500" s="1"/>
      <c r="F3500" s="1"/>
      <c r="G3500" s="1"/>
      <c r="H3500" s="1"/>
      <c r="I3500" s="1"/>
      <c r="J3500" s="3"/>
      <c r="K3500" s="3"/>
      <c r="L3500" s="1"/>
      <c r="M3500" s="1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3"/>
      <c r="AD3500" s="3"/>
      <c r="AE3500" s="3"/>
      <c r="AF3500" s="3"/>
      <c r="AG3500" s="3"/>
      <c r="AH3500" s="3"/>
      <c r="AI3500" s="3"/>
      <c r="AJ3500" s="3"/>
      <c r="AK3500" s="3"/>
      <c r="AL3500" s="3"/>
    </row>
    <row r="3501" ht="15.75" customHeight="1">
      <c r="A3501" s="1"/>
      <c r="B3501" s="2"/>
      <c r="C3501" s="3"/>
      <c r="D3501" s="3"/>
      <c r="E3501" s="1"/>
      <c r="F3501" s="1"/>
      <c r="G3501" s="1"/>
      <c r="H3501" s="1"/>
      <c r="I3501" s="1"/>
      <c r="J3501" s="3"/>
      <c r="K3501" s="3"/>
      <c r="L3501" s="1"/>
      <c r="M3501" s="1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3"/>
      <c r="AD3501" s="3"/>
      <c r="AE3501" s="3"/>
      <c r="AF3501" s="3"/>
      <c r="AG3501" s="3"/>
      <c r="AH3501" s="3"/>
      <c r="AI3501" s="3"/>
      <c r="AJ3501" s="3"/>
      <c r="AK3501" s="3"/>
      <c r="AL3501" s="3"/>
    </row>
    <row r="3502" ht="15.75" customHeight="1">
      <c r="A3502" s="1"/>
      <c r="B3502" s="2"/>
      <c r="C3502" s="3"/>
      <c r="D3502" s="3"/>
      <c r="E3502" s="1"/>
      <c r="F3502" s="1"/>
      <c r="G3502" s="1"/>
      <c r="H3502" s="1"/>
      <c r="I3502" s="1"/>
      <c r="J3502" s="3"/>
      <c r="K3502" s="3"/>
      <c r="L3502" s="1"/>
      <c r="M3502" s="1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  <c r="AC3502" s="3"/>
      <c r="AD3502" s="3"/>
      <c r="AE3502" s="3"/>
      <c r="AF3502" s="3"/>
      <c r="AG3502" s="3"/>
      <c r="AH3502" s="3"/>
      <c r="AI3502" s="3"/>
      <c r="AJ3502" s="3"/>
      <c r="AK3502" s="3"/>
      <c r="AL3502" s="3"/>
    </row>
    <row r="3503" ht="15.75" customHeight="1">
      <c r="A3503" s="1"/>
      <c r="B3503" s="2"/>
      <c r="C3503" s="3"/>
      <c r="D3503" s="3"/>
      <c r="E3503" s="1"/>
      <c r="F3503" s="1"/>
      <c r="G3503" s="1"/>
      <c r="H3503" s="1"/>
      <c r="I3503" s="1"/>
      <c r="J3503" s="3"/>
      <c r="K3503" s="3"/>
      <c r="L3503" s="1"/>
      <c r="M3503" s="1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  <c r="AC3503" s="3"/>
      <c r="AD3503" s="3"/>
      <c r="AE3503" s="3"/>
      <c r="AF3503" s="3"/>
      <c r="AG3503" s="3"/>
      <c r="AH3503" s="3"/>
      <c r="AI3503" s="3"/>
      <c r="AJ3503" s="3"/>
      <c r="AK3503" s="3"/>
      <c r="AL3503" s="3"/>
    </row>
    <row r="3504" ht="15.75" customHeight="1">
      <c r="A3504" s="1"/>
      <c r="B3504" s="2"/>
      <c r="C3504" s="3"/>
      <c r="D3504" s="3"/>
      <c r="E3504" s="1"/>
      <c r="F3504" s="1"/>
      <c r="G3504" s="1"/>
      <c r="H3504" s="1"/>
      <c r="I3504" s="1"/>
      <c r="J3504" s="3"/>
      <c r="K3504" s="3"/>
      <c r="L3504" s="1"/>
      <c r="M3504" s="1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  <c r="AC3504" s="3"/>
      <c r="AD3504" s="3"/>
      <c r="AE3504" s="3"/>
      <c r="AF3504" s="3"/>
      <c r="AG3504" s="3"/>
      <c r="AH3504" s="3"/>
      <c r="AI3504" s="3"/>
      <c r="AJ3504" s="3"/>
      <c r="AK3504" s="3"/>
      <c r="AL3504" s="3"/>
    </row>
    <row r="3505" ht="15.75" customHeight="1">
      <c r="A3505" s="1"/>
      <c r="B3505" s="2"/>
      <c r="C3505" s="3"/>
      <c r="D3505" s="3"/>
      <c r="E3505" s="1"/>
      <c r="F3505" s="1"/>
      <c r="G3505" s="1"/>
      <c r="H3505" s="1"/>
      <c r="I3505" s="1"/>
      <c r="J3505" s="3"/>
      <c r="K3505" s="3"/>
      <c r="L3505" s="1"/>
      <c r="M3505" s="1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  <c r="AC3505" s="3"/>
      <c r="AD3505" s="3"/>
      <c r="AE3505" s="3"/>
      <c r="AF3505" s="3"/>
      <c r="AG3505" s="3"/>
      <c r="AH3505" s="3"/>
      <c r="AI3505" s="3"/>
      <c r="AJ3505" s="3"/>
      <c r="AK3505" s="3"/>
      <c r="AL3505" s="3"/>
    </row>
    <row r="3506" ht="15.75" customHeight="1">
      <c r="A3506" s="1"/>
      <c r="B3506" s="2"/>
      <c r="C3506" s="3"/>
      <c r="D3506" s="3"/>
      <c r="E3506" s="1"/>
      <c r="F3506" s="1"/>
      <c r="G3506" s="1"/>
      <c r="H3506" s="1"/>
      <c r="I3506" s="1"/>
      <c r="J3506" s="3"/>
      <c r="K3506" s="3"/>
      <c r="L3506" s="1"/>
      <c r="M3506" s="1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3"/>
      <c r="AD3506" s="3"/>
      <c r="AE3506" s="3"/>
      <c r="AF3506" s="3"/>
      <c r="AG3506" s="3"/>
      <c r="AH3506" s="3"/>
      <c r="AI3506" s="3"/>
      <c r="AJ3506" s="3"/>
      <c r="AK3506" s="3"/>
      <c r="AL3506" s="3"/>
    </row>
    <row r="3507" ht="15.75" customHeight="1">
      <c r="A3507" s="1"/>
      <c r="B3507" s="2"/>
      <c r="C3507" s="3"/>
      <c r="D3507" s="3"/>
      <c r="E3507" s="1"/>
      <c r="F3507" s="1"/>
      <c r="G3507" s="1"/>
      <c r="H3507" s="1"/>
      <c r="I3507" s="1"/>
      <c r="J3507" s="3"/>
      <c r="K3507" s="3"/>
      <c r="L3507" s="1"/>
      <c r="M3507" s="1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3"/>
      <c r="AD3507" s="3"/>
      <c r="AE3507" s="3"/>
      <c r="AF3507" s="3"/>
      <c r="AG3507" s="3"/>
      <c r="AH3507" s="3"/>
      <c r="AI3507" s="3"/>
      <c r="AJ3507" s="3"/>
      <c r="AK3507" s="3"/>
      <c r="AL3507" s="3"/>
    </row>
    <row r="3508" ht="15.75" customHeight="1">
      <c r="A3508" s="1"/>
      <c r="B3508" s="2"/>
      <c r="C3508" s="3"/>
      <c r="D3508" s="3"/>
      <c r="E3508" s="1"/>
      <c r="F3508" s="1"/>
      <c r="G3508" s="1"/>
      <c r="H3508" s="1"/>
      <c r="I3508" s="1"/>
      <c r="J3508" s="3"/>
      <c r="K3508" s="3"/>
      <c r="L3508" s="1"/>
      <c r="M3508" s="1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3"/>
      <c r="AD3508" s="3"/>
      <c r="AE3508" s="3"/>
      <c r="AF3508" s="3"/>
      <c r="AG3508" s="3"/>
      <c r="AH3508" s="3"/>
      <c r="AI3508" s="3"/>
      <c r="AJ3508" s="3"/>
      <c r="AK3508" s="3"/>
      <c r="AL3508" s="3"/>
    </row>
    <row r="3509" ht="15.75" customHeight="1">
      <c r="A3509" s="1"/>
      <c r="B3509" s="2"/>
      <c r="C3509" s="3"/>
      <c r="D3509" s="3"/>
      <c r="E3509" s="1"/>
      <c r="F3509" s="1"/>
      <c r="G3509" s="1"/>
      <c r="H3509" s="1"/>
      <c r="I3509" s="1"/>
      <c r="J3509" s="3"/>
      <c r="K3509" s="3"/>
      <c r="L3509" s="1"/>
      <c r="M3509" s="1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3"/>
      <c r="AD3509" s="3"/>
      <c r="AE3509" s="3"/>
      <c r="AF3509" s="3"/>
      <c r="AG3509" s="3"/>
      <c r="AH3509" s="3"/>
      <c r="AI3509" s="3"/>
      <c r="AJ3509" s="3"/>
      <c r="AK3509" s="3"/>
      <c r="AL3509" s="3"/>
    </row>
    <row r="3510" ht="15.75" customHeight="1">
      <c r="A3510" s="1"/>
      <c r="B3510" s="2"/>
      <c r="C3510" s="3"/>
      <c r="D3510" s="3"/>
      <c r="E3510" s="1"/>
      <c r="F3510" s="1"/>
      <c r="G3510" s="1"/>
      <c r="H3510" s="1"/>
      <c r="I3510" s="1"/>
      <c r="J3510" s="3"/>
      <c r="K3510" s="3"/>
      <c r="L3510" s="1"/>
      <c r="M3510" s="1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3"/>
      <c r="AD3510" s="3"/>
      <c r="AE3510" s="3"/>
      <c r="AF3510" s="3"/>
      <c r="AG3510" s="3"/>
      <c r="AH3510" s="3"/>
      <c r="AI3510" s="3"/>
      <c r="AJ3510" s="3"/>
      <c r="AK3510" s="3"/>
      <c r="AL3510" s="3"/>
    </row>
    <row r="3511" ht="15.75" customHeight="1">
      <c r="A3511" s="1"/>
      <c r="B3511" s="2"/>
      <c r="C3511" s="3"/>
      <c r="D3511" s="3"/>
      <c r="E3511" s="1"/>
      <c r="F3511" s="1"/>
      <c r="G3511" s="1"/>
      <c r="H3511" s="1"/>
      <c r="I3511" s="1"/>
      <c r="J3511" s="3"/>
      <c r="K3511" s="3"/>
      <c r="L3511" s="1"/>
      <c r="M3511" s="1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3"/>
      <c r="AD3511" s="3"/>
      <c r="AE3511" s="3"/>
      <c r="AF3511" s="3"/>
      <c r="AG3511" s="3"/>
      <c r="AH3511" s="3"/>
      <c r="AI3511" s="3"/>
      <c r="AJ3511" s="3"/>
      <c r="AK3511" s="3"/>
      <c r="AL3511" s="3"/>
    </row>
    <row r="3512" ht="15.75" customHeight="1">
      <c r="A3512" s="1"/>
      <c r="B3512" s="2"/>
      <c r="C3512" s="3"/>
      <c r="D3512" s="3"/>
      <c r="E3512" s="1"/>
      <c r="F3512" s="1"/>
      <c r="G3512" s="1"/>
      <c r="H3512" s="1"/>
      <c r="I3512" s="1"/>
      <c r="J3512" s="3"/>
      <c r="K3512" s="3"/>
      <c r="L3512" s="1"/>
      <c r="M3512" s="1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  <c r="AC3512" s="3"/>
      <c r="AD3512" s="3"/>
      <c r="AE3512" s="3"/>
      <c r="AF3512" s="3"/>
      <c r="AG3512" s="3"/>
      <c r="AH3512" s="3"/>
      <c r="AI3512" s="3"/>
      <c r="AJ3512" s="3"/>
      <c r="AK3512" s="3"/>
      <c r="AL3512" s="3"/>
    </row>
    <row r="3513" ht="15.75" customHeight="1">
      <c r="A3513" s="1"/>
      <c r="B3513" s="2"/>
      <c r="C3513" s="3"/>
      <c r="D3513" s="3"/>
      <c r="E3513" s="1"/>
      <c r="F3513" s="1"/>
      <c r="G3513" s="1"/>
      <c r="H3513" s="1"/>
      <c r="I3513" s="1"/>
      <c r="J3513" s="3"/>
      <c r="K3513" s="3"/>
      <c r="L3513" s="1"/>
      <c r="M3513" s="1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  <c r="AC3513" s="3"/>
      <c r="AD3513" s="3"/>
      <c r="AE3513" s="3"/>
      <c r="AF3513" s="3"/>
      <c r="AG3513" s="3"/>
      <c r="AH3513" s="3"/>
      <c r="AI3513" s="3"/>
      <c r="AJ3513" s="3"/>
      <c r="AK3513" s="3"/>
      <c r="AL3513" s="3"/>
    </row>
    <row r="3514" ht="15.75" customHeight="1">
      <c r="A3514" s="1"/>
      <c r="B3514" s="2"/>
      <c r="C3514" s="3"/>
      <c r="D3514" s="3"/>
      <c r="E3514" s="1"/>
      <c r="F3514" s="1"/>
      <c r="G3514" s="1"/>
      <c r="H3514" s="1"/>
      <c r="I3514" s="1"/>
      <c r="J3514" s="3"/>
      <c r="K3514" s="3"/>
      <c r="L3514" s="1"/>
      <c r="M3514" s="1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3"/>
      <c r="AD3514" s="3"/>
      <c r="AE3514" s="3"/>
      <c r="AF3514" s="3"/>
      <c r="AG3514" s="3"/>
      <c r="AH3514" s="3"/>
      <c r="AI3514" s="3"/>
      <c r="AJ3514" s="3"/>
      <c r="AK3514" s="3"/>
      <c r="AL3514" s="3"/>
    </row>
    <row r="3515" ht="15.75" customHeight="1">
      <c r="A3515" s="1"/>
      <c r="B3515" s="2"/>
      <c r="C3515" s="3"/>
      <c r="D3515" s="3"/>
      <c r="E3515" s="1"/>
      <c r="F3515" s="1"/>
      <c r="G3515" s="1"/>
      <c r="H3515" s="1"/>
      <c r="I3515" s="1"/>
      <c r="J3515" s="3"/>
      <c r="K3515" s="3"/>
      <c r="L3515" s="1"/>
      <c r="M3515" s="1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  <c r="AC3515" s="3"/>
      <c r="AD3515" s="3"/>
      <c r="AE3515" s="3"/>
      <c r="AF3515" s="3"/>
      <c r="AG3515" s="3"/>
      <c r="AH3515" s="3"/>
      <c r="AI3515" s="3"/>
      <c r="AJ3515" s="3"/>
      <c r="AK3515" s="3"/>
      <c r="AL3515" s="3"/>
    </row>
    <row r="3516" ht="15.75" customHeight="1">
      <c r="A3516" s="1"/>
      <c r="B3516" s="2"/>
      <c r="C3516" s="3"/>
      <c r="D3516" s="3"/>
      <c r="E3516" s="1"/>
      <c r="F3516" s="1"/>
      <c r="G3516" s="1"/>
      <c r="H3516" s="1"/>
      <c r="I3516" s="1"/>
      <c r="J3516" s="3"/>
      <c r="K3516" s="3"/>
      <c r="L3516" s="1"/>
      <c r="M3516" s="1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3"/>
      <c r="AD3516" s="3"/>
      <c r="AE3516" s="3"/>
      <c r="AF3516" s="3"/>
      <c r="AG3516" s="3"/>
      <c r="AH3516" s="3"/>
      <c r="AI3516" s="3"/>
      <c r="AJ3516" s="3"/>
      <c r="AK3516" s="3"/>
      <c r="AL3516" s="3"/>
    </row>
    <row r="3517" ht="15.75" customHeight="1">
      <c r="A3517" s="1"/>
      <c r="B3517" s="2"/>
      <c r="C3517" s="3"/>
      <c r="D3517" s="3"/>
      <c r="E3517" s="1"/>
      <c r="F3517" s="1"/>
      <c r="G3517" s="1"/>
      <c r="H3517" s="1"/>
      <c r="I3517" s="1"/>
      <c r="J3517" s="3"/>
      <c r="K3517" s="3"/>
      <c r="L3517" s="1"/>
      <c r="M3517" s="1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3"/>
      <c r="AE3517" s="3"/>
      <c r="AF3517" s="3"/>
      <c r="AG3517" s="3"/>
      <c r="AH3517" s="3"/>
      <c r="AI3517" s="3"/>
      <c r="AJ3517" s="3"/>
      <c r="AK3517" s="3"/>
      <c r="AL3517" s="3"/>
    </row>
    <row r="3518" ht="15.75" customHeight="1">
      <c r="A3518" s="1"/>
      <c r="B3518" s="2"/>
      <c r="C3518" s="3"/>
      <c r="D3518" s="3"/>
      <c r="E3518" s="1"/>
      <c r="F3518" s="1"/>
      <c r="G3518" s="1"/>
      <c r="H3518" s="1"/>
      <c r="I3518" s="1"/>
      <c r="J3518" s="3"/>
      <c r="K3518" s="3"/>
      <c r="L3518" s="1"/>
      <c r="M3518" s="1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  <c r="AC3518" s="3"/>
      <c r="AD3518" s="3"/>
      <c r="AE3518" s="3"/>
      <c r="AF3518" s="3"/>
      <c r="AG3518" s="3"/>
      <c r="AH3518" s="3"/>
      <c r="AI3518" s="3"/>
      <c r="AJ3518" s="3"/>
      <c r="AK3518" s="3"/>
      <c r="AL3518" s="3"/>
    </row>
    <row r="3519" ht="15.75" customHeight="1">
      <c r="A3519" s="1"/>
      <c r="B3519" s="2"/>
      <c r="C3519" s="3"/>
      <c r="D3519" s="3"/>
      <c r="E3519" s="1"/>
      <c r="F3519" s="1"/>
      <c r="G3519" s="1"/>
      <c r="H3519" s="1"/>
      <c r="I3519" s="1"/>
      <c r="J3519" s="3"/>
      <c r="K3519" s="3"/>
      <c r="L3519" s="1"/>
      <c r="M3519" s="1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3"/>
      <c r="AD3519" s="3"/>
      <c r="AE3519" s="3"/>
      <c r="AF3519" s="3"/>
      <c r="AG3519" s="3"/>
      <c r="AH3519" s="3"/>
      <c r="AI3519" s="3"/>
      <c r="AJ3519" s="3"/>
      <c r="AK3519" s="3"/>
      <c r="AL3519" s="3"/>
    </row>
    <row r="3520" ht="15.75" customHeight="1">
      <c r="A3520" s="1"/>
      <c r="B3520" s="2"/>
      <c r="C3520" s="3"/>
      <c r="D3520" s="3"/>
      <c r="E3520" s="1"/>
      <c r="F3520" s="1"/>
      <c r="G3520" s="1"/>
      <c r="H3520" s="1"/>
      <c r="I3520" s="1"/>
      <c r="J3520" s="3"/>
      <c r="K3520" s="3"/>
      <c r="L3520" s="1"/>
      <c r="M3520" s="1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  <c r="AC3520" s="3"/>
      <c r="AD3520" s="3"/>
      <c r="AE3520" s="3"/>
      <c r="AF3520" s="3"/>
      <c r="AG3520" s="3"/>
      <c r="AH3520" s="3"/>
      <c r="AI3520" s="3"/>
      <c r="AJ3520" s="3"/>
      <c r="AK3520" s="3"/>
      <c r="AL3520" s="3"/>
    </row>
    <row r="3521" ht="15.75" customHeight="1">
      <c r="A3521" s="1"/>
      <c r="B3521" s="2"/>
      <c r="C3521" s="3"/>
      <c r="D3521" s="3"/>
      <c r="E3521" s="1"/>
      <c r="F3521" s="1"/>
      <c r="G3521" s="1"/>
      <c r="H3521" s="1"/>
      <c r="I3521" s="1"/>
      <c r="J3521" s="3"/>
      <c r="K3521" s="3"/>
      <c r="L3521" s="1"/>
      <c r="M3521" s="1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3"/>
      <c r="AD3521" s="3"/>
      <c r="AE3521" s="3"/>
      <c r="AF3521" s="3"/>
      <c r="AG3521" s="3"/>
      <c r="AH3521" s="3"/>
      <c r="AI3521" s="3"/>
      <c r="AJ3521" s="3"/>
      <c r="AK3521" s="3"/>
      <c r="AL3521" s="3"/>
    </row>
    <row r="3522" ht="15.75" customHeight="1">
      <c r="A3522" s="1"/>
      <c r="B3522" s="2"/>
      <c r="C3522" s="3"/>
      <c r="D3522" s="3"/>
      <c r="E3522" s="1"/>
      <c r="F3522" s="1"/>
      <c r="G3522" s="1"/>
      <c r="H3522" s="1"/>
      <c r="I3522" s="1"/>
      <c r="J3522" s="3"/>
      <c r="K3522" s="3"/>
      <c r="L3522" s="1"/>
      <c r="M3522" s="1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3"/>
      <c r="AD3522" s="3"/>
      <c r="AE3522" s="3"/>
      <c r="AF3522" s="3"/>
      <c r="AG3522" s="3"/>
      <c r="AH3522" s="3"/>
      <c r="AI3522" s="3"/>
      <c r="AJ3522" s="3"/>
      <c r="AK3522" s="3"/>
      <c r="AL3522" s="3"/>
    </row>
    <row r="3523" ht="15.75" customHeight="1">
      <c r="A3523" s="1"/>
      <c r="B3523" s="2"/>
      <c r="C3523" s="3"/>
      <c r="D3523" s="3"/>
      <c r="E3523" s="1"/>
      <c r="F3523" s="1"/>
      <c r="G3523" s="1"/>
      <c r="H3523" s="1"/>
      <c r="I3523" s="1"/>
      <c r="J3523" s="3"/>
      <c r="K3523" s="3"/>
      <c r="L3523" s="1"/>
      <c r="M3523" s="1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3"/>
      <c r="AD3523" s="3"/>
      <c r="AE3523" s="3"/>
      <c r="AF3523" s="3"/>
      <c r="AG3523" s="3"/>
      <c r="AH3523" s="3"/>
      <c r="AI3523" s="3"/>
      <c r="AJ3523" s="3"/>
      <c r="AK3523" s="3"/>
      <c r="AL3523" s="3"/>
    </row>
    <row r="3524" ht="15.75" customHeight="1">
      <c r="A3524" s="1"/>
      <c r="B3524" s="2"/>
      <c r="C3524" s="3"/>
      <c r="D3524" s="3"/>
      <c r="E3524" s="1"/>
      <c r="F3524" s="1"/>
      <c r="G3524" s="1"/>
      <c r="H3524" s="1"/>
      <c r="I3524" s="1"/>
      <c r="J3524" s="3"/>
      <c r="K3524" s="3"/>
      <c r="L3524" s="1"/>
      <c r="M3524" s="1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  <c r="AC3524" s="3"/>
      <c r="AD3524" s="3"/>
      <c r="AE3524" s="3"/>
      <c r="AF3524" s="3"/>
      <c r="AG3524" s="3"/>
      <c r="AH3524" s="3"/>
      <c r="AI3524" s="3"/>
      <c r="AJ3524" s="3"/>
      <c r="AK3524" s="3"/>
      <c r="AL3524" s="3"/>
    </row>
    <row r="3525" ht="15.75" customHeight="1">
      <c r="A3525" s="1"/>
      <c r="B3525" s="2"/>
      <c r="C3525" s="3"/>
      <c r="D3525" s="3"/>
      <c r="E3525" s="1"/>
      <c r="F3525" s="1"/>
      <c r="G3525" s="1"/>
      <c r="H3525" s="1"/>
      <c r="I3525" s="1"/>
      <c r="J3525" s="3"/>
      <c r="K3525" s="3"/>
      <c r="L3525" s="1"/>
      <c r="M3525" s="1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3"/>
      <c r="AD3525" s="3"/>
      <c r="AE3525" s="3"/>
      <c r="AF3525" s="3"/>
      <c r="AG3525" s="3"/>
      <c r="AH3525" s="3"/>
      <c r="AI3525" s="3"/>
      <c r="AJ3525" s="3"/>
      <c r="AK3525" s="3"/>
      <c r="AL3525" s="3"/>
    </row>
    <row r="3526" ht="15.75" customHeight="1">
      <c r="A3526" s="1"/>
      <c r="B3526" s="2"/>
      <c r="C3526" s="3"/>
      <c r="D3526" s="3"/>
      <c r="E3526" s="1"/>
      <c r="F3526" s="1"/>
      <c r="G3526" s="1"/>
      <c r="H3526" s="1"/>
      <c r="I3526" s="1"/>
      <c r="J3526" s="3"/>
      <c r="K3526" s="3"/>
      <c r="L3526" s="1"/>
      <c r="M3526" s="1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  <c r="AC3526" s="3"/>
      <c r="AD3526" s="3"/>
      <c r="AE3526" s="3"/>
      <c r="AF3526" s="3"/>
      <c r="AG3526" s="3"/>
      <c r="AH3526" s="3"/>
      <c r="AI3526" s="3"/>
      <c r="AJ3526" s="3"/>
      <c r="AK3526" s="3"/>
      <c r="AL3526" s="3"/>
    </row>
    <row r="3527" ht="15.75" customHeight="1">
      <c r="A3527" s="1"/>
      <c r="B3527" s="2"/>
      <c r="C3527" s="3"/>
      <c r="D3527" s="3"/>
      <c r="E3527" s="1"/>
      <c r="F3527" s="1"/>
      <c r="G3527" s="1"/>
      <c r="H3527" s="1"/>
      <c r="I3527" s="1"/>
      <c r="J3527" s="3"/>
      <c r="K3527" s="3"/>
      <c r="L3527" s="1"/>
      <c r="M3527" s="1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  <c r="AC3527" s="3"/>
      <c r="AD3527" s="3"/>
      <c r="AE3527" s="3"/>
      <c r="AF3527" s="3"/>
      <c r="AG3527" s="3"/>
      <c r="AH3527" s="3"/>
      <c r="AI3527" s="3"/>
      <c r="AJ3527" s="3"/>
      <c r="AK3527" s="3"/>
      <c r="AL3527" s="3"/>
    </row>
    <row r="3528" ht="15.75" customHeight="1">
      <c r="A3528" s="1"/>
      <c r="B3528" s="2"/>
      <c r="C3528" s="3"/>
      <c r="D3528" s="3"/>
      <c r="E3528" s="1"/>
      <c r="F3528" s="1"/>
      <c r="G3528" s="1"/>
      <c r="H3528" s="1"/>
      <c r="I3528" s="1"/>
      <c r="J3528" s="3"/>
      <c r="K3528" s="3"/>
      <c r="L3528" s="1"/>
      <c r="M3528" s="1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  <c r="AC3528" s="3"/>
      <c r="AD3528" s="3"/>
      <c r="AE3528" s="3"/>
      <c r="AF3528" s="3"/>
      <c r="AG3528" s="3"/>
      <c r="AH3528" s="3"/>
      <c r="AI3528" s="3"/>
      <c r="AJ3528" s="3"/>
      <c r="AK3528" s="3"/>
      <c r="AL3528" s="3"/>
    </row>
    <row r="3529" ht="15.75" customHeight="1">
      <c r="A3529" s="1"/>
      <c r="B3529" s="2"/>
      <c r="C3529" s="3"/>
      <c r="D3529" s="3"/>
      <c r="E3529" s="1"/>
      <c r="F3529" s="1"/>
      <c r="G3529" s="1"/>
      <c r="H3529" s="1"/>
      <c r="I3529" s="1"/>
      <c r="J3529" s="3"/>
      <c r="K3529" s="3"/>
      <c r="L3529" s="1"/>
      <c r="M3529" s="1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  <c r="AC3529" s="3"/>
      <c r="AD3529" s="3"/>
      <c r="AE3529" s="3"/>
      <c r="AF3529" s="3"/>
      <c r="AG3529" s="3"/>
      <c r="AH3529" s="3"/>
      <c r="AI3529" s="3"/>
      <c r="AJ3529" s="3"/>
      <c r="AK3529" s="3"/>
      <c r="AL3529" s="3"/>
    </row>
    <row r="3530" ht="15.75" customHeight="1">
      <c r="A3530" s="1"/>
      <c r="B3530" s="2"/>
      <c r="C3530" s="3"/>
      <c r="D3530" s="3"/>
      <c r="E3530" s="1"/>
      <c r="F3530" s="1"/>
      <c r="G3530" s="1"/>
      <c r="H3530" s="1"/>
      <c r="I3530" s="1"/>
      <c r="J3530" s="3"/>
      <c r="K3530" s="3"/>
      <c r="L3530" s="1"/>
      <c r="M3530" s="1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3"/>
      <c r="AD3530" s="3"/>
      <c r="AE3530" s="3"/>
      <c r="AF3530" s="3"/>
      <c r="AG3530" s="3"/>
      <c r="AH3530" s="3"/>
      <c r="AI3530" s="3"/>
      <c r="AJ3530" s="3"/>
      <c r="AK3530" s="3"/>
      <c r="AL3530" s="3"/>
    </row>
    <row r="3531" ht="15.75" customHeight="1">
      <c r="A3531" s="1"/>
      <c r="B3531" s="2"/>
      <c r="C3531" s="3"/>
      <c r="D3531" s="3"/>
      <c r="E3531" s="1"/>
      <c r="F3531" s="1"/>
      <c r="G3531" s="1"/>
      <c r="H3531" s="1"/>
      <c r="I3531" s="1"/>
      <c r="J3531" s="3"/>
      <c r="K3531" s="3"/>
      <c r="L3531" s="1"/>
      <c r="M3531" s="1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  <c r="AC3531" s="3"/>
      <c r="AD3531" s="3"/>
      <c r="AE3531" s="3"/>
      <c r="AF3531" s="3"/>
      <c r="AG3531" s="3"/>
      <c r="AH3531" s="3"/>
      <c r="AI3531" s="3"/>
      <c r="AJ3531" s="3"/>
      <c r="AK3531" s="3"/>
      <c r="AL3531" s="3"/>
    </row>
    <row r="3532" ht="15.75" customHeight="1">
      <c r="A3532" s="1"/>
      <c r="B3532" s="2"/>
      <c r="C3532" s="3"/>
      <c r="D3532" s="3"/>
      <c r="E3532" s="1"/>
      <c r="F3532" s="1"/>
      <c r="G3532" s="1"/>
      <c r="H3532" s="1"/>
      <c r="I3532" s="1"/>
      <c r="J3532" s="3"/>
      <c r="K3532" s="3"/>
      <c r="L3532" s="1"/>
      <c r="M3532" s="1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  <c r="AC3532" s="3"/>
      <c r="AD3532" s="3"/>
      <c r="AE3532" s="3"/>
      <c r="AF3532" s="3"/>
      <c r="AG3532" s="3"/>
      <c r="AH3532" s="3"/>
      <c r="AI3532" s="3"/>
      <c r="AJ3532" s="3"/>
      <c r="AK3532" s="3"/>
      <c r="AL3532" s="3"/>
    </row>
    <row r="3533" ht="15.75" customHeight="1">
      <c r="A3533" s="1"/>
      <c r="B3533" s="2"/>
      <c r="C3533" s="3"/>
      <c r="D3533" s="3"/>
      <c r="E3533" s="1"/>
      <c r="F3533" s="1"/>
      <c r="G3533" s="1"/>
      <c r="H3533" s="1"/>
      <c r="I3533" s="1"/>
      <c r="J3533" s="3"/>
      <c r="K3533" s="3"/>
      <c r="L3533" s="1"/>
      <c r="M3533" s="1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3"/>
      <c r="AD3533" s="3"/>
      <c r="AE3533" s="3"/>
      <c r="AF3533" s="3"/>
      <c r="AG3533" s="3"/>
      <c r="AH3533" s="3"/>
      <c r="AI3533" s="3"/>
      <c r="AJ3533" s="3"/>
      <c r="AK3533" s="3"/>
      <c r="AL3533" s="3"/>
    </row>
    <row r="3534" ht="15.75" customHeight="1">
      <c r="A3534" s="1"/>
      <c r="B3534" s="2"/>
      <c r="C3534" s="3"/>
      <c r="D3534" s="3"/>
      <c r="E3534" s="1"/>
      <c r="F3534" s="1"/>
      <c r="G3534" s="1"/>
      <c r="H3534" s="1"/>
      <c r="I3534" s="1"/>
      <c r="J3534" s="3"/>
      <c r="K3534" s="3"/>
      <c r="L3534" s="1"/>
      <c r="M3534" s="1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  <c r="AD3534" s="3"/>
      <c r="AE3534" s="3"/>
      <c r="AF3534" s="3"/>
      <c r="AG3534" s="3"/>
      <c r="AH3534" s="3"/>
      <c r="AI3534" s="3"/>
      <c r="AJ3534" s="3"/>
      <c r="AK3534" s="3"/>
      <c r="AL3534" s="3"/>
    </row>
    <row r="3535" ht="15.75" customHeight="1">
      <c r="A3535" s="1"/>
      <c r="B3535" s="2"/>
      <c r="C3535" s="3"/>
      <c r="D3535" s="3"/>
      <c r="E3535" s="1"/>
      <c r="F3535" s="1"/>
      <c r="G3535" s="1"/>
      <c r="H3535" s="1"/>
      <c r="I3535" s="1"/>
      <c r="J3535" s="3"/>
      <c r="K3535" s="3"/>
      <c r="L3535" s="1"/>
      <c r="M3535" s="1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3"/>
      <c r="AD3535" s="3"/>
      <c r="AE3535" s="3"/>
      <c r="AF3535" s="3"/>
      <c r="AG3535" s="3"/>
      <c r="AH3535" s="3"/>
      <c r="AI3535" s="3"/>
      <c r="AJ3535" s="3"/>
      <c r="AK3535" s="3"/>
      <c r="AL3535" s="3"/>
    </row>
    <row r="3536" ht="15.75" customHeight="1">
      <c r="A3536" s="1"/>
      <c r="B3536" s="2"/>
      <c r="C3536" s="3"/>
      <c r="D3536" s="3"/>
      <c r="E3536" s="1"/>
      <c r="F3536" s="1"/>
      <c r="G3536" s="1"/>
      <c r="H3536" s="1"/>
      <c r="I3536" s="1"/>
      <c r="J3536" s="3"/>
      <c r="K3536" s="3"/>
      <c r="L3536" s="1"/>
      <c r="M3536" s="1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3"/>
      <c r="AD3536" s="3"/>
      <c r="AE3536" s="3"/>
      <c r="AF3536" s="3"/>
      <c r="AG3536" s="3"/>
      <c r="AH3536" s="3"/>
      <c r="AI3536" s="3"/>
      <c r="AJ3536" s="3"/>
      <c r="AK3536" s="3"/>
      <c r="AL3536" s="3"/>
    </row>
    <row r="3537" ht="15.75" customHeight="1">
      <c r="A3537" s="1"/>
      <c r="B3537" s="2"/>
      <c r="C3537" s="3"/>
      <c r="D3537" s="3"/>
      <c r="E3537" s="1"/>
      <c r="F3537" s="1"/>
      <c r="G3537" s="1"/>
      <c r="H3537" s="1"/>
      <c r="I3537" s="1"/>
      <c r="J3537" s="3"/>
      <c r="K3537" s="3"/>
      <c r="L3537" s="1"/>
      <c r="M3537" s="1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  <c r="AC3537" s="3"/>
      <c r="AD3537" s="3"/>
      <c r="AE3537" s="3"/>
      <c r="AF3537" s="3"/>
      <c r="AG3537" s="3"/>
      <c r="AH3537" s="3"/>
      <c r="AI3537" s="3"/>
      <c r="AJ3537" s="3"/>
      <c r="AK3537" s="3"/>
      <c r="AL3537" s="3"/>
    </row>
    <row r="3538" ht="15.75" customHeight="1">
      <c r="A3538" s="1"/>
      <c r="B3538" s="2"/>
      <c r="C3538" s="3"/>
      <c r="D3538" s="3"/>
      <c r="E3538" s="1"/>
      <c r="F3538" s="1"/>
      <c r="G3538" s="1"/>
      <c r="H3538" s="1"/>
      <c r="I3538" s="1"/>
      <c r="J3538" s="3"/>
      <c r="K3538" s="3"/>
      <c r="L3538" s="1"/>
      <c r="M3538" s="1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  <c r="AC3538" s="3"/>
      <c r="AD3538" s="3"/>
      <c r="AE3538" s="3"/>
      <c r="AF3538" s="3"/>
      <c r="AG3538" s="3"/>
      <c r="AH3538" s="3"/>
      <c r="AI3538" s="3"/>
      <c r="AJ3538" s="3"/>
      <c r="AK3538" s="3"/>
      <c r="AL3538" s="3"/>
    </row>
    <row r="3539" ht="15.75" customHeight="1">
      <c r="A3539" s="1"/>
      <c r="B3539" s="2"/>
      <c r="C3539" s="3"/>
      <c r="D3539" s="3"/>
      <c r="E3539" s="1"/>
      <c r="F3539" s="1"/>
      <c r="G3539" s="1"/>
      <c r="H3539" s="1"/>
      <c r="I3539" s="1"/>
      <c r="J3539" s="3"/>
      <c r="K3539" s="3"/>
      <c r="L3539" s="1"/>
      <c r="M3539" s="1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  <c r="AC3539" s="3"/>
      <c r="AD3539" s="3"/>
      <c r="AE3539" s="3"/>
      <c r="AF3539" s="3"/>
      <c r="AG3539" s="3"/>
      <c r="AH3539" s="3"/>
      <c r="AI3539" s="3"/>
      <c r="AJ3539" s="3"/>
      <c r="AK3539" s="3"/>
      <c r="AL3539" s="3"/>
    </row>
    <row r="3540" ht="15.75" customHeight="1">
      <c r="A3540" s="1"/>
      <c r="B3540" s="2"/>
      <c r="C3540" s="3"/>
      <c r="D3540" s="3"/>
      <c r="E3540" s="1"/>
      <c r="F3540" s="1"/>
      <c r="G3540" s="1"/>
      <c r="H3540" s="1"/>
      <c r="I3540" s="1"/>
      <c r="J3540" s="3"/>
      <c r="K3540" s="3"/>
      <c r="L3540" s="1"/>
      <c r="M3540" s="1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  <c r="AC3540" s="3"/>
      <c r="AD3540" s="3"/>
      <c r="AE3540" s="3"/>
      <c r="AF3540" s="3"/>
      <c r="AG3540" s="3"/>
      <c r="AH3540" s="3"/>
      <c r="AI3540" s="3"/>
      <c r="AJ3540" s="3"/>
      <c r="AK3540" s="3"/>
      <c r="AL3540" s="3"/>
    </row>
    <row r="3541" ht="15.75" customHeight="1">
      <c r="A3541" s="1"/>
      <c r="B3541" s="2"/>
      <c r="C3541" s="3"/>
      <c r="D3541" s="3"/>
      <c r="E3541" s="1"/>
      <c r="F3541" s="1"/>
      <c r="G3541" s="1"/>
      <c r="H3541" s="1"/>
      <c r="I3541" s="1"/>
      <c r="J3541" s="3"/>
      <c r="K3541" s="3"/>
      <c r="L3541" s="1"/>
      <c r="M3541" s="1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3"/>
      <c r="AD3541" s="3"/>
      <c r="AE3541" s="3"/>
      <c r="AF3541" s="3"/>
      <c r="AG3541" s="3"/>
      <c r="AH3541" s="3"/>
      <c r="AI3541" s="3"/>
      <c r="AJ3541" s="3"/>
      <c r="AK3541" s="3"/>
      <c r="AL3541" s="3"/>
    </row>
    <row r="3542" ht="15.75" customHeight="1">
      <c r="A3542" s="1"/>
      <c r="B3542" s="2"/>
      <c r="C3542" s="3"/>
      <c r="D3542" s="3"/>
      <c r="E3542" s="1"/>
      <c r="F3542" s="1"/>
      <c r="G3542" s="1"/>
      <c r="H3542" s="1"/>
      <c r="I3542" s="1"/>
      <c r="J3542" s="3"/>
      <c r="K3542" s="3"/>
      <c r="L3542" s="1"/>
      <c r="M3542" s="1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  <c r="AC3542" s="3"/>
      <c r="AD3542" s="3"/>
      <c r="AE3542" s="3"/>
      <c r="AF3542" s="3"/>
      <c r="AG3542" s="3"/>
      <c r="AH3542" s="3"/>
      <c r="AI3542" s="3"/>
      <c r="AJ3542" s="3"/>
      <c r="AK3542" s="3"/>
      <c r="AL3542" s="3"/>
    </row>
    <row r="3543" ht="15.75" customHeight="1">
      <c r="A3543" s="1"/>
      <c r="B3543" s="2"/>
      <c r="C3543" s="3"/>
      <c r="D3543" s="3"/>
      <c r="E3543" s="1"/>
      <c r="F3543" s="1"/>
      <c r="G3543" s="1"/>
      <c r="H3543" s="1"/>
      <c r="I3543" s="1"/>
      <c r="J3543" s="3"/>
      <c r="K3543" s="3"/>
      <c r="L3543" s="1"/>
      <c r="M3543" s="1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  <c r="AC3543" s="3"/>
      <c r="AD3543" s="3"/>
      <c r="AE3543" s="3"/>
      <c r="AF3543" s="3"/>
      <c r="AG3543" s="3"/>
      <c r="AH3543" s="3"/>
      <c r="AI3543" s="3"/>
      <c r="AJ3543" s="3"/>
      <c r="AK3543" s="3"/>
      <c r="AL3543" s="3"/>
    </row>
    <row r="3544" ht="15.75" customHeight="1">
      <c r="A3544" s="1"/>
      <c r="B3544" s="2"/>
      <c r="C3544" s="3"/>
      <c r="D3544" s="3"/>
      <c r="E3544" s="1"/>
      <c r="F3544" s="1"/>
      <c r="G3544" s="1"/>
      <c r="H3544" s="1"/>
      <c r="I3544" s="1"/>
      <c r="J3544" s="3"/>
      <c r="K3544" s="3"/>
      <c r="L3544" s="1"/>
      <c r="M3544" s="1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  <c r="AC3544" s="3"/>
      <c r="AD3544" s="3"/>
      <c r="AE3544" s="3"/>
      <c r="AF3544" s="3"/>
      <c r="AG3544" s="3"/>
      <c r="AH3544" s="3"/>
      <c r="AI3544" s="3"/>
      <c r="AJ3544" s="3"/>
      <c r="AK3544" s="3"/>
      <c r="AL3544" s="3"/>
    </row>
    <row r="3545" ht="15.75" customHeight="1">
      <c r="A3545" s="1"/>
      <c r="B3545" s="2"/>
      <c r="C3545" s="3"/>
      <c r="D3545" s="3"/>
      <c r="E3545" s="1"/>
      <c r="F3545" s="1"/>
      <c r="G3545" s="1"/>
      <c r="H3545" s="1"/>
      <c r="I3545" s="1"/>
      <c r="J3545" s="3"/>
      <c r="K3545" s="3"/>
      <c r="L3545" s="1"/>
      <c r="M3545" s="1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  <c r="AC3545" s="3"/>
      <c r="AD3545" s="3"/>
      <c r="AE3545" s="3"/>
      <c r="AF3545" s="3"/>
      <c r="AG3545" s="3"/>
      <c r="AH3545" s="3"/>
      <c r="AI3545" s="3"/>
      <c r="AJ3545" s="3"/>
      <c r="AK3545" s="3"/>
      <c r="AL3545" s="3"/>
    </row>
    <row r="3546" ht="15.75" customHeight="1">
      <c r="A3546" s="1"/>
      <c r="B3546" s="2"/>
      <c r="C3546" s="3"/>
      <c r="D3546" s="3"/>
      <c r="E3546" s="1"/>
      <c r="F3546" s="1"/>
      <c r="G3546" s="1"/>
      <c r="H3546" s="1"/>
      <c r="I3546" s="1"/>
      <c r="J3546" s="3"/>
      <c r="K3546" s="3"/>
      <c r="L3546" s="1"/>
      <c r="M3546" s="1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  <c r="AC3546" s="3"/>
      <c r="AD3546" s="3"/>
      <c r="AE3546" s="3"/>
      <c r="AF3546" s="3"/>
      <c r="AG3546" s="3"/>
      <c r="AH3546" s="3"/>
      <c r="AI3546" s="3"/>
      <c r="AJ3546" s="3"/>
      <c r="AK3546" s="3"/>
      <c r="AL3546" s="3"/>
    </row>
    <row r="3547" ht="15.75" customHeight="1">
      <c r="A3547" s="1"/>
      <c r="B3547" s="2"/>
      <c r="C3547" s="3"/>
      <c r="D3547" s="3"/>
      <c r="E3547" s="1"/>
      <c r="F3547" s="1"/>
      <c r="G3547" s="1"/>
      <c r="H3547" s="1"/>
      <c r="I3547" s="1"/>
      <c r="J3547" s="3"/>
      <c r="K3547" s="3"/>
      <c r="L3547" s="1"/>
      <c r="M3547" s="1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  <c r="AC3547" s="3"/>
      <c r="AD3547" s="3"/>
      <c r="AE3547" s="3"/>
      <c r="AF3547" s="3"/>
      <c r="AG3547" s="3"/>
      <c r="AH3547" s="3"/>
      <c r="AI3547" s="3"/>
      <c r="AJ3547" s="3"/>
      <c r="AK3547" s="3"/>
      <c r="AL3547" s="3"/>
    </row>
    <row r="3548" ht="15.75" customHeight="1">
      <c r="A3548" s="1"/>
      <c r="B3548" s="2"/>
      <c r="C3548" s="3"/>
      <c r="D3548" s="3"/>
      <c r="E3548" s="1"/>
      <c r="F3548" s="1"/>
      <c r="G3548" s="1"/>
      <c r="H3548" s="1"/>
      <c r="I3548" s="1"/>
      <c r="J3548" s="3"/>
      <c r="K3548" s="3"/>
      <c r="L3548" s="1"/>
      <c r="M3548" s="1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  <c r="AC3548" s="3"/>
      <c r="AD3548" s="3"/>
      <c r="AE3548" s="3"/>
      <c r="AF3548" s="3"/>
      <c r="AG3548" s="3"/>
      <c r="AH3548" s="3"/>
      <c r="AI3548" s="3"/>
      <c r="AJ3548" s="3"/>
      <c r="AK3548" s="3"/>
      <c r="AL3548" s="3"/>
    </row>
    <row r="3549" ht="15.75" customHeight="1">
      <c r="A3549" s="1"/>
      <c r="B3549" s="2"/>
      <c r="C3549" s="3"/>
      <c r="D3549" s="3"/>
      <c r="E3549" s="1"/>
      <c r="F3549" s="1"/>
      <c r="G3549" s="1"/>
      <c r="H3549" s="1"/>
      <c r="I3549" s="1"/>
      <c r="J3549" s="3"/>
      <c r="K3549" s="3"/>
      <c r="L3549" s="1"/>
      <c r="M3549" s="1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  <c r="AC3549" s="3"/>
      <c r="AD3549" s="3"/>
      <c r="AE3549" s="3"/>
      <c r="AF3549" s="3"/>
      <c r="AG3549" s="3"/>
      <c r="AH3549" s="3"/>
      <c r="AI3549" s="3"/>
      <c r="AJ3549" s="3"/>
      <c r="AK3549" s="3"/>
      <c r="AL3549" s="3"/>
    </row>
    <row r="3550" ht="15.75" customHeight="1">
      <c r="A3550" s="1"/>
      <c r="B3550" s="2"/>
      <c r="C3550" s="3"/>
      <c r="D3550" s="3"/>
      <c r="E3550" s="1"/>
      <c r="F3550" s="1"/>
      <c r="G3550" s="1"/>
      <c r="H3550" s="1"/>
      <c r="I3550" s="1"/>
      <c r="J3550" s="3"/>
      <c r="K3550" s="3"/>
      <c r="L3550" s="1"/>
      <c r="M3550" s="1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3"/>
      <c r="AE3550" s="3"/>
      <c r="AF3550" s="3"/>
      <c r="AG3550" s="3"/>
      <c r="AH3550" s="3"/>
      <c r="AI3550" s="3"/>
      <c r="AJ3550" s="3"/>
      <c r="AK3550" s="3"/>
      <c r="AL3550" s="3"/>
    </row>
    <row r="3551" ht="15.75" customHeight="1">
      <c r="A3551" s="1"/>
      <c r="B3551" s="2"/>
      <c r="C3551" s="3"/>
      <c r="D3551" s="3"/>
      <c r="E3551" s="1"/>
      <c r="F3551" s="1"/>
      <c r="G3551" s="1"/>
      <c r="H3551" s="1"/>
      <c r="I3551" s="1"/>
      <c r="J3551" s="3"/>
      <c r="K3551" s="3"/>
      <c r="L3551" s="1"/>
      <c r="M3551" s="1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  <c r="AC3551" s="3"/>
      <c r="AD3551" s="3"/>
      <c r="AE3551" s="3"/>
      <c r="AF3551" s="3"/>
      <c r="AG3551" s="3"/>
      <c r="AH3551" s="3"/>
      <c r="AI3551" s="3"/>
      <c r="AJ3551" s="3"/>
      <c r="AK3551" s="3"/>
      <c r="AL3551" s="3"/>
    </row>
    <row r="3552" ht="15.75" customHeight="1">
      <c r="A3552" s="1"/>
      <c r="B3552" s="2"/>
      <c r="C3552" s="3"/>
      <c r="D3552" s="3"/>
      <c r="E3552" s="1"/>
      <c r="F3552" s="1"/>
      <c r="G3552" s="1"/>
      <c r="H3552" s="1"/>
      <c r="I3552" s="1"/>
      <c r="J3552" s="3"/>
      <c r="K3552" s="3"/>
      <c r="L3552" s="1"/>
      <c r="M3552" s="1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  <c r="AC3552" s="3"/>
      <c r="AD3552" s="3"/>
      <c r="AE3552" s="3"/>
      <c r="AF3552" s="3"/>
      <c r="AG3552" s="3"/>
      <c r="AH3552" s="3"/>
      <c r="AI3552" s="3"/>
      <c r="AJ3552" s="3"/>
      <c r="AK3552" s="3"/>
      <c r="AL3552" s="3"/>
    </row>
    <row r="3553" ht="15.75" customHeight="1">
      <c r="A3553" s="1"/>
      <c r="B3553" s="2"/>
      <c r="C3553" s="3"/>
      <c r="D3553" s="3"/>
      <c r="E3553" s="1"/>
      <c r="F3553" s="1"/>
      <c r="G3553" s="1"/>
      <c r="H3553" s="1"/>
      <c r="I3553" s="1"/>
      <c r="J3553" s="3"/>
      <c r="K3553" s="3"/>
      <c r="L3553" s="1"/>
      <c r="M3553" s="1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  <c r="AC3553" s="3"/>
      <c r="AD3553" s="3"/>
      <c r="AE3553" s="3"/>
      <c r="AF3553" s="3"/>
      <c r="AG3553" s="3"/>
      <c r="AH3553" s="3"/>
      <c r="AI3553" s="3"/>
      <c r="AJ3553" s="3"/>
      <c r="AK3553" s="3"/>
      <c r="AL3553" s="3"/>
    </row>
    <row r="3554" ht="15.75" customHeight="1">
      <c r="A3554" s="1"/>
      <c r="B3554" s="2"/>
      <c r="C3554" s="3"/>
      <c r="D3554" s="3"/>
      <c r="E3554" s="1"/>
      <c r="F3554" s="1"/>
      <c r="G3554" s="1"/>
      <c r="H3554" s="1"/>
      <c r="I3554" s="1"/>
      <c r="J3554" s="3"/>
      <c r="K3554" s="3"/>
      <c r="L3554" s="1"/>
      <c r="M3554" s="1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  <c r="AC3554" s="3"/>
      <c r="AD3554" s="3"/>
      <c r="AE3554" s="3"/>
      <c r="AF3554" s="3"/>
      <c r="AG3554" s="3"/>
      <c r="AH3554" s="3"/>
      <c r="AI3554" s="3"/>
      <c r="AJ3554" s="3"/>
      <c r="AK3554" s="3"/>
      <c r="AL3554" s="3"/>
    </row>
    <row r="3555" ht="15.75" customHeight="1">
      <c r="A3555" s="1"/>
      <c r="B3555" s="2"/>
      <c r="C3555" s="3"/>
      <c r="D3555" s="3"/>
      <c r="E3555" s="1"/>
      <c r="F3555" s="1"/>
      <c r="G3555" s="1"/>
      <c r="H3555" s="1"/>
      <c r="I3555" s="1"/>
      <c r="J3555" s="3"/>
      <c r="K3555" s="3"/>
      <c r="L3555" s="1"/>
      <c r="M3555" s="1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  <c r="AC3555" s="3"/>
      <c r="AD3555" s="3"/>
      <c r="AE3555" s="3"/>
      <c r="AF3555" s="3"/>
      <c r="AG3555" s="3"/>
      <c r="AH3555" s="3"/>
      <c r="AI3555" s="3"/>
      <c r="AJ3555" s="3"/>
      <c r="AK3555" s="3"/>
      <c r="AL3555" s="3"/>
    </row>
    <row r="3556" ht="15.75" customHeight="1">
      <c r="A3556" s="1"/>
      <c r="B3556" s="2"/>
      <c r="C3556" s="3"/>
      <c r="D3556" s="3"/>
      <c r="E3556" s="1"/>
      <c r="F3556" s="1"/>
      <c r="G3556" s="1"/>
      <c r="H3556" s="1"/>
      <c r="I3556" s="1"/>
      <c r="J3556" s="3"/>
      <c r="K3556" s="3"/>
      <c r="L3556" s="1"/>
      <c r="M3556" s="1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  <c r="AC3556" s="3"/>
      <c r="AD3556" s="3"/>
      <c r="AE3556" s="3"/>
      <c r="AF3556" s="3"/>
      <c r="AG3556" s="3"/>
      <c r="AH3556" s="3"/>
      <c r="AI3556" s="3"/>
      <c r="AJ3556" s="3"/>
      <c r="AK3556" s="3"/>
      <c r="AL3556" s="3"/>
    </row>
    <row r="3557" ht="15.75" customHeight="1">
      <c r="A3557" s="1"/>
      <c r="B3557" s="2"/>
      <c r="C3557" s="3"/>
      <c r="D3557" s="3"/>
      <c r="E3557" s="1"/>
      <c r="F3557" s="1"/>
      <c r="G3557" s="1"/>
      <c r="H3557" s="1"/>
      <c r="I3557" s="1"/>
      <c r="J3557" s="3"/>
      <c r="K3557" s="3"/>
      <c r="L3557" s="1"/>
      <c r="M3557" s="1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  <c r="AC3557" s="3"/>
      <c r="AD3557" s="3"/>
      <c r="AE3557" s="3"/>
      <c r="AF3557" s="3"/>
      <c r="AG3557" s="3"/>
      <c r="AH3557" s="3"/>
      <c r="AI3557" s="3"/>
      <c r="AJ3557" s="3"/>
      <c r="AK3557" s="3"/>
      <c r="AL3557" s="3"/>
    </row>
    <row r="3558" ht="15.75" customHeight="1">
      <c r="A3558" s="1"/>
      <c r="B3558" s="2"/>
      <c r="C3558" s="3"/>
      <c r="D3558" s="3"/>
      <c r="E3558" s="1"/>
      <c r="F3558" s="1"/>
      <c r="G3558" s="1"/>
      <c r="H3558" s="1"/>
      <c r="I3558" s="1"/>
      <c r="J3558" s="3"/>
      <c r="K3558" s="3"/>
      <c r="L3558" s="1"/>
      <c r="M3558" s="1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3"/>
      <c r="AD3558" s="3"/>
      <c r="AE3558" s="3"/>
      <c r="AF3558" s="3"/>
      <c r="AG3558" s="3"/>
      <c r="AH3558" s="3"/>
      <c r="AI3558" s="3"/>
      <c r="AJ3558" s="3"/>
      <c r="AK3558" s="3"/>
      <c r="AL3558" s="3"/>
    </row>
    <row r="3559" ht="15.75" customHeight="1">
      <c r="A3559" s="1"/>
      <c r="B3559" s="2"/>
      <c r="C3559" s="3"/>
      <c r="D3559" s="3"/>
      <c r="E3559" s="1"/>
      <c r="F3559" s="1"/>
      <c r="G3559" s="1"/>
      <c r="H3559" s="1"/>
      <c r="I3559" s="1"/>
      <c r="J3559" s="3"/>
      <c r="K3559" s="3"/>
      <c r="L3559" s="1"/>
      <c r="M3559" s="1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  <c r="AC3559" s="3"/>
      <c r="AD3559" s="3"/>
      <c r="AE3559" s="3"/>
      <c r="AF3559" s="3"/>
      <c r="AG3559" s="3"/>
      <c r="AH3559" s="3"/>
      <c r="AI3559" s="3"/>
      <c r="AJ3559" s="3"/>
      <c r="AK3559" s="3"/>
      <c r="AL3559" s="3"/>
    </row>
    <row r="3560" ht="15.75" customHeight="1">
      <c r="A3560" s="1"/>
      <c r="B3560" s="2"/>
      <c r="C3560" s="3"/>
      <c r="D3560" s="3"/>
      <c r="E3560" s="1"/>
      <c r="F3560" s="1"/>
      <c r="G3560" s="1"/>
      <c r="H3560" s="1"/>
      <c r="I3560" s="1"/>
      <c r="J3560" s="3"/>
      <c r="K3560" s="3"/>
      <c r="L3560" s="1"/>
      <c r="M3560" s="1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3"/>
      <c r="AD3560" s="3"/>
      <c r="AE3560" s="3"/>
      <c r="AF3560" s="3"/>
      <c r="AG3560" s="3"/>
      <c r="AH3560" s="3"/>
      <c r="AI3560" s="3"/>
      <c r="AJ3560" s="3"/>
      <c r="AK3560" s="3"/>
      <c r="AL3560" s="3"/>
    </row>
    <row r="3561" ht="15.75" customHeight="1">
      <c r="A3561" s="1"/>
      <c r="B3561" s="2"/>
      <c r="C3561" s="3"/>
      <c r="D3561" s="3"/>
      <c r="E3561" s="1"/>
      <c r="F3561" s="1"/>
      <c r="G3561" s="1"/>
      <c r="H3561" s="1"/>
      <c r="I3561" s="1"/>
      <c r="J3561" s="3"/>
      <c r="K3561" s="3"/>
      <c r="L3561" s="1"/>
      <c r="M3561" s="1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  <c r="AC3561" s="3"/>
      <c r="AD3561" s="3"/>
      <c r="AE3561" s="3"/>
      <c r="AF3561" s="3"/>
      <c r="AG3561" s="3"/>
      <c r="AH3561" s="3"/>
      <c r="AI3561" s="3"/>
      <c r="AJ3561" s="3"/>
      <c r="AK3561" s="3"/>
      <c r="AL3561" s="3"/>
    </row>
    <row r="3562" ht="15.75" customHeight="1">
      <c r="A3562" s="1"/>
      <c r="B3562" s="2"/>
      <c r="C3562" s="3"/>
      <c r="D3562" s="3"/>
      <c r="E3562" s="1"/>
      <c r="F3562" s="1"/>
      <c r="G3562" s="1"/>
      <c r="H3562" s="1"/>
      <c r="I3562" s="1"/>
      <c r="J3562" s="3"/>
      <c r="K3562" s="3"/>
      <c r="L3562" s="1"/>
      <c r="M3562" s="1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3"/>
      <c r="AD3562" s="3"/>
      <c r="AE3562" s="3"/>
      <c r="AF3562" s="3"/>
      <c r="AG3562" s="3"/>
      <c r="AH3562" s="3"/>
      <c r="AI3562" s="3"/>
      <c r="AJ3562" s="3"/>
      <c r="AK3562" s="3"/>
      <c r="AL3562" s="3"/>
    </row>
    <row r="3563" ht="15.75" customHeight="1">
      <c r="A3563" s="1"/>
      <c r="B3563" s="2"/>
      <c r="C3563" s="3"/>
      <c r="D3563" s="3"/>
      <c r="E3563" s="1"/>
      <c r="F3563" s="1"/>
      <c r="G3563" s="1"/>
      <c r="H3563" s="1"/>
      <c r="I3563" s="1"/>
      <c r="J3563" s="3"/>
      <c r="K3563" s="3"/>
      <c r="L3563" s="1"/>
      <c r="M3563" s="1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  <c r="AC3563" s="3"/>
      <c r="AD3563" s="3"/>
      <c r="AE3563" s="3"/>
      <c r="AF3563" s="3"/>
      <c r="AG3563" s="3"/>
      <c r="AH3563" s="3"/>
      <c r="AI3563" s="3"/>
      <c r="AJ3563" s="3"/>
      <c r="AK3563" s="3"/>
      <c r="AL3563" s="3"/>
    </row>
    <row r="3564" ht="15.75" customHeight="1">
      <c r="A3564" s="1"/>
      <c r="B3564" s="2"/>
      <c r="C3564" s="3"/>
      <c r="D3564" s="3"/>
      <c r="E3564" s="1"/>
      <c r="F3564" s="1"/>
      <c r="G3564" s="1"/>
      <c r="H3564" s="1"/>
      <c r="I3564" s="1"/>
      <c r="J3564" s="3"/>
      <c r="K3564" s="3"/>
      <c r="L3564" s="1"/>
      <c r="M3564" s="1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  <c r="AC3564" s="3"/>
      <c r="AD3564" s="3"/>
      <c r="AE3564" s="3"/>
      <c r="AF3564" s="3"/>
      <c r="AG3564" s="3"/>
      <c r="AH3564" s="3"/>
      <c r="AI3564" s="3"/>
      <c r="AJ3564" s="3"/>
      <c r="AK3564" s="3"/>
      <c r="AL3564" s="3"/>
    </row>
    <row r="3565" ht="15.75" customHeight="1">
      <c r="A3565" s="1"/>
      <c r="B3565" s="2"/>
      <c r="C3565" s="3"/>
      <c r="D3565" s="3"/>
      <c r="E3565" s="1"/>
      <c r="F3565" s="1"/>
      <c r="G3565" s="1"/>
      <c r="H3565" s="1"/>
      <c r="I3565" s="1"/>
      <c r="J3565" s="3"/>
      <c r="K3565" s="3"/>
      <c r="L3565" s="1"/>
      <c r="M3565" s="1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3"/>
      <c r="AD3565" s="3"/>
      <c r="AE3565" s="3"/>
      <c r="AF3565" s="3"/>
      <c r="AG3565" s="3"/>
      <c r="AH3565" s="3"/>
      <c r="AI3565" s="3"/>
      <c r="AJ3565" s="3"/>
      <c r="AK3565" s="3"/>
      <c r="AL3565" s="3"/>
    </row>
    <row r="3566" ht="15.75" customHeight="1">
      <c r="A3566" s="1"/>
      <c r="B3566" s="2"/>
      <c r="C3566" s="3"/>
      <c r="D3566" s="3"/>
      <c r="E3566" s="1"/>
      <c r="F3566" s="1"/>
      <c r="G3566" s="1"/>
      <c r="H3566" s="1"/>
      <c r="I3566" s="1"/>
      <c r="J3566" s="3"/>
      <c r="K3566" s="3"/>
      <c r="L3566" s="1"/>
      <c r="M3566" s="1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  <c r="AC3566" s="3"/>
      <c r="AD3566" s="3"/>
      <c r="AE3566" s="3"/>
      <c r="AF3566" s="3"/>
      <c r="AG3566" s="3"/>
      <c r="AH3566" s="3"/>
      <c r="AI3566" s="3"/>
      <c r="AJ3566" s="3"/>
      <c r="AK3566" s="3"/>
      <c r="AL3566" s="3"/>
    </row>
    <row r="3567" ht="15.75" customHeight="1">
      <c r="A3567" s="1"/>
      <c r="B3567" s="2"/>
      <c r="C3567" s="3"/>
      <c r="D3567" s="3"/>
      <c r="E3567" s="1"/>
      <c r="F3567" s="1"/>
      <c r="G3567" s="1"/>
      <c r="H3567" s="1"/>
      <c r="I3567" s="1"/>
      <c r="J3567" s="3"/>
      <c r="K3567" s="3"/>
      <c r="L3567" s="1"/>
      <c r="M3567" s="1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3"/>
      <c r="AD3567" s="3"/>
      <c r="AE3567" s="3"/>
      <c r="AF3567" s="3"/>
      <c r="AG3567" s="3"/>
      <c r="AH3567" s="3"/>
      <c r="AI3567" s="3"/>
      <c r="AJ3567" s="3"/>
      <c r="AK3567" s="3"/>
      <c r="AL3567" s="3"/>
    </row>
    <row r="3568" ht="15.75" customHeight="1">
      <c r="A3568" s="1"/>
      <c r="B3568" s="2"/>
      <c r="C3568" s="3"/>
      <c r="D3568" s="3"/>
      <c r="E3568" s="1"/>
      <c r="F3568" s="1"/>
      <c r="G3568" s="1"/>
      <c r="H3568" s="1"/>
      <c r="I3568" s="1"/>
      <c r="J3568" s="3"/>
      <c r="K3568" s="3"/>
      <c r="L3568" s="1"/>
      <c r="M3568" s="1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3"/>
      <c r="AD3568" s="3"/>
      <c r="AE3568" s="3"/>
      <c r="AF3568" s="3"/>
      <c r="AG3568" s="3"/>
      <c r="AH3568" s="3"/>
      <c r="AI3568" s="3"/>
      <c r="AJ3568" s="3"/>
      <c r="AK3568" s="3"/>
      <c r="AL3568" s="3"/>
    </row>
    <row r="3569" ht="15.75" customHeight="1">
      <c r="A3569" s="1"/>
      <c r="B3569" s="2"/>
      <c r="C3569" s="3"/>
      <c r="D3569" s="3"/>
      <c r="E3569" s="1"/>
      <c r="F3569" s="1"/>
      <c r="G3569" s="1"/>
      <c r="H3569" s="1"/>
      <c r="I3569" s="1"/>
      <c r="J3569" s="3"/>
      <c r="K3569" s="3"/>
      <c r="L3569" s="1"/>
      <c r="M3569" s="1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3"/>
      <c r="AD3569" s="3"/>
      <c r="AE3569" s="3"/>
      <c r="AF3569" s="3"/>
      <c r="AG3569" s="3"/>
      <c r="AH3569" s="3"/>
      <c r="AI3569" s="3"/>
      <c r="AJ3569" s="3"/>
      <c r="AK3569" s="3"/>
      <c r="AL3569" s="3"/>
    </row>
    <row r="3570" ht="15.75" customHeight="1">
      <c r="A3570" s="1"/>
      <c r="B3570" s="2"/>
      <c r="C3570" s="3"/>
      <c r="D3570" s="3"/>
      <c r="E3570" s="1"/>
      <c r="F3570" s="1"/>
      <c r="G3570" s="1"/>
      <c r="H3570" s="1"/>
      <c r="I3570" s="1"/>
      <c r="J3570" s="3"/>
      <c r="K3570" s="3"/>
      <c r="L3570" s="1"/>
      <c r="M3570" s="1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  <c r="AC3570" s="3"/>
      <c r="AD3570" s="3"/>
      <c r="AE3570" s="3"/>
      <c r="AF3570" s="3"/>
      <c r="AG3570" s="3"/>
      <c r="AH3570" s="3"/>
      <c r="AI3570" s="3"/>
      <c r="AJ3570" s="3"/>
      <c r="AK3570" s="3"/>
      <c r="AL3570" s="3"/>
    </row>
    <row r="3571" ht="15.75" customHeight="1">
      <c r="A3571" s="1"/>
      <c r="B3571" s="2"/>
      <c r="C3571" s="3"/>
      <c r="D3571" s="3"/>
      <c r="E3571" s="1"/>
      <c r="F3571" s="1"/>
      <c r="G3571" s="1"/>
      <c r="H3571" s="1"/>
      <c r="I3571" s="1"/>
      <c r="J3571" s="3"/>
      <c r="K3571" s="3"/>
      <c r="L3571" s="1"/>
      <c r="M3571" s="1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  <c r="AC3571" s="3"/>
      <c r="AD3571" s="3"/>
      <c r="AE3571" s="3"/>
      <c r="AF3571" s="3"/>
      <c r="AG3571" s="3"/>
      <c r="AH3571" s="3"/>
      <c r="AI3571" s="3"/>
      <c r="AJ3571" s="3"/>
      <c r="AK3571" s="3"/>
      <c r="AL3571" s="3"/>
    </row>
    <row r="3572" ht="15.75" customHeight="1">
      <c r="A3572" s="1"/>
      <c r="B3572" s="2"/>
      <c r="C3572" s="3"/>
      <c r="D3572" s="3"/>
      <c r="E3572" s="1"/>
      <c r="F3572" s="1"/>
      <c r="G3572" s="1"/>
      <c r="H3572" s="1"/>
      <c r="I3572" s="1"/>
      <c r="J3572" s="3"/>
      <c r="K3572" s="3"/>
      <c r="L3572" s="1"/>
      <c r="M3572" s="1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3"/>
      <c r="AD3572" s="3"/>
      <c r="AE3572" s="3"/>
      <c r="AF3572" s="3"/>
      <c r="AG3572" s="3"/>
      <c r="AH3572" s="3"/>
      <c r="AI3572" s="3"/>
      <c r="AJ3572" s="3"/>
      <c r="AK3572" s="3"/>
      <c r="AL3572" s="3"/>
    </row>
    <row r="3573" ht="15.75" customHeight="1">
      <c r="A3573" s="1"/>
      <c r="B3573" s="2"/>
      <c r="C3573" s="3"/>
      <c r="D3573" s="3"/>
      <c r="E3573" s="1"/>
      <c r="F3573" s="1"/>
      <c r="G3573" s="1"/>
      <c r="H3573" s="1"/>
      <c r="I3573" s="1"/>
      <c r="J3573" s="3"/>
      <c r="K3573" s="3"/>
      <c r="L3573" s="1"/>
      <c r="M3573" s="1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  <c r="AC3573" s="3"/>
      <c r="AD3573" s="3"/>
      <c r="AE3573" s="3"/>
      <c r="AF3573" s="3"/>
      <c r="AG3573" s="3"/>
      <c r="AH3573" s="3"/>
      <c r="AI3573" s="3"/>
      <c r="AJ3573" s="3"/>
      <c r="AK3573" s="3"/>
      <c r="AL3573" s="3"/>
    </row>
    <row r="3574" ht="15.75" customHeight="1">
      <c r="A3574" s="1"/>
      <c r="B3574" s="2"/>
      <c r="C3574" s="3"/>
      <c r="D3574" s="3"/>
      <c r="E3574" s="1"/>
      <c r="F3574" s="1"/>
      <c r="G3574" s="1"/>
      <c r="H3574" s="1"/>
      <c r="I3574" s="1"/>
      <c r="J3574" s="3"/>
      <c r="K3574" s="3"/>
      <c r="L3574" s="1"/>
      <c r="M3574" s="1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  <c r="AC3574" s="3"/>
      <c r="AD3574" s="3"/>
      <c r="AE3574" s="3"/>
      <c r="AF3574" s="3"/>
      <c r="AG3574" s="3"/>
      <c r="AH3574" s="3"/>
      <c r="AI3574" s="3"/>
      <c r="AJ3574" s="3"/>
      <c r="AK3574" s="3"/>
      <c r="AL3574" s="3"/>
    </row>
    <row r="3575" ht="15.75" customHeight="1">
      <c r="A3575" s="1"/>
      <c r="B3575" s="2"/>
      <c r="C3575" s="3"/>
      <c r="D3575" s="3"/>
      <c r="E3575" s="1"/>
      <c r="F3575" s="1"/>
      <c r="G3575" s="1"/>
      <c r="H3575" s="1"/>
      <c r="I3575" s="1"/>
      <c r="J3575" s="3"/>
      <c r="K3575" s="3"/>
      <c r="L3575" s="1"/>
      <c r="M3575" s="1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  <c r="AC3575" s="3"/>
      <c r="AD3575" s="3"/>
      <c r="AE3575" s="3"/>
      <c r="AF3575" s="3"/>
      <c r="AG3575" s="3"/>
      <c r="AH3575" s="3"/>
      <c r="AI3575" s="3"/>
      <c r="AJ3575" s="3"/>
      <c r="AK3575" s="3"/>
      <c r="AL3575" s="3"/>
    </row>
    <row r="3576" ht="15.75" customHeight="1">
      <c r="A3576" s="1"/>
      <c r="B3576" s="2"/>
      <c r="C3576" s="3"/>
      <c r="D3576" s="3"/>
      <c r="E3576" s="1"/>
      <c r="F3576" s="1"/>
      <c r="G3576" s="1"/>
      <c r="H3576" s="1"/>
      <c r="I3576" s="1"/>
      <c r="J3576" s="3"/>
      <c r="K3576" s="3"/>
      <c r="L3576" s="1"/>
      <c r="M3576" s="1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  <c r="AC3576" s="3"/>
      <c r="AD3576" s="3"/>
      <c r="AE3576" s="3"/>
      <c r="AF3576" s="3"/>
      <c r="AG3576" s="3"/>
      <c r="AH3576" s="3"/>
      <c r="AI3576" s="3"/>
      <c r="AJ3576" s="3"/>
      <c r="AK3576" s="3"/>
      <c r="AL3576" s="3"/>
    </row>
    <row r="3577" ht="15.75" customHeight="1">
      <c r="A3577" s="1"/>
      <c r="B3577" s="2"/>
      <c r="C3577" s="3"/>
      <c r="D3577" s="3"/>
      <c r="E3577" s="1"/>
      <c r="F3577" s="1"/>
      <c r="G3577" s="1"/>
      <c r="H3577" s="1"/>
      <c r="I3577" s="1"/>
      <c r="J3577" s="3"/>
      <c r="K3577" s="3"/>
      <c r="L3577" s="1"/>
      <c r="M3577" s="1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  <c r="AC3577" s="3"/>
      <c r="AD3577" s="3"/>
      <c r="AE3577" s="3"/>
      <c r="AF3577" s="3"/>
      <c r="AG3577" s="3"/>
      <c r="AH3577" s="3"/>
      <c r="AI3577" s="3"/>
      <c r="AJ3577" s="3"/>
      <c r="AK3577" s="3"/>
      <c r="AL3577" s="3"/>
    </row>
    <row r="3578" ht="15.75" customHeight="1">
      <c r="A3578" s="1"/>
      <c r="B3578" s="2"/>
      <c r="C3578" s="3"/>
      <c r="D3578" s="3"/>
      <c r="E3578" s="1"/>
      <c r="F3578" s="1"/>
      <c r="G3578" s="1"/>
      <c r="H3578" s="1"/>
      <c r="I3578" s="1"/>
      <c r="J3578" s="3"/>
      <c r="K3578" s="3"/>
      <c r="L3578" s="1"/>
      <c r="M3578" s="1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3"/>
      <c r="AD3578" s="3"/>
      <c r="AE3578" s="3"/>
      <c r="AF3578" s="3"/>
      <c r="AG3578" s="3"/>
      <c r="AH3578" s="3"/>
      <c r="AI3578" s="3"/>
      <c r="AJ3578" s="3"/>
      <c r="AK3578" s="3"/>
      <c r="AL3578" s="3"/>
    </row>
    <row r="3579" ht="15.75" customHeight="1">
      <c r="A3579" s="1"/>
      <c r="B3579" s="2"/>
      <c r="C3579" s="3"/>
      <c r="D3579" s="3"/>
      <c r="E3579" s="1"/>
      <c r="F3579" s="1"/>
      <c r="G3579" s="1"/>
      <c r="H3579" s="1"/>
      <c r="I3579" s="1"/>
      <c r="J3579" s="3"/>
      <c r="K3579" s="3"/>
      <c r="L3579" s="1"/>
      <c r="M3579" s="1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  <c r="AC3579" s="3"/>
      <c r="AD3579" s="3"/>
      <c r="AE3579" s="3"/>
      <c r="AF3579" s="3"/>
      <c r="AG3579" s="3"/>
      <c r="AH3579" s="3"/>
      <c r="AI3579" s="3"/>
      <c r="AJ3579" s="3"/>
      <c r="AK3579" s="3"/>
      <c r="AL3579" s="3"/>
    </row>
    <row r="3580" ht="15.75" customHeight="1">
      <c r="A3580" s="1"/>
      <c r="B3580" s="2"/>
      <c r="C3580" s="3"/>
      <c r="D3580" s="3"/>
      <c r="E3580" s="1"/>
      <c r="F3580" s="1"/>
      <c r="G3580" s="1"/>
      <c r="H3580" s="1"/>
      <c r="I3580" s="1"/>
      <c r="J3580" s="3"/>
      <c r="K3580" s="3"/>
      <c r="L3580" s="1"/>
      <c r="M3580" s="1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  <c r="AC3580" s="3"/>
      <c r="AD3580" s="3"/>
      <c r="AE3580" s="3"/>
      <c r="AF3580" s="3"/>
      <c r="AG3580" s="3"/>
      <c r="AH3580" s="3"/>
      <c r="AI3580" s="3"/>
      <c r="AJ3580" s="3"/>
      <c r="AK3580" s="3"/>
      <c r="AL3580" s="3"/>
    </row>
    <row r="3581" ht="15.75" customHeight="1">
      <c r="A3581" s="1"/>
      <c r="B3581" s="2"/>
      <c r="C3581" s="3"/>
      <c r="D3581" s="3"/>
      <c r="E3581" s="1"/>
      <c r="F3581" s="1"/>
      <c r="G3581" s="1"/>
      <c r="H3581" s="1"/>
      <c r="I3581" s="1"/>
      <c r="J3581" s="3"/>
      <c r="K3581" s="3"/>
      <c r="L3581" s="1"/>
      <c r="M3581" s="1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  <c r="AC3581" s="3"/>
      <c r="AD3581" s="3"/>
      <c r="AE3581" s="3"/>
      <c r="AF3581" s="3"/>
      <c r="AG3581" s="3"/>
      <c r="AH3581" s="3"/>
      <c r="AI3581" s="3"/>
      <c r="AJ3581" s="3"/>
      <c r="AK3581" s="3"/>
      <c r="AL3581" s="3"/>
    </row>
    <row r="3582" ht="15.75" customHeight="1">
      <c r="A3582" s="1"/>
      <c r="B3582" s="2"/>
      <c r="C3582" s="3"/>
      <c r="D3582" s="3"/>
      <c r="E3582" s="1"/>
      <c r="F3582" s="1"/>
      <c r="G3582" s="1"/>
      <c r="H3582" s="1"/>
      <c r="I3582" s="1"/>
      <c r="J3582" s="3"/>
      <c r="K3582" s="3"/>
      <c r="L3582" s="1"/>
      <c r="M3582" s="1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  <c r="AC3582" s="3"/>
      <c r="AD3582" s="3"/>
      <c r="AE3582" s="3"/>
      <c r="AF3582" s="3"/>
      <c r="AG3582" s="3"/>
      <c r="AH3582" s="3"/>
      <c r="AI3582" s="3"/>
      <c r="AJ3582" s="3"/>
      <c r="AK3582" s="3"/>
      <c r="AL3582" s="3"/>
    </row>
    <row r="3583" ht="15.75" customHeight="1">
      <c r="A3583" s="1"/>
      <c r="B3583" s="2"/>
      <c r="C3583" s="3"/>
      <c r="D3583" s="3"/>
      <c r="E3583" s="1"/>
      <c r="F3583" s="1"/>
      <c r="G3583" s="1"/>
      <c r="H3583" s="1"/>
      <c r="I3583" s="1"/>
      <c r="J3583" s="3"/>
      <c r="K3583" s="3"/>
      <c r="L3583" s="1"/>
      <c r="M3583" s="1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  <c r="AC3583" s="3"/>
      <c r="AD3583" s="3"/>
      <c r="AE3583" s="3"/>
      <c r="AF3583" s="3"/>
      <c r="AG3583" s="3"/>
      <c r="AH3583" s="3"/>
      <c r="AI3583" s="3"/>
      <c r="AJ3583" s="3"/>
      <c r="AK3583" s="3"/>
      <c r="AL3583" s="3"/>
    </row>
    <row r="3584" ht="15.75" customHeight="1">
      <c r="A3584" s="1"/>
      <c r="B3584" s="2"/>
      <c r="C3584" s="3"/>
      <c r="D3584" s="3"/>
      <c r="E3584" s="1"/>
      <c r="F3584" s="1"/>
      <c r="G3584" s="1"/>
      <c r="H3584" s="1"/>
      <c r="I3584" s="1"/>
      <c r="J3584" s="3"/>
      <c r="K3584" s="3"/>
      <c r="L3584" s="1"/>
      <c r="M3584" s="1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  <c r="AC3584" s="3"/>
      <c r="AD3584" s="3"/>
      <c r="AE3584" s="3"/>
      <c r="AF3584" s="3"/>
      <c r="AG3584" s="3"/>
      <c r="AH3584" s="3"/>
      <c r="AI3584" s="3"/>
      <c r="AJ3584" s="3"/>
      <c r="AK3584" s="3"/>
      <c r="AL3584" s="3"/>
    </row>
    <row r="3585" ht="15.75" customHeight="1">
      <c r="A3585" s="1"/>
      <c r="B3585" s="2"/>
      <c r="C3585" s="3"/>
      <c r="D3585" s="3"/>
      <c r="E3585" s="1"/>
      <c r="F3585" s="1"/>
      <c r="G3585" s="1"/>
      <c r="H3585" s="1"/>
      <c r="I3585" s="1"/>
      <c r="J3585" s="3"/>
      <c r="K3585" s="3"/>
      <c r="L3585" s="1"/>
      <c r="M3585" s="1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3"/>
      <c r="AD3585" s="3"/>
      <c r="AE3585" s="3"/>
      <c r="AF3585" s="3"/>
      <c r="AG3585" s="3"/>
      <c r="AH3585" s="3"/>
      <c r="AI3585" s="3"/>
      <c r="AJ3585" s="3"/>
      <c r="AK3585" s="3"/>
      <c r="AL3585" s="3"/>
    </row>
    <row r="3586" ht="15.75" customHeight="1">
      <c r="A3586" s="1"/>
      <c r="B3586" s="2"/>
      <c r="C3586" s="3"/>
      <c r="D3586" s="3"/>
      <c r="E3586" s="1"/>
      <c r="F3586" s="1"/>
      <c r="G3586" s="1"/>
      <c r="H3586" s="1"/>
      <c r="I3586" s="1"/>
      <c r="J3586" s="3"/>
      <c r="K3586" s="3"/>
      <c r="L3586" s="1"/>
      <c r="M3586" s="1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3"/>
      <c r="AD3586" s="3"/>
      <c r="AE3586" s="3"/>
      <c r="AF3586" s="3"/>
      <c r="AG3586" s="3"/>
      <c r="AH3586" s="3"/>
      <c r="AI3586" s="3"/>
      <c r="AJ3586" s="3"/>
      <c r="AK3586" s="3"/>
      <c r="AL3586" s="3"/>
    </row>
    <row r="3587" ht="15.75" customHeight="1">
      <c r="A3587" s="1"/>
      <c r="B3587" s="2"/>
      <c r="C3587" s="3"/>
      <c r="D3587" s="3"/>
      <c r="E3587" s="1"/>
      <c r="F3587" s="1"/>
      <c r="G3587" s="1"/>
      <c r="H3587" s="1"/>
      <c r="I3587" s="1"/>
      <c r="J3587" s="3"/>
      <c r="K3587" s="3"/>
      <c r="L3587" s="1"/>
      <c r="M3587" s="1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3"/>
      <c r="AD3587" s="3"/>
      <c r="AE3587" s="3"/>
      <c r="AF3587" s="3"/>
      <c r="AG3587" s="3"/>
      <c r="AH3587" s="3"/>
      <c r="AI3587" s="3"/>
      <c r="AJ3587" s="3"/>
      <c r="AK3587" s="3"/>
      <c r="AL3587" s="3"/>
    </row>
    <row r="3588" ht="15.75" customHeight="1">
      <c r="A3588" s="1"/>
      <c r="B3588" s="2"/>
      <c r="C3588" s="3"/>
      <c r="D3588" s="3"/>
      <c r="E3588" s="1"/>
      <c r="F3588" s="1"/>
      <c r="G3588" s="1"/>
      <c r="H3588" s="1"/>
      <c r="I3588" s="1"/>
      <c r="J3588" s="3"/>
      <c r="K3588" s="3"/>
      <c r="L3588" s="1"/>
      <c r="M3588" s="1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  <c r="AC3588" s="3"/>
      <c r="AD3588" s="3"/>
      <c r="AE3588" s="3"/>
      <c r="AF3588" s="3"/>
      <c r="AG3588" s="3"/>
      <c r="AH3588" s="3"/>
      <c r="AI3588" s="3"/>
      <c r="AJ3588" s="3"/>
      <c r="AK3588" s="3"/>
      <c r="AL3588" s="3"/>
    </row>
    <row r="3589" ht="15.75" customHeight="1">
      <c r="A3589" s="1"/>
      <c r="B3589" s="2"/>
      <c r="C3589" s="3"/>
      <c r="D3589" s="3"/>
      <c r="E3589" s="1"/>
      <c r="F3589" s="1"/>
      <c r="G3589" s="1"/>
      <c r="H3589" s="1"/>
      <c r="I3589" s="1"/>
      <c r="J3589" s="3"/>
      <c r="K3589" s="3"/>
      <c r="L3589" s="1"/>
      <c r="M3589" s="1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  <c r="AC3589" s="3"/>
      <c r="AD3589" s="3"/>
      <c r="AE3589" s="3"/>
      <c r="AF3589" s="3"/>
      <c r="AG3589" s="3"/>
      <c r="AH3589" s="3"/>
      <c r="AI3589" s="3"/>
      <c r="AJ3589" s="3"/>
      <c r="AK3589" s="3"/>
      <c r="AL3589" s="3"/>
    </row>
    <row r="3590" ht="15.75" customHeight="1">
      <c r="A3590" s="1"/>
      <c r="B3590" s="2"/>
      <c r="C3590" s="3"/>
      <c r="D3590" s="3"/>
      <c r="E3590" s="1"/>
      <c r="F3590" s="1"/>
      <c r="G3590" s="1"/>
      <c r="H3590" s="1"/>
      <c r="I3590" s="1"/>
      <c r="J3590" s="3"/>
      <c r="K3590" s="3"/>
      <c r="L3590" s="1"/>
      <c r="M3590" s="1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  <c r="AC3590" s="3"/>
      <c r="AD3590" s="3"/>
      <c r="AE3590" s="3"/>
      <c r="AF3590" s="3"/>
      <c r="AG3590" s="3"/>
      <c r="AH3590" s="3"/>
      <c r="AI3590" s="3"/>
      <c r="AJ3590" s="3"/>
      <c r="AK3590" s="3"/>
      <c r="AL3590" s="3"/>
    </row>
    <row r="3591" ht="15.75" customHeight="1">
      <c r="A3591" s="1"/>
      <c r="B3591" s="2"/>
      <c r="C3591" s="3"/>
      <c r="D3591" s="3"/>
      <c r="E3591" s="1"/>
      <c r="F3591" s="1"/>
      <c r="G3591" s="1"/>
      <c r="H3591" s="1"/>
      <c r="I3591" s="1"/>
      <c r="J3591" s="3"/>
      <c r="K3591" s="3"/>
      <c r="L3591" s="1"/>
      <c r="M3591" s="1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  <c r="AC3591" s="3"/>
      <c r="AD3591" s="3"/>
      <c r="AE3591" s="3"/>
      <c r="AF3591" s="3"/>
      <c r="AG3591" s="3"/>
      <c r="AH3591" s="3"/>
      <c r="AI3591" s="3"/>
      <c r="AJ3591" s="3"/>
      <c r="AK3591" s="3"/>
      <c r="AL3591" s="3"/>
    </row>
    <row r="3592" ht="15.75" customHeight="1">
      <c r="A3592" s="1"/>
      <c r="B3592" s="2"/>
      <c r="C3592" s="3"/>
      <c r="D3592" s="3"/>
      <c r="E3592" s="1"/>
      <c r="F3592" s="1"/>
      <c r="G3592" s="1"/>
      <c r="H3592" s="1"/>
      <c r="I3592" s="1"/>
      <c r="J3592" s="3"/>
      <c r="K3592" s="3"/>
      <c r="L3592" s="1"/>
      <c r="M3592" s="1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  <c r="AC3592" s="3"/>
      <c r="AD3592" s="3"/>
      <c r="AE3592" s="3"/>
      <c r="AF3592" s="3"/>
      <c r="AG3592" s="3"/>
      <c r="AH3592" s="3"/>
      <c r="AI3592" s="3"/>
      <c r="AJ3592" s="3"/>
      <c r="AK3592" s="3"/>
      <c r="AL3592" s="3"/>
    </row>
    <row r="3593" ht="15.75" customHeight="1">
      <c r="A3593" s="1"/>
      <c r="B3593" s="2"/>
      <c r="C3593" s="3"/>
      <c r="D3593" s="3"/>
      <c r="E3593" s="1"/>
      <c r="F3593" s="1"/>
      <c r="G3593" s="1"/>
      <c r="H3593" s="1"/>
      <c r="I3593" s="1"/>
      <c r="J3593" s="3"/>
      <c r="K3593" s="3"/>
      <c r="L3593" s="1"/>
      <c r="M3593" s="1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  <c r="AC3593" s="3"/>
      <c r="AD3593" s="3"/>
      <c r="AE3593" s="3"/>
      <c r="AF3593" s="3"/>
      <c r="AG3593" s="3"/>
      <c r="AH3593" s="3"/>
      <c r="AI3593" s="3"/>
      <c r="AJ3593" s="3"/>
      <c r="AK3593" s="3"/>
      <c r="AL3593" s="3"/>
    </row>
    <row r="3594" ht="15.75" customHeight="1">
      <c r="A3594" s="1"/>
      <c r="B3594" s="2"/>
      <c r="C3594" s="3"/>
      <c r="D3594" s="3"/>
      <c r="E3594" s="1"/>
      <c r="F3594" s="1"/>
      <c r="G3594" s="1"/>
      <c r="H3594" s="1"/>
      <c r="I3594" s="1"/>
      <c r="J3594" s="3"/>
      <c r="K3594" s="3"/>
      <c r="L3594" s="1"/>
      <c r="M3594" s="1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3"/>
      <c r="AD3594" s="3"/>
      <c r="AE3594" s="3"/>
      <c r="AF3594" s="3"/>
      <c r="AG3594" s="3"/>
      <c r="AH3594" s="3"/>
      <c r="AI3594" s="3"/>
      <c r="AJ3594" s="3"/>
      <c r="AK3594" s="3"/>
      <c r="AL3594" s="3"/>
    </row>
    <row r="3595" ht="15.75" customHeight="1">
      <c r="A3595" s="1"/>
      <c r="B3595" s="2"/>
      <c r="C3595" s="3"/>
      <c r="D3595" s="3"/>
      <c r="E3595" s="1"/>
      <c r="F3595" s="1"/>
      <c r="G3595" s="1"/>
      <c r="H3595" s="1"/>
      <c r="I3595" s="1"/>
      <c r="J3595" s="3"/>
      <c r="K3595" s="3"/>
      <c r="L3595" s="1"/>
      <c r="M3595" s="1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3"/>
      <c r="AD3595" s="3"/>
      <c r="AE3595" s="3"/>
      <c r="AF3595" s="3"/>
      <c r="AG3595" s="3"/>
      <c r="AH3595" s="3"/>
      <c r="AI3595" s="3"/>
      <c r="AJ3595" s="3"/>
      <c r="AK3595" s="3"/>
      <c r="AL3595" s="3"/>
    </row>
    <row r="3596" ht="15.75" customHeight="1">
      <c r="A3596" s="1"/>
      <c r="B3596" s="2"/>
      <c r="C3596" s="3"/>
      <c r="D3596" s="3"/>
      <c r="E3596" s="1"/>
      <c r="F3596" s="1"/>
      <c r="G3596" s="1"/>
      <c r="H3596" s="1"/>
      <c r="I3596" s="1"/>
      <c r="J3596" s="3"/>
      <c r="K3596" s="3"/>
      <c r="L3596" s="1"/>
      <c r="M3596" s="1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  <c r="AC3596" s="3"/>
      <c r="AD3596" s="3"/>
      <c r="AE3596" s="3"/>
      <c r="AF3596" s="3"/>
      <c r="AG3596" s="3"/>
      <c r="AH3596" s="3"/>
      <c r="AI3596" s="3"/>
      <c r="AJ3596" s="3"/>
      <c r="AK3596" s="3"/>
      <c r="AL3596" s="3"/>
    </row>
    <row r="3597" ht="15.75" customHeight="1">
      <c r="A3597" s="1"/>
      <c r="B3597" s="2"/>
      <c r="C3597" s="3"/>
      <c r="D3597" s="3"/>
      <c r="E3597" s="1"/>
      <c r="F3597" s="1"/>
      <c r="G3597" s="1"/>
      <c r="H3597" s="1"/>
      <c r="I3597" s="1"/>
      <c r="J3597" s="3"/>
      <c r="K3597" s="3"/>
      <c r="L3597" s="1"/>
      <c r="M3597" s="1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  <c r="AC3597" s="3"/>
      <c r="AD3597" s="3"/>
      <c r="AE3597" s="3"/>
      <c r="AF3597" s="3"/>
      <c r="AG3597" s="3"/>
      <c r="AH3597" s="3"/>
      <c r="AI3597" s="3"/>
      <c r="AJ3597" s="3"/>
      <c r="AK3597" s="3"/>
      <c r="AL3597" s="3"/>
    </row>
    <row r="3598" ht="15.75" customHeight="1">
      <c r="A3598" s="1"/>
      <c r="B3598" s="2"/>
      <c r="C3598" s="3"/>
      <c r="D3598" s="3"/>
      <c r="E3598" s="1"/>
      <c r="F3598" s="1"/>
      <c r="G3598" s="1"/>
      <c r="H3598" s="1"/>
      <c r="I3598" s="1"/>
      <c r="J3598" s="3"/>
      <c r="K3598" s="3"/>
      <c r="L3598" s="1"/>
      <c r="M3598" s="1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3"/>
      <c r="AD3598" s="3"/>
      <c r="AE3598" s="3"/>
      <c r="AF3598" s="3"/>
      <c r="AG3598" s="3"/>
      <c r="AH3598" s="3"/>
      <c r="AI3598" s="3"/>
      <c r="AJ3598" s="3"/>
      <c r="AK3598" s="3"/>
      <c r="AL3598" s="3"/>
    </row>
    <row r="3599" ht="15.75" customHeight="1">
      <c r="A3599" s="1"/>
      <c r="B3599" s="2"/>
      <c r="C3599" s="3"/>
      <c r="D3599" s="3"/>
      <c r="E3599" s="1"/>
      <c r="F3599" s="1"/>
      <c r="G3599" s="1"/>
      <c r="H3599" s="1"/>
      <c r="I3599" s="1"/>
      <c r="J3599" s="3"/>
      <c r="K3599" s="3"/>
      <c r="L3599" s="1"/>
      <c r="M3599" s="1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  <c r="AC3599" s="3"/>
      <c r="AD3599" s="3"/>
      <c r="AE3599" s="3"/>
      <c r="AF3599" s="3"/>
      <c r="AG3599" s="3"/>
      <c r="AH3599" s="3"/>
      <c r="AI3599" s="3"/>
      <c r="AJ3599" s="3"/>
      <c r="AK3599" s="3"/>
      <c r="AL3599" s="3"/>
    </row>
    <row r="3600" ht="15.75" customHeight="1">
      <c r="A3600" s="1"/>
      <c r="B3600" s="2"/>
      <c r="C3600" s="3"/>
      <c r="D3600" s="3"/>
      <c r="E3600" s="1"/>
      <c r="F3600" s="1"/>
      <c r="G3600" s="1"/>
      <c r="H3600" s="1"/>
      <c r="I3600" s="1"/>
      <c r="J3600" s="3"/>
      <c r="K3600" s="3"/>
      <c r="L3600" s="1"/>
      <c r="M3600" s="1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3"/>
      <c r="AD3600" s="3"/>
      <c r="AE3600" s="3"/>
      <c r="AF3600" s="3"/>
      <c r="AG3600" s="3"/>
      <c r="AH3600" s="3"/>
      <c r="AI3600" s="3"/>
      <c r="AJ3600" s="3"/>
      <c r="AK3600" s="3"/>
      <c r="AL3600" s="3"/>
    </row>
    <row r="3601" ht="15.75" customHeight="1">
      <c r="A3601" s="1"/>
      <c r="B3601" s="2"/>
      <c r="C3601" s="3"/>
      <c r="D3601" s="3"/>
      <c r="E3601" s="1"/>
      <c r="F3601" s="1"/>
      <c r="G3601" s="1"/>
      <c r="H3601" s="1"/>
      <c r="I3601" s="1"/>
      <c r="J3601" s="3"/>
      <c r="K3601" s="3"/>
      <c r="L3601" s="1"/>
      <c r="M3601" s="1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  <c r="AC3601" s="3"/>
      <c r="AD3601" s="3"/>
      <c r="AE3601" s="3"/>
      <c r="AF3601" s="3"/>
      <c r="AG3601" s="3"/>
      <c r="AH3601" s="3"/>
      <c r="AI3601" s="3"/>
      <c r="AJ3601" s="3"/>
      <c r="AK3601" s="3"/>
      <c r="AL3601" s="3"/>
    </row>
    <row r="3602" ht="15.75" customHeight="1">
      <c r="A3602" s="1"/>
      <c r="B3602" s="2"/>
      <c r="C3602" s="3"/>
      <c r="D3602" s="3"/>
      <c r="E3602" s="1"/>
      <c r="F3602" s="1"/>
      <c r="G3602" s="1"/>
      <c r="H3602" s="1"/>
      <c r="I3602" s="1"/>
      <c r="J3602" s="3"/>
      <c r="K3602" s="3"/>
      <c r="L3602" s="1"/>
      <c r="M3602" s="1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3"/>
      <c r="AE3602" s="3"/>
      <c r="AF3602" s="3"/>
      <c r="AG3602" s="3"/>
      <c r="AH3602" s="3"/>
      <c r="AI3602" s="3"/>
      <c r="AJ3602" s="3"/>
      <c r="AK3602" s="3"/>
      <c r="AL3602" s="3"/>
    </row>
    <row r="3603" ht="15.75" customHeight="1">
      <c r="A3603" s="1"/>
      <c r="B3603" s="2"/>
      <c r="C3603" s="3"/>
      <c r="D3603" s="3"/>
      <c r="E3603" s="1"/>
      <c r="F3603" s="1"/>
      <c r="G3603" s="1"/>
      <c r="H3603" s="1"/>
      <c r="I3603" s="1"/>
      <c r="J3603" s="3"/>
      <c r="K3603" s="3"/>
      <c r="L3603" s="1"/>
      <c r="M3603" s="1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  <c r="AC3603" s="3"/>
      <c r="AD3603" s="3"/>
      <c r="AE3603" s="3"/>
      <c r="AF3603" s="3"/>
      <c r="AG3603" s="3"/>
      <c r="AH3603" s="3"/>
      <c r="AI3603" s="3"/>
      <c r="AJ3603" s="3"/>
      <c r="AK3603" s="3"/>
      <c r="AL3603" s="3"/>
    </row>
    <row r="3604" ht="15.75" customHeight="1">
      <c r="A3604" s="1"/>
      <c r="B3604" s="2"/>
      <c r="C3604" s="3"/>
      <c r="D3604" s="3"/>
      <c r="E3604" s="1"/>
      <c r="F3604" s="1"/>
      <c r="G3604" s="1"/>
      <c r="H3604" s="1"/>
      <c r="I3604" s="1"/>
      <c r="J3604" s="3"/>
      <c r="K3604" s="3"/>
      <c r="L3604" s="1"/>
      <c r="M3604" s="1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3"/>
      <c r="AE3604" s="3"/>
      <c r="AF3604" s="3"/>
      <c r="AG3604" s="3"/>
      <c r="AH3604" s="3"/>
      <c r="AI3604" s="3"/>
      <c r="AJ3604" s="3"/>
      <c r="AK3604" s="3"/>
      <c r="AL3604" s="3"/>
    </row>
    <row r="3605" ht="15.75" customHeight="1">
      <c r="A3605" s="1"/>
      <c r="B3605" s="2"/>
      <c r="C3605" s="3"/>
      <c r="D3605" s="3"/>
      <c r="E3605" s="1"/>
      <c r="F3605" s="1"/>
      <c r="G3605" s="1"/>
      <c r="H3605" s="1"/>
      <c r="I3605" s="1"/>
      <c r="J3605" s="3"/>
      <c r="K3605" s="3"/>
      <c r="L3605" s="1"/>
      <c r="M3605" s="1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  <c r="AC3605" s="3"/>
      <c r="AD3605" s="3"/>
      <c r="AE3605" s="3"/>
      <c r="AF3605" s="3"/>
      <c r="AG3605" s="3"/>
      <c r="AH3605" s="3"/>
      <c r="AI3605" s="3"/>
      <c r="AJ3605" s="3"/>
      <c r="AK3605" s="3"/>
      <c r="AL3605" s="3"/>
    </row>
    <row r="3606" ht="15.75" customHeight="1">
      <c r="A3606" s="1"/>
      <c r="B3606" s="2"/>
      <c r="C3606" s="3"/>
      <c r="D3606" s="3"/>
      <c r="E3606" s="1"/>
      <c r="F3606" s="1"/>
      <c r="G3606" s="1"/>
      <c r="H3606" s="1"/>
      <c r="I3606" s="1"/>
      <c r="J3606" s="3"/>
      <c r="K3606" s="3"/>
      <c r="L3606" s="1"/>
      <c r="M3606" s="1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  <c r="AC3606" s="3"/>
      <c r="AD3606" s="3"/>
      <c r="AE3606" s="3"/>
      <c r="AF3606" s="3"/>
      <c r="AG3606" s="3"/>
      <c r="AH3606" s="3"/>
      <c r="AI3606" s="3"/>
      <c r="AJ3606" s="3"/>
      <c r="AK3606" s="3"/>
      <c r="AL3606" s="3"/>
    </row>
    <row r="3607" ht="15.75" customHeight="1">
      <c r="A3607" s="1"/>
      <c r="B3607" s="2"/>
      <c r="C3607" s="3"/>
      <c r="D3607" s="3"/>
      <c r="E3607" s="1"/>
      <c r="F3607" s="1"/>
      <c r="G3607" s="1"/>
      <c r="H3607" s="1"/>
      <c r="I3607" s="1"/>
      <c r="J3607" s="3"/>
      <c r="K3607" s="3"/>
      <c r="L3607" s="1"/>
      <c r="M3607" s="1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  <c r="AC3607" s="3"/>
      <c r="AD3607" s="3"/>
      <c r="AE3607" s="3"/>
      <c r="AF3607" s="3"/>
      <c r="AG3607" s="3"/>
      <c r="AH3607" s="3"/>
      <c r="AI3607" s="3"/>
      <c r="AJ3607" s="3"/>
      <c r="AK3607" s="3"/>
      <c r="AL3607" s="3"/>
    </row>
    <row r="3608" ht="15.75" customHeight="1">
      <c r="A3608" s="1"/>
      <c r="B3608" s="2"/>
      <c r="C3608" s="3"/>
      <c r="D3608" s="3"/>
      <c r="E3608" s="1"/>
      <c r="F3608" s="1"/>
      <c r="G3608" s="1"/>
      <c r="H3608" s="1"/>
      <c r="I3608" s="1"/>
      <c r="J3608" s="3"/>
      <c r="K3608" s="3"/>
      <c r="L3608" s="1"/>
      <c r="M3608" s="1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  <c r="AC3608" s="3"/>
      <c r="AD3608" s="3"/>
      <c r="AE3608" s="3"/>
      <c r="AF3608" s="3"/>
      <c r="AG3608" s="3"/>
      <c r="AH3608" s="3"/>
      <c r="AI3608" s="3"/>
      <c r="AJ3608" s="3"/>
      <c r="AK3608" s="3"/>
      <c r="AL3608" s="3"/>
    </row>
    <row r="3609" ht="15.75" customHeight="1">
      <c r="A3609" s="1"/>
      <c r="B3609" s="2"/>
      <c r="C3609" s="3"/>
      <c r="D3609" s="3"/>
      <c r="E3609" s="1"/>
      <c r="F3609" s="1"/>
      <c r="G3609" s="1"/>
      <c r="H3609" s="1"/>
      <c r="I3609" s="1"/>
      <c r="J3609" s="3"/>
      <c r="K3609" s="3"/>
      <c r="L3609" s="1"/>
      <c r="M3609" s="1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  <c r="AC3609" s="3"/>
      <c r="AD3609" s="3"/>
      <c r="AE3609" s="3"/>
      <c r="AF3609" s="3"/>
      <c r="AG3609" s="3"/>
      <c r="AH3609" s="3"/>
      <c r="AI3609" s="3"/>
      <c r="AJ3609" s="3"/>
      <c r="AK3609" s="3"/>
      <c r="AL3609" s="3"/>
    </row>
    <row r="3610" ht="15.75" customHeight="1">
      <c r="A3610" s="1"/>
      <c r="B3610" s="2"/>
      <c r="C3610" s="3"/>
      <c r="D3610" s="3"/>
      <c r="E3610" s="1"/>
      <c r="F3610" s="1"/>
      <c r="G3610" s="1"/>
      <c r="H3610" s="1"/>
      <c r="I3610" s="1"/>
      <c r="J3610" s="3"/>
      <c r="K3610" s="3"/>
      <c r="L3610" s="1"/>
      <c r="M3610" s="1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  <c r="AC3610" s="3"/>
      <c r="AD3610" s="3"/>
      <c r="AE3610" s="3"/>
      <c r="AF3610" s="3"/>
      <c r="AG3610" s="3"/>
      <c r="AH3610" s="3"/>
      <c r="AI3610" s="3"/>
      <c r="AJ3610" s="3"/>
      <c r="AK3610" s="3"/>
      <c r="AL3610" s="3"/>
    </row>
    <row r="3611" ht="15.75" customHeight="1">
      <c r="A3611" s="1"/>
      <c r="B3611" s="2"/>
      <c r="C3611" s="3"/>
      <c r="D3611" s="3"/>
      <c r="E3611" s="1"/>
      <c r="F3611" s="1"/>
      <c r="G3611" s="1"/>
      <c r="H3611" s="1"/>
      <c r="I3611" s="1"/>
      <c r="J3611" s="3"/>
      <c r="K3611" s="3"/>
      <c r="L3611" s="1"/>
      <c r="M3611" s="1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  <c r="AD3611" s="3"/>
      <c r="AE3611" s="3"/>
      <c r="AF3611" s="3"/>
      <c r="AG3611" s="3"/>
      <c r="AH3611" s="3"/>
      <c r="AI3611" s="3"/>
      <c r="AJ3611" s="3"/>
      <c r="AK3611" s="3"/>
      <c r="AL3611" s="3"/>
    </row>
    <row r="3612" ht="15.75" customHeight="1">
      <c r="A3612" s="1"/>
      <c r="B3612" s="2"/>
      <c r="C3612" s="3"/>
      <c r="D3612" s="3"/>
      <c r="E3612" s="1"/>
      <c r="F3612" s="1"/>
      <c r="G3612" s="1"/>
      <c r="H3612" s="1"/>
      <c r="I3612" s="1"/>
      <c r="J3612" s="3"/>
      <c r="K3612" s="3"/>
      <c r="L3612" s="1"/>
      <c r="M3612" s="1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3"/>
      <c r="AD3612" s="3"/>
      <c r="AE3612" s="3"/>
      <c r="AF3612" s="3"/>
      <c r="AG3612" s="3"/>
      <c r="AH3612" s="3"/>
      <c r="AI3612" s="3"/>
      <c r="AJ3612" s="3"/>
      <c r="AK3612" s="3"/>
      <c r="AL3612" s="3"/>
    </row>
    <row r="3613" ht="15.75" customHeight="1">
      <c r="A3613" s="1"/>
      <c r="B3613" s="2"/>
      <c r="C3613" s="3"/>
      <c r="D3613" s="3"/>
      <c r="E3613" s="1"/>
      <c r="F3613" s="1"/>
      <c r="G3613" s="1"/>
      <c r="H3613" s="1"/>
      <c r="I3613" s="1"/>
      <c r="J3613" s="3"/>
      <c r="K3613" s="3"/>
      <c r="L3613" s="1"/>
      <c r="M3613" s="1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3"/>
      <c r="AD3613" s="3"/>
      <c r="AE3613" s="3"/>
      <c r="AF3613" s="3"/>
      <c r="AG3613" s="3"/>
      <c r="AH3613" s="3"/>
      <c r="AI3613" s="3"/>
      <c r="AJ3613" s="3"/>
      <c r="AK3613" s="3"/>
      <c r="AL3613" s="3"/>
    </row>
    <row r="3614" ht="15.75" customHeight="1">
      <c r="A3614" s="1"/>
      <c r="B3614" s="2"/>
      <c r="C3614" s="3"/>
      <c r="D3614" s="3"/>
      <c r="E3614" s="1"/>
      <c r="F3614" s="1"/>
      <c r="G3614" s="1"/>
      <c r="H3614" s="1"/>
      <c r="I3614" s="1"/>
      <c r="J3614" s="3"/>
      <c r="K3614" s="3"/>
      <c r="L3614" s="1"/>
      <c r="M3614" s="1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3"/>
      <c r="AD3614" s="3"/>
      <c r="AE3614" s="3"/>
      <c r="AF3614" s="3"/>
      <c r="AG3614" s="3"/>
      <c r="AH3614" s="3"/>
      <c r="AI3614" s="3"/>
      <c r="AJ3614" s="3"/>
      <c r="AK3614" s="3"/>
      <c r="AL3614" s="3"/>
    </row>
    <row r="3615" ht="15.75" customHeight="1">
      <c r="A3615" s="1"/>
      <c r="B3615" s="2"/>
      <c r="C3615" s="3"/>
      <c r="D3615" s="3"/>
      <c r="E3615" s="1"/>
      <c r="F3615" s="1"/>
      <c r="G3615" s="1"/>
      <c r="H3615" s="1"/>
      <c r="I3615" s="1"/>
      <c r="J3615" s="3"/>
      <c r="K3615" s="3"/>
      <c r="L3615" s="1"/>
      <c r="M3615" s="1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3"/>
      <c r="AD3615" s="3"/>
      <c r="AE3615" s="3"/>
      <c r="AF3615" s="3"/>
      <c r="AG3615" s="3"/>
      <c r="AH3615" s="3"/>
      <c r="AI3615" s="3"/>
      <c r="AJ3615" s="3"/>
      <c r="AK3615" s="3"/>
      <c r="AL3615" s="3"/>
    </row>
    <row r="3616" ht="15.75" customHeight="1">
      <c r="A3616" s="1"/>
      <c r="B3616" s="2"/>
      <c r="C3616" s="3"/>
      <c r="D3616" s="3"/>
      <c r="E3616" s="1"/>
      <c r="F3616" s="1"/>
      <c r="G3616" s="1"/>
      <c r="H3616" s="1"/>
      <c r="I3616" s="1"/>
      <c r="J3616" s="3"/>
      <c r="K3616" s="3"/>
      <c r="L3616" s="1"/>
      <c r="M3616" s="1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  <c r="AC3616" s="3"/>
      <c r="AD3616" s="3"/>
      <c r="AE3616" s="3"/>
      <c r="AF3616" s="3"/>
      <c r="AG3616" s="3"/>
      <c r="AH3616" s="3"/>
      <c r="AI3616" s="3"/>
      <c r="AJ3616" s="3"/>
      <c r="AK3616" s="3"/>
      <c r="AL3616" s="3"/>
    </row>
    <row r="3617" ht="15.75" customHeight="1">
      <c r="A3617" s="1"/>
      <c r="B3617" s="2"/>
      <c r="C3617" s="3"/>
      <c r="D3617" s="3"/>
      <c r="E3617" s="1"/>
      <c r="F3617" s="1"/>
      <c r="G3617" s="1"/>
      <c r="H3617" s="1"/>
      <c r="I3617" s="1"/>
      <c r="J3617" s="3"/>
      <c r="K3617" s="3"/>
      <c r="L3617" s="1"/>
      <c r="M3617" s="1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  <c r="AC3617" s="3"/>
      <c r="AD3617" s="3"/>
      <c r="AE3617" s="3"/>
      <c r="AF3617" s="3"/>
      <c r="AG3617" s="3"/>
      <c r="AH3617" s="3"/>
      <c r="AI3617" s="3"/>
      <c r="AJ3617" s="3"/>
      <c r="AK3617" s="3"/>
      <c r="AL3617" s="3"/>
    </row>
    <row r="3618" ht="15.75" customHeight="1">
      <c r="A3618" s="1"/>
      <c r="B3618" s="2"/>
      <c r="C3618" s="3"/>
      <c r="D3618" s="3"/>
      <c r="E3618" s="1"/>
      <c r="F3618" s="1"/>
      <c r="G3618" s="1"/>
      <c r="H3618" s="1"/>
      <c r="I3618" s="1"/>
      <c r="J3618" s="3"/>
      <c r="K3618" s="3"/>
      <c r="L3618" s="1"/>
      <c r="M3618" s="1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3"/>
      <c r="AD3618" s="3"/>
      <c r="AE3618" s="3"/>
      <c r="AF3618" s="3"/>
      <c r="AG3618" s="3"/>
      <c r="AH3618" s="3"/>
      <c r="AI3618" s="3"/>
      <c r="AJ3618" s="3"/>
      <c r="AK3618" s="3"/>
      <c r="AL3618" s="3"/>
    </row>
    <row r="3619" ht="15.75" customHeight="1">
      <c r="A3619" s="1"/>
      <c r="B3619" s="2"/>
      <c r="C3619" s="3"/>
      <c r="D3619" s="3"/>
      <c r="E3619" s="1"/>
      <c r="F3619" s="1"/>
      <c r="G3619" s="1"/>
      <c r="H3619" s="1"/>
      <c r="I3619" s="1"/>
      <c r="J3619" s="3"/>
      <c r="K3619" s="3"/>
      <c r="L3619" s="1"/>
      <c r="M3619" s="1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3"/>
      <c r="AD3619" s="3"/>
      <c r="AE3619" s="3"/>
      <c r="AF3619" s="3"/>
      <c r="AG3619" s="3"/>
      <c r="AH3619" s="3"/>
      <c r="AI3619" s="3"/>
      <c r="AJ3619" s="3"/>
      <c r="AK3619" s="3"/>
      <c r="AL3619" s="3"/>
    </row>
    <row r="3620" ht="15.75" customHeight="1">
      <c r="A3620" s="1"/>
      <c r="B3620" s="2"/>
      <c r="C3620" s="3"/>
      <c r="D3620" s="3"/>
      <c r="E3620" s="1"/>
      <c r="F3620" s="1"/>
      <c r="G3620" s="1"/>
      <c r="H3620" s="1"/>
      <c r="I3620" s="1"/>
      <c r="J3620" s="3"/>
      <c r="K3620" s="3"/>
      <c r="L3620" s="1"/>
      <c r="M3620" s="1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3"/>
      <c r="AD3620" s="3"/>
      <c r="AE3620" s="3"/>
      <c r="AF3620" s="3"/>
      <c r="AG3620" s="3"/>
      <c r="AH3620" s="3"/>
      <c r="AI3620" s="3"/>
      <c r="AJ3620" s="3"/>
      <c r="AK3620" s="3"/>
      <c r="AL3620" s="3"/>
    </row>
    <row r="3621" ht="15.75" customHeight="1">
      <c r="A3621" s="1"/>
      <c r="B3621" s="2"/>
      <c r="C3621" s="3"/>
      <c r="D3621" s="3"/>
      <c r="E3621" s="1"/>
      <c r="F3621" s="1"/>
      <c r="G3621" s="1"/>
      <c r="H3621" s="1"/>
      <c r="I3621" s="1"/>
      <c r="J3621" s="3"/>
      <c r="K3621" s="3"/>
      <c r="L3621" s="1"/>
      <c r="M3621" s="1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  <c r="AC3621" s="3"/>
      <c r="AD3621" s="3"/>
      <c r="AE3621" s="3"/>
      <c r="AF3621" s="3"/>
      <c r="AG3621" s="3"/>
      <c r="AH3621" s="3"/>
      <c r="AI3621" s="3"/>
      <c r="AJ3621" s="3"/>
      <c r="AK3621" s="3"/>
      <c r="AL3621" s="3"/>
    </row>
    <row r="3622" ht="15.75" customHeight="1">
      <c r="A3622" s="1"/>
      <c r="B3622" s="2"/>
      <c r="C3622" s="3"/>
      <c r="D3622" s="3"/>
      <c r="E3622" s="1"/>
      <c r="F3622" s="1"/>
      <c r="G3622" s="1"/>
      <c r="H3622" s="1"/>
      <c r="I3622" s="1"/>
      <c r="J3622" s="3"/>
      <c r="K3622" s="3"/>
      <c r="L3622" s="1"/>
      <c r="M3622" s="1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  <c r="AD3622" s="3"/>
      <c r="AE3622" s="3"/>
      <c r="AF3622" s="3"/>
      <c r="AG3622" s="3"/>
      <c r="AH3622" s="3"/>
      <c r="AI3622" s="3"/>
      <c r="AJ3622" s="3"/>
      <c r="AK3622" s="3"/>
      <c r="AL3622" s="3"/>
    </row>
    <row r="3623" ht="15.75" customHeight="1">
      <c r="A3623" s="1"/>
      <c r="B3623" s="2"/>
      <c r="C3623" s="3"/>
      <c r="D3623" s="3"/>
      <c r="E3623" s="1"/>
      <c r="F3623" s="1"/>
      <c r="G3623" s="1"/>
      <c r="H3623" s="1"/>
      <c r="I3623" s="1"/>
      <c r="J3623" s="3"/>
      <c r="K3623" s="3"/>
      <c r="L3623" s="1"/>
      <c r="M3623" s="1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3"/>
      <c r="AD3623" s="3"/>
      <c r="AE3623" s="3"/>
      <c r="AF3623" s="3"/>
      <c r="AG3623" s="3"/>
      <c r="AH3623" s="3"/>
      <c r="AI3623" s="3"/>
      <c r="AJ3623" s="3"/>
      <c r="AK3623" s="3"/>
      <c r="AL3623" s="3"/>
    </row>
    <row r="3624" ht="15.75" customHeight="1">
      <c r="A3624" s="1"/>
      <c r="B3624" s="2"/>
      <c r="C3624" s="3"/>
      <c r="D3624" s="3"/>
      <c r="E3624" s="1"/>
      <c r="F3624" s="1"/>
      <c r="G3624" s="1"/>
      <c r="H3624" s="1"/>
      <c r="I3624" s="1"/>
      <c r="J3624" s="3"/>
      <c r="K3624" s="3"/>
      <c r="L3624" s="1"/>
      <c r="M3624" s="1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3"/>
      <c r="AE3624" s="3"/>
      <c r="AF3624" s="3"/>
      <c r="AG3624" s="3"/>
      <c r="AH3624" s="3"/>
      <c r="AI3624" s="3"/>
      <c r="AJ3624" s="3"/>
      <c r="AK3624" s="3"/>
      <c r="AL3624" s="3"/>
    </row>
    <row r="3625" ht="15.75" customHeight="1">
      <c r="A3625" s="1"/>
      <c r="B3625" s="2"/>
      <c r="C3625" s="3"/>
      <c r="D3625" s="3"/>
      <c r="E3625" s="1"/>
      <c r="F3625" s="1"/>
      <c r="G3625" s="1"/>
      <c r="H3625" s="1"/>
      <c r="I3625" s="1"/>
      <c r="J3625" s="3"/>
      <c r="K3625" s="3"/>
      <c r="L3625" s="1"/>
      <c r="M3625" s="1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3"/>
      <c r="AD3625" s="3"/>
      <c r="AE3625" s="3"/>
      <c r="AF3625" s="3"/>
      <c r="AG3625" s="3"/>
      <c r="AH3625" s="3"/>
      <c r="AI3625" s="3"/>
      <c r="AJ3625" s="3"/>
      <c r="AK3625" s="3"/>
      <c r="AL3625" s="3"/>
    </row>
    <row r="3626" ht="15.75" customHeight="1">
      <c r="A3626" s="1"/>
      <c r="B3626" s="2"/>
      <c r="C3626" s="3"/>
      <c r="D3626" s="3"/>
      <c r="E3626" s="1"/>
      <c r="F3626" s="1"/>
      <c r="G3626" s="1"/>
      <c r="H3626" s="1"/>
      <c r="I3626" s="1"/>
      <c r="J3626" s="3"/>
      <c r="K3626" s="3"/>
      <c r="L3626" s="1"/>
      <c r="M3626" s="1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  <c r="AD3626" s="3"/>
      <c r="AE3626" s="3"/>
      <c r="AF3626" s="3"/>
      <c r="AG3626" s="3"/>
      <c r="AH3626" s="3"/>
      <c r="AI3626" s="3"/>
      <c r="AJ3626" s="3"/>
      <c r="AK3626" s="3"/>
      <c r="AL3626" s="3"/>
    </row>
    <row r="3627" ht="15.75" customHeight="1">
      <c r="A3627" s="1"/>
      <c r="B3627" s="2"/>
      <c r="C3627" s="3"/>
      <c r="D3627" s="3"/>
      <c r="E3627" s="1"/>
      <c r="F3627" s="1"/>
      <c r="G3627" s="1"/>
      <c r="H3627" s="1"/>
      <c r="I3627" s="1"/>
      <c r="J3627" s="3"/>
      <c r="K3627" s="3"/>
      <c r="L3627" s="1"/>
      <c r="M3627" s="1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3"/>
      <c r="AE3627" s="3"/>
      <c r="AF3627" s="3"/>
      <c r="AG3627" s="3"/>
      <c r="AH3627" s="3"/>
      <c r="AI3627" s="3"/>
      <c r="AJ3627" s="3"/>
      <c r="AK3627" s="3"/>
      <c r="AL3627" s="3"/>
    </row>
    <row r="3628" ht="15.75" customHeight="1">
      <c r="A3628" s="1"/>
      <c r="B3628" s="2"/>
      <c r="C3628" s="3"/>
      <c r="D3628" s="3"/>
      <c r="E3628" s="1"/>
      <c r="F3628" s="1"/>
      <c r="G3628" s="1"/>
      <c r="H3628" s="1"/>
      <c r="I3628" s="1"/>
      <c r="J3628" s="3"/>
      <c r="K3628" s="3"/>
      <c r="L3628" s="1"/>
      <c r="M3628" s="1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3"/>
      <c r="AD3628" s="3"/>
      <c r="AE3628" s="3"/>
      <c r="AF3628" s="3"/>
      <c r="AG3628" s="3"/>
      <c r="AH3628" s="3"/>
      <c r="AI3628" s="3"/>
      <c r="AJ3628" s="3"/>
      <c r="AK3628" s="3"/>
      <c r="AL3628" s="3"/>
    </row>
    <row r="3629" ht="15.75" customHeight="1">
      <c r="A3629" s="1"/>
      <c r="B3629" s="2"/>
      <c r="C3629" s="3"/>
      <c r="D3629" s="3"/>
      <c r="E3629" s="1"/>
      <c r="F3629" s="1"/>
      <c r="G3629" s="1"/>
      <c r="H3629" s="1"/>
      <c r="I3629" s="1"/>
      <c r="J3629" s="3"/>
      <c r="K3629" s="3"/>
      <c r="L3629" s="1"/>
      <c r="M3629" s="1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3"/>
      <c r="AD3629" s="3"/>
      <c r="AE3629" s="3"/>
      <c r="AF3629" s="3"/>
      <c r="AG3629" s="3"/>
      <c r="AH3629" s="3"/>
      <c r="AI3629" s="3"/>
      <c r="AJ3629" s="3"/>
      <c r="AK3629" s="3"/>
      <c r="AL3629" s="3"/>
    </row>
    <row r="3630" ht="15.75" customHeight="1">
      <c r="A3630" s="1"/>
      <c r="B3630" s="2"/>
      <c r="C3630" s="3"/>
      <c r="D3630" s="3"/>
      <c r="E3630" s="1"/>
      <c r="F3630" s="1"/>
      <c r="G3630" s="1"/>
      <c r="H3630" s="1"/>
      <c r="I3630" s="1"/>
      <c r="J3630" s="3"/>
      <c r="K3630" s="3"/>
      <c r="L3630" s="1"/>
      <c r="M3630" s="1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3"/>
      <c r="AE3630" s="3"/>
      <c r="AF3630" s="3"/>
      <c r="AG3630" s="3"/>
      <c r="AH3630" s="3"/>
      <c r="AI3630" s="3"/>
      <c r="AJ3630" s="3"/>
      <c r="AK3630" s="3"/>
      <c r="AL3630" s="3"/>
    </row>
    <row r="3631" ht="15.75" customHeight="1">
      <c r="A3631" s="1"/>
      <c r="B3631" s="2"/>
      <c r="C3631" s="3"/>
      <c r="D3631" s="3"/>
      <c r="E3631" s="1"/>
      <c r="F3631" s="1"/>
      <c r="G3631" s="1"/>
      <c r="H3631" s="1"/>
      <c r="I3631" s="1"/>
      <c r="J3631" s="3"/>
      <c r="K3631" s="3"/>
      <c r="L3631" s="1"/>
      <c r="M3631" s="1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  <c r="AD3631" s="3"/>
      <c r="AE3631" s="3"/>
      <c r="AF3631" s="3"/>
      <c r="AG3631" s="3"/>
      <c r="AH3631" s="3"/>
      <c r="AI3631" s="3"/>
      <c r="AJ3631" s="3"/>
      <c r="AK3631" s="3"/>
      <c r="AL3631" s="3"/>
    </row>
    <row r="3632" ht="15.75" customHeight="1">
      <c r="A3632" s="1"/>
      <c r="B3632" s="2"/>
      <c r="C3632" s="3"/>
      <c r="D3632" s="3"/>
      <c r="E3632" s="1"/>
      <c r="F3632" s="1"/>
      <c r="G3632" s="1"/>
      <c r="H3632" s="1"/>
      <c r="I3632" s="1"/>
      <c r="J3632" s="3"/>
      <c r="K3632" s="3"/>
      <c r="L3632" s="1"/>
      <c r="M3632" s="1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  <c r="AE3632" s="3"/>
      <c r="AF3632" s="3"/>
      <c r="AG3632" s="3"/>
      <c r="AH3632" s="3"/>
      <c r="AI3632" s="3"/>
      <c r="AJ3632" s="3"/>
      <c r="AK3632" s="3"/>
      <c r="AL3632" s="3"/>
    </row>
    <row r="3633" ht="15.75" customHeight="1">
      <c r="A3633" s="1"/>
      <c r="B3633" s="2"/>
      <c r="C3633" s="3"/>
      <c r="D3633" s="3"/>
      <c r="E3633" s="1"/>
      <c r="F3633" s="1"/>
      <c r="G3633" s="1"/>
      <c r="H3633" s="1"/>
      <c r="I3633" s="1"/>
      <c r="J3633" s="3"/>
      <c r="K3633" s="3"/>
      <c r="L3633" s="1"/>
      <c r="M3633" s="1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3"/>
      <c r="AD3633" s="3"/>
      <c r="AE3633" s="3"/>
      <c r="AF3633" s="3"/>
      <c r="AG3633" s="3"/>
      <c r="AH3633" s="3"/>
      <c r="AI3633" s="3"/>
      <c r="AJ3633" s="3"/>
      <c r="AK3633" s="3"/>
      <c r="AL3633" s="3"/>
    </row>
    <row r="3634" ht="15.75" customHeight="1">
      <c r="A3634" s="1"/>
      <c r="B3634" s="2"/>
      <c r="C3634" s="3"/>
      <c r="D3634" s="3"/>
      <c r="E3634" s="1"/>
      <c r="F3634" s="1"/>
      <c r="G3634" s="1"/>
      <c r="H3634" s="1"/>
      <c r="I3634" s="1"/>
      <c r="J3634" s="3"/>
      <c r="K3634" s="3"/>
      <c r="L3634" s="1"/>
      <c r="M3634" s="1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3"/>
      <c r="AE3634" s="3"/>
      <c r="AF3634" s="3"/>
      <c r="AG3634" s="3"/>
      <c r="AH3634" s="3"/>
      <c r="AI3634" s="3"/>
      <c r="AJ3634" s="3"/>
      <c r="AK3634" s="3"/>
      <c r="AL3634" s="3"/>
    </row>
    <row r="3635" ht="15.75" customHeight="1">
      <c r="A3635" s="1"/>
      <c r="B3635" s="2"/>
      <c r="C3635" s="3"/>
      <c r="D3635" s="3"/>
      <c r="E3635" s="1"/>
      <c r="F3635" s="1"/>
      <c r="G3635" s="1"/>
      <c r="H3635" s="1"/>
      <c r="I3635" s="1"/>
      <c r="J3635" s="3"/>
      <c r="K3635" s="3"/>
      <c r="L3635" s="1"/>
      <c r="M3635" s="1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3"/>
      <c r="AD3635" s="3"/>
      <c r="AE3635" s="3"/>
      <c r="AF3635" s="3"/>
      <c r="AG3635" s="3"/>
      <c r="AH3635" s="3"/>
      <c r="AI3635" s="3"/>
      <c r="AJ3635" s="3"/>
      <c r="AK3635" s="3"/>
      <c r="AL3635" s="3"/>
    </row>
    <row r="3636" ht="15.75" customHeight="1">
      <c r="A3636" s="1"/>
      <c r="B3636" s="2"/>
      <c r="C3636" s="3"/>
      <c r="D3636" s="3"/>
      <c r="E3636" s="1"/>
      <c r="F3636" s="1"/>
      <c r="G3636" s="1"/>
      <c r="H3636" s="1"/>
      <c r="I3636" s="1"/>
      <c r="J3636" s="3"/>
      <c r="K3636" s="3"/>
      <c r="L3636" s="1"/>
      <c r="M3636" s="1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3"/>
      <c r="AE3636" s="3"/>
      <c r="AF3636" s="3"/>
      <c r="AG3636" s="3"/>
      <c r="AH3636" s="3"/>
      <c r="AI3636" s="3"/>
      <c r="AJ3636" s="3"/>
      <c r="AK3636" s="3"/>
      <c r="AL3636" s="3"/>
    </row>
    <row r="3637" ht="15.75" customHeight="1">
      <c r="A3637" s="1"/>
      <c r="B3637" s="2"/>
      <c r="C3637" s="3"/>
      <c r="D3637" s="3"/>
      <c r="E3637" s="1"/>
      <c r="F3637" s="1"/>
      <c r="G3637" s="1"/>
      <c r="H3637" s="1"/>
      <c r="I3637" s="1"/>
      <c r="J3637" s="3"/>
      <c r="K3637" s="3"/>
      <c r="L3637" s="1"/>
      <c r="M3637" s="1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3"/>
      <c r="AE3637" s="3"/>
      <c r="AF3637" s="3"/>
      <c r="AG3637" s="3"/>
      <c r="AH3637" s="3"/>
      <c r="AI3637" s="3"/>
      <c r="AJ3637" s="3"/>
      <c r="AK3637" s="3"/>
      <c r="AL3637" s="3"/>
    </row>
    <row r="3638" ht="15.75" customHeight="1">
      <c r="A3638" s="1"/>
      <c r="B3638" s="2"/>
      <c r="C3638" s="3"/>
      <c r="D3638" s="3"/>
      <c r="E3638" s="1"/>
      <c r="F3638" s="1"/>
      <c r="G3638" s="1"/>
      <c r="H3638" s="1"/>
      <c r="I3638" s="1"/>
      <c r="J3638" s="3"/>
      <c r="K3638" s="3"/>
      <c r="L3638" s="1"/>
      <c r="M3638" s="1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  <c r="AD3638" s="3"/>
      <c r="AE3638" s="3"/>
      <c r="AF3638" s="3"/>
      <c r="AG3638" s="3"/>
      <c r="AH3638" s="3"/>
      <c r="AI3638" s="3"/>
      <c r="AJ3638" s="3"/>
      <c r="AK3638" s="3"/>
      <c r="AL3638" s="3"/>
    </row>
    <row r="3639" ht="15.75" customHeight="1">
      <c r="A3639" s="1"/>
      <c r="B3639" s="2"/>
      <c r="C3639" s="3"/>
      <c r="D3639" s="3"/>
      <c r="E3639" s="1"/>
      <c r="F3639" s="1"/>
      <c r="G3639" s="1"/>
      <c r="H3639" s="1"/>
      <c r="I3639" s="1"/>
      <c r="J3639" s="3"/>
      <c r="K3639" s="3"/>
      <c r="L3639" s="1"/>
      <c r="M3639" s="1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  <c r="AE3639" s="3"/>
      <c r="AF3639" s="3"/>
      <c r="AG3639" s="3"/>
      <c r="AH3639" s="3"/>
      <c r="AI3639" s="3"/>
      <c r="AJ3639" s="3"/>
      <c r="AK3639" s="3"/>
      <c r="AL3639" s="3"/>
    </row>
    <row r="3640" ht="15.75" customHeight="1">
      <c r="A3640" s="1"/>
      <c r="B3640" s="2"/>
      <c r="C3640" s="3"/>
      <c r="D3640" s="3"/>
      <c r="E3640" s="1"/>
      <c r="F3640" s="1"/>
      <c r="G3640" s="1"/>
      <c r="H3640" s="1"/>
      <c r="I3640" s="1"/>
      <c r="J3640" s="3"/>
      <c r="K3640" s="3"/>
      <c r="L3640" s="1"/>
      <c r="M3640" s="1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  <c r="AD3640" s="3"/>
      <c r="AE3640" s="3"/>
      <c r="AF3640" s="3"/>
      <c r="AG3640" s="3"/>
      <c r="AH3640" s="3"/>
      <c r="AI3640" s="3"/>
      <c r="AJ3640" s="3"/>
      <c r="AK3640" s="3"/>
      <c r="AL3640" s="3"/>
    </row>
    <row r="3641" ht="15.75" customHeight="1">
      <c r="A3641" s="1"/>
      <c r="B3641" s="2"/>
      <c r="C3641" s="3"/>
      <c r="D3641" s="3"/>
      <c r="E3641" s="1"/>
      <c r="F3641" s="1"/>
      <c r="G3641" s="1"/>
      <c r="H3641" s="1"/>
      <c r="I3641" s="1"/>
      <c r="J3641" s="3"/>
      <c r="K3641" s="3"/>
      <c r="L3641" s="1"/>
      <c r="M3641" s="1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3"/>
      <c r="AD3641" s="3"/>
      <c r="AE3641" s="3"/>
      <c r="AF3641" s="3"/>
      <c r="AG3641" s="3"/>
      <c r="AH3641" s="3"/>
      <c r="AI3641" s="3"/>
      <c r="AJ3641" s="3"/>
      <c r="AK3641" s="3"/>
      <c r="AL3641" s="3"/>
    </row>
    <row r="3642" ht="15.75" customHeight="1">
      <c r="A3642" s="1"/>
      <c r="B3642" s="2"/>
      <c r="C3642" s="3"/>
      <c r="D3642" s="3"/>
      <c r="E3642" s="1"/>
      <c r="F3642" s="1"/>
      <c r="G3642" s="1"/>
      <c r="H3642" s="1"/>
      <c r="I3642" s="1"/>
      <c r="J3642" s="3"/>
      <c r="K3642" s="3"/>
      <c r="L3642" s="1"/>
      <c r="M3642" s="1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3"/>
      <c r="AD3642" s="3"/>
      <c r="AE3642" s="3"/>
      <c r="AF3642" s="3"/>
      <c r="AG3642" s="3"/>
      <c r="AH3642" s="3"/>
      <c r="AI3642" s="3"/>
      <c r="AJ3642" s="3"/>
      <c r="AK3642" s="3"/>
      <c r="AL3642" s="3"/>
    </row>
    <row r="3643" ht="15.75" customHeight="1">
      <c r="A3643" s="1"/>
      <c r="B3643" s="2"/>
      <c r="C3643" s="3"/>
      <c r="D3643" s="3"/>
      <c r="E3643" s="1"/>
      <c r="F3643" s="1"/>
      <c r="G3643" s="1"/>
      <c r="H3643" s="1"/>
      <c r="I3643" s="1"/>
      <c r="J3643" s="3"/>
      <c r="K3643" s="3"/>
      <c r="L3643" s="1"/>
      <c r="M3643" s="1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3"/>
      <c r="AE3643" s="3"/>
      <c r="AF3643" s="3"/>
      <c r="AG3643" s="3"/>
      <c r="AH3643" s="3"/>
      <c r="AI3643" s="3"/>
      <c r="AJ3643" s="3"/>
      <c r="AK3643" s="3"/>
      <c r="AL3643" s="3"/>
    </row>
    <row r="3644" ht="15.75" customHeight="1">
      <c r="A3644" s="1"/>
      <c r="B3644" s="2"/>
      <c r="C3644" s="3"/>
      <c r="D3644" s="3"/>
      <c r="E3644" s="1"/>
      <c r="F3644" s="1"/>
      <c r="G3644" s="1"/>
      <c r="H3644" s="1"/>
      <c r="I3644" s="1"/>
      <c r="J3644" s="3"/>
      <c r="K3644" s="3"/>
      <c r="L3644" s="1"/>
      <c r="M3644" s="1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  <c r="AD3644" s="3"/>
      <c r="AE3644" s="3"/>
      <c r="AF3644" s="3"/>
      <c r="AG3644" s="3"/>
      <c r="AH3644" s="3"/>
      <c r="AI3644" s="3"/>
      <c r="AJ3644" s="3"/>
      <c r="AK3644" s="3"/>
      <c r="AL3644" s="3"/>
    </row>
    <row r="3645" ht="15.75" customHeight="1">
      <c r="A3645" s="1"/>
      <c r="B3645" s="2"/>
      <c r="C3645" s="3"/>
      <c r="D3645" s="3"/>
      <c r="E3645" s="1"/>
      <c r="F3645" s="1"/>
      <c r="G3645" s="1"/>
      <c r="H3645" s="1"/>
      <c r="I3645" s="1"/>
      <c r="J3645" s="3"/>
      <c r="K3645" s="3"/>
      <c r="L3645" s="1"/>
      <c r="M3645" s="1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3"/>
      <c r="AE3645" s="3"/>
      <c r="AF3645" s="3"/>
      <c r="AG3645" s="3"/>
      <c r="AH3645" s="3"/>
      <c r="AI3645" s="3"/>
      <c r="AJ3645" s="3"/>
      <c r="AK3645" s="3"/>
      <c r="AL3645" s="3"/>
    </row>
    <row r="3646" ht="15.75" customHeight="1">
      <c r="A3646" s="1"/>
      <c r="B3646" s="2"/>
      <c r="C3646" s="3"/>
      <c r="D3646" s="3"/>
      <c r="E3646" s="1"/>
      <c r="F3646" s="1"/>
      <c r="G3646" s="1"/>
      <c r="H3646" s="1"/>
      <c r="I3646" s="1"/>
      <c r="J3646" s="3"/>
      <c r="K3646" s="3"/>
      <c r="L3646" s="1"/>
      <c r="M3646" s="1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  <c r="AC3646" s="3"/>
      <c r="AD3646" s="3"/>
      <c r="AE3646" s="3"/>
      <c r="AF3646" s="3"/>
      <c r="AG3646" s="3"/>
      <c r="AH3646" s="3"/>
      <c r="AI3646" s="3"/>
      <c r="AJ3646" s="3"/>
      <c r="AK3646" s="3"/>
      <c r="AL3646" s="3"/>
    </row>
    <row r="3647" ht="15.75" customHeight="1">
      <c r="A3647" s="1"/>
      <c r="B3647" s="2"/>
      <c r="C3647" s="3"/>
      <c r="D3647" s="3"/>
      <c r="E3647" s="1"/>
      <c r="F3647" s="1"/>
      <c r="G3647" s="1"/>
      <c r="H3647" s="1"/>
      <c r="I3647" s="1"/>
      <c r="J3647" s="3"/>
      <c r="K3647" s="3"/>
      <c r="L3647" s="1"/>
      <c r="M3647" s="1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3"/>
      <c r="AE3647" s="3"/>
      <c r="AF3647" s="3"/>
      <c r="AG3647" s="3"/>
      <c r="AH3647" s="3"/>
      <c r="AI3647" s="3"/>
      <c r="AJ3647" s="3"/>
      <c r="AK3647" s="3"/>
      <c r="AL3647" s="3"/>
    </row>
    <row r="3648" ht="15.75" customHeight="1">
      <c r="A3648" s="1"/>
      <c r="B3648" s="2"/>
      <c r="C3648" s="3"/>
      <c r="D3648" s="3"/>
      <c r="E3648" s="1"/>
      <c r="F3648" s="1"/>
      <c r="G3648" s="1"/>
      <c r="H3648" s="1"/>
      <c r="I3648" s="1"/>
      <c r="J3648" s="3"/>
      <c r="K3648" s="3"/>
      <c r="L3648" s="1"/>
      <c r="M3648" s="1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  <c r="AC3648" s="3"/>
      <c r="AD3648" s="3"/>
      <c r="AE3648" s="3"/>
      <c r="AF3648" s="3"/>
      <c r="AG3648" s="3"/>
      <c r="AH3648" s="3"/>
      <c r="AI3648" s="3"/>
      <c r="AJ3648" s="3"/>
      <c r="AK3648" s="3"/>
      <c r="AL3648" s="3"/>
    </row>
    <row r="3649" ht="15.75" customHeight="1">
      <c r="A3649" s="1"/>
      <c r="B3649" s="2"/>
      <c r="C3649" s="3"/>
      <c r="D3649" s="3"/>
      <c r="E3649" s="1"/>
      <c r="F3649" s="1"/>
      <c r="G3649" s="1"/>
      <c r="H3649" s="1"/>
      <c r="I3649" s="1"/>
      <c r="J3649" s="3"/>
      <c r="K3649" s="3"/>
      <c r="L3649" s="1"/>
      <c r="M3649" s="1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3"/>
      <c r="AD3649" s="3"/>
      <c r="AE3649" s="3"/>
      <c r="AF3649" s="3"/>
      <c r="AG3649" s="3"/>
      <c r="AH3649" s="3"/>
      <c r="AI3649" s="3"/>
      <c r="AJ3649" s="3"/>
      <c r="AK3649" s="3"/>
      <c r="AL3649" s="3"/>
    </row>
    <row r="3650" ht="15.75" customHeight="1">
      <c r="A3650" s="1"/>
      <c r="B3650" s="2"/>
      <c r="C3650" s="3"/>
      <c r="D3650" s="3"/>
      <c r="E3650" s="1"/>
      <c r="F3650" s="1"/>
      <c r="G3650" s="1"/>
      <c r="H3650" s="1"/>
      <c r="I3650" s="1"/>
      <c r="J3650" s="3"/>
      <c r="K3650" s="3"/>
      <c r="L3650" s="1"/>
      <c r="M3650" s="1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3"/>
      <c r="AE3650" s="3"/>
      <c r="AF3650" s="3"/>
      <c r="AG3650" s="3"/>
      <c r="AH3650" s="3"/>
      <c r="AI3650" s="3"/>
      <c r="AJ3650" s="3"/>
      <c r="AK3650" s="3"/>
      <c r="AL3650" s="3"/>
    </row>
    <row r="3651" ht="15.75" customHeight="1">
      <c r="A3651" s="1"/>
      <c r="B3651" s="2"/>
      <c r="C3651" s="3"/>
      <c r="D3651" s="3"/>
      <c r="E3651" s="1"/>
      <c r="F3651" s="1"/>
      <c r="G3651" s="1"/>
      <c r="H3651" s="1"/>
      <c r="I3651" s="1"/>
      <c r="J3651" s="3"/>
      <c r="K3651" s="3"/>
      <c r="L3651" s="1"/>
      <c r="M3651" s="1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3"/>
      <c r="AE3651" s="3"/>
      <c r="AF3651" s="3"/>
      <c r="AG3651" s="3"/>
      <c r="AH3651" s="3"/>
      <c r="AI3651" s="3"/>
      <c r="AJ3651" s="3"/>
      <c r="AK3651" s="3"/>
      <c r="AL3651" s="3"/>
    </row>
    <row r="3652" ht="15.75" customHeight="1">
      <c r="A3652" s="1"/>
      <c r="B3652" s="2"/>
      <c r="C3652" s="3"/>
      <c r="D3652" s="3"/>
      <c r="E3652" s="1"/>
      <c r="F3652" s="1"/>
      <c r="G3652" s="1"/>
      <c r="H3652" s="1"/>
      <c r="I3652" s="1"/>
      <c r="J3652" s="3"/>
      <c r="K3652" s="3"/>
      <c r="L3652" s="1"/>
      <c r="M3652" s="1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3"/>
      <c r="AD3652" s="3"/>
      <c r="AE3652" s="3"/>
      <c r="AF3652" s="3"/>
      <c r="AG3652" s="3"/>
      <c r="AH3652" s="3"/>
      <c r="AI3652" s="3"/>
      <c r="AJ3652" s="3"/>
      <c r="AK3652" s="3"/>
      <c r="AL3652" s="3"/>
    </row>
    <row r="3653" ht="15.75" customHeight="1">
      <c r="A3653" s="1"/>
      <c r="B3653" s="2"/>
      <c r="C3653" s="3"/>
      <c r="D3653" s="3"/>
      <c r="E3653" s="1"/>
      <c r="F3653" s="1"/>
      <c r="G3653" s="1"/>
      <c r="H3653" s="1"/>
      <c r="I3653" s="1"/>
      <c r="J3653" s="3"/>
      <c r="K3653" s="3"/>
      <c r="L3653" s="1"/>
      <c r="M3653" s="1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  <c r="AD3653" s="3"/>
      <c r="AE3653" s="3"/>
      <c r="AF3653" s="3"/>
      <c r="AG3653" s="3"/>
      <c r="AH3653" s="3"/>
      <c r="AI3653" s="3"/>
      <c r="AJ3653" s="3"/>
      <c r="AK3653" s="3"/>
      <c r="AL3653" s="3"/>
    </row>
    <row r="3654" ht="15.75" customHeight="1">
      <c r="A3654" s="1"/>
      <c r="B3654" s="2"/>
      <c r="C3654" s="3"/>
      <c r="D3654" s="3"/>
      <c r="E3654" s="1"/>
      <c r="F3654" s="1"/>
      <c r="G3654" s="1"/>
      <c r="H3654" s="1"/>
      <c r="I3654" s="1"/>
      <c r="J3654" s="3"/>
      <c r="K3654" s="3"/>
      <c r="L3654" s="1"/>
      <c r="M3654" s="1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3"/>
      <c r="AD3654" s="3"/>
      <c r="AE3654" s="3"/>
      <c r="AF3654" s="3"/>
      <c r="AG3654" s="3"/>
      <c r="AH3654" s="3"/>
      <c r="AI3654" s="3"/>
      <c r="AJ3654" s="3"/>
      <c r="AK3654" s="3"/>
      <c r="AL3654" s="3"/>
    </row>
    <row r="3655" ht="15.75" customHeight="1">
      <c r="A3655" s="1"/>
      <c r="B3655" s="2"/>
      <c r="C3655" s="3"/>
      <c r="D3655" s="3"/>
      <c r="E3655" s="1"/>
      <c r="F3655" s="1"/>
      <c r="G3655" s="1"/>
      <c r="H3655" s="1"/>
      <c r="I3655" s="1"/>
      <c r="J3655" s="3"/>
      <c r="K3655" s="3"/>
      <c r="L3655" s="1"/>
      <c r="M3655" s="1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3"/>
      <c r="AD3655" s="3"/>
      <c r="AE3655" s="3"/>
      <c r="AF3655" s="3"/>
      <c r="AG3655" s="3"/>
      <c r="AH3655" s="3"/>
      <c r="AI3655" s="3"/>
      <c r="AJ3655" s="3"/>
      <c r="AK3655" s="3"/>
      <c r="AL3655" s="3"/>
    </row>
    <row r="3656" ht="15.75" customHeight="1">
      <c r="A3656" s="1"/>
      <c r="B3656" s="2"/>
      <c r="C3656" s="3"/>
      <c r="D3656" s="3"/>
      <c r="E3656" s="1"/>
      <c r="F3656" s="1"/>
      <c r="G3656" s="1"/>
      <c r="H3656" s="1"/>
      <c r="I3656" s="1"/>
      <c r="J3656" s="3"/>
      <c r="K3656" s="3"/>
      <c r="L3656" s="1"/>
      <c r="M3656" s="1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3"/>
      <c r="AD3656" s="3"/>
      <c r="AE3656" s="3"/>
      <c r="AF3656" s="3"/>
      <c r="AG3656" s="3"/>
      <c r="AH3656" s="3"/>
      <c r="AI3656" s="3"/>
      <c r="AJ3656" s="3"/>
      <c r="AK3656" s="3"/>
      <c r="AL3656" s="3"/>
    </row>
    <row r="3657" ht="15.75" customHeight="1">
      <c r="A3657" s="1"/>
      <c r="B3657" s="2"/>
      <c r="C3657" s="3"/>
      <c r="D3657" s="3"/>
      <c r="E3657" s="1"/>
      <c r="F3657" s="1"/>
      <c r="G3657" s="1"/>
      <c r="H3657" s="1"/>
      <c r="I3657" s="1"/>
      <c r="J3657" s="3"/>
      <c r="K3657" s="3"/>
      <c r="L3657" s="1"/>
      <c r="M3657" s="1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  <c r="AD3657" s="3"/>
      <c r="AE3657" s="3"/>
      <c r="AF3657" s="3"/>
      <c r="AG3657" s="3"/>
      <c r="AH3657" s="3"/>
      <c r="AI3657" s="3"/>
      <c r="AJ3657" s="3"/>
      <c r="AK3657" s="3"/>
      <c r="AL3657" s="3"/>
    </row>
    <row r="3658" ht="15.75" customHeight="1">
      <c r="A3658" s="1"/>
      <c r="B3658" s="2"/>
      <c r="C3658" s="3"/>
      <c r="D3658" s="3"/>
      <c r="E3658" s="1"/>
      <c r="F3658" s="1"/>
      <c r="G3658" s="1"/>
      <c r="H3658" s="1"/>
      <c r="I3658" s="1"/>
      <c r="J3658" s="3"/>
      <c r="K3658" s="3"/>
      <c r="L3658" s="1"/>
      <c r="M3658" s="1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3"/>
      <c r="AD3658" s="3"/>
      <c r="AE3658" s="3"/>
      <c r="AF3658" s="3"/>
      <c r="AG3658" s="3"/>
      <c r="AH3658" s="3"/>
      <c r="AI3658" s="3"/>
      <c r="AJ3658" s="3"/>
      <c r="AK3658" s="3"/>
      <c r="AL3658" s="3"/>
    </row>
    <row r="3659" ht="15.75" customHeight="1">
      <c r="A3659" s="1"/>
      <c r="B3659" s="2"/>
      <c r="C3659" s="3"/>
      <c r="D3659" s="3"/>
      <c r="E3659" s="1"/>
      <c r="F3659" s="1"/>
      <c r="G3659" s="1"/>
      <c r="H3659" s="1"/>
      <c r="I3659" s="1"/>
      <c r="J3659" s="3"/>
      <c r="K3659" s="3"/>
      <c r="L3659" s="1"/>
      <c r="M3659" s="1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3"/>
      <c r="AD3659" s="3"/>
      <c r="AE3659" s="3"/>
      <c r="AF3659" s="3"/>
      <c r="AG3659" s="3"/>
      <c r="AH3659" s="3"/>
      <c r="AI3659" s="3"/>
      <c r="AJ3659" s="3"/>
      <c r="AK3659" s="3"/>
      <c r="AL3659" s="3"/>
    </row>
    <row r="3660" ht="15.75" customHeight="1">
      <c r="A3660" s="1"/>
      <c r="B3660" s="2"/>
      <c r="C3660" s="3"/>
      <c r="D3660" s="3"/>
      <c r="E3660" s="1"/>
      <c r="F3660" s="1"/>
      <c r="G3660" s="1"/>
      <c r="H3660" s="1"/>
      <c r="I3660" s="1"/>
      <c r="J3660" s="3"/>
      <c r="K3660" s="3"/>
      <c r="L3660" s="1"/>
      <c r="M3660" s="1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3"/>
      <c r="AE3660" s="3"/>
      <c r="AF3660" s="3"/>
      <c r="AG3660" s="3"/>
      <c r="AH3660" s="3"/>
      <c r="AI3660" s="3"/>
      <c r="AJ3660" s="3"/>
      <c r="AK3660" s="3"/>
      <c r="AL3660" s="3"/>
    </row>
    <row r="3661" ht="15.75" customHeight="1">
      <c r="A3661" s="1"/>
      <c r="B3661" s="2"/>
      <c r="C3661" s="3"/>
      <c r="D3661" s="3"/>
      <c r="E3661" s="1"/>
      <c r="F3661" s="1"/>
      <c r="G3661" s="1"/>
      <c r="H3661" s="1"/>
      <c r="I3661" s="1"/>
      <c r="J3661" s="3"/>
      <c r="K3661" s="3"/>
      <c r="L3661" s="1"/>
      <c r="M3661" s="1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  <c r="AD3661" s="3"/>
      <c r="AE3661" s="3"/>
      <c r="AF3661" s="3"/>
      <c r="AG3661" s="3"/>
      <c r="AH3661" s="3"/>
      <c r="AI3661" s="3"/>
      <c r="AJ3661" s="3"/>
      <c r="AK3661" s="3"/>
      <c r="AL3661" s="3"/>
    </row>
    <row r="3662" ht="15.75" customHeight="1">
      <c r="A3662" s="1"/>
      <c r="B3662" s="2"/>
      <c r="C3662" s="3"/>
      <c r="D3662" s="3"/>
      <c r="E3662" s="1"/>
      <c r="F3662" s="1"/>
      <c r="G3662" s="1"/>
      <c r="H3662" s="1"/>
      <c r="I3662" s="1"/>
      <c r="J3662" s="3"/>
      <c r="K3662" s="3"/>
      <c r="L3662" s="1"/>
      <c r="M3662" s="1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3"/>
      <c r="AD3662" s="3"/>
      <c r="AE3662" s="3"/>
      <c r="AF3662" s="3"/>
      <c r="AG3662" s="3"/>
      <c r="AH3662" s="3"/>
      <c r="AI3662" s="3"/>
      <c r="AJ3662" s="3"/>
      <c r="AK3662" s="3"/>
      <c r="AL3662" s="3"/>
    </row>
    <row r="3663" ht="15.75" customHeight="1">
      <c r="A3663" s="1"/>
      <c r="B3663" s="2"/>
      <c r="C3663" s="3"/>
      <c r="D3663" s="3"/>
      <c r="E3663" s="1"/>
      <c r="F3663" s="1"/>
      <c r="G3663" s="1"/>
      <c r="H3663" s="1"/>
      <c r="I3663" s="1"/>
      <c r="J3663" s="3"/>
      <c r="K3663" s="3"/>
      <c r="L3663" s="1"/>
      <c r="M3663" s="1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3"/>
      <c r="AE3663" s="3"/>
      <c r="AF3663" s="3"/>
      <c r="AG3663" s="3"/>
      <c r="AH3663" s="3"/>
      <c r="AI3663" s="3"/>
      <c r="AJ3663" s="3"/>
      <c r="AK3663" s="3"/>
      <c r="AL3663" s="3"/>
    </row>
    <row r="3664" ht="15.75" customHeight="1">
      <c r="A3664" s="1"/>
      <c r="B3664" s="2"/>
      <c r="C3664" s="3"/>
      <c r="D3664" s="3"/>
      <c r="E3664" s="1"/>
      <c r="F3664" s="1"/>
      <c r="G3664" s="1"/>
      <c r="H3664" s="1"/>
      <c r="I3664" s="1"/>
      <c r="J3664" s="3"/>
      <c r="K3664" s="3"/>
      <c r="L3664" s="1"/>
      <c r="M3664" s="1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  <c r="AD3664" s="3"/>
      <c r="AE3664" s="3"/>
      <c r="AF3664" s="3"/>
      <c r="AG3664" s="3"/>
      <c r="AH3664" s="3"/>
      <c r="AI3664" s="3"/>
      <c r="AJ3664" s="3"/>
      <c r="AK3664" s="3"/>
      <c r="AL3664" s="3"/>
    </row>
    <row r="3665" ht="15.75" customHeight="1">
      <c r="A3665" s="1"/>
      <c r="B3665" s="2"/>
      <c r="C3665" s="3"/>
      <c r="D3665" s="3"/>
      <c r="E3665" s="1"/>
      <c r="F3665" s="1"/>
      <c r="G3665" s="1"/>
      <c r="H3665" s="1"/>
      <c r="I3665" s="1"/>
      <c r="J3665" s="3"/>
      <c r="K3665" s="3"/>
      <c r="L3665" s="1"/>
      <c r="M3665" s="1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  <c r="AD3665" s="3"/>
      <c r="AE3665" s="3"/>
      <c r="AF3665" s="3"/>
      <c r="AG3665" s="3"/>
      <c r="AH3665" s="3"/>
      <c r="AI3665" s="3"/>
      <c r="AJ3665" s="3"/>
      <c r="AK3665" s="3"/>
      <c r="AL3665" s="3"/>
    </row>
    <row r="3666" ht="15.75" customHeight="1">
      <c r="A3666" s="1"/>
      <c r="B3666" s="2"/>
      <c r="C3666" s="3"/>
      <c r="D3666" s="3"/>
      <c r="E3666" s="1"/>
      <c r="F3666" s="1"/>
      <c r="G3666" s="1"/>
      <c r="H3666" s="1"/>
      <c r="I3666" s="1"/>
      <c r="J3666" s="3"/>
      <c r="K3666" s="3"/>
      <c r="L3666" s="1"/>
      <c r="M3666" s="1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3"/>
      <c r="AD3666" s="3"/>
      <c r="AE3666" s="3"/>
      <c r="AF3666" s="3"/>
      <c r="AG3666" s="3"/>
      <c r="AH3666" s="3"/>
      <c r="AI3666" s="3"/>
      <c r="AJ3666" s="3"/>
      <c r="AK3666" s="3"/>
      <c r="AL3666" s="3"/>
    </row>
    <row r="3667" ht="15.75" customHeight="1">
      <c r="A3667" s="1"/>
      <c r="B3667" s="2"/>
      <c r="C3667" s="3"/>
      <c r="D3667" s="3"/>
      <c r="E3667" s="1"/>
      <c r="F3667" s="1"/>
      <c r="G3667" s="1"/>
      <c r="H3667" s="1"/>
      <c r="I3667" s="1"/>
      <c r="J3667" s="3"/>
      <c r="K3667" s="3"/>
      <c r="L3667" s="1"/>
      <c r="M3667" s="1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  <c r="AC3667" s="3"/>
      <c r="AD3667" s="3"/>
      <c r="AE3667" s="3"/>
      <c r="AF3667" s="3"/>
      <c r="AG3667" s="3"/>
      <c r="AH3667" s="3"/>
      <c r="AI3667" s="3"/>
      <c r="AJ3667" s="3"/>
      <c r="AK3667" s="3"/>
      <c r="AL3667" s="3"/>
    </row>
    <row r="3668" ht="15.75" customHeight="1">
      <c r="A3668" s="1"/>
      <c r="B3668" s="2"/>
      <c r="C3668" s="3"/>
      <c r="D3668" s="3"/>
      <c r="E3668" s="1"/>
      <c r="F3668" s="1"/>
      <c r="G3668" s="1"/>
      <c r="H3668" s="1"/>
      <c r="I3668" s="1"/>
      <c r="J3668" s="3"/>
      <c r="K3668" s="3"/>
      <c r="L3668" s="1"/>
      <c r="M3668" s="1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  <c r="AD3668" s="3"/>
      <c r="AE3668" s="3"/>
      <c r="AF3668" s="3"/>
      <c r="AG3668" s="3"/>
      <c r="AH3668" s="3"/>
      <c r="AI3668" s="3"/>
      <c r="AJ3668" s="3"/>
      <c r="AK3668" s="3"/>
      <c r="AL3668" s="3"/>
    </row>
    <row r="3669" ht="15.75" customHeight="1">
      <c r="A3669" s="1"/>
      <c r="B3669" s="2"/>
      <c r="C3669" s="3"/>
      <c r="D3669" s="3"/>
      <c r="E3669" s="1"/>
      <c r="F3669" s="1"/>
      <c r="G3669" s="1"/>
      <c r="H3669" s="1"/>
      <c r="I3669" s="1"/>
      <c r="J3669" s="3"/>
      <c r="K3669" s="3"/>
      <c r="L3669" s="1"/>
      <c r="M3669" s="1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3"/>
      <c r="AD3669" s="3"/>
      <c r="AE3669" s="3"/>
      <c r="AF3669" s="3"/>
      <c r="AG3669" s="3"/>
      <c r="AH3669" s="3"/>
      <c r="AI3669" s="3"/>
      <c r="AJ3669" s="3"/>
      <c r="AK3669" s="3"/>
      <c r="AL3669" s="3"/>
    </row>
    <row r="3670" ht="15.75" customHeight="1">
      <c r="A3670" s="1"/>
      <c r="B3670" s="2"/>
      <c r="C3670" s="3"/>
      <c r="D3670" s="3"/>
      <c r="E3670" s="1"/>
      <c r="F3670" s="1"/>
      <c r="G3670" s="1"/>
      <c r="H3670" s="1"/>
      <c r="I3670" s="1"/>
      <c r="J3670" s="3"/>
      <c r="K3670" s="3"/>
      <c r="L3670" s="1"/>
      <c r="M3670" s="1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  <c r="AD3670" s="3"/>
      <c r="AE3670" s="3"/>
      <c r="AF3670" s="3"/>
      <c r="AG3670" s="3"/>
      <c r="AH3670" s="3"/>
      <c r="AI3670" s="3"/>
      <c r="AJ3670" s="3"/>
      <c r="AK3670" s="3"/>
      <c r="AL3670" s="3"/>
    </row>
    <row r="3671" ht="15.75" customHeight="1">
      <c r="A3671" s="1"/>
      <c r="B3671" s="2"/>
      <c r="C3671" s="3"/>
      <c r="D3671" s="3"/>
      <c r="E3671" s="1"/>
      <c r="F3671" s="1"/>
      <c r="G3671" s="1"/>
      <c r="H3671" s="1"/>
      <c r="I3671" s="1"/>
      <c r="J3671" s="3"/>
      <c r="K3671" s="3"/>
      <c r="L3671" s="1"/>
      <c r="M3671" s="1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  <c r="AC3671" s="3"/>
      <c r="AD3671" s="3"/>
      <c r="AE3671" s="3"/>
      <c r="AF3671" s="3"/>
      <c r="AG3671" s="3"/>
      <c r="AH3671" s="3"/>
      <c r="AI3671" s="3"/>
      <c r="AJ3671" s="3"/>
      <c r="AK3671" s="3"/>
      <c r="AL3671" s="3"/>
    </row>
    <row r="3672" ht="15.75" customHeight="1">
      <c r="A3672" s="1"/>
      <c r="B3672" s="2"/>
      <c r="C3672" s="3"/>
      <c r="D3672" s="3"/>
      <c r="E3672" s="1"/>
      <c r="F3672" s="1"/>
      <c r="G3672" s="1"/>
      <c r="H3672" s="1"/>
      <c r="I3672" s="1"/>
      <c r="J3672" s="3"/>
      <c r="K3672" s="3"/>
      <c r="L3672" s="1"/>
      <c r="M3672" s="1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3"/>
      <c r="AD3672" s="3"/>
      <c r="AE3672" s="3"/>
      <c r="AF3672" s="3"/>
      <c r="AG3672" s="3"/>
      <c r="AH3672" s="3"/>
      <c r="AI3672" s="3"/>
      <c r="AJ3672" s="3"/>
      <c r="AK3672" s="3"/>
      <c r="AL3672" s="3"/>
    </row>
    <row r="3673" ht="15.75" customHeight="1">
      <c r="A3673" s="1"/>
      <c r="B3673" s="2"/>
      <c r="C3673" s="3"/>
      <c r="D3673" s="3"/>
      <c r="E3673" s="1"/>
      <c r="F3673" s="1"/>
      <c r="G3673" s="1"/>
      <c r="H3673" s="1"/>
      <c r="I3673" s="1"/>
      <c r="J3673" s="3"/>
      <c r="K3673" s="3"/>
      <c r="L3673" s="1"/>
      <c r="M3673" s="1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  <c r="AC3673" s="3"/>
      <c r="AD3673" s="3"/>
      <c r="AE3673" s="3"/>
      <c r="AF3673" s="3"/>
      <c r="AG3673" s="3"/>
      <c r="AH3673" s="3"/>
      <c r="AI3673" s="3"/>
      <c r="AJ3673" s="3"/>
      <c r="AK3673" s="3"/>
      <c r="AL3673" s="3"/>
    </row>
    <row r="3674" ht="15.75" customHeight="1">
      <c r="A3674" s="1"/>
      <c r="B3674" s="2"/>
      <c r="C3674" s="3"/>
      <c r="D3674" s="3"/>
      <c r="E3674" s="1"/>
      <c r="F3674" s="1"/>
      <c r="G3674" s="1"/>
      <c r="H3674" s="1"/>
      <c r="I3674" s="1"/>
      <c r="J3674" s="3"/>
      <c r="K3674" s="3"/>
      <c r="L3674" s="1"/>
      <c r="M3674" s="1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3"/>
      <c r="AD3674" s="3"/>
      <c r="AE3674" s="3"/>
      <c r="AF3674" s="3"/>
      <c r="AG3674" s="3"/>
      <c r="AH3674" s="3"/>
      <c r="AI3674" s="3"/>
      <c r="AJ3674" s="3"/>
      <c r="AK3674" s="3"/>
      <c r="AL3674" s="3"/>
    </row>
    <row r="3675" ht="15.75" customHeight="1">
      <c r="A3675" s="1"/>
      <c r="B3675" s="2"/>
      <c r="C3675" s="3"/>
      <c r="D3675" s="3"/>
      <c r="E3675" s="1"/>
      <c r="F3675" s="1"/>
      <c r="G3675" s="1"/>
      <c r="H3675" s="1"/>
      <c r="I3675" s="1"/>
      <c r="J3675" s="3"/>
      <c r="K3675" s="3"/>
      <c r="L3675" s="1"/>
      <c r="M3675" s="1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  <c r="AE3675" s="3"/>
      <c r="AF3675" s="3"/>
      <c r="AG3675" s="3"/>
      <c r="AH3675" s="3"/>
      <c r="AI3675" s="3"/>
      <c r="AJ3675" s="3"/>
      <c r="AK3675" s="3"/>
      <c r="AL3675" s="3"/>
    </row>
    <row r="3676" ht="15.75" customHeight="1">
      <c r="A3676" s="1"/>
      <c r="B3676" s="2"/>
      <c r="C3676" s="3"/>
      <c r="D3676" s="3"/>
      <c r="E3676" s="1"/>
      <c r="F3676" s="1"/>
      <c r="G3676" s="1"/>
      <c r="H3676" s="1"/>
      <c r="I3676" s="1"/>
      <c r="J3676" s="3"/>
      <c r="K3676" s="3"/>
      <c r="L3676" s="1"/>
      <c r="M3676" s="1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3"/>
      <c r="AE3676" s="3"/>
      <c r="AF3676" s="3"/>
      <c r="AG3676" s="3"/>
      <c r="AH3676" s="3"/>
      <c r="AI3676" s="3"/>
      <c r="AJ3676" s="3"/>
      <c r="AK3676" s="3"/>
      <c r="AL3676" s="3"/>
    </row>
    <row r="3677" ht="15.75" customHeight="1">
      <c r="A3677" s="1"/>
      <c r="B3677" s="2"/>
      <c r="C3677" s="3"/>
      <c r="D3677" s="3"/>
      <c r="E3677" s="1"/>
      <c r="F3677" s="1"/>
      <c r="G3677" s="1"/>
      <c r="H3677" s="1"/>
      <c r="I3677" s="1"/>
      <c r="J3677" s="3"/>
      <c r="K3677" s="3"/>
      <c r="L3677" s="1"/>
      <c r="M3677" s="1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  <c r="AD3677" s="3"/>
      <c r="AE3677" s="3"/>
      <c r="AF3677" s="3"/>
      <c r="AG3677" s="3"/>
      <c r="AH3677" s="3"/>
      <c r="AI3677" s="3"/>
      <c r="AJ3677" s="3"/>
      <c r="AK3677" s="3"/>
      <c r="AL3677" s="3"/>
    </row>
    <row r="3678" ht="15.75" customHeight="1">
      <c r="A3678" s="1"/>
      <c r="B3678" s="2"/>
      <c r="C3678" s="3"/>
      <c r="D3678" s="3"/>
      <c r="E3678" s="1"/>
      <c r="F3678" s="1"/>
      <c r="G3678" s="1"/>
      <c r="H3678" s="1"/>
      <c r="I3678" s="1"/>
      <c r="J3678" s="3"/>
      <c r="K3678" s="3"/>
      <c r="L3678" s="1"/>
      <c r="M3678" s="1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3"/>
      <c r="AD3678" s="3"/>
      <c r="AE3678" s="3"/>
      <c r="AF3678" s="3"/>
      <c r="AG3678" s="3"/>
      <c r="AH3678" s="3"/>
      <c r="AI3678" s="3"/>
      <c r="AJ3678" s="3"/>
      <c r="AK3678" s="3"/>
      <c r="AL3678" s="3"/>
    </row>
    <row r="3679" ht="15.75" customHeight="1">
      <c r="A3679" s="1"/>
      <c r="B3679" s="2"/>
      <c r="C3679" s="3"/>
      <c r="D3679" s="3"/>
      <c r="E3679" s="1"/>
      <c r="F3679" s="1"/>
      <c r="G3679" s="1"/>
      <c r="H3679" s="1"/>
      <c r="I3679" s="1"/>
      <c r="J3679" s="3"/>
      <c r="K3679" s="3"/>
      <c r="L3679" s="1"/>
      <c r="M3679" s="1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3"/>
      <c r="AD3679" s="3"/>
      <c r="AE3679" s="3"/>
      <c r="AF3679" s="3"/>
      <c r="AG3679" s="3"/>
      <c r="AH3679" s="3"/>
      <c r="AI3679" s="3"/>
      <c r="AJ3679" s="3"/>
      <c r="AK3679" s="3"/>
      <c r="AL3679" s="3"/>
    </row>
    <row r="3680" ht="15.75" customHeight="1">
      <c r="A3680" s="1"/>
      <c r="B3680" s="2"/>
      <c r="C3680" s="3"/>
      <c r="D3680" s="3"/>
      <c r="E3680" s="1"/>
      <c r="F3680" s="1"/>
      <c r="G3680" s="1"/>
      <c r="H3680" s="1"/>
      <c r="I3680" s="1"/>
      <c r="J3680" s="3"/>
      <c r="K3680" s="3"/>
      <c r="L3680" s="1"/>
      <c r="M3680" s="1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3"/>
      <c r="AD3680" s="3"/>
      <c r="AE3680" s="3"/>
      <c r="AF3680" s="3"/>
      <c r="AG3680" s="3"/>
      <c r="AH3680" s="3"/>
      <c r="AI3680" s="3"/>
      <c r="AJ3680" s="3"/>
      <c r="AK3680" s="3"/>
      <c r="AL3680" s="3"/>
    </row>
    <row r="3681" ht="15.75" customHeight="1">
      <c r="A3681" s="1"/>
      <c r="B3681" s="2"/>
      <c r="C3681" s="3"/>
      <c r="D3681" s="3"/>
      <c r="E3681" s="1"/>
      <c r="F3681" s="1"/>
      <c r="G3681" s="1"/>
      <c r="H3681" s="1"/>
      <c r="I3681" s="1"/>
      <c r="J3681" s="3"/>
      <c r="K3681" s="3"/>
      <c r="L3681" s="1"/>
      <c r="M3681" s="1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3"/>
      <c r="AD3681" s="3"/>
      <c r="AE3681" s="3"/>
      <c r="AF3681" s="3"/>
      <c r="AG3681" s="3"/>
      <c r="AH3681" s="3"/>
      <c r="AI3681" s="3"/>
      <c r="AJ3681" s="3"/>
      <c r="AK3681" s="3"/>
      <c r="AL3681" s="3"/>
    </row>
    <row r="3682" ht="15.75" customHeight="1">
      <c r="A3682" s="1"/>
      <c r="B3682" s="2"/>
      <c r="C3682" s="3"/>
      <c r="D3682" s="3"/>
      <c r="E3682" s="1"/>
      <c r="F3682" s="1"/>
      <c r="G3682" s="1"/>
      <c r="H3682" s="1"/>
      <c r="I3682" s="1"/>
      <c r="J3682" s="3"/>
      <c r="K3682" s="3"/>
      <c r="L3682" s="1"/>
      <c r="M3682" s="1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3"/>
      <c r="AD3682" s="3"/>
      <c r="AE3682" s="3"/>
      <c r="AF3682" s="3"/>
      <c r="AG3682" s="3"/>
      <c r="AH3682" s="3"/>
      <c r="AI3682" s="3"/>
      <c r="AJ3682" s="3"/>
      <c r="AK3682" s="3"/>
      <c r="AL3682" s="3"/>
    </row>
    <row r="3683" ht="15.75" customHeight="1">
      <c r="A3683" s="1"/>
      <c r="B3683" s="2"/>
      <c r="C3683" s="3"/>
      <c r="D3683" s="3"/>
      <c r="E3683" s="1"/>
      <c r="F3683" s="1"/>
      <c r="G3683" s="1"/>
      <c r="H3683" s="1"/>
      <c r="I3683" s="1"/>
      <c r="J3683" s="3"/>
      <c r="K3683" s="3"/>
      <c r="L3683" s="1"/>
      <c r="M3683" s="1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  <c r="AD3683" s="3"/>
      <c r="AE3683" s="3"/>
      <c r="AF3683" s="3"/>
      <c r="AG3683" s="3"/>
      <c r="AH3683" s="3"/>
      <c r="AI3683" s="3"/>
      <c r="AJ3683" s="3"/>
      <c r="AK3683" s="3"/>
      <c r="AL3683" s="3"/>
    </row>
    <row r="3684" ht="15.75" customHeight="1">
      <c r="A3684" s="1"/>
      <c r="B3684" s="2"/>
      <c r="C3684" s="3"/>
      <c r="D3684" s="3"/>
      <c r="E3684" s="1"/>
      <c r="F3684" s="1"/>
      <c r="G3684" s="1"/>
      <c r="H3684" s="1"/>
      <c r="I3684" s="1"/>
      <c r="J3684" s="3"/>
      <c r="K3684" s="3"/>
      <c r="L3684" s="1"/>
      <c r="M3684" s="1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  <c r="AC3684" s="3"/>
      <c r="AD3684" s="3"/>
      <c r="AE3684" s="3"/>
      <c r="AF3684" s="3"/>
      <c r="AG3684" s="3"/>
      <c r="AH3684" s="3"/>
      <c r="AI3684" s="3"/>
      <c r="AJ3684" s="3"/>
      <c r="AK3684" s="3"/>
      <c r="AL3684" s="3"/>
    </row>
    <row r="3685" ht="15.75" customHeight="1">
      <c r="A3685" s="1"/>
      <c r="B3685" s="2"/>
      <c r="C3685" s="3"/>
      <c r="D3685" s="3"/>
      <c r="E3685" s="1"/>
      <c r="F3685" s="1"/>
      <c r="G3685" s="1"/>
      <c r="H3685" s="1"/>
      <c r="I3685" s="1"/>
      <c r="J3685" s="3"/>
      <c r="K3685" s="3"/>
      <c r="L3685" s="1"/>
      <c r="M3685" s="1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  <c r="AC3685" s="3"/>
      <c r="AD3685" s="3"/>
      <c r="AE3685" s="3"/>
      <c r="AF3685" s="3"/>
      <c r="AG3685" s="3"/>
      <c r="AH3685" s="3"/>
      <c r="AI3685" s="3"/>
      <c r="AJ3685" s="3"/>
      <c r="AK3685" s="3"/>
      <c r="AL3685" s="3"/>
    </row>
    <row r="3686" ht="15.75" customHeight="1">
      <c r="A3686" s="1"/>
      <c r="B3686" s="2"/>
      <c r="C3686" s="3"/>
      <c r="D3686" s="3"/>
      <c r="E3686" s="1"/>
      <c r="F3686" s="1"/>
      <c r="G3686" s="1"/>
      <c r="H3686" s="1"/>
      <c r="I3686" s="1"/>
      <c r="J3686" s="3"/>
      <c r="K3686" s="3"/>
      <c r="L3686" s="1"/>
      <c r="M3686" s="1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  <c r="AC3686" s="3"/>
      <c r="AD3686" s="3"/>
      <c r="AE3686" s="3"/>
      <c r="AF3686" s="3"/>
      <c r="AG3686" s="3"/>
      <c r="AH3686" s="3"/>
      <c r="AI3686" s="3"/>
      <c r="AJ3686" s="3"/>
      <c r="AK3686" s="3"/>
      <c r="AL3686" s="3"/>
    </row>
    <row r="3687" ht="15.75" customHeight="1">
      <c r="A3687" s="1"/>
      <c r="B3687" s="2"/>
      <c r="C3687" s="3"/>
      <c r="D3687" s="3"/>
      <c r="E3687" s="1"/>
      <c r="F3687" s="1"/>
      <c r="G3687" s="1"/>
      <c r="H3687" s="1"/>
      <c r="I3687" s="1"/>
      <c r="J3687" s="3"/>
      <c r="K3687" s="3"/>
      <c r="L3687" s="1"/>
      <c r="M3687" s="1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3"/>
      <c r="AD3687" s="3"/>
      <c r="AE3687" s="3"/>
      <c r="AF3687" s="3"/>
      <c r="AG3687" s="3"/>
      <c r="AH3687" s="3"/>
      <c r="AI3687" s="3"/>
      <c r="AJ3687" s="3"/>
      <c r="AK3687" s="3"/>
      <c r="AL3687" s="3"/>
    </row>
    <row r="3688" ht="15.75" customHeight="1">
      <c r="A3688" s="1"/>
      <c r="B3688" s="2"/>
      <c r="C3688" s="3"/>
      <c r="D3688" s="3"/>
      <c r="E3688" s="1"/>
      <c r="F3688" s="1"/>
      <c r="G3688" s="1"/>
      <c r="H3688" s="1"/>
      <c r="I3688" s="1"/>
      <c r="J3688" s="3"/>
      <c r="K3688" s="3"/>
      <c r="L3688" s="1"/>
      <c r="M3688" s="1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  <c r="AC3688" s="3"/>
      <c r="AD3688" s="3"/>
      <c r="AE3688" s="3"/>
      <c r="AF3688" s="3"/>
      <c r="AG3688" s="3"/>
      <c r="AH3688" s="3"/>
      <c r="AI3688" s="3"/>
      <c r="AJ3688" s="3"/>
      <c r="AK3688" s="3"/>
      <c r="AL3688" s="3"/>
    </row>
    <row r="3689" ht="15.75" customHeight="1">
      <c r="A3689" s="1"/>
      <c r="B3689" s="2"/>
      <c r="C3689" s="3"/>
      <c r="D3689" s="3"/>
      <c r="E3689" s="1"/>
      <c r="F3689" s="1"/>
      <c r="G3689" s="1"/>
      <c r="H3689" s="1"/>
      <c r="I3689" s="1"/>
      <c r="J3689" s="3"/>
      <c r="K3689" s="3"/>
      <c r="L3689" s="1"/>
      <c r="M3689" s="1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3"/>
      <c r="AD3689" s="3"/>
      <c r="AE3689" s="3"/>
      <c r="AF3689" s="3"/>
      <c r="AG3689" s="3"/>
      <c r="AH3689" s="3"/>
      <c r="AI3689" s="3"/>
      <c r="AJ3689" s="3"/>
      <c r="AK3689" s="3"/>
      <c r="AL3689" s="3"/>
    </row>
    <row r="3690" ht="15.75" customHeight="1">
      <c r="A3690" s="1"/>
      <c r="B3690" s="2"/>
      <c r="C3690" s="3"/>
      <c r="D3690" s="3"/>
      <c r="E3690" s="1"/>
      <c r="F3690" s="1"/>
      <c r="G3690" s="1"/>
      <c r="H3690" s="1"/>
      <c r="I3690" s="1"/>
      <c r="J3690" s="3"/>
      <c r="K3690" s="3"/>
      <c r="L3690" s="1"/>
      <c r="M3690" s="1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3"/>
      <c r="AE3690" s="3"/>
      <c r="AF3690" s="3"/>
      <c r="AG3690" s="3"/>
      <c r="AH3690" s="3"/>
      <c r="AI3690" s="3"/>
      <c r="AJ3690" s="3"/>
      <c r="AK3690" s="3"/>
      <c r="AL3690" s="3"/>
    </row>
    <row r="3691" ht="15.75" customHeight="1">
      <c r="A3691" s="1"/>
      <c r="B3691" s="2"/>
      <c r="C3691" s="3"/>
      <c r="D3691" s="3"/>
      <c r="E3691" s="1"/>
      <c r="F3691" s="1"/>
      <c r="G3691" s="1"/>
      <c r="H3691" s="1"/>
      <c r="I3691" s="1"/>
      <c r="J3691" s="3"/>
      <c r="K3691" s="3"/>
      <c r="L3691" s="1"/>
      <c r="M3691" s="1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3"/>
      <c r="AD3691" s="3"/>
      <c r="AE3691" s="3"/>
      <c r="AF3691" s="3"/>
      <c r="AG3691" s="3"/>
      <c r="AH3691" s="3"/>
      <c r="AI3691" s="3"/>
      <c r="AJ3691" s="3"/>
      <c r="AK3691" s="3"/>
      <c r="AL3691" s="3"/>
    </row>
    <row r="3692" ht="15.75" customHeight="1">
      <c r="A3692" s="1"/>
      <c r="B3692" s="2"/>
      <c r="C3692" s="3"/>
      <c r="D3692" s="3"/>
      <c r="E3692" s="1"/>
      <c r="F3692" s="1"/>
      <c r="G3692" s="1"/>
      <c r="H3692" s="1"/>
      <c r="I3692" s="1"/>
      <c r="J3692" s="3"/>
      <c r="K3692" s="3"/>
      <c r="L3692" s="1"/>
      <c r="M3692" s="1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  <c r="AD3692" s="3"/>
      <c r="AE3692" s="3"/>
      <c r="AF3692" s="3"/>
      <c r="AG3692" s="3"/>
      <c r="AH3692" s="3"/>
      <c r="AI3692" s="3"/>
      <c r="AJ3692" s="3"/>
      <c r="AK3692" s="3"/>
      <c r="AL3692" s="3"/>
    </row>
    <row r="3693" ht="15.75" customHeight="1">
      <c r="A3693" s="1"/>
      <c r="B3693" s="2"/>
      <c r="C3693" s="3"/>
      <c r="D3693" s="3"/>
      <c r="E3693" s="1"/>
      <c r="F3693" s="1"/>
      <c r="G3693" s="1"/>
      <c r="H3693" s="1"/>
      <c r="I3693" s="1"/>
      <c r="J3693" s="3"/>
      <c r="K3693" s="3"/>
      <c r="L3693" s="1"/>
      <c r="M3693" s="1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  <c r="AC3693" s="3"/>
      <c r="AD3693" s="3"/>
      <c r="AE3693" s="3"/>
      <c r="AF3693" s="3"/>
      <c r="AG3693" s="3"/>
      <c r="AH3693" s="3"/>
      <c r="AI3693" s="3"/>
      <c r="AJ3693" s="3"/>
      <c r="AK3693" s="3"/>
      <c r="AL3693" s="3"/>
    </row>
    <row r="3694" ht="15.75" customHeight="1">
      <c r="A3694" s="1"/>
      <c r="B3694" s="2"/>
      <c r="C3694" s="3"/>
      <c r="D3694" s="3"/>
      <c r="E3694" s="1"/>
      <c r="F3694" s="1"/>
      <c r="G3694" s="1"/>
      <c r="H3694" s="1"/>
      <c r="I3694" s="1"/>
      <c r="J3694" s="3"/>
      <c r="K3694" s="3"/>
      <c r="L3694" s="1"/>
      <c r="M3694" s="1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3"/>
      <c r="AD3694" s="3"/>
      <c r="AE3694" s="3"/>
      <c r="AF3694" s="3"/>
      <c r="AG3694" s="3"/>
      <c r="AH3694" s="3"/>
      <c r="AI3694" s="3"/>
      <c r="AJ3694" s="3"/>
      <c r="AK3694" s="3"/>
      <c r="AL3694" s="3"/>
    </row>
    <row r="3695" ht="15.75" customHeight="1">
      <c r="A3695" s="1"/>
      <c r="B3695" s="2"/>
      <c r="C3695" s="3"/>
      <c r="D3695" s="3"/>
      <c r="E3695" s="1"/>
      <c r="F3695" s="1"/>
      <c r="G3695" s="1"/>
      <c r="H3695" s="1"/>
      <c r="I3695" s="1"/>
      <c r="J3695" s="3"/>
      <c r="K3695" s="3"/>
      <c r="L3695" s="1"/>
      <c r="M3695" s="1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3"/>
      <c r="AD3695" s="3"/>
      <c r="AE3695" s="3"/>
      <c r="AF3695" s="3"/>
      <c r="AG3695" s="3"/>
      <c r="AH3695" s="3"/>
      <c r="AI3695" s="3"/>
      <c r="AJ3695" s="3"/>
      <c r="AK3695" s="3"/>
      <c r="AL3695" s="3"/>
    </row>
    <row r="3696" ht="15.75" customHeight="1">
      <c r="A3696" s="1"/>
      <c r="B3696" s="2"/>
      <c r="C3696" s="3"/>
      <c r="D3696" s="3"/>
      <c r="E3696" s="1"/>
      <c r="F3696" s="1"/>
      <c r="G3696" s="1"/>
      <c r="H3696" s="1"/>
      <c r="I3696" s="1"/>
      <c r="J3696" s="3"/>
      <c r="K3696" s="3"/>
      <c r="L3696" s="1"/>
      <c r="M3696" s="1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3"/>
      <c r="AD3696" s="3"/>
      <c r="AE3696" s="3"/>
      <c r="AF3696" s="3"/>
      <c r="AG3696" s="3"/>
      <c r="AH3696" s="3"/>
      <c r="AI3696" s="3"/>
      <c r="AJ3696" s="3"/>
      <c r="AK3696" s="3"/>
      <c r="AL3696" s="3"/>
    </row>
    <row r="3697" ht="15.75" customHeight="1">
      <c r="A3697" s="1"/>
      <c r="B3697" s="2"/>
      <c r="C3697" s="3"/>
      <c r="D3697" s="3"/>
      <c r="E3697" s="1"/>
      <c r="F3697" s="1"/>
      <c r="G3697" s="1"/>
      <c r="H3697" s="1"/>
      <c r="I3697" s="1"/>
      <c r="J3697" s="3"/>
      <c r="K3697" s="3"/>
      <c r="L3697" s="1"/>
      <c r="M3697" s="1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3"/>
      <c r="AD3697" s="3"/>
      <c r="AE3697" s="3"/>
      <c r="AF3697" s="3"/>
      <c r="AG3697" s="3"/>
      <c r="AH3697" s="3"/>
      <c r="AI3697" s="3"/>
      <c r="AJ3697" s="3"/>
      <c r="AK3697" s="3"/>
      <c r="AL3697" s="3"/>
    </row>
    <row r="3698" ht="15.75" customHeight="1">
      <c r="A3698" s="1"/>
      <c r="B3698" s="2"/>
      <c r="C3698" s="3"/>
      <c r="D3698" s="3"/>
      <c r="E3698" s="1"/>
      <c r="F3698" s="1"/>
      <c r="G3698" s="1"/>
      <c r="H3698" s="1"/>
      <c r="I3698" s="1"/>
      <c r="J3698" s="3"/>
      <c r="K3698" s="3"/>
      <c r="L3698" s="1"/>
      <c r="M3698" s="1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3"/>
      <c r="AD3698" s="3"/>
      <c r="AE3698" s="3"/>
      <c r="AF3698" s="3"/>
      <c r="AG3698" s="3"/>
      <c r="AH3698" s="3"/>
      <c r="AI3698" s="3"/>
      <c r="AJ3698" s="3"/>
      <c r="AK3698" s="3"/>
      <c r="AL3698" s="3"/>
    </row>
    <row r="3699" ht="15.75" customHeight="1">
      <c r="A3699" s="1"/>
      <c r="B3699" s="2"/>
      <c r="C3699" s="3"/>
      <c r="D3699" s="3"/>
      <c r="E3699" s="1"/>
      <c r="F3699" s="1"/>
      <c r="G3699" s="1"/>
      <c r="H3699" s="1"/>
      <c r="I3699" s="1"/>
      <c r="J3699" s="3"/>
      <c r="K3699" s="3"/>
      <c r="L3699" s="1"/>
      <c r="M3699" s="1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  <c r="AC3699" s="3"/>
      <c r="AD3699" s="3"/>
      <c r="AE3699" s="3"/>
      <c r="AF3699" s="3"/>
      <c r="AG3699" s="3"/>
      <c r="AH3699" s="3"/>
      <c r="AI3699" s="3"/>
      <c r="AJ3699" s="3"/>
      <c r="AK3699" s="3"/>
      <c r="AL3699" s="3"/>
    </row>
    <row r="3700" ht="15.75" customHeight="1">
      <c r="A3700" s="1"/>
      <c r="B3700" s="2"/>
      <c r="C3700" s="3"/>
      <c r="D3700" s="3"/>
      <c r="E3700" s="1"/>
      <c r="F3700" s="1"/>
      <c r="G3700" s="1"/>
      <c r="H3700" s="1"/>
      <c r="I3700" s="1"/>
      <c r="J3700" s="3"/>
      <c r="K3700" s="3"/>
      <c r="L3700" s="1"/>
      <c r="M3700" s="1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  <c r="AC3700" s="3"/>
      <c r="AD3700" s="3"/>
      <c r="AE3700" s="3"/>
      <c r="AF3700" s="3"/>
      <c r="AG3700" s="3"/>
      <c r="AH3700" s="3"/>
      <c r="AI3700" s="3"/>
      <c r="AJ3700" s="3"/>
      <c r="AK3700" s="3"/>
      <c r="AL3700" s="3"/>
    </row>
    <row r="3701" ht="15.75" customHeight="1">
      <c r="A3701" s="1"/>
      <c r="B3701" s="2"/>
      <c r="C3701" s="3"/>
      <c r="D3701" s="3"/>
      <c r="E3701" s="1"/>
      <c r="F3701" s="1"/>
      <c r="G3701" s="1"/>
      <c r="H3701" s="1"/>
      <c r="I3701" s="1"/>
      <c r="J3701" s="3"/>
      <c r="K3701" s="3"/>
      <c r="L3701" s="1"/>
      <c r="M3701" s="1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3"/>
      <c r="AD3701" s="3"/>
      <c r="AE3701" s="3"/>
      <c r="AF3701" s="3"/>
      <c r="AG3701" s="3"/>
      <c r="AH3701" s="3"/>
      <c r="AI3701" s="3"/>
      <c r="AJ3701" s="3"/>
      <c r="AK3701" s="3"/>
      <c r="AL3701" s="3"/>
    </row>
    <row r="3702" ht="15.75" customHeight="1">
      <c r="A3702" s="1"/>
      <c r="B3702" s="2"/>
      <c r="C3702" s="3"/>
      <c r="D3702" s="3"/>
      <c r="E3702" s="1"/>
      <c r="F3702" s="1"/>
      <c r="G3702" s="1"/>
      <c r="H3702" s="1"/>
      <c r="I3702" s="1"/>
      <c r="J3702" s="3"/>
      <c r="K3702" s="3"/>
      <c r="L3702" s="1"/>
      <c r="M3702" s="1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3"/>
      <c r="AD3702" s="3"/>
      <c r="AE3702" s="3"/>
      <c r="AF3702" s="3"/>
      <c r="AG3702" s="3"/>
      <c r="AH3702" s="3"/>
      <c r="AI3702" s="3"/>
      <c r="AJ3702" s="3"/>
      <c r="AK3702" s="3"/>
      <c r="AL3702" s="3"/>
    </row>
    <row r="3703" ht="15.75" customHeight="1">
      <c r="A3703" s="1"/>
      <c r="B3703" s="2"/>
      <c r="C3703" s="3"/>
      <c r="D3703" s="3"/>
      <c r="E3703" s="1"/>
      <c r="F3703" s="1"/>
      <c r="G3703" s="1"/>
      <c r="H3703" s="1"/>
      <c r="I3703" s="1"/>
      <c r="J3703" s="3"/>
      <c r="K3703" s="3"/>
      <c r="L3703" s="1"/>
      <c r="M3703" s="1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  <c r="AD3703" s="3"/>
      <c r="AE3703" s="3"/>
      <c r="AF3703" s="3"/>
      <c r="AG3703" s="3"/>
      <c r="AH3703" s="3"/>
      <c r="AI3703" s="3"/>
      <c r="AJ3703" s="3"/>
      <c r="AK3703" s="3"/>
      <c r="AL3703" s="3"/>
    </row>
    <row r="3704" ht="15.75" customHeight="1">
      <c r="A3704" s="1"/>
      <c r="B3704" s="2"/>
      <c r="C3704" s="3"/>
      <c r="D3704" s="3"/>
      <c r="E3704" s="1"/>
      <c r="F3704" s="1"/>
      <c r="G3704" s="1"/>
      <c r="H3704" s="1"/>
      <c r="I3704" s="1"/>
      <c r="J3704" s="3"/>
      <c r="K3704" s="3"/>
      <c r="L3704" s="1"/>
      <c r="M3704" s="1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3"/>
      <c r="AD3704" s="3"/>
      <c r="AE3704" s="3"/>
      <c r="AF3704" s="3"/>
      <c r="AG3704" s="3"/>
      <c r="AH3704" s="3"/>
      <c r="AI3704" s="3"/>
      <c r="AJ3704" s="3"/>
      <c r="AK3704" s="3"/>
      <c r="AL3704" s="3"/>
    </row>
    <row r="3705" ht="15.75" customHeight="1">
      <c r="A3705" s="1"/>
      <c r="B3705" s="2"/>
      <c r="C3705" s="3"/>
      <c r="D3705" s="3"/>
      <c r="E3705" s="1"/>
      <c r="F3705" s="1"/>
      <c r="G3705" s="1"/>
      <c r="H3705" s="1"/>
      <c r="I3705" s="1"/>
      <c r="J3705" s="3"/>
      <c r="K3705" s="3"/>
      <c r="L3705" s="1"/>
      <c r="M3705" s="1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3"/>
      <c r="AD3705" s="3"/>
      <c r="AE3705" s="3"/>
      <c r="AF3705" s="3"/>
      <c r="AG3705" s="3"/>
      <c r="AH3705" s="3"/>
      <c r="AI3705" s="3"/>
      <c r="AJ3705" s="3"/>
      <c r="AK3705" s="3"/>
      <c r="AL3705" s="3"/>
    </row>
    <row r="3706" ht="15.75" customHeight="1">
      <c r="A3706" s="1"/>
      <c r="B3706" s="2"/>
      <c r="C3706" s="3"/>
      <c r="D3706" s="3"/>
      <c r="E3706" s="1"/>
      <c r="F3706" s="1"/>
      <c r="G3706" s="1"/>
      <c r="H3706" s="1"/>
      <c r="I3706" s="1"/>
      <c r="J3706" s="3"/>
      <c r="K3706" s="3"/>
      <c r="L3706" s="1"/>
      <c r="M3706" s="1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  <c r="AC3706" s="3"/>
      <c r="AD3706" s="3"/>
      <c r="AE3706" s="3"/>
      <c r="AF3706" s="3"/>
      <c r="AG3706" s="3"/>
      <c r="AH3706" s="3"/>
      <c r="AI3706" s="3"/>
      <c r="AJ3706" s="3"/>
      <c r="AK3706" s="3"/>
      <c r="AL3706" s="3"/>
    </row>
    <row r="3707" ht="15.75" customHeight="1">
      <c r="A3707" s="1"/>
      <c r="B3707" s="2"/>
      <c r="C3707" s="3"/>
      <c r="D3707" s="3"/>
      <c r="E3707" s="1"/>
      <c r="F3707" s="1"/>
      <c r="G3707" s="1"/>
      <c r="H3707" s="1"/>
      <c r="I3707" s="1"/>
      <c r="J3707" s="3"/>
      <c r="K3707" s="3"/>
      <c r="L3707" s="1"/>
      <c r="M3707" s="1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  <c r="AC3707" s="3"/>
      <c r="AD3707" s="3"/>
      <c r="AE3707" s="3"/>
      <c r="AF3707" s="3"/>
      <c r="AG3707" s="3"/>
      <c r="AH3707" s="3"/>
      <c r="AI3707" s="3"/>
      <c r="AJ3707" s="3"/>
      <c r="AK3707" s="3"/>
      <c r="AL3707" s="3"/>
    </row>
    <row r="3708" ht="15.75" customHeight="1">
      <c r="A3708" s="1"/>
      <c r="B3708" s="2"/>
      <c r="C3708" s="3"/>
      <c r="D3708" s="3"/>
      <c r="E3708" s="1"/>
      <c r="F3708" s="1"/>
      <c r="G3708" s="1"/>
      <c r="H3708" s="1"/>
      <c r="I3708" s="1"/>
      <c r="J3708" s="3"/>
      <c r="K3708" s="3"/>
      <c r="L3708" s="1"/>
      <c r="M3708" s="1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  <c r="AC3708" s="3"/>
      <c r="AD3708" s="3"/>
      <c r="AE3708" s="3"/>
      <c r="AF3708" s="3"/>
      <c r="AG3708" s="3"/>
      <c r="AH3708" s="3"/>
      <c r="AI3708" s="3"/>
      <c r="AJ3708" s="3"/>
      <c r="AK3708" s="3"/>
      <c r="AL3708" s="3"/>
    </row>
    <row r="3709" ht="15.75" customHeight="1">
      <c r="A3709" s="1"/>
      <c r="B3709" s="2"/>
      <c r="C3709" s="3"/>
      <c r="D3709" s="3"/>
      <c r="E3709" s="1"/>
      <c r="F3709" s="1"/>
      <c r="G3709" s="1"/>
      <c r="H3709" s="1"/>
      <c r="I3709" s="1"/>
      <c r="J3709" s="3"/>
      <c r="K3709" s="3"/>
      <c r="L3709" s="1"/>
      <c r="M3709" s="1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  <c r="AC3709" s="3"/>
      <c r="AD3709" s="3"/>
      <c r="AE3709" s="3"/>
      <c r="AF3709" s="3"/>
      <c r="AG3709" s="3"/>
      <c r="AH3709" s="3"/>
      <c r="AI3709" s="3"/>
      <c r="AJ3709" s="3"/>
      <c r="AK3709" s="3"/>
      <c r="AL3709" s="3"/>
    </row>
    <row r="3710" ht="15.75" customHeight="1">
      <c r="A3710" s="1"/>
      <c r="B3710" s="2"/>
      <c r="C3710" s="3"/>
      <c r="D3710" s="3"/>
      <c r="E3710" s="1"/>
      <c r="F3710" s="1"/>
      <c r="G3710" s="1"/>
      <c r="H3710" s="1"/>
      <c r="I3710" s="1"/>
      <c r="J3710" s="3"/>
      <c r="K3710" s="3"/>
      <c r="L3710" s="1"/>
      <c r="M3710" s="1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3"/>
      <c r="AD3710" s="3"/>
      <c r="AE3710" s="3"/>
      <c r="AF3710" s="3"/>
      <c r="AG3710" s="3"/>
      <c r="AH3710" s="3"/>
      <c r="AI3710" s="3"/>
      <c r="AJ3710" s="3"/>
      <c r="AK3710" s="3"/>
      <c r="AL3710" s="3"/>
    </row>
    <row r="3711" ht="15.75" customHeight="1">
      <c r="A3711" s="1"/>
      <c r="B3711" s="2"/>
      <c r="C3711" s="3"/>
      <c r="D3711" s="3"/>
      <c r="E3711" s="1"/>
      <c r="F3711" s="1"/>
      <c r="G3711" s="1"/>
      <c r="H3711" s="1"/>
      <c r="I3711" s="1"/>
      <c r="J3711" s="3"/>
      <c r="K3711" s="3"/>
      <c r="L3711" s="1"/>
      <c r="M3711" s="1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  <c r="AC3711" s="3"/>
      <c r="AD3711" s="3"/>
      <c r="AE3711" s="3"/>
      <c r="AF3711" s="3"/>
      <c r="AG3711" s="3"/>
      <c r="AH3711" s="3"/>
      <c r="AI3711" s="3"/>
      <c r="AJ3711" s="3"/>
      <c r="AK3711" s="3"/>
      <c r="AL3711" s="3"/>
    </row>
    <row r="3712" ht="15.75" customHeight="1">
      <c r="A3712" s="1"/>
      <c r="B3712" s="2"/>
      <c r="C3712" s="3"/>
      <c r="D3712" s="3"/>
      <c r="E3712" s="1"/>
      <c r="F3712" s="1"/>
      <c r="G3712" s="1"/>
      <c r="H3712" s="1"/>
      <c r="I3712" s="1"/>
      <c r="J3712" s="3"/>
      <c r="K3712" s="3"/>
      <c r="L3712" s="1"/>
      <c r="M3712" s="1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  <c r="AC3712" s="3"/>
      <c r="AD3712" s="3"/>
      <c r="AE3712" s="3"/>
      <c r="AF3712" s="3"/>
      <c r="AG3712" s="3"/>
      <c r="AH3712" s="3"/>
      <c r="AI3712" s="3"/>
      <c r="AJ3712" s="3"/>
      <c r="AK3712" s="3"/>
      <c r="AL3712" s="3"/>
    </row>
    <row r="3713" ht="15.75" customHeight="1">
      <c r="A3713" s="1"/>
      <c r="B3713" s="2"/>
      <c r="C3713" s="3"/>
      <c r="D3713" s="3"/>
      <c r="E3713" s="1"/>
      <c r="F3713" s="1"/>
      <c r="G3713" s="1"/>
      <c r="H3713" s="1"/>
      <c r="I3713" s="1"/>
      <c r="J3713" s="3"/>
      <c r="K3713" s="3"/>
      <c r="L3713" s="1"/>
      <c r="M3713" s="1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  <c r="AC3713" s="3"/>
      <c r="AD3713" s="3"/>
      <c r="AE3713" s="3"/>
      <c r="AF3713" s="3"/>
      <c r="AG3713" s="3"/>
      <c r="AH3713" s="3"/>
      <c r="AI3713" s="3"/>
      <c r="AJ3713" s="3"/>
      <c r="AK3713" s="3"/>
      <c r="AL3713" s="3"/>
    </row>
    <row r="3714" ht="15.75" customHeight="1">
      <c r="A3714" s="1"/>
      <c r="B3714" s="2"/>
      <c r="C3714" s="3"/>
      <c r="D3714" s="3"/>
      <c r="E3714" s="1"/>
      <c r="F3714" s="1"/>
      <c r="G3714" s="1"/>
      <c r="H3714" s="1"/>
      <c r="I3714" s="1"/>
      <c r="J3714" s="3"/>
      <c r="K3714" s="3"/>
      <c r="L3714" s="1"/>
      <c r="M3714" s="1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3"/>
      <c r="AD3714" s="3"/>
      <c r="AE3714" s="3"/>
      <c r="AF3714" s="3"/>
      <c r="AG3714" s="3"/>
      <c r="AH3714" s="3"/>
      <c r="AI3714" s="3"/>
      <c r="AJ3714" s="3"/>
      <c r="AK3714" s="3"/>
      <c r="AL3714" s="3"/>
    </row>
    <row r="3715" ht="15.75" customHeight="1">
      <c r="A3715" s="1"/>
      <c r="B3715" s="2"/>
      <c r="C3715" s="3"/>
      <c r="D3715" s="3"/>
      <c r="E3715" s="1"/>
      <c r="F3715" s="1"/>
      <c r="G3715" s="1"/>
      <c r="H3715" s="1"/>
      <c r="I3715" s="1"/>
      <c r="J3715" s="3"/>
      <c r="K3715" s="3"/>
      <c r="L3715" s="1"/>
      <c r="M3715" s="1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  <c r="AC3715" s="3"/>
      <c r="AD3715" s="3"/>
      <c r="AE3715" s="3"/>
      <c r="AF3715" s="3"/>
      <c r="AG3715" s="3"/>
      <c r="AH3715" s="3"/>
      <c r="AI3715" s="3"/>
      <c r="AJ3715" s="3"/>
      <c r="AK3715" s="3"/>
      <c r="AL3715" s="3"/>
    </row>
    <row r="3716" ht="15.75" customHeight="1">
      <c r="A3716" s="1"/>
      <c r="B3716" s="2"/>
      <c r="C3716" s="3"/>
      <c r="D3716" s="3"/>
      <c r="E3716" s="1"/>
      <c r="F3716" s="1"/>
      <c r="G3716" s="1"/>
      <c r="H3716" s="1"/>
      <c r="I3716" s="1"/>
      <c r="J3716" s="3"/>
      <c r="K3716" s="3"/>
      <c r="L3716" s="1"/>
      <c r="M3716" s="1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  <c r="AC3716" s="3"/>
      <c r="AD3716" s="3"/>
      <c r="AE3716" s="3"/>
      <c r="AF3716" s="3"/>
      <c r="AG3716" s="3"/>
      <c r="AH3716" s="3"/>
      <c r="AI3716" s="3"/>
      <c r="AJ3716" s="3"/>
      <c r="AK3716" s="3"/>
      <c r="AL3716" s="3"/>
    </row>
    <row r="3717" ht="15.75" customHeight="1">
      <c r="A3717" s="1"/>
      <c r="B3717" s="2"/>
      <c r="C3717" s="3"/>
      <c r="D3717" s="3"/>
      <c r="E3717" s="1"/>
      <c r="F3717" s="1"/>
      <c r="G3717" s="1"/>
      <c r="H3717" s="1"/>
      <c r="I3717" s="1"/>
      <c r="J3717" s="3"/>
      <c r="K3717" s="3"/>
      <c r="L3717" s="1"/>
      <c r="M3717" s="1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3"/>
      <c r="AD3717" s="3"/>
      <c r="AE3717" s="3"/>
      <c r="AF3717" s="3"/>
      <c r="AG3717" s="3"/>
      <c r="AH3717" s="3"/>
      <c r="AI3717" s="3"/>
      <c r="AJ3717" s="3"/>
      <c r="AK3717" s="3"/>
      <c r="AL3717" s="3"/>
    </row>
    <row r="3718" ht="15.75" customHeight="1">
      <c r="A3718" s="1"/>
      <c r="B3718" s="2"/>
      <c r="C3718" s="3"/>
      <c r="D3718" s="3"/>
      <c r="E3718" s="1"/>
      <c r="F3718" s="1"/>
      <c r="G3718" s="1"/>
      <c r="H3718" s="1"/>
      <c r="I3718" s="1"/>
      <c r="J3718" s="3"/>
      <c r="K3718" s="3"/>
      <c r="L3718" s="1"/>
      <c r="M3718" s="1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3"/>
      <c r="AD3718" s="3"/>
      <c r="AE3718" s="3"/>
      <c r="AF3718" s="3"/>
      <c r="AG3718" s="3"/>
      <c r="AH3718" s="3"/>
      <c r="AI3718" s="3"/>
      <c r="AJ3718" s="3"/>
      <c r="AK3718" s="3"/>
      <c r="AL3718" s="3"/>
    </row>
    <row r="3719" ht="15.75" customHeight="1">
      <c r="A3719" s="1"/>
      <c r="B3719" s="2"/>
      <c r="C3719" s="3"/>
      <c r="D3719" s="3"/>
      <c r="E3719" s="1"/>
      <c r="F3719" s="1"/>
      <c r="G3719" s="1"/>
      <c r="H3719" s="1"/>
      <c r="I3719" s="1"/>
      <c r="J3719" s="3"/>
      <c r="K3719" s="3"/>
      <c r="L3719" s="1"/>
      <c r="M3719" s="1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  <c r="AC3719" s="3"/>
      <c r="AD3719" s="3"/>
      <c r="AE3719" s="3"/>
      <c r="AF3719" s="3"/>
      <c r="AG3719" s="3"/>
      <c r="AH3719" s="3"/>
      <c r="AI3719" s="3"/>
      <c r="AJ3719" s="3"/>
      <c r="AK3719" s="3"/>
      <c r="AL3719" s="3"/>
    </row>
    <row r="3720" ht="15.75" customHeight="1">
      <c r="A3720" s="1"/>
      <c r="B3720" s="2"/>
      <c r="C3720" s="3"/>
      <c r="D3720" s="3"/>
      <c r="E3720" s="1"/>
      <c r="F3720" s="1"/>
      <c r="G3720" s="1"/>
      <c r="H3720" s="1"/>
      <c r="I3720" s="1"/>
      <c r="J3720" s="3"/>
      <c r="K3720" s="3"/>
      <c r="L3720" s="1"/>
      <c r="M3720" s="1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  <c r="AC3720" s="3"/>
      <c r="AD3720" s="3"/>
      <c r="AE3720" s="3"/>
      <c r="AF3720" s="3"/>
      <c r="AG3720" s="3"/>
      <c r="AH3720" s="3"/>
      <c r="AI3720" s="3"/>
      <c r="AJ3720" s="3"/>
      <c r="AK3720" s="3"/>
      <c r="AL3720" s="3"/>
    </row>
    <row r="3721" ht="15.75" customHeight="1">
      <c r="A3721" s="1"/>
      <c r="B3721" s="2"/>
      <c r="C3721" s="3"/>
      <c r="D3721" s="3"/>
      <c r="E3721" s="1"/>
      <c r="F3721" s="1"/>
      <c r="G3721" s="1"/>
      <c r="H3721" s="1"/>
      <c r="I3721" s="1"/>
      <c r="J3721" s="3"/>
      <c r="K3721" s="3"/>
      <c r="L3721" s="1"/>
      <c r="M3721" s="1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  <c r="AC3721" s="3"/>
      <c r="AD3721" s="3"/>
      <c r="AE3721" s="3"/>
      <c r="AF3721" s="3"/>
      <c r="AG3721" s="3"/>
      <c r="AH3721" s="3"/>
      <c r="AI3721" s="3"/>
      <c r="AJ3721" s="3"/>
      <c r="AK3721" s="3"/>
      <c r="AL3721" s="3"/>
    </row>
    <row r="3722" ht="15.75" customHeight="1">
      <c r="A3722" s="1"/>
      <c r="B3722" s="2"/>
      <c r="C3722" s="3"/>
      <c r="D3722" s="3"/>
      <c r="E3722" s="1"/>
      <c r="F3722" s="1"/>
      <c r="G3722" s="1"/>
      <c r="H3722" s="1"/>
      <c r="I3722" s="1"/>
      <c r="J3722" s="3"/>
      <c r="K3722" s="3"/>
      <c r="L3722" s="1"/>
      <c r="M3722" s="1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3"/>
      <c r="AD3722" s="3"/>
      <c r="AE3722" s="3"/>
      <c r="AF3722" s="3"/>
      <c r="AG3722" s="3"/>
      <c r="AH3722" s="3"/>
      <c r="AI3722" s="3"/>
      <c r="AJ3722" s="3"/>
      <c r="AK3722" s="3"/>
      <c r="AL3722" s="3"/>
    </row>
    <row r="3723" ht="15.75" customHeight="1">
      <c r="A3723" s="1"/>
      <c r="B3723" s="2"/>
      <c r="C3723" s="3"/>
      <c r="D3723" s="3"/>
      <c r="E3723" s="1"/>
      <c r="F3723" s="1"/>
      <c r="G3723" s="1"/>
      <c r="H3723" s="1"/>
      <c r="I3723" s="1"/>
      <c r="J3723" s="3"/>
      <c r="K3723" s="3"/>
      <c r="L3723" s="1"/>
      <c r="M3723" s="1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  <c r="AC3723" s="3"/>
      <c r="AD3723" s="3"/>
      <c r="AE3723" s="3"/>
      <c r="AF3723" s="3"/>
      <c r="AG3723" s="3"/>
      <c r="AH3723" s="3"/>
      <c r="AI3723" s="3"/>
      <c r="AJ3723" s="3"/>
      <c r="AK3723" s="3"/>
      <c r="AL3723" s="3"/>
    </row>
    <row r="3724" ht="15.75" customHeight="1">
      <c r="A3724" s="1"/>
      <c r="B3724" s="2"/>
      <c r="C3724" s="3"/>
      <c r="D3724" s="3"/>
      <c r="E3724" s="1"/>
      <c r="F3724" s="1"/>
      <c r="G3724" s="1"/>
      <c r="H3724" s="1"/>
      <c r="I3724" s="1"/>
      <c r="J3724" s="3"/>
      <c r="K3724" s="3"/>
      <c r="L3724" s="1"/>
      <c r="M3724" s="1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  <c r="AC3724" s="3"/>
      <c r="AD3724" s="3"/>
      <c r="AE3724" s="3"/>
      <c r="AF3724" s="3"/>
      <c r="AG3724" s="3"/>
      <c r="AH3724" s="3"/>
      <c r="AI3724" s="3"/>
      <c r="AJ3724" s="3"/>
      <c r="AK3724" s="3"/>
      <c r="AL3724" s="3"/>
    </row>
    <row r="3725" ht="15.75" customHeight="1">
      <c r="A3725" s="1"/>
      <c r="B3725" s="2"/>
      <c r="C3725" s="3"/>
      <c r="D3725" s="3"/>
      <c r="E3725" s="1"/>
      <c r="F3725" s="1"/>
      <c r="G3725" s="1"/>
      <c r="H3725" s="1"/>
      <c r="I3725" s="1"/>
      <c r="J3725" s="3"/>
      <c r="K3725" s="3"/>
      <c r="L3725" s="1"/>
      <c r="M3725" s="1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3"/>
      <c r="AD3725" s="3"/>
      <c r="AE3725" s="3"/>
      <c r="AF3725" s="3"/>
      <c r="AG3725" s="3"/>
      <c r="AH3725" s="3"/>
      <c r="AI3725" s="3"/>
      <c r="AJ3725" s="3"/>
      <c r="AK3725" s="3"/>
      <c r="AL3725" s="3"/>
    </row>
    <row r="3726" ht="15.75" customHeight="1">
      <c r="A3726" s="1"/>
      <c r="B3726" s="2"/>
      <c r="C3726" s="3"/>
      <c r="D3726" s="3"/>
      <c r="E3726" s="1"/>
      <c r="F3726" s="1"/>
      <c r="G3726" s="1"/>
      <c r="H3726" s="1"/>
      <c r="I3726" s="1"/>
      <c r="J3726" s="3"/>
      <c r="K3726" s="3"/>
      <c r="L3726" s="1"/>
      <c r="M3726" s="1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  <c r="AC3726" s="3"/>
      <c r="AD3726" s="3"/>
      <c r="AE3726" s="3"/>
      <c r="AF3726" s="3"/>
      <c r="AG3726" s="3"/>
      <c r="AH3726" s="3"/>
      <c r="AI3726" s="3"/>
      <c r="AJ3726" s="3"/>
      <c r="AK3726" s="3"/>
      <c r="AL3726" s="3"/>
    </row>
    <row r="3727" ht="15.75" customHeight="1">
      <c r="A3727" s="1"/>
      <c r="B3727" s="2"/>
      <c r="C3727" s="3"/>
      <c r="D3727" s="3"/>
      <c r="E3727" s="1"/>
      <c r="F3727" s="1"/>
      <c r="G3727" s="1"/>
      <c r="H3727" s="1"/>
      <c r="I3727" s="1"/>
      <c r="J3727" s="3"/>
      <c r="K3727" s="3"/>
      <c r="L3727" s="1"/>
      <c r="M3727" s="1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3"/>
      <c r="AD3727" s="3"/>
      <c r="AE3727" s="3"/>
      <c r="AF3727" s="3"/>
      <c r="AG3727" s="3"/>
      <c r="AH3727" s="3"/>
      <c r="AI3727" s="3"/>
      <c r="AJ3727" s="3"/>
      <c r="AK3727" s="3"/>
      <c r="AL3727" s="3"/>
    </row>
    <row r="3728" ht="15.75" customHeight="1">
      <c r="A3728" s="1"/>
      <c r="B3728" s="2"/>
      <c r="C3728" s="3"/>
      <c r="D3728" s="3"/>
      <c r="E3728" s="1"/>
      <c r="F3728" s="1"/>
      <c r="G3728" s="1"/>
      <c r="H3728" s="1"/>
      <c r="I3728" s="1"/>
      <c r="J3728" s="3"/>
      <c r="K3728" s="3"/>
      <c r="L3728" s="1"/>
      <c r="M3728" s="1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3"/>
      <c r="AD3728" s="3"/>
      <c r="AE3728" s="3"/>
      <c r="AF3728" s="3"/>
      <c r="AG3728" s="3"/>
      <c r="AH3728" s="3"/>
      <c r="AI3728" s="3"/>
      <c r="AJ3728" s="3"/>
      <c r="AK3728" s="3"/>
      <c r="AL3728" s="3"/>
    </row>
    <row r="3729" ht="15.75" customHeight="1">
      <c r="A3729" s="1"/>
      <c r="B3729" s="2"/>
      <c r="C3729" s="3"/>
      <c r="D3729" s="3"/>
      <c r="E3729" s="1"/>
      <c r="F3729" s="1"/>
      <c r="G3729" s="1"/>
      <c r="H3729" s="1"/>
      <c r="I3729" s="1"/>
      <c r="J3729" s="3"/>
      <c r="K3729" s="3"/>
      <c r="L3729" s="1"/>
      <c r="M3729" s="1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3"/>
      <c r="AE3729" s="3"/>
      <c r="AF3729" s="3"/>
      <c r="AG3729" s="3"/>
      <c r="AH3729" s="3"/>
      <c r="AI3729" s="3"/>
      <c r="AJ3729" s="3"/>
      <c r="AK3729" s="3"/>
      <c r="AL3729" s="3"/>
    </row>
    <row r="3730" ht="15.75" customHeight="1">
      <c r="A3730" s="1"/>
      <c r="B3730" s="2"/>
      <c r="C3730" s="3"/>
      <c r="D3730" s="3"/>
      <c r="E3730" s="1"/>
      <c r="F3730" s="1"/>
      <c r="G3730" s="1"/>
      <c r="H3730" s="1"/>
      <c r="I3730" s="1"/>
      <c r="J3730" s="3"/>
      <c r="K3730" s="3"/>
      <c r="L3730" s="1"/>
      <c r="M3730" s="1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3"/>
      <c r="AD3730" s="3"/>
      <c r="AE3730" s="3"/>
      <c r="AF3730" s="3"/>
      <c r="AG3730" s="3"/>
      <c r="AH3730" s="3"/>
      <c r="AI3730" s="3"/>
      <c r="AJ3730" s="3"/>
      <c r="AK3730" s="3"/>
      <c r="AL3730" s="3"/>
    </row>
    <row r="3731" ht="15.75" customHeight="1">
      <c r="A3731" s="1"/>
      <c r="B3731" s="2"/>
      <c r="C3731" s="3"/>
      <c r="D3731" s="3"/>
      <c r="E3731" s="1"/>
      <c r="F3731" s="1"/>
      <c r="G3731" s="1"/>
      <c r="H3731" s="1"/>
      <c r="I3731" s="1"/>
      <c r="J3731" s="3"/>
      <c r="K3731" s="3"/>
      <c r="L3731" s="1"/>
      <c r="M3731" s="1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3"/>
      <c r="AD3731" s="3"/>
      <c r="AE3731" s="3"/>
      <c r="AF3731" s="3"/>
      <c r="AG3731" s="3"/>
      <c r="AH3731" s="3"/>
      <c r="AI3731" s="3"/>
      <c r="AJ3731" s="3"/>
      <c r="AK3731" s="3"/>
      <c r="AL3731" s="3"/>
    </row>
    <row r="3732" ht="15.75" customHeight="1">
      <c r="A3732" s="1"/>
      <c r="B3732" s="2"/>
      <c r="C3732" s="3"/>
      <c r="D3732" s="3"/>
      <c r="E3732" s="1"/>
      <c r="F3732" s="1"/>
      <c r="G3732" s="1"/>
      <c r="H3732" s="1"/>
      <c r="I3732" s="1"/>
      <c r="J3732" s="3"/>
      <c r="K3732" s="3"/>
      <c r="L3732" s="1"/>
      <c r="M3732" s="1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  <c r="AC3732" s="3"/>
      <c r="AD3732" s="3"/>
      <c r="AE3732" s="3"/>
      <c r="AF3732" s="3"/>
      <c r="AG3732" s="3"/>
      <c r="AH3732" s="3"/>
      <c r="AI3732" s="3"/>
      <c r="AJ3732" s="3"/>
      <c r="AK3732" s="3"/>
      <c r="AL3732" s="3"/>
    </row>
    <row r="3733" ht="15.75" customHeight="1">
      <c r="A3733" s="1"/>
      <c r="B3733" s="2"/>
      <c r="C3733" s="3"/>
      <c r="D3733" s="3"/>
      <c r="E3733" s="1"/>
      <c r="F3733" s="1"/>
      <c r="G3733" s="1"/>
      <c r="H3733" s="1"/>
      <c r="I3733" s="1"/>
      <c r="J3733" s="3"/>
      <c r="K3733" s="3"/>
      <c r="L3733" s="1"/>
      <c r="M3733" s="1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  <c r="AD3733" s="3"/>
      <c r="AE3733" s="3"/>
      <c r="AF3733" s="3"/>
      <c r="AG3733" s="3"/>
      <c r="AH3733" s="3"/>
      <c r="AI3733" s="3"/>
      <c r="AJ3733" s="3"/>
      <c r="AK3733" s="3"/>
      <c r="AL3733" s="3"/>
    </row>
    <row r="3734" ht="15.75" customHeight="1">
      <c r="A3734" s="1"/>
      <c r="B3734" s="2"/>
      <c r="C3734" s="3"/>
      <c r="D3734" s="3"/>
      <c r="E3734" s="1"/>
      <c r="F3734" s="1"/>
      <c r="G3734" s="1"/>
      <c r="H3734" s="1"/>
      <c r="I3734" s="1"/>
      <c r="J3734" s="3"/>
      <c r="K3734" s="3"/>
      <c r="L3734" s="1"/>
      <c r="M3734" s="1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  <c r="AC3734" s="3"/>
      <c r="AD3734" s="3"/>
      <c r="AE3734" s="3"/>
      <c r="AF3734" s="3"/>
      <c r="AG3734" s="3"/>
      <c r="AH3734" s="3"/>
      <c r="AI3734" s="3"/>
      <c r="AJ3734" s="3"/>
      <c r="AK3734" s="3"/>
      <c r="AL3734" s="3"/>
    </row>
    <row r="3735" ht="15.75" customHeight="1">
      <c r="A3735" s="1"/>
      <c r="B3735" s="2"/>
      <c r="C3735" s="3"/>
      <c r="D3735" s="3"/>
      <c r="E3735" s="1"/>
      <c r="F3735" s="1"/>
      <c r="G3735" s="1"/>
      <c r="H3735" s="1"/>
      <c r="I3735" s="1"/>
      <c r="J3735" s="3"/>
      <c r="K3735" s="3"/>
      <c r="L3735" s="1"/>
      <c r="M3735" s="1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  <c r="AC3735" s="3"/>
      <c r="AD3735" s="3"/>
      <c r="AE3735" s="3"/>
      <c r="AF3735" s="3"/>
      <c r="AG3735" s="3"/>
      <c r="AH3735" s="3"/>
      <c r="AI3735" s="3"/>
      <c r="AJ3735" s="3"/>
      <c r="AK3735" s="3"/>
      <c r="AL3735" s="3"/>
    </row>
    <row r="3736" ht="15.75" customHeight="1">
      <c r="A3736" s="1"/>
      <c r="B3736" s="2"/>
      <c r="C3736" s="3"/>
      <c r="D3736" s="3"/>
      <c r="E3736" s="1"/>
      <c r="F3736" s="1"/>
      <c r="G3736" s="1"/>
      <c r="H3736" s="1"/>
      <c r="I3736" s="1"/>
      <c r="J3736" s="3"/>
      <c r="K3736" s="3"/>
      <c r="L3736" s="1"/>
      <c r="M3736" s="1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  <c r="AC3736" s="3"/>
      <c r="AD3736" s="3"/>
      <c r="AE3736" s="3"/>
      <c r="AF3736" s="3"/>
      <c r="AG3736" s="3"/>
      <c r="AH3736" s="3"/>
      <c r="AI3736" s="3"/>
      <c r="AJ3736" s="3"/>
      <c r="AK3736" s="3"/>
      <c r="AL3736" s="3"/>
    </row>
    <row r="3737" ht="15.75" customHeight="1">
      <c r="A3737" s="1"/>
      <c r="B3737" s="2"/>
      <c r="C3737" s="3"/>
      <c r="D3737" s="3"/>
      <c r="E3737" s="1"/>
      <c r="F3737" s="1"/>
      <c r="G3737" s="1"/>
      <c r="H3737" s="1"/>
      <c r="I3737" s="1"/>
      <c r="J3737" s="3"/>
      <c r="K3737" s="3"/>
      <c r="L3737" s="1"/>
      <c r="M3737" s="1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3"/>
      <c r="AD3737" s="3"/>
      <c r="AE3737" s="3"/>
      <c r="AF3737" s="3"/>
      <c r="AG3737" s="3"/>
      <c r="AH3737" s="3"/>
      <c r="AI3737" s="3"/>
      <c r="AJ3737" s="3"/>
      <c r="AK3737" s="3"/>
      <c r="AL3737" s="3"/>
    </row>
    <row r="3738" ht="15.75" customHeight="1">
      <c r="A3738" s="1"/>
      <c r="B3738" s="2"/>
      <c r="C3738" s="3"/>
      <c r="D3738" s="3"/>
      <c r="E3738" s="1"/>
      <c r="F3738" s="1"/>
      <c r="G3738" s="1"/>
      <c r="H3738" s="1"/>
      <c r="I3738" s="1"/>
      <c r="J3738" s="3"/>
      <c r="K3738" s="3"/>
      <c r="L3738" s="1"/>
      <c r="M3738" s="1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  <c r="AC3738" s="3"/>
      <c r="AD3738" s="3"/>
      <c r="AE3738" s="3"/>
      <c r="AF3738" s="3"/>
      <c r="AG3738" s="3"/>
      <c r="AH3738" s="3"/>
      <c r="AI3738" s="3"/>
      <c r="AJ3738" s="3"/>
      <c r="AK3738" s="3"/>
      <c r="AL3738" s="3"/>
    </row>
    <row r="3739" ht="15.75" customHeight="1">
      <c r="A3739" s="1"/>
      <c r="B3739" s="2"/>
      <c r="C3739" s="3"/>
      <c r="D3739" s="3"/>
      <c r="E3739" s="1"/>
      <c r="F3739" s="1"/>
      <c r="G3739" s="1"/>
      <c r="H3739" s="1"/>
      <c r="I3739" s="1"/>
      <c r="J3739" s="3"/>
      <c r="K3739" s="3"/>
      <c r="L3739" s="1"/>
      <c r="M3739" s="1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3"/>
      <c r="AD3739" s="3"/>
      <c r="AE3739" s="3"/>
      <c r="AF3739" s="3"/>
      <c r="AG3739" s="3"/>
      <c r="AH3739" s="3"/>
      <c r="AI3739" s="3"/>
      <c r="AJ3739" s="3"/>
      <c r="AK3739" s="3"/>
      <c r="AL3739" s="3"/>
    </row>
    <row r="3740" ht="15.75" customHeight="1">
      <c r="A3740" s="1"/>
      <c r="B3740" s="2"/>
      <c r="C3740" s="3"/>
      <c r="D3740" s="3"/>
      <c r="E3740" s="1"/>
      <c r="F3740" s="1"/>
      <c r="G3740" s="1"/>
      <c r="H3740" s="1"/>
      <c r="I3740" s="1"/>
      <c r="J3740" s="3"/>
      <c r="K3740" s="3"/>
      <c r="L3740" s="1"/>
      <c r="M3740" s="1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  <c r="AE3740" s="3"/>
      <c r="AF3740" s="3"/>
      <c r="AG3740" s="3"/>
      <c r="AH3740" s="3"/>
      <c r="AI3740" s="3"/>
      <c r="AJ3740" s="3"/>
      <c r="AK3740" s="3"/>
      <c r="AL3740" s="3"/>
    </row>
    <row r="3741" ht="15.75" customHeight="1">
      <c r="A3741" s="1"/>
      <c r="B3741" s="2"/>
      <c r="C3741" s="3"/>
      <c r="D3741" s="3"/>
      <c r="E3741" s="1"/>
      <c r="F3741" s="1"/>
      <c r="G3741" s="1"/>
      <c r="H3741" s="1"/>
      <c r="I3741" s="1"/>
      <c r="J3741" s="3"/>
      <c r="K3741" s="3"/>
      <c r="L3741" s="1"/>
      <c r="M3741" s="1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  <c r="AC3741" s="3"/>
      <c r="AD3741" s="3"/>
      <c r="AE3741" s="3"/>
      <c r="AF3741" s="3"/>
      <c r="AG3741" s="3"/>
      <c r="AH3741" s="3"/>
      <c r="AI3741" s="3"/>
      <c r="AJ3741" s="3"/>
      <c r="AK3741" s="3"/>
      <c r="AL3741" s="3"/>
    </row>
    <row r="3742" ht="15.75" customHeight="1">
      <c r="A3742" s="1"/>
      <c r="B3742" s="2"/>
      <c r="C3742" s="3"/>
      <c r="D3742" s="3"/>
      <c r="E3742" s="1"/>
      <c r="F3742" s="1"/>
      <c r="G3742" s="1"/>
      <c r="H3742" s="1"/>
      <c r="I3742" s="1"/>
      <c r="J3742" s="3"/>
      <c r="K3742" s="3"/>
      <c r="L3742" s="1"/>
      <c r="M3742" s="1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3"/>
      <c r="AE3742" s="3"/>
      <c r="AF3742" s="3"/>
      <c r="AG3742" s="3"/>
      <c r="AH3742" s="3"/>
      <c r="AI3742" s="3"/>
      <c r="AJ3742" s="3"/>
      <c r="AK3742" s="3"/>
      <c r="AL3742" s="3"/>
    </row>
    <row r="3743" ht="15.75" customHeight="1">
      <c r="A3743" s="1"/>
      <c r="B3743" s="2"/>
      <c r="C3743" s="3"/>
      <c r="D3743" s="3"/>
      <c r="E3743" s="1"/>
      <c r="F3743" s="1"/>
      <c r="G3743" s="1"/>
      <c r="H3743" s="1"/>
      <c r="I3743" s="1"/>
      <c r="J3743" s="3"/>
      <c r="K3743" s="3"/>
      <c r="L3743" s="1"/>
      <c r="M3743" s="1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3"/>
      <c r="AE3743" s="3"/>
      <c r="AF3743" s="3"/>
      <c r="AG3743" s="3"/>
      <c r="AH3743" s="3"/>
      <c r="AI3743" s="3"/>
      <c r="AJ3743" s="3"/>
      <c r="AK3743" s="3"/>
      <c r="AL3743" s="3"/>
    </row>
    <row r="3744" ht="15.75" customHeight="1">
      <c r="A3744" s="1"/>
      <c r="B3744" s="2"/>
      <c r="C3744" s="3"/>
      <c r="D3744" s="3"/>
      <c r="E3744" s="1"/>
      <c r="F3744" s="1"/>
      <c r="G3744" s="1"/>
      <c r="H3744" s="1"/>
      <c r="I3744" s="1"/>
      <c r="J3744" s="3"/>
      <c r="K3744" s="3"/>
      <c r="L3744" s="1"/>
      <c r="M3744" s="1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3"/>
      <c r="AE3744" s="3"/>
      <c r="AF3744" s="3"/>
      <c r="AG3744" s="3"/>
      <c r="AH3744" s="3"/>
      <c r="AI3744" s="3"/>
      <c r="AJ3744" s="3"/>
      <c r="AK3744" s="3"/>
      <c r="AL3744" s="3"/>
    </row>
    <row r="3745" ht="15.75" customHeight="1">
      <c r="A3745" s="1"/>
      <c r="B3745" s="2"/>
      <c r="C3745" s="3"/>
      <c r="D3745" s="3"/>
      <c r="E3745" s="1"/>
      <c r="F3745" s="1"/>
      <c r="G3745" s="1"/>
      <c r="H3745" s="1"/>
      <c r="I3745" s="1"/>
      <c r="J3745" s="3"/>
      <c r="K3745" s="3"/>
      <c r="L3745" s="1"/>
      <c r="M3745" s="1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3"/>
      <c r="AD3745" s="3"/>
      <c r="AE3745" s="3"/>
      <c r="AF3745" s="3"/>
      <c r="AG3745" s="3"/>
      <c r="AH3745" s="3"/>
      <c r="AI3745" s="3"/>
      <c r="AJ3745" s="3"/>
      <c r="AK3745" s="3"/>
      <c r="AL3745" s="3"/>
    </row>
    <row r="3746" ht="15.75" customHeight="1">
      <c r="A3746" s="1"/>
      <c r="B3746" s="2"/>
      <c r="C3746" s="3"/>
      <c r="D3746" s="3"/>
      <c r="E3746" s="1"/>
      <c r="F3746" s="1"/>
      <c r="G3746" s="1"/>
      <c r="H3746" s="1"/>
      <c r="I3746" s="1"/>
      <c r="J3746" s="3"/>
      <c r="K3746" s="3"/>
      <c r="L3746" s="1"/>
      <c r="M3746" s="1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  <c r="AC3746" s="3"/>
      <c r="AD3746" s="3"/>
      <c r="AE3746" s="3"/>
      <c r="AF3746" s="3"/>
      <c r="AG3746" s="3"/>
      <c r="AH3746" s="3"/>
      <c r="AI3746" s="3"/>
      <c r="AJ3746" s="3"/>
      <c r="AK3746" s="3"/>
      <c r="AL3746" s="3"/>
    </row>
    <row r="3747" ht="15.75" customHeight="1">
      <c r="A3747" s="1"/>
      <c r="B3747" s="2"/>
      <c r="C3747" s="3"/>
      <c r="D3747" s="3"/>
      <c r="E3747" s="1"/>
      <c r="F3747" s="1"/>
      <c r="G3747" s="1"/>
      <c r="H3747" s="1"/>
      <c r="I3747" s="1"/>
      <c r="J3747" s="3"/>
      <c r="K3747" s="3"/>
      <c r="L3747" s="1"/>
      <c r="M3747" s="1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3"/>
      <c r="AE3747" s="3"/>
      <c r="AF3747" s="3"/>
      <c r="AG3747" s="3"/>
      <c r="AH3747" s="3"/>
      <c r="AI3747" s="3"/>
      <c r="AJ3747" s="3"/>
      <c r="AK3747" s="3"/>
      <c r="AL3747" s="3"/>
    </row>
    <row r="3748" ht="15.75" customHeight="1">
      <c r="A3748" s="1"/>
      <c r="B3748" s="2"/>
      <c r="C3748" s="3"/>
      <c r="D3748" s="3"/>
      <c r="E3748" s="1"/>
      <c r="F3748" s="1"/>
      <c r="G3748" s="1"/>
      <c r="H3748" s="1"/>
      <c r="I3748" s="1"/>
      <c r="J3748" s="3"/>
      <c r="K3748" s="3"/>
      <c r="L3748" s="1"/>
      <c r="M3748" s="1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  <c r="AD3748" s="3"/>
      <c r="AE3748" s="3"/>
      <c r="AF3748" s="3"/>
      <c r="AG3748" s="3"/>
      <c r="AH3748" s="3"/>
      <c r="AI3748" s="3"/>
      <c r="AJ3748" s="3"/>
      <c r="AK3748" s="3"/>
      <c r="AL3748" s="3"/>
    </row>
    <row r="3749" ht="15.75" customHeight="1">
      <c r="A3749" s="1"/>
      <c r="B3749" s="2"/>
      <c r="C3749" s="3"/>
      <c r="D3749" s="3"/>
      <c r="E3749" s="1"/>
      <c r="F3749" s="1"/>
      <c r="G3749" s="1"/>
      <c r="H3749" s="1"/>
      <c r="I3749" s="1"/>
      <c r="J3749" s="3"/>
      <c r="K3749" s="3"/>
      <c r="L3749" s="1"/>
      <c r="M3749" s="1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  <c r="AC3749" s="3"/>
      <c r="AD3749" s="3"/>
      <c r="AE3749" s="3"/>
      <c r="AF3749" s="3"/>
      <c r="AG3749" s="3"/>
      <c r="AH3749" s="3"/>
      <c r="AI3749" s="3"/>
      <c r="AJ3749" s="3"/>
      <c r="AK3749" s="3"/>
      <c r="AL3749" s="3"/>
    </row>
    <row r="3750" ht="15.75" customHeight="1">
      <c r="A3750" s="1"/>
      <c r="B3750" s="2"/>
      <c r="C3750" s="3"/>
      <c r="D3750" s="3"/>
      <c r="E3750" s="1"/>
      <c r="F3750" s="1"/>
      <c r="G3750" s="1"/>
      <c r="H3750" s="1"/>
      <c r="I3750" s="1"/>
      <c r="J3750" s="3"/>
      <c r="K3750" s="3"/>
      <c r="L3750" s="1"/>
      <c r="M3750" s="1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  <c r="AC3750" s="3"/>
      <c r="AD3750" s="3"/>
      <c r="AE3750" s="3"/>
      <c r="AF3750" s="3"/>
      <c r="AG3750" s="3"/>
      <c r="AH3750" s="3"/>
      <c r="AI3750" s="3"/>
      <c r="AJ3750" s="3"/>
      <c r="AK3750" s="3"/>
      <c r="AL3750" s="3"/>
    </row>
    <row r="3751" ht="15.75" customHeight="1">
      <c r="A3751" s="1"/>
      <c r="B3751" s="2"/>
      <c r="C3751" s="3"/>
      <c r="D3751" s="3"/>
      <c r="E3751" s="1"/>
      <c r="F3751" s="1"/>
      <c r="G3751" s="1"/>
      <c r="H3751" s="1"/>
      <c r="I3751" s="1"/>
      <c r="J3751" s="3"/>
      <c r="K3751" s="3"/>
      <c r="L3751" s="1"/>
      <c r="M3751" s="1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3"/>
      <c r="AD3751" s="3"/>
      <c r="AE3751" s="3"/>
      <c r="AF3751" s="3"/>
      <c r="AG3751" s="3"/>
      <c r="AH3751" s="3"/>
      <c r="AI3751" s="3"/>
      <c r="AJ3751" s="3"/>
      <c r="AK3751" s="3"/>
      <c r="AL3751" s="3"/>
    </row>
    <row r="3752" ht="15.75" customHeight="1">
      <c r="A3752" s="1"/>
      <c r="B3752" s="2"/>
      <c r="C3752" s="3"/>
      <c r="D3752" s="3"/>
      <c r="E3752" s="1"/>
      <c r="F3752" s="1"/>
      <c r="G3752" s="1"/>
      <c r="H3752" s="1"/>
      <c r="I3752" s="1"/>
      <c r="J3752" s="3"/>
      <c r="K3752" s="3"/>
      <c r="L3752" s="1"/>
      <c r="M3752" s="1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3"/>
      <c r="AD3752" s="3"/>
      <c r="AE3752" s="3"/>
      <c r="AF3752" s="3"/>
      <c r="AG3752" s="3"/>
      <c r="AH3752" s="3"/>
      <c r="AI3752" s="3"/>
      <c r="AJ3752" s="3"/>
      <c r="AK3752" s="3"/>
      <c r="AL3752" s="3"/>
    </row>
    <row r="3753" ht="15.75" customHeight="1">
      <c r="A3753" s="1"/>
      <c r="B3753" s="2"/>
      <c r="C3753" s="3"/>
      <c r="D3753" s="3"/>
      <c r="E3753" s="1"/>
      <c r="F3753" s="1"/>
      <c r="G3753" s="1"/>
      <c r="H3753" s="1"/>
      <c r="I3753" s="1"/>
      <c r="J3753" s="3"/>
      <c r="K3753" s="3"/>
      <c r="L3753" s="1"/>
      <c r="M3753" s="1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3"/>
      <c r="AD3753" s="3"/>
      <c r="AE3753" s="3"/>
      <c r="AF3753" s="3"/>
      <c r="AG3753" s="3"/>
      <c r="AH3753" s="3"/>
      <c r="AI3753" s="3"/>
      <c r="AJ3753" s="3"/>
      <c r="AK3753" s="3"/>
      <c r="AL3753" s="3"/>
    </row>
    <row r="3754" ht="15.75" customHeight="1">
      <c r="A3754" s="1"/>
      <c r="B3754" s="2"/>
      <c r="C3754" s="3"/>
      <c r="D3754" s="3"/>
      <c r="E3754" s="1"/>
      <c r="F3754" s="1"/>
      <c r="G3754" s="1"/>
      <c r="H3754" s="1"/>
      <c r="I3754" s="1"/>
      <c r="J3754" s="3"/>
      <c r="K3754" s="3"/>
      <c r="L3754" s="1"/>
      <c r="M3754" s="1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3"/>
      <c r="AE3754" s="3"/>
      <c r="AF3754" s="3"/>
      <c r="AG3754" s="3"/>
      <c r="AH3754" s="3"/>
      <c r="AI3754" s="3"/>
      <c r="AJ3754" s="3"/>
      <c r="AK3754" s="3"/>
      <c r="AL3754" s="3"/>
    </row>
    <row r="3755" ht="15.75" customHeight="1">
      <c r="A3755" s="1"/>
      <c r="B3755" s="2"/>
      <c r="C3755" s="3"/>
      <c r="D3755" s="3"/>
      <c r="E3755" s="1"/>
      <c r="F3755" s="1"/>
      <c r="G3755" s="1"/>
      <c r="H3755" s="1"/>
      <c r="I3755" s="1"/>
      <c r="J3755" s="3"/>
      <c r="K3755" s="3"/>
      <c r="L3755" s="1"/>
      <c r="M3755" s="1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3"/>
      <c r="AE3755" s="3"/>
      <c r="AF3755" s="3"/>
      <c r="AG3755" s="3"/>
      <c r="AH3755" s="3"/>
      <c r="AI3755" s="3"/>
      <c r="AJ3755" s="3"/>
      <c r="AK3755" s="3"/>
      <c r="AL3755" s="3"/>
    </row>
    <row r="3756" ht="15.75" customHeight="1">
      <c r="A3756" s="1"/>
      <c r="B3756" s="2"/>
      <c r="C3756" s="3"/>
      <c r="D3756" s="3"/>
      <c r="E3756" s="1"/>
      <c r="F3756" s="1"/>
      <c r="G3756" s="1"/>
      <c r="H3756" s="1"/>
      <c r="I3756" s="1"/>
      <c r="J3756" s="3"/>
      <c r="K3756" s="3"/>
      <c r="L3756" s="1"/>
      <c r="M3756" s="1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3"/>
      <c r="AD3756" s="3"/>
      <c r="AE3756" s="3"/>
      <c r="AF3756" s="3"/>
      <c r="AG3756" s="3"/>
      <c r="AH3756" s="3"/>
      <c r="AI3756" s="3"/>
      <c r="AJ3756" s="3"/>
      <c r="AK3756" s="3"/>
      <c r="AL3756" s="3"/>
    </row>
    <row r="3757" ht="15.75" customHeight="1">
      <c r="A3757" s="1"/>
      <c r="B3757" s="2"/>
      <c r="C3757" s="3"/>
      <c r="D3757" s="3"/>
      <c r="E3757" s="1"/>
      <c r="F3757" s="1"/>
      <c r="G3757" s="1"/>
      <c r="H3757" s="1"/>
      <c r="I3757" s="1"/>
      <c r="J3757" s="3"/>
      <c r="K3757" s="3"/>
      <c r="L3757" s="1"/>
      <c r="M3757" s="1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3"/>
      <c r="AE3757" s="3"/>
      <c r="AF3757" s="3"/>
      <c r="AG3757" s="3"/>
      <c r="AH3757" s="3"/>
      <c r="AI3757" s="3"/>
      <c r="AJ3757" s="3"/>
      <c r="AK3757" s="3"/>
      <c r="AL3757" s="3"/>
    </row>
    <row r="3758" ht="15.75" customHeight="1">
      <c r="A3758" s="1"/>
      <c r="B3758" s="2"/>
      <c r="C3758" s="3"/>
      <c r="D3758" s="3"/>
      <c r="E3758" s="1"/>
      <c r="F3758" s="1"/>
      <c r="G3758" s="1"/>
      <c r="H3758" s="1"/>
      <c r="I3758" s="1"/>
      <c r="J3758" s="3"/>
      <c r="K3758" s="3"/>
      <c r="L3758" s="1"/>
      <c r="M3758" s="1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3"/>
      <c r="AD3758" s="3"/>
      <c r="AE3758" s="3"/>
      <c r="AF3758" s="3"/>
      <c r="AG3758" s="3"/>
      <c r="AH3758" s="3"/>
      <c r="AI3758" s="3"/>
      <c r="AJ3758" s="3"/>
      <c r="AK3758" s="3"/>
      <c r="AL3758" s="3"/>
    </row>
    <row r="3759" ht="15.75" customHeight="1">
      <c r="A3759" s="1"/>
      <c r="B3759" s="2"/>
      <c r="C3759" s="3"/>
      <c r="D3759" s="3"/>
      <c r="E3759" s="1"/>
      <c r="F3759" s="1"/>
      <c r="G3759" s="1"/>
      <c r="H3759" s="1"/>
      <c r="I3759" s="1"/>
      <c r="J3759" s="3"/>
      <c r="K3759" s="3"/>
      <c r="L3759" s="1"/>
      <c r="M3759" s="1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  <c r="AC3759" s="3"/>
      <c r="AD3759" s="3"/>
      <c r="AE3759" s="3"/>
      <c r="AF3759" s="3"/>
      <c r="AG3759" s="3"/>
      <c r="AH3759" s="3"/>
      <c r="AI3759" s="3"/>
      <c r="AJ3759" s="3"/>
      <c r="AK3759" s="3"/>
      <c r="AL3759" s="3"/>
    </row>
    <row r="3760" ht="15.75" customHeight="1">
      <c r="A3760" s="1"/>
      <c r="B3760" s="2"/>
      <c r="C3760" s="3"/>
      <c r="D3760" s="3"/>
      <c r="E3760" s="1"/>
      <c r="F3760" s="1"/>
      <c r="G3760" s="1"/>
      <c r="H3760" s="1"/>
      <c r="I3760" s="1"/>
      <c r="J3760" s="3"/>
      <c r="K3760" s="3"/>
      <c r="L3760" s="1"/>
      <c r="M3760" s="1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3"/>
      <c r="AE3760" s="3"/>
      <c r="AF3760" s="3"/>
      <c r="AG3760" s="3"/>
      <c r="AH3760" s="3"/>
      <c r="AI3760" s="3"/>
      <c r="AJ3760" s="3"/>
      <c r="AK3760" s="3"/>
      <c r="AL3760" s="3"/>
    </row>
    <row r="3761" ht="15.75" customHeight="1">
      <c r="A3761" s="1"/>
      <c r="B3761" s="2"/>
      <c r="C3761" s="3"/>
      <c r="D3761" s="3"/>
      <c r="E3761" s="1"/>
      <c r="F3761" s="1"/>
      <c r="G3761" s="1"/>
      <c r="H3761" s="1"/>
      <c r="I3761" s="1"/>
      <c r="J3761" s="3"/>
      <c r="K3761" s="3"/>
      <c r="L3761" s="1"/>
      <c r="M3761" s="1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  <c r="AD3761" s="3"/>
      <c r="AE3761" s="3"/>
      <c r="AF3761" s="3"/>
      <c r="AG3761" s="3"/>
      <c r="AH3761" s="3"/>
      <c r="AI3761" s="3"/>
      <c r="AJ3761" s="3"/>
      <c r="AK3761" s="3"/>
      <c r="AL3761" s="3"/>
    </row>
    <row r="3762" ht="15.75" customHeight="1">
      <c r="A3762" s="1"/>
      <c r="B3762" s="2"/>
      <c r="C3762" s="3"/>
      <c r="D3762" s="3"/>
      <c r="E3762" s="1"/>
      <c r="F3762" s="1"/>
      <c r="G3762" s="1"/>
      <c r="H3762" s="1"/>
      <c r="I3762" s="1"/>
      <c r="J3762" s="3"/>
      <c r="K3762" s="3"/>
      <c r="L3762" s="1"/>
      <c r="M3762" s="1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3"/>
      <c r="AD3762" s="3"/>
      <c r="AE3762" s="3"/>
      <c r="AF3762" s="3"/>
      <c r="AG3762" s="3"/>
      <c r="AH3762" s="3"/>
      <c r="AI3762" s="3"/>
      <c r="AJ3762" s="3"/>
      <c r="AK3762" s="3"/>
      <c r="AL3762" s="3"/>
    </row>
    <row r="3763" ht="15.75" customHeight="1">
      <c r="A3763" s="1"/>
      <c r="B3763" s="2"/>
      <c r="C3763" s="3"/>
      <c r="D3763" s="3"/>
      <c r="E3763" s="1"/>
      <c r="F3763" s="1"/>
      <c r="G3763" s="1"/>
      <c r="H3763" s="1"/>
      <c r="I3763" s="1"/>
      <c r="J3763" s="3"/>
      <c r="K3763" s="3"/>
      <c r="L3763" s="1"/>
      <c r="M3763" s="1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3"/>
      <c r="AE3763" s="3"/>
      <c r="AF3763" s="3"/>
      <c r="AG3763" s="3"/>
      <c r="AH3763" s="3"/>
      <c r="AI3763" s="3"/>
      <c r="AJ3763" s="3"/>
      <c r="AK3763" s="3"/>
      <c r="AL3763" s="3"/>
    </row>
    <row r="3764" ht="15.75" customHeight="1">
      <c r="A3764" s="1"/>
      <c r="B3764" s="2"/>
      <c r="C3764" s="3"/>
      <c r="D3764" s="3"/>
      <c r="E3764" s="1"/>
      <c r="F3764" s="1"/>
      <c r="G3764" s="1"/>
      <c r="H3764" s="1"/>
      <c r="I3764" s="1"/>
      <c r="J3764" s="3"/>
      <c r="K3764" s="3"/>
      <c r="L3764" s="1"/>
      <c r="M3764" s="1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3"/>
      <c r="AD3764" s="3"/>
      <c r="AE3764" s="3"/>
      <c r="AF3764" s="3"/>
      <c r="AG3764" s="3"/>
      <c r="AH3764" s="3"/>
      <c r="AI3764" s="3"/>
      <c r="AJ3764" s="3"/>
      <c r="AK3764" s="3"/>
      <c r="AL3764" s="3"/>
    </row>
    <row r="3765" ht="15.75" customHeight="1">
      <c r="A3765" s="1"/>
      <c r="B3765" s="2"/>
      <c r="C3765" s="3"/>
      <c r="D3765" s="3"/>
      <c r="E3765" s="1"/>
      <c r="F3765" s="1"/>
      <c r="G3765" s="1"/>
      <c r="H3765" s="1"/>
      <c r="I3765" s="1"/>
      <c r="J3765" s="3"/>
      <c r="K3765" s="3"/>
      <c r="L3765" s="1"/>
      <c r="M3765" s="1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3"/>
      <c r="AD3765" s="3"/>
      <c r="AE3765" s="3"/>
      <c r="AF3765" s="3"/>
      <c r="AG3765" s="3"/>
      <c r="AH3765" s="3"/>
      <c r="AI3765" s="3"/>
      <c r="AJ3765" s="3"/>
      <c r="AK3765" s="3"/>
      <c r="AL3765" s="3"/>
    </row>
    <row r="3766" ht="15.75" customHeight="1">
      <c r="A3766" s="1"/>
      <c r="B3766" s="2"/>
      <c r="C3766" s="3"/>
      <c r="D3766" s="3"/>
      <c r="E3766" s="1"/>
      <c r="F3766" s="1"/>
      <c r="G3766" s="1"/>
      <c r="H3766" s="1"/>
      <c r="I3766" s="1"/>
      <c r="J3766" s="3"/>
      <c r="K3766" s="3"/>
      <c r="L3766" s="1"/>
      <c r="M3766" s="1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3"/>
      <c r="AD3766" s="3"/>
      <c r="AE3766" s="3"/>
      <c r="AF3766" s="3"/>
      <c r="AG3766" s="3"/>
      <c r="AH3766" s="3"/>
      <c r="AI3766" s="3"/>
      <c r="AJ3766" s="3"/>
      <c r="AK3766" s="3"/>
      <c r="AL3766" s="3"/>
    </row>
    <row r="3767" ht="15.75" customHeight="1">
      <c r="A3767" s="1"/>
      <c r="B3767" s="2"/>
      <c r="C3767" s="3"/>
      <c r="D3767" s="3"/>
      <c r="E3767" s="1"/>
      <c r="F3767" s="1"/>
      <c r="G3767" s="1"/>
      <c r="H3767" s="1"/>
      <c r="I3767" s="1"/>
      <c r="J3767" s="3"/>
      <c r="K3767" s="3"/>
      <c r="L3767" s="1"/>
      <c r="M3767" s="1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  <c r="AD3767" s="3"/>
      <c r="AE3767" s="3"/>
      <c r="AF3767" s="3"/>
      <c r="AG3767" s="3"/>
      <c r="AH3767" s="3"/>
      <c r="AI3767" s="3"/>
      <c r="AJ3767" s="3"/>
      <c r="AK3767" s="3"/>
      <c r="AL3767" s="3"/>
    </row>
    <row r="3768" ht="15.75" customHeight="1">
      <c r="A3768" s="1"/>
      <c r="B3768" s="2"/>
      <c r="C3768" s="3"/>
      <c r="D3768" s="3"/>
      <c r="E3768" s="1"/>
      <c r="F3768" s="1"/>
      <c r="G3768" s="1"/>
      <c r="H3768" s="1"/>
      <c r="I3768" s="1"/>
      <c r="J3768" s="3"/>
      <c r="K3768" s="3"/>
      <c r="L3768" s="1"/>
      <c r="M3768" s="1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3"/>
      <c r="AD3768" s="3"/>
      <c r="AE3768" s="3"/>
      <c r="AF3768" s="3"/>
      <c r="AG3768" s="3"/>
      <c r="AH3768" s="3"/>
      <c r="AI3768" s="3"/>
      <c r="AJ3768" s="3"/>
      <c r="AK3768" s="3"/>
      <c r="AL3768" s="3"/>
    </row>
    <row r="3769" ht="15.75" customHeight="1">
      <c r="A3769" s="1"/>
      <c r="B3769" s="2"/>
      <c r="C3769" s="3"/>
      <c r="D3769" s="3"/>
      <c r="E3769" s="1"/>
      <c r="F3769" s="1"/>
      <c r="G3769" s="1"/>
      <c r="H3769" s="1"/>
      <c r="I3769" s="1"/>
      <c r="J3769" s="3"/>
      <c r="K3769" s="3"/>
      <c r="L3769" s="1"/>
      <c r="M3769" s="1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3"/>
      <c r="AE3769" s="3"/>
      <c r="AF3769" s="3"/>
      <c r="AG3769" s="3"/>
      <c r="AH3769" s="3"/>
      <c r="AI3769" s="3"/>
      <c r="AJ3769" s="3"/>
      <c r="AK3769" s="3"/>
      <c r="AL3769" s="3"/>
    </row>
    <row r="3770" ht="15.75" customHeight="1">
      <c r="A3770" s="1"/>
      <c r="B3770" s="2"/>
      <c r="C3770" s="3"/>
      <c r="D3770" s="3"/>
      <c r="E3770" s="1"/>
      <c r="F3770" s="1"/>
      <c r="G3770" s="1"/>
      <c r="H3770" s="1"/>
      <c r="I3770" s="1"/>
      <c r="J3770" s="3"/>
      <c r="K3770" s="3"/>
      <c r="L3770" s="1"/>
      <c r="M3770" s="1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3"/>
      <c r="AD3770" s="3"/>
      <c r="AE3770" s="3"/>
      <c r="AF3770" s="3"/>
      <c r="AG3770" s="3"/>
      <c r="AH3770" s="3"/>
      <c r="AI3770" s="3"/>
      <c r="AJ3770" s="3"/>
      <c r="AK3770" s="3"/>
      <c r="AL3770" s="3"/>
    </row>
    <row r="3771" ht="15.75" customHeight="1">
      <c r="A3771" s="1"/>
      <c r="B3771" s="2"/>
      <c r="C3771" s="3"/>
      <c r="D3771" s="3"/>
      <c r="E3771" s="1"/>
      <c r="F3771" s="1"/>
      <c r="G3771" s="1"/>
      <c r="H3771" s="1"/>
      <c r="I3771" s="1"/>
      <c r="J3771" s="3"/>
      <c r="K3771" s="3"/>
      <c r="L3771" s="1"/>
      <c r="M3771" s="1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  <c r="AC3771" s="3"/>
      <c r="AD3771" s="3"/>
      <c r="AE3771" s="3"/>
      <c r="AF3771" s="3"/>
      <c r="AG3771" s="3"/>
      <c r="AH3771" s="3"/>
      <c r="AI3771" s="3"/>
      <c r="AJ3771" s="3"/>
      <c r="AK3771" s="3"/>
      <c r="AL3771" s="3"/>
    </row>
    <row r="3772" ht="15.75" customHeight="1">
      <c r="A3772" s="1"/>
      <c r="B3772" s="2"/>
      <c r="C3772" s="3"/>
      <c r="D3772" s="3"/>
      <c r="E3772" s="1"/>
      <c r="F3772" s="1"/>
      <c r="G3772" s="1"/>
      <c r="H3772" s="1"/>
      <c r="I3772" s="1"/>
      <c r="J3772" s="3"/>
      <c r="K3772" s="3"/>
      <c r="L3772" s="1"/>
      <c r="M3772" s="1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3"/>
      <c r="AD3772" s="3"/>
      <c r="AE3772" s="3"/>
      <c r="AF3772" s="3"/>
      <c r="AG3772" s="3"/>
      <c r="AH3772" s="3"/>
      <c r="AI3772" s="3"/>
      <c r="AJ3772" s="3"/>
      <c r="AK3772" s="3"/>
      <c r="AL3772" s="3"/>
    </row>
    <row r="3773" ht="15.75" customHeight="1">
      <c r="A3773" s="1"/>
      <c r="B3773" s="2"/>
      <c r="C3773" s="3"/>
      <c r="D3773" s="3"/>
      <c r="E3773" s="1"/>
      <c r="F3773" s="1"/>
      <c r="G3773" s="1"/>
      <c r="H3773" s="1"/>
      <c r="I3773" s="1"/>
      <c r="J3773" s="3"/>
      <c r="K3773" s="3"/>
      <c r="L3773" s="1"/>
      <c r="M3773" s="1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  <c r="AC3773" s="3"/>
      <c r="AD3773" s="3"/>
      <c r="AE3773" s="3"/>
      <c r="AF3773" s="3"/>
      <c r="AG3773" s="3"/>
      <c r="AH3773" s="3"/>
      <c r="AI3773" s="3"/>
      <c r="AJ3773" s="3"/>
      <c r="AK3773" s="3"/>
      <c r="AL3773" s="3"/>
    </row>
    <row r="3774" ht="15.75" customHeight="1">
      <c r="A3774" s="1"/>
      <c r="B3774" s="2"/>
      <c r="C3774" s="3"/>
      <c r="D3774" s="3"/>
      <c r="E3774" s="1"/>
      <c r="F3774" s="1"/>
      <c r="G3774" s="1"/>
      <c r="H3774" s="1"/>
      <c r="I3774" s="1"/>
      <c r="J3774" s="3"/>
      <c r="K3774" s="3"/>
      <c r="L3774" s="1"/>
      <c r="M3774" s="1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  <c r="AC3774" s="3"/>
      <c r="AD3774" s="3"/>
      <c r="AE3774" s="3"/>
      <c r="AF3774" s="3"/>
      <c r="AG3774" s="3"/>
      <c r="AH3774" s="3"/>
      <c r="AI3774" s="3"/>
      <c r="AJ3774" s="3"/>
      <c r="AK3774" s="3"/>
      <c r="AL3774" s="3"/>
    </row>
    <row r="3775" ht="15.75" customHeight="1">
      <c r="A3775" s="1"/>
      <c r="B3775" s="2"/>
      <c r="C3775" s="3"/>
      <c r="D3775" s="3"/>
      <c r="E3775" s="1"/>
      <c r="F3775" s="1"/>
      <c r="G3775" s="1"/>
      <c r="H3775" s="1"/>
      <c r="I3775" s="1"/>
      <c r="J3775" s="3"/>
      <c r="K3775" s="3"/>
      <c r="L3775" s="1"/>
      <c r="M3775" s="1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3"/>
      <c r="AD3775" s="3"/>
      <c r="AE3775" s="3"/>
      <c r="AF3775" s="3"/>
      <c r="AG3775" s="3"/>
      <c r="AH3775" s="3"/>
      <c r="AI3775" s="3"/>
      <c r="AJ3775" s="3"/>
      <c r="AK3775" s="3"/>
      <c r="AL3775" s="3"/>
    </row>
    <row r="3776" ht="15.75" customHeight="1">
      <c r="A3776" s="1"/>
      <c r="B3776" s="2"/>
      <c r="C3776" s="3"/>
      <c r="D3776" s="3"/>
      <c r="E3776" s="1"/>
      <c r="F3776" s="1"/>
      <c r="G3776" s="1"/>
      <c r="H3776" s="1"/>
      <c r="I3776" s="1"/>
      <c r="J3776" s="3"/>
      <c r="K3776" s="3"/>
      <c r="L3776" s="1"/>
      <c r="M3776" s="1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  <c r="AD3776" s="3"/>
      <c r="AE3776" s="3"/>
      <c r="AF3776" s="3"/>
      <c r="AG3776" s="3"/>
      <c r="AH3776" s="3"/>
      <c r="AI3776" s="3"/>
      <c r="AJ3776" s="3"/>
      <c r="AK3776" s="3"/>
      <c r="AL3776" s="3"/>
    </row>
    <row r="3777" ht="15.75" customHeight="1">
      <c r="A3777" s="1"/>
      <c r="B3777" s="2"/>
      <c r="C3777" s="3"/>
      <c r="D3777" s="3"/>
      <c r="E3777" s="1"/>
      <c r="F3777" s="1"/>
      <c r="G3777" s="1"/>
      <c r="H3777" s="1"/>
      <c r="I3777" s="1"/>
      <c r="J3777" s="3"/>
      <c r="K3777" s="3"/>
      <c r="L3777" s="1"/>
      <c r="M3777" s="1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3"/>
      <c r="AD3777" s="3"/>
      <c r="AE3777" s="3"/>
      <c r="AF3777" s="3"/>
      <c r="AG3777" s="3"/>
      <c r="AH3777" s="3"/>
      <c r="AI3777" s="3"/>
      <c r="AJ3777" s="3"/>
      <c r="AK3777" s="3"/>
      <c r="AL3777" s="3"/>
    </row>
    <row r="3778" ht="15.75" customHeight="1">
      <c r="A3778" s="1"/>
      <c r="B3778" s="2"/>
      <c r="C3778" s="3"/>
      <c r="D3778" s="3"/>
      <c r="E3778" s="1"/>
      <c r="F3778" s="1"/>
      <c r="G3778" s="1"/>
      <c r="H3778" s="1"/>
      <c r="I3778" s="1"/>
      <c r="J3778" s="3"/>
      <c r="K3778" s="3"/>
      <c r="L3778" s="1"/>
      <c r="M3778" s="1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3"/>
      <c r="AD3778" s="3"/>
      <c r="AE3778" s="3"/>
      <c r="AF3778" s="3"/>
      <c r="AG3778" s="3"/>
      <c r="AH3778" s="3"/>
      <c r="AI3778" s="3"/>
      <c r="AJ3778" s="3"/>
      <c r="AK3778" s="3"/>
      <c r="AL3778" s="3"/>
    </row>
    <row r="3779" ht="15.75" customHeight="1">
      <c r="A3779" s="1"/>
      <c r="B3779" s="2"/>
      <c r="C3779" s="3"/>
      <c r="D3779" s="3"/>
      <c r="E3779" s="1"/>
      <c r="F3779" s="1"/>
      <c r="G3779" s="1"/>
      <c r="H3779" s="1"/>
      <c r="I3779" s="1"/>
      <c r="J3779" s="3"/>
      <c r="K3779" s="3"/>
      <c r="L3779" s="1"/>
      <c r="M3779" s="1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  <c r="AC3779" s="3"/>
      <c r="AD3779" s="3"/>
      <c r="AE3779" s="3"/>
      <c r="AF3779" s="3"/>
      <c r="AG3779" s="3"/>
      <c r="AH3779" s="3"/>
      <c r="AI3779" s="3"/>
      <c r="AJ3779" s="3"/>
      <c r="AK3779" s="3"/>
      <c r="AL3779" s="3"/>
    </row>
    <row r="3780" ht="15.75" customHeight="1">
      <c r="A3780" s="1"/>
      <c r="B3780" s="2"/>
      <c r="C3780" s="3"/>
      <c r="D3780" s="3"/>
      <c r="E3780" s="1"/>
      <c r="F3780" s="1"/>
      <c r="G3780" s="1"/>
      <c r="H3780" s="1"/>
      <c r="I3780" s="1"/>
      <c r="J3780" s="3"/>
      <c r="K3780" s="3"/>
      <c r="L3780" s="1"/>
      <c r="M3780" s="1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3"/>
      <c r="AE3780" s="3"/>
      <c r="AF3780" s="3"/>
      <c r="AG3780" s="3"/>
      <c r="AH3780" s="3"/>
      <c r="AI3780" s="3"/>
      <c r="AJ3780" s="3"/>
      <c r="AK3780" s="3"/>
      <c r="AL3780" s="3"/>
    </row>
    <row r="3781" ht="15.75" customHeight="1">
      <c r="A3781" s="1"/>
      <c r="B3781" s="2"/>
      <c r="C3781" s="3"/>
      <c r="D3781" s="3"/>
      <c r="E3781" s="1"/>
      <c r="F3781" s="1"/>
      <c r="G3781" s="1"/>
      <c r="H3781" s="1"/>
      <c r="I3781" s="1"/>
      <c r="J3781" s="3"/>
      <c r="K3781" s="3"/>
      <c r="L3781" s="1"/>
      <c r="M3781" s="1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3"/>
      <c r="AD3781" s="3"/>
      <c r="AE3781" s="3"/>
      <c r="AF3781" s="3"/>
      <c r="AG3781" s="3"/>
      <c r="AH3781" s="3"/>
      <c r="AI3781" s="3"/>
      <c r="AJ3781" s="3"/>
      <c r="AK3781" s="3"/>
      <c r="AL3781" s="3"/>
    </row>
    <row r="3782" ht="15.75" customHeight="1">
      <c r="A3782" s="1"/>
      <c r="B3782" s="2"/>
      <c r="C3782" s="3"/>
      <c r="D3782" s="3"/>
      <c r="E3782" s="1"/>
      <c r="F3782" s="1"/>
      <c r="G3782" s="1"/>
      <c r="H3782" s="1"/>
      <c r="I3782" s="1"/>
      <c r="J3782" s="3"/>
      <c r="K3782" s="3"/>
      <c r="L3782" s="1"/>
      <c r="M3782" s="1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  <c r="AD3782" s="3"/>
      <c r="AE3782" s="3"/>
      <c r="AF3782" s="3"/>
      <c r="AG3782" s="3"/>
      <c r="AH3782" s="3"/>
      <c r="AI3782" s="3"/>
      <c r="AJ3782" s="3"/>
      <c r="AK3782" s="3"/>
      <c r="AL3782" s="3"/>
    </row>
    <row r="3783" ht="15.75" customHeight="1">
      <c r="A3783" s="1"/>
      <c r="B3783" s="2"/>
      <c r="C3783" s="3"/>
      <c r="D3783" s="3"/>
      <c r="E3783" s="1"/>
      <c r="F3783" s="1"/>
      <c r="G3783" s="1"/>
      <c r="H3783" s="1"/>
      <c r="I3783" s="1"/>
      <c r="J3783" s="3"/>
      <c r="K3783" s="3"/>
      <c r="L3783" s="1"/>
      <c r="M3783" s="1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  <c r="AC3783" s="3"/>
      <c r="AD3783" s="3"/>
      <c r="AE3783" s="3"/>
      <c r="AF3783" s="3"/>
      <c r="AG3783" s="3"/>
      <c r="AH3783" s="3"/>
      <c r="AI3783" s="3"/>
      <c r="AJ3783" s="3"/>
      <c r="AK3783" s="3"/>
      <c r="AL3783" s="3"/>
    </row>
    <row r="3784" ht="15.75" customHeight="1">
      <c r="A3784" s="1"/>
      <c r="B3784" s="2"/>
      <c r="C3784" s="3"/>
      <c r="D3784" s="3"/>
      <c r="E3784" s="1"/>
      <c r="F3784" s="1"/>
      <c r="G3784" s="1"/>
      <c r="H3784" s="1"/>
      <c r="I3784" s="1"/>
      <c r="J3784" s="3"/>
      <c r="K3784" s="3"/>
      <c r="L3784" s="1"/>
      <c r="M3784" s="1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  <c r="AC3784" s="3"/>
      <c r="AD3784" s="3"/>
      <c r="AE3784" s="3"/>
      <c r="AF3784" s="3"/>
      <c r="AG3784" s="3"/>
      <c r="AH3784" s="3"/>
      <c r="AI3784" s="3"/>
      <c r="AJ3784" s="3"/>
      <c r="AK3784" s="3"/>
      <c r="AL3784" s="3"/>
    </row>
    <row r="3785" ht="15.75" customHeight="1">
      <c r="A3785" s="1"/>
      <c r="B3785" s="2"/>
      <c r="C3785" s="3"/>
      <c r="D3785" s="3"/>
      <c r="E3785" s="1"/>
      <c r="F3785" s="1"/>
      <c r="G3785" s="1"/>
      <c r="H3785" s="1"/>
      <c r="I3785" s="1"/>
      <c r="J3785" s="3"/>
      <c r="K3785" s="3"/>
      <c r="L3785" s="1"/>
      <c r="M3785" s="1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  <c r="AD3785" s="3"/>
      <c r="AE3785" s="3"/>
      <c r="AF3785" s="3"/>
      <c r="AG3785" s="3"/>
      <c r="AH3785" s="3"/>
      <c r="AI3785" s="3"/>
      <c r="AJ3785" s="3"/>
      <c r="AK3785" s="3"/>
      <c r="AL3785" s="3"/>
    </row>
    <row r="3786" ht="15.75" customHeight="1">
      <c r="A3786" s="1"/>
      <c r="B3786" s="2"/>
      <c r="C3786" s="3"/>
      <c r="D3786" s="3"/>
      <c r="E3786" s="1"/>
      <c r="F3786" s="1"/>
      <c r="G3786" s="1"/>
      <c r="H3786" s="1"/>
      <c r="I3786" s="1"/>
      <c r="J3786" s="3"/>
      <c r="K3786" s="3"/>
      <c r="L3786" s="1"/>
      <c r="M3786" s="1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3"/>
      <c r="AE3786" s="3"/>
      <c r="AF3786" s="3"/>
      <c r="AG3786" s="3"/>
      <c r="AH3786" s="3"/>
      <c r="AI3786" s="3"/>
      <c r="AJ3786" s="3"/>
      <c r="AK3786" s="3"/>
      <c r="AL3786" s="3"/>
    </row>
    <row r="3787" ht="15.75" customHeight="1">
      <c r="A3787" s="1"/>
      <c r="B3787" s="2"/>
      <c r="C3787" s="3"/>
      <c r="D3787" s="3"/>
      <c r="E3787" s="1"/>
      <c r="F3787" s="1"/>
      <c r="G3787" s="1"/>
      <c r="H3787" s="1"/>
      <c r="I3787" s="1"/>
      <c r="J3787" s="3"/>
      <c r="K3787" s="3"/>
      <c r="L3787" s="1"/>
      <c r="M3787" s="1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  <c r="AD3787" s="3"/>
      <c r="AE3787" s="3"/>
      <c r="AF3787" s="3"/>
      <c r="AG3787" s="3"/>
      <c r="AH3787" s="3"/>
      <c r="AI3787" s="3"/>
      <c r="AJ3787" s="3"/>
      <c r="AK3787" s="3"/>
      <c r="AL3787" s="3"/>
    </row>
    <row r="3788" ht="15.75" customHeight="1">
      <c r="A3788" s="1"/>
      <c r="B3788" s="2"/>
      <c r="C3788" s="3"/>
      <c r="D3788" s="3"/>
      <c r="E3788" s="1"/>
      <c r="F3788" s="1"/>
      <c r="G3788" s="1"/>
      <c r="H3788" s="1"/>
      <c r="I3788" s="1"/>
      <c r="J3788" s="3"/>
      <c r="K3788" s="3"/>
      <c r="L3788" s="1"/>
      <c r="M3788" s="1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3"/>
      <c r="AE3788" s="3"/>
      <c r="AF3788" s="3"/>
      <c r="AG3788" s="3"/>
      <c r="AH3788" s="3"/>
      <c r="AI3788" s="3"/>
      <c r="AJ3788" s="3"/>
      <c r="AK3788" s="3"/>
      <c r="AL3788" s="3"/>
    </row>
    <row r="3789" ht="15.75" customHeight="1">
      <c r="A3789" s="1"/>
      <c r="B3789" s="2"/>
      <c r="C3789" s="3"/>
      <c r="D3789" s="3"/>
      <c r="E3789" s="1"/>
      <c r="F3789" s="1"/>
      <c r="G3789" s="1"/>
      <c r="H3789" s="1"/>
      <c r="I3789" s="1"/>
      <c r="J3789" s="3"/>
      <c r="K3789" s="3"/>
      <c r="L3789" s="1"/>
      <c r="M3789" s="1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3"/>
      <c r="AD3789" s="3"/>
      <c r="AE3789" s="3"/>
      <c r="AF3789" s="3"/>
      <c r="AG3789" s="3"/>
      <c r="AH3789" s="3"/>
      <c r="AI3789" s="3"/>
      <c r="AJ3789" s="3"/>
      <c r="AK3789" s="3"/>
      <c r="AL3789" s="3"/>
    </row>
    <row r="3790" ht="15.75" customHeight="1">
      <c r="A3790" s="1"/>
      <c r="B3790" s="2"/>
      <c r="C3790" s="3"/>
      <c r="D3790" s="3"/>
      <c r="E3790" s="1"/>
      <c r="F3790" s="1"/>
      <c r="G3790" s="1"/>
      <c r="H3790" s="1"/>
      <c r="I3790" s="1"/>
      <c r="J3790" s="3"/>
      <c r="K3790" s="3"/>
      <c r="L3790" s="1"/>
      <c r="M3790" s="1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  <c r="AC3790" s="3"/>
      <c r="AD3790" s="3"/>
      <c r="AE3790" s="3"/>
      <c r="AF3790" s="3"/>
      <c r="AG3790" s="3"/>
      <c r="AH3790" s="3"/>
      <c r="AI3790" s="3"/>
      <c r="AJ3790" s="3"/>
      <c r="AK3790" s="3"/>
      <c r="AL3790" s="3"/>
    </row>
    <row r="3791" ht="15.75" customHeight="1">
      <c r="A3791" s="1"/>
      <c r="B3791" s="2"/>
      <c r="C3791" s="3"/>
      <c r="D3791" s="3"/>
      <c r="E3791" s="1"/>
      <c r="F3791" s="1"/>
      <c r="G3791" s="1"/>
      <c r="H3791" s="1"/>
      <c r="I3791" s="1"/>
      <c r="J3791" s="3"/>
      <c r="K3791" s="3"/>
      <c r="L3791" s="1"/>
      <c r="M3791" s="1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  <c r="AC3791" s="3"/>
      <c r="AD3791" s="3"/>
      <c r="AE3791" s="3"/>
      <c r="AF3791" s="3"/>
      <c r="AG3791" s="3"/>
      <c r="AH3791" s="3"/>
      <c r="AI3791" s="3"/>
      <c r="AJ3791" s="3"/>
      <c r="AK3791" s="3"/>
      <c r="AL3791" s="3"/>
    </row>
    <row r="3792" ht="15.75" customHeight="1">
      <c r="A3792" s="1"/>
      <c r="B3792" s="2"/>
      <c r="C3792" s="3"/>
      <c r="D3792" s="3"/>
      <c r="E3792" s="1"/>
      <c r="F3792" s="1"/>
      <c r="G3792" s="1"/>
      <c r="H3792" s="1"/>
      <c r="I3792" s="1"/>
      <c r="J3792" s="3"/>
      <c r="K3792" s="3"/>
      <c r="L3792" s="1"/>
      <c r="M3792" s="1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  <c r="AC3792" s="3"/>
      <c r="AD3792" s="3"/>
      <c r="AE3792" s="3"/>
      <c r="AF3792" s="3"/>
      <c r="AG3792" s="3"/>
      <c r="AH3792" s="3"/>
      <c r="AI3792" s="3"/>
      <c r="AJ3792" s="3"/>
      <c r="AK3792" s="3"/>
      <c r="AL3792" s="3"/>
    </row>
    <row r="3793" ht="15.75" customHeight="1">
      <c r="A3793" s="1"/>
      <c r="B3793" s="2"/>
      <c r="C3793" s="3"/>
      <c r="D3793" s="3"/>
      <c r="E3793" s="1"/>
      <c r="F3793" s="1"/>
      <c r="G3793" s="1"/>
      <c r="H3793" s="1"/>
      <c r="I3793" s="1"/>
      <c r="J3793" s="3"/>
      <c r="K3793" s="3"/>
      <c r="L3793" s="1"/>
      <c r="M3793" s="1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  <c r="AC3793" s="3"/>
      <c r="AD3793" s="3"/>
      <c r="AE3793" s="3"/>
      <c r="AF3793" s="3"/>
      <c r="AG3793" s="3"/>
      <c r="AH3793" s="3"/>
      <c r="AI3793" s="3"/>
      <c r="AJ3793" s="3"/>
      <c r="AK3793" s="3"/>
      <c r="AL3793" s="3"/>
    </row>
    <row r="3794" ht="15.75" customHeight="1">
      <c r="A3794" s="1"/>
      <c r="B3794" s="2"/>
      <c r="C3794" s="3"/>
      <c r="D3794" s="3"/>
      <c r="E3794" s="1"/>
      <c r="F3794" s="1"/>
      <c r="G3794" s="1"/>
      <c r="H3794" s="1"/>
      <c r="I3794" s="1"/>
      <c r="J3794" s="3"/>
      <c r="K3794" s="3"/>
      <c r="L3794" s="1"/>
      <c r="M3794" s="1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3"/>
      <c r="AD3794" s="3"/>
      <c r="AE3794" s="3"/>
      <c r="AF3794" s="3"/>
      <c r="AG3794" s="3"/>
      <c r="AH3794" s="3"/>
      <c r="AI3794" s="3"/>
      <c r="AJ3794" s="3"/>
      <c r="AK3794" s="3"/>
      <c r="AL3794" s="3"/>
    </row>
    <row r="3795" ht="15.75" customHeight="1">
      <c r="A3795" s="1"/>
      <c r="B3795" s="2"/>
      <c r="C3795" s="3"/>
      <c r="D3795" s="3"/>
      <c r="E3795" s="1"/>
      <c r="F3795" s="1"/>
      <c r="G3795" s="1"/>
      <c r="H3795" s="1"/>
      <c r="I3795" s="1"/>
      <c r="J3795" s="3"/>
      <c r="K3795" s="3"/>
      <c r="L3795" s="1"/>
      <c r="M3795" s="1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  <c r="AD3795" s="3"/>
      <c r="AE3795" s="3"/>
      <c r="AF3795" s="3"/>
      <c r="AG3795" s="3"/>
      <c r="AH3795" s="3"/>
      <c r="AI3795" s="3"/>
      <c r="AJ3795" s="3"/>
      <c r="AK3795" s="3"/>
      <c r="AL3795" s="3"/>
    </row>
    <row r="3796" ht="15.75" customHeight="1">
      <c r="A3796" s="1"/>
      <c r="B3796" s="2"/>
      <c r="C3796" s="3"/>
      <c r="D3796" s="3"/>
      <c r="E3796" s="1"/>
      <c r="F3796" s="1"/>
      <c r="G3796" s="1"/>
      <c r="H3796" s="1"/>
      <c r="I3796" s="1"/>
      <c r="J3796" s="3"/>
      <c r="K3796" s="3"/>
      <c r="L3796" s="1"/>
      <c r="M3796" s="1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3"/>
      <c r="AD3796" s="3"/>
      <c r="AE3796" s="3"/>
      <c r="AF3796" s="3"/>
      <c r="AG3796" s="3"/>
      <c r="AH3796" s="3"/>
      <c r="AI3796" s="3"/>
      <c r="AJ3796" s="3"/>
      <c r="AK3796" s="3"/>
      <c r="AL3796" s="3"/>
    </row>
    <row r="3797" ht="15.75" customHeight="1">
      <c r="A3797" s="1"/>
      <c r="B3797" s="2"/>
      <c r="C3797" s="3"/>
      <c r="D3797" s="3"/>
      <c r="E3797" s="1"/>
      <c r="F3797" s="1"/>
      <c r="G3797" s="1"/>
      <c r="H3797" s="1"/>
      <c r="I3797" s="1"/>
      <c r="J3797" s="3"/>
      <c r="K3797" s="3"/>
      <c r="L3797" s="1"/>
      <c r="M3797" s="1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3"/>
      <c r="AD3797" s="3"/>
      <c r="AE3797" s="3"/>
      <c r="AF3797" s="3"/>
      <c r="AG3797" s="3"/>
      <c r="AH3797" s="3"/>
      <c r="AI3797" s="3"/>
      <c r="AJ3797" s="3"/>
      <c r="AK3797" s="3"/>
      <c r="AL3797" s="3"/>
    </row>
    <row r="3798" ht="15.75" customHeight="1">
      <c r="A3798" s="1"/>
      <c r="B3798" s="2"/>
      <c r="C3798" s="3"/>
      <c r="D3798" s="3"/>
      <c r="E3798" s="1"/>
      <c r="F3798" s="1"/>
      <c r="G3798" s="1"/>
      <c r="H3798" s="1"/>
      <c r="I3798" s="1"/>
      <c r="J3798" s="3"/>
      <c r="K3798" s="3"/>
      <c r="L3798" s="1"/>
      <c r="M3798" s="1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3"/>
      <c r="AD3798" s="3"/>
      <c r="AE3798" s="3"/>
      <c r="AF3798" s="3"/>
      <c r="AG3798" s="3"/>
      <c r="AH3798" s="3"/>
      <c r="AI3798" s="3"/>
      <c r="AJ3798" s="3"/>
      <c r="AK3798" s="3"/>
      <c r="AL3798" s="3"/>
    </row>
    <row r="3799" ht="15.75" customHeight="1">
      <c r="A3799" s="1"/>
      <c r="B3799" s="2"/>
      <c r="C3799" s="3"/>
      <c r="D3799" s="3"/>
      <c r="E3799" s="1"/>
      <c r="F3799" s="1"/>
      <c r="G3799" s="1"/>
      <c r="H3799" s="1"/>
      <c r="I3799" s="1"/>
      <c r="J3799" s="3"/>
      <c r="K3799" s="3"/>
      <c r="L3799" s="1"/>
      <c r="M3799" s="1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3"/>
      <c r="AE3799" s="3"/>
      <c r="AF3799" s="3"/>
      <c r="AG3799" s="3"/>
      <c r="AH3799" s="3"/>
      <c r="AI3799" s="3"/>
      <c r="AJ3799" s="3"/>
      <c r="AK3799" s="3"/>
      <c r="AL3799" s="3"/>
    </row>
    <row r="3800" ht="15.75" customHeight="1">
      <c r="A3800" s="1"/>
      <c r="B3800" s="2"/>
      <c r="C3800" s="3"/>
      <c r="D3800" s="3"/>
      <c r="E3800" s="1"/>
      <c r="F3800" s="1"/>
      <c r="G3800" s="1"/>
      <c r="H3800" s="1"/>
      <c r="I3800" s="1"/>
      <c r="J3800" s="3"/>
      <c r="K3800" s="3"/>
      <c r="L3800" s="1"/>
      <c r="M3800" s="1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3"/>
      <c r="AD3800" s="3"/>
      <c r="AE3800" s="3"/>
      <c r="AF3800" s="3"/>
      <c r="AG3800" s="3"/>
      <c r="AH3800" s="3"/>
      <c r="AI3800" s="3"/>
      <c r="AJ3800" s="3"/>
      <c r="AK3800" s="3"/>
      <c r="AL3800" s="3"/>
    </row>
    <row r="3801" ht="15.75" customHeight="1">
      <c r="A3801" s="1"/>
      <c r="B3801" s="2"/>
      <c r="C3801" s="3"/>
      <c r="D3801" s="3"/>
      <c r="E3801" s="1"/>
      <c r="F3801" s="1"/>
      <c r="G3801" s="1"/>
      <c r="H3801" s="1"/>
      <c r="I3801" s="1"/>
      <c r="J3801" s="3"/>
      <c r="K3801" s="3"/>
      <c r="L3801" s="1"/>
      <c r="M3801" s="1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3"/>
      <c r="AE3801" s="3"/>
      <c r="AF3801" s="3"/>
      <c r="AG3801" s="3"/>
      <c r="AH3801" s="3"/>
      <c r="AI3801" s="3"/>
      <c r="AJ3801" s="3"/>
      <c r="AK3801" s="3"/>
      <c r="AL3801" s="3"/>
    </row>
    <row r="3802" ht="15.75" customHeight="1">
      <c r="A3802" s="1"/>
      <c r="B3802" s="2"/>
      <c r="C3802" s="3"/>
      <c r="D3802" s="3"/>
      <c r="E3802" s="1"/>
      <c r="F3802" s="1"/>
      <c r="G3802" s="1"/>
      <c r="H3802" s="1"/>
      <c r="I3802" s="1"/>
      <c r="J3802" s="3"/>
      <c r="K3802" s="3"/>
      <c r="L3802" s="1"/>
      <c r="M3802" s="1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  <c r="AD3802" s="3"/>
      <c r="AE3802" s="3"/>
      <c r="AF3802" s="3"/>
      <c r="AG3802" s="3"/>
      <c r="AH3802" s="3"/>
      <c r="AI3802" s="3"/>
      <c r="AJ3802" s="3"/>
      <c r="AK3802" s="3"/>
      <c r="AL3802" s="3"/>
    </row>
    <row r="3803" ht="15.75" customHeight="1">
      <c r="A3803" s="1"/>
      <c r="B3803" s="2"/>
      <c r="C3803" s="3"/>
      <c r="D3803" s="3"/>
      <c r="E3803" s="1"/>
      <c r="F3803" s="1"/>
      <c r="G3803" s="1"/>
      <c r="H3803" s="1"/>
      <c r="I3803" s="1"/>
      <c r="J3803" s="3"/>
      <c r="K3803" s="3"/>
      <c r="L3803" s="1"/>
      <c r="M3803" s="1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3"/>
      <c r="AD3803" s="3"/>
      <c r="AE3803" s="3"/>
      <c r="AF3803" s="3"/>
      <c r="AG3803" s="3"/>
      <c r="AH3803" s="3"/>
      <c r="AI3803" s="3"/>
      <c r="AJ3803" s="3"/>
      <c r="AK3803" s="3"/>
      <c r="AL3803" s="3"/>
    </row>
    <row r="3804" ht="15.75" customHeight="1">
      <c r="A3804" s="1"/>
      <c r="B3804" s="2"/>
      <c r="C3804" s="3"/>
      <c r="D3804" s="3"/>
      <c r="E3804" s="1"/>
      <c r="F3804" s="1"/>
      <c r="G3804" s="1"/>
      <c r="H3804" s="1"/>
      <c r="I3804" s="1"/>
      <c r="J3804" s="3"/>
      <c r="K3804" s="3"/>
      <c r="L3804" s="1"/>
      <c r="M3804" s="1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3"/>
      <c r="AD3804" s="3"/>
      <c r="AE3804" s="3"/>
      <c r="AF3804" s="3"/>
      <c r="AG3804" s="3"/>
      <c r="AH3804" s="3"/>
      <c r="AI3804" s="3"/>
      <c r="AJ3804" s="3"/>
      <c r="AK3804" s="3"/>
      <c r="AL3804" s="3"/>
    </row>
    <row r="3805" ht="15.75" customHeight="1">
      <c r="A3805" s="1"/>
      <c r="B3805" s="2"/>
      <c r="C3805" s="3"/>
      <c r="D3805" s="3"/>
      <c r="E3805" s="1"/>
      <c r="F3805" s="1"/>
      <c r="G3805" s="1"/>
      <c r="H3805" s="1"/>
      <c r="I3805" s="1"/>
      <c r="J3805" s="3"/>
      <c r="K3805" s="3"/>
      <c r="L3805" s="1"/>
      <c r="M3805" s="1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  <c r="AC3805" s="3"/>
      <c r="AD3805" s="3"/>
      <c r="AE3805" s="3"/>
      <c r="AF3805" s="3"/>
      <c r="AG3805" s="3"/>
      <c r="AH3805" s="3"/>
      <c r="AI3805" s="3"/>
      <c r="AJ3805" s="3"/>
      <c r="AK3805" s="3"/>
      <c r="AL3805" s="3"/>
    </row>
    <row r="3806" ht="15.75" customHeight="1">
      <c r="A3806" s="1"/>
      <c r="B3806" s="2"/>
      <c r="C3806" s="3"/>
      <c r="D3806" s="3"/>
      <c r="E3806" s="1"/>
      <c r="F3806" s="1"/>
      <c r="G3806" s="1"/>
      <c r="H3806" s="1"/>
      <c r="I3806" s="1"/>
      <c r="J3806" s="3"/>
      <c r="K3806" s="3"/>
      <c r="L3806" s="1"/>
      <c r="M3806" s="1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  <c r="AD3806" s="3"/>
      <c r="AE3806" s="3"/>
      <c r="AF3806" s="3"/>
      <c r="AG3806" s="3"/>
      <c r="AH3806" s="3"/>
      <c r="AI3806" s="3"/>
      <c r="AJ3806" s="3"/>
      <c r="AK3806" s="3"/>
      <c r="AL3806" s="3"/>
    </row>
    <row r="3807" ht="15.75" customHeight="1">
      <c r="A3807" s="1"/>
      <c r="B3807" s="2"/>
      <c r="C3807" s="3"/>
      <c r="D3807" s="3"/>
      <c r="E3807" s="1"/>
      <c r="F3807" s="1"/>
      <c r="G3807" s="1"/>
      <c r="H3807" s="1"/>
      <c r="I3807" s="1"/>
      <c r="J3807" s="3"/>
      <c r="K3807" s="3"/>
      <c r="L3807" s="1"/>
      <c r="M3807" s="1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3"/>
      <c r="AD3807" s="3"/>
      <c r="AE3807" s="3"/>
      <c r="AF3807" s="3"/>
      <c r="AG3807" s="3"/>
      <c r="AH3807" s="3"/>
      <c r="AI3807" s="3"/>
      <c r="AJ3807" s="3"/>
      <c r="AK3807" s="3"/>
      <c r="AL3807" s="3"/>
    </row>
    <row r="3808" ht="15.75" customHeight="1">
      <c r="A3808" s="1"/>
      <c r="B3808" s="2"/>
      <c r="C3808" s="3"/>
      <c r="D3808" s="3"/>
      <c r="E3808" s="1"/>
      <c r="F3808" s="1"/>
      <c r="G3808" s="1"/>
      <c r="H3808" s="1"/>
      <c r="I3808" s="1"/>
      <c r="J3808" s="3"/>
      <c r="K3808" s="3"/>
      <c r="L3808" s="1"/>
      <c r="M3808" s="1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3"/>
      <c r="AD3808" s="3"/>
      <c r="AE3808" s="3"/>
      <c r="AF3808" s="3"/>
      <c r="AG3808" s="3"/>
      <c r="AH3808" s="3"/>
      <c r="AI3808" s="3"/>
      <c r="AJ3808" s="3"/>
      <c r="AK3808" s="3"/>
      <c r="AL3808" s="3"/>
    </row>
    <row r="3809" ht="15.75" customHeight="1">
      <c r="A3809" s="1"/>
      <c r="B3809" s="2"/>
      <c r="C3809" s="3"/>
      <c r="D3809" s="3"/>
      <c r="E3809" s="1"/>
      <c r="F3809" s="1"/>
      <c r="G3809" s="1"/>
      <c r="H3809" s="1"/>
      <c r="I3809" s="1"/>
      <c r="J3809" s="3"/>
      <c r="K3809" s="3"/>
      <c r="L3809" s="1"/>
      <c r="M3809" s="1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  <c r="AD3809" s="3"/>
      <c r="AE3809" s="3"/>
      <c r="AF3809" s="3"/>
      <c r="AG3809" s="3"/>
      <c r="AH3809" s="3"/>
      <c r="AI3809" s="3"/>
      <c r="AJ3809" s="3"/>
      <c r="AK3809" s="3"/>
      <c r="AL3809" s="3"/>
    </row>
    <row r="3810" ht="15.75" customHeight="1">
      <c r="A3810" s="1"/>
      <c r="B3810" s="2"/>
      <c r="C3810" s="3"/>
      <c r="D3810" s="3"/>
      <c r="E3810" s="1"/>
      <c r="F3810" s="1"/>
      <c r="G3810" s="1"/>
      <c r="H3810" s="1"/>
      <c r="I3810" s="1"/>
      <c r="J3810" s="3"/>
      <c r="K3810" s="3"/>
      <c r="L3810" s="1"/>
      <c r="M3810" s="1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3"/>
      <c r="AE3810" s="3"/>
      <c r="AF3810" s="3"/>
      <c r="AG3810" s="3"/>
      <c r="AH3810" s="3"/>
      <c r="AI3810" s="3"/>
      <c r="AJ3810" s="3"/>
      <c r="AK3810" s="3"/>
      <c r="AL3810" s="3"/>
    </row>
    <row r="3811" ht="15.75" customHeight="1">
      <c r="A3811" s="1"/>
      <c r="B3811" s="2"/>
      <c r="C3811" s="3"/>
      <c r="D3811" s="3"/>
      <c r="E3811" s="1"/>
      <c r="F3811" s="1"/>
      <c r="G3811" s="1"/>
      <c r="H3811" s="1"/>
      <c r="I3811" s="1"/>
      <c r="J3811" s="3"/>
      <c r="K3811" s="3"/>
      <c r="L3811" s="1"/>
      <c r="M3811" s="1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3"/>
      <c r="AE3811" s="3"/>
      <c r="AF3811" s="3"/>
      <c r="AG3811" s="3"/>
      <c r="AH3811" s="3"/>
      <c r="AI3811" s="3"/>
      <c r="AJ3811" s="3"/>
      <c r="AK3811" s="3"/>
      <c r="AL3811" s="3"/>
    </row>
    <row r="3812" ht="15.75" customHeight="1">
      <c r="A3812" s="1"/>
      <c r="B3812" s="2"/>
      <c r="C3812" s="3"/>
      <c r="D3812" s="3"/>
      <c r="E3812" s="1"/>
      <c r="F3812" s="1"/>
      <c r="G3812" s="1"/>
      <c r="H3812" s="1"/>
      <c r="I3812" s="1"/>
      <c r="J3812" s="3"/>
      <c r="K3812" s="3"/>
      <c r="L3812" s="1"/>
      <c r="M3812" s="1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  <c r="AC3812" s="3"/>
      <c r="AD3812" s="3"/>
      <c r="AE3812" s="3"/>
      <c r="AF3812" s="3"/>
      <c r="AG3812" s="3"/>
      <c r="AH3812" s="3"/>
      <c r="AI3812" s="3"/>
      <c r="AJ3812" s="3"/>
      <c r="AK3812" s="3"/>
      <c r="AL3812" s="3"/>
    </row>
    <row r="3813" ht="15.75" customHeight="1">
      <c r="A3813" s="1"/>
      <c r="B3813" s="2"/>
      <c r="C3813" s="3"/>
      <c r="D3813" s="3"/>
      <c r="E3813" s="1"/>
      <c r="F3813" s="1"/>
      <c r="G3813" s="1"/>
      <c r="H3813" s="1"/>
      <c r="I3813" s="1"/>
      <c r="J3813" s="3"/>
      <c r="K3813" s="3"/>
      <c r="L3813" s="1"/>
      <c r="M3813" s="1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  <c r="AC3813" s="3"/>
      <c r="AD3813" s="3"/>
      <c r="AE3813" s="3"/>
      <c r="AF3813" s="3"/>
      <c r="AG3813" s="3"/>
      <c r="AH3813" s="3"/>
      <c r="AI3813" s="3"/>
      <c r="AJ3813" s="3"/>
      <c r="AK3813" s="3"/>
      <c r="AL3813" s="3"/>
    </row>
    <row r="3814" ht="15.75" customHeight="1">
      <c r="A3814" s="1"/>
      <c r="B3814" s="2"/>
      <c r="C3814" s="3"/>
      <c r="D3814" s="3"/>
      <c r="E3814" s="1"/>
      <c r="F3814" s="1"/>
      <c r="G3814" s="1"/>
      <c r="H3814" s="1"/>
      <c r="I3814" s="1"/>
      <c r="J3814" s="3"/>
      <c r="K3814" s="3"/>
      <c r="L3814" s="1"/>
      <c r="M3814" s="1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  <c r="AC3814" s="3"/>
      <c r="AD3814" s="3"/>
      <c r="AE3814" s="3"/>
      <c r="AF3814" s="3"/>
      <c r="AG3814" s="3"/>
      <c r="AH3814" s="3"/>
      <c r="AI3814" s="3"/>
      <c r="AJ3814" s="3"/>
      <c r="AK3814" s="3"/>
      <c r="AL3814" s="3"/>
    </row>
    <row r="3815" ht="15.75" customHeight="1">
      <c r="A3815" s="1"/>
      <c r="B3815" s="2"/>
      <c r="C3815" s="3"/>
      <c r="D3815" s="3"/>
      <c r="E3815" s="1"/>
      <c r="F3815" s="1"/>
      <c r="G3815" s="1"/>
      <c r="H3815" s="1"/>
      <c r="I3815" s="1"/>
      <c r="J3815" s="3"/>
      <c r="K3815" s="3"/>
      <c r="L3815" s="1"/>
      <c r="M3815" s="1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3"/>
      <c r="AD3815" s="3"/>
      <c r="AE3815" s="3"/>
      <c r="AF3815" s="3"/>
      <c r="AG3815" s="3"/>
      <c r="AH3815" s="3"/>
      <c r="AI3815" s="3"/>
      <c r="AJ3815" s="3"/>
      <c r="AK3815" s="3"/>
      <c r="AL3815" s="3"/>
    </row>
    <row r="3816" ht="15.75" customHeight="1">
      <c r="A3816" s="1"/>
      <c r="B3816" s="2"/>
      <c r="C3816" s="3"/>
      <c r="D3816" s="3"/>
      <c r="E3816" s="1"/>
      <c r="F3816" s="1"/>
      <c r="G3816" s="1"/>
      <c r="H3816" s="1"/>
      <c r="I3816" s="1"/>
      <c r="J3816" s="3"/>
      <c r="K3816" s="3"/>
      <c r="L3816" s="1"/>
      <c r="M3816" s="1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  <c r="AC3816" s="3"/>
      <c r="AD3816" s="3"/>
      <c r="AE3816" s="3"/>
      <c r="AF3816" s="3"/>
      <c r="AG3816" s="3"/>
      <c r="AH3816" s="3"/>
      <c r="AI3816" s="3"/>
      <c r="AJ3816" s="3"/>
      <c r="AK3816" s="3"/>
      <c r="AL3816" s="3"/>
    </row>
    <row r="3817" ht="15.75" customHeight="1">
      <c r="A3817" s="1"/>
      <c r="B3817" s="2"/>
      <c r="C3817" s="3"/>
      <c r="D3817" s="3"/>
      <c r="E3817" s="1"/>
      <c r="F3817" s="1"/>
      <c r="G3817" s="1"/>
      <c r="H3817" s="1"/>
      <c r="I3817" s="1"/>
      <c r="J3817" s="3"/>
      <c r="K3817" s="3"/>
      <c r="L3817" s="1"/>
      <c r="M3817" s="1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  <c r="AC3817" s="3"/>
      <c r="AD3817" s="3"/>
      <c r="AE3817" s="3"/>
      <c r="AF3817" s="3"/>
      <c r="AG3817" s="3"/>
      <c r="AH3817" s="3"/>
      <c r="AI3817" s="3"/>
      <c r="AJ3817" s="3"/>
      <c r="AK3817" s="3"/>
      <c r="AL3817" s="3"/>
    </row>
    <row r="3818" ht="15.75" customHeight="1">
      <c r="A3818" s="1"/>
      <c r="B3818" s="2"/>
      <c r="C3818" s="3"/>
      <c r="D3818" s="3"/>
      <c r="E3818" s="1"/>
      <c r="F3818" s="1"/>
      <c r="G3818" s="1"/>
      <c r="H3818" s="1"/>
      <c r="I3818" s="1"/>
      <c r="J3818" s="3"/>
      <c r="K3818" s="3"/>
      <c r="L3818" s="1"/>
      <c r="M3818" s="1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3"/>
      <c r="AD3818" s="3"/>
      <c r="AE3818" s="3"/>
      <c r="AF3818" s="3"/>
      <c r="AG3818" s="3"/>
      <c r="AH3818" s="3"/>
      <c r="AI3818" s="3"/>
      <c r="AJ3818" s="3"/>
      <c r="AK3818" s="3"/>
      <c r="AL3818" s="3"/>
    </row>
    <row r="3819" ht="15.75" customHeight="1">
      <c r="A3819" s="1"/>
      <c r="B3819" s="2"/>
      <c r="C3819" s="3"/>
      <c r="D3819" s="3"/>
      <c r="E3819" s="1"/>
      <c r="F3819" s="1"/>
      <c r="G3819" s="1"/>
      <c r="H3819" s="1"/>
      <c r="I3819" s="1"/>
      <c r="J3819" s="3"/>
      <c r="K3819" s="3"/>
      <c r="L3819" s="1"/>
      <c r="M3819" s="1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  <c r="AC3819" s="3"/>
      <c r="AD3819" s="3"/>
      <c r="AE3819" s="3"/>
      <c r="AF3819" s="3"/>
      <c r="AG3819" s="3"/>
      <c r="AH3819" s="3"/>
      <c r="AI3819" s="3"/>
      <c r="AJ3819" s="3"/>
      <c r="AK3819" s="3"/>
      <c r="AL3819" s="3"/>
    </row>
    <row r="3820" ht="15.75" customHeight="1">
      <c r="A3820" s="1"/>
      <c r="B3820" s="2"/>
      <c r="C3820" s="3"/>
      <c r="D3820" s="3"/>
      <c r="E3820" s="1"/>
      <c r="F3820" s="1"/>
      <c r="G3820" s="1"/>
      <c r="H3820" s="1"/>
      <c r="I3820" s="1"/>
      <c r="J3820" s="3"/>
      <c r="K3820" s="3"/>
      <c r="L3820" s="1"/>
      <c r="M3820" s="1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  <c r="AD3820" s="3"/>
      <c r="AE3820" s="3"/>
      <c r="AF3820" s="3"/>
      <c r="AG3820" s="3"/>
      <c r="AH3820" s="3"/>
      <c r="AI3820" s="3"/>
      <c r="AJ3820" s="3"/>
      <c r="AK3820" s="3"/>
      <c r="AL3820" s="3"/>
    </row>
    <row r="3821" ht="15.75" customHeight="1">
      <c r="A3821" s="1"/>
      <c r="B3821" s="2"/>
      <c r="C3821" s="3"/>
      <c r="D3821" s="3"/>
      <c r="E3821" s="1"/>
      <c r="F3821" s="1"/>
      <c r="G3821" s="1"/>
      <c r="H3821" s="1"/>
      <c r="I3821" s="1"/>
      <c r="J3821" s="3"/>
      <c r="K3821" s="3"/>
      <c r="L3821" s="1"/>
      <c r="M3821" s="1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3"/>
      <c r="AD3821" s="3"/>
      <c r="AE3821" s="3"/>
      <c r="AF3821" s="3"/>
      <c r="AG3821" s="3"/>
      <c r="AH3821" s="3"/>
      <c r="AI3821" s="3"/>
      <c r="AJ3821" s="3"/>
      <c r="AK3821" s="3"/>
      <c r="AL3821" s="3"/>
    </row>
    <row r="3822" ht="15.75" customHeight="1">
      <c r="A3822" s="1"/>
      <c r="B3822" s="2"/>
      <c r="C3822" s="3"/>
      <c r="D3822" s="3"/>
      <c r="E3822" s="1"/>
      <c r="F3822" s="1"/>
      <c r="G3822" s="1"/>
      <c r="H3822" s="1"/>
      <c r="I3822" s="1"/>
      <c r="J3822" s="3"/>
      <c r="K3822" s="3"/>
      <c r="L3822" s="1"/>
      <c r="M3822" s="1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3"/>
      <c r="AD3822" s="3"/>
      <c r="AE3822" s="3"/>
      <c r="AF3822" s="3"/>
      <c r="AG3822" s="3"/>
      <c r="AH3822" s="3"/>
      <c r="AI3822" s="3"/>
      <c r="AJ3822" s="3"/>
      <c r="AK3822" s="3"/>
      <c r="AL3822" s="3"/>
    </row>
    <row r="3823" ht="15.75" customHeight="1">
      <c r="A3823" s="1"/>
      <c r="B3823" s="2"/>
      <c r="C3823" s="3"/>
      <c r="D3823" s="3"/>
      <c r="E3823" s="1"/>
      <c r="F3823" s="1"/>
      <c r="G3823" s="1"/>
      <c r="H3823" s="1"/>
      <c r="I3823" s="1"/>
      <c r="J3823" s="3"/>
      <c r="K3823" s="3"/>
      <c r="L3823" s="1"/>
      <c r="M3823" s="1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3"/>
      <c r="AD3823" s="3"/>
      <c r="AE3823" s="3"/>
      <c r="AF3823" s="3"/>
      <c r="AG3823" s="3"/>
      <c r="AH3823" s="3"/>
      <c r="AI3823" s="3"/>
      <c r="AJ3823" s="3"/>
      <c r="AK3823" s="3"/>
      <c r="AL3823" s="3"/>
    </row>
    <row r="3824" ht="15.75" customHeight="1">
      <c r="A3824" s="1"/>
      <c r="B3824" s="2"/>
      <c r="C3824" s="3"/>
      <c r="D3824" s="3"/>
      <c r="E3824" s="1"/>
      <c r="F3824" s="1"/>
      <c r="G3824" s="1"/>
      <c r="H3824" s="1"/>
      <c r="I3824" s="1"/>
      <c r="J3824" s="3"/>
      <c r="K3824" s="3"/>
      <c r="L3824" s="1"/>
      <c r="M3824" s="1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  <c r="AC3824" s="3"/>
      <c r="AD3824" s="3"/>
      <c r="AE3824" s="3"/>
      <c r="AF3824" s="3"/>
      <c r="AG3824" s="3"/>
      <c r="AH3824" s="3"/>
      <c r="AI3824" s="3"/>
      <c r="AJ3824" s="3"/>
      <c r="AK3824" s="3"/>
      <c r="AL3824" s="3"/>
    </row>
    <row r="3825" ht="15.75" customHeight="1">
      <c r="A3825" s="1"/>
      <c r="B3825" s="2"/>
      <c r="C3825" s="3"/>
      <c r="D3825" s="3"/>
      <c r="E3825" s="1"/>
      <c r="F3825" s="1"/>
      <c r="G3825" s="1"/>
      <c r="H3825" s="1"/>
      <c r="I3825" s="1"/>
      <c r="J3825" s="3"/>
      <c r="K3825" s="3"/>
      <c r="L3825" s="1"/>
      <c r="M3825" s="1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  <c r="AC3825" s="3"/>
      <c r="AD3825" s="3"/>
      <c r="AE3825" s="3"/>
      <c r="AF3825" s="3"/>
      <c r="AG3825" s="3"/>
      <c r="AH3825" s="3"/>
      <c r="AI3825" s="3"/>
      <c r="AJ3825" s="3"/>
      <c r="AK3825" s="3"/>
      <c r="AL3825" s="3"/>
    </row>
    <row r="3826" ht="15.75" customHeight="1">
      <c r="A3826" s="1"/>
      <c r="B3826" s="2"/>
      <c r="C3826" s="3"/>
      <c r="D3826" s="3"/>
      <c r="E3826" s="1"/>
      <c r="F3826" s="1"/>
      <c r="G3826" s="1"/>
      <c r="H3826" s="1"/>
      <c r="I3826" s="1"/>
      <c r="J3826" s="3"/>
      <c r="K3826" s="3"/>
      <c r="L3826" s="1"/>
      <c r="M3826" s="1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3"/>
      <c r="AD3826" s="3"/>
      <c r="AE3826" s="3"/>
      <c r="AF3826" s="3"/>
      <c r="AG3826" s="3"/>
      <c r="AH3826" s="3"/>
      <c r="AI3826" s="3"/>
      <c r="AJ3826" s="3"/>
      <c r="AK3826" s="3"/>
      <c r="AL3826" s="3"/>
    </row>
    <row r="3827" ht="15.75" customHeight="1">
      <c r="A3827" s="1"/>
      <c r="B3827" s="2"/>
      <c r="C3827" s="3"/>
      <c r="D3827" s="3"/>
      <c r="E3827" s="1"/>
      <c r="F3827" s="1"/>
      <c r="G3827" s="1"/>
      <c r="H3827" s="1"/>
      <c r="I3827" s="1"/>
      <c r="J3827" s="3"/>
      <c r="K3827" s="3"/>
      <c r="L3827" s="1"/>
      <c r="M3827" s="1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3"/>
      <c r="AD3827" s="3"/>
      <c r="AE3827" s="3"/>
      <c r="AF3827" s="3"/>
      <c r="AG3827" s="3"/>
      <c r="AH3827" s="3"/>
      <c r="AI3827" s="3"/>
      <c r="AJ3827" s="3"/>
      <c r="AK3827" s="3"/>
      <c r="AL3827" s="3"/>
    </row>
    <row r="3828" ht="15.75" customHeight="1">
      <c r="A3828" s="1"/>
      <c r="B3828" s="2"/>
      <c r="C3828" s="3"/>
      <c r="D3828" s="3"/>
      <c r="E3828" s="1"/>
      <c r="F3828" s="1"/>
      <c r="G3828" s="1"/>
      <c r="H3828" s="1"/>
      <c r="I3828" s="1"/>
      <c r="J3828" s="3"/>
      <c r="K3828" s="3"/>
      <c r="L3828" s="1"/>
      <c r="M3828" s="1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3"/>
      <c r="AD3828" s="3"/>
      <c r="AE3828" s="3"/>
      <c r="AF3828" s="3"/>
      <c r="AG3828" s="3"/>
      <c r="AH3828" s="3"/>
      <c r="AI3828" s="3"/>
      <c r="AJ3828" s="3"/>
      <c r="AK3828" s="3"/>
      <c r="AL3828" s="3"/>
    </row>
    <row r="3829" ht="15.75" customHeight="1">
      <c r="A3829" s="1"/>
      <c r="B3829" s="2"/>
      <c r="C3829" s="3"/>
      <c r="D3829" s="3"/>
      <c r="E3829" s="1"/>
      <c r="F3829" s="1"/>
      <c r="G3829" s="1"/>
      <c r="H3829" s="1"/>
      <c r="I3829" s="1"/>
      <c r="J3829" s="3"/>
      <c r="K3829" s="3"/>
      <c r="L3829" s="1"/>
      <c r="M3829" s="1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3"/>
      <c r="AD3829" s="3"/>
      <c r="AE3829" s="3"/>
      <c r="AF3829" s="3"/>
      <c r="AG3829" s="3"/>
      <c r="AH3829" s="3"/>
      <c r="AI3829" s="3"/>
      <c r="AJ3829" s="3"/>
      <c r="AK3829" s="3"/>
      <c r="AL3829" s="3"/>
    </row>
    <row r="3830" ht="15.75" customHeight="1">
      <c r="A3830" s="1"/>
      <c r="B3830" s="2"/>
      <c r="C3830" s="3"/>
      <c r="D3830" s="3"/>
      <c r="E3830" s="1"/>
      <c r="F3830" s="1"/>
      <c r="G3830" s="1"/>
      <c r="H3830" s="1"/>
      <c r="I3830" s="1"/>
      <c r="J3830" s="3"/>
      <c r="K3830" s="3"/>
      <c r="L3830" s="1"/>
      <c r="M3830" s="1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3"/>
      <c r="AD3830" s="3"/>
      <c r="AE3830" s="3"/>
      <c r="AF3830" s="3"/>
      <c r="AG3830" s="3"/>
      <c r="AH3830" s="3"/>
      <c r="AI3830" s="3"/>
      <c r="AJ3830" s="3"/>
      <c r="AK3830" s="3"/>
      <c r="AL3830" s="3"/>
    </row>
    <row r="3831" ht="15.75" customHeight="1">
      <c r="A3831" s="1"/>
      <c r="B3831" s="2"/>
      <c r="C3831" s="3"/>
      <c r="D3831" s="3"/>
      <c r="E3831" s="1"/>
      <c r="F3831" s="1"/>
      <c r="G3831" s="1"/>
      <c r="H3831" s="1"/>
      <c r="I3831" s="1"/>
      <c r="J3831" s="3"/>
      <c r="K3831" s="3"/>
      <c r="L3831" s="1"/>
      <c r="M3831" s="1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3"/>
      <c r="AD3831" s="3"/>
      <c r="AE3831" s="3"/>
      <c r="AF3831" s="3"/>
      <c r="AG3831" s="3"/>
      <c r="AH3831" s="3"/>
      <c r="AI3831" s="3"/>
      <c r="AJ3831" s="3"/>
      <c r="AK3831" s="3"/>
      <c r="AL3831" s="3"/>
    </row>
    <row r="3832" ht="15.75" customHeight="1">
      <c r="A3832" s="1"/>
      <c r="B3832" s="2"/>
      <c r="C3832" s="3"/>
      <c r="D3832" s="3"/>
      <c r="E3832" s="1"/>
      <c r="F3832" s="1"/>
      <c r="G3832" s="1"/>
      <c r="H3832" s="1"/>
      <c r="I3832" s="1"/>
      <c r="J3832" s="3"/>
      <c r="K3832" s="3"/>
      <c r="L3832" s="1"/>
      <c r="M3832" s="1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3"/>
      <c r="AE3832" s="3"/>
      <c r="AF3832" s="3"/>
      <c r="AG3832" s="3"/>
      <c r="AH3832" s="3"/>
      <c r="AI3832" s="3"/>
      <c r="AJ3832" s="3"/>
      <c r="AK3832" s="3"/>
      <c r="AL3832" s="3"/>
    </row>
    <row r="3833" ht="15.75" customHeight="1">
      <c r="A3833" s="1"/>
      <c r="B3833" s="2"/>
      <c r="C3833" s="3"/>
      <c r="D3833" s="3"/>
      <c r="E3833" s="1"/>
      <c r="F3833" s="1"/>
      <c r="G3833" s="1"/>
      <c r="H3833" s="1"/>
      <c r="I3833" s="1"/>
      <c r="J3833" s="3"/>
      <c r="K3833" s="3"/>
      <c r="L3833" s="1"/>
      <c r="M3833" s="1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3"/>
      <c r="AD3833" s="3"/>
      <c r="AE3833" s="3"/>
      <c r="AF3833" s="3"/>
      <c r="AG3833" s="3"/>
      <c r="AH3833" s="3"/>
      <c r="AI3833" s="3"/>
      <c r="AJ3833" s="3"/>
      <c r="AK3833" s="3"/>
      <c r="AL3833" s="3"/>
    </row>
    <row r="3834" ht="15.75" customHeight="1">
      <c r="A3834" s="1"/>
      <c r="B3834" s="2"/>
      <c r="C3834" s="3"/>
      <c r="D3834" s="3"/>
      <c r="E3834" s="1"/>
      <c r="F3834" s="1"/>
      <c r="G3834" s="1"/>
      <c r="H3834" s="1"/>
      <c r="I3834" s="1"/>
      <c r="J3834" s="3"/>
      <c r="K3834" s="3"/>
      <c r="L3834" s="1"/>
      <c r="M3834" s="1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3"/>
      <c r="AD3834" s="3"/>
      <c r="AE3834" s="3"/>
      <c r="AF3834" s="3"/>
      <c r="AG3834" s="3"/>
      <c r="AH3834" s="3"/>
      <c r="AI3834" s="3"/>
      <c r="AJ3834" s="3"/>
      <c r="AK3834" s="3"/>
      <c r="AL3834" s="3"/>
    </row>
    <row r="3835" ht="15.75" customHeight="1">
      <c r="A3835" s="1"/>
      <c r="B3835" s="2"/>
      <c r="C3835" s="3"/>
      <c r="D3835" s="3"/>
      <c r="E3835" s="1"/>
      <c r="F3835" s="1"/>
      <c r="G3835" s="1"/>
      <c r="H3835" s="1"/>
      <c r="I3835" s="1"/>
      <c r="J3835" s="3"/>
      <c r="K3835" s="3"/>
      <c r="L3835" s="1"/>
      <c r="M3835" s="1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3"/>
      <c r="AD3835" s="3"/>
      <c r="AE3835" s="3"/>
      <c r="AF3835" s="3"/>
      <c r="AG3835" s="3"/>
      <c r="AH3835" s="3"/>
      <c r="AI3835" s="3"/>
      <c r="AJ3835" s="3"/>
      <c r="AK3835" s="3"/>
      <c r="AL3835" s="3"/>
    </row>
    <row r="3836" ht="15.75" customHeight="1">
      <c r="A3836" s="1"/>
      <c r="B3836" s="2"/>
      <c r="C3836" s="3"/>
      <c r="D3836" s="3"/>
      <c r="E3836" s="1"/>
      <c r="F3836" s="1"/>
      <c r="G3836" s="1"/>
      <c r="H3836" s="1"/>
      <c r="I3836" s="1"/>
      <c r="J3836" s="3"/>
      <c r="K3836" s="3"/>
      <c r="L3836" s="1"/>
      <c r="M3836" s="1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  <c r="AC3836" s="3"/>
      <c r="AD3836" s="3"/>
      <c r="AE3836" s="3"/>
      <c r="AF3836" s="3"/>
      <c r="AG3836" s="3"/>
      <c r="AH3836" s="3"/>
      <c r="AI3836" s="3"/>
      <c r="AJ3836" s="3"/>
      <c r="AK3836" s="3"/>
      <c r="AL3836" s="3"/>
    </row>
  </sheetData>
  <drawing r:id="rId1"/>
</worksheet>
</file>